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Information" sheetId="2" r:id="rId5"/>
    <sheet state="visible" name="Status" sheetId="3" r:id="rId6"/>
    <sheet state="visible" name="Concept Classes" sheetId="4" r:id="rId7"/>
    <sheet state="visible" name="MTR" sheetId="5" r:id="rId8"/>
    <sheet state="visible" name="RF Performance" sheetId="6" r:id="rId9"/>
    <sheet state="visible" name="LTE-CA" sheetId="7" r:id="rId10"/>
    <sheet state="visible" name="EN-DC" sheetId="8" r:id="rId11"/>
    <sheet state="visible" name="NR-CA" sheetId="9" r:id="rId12"/>
  </sheets>
  <definedNames>
    <definedName hidden="1" localSheetId="5" name="_xlnm._FilterDatabase">'RF Performance'!$A$1:$AD$169</definedName>
    <definedName hidden="1" localSheetId="6" name="_xlnm._FilterDatabase">'LTE-CA'!$A$1:$AG$1000</definedName>
    <definedName hidden="1" localSheetId="7" name="_xlnm._FilterDatabase">'EN-DC'!$A$1:$AI$2458</definedName>
    <definedName hidden="1" localSheetId="8" name="_xlnm._FilterDatabase">'NR-CA'!$A$1:$AG$1000</definedName>
    <definedName hidden="1" localSheetId="4" name="Z_17B3E7C4_657B_4D4E_87B6_EACE7243868C_.wvu.FilterData">MTR!$A$1:$O$2057</definedName>
    <definedName hidden="1" localSheetId="5" name="Z_BAD36032_0CF3_4D68_9DB3_6D5C3E3FE4F9_.wvu.FilterData">'RF Performance'!$K$9:$L$17</definedName>
    <definedName hidden="1" localSheetId="5" name="Z_FD500D99_E418_47D2_AA34_E609A9770D42_.wvu.FilterData">'RF Performance'!$L$4</definedName>
  </definedNames>
  <calcPr/>
  <customWorkbookViews>
    <customWorkbookView activeSheetId="0" maximized="1" windowHeight="0" windowWidth="0" guid="{BAD36032-0CF3-4D68-9DB3-6D5C3E3FE4F9}" name="Filter 2"/>
    <customWorkbookView activeSheetId="0" maximized="1" windowHeight="0" windowWidth="0" guid="{FD500D99-E418-47D2-AA34-E609A9770D42}" name="Filter 1"/>
    <customWorkbookView activeSheetId="0" maximized="1" windowHeight="0" windowWidth="0" guid="{17B3E7C4-657B-4D4E-87B6-EACE7243868C}" name="IMS"/>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E6">
      <text>
        <t xml:space="preserve">Comments Vendor
	-Ingbert Nies</t>
      </text>
    </comment>
    <comment authorId="0" ref="B6">
      <text>
        <t xml:space="preserve">Mandatory &amp; Selection
	-Ingbert Nies</t>
      </text>
    </comment>
    <comment authorId="0" ref="F6">
      <text>
        <t xml:space="preserve">Complies
	-Ingbert Nies</t>
      </text>
    </comment>
    <comment authorId="0" ref="H6">
      <text>
        <t xml:space="preserve">Does not comply
	-Ingbert Nies</t>
      </text>
    </comment>
    <comment authorId="0" ref="G6">
      <text>
        <t xml:space="preserve">Partially complies
	-Ingbert Nies</t>
      </text>
    </comment>
    <comment authorId="0" ref="C6">
      <text>
        <t xml:space="preserve">Recommended
	-Ingbert Nies</t>
      </text>
    </comment>
    <comment authorId="0" ref="I6">
      <text>
        <t xml:space="preserve">Not Applicable
	-Ingbert Nies</t>
      </text>
    </comment>
    <comment authorId="0" ref="D6">
      <text>
        <t xml:space="preserve">Information &amp;
Information - High Importance in Future
	-Ingbert Nies</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K156">
      <text>
        <t xml:space="preserve">@lkelvin@google.com is this correct P24 POr which includes TG4 has n75 5, 10, 15, 20, 25, 30, 40, 50
_Assigned to lkelvin@google.com_
	-Aisling Cronin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G8">
      <text>
        <t xml:space="preserve">@smakalin@google.com @aislingcronin@google.com 
Hi Smaka, Thanks for the help. Please help to fill in the Tegu's Conducted TX power items for DTAG in this section. 
Please let me know if you can complete them by this week.
_Assigned to smakalin@google.com_
	-Howard Yu
@lucyshih@google.com Hi Lucy,
We need your support to provide the value of the Tegu's RF compliance item for DTAG. Please look at this section "2.2.1.1 Conducted Tx power" - Plimit(head) / Plimit(body). 
Kindly let us know if you can completet them by this week.
_Reassigned to lucyshih@google.com_
	-Howard Yu
@markchung@google.com 
Hi Mark, please help on this requirement from DT (ROW sku).
_Reassigned to M. Chung_
	-Lucy Shih</t>
      </text>
    </comment>
  </commentList>
</comments>
</file>

<file path=xl/sharedStrings.xml><?xml version="1.0" encoding="utf-8"?>
<sst xmlns="http://schemas.openxmlformats.org/spreadsheetml/2006/main" count="117972" uniqueCount="13911">
  <si>
    <t>Deutsche Telekom AG</t>
  </si>
  <si>
    <t>Mobile Terminal Requirements Document</t>
  </si>
  <si>
    <t>2025 Version V1.2</t>
  </si>
  <si>
    <t>Statement of Compliance for</t>
  </si>
  <si>
    <t>Vendor:</t>
  </si>
  <si>
    <t>Google</t>
  </si>
  <si>
    <t>Model:</t>
  </si>
  <si>
    <t>TG4</t>
  </si>
  <si>
    <t>Concept Class:</t>
  </si>
  <si>
    <t>Flagship</t>
  </si>
  <si>
    <t>Document status: confidential</t>
  </si>
  <si>
    <r>
      <rPr>
        <rFont val="Noto Sans Symbols"/>
        <color theme="1"/>
        <sz val="10.0"/>
      </rPr>
      <t>Ó</t>
    </r>
    <r>
      <rPr>
        <rFont val="Arial"/>
        <color theme="1"/>
        <sz val="10.0"/>
      </rPr>
      <t xml:space="preserve"> Deutsche Telekom AG 2024</t>
    </r>
  </si>
  <si>
    <t>No part of this document or its contents may be transmitted, reproduced or exploited in any form or by any means, or stored in any retrieval</t>
  </si>
  <si>
    <t>system of any nature without prior written permission. Infringements result in damages and compensation.</t>
  </si>
  <si>
    <t>All rights reserved.</t>
  </si>
  <si>
    <t>(Protective Note Deutsche Telekom AG)</t>
  </si>
  <si>
    <t>Information page</t>
  </si>
  <si>
    <t>File date:</t>
  </si>
  <si>
    <t>21.08.2024</t>
  </si>
  <si>
    <t>Requirements sections:</t>
  </si>
  <si>
    <t xml:space="preserve">Requirements </t>
  </si>
  <si>
    <t>See Status sheet for list of sections and MTR sheet for the list of requirements.</t>
  </si>
  <si>
    <t>Appendices</t>
  </si>
  <si>
    <t>Provided in separate documents</t>
  </si>
  <si>
    <t>Columns description</t>
  </si>
  <si>
    <t>Section:</t>
  </si>
  <si>
    <t xml:space="preserve">      Section 1: Top Level 1 chapters (Select first for filtering down to one section)
      Section 2: Level 2 chapters (Filter this after selecting a Section 1)</t>
  </si>
  <si>
    <t>MTR ID:</t>
  </si>
  <si>
    <t>This is the unique identifier associated with each object in the MTR (requirements, headers, comments, etc…)</t>
  </si>
  <si>
    <t>History:</t>
  </si>
  <si>
    <t>Provides a history reference to show with which MTR version the requirement was first introduced. Please note that this could have</t>
  </si>
  <si>
    <t>been the Chipset MTR variant while the requirement was listed in an OEM version (e.g. Generic) later.</t>
  </si>
  <si>
    <t>MTR Version</t>
  </si>
  <si>
    <t>Full Name</t>
  </si>
  <si>
    <t>Release date</t>
  </si>
  <si>
    <t>Comment</t>
  </si>
  <si>
    <t>2025 V1.2</t>
  </si>
  <si>
    <t>MTR2025, Version 1.2</t>
  </si>
  <si>
    <t>Error corrections in formulas and priorities</t>
  </si>
  <si>
    <t>2025 V1.1</t>
  </si>
  <si>
    <t>MTR2025, Version 1.1</t>
  </si>
  <si>
    <t>Error corrections on priorities</t>
  </si>
  <si>
    <t>2025 V1</t>
  </si>
  <si>
    <t>MTR2025, Version 1.0</t>
  </si>
  <si>
    <t>Official Release</t>
  </si>
  <si>
    <t>2024 V2</t>
  </si>
  <si>
    <t>MTR2024, Version 2.0</t>
  </si>
  <si>
    <t>RM:</t>
  </si>
  <si>
    <r>
      <rPr>
        <rFont val="Arial"/>
        <color theme="1"/>
        <sz val="10.0"/>
      </rPr>
      <t>The changes/deltas of a MTR variant to the previous version of the same</t>
    </r>
    <r>
      <rPr>
        <rFont val="Arial"/>
        <color theme="1"/>
        <sz val="10.0"/>
      </rPr>
      <t xml:space="preserve"> variant.</t>
    </r>
  </si>
  <si>
    <t>Revision Mark (RM) and colour codes:</t>
  </si>
  <si>
    <t>C: Changed requirement</t>
  </si>
  <si>
    <t>N: Requirement was not available in the previous version of that variant</t>
  </si>
  <si>
    <t>N: Requirement changed, but not available in the previous version of that variant</t>
  </si>
  <si>
    <t>N: Requirement is completely new for all MTR variants</t>
  </si>
  <si>
    <t>Priority column:</t>
  </si>
  <si>
    <t>All requirements are labelled with a priority attribute to highlight their importance:</t>
  </si>
  <si>
    <t>Priority</t>
  </si>
  <si>
    <t>Description</t>
  </si>
  <si>
    <t>Selection</t>
  </si>
  <si>
    <t>Mandatory only if the entry under “Features” is specified for the relevant device concept class in the tab concept classes</t>
  </si>
  <si>
    <t>Mandatory</t>
  </si>
  <si>
    <t>Firm requirement. Applies when at least one condition listed under “Features” applies.</t>
  </si>
  <si>
    <t>Comments Vendor</t>
  </si>
  <si>
    <t>Response under Comments Vendor required.</t>
  </si>
  <si>
    <t>Recommended</t>
  </si>
  <si>
    <t>Support is highly recommended</t>
  </si>
  <si>
    <t>Information</t>
  </si>
  <si>
    <t>Information request / support is nice to have</t>
  </si>
  <si>
    <t>N/A</t>
  </si>
  <si>
    <t>Not a requirement (i.e. headline or comment)</t>
  </si>
  <si>
    <t>Compliance Statement:</t>
  </si>
  <si>
    <t>An entry like Complies, Does Not Comply, Partially Complies ect... has to be selected from the drop down list.</t>
  </si>
  <si>
    <t>Comments Vendor:</t>
  </si>
  <si>
    <t>Add any comments relevant to clarify the compliance statement given. It is expected that clarification is ALWAYS given in cases of</t>
  </si>
  <si>
    <t>partial compliance.</t>
  </si>
  <si>
    <t>Comments T-Mobile:</t>
  </si>
  <si>
    <t>This column may contain automatically generated explanations and the background colour is automatically changed</t>
  </si>
  <si>
    <t>to red or amber when</t>
  </si>
  <si>
    <t>- the compliance statement is empty or contains a non defined value</t>
  </si>
  <si>
    <t>- a “Comments Vendor” entry is expected but missing</t>
  </si>
  <si>
    <t>- there is an inconsistency between two answers</t>
  </si>
  <si>
    <t>- this automatic assessment is not possible because of missing answers</t>
  </si>
  <si>
    <t>Status</t>
  </si>
  <si>
    <t>Statistical Entries</t>
  </si>
  <si>
    <t>Number of occurencies for the following issues:</t>
  </si>
  <si>
    <t>Total</t>
  </si>
  <si>
    <t>Sums</t>
  </si>
  <si>
    <t>Tags</t>
  </si>
  <si>
    <t>M</t>
  </si>
  <si>
    <t>R</t>
  </si>
  <si>
    <t>I</t>
  </si>
  <si>
    <t>V</t>
  </si>
  <si>
    <t>C</t>
  </si>
  <si>
    <t>P</t>
  </si>
  <si>
    <t>DNC</t>
  </si>
  <si>
    <t>Compliance Statement missing</t>
  </si>
  <si>
    <t>Compliance Statement wrong</t>
  </si>
  <si>
    <t>Why is this partially compliant</t>
  </si>
  <si>
    <t>Comments Vendor Missing</t>
  </si>
  <si>
    <t>Inconsistent answer</t>
  </si>
  <si>
    <t>FilterCheck analysis not possible</t>
  </si>
  <si>
    <t>Page Status</t>
  </si>
  <si>
    <t>1.1 Common Requirements/ Basic Hardware and OS Information</t>
  </si>
  <si>
    <t>1.2 Common Requirements/ Conformance</t>
  </si>
  <si>
    <t>1.3 Common Requirements/ Sustainability</t>
  </si>
  <si>
    <t>2.1 Network Access/ Basic Network Access</t>
  </si>
  <si>
    <t>2.2 Network Access/ RF</t>
  </si>
  <si>
    <t>2.2 Network Access/ RF - RF Performance</t>
  </si>
  <si>
    <t>2.3 Network Access/ GSM / GPRS / EDGE</t>
  </si>
  <si>
    <t>2.4 Network Access/ LTE</t>
  </si>
  <si>
    <t>2.4 Network Access/ LTE - LTE-CA</t>
  </si>
  <si>
    <t>2.5 Network Access/ NR (5G)</t>
  </si>
  <si>
    <t>2.5 Network Access/ NR (5G) - NR-CA</t>
  </si>
  <si>
    <t>2.5 Network Access/ NR (5G) - EN-DC</t>
  </si>
  <si>
    <t>2.6 Network Access/ Features &amp; Procedures</t>
  </si>
  <si>
    <t>3.1 Device Enablers/ Connectivity</t>
  </si>
  <si>
    <t>3.2 Device Enablers/ Basic Enablers</t>
  </si>
  <si>
    <t>3.3 Device Enablers/ IPv4/IPv6/IPv4v6</t>
  </si>
  <si>
    <t>3.4 Device Enablers/ (U)SIM/(U)SAT</t>
  </si>
  <si>
    <t>3.5 Device Enablers/ Dual-SIM</t>
  </si>
  <si>
    <t>3.6 Device Enablers/ Remote SIM Provisioning (eSIM)</t>
  </si>
  <si>
    <t>3.7 Device Enablers/ Entitlement</t>
  </si>
  <si>
    <t>4.1 SW Enablers/ General Customisation / UI</t>
  </si>
  <si>
    <t>4.2 SW Enablers/ SW Platform Requirements</t>
  </si>
  <si>
    <t>4.3 SW Enablers/ OEM Software Management</t>
  </si>
  <si>
    <t>5.1 Security/ Platform Security</t>
  </si>
  <si>
    <t>5.2 Security/ WiFi Security</t>
  </si>
  <si>
    <t>6.1 Services/ Voice</t>
  </si>
  <si>
    <t>6.2 Services/ SMS</t>
  </si>
  <si>
    <t>6.3 Services/ MMS</t>
  </si>
  <si>
    <t>6.4 Services/ RCS</t>
  </si>
  <si>
    <t>6.5 Services/ Cell Broadcast &amp; Public Warning</t>
  </si>
  <si>
    <t>Features</t>
  </si>
  <si>
    <t>Voice Mass Market</t>
  </si>
  <si>
    <t>Essential Smartphone Entry</t>
  </si>
  <si>
    <t>Essential Smartphone Mass Market</t>
  </si>
  <si>
    <t>Superphone Entry</t>
  </si>
  <si>
    <t>Superphone Mass Market</t>
  </si>
  <si>
    <t>Tablet Entry</t>
  </si>
  <si>
    <t>Tablet Mass Market</t>
  </si>
  <si>
    <t>Tablet Premium</t>
  </si>
  <si>
    <t>Radio Technologies</t>
  </si>
  <si>
    <t>2G
LTE</t>
  </si>
  <si>
    <t>2G
LTE
EN-DC
5G SA</t>
  </si>
  <si>
    <t>LTE</t>
  </si>
  <si>
    <t>LTE
EN-DC
5G SA</t>
  </si>
  <si>
    <t>GSM band support</t>
  </si>
  <si>
    <t>GSM Quadband</t>
  </si>
  <si>
    <t>LTE band support</t>
  </si>
  <si>
    <t>LTE Bands 1+3+7+8+20</t>
  </si>
  <si>
    <t>LTE Bands 1+3+7+8+20+28</t>
  </si>
  <si>
    <t>LTE Bands 1+3+7+8+20+28+32</t>
  </si>
  <si>
    <t>NR band support</t>
  </si>
  <si>
    <t>NR Bands n1+n3+n7+n28+n78</t>
  </si>
  <si>
    <t>NR Bands n1+n3+n7+n28+n75*+n78
*Recommended</t>
  </si>
  <si>
    <t>NR Bands n1+n3+n7+n28+n75+n78</t>
  </si>
  <si>
    <t>Roaming support</t>
  </si>
  <si>
    <t>Roaming Basic</t>
  </si>
  <si>
    <t>Roaming Medium</t>
  </si>
  <si>
    <t>Roaming Advanced</t>
  </si>
  <si>
    <t>Roaming Basic (Data)</t>
  </si>
  <si>
    <t>Roaming Medium (Data)</t>
  </si>
  <si>
    <t>Roaming Advanced (Data)</t>
  </si>
  <si>
    <t>RF Performance</t>
  </si>
  <si>
    <t>Antenna (Voice_Centric)</t>
  </si>
  <si>
    <t>Antenna (Smartphone)</t>
  </si>
  <si>
    <t>Antenna (Smartphone)
Antenna (Smartphone 5G)</t>
  </si>
  <si>
    <t>Antenna (Tablet)</t>
  </si>
  <si>
    <t>Antenna (Tablet)
NR (5G)</t>
  </si>
  <si>
    <t>Data Rate Class</t>
  </si>
  <si>
    <t>10/5 Mbps</t>
  </si>
  <si>
    <t>150/50 Mbps</t>
  </si>
  <si>
    <t>1000/200 Mbps</t>
  </si>
  <si>
    <t>1200/225 Mbps</t>
  </si>
  <si>
    <t>1600/225 Mbps</t>
  </si>
  <si>
    <t>2000/225 Mbps</t>
  </si>
  <si>
    <t>LTE Features</t>
  </si>
  <si>
    <t>DL/UL Cat. 1
DL/UL 1CC/1CC
DL/UL 16 QAM/QPSK
DL/UL 1x1/1x1 MIMO</t>
  </si>
  <si>
    <t>DL/UL Cat. 4
DL/UL 1CC/1CC
DL/UL 64/16 QAM
DL/UL 2x2/1x1 MIMO</t>
  </si>
  <si>
    <t>DL/UL Cat. 13/18
DL/UL 2CC/2CC
DL/UL 256/256 QAM
DL/UL 4x4/1x1 MIMO</t>
  </si>
  <si>
    <t>DL/UL Cat. 16/18
DL/UL 3CC/2CC
DL/UL 256/256 QAM
DL/UL 4x4/1x1 MIMO</t>
  </si>
  <si>
    <t>LTE 3GPP Rel. 16
DL/UL Cat. 18/18
DL/UL 4CC/2CC
DL/UL 256/256 QAM
DL/UL 4x4/1x1 MIMO</t>
  </si>
  <si>
    <t>LTE 3GPP Rel. 16
DL/UL Cat. 19/18
DL/UL 5CC/2CC
DL/UL 256/256 QAM
DL/UL 4x4/1x1 MIMO</t>
  </si>
  <si>
    <t>EN-DC Features</t>
  </si>
  <si>
    <t>3 bands total
Mid+mid
Low+low</t>
  </si>
  <si>
    <t>3 bands total
Mid+mid
Low+low
NR DL/UL 2CC*/1CC
'Recommended</t>
  </si>
  <si>
    <t>4 bands total
Mid+mid
Low+low
NR DL/UL 2CC/1CC</t>
  </si>
  <si>
    <t>5 bands total
Mid+mid
Low+low
NR DL/UL 2CC/1CC</t>
  </si>
  <si>
    <t>5G SA Features</t>
  </si>
  <si>
    <t>NR 3GPP Rel. 16
NR DL/UL 2CC/2CC*
NR DL/UL 4x4/1x1 MIMO
UPIP Full Rate
*Recommended</t>
  </si>
  <si>
    <t>NR 3GPP Rel. 16
NR DL/UL 3CC/2CC
NR DL/UL 4x4/2x2 MIMO
UPIP Full Rate</t>
  </si>
  <si>
    <t>NR 3GPP Rel. 16
NR DL/UL 4CC/2CC
NR DL/UL 4x4/2x2 MIMO
UPIP Full Rate</t>
  </si>
  <si>
    <t>NR 3GPP Rel. 16
NR DL/UL 2CC/1CC
NR DL/UL 4x4/1x1 MIMO
UPIP Full Rate</t>
  </si>
  <si>
    <t>Connectivity</t>
  </si>
  <si>
    <t>USB-C
OEM SW Mgmt</t>
  </si>
  <si>
    <t>USB-C
BT5
WiFi 5
NFC
GPS+Galileo
OEM SW Mgmt</t>
  </si>
  <si>
    <t>USB-C
BT5
WiFi 6
NFC
GPS+Galileo
OEM SW Mgmt</t>
  </si>
  <si>
    <t>USB-C
BT5
WiFi 6E
NFC
GPS+Galileo
OEM SW Mgmt</t>
  </si>
  <si>
    <t>USB-C
BT5
WiFi 7
NFC
GPS+Galileo
OEM SW Mgmt</t>
  </si>
  <si>
    <t>USB-C
BT5
WiFi 5
GPS+Galileo
OEM SW Mgmt</t>
  </si>
  <si>
    <t>USB-C
BT5
WiFi 6
GPS+Galileo
OEM SW Mgmt</t>
  </si>
  <si>
    <t>USB-C
BT5
WiFi 7
GPS+Galileo
OEM SW Mgmt</t>
  </si>
  <si>
    <t>Voice Services</t>
  </si>
  <si>
    <t>Voice
VoLTE
EVS</t>
  </si>
  <si>
    <t>Voice
VoLTE
EVS
VoWiFi</t>
  </si>
  <si>
    <t>Voice
VoLTE
EVS
VoWiFi
Vo5G</t>
  </si>
  <si>
    <t>Data Services</t>
  </si>
  <si>
    <t>SMS
MMS
EU-Alert</t>
  </si>
  <si>
    <t>SMS
MMS
RCS
EU-Alert</t>
  </si>
  <si>
    <t>SIM Services</t>
  </si>
  <si>
    <t>Physical SIM</t>
  </si>
  <si>
    <t>Dual-SIM
eSIM/iSIM</t>
  </si>
  <si>
    <t>Others</t>
  </si>
  <si>
    <t>Enablers
Security</t>
  </si>
  <si>
    <t>Legend</t>
  </si>
  <si>
    <t>GSM support</t>
  </si>
  <si>
    <t>GSM 900 (MTR-19) + GSM 1800 (MTR-20) + GSM 1900 (MTR-21) + GSM 850 (MTR-22) + GPRS (MTR-98)</t>
  </si>
  <si>
    <t>LTE Band support</t>
  </si>
  <si>
    <t>LTE FDD bands 1 (MTR-27415) + 3 (MTR-27417) + 7 (MTR-27420) + 8 (MTR-27421) + 20 (MTR-27424)</t>
  </si>
  <si>
    <t>LTE FDD bands 1 (MTR-27415) + 3 (MTR-27417) + 7 (MTR-27420) + 8 (MTR-27421) + 20 (MTR-27424) + 28 (MTR-33589)</t>
  </si>
  <si>
    <t>LTE FDD bands 1 (MTR-27415) + 3 (MTR-27417) + 7 (MTR-27420) + 8 (MTR-27421) + 20 (MTR-27424) + 28 (MTR-33589) + 32 (MTR-31515)</t>
  </si>
  <si>
    <t>NR Band support</t>
  </si>
  <si>
    <t>NR bands n1 (MTR-33584) + n3 (MTR-33585) + n7 (MTR-33586) + n28 (MTR-33589) + n78 (MTR-33593)</t>
  </si>
  <si>
    <t>NR bands n1 (MTR-33584) + n3 (MTR-33585) + n7 (MTR-33586) + n28 (MTR-33589) + n75 (MTR-33596) + n78 (MTR-33593)</t>
  </si>
  <si>
    <t>Roaming</t>
  </si>
  <si>
    <t>GSM Bands: 2, 3, 5, 8 + LTE Bands: 1, 3, 7, 8, 20</t>
  </si>
  <si>
    <t>GSM Bands: 2, 3, 5, 8 + LTE Bands: 1, 3, 7, 8, 20, 28, 32 + NR Bands n1, n3, n7, n28, n78</t>
  </si>
  <si>
    <t>GSM Bands: 2, 3, 5, 8 + LTE Bands: 1, 2, 3, 4, 5, 7, 8, 12, 17, 20, 28, 32, 40, 41, 66 + NR Bands n1, n3, n7, n28, n41, n75, n78</t>
  </si>
  <si>
    <t>LTE Bands: 1, 3, 7, 8, 20</t>
  </si>
  <si>
    <t>LTE Bands: 1, 3, 7, 8, 20, 28, 32 + NR Bands n1, n3, n7, n28, n78</t>
  </si>
  <si>
    <t>LTE Bands: 1, 2, 3, 4, 5, 7, 8, 12, 17, 20, 28, 32, 40, 41, 66 + NR Bands n1, n3, n7, n28, n41, n78</t>
  </si>
  <si>
    <t>EN-DC</t>
  </si>
  <si>
    <t>NR (5G)</t>
  </si>
  <si>
    <t>NR (MTR-33223), EN-DC (MTR-33578), EN-DC mid+mid (e.g. MTR-34157), EN-DC low+low (e.g. MTR-33785) plus essential NR features and applicable RF Performance requirements</t>
  </si>
  <si>
    <t>5G SA</t>
  </si>
  <si>
    <t>5G SA (MTR-33581), NR 2CA (MTR-36733), UPIP Full Rate, UL MIMO for NR TDD, PC2 for NR TDD plus essential NR and SA features</t>
  </si>
  <si>
    <t>Data Rate Class (Label on left side is only illustrative! Applicable details are defined on the right side!)</t>
  </si>
  <si>
    <t>LTE DL/UL Cat. 1 or better, 1x1 MIMO, DL/UL 2/1 layer</t>
  </si>
  <si>
    <t>LTE DL/UL Cat. 4 or better, DL 64 QAM, UL 16 QAM, 2x2 MIMO, DL/UL 2/1 layer</t>
  </si>
  <si>
    <t>300/75 Mbps</t>
  </si>
  <si>
    <t>LTE DL Cat. 6/UL Cat. 5 or better, DL 2CA, DL/UL 64 QAM, 2x2 MIMO, DL/UL 4/1 layer</t>
  </si>
  <si>
    <t>800/200 Mbps</t>
  </si>
  <si>
    <t>LTE DL Cat. 15/UL 18 or better, DL 3CA*/UL 2CA, DL/UL 256 QAM, DL 4x4 MIMO on 1 carrier, DL/UL 8/2 layer (incl. Support for LTE CA with L800+L900 for AT and PL)</t>
  </si>
  <si>
    <t>Downlink</t>
  </si>
  <si>
    <t>Uplink</t>
  </si>
  <si>
    <t>Comments</t>
  </si>
  <si>
    <t>Common:</t>
  </si>
  <si>
    <t>3 different bands for EN-DC, 4x4 MIMO on LTE and NR bands &gt; 1.5 GHz</t>
  </si>
  <si>
    <t>Modulation: DL+UL 256 QAM
CC = Component Carrier
B   = Bands
L    = Layers</t>
  </si>
  <si>
    <t>LTE only:</t>
  </si>
  <si>
    <t>390 Mbps/Cat. 13
2CC/2B/4L</t>
  </si>
  <si>
    <t>210 Mbps/Cat. 18
2CC/2B/2L</t>
  </si>
  <si>
    <r>
      <rPr>
        <rFont val="Arial"/>
        <b/>
        <color theme="1"/>
        <sz val="10.0"/>
      </rPr>
      <t xml:space="preserve">EN-DC LTE/NR FDD:
</t>
    </r>
    <r>
      <rPr>
        <rFont val="Arial"/>
        <b val="0"/>
        <color theme="1"/>
        <sz val="10.0"/>
      </rPr>
      <t>LTE + NR:</t>
    </r>
  </si>
  <si>
    <t>1200 Mbps
1CC/1B/4L + 1CC/1B/4L/30 MHz
2CC/2B/4L + 1CC/1B/2L/30 MHz</t>
  </si>
  <si>
    <t>250 Mbps
1CC/1B/1L + 1CC/1B/1L/30MHz</t>
  </si>
  <si>
    <r>
      <rPr>
        <rFont val="Arial"/>
        <b/>
        <color theme="1"/>
        <sz val="10.0"/>
      </rPr>
      <t xml:space="preserve">EN-DC LTE/NR 3.x GHz:
</t>
    </r>
    <r>
      <rPr>
        <rFont val="Arial"/>
        <b val="0"/>
        <color theme="1"/>
        <sz val="10.0"/>
      </rPr>
      <t>LTE + NR:</t>
    </r>
  </si>
  <si>
    <t>1900 Mbps
2CC/2B/4L + 1CC/1B/4L/100 MHz</t>
  </si>
  <si>
    <t>200 Mbps
1CC/1B/1L + 1CC/1B/1L/100 MHz</t>
  </si>
  <si>
    <r>
      <rPr>
        <rFont val="Arial"/>
        <b/>
        <color theme="1"/>
        <sz val="10.0"/>
      </rPr>
      <t xml:space="preserve">NR 3.x GHz + NR 3.x GHz:
</t>
    </r>
    <r>
      <rPr>
        <rFont val="Arial"/>
        <b val="0"/>
        <color theme="1"/>
        <sz val="10.0"/>
      </rPr>
      <t>NR:</t>
    </r>
  </si>
  <si>
    <t>&gt;2000 Mbps
2CC/1B/8L/140 MHz</t>
  </si>
  <si>
    <t>100 Mbps
1CC/1B/1L/100 MHz</t>
  </si>
  <si>
    <r>
      <rPr>
        <rFont val="Arial"/>
        <b/>
        <color theme="1"/>
        <sz val="10.0"/>
      </rPr>
      <t xml:space="preserve">NR 3.x GHz + FDD:
</t>
    </r>
    <r>
      <rPr>
        <rFont val="Arial"/>
        <b val="0"/>
        <color theme="1"/>
        <sz val="10.0"/>
      </rPr>
      <t xml:space="preserve">(100 MHz + 40 MHz)
</t>
    </r>
    <r>
      <rPr>
        <rFont val="Arial"/>
        <b val="0"/>
        <color theme="1"/>
        <sz val="10.0"/>
      </rPr>
      <t>NR:</t>
    </r>
  </si>
  <si>
    <t>1900 Mbps
 FDD: 1CC/1B/4L/20 MHz
+ TDD: 1CC/1B/4L/100 MHz</t>
  </si>
  <si>
    <t>100 Mbps
A) FDD: 1CC/1B/1L/20MHz
B) TDD: 1CC/1B/1L/100MHz</t>
  </si>
  <si>
    <r>
      <rPr>
        <rFont val="Arial"/>
        <b/>
        <color theme="1"/>
        <sz val="10.0"/>
      </rPr>
      <t xml:space="preserve">NR FDD + FDD:
</t>
    </r>
    <r>
      <rPr>
        <rFont val="Arial"/>
        <b val="0"/>
        <color theme="1"/>
        <sz val="10.0"/>
      </rPr>
      <t>NR:</t>
    </r>
  </si>
  <si>
    <t>1000 Mbps
2CC/2B/8L/50 MHz</t>
  </si>
  <si>
    <t>150 Mbps
1CC/1B/1L/30MHz</t>
  </si>
  <si>
    <t>3 different bands or more for EN-DC, 4x4 MIMO on LTE and NR bands &gt; 1.5 GHz</t>
  </si>
  <si>
    <t>1000 Mbps/Cat. 16
3CC/3B/10L</t>
  </si>
  <si>
    <r>
      <rPr>
        <rFont val="Arial"/>
        <b/>
        <color theme="1"/>
        <sz val="10.0"/>
      </rPr>
      <t xml:space="preserve">EN-DC LTE/NR FDD:
</t>
    </r>
    <r>
      <rPr>
        <rFont val="Arial"/>
        <b val="0"/>
        <color theme="1"/>
        <sz val="10.0"/>
      </rPr>
      <t>LTE + NR:</t>
    </r>
  </si>
  <si>
    <t>1200 Mbps
2CC/1B/8L + 1CC/1B/4L/30 MHz
2CC/2B/6L + 1CC/1B/4L/30 MHz
2CC/2B/8L + 1CC/1B/2L/30 MHz</t>
  </si>
  <si>
    <t>250 Mbps
1CC/1B/1L + 1CC/1B/1L/30 MHz</t>
  </si>
  <si>
    <r>
      <rPr>
        <rFont val="Arial"/>
        <b/>
        <color theme="1"/>
        <sz val="10.0"/>
      </rPr>
      <t xml:space="preserve">EN-DC LTE/NR 3.x GHz:
</t>
    </r>
    <r>
      <rPr>
        <rFont val="Arial"/>
        <b val="0"/>
        <color theme="1"/>
        <sz val="10.0"/>
      </rPr>
      <t>LTE + NR:</t>
    </r>
  </si>
  <si>
    <r>
      <rPr>
        <rFont val="Arial"/>
        <b/>
        <color theme="1"/>
        <sz val="10.0"/>
      </rPr>
      <t xml:space="preserve">NR 3.x + NR 3.x GHz (2T):
</t>
    </r>
    <r>
      <rPr>
        <rFont val="Arial"/>
        <b val="0"/>
        <color theme="1"/>
        <sz val="10.0"/>
      </rPr>
      <t>NR:</t>
    </r>
  </si>
  <si>
    <r>
      <rPr>
        <rFont val="Arial"/>
        <b/>
        <color theme="1"/>
        <sz val="10.0"/>
      </rPr>
      <t xml:space="preserve">NR 3.x GHz + FDD (1T+1F):
</t>
    </r>
    <r>
      <rPr>
        <rFont val="Arial"/>
        <b val="0"/>
        <color theme="1"/>
        <sz val="10.0"/>
      </rPr>
      <t>NR:</t>
    </r>
  </si>
  <si>
    <r>
      <rPr>
        <rFont val="Arial"/>
        <b/>
        <color theme="1"/>
        <sz val="10.0"/>
      </rPr>
      <t xml:space="preserve">NR FDD + FDD (2F):
</t>
    </r>
    <r>
      <rPr>
        <rFont val="Arial"/>
        <b val="0"/>
        <color theme="1"/>
        <sz val="10.0"/>
      </rPr>
      <t>NR:</t>
    </r>
  </si>
  <si>
    <t>4 different bands or more, 4x4 MIMO on LTE &gt; 1.5 GHz and NR bands &gt; 1 GHz</t>
  </si>
  <si>
    <t>Modulation: DL+UL 256 QAM
CC = Component Carrier
B   = Bands
L    = Layers
*    = Switched UL
**   = LTE Intra-band UL 2CC in EN-DC
        assumed as 30 MHz</t>
  </si>
  <si>
    <t>1200 Mbps/Cat. 18
4CC/4B/12L</t>
  </si>
  <si>
    <t>200 Mbps/Cat. 18
2CC/2B/2L</t>
  </si>
  <si>
    <r>
      <rPr>
        <rFont val="Arial"/>
        <b/>
        <color theme="1"/>
        <sz val="10.0"/>
      </rPr>
      <t xml:space="preserve">ENDC LTE/NR FDD:
</t>
    </r>
    <r>
      <rPr>
        <rFont val="Arial"/>
        <b val="0"/>
        <color theme="1"/>
        <sz val="10.0"/>
      </rPr>
      <t>LTE + NR:</t>
    </r>
  </si>
  <si>
    <t>1600 Mbps
3CC/3B/10L + 1CC/1B/4L/30 MHz</t>
  </si>
  <si>
    <t>250 Mbps
2CC**/1B/2L + 1CC/1B/1L/30 MHz</t>
  </si>
  <si>
    <r>
      <rPr>
        <rFont val="Arial"/>
        <b/>
        <color theme="1"/>
        <sz val="10.0"/>
      </rPr>
      <t xml:space="preserve">ENDC LTE/NR FDD+FDD:
</t>
    </r>
    <r>
      <rPr>
        <rFont val="Arial"/>
        <b val="0"/>
        <color theme="1"/>
        <sz val="10.0"/>
      </rPr>
      <t>LTE + NR:</t>
    </r>
  </si>
  <si>
    <t>1600 Mbps
2CC/2B/6L + 2CC/2B/8L/50 MHz
2CC/2B/8L + 2CC/2B/6L/50 MHz</t>
  </si>
  <si>
    <r>
      <rPr>
        <rFont val="Arial"/>
        <b/>
        <color theme="1"/>
        <sz val="10.0"/>
      </rPr>
      <t xml:space="preserve">ENDC LTE/NR 3.x GHz:
</t>
    </r>
    <r>
      <rPr>
        <rFont val="Arial"/>
        <b val="0"/>
        <color theme="1"/>
        <sz val="10.0"/>
      </rPr>
      <t>LTE + NR:</t>
    </r>
  </si>
  <si>
    <t>&gt;2000 Mbps
2CC/2B/8L + 1CC/1B/4L/100 MHz</t>
  </si>
  <si>
    <t>250 Mbps
2CC**/1B/2L + 1CC/1B/1L/100 MHz</t>
  </si>
  <si>
    <r>
      <rPr>
        <rFont val="Arial"/>
        <b/>
        <color theme="1"/>
        <sz val="10.0"/>
      </rPr>
      <t xml:space="preserve">ENDC LTE/NR FDD+3.x GHz:
</t>
    </r>
    <r>
      <rPr>
        <rFont val="Arial"/>
        <b val="0"/>
        <color theme="1"/>
        <sz val="10.0"/>
      </rPr>
      <t>LTE + NR:</t>
    </r>
  </si>
  <si>
    <t>&gt;2000 Mbps
1CC/1B/4L + FDD: 1CC/1B/4L/30 MHz
+ TDD: 1CC/1B/4L/100 MHz</t>
  </si>
  <si>
    <t>250-300 Mbps
2CC*/1B/2L + 
A) 1CC/1B/1L/30 MHz
B) 1CC/1B/1L/100 MHz</t>
  </si>
  <si>
    <r>
      <rPr>
        <rFont val="Arial"/>
        <b/>
        <color theme="1"/>
        <sz val="10.0"/>
      </rPr>
      <t xml:space="preserve">ENDC LTE/NR 3.x+3.x GHz:
</t>
    </r>
    <r>
      <rPr>
        <rFont val="Arial"/>
        <b val="0"/>
        <color theme="1"/>
        <sz val="10.0"/>
      </rPr>
      <t>LTE + NR:</t>
    </r>
  </si>
  <si>
    <t>&gt;2000 Mbps
1CC/1B/4L + 2CC/1B/8L/150 MHz</t>
  </si>
  <si>
    <t>250 Mbps
2CC*/1B/2L + 1CC/1B/1L/100 MHz</t>
  </si>
  <si>
    <r>
      <rPr>
        <rFont val="Arial"/>
        <b/>
        <color theme="1"/>
        <sz val="10.0"/>
      </rPr>
      <t xml:space="preserve">NR FDD + NR 3.x + NR 3.x GHz (1F+2T):
</t>
    </r>
    <r>
      <rPr>
        <rFont val="Arial"/>
        <b val="0"/>
        <color theme="1"/>
        <sz val="10.0"/>
      </rPr>
      <t>NR:</t>
    </r>
  </si>
  <si>
    <t>&gt;2000 Mbps
FDD: 1CC/1B/4L/30 MHz
+ TDD: 2CC/1B/8L/150 MHz</t>
  </si>
  <si>
    <t>200-300 Mbps
A) FDD: 1CC/1B/2L/30 MHz
B) TDD: 1CC/1B/2L/100 MHz
C)* FDD: 1CC/1B/1L/30 MHz
&lt;-&gt; TDD: 1CC/1B/2L/100 MHz</t>
  </si>
  <si>
    <r>
      <rPr>
        <rFont val="Arial"/>
        <b/>
        <color theme="1"/>
        <sz val="10.0"/>
      </rPr>
      <t xml:space="preserve">NR FDD + FDD + NR 3.x GHz (2F+1T):
</t>
    </r>
    <r>
      <rPr>
        <rFont val="Arial"/>
        <b val="0"/>
        <color theme="1"/>
        <sz val="10.0"/>
      </rPr>
      <t>NR:</t>
    </r>
  </si>
  <si>
    <t>&gt;2000 Mbps
FDD: 2CC/2B/8L/50 MHz
+ TDD: 1CC/1B/4L/100 MHz</t>
  </si>
  <si>
    <r>
      <rPr>
        <rFont val="Arial"/>
        <b/>
        <color theme="1"/>
        <sz val="10.0"/>
      </rPr>
      <t xml:space="preserve">NR FDD + FDD + FDD (3F):
</t>
    </r>
    <r>
      <rPr>
        <rFont val="Arial"/>
        <b val="0"/>
        <color theme="1"/>
        <sz val="10.0"/>
      </rPr>
      <t>NR:</t>
    </r>
  </si>
  <si>
    <t>1600 Mbps
3CC/3B/12L/80 MHz</t>
  </si>
  <si>
    <t>250-300 Mbps
A) 1CC/1B/2L/30 MHz
B) 2CC/2B/2L/50 MHz</t>
  </si>
  <si>
    <t>5 different bands for EN-DC, 4x4 MIMO on LTE &gt; 1.5 GHz and NR bands &gt; 1GHz</t>
  </si>
  <si>
    <t>Modulation: DL+UL 256 QAM
CC = Component Carrier
B   = Bands
L    = Layers
*    = Switched UL
**   = LTE Intra-band UL 2CC in EN-DC
        assumed as 30 MHz
***  = max. 3 bands with 4x4 MIMO, Rest 2x2</t>
  </si>
  <si>
    <t>1600 Mbps/Cat. 19
5CC/5B/16L***</t>
  </si>
  <si>
    <r>
      <rPr>
        <rFont val="Arial"/>
        <b/>
        <color theme="1"/>
        <sz val="10.0"/>
      </rPr>
      <t xml:space="preserve">ENDC LTE/NR FDD:
</t>
    </r>
    <r>
      <rPr>
        <rFont val="Arial"/>
        <b val="0"/>
        <color theme="1"/>
        <sz val="10.0"/>
      </rPr>
      <t>LTE + NR:</t>
    </r>
  </si>
  <si>
    <t>2000 Mbps
5CC/4B/16L*** + 1CC/1B/4L/30 MHz</t>
  </si>
  <si>
    <r>
      <rPr>
        <rFont val="Arial"/>
        <b/>
        <color theme="1"/>
        <sz val="10.0"/>
      </rPr>
      <t xml:space="preserve">ENDC LTE/NR FDD+FDD:
</t>
    </r>
    <r>
      <rPr>
        <rFont val="Arial"/>
        <b val="0"/>
        <color theme="1"/>
        <sz val="10.0"/>
      </rPr>
      <t>LTE + NR:</t>
    </r>
  </si>
  <si>
    <t>2000 Mbps
4CC/3B/12L + 2CC/2B/8L/50 MHz</t>
  </si>
  <si>
    <r>
      <rPr>
        <rFont val="Arial"/>
        <b/>
        <color theme="1"/>
        <sz val="10.0"/>
      </rPr>
      <t xml:space="preserve">ENDC LTE/NR 3.x GHz:
</t>
    </r>
    <r>
      <rPr>
        <rFont val="Arial"/>
        <b val="0"/>
        <color theme="1"/>
        <sz val="10.0"/>
      </rPr>
      <t>LTE + NR:</t>
    </r>
  </si>
  <si>
    <t>&gt;2000 Mbps
4CC/4B/12L + 1CC/1B/4L/100 MHz</t>
  </si>
  <si>
    <r>
      <rPr>
        <rFont val="Arial"/>
        <b/>
        <color theme="1"/>
        <sz val="10.0"/>
      </rPr>
      <t xml:space="preserve">ENDC LTE/NR FDD+3.x GHz:
</t>
    </r>
    <r>
      <rPr>
        <rFont val="Arial"/>
        <b val="0"/>
        <color theme="1"/>
        <sz val="10.0"/>
      </rPr>
      <t>LTE + NR:</t>
    </r>
  </si>
  <si>
    <t>&gt;2000 Mbps
4CC/3B/10L + FDD: 1CC/1B/4L/50 MHz
+ TDD: 1CC/1B/4L/100 MHz</t>
  </si>
  <si>
    <t>250-300 Mbps
2CC**/1B/2L +
A) 1CC/1B/1L/30 MHz
B) 1CC/1B/1L/100 MHz</t>
  </si>
  <si>
    <r>
      <rPr>
        <rFont val="Arial"/>
        <b/>
        <color theme="1"/>
        <sz val="10.0"/>
      </rPr>
      <t xml:space="preserve">ENDC LTE/NR 3.x+3.x GHz:
</t>
    </r>
    <r>
      <rPr>
        <rFont val="Arial"/>
        <b val="0"/>
        <color theme="1"/>
        <sz val="10.0"/>
      </rPr>
      <t>LTE + NR:</t>
    </r>
  </si>
  <si>
    <t>&gt;2000 Mbps
4CC/3B/10L + 2CC/1B/8L/150 MHz</t>
  </si>
  <si>
    <t>250 Mbps
1CC/1B/1L/100 MHz</t>
  </si>
  <si>
    <r>
      <rPr>
        <rFont val="Arial"/>
        <b/>
        <color theme="1"/>
        <sz val="10.0"/>
      </rPr>
      <t xml:space="preserve">NR FDD + FDD + NR 3.x GHz + NR 3.x GHz (2F+2T):
</t>
    </r>
    <r>
      <rPr>
        <rFont val="Arial"/>
        <b val="0"/>
        <color theme="1"/>
        <sz val="10.0"/>
      </rPr>
      <t>NR:</t>
    </r>
  </si>
  <si>
    <t>&gt;2000 Mbps
FDD: 2CC/2B/8L/50 MHz
+ TDD: 2CC/1B/8L/150 MHz</t>
  </si>
  <si>
    <r>
      <rPr>
        <rFont val="Arial"/>
        <b/>
        <color theme="1"/>
        <sz val="10.0"/>
      </rPr>
      <t xml:space="preserve">NR FDD + FDD + FDD + NR 3.x GHz (3F+1T):
</t>
    </r>
    <r>
      <rPr>
        <rFont val="Arial"/>
        <b val="0"/>
        <color theme="1"/>
        <sz val="10.0"/>
      </rPr>
      <t>NR:</t>
    </r>
  </si>
  <si>
    <t>&gt;2000 Mbps
FDD: 3CC/3B/12L/80 MHz
+ TDD: 1CC/1B/4L/100 MHz</t>
  </si>
  <si>
    <t>250-300 Mbps
A) FDD: 1CC/1B/2L/30 MHz
B) TDD: 1CC/1B/2L/100 MHz
C)* FDD: 1CC/1B/1L/30 MHz
&lt;-&gt; TDD: 1CC/1B/2L/100 MHz</t>
  </si>
  <si>
    <t>Talkmode "Besides Head and Hand" RF performance requirements (MTR-60 and following)</t>
  </si>
  <si>
    <t>Antenna (Smartphones)</t>
  </si>
  <si>
    <t>Free Space, Talkmode "Besides Head and Hand" and Browsing Mode "Hand only" RF performance requirements (MTR-69 and following, MTR-60 and following, MTR-30895 and following)</t>
  </si>
  <si>
    <t>Antenna (Smartphones 5G)</t>
  </si>
  <si>
    <t>Conducted Mode, Free Space, Talkmode "Besides Head and Hand" and Browsing Mode "Hand only" RF performance requirements (MTR-34351, MTR-69ff, MTR-60ff and MTR-30895 and following)</t>
  </si>
  <si>
    <t>Antenna (Tablets)</t>
  </si>
  <si>
    <t>Free Space RF performance requirements (MTR-69 and following)</t>
  </si>
  <si>
    <t>Antenna (Data_Only)</t>
  </si>
  <si>
    <t>Antenna (Data_Only 5G)</t>
  </si>
  <si>
    <t>Conducted Mode and Free Space RF performance requirements (MTR-34351ff, MTR-69ff and following)</t>
  </si>
  <si>
    <t>Antenna (Smartwatch)</t>
  </si>
  <si>
    <t>Wrist RF performance requirements (MTR-36209 and following)</t>
  </si>
  <si>
    <t>WiFi/WLAN</t>
  </si>
  <si>
    <t>WiFi 4</t>
  </si>
  <si>
    <t>802.11n, 2.4 GHz, up to 40 MHz bandwidth</t>
  </si>
  <si>
    <t>WiFi 5</t>
  </si>
  <si>
    <t>802.11n, 2.4 GHz + 802.11ac, 5 GHz, up to 160 MHz bandwidth</t>
  </si>
  <si>
    <t>WiFi 6</t>
  </si>
  <si>
    <t>802.11ax, 2.4 GHz + 5 GHz, up to 160 MHz bandwidth</t>
  </si>
  <si>
    <t>WiFi 6E</t>
  </si>
  <si>
    <t>802.11ax, 2.4 GHz + 5 GHz + 6 GHz, up to 160 MHz bandwidth</t>
  </si>
  <si>
    <t>WiFi 7</t>
  </si>
  <si>
    <t>802.11be, 2.4 GHz + 5 GHz + 6 GHz, up to 320 MHz bandwidth</t>
  </si>
  <si>
    <t>Voice</t>
  </si>
  <si>
    <t>NB-AMR (2G/4G/) + WB-AMR (4G) codecs and related audio hardware support + LTE CSFB support</t>
  </si>
  <si>
    <t>VoLTE</t>
  </si>
  <si>
    <t>Voice over LTE incl. relevant IMS features</t>
  </si>
  <si>
    <t>EVS</t>
  </si>
  <si>
    <t>EVS (4G/5G) codec and related audio hardware support.</t>
  </si>
  <si>
    <t>VoWiFi</t>
  </si>
  <si>
    <t>Voice over WiFi incl. relevant IMS features and mobility towards VoLTE</t>
  </si>
  <si>
    <t>Vo5G</t>
  </si>
  <si>
    <t>Voice over NR (MTR-35661), EPS Fallback (MTR-36760)</t>
  </si>
  <si>
    <t>SIM</t>
  </si>
  <si>
    <t>Atl east one physical SIM slot</t>
  </si>
  <si>
    <t>eSIM/iSIM</t>
  </si>
  <si>
    <t>Dual SIM incl. eSIM/iSIM (one or two physical SIM slots plus option for eSIM or iSIM)</t>
  </si>
  <si>
    <t>Entitlement</t>
  </si>
  <si>
    <t>eSIM configuration via Entitlement server and GSMA TS.43 standardized protocols</t>
  </si>
  <si>
    <t>Outdoor</t>
  </si>
  <si>
    <t>Specific requirements applicable for Outdoor data units like PoE support and enhanced security for device housing etc.</t>
  </si>
  <si>
    <t>Section 1</t>
  </si>
  <si>
    <t>Section 2</t>
  </si>
  <si>
    <t>MTR ID</t>
  </si>
  <si>
    <t>History</t>
  </si>
  <si>
    <t>RM</t>
  </si>
  <si>
    <t>DT Mobile Terminal Requirements</t>
  </si>
  <si>
    <t>Vendor Specifics</t>
  </si>
  <si>
    <t>Compliance Statement</t>
  </si>
  <si>
    <t>Comments T-Mobile</t>
  </si>
  <si>
    <t>Owner</t>
  </si>
  <si>
    <t>CM4 Compliance</t>
  </si>
  <si>
    <t>CM4 Comment</t>
  </si>
  <si>
    <t>Compliance Statement AK3</t>
  </si>
  <si>
    <t>Comments Vendor AK3</t>
  </si>
  <si>
    <t>Acceptance</t>
  </si>
  <si>
    <t>CS</t>
  </si>
  <si>
    <t>#CV expected for</t>
  </si>
  <si>
    <t>CV only</t>
  </si>
  <si>
    <t>#CV Format</t>
  </si>
  <si>
    <t>CV missing</t>
  </si>
  <si>
    <t>#Condition</t>
  </si>
  <si>
    <t>Condition Complies?</t>
  </si>
  <si>
    <t>RED</t>
  </si>
  <si>
    <t>1 Common Requirements</t>
  </si>
  <si>
    <t>MTR-36189</t>
  </si>
  <si>
    <r>
      <rPr>
        <rFont val="Arial"/>
        <b/>
        <color theme="1"/>
        <sz val="10.0"/>
      </rPr>
      <t>1</t>
    </r>
    <r>
      <rPr>
        <rFont val="Arial"/>
        <b val="0"/>
        <color theme="1"/>
        <sz val="10.0"/>
      </rPr>
      <t xml:space="preserve"> </t>
    </r>
    <r>
      <rPr>
        <rFont val="Arial"/>
        <b/>
        <color theme="1"/>
        <sz val="10.0"/>
      </rPr>
      <t>Common Requirements</t>
    </r>
  </si>
  <si>
    <t>OEM, DataOnly, Chipset, Smartwatch</t>
  </si>
  <si>
    <t>Heading</t>
  </si>
  <si>
    <t>#NONE#</t>
  </si>
  <si>
    <t>1 Basic Hardware and OS Information</t>
  </si>
  <si>
    <t>MTR-11</t>
  </si>
  <si>
    <r>
      <rPr>
        <rFont val="Arial"/>
        <b/>
        <color theme="1"/>
        <sz val="10.0"/>
      </rPr>
      <t>1.1</t>
    </r>
    <r>
      <rPr>
        <rFont val="Arial"/>
        <b val="0"/>
        <color theme="1"/>
        <sz val="10.0"/>
      </rPr>
      <t xml:space="preserve"> </t>
    </r>
    <r>
      <rPr>
        <rFont val="Arial"/>
        <b/>
        <color theme="1"/>
        <sz val="10.0"/>
      </rPr>
      <t>Basic Hardware and OS Information</t>
    </r>
  </si>
  <si>
    <t>MTR-26789</t>
  </si>
  <si>
    <t>2011 V2</t>
  </si>
  <si>
    <r>
      <rPr>
        <rFont val="Arial"/>
        <b/>
        <color theme="1"/>
        <sz val="10.0"/>
      </rPr>
      <t>Baseband chipset(s) (or integrated System on Chip):</t>
    </r>
    <r>
      <rPr>
        <rFont val="Arial"/>
        <b val="0"/>
        <color theme="1"/>
        <sz val="10.0"/>
      </rPr>
      <t xml:space="preserve">
Please enter the manufacturer name and the model/number/revision of the baseband chipset(s) (or integrated System on Chip) in the "Comments Vendor" field, e.g.
- HiSilicon Kirin 990
- MediaTek MT6989/Dimensity 9300
- Qualcomm SM8650/SD 8 Gen. 3
- Samsung Exynos 2500
- Unisoc UMS9117-S/T127</t>
    </r>
  </si>
  <si>
    <t>ALL</t>
  </si>
  <si>
    <t>Samsung Lassen S5300</t>
  </si>
  <si>
    <t>Format</t>
  </si>
  <si>
    <t>&lt;Manufacturer&gt; &lt;Model&gt;</t>
  </si>
  <si>
    <t>MTR-26791</t>
  </si>
  <si>
    <r>
      <rPr>
        <rFont val="Arial"/>
        <b/>
        <color theme="1"/>
        <sz val="10.0"/>
      </rPr>
      <t>RFIC chipset(s) (Radio Frequency Integrated Circuit):</t>
    </r>
    <r>
      <rPr>
        <rFont val="Arial"/>
        <b val="0"/>
        <color theme="1"/>
        <sz val="10.0"/>
      </rPr>
      <t xml:space="preserve">
Please enter the manufacturer name and the model/number/revision of the RFIC chipset(s) in the "Comments Vendor" field, e.g.
- HiSilicon Hi6365
- MediaTek MT6195
- Qualcomm SDR735
- Samsung S5520
- Unisoc SR3950D</t>
    </r>
  </si>
  <si>
    <t>Samsung S5300</t>
  </si>
  <si>
    <t>MTR-8994</t>
  </si>
  <si>
    <t>2006 V2</t>
  </si>
  <si>
    <r>
      <rPr>
        <rFont val="Arial"/>
        <b/>
        <color theme="1"/>
        <sz val="10.0"/>
      </rPr>
      <t>Application Processor (AP) (or part of Integrated System on Chip):</t>
    </r>
    <r>
      <rPr>
        <rFont val="Arial"/>
        <b val="0"/>
        <color theme="1"/>
        <sz val="10.0"/>
      </rPr>
      <t xml:space="preserve">
Please enter the manufacturer name and the model/number/revision of the AP (or integrated System on Chip) in the "Comments Vendor" field and provide high-level information for the Application processor and graphics accelerator functionality:
 - Manufacturer Model
 - CPU: number of cores/types (clock rate)
 - GPU: Model (clock rate)
e.g.
- MediaTek Dimensity 9300
  CPU: 4xX4 (3.25 GHz) + 4xA720 (2 GHz)
  GPU: ARM Immortalis G720 (1.2 GHz)
- Qualcomm SD 8 Gen. 3
  CPU: 1xX4 (3.3 GHz) + 3xA720 (3.15 GHz) + 2xA720 (3 GHz) + 2xA520 (2.3 GHz)
  GPU: Adreno 750 (900 MHz)
- Samsung Exynos 2400
  CPU: 1xX4 (3.2 GHz) + 2xA720 (2.9 GHz) + 2xA720 (2.6 GHz) + 4xA520 (1.9 GHz)
  GPU: Xclipse 940
- Unisoc UMS9230-T
  CPU: 2xA75 (2 GHz) + 6xA55 (1.8 GHz)
  GPU: NATT (750 MHz)</t>
    </r>
  </si>
  <si>
    <t>Google Tensor</t>
  </si>
  <si>
    <t>&lt;Manufacturer&gt; &lt;Model&gt;
CPU: &lt;number of cores/types&gt; (&lt;clock rate&gt;)
GPU: &lt;Model&gt; (&lt;clock rate&gt;)</t>
  </si>
  <si>
    <t>MTR-32991</t>
  </si>
  <si>
    <t>2019 V1</t>
  </si>
  <si>
    <r>
      <rPr>
        <rFont val="Arial"/>
        <b/>
        <color theme="1"/>
        <sz val="10.0"/>
      </rPr>
      <t>WiFi chipset:</t>
    </r>
    <r>
      <rPr>
        <rFont val="Arial"/>
        <b val="0"/>
        <color theme="1"/>
        <sz val="10.0"/>
      </rPr>
      <t xml:space="preserve">
Please enter the manufacturer name and the model/number/revision of the WiFi chipset in the "Comments Vendor" field.
If WiFi is not implemented then state "Not applicable".</t>
    </r>
  </si>
  <si>
    <t>WiFi 4, WiFi 5, WiFi 6, WiFi 6E, WiFi 7</t>
  </si>
  <si>
    <t>OEM, DataOnly, Smartwatch</t>
  </si>
  <si>
    <t>BCM 4383</t>
  </si>
  <si>
    <t>MTR-6624</t>
  </si>
  <si>
    <t>2009 V1</t>
  </si>
  <si>
    <r>
      <rPr>
        <rFont val="Arial"/>
        <b/>
        <color theme="1"/>
        <sz val="10.0"/>
      </rPr>
      <t>Bluetooth chipset:</t>
    </r>
    <r>
      <rPr>
        <rFont val="Arial"/>
        <b val="0"/>
        <color theme="1"/>
        <sz val="10.0"/>
      </rPr>
      <t xml:space="preserve">
Please enter the manufacturer name and the model/number/revision of the Bluetooth core chipset in the "Comments Vendor" field.
If Bluetooth is not implemented then state "Not applicable".</t>
    </r>
  </si>
  <si>
    <t>BT5</t>
  </si>
  <si>
    <t>OEM, Smartwatch</t>
  </si>
  <si>
    <t>MTR-30388</t>
  </si>
  <si>
    <t>2014 V1</t>
  </si>
  <si>
    <r>
      <rPr>
        <rFont val="Arial"/>
        <b/>
        <color theme="1"/>
        <sz val="10.0"/>
      </rPr>
      <t>NFC chipset (Near Field Communication):</t>
    </r>
    <r>
      <rPr>
        <rFont val="Arial"/>
        <b val="0"/>
        <color theme="1"/>
        <sz val="10.0"/>
      </rPr>
      <t xml:space="preserve">
Please enter the manufacturer name and the model/number/revision of the NFC chipset in the "Comments Vendor" field.
If NFC is not implemented then state "Not applicable".</t>
    </r>
  </si>
  <si>
    <t>NFC</t>
  </si>
  <si>
    <t>ST54L</t>
  </si>
  <si>
    <t>MTR-16</t>
  </si>
  <si>
    <t>2008 V1</t>
  </si>
  <si>
    <r>
      <rPr>
        <rFont val="Arial"/>
        <b/>
        <color theme="1"/>
        <sz val="10.0"/>
      </rPr>
      <t>Software Platform / OS (on Application Processor):</t>
    </r>
    <r>
      <rPr>
        <rFont val="Arial"/>
        <b val="0"/>
        <color theme="1"/>
        <sz val="10.0"/>
      </rPr>
      <t xml:space="preserve">
Please enter the Operating System (OS) Version and Package Version in the "Comments Vendor" field, e.g.
- Android 14
- Android 13 Go
- Harmony OS 2.0
- Linux
- Mocor 4
- ThreadX 4.0
- Wear OS 4.0</t>
    </r>
  </si>
  <si>
    <t>Android V</t>
  </si>
  <si>
    <t>Android U</t>
  </si>
  <si>
    <t>&lt;OS&gt; &lt;Version&gt;</t>
  </si>
  <si>
    <t>MTR-31737</t>
  </si>
  <si>
    <t>2016 V2</t>
  </si>
  <si>
    <r>
      <rPr>
        <rFont val="Arial"/>
        <b/>
        <color theme="1"/>
        <sz val="10.0"/>
      </rPr>
      <t>Original design manufacturer (ODM):</t>
    </r>
    <r>
      <rPr>
        <rFont val="Arial"/>
        <b val="0"/>
        <color theme="1"/>
        <sz val="10.0"/>
      </rPr>
      <t xml:space="preserve">
If the device is manufactured by an ODM then please enter the name of the ODM in the "Comments Vendor" field.
If not, then please state "No ODM"</t>
    </r>
  </si>
  <si>
    <t>No ODM</t>
  </si>
  <si>
    <t>&lt;ODM manufacturer&gt;</t>
  </si>
  <si>
    <t>2 Conformance</t>
  </si>
  <si>
    <t>MTR-1085</t>
  </si>
  <si>
    <r>
      <rPr>
        <rFont val="Arial"/>
        <b/>
        <color theme="1"/>
        <sz val="10.0"/>
      </rPr>
      <t>1.2</t>
    </r>
    <r>
      <rPr>
        <rFont val="Arial"/>
        <b val="0"/>
        <color theme="1"/>
        <sz val="10.0"/>
      </rPr>
      <t xml:space="preserve"> </t>
    </r>
    <r>
      <rPr>
        <rFont val="Arial"/>
        <b/>
        <color theme="1"/>
        <sz val="10.0"/>
      </rPr>
      <t>Conformance</t>
    </r>
  </si>
  <si>
    <t>MTR-36132</t>
  </si>
  <si>
    <r>
      <rPr>
        <rFont val="Arial"/>
        <b/>
        <color theme="1"/>
        <sz val="10.0"/>
      </rPr>
      <t>1.2.1</t>
    </r>
    <r>
      <rPr>
        <rFont val="Arial"/>
        <b val="0"/>
        <color theme="1"/>
        <sz val="10.0"/>
      </rPr>
      <t xml:space="preserve"> </t>
    </r>
    <r>
      <rPr>
        <rFont val="Arial"/>
        <b/>
        <color theme="1"/>
        <sz val="10.0"/>
      </rPr>
      <t>Unique Device Identifier</t>
    </r>
  </si>
  <si>
    <t>MTR-886</t>
  </si>
  <si>
    <t>2005 V2</t>
  </si>
  <si>
    <t>The devices TAC (first 8 digit of the IMEI) is obtained from a Reporting Body (an issuing organisation recognised by GSMA, see TS.06) in order to avoid duplicate TACs. The terminal vendor ensures that every IMEI is unique within the devices provided by his company.</t>
  </si>
  <si>
    <t>Complies</t>
  </si>
  <si>
    <t>MTR-1086</t>
  </si>
  <si>
    <r>
      <rPr>
        <rFont val="Arial"/>
        <b/>
        <color theme="1"/>
        <sz val="10.0"/>
      </rPr>
      <t>1.2.2</t>
    </r>
    <r>
      <rPr>
        <rFont val="Arial"/>
        <b val="0"/>
        <color theme="1"/>
        <sz val="10.0"/>
      </rPr>
      <t xml:space="preserve"> </t>
    </r>
    <r>
      <rPr>
        <rFont val="Arial"/>
        <b/>
        <color theme="1"/>
        <sz val="10.0"/>
      </rPr>
      <t>CE Marking: Directive 2014/53/EU +  Directive (EU) 2022/2380</t>
    </r>
  </si>
  <si>
    <t>MTR-1088</t>
  </si>
  <si>
    <r>
      <rPr>
        <rFont val="Arial"/>
        <color theme="1"/>
        <sz val="10.0"/>
      </rPr>
      <t xml:space="preserve">All goods are CE marked to demonstrate that the good conforms to all applicable EU requirements defined in </t>
    </r>
    <r>
      <rPr>
        <rFont val="Arial"/>
        <b/>
        <color theme="1"/>
        <sz val="10.0"/>
      </rPr>
      <t>Directive 2014/53/EU</t>
    </r>
    <r>
      <rPr>
        <rFont val="Arial"/>
        <color theme="1"/>
        <sz val="10.0"/>
      </rPr>
      <t xml:space="preserve"> imposed on the producer or importer as the case maybe.
The supplier shall present the CE declaration of conformity and, if a notified body is involved, also the statement of opinion of such notified body prior to first IOT.
On a case by case basis, requested by DTAG (e.g. if DTAG is deemed the importer and/or producer), the supplier shall also present the test reports to prove the compliance with all relevant norms and directives.</t>
    </r>
  </si>
  <si>
    <t>MTR-39808</t>
  </si>
  <si>
    <r>
      <rPr>
        <rFont val="Arial"/>
        <color theme="1"/>
        <sz val="10.0"/>
      </rPr>
      <t xml:space="preserve">The product fully conforms to the requirements defined in the </t>
    </r>
    <r>
      <rPr>
        <rFont val="Arial"/>
        <b/>
        <color theme="1"/>
        <sz val="10.0"/>
      </rPr>
      <t>Directive (EU) 2022/2380</t>
    </r>
    <r>
      <rPr>
        <rFont val="Arial"/>
        <color theme="1"/>
        <sz val="10.0"/>
      </rPr>
      <t xml:space="preserve"> (ammendment to Directive 2014/53/EU) being effective as of 28. December 2024.
This includes usage of a USB type C port for wired charging and data communication. The USB-C shall fulfill the CENELEC harmonized standard EN IEC 62680-1-3:2021. If the product can be recharged by means of wired charging at voltage higher than 5V, currents higher than 3A or power higher than 15W it shall use USB Power Delivery as per EN IEC 62680-1-2:2021.
In addition, such products are subject to marking requirements, including the requirement for a pictogram showing consumers whether or not a charger is included. Also required is a label specifying the minimum power required to charge the equipment and the maximum power required to achieve maximum charging speed when using USB PD.</t>
    </r>
  </si>
  <si>
    <t>MTR-1089</t>
  </si>
  <si>
    <r>
      <rPr>
        <rFont val="Arial"/>
        <b/>
        <color theme="1"/>
        <sz val="10.0"/>
      </rPr>
      <t>1.2.3</t>
    </r>
    <r>
      <rPr>
        <rFont val="Arial"/>
        <b val="0"/>
        <color theme="1"/>
        <sz val="10.0"/>
      </rPr>
      <t xml:space="preserve"> </t>
    </r>
    <r>
      <rPr>
        <rFont val="Arial"/>
        <b/>
        <color theme="1"/>
        <sz val="10.0"/>
      </rPr>
      <t>GCF</t>
    </r>
  </si>
  <si>
    <t>MTR-1091</t>
  </si>
  <si>
    <r>
      <rPr>
        <rFont val="Arial"/>
        <b/>
        <color theme="1"/>
        <sz val="10.0"/>
      </rPr>
      <t>The device will be GCF certified</t>
    </r>
    <r>
      <rPr>
        <rFont val="Arial"/>
        <b val="0"/>
        <color theme="1"/>
        <sz val="10.0"/>
      </rPr>
      <t xml:space="preserve"> and the official confirmation of the GCF Secretariat is provided to DTAG during acceptance testing, prior to the second test round.</t>
    </r>
  </si>
  <si>
    <t>MTR-26866</t>
  </si>
  <si>
    <t>The responding party (the device vendor) ensures that the GCF Performance Data Package (GCF-PDP) for battery life measurement has been executed before the product launch and the results are made available. The measurements shall be performed as per the latest applicable version of the GCF-PC document Annex B.1 which references GSMA TSG.09 (former DG.09) for detailed measurement instructions.</t>
  </si>
  <si>
    <t>MTR-27388</t>
  </si>
  <si>
    <t>2012 V1</t>
  </si>
  <si>
    <t>Deutsche Telekom’s network in Germany is used for GCF Field Trials for all supported radio technologies.</t>
  </si>
  <si>
    <t>MTR-32090</t>
  </si>
  <si>
    <t>2017 V1</t>
  </si>
  <si>
    <r>
      <rPr>
        <rFont val="Arial"/>
        <color theme="1"/>
        <sz val="10.0"/>
      </rPr>
      <t xml:space="preserve">If NFC is supported by the product, the device SHALL have successfully passed the </t>
    </r>
    <r>
      <rPr>
        <rFont val="Arial"/>
        <b/>
        <color theme="1"/>
        <sz val="10.0"/>
      </rPr>
      <t xml:space="preserve">GCF </t>
    </r>
    <r>
      <rPr>
        <rFont val="Arial"/>
        <color theme="1"/>
        <sz val="10.0"/>
      </rPr>
      <t xml:space="preserve">certification process for </t>
    </r>
    <r>
      <rPr>
        <rFont val="Arial"/>
        <b/>
        <color theme="1"/>
        <sz val="10.0"/>
      </rPr>
      <t>UICC Based NFC services</t>
    </r>
    <r>
      <rPr>
        <rFont val="Arial"/>
        <color theme="1"/>
        <sz val="10.0"/>
      </rPr>
      <t>.</t>
    </r>
  </si>
  <si>
    <t>MTR-1103</t>
  </si>
  <si>
    <r>
      <rPr>
        <rFont val="Arial"/>
        <b/>
        <color theme="1"/>
        <sz val="10.0"/>
      </rPr>
      <t>1.2.4</t>
    </r>
    <r>
      <rPr>
        <rFont val="Arial"/>
        <b val="0"/>
        <color theme="1"/>
        <sz val="10.0"/>
      </rPr>
      <t xml:space="preserve"> </t>
    </r>
    <r>
      <rPr>
        <rFont val="Arial"/>
        <b/>
        <color theme="1"/>
        <sz val="10.0"/>
      </rPr>
      <t>Bluetooth &amp; WiFi Certification</t>
    </r>
  </si>
  <si>
    <t>MTR-1106</t>
  </si>
  <si>
    <t>The Product is a Bluetooth Qualified Product and listed in the Bluetooth SIG web site (http://www.bluetooth.org/).
In case the product has been Qualified but the information is not yet available on the web site, the responding party (the device vendor) provides the Qualified Product Notice and the Reference Design Application documents.</t>
  </si>
  <si>
    <t>MTR-1237</t>
  </si>
  <si>
    <t>All WLAN functionalities of the terminal are WiFi-certified. The official Wi-Fi® Interoperability Certificate is provided latest at the beginning of the DTAG IOT-tests for the dedicated terminal.</t>
  </si>
  <si>
    <t>MTR-1110</t>
  </si>
  <si>
    <r>
      <rPr>
        <rFont val="Arial"/>
        <b/>
        <color theme="1"/>
        <sz val="10.0"/>
      </rPr>
      <t>1.2.5</t>
    </r>
    <r>
      <rPr>
        <rFont val="Arial"/>
        <b val="0"/>
        <color theme="1"/>
        <sz val="10.0"/>
      </rPr>
      <t xml:space="preserve"> </t>
    </r>
    <r>
      <rPr>
        <rFont val="Arial"/>
        <b/>
        <color theme="1"/>
        <sz val="10.0"/>
      </rPr>
      <t>Health &amp; Safety</t>
    </r>
  </si>
  <si>
    <t>MTR-1111</t>
  </si>
  <si>
    <t>The device complies to all SAR limits and radiation exposure safety standards currently in force in EU and other countries that any Telekom mobile operator has a roaming agreement with. This is independent of the type and combination of used radio technologies as 5G, LTE, 3G, 2G, WLAN, Bluetooth, ...</t>
  </si>
  <si>
    <t>MTR-1109</t>
  </si>
  <si>
    <t>The device complies to all SAR limits for all supported combinations of radio technologies and radiation exposure safety standards currently in force in the designated target markets. At least the values mandated by ICNIRP (International Commission on non-ionizing radiation protection) are fulfilled.</t>
  </si>
  <si>
    <t>MTR-19905</t>
  </si>
  <si>
    <t>2010 V2</t>
  </si>
  <si>
    <r>
      <rPr>
        <rFont val="Arial"/>
        <b/>
        <color theme="1"/>
        <sz val="10.0"/>
      </rPr>
      <t>Head SAR (10g)</t>
    </r>
    <r>
      <rPr>
        <rFont val="Arial"/>
        <b val="0"/>
        <color theme="1"/>
        <sz val="10.0"/>
      </rPr>
      <t xml:space="preserve"> </t>
    </r>
    <r>
      <rPr>
        <rFont val="Arial"/>
        <b/>
        <color theme="1"/>
        <sz val="10.0"/>
      </rPr>
      <t>&lt;=1 W/kg</t>
    </r>
    <r>
      <rPr>
        <rFont val="Arial"/>
        <b val="0"/>
        <color theme="1"/>
        <sz val="10.0"/>
      </rPr>
      <t xml:space="preserve">
In all operation modes (incl. maximum simultaneous transmission), RF fields generated by the device lead to SAR values of below 1 W/kg for measurements at the head, averaged over a sample volume of 10g of tissue.
Note: this requirement is more strict the EU regulatory value.
</t>
    </r>
    <r>
      <rPr>
        <rFont val="Arial"/>
        <b/>
        <color theme="1"/>
        <sz val="10.0"/>
      </rPr>
      <t xml:space="preserve">Applicability: </t>
    </r>
    <r>
      <rPr>
        <rFont val="Arial"/>
        <b val="0"/>
        <color theme="1"/>
        <sz val="10.0"/>
      </rPr>
      <t xml:space="preserve">All devices which may be used in proximity to the ear (e.g. during voice calls):
- Voice phones
- smartphones
</t>
    </r>
    <r>
      <rPr>
        <rFont val="Arial"/>
        <b/>
        <color theme="1"/>
        <sz val="10.0"/>
      </rPr>
      <t xml:space="preserve">Mini SoC: </t>
    </r>
    <r>
      <rPr>
        <rFont val="Arial"/>
        <b val="0"/>
        <color theme="1"/>
        <sz val="10.0"/>
      </rPr>
      <t xml:space="preserve">At least a compliance Statement is required.
</t>
    </r>
    <r>
      <rPr>
        <rFont val="Arial"/>
        <b/>
        <color theme="1"/>
        <sz val="10.0"/>
      </rPr>
      <t>Full SoC</t>
    </r>
    <r>
      <rPr>
        <rFont val="Arial"/>
        <b val="0"/>
        <color theme="1"/>
        <sz val="10.0"/>
      </rPr>
      <t xml:space="preserve">: Under "Comments Vendor" at least an estimated value is required. Ideally a measured value is provided.
</t>
    </r>
    <r>
      <rPr>
        <rFont val="Arial"/>
        <b/>
        <color theme="1"/>
        <sz val="10.0"/>
      </rPr>
      <t>Measurement/reporting:</t>
    </r>
    <r>
      <rPr>
        <rFont val="Arial"/>
        <b val="0"/>
        <color theme="1"/>
        <sz val="10.0"/>
      </rPr>
      <t xml:space="preserve"> according to EN 62209-1
</t>
    </r>
    <r>
      <rPr>
        <rFont val="Arial"/>
        <b/>
        <color theme="1"/>
        <sz val="10.0"/>
      </rPr>
      <t>Value to state under 'comments vendor':</t>
    </r>
    <r>
      <rPr>
        <rFont val="Arial"/>
        <b val="0"/>
        <color theme="1"/>
        <sz val="10.0"/>
      </rPr>
      <t xml:space="preserve">  
worst value of all available frequencies / radio technologies and combinations thereof</t>
    </r>
  </si>
  <si>
    <t>OEM</t>
  </si>
  <si>
    <t>Results will be shared before LE1</t>
  </si>
  <si>
    <t>1 W/kg</t>
  </si>
  <si>
    <t>x.y W/kg</t>
  </si>
  <si>
    <t>MTR-31027</t>
  </si>
  <si>
    <t>2015 V2</t>
  </si>
  <si>
    <r>
      <rPr>
        <rFont val="Arial"/>
        <b/>
        <color theme="1"/>
        <sz val="10.0"/>
      </rPr>
      <t>Body SAR (10g)</t>
    </r>
    <r>
      <rPr>
        <rFont val="Arial"/>
        <b val="0"/>
        <color theme="1"/>
        <sz val="10.0"/>
      </rPr>
      <t xml:space="preserve"> </t>
    </r>
    <r>
      <rPr>
        <rFont val="Arial"/>
        <b/>
        <color theme="1"/>
        <sz val="10.0"/>
      </rPr>
      <t>&lt;=1,5 W/kg (distance: up to 5mm)</t>
    </r>
    <r>
      <rPr>
        <rFont val="Arial"/>
        <b val="0"/>
        <color theme="1"/>
        <sz val="10.0"/>
      </rPr>
      <t xml:space="preserve">
In all operation modes, RF fields generated by the device lead to SAR values of below 1,5 W/kg for trunk SAR measurements at the </t>
    </r>
    <r>
      <rPr>
        <rFont val="Arial"/>
        <b/>
        <color theme="1"/>
        <sz val="10.0"/>
      </rPr>
      <t>body</t>
    </r>
    <r>
      <rPr>
        <rFont val="Arial"/>
        <b val="0"/>
        <color theme="1"/>
        <sz val="10.0"/>
      </rPr>
      <t xml:space="preserve">, averaged over a sample volume of 10g of tissue.
Note: this requirement is more strict the EU regulatory value.
</t>
    </r>
    <r>
      <rPr>
        <rFont val="Arial"/>
        <b/>
        <color theme="1"/>
        <sz val="10.0"/>
      </rPr>
      <t>Applicability:</t>
    </r>
    <r>
      <rPr>
        <rFont val="Arial"/>
        <b val="0"/>
        <color theme="1"/>
        <sz val="10.0"/>
      </rPr>
      <t xml:space="preserve"> All devices which may be used at the body (e.g during data transfer):
- Voice phones
- smartphones
- tablets
- portable routers
</t>
    </r>
    <r>
      <rPr>
        <rFont val="Arial"/>
        <b/>
        <color theme="1"/>
        <sz val="10.0"/>
      </rPr>
      <t xml:space="preserve">Mini SoC: </t>
    </r>
    <r>
      <rPr>
        <rFont val="Arial"/>
        <b val="0"/>
        <color theme="1"/>
        <sz val="10.0"/>
      </rPr>
      <t xml:space="preserve">At least a compliance Statement is required
</t>
    </r>
    <r>
      <rPr>
        <rFont val="Arial"/>
        <b/>
        <color theme="1"/>
        <sz val="10.0"/>
      </rPr>
      <t xml:space="preserve">Full SoC: </t>
    </r>
    <r>
      <rPr>
        <rFont val="Arial"/>
        <b val="0"/>
        <color theme="1"/>
        <sz val="10.0"/>
      </rPr>
      <t xml:space="preserve">Under "Comments Vendor" at least an estimated / simulated value is required. Ideally a measured value is provided.
</t>
    </r>
    <r>
      <rPr>
        <rFont val="Arial"/>
        <b/>
        <color theme="1"/>
        <sz val="10.0"/>
      </rPr>
      <t>Measurement/reporting:</t>
    </r>
    <r>
      <rPr>
        <rFont val="Arial"/>
        <b val="0"/>
        <color theme="1"/>
        <sz val="10.0"/>
      </rPr>
      <t xml:space="preserve"> according to  EN 62209-2
</t>
    </r>
    <r>
      <rPr>
        <rFont val="Arial"/>
        <b/>
        <color theme="1"/>
        <sz val="10.0"/>
      </rPr>
      <t>Measurement setup/Distance:</t>
    </r>
    <r>
      <rPr>
        <rFont val="Arial"/>
        <b val="0"/>
        <color theme="1"/>
        <sz val="10.0"/>
      </rPr>
      <t xml:space="preserve">  </t>
    </r>
    <r>
      <rPr>
        <rFont val="Arial"/>
        <b/>
        <color theme="1"/>
        <sz val="10.0"/>
      </rPr>
      <t>no more than 5 mm</t>
    </r>
    <r>
      <rPr>
        <rFont val="Arial"/>
        <b val="0"/>
        <color theme="1"/>
        <sz val="10.0"/>
      </rPr>
      <t xml:space="preserve"> (EN 50566:2017)
</t>
    </r>
    <r>
      <rPr>
        <rFont val="Arial"/>
        <b/>
        <color theme="1"/>
        <sz val="10.0"/>
      </rPr>
      <t>Value to state under 'comments vendor':</t>
    </r>
    <r>
      <rPr>
        <rFont val="Arial"/>
        <b val="0"/>
        <color theme="1"/>
        <sz val="10.0"/>
      </rPr>
      <t xml:space="preserve">  
worst value of all available frequencies / radio technologies and combinations thereof - </t>
    </r>
    <r>
      <rPr>
        <rFont val="Arial"/>
        <b/>
        <color theme="1"/>
        <sz val="10.0"/>
      </rPr>
      <t>separation distance needs to be reported together with the value</t>
    </r>
  </si>
  <si>
    <t>OEM, DataOnly</t>
  </si>
  <si>
    <t>1.12 W/kg</t>
  </si>
  <si>
    <t>MTR-40126</t>
  </si>
  <si>
    <t>N</t>
  </si>
  <si>
    <r>
      <rPr>
        <rFont val="Arial"/>
        <b/>
        <color theme="1"/>
        <sz val="10.0"/>
      </rPr>
      <t>Body SAR (10g)</t>
    </r>
    <r>
      <rPr>
        <rFont val="Arial"/>
        <b val="0"/>
        <color theme="1"/>
        <sz val="10.0"/>
      </rPr>
      <t xml:space="preserve"> </t>
    </r>
    <r>
      <rPr>
        <rFont val="Arial"/>
        <b/>
        <color theme="1"/>
        <sz val="10.0"/>
      </rPr>
      <t>&lt;=1,5 W/kg (distance: 0mm)</t>
    </r>
    <r>
      <rPr>
        <rFont val="Arial"/>
        <b val="0"/>
        <color theme="1"/>
        <sz val="10.0"/>
      </rPr>
      <t xml:space="preserve">
In all operation modes, RF fields generated by the device lead to SAR values of below 1,5 W/kg for trunk SAR measurements at the </t>
    </r>
    <r>
      <rPr>
        <rFont val="Arial"/>
        <b/>
        <color theme="1"/>
        <sz val="10.0"/>
      </rPr>
      <t>body</t>
    </r>
    <r>
      <rPr>
        <rFont val="Arial"/>
        <b val="0"/>
        <color theme="1"/>
        <sz val="10.0"/>
      </rPr>
      <t xml:space="preserve">, averaged over a sample volume of 10g of tissue.
Note: this requirement is more strict the EU regulatory value.
</t>
    </r>
    <r>
      <rPr>
        <rFont val="Arial"/>
        <b/>
        <color theme="1"/>
        <sz val="10.0"/>
      </rPr>
      <t>Applicability:</t>
    </r>
    <r>
      <rPr>
        <rFont val="Arial"/>
        <b val="0"/>
        <color theme="1"/>
        <sz val="10.0"/>
      </rPr>
      <t xml:space="preserve"> All devices which may be used at the body (e.g during data transfer):
- Voice phones
- smartphones
- tablets
- portable routers
</t>
    </r>
    <r>
      <rPr>
        <rFont val="Arial"/>
        <b/>
        <color theme="1"/>
        <sz val="10.0"/>
      </rPr>
      <t xml:space="preserve">Mini SoC: </t>
    </r>
    <r>
      <rPr>
        <rFont val="Arial"/>
        <b val="0"/>
        <color theme="1"/>
        <sz val="10.0"/>
      </rPr>
      <t xml:space="preserve">At least a compliance Statement is required
</t>
    </r>
    <r>
      <rPr>
        <rFont val="Arial"/>
        <b/>
        <color theme="1"/>
        <sz val="10.0"/>
      </rPr>
      <t xml:space="preserve">Full SoC: </t>
    </r>
    <r>
      <rPr>
        <rFont val="Arial"/>
        <b val="0"/>
        <color theme="1"/>
        <sz val="10.0"/>
      </rPr>
      <t xml:space="preserve">Under "Comments Vendor" at least an estimated / simulated value is required. Ideally a measured value is provided.
</t>
    </r>
    <r>
      <rPr>
        <rFont val="Arial"/>
        <b/>
        <color theme="1"/>
        <sz val="10.0"/>
      </rPr>
      <t>Measurement/reporting:</t>
    </r>
    <r>
      <rPr>
        <rFont val="Arial"/>
        <b val="0"/>
        <color theme="1"/>
        <sz val="10.0"/>
      </rPr>
      <t xml:space="preserve"> according to  EN 62209-2
</t>
    </r>
    <r>
      <rPr>
        <rFont val="Arial"/>
        <b/>
        <color theme="1"/>
        <sz val="10.0"/>
      </rPr>
      <t>Measurement setup/Distance:</t>
    </r>
    <r>
      <rPr>
        <rFont val="Arial"/>
        <b val="0"/>
        <color theme="1"/>
        <sz val="10.0"/>
      </rPr>
      <t xml:space="preserve"> </t>
    </r>
    <r>
      <rPr>
        <rFont val="Arial"/>
        <b/>
        <color theme="1"/>
        <sz val="10.0"/>
      </rPr>
      <t xml:space="preserve">0mm </t>
    </r>
    <r>
      <rPr>
        <rFont val="Arial"/>
        <b val="0"/>
        <color theme="1"/>
        <sz val="10.0"/>
      </rPr>
      <t xml:space="preserve">(pending 50566:2017/prA2:2024)
This requirement assumes a separation distance of 0mm as currently proposed in EN 50566:2017/prA2:2024. The time to treat this requirement as mandatory will be decided based on the progress of the proprosal.
</t>
    </r>
    <r>
      <rPr>
        <rFont val="Arial"/>
        <b/>
        <color theme="1"/>
        <sz val="10.0"/>
      </rPr>
      <t>Value to state under 'comments vendor':</t>
    </r>
    <r>
      <rPr>
        <rFont val="Arial"/>
        <b val="0"/>
        <color theme="1"/>
        <sz val="10.0"/>
      </rPr>
      <t xml:space="preserve">  
worst value of all available frequencies / radio technologies and combinations thereof.</t>
    </r>
  </si>
  <si>
    <t>MTR-32220</t>
  </si>
  <si>
    <t>2017 V2</t>
  </si>
  <si>
    <r>
      <rPr>
        <rFont val="Arial"/>
        <color theme="1"/>
        <sz val="10.0"/>
      </rPr>
      <t xml:space="preserve">The vendor will deliver the </t>
    </r>
    <r>
      <rPr>
        <rFont val="Arial"/>
        <b/>
        <color theme="1"/>
        <sz val="10.0"/>
      </rPr>
      <t>SAR Test Reports</t>
    </r>
    <r>
      <rPr>
        <rFont val="Arial"/>
        <color theme="1"/>
        <sz val="10.0"/>
      </rPr>
      <t>, containing the measurement at the head and the body. This includes SAR results for all supported Bands, technologies and combinations. 
These reports will be delivered prior to start of the Telekom Acceptance IOT phase for the device. Measurment has be done regarding ICNIRP Guidelines, and RED (Directive 2014/53/EU), and had been tested in accordance with the measurement methods and procedures specified in EN 50360:2017, EN50566:2017, EN 62311:2008, EN 50665:2017, EN 62479:2010,EN 50663:2017, EN 62209-1:2016, EN 62209-2:2010
Devices are subject to a serial spread during mass production which may also affect the SAR values. Likewise, software updates may also have an effect on these values. The supplier shall monitor the SAR values also during mass production and shall ensure that these values do not exceed the values determined as part of the initial device type certification by more than 10%. The supplier shall take a sufficient random probe from each production lot or software version, as applicable, and shall subject the devices to tests according to EN 62209-1 or an equivalent norm ensuring reliable values as part of Ongoing Reliability Tests (ORT). In the event that during such a test a SAR value is discovered exceeding the value determined during initial device type certification by more than 10%, DTAG shall be promptly notified.</t>
    </r>
  </si>
  <si>
    <t>MTR-19435</t>
  </si>
  <si>
    <r>
      <rPr>
        <rFont val="Arial"/>
        <b/>
        <color theme="1"/>
        <sz val="10.0"/>
      </rPr>
      <t>Maximum Surface Temperature: &lt;=50 °C</t>
    </r>
    <r>
      <rPr>
        <rFont val="Arial"/>
        <b val="0"/>
        <color theme="1"/>
        <sz val="10.0"/>
      </rPr>
      <t xml:space="preserve">
The Maximum Surface Temperature of the device does not exceed </t>
    </r>
    <r>
      <rPr>
        <rFont val="Arial"/>
        <b/>
        <color theme="1"/>
        <sz val="10.0"/>
      </rPr>
      <t>50 °Celsius</t>
    </r>
    <r>
      <rPr>
        <rFont val="Arial"/>
        <b val="0"/>
        <color theme="1"/>
        <sz val="10.0"/>
      </rPr>
      <t xml:space="preserve"> at an ambient temperature of up to 25 °Celsius, at any point of the device and independently of the material of the battery cover.
This is to be measured as defined in EN 62368-1:2016-05 (replaces EN 60950-1).</t>
    </r>
  </si>
  <si>
    <t>3 Sustainability</t>
  </si>
  <si>
    <t>MTR-34707</t>
  </si>
  <si>
    <r>
      <rPr>
        <rFont val="Arial"/>
        <b/>
        <color theme="1"/>
        <sz val="10.0"/>
      </rPr>
      <t>1.3</t>
    </r>
    <r>
      <rPr>
        <rFont val="Arial"/>
        <b val="0"/>
        <color theme="1"/>
        <sz val="10.0"/>
      </rPr>
      <t xml:space="preserve"> </t>
    </r>
    <r>
      <rPr>
        <rFont val="Arial"/>
        <b/>
        <color theme="1"/>
        <sz val="10.0"/>
      </rPr>
      <t>Sustainability</t>
    </r>
  </si>
  <si>
    <t>OEM, DataOnly, Chipset, ODM, Smartwatch</t>
  </si>
  <si>
    <t>MTR-39189</t>
  </si>
  <si>
    <r>
      <rPr>
        <rFont val="Arial"/>
        <b/>
        <color theme="1"/>
        <sz val="10.0"/>
      </rPr>
      <t>1.3.1</t>
    </r>
    <r>
      <rPr>
        <rFont val="Arial"/>
        <b val="0"/>
        <color theme="1"/>
        <sz val="10.0"/>
      </rPr>
      <t xml:space="preserve"> </t>
    </r>
    <r>
      <rPr>
        <rFont val="Arial"/>
        <b/>
        <color theme="1"/>
        <sz val="10.0"/>
      </rPr>
      <t>Emission reduction requirements</t>
    </r>
  </si>
  <si>
    <t>MTR-39190</t>
  </si>
  <si>
    <t>2024 V1</t>
  </si>
  <si>
    <r>
      <rPr>
        <rFont val="Arial"/>
        <color theme="1"/>
        <sz val="10.0"/>
      </rPr>
      <t>The vendor shall perform LCA according to ISO 14040, ISO 14044 or ITU L.1015 and shall reduce the emissions during device manufacturing. The emissions in kg CO</t>
    </r>
    <r>
      <rPr>
        <rFont val="Arial"/>
        <color theme="1"/>
        <sz val="10.0"/>
        <vertAlign val="subscript"/>
      </rPr>
      <t>2</t>
    </r>
    <r>
      <rPr>
        <rFont val="Arial"/>
        <color theme="1"/>
        <sz val="10.0"/>
      </rPr>
      <t>eq and its reduction in % compared to the predecessor model shall be indicated in the vendor comment field.</t>
    </r>
  </si>
  <si>
    <t>OEM, DataOnly, ODM, Smartwatch</t>
  </si>
  <si>
    <t>Partially Complies</t>
  </si>
  <si>
    <t>LCA will be available on day of launch. Not appropriate to compare to previous generation as feature set is different.</t>
  </si>
  <si>
    <t>MTR-39191</t>
  </si>
  <si>
    <r>
      <rPr>
        <rFont val="Arial"/>
        <color theme="1"/>
        <sz val="10.0"/>
      </rPr>
      <t>The vendor shall select semiconductor components with the aim to minimize the associated emissions. Please indicate the total semiconductor die area in cm</t>
    </r>
    <r>
      <rPr>
        <rFont val="Arial"/>
        <color theme="1"/>
        <sz val="10.0"/>
        <vertAlign val="superscript"/>
      </rPr>
      <t>2</t>
    </r>
    <r>
      <rPr>
        <rFont val="Arial"/>
        <color theme="1"/>
        <sz val="10.0"/>
      </rPr>
      <t xml:space="preserve"> and the number of microchips used in the vendor comments field.</t>
    </r>
  </si>
  <si>
    <t>This information will be available 4 weeks before launch.</t>
  </si>
  <si>
    <t>MTR-39192</t>
  </si>
  <si>
    <t>The vendor shall use renewable energy to operate the SMT line and final assembly. Please indicate the percentage of renewables in the factory power mix in the vendor comment field.</t>
  </si>
  <si>
    <t>TBC</t>
  </si>
  <si>
    <t>MTR-39193</t>
  </si>
  <si>
    <t>The vendor shall refrain from the use of gold in the device.</t>
  </si>
  <si>
    <t>Does Not Comply</t>
  </si>
  <si>
    <t>Gold is only used when technically required</t>
  </si>
  <si>
    <t>MTR-39194</t>
  </si>
  <si>
    <t>The vendor shall use secondary metals (i. e., from recycled sources) wherever technically possible. Please indicate the percentage of secondary metals for Copper, Tin, Nickel, Zinc and Aluminum in the vendor comment field.</t>
  </si>
  <si>
    <t xml:space="preserve">Recycled Metals in the device (Aluminium &amp; Tin) There is 35.18g recycled metal in the device which is 18.6% of total device weight. Our Enclosure  and camera bar is made of 100% recycled AI which are the largest metal parts of the phone. </t>
  </si>
  <si>
    <t>Recycled Metals in the device (Aluminium &amp; Tin) There is 35.18g recycled metal in the device which is 18.6% of total device weight. Our Enclosure  and camera bar is made of 100% recycled AI which are the largest metal parts of the phone.</t>
  </si>
  <si>
    <t>MTR-39195</t>
  </si>
  <si>
    <t>Fossil sources shall not be used for plastic parts. Instead, one of the following alternatives shall be used:
Mechanically recycled plastic
Biobased plastic (i. e. made from biowaste or plant material)
Chemcycled (e. g. waste plastic is chemically decomposed to yield monomers again)
Please indicate the alternative A - C and the percentage of the respective material in the vendor comment field</t>
  </si>
  <si>
    <t>We use recycled plastics whereever technically feasible. The total % of recycled plastic by product weight is 49.64% (exclusions following UL 110).  Our backcover (larger plastic part in device) is made of 76% recycled plastic</t>
  </si>
  <si>
    <t>MTR-8881</t>
  </si>
  <si>
    <r>
      <rPr>
        <rFont val="Arial"/>
        <b/>
        <color theme="1"/>
        <sz val="10.0"/>
      </rPr>
      <t>1.3.2</t>
    </r>
    <r>
      <rPr>
        <rFont val="Arial"/>
        <b val="0"/>
        <color theme="1"/>
        <sz val="10.0"/>
      </rPr>
      <t xml:space="preserve"> </t>
    </r>
    <r>
      <rPr>
        <rFont val="Arial"/>
        <b/>
        <color theme="1"/>
        <sz val="10.0"/>
      </rPr>
      <t>Environmental Requirements</t>
    </r>
  </si>
  <si>
    <t>MTR-1811</t>
  </si>
  <si>
    <t>2009 V2</t>
  </si>
  <si>
    <r>
      <rPr>
        <rFont val="Arial"/>
        <color theme="1"/>
        <sz val="10.0"/>
      </rPr>
      <t xml:space="preserve">The terminal </t>
    </r>
    <r>
      <rPr>
        <rFont val="Arial"/>
        <b/>
        <color theme="1"/>
        <sz val="10.0"/>
      </rPr>
      <t xml:space="preserve">must </t>
    </r>
    <r>
      <rPr>
        <rFont val="Arial"/>
        <color theme="1"/>
        <sz val="10.0"/>
      </rPr>
      <t xml:space="preserve">have </t>
    </r>
    <r>
      <rPr>
        <rFont val="Arial"/>
        <b/>
        <color theme="1"/>
        <sz val="10.0"/>
      </rPr>
      <t xml:space="preserve">at least </t>
    </r>
    <r>
      <rPr>
        <rFont val="Arial"/>
        <color theme="1"/>
        <sz val="10.0"/>
      </rPr>
      <t>one visible liquid immersion indicator (e.g. a label that changes colour)</t>
    </r>
  </si>
  <si>
    <t>MTR-8883</t>
  </si>
  <si>
    <r>
      <rPr>
        <rFont val="Arial"/>
        <color theme="1"/>
        <sz val="10.0"/>
      </rPr>
      <t xml:space="preserve">The liquid immersion indicator </t>
    </r>
    <r>
      <rPr>
        <rFont val="Arial"/>
        <b/>
        <color theme="1"/>
        <sz val="10.0"/>
      </rPr>
      <t xml:space="preserve">must not </t>
    </r>
    <r>
      <rPr>
        <rFont val="Arial"/>
        <color theme="1"/>
        <sz val="10.0"/>
      </rPr>
      <t>react if the handset is exposed to vapours, high levels of humidity, condensation or light levels of moisture outside the casing</t>
    </r>
  </si>
  <si>
    <t>MTR-8884</t>
  </si>
  <si>
    <r>
      <rPr>
        <rFont val="Arial"/>
        <color theme="1"/>
        <sz val="10.0"/>
      </rPr>
      <t xml:space="preserve">Unauthorised removal or manipulation of the indicator </t>
    </r>
    <r>
      <rPr>
        <rFont val="Arial"/>
        <b/>
        <color theme="1"/>
        <sz val="10.0"/>
      </rPr>
      <t xml:space="preserve">should </t>
    </r>
    <r>
      <rPr>
        <rFont val="Arial"/>
        <color theme="1"/>
        <sz val="10.0"/>
      </rPr>
      <t>be clearly visible</t>
    </r>
  </si>
  <si>
    <t>MTR-8885</t>
  </si>
  <si>
    <r>
      <rPr>
        <rFont val="Arial"/>
        <color theme="1"/>
        <sz val="10.0"/>
      </rPr>
      <t xml:space="preserve">The handset </t>
    </r>
    <r>
      <rPr>
        <rFont val="Arial"/>
        <b/>
        <color theme="1"/>
        <sz val="10.0"/>
      </rPr>
      <t xml:space="preserve">must </t>
    </r>
    <r>
      <rPr>
        <rFont val="Arial"/>
        <color theme="1"/>
        <sz val="10.0"/>
      </rPr>
      <t>function correctly in conditions of 5% to 80% relative humidity (non-condensing)</t>
    </r>
  </si>
  <si>
    <t>MTR-8886</t>
  </si>
  <si>
    <r>
      <rPr>
        <rFont val="Arial"/>
        <color theme="1"/>
        <sz val="10.0"/>
      </rPr>
      <t xml:space="preserve">The handset </t>
    </r>
    <r>
      <rPr>
        <rFont val="Arial"/>
        <b/>
        <color theme="1"/>
        <sz val="10.0"/>
      </rPr>
      <t xml:space="preserve">must </t>
    </r>
    <r>
      <rPr>
        <rFont val="Arial"/>
        <color theme="1"/>
        <sz val="10.0"/>
      </rPr>
      <t>function correctly in air temperatures between 0°C and 35°C</t>
    </r>
  </si>
  <si>
    <t>MTR-31892</t>
  </si>
  <si>
    <r>
      <rPr>
        <rFont val="Arial"/>
        <color theme="1"/>
        <sz val="10.0"/>
      </rPr>
      <t xml:space="preserve">The packaging material for the sales box shall solely consist of cardboard and/or paperboard. Cardboard and paperboard material shall contain the highest amount of post-consumer fiber that is possible while fulfilling the required mechanical rigidity. 
</t>
    </r>
    <r>
      <rPr>
        <rFont val="Arial"/>
        <b/>
        <color theme="1"/>
        <sz val="10.0"/>
      </rPr>
      <t>Plastic as packaging material is strictly prohibited.</t>
    </r>
    <r>
      <rPr>
        <rFont val="Arial"/>
        <color theme="1"/>
        <sz val="10.0"/>
      </rPr>
      <t xml:space="preserve">
Please indicate the percentage of post-consumer fiber in the "Comments Vendor" field.</t>
    </r>
  </si>
  <si>
    <t>The Retail box has 25% post-industrial waste. The master shippers that the Retail boxes are shipped into are made of 80-90% recycled content.</t>
  </si>
  <si>
    <t>MTR-33201</t>
  </si>
  <si>
    <t>2019 V2</t>
  </si>
  <si>
    <r>
      <rPr>
        <rFont val="Arial"/>
        <color theme="1"/>
        <sz val="10.0"/>
        <u/>
      </rPr>
      <t>Inks for printing on packaging:</t>
    </r>
    <r>
      <rPr>
        <rFont val="Arial"/>
        <color theme="1"/>
        <sz val="10.0"/>
        <u/>
      </rPr>
      <t xml:space="preserve">
Solely non-toxic based on plant oils such as soy ink
</t>
    </r>
    <r>
      <rPr>
        <rFont val="Arial"/>
        <color theme="1"/>
        <sz val="10.0"/>
        <u/>
      </rPr>
      <t>Coatings for device structural parts:</t>
    </r>
    <r>
      <rPr>
        <rFont val="Arial"/>
        <color theme="1"/>
        <sz val="10.0"/>
        <u/>
      </rPr>
      <t xml:space="preserve">
Solely water-based coatings and lacquers shall be used
In case that this is not feasible (reasoning required in vendor comment field), also solvent-free UV hardening coatings (in-situ polymerizable coatings triggered by UV-light) may be applied</t>
    </r>
  </si>
  <si>
    <t>Soy inks are used for printing the pkg material.</t>
  </si>
  <si>
    <t>MTR-35650</t>
  </si>
  <si>
    <t>2021 V2</t>
  </si>
  <si>
    <t>The device shall not contain a component with a Substance of Very High Concern (SVHC) exceeding 0.1% to avoid legal obligations according to Art. 33 REACH and the waste framework directive (2018/851). In case of non-compliance a reasoning should be given as well as the SVHC incl. CAS number, its concentration and location in the device be indicated in the comment vendor field. In such case also the SCIP ID shall be indicated to allow DT affiliates to copy the entry under their own SCIP database user in the simplified procedure. Please indicate the SCIP ID in the vendor comments field in so far as already known at the time of SoC.</t>
  </si>
  <si>
    <t>MTR-40060</t>
  </si>
  <si>
    <r>
      <rPr>
        <rFont val="Arial"/>
        <b/>
        <color theme="1"/>
        <sz val="10.0"/>
      </rPr>
      <t>1.3.2.1</t>
    </r>
    <r>
      <rPr>
        <rFont val="Arial"/>
        <b val="0"/>
        <color theme="1"/>
        <sz val="10.0"/>
      </rPr>
      <t xml:space="preserve"> </t>
    </r>
    <r>
      <rPr>
        <rFont val="Arial"/>
        <b/>
        <color theme="1"/>
        <sz val="10.0"/>
      </rPr>
      <t>Fulfillment of legal requirements related to eco-design and sustainability</t>
    </r>
  </si>
  <si>
    <t>OEM, ODM, Smartwatch</t>
  </si>
  <si>
    <t>MTR-40063</t>
  </si>
  <si>
    <t>All applicable requirements of the COMMISSION REGULATION (EU) 2023/1670 of 16 June 2023 laying down ecodesign requirements for smartphones, mobile phones other than smartphones, cordless phones and slate tablets pursuant to Directive 2009/125/EC of the European Parliament and of the Council and amending Commission Regulation (EU) 2023/826 shall be fulfilled to full extent.</t>
  </si>
  <si>
    <t>OEM, ODM</t>
  </si>
  <si>
    <t>TAM</t>
  </si>
  <si>
    <t>MTR-40065</t>
  </si>
  <si>
    <t>All applicable requirements of the COMMISSION DELEGATED REGULATION (EU) 2023/1669 of 16 June 2023 supplementing Regulation (EU) 2017/1369 of the European Parliament and of the Council with regard to the energy labelling of smartphones and slate tablets shall be fulfilled to full extent. The supplier shall provide all means to DTAG and/or local affiliates to enable them fulfilling their obligations under this regulation as DEALERS.</t>
  </si>
  <si>
    <t>MTR-40066</t>
  </si>
  <si>
    <t>All applicable requirements of the DIRECTIVE (EU) 2022/2380 OF THE EUROPEAN PARLIAMENT AND OF THE COUNCIL of 23 November 2022 amending Directive 2014/53/EU on the harmonisation of the laws of the Member States relating to the making available on the market of radio equipment shall be fulfilled to full extent.</t>
  </si>
  <si>
    <t>MTR-40141</t>
  </si>
  <si>
    <t>All applicable requirements of the REGULATION (EU) 2023/1542 OF THE EUROPEAN PARLIAMENT AND OF THE COUNCIL of 12 July 2023 concerning batteries and waste batteries, amending Directive 2008/98/EC and Regulation (EU) 2019/1020 and repealing Directive 2006/66/EC shall be fulfilled to full extent.
The CE declaration of conformity for the battery shall be made available upon request. This requirement shall apply to data products in so far devices of that category are equipped with at least one battery (otherwise please state "not applicable" and in the comments vendor field "no battery contained").</t>
  </si>
  <si>
    <t>MTR-39196</t>
  </si>
  <si>
    <r>
      <rPr>
        <rFont val="Arial"/>
        <b/>
        <color theme="1"/>
        <sz val="10.0"/>
      </rPr>
      <t>1.3.3</t>
    </r>
    <r>
      <rPr>
        <rFont val="Arial"/>
        <b val="0"/>
        <color theme="1"/>
        <sz val="10.0"/>
      </rPr>
      <t xml:space="preserve"> </t>
    </r>
    <r>
      <rPr>
        <rFont val="Arial"/>
        <b/>
        <color theme="1"/>
        <sz val="10.0"/>
      </rPr>
      <t>Creating the technical pre-requisites for length of use and circularity</t>
    </r>
  </si>
  <si>
    <t>MTR-39200</t>
  </si>
  <si>
    <t>Repeated free fall tests according to IEC 60068-2-31 shall be performed. The device shall surmount at least 100 repeated free falls with full functionality and without visible damages. This is a conscious exceeding of the requirements of the regulation 2023/1670 (s. MTR-40063).</t>
  </si>
  <si>
    <t>We cannot guarantee there will be no visible damage after drop events</t>
  </si>
  <si>
    <t>MTR-39201</t>
  </si>
  <si>
    <t>Free fall tests according to IEC 60068-2-31 shall be performed. The device shall surmount at least 100cm free fall height with full functionality and without visible damages. This is a conscious exceeding of the requirements of the regulation 2023/1670 (s. MTR-40063).</t>
  </si>
  <si>
    <t>MTR-39204</t>
  </si>
  <si>
    <t>The cycling robustness of the device battery shall be determined according to IEC 61960-3:2017. The battery shall achieve at least 1000 charging/discharging cycles with at least 80% of the original capacity. This is a conscious exceeding of the requirements of the regulation 2023/1670 (s. MTR-40063).</t>
  </si>
  <si>
    <t>MTR-39205</t>
  </si>
  <si>
    <t>The device shall exceed the recycling and recoverability targets of the WEEE directive (2012/19/EU, Art. 11 and Annex V). Please indicate the as-is recycling and recoverability rates of the device in the comment vendor field.</t>
  </si>
  <si>
    <t>MTR-31327</t>
  </si>
  <si>
    <r>
      <rPr>
        <rFont val="Arial"/>
        <b/>
        <color theme="1"/>
        <sz val="10.0"/>
      </rPr>
      <t>1.3.4</t>
    </r>
    <r>
      <rPr>
        <rFont val="Arial"/>
        <b val="0"/>
        <color theme="1"/>
        <sz val="10.0"/>
      </rPr>
      <t xml:space="preserve"> </t>
    </r>
    <r>
      <rPr>
        <rFont val="Arial"/>
        <b/>
        <color theme="1"/>
        <sz val="10.0"/>
      </rPr>
      <t>Environmental management and certification</t>
    </r>
  </si>
  <si>
    <t>MTR-39211</t>
  </si>
  <si>
    <t>"The vendor shall provide the data to calculate the Eco Rating Scores in the then current methodology release and shall do so not later than 2 weeks before the planned TA. Details under:  www.ecoratingdevices.com
An estimate of the main score likely to be expected shall be given in an indicative nature and shall be updated into the Comments Vendor" field latest with the Full SoC.</t>
  </si>
  <si>
    <t>From a technical perspective, we triggered the Eco Rating questionnaire for Pixel Products. However we do not share the report as we believe the methodology and governance is not a fair representation of the work that Pixel is doing to improve in this domain.</t>
  </si>
  <si>
    <t>TBD</t>
  </si>
  <si>
    <t>MTR-39215</t>
  </si>
  <si>
    <t>The Eco Rating Score shall at least be 80/100 (based on the methodology release 05).</t>
  </si>
  <si>
    <t>MTR-31328</t>
  </si>
  <si>
    <t>2016 V1</t>
  </si>
  <si>
    <t>The vendor shall have a valid ISO 14001 certification and shall demonstrate adherence to the principles and procedures of this standard for this device type (details under http://www.iso.org/iso/home/standards/management-standards/iso14000.htm).</t>
  </si>
  <si>
    <t>MTR-31329</t>
  </si>
  <si>
    <t>The vendor shall participate into the industry-wide ecorating initiative and obtain an ecorating for the device. The ecorating and all rated subcategories shall be provided in the comments field</t>
  </si>
  <si>
    <t>From a technical perspective, we triggered the Eco Rating questionnaire for Pixel Products.
Google has a strong focus on sustainability and this applies to our HW division. We increased our SW support to 7 years and we use recycled Alu.
Regarding score publishing, this is a commercial decision, not a technical one and as per requirement, we will be sharing this score once it's available.</t>
  </si>
  <si>
    <t>From a technical perspective, we triggered the Eco Rating questionnaire for Pixel Products.
Google has a strong focus on sustainability and this applies to our HW division. We increased our SW support to 5 years and we use recycled Alu.
Regarding score publishing, this is a commercial decision, not a technical one and as per requirement, we will be sharing this score once it's available.</t>
  </si>
  <si>
    <t>MTR-31331</t>
  </si>
  <si>
    <t>The vendor shall have a valid ISO 45001 certificate.</t>
  </si>
  <si>
    <t>Google is not the direct manufacturer
Expect our suppliers to adopt these standards.</t>
  </si>
  <si>
    <t>MTR-31332</t>
  </si>
  <si>
    <t>The vendor shall be SA 8000 certified and shall demonstrate the adherence to it for this device project. The vendor shall disclose the factory and/or manufacturing partner, and shall make sure that this factory and/or manufacturing partner is fully SA 8000 certified. Alternatively, when no formal SA 8000 certificate is available, the vendor shall make sure that all SA 8000 principles are applied to full extent and shall state "partially compliant" in such a case. Reference: www.sa-intl.org.</t>
  </si>
  <si>
    <t>MTR-31333</t>
  </si>
  <si>
    <t>The vendor shall follow the principles of the EICC code of conduct in all of its manufacturing sites. The vendor shall disclose which factories and/or 3rd party manufacturers are used for this device type and shall provide sufficient evidence to DT that in each of the manufacturing sites the EICC code of conduct is adhered to. Reference: http://www.eiccoalition.org/standards/code-of-conduct/.</t>
  </si>
  <si>
    <t>MTR-31334</t>
  </si>
  <si>
    <t>The vendor shall refrain from using minerals from conflict regions. For details please refer to the webpage http://conflict-minerals.com/solution/background-resources/ The procedures of the US Dodd-Frank-Act shall be followed. The vendor shall make available the report pursuant to the Dodd-Frank-Act if the minerals Columbite-tantalite, Cassiterite, Wolframite and Gold are used anywhere in the supply chain to make device components. The supplier shall provide a filled-in CMRT template of the Responsible Minerals Initiative (RMI) https://www.responsiblemineralsinitiative.org/reporting-templates/cmrt/ in an unsolicited fashion.</t>
  </si>
  <si>
    <t>MTR-31178</t>
  </si>
  <si>
    <r>
      <rPr>
        <rFont val="Arial"/>
        <b/>
        <color theme="1"/>
        <sz val="10.0"/>
      </rPr>
      <t>1.3.5</t>
    </r>
    <r>
      <rPr>
        <rFont val="Arial"/>
        <b val="0"/>
        <color theme="1"/>
        <sz val="10.0"/>
      </rPr>
      <t xml:space="preserve"> </t>
    </r>
    <r>
      <rPr>
        <rFont val="Arial"/>
        <b/>
        <color theme="1"/>
        <sz val="10.0"/>
      </rPr>
      <t>Harmful Substances</t>
    </r>
  </si>
  <si>
    <t>MTR-39207</t>
  </si>
  <si>
    <r>
      <rPr>
        <rFont val="Arial"/>
        <color theme="1"/>
        <sz val="10.0"/>
      </rPr>
      <t xml:space="preserve">Every component of the device shall fulfill the following harmful substance limitations
Halogen-free according to IEC 61249-2-21 (max. 900ppm Cl, max. 900ppm Br or max. 1500ppm combined)
</t>
    </r>
    <r>
      <rPr>
        <rFont val="Arial"/>
        <b/>
        <color theme="1"/>
        <sz val="10.0"/>
        <u/>
      </rPr>
      <t>All</t>
    </r>
    <r>
      <rPr>
        <rFont val="Arial"/>
        <color theme="1"/>
        <sz val="10.0"/>
      </rPr>
      <t xml:space="preserve"> Phthalates &lt;1000ppm
As &lt;1000ppm (save GaAs as semiconductor material)
Sb &lt;1000ppm
Be &lt;1000ppm</t>
    </r>
  </si>
  <si>
    <t>All homogenous materials must comply with the Google Restricted Substances Specification, 990-00012-00 Which include: Halogen-free, &lt;900 ppm Br, &lt;900 ppm Cl, &lt;1500 ppm Br + Cl combined</t>
  </si>
  <si>
    <t>MTR-33796</t>
  </si>
  <si>
    <t>2020 V1</t>
  </si>
  <si>
    <t>The device and package shall not contain more than 1000ppm (0.1 weight%) of substances in any homogenous component for which any of the H300 or H400 series of Hazards of the Globally Harmonized system of Classification and Labelling of Chemicals (GHS) applies. The vendor shall establish a suitable process  where the chemical composition of components is analyzed and its selection based thereupon to support this requirement.</t>
  </si>
  <si>
    <t>MTR-33797</t>
  </si>
  <si>
    <t>If the device contains a coating or lacquer, it shall be applied using water based solvent. Alternatively a solvent-free photochemically hardening coating may be used. Any other solvent shall be avoided.</t>
  </si>
  <si>
    <t>MTR-33798</t>
  </si>
  <si>
    <t>For polymeric materials, the least amount of additives must be used that is required to achieve the requirements in mechanical stability, flammability and UV resistance</t>
  </si>
  <si>
    <t>MTR-1807</t>
  </si>
  <si>
    <r>
      <rPr>
        <rFont val="Arial"/>
        <b/>
        <color theme="1"/>
        <sz val="10.0"/>
      </rPr>
      <t>1.3.6</t>
    </r>
    <r>
      <rPr>
        <rFont val="Arial"/>
        <b val="0"/>
        <color theme="1"/>
        <sz val="10.0"/>
      </rPr>
      <t xml:space="preserve"> </t>
    </r>
    <r>
      <rPr>
        <rFont val="Arial"/>
        <b/>
        <color theme="1"/>
        <sz val="10.0"/>
      </rPr>
      <t>Mechanical Robustness</t>
    </r>
  </si>
  <si>
    <t>MTR-1808</t>
  </si>
  <si>
    <r>
      <rPr>
        <rFont val="Arial"/>
        <color theme="1"/>
        <sz val="10.0"/>
      </rPr>
      <t xml:space="preserve">Movable components of the device (hinges, slider mechanisms, etc.) </t>
    </r>
    <r>
      <rPr>
        <rFont val="Arial"/>
        <b/>
        <color theme="1"/>
        <sz val="10.0"/>
      </rPr>
      <t xml:space="preserve">must </t>
    </r>
    <r>
      <rPr>
        <rFont val="Arial"/>
        <color theme="1"/>
        <sz val="10.0"/>
      </rPr>
      <t xml:space="preserve">survive at least 60,000 operation cycles </t>
    </r>
    <r>
      <rPr>
        <rFont val="Arial"/>
        <b/>
        <color theme="1"/>
        <sz val="10.0"/>
      </rPr>
      <t xml:space="preserve">and must </t>
    </r>
    <r>
      <rPr>
        <rFont val="Arial"/>
        <color theme="1"/>
        <sz val="10.0"/>
      </rPr>
      <t>be tested to this standard</t>
    </r>
  </si>
  <si>
    <t>One physical removable 4FF SIM One eUISCC SIM</t>
  </si>
  <si>
    <t>MTR-1809</t>
  </si>
  <si>
    <r>
      <rPr>
        <rFont val="Arial"/>
        <color theme="1"/>
        <sz val="10.0"/>
      </rPr>
      <t xml:space="preserve">The primary controls of the device (number pad, joysticks, soft keys, etc.) </t>
    </r>
    <r>
      <rPr>
        <rFont val="Arial"/>
        <b/>
        <color theme="1"/>
        <sz val="10.0"/>
      </rPr>
      <t xml:space="preserve">must </t>
    </r>
    <r>
      <rPr>
        <rFont val="Arial"/>
        <color theme="1"/>
        <sz val="10.0"/>
      </rPr>
      <t xml:space="preserve">survive at least 200,000 operation cycles </t>
    </r>
    <r>
      <rPr>
        <rFont val="Arial"/>
        <b/>
        <color theme="1"/>
        <sz val="10.0"/>
      </rPr>
      <t>and</t>
    </r>
    <r>
      <rPr>
        <rFont val="Arial"/>
        <color theme="1"/>
        <sz val="10.0"/>
      </rPr>
      <t xml:space="preserve"> </t>
    </r>
    <r>
      <rPr>
        <rFont val="Arial"/>
        <b/>
        <color theme="1"/>
        <sz val="10.0"/>
      </rPr>
      <t xml:space="preserve">must </t>
    </r>
    <r>
      <rPr>
        <rFont val="Arial"/>
        <color theme="1"/>
        <sz val="10.0"/>
      </rPr>
      <t>be tested to this standard</t>
    </r>
  </si>
  <si>
    <t>MTR-1810</t>
  </si>
  <si>
    <r>
      <rPr>
        <rFont val="Arial"/>
        <color theme="1"/>
        <sz val="10.0"/>
      </rPr>
      <t xml:space="preserve">Secondary controls of the device (camera keys, audio shortcut keys, etc.) </t>
    </r>
    <r>
      <rPr>
        <rFont val="Arial"/>
        <b/>
        <color theme="1"/>
        <sz val="10.0"/>
      </rPr>
      <t xml:space="preserve">must </t>
    </r>
    <r>
      <rPr>
        <rFont val="Arial"/>
        <color theme="1"/>
        <sz val="10.0"/>
      </rPr>
      <t xml:space="preserve">survive at least 50,000 operation cycles </t>
    </r>
    <r>
      <rPr>
        <rFont val="Arial"/>
        <b/>
        <color theme="1"/>
        <sz val="10.0"/>
      </rPr>
      <t xml:space="preserve">and must </t>
    </r>
    <r>
      <rPr>
        <rFont val="Arial"/>
        <color theme="1"/>
        <sz val="10.0"/>
      </rPr>
      <t>be tested to this standard</t>
    </r>
  </si>
  <si>
    <t>Not Applicable</t>
  </si>
  <si>
    <t>No secondary controls</t>
  </si>
  <si>
    <t>MTR-31184</t>
  </si>
  <si>
    <t>The vendor shall predict the device reliability according to MIL-HDBK-217, Bellcore/Telcordia, NSWC or other comparable method. 
The result in the form of predicted monthly and/or cumulative failure rate over time shall be indicated to DT in the "Comments Vendor" field. In addition, the vendor shall provide sufficient evidence for the plausibility and proper methodology of such calculation.</t>
  </si>
  <si>
    <t>2 Network Access</t>
  </si>
  <si>
    <t>MTR-26086</t>
  </si>
  <si>
    <r>
      <rPr>
        <rFont val="Arial"/>
        <b/>
        <color theme="1"/>
        <sz val="10.0"/>
      </rPr>
      <t>2</t>
    </r>
    <r>
      <rPr>
        <rFont val="Arial"/>
        <b val="0"/>
        <color theme="1"/>
        <sz val="10.0"/>
      </rPr>
      <t xml:space="preserve"> </t>
    </r>
    <r>
      <rPr>
        <rFont val="Arial"/>
        <b/>
        <color theme="1"/>
        <sz val="10.0"/>
      </rPr>
      <t>Network Access</t>
    </r>
  </si>
  <si>
    <t>1 Basic Network Access</t>
  </si>
  <si>
    <t>MTR-1</t>
  </si>
  <si>
    <r>
      <rPr>
        <rFont val="Arial"/>
        <b/>
        <color theme="1"/>
        <sz val="10.0"/>
      </rPr>
      <t>2.1</t>
    </r>
    <r>
      <rPr>
        <rFont val="Arial"/>
        <b val="0"/>
        <color theme="1"/>
        <sz val="10.0"/>
      </rPr>
      <t xml:space="preserve"> </t>
    </r>
    <r>
      <rPr>
        <rFont val="Arial"/>
        <b/>
        <color theme="1"/>
        <sz val="10.0"/>
      </rPr>
      <t>Basic Network Access</t>
    </r>
  </si>
  <si>
    <t>MTR-2</t>
  </si>
  <si>
    <r>
      <rPr>
        <rFont val="Arial"/>
        <b/>
        <color theme="1"/>
        <sz val="10.0"/>
      </rPr>
      <t>2.1.1</t>
    </r>
    <r>
      <rPr>
        <rFont val="Arial"/>
        <b val="0"/>
        <color theme="1"/>
        <sz val="10.0"/>
      </rPr>
      <t xml:space="preserve"> </t>
    </r>
    <r>
      <rPr>
        <rFont val="Arial"/>
        <b/>
        <color theme="1"/>
        <sz val="10.0"/>
      </rPr>
      <t>3GPP Releases</t>
    </r>
  </si>
  <si>
    <t>MTR-3</t>
  </si>
  <si>
    <t>2007 V1</t>
  </si>
  <si>
    <t>GSM is supported.</t>
  </si>
  <si>
    <t>OEM, Chipset, Smartwatch</t>
  </si>
  <si>
    <t>R8</t>
  </si>
  <si>
    <t>MTR-4</t>
  </si>
  <si>
    <t>UMTS is supported.</t>
  </si>
  <si>
    <t>R9</t>
  </si>
  <si>
    <t>MTR-27278</t>
  </si>
  <si>
    <r>
      <rPr>
        <rFont val="Arial"/>
        <b/>
        <color theme="1"/>
        <sz val="10.0"/>
      </rPr>
      <t>LTE is supported.</t>
    </r>
    <r>
      <rPr>
        <rFont val="Arial"/>
        <b val="0"/>
        <color theme="1"/>
        <sz val="10.0"/>
      </rPr>
      <t xml:space="preserve">
Please note the 3GPP E-UTRAN (LTE) RRC release reported to the network under "Comments Vendor", e.g. R15, R16, R17...
</t>
    </r>
    <r>
      <rPr>
        <rFont val="Arial"/>
        <b/>
        <color theme="1"/>
        <sz val="10.0"/>
      </rPr>
      <t>Note: If EN-DC with NR-CA is supported, then also LTE RRC Rel. 16 incl. RRC UL Segmentation shall be supported!</t>
    </r>
  </si>
  <si>
    <t>LTE Bands 1+3+7+8+20, LTE Bands 1+3+7+8+20+28, LTE Bands 1+3+7+8+20+28+32</t>
  </si>
  <si>
    <t>R16</t>
  </si>
  <si>
    <t>MTR-29502</t>
  </si>
  <si>
    <t>2013 V1</t>
  </si>
  <si>
    <r>
      <rPr>
        <rFont val="Arial"/>
        <b/>
        <color theme="1"/>
        <sz val="10.0"/>
      </rPr>
      <t>If E-UTRAN 3GPP Release 9 or higher is supported compliance to all mandatory Rel-9 extensions is given unless already indicated via Feature Group Indicators.</t>
    </r>
    <r>
      <rPr>
        <rFont val="Arial"/>
        <b val="0"/>
        <color theme="1"/>
        <sz val="10.0"/>
      </rPr>
      <t xml:space="preserve">
Such features include support of:
- "fullConfig" IE
- "Radio Link Failure Timers and Constants reconfiguration"
   (in RadioResourceConfigDedicated)
- "MobilityFromEUTRACommand-r9-IE" with 
   "cs-FallbackIndicator", purpose="handover"
   or "CellChangeOrder" and late (re-)addition
   of "BandIndicatorGERAN" 
- "CellSelectionInfo-v920" with "q-QualMin-r9"
   and "q-QualMinOffset-r9" in SIB1
- "s-IntraSearch-v920", "s-NonIntraSearch-v920", 
   "q-QualMin-r9", "threshServingLowQ-r9" in SIB3
- "q-QualMin-r9", "threshX-Q-r9" in SIB5
- "threshX-Q-r9" in SIB5
- TM8 Codebook restriction (if TM8 supported)
- "CQI-REportConfig-v920" with "cqi-Mask-r9"
   and "pmi-RI-Report-r9" (second for TM8 only)
- "logicalChannelSR-Mask" in LogicalChannelConfig
- "sr-ProhibitTimer-r9" in MAC-MainConfig
- "antennaInfo-v920" in PhysicalConfigDedicated
- if VoLTE is supported: SSAC (Service Specific
   Access Control)
- if SPS supported: Support for SR mask
  "logicalChannelSR-Mask"
Any exception is to be noted under "Comments Vendor".
Please indicate "Not Applicable" for &lt;Rel-9 devices!</t>
    </r>
  </si>
  <si>
    <t>10/5 Mbps, 150/50 Mbps, 300/75 Mbps, 800/200 Mbps, 1000/200 Mbps, 1200/225 Mbps, 1600/225 Mbps, 2000/225 Mbps</t>
  </si>
  <si>
    <t>MTR-30443</t>
  </si>
  <si>
    <r>
      <rPr>
        <rFont val="Arial"/>
        <b/>
        <color theme="1"/>
        <sz val="10.0"/>
      </rPr>
      <t>If E-UTRAN 3GPP Release 10 or higher is supported, compliance to all mandatory Rel-10 extensions is given unless already indicated via Features Group Indicators.</t>
    </r>
    <r>
      <rPr>
        <rFont val="Arial"/>
        <b val="0"/>
        <color theme="1"/>
        <sz val="10.0"/>
      </rPr>
      <t xml:space="preserve">
This includes support of:</t>
    </r>
    <r>
      <rPr>
        <rFont val="Arial"/>
        <b/>
        <color theme="1"/>
        <sz val="10.0"/>
      </rPr>
      <t xml:space="preserve"> </t>
    </r>
    <r>
      <rPr>
        <rFont val="Arial"/>
        <b val="0"/>
        <color theme="1"/>
        <sz val="10.0"/>
      </rPr>
      <t xml:space="preserve">
</t>
    </r>
    <r>
      <rPr>
        <rFont val="Arial"/>
        <b/>
        <color theme="1"/>
        <sz val="10.0"/>
      </rPr>
      <t>if CSFB is supported:</t>
    </r>
    <r>
      <rPr>
        <rFont val="Arial"/>
        <b val="0"/>
        <color theme="1"/>
        <sz val="10.0"/>
      </rPr>
      <t xml:space="preserve">
 - CSFB Access Barring Control
 - High Priority CSFB redirection
</t>
    </r>
    <r>
      <rPr>
        <rFont val="Arial"/>
        <b/>
        <color theme="1"/>
        <sz val="10.0"/>
      </rPr>
      <t>if LTE Carrier Aggregation is supported:</t>
    </r>
    <r>
      <rPr>
        <rFont val="Arial"/>
        <b val="0"/>
        <color theme="1"/>
        <sz val="10.0"/>
      </rPr>
      <t xml:space="preserve">
 - measurement Event A6, but see FGI 111
 - Additional Spectrum Emission i.e. IE additionalSpectrumEmissionPCell </t>
    </r>
    <r>
      <rPr>
        <rFont val="Arial"/>
        <b/>
        <color theme="1"/>
        <sz val="10.0"/>
      </rPr>
      <t>General:</t>
    </r>
    <r>
      <rPr>
        <rFont val="Arial"/>
        <b val="0"/>
        <color theme="1"/>
        <sz val="10.0"/>
      </rPr>
      <t xml:space="preserve">
 - Power Management Indicator in PHR (if additional power backoff due to power management is applied - e.g. proximity detector)
 - codebook restriction according to R10 coding (MTR-30382)
</t>
    </r>
    <r>
      <rPr>
        <rFont val="Arial"/>
        <b/>
        <color theme="1"/>
        <sz val="10.0"/>
      </rPr>
      <t>FGIs 3GPP mandatory with R10 (LTE-FDD):</t>
    </r>
    <r>
      <rPr>
        <rFont val="Arial"/>
        <b val="0"/>
        <color theme="1"/>
        <sz val="10.0"/>
      </rPr>
      <t xml:space="preserve">
  General: 5, 6, 13, 16, 17, 18, 20, 25
  VoLTE supported: 3, 7
Any exception is to be noted under "Comments Vendor".
Please indicate "Not Applicable" for &lt;Rel-10 devices!</t>
    </r>
  </si>
  <si>
    <t>300/75 Mbps, 1000/200 Mbps, 800/200 Mbps, 1200/225 Mbps, 1600/225 Mbps, 2000/225 Mbps</t>
  </si>
  <si>
    <t>MTR-30593</t>
  </si>
  <si>
    <t>2014 V2</t>
  </si>
  <si>
    <r>
      <rPr>
        <rFont val="Arial"/>
        <b/>
        <color theme="1"/>
        <sz val="10.0"/>
      </rPr>
      <t>If E-UTRAN 3GPP Release 11 or higher is supported, compliance to all mandatory Rel-11 extensions is given.</t>
    </r>
    <r>
      <rPr>
        <rFont val="Arial"/>
        <b val="0"/>
        <color theme="1"/>
        <sz val="10.0"/>
      </rPr>
      <t xml:space="preserve">
The device indicates E-UTRA RRC Rel-11 version and supports all 3GPP mandatory features. 
Any exception is to be noted under "Comments Vendor".
Please indicate "Not Applicable" for &lt;Rel-11 devices!</t>
    </r>
  </si>
  <si>
    <t>800/200 Mbps, 1000/200 Mbps, 1200/225 Mbps, 1600/225 Mbps, 2000/225 Mbps</t>
  </si>
  <si>
    <t>MTR-33223</t>
  </si>
  <si>
    <r>
      <rPr>
        <rFont val="Arial"/>
        <b/>
        <color theme="1"/>
        <sz val="10.0"/>
      </rPr>
      <t>NR (5G NSA or 5G SA) is supported</t>
    </r>
    <r>
      <rPr>
        <rFont val="Arial"/>
        <b val="0"/>
        <color theme="1"/>
        <sz val="10.0"/>
      </rPr>
      <t xml:space="preserve">
Please note the 3GPP NR RRC release reported to the network under "Comments Vendor", e.g. R15, R16, R17...
</t>
    </r>
    <r>
      <rPr>
        <rFont val="Arial"/>
        <b/>
        <color theme="1"/>
        <sz val="10.0"/>
      </rPr>
      <t>From 2024 onwards, support for NR RRC Release 16 is expected!</t>
    </r>
  </si>
  <si>
    <t>NR Bands n1+n3+n7+n28+n78, NR Bands n1+n3+n7+n28+n75+n78</t>
  </si>
  <si>
    <t>MTR-30230</t>
  </si>
  <si>
    <r>
      <rPr>
        <rFont val="Arial"/>
        <b/>
        <color theme="1"/>
        <sz val="10.0"/>
      </rPr>
      <t>3GPP NAS (Non Access Stratum) Release</t>
    </r>
    <r>
      <rPr>
        <rFont val="Arial"/>
        <b val="0"/>
        <color theme="1"/>
        <sz val="10.0"/>
      </rPr>
      <t xml:space="preserve">
Please note the implemented 3GPP NAS release version in the "Comments Vendor" field, e.g. R15, R16, R17...</t>
    </r>
  </si>
  <si>
    <t>MTR-17</t>
  </si>
  <si>
    <r>
      <rPr>
        <rFont val="Arial"/>
        <b/>
        <color theme="1"/>
        <sz val="10.0"/>
      </rPr>
      <t>2.1.2</t>
    </r>
    <r>
      <rPr>
        <rFont val="Arial"/>
        <b val="0"/>
        <color theme="1"/>
        <sz val="10.0"/>
      </rPr>
      <t xml:space="preserve"> </t>
    </r>
    <r>
      <rPr>
        <rFont val="Arial"/>
        <b/>
        <color theme="1"/>
        <sz val="10.0"/>
      </rPr>
      <t>Band support</t>
    </r>
  </si>
  <si>
    <t>MTR-18</t>
  </si>
  <si>
    <r>
      <rPr>
        <rFont val="Arial"/>
        <b/>
        <color theme="1"/>
        <sz val="10.0"/>
      </rPr>
      <t>2.1.2.1</t>
    </r>
    <r>
      <rPr>
        <rFont val="Arial"/>
        <b val="0"/>
        <color theme="1"/>
        <sz val="10.0"/>
      </rPr>
      <t xml:space="preserve"> </t>
    </r>
    <r>
      <rPr>
        <rFont val="Arial"/>
        <b/>
        <color theme="1"/>
        <sz val="10.0"/>
      </rPr>
      <t>GSM band support</t>
    </r>
  </si>
  <si>
    <t>MTR-19</t>
  </si>
  <si>
    <r>
      <rPr>
        <rFont val="Arial"/>
        <b/>
        <color theme="1"/>
        <sz val="10.0"/>
      </rPr>
      <t>GSM 900 Band</t>
    </r>
    <r>
      <rPr>
        <rFont val="Arial"/>
        <b val="0"/>
        <color theme="1"/>
        <sz val="10.0"/>
      </rPr>
      <t xml:space="preserve">
(880 - 915 MHz UL, 925 - 960 MHz DL) is supported.</t>
    </r>
  </si>
  <si>
    <t>MTR-20</t>
  </si>
  <si>
    <r>
      <rPr>
        <rFont val="Arial"/>
        <b/>
        <color theme="1"/>
        <sz val="10.0"/>
      </rPr>
      <t>GSM 1800 Band</t>
    </r>
    <r>
      <rPr>
        <rFont val="Arial"/>
        <b val="0"/>
        <color theme="1"/>
        <sz val="10.0"/>
      </rPr>
      <t xml:space="preserve">
(1710 - 1785 MHz UL, 1805 - 1880 MHz DL) is supported.</t>
    </r>
  </si>
  <si>
    <t>MTR-21</t>
  </si>
  <si>
    <r>
      <rPr>
        <rFont val="Arial"/>
        <b/>
        <color theme="1"/>
        <sz val="10.0"/>
      </rPr>
      <t>GSM 1900 Band</t>
    </r>
    <r>
      <rPr>
        <rFont val="Arial"/>
        <b val="0"/>
        <color theme="1"/>
        <sz val="10.0"/>
      </rPr>
      <t xml:space="preserve">
(1850-1910 MHz UL, 1930-1990 MHz DL) is supported.</t>
    </r>
  </si>
  <si>
    <t>GSM Quadband, Roaming Basic, Roaming Medium, Roaming Advanced</t>
  </si>
  <si>
    <t>Disabled for EMEA countries by default and will be enabled for countries that have GSM 850/1900 deployment in live network</t>
  </si>
  <si>
    <t>MTR-22</t>
  </si>
  <si>
    <r>
      <rPr>
        <rFont val="Arial"/>
        <b/>
        <color theme="1"/>
        <sz val="10.0"/>
      </rPr>
      <t>GSM 850 Band</t>
    </r>
    <r>
      <rPr>
        <rFont val="Arial"/>
        <b val="0"/>
        <color theme="1"/>
        <sz val="10.0"/>
      </rPr>
      <t xml:space="preserve">
(824 - 849 MHz UL, 869 - 894 MHz DL) is supported.</t>
    </r>
  </si>
  <si>
    <t>MTR-27413</t>
  </si>
  <si>
    <r>
      <rPr>
        <rFont val="Arial"/>
        <b/>
        <color theme="1"/>
        <sz val="10.0"/>
      </rPr>
      <t>2.1.2.2</t>
    </r>
    <r>
      <rPr>
        <rFont val="Arial"/>
        <b val="0"/>
        <color theme="1"/>
        <sz val="10.0"/>
      </rPr>
      <t xml:space="preserve"> </t>
    </r>
    <r>
      <rPr>
        <rFont val="Arial"/>
        <b/>
        <color theme="1"/>
        <sz val="10.0"/>
      </rPr>
      <t>LTE band support</t>
    </r>
  </si>
  <si>
    <t>MTR-32071</t>
  </si>
  <si>
    <r>
      <rPr>
        <rFont val="Arial"/>
        <b/>
        <color theme="1"/>
        <sz val="10.0"/>
      </rPr>
      <t>2.1.2.2.1</t>
    </r>
    <r>
      <rPr>
        <rFont val="Arial"/>
        <b val="0"/>
        <color theme="1"/>
        <sz val="10.0"/>
      </rPr>
      <t xml:space="preserve"> </t>
    </r>
    <r>
      <rPr>
        <rFont val="Arial"/>
        <b/>
        <color theme="1"/>
        <sz val="10.0"/>
      </rPr>
      <t>LTE-FDD band support</t>
    </r>
  </si>
  <si>
    <t>MTR-27415</t>
  </si>
  <si>
    <r>
      <rPr>
        <rFont val="Arial"/>
        <b/>
        <color theme="1"/>
        <sz val="10.0"/>
      </rPr>
      <t>Band 1</t>
    </r>
    <r>
      <rPr>
        <rFont val="Arial"/>
        <b val="0"/>
        <color theme="1"/>
        <sz val="10.0"/>
      </rPr>
      <t xml:space="preserve">
LTE FDD mode of operation in the E-UTRAN frequency band 1, aka 'LTE2100' (1920-1980 MHz (UL), 2110-2170 MHz (DL) with default duplex distance of 190 MHz) is supported.</t>
    </r>
  </si>
  <si>
    <t>MTR-27416</t>
  </si>
  <si>
    <r>
      <rPr>
        <rFont val="Arial"/>
        <b/>
        <color theme="1"/>
        <sz val="10.0"/>
      </rPr>
      <t>Band 2</t>
    </r>
    <r>
      <rPr>
        <rFont val="Arial"/>
        <b val="0"/>
        <color theme="1"/>
        <sz val="10.0"/>
      </rPr>
      <t xml:space="preserve">
LTE FDD mode of operation in the E-UTRAN frequency band 2, aka 'LTE1900', (1850-1910 MHz (UL), 1930-1990 MHz (DL) with default duplex distance of 80 MHz) is supported.
Mandatory if band 25 is supported.</t>
    </r>
  </si>
  <si>
    <t>Roaming Advanced, Roaming Advanced (Data)</t>
  </si>
  <si>
    <t>Disabled for EMEA countries by default and will be enabled for countries that have LTE Band 2 deployment in live network</t>
  </si>
  <si>
    <t>MTR-27417</t>
  </si>
  <si>
    <r>
      <rPr>
        <rFont val="Arial"/>
        <b/>
        <color theme="1"/>
        <sz val="10.0"/>
      </rPr>
      <t>Band 3</t>
    </r>
    <r>
      <rPr>
        <rFont val="Arial"/>
        <b val="0"/>
        <color theme="1"/>
        <sz val="10.0"/>
      </rPr>
      <t xml:space="preserve">
LTE FDD mode of operation in the E-UTRAN frequency band 3, aka 'LTE1800', (1710-1785 MHz (UL), 1805-1880 MHz (DL) with default duplex distance of 95 MHz) is supported.</t>
    </r>
  </si>
  <si>
    <t>MTR-27418</t>
  </si>
  <si>
    <r>
      <rPr>
        <rFont val="Arial"/>
        <b/>
        <color theme="1"/>
        <sz val="10.0"/>
      </rPr>
      <t>Band 4 (AWS)</t>
    </r>
    <r>
      <rPr>
        <rFont val="Arial"/>
        <b val="0"/>
        <color theme="1"/>
        <sz val="10.0"/>
      </rPr>
      <t xml:space="preserve">
LTE FDD mode of operation in the E-UTRAN frequency band 4, aka 'AWS', (1710-1755 MHz (UL), 2110-2155 MHz (DL) with default duplex distance of 400 MHz) is supported.
Mandatory if Band 66 is supported!</t>
    </r>
  </si>
  <si>
    <t>Disabled for EMEA countries by default and will be enabled for countries that have LTE Band 4 deployment in live network</t>
  </si>
  <si>
    <t>MTR-27419</t>
  </si>
  <si>
    <r>
      <rPr>
        <rFont val="Arial"/>
        <b/>
        <color theme="1"/>
        <sz val="10.0"/>
      </rPr>
      <t>Band 5</t>
    </r>
    <r>
      <rPr>
        <rFont val="Arial"/>
        <b val="0"/>
        <color theme="1"/>
        <sz val="10.0"/>
      </rPr>
      <t xml:space="preserve">
LTE FDD mode of operation in the E-UTRAN frequency band 5, aka 'LTE850', (824-849 MHz (UL), 869-894 MHz (DL) with default duplex distance of 45 MHz) is supported.
Mandatory if Band 26 is supported!</t>
    </r>
  </si>
  <si>
    <t>Disabled for EMEA countries by default and will be enabled for countries that have LTE Band 5 deployment in live network</t>
  </si>
  <si>
    <t>MTR-27420</t>
  </si>
  <si>
    <r>
      <rPr>
        <rFont val="Arial"/>
        <b/>
        <color theme="1"/>
        <sz val="10.0"/>
      </rPr>
      <t>Band 7</t>
    </r>
    <r>
      <rPr>
        <rFont val="Arial"/>
        <b val="0"/>
        <color theme="1"/>
        <sz val="10.0"/>
      </rPr>
      <t xml:space="preserve">
LTE FDD mode of operation in the E-UTRAN frequency band 7, aka 'LTE2600', (2500-2570 MHz (UL), 2620-2690 MHz (DL) with default duplex distance of 120 MHz) is supported.</t>
    </r>
  </si>
  <si>
    <t>MTR-27421</t>
  </si>
  <si>
    <r>
      <rPr>
        <rFont val="Arial"/>
        <b/>
        <color theme="1"/>
        <sz val="10.0"/>
      </rPr>
      <t>Band 8</t>
    </r>
    <r>
      <rPr>
        <rFont val="Arial"/>
        <b val="0"/>
        <color theme="1"/>
        <sz val="10.0"/>
      </rPr>
      <t xml:space="preserve">
LTE FDD mode of operation in the E-UTRAN frequency band 8, aka 'LTE900', (880-915 MHz (UL), 925-960 MHz (DL) with default duplex distance of 45 MHz) is supported.</t>
    </r>
  </si>
  <si>
    <t>MTR-31192</t>
  </si>
  <si>
    <r>
      <rPr>
        <rFont val="Arial"/>
        <b/>
        <color theme="1"/>
        <sz val="10.0"/>
      </rPr>
      <t>Band 12</t>
    </r>
    <r>
      <rPr>
        <rFont val="Arial"/>
        <b val="0"/>
        <color theme="1"/>
        <sz val="10.0"/>
      </rPr>
      <t xml:space="preserve"> (extension of band 17)
LTE FDD mode of operation in the E-UTRAN frequency band 12, (699-716 MHz (UL), 729-746 MHz (DL) with default duplex distance of 30 MHz) is supported.</t>
    </r>
  </si>
  <si>
    <t>Disabled for EMEA countries by default and will be enabled for countries that have LTE Band 12 deployment in live network</t>
  </si>
  <si>
    <t>MTR-27422</t>
  </si>
  <si>
    <r>
      <rPr>
        <rFont val="Arial"/>
        <b/>
        <color theme="1"/>
        <sz val="10.0"/>
      </rPr>
      <t>Band 13</t>
    </r>
    <r>
      <rPr>
        <rFont val="Arial"/>
        <b val="0"/>
        <color theme="1"/>
        <sz val="10.0"/>
      </rPr>
      <t xml:space="preserve">
LTE FDD mode of operation in the E-UTRAN frequency band 13, aka 'LTE700 (upper)', (777-787 MHz (UL), 746-756 MHz (DL) with inverse duplex distance of 31 MHz) is supported.</t>
    </r>
  </si>
  <si>
    <t>Disabled for EMEA countries by default and will be enabled for countries that have LTE Band 13 deployment in live network</t>
  </si>
  <si>
    <t>MTR-27423</t>
  </si>
  <si>
    <r>
      <rPr>
        <rFont val="Arial"/>
        <b/>
        <color theme="1"/>
        <sz val="10.0"/>
      </rPr>
      <t>Band 17</t>
    </r>
    <r>
      <rPr>
        <rFont val="Arial"/>
        <b val="0"/>
        <color theme="1"/>
        <sz val="10.0"/>
      </rPr>
      <t xml:space="preserve">
LTE FDD mode of operation in the E-UTRAN frequency band 17, aka 'LTE700 (lower)', (704-716 MHz (UL), 734-746 MHz (DL) with default duplex distance of 30 MHz) is supported.
Mandatory if Band 12 is supported!
</t>
    </r>
    <r>
      <rPr>
        <rFont val="Arial"/>
        <b/>
        <color theme="1"/>
        <sz val="10.0"/>
      </rPr>
      <t>Note:</t>
    </r>
    <r>
      <rPr>
        <rFont val="Arial"/>
        <b val="0"/>
        <color theme="1"/>
        <sz val="10.0"/>
      </rPr>
      <t xml:space="preserve"> Not applicable for Cat M1.</t>
    </r>
  </si>
  <si>
    <t>Disabled for EMEA countries by default and will be enabled for countries that have LTE Band 17 deployment in live network</t>
  </si>
  <si>
    <t>MTR-27424</t>
  </si>
  <si>
    <r>
      <rPr>
        <rFont val="Arial"/>
        <b/>
        <color theme="1"/>
        <sz val="10.0"/>
      </rPr>
      <t>Band 20</t>
    </r>
    <r>
      <rPr>
        <rFont val="Arial"/>
        <b val="0"/>
        <color theme="1"/>
        <sz val="10.0"/>
      </rPr>
      <t xml:space="preserve">
LTE FDD mode of operation in the E-UTRAN frequency band 20, aka 'LTE800/European Digital Dividend', (832-862 MHz (UL), 791-821 MHz (DL) with inverse duplex distance of 41 MHz) is supported.</t>
    </r>
  </si>
  <si>
    <t>MTR-31727</t>
  </si>
  <si>
    <r>
      <rPr>
        <rFont val="Arial"/>
        <b/>
        <color theme="1"/>
        <sz val="10.0"/>
      </rPr>
      <t>Band 25</t>
    </r>
    <r>
      <rPr>
        <rFont val="Arial"/>
        <b val="0"/>
        <color theme="1"/>
        <sz val="10.0"/>
      </rPr>
      <t xml:space="preserve"> (extension of band 2)
LTE FDD mode of operation in the E-UTRAN frequency band 25, aka 'E1900', (1850-1915 MHz (UL), 1930-1995 MHz (DL) with default duplex distance of 80 MHz) is supported.
</t>
    </r>
    <r>
      <rPr>
        <rFont val="Arial"/>
        <b/>
        <color theme="1"/>
        <sz val="10.0"/>
      </rPr>
      <t xml:space="preserve">Note: </t>
    </r>
    <r>
      <rPr>
        <rFont val="Arial"/>
        <b val="0"/>
        <color theme="1"/>
        <sz val="10.0"/>
      </rPr>
      <t>Not applicable for Cat M1.</t>
    </r>
  </si>
  <si>
    <t>Disabled for EMEA countries by default and will be enabled for countries that have LTE Band 25 deployment in live network</t>
  </si>
  <si>
    <t>MTR-31728</t>
  </si>
  <si>
    <r>
      <rPr>
        <rFont val="Arial"/>
        <b/>
        <color theme="1"/>
        <sz val="10.0"/>
      </rPr>
      <t>Band 26</t>
    </r>
    <r>
      <rPr>
        <rFont val="Arial"/>
        <b val="0"/>
        <color theme="1"/>
        <sz val="10.0"/>
      </rPr>
      <t xml:space="preserve"> (extension of band 5)
LTE FDD mode of operation in the E-UTRAN frequency band 26, aka 'e850_UB', (814-849 MHz (UL), 859-894 MHz (DL) with default duplex distance of 45 MHz) is supported.</t>
    </r>
  </si>
  <si>
    <t>Disabled for EMEA countries by default and will be enabled for countries that have LTE Band 26 deployment in live network</t>
  </si>
  <si>
    <t>MTR-30681</t>
  </si>
  <si>
    <r>
      <rPr>
        <rFont val="Arial"/>
        <b/>
        <color theme="1"/>
        <sz val="10.0"/>
      </rPr>
      <t>Band 28</t>
    </r>
    <r>
      <rPr>
        <rFont val="Arial"/>
        <b val="0"/>
        <color theme="1"/>
        <sz val="10.0"/>
      </rPr>
      <t xml:space="preserve">
LTE FDD mode of operation in the E-UTRAN frequency band 28, aka 'LTE_APAC700', (703 – 748 MHz (UL), 758 – 803 MHz (DL) with duplex distance of 55 MHz) is supported.</t>
    </r>
  </si>
  <si>
    <t>LTE Bands 1+3+7+8+20+28, LTE Bands 1+3+7+8+20+28+32</t>
  </si>
  <si>
    <t>MTR-31515</t>
  </si>
  <si>
    <r>
      <rPr>
        <rFont val="Arial"/>
        <b/>
        <color theme="1"/>
        <sz val="10.0"/>
      </rPr>
      <t>Band 32</t>
    </r>
    <r>
      <rPr>
        <rFont val="Arial"/>
        <b val="0"/>
        <color theme="1"/>
        <sz val="10.0"/>
      </rPr>
      <t xml:space="preserve">
Supplementary downlink 1452-1496 MHz
</t>
    </r>
    <r>
      <rPr>
        <rFont val="Arial"/>
        <b/>
        <color theme="1"/>
        <sz val="10.0"/>
      </rPr>
      <t xml:space="preserve">Note: </t>
    </r>
    <r>
      <rPr>
        <rFont val="Arial"/>
        <b val="0"/>
        <color theme="1"/>
        <sz val="10.0"/>
      </rPr>
      <t>Not applicable for Cat M1.</t>
    </r>
  </si>
  <si>
    <t>MTR-32096</t>
  </si>
  <si>
    <r>
      <rPr>
        <rFont val="Arial"/>
        <b/>
        <color theme="1"/>
        <sz val="10.0"/>
      </rPr>
      <t>Band 65</t>
    </r>
    <r>
      <rPr>
        <rFont val="Arial"/>
        <b val="0"/>
        <color theme="1"/>
        <sz val="10.0"/>
      </rPr>
      <t xml:space="preserve">
LTE FDD mode of operation in the E-UTRAN frequency band 65 (1920-2010 MHz (UL), 2110-2200 MHz (DL) with default duplex distance of 190 MHz) is supported.
</t>
    </r>
    <r>
      <rPr>
        <rFont val="Arial"/>
        <b/>
        <color theme="1"/>
        <sz val="10.0"/>
      </rPr>
      <t xml:space="preserve">Note: </t>
    </r>
    <r>
      <rPr>
        <rFont val="Arial"/>
        <b val="0"/>
        <color theme="1"/>
        <sz val="10.0"/>
      </rPr>
      <t>Not applicable for Cat M1.</t>
    </r>
  </si>
  <si>
    <t>Hardware design limitation</t>
  </si>
  <si>
    <t>MTR-32210</t>
  </si>
  <si>
    <r>
      <rPr>
        <rFont val="Arial"/>
        <b/>
        <color theme="1"/>
        <sz val="10.0"/>
      </rPr>
      <t>Band 66</t>
    </r>
    <r>
      <rPr>
        <rFont val="Arial"/>
        <b val="0"/>
        <color theme="1"/>
        <sz val="10.0"/>
      </rPr>
      <t xml:space="preserve"> (extension of AWS band 4)
LTE FDD mode of operation in the E-UTRAN frequency band 66, (1710-1780 MHz (UL), 2110-2200 MHz (DL) with default duplex distance of 400 MHz) is supported.</t>
    </r>
  </si>
  <si>
    <t>Disabled for EMEA countries by default and will be enabled for countries that have LTE Band 66 deployment in live network</t>
  </si>
  <si>
    <t>MTR-33261</t>
  </si>
  <si>
    <r>
      <rPr>
        <rFont val="Arial"/>
        <b/>
        <color theme="1"/>
        <sz val="10.0"/>
      </rPr>
      <t>Band 71</t>
    </r>
    <r>
      <rPr>
        <rFont val="Arial"/>
        <b val="0"/>
        <color theme="1"/>
        <sz val="10.0"/>
      </rPr>
      <t xml:space="preserve">
LTE FDD mode of operation in the E-UTRAN frequency band 71 (663-698 MHz (UL), 617-652 MHz (DL) with default duplex distance of 46 MHz) is supported.</t>
    </r>
  </si>
  <si>
    <t>Disabled for EMEA countries by default and will be enabled for countries that have LTE Band 71 deployment in live network</t>
  </si>
  <si>
    <t>MTR-32072</t>
  </si>
  <si>
    <r>
      <rPr>
        <rFont val="Arial"/>
        <b/>
        <color theme="1"/>
        <sz val="10.0"/>
      </rPr>
      <t>2.1.2.2.2</t>
    </r>
    <r>
      <rPr>
        <rFont val="Arial"/>
        <b val="0"/>
        <color theme="1"/>
        <sz val="10.0"/>
      </rPr>
      <t xml:space="preserve"> </t>
    </r>
    <r>
      <rPr>
        <rFont val="Arial"/>
        <b/>
        <color theme="1"/>
        <sz val="10.0"/>
      </rPr>
      <t>LTE-TDD band support</t>
    </r>
  </si>
  <si>
    <t>MTR-27425</t>
  </si>
  <si>
    <r>
      <rPr>
        <rFont val="Arial"/>
        <b/>
        <color theme="1"/>
        <sz val="10.0"/>
      </rPr>
      <t>Band 33</t>
    </r>
    <r>
      <rPr>
        <rFont val="Arial"/>
        <b val="0"/>
        <color theme="1"/>
        <sz val="10.0"/>
      </rPr>
      <t xml:space="preserve">
LTE TDD mode of operation in the E-UTRAN frequency band 33, (1900-1920 MHz (UL/DL)) is supported.</t>
    </r>
  </si>
  <si>
    <t>MTR-27426</t>
  </si>
  <si>
    <r>
      <rPr>
        <rFont val="Arial"/>
        <b/>
        <color theme="1"/>
        <sz val="10.0"/>
      </rPr>
      <t>Band 38</t>
    </r>
    <r>
      <rPr>
        <rFont val="Arial"/>
        <b val="0"/>
        <color theme="1"/>
        <sz val="10.0"/>
      </rPr>
      <t xml:space="preserve">
LTE TDD mode of operation in the E-UTRAN frequency band 38, (2570-2620 MHz (UL/DL)) is supported.</t>
    </r>
  </si>
  <si>
    <t>MTR-33082</t>
  </si>
  <si>
    <r>
      <rPr>
        <rFont val="Arial"/>
        <b/>
        <color theme="1"/>
        <sz val="10.0"/>
      </rPr>
      <t>Band 39</t>
    </r>
    <r>
      <rPr>
        <rFont val="Arial"/>
        <b val="0"/>
        <color theme="1"/>
        <sz val="10.0"/>
      </rPr>
      <t xml:space="preserve">
LTE TDD mode of operation in the E-UTRAN frequency band 39, (1880-1920 MHz (UL/DL)) is supported.</t>
    </r>
  </si>
  <si>
    <t>Band 39 not supported in SKU</t>
  </si>
  <si>
    <t>MTR-27427</t>
  </si>
  <si>
    <r>
      <rPr>
        <rFont val="Arial"/>
        <b/>
        <color theme="1"/>
        <sz val="10.0"/>
      </rPr>
      <t>Band 40</t>
    </r>
    <r>
      <rPr>
        <rFont val="Arial"/>
        <b val="0"/>
        <color theme="1"/>
        <sz val="10.0"/>
      </rPr>
      <t xml:space="preserve">
LTE TDD mode of operation in the E-UTRAN frequency band 40, (2300-2400 MHz (UL/DL)) is supported.</t>
    </r>
  </si>
  <si>
    <t>MTR-30682</t>
  </si>
  <si>
    <r>
      <rPr>
        <rFont val="Arial"/>
        <b/>
        <color theme="1"/>
        <sz val="10.0"/>
      </rPr>
      <t>Band 41</t>
    </r>
    <r>
      <rPr>
        <rFont val="Arial"/>
        <b val="0"/>
        <color theme="1"/>
        <sz val="10.0"/>
      </rPr>
      <t xml:space="preserve">
LTE TDD mode of operation in the E-UTRAN frequency band 41, (2496-2690 MHz (UL/DL)) is supported.</t>
    </r>
  </si>
  <si>
    <t>Disabled for EMEA countries by default and will be enabled for countries that have LTE Band 41 deployment in live network</t>
  </si>
  <si>
    <t>MTR-30821</t>
  </si>
  <si>
    <t>2015 V1</t>
  </si>
  <si>
    <r>
      <rPr>
        <rFont val="Arial"/>
        <b/>
        <color theme="1"/>
        <sz val="10.0"/>
      </rPr>
      <t>Band 42</t>
    </r>
    <r>
      <rPr>
        <rFont val="Arial"/>
        <b val="0"/>
        <color theme="1"/>
        <sz val="10.0"/>
      </rPr>
      <t xml:space="preserve">
LTE TDD mode of operation in the E-UTRAN frequency band 42, (3400-3600 MHz (UL/DL)) is supported.
</t>
    </r>
    <r>
      <rPr>
        <rFont val="Arial"/>
        <b/>
        <color theme="1"/>
        <sz val="10.0"/>
      </rPr>
      <t>Note:</t>
    </r>
    <r>
      <rPr>
        <rFont val="Arial"/>
        <b val="0"/>
        <color theme="1"/>
        <sz val="10.0"/>
      </rPr>
      <t xml:space="preserve"> Not applicable for Cat M1.</t>
    </r>
  </si>
  <si>
    <t>Disabled for EMEA countries by default and will be enabled for countries that have LTE Band 42 deployment in live network</t>
  </si>
  <si>
    <t>MTR-30823</t>
  </si>
  <si>
    <r>
      <rPr>
        <rFont val="Arial"/>
        <b/>
        <color theme="1"/>
        <sz val="10.0"/>
      </rPr>
      <t>Band 43</t>
    </r>
    <r>
      <rPr>
        <rFont val="Arial"/>
        <b val="0"/>
        <color theme="1"/>
        <sz val="10.0"/>
      </rPr>
      <t xml:space="preserve">
LTE TDD mode of operation in the E-UTRAN frequency band 43, (3600-3800 MHz (UL/DL)) is supported.
</t>
    </r>
    <r>
      <rPr>
        <rFont val="Arial"/>
        <b/>
        <color theme="1"/>
        <sz val="10.0"/>
      </rPr>
      <t xml:space="preserve">Note: </t>
    </r>
    <r>
      <rPr>
        <rFont val="Arial"/>
        <b val="0"/>
        <color theme="1"/>
        <sz val="10.0"/>
      </rPr>
      <t>Not applicable for Cat M1.</t>
    </r>
  </si>
  <si>
    <t>MTR-32097</t>
  </si>
  <si>
    <r>
      <rPr>
        <rFont val="Arial"/>
        <b/>
        <color theme="1"/>
        <sz val="10.0"/>
      </rPr>
      <t>Band 46</t>
    </r>
    <r>
      <rPr>
        <rFont val="Arial"/>
        <b val="0"/>
        <color theme="1"/>
        <sz val="10.0"/>
      </rPr>
      <t xml:space="preserve">
LTE TDD mode of operation in the E-UTRAN frequency band 46, (5150-5925 MHz (UL/DL)) is supported.
</t>
    </r>
    <r>
      <rPr>
        <rFont val="Arial"/>
        <b/>
        <color theme="1"/>
        <sz val="10.0"/>
      </rPr>
      <t xml:space="preserve">Note: </t>
    </r>
    <r>
      <rPr>
        <rFont val="Arial"/>
        <b val="0"/>
        <color theme="1"/>
        <sz val="10.0"/>
      </rPr>
      <t xml:space="preserve">This band is an unlicensed band restricted to licensed-assisted operation.
</t>
    </r>
    <r>
      <rPr>
        <rFont val="Arial"/>
        <b/>
        <color theme="1"/>
        <sz val="10.0"/>
      </rPr>
      <t>Note2:</t>
    </r>
    <r>
      <rPr>
        <rFont val="Arial"/>
        <b val="0"/>
        <color theme="1"/>
        <sz val="10.0"/>
      </rPr>
      <t xml:space="preserve"> Not applicable for Cat M1.</t>
    </r>
  </si>
  <si>
    <t>MTR-34123</t>
  </si>
  <si>
    <t>2020 V2</t>
  </si>
  <si>
    <r>
      <rPr>
        <rFont val="Arial"/>
        <b/>
        <color theme="1"/>
        <sz val="10.0"/>
      </rPr>
      <t>Band 48</t>
    </r>
    <r>
      <rPr>
        <rFont val="Arial"/>
        <b val="0"/>
        <color theme="1"/>
        <sz val="10.0"/>
      </rPr>
      <t xml:space="preserve">
LTE TDD mode of operation in the E-UTRAN frequency band 48, (3550-3700 MHz (UL/DL)) is supported.
CBRS-Band license free US
Note: Not applicable for Cat M1.</t>
    </r>
  </si>
  <si>
    <t>MTR-29015</t>
  </si>
  <si>
    <t>List all further supported LTE bands (not already listed above) under "Comments Vendor"</t>
  </si>
  <si>
    <t>HW support 1, 2, 3, 4, 5, 7, 8, 12, 17, 18, 19, 20, 21, 26, 28, 32, 38(HPUE), 39, 40, 41(HPUE), 42, 66, 75
but only Enable LTE BAND1 ,3 ,7 ,8 ,20 ,28 ,32 ,38 ,40 ,42 for DTAG</t>
  </si>
  <si>
    <t>B1, B2, B3, B4, B5, B7, B8, B12, B17, B18, B19, B20, B26, B28, B32, B38, B40, B41, B42, B66,</t>
  </si>
  <si>
    <t>MTR-31729</t>
  </si>
  <si>
    <r>
      <rPr>
        <rFont val="Arial"/>
        <color theme="1"/>
        <sz val="10.0"/>
      </rPr>
      <t xml:space="preserve">If an E-UTRA UL carrier within 703 MHz and 733 MHz (Band 28) is supported the following applies:
A </t>
    </r>
    <r>
      <rPr>
        <rFont val="Arial"/>
        <b/>
        <color theme="1"/>
        <sz val="10.0"/>
      </rPr>
      <t xml:space="preserve">maximum level of -42 dBm </t>
    </r>
    <r>
      <rPr>
        <rFont val="Arial"/>
        <color theme="1"/>
        <sz val="10.0"/>
      </rPr>
      <t>for Spurious emission band UE co-existence in the frequency range 470 – 694 MHz based on 8 MHz for 5, 10 MHz allocation is supported.</t>
    </r>
  </si>
  <si>
    <t>MTR-31730</t>
  </si>
  <si>
    <r>
      <rPr>
        <rFont val="Arial"/>
        <color theme="1"/>
        <sz val="10.0"/>
      </rPr>
      <t xml:space="preserve">If an E-UTRA UL carrier within 703 MHz and 733 MHz (Band 28) is supported the following applies:
A </t>
    </r>
    <r>
      <rPr>
        <rFont val="Arial"/>
        <b/>
        <color theme="1"/>
        <sz val="10.0"/>
      </rPr>
      <t>maximum level of -57 dBm</t>
    </r>
    <r>
      <rPr>
        <rFont val="Arial"/>
        <color theme="1"/>
        <sz val="10.0"/>
      </rPr>
      <t xml:space="preserve"> as the maximum Equivalent isotropically radiated power (EIRP max) in the frequency range 470 – 694 MHz based on 8 MHz in those regions in Germany is supported where TV channel 48 is used and the TV broadcast supply condition “portable indoor” applies.</t>
    </r>
  </si>
  <si>
    <t>MTR-34417</t>
  </si>
  <si>
    <r>
      <rPr>
        <rFont val="Arial"/>
        <b/>
        <color theme="1"/>
        <sz val="10.0"/>
      </rPr>
      <t>2.1.2.3</t>
    </r>
    <r>
      <rPr>
        <rFont val="Arial"/>
        <b val="0"/>
        <color theme="1"/>
        <sz val="10.0"/>
      </rPr>
      <t xml:space="preserve"> </t>
    </r>
    <r>
      <rPr>
        <rFont val="Arial"/>
        <b/>
        <color theme="1"/>
        <sz val="10.0"/>
      </rPr>
      <t>NR band support</t>
    </r>
  </si>
  <si>
    <t>OEM, DataOnly, Chipset</t>
  </si>
  <si>
    <t>MTR-33583</t>
  </si>
  <si>
    <r>
      <rPr>
        <rFont val="Arial"/>
        <b/>
        <color theme="1"/>
        <sz val="10.0"/>
      </rPr>
      <t>2.1.2.3.1</t>
    </r>
    <r>
      <rPr>
        <rFont val="Arial"/>
        <b val="0"/>
        <color theme="1"/>
        <sz val="10.0"/>
      </rPr>
      <t xml:space="preserve"> </t>
    </r>
    <r>
      <rPr>
        <rFont val="Arial"/>
        <b/>
        <color theme="1"/>
        <sz val="10.0"/>
      </rPr>
      <t>NR FR1 FDD Bands</t>
    </r>
  </si>
  <si>
    <t>MTR-33584</t>
  </si>
  <si>
    <r>
      <rPr>
        <rFont val="Arial"/>
        <b/>
        <color theme="1"/>
        <sz val="10.0"/>
      </rPr>
      <t xml:space="preserve">n1 </t>
    </r>
    <r>
      <rPr>
        <rFont val="Arial"/>
        <b val="0"/>
        <color theme="1"/>
        <sz val="10.0"/>
      </rPr>
      <t>(UL: 1920 MHz – 1980 MHz, DL: 2110 MHz – 2170 MHz)
with channel bandwiths of 5, 10, 15, 20 MHz and SCS of 15 kHz is supported.</t>
    </r>
  </si>
  <si>
    <t>MTR-39438</t>
  </si>
  <si>
    <r>
      <rPr>
        <rFont val="Arial"/>
        <color theme="1"/>
        <sz val="10.0"/>
      </rPr>
      <t xml:space="preserve">For NR band </t>
    </r>
    <r>
      <rPr>
        <rFont val="Arial"/>
        <b/>
        <color theme="1"/>
        <sz val="10.0"/>
      </rPr>
      <t>n1</t>
    </r>
    <r>
      <rPr>
        <rFont val="Arial"/>
        <color theme="1"/>
        <sz val="10.0"/>
      </rPr>
      <t xml:space="preserve"> the following </t>
    </r>
    <r>
      <rPr>
        <rFont val="Arial"/>
        <b/>
        <color theme="1"/>
        <sz val="10.0"/>
      </rPr>
      <t>essential additional channel bandwidths</t>
    </r>
    <r>
      <rPr>
        <rFont val="Arial"/>
        <color theme="1"/>
        <sz val="10.0"/>
      </rPr>
      <t xml:space="preserve"> are supported: 
25, 30 MHz with SCS of 15 kHz.</t>
    </r>
  </si>
  <si>
    <t>n1 only supports for 5, 10, 15 and 20 MHz.</t>
  </si>
  <si>
    <t>MTR-35711</t>
  </si>
  <si>
    <r>
      <rPr>
        <rFont val="Arial"/>
        <color theme="1"/>
        <sz val="10.0"/>
      </rPr>
      <t xml:space="preserve">For NR band </t>
    </r>
    <r>
      <rPr>
        <rFont val="Arial"/>
        <b/>
        <color theme="1"/>
        <sz val="10.0"/>
      </rPr>
      <t>n1</t>
    </r>
    <r>
      <rPr>
        <rFont val="Arial"/>
        <color theme="1"/>
        <sz val="10.0"/>
      </rPr>
      <t xml:space="preserve"> the following </t>
    </r>
    <r>
      <rPr>
        <rFont val="Arial"/>
        <b/>
        <color theme="1"/>
        <sz val="10.0"/>
      </rPr>
      <t>additional channel bandwidths</t>
    </r>
    <r>
      <rPr>
        <rFont val="Arial"/>
        <color theme="1"/>
        <sz val="10.0"/>
      </rPr>
      <t xml:space="preserve"> are supported: 
40, 45, 50 MHz with SCS of 15 kHz.</t>
    </r>
  </si>
  <si>
    <t>Only 40, 50 MHz</t>
  </si>
  <si>
    <t>MTR-33585</t>
  </si>
  <si>
    <r>
      <rPr>
        <rFont val="Arial"/>
        <b/>
        <color theme="1"/>
        <sz val="10.0"/>
      </rPr>
      <t>n3</t>
    </r>
    <r>
      <rPr>
        <rFont val="Arial"/>
        <b val="0"/>
        <color theme="1"/>
        <sz val="10.0"/>
      </rPr>
      <t xml:space="preserve"> (UL: 1710 MHz – 1785 MHz, DL: 1805 MHz – 1880 MHz)
with channel bandwiths of 5, 10, 15, 20 MHz and SCS of 15 kHz is supported.</t>
    </r>
  </si>
  <si>
    <t>MTR-39439</t>
  </si>
  <si>
    <r>
      <rPr>
        <rFont val="Arial"/>
        <color theme="1"/>
        <sz val="10.0"/>
      </rPr>
      <t xml:space="preserve">For NR band </t>
    </r>
    <r>
      <rPr>
        <rFont val="Arial"/>
        <b/>
        <color theme="1"/>
        <sz val="10.0"/>
      </rPr>
      <t>n3</t>
    </r>
    <r>
      <rPr>
        <rFont val="Arial"/>
        <color theme="1"/>
        <sz val="10.0"/>
      </rPr>
      <t xml:space="preserve"> the following </t>
    </r>
    <r>
      <rPr>
        <rFont val="Arial"/>
        <b/>
        <color theme="1"/>
        <sz val="10.0"/>
      </rPr>
      <t>essential additional channel bandwidths</t>
    </r>
    <r>
      <rPr>
        <rFont val="Arial"/>
        <color theme="1"/>
        <sz val="10.0"/>
      </rPr>
      <t xml:space="preserve"> are supported: 
25, 30 MHz with SCS of 15 kHz.</t>
    </r>
  </si>
  <si>
    <t>MTR-34523</t>
  </si>
  <si>
    <r>
      <rPr>
        <rFont val="Arial"/>
        <color theme="1"/>
        <sz val="10.0"/>
      </rPr>
      <t xml:space="preserve">For NR band </t>
    </r>
    <r>
      <rPr>
        <rFont val="Arial"/>
        <b/>
        <color theme="1"/>
        <sz val="10.0"/>
      </rPr>
      <t>n3</t>
    </r>
    <r>
      <rPr>
        <rFont val="Arial"/>
        <color theme="1"/>
        <sz val="10.0"/>
      </rPr>
      <t xml:space="preserve"> the following </t>
    </r>
    <r>
      <rPr>
        <rFont val="Arial"/>
        <b/>
        <color theme="1"/>
        <sz val="10.0"/>
      </rPr>
      <t>additional channel bandwidths</t>
    </r>
    <r>
      <rPr>
        <rFont val="Arial"/>
        <color theme="1"/>
        <sz val="10.0"/>
      </rPr>
      <t xml:space="preserve"> are supported: 
35, 40, 45, 50 MHz with SCS of 15 kHz.</t>
    </r>
  </si>
  <si>
    <t>MTR-33586</t>
  </si>
  <si>
    <r>
      <rPr>
        <rFont val="Arial"/>
        <b/>
        <color theme="1"/>
        <sz val="10.0"/>
      </rPr>
      <t>n7</t>
    </r>
    <r>
      <rPr>
        <rFont val="Arial"/>
        <b val="0"/>
        <color theme="1"/>
        <sz val="10.0"/>
      </rPr>
      <t xml:space="preserve"> (UL: 2500 MHz – 2570 MHz, DL: 2620 MHz – 2690 MHz)
with channel bandwiths of 5, 10, 15, 20 MHz and SCS of 15 kHz is supported.</t>
    </r>
  </si>
  <si>
    <t>MTR-39440</t>
  </si>
  <si>
    <r>
      <rPr>
        <rFont val="Arial"/>
        <color theme="1"/>
        <sz val="10.0"/>
      </rPr>
      <t xml:space="preserve">For NR band </t>
    </r>
    <r>
      <rPr>
        <rFont val="Arial"/>
        <b/>
        <color theme="1"/>
        <sz val="10.0"/>
      </rPr>
      <t>n7</t>
    </r>
    <r>
      <rPr>
        <rFont val="Arial"/>
        <color theme="1"/>
        <sz val="10.0"/>
      </rPr>
      <t xml:space="preserve"> the following </t>
    </r>
    <r>
      <rPr>
        <rFont val="Arial"/>
        <b/>
        <color theme="1"/>
        <sz val="10.0"/>
      </rPr>
      <t>essential additional channel bandwidths</t>
    </r>
    <r>
      <rPr>
        <rFont val="Arial"/>
        <color theme="1"/>
        <sz val="10.0"/>
      </rPr>
      <t xml:space="preserve"> are supported: 
25, 30, 40 MHz with SCS of 15 kHz.</t>
    </r>
  </si>
  <si>
    <t>MTR-34976</t>
  </si>
  <si>
    <t>2021 V1</t>
  </si>
  <si>
    <r>
      <rPr>
        <rFont val="Arial"/>
        <color theme="1"/>
        <sz val="10.0"/>
      </rPr>
      <t xml:space="preserve">For NR band </t>
    </r>
    <r>
      <rPr>
        <rFont val="Arial"/>
        <b/>
        <color theme="1"/>
        <sz val="10.0"/>
      </rPr>
      <t>n7</t>
    </r>
    <r>
      <rPr>
        <rFont val="Arial"/>
        <color theme="1"/>
        <sz val="10.0"/>
      </rPr>
      <t xml:space="preserve"> the following </t>
    </r>
    <r>
      <rPr>
        <rFont val="Arial"/>
        <b/>
        <color theme="1"/>
        <sz val="10.0"/>
      </rPr>
      <t>additional channel bandwidths</t>
    </r>
    <r>
      <rPr>
        <rFont val="Arial"/>
        <color theme="1"/>
        <sz val="10.0"/>
      </rPr>
      <t xml:space="preserve"> are supported: 
35, 50 MHz with SCS of 15 kHz.</t>
    </r>
  </si>
  <si>
    <t>MTR-33587</t>
  </si>
  <si>
    <r>
      <rPr>
        <rFont val="Arial"/>
        <b/>
        <color theme="1"/>
        <sz val="10.0"/>
      </rPr>
      <t>n8</t>
    </r>
    <r>
      <rPr>
        <rFont val="Arial"/>
        <b val="0"/>
        <color theme="1"/>
        <sz val="10.0"/>
      </rPr>
      <t xml:space="preserve"> (UL: 880 MHz – 915 MHz, DL: 925 MHz – 960 MHz)
with channel bandwiths of 5, 10, 15, 20 MHz and SCS of 15 kHz is supported.</t>
    </r>
  </si>
  <si>
    <t>MTR-39441</t>
  </si>
  <si>
    <r>
      <rPr>
        <rFont val="Arial"/>
        <color theme="1"/>
        <sz val="10.0"/>
      </rPr>
      <t xml:space="preserve">For NR band </t>
    </r>
    <r>
      <rPr>
        <rFont val="Arial"/>
        <b/>
        <color theme="1"/>
        <sz val="10.0"/>
      </rPr>
      <t>n8</t>
    </r>
    <r>
      <rPr>
        <rFont val="Arial"/>
        <color theme="1"/>
        <sz val="10.0"/>
      </rPr>
      <t xml:space="preserve"> the following </t>
    </r>
    <r>
      <rPr>
        <rFont val="Arial"/>
        <b/>
        <color theme="1"/>
        <sz val="10.0"/>
      </rPr>
      <t>additional channel bandwidths</t>
    </r>
    <r>
      <rPr>
        <rFont val="Arial"/>
        <color theme="1"/>
        <sz val="10.0"/>
      </rPr>
      <t xml:space="preserve"> are supported: 
25, 30, 35 MHz with SCS of 15 kHz.
</t>
    </r>
    <r>
      <rPr>
        <rFont val="Arial"/>
        <i/>
        <color theme="1"/>
        <sz val="10.0"/>
      </rPr>
      <t>Note: As per 3GPP TS38.101-1 these bandwidths are applicable for downlink only!</t>
    </r>
  </si>
  <si>
    <t>Only 25 MHz</t>
  </si>
  <si>
    <t>MTR-33588</t>
  </si>
  <si>
    <r>
      <rPr>
        <rFont val="Arial"/>
        <b/>
        <color theme="1"/>
        <sz val="10.0"/>
      </rPr>
      <t>n20</t>
    </r>
    <r>
      <rPr>
        <rFont val="Arial"/>
        <b val="0"/>
        <color theme="1"/>
        <sz val="10.0"/>
      </rPr>
      <t xml:space="preserve"> (UL: 832 MHz – 862 MHz, DL: 791 MHz – 821 MHz)
with channel bandwiths of 5, 10, 15, 20 MHz and SCS of 15 kHz is supported.</t>
    </r>
  </si>
  <si>
    <t>MTR-33589</t>
  </si>
  <si>
    <r>
      <rPr>
        <rFont val="Arial"/>
        <b/>
        <color theme="1"/>
        <sz val="10.0"/>
      </rPr>
      <t>n28</t>
    </r>
    <r>
      <rPr>
        <rFont val="Arial"/>
        <b val="0"/>
        <color theme="1"/>
        <sz val="10.0"/>
      </rPr>
      <t xml:space="preserve"> (UL: 703 MHz – 748 MHz, DL: 758 MHz – 803 MHz)
with channel bandwiths of 5, 10, 15, 20 MHz and SCS of 15 kHz is supported.</t>
    </r>
  </si>
  <si>
    <t>MTR-35712</t>
  </si>
  <si>
    <r>
      <rPr>
        <rFont val="Arial"/>
        <color theme="1"/>
        <sz val="10.0"/>
      </rPr>
      <t xml:space="preserve">For NR band </t>
    </r>
    <r>
      <rPr>
        <rFont val="Arial"/>
        <b/>
        <color theme="1"/>
        <sz val="10.0"/>
      </rPr>
      <t>n28</t>
    </r>
    <r>
      <rPr>
        <rFont val="Arial"/>
        <color theme="1"/>
        <sz val="10.0"/>
      </rPr>
      <t xml:space="preserve"> the following </t>
    </r>
    <r>
      <rPr>
        <rFont val="Arial"/>
        <b/>
        <color theme="1"/>
        <sz val="10.0"/>
      </rPr>
      <t>additional channel bandwidths</t>
    </r>
    <r>
      <rPr>
        <rFont val="Arial"/>
        <color theme="1"/>
        <sz val="10.0"/>
      </rPr>
      <t xml:space="preserve"> are supported: 
25, 30 MHz with SCS of 15 kHz.</t>
    </r>
  </si>
  <si>
    <t>MTR-35702</t>
  </si>
  <si>
    <r>
      <rPr>
        <rFont val="Arial"/>
        <b/>
        <color theme="1"/>
        <sz val="10.0"/>
      </rPr>
      <t>30 kHz SubCarrierSpacing (SCS)</t>
    </r>
    <r>
      <rPr>
        <rFont val="Arial"/>
        <b val="0"/>
        <color theme="1"/>
        <sz val="10.0"/>
      </rPr>
      <t xml:space="preserve"> is supported for the following NR FDD bands:
n1, n3, n7, n8, n20, n28
(if the specific band is supported at all)</t>
    </r>
  </si>
  <si>
    <t>MTR-35703</t>
  </si>
  <si>
    <r>
      <rPr>
        <rFont val="Arial"/>
        <b/>
        <color theme="1"/>
        <sz val="10.0"/>
      </rPr>
      <t>60 kHz SubCarrierSpacing (SCS)</t>
    </r>
    <r>
      <rPr>
        <rFont val="Arial"/>
        <b val="0"/>
        <color theme="1"/>
        <sz val="10.0"/>
      </rPr>
      <t xml:space="preserve"> is supported for the following NR FDD bands:
n1, n3, n7
(if the specific band is supported at all)</t>
    </r>
  </si>
  <si>
    <t>MTR-33590</t>
  </si>
  <si>
    <r>
      <rPr>
        <rFont val="Arial"/>
        <b/>
        <color theme="1"/>
        <sz val="10.0"/>
      </rPr>
      <t>2.1.2.3.2</t>
    </r>
    <r>
      <rPr>
        <rFont val="Arial"/>
        <b val="0"/>
        <color theme="1"/>
        <sz val="10.0"/>
      </rPr>
      <t xml:space="preserve"> </t>
    </r>
    <r>
      <rPr>
        <rFont val="Arial"/>
        <b/>
        <color theme="1"/>
        <sz val="10.0"/>
      </rPr>
      <t>NR FR1 TDD Bands</t>
    </r>
  </si>
  <si>
    <t>MTR-33591</t>
  </si>
  <si>
    <r>
      <rPr>
        <rFont val="Arial"/>
        <b/>
        <color theme="1"/>
        <sz val="10.0"/>
      </rPr>
      <t xml:space="preserve">n38 </t>
    </r>
    <r>
      <rPr>
        <rFont val="Arial"/>
        <b val="0"/>
        <color theme="1"/>
        <sz val="10.0"/>
      </rPr>
      <t>(2570 MHz – 2620 MHz)
with channel bandwiths of 10, 15, 20 MHz and SCS of 30 kHz is supported.</t>
    </r>
  </si>
  <si>
    <t>n38 does not support bandwidth of 5 MHz.</t>
  </si>
  <si>
    <t>MTR-34977</t>
  </si>
  <si>
    <r>
      <rPr>
        <rFont val="Arial"/>
        <color theme="1"/>
        <sz val="10.0"/>
      </rPr>
      <t xml:space="preserve">For NR band n38 the following </t>
    </r>
    <r>
      <rPr>
        <rFont val="Arial"/>
        <b/>
        <color theme="1"/>
        <sz val="10.0"/>
      </rPr>
      <t>additional channel bandwidths</t>
    </r>
    <r>
      <rPr>
        <rFont val="Arial"/>
        <color theme="1"/>
        <sz val="10.0"/>
      </rPr>
      <t xml:space="preserve"> are supported: 
25, 30, 40 MHz with SCS of 30 kHz.</t>
    </r>
  </si>
  <si>
    <t>MTR-33593</t>
  </si>
  <si>
    <r>
      <rPr>
        <rFont val="Arial"/>
        <b/>
        <color theme="1"/>
        <sz val="10.0"/>
      </rPr>
      <t>n78</t>
    </r>
    <r>
      <rPr>
        <rFont val="Arial"/>
        <b val="0"/>
        <color theme="1"/>
        <sz val="10.0"/>
      </rPr>
      <t xml:space="preserve"> (3300 MHz – 3800 MHz)
with channel bandwiths of 10, 15, 20, 25, 30, 40, 50, 60, 70, 80, 90, 100 MHz and SCS of 30 kHz is supported.</t>
    </r>
  </si>
  <si>
    <t>MTR-35704</t>
  </si>
  <si>
    <r>
      <rPr>
        <rFont val="Arial"/>
        <b/>
        <color theme="1"/>
        <sz val="10.0"/>
      </rPr>
      <t>15 kHz SubCarrierSpacing (SCS)</t>
    </r>
    <r>
      <rPr>
        <rFont val="Arial"/>
        <b val="0"/>
        <color theme="1"/>
        <sz val="10.0"/>
      </rPr>
      <t xml:space="preserve"> is supported for the following NR TDD bands:
n38, n78
(if the specific band is supported at all)</t>
    </r>
  </si>
  <si>
    <t>NR TDD bands only support SCS 30kHz</t>
  </si>
  <si>
    <t>MTR-35705</t>
  </si>
  <si>
    <r>
      <rPr>
        <rFont val="Arial"/>
        <b/>
        <color theme="1"/>
        <sz val="10.0"/>
      </rPr>
      <t>60 kHz SubCarrierSpacing (SCS)</t>
    </r>
    <r>
      <rPr>
        <rFont val="Arial"/>
        <b val="0"/>
        <color theme="1"/>
        <sz val="10.0"/>
      </rPr>
      <t xml:space="preserve"> is supported for the following NR TDD bands:
n38, n78
(if the specific band is supported at all)</t>
    </r>
  </si>
  <si>
    <t>MTR-33595</t>
  </si>
  <si>
    <r>
      <rPr>
        <rFont val="Arial"/>
        <b/>
        <color theme="1"/>
        <sz val="10.0"/>
      </rPr>
      <t>2.1.2.3.3</t>
    </r>
    <r>
      <rPr>
        <rFont val="Arial"/>
        <b val="0"/>
        <color theme="1"/>
        <sz val="10.0"/>
      </rPr>
      <t xml:space="preserve"> </t>
    </r>
    <r>
      <rPr>
        <rFont val="Arial"/>
        <b/>
        <color theme="1"/>
        <sz val="10.0"/>
      </rPr>
      <t>NR FR1 SDL Bands</t>
    </r>
  </si>
  <si>
    <t>MTR-33596</t>
  </si>
  <si>
    <r>
      <rPr>
        <rFont val="Arial"/>
        <b/>
        <color theme="1"/>
        <sz val="10.0"/>
      </rPr>
      <t>n75</t>
    </r>
    <r>
      <rPr>
        <rFont val="Arial"/>
        <b val="0"/>
        <color theme="1"/>
        <sz val="10.0"/>
      </rPr>
      <t xml:space="preserve"> (1432 MHz – 1517 MHz)
with channel bandwiths of 5, 10, 15, 20, 25, 30 MHz and SCS of 15 kHz is supported.</t>
    </r>
  </si>
  <si>
    <t>n75 only supports bandwidth of 5, 10, 15 and 20 MHz with SCS 15 KHz.
Default disabled as n75 is SDL only and will be enabled for countries that have n75 deployment in live network.</t>
  </si>
  <si>
    <t>MTR-39442</t>
  </si>
  <si>
    <r>
      <rPr>
        <rFont val="Arial"/>
        <color theme="1"/>
        <sz val="10.0"/>
      </rPr>
      <t xml:space="preserve">For NR band </t>
    </r>
    <r>
      <rPr>
        <rFont val="Arial"/>
        <b/>
        <color theme="1"/>
        <sz val="10.0"/>
      </rPr>
      <t xml:space="preserve">n75 </t>
    </r>
    <r>
      <rPr>
        <rFont val="Arial"/>
        <color theme="1"/>
        <sz val="10.0"/>
      </rPr>
      <t xml:space="preserve">the following </t>
    </r>
    <r>
      <rPr>
        <rFont val="Arial"/>
        <b/>
        <color theme="1"/>
        <sz val="10.0"/>
      </rPr>
      <t>additional channel bandwidths</t>
    </r>
    <r>
      <rPr>
        <rFont val="Arial"/>
        <color theme="1"/>
        <sz val="10.0"/>
      </rPr>
      <t xml:space="preserve"> are supported: 
40, 50 MHz with SCS of 15 kHz.</t>
    </r>
  </si>
  <si>
    <t>n75 only supports bandwidth of 5, 10, 15 and 20 MHz with SCS 15 KHz.</t>
  </si>
  <si>
    <t>MTR-39443</t>
  </si>
  <si>
    <r>
      <rPr>
        <rFont val="Arial"/>
        <b/>
        <color theme="1"/>
        <sz val="10.0"/>
      </rPr>
      <t>30 kHz SubCarrierSpacing (SCS)</t>
    </r>
    <r>
      <rPr>
        <rFont val="Arial"/>
        <b val="0"/>
        <color theme="1"/>
        <sz val="10.0"/>
      </rPr>
      <t xml:space="preserve"> is supported for the following NR SDL bands:
n75
(if the specific band is supported at all)</t>
    </r>
  </si>
  <si>
    <t>MTR-39444</t>
  </si>
  <si>
    <r>
      <rPr>
        <rFont val="Arial"/>
        <b/>
        <color theme="1"/>
        <sz val="10.0"/>
      </rPr>
      <t>60 kHz SubCarrierSpacing (SCS)</t>
    </r>
    <r>
      <rPr>
        <rFont val="Arial"/>
        <b val="0"/>
        <color theme="1"/>
        <sz val="10.0"/>
      </rPr>
      <t xml:space="preserve"> is supported for the following NR SDL bands:
n75
(if the specific band is supported at all)</t>
    </r>
  </si>
  <si>
    <t>MTR-33597</t>
  </si>
  <si>
    <r>
      <rPr>
        <rFont val="Arial"/>
        <b/>
        <color theme="1"/>
        <sz val="10.0"/>
      </rPr>
      <t>2.1.2.3.4</t>
    </r>
    <r>
      <rPr>
        <rFont val="Arial"/>
        <b val="0"/>
        <color theme="1"/>
        <sz val="10.0"/>
      </rPr>
      <t xml:space="preserve"> </t>
    </r>
    <r>
      <rPr>
        <rFont val="Arial"/>
        <b/>
        <color theme="1"/>
        <sz val="10.0"/>
      </rPr>
      <t>NR FR1 SUL Bands</t>
    </r>
  </si>
  <si>
    <t>MTR-33598</t>
  </si>
  <si>
    <r>
      <rPr>
        <rFont val="Arial"/>
        <b/>
        <color theme="1"/>
        <sz val="10.0"/>
      </rPr>
      <t xml:space="preserve">n80 </t>
    </r>
    <r>
      <rPr>
        <rFont val="Arial"/>
        <b val="0"/>
        <color theme="1"/>
        <sz val="10.0"/>
      </rPr>
      <t>(1710 MHz – 1785 MHz)
with channel bandwiths of 5, 10, 15, 20, 25, 30, 40 MHz and SCS of 15 kHz is supported.</t>
    </r>
  </si>
  <si>
    <t>PMW-AS</t>
  </si>
  <si>
    <t>MTR-33599</t>
  </si>
  <si>
    <r>
      <rPr>
        <rFont val="Arial"/>
        <b/>
        <color theme="1"/>
        <sz val="10.0"/>
      </rPr>
      <t>n81</t>
    </r>
    <r>
      <rPr>
        <rFont val="Arial"/>
        <b val="0"/>
        <color theme="1"/>
        <sz val="10.0"/>
      </rPr>
      <t xml:space="preserve"> (880 MHz – 915 MHz)
with channel bandwiths of 5, 10, 15, 20 MHz and SCS of 15 kHz is supported.</t>
    </r>
  </si>
  <si>
    <t>MTR-33600</t>
  </si>
  <si>
    <r>
      <rPr>
        <rFont val="Arial"/>
        <b/>
        <color theme="1"/>
        <sz val="10.0"/>
      </rPr>
      <t>n82</t>
    </r>
    <r>
      <rPr>
        <rFont val="Arial"/>
        <b val="0"/>
        <color theme="1"/>
        <sz val="10.0"/>
      </rPr>
      <t xml:space="preserve"> (832 MHz – 862 MHz)
with channel bandwiths of 5, 10, 15, 20 MHz and SCS of 15 kHz is supported.</t>
    </r>
  </si>
  <si>
    <t>MTR-33601</t>
  </si>
  <si>
    <r>
      <rPr>
        <rFont val="Arial"/>
        <b/>
        <color theme="1"/>
        <sz val="10.0"/>
      </rPr>
      <t>n83</t>
    </r>
    <r>
      <rPr>
        <rFont val="Arial"/>
        <b val="0"/>
        <color theme="1"/>
        <sz val="10.0"/>
      </rPr>
      <t xml:space="preserve"> (703 MHz – 748 MHz)
with channel bandwiths of 5, 10, 15, 20, 25, 30 MHz and SCS of 15 kHz is supported.</t>
    </r>
  </si>
  <si>
    <t>MTR-33602</t>
  </si>
  <si>
    <r>
      <rPr>
        <rFont val="Arial"/>
        <b/>
        <color theme="1"/>
        <sz val="10.0"/>
      </rPr>
      <t xml:space="preserve">n84 </t>
    </r>
    <r>
      <rPr>
        <rFont val="Arial"/>
        <b val="0"/>
        <color theme="1"/>
        <sz val="10.0"/>
      </rPr>
      <t>(1920 MHz – 1980 MHz)
with channel bandwiths of 5, 10, 15, 20, 25, 30, 40, 50 MHz and SCS of 15 kHz is supported.</t>
    </r>
  </si>
  <si>
    <t>MTR-35713</t>
  </si>
  <si>
    <r>
      <rPr>
        <rFont val="Arial"/>
        <b/>
        <color theme="1"/>
        <sz val="10.0"/>
      </rPr>
      <t>2.1.2.3.5</t>
    </r>
    <r>
      <rPr>
        <rFont val="Arial"/>
        <b val="0"/>
        <color theme="1"/>
        <sz val="10.0"/>
      </rPr>
      <t xml:space="preserve"> </t>
    </r>
    <r>
      <rPr>
        <rFont val="Arial"/>
        <b/>
        <color theme="1"/>
        <sz val="10.0"/>
      </rPr>
      <t>NR FR1 Combined SDL+SUL Bands</t>
    </r>
  </si>
  <si>
    <t>MTR-34978</t>
  </si>
  <si>
    <r>
      <rPr>
        <rFont val="Arial"/>
        <b/>
        <color theme="1"/>
        <sz val="10.0"/>
      </rPr>
      <t>n91</t>
    </r>
    <r>
      <rPr>
        <rFont val="Arial"/>
        <b val="0"/>
        <color theme="1"/>
        <sz val="10.0"/>
      </rPr>
      <t xml:space="preserve"> (UL: 832 MHz – 862 MHz, DL: 1427 MHz – 1432 MHz)
with channel bandwiths of 5, 10 MHz and SCS of 15 kHz is supported.</t>
    </r>
  </si>
  <si>
    <t>MTR-34979</t>
  </si>
  <si>
    <r>
      <rPr>
        <rFont val="Arial"/>
        <b/>
        <color theme="1"/>
        <sz val="10.0"/>
      </rPr>
      <t>n92</t>
    </r>
    <r>
      <rPr>
        <rFont val="Arial"/>
        <b val="0"/>
        <color theme="1"/>
        <sz val="10.0"/>
      </rPr>
      <t xml:space="preserve"> (UL: 832 MHz – 862 MHz, DL: 1432 MHz – 1517 MHz)
with channel bandwiths of 5, 10, 15, 20 MHz and SCS of 15 kHz is supported.</t>
    </r>
  </si>
  <si>
    <t>MTR-34980</t>
  </si>
  <si>
    <r>
      <rPr>
        <rFont val="Arial"/>
        <b/>
        <color theme="1"/>
        <sz val="10.0"/>
      </rPr>
      <t>n93</t>
    </r>
    <r>
      <rPr>
        <rFont val="Arial"/>
        <b val="0"/>
        <color theme="1"/>
        <sz val="10.0"/>
      </rPr>
      <t xml:space="preserve"> (UL: 880 MHz – 915 MHz, DL: 1427 MHz – 1432 MHz)
with channel bandwiths of 5, 10 MHz and SCS of 15 kHz is supported.</t>
    </r>
  </si>
  <si>
    <t>MTR-34981</t>
  </si>
  <si>
    <r>
      <rPr>
        <rFont val="Arial"/>
        <b/>
        <color theme="1"/>
        <sz val="10.0"/>
      </rPr>
      <t>n94</t>
    </r>
    <r>
      <rPr>
        <rFont val="Arial"/>
        <b val="0"/>
        <color theme="1"/>
        <sz val="10.0"/>
      </rPr>
      <t xml:space="preserve"> (UL: 880 MHz – 915 MHz, DL: 1432 MHz – 1517 MHz)
with channel bandwiths of 5, 10, 15, 20 MHz and SCS of 15 kHz is supported.</t>
    </r>
  </si>
  <si>
    <t>MTR-35719</t>
  </si>
  <si>
    <r>
      <rPr>
        <rFont val="Arial"/>
        <b/>
        <color theme="1"/>
        <sz val="10.0"/>
      </rPr>
      <t>2.1.2.3.6</t>
    </r>
    <r>
      <rPr>
        <rFont val="Arial"/>
        <b val="0"/>
        <color theme="1"/>
        <sz val="10.0"/>
      </rPr>
      <t xml:space="preserve"> </t>
    </r>
    <r>
      <rPr>
        <rFont val="Arial"/>
        <b/>
        <color theme="1"/>
        <sz val="10.0"/>
      </rPr>
      <t>NR Other Bands</t>
    </r>
  </si>
  <si>
    <t>MTR-35723</t>
  </si>
  <si>
    <r>
      <rPr>
        <rFont val="Arial"/>
        <b/>
        <color theme="1"/>
        <sz val="10.0"/>
      </rPr>
      <t xml:space="preserve">n5 </t>
    </r>
    <r>
      <rPr>
        <rFont val="Arial"/>
        <b val="0"/>
        <color theme="1"/>
        <sz val="10.0"/>
      </rPr>
      <t>(UL: 824 MHz – 849 MHz, DL: 869 MHz – 894 MHz)
with channel bandwiths of 5, 10, 15, 20, 25 MHz and SCS of 15 kHz is supported.</t>
    </r>
  </si>
  <si>
    <t>Disabled for EMEA countries by default and will be enabled for countries that have NR n5 deployment in live network</t>
  </si>
  <si>
    <t>n5 does not support SCS 30 KHz.
Disabled for EMEA countries by default and will be enabled for countries that have NR n5 deployment in live network</t>
  </si>
  <si>
    <t>MTR-35227</t>
  </si>
  <si>
    <r>
      <rPr>
        <rFont val="Arial"/>
        <b/>
        <color theme="1"/>
        <sz val="10.0"/>
      </rPr>
      <t xml:space="preserve">n40 </t>
    </r>
    <r>
      <rPr>
        <rFont val="Arial"/>
        <b val="0"/>
        <color theme="1"/>
        <sz val="10.0"/>
      </rPr>
      <t>(2300 MHz – 2400 MHz)
with channel bandwiths of 5, 10, 15, 20, 25, 30, 40, 50, 60, 70, 80 , 90, 100 MHz and SCS of 30 kHz is supported.</t>
    </r>
  </si>
  <si>
    <t>n40 does not support bandiwdth of 5 MHz.
SCS only supports 30 KHz.
Disabled for EMEA countries by default and will be enabled for countries that have NR n40 deployment in live network</t>
  </si>
  <si>
    <t>n40 does not support bandiwdth of 5, 15 and 25 MHz.
SCS only supports 30 KHz.
Disabled for EMEA countries by default and will be enabled for countries that have NR n40 deployment in live network</t>
  </si>
  <si>
    <t>MTR-34675</t>
  </si>
  <si>
    <r>
      <rPr>
        <rFont val="Arial"/>
        <b/>
        <color theme="1"/>
        <sz val="10.0"/>
      </rPr>
      <t xml:space="preserve">n41 </t>
    </r>
    <r>
      <rPr>
        <rFont val="Arial"/>
        <b val="0"/>
        <color theme="1"/>
        <sz val="10.0"/>
      </rPr>
      <t>(2496 MHz – 2690 MHz)
with channel bandwiths of 10, 15, 20, 25, 30, 35, 40, 50, 60, 70, 80, 90, 100 MHz and SCS of 30 kHz is supported.</t>
    </r>
  </si>
  <si>
    <t>n41 does not support bandwidth of 25 MHz.
SCS only supports 30 KHz.
Disabled for EMEA countries by default and will be enabled for countries that have NR n41 deployment in live network.</t>
  </si>
  <si>
    <t>MTR-36120</t>
  </si>
  <si>
    <t>2022 V1</t>
  </si>
  <si>
    <r>
      <rPr>
        <rFont val="Arial"/>
        <b/>
        <color theme="1"/>
        <sz val="10.0"/>
      </rPr>
      <t xml:space="preserve">n46 </t>
    </r>
    <r>
      <rPr>
        <rFont val="Arial"/>
        <b val="0"/>
        <color theme="1"/>
        <sz val="10.0"/>
      </rPr>
      <t>(5150 MHz – 5925 MHz)
with channel bandwiths of 10, 20, 40, 60, 80, 100 MHz and SCS of 30 kHz is supported.</t>
    </r>
  </si>
  <si>
    <t>MTR-36118</t>
  </si>
  <si>
    <r>
      <rPr>
        <rFont val="Arial"/>
        <b/>
        <color theme="1"/>
        <sz val="10.0"/>
      </rPr>
      <t xml:space="preserve">n66 </t>
    </r>
    <r>
      <rPr>
        <rFont val="Arial"/>
        <b val="0"/>
        <color theme="1"/>
        <sz val="10.0"/>
      </rPr>
      <t>(UL: 1710 MHz – 1780 MHz, DL: 2110 MHz – 2200 MHz)
with channel bandwiths of 5, 10, 15, 20, 25, 30, 35, 40, 45 MHz and SCS of 15 kHz is supported.</t>
    </r>
  </si>
  <si>
    <t>n66 does not support bandwidth of 5, 35, 45 MHz.SCS only supports 15 KHz.
Disabled for EMEA countries by default and will be enabled for countries that have NR n66 deployment in live network</t>
  </si>
  <si>
    <t>SCS only supports 15 KHz.
Disabled for EMEA countries by default and will be enabled for countries that have NR n66 deployment in live network</t>
  </si>
  <si>
    <t>MTR-35724</t>
  </si>
  <si>
    <r>
      <rPr>
        <rFont val="Arial"/>
        <b/>
        <color theme="1"/>
        <sz val="10.0"/>
      </rPr>
      <t xml:space="preserve">n71 </t>
    </r>
    <r>
      <rPr>
        <rFont val="Arial"/>
        <b val="0"/>
        <color theme="1"/>
        <sz val="10.0"/>
      </rPr>
      <t>(UL: 663 MHz – 698 MHz, DL: 617 MHz – 652 MHz)
with channel bandwiths of 5, 10, 15, 20, 25, 30, 35 MHz and SCS of 15 kHz is supported.</t>
    </r>
  </si>
  <si>
    <t>No n71 support in EMEA SKU</t>
  </si>
  <si>
    <t>SCS only supports 15 KHz.
Disabled for EMEA countries by default and will be enabled for countries that have NR n71 deployment in live network</t>
  </si>
  <si>
    <t>MTR-33592</t>
  </si>
  <si>
    <r>
      <rPr>
        <rFont val="Arial"/>
        <b/>
        <color theme="1"/>
        <sz val="10.0"/>
      </rPr>
      <t xml:space="preserve">n77 </t>
    </r>
    <r>
      <rPr>
        <rFont val="Arial"/>
        <b val="0"/>
        <color theme="1"/>
        <sz val="10.0"/>
      </rPr>
      <t>(3300 MHz – 4200 MHz)
with channel bandwiths of 10, 15, 20, 25, 30, 40, 50, 60, 70, 80, 90, 100 MHz and SCS of 30 kHz is supported.</t>
    </r>
  </si>
  <si>
    <t>SCS only supports 30 KHz.
Disabled for EMEA countries by default and will be enabled for countries that have NR n77 deployment in live network</t>
  </si>
  <si>
    <t>MTR-35725</t>
  </si>
  <si>
    <r>
      <rPr>
        <rFont val="Arial"/>
        <b/>
        <color theme="1"/>
        <sz val="10.0"/>
      </rPr>
      <t xml:space="preserve">n79 </t>
    </r>
    <r>
      <rPr>
        <rFont val="Arial"/>
        <b val="0"/>
        <color theme="1"/>
        <sz val="10.0"/>
      </rPr>
      <t>(4400 MHz – 5000 MHz)
with channel bandwiths of 10, 20, 30, 40, 50, 60, 70, 80, 90, 100 MHz and SCS of 30 kHz is supported.</t>
    </r>
  </si>
  <si>
    <t>n79 does not support bandwidth of 10,20,30,70 MHz.
Disabled for EMEA countries by default and will be enabled for countries that have NR n79 deployment in live network</t>
  </si>
  <si>
    <t>MTR-35720</t>
  </si>
  <si>
    <r>
      <rPr>
        <rFont val="Arial"/>
        <b/>
        <color theme="1"/>
        <sz val="10.0"/>
      </rPr>
      <t xml:space="preserve">n257 </t>
    </r>
    <r>
      <rPr>
        <rFont val="Arial"/>
        <b val="0"/>
        <color theme="1"/>
        <sz val="10.0"/>
      </rPr>
      <t xml:space="preserve">(26.50 GHz – 29.50 GHz)
is supported.
Please indicate under "Comments Vendor" the maximum supported bandwidth per carrier. Range: </t>
    </r>
    <r>
      <rPr>
        <rFont val="Arial"/>
        <b/>
        <color theme="1"/>
        <sz val="10.0"/>
      </rPr>
      <t>50..400</t>
    </r>
    <r>
      <rPr>
        <rFont val="Arial"/>
        <b val="0"/>
        <color theme="1"/>
        <sz val="10.0"/>
      </rPr>
      <t xml:space="preserve"> MHz.</t>
    </r>
  </si>
  <si>
    <t>n257 supports bandwidth 50 and 100 MHz.
Not supported in EMEA SKU</t>
  </si>
  <si>
    <t>n257 supports bandwidth 50 and 100 MHz.
Disabled for EMEA countries by default and will be enabled for countries that have NR n257 deployment in live network.</t>
  </si>
  <si>
    <t>MTR-35225</t>
  </si>
  <si>
    <r>
      <rPr>
        <rFont val="Arial"/>
        <b/>
        <color theme="1"/>
        <sz val="10.0"/>
      </rPr>
      <t xml:space="preserve">n258 </t>
    </r>
    <r>
      <rPr>
        <rFont val="Arial"/>
        <b val="0"/>
        <color theme="1"/>
        <sz val="10.0"/>
      </rPr>
      <t xml:space="preserve">(24.25 GHz – 27.50 GHz)
is supported.
Please indicate under "Comments Vendor" the maximum supported bandwidth per carrier. Range: </t>
    </r>
    <r>
      <rPr>
        <rFont val="Arial"/>
        <b/>
        <color theme="1"/>
        <sz val="10.0"/>
      </rPr>
      <t>50..400</t>
    </r>
    <r>
      <rPr>
        <rFont val="Arial"/>
        <b val="0"/>
        <color theme="1"/>
        <sz val="10.0"/>
      </rPr>
      <t xml:space="preserve"> MHz.</t>
    </r>
  </si>
  <si>
    <t>n258 supports bandwidth 50 and 100 MHz.
Not supported in EMEA SKU</t>
  </si>
  <si>
    <t>n258 supports bandwidth 50 and 100 MHz.
Disabled for EMEA countries by default and will be enabled for countries that have NR n257 deployment in live network.</t>
  </si>
  <si>
    <t>MTR-36119</t>
  </si>
  <si>
    <r>
      <rPr>
        <rFont val="Arial"/>
        <b/>
        <color theme="1"/>
        <sz val="10.0"/>
      </rPr>
      <t xml:space="preserve">n259 </t>
    </r>
    <r>
      <rPr>
        <rFont val="Arial"/>
        <b val="0"/>
        <color theme="1"/>
        <sz val="10.0"/>
      </rPr>
      <t xml:space="preserve">(39.50 GHz – 43.50 GHz)
is supported.
Please indicate under "Comments Vendor" the maximum supported bandwidth per carrier. Range: </t>
    </r>
    <r>
      <rPr>
        <rFont val="Arial"/>
        <b/>
        <color theme="1"/>
        <sz val="10.0"/>
      </rPr>
      <t>50..400</t>
    </r>
    <r>
      <rPr>
        <rFont val="Arial"/>
        <b val="0"/>
        <color theme="1"/>
        <sz val="10.0"/>
      </rPr>
      <t xml:space="preserve"> MHz.</t>
    </r>
  </si>
  <si>
    <t>does not support n259</t>
  </si>
  <si>
    <t>MTR-35721</t>
  </si>
  <si>
    <r>
      <rPr>
        <rFont val="Arial"/>
        <b/>
        <color theme="1"/>
        <sz val="10.0"/>
      </rPr>
      <t xml:space="preserve">n260 </t>
    </r>
    <r>
      <rPr>
        <rFont val="Arial"/>
        <b val="0"/>
        <color theme="1"/>
        <sz val="10.0"/>
      </rPr>
      <t xml:space="preserve">(37.00 GHz – 40.00 GHz)
is supported.
Please indicate under "Comments Vendor" the maximum supported bandwidth per carrier. Range: </t>
    </r>
    <r>
      <rPr>
        <rFont val="Arial"/>
        <b/>
        <color theme="1"/>
        <sz val="10.0"/>
      </rPr>
      <t>50..400</t>
    </r>
    <r>
      <rPr>
        <rFont val="Arial"/>
        <b val="0"/>
        <color theme="1"/>
        <sz val="10.0"/>
      </rPr>
      <t xml:space="preserve"> MHz.</t>
    </r>
  </si>
  <si>
    <t>n260 supports bandwidth 50 and 100 MHz.
Not supported in EMEA SKU</t>
  </si>
  <si>
    <t>n260 supports bandwidth 50 and 100 MHz.
Disabled for EMEA countries by default and will be enabled for countries that have NR n257 deployment in live network.</t>
  </si>
  <si>
    <t>MTR-35722</t>
  </si>
  <si>
    <r>
      <rPr>
        <rFont val="Arial"/>
        <b/>
        <color theme="1"/>
        <sz val="10.0"/>
      </rPr>
      <t xml:space="preserve">n261 </t>
    </r>
    <r>
      <rPr>
        <rFont val="Arial"/>
        <b val="0"/>
        <color theme="1"/>
        <sz val="10.0"/>
      </rPr>
      <t xml:space="preserve">(27.50 GHz – 38.35 GHz)
is supported.
Please indicate under "Comments Vendor" the maximum supported bandwidth per carrier. Range: </t>
    </r>
    <r>
      <rPr>
        <rFont val="Arial"/>
        <b/>
        <color theme="1"/>
        <sz val="10.0"/>
      </rPr>
      <t>50..400</t>
    </r>
    <r>
      <rPr>
        <rFont val="Arial"/>
        <b val="0"/>
        <color theme="1"/>
        <sz val="10.0"/>
      </rPr>
      <t xml:space="preserve"> MHz.</t>
    </r>
  </si>
  <si>
    <t>n261 supports bandwidth 50 and 100 MHz.
Not supported in EMEA SKU</t>
  </si>
  <si>
    <t>n261 supports bandwidth 50 and 100 MHz.
Disabled for EMEA countries by default and will be enabled for countries that have NR n257 deployment in live network.</t>
  </si>
  <si>
    <t>MTR-33617</t>
  </si>
  <si>
    <t>List all further supported NR FR1 bands (not already listed above) under "Comments Vendor".</t>
  </si>
  <si>
    <t>n1, n2, n3, n5, n7, n8, n12, n20, n28, n38, n40, n41, n66, n75, n76, n77, n78</t>
  </si>
  <si>
    <t>MTR-33619</t>
  </si>
  <si>
    <t>List all further supported NR FR2 bands (not already listed above) under "Comments Vendor".</t>
  </si>
  <si>
    <t>No FR2 in EU SKU</t>
  </si>
  <si>
    <t>hardware capablity supports n257, n258, n260, n261 but disabled for EMEA countries by default and will be enabled for countries that have n257, n258, n260 and n261 deployment in live network</t>
  </si>
  <si>
    <t>MTR-35149</t>
  </si>
  <si>
    <r>
      <rPr>
        <rFont val="Arial"/>
        <b/>
        <color theme="1"/>
        <sz val="10.0"/>
      </rPr>
      <t>2.1.3</t>
    </r>
    <r>
      <rPr>
        <rFont val="Arial"/>
        <b val="0"/>
        <color theme="1"/>
        <sz val="10.0"/>
      </rPr>
      <t xml:space="preserve"> </t>
    </r>
    <r>
      <rPr>
        <rFont val="Arial"/>
        <b/>
        <color theme="1"/>
        <sz val="10.0"/>
      </rPr>
      <t>General Applicability of MTR Requirements and Dynamic Capability Handling in special cases</t>
    </r>
  </si>
  <si>
    <t>MTR-35223</t>
  </si>
  <si>
    <r>
      <rPr>
        <rFont val="Arial"/>
        <b/>
        <color theme="1"/>
        <sz val="10.0"/>
      </rPr>
      <t>Requirements in the MTR are applicable when devices operate against systems controlled by Deutsche Telekom.</t>
    </r>
    <r>
      <rPr>
        <rFont val="Arial"/>
        <b val="0"/>
        <color theme="1"/>
        <sz val="10.0"/>
      </rPr>
      <t xml:space="preserve">
(the same applies for settings in the Telekom International Settings Document (TISD)) 
RAN: when using radio equipment controlled by Deutsche Telekom
        not directly applicable for other RANs
CN/IMS ...: when registered to central network elements controlled by Deutsche Telekom
</t>
    </r>
    <r>
      <rPr>
        <rFont val="Arial"/>
        <b/>
        <color theme="1"/>
        <sz val="10.0"/>
      </rPr>
      <t>If a specific feature is not mentioned in the MTR or not marked as mandatory this shall never be interpreted as an indication to deactivate the specific feature.</t>
    </r>
    <r>
      <rPr>
        <rFont val="Arial"/>
        <b val="0"/>
        <color theme="1"/>
        <sz val="10.0"/>
      </rPr>
      <t xml:space="preserve">
I.e. in general the MTR gives no specific indication for a configuration of a device operating against 3rd party networks (besides general standards compliance). 
The following requirements shall ensure consistent and predictable device behaviour in all situations, especially in roaming cases.</t>
    </r>
  </si>
  <si>
    <t>MTR-35150</t>
  </si>
  <si>
    <r>
      <rPr>
        <rFont val="Arial"/>
        <color theme="1"/>
        <sz val="10.0"/>
      </rPr>
      <t xml:space="preserve">In general all supported radio features are active.
This shall be independent of specific further conditions.
The only exceptions allowed are:
a) deactivation mandated by standard
b) deactivation specifically requested and agreed in another section of the MTR or via the Telekom International Settings Document (TISD).
</t>
    </r>
    <r>
      <rPr>
        <rFont val="Arial"/>
        <b/>
        <color theme="1"/>
        <sz val="10.0"/>
      </rPr>
      <t>Any general deviation from this principle shall be documented under "Comments Vendor" (for details use the following requirements as applicable) - if no deviation exists, use 'no deviation' as comment.</t>
    </r>
    <r>
      <rPr>
        <rFont val="Arial"/>
        <color theme="1"/>
        <sz val="10.0"/>
      </rPr>
      <t xml:space="preserve">
Scenarios - which shall be avoided by this requirement - may be described by:
Potential conditions/trigger conditions may be (but not limited to):
- roaming scenario in general (i.e. not in home PLMN)
- in roaming scenario depending on: HPLMN of SIM used / operator specific variant / sales channel
- usage history
- device internal states (e.g. for power saving or heat reduction)
Potential feature deactivation may be (but not limited to):
- support of specific radio technology 2G/3G/4G/5G
- support of specific frequency bands
- support of specific LTE CA, NR CA and ENDC combinations
- other radio features with capability or FGI signaling
- features with NAS level signaling</t>
    </r>
  </si>
  <si>
    <t>MTR-35152</t>
  </si>
  <si>
    <r>
      <rPr>
        <rFont val="Arial"/>
        <color theme="1"/>
        <sz val="10.0"/>
      </rPr>
      <t xml:space="preserve">Specific radio technologies like 2G/3G/4G/5G (if supported) shall be active under all conditions and shall not be deactivated based on other conditions.
</t>
    </r>
    <r>
      <rPr>
        <rFont val="Arial"/>
        <b/>
        <color theme="1"/>
        <sz val="10.0"/>
      </rPr>
      <t>Any deviation from this principle shall be documented under "Comments Vendor" - if no deviation exists, use 'no deviation' as comment.</t>
    </r>
  </si>
  <si>
    <t>no deviation</t>
  </si>
  <si>
    <t>MTR-35153</t>
  </si>
  <si>
    <r>
      <rPr>
        <rFont val="Arial"/>
        <color theme="1"/>
        <sz val="10.0"/>
      </rPr>
      <t xml:space="preserve">Specific frequency bands (if supported) shall be active under all conditions (within one target network) and shall not be deactivated based on other conditions.
</t>
    </r>
    <r>
      <rPr>
        <rFont val="Arial"/>
        <b/>
        <color theme="1"/>
        <sz val="10.0"/>
      </rPr>
      <t>Any deviation from this principle shall be documented under "Comments Vendor" - if no deviation exists, use 'no deviation' as comment.</t>
    </r>
  </si>
  <si>
    <t>MTR-35154</t>
  </si>
  <si>
    <r>
      <rPr>
        <rFont val="Arial"/>
        <color theme="1"/>
        <sz val="10.0"/>
      </rPr>
      <t xml:space="preserve">Specific LTE CA, NR CA and ENDC combinations (if supported) shall be active under all conditions (within one target PLMN) and shall not be deactivated based on other conditions.
</t>
    </r>
    <r>
      <rPr>
        <rFont val="Arial"/>
        <b/>
        <color theme="1"/>
        <sz val="10.0"/>
      </rPr>
      <t>Specifically also the following shall be ensured:</t>
    </r>
    <r>
      <rPr>
        <rFont val="Arial"/>
        <color theme="1"/>
        <sz val="10.0"/>
      </rPr>
      <t xml:space="preserve">
When the network sends a UE capability enquiry with frequency band retrieval, the UE shall report all technically supported carrier aggregation combinations for the frequency bands indicated by the network in the enquiry message. This shall particularly also work in worldwide roaming situations where bands differ from those used by the home network operator!
</t>
    </r>
    <r>
      <rPr>
        <rFont val="Arial"/>
        <b/>
        <color theme="1"/>
        <sz val="10.0"/>
      </rPr>
      <t>Any deviation from this principle shall be documented under "Comments Vendor" - if no deviation exists, use 'no deviation' as comment.</t>
    </r>
  </si>
  <si>
    <t>MTR-35312</t>
  </si>
  <si>
    <r>
      <rPr>
        <rFont val="Arial"/>
        <color theme="1"/>
        <sz val="10.0"/>
      </rPr>
      <t xml:space="preserve">The vendor will deliver a document with the following information:
- all bands, LTE CA combinations and ENDC combinations planned to be supported by the hardware
- an indication which of those are planned to be activated with specific software deliveries
- an indication which of those may depend on further conditions (e.g. roaming scenario as detailed above)
Ideally the document format should be aligned with one of:
- 3GPP TS36.521-2 Annex A ICS proforma for E-UTRA User Equipment
- F.2 GCF Certified Device Declaration – specifically section on carrier aggregation support
</t>
    </r>
    <r>
      <rPr>
        <rFont val="Arial"/>
        <b/>
        <color theme="1"/>
        <sz val="10.0"/>
      </rPr>
      <t>The document on planned combinations will be delivered at the same time as the FullSoC.</t>
    </r>
  </si>
  <si>
    <t>The official GCF Report will be ready before product launch. A copy will be provided before TA</t>
  </si>
  <si>
    <t>MTR-35313</t>
  </si>
  <si>
    <r>
      <rPr>
        <rFont val="Arial"/>
        <color theme="1"/>
        <sz val="10.0"/>
      </rPr>
      <t xml:space="preserve">The vendor will deliver a document with the following information:
- all bands, LTE CA combinations and ENDC combinations supported by the hardware
- an indication which of those are activated with the specific software delivery
- an indication which of those may depend on further conditions (e.g. roaming scenario as detailed above)
Ideally the document format should be aligned with one of:
- 3GPP TS36.521-2 Annex A ICS proforma for E-UTRA User Equipment
- F.2 GCF Certified Device Declaration – specifically section on carrier aggregation support
</t>
    </r>
    <r>
      <rPr>
        <rFont val="Arial"/>
        <b/>
        <color theme="1"/>
        <sz val="10.0"/>
      </rPr>
      <t>The document on supported combinations will be delivered prior to start of the Telekom Acceptance IOT phase for the device. This is also applicable for maintenance releases where those properties may change.</t>
    </r>
  </si>
  <si>
    <t>MTR-35155</t>
  </si>
  <si>
    <r>
      <rPr>
        <rFont val="Arial"/>
        <color theme="1"/>
        <sz val="10.0"/>
      </rPr>
      <t xml:space="preserve">Specific radio features with capability signaling or FGIs (if supported) shall be active under all conditions (within one target PLMN) and shall not be deactivated based on other conditions.
</t>
    </r>
    <r>
      <rPr>
        <rFont val="Arial"/>
        <b/>
        <color theme="1"/>
        <sz val="10.0"/>
      </rPr>
      <t>Any deviation from this principle shall be documented under "Comments Vendor" - if no deviation exists, use 'no deviation' as comment.</t>
    </r>
  </si>
  <si>
    <t>MTR-35156</t>
  </si>
  <si>
    <r>
      <rPr>
        <rFont val="Arial"/>
        <color theme="1"/>
        <sz val="10.0"/>
      </rPr>
      <t xml:space="preserve">Specific core features with NAS capability signaling (if supported) shall be active under all conditions (within one target PLMN) and shall not be deactivated based on other conditions.
</t>
    </r>
    <r>
      <rPr>
        <rFont val="Arial"/>
        <b/>
        <color theme="1"/>
        <sz val="10.0"/>
      </rPr>
      <t>Any deviation from this principle shall be documented under "Comments Vendor" - if no deviation exists, use 'no deviation' as comment.</t>
    </r>
  </si>
  <si>
    <t>2 RF</t>
  </si>
  <si>
    <t>MTR-41</t>
  </si>
  <si>
    <r>
      <rPr>
        <rFont val="Arial"/>
        <b/>
        <color theme="1"/>
        <sz val="10.0"/>
      </rPr>
      <t>2.2</t>
    </r>
    <r>
      <rPr>
        <rFont val="Arial"/>
        <b val="0"/>
        <color theme="1"/>
        <sz val="10.0"/>
      </rPr>
      <t xml:space="preserve"> </t>
    </r>
    <r>
      <rPr>
        <rFont val="Arial"/>
        <b/>
        <color theme="1"/>
        <sz val="10.0"/>
      </rPr>
      <t>RF Performance</t>
    </r>
  </si>
  <si>
    <t>MTR-40236</t>
  </si>
  <si>
    <t>RF performance requirements can be found in the separate worksheet!</t>
  </si>
  <si>
    <t>3 GSM / GPRS / EDGE</t>
  </si>
  <si>
    <t>MTR-93</t>
  </si>
  <si>
    <r>
      <rPr>
        <rFont val="Arial"/>
        <b/>
        <color theme="1"/>
        <sz val="10.0"/>
      </rPr>
      <t>2.3</t>
    </r>
    <r>
      <rPr>
        <rFont val="Arial"/>
        <b val="0"/>
        <color theme="1"/>
        <sz val="10.0"/>
      </rPr>
      <t xml:space="preserve"> </t>
    </r>
    <r>
      <rPr>
        <rFont val="Arial"/>
        <b/>
        <color theme="1"/>
        <sz val="10.0"/>
      </rPr>
      <t>GSM / GPRS / EDGE</t>
    </r>
  </si>
  <si>
    <t>MTR-98</t>
  </si>
  <si>
    <r>
      <rPr>
        <rFont val="Arial"/>
        <b/>
        <color theme="1"/>
        <sz val="10.0"/>
      </rPr>
      <t xml:space="preserve">GPRS </t>
    </r>
    <r>
      <rPr>
        <rFont val="Arial"/>
        <b val="0"/>
        <color theme="1"/>
        <sz val="10.0"/>
      </rPr>
      <t xml:space="preserve">is supported.
</t>
    </r>
    <r>
      <rPr>
        <rFont val="Arial"/>
        <b/>
        <color theme="1"/>
        <sz val="10.0"/>
      </rPr>
      <t>Please note the GPRS multislot class under "Comments Vendor".</t>
    </r>
  </si>
  <si>
    <t>Disabled to be inline with ISD 
"DTM (GPRS and EDGE)| GSM 1.14|Activate/Deactivate| Deactivate | Recommended"</t>
  </si>
  <si>
    <t>MCS 33</t>
  </si>
  <si>
    <t>MTR-103</t>
  </si>
  <si>
    <r>
      <rPr>
        <rFont val="Arial"/>
        <b/>
        <color theme="1"/>
        <sz val="10.0"/>
      </rPr>
      <t xml:space="preserve">EDGE </t>
    </r>
    <r>
      <rPr>
        <rFont val="Arial"/>
        <b val="0"/>
        <color theme="1"/>
        <sz val="10.0"/>
      </rPr>
      <t xml:space="preserve">is supported.
</t>
    </r>
    <r>
      <rPr>
        <rFont val="Arial"/>
        <b/>
        <color theme="1"/>
        <sz val="10.0"/>
      </rPr>
      <t>Please note the EDGE multislot class under "Comments Vendor".</t>
    </r>
  </si>
  <si>
    <t>MTR-28988</t>
  </si>
  <si>
    <r>
      <rPr>
        <rFont val="Arial"/>
        <b/>
        <color theme="1"/>
        <sz val="10.0"/>
      </rPr>
      <t>VAMOS Level I or II</t>
    </r>
    <r>
      <rPr>
        <rFont val="Arial"/>
        <b val="0"/>
        <color theme="1"/>
        <sz val="10.0"/>
      </rPr>
      <t xml:space="preserve"> is supported</t>
    </r>
    <r>
      <rPr>
        <rFont val="Arial"/>
        <b/>
        <color theme="1"/>
        <sz val="10.0"/>
      </rPr>
      <t>.</t>
    </r>
    <r>
      <rPr>
        <rFont val="Arial"/>
        <b val="0"/>
        <color theme="1"/>
        <sz val="10.0"/>
      </rPr>
      <t xml:space="preserve">
</t>
    </r>
    <r>
      <rPr>
        <rFont val="Arial"/>
        <b/>
        <color theme="1"/>
        <sz val="10.0"/>
      </rPr>
      <t>Please note the supported VAMOS Level  under "Comments Vendor".</t>
    </r>
  </si>
  <si>
    <t>VAMOS I enable</t>
  </si>
  <si>
    <t>4 LTE</t>
  </si>
  <si>
    <t>MTR-26099</t>
  </si>
  <si>
    <r>
      <rPr>
        <rFont val="Arial"/>
        <b/>
        <color theme="1"/>
        <sz val="10.0"/>
      </rPr>
      <t>2.4</t>
    </r>
    <r>
      <rPr>
        <rFont val="Arial"/>
        <b val="0"/>
        <color theme="1"/>
        <sz val="10.0"/>
      </rPr>
      <t xml:space="preserve"> </t>
    </r>
    <r>
      <rPr>
        <rFont val="Arial"/>
        <b/>
        <color theme="1"/>
        <sz val="10.0"/>
      </rPr>
      <t>LTE</t>
    </r>
  </si>
  <si>
    <t>MTR-38545</t>
  </si>
  <si>
    <r>
      <rPr>
        <rFont val="Arial"/>
        <b/>
        <color theme="1"/>
        <sz val="10.0"/>
      </rPr>
      <t>2.4.1</t>
    </r>
    <r>
      <rPr>
        <rFont val="Arial"/>
        <b val="0"/>
        <color theme="1"/>
        <sz val="10.0"/>
      </rPr>
      <t xml:space="preserve"> </t>
    </r>
    <r>
      <rPr>
        <rFont val="Arial"/>
        <b/>
        <color theme="1"/>
        <sz val="10.0"/>
      </rPr>
      <t>LTE Essential Speed Requirements</t>
    </r>
  </si>
  <si>
    <t>MTR-38549</t>
  </si>
  <si>
    <r>
      <rPr>
        <rFont val="Arial"/>
        <b/>
        <color theme="1"/>
        <sz val="10.0"/>
      </rPr>
      <t>2.4.1.1</t>
    </r>
    <r>
      <rPr>
        <rFont val="Arial"/>
        <b val="0"/>
        <color theme="1"/>
        <sz val="10.0"/>
      </rPr>
      <t xml:space="preserve"> </t>
    </r>
    <r>
      <rPr>
        <rFont val="Arial"/>
        <b/>
        <color theme="1"/>
        <sz val="10.0"/>
      </rPr>
      <t>LTE UE Categories</t>
    </r>
  </si>
  <si>
    <t>MTR-31922</t>
  </si>
  <si>
    <r>
      <rPr>
        <rFont val="Arial"/>
        <b/>
        <color theme="1"/>
        <sz val="10.0"/>
      </rPr>
      <t>Indicate the maximum LTE DL data rate and LTE DL UE category under "Comments Vendor".</t>
    </r>
    <r>
      <rPr>
        <rFont val="Arial"/>
        <b val="0"/>
        <color theme="1"/>
        <sz val="10.0"/>
      </rPr>
      <t xml:space="preserve">
UE capability signaling via the related information elements [ue-CategoryDL] as stated in square brackets.
DL Cat 0:    (1 Mbps)  [v1250-IE]
DL Cat M1:  (1 Mbps)  [v1310-IE]
DL Cat M2:  (4 Mbps)  [v1430-IE]
DL Cat 1:      (10 Mbps)    [v1250-IE]
DL Cat 1bis:  (10 Mbps)    [v1350-IE]
DL Cat 2:      (50 Mbps)    [v1250-IE]
DL Cat 3:      (100 Mbps, 16QAM, 2 streams)  [v1250-IE]
DL Cat 4:      (150 Mbps, 64QAM, 2 streams)  [v1250-IE]
DL Cat 5, 6, 7: (300 Mbps, 64QAM, 4 streams)   [v1250-IE]
DL Cat 13:       (390 Mbps, 256QAM, 4 streams)   [v1250-IE]
DL Cat 9, 10:   (450 Mbps, 64QAM, 6 streams)   [v1250-IE]
DL Cat 11, 12: (600 Mbps, 256QAM, 6 streams)   [v1250-IE]
DL Cat 15:  (750-800 Mbps, 256QAM, 8 streams) [v1260-IE]
DL Cat 16:  (1.0-1.1 Gbps, 256QAM, 10 streams)   [v1260-IE]
DL Cat 18:  (1.2 Gbps, 256QAM, 12 streams)  [v1330-IE]
DL Cat 21:  (1.4 Gbps, 256QAM, 14 streams)  [v1460-IE]
DL Cat 19:  (1.6 Gbps, 256QAM, 16 streams)  [v1330-IE]
DL Cat 20:  (1.9-2.0 Gbps, 256QAM, 20 streams)  [v1450-IE]
</t>
    </r>
    <r>
      <rPr>
        <rFont val="Arial"/>
        <b val="0"/>
        <color theme="1"/>
        <sz val="10.0"/>
        <u/>
      </rPr>
      <t>Practically not relevant:</t>
    </r>
    <r>
      <rPr>
        <rFont val="Arial"/>
        <b val="0"/>
        <color theme="1"/>
        <sz val="10.0"/>
      </rPr>
      <t xml:space="preserve">
DL Cat 22:  (2.3-2.6 Gbps)  [v1530-IE]
DL Cat 23:  (2.7-2.9 Gbps)  [v1530-IE]
DL Cat 8, 14, 24:  (3 Gbps)  [v1250-IE
DL Cat 24:  (3 Gbps)  [v1530-IE]
DL Cat 25:  (3.1-3.3 Gbps)  [v1530-IE]
DL Cat 26:  (3.4-3.5 Gbps)  [v1530-IE]</t>
    </r>
  </si>
  <si>
    <t>DL CAT 19</t>
  </si>
  <si>
    <t>MTR-31923</t>
  </si>
  <si>
    <r>
      <rPr>
        <rFont val="Arial"/>
        <b/>
        <color theme="1"/>
        <sz val="10.0"/>
      </rPr>
      <t>Indicate the maximum LTE UL data rate and LTE UL UE category under "Comments Vendor".</t>
    </r>
    <r>
      <rPr>
        <rFont val="Arial"/>
        <b val="0"/>
        <color theme="1"/>
        <sz val="10.0"/>
      </rPr>
      <t xml:space="preserve">
UE capability signaling via the related information elements [ue-CategoryUL] as stated in square brackets.
UL Cat 0:     (1 Mbps)  [v1250-IE]
UL Cat M1:   (1 or 3 Mbps)  [v1310-IE]
UL Cat 1:      (5 Mbps)  [v1250-IE]
UL Cat 1bis:  (5 Mbps)  [v1350-IE]
UL Cat M2:   (7 Mbps)  [v1430-IE]
UL Cat 2:     (25 Mbps)  [v1250-IE]
UL Cat 3, 4, 6, 9, 11:  (50 Mbps, 16 QAM, 1 stream)  [v1250-IE]
UL Cat 5:    (75 Mbps, 64QAM, 1 stream)  [v1250-IE]
UL Cat 7, 10, 12:  (100 Mbps, 16 QAM, 2 streams)  [v1250-IE]
UL Cat 16:  (105 Mbps, 256QAM, 1 stream)   [v1430-IE]
UL Cat 13:  (150 Mbps, 64QAM, 2 streams)   [v1250-IE]
UL Cat 18:  (210 Mbps, 256QAM, 2 streams)  [v1430-IE]
</t>
    </r>
    <r>
      <rPr>
        <rFont val="Arial"/>
        <b val="0"/>
        <color theme="1"/>
        <sz val="10.0"/>
        <u/>
      </rPr>
      <t>Practically not relevant:</t>
    </r>
    <r>
      <rPr>
        <rFont val="Arial"/>
        <b val="0"/>
        <color theme="1"/>
        <sz val="10.0"/>
      </rPr>
      <t xml:space="preserve">
UL Cat 20:  (320 Mbps 256QAM, 3 streams)   [v1430-IE]
UL Cat 21:  (300 Mbps, 16QAM, 4 streams)    [v1430b-IE]
UL Cat 22:  (422 Mbps, 256QAM, 4 streams)  [v1530-IE]
UL Cat 23:  (528 Mbps, 256QAM, 5 streams)  [v1530-IE]
UL Cat 24:  (633 Mbps, 256QAM, 6 streams)  [v1530-IE]
UL Cat 25:  (739 Mbps, 256QAM, 7 streams)  [v1530-IE]
UL Cat 26:  (844 Mbps, 256QAM, 8 streams)  [v1530-IE]
UL Cat 8:    (1.5 Gbps, 64QAM, 5*2x2MIMO)  [v1250-IE]
UL Cat 17:  (2.1 Gbps, 256QAM, 5*2x2MIMO) [v1430-IE]</t>
    </r>
  </si>
  <si>
    <t>UL CAT 18</t>
  </si>
  <si>
    <t>MTR-38550</t>
  </si>
  <si>
    <r>
      <rPr>
        <rFont val="Arial"/>
        <b/>
        <color theme="1"/>
        <sz val="10.0"/>
      </rPr>
      <t>2.4.1.2</t>
    </r>
    <r>
      <rPr>
        <rFont val="Arial"/>
        <b val="0"/>
        <color theme="1"/>
        <sz val="10.0"/>
      </rPr>
      <t xml:space="preserve"> </t>
    </r>
    <r>
      <rPr>
        <rFont val="Arial"/>
        <b/>
        <color theme="1"/>
        <sz val="10.0"/>
      </rPr>
      <t>LTE Modulation &amp; Coding</t>
    </r>
  </si>
  <si>
    <t>MTR-31935</t>
  </si>
  <si>
    <r>
      <rPr>
        <rFont val="Arial"/>
        <color theme="1"/>
        <sz val="10.0"/>
      </rPr>
      <t xml:space="preserve">[Rel. 12] </t>
    </r>
    <r>
      <rPr>
        <rFont val="Arial"/>
        <b/>
        <color theme="1"/>
        <sz val="10.0"/>
      </rPr>
      <t xml:space="preserve">256 QAM in DL </t>
    </r>
    <r>
      <rPr>
        <rFont val="Arial"/>
        <color theme="1"/>
        <sz val="10.0"/>
      </rPr>
      <t xml:space="preserve">
is supported and indicated per band with Rel-12 IE "dl-256-QAM-r12 ".
</t>
    </r>
    <r>
      <rPr>
        <rFont val="Arial"/>
        <b/>
        <color theme="1"/>
        <sz val="10.0"/>
      </rPr>
      <t>Note:</t>
    </r>
    <r>
      <rPr>
        <rFont val="Arial"/>
        <color theme="1"/>
        <sz val="10.0"/>
      </rPr>
      <t xml:space="preserve"> Applicable for UE categories 11 and 12, DL 11...12, 15 and 16 (all optional) and DL category 13...14 and 17 (mandatory)
</t>
    </r>
    <r>
      <rPr>
        <rFont val="Arial"/>
        <b/>
        <color theme="1"/>
        <sz val="10.0"/>
      </rPr>
      <t>Note2:</t>
    </r>
    <r>
      <rPr>
        <rFont val="Arial"/>
        <color theme="1"/>
        <sz val="10.0"/>
      </rPr>
      <t xml:space="preserve"> If supported shall be supported in all bands (3GPP TS 36.306). If not then please state in "Comments Vendor" the exceptions!</t>
    </r>
  </si>
  <si>
    <t>1000/200 Mbps, 800/200 Mbps, 1200/225 Mbps, 1600/225 Mbps, 2000/225 Mbps</t>
  </si>
  <si>
    <t>All LTE Bands support DL 256 QAM</t>
  </si>
  <si>
    <t>MTR-32111</t>
  </si>
  <si>
    <r>
      <rPr>
        <rFont val="Arial"/>
        <color theme="1"/>
        <sz val="10.0"/>
      </rPr>
      <t xml:space="preserve">[Rel. 12] </t>
    </r>
    <r>
      <rPr>
        <rFont val="Arial"/>
        <b/>
        <color theme="1"/>
        <sz val="10.0"/>
      </rPr>
      <t>AlternativeTBS-Indices 26A and 33A</t>
    </r>
    <r>
      <rPr>
        <rFont val="Arial"/>
        <color theme="1"/>
        <sz val="10.0"/>
      </rPr>
      <t xml:space="preserve">
are supported if 256 QAM in DL is supported.
[as defined in 3GPP TS 36.213]
</t>
    </r>
    <r>
      <rPr>
        <rFont val="Arial"/>
        <b/>
        <color theme="1"/>
        <sz val="10.0"/>
      </rPr>
      <t>Note:</t>
    </r>
    <r>
      <rPr>
        <rFont val="Arial"/>
        <color theme="1"/>
        <sz val="10.0"/>
      </rPr>
      <t xml:space="preserve"> Mandatory for 256 QAM in DL (MTR-31935)</t>
    </r>
  </si>
  <si>
    <t>MTR-31936</t>
  </si>
  <si>
    <r>
      <rPr>
        <rFont val="Arial"/>
        <color theme="1"/>
        <sz val="10.0"/>
      </rPr>
      <t xml:space="preserve">[Rel. 12] </t>
    </r>
    <r>
      <rPr>
        <rFont val="Arial"/>
        <b/>
        <color theme="1"/>
        <sz val="10.0"/>
      </rPr>
      <t xml:space="preserve">64 QAM in UL </t>
    </r>
    <r>
      <rPr>
        <rFont val="Arial"/>
        <color theme="1"/>
        <sz val="10.0"/>
      </rPr>
      <t xml:space="preserve">
is supported and indicated per band with Rel-12 IE "ul-64-QAM-r12 ".
</t>
    </r>
    <r>
      <rPr>
        <rFont val="Arial"/>
        <b/>
        <color theme="1"/>
        <sz val="10.0"/>
      </rPr>
      <t>Note:</t>
    </r>
    <r>
      <rPr>
        <rFont val="Arial"/>
        <color theme="1"/>
        <sz val="10.0"/>
      </rPr>
      <t xml:space="preserve"> Applicable for UE categories 5, 8 and UL 5, 8, 13...21 (mandatory)
</t>
    </r>
    <r>
      <rPr>
        <rFont val="Arial"/>
        <b/>
        <color theme="1"/>
        <sz val="10.0"/>
      </rPr>
      <t>Note2:</t>
    </r>
    <r>
      <rPr>
        <rFont val="Arial"/>
        <color theme="1"/>
        <sz val="10.0"/>
      </rPr>
      <t xml:space="preserve"> If supported shall be supported in all bands (3GPP TS 36.306). If not then please state in "Comments Vendor" the exceptions!</t>
    </r>
  </si>
  <si>
    <t>All LTE Bands support UL 64 QAM</t>
  </si>
  <si>
    <t>MTR-32704</t>
  </si>
  <si>
    <t>2018 V1</t>
  </si>
  <si>
    <r>
      <rPr>
        <rFont val="Arial"/>
        <color theme="1"/>
        <sz val="10.0"/>
      </rPr>
      <t xml:space="preserve">[Rel. 14] </t>
    </r>
    <r>
      <rPr>
        <rFont val="Arial"/>
        <b/>
        <color theme="1"/>
        <sz val="10.0"/>
      </rPr>
      <t>256 QAM in UL</t>
    </r>
    <r>
      <rPr>
        <rFont val="Arial"/>
        <color theme="1"/>
        <sz val="10.0"/>
      </rPr>
      <t xml:space="preserve">
is supported and indicated per band or band combination with Rel-14 IE "ul-256QAM-r14" or IE "ul-256QAM-perCC-InfoList-r14".
</t>
    </r>
    <r>
      <rPr>
        <rFont val="Arial"/>
        <b/>
        <color theme="1"/>
        <sz val="10.0"/>
      </rPr>
      <t>Note:</t>
    </r>
    <r>
      <rPr>
        <rFont val="Arial"/>
        <color theme="1"/>
        <sz val="10.0"/>
      </rPr>
      <t xml:space="preserve"> Applicable for ue-categoryUL 16..20 (mandatory)
</t>
    </r>
    <r>
      <rPr>
        <rFont val="Arial"/>
        <b/>
        <color theme="1"/>
        <sz val="10.0"/>
      </rPr>
      <t>Note2:</t>
    </r>
    <r>
      <rPr>
        <rFont val="Arial"/>
        <color theme="1"/>
        <sz val="10.0"/>
      </rPr>
      <t xml:space="preserve"> If supported shall be supported in all bands. If not then please state in "Comments Vendor" the exceptions!</t>
    </r>
  </si>
  <si>
    <t>Baseband features, supported for all bands.</t>
  </si>
  <si>
    <t>MTR-33987</t>
  </si>
  <si>
    <r>
      <rPr>
        <rFont val="Arial"/>
        <color theme="1"/>
        <sz val="10.0"/>
      </rPr>
      <t xml:space="preserve">[Rel. 15] </t>
    </r>
    <r>
      <rPr>
        <rFont val="Arial"/>
        <b/>
        <color theme="1"/>
        <sz val="10.0"/>
      </rPr>
      <t>1024 QAM in DL</t>
    </r>
    <r>
      <rPr>
        <rFont val="Arial"/>
        <color theme="1"/>
        <sz val="10.0"/>
      </rPr>
      <t xml:space="preserve">
is supported and indicated with IE "dl-1024QAM-r15".</t>
    </r>
  </si>
  <si>
    <t>MTR-34093</t>
  </si>
  <si>
    <r>
      <rPr>
        <rFont val="Arial"/>
        <color theme="1"/>
        <sz val="10.0"/>
      </rPr>
      <t xml:space="preserve">[Rel. 15] </t>
    </r>
    <r>
      <rPr>
        <rFont val="Arial"/>
        <b/>
        <color theme="1"/>
        <sz val="10.0"/>
      </rPr>
      <t>Alternative MCS Table</t>
    </r>
    <r>
      <rPr>
        <rFont val="Arial"/>
        <color theme="1"/>
        <sz val="10.0"/>
      </rPr>
      <t xml:space="preserve">
is supported and indicated with IE "altMCS-Table-r15".
</t>
    </r>
    <r>
      <rPr>
        <rFont val="Arial"/>
        <b/>
        <color theme="1"/>
        <sz val="10.0"/>
      </rPr>
      <t xml:space="preserve">Note: </t>
    </r>
    <r>
      <rPr>
        <rFont val="Arial"/>
        <color theme="1"/>
        <sz val="10.0"/>
      </rPr>
      <t>New Rel-15 Physical Layer capability.</t>
    </r>
  </si>
  <si>
    <t>MTR-38551</t>
  </si>
  <si>
    <r>
      <rPr>
        <rFont val="Arial"/>
        <b/>
        <color theme="1"/>
        <sz val="10.0"/>
      </rPr>
      <t>2.4.1.3</t>
    </r>
    <r>
      <rPr>
        <rFont val="Arial"/>
        <b val="0"/>
        <color theme="1"/>
        <sz val="10.0"/>
      </rPr>
      <t xml:space="preserve"> </t>
    </r>
    <r>
      <rPr>
        <rFont val="Arial"/>
        <b/>
        <color theme="1"/>
        <sz val="10.0"/>
      </rPr>
      <t>LTE Transmission Modes &amp; MIMO</t>
    </r>
  </si>
  <si>
    <t>MTR-31937</t>
  </si>
  <si>
    <r>
      <rPr>
        <rFont val="Arial"/>
        <color theme="1"/>
        <sz val="10.0"/>
      </rPr>
      <t xml:space="preserve">[Rel. 8] </t>
    </r>
    <r>
      <rPr>
        <rFont val="Arial"/>
        <b/>
        <color theme="1"/>
        <sz val="10.0"/>
      </rPr>
      <t>MIMO 4x4 DL (Band Specific) using TM3/4 on FDD</t>
    </r>
    <r>
      <rPr>
        <rFont val="Arial"/>
        <color theme="1"/>
        <sz val="10.0"/>
      </rPr>
      <t xml:space="preserve">
(Open/Closed Loop Spatial Muiltiplexing)
is supported and indicated with IE "fourlayerTM3-TM4".</t>
    </r>
  </si>
  <si>
    <t>MIMO 4x4 DL supported for following bands, B1/2/3/4/7/25/30/38/40/41/42/48/66</t>
  </si>
  <si>
    <t>MTR-30704</t>
  </si>
  <si>
    <r>
      <rPr>
        <rFont val="Arial"/>
        <color theme="1"/>
        <sz val="10.0"/>
      </rPr>
      <t xml:space="preserve">[Rel. 10] </t>
    </r>
    <r>
      <rPr>
        <rFont val="Arial"/>
        <b/>
        <color theme="1"/>
        <sz val="10.0"/>
      </rPr>
      <t>MIMO 4x4 DL (Band Specific) using TM9 on FDD</t>
    </r>
    <r>
      <rPr>
        <rFont val="Arial"/>
        <color theme="1"/>
        <sz val="10.0"/>
      </rPr>
      <t xml:space="preserve">
is supported and indicated via FGI103 (TM9 4 CSI) and Rel. 10 IE [phyLayerParameters-v1020/tm9-With-8Tx-FDD-r10]</t>
    </r>
  </si>
  <si>
    <t>Rel 10 TM9 with 8 CSI ports supported with maximum 4 layers</t>
  </si>
  <si>
    <t>MTR-32535</t>
  </si>
  <si>
    <r>
      <rPr>
        <rFont val="Arial"/>
        <b/>
        <color theme="1"/>
        <sz val="10.0"/>
      </rPr>
      <t>2.4.1.3.1</t>
    </r>
    <r>
      <rPr>
        <rFont val="Arial"/>
        <b val="0"/>
        <color theme="1"/>
        <sz val="10.0"/>
      </rPr>
      <t xml:space="preserve"> </t>
    </r>
    <r>
      <rPr>
        <rFont val="Arial"/>
        <b/>
        <color theme="1"/>
        <sz val="10.0"/>
      </rPr>
      <t>LTE DL 4 Layers/MIMO/CA Support</t>
    </r>
  </si>
  <si>
    <t>MTR-31548</t>
  </si>
  <si>
    <r>
      <rPr>
        <rFont val="Arial"/>
        <b/>
        <color theme="1"/>
        <sz val="10.0"/>
      </rPr>
      <t>LTE DL 1CC with 1*(4x4)  (total 4 layers) on Band 1</t>
    </r>
    <r>
      <rPr>
        <rFont val="Arial"/>
        <b val="0"/>
        <color theme="1"/>
        <sz val="10.0"/>
      </rPr>
      <t xml:space="preserve">
is supported.</t>
    </r>
  </si>
  <si>
    <t>MTR-31247</t>
  </si>
  <si>
    <r>
      <rPr>
        <rFont val="Arial"/>
        <b/>
        <color theme="1"/>
        <sz val="10.0"/>
      </rPr>
      <t>LTE DL 1CC with 1*(4x4)  (total 4 layers) on Band 3</t>
    </r>
    <r>
      <rPr>
        <rFont val="Arial"/>
        <b val="0"/>
        <color theme="1"/>
        <sz val="10.0"/>
      </rPr>
      <t xml:space="preserve">
is supported.</t>
    </r>
  </si>
  <si>
    <t>MTR-31248</t>
  </si>
  <si>
    <r>
      <rPr>
        <rFont val="Arial"/>
        <b/>
        <color theme="1"/>
        <sz val="10.0"/>
      </rPr>
      <t>LTE DL 1CC with 1*(4x4)  (total 4 layers) on Band 7</t>
    </r>
    <r>
      <rPr>
        <rFont val="Arial"/>
        <b val="0"/>
        <color theme="1"/>
        <sz val="10.0"/>
      </rPr>
      <t xml:space="preserve">
is supported.</t>
    </r>
  </si>
  <si>
    <t>MTR-31549</t>
  </si>
  <si>
    <r>
      <rPr>
        <rFont val="Arial"/>
        <b/>
        <color theme="1"/>
        <sz val="10.0"/>
      </rPr>
      <t>LTE DL 1CC with 1*(4x4)  (total 4 layers) on Band 8</t>
    </r>
    <r>
      <rPr>
        <rFont val="Arial"/>
        <b val="0"/>
        <color theme="1"/>
        <sz val="10.0"/>
      </rPr>
      <t xml:space="preserve">
is supported.</t>
    </r>
  </si>
  <si>
    <t>Limited to 2x2 support</t>
  </si>
  <si>
    <t>MTR-31249</t>
  </si>
  <si>
    <r>
      <rPr>
        <rFont val="Arial"/>
        <b/>
        <color theme="1"/>
        <sz val="10.0"/>
      </rPr>
      <t>LTE DL 1CC with 1*(4x4)  (total 4 layers) on Band 20</t>
    </r>
    <r>
      <rPr>
        <rFont val="Arial"/>
        <b val="0"/>
        <color theme="1"/>
        <sz val="10.0"/>
      </rPr>
      <t xml:space="preserve">
is supported.</t>
    </r>
  </si>
  <si>
    <t>MTR-31699</t>
  </si>
  <si>
    <r>
      <rPr>
        <rFont val="Arial"/>
        <b/>
        <color theme="1"/>
        <sz val="10.0"/>
      </rPr>
      <t>LTE DL 1CC with 1*(4x4)  (total 4 layers) on Band 28</t>
    </r>
    <r>
      <rPr>
        <rFont val="Arial"/>
        <b val="0"/>
        <color theme="1"/>
        <sz val="10.0"/>
      </rPr>
      <t xml:space="preserve">
is supported.</t>
    </r>
  </si>
  <si>
    <t>MTR-32540</t>
  </si>
  <si>
    <r>
      <rPr>
        <rFont val="Arial"/>
        <b/>
        <color theme="1"/>
        <sz val="10.0"/>
      </rPr>
      <t>LTE DL 1CC with 1*(4x4)  (total 4 layers) on Band 32</t>
    </r>
    <r>
      <rPr>
        <rFont val="Arial"/>
        <b val="0"/>
        <color theme="1"/>
        <sz val="10.0"/>
      </rPr>
      <t xml:space="preserve">
is supported.</t>
    </r>
  </si>
  <si>
    <t>MTR-29386</t>
  </si>
  <si>
    <r>
      <rPr>
        <rFont val="Arial"/>
        <b/>
        <color theme="1"/>
        <sz val="10.0"/>
      </rPr>
      <t>LTE DL 2CC with 2*(2x2)  (total 4 layers)</t>
    </r>
    <r>
      <rPr>
        <rFont val="Arial"/>
        <b val="0"/>
        <color theme="1"/>
        <sz val="10.0"/>
      </rPr>
      <t xml:space="preserve">
is supported with the following essential band combinations:
- CA_1A-3A
- CA_1A-7A
- CA_1A-20A
- CA_3C
- CA_3A-7A
- CA_3A-20A
- CA_7A-20A
These combinations are relevant for the majority of the DT networks.</t>
    </r>
  </si>
  <si>
    <t>MTR-33067</t>
  </si>
  <si>
    <r>
      <rPr>
        <rFont val="Arial"/>
        <b/>
        <color theme="1"/>
        <sz val="10.0"/>
      </rPr>
      <t>2.4.1.3.2</t>
    </r>
    <r>
      <rPr>
        <rFont val="Arial"/>
        <b val="0"/>
        <color theme="1"/>
        <sz val="10.0"/>
      </rPr>
      <t xml:space="preserve"> </t>
    </r>
    <r>
      <rPr>
        <rFont val="Arial"/>
        <b/>
        <color theme="1"/>
        <sz val="10.0"/>
      </rPr>
      <t>LTE DL 6 Layers/MIMO/CA Support</t>
    </r>
  </si>
  <si>
    <t>MTR-32443</t>
  </si>
  <si>
    <r>
      <rPr>
        <rFont val="Arial"/>
        <b/>
        <color theme="1"/>
        <sz val="10.0"/>
      </rPr>
      <t>LTE DL 2CC with 1*(4x4) + 1*(2x2)  (total 6 layers)</t>
    </r>
    <r>
      <rPr>
        <rFont val="Arial"/>
        <b val="0"/>
        <color theme="1"/>
        <sz val="10.0"/>
      </rPr>
      <t xml:space="preserve">
is supported.
All such DL CA + MIMO combinations are supported whenever
a) 2CC is supported in general
b) 4x4 MIMO is supported in general for the respective individual frequency band(s).
</t>
    </r>
    <r>
      <rPr>
        <rFont val="Arial"/>
        <b/>
        <color theme="1"/>
        <sz val="10.0"/>
      </rPr>
      <t>If not supported for all applicable 2 CA combinations, please state "Partly Complies" and explain the restrictions under "Comments Vendor".</t>
    </r>
  </si>
  <si>
    <t>800/200 Mbps, 1200/225 Mbps, 1600/225 Mbps, 2000/225 Mbps</t>
  </si>
  <si>
    <t>MTR-31244</t>
  </si>
  <si>
    <r>
      <rPr>
        <rFont val="Arial"/>
        <b/>
        <color theme="1"/>
        <sz val="10.0"/>
      </rPr>
      <t>LTE DL 3CC with 3*(2x2)  (total 6 layers)</t>
    </r>
    <r>
      <rPr>
        <rFont val="Arial"/>
        <b val="0"/>
        <color theme="1"/>
        <sz val="10.0"/>
      </rPr>
      <t xml:space="preserve">
is supported with the following essential band combinations:
- CA_1A-3C
- CA_1A-3A-7A
- CA_1A-3A-20A
- CA_1A-7A-20A
- CA_3C-7A
- CA_3C-20A
- CA_3A-7A-20A
These combinations are relevant for the majority of the DT networks.</t>
    </r>
  </si>
  <si>
    <t>MTR-32536</t>
  </si>
  <si>
    <r>
      <rPr>
        <rFont val="Arial"/>
        <b/>
        <color theme="1"/>
        <sz val="10.0"/>
      </rPr>
      <t>2.4.1.3.3</t>
    </r>
    <r>
      <rPr>
        <rFont val="Arial"/>
        <b val="0"/>
        <color theme="1"/>
        <sz val="10.0"/>
      </rPr>
      <t xml:space="preserve"> </t>
    </r>
    <r>
      <rPr>
        <rFont val="Arial"/>
        <b/>
        <color theme="1"/>
        <sz val="10.0"/>
      </rPr>
      <t>LTE DL 8 Layers/MIMO/CA Support</t>
    </r>
  </si>
  <si>
    <t>MTR-31250</t>
  </si>
  <si>
    <r>
      <rPr>
        <rFont val="Arial"/>
        <b/>
        <color theme="1"/>
        <sz val="10.0"/>
      </rPr>
      <t>LTE DL 2CC with 2*(4x4)  (total 8 layers)</t>
    </r>
    <r>
      <rPr>
        <rFont val="Arial"/>
        <b val="0"/>
        <color theme="1"/>
        <sz val="10.0"/>
      </rPr>
      <t xml:space="preserve">
is supported.
All such DL CA + MIMO combinations are supported whenever
a) 2CC is supported in general
b) 4x4 MIMO is supported in general for the respective individual frequency band(s).
</t>
    </r>
    <r>
      <rPr>
        <rFont val="Arial"/>
        <b/>
        <color theme="1"/>
        <sz val="10.0"/>
      </rPr>
      <t>If not supported for all applicable 2 CA combinations, please state "Partly Complies" and explain the restrictions under "Comments Vendor".</t>
    </r>
  </si>
  <si>
    <t>1200/225 Mbps, 1600/225 Mbps, 2000/225 Mbps</t>
  </si>
  <si>
    <t>B8, B20, B28 and B32 don't support 4x4 MIMO</t>
  </si>
  <si>
    <t>MTR-32542</t>
  </si>
  <si>
    <r>
      <rPr>
        <rFont val="Arial"/>
        <b/>
        <color theme="1"/>
        <sz val="10.0"/>
      </rPr>
      <t>LTE DL 3CC with 1*(4x4) + 2*(2x2)  (total 8 layers)</t>
    </r>
    <r>
      <rPr>
        <rFont val="Arial"/>
        <b val="0"/>
        <color theme="1"/>
        <sz val="10.0"/>
      </rPr>
      <t xml:space="preserve">
is supported.
All such DL CA + MIMO combinations are supported whenever
a) 3CC is supported in general
b) 4x4 MIMO is supported in general for the respective individual frequency band(s).
</t>
    </r>
    <r>
      <rPr>
        <rFont val="Arial"/>
        <b/>
        <color theme="1"/>
        <sz val="10.0"/>
      </rPr>
      <t>If not supported for all applicable 3 CA combinations, please state "Partly Complies" and explain the restrictions under "Comments Vendor".</t>
    </r>
  </si>
  <si>
    <t>MTR-33055</t>
  </si>
  <si>
    <r>
      <rPr>
        <rFont val="Arial"/>
        <b/>
        <color theme="1"/>
        <sz val="10.0"/>
      </rPr>
      <t>LTE DL 4CC with 4*(2x2)  (total 8 layers)</t>
    </r>
    <r>
      <rPr>
        <rFont val="Arial"/>
        <b val="0"/>
        <color theme="1"/>
        <sz val="10.0"/>
      </rPr>
      <t xml:space="preserve">
is supported with the following essential combinations:
- CA_1A-3C-7A
- CA_1A-3C-20A
- CA_1A-3A-7A-20A
- CA_3C-7A-20A
These combinations are relevant for the majority of the DT networks.</t>
    </r>
  </si>
  <si>
    <t>1600/225 Mbps, 2000/225 Mbps</t>
  </si>
  <si>
    <t>Maximum 3 inter-band CCs (Intra-band CA OK)</t>
  </si>
  <si>
    <t>MTR-33069</t>
  </si>
  <si>
    <r>
      <rPr>
        <rFont val="Arial"/>
        <b/>
        <color theme="1"/>
        <sz val="10.0"/>
      </rPr>
      <t>2.4.1.3.4</t>
    </r>
    <r>
      <rPr>
        <rFont val="Arial"/>
        <b val="0"/>
        <color theme="1"/>
        <sz val="10.0"/>
      </rPr>
      <t xml:space="preserve"> </t>
    </r>
    <r>
      <rPr>
        <rFont val="Arial"/>
        <b/>
        <color theme="1"/>
        <sz val="10.0"/>
      </rPr>
      <t>LTE DL 10 Layers/MIMO/CA Support</t>
    </r>
  </si>
  <si>
    <t>MTR-32383</t>
  </si>
  <si>
    <r>
      <rPr>
        <rFont val="Arial"/>
        <b/>
        <color theme="1"/>
        <sz val="10.0"/>
      </rPr>
      <t>LTE DL 3CC with 2*(4x4) + 1*(2x2)  (total 10 layers)</t>
    </r>
    <r>
      <rPr>
        <rFont val="Arial"/>
        <b val="0"/>
        <color theme="1"/>
        <sz val="10.0"/>
      </rPr>
      <t xml:space="preserve">
is supported.
All such DL CA + MIMO combinations are supported whenever
a) 3CC is supported in general
b) 4x4 MIMO is supported in general for the respective individual frequency band(s).
</t>
    </r>
    <r>
      <rPr>
        <rFont val="Arial"/>
        <b/>
        <color theme="1"/>
        <sz val="10.0"/>
      </rPr>
      <t>If not supported for all applicable 3 CA combinations, please state "Partly Complies" and explain the restrictions under "Comments Vendor".</t>
    </r>
  </si>
  <si>
    <t>B8, B20, B28 and B32 2x2 MIMO</t>
  </si>
  <si>
    <t>MTR-32543</t>
  </si>
  <si>
    <r>
      <rPr>
        <rFont val="Arial"/>
        <b/>
        <color theme="1"/>
        <sz val="10.0"/>
      </rPr>
      <t>LTE DL 4CC with 1*(4x4) + 3*(2x2)  (total 10 layers)</t>
    </r>
    <r>
      <rPr>
        <rFont val="Arial"/>
        <b val="0"/>
        <color theme="1"/>
        <sz val="10.0"/>
      </rPr>
      <t xml:space="preserve">
is supported.
All such DL CA + MIMO combinations are supported whenever
a) 4CC is supported in general
b) 4x4 MIMO is supported in general for the respective individual frequency band(s).
</t>
    </r>
    <r>
      <rPr>
        <rFont val="Arial"/>
        <b/>
        <color theme="1"/>
        <sz val="10.0"/>
      </rPr>
      <t>If not supported for all applicable 4 CA combinations, please state "Partly Complies" and explain the restrictions under "Comments Vendor".</t>
    </r>
  </si>
  <si>
    <t xml:space="preserve">B8, B20, B28 and B32 2x2 MIMO. Maximum 3 inter-band CCs (Intra-band CA OK)
</t>
  </si>
  <si>
    <t xml:space="preserve">B8, B20, B28 and B32 don't support 4x4 MIMO. Maximum 3 inter-band CCs (Intra-band CA OK)
</t>
  </si>
  <si>
    <t>MTR-33056</t>
  </si>
  <si>
    <r>
      <rPr>
        <rFont val="Arial"/>
        <b/>
        <color theme="1"/>
        <sz val="10.0"/>
      </rPr>
      <t>LTE DL 5CC with 5*(2x2)  (total 10 layers)</t>
    </r>
    <r>
      <rPr>
        <rFont val="Arial"/>
        <b val="0"/>
        <color theme="1"/>
        <sz val="10.0"/>
      </rPr>
      <t xml:space="preserve">
is supported with the following essential combinations:
- CA_1A-3C-7A-20A
These combinations are relevant for the majority of the DT networks.</t>
    </r>
  </si>
  <si>
    <t>MTR-32537</t>
  </si>
  <si>
    <r>
      <rPr>
        <rFont val="Arial"/>
        <b/>
        <color theme="1"/>
        <sz val="10.0"/>
      </rPr>
      <t>2.4.1.3.5</t>
    </r>
    <r>
      <rPr>
        <rFont val="Arial"/>
        <b val="0"/>
        <color theme="1"/>
        <sz val="10.0"/>
      </rPr>
      <t xml:space="preserve"> </t>
    </r>
    <r>
      <rPr>
        <rFont val="Arial"/>
        <b/>
        <color theme="1"/>
        <sz val="10.0"/>
      </rPr>
      <t>LTE DL 12 Layers/MIMO/CA Support</t>
    </r>
  </si>
  <si>
    <t>MTR-31551</t>
  </si>
  <si>
    <r>
      <rPr>
        <rFont val="Arial"/>
        <b/>
        <color theme="1"/>
        <sz val="10.0"/>
      </rPr>
      <t>LTE DL 3CC with 3*(4x4)  (total 12 layers)</t>
    </r>
    <r>
      <rPr>
        <rFont val="Arial"/>
        <b val="0"/>
        <color theme="1"/>
        <sz val="10.0"/>
      </rPr>
      <t xml:space="preserve">
is supported.
All such DL CA + MIMO combinations are supported whenever
a) 3CC is supported in general
b) 4x4 MIMO is supported in general for the respective individual frequency band(s).
</t>
    </r>
    <r>
      <rPr>
        <rFont val="Arial"/>
        <b/>
        <color theme="1"/>
        <sz val="10.0"/>
      </rPr>
      <t>If not supported for all applicable 3 CA combinations, please state "Partly Complies" and explain the restrictions under "Comments Vendor".</t>
    </r>
  </si>
  <si>
    <t>MTR-32549</t>
  </si>
  <si>
    <r>
      <rPr>
        <rFont val="Arial"/>
        <b/>
        <color theme="1"/>
        <sz val="10.0"/>
      </rPr>
      <t>LTE DL 4CC with 2*(4x4) + 2*(2x2)  (total 12 layers)</t>
    </r>
    <r>
      <rPr>
        <rFont val="Arial"/>
        <b val="0"/>
        <color theme="1"/>
        <sz val="10.0"/>
      </rPr>
      <t xml:space="preserve">
is supported.
All such DL CA + MIMO combinations are supported whenever
a) 4CC is supported in general
b) 4x4 MIMO is supported in general for the respective individual frequency band(s).
</t>
    </r>
    <r>
      <rPr>
        <rFont val="Arial"/>
        <b/>
        <color theme="1"/>
        <sz val="10.0"/>
      </rPr>
      <t>If not supported for all applicable 4 CA combinations, please state "Partly Complies" and explain the restrictions under "Comments Vendor".</t>
    </r>
  </si>
  <si>
    <t>B8, B20, B28 and B32 2x2 MIMO
Maximum 3 inter-band CCs (Intra-band CA OK)</t>
  </si>
  <si>
    <t>MTR-33263</t>
  </si>
  <si>
    <r>
      <rPr>
        <rFont val="Arial"/>
        <b/>
        <color theme="1"/>
        <sz val="10.0"/>
      </rPr>
      <t>LTE DL 5CC with 1*(4x4) + 4*(2x2)  (total 12 layers)</t>
    </r>
    <r>
      <rPr>
        <rFont val="Arial"/>
        <b val="0"/>
        <color theme="1"/>
        <sz val="10.0"/>
      </rPr>
      <t xml:space="preserve">
is supported.
All such DL CA + MIMO combinations are supported whenever
a) 5CC is supported in general
b) 4x4 MIMO is supported in general for the respective individual frequency band(s).
</t>
    </r>
    <r>
      <rPr>
        <rFont val="Arial"/>
        <b/>
        <color theme="1"/>
        <sz val="10.0"/>
      </rPr>
      <t>If not supported for all applicable 5 CA combinations, please state "Partly Complies" and explain the restrictions under "Comments Vendor".</t>
    </r>
  </si>
  <si>
    <t>MTR-33070</t>
  </si>
  <si>
    <r>
      <rPr>
        <rFont val="Arial"/>
        <b/>
        <color theme="1"/>
        <sz val="10.0"/>
      </rPr>
      <t>2.4.1.3.6</t>
    </r>
    <r>
      <rPr>
        <rFont val="Arial"/>
        <b val="0"/>
        <color theme="1"/>
        <sz val="10.0"/>
      </rPr>
      <t xml:space="preserve"> </t>
    </r>
    <r>
      <rPr>
        <rFont val="Arial"/>
        <b/>
        <color theme="1"/>
        <sz val="10.0"/>
      </rPr>
      <t>LTE DL 14 Layers/MIMO/CA Support</t>
    </r>
  </si>
  <si>
    <t>MTR-33264</t>
  </si>
  <si>
    <r>
      <rPr>
        <rFont val="Arial"/>
        <b/>
        <color theme="1"/>
        <sz val="10.0"/>
      </rPr>
      <t>LTE DL 4CC with 3*(4x4) + 1*(2x2)  (total 14 layers)</t>
    </r>
    <r>
      <rPr>
        <rFont val="Arial"/>
        <b val="0"/>
        <color theme="1"/>
        <sz val="10.0"/>
      </rPr>
      <t xml:space="preserve">
is supported.
All such DL CA + MIMO combinations are supported whenever
a) 4CC is supported in general
b) 4x4 MIMO is supported in general for the respective individual frequency band(s).
</t>
    </r>
    <r>
      <rPr>
        <rFont val="Arial"/>
        <b/>
        <color theme="1"/>
        <sz val="10.0"/>
      </rPr>
      <t>If not supported for all applicable 4 CA combinations, please state "Partly Complies" and explain the restrictions under "Comments Vendor".</t>
    </r>
  </si>
  <si>
    <t>MTR-33266</t>
  </si>
  <si>
    <r>
      <rPr>
        <rFont val="Arial"/>
        <b/>
        <color theme="1"/>
        <sz val="10.0"/>
      </rPr>
      <t>LTE DL 5CC with 2*(4x4) + 3*(2x2)  (total 14 layers)</t>
    </r>
    <r>
      <rPr>
        <rFont val="Arial"/>
        <b val="0"/>
        <color theme="1"/>
        <sz val="10.0"/>
      </rPr>
      <t xml:space="preserve">
is supported.
All such DL CA + MIMO combinations are supported whenever
a) 5CC is supported in general
b) 4x4 MIMO is supported in general for the respective individual frequency band(s).
</t>
    </r>
    <r>
      <rPr>
        <rFont val="Arial"/>
        <b/>
        <color theme="1"/>
        <sz val="10.0"/>
      </rPr>
      <t>If not supported for all applicable 5 CA combinations, please state "Partly Complies" and explain the restrictions under "Comments Vendor".</t>
    </r>
  </si>
  <si>
    <t>MTR-33267</t>
  </si>
  <si>
    <r>
      <rPr>
        <rFont val="Arial"/>
        <b/>
        <color theme="1"/>
        <sz val="10.0"/>
      </rPr>
      <t>2.4.1.3.7</t>
    </r>
    <r>
      <rPr>
        <rFont val="Arial"/>
        <b val="0"/>
        <color theme="1"/>
        <sz val="10.0"/>
      </rPr>
      <t xml:space="preserve"> </t>
    </r>
    <r>
      <rPr>
        <rFont val="Arial"/>
        <b/>
        <color theme="1"/>
        <sz val="10.0"/>
      </rPr>
      <t>LTE DL 16 Layers/MIMO/CA Support</t>
    </r>
  </si>
  <si>
    <t>MTR-33268</t>
  </si>
  <si>
    <r>
      <rPr>
        <rFont val="Arial"/>
        <b/>
        <color theme="1"/>
        <sz val="10.0"/>
      </rPr>
      <t>LTE DL 4CC with 4*(4x4)  (total 16 layers on up to 3 bands)</t>
    </r>
    <r>
      <rPr>
        <rFont val="Arial"/>
        <b val="0"/>
        <color theme="1"/>
        <sz val="10.0"/>
      </rPr>
      <t xml:space="preserve">
is supported.
All such DL CA + MIMO combinations are supported whenever
a) 4CC is supported in general
b) 4x4 MIMO is supported in general for the respective individual frequency band(s).
</t>
    </r>
    <r>
      <rPr>
        <rFont val="Arial"/>
        <b/>
        <color theme="1"/>
        <sz val="10.0"/>
      </rPr>
      <t>If not supported for all applicable 4 CA combinations, please state "Partly Complies" and explain the restrictions under "Comments Vendor".</t>
    </r>
  </si>
  <si>
    <t>B8, B20, B28 and B32 2x2 MIMO
Maximum 3 inter-band CCs (Intra-band CA OK)
DL Cat 19 with up to 16 Layers</t>
  </si>
  <si>
    <t>MTR-33270</t>
  </si>
  <si>
    <r>
      <rPr>
        <rFont val="Arial"/>
        <b/>
        <color theme="1"/>
        <sz val="10.0"/>
      </rPr>
      <t>LTE DL 5CC with 3*(4x4) + 2*(2x2)  (total 16 layers)</t>
    </r>
    <r>
      <rPr>
        <rFont val="Arial"/>
        <b val="0"/>
        <color theme="1"/>
        <sz val="10.0"/>
      </rPr>
      <t xml:space="preserve">
is supported.
All such DL CA + MIMO combinations are supported whenever
a) 5CC is supported in general
b) 4x4 MIMO is supported in general for the respective individual frequency band(s).
</t>
    </r>
    <r>
      <rPr>
        <rFont val="Arial"/>
        <b/>
        <color theme="1"/>
        <sz val="10.0"/>
      </rPr>
      <t>If not supported for all applicable 5 CA combinations, please state "Partly Complies" and explain the restrictions under "Comments Vendor".</t>
    </r>
  </si>
  <si>
    <t>MTR-33271</t>
  </si>
  <si>
    <r>
      <rPr>
        <rFont val="Arial"/>
        <b/>
        <color theme="1"/>
        <sz val="10.0"/>
      </rPr>
      <t>2.4.1.3.8</t>
    </r>
    <r>
      <rPr>
        <rFont val="Arial"/>
        <b val="0"/>
        <color theme="1"/>
        <sz val="10.0"/>
      </rPr>
      <t xml:space="preserve"> </t>
    </r>
    <r>
      <rPr>
        <rFont val="Arial"/>
        <b/>
        <color theme="1"/>
        <sz val="10.0"/>
      </rPr>
      <t>LTE DL 18 Layers/MIMO/CA Support</t>
    </r>
  </si>
  <si>
    <t>MTR-33272</t>
  </si>
  <si>
    <r>
      <rPr>
        <rFont val="Arial"/>
        <b/>
        <color theme="1"/>
        <sz val="10.0"/>
      </rPr>
      <t>LTE DL 5CC with 4*(4x4) + 1*(2x2)  (total 18 layers on up to 4 bands)</t>
    </r>
    <r>
      <rPr>
        <rFont val="Arial"/>
        <b val="0"/>
        <color theme="1"/>
        <sz val="10.0"/>
      </rPr>
      <t xml:space="preserve">
is supported.
All such DL CA + MIMO combinations are supported whenever
a) 5CC is supported in general
b) 4x4 MIMO is supported in general for the respective individual frequency band(s).
</t>
    </r>
    <r>
      <rPr>
        <rFont val="Arial"/>
        <b/>
        <color theme="1"/>
        <sz val="10.0"/>
      </rPr>
      <t>If not supported for all applicable 5 CA combinations, please state "Partly Complies" and explain the restrictions under "Comments Vendor".</t>
    </r>
  </si>
  <si>
    <t>Maximum 16 Layers, Maximum 3 inter-band CCs (Intra-band CA OK)</t>
  </si>
  <si>
    <t>MTR-33752</t>
  </si>
  <si>
    <r>
      <rPr>
        <rFont val="Arial"/>
        <b/>
        <color theme="1"/>
        <sz val="10.0"/>
      </rPr>
      <t>2.4.1.3.9</t>
    </r>
    <r>
      <rPr>
        <rFont val="Arial"/>
        <b val="0"/>
        <color theme="1"/>
        <sz val="10.0"/>
      </rPr>
      <t xml:space="preserve"> </t>
    </r>
    <r>
      <rPr>
        <rFont val="Arial"/>
        <b/>
        <color theme="1"/>
        <sz val="10.0"/>
      </rPr>
      <t xml:space="preserve"> LTE DL 20 Layers/MIMO/CA Support</t>
    </r>
  </si>
  <si>
    <t>MTR-33753</t>
  </si>
  <si>
    <r>
      <rPr>
        <rFont val="Arial"/>
        <b/>
        <color theme="1"/>
        <sz val="10.0"/>
      </rPr>
      <t>LTE DL 5CC with 5*(4x4)  (total 20 layers on up to 3 bands)</t>
    </r>
    <r>
      <rPr>
        <rFont val="Arial"/>
        <b val="0"/>
        <color theme="1"/>
        <sz val="10.0"/>
      </rPr>
      <t xml:space="preserve">
is supported.
All such DL CA + MIMO combinations are supported whenever
a) 5CC is supported in general
b) 4x4 MIMO is supported in general for the respective individual frequency band(s).
</t>
    </r>
    <r>
      <rPr>
        <rFont val="Arial"/>
        <b/>
        <color theme="1"/>
        <sz val="10.0"/>
      </rPr>
      <t>If not supported for all applicable 5 CA combinations, please state "Partly Complies" and explain the restrictions under "Comments Vendor".</t>
    </r>
  </si>
  <si>
    <t>MTR-31253</t>
  </si>
  <si>
    <r>
      <rPr>
        <rFont val="Arial"/>
        <b/>
        <color theme="1"/>
        <sz val="10.0"/>
      </rPr>
      <t>2.4.1.4</t>
    </r>
    <r>
      <rPr>
        <rFont val="Arial"/>
        <b val="0"/>
        <color theme="1"/>
        <sz val="10.0"/>
      </rPr>
      <t xml:space="preserve"> </t>
    </r>
    <r>
      <rPr>
        <rFont val="Arial"/>
        <b/>
        <color theme="1"/>
        <sz val="10.0"/>
      </rPr>
      <t>LTE Carrier Aggregation</t>
    </r>
  </si>
  <si>
    <t>MTR-40160</t>
  </si>
  <si>
    <r>
      <rPr>
        <rFont val="Arial"/>
        <b/>
        <color theme="1"/>
        <sz val="10.0"/>
      </rPr>
      <t>Maximum number of supported carriers in LTE DL CA</t>
    </r>
    <r>
      <rPr>
        <rFont val="Arial"/>
        <b val="0"/>
        <color theme="1"/>
        <sz val="10.0"/>
      </rPr>
      <t xml:space="preserve">
Please state under "Comments Vendor" the maximum number of supported LTE carriers during LTE DL CA operation, e.g. "5 carriers"</t>
    </r>
  </si>
  <si>
    <t>5CC, 3CA (inter-band)</t>
  </si>
  <si>
    <t>x carriers</t>
  </si>
  <si>
    <t>MTR-38805</t>
  </si>
  <si>
    <t>2023 V2</t>
  </si>
  <si>
    <r>
      <rPr>
        <rFont val="Arial"/>
        <b/>
        <color theme="1"/>
        <sz val="10.0"/>
      </rPr>
      <t>Maximum number of concurrent supported bands in LTE DL CA</t>
    </r>
    <r>
      <rPr>
        <rFont val="Arial"/>
        <b val="0"/>
        <color theme="1"/>
        <sz val="10.0"/>
      </rPr>
      <t xml:space="preserve">
Please state under "Comments Vendor" the maximum number of supported LTE bands during LTE DL CA operation, e.g. "3 bands"</t>
    </r>
  </si>
  <si>
    <t>Up to 3 inter-band LTE CA</t>
  </si>
  <si>
    <t>x bands</t>
  </si>
  <si>
    <t>MTR-38804</t>
  </si>
  <si>
    <r>
      <rPr>
        <rFont val="Arial"/>
        <b/>
        <color theme="1"/>
        <sz val="10.0"/>
      </rPr>
      <t>Maximum number of supported layers in LTE DL CA</t>
    </r>
    <r>
      <rPr>
        <rFont val="Arial"/>
        <b val="0"/>
        <color theme="1"/>
        <sz val="10.0"/>
      </rPr>
      <t xml:space="preserve">
Please state under "Comments Vendor" the maximum number of supported LTE layers during LTE DL CA operation, e.g. "12 layers"</t>
    </r>
  </si>
  <si>
    <t>16 layers</t>
  </si>
  <si>
    <t>x layers</t>
  </si>
  <si>
    <t>MTR-33057</t>
  </si>
  <si>
    <r>
      <rPr>
        <rFont val="Arial"/>
        <b/>
        <color theme="1"/>
        <sz val="10.0"/>
      </rPr>
      <t>LTE DL &gt;5CC Carrier Aggregation</t>
    </r>
    <r>
      <rPr>
        <rFont val="Arial"/>
        <b val="0"/>
        <color theme="1"/>
        <sz val="10.0"/>
      </rPr>
      <t xml:space="preserve">
is supported.
Please list under "Comments Vendor" all supported LTE DL &gt;5CC  combinations.</t>
    </r>
  </si>
  <si>
    <t>MTR-31552</t>
  </si>
  <si>
    <r>
      <rPr>
        <rFont val="Arial"/>
        <b/>
        <color theme="1"/>
        <sz val="10.0"/>
      </rPr>
      <t xml:space="preserve">LTE UL 2CC intra-band &amp; inter-band Carrier Aggregation </t>
    </r>
    <r>
      <rPr>
        <rFont val="Arial"/>
        <b val="0"/>
        <color theme="1"/>
        <sz val="10.0"/>
      </rPr>
      <t xml:space="preserve">
is supported with the following essential band combinations:
- CA_1A-3A
- CA_1A-7A
- CA_1A-20A
- CA_3C
- CA_3A-7A
- CA_3A-20A
These combinations are relevant for the majority of the DT networks.
</t>
    </r>
    <r>
      <rPr>
        <rFont val="Arial"/>
        <b/>
        <color theme="1"/>
        <sz val="10.0"/>
      </rPr>
      <t>Note</t>
    </r>
    <r>
      <rPr>
        <rFont val="Arial"/>
        <b val="0"/>
        <color theme="1"/>
        <sz val="10.0"/>
      </rPr>
      <t xml:space="preserve">: This requirement can only be compliant if both intra-band AND inter-band UL CA is supported!
</t>
    </r>
    <r>
      <rPr>
        <rFont val="Arial"/>
        <b/>
        <color theme="1"/>
        <sz val="10.0"/>
      </rPr>
      <t>Please list under "Comments Vendor" ALL supported LTE UL 2CA combinations!</t>
    </r>
  </si>
  <si>
    <t>HW limitation "UL CA: Intraband contiguous only: 1C/3C/7C/40C/38C/41C/42C"</t>
  </si>
  <si>
    <t>MTR-29382</t>
  </si>
  <si>
    <r>
      <rPr>
        <rFont val="Arial"/>
        <color theme="1"/>
        <sz val="10.0"/>
      </rPr>
      <t xml:space="preserve">[Rel. 10] </t>
    </r>
    <r>
      <rPr>
        <rFont val="Arial"/>
        <b/>
        <color theme="1"/>
        <sz val="10.0"/>
      </rPr>
      <t>Cross Carrier Scheduling operation for DL Carrier Aggregation</t>
    </r>
    <r>
      <rPr>
        <rFont val="Arial"/>
        <color theme="1"/>
        <sz val="10.0"/>
      </rPr>
      <t xml:space="preserve"> is supported and enabled or disabled as defined in [TISD] (default=disabled).
Note: Indicated with the Rel-10 IE "phyLayerParameters-v1020/crossCarrierScheduling-r10" 
Respond</t>
    </r>
    <r>
      <rPr>
        <rFont val="Arial"/>
        <b/>
        <color theme="1"/>
        <sz val="10.0"/>
      </rPr>
      <t xml:space="preserve"> "Not Applicable"</t>
    </r>
    <r>
      <rPr>
        <rFont val="Arial"/>
        <color theme="1"/>
        <sz val="10.0"/>
      </rPr>
      <t xml:space="preserve"> when LTE DL CA is not supported!</t>
    </r>
  </si>
  <si>
    <t xml:space="preserve">Disabled </t>
  </si>
  <si>
    <t>MTR-38546</t>
  </si>
  <si>
    <r>
      <rPr>
        <rFont val="Arial"/>
        <b/>
        <color theme="1"/>
        <sz val="10.0"/>
      </rPr>
      <t>2.4.2</t>
    </r>
    <r>
      <rPr>
        <rFont val="Arial"/>
        <b val="0"/>
        <color theme="1"/>
        <sz val="10.0"/>
      </rPr>
      <t xml:space="preserve"> </t>
    </r>
    <r>
      <rPr>
        <rFont val="Arial"/>
        <b/>
        <color theme="1"/>
        <sz val="10.0"/>
      </rPr>
      <t>LTE Performance &amp; Reliability</t>
    </r>
  </si>
  <si>
    <t>MTR-38552</t>
  </si>
  <si>
    <r>
      <rPr>
        <rFont val="Arial"/>
        <b/>
        <color theme="1"/>
        <sz val="10.0"/>
      </rPr>
      <t>2.4.2.1</t>
    </r>
    <r>
      <rPr>
        <rFont val="Arial"/>
        <b val="0"/>
        <color theme="1"/>
        <sz val="10.0"/>
      </rPr>
      <t xml:space="preserve"> </t>
    </r>
    <r>
      <rPr>
        <rFont val="Arial"/>
        <b/>
        <color theme="1"/>
        <sz val="10.0"/>
      </rPr>
      <t>LTE DL Performance</t>
    </r>
  </si>
  <si>
    <t>MTR-32214</t>
  </si>
  <si>
    <r>
      <rPr>
        <rFont val="Arial"/>
        <color theme="1"/>
        <sz val="10.0"/>
      </rPr>
      <t xml:space="preserve">[Rel. 12] </t>
    </r>
    <r>
      <rPr>
        <rFont val="Arial"/>
        <b/>
        <color theme="1"/>
        <sz val="10.0"/>
      </rPr>
      <t>TTI bundling operation without resource allocation restriction</t>
    </r>
    <r>
      <rPr>
        <rFont val="Arial"/>
        <color theme="1"/>
        <sz val="10.0"/>
      </rPr>
      <t xml:space="preserve"> is supported and indicated with IE "noResourceRestrictionForTTIBundling-r12".
</t>
    </r>
    <r>
      <rPr>
        <rFont val="Arial"/>
        <b/>
        <color theme="1"/>
        <sz val="10.0"/>
      </rPr>
      <t>3GPP mandatory for Rel-12 devices. Optional for Cat M1 devices.</t>
    </r>
  </si>
  <si>
    <t>MTR-38553</t>
  </si>
  <si>
    <r>
      <rPr>
        <rFont val="Arial"/>
        <b/>
        <color theme="1"/>
        <sz val="10.0"/>
      </rPr>
      <t>2.4.2.2</t>
    </r>
    <r>
      <rPr>
        <rFont val="Arial"/>
        <b val="0"/>
        <color theme="1"/>
        <sz val="10.0"/>
      </rPr>
      <t xml:space="preserve"> </t>
    </r>
    <r>
      <rPr>
        <rFont val="Arial"/>
        <b/>
        <color theme="1"/>
        <sz val="10.0"/>
      </rPr>
      <t>LTE UL Performance</t>
    </r>
  </si>
  <si>
    <t>MTR-30595</t>
  </si>
  <si>
    <r>
      <rPr>
        <rFont val="Arial"/>
        <color theme="1"/>
        <sz val="10.0"/>
      </rPr>
      <t xml:space="preserve">[Rel. 11] </t>
    </r>
    <r>
      <rPr>
        <rFont val="Arial"/>
        <b/>
        <color theme="1"/>
        <sz val="10.0"/>
      </rPr>
      <t>Multiple TA</t>
    </r>
    <r>
      <rPr>
        <rFont val="Arial"/>
        <color theme="1"/>
        <sz val="10.0"/>
      </rPr>
      <t xml:space="preserve">
The device supports multiple timing advance and indicates this by the Rel-11 IE "multipleTimingAdvance-r11" per band combination.
This field defines whether multiple timing advances are supported for each band combination supported by the UE.
It is mandatory for band combinations with an UL on multiple FDD bands (UL CA)
Respond </t>
    </r>
    <r>
      <rPr>
        <rFont val="Arial"/>
        <b/>
        <color theme="1"/>
        <sz val="10.0"/>
      </rPr>
      <t>"Not Applicable"</t>
    </r>
    <r>
      <rPr>
        <rFont val="Arial"/>
        <color theme="1"/>
        <sz val="10.0"/>
      </rPr>
      <t xml:space="preserve"> when UL CA is not supported!</t>
    </r>
  </si>
  <si>
    <t>[2024/11/15]
The multipleTimingAdvance feature is designed for devices that support inter-band uplink carrier aggregation (UL CA). Since the M25 device does not support inter-band UL CA, it does not comply with this requirement.</t>
  </si>
  <si>
    <t>No specific band combination limitations</t>
  </si>
  <si>
    <t>MTR-30601</t>
  </si>
  <si>
    <r>
      <rPr>
        <rFont val="Arial"/>
        <color theme="1"/>
        <sz val="10.0"/>
      </rPr>
      <t xml:space="preserve">[Rel. 11] </t>
    </r>
    <r>
      <rPr>
        <rFont val="Arial"/>
        <b/>
        <color theme="1"/>
        <sz val="10.0"/>
      </rPr>
      <t>Multi ACK and CSI reporting</t>
    </r>
    <r>
      <rPr>
        <rFont val="Arial"/>
        <color theme="1"/>
        <sz val="10.0"/>
      </rPr>
      <t xml:space="preserve"> with multi-cell HARQ ACK and periodic CSI reporting and SR on PUCCH format 3 is supported and enabled or disabled as defined in [TISD] (default=disabled).
</t>
    </r>
    <r>
      <rPr>
        <rFont val="Arial"/>
        <b/>
        <color theme="1"/>
        <sz val="10.0"/>
      </rPr>
      <t>Note</t>
    </r>
    <r>
      <rPr>
        <rFont val="Arial"/>
        <color theme="1"/>
        <sz val="10.0"/>
      </rPr>
      <t xml:space="preserve">: indicated with the IE "multiACK-CSI-Reporting-r11"
Respond </t>
    </r>
    <r>
      <rPr>
        <rFont val="Arial"/>
        <b/>
        <color theme="1"/>
        <sz val="10.0"/>
      </rPr>
      <t xml:space="preserve">"Not Applicable" </t>
    </r>
    <r>
      <rPr>
        <rFont val="Arial"/>
        <color theme="1"/>
        <sz val="10.0"/>
      </rPr>
      <t>when feature not supported!</t>
    </r>
  </si>
  <si>
    <t>MTR-32606</t>
  </si>
  <si>
    <r>
      <rPr>
        <rFont val="Arial"/>
        <color theme="1"/>
        <sz val="10.0"/>
      </rPr>
      <t xml:space="preserve">[Rel. 12] </t>
    </r>
    <r>
      <rPr>
        <rFont val="Arial"/>
        <b/>
        <color theme="1"/>
        <sz val="10.0"/>
      </rPr>
      <t>logicalChannelSR-ProhibitTimer</t>
    </r>
    <r>
      <rPr>
        <rFont val="Arial"/>
        <color theme="1"/>
        <sz val="10.0"/>
      </rPr>
      <t xml:space="preserve">
If indicated with UE-EUTRA-Capability the UE supports the logicalChannelSR-ProhibitTimer as defined in TS 36.321.</t>
    </r>
  </si>
  <si>
    <t>[2024/11/15]
Supported but disabled by default, please discuss with Google TAM for feature enablement plans if the feature is deployed in live network</t>
  </si>
  <si>
    <t>Support but disabled by default, please discuss with Google TAM for feature enablement plans if the feature is deployed in live network</t>
  </si>
  <si>
    <t>MTR-38554</t>
  </si>
  <si>
    <r>
      <rPr>
        <rFont val="Arial"/>
        <b/>
        <color theme="1"/>
        <sz val="10.0"/>
      </rPr>
      <t>2.4.2.3</t>
    </r>
    <r>
      <rPr>
        <rFont val="Arial"/>
        <b val="0"/>
        <color theme="1"/>
        <sz val="10.0"/>
      </rPr>
      <t xml:space="preserve"> </t>
    </r>
    <r>
      <rPr>
        <rFont val="Arial"/>
        <b/>
        <color theme="1"/>
        <sz val="10.0"/>
      </rPr>
      <t>LTE CA Performance</t>
    </r>
  </si>
  <si>
    <t>MTR-38555</t>
  </si>
  <si>
    <r>
      <rPr>
        <rFont val="Arial"/>
        <b/>
        <color theme="1"/>
        <sz val="10.0"/>
      </rPr>
      <t>2.4.2.4</t>
    </r>
    <r>
      <rPr>
        <rFont val="Arial"/>
        <b val="0"/>
        <color theme="1"/>
        <sz val="10.0"/>
      </rPr>
      <t xml:space="preserve"> </t>
    </r>
    <r>
      <rPr>
        <rFont val="Arial"/>
        <b/>
        <color theme="1"/>
        <sz val="10.0"/>
      </rPr>
      <t>LTE Mobility Performance</t>
    </r>
  </si>
  <si>
    <t>MTR-31281</t>
  </si>
  <si>
    <r>
      <rPr>
        <rFont val="Arial"/>
        <b/>
        <color theme="1"/>
        <sz val="10.0"/>
      </rPr>
      <t>Network controlled mobility GERAN to E-UTRA</t>
    </r>
    <r>
      <rPr>
        <rFont val="Arial"/>
        <b val="0"/>
        <color theme="1"/>
        <sz val="10.0"/>
      </rPr>
      <t xml:space="preserve"> (Cell Change Order, PS Handover and Measurements+Reporting) is supported (see MTR-27873, 27875 and 27877).
If not fully supported please explain under "Comments Vendor"!</t>
    </r>
  </si>
  <si>
    <t>MTR-27877</t>
  </si>
  <si>
    <r>
      <rPr>
        <rFont val="Arial"/>
        <b/>
        <color theme="1"/>
        <sz val="10.0"/>
      </rPr>
      <t>E-UTRA Measurement and Reporting</t>
    </r>
    <r>
      <rPr>
        <rFont val="Arial"/>
        <b val="0"/>
        <color theme="1"/>
        <sz val="10.0"/>
      </rPr>
      <t xml:space="preserve"> is supported and enabled or disabled as defined in [TISD] (default=disabled).
</t>
    </r>
    <r>
      <rPr>
        <rFont val="Arial"/>
        <b/>
        <color theme="1"/>
        <sz val="10.0"/>
      </rPr>
      <t xml:space="preserve">Note: </t>
    </r>
    <r>
      <rPr>
        <rFont val="Arial"/>
        <b val="0"/>
        <color theme="1"/>
        <sz val="10.0"/>
      </rPr>
      <t xml:space="preserve">indicated with IE "E-UTRA Measurement and Reporting support " in Mobile station Classmark 3.
Respond </t>
    </r>
    <r>
      <rPr>
        <rFont val="Arial"/>
        <b/>
        <color theme="1"/>
        <sz val="10.0"/>
      </rPr>
      <t>"Not Applicable"</t>
    </r>
    <r>
      <rPr>
        <rFont val="Arial"/>
        <b val="0"/>
        <color theme="1"/>
        <sz val="10.0"/>
      </rPr>
      <t xml:space="preserve"> when feature not supported!</t>
    </r>
  </si>
  <si>
    <t>MTR-27873</t>
  </si>
  <si>
    <r>
      <rPr>
        <rFont val="Arial"/>
        <b/>
        <color theme="1"/>
        <sz val="10.0"/>
      </rPr>
      <t>GERAN to E-UTRA cell change order</t>
    </r>
    <r>
      <rPr>
        <rFont val="Arial"/>
        <b val="0"/>
        <color theme="1"/>
        <sz val="10.0"/>
      </rPr>
      <t xml:space="preserve"> is supported in GERAN packet transfer mode and enabled or disabled as defined in [TISD] (default=disabled).
</t>
    </r>
    <r>
      <rPr>
        <rFont val="Arial"/>
        <b/>
        <color theme="1"/>
        <sz val="10.0"/>
      </rPr>
      <t xml:space="preserve">Note: </t>
    </r>
    <r>
      <rPr>
        <rFont val="Arial"/>
        <b val="0"/>
        <color theme="1"/>
        <sz val="10.0"/>
      </rPr>
      <t xml:space="preserve">indicated with "CCN towards E-UTRAN, E-UTRAN Neighbour Cell measurement reporting and Network controlled cell reselection to E-UTRAN" in the MS Radio Access capability.
Respond </t>
    </r>
    <r>
      <rPr>
        <rFont val="Arial"/>
        <b/>
        <color theme="1"/>
        <sz val="10.0"/>
      </rPr>
      <t>"Not Applicable"</t>
    </r>
    <r>
      <rPr>
        <rFont val="Arial"/>
        <b val="0"/>
        <color theme="1"/>
        <sz val="10.0"/>
      </rPr>
      <t xml:space="preserve"> when feature not supported!</t>
    </r>
  </si>
  <si>
    <t>MTR-27875</t>
  </si>
  <si>
    <r>
      <rPr>
        <rFont val="Arial"/>
        <b/>
        <color theme="1"/>
        <sz val="10.0"/>
      </rPr>
      <t xml:space="preserve">GERAN to E-UTRA PS handover in GERAN packet transfer mode </t>
    </r>
    <r>
      <rPr>
        <rFont val="Arial"/>
        <b val="0"/>
        <color theme="1"/>
        <sz val="10.0"/>
      </rPr>
      <t xml:space="preserve">is supported and enabled or disabled as defined in [TISD] (default=disabled).
</t>
    </r>
    <r>
      <rPr>
        <rFont val="Arial"/>
        <b/>
        <color theme="1"/>
        <sz val="10.0"/>
      </rPr>
      <t>Note:</t>
    </r>
    <r>
      <rPr>
        <rFont val="Arial"/>
        <b val="0"/>
        <color theme="1"/>
        <sz val="10.0"/>
      </rPr>
      <t xml:space="preserve"> indicated with both
- "PS Handover to E-UTRAN supported" in MS Radio Access capability
- "PS inter-RAT HO to E-UTRAN S1 mode capability" in MS network capability
Respond </t>
    </r>
    <r>
      <rPr>
        <rFont val="Arial"/>
        <b/>
        <color theme="1"/>
        <sz val="10.0"/>
      </rPr>
      <t xml:space="preserve">"Not Applicable" </t>
    </r>
    <r>
      <rPr>
        <rFont val="Arial"/>
        <b val="0"/>
        <color theme="1"/>
        <sz val="10.0"/>
      </rPr>
      <t>when feature not supported!</t>
    </r>
  </si>
  <si>
    <t>MTR-32105</t>
  </si>
  <si>
    <r>
      <rPr>
        <rFont val="Arial"/>
        <b/>
        <color theme="1"/>
        <sz val="10.0"/>
      </rPr>
      <t>The device does NOT need gaps for LTE inter-frequency measurements</t>
    </r>
    <r>
      <rPr>
        <rFont val="Arial"/>
        <b val="0"/>
        <color theme="1"/>
        <sz val="10.0"/>
      </rPr>
      <t xml:space="preserve"> in combinations of frequencies where LTE Inter-frequency band carrier aggregation is supported by the device but no SCell configured for the frequency to be measured. 
</t>
    </r>
    <r>
      <rPr>
        <rFont val="Arial"/>
        <b/>
        <color theme="1"/>
        <sz val="10.0"/>
      </rPr>
      <t>2CA example:</t>
    </r>
    <r>
      <rPr>
        <rFont val="Arial"/>
        <b val="0"/>
        <color theme="1"/>
        <sz val="10.0"/>
      </rPr>
      <t xml:space="preserve"> CA_1A-3A is supported &amp; only band 3 is currently used -&gt; measurements of LTE band 1 are possible without need for gaps.
</t>
    </r>
    <r>
      <rPr>
        <rFont val="Arial"/>
        <b/>
        <color theme="1"/>
        <sz val="10.0"/>
      </rPr>
      <t xml:space="preserve">3CA example: </t>
    </r>
    <r>
      <rPr>
        <rFont val="Arial"/>
        <b val="0"/>
        <color theme="1"/>
        <sz val="10.0"/>
      </rPr>
      <t xml:space="preserve">CA_1A-3A-7A is supported, but only 3A+7A are configured, then measurements of LTE band 1 are possible without need for gaps.
</t>
    </r>
    <r>
      <rPr>
        <rFont val="Arial"/>
        <b/>
        <color theme="1"/>
        <sz val="10.0"/>
      </rPr>
      <t>If this requirement is supported in general, but there are restrictions on the band combinations, this shall be indicated as 'partially compliant' and the restrictions shall be indicated under "Comments Vendor".</t>
    </r>
  </si>
  <si>
    <t>MTR-30625</t>
  </si>
  <si>
    <r>
      <rPr>
        <rFont val="Arial"/>
        <color theme="1"/>
        <sz val="10.0"/>
      </rPr>
      <t xml:space="preserve">[Rel. 11] </t>
    </r>
    <r>
      <rPr>
        <rFont val="Arial"/>
        <b/>
        <color theme="1"/>
        <sz val="10.0"/>
      </rPr>
      <t>RRC Connection Reject with deprioritisation</t>
    </r>
    <r>
      <rPr>
        <rFont val="Arial"/>
        <color theme="1"/>
        <sz val="10.0"/>
      </rPr>
      <t xml:space="preserve">
The device supports RRC Connection Reject with deprioritisation
1) Reject with deprioritising the current carrier frequency
2) Reject with deprioritising all E-UTRAN frequencies
3) Configurable timer (T325) considering the carrier deprioritisation as valid
--- no capability indication ---</t>
    </r>
  </si>
  <si>
    <t>MTR-32961</t>
  </si>
  <si>
    <t>2018 V2</t>
  </si>
  <si>
    <r>
      <rPr>
        <rFont val="Arial"/>
        <color theme="1"/>
        <sz val="10.0"/>
      </rPr>
      <t xml:space="preserve">[Rel. 12] </t>
    </r>
    <r>
      <rPr>
        <rFont val="Arial"/>
        <b/>
        <color theme="1"/>
        <sz val="10.0"/>
      </rPr>
      <t>RRC Connection Establishment failure temporary Qoffset</t>
    </r>
    <r>
      <rPr>
        <rFont val="Arial"/>
        <color theme="1"/>
        <sz val="10.0"/>
      </rPr>
      <t xml:space="preserve">
is supported.
The related parameters T300, connEstFailCount, connEstFailOffsetValidity, connEstFailOffset as indicated by the network in SystemInformationBlockType2 are considered accordingly when performing cell selection and releselection in RRC Connection Establishment failure cases.</t>
    </r>
  </si>
  <si>
    <t>1000/200 Mbps, 1200/225 Mbps, 1600/225 Mbps, 2000/225 Mbps</t>
  </si>
  <si>
    <t>MTR-32133</t>
  </si>
  <si>
    <r>
      <rPr>
        <rFont val="Arial"/>
        <color theme="1"/>
        <sz val="10.0"/>
      </rPr>
      <t xml:space="preserve">[Rel. 12] </t>
    </r>
    <r>
      <rPr>
        <rFont val="Arial"/>
        <b/>
        <color theme="1"/>
        <sz val="10.0"/>
      </rPr>
      <t>Increased EUTRA Monitoring (incMonEUTRA)</t>
    </r>
    <r>
      <rPr>
        <rFont val="Arial"/>
        <color theme="1"/>
        <sz val="10.0"/>
      </rPr>
      <t xml:space="preserve">
"Increased number of E-UTRA carrier monitoring in RRC_IDLE and RRC_CONNECTED</t>
    </r>
    <r>
      <rPr>
        <rFont val="Arial"/>
        <b/>
        <color theme="1"/>
        <sz val="10.0"/>
      </rPr>
      <t xml:space="preserve">" </t>
    </r>
    <r>
      <rPr>
        <rFont val="Arial"/>
        <color theme="1"/>
        <sz val="10.0"/>
      </rPr>
      <t>is supported and indicated with IE "UE-EUTRA-Capability-v1250-IEs /incMonEUTRA-r12"</t>
    </r>
  </si>
  <si>
    <t>LTE Rel.12 feature Increases EUTRAN Monitoring is not supported.</t>
  </si>
  <si>
    <t>MTR-32148</t>
  </si>
  <si>
    <r>
      <rPr>
        <rFont val="Arial"/>
        <color theme="1"/>
        <sz val="10.0"/>
      </rPr>
      <t xml:space="preserve">[Rel. 12] </t>
    </r>
    <r>
      <rPr>
        <rFont val="Arial"/>
        <b/>
        <color theme="1"/>
        <sz val="10.0"/>
      </rPr>
      <t>extendedMaxMeasId</t>
    </r>
    <r>
      <rPr>
        <rFont val="Arial"/>
        <color theme="1"/>
        <sz val="10.0"/>
      </rPr>
      <t xml:space="preserve">
is supported and indicated with IE "MeasParameters-v1250/extendedMaxMeasId-r12"</t>
    </r>
  </si>
  <si>
    <t>MTR-32688</t>
  </si>
  <si>
    <r>
      <rPr>
        <rFont val="Arial"/>
        <color theme="1"/>
        <sz val="10.0"/>
      </rPr>
      <t xml:space="preserve">[Rel. 13] </t>
    </r>
    <r>
      <rPr>
        <rFont val="Arial"/>
        <b/>
        <color theme="1"/>
        <sz val="10.0"/>
      </rPr>
      <t>extendedFreqPriorities</t>
    </r>
    <r>
      <rPr>
        <rFont val="Arial"/>
        <color theme="1"/>
        <sz val="10.0"/>
      </rPr>
      <t xml:space="preserve">
If indicated with UE-EUTRA-Capability the UE supports extended E-UTRA frequency priorities indicated by "cellReselectionSubPriority" field.</t>
    </r>
  </si>
  <si>
    <t>MTR-38556</t>
  </si>
  <si>
    <r>
      <rPr>
        <rFont val="Arial"/>
        <b/>
        <color theme="1"/>
        <sz val="10.0"/>
      </rPr>
      <t>2.4.2.5</t>
    </r>
    <r>
      <rPr>
        <rFont val="Arial"/>
        <b val="0"/>
        <color theme="1"/>
        <sz val="10.0"/>
      </rPr>
      <t xml:space="preserve"> </t>
    </r>
    <r>
      <rPr>
        <rFont val="Arial"/>
        <b/>
        <color theme="1"/>
        <sz val="10.0"/>
      </rPr>
      <t>LTE related UE Power Consumption</t>
    </r>
  </si>
  <si>
    <t>MTR-38547</t>
  </si>
  <si>
    <r>
      <rPr>
        <rFont val="Arial"/>
        <b/>
        <color theme="1"/>
        <sz val="10.0"/>
      </rPr>
      <t>2.4.3</t>
    </r>
    <r>
      <rPr>
        <rFont val="Arial"/>
        <b val="0"/>
        <color theme="1"/>
        <sz val="10.0"/>
      </rPr>
      <t xml:space="preserve"> </t>
    </r>
    <r>
      <rPr>
        <rFont val="Arial"/>
        <b/>
        <color theme="1"/>
        <sz val="10.0"/>
      </rPr>
      <t>LTE Functional Enhancements</t>
    </r>
  </si>
  <si>
    <t>MTR-38557</t>
  </si>
  <si>
    <r>
      <rPr>
        <rFont val="Arial"/>
        <b/>
        <color theme="1"/>
        <sz val="10.0"/>
      </rPr>
      <t>2.4.3.1</t>
    </r>
    <r>
      <rPr>
        <rFont val="Arial"/>
        <b val="0"/>
        <color theme="1"/>
        <sz val="10.0"/>
      </rPr>
      <t xml:space="preserve"> </t>
    </r>
    <r>
      <rPr>
        <rFont val="Arial"/>
        <b/>
        <color theme="1"/>
        <sz val="10.0"/>
      </rPr>
      <t>LTE Feature Group Indicator (FGI)</t>
    </r>
  </si>
  <si>
    <t>MTR-29526</t>
  </si>
  <si>
    <r>
      <rPr>
        <rFont val="Arial"/>
        <b/>
        <color theme="1"/>
        <sz val="10.0"/>
      </rPr>
      <t>2.4.3.1.1</t>
    </r>
    <r>
      <rPr>
        <rFont val="Arial"/>
        <b val="0"/>
        <color theme="1"/>
        <sz val="10.0"/>
      </rPr>
      <t xml:space="preserve"> </t>
    </r>
    <r>
      <rPr>
        <rFont val="Arial"/>
        <b/>
        <color theme="1"/>
        <sz val="10.0"/>
      </rPr>
      <t>LTE Rel-8 FDD/TDD/Common FGI</t>
    </r>
  </si>
  <si>
    <t>MTR-36128</t>
  </si>
  <si>
    <r>
      <rPr>
        <rFont val="Arial"/>
        <color theme="1"/>
        <sz val="10.0"/>
      </rPr>
      <t xml:space="preserve">This section includes the requirements for </t>
    </r>
    <r>
      <rPr>
        <rFont val="Arial"/>
        <b/>
        <color theme="1"/>
        <sz val="10.0"/>
      </rPr>
      <t>LTE Release 8 FDD/TDD/Common Feature Group Indicators (FGI)</t>
    </r>
    <r>
      <rPr>
        <rFont val="Arial"/>
        <color theme="1"/>
        <sz val="10.0"/>
      </rPr>
      <t xml:space="preserve">. FDD/TDD FGIs are differentiated by '[LTE FDD][LTE TDD]' from Common Feature Group Indicators. 
For FDD/TDD FGIs the compliance statement shall be 
    - 'complies' if the indicator is supported for both FDD and TDD mode,
    - 'partially complies' if the indicator is supported either for FDD only or for TDD only in which case the support per mode shall be indicated in 'Comments Vendor',
    - 'does not comply' if the indicator is not supported neither in FDD mode nor is it supported in TDD mode.
Note: Common FGI is the FGI for which the UE is not allowed to signal different values for FDD and TDD.
</t>
    </r>
    <r>
      <rPr>
        <rFont val="Arial"/>
        <b/>
        <color theme="1"/>
        <sz val="10.0"/>
      </rPr>
      <t>NOTE: The individual FGIs shall be enabled or disabled as defined in the latest Deutsche Telekom Settings document (TISD).</t>
    </r>
  </si>
  <si>
    <t>MTR-27593</t>
  </si>
  <si>
    <r>
      <rPr>
        <rFont val="Arial"/>
        <color theme="1"/>
        <sz val="10.0"/>
      </rPr>
      <t xml:space="preserve">[LTE FDD][LTE TDD] </t>
    </r>
    <r>
      <rPr>
        <rFont val="Arial"/>
        <b/>
        <color theme="1"/>
        <sz val="10.0"/>
      </rPr>
      <t>index 1 (FGI1) - for non Cat M1 UEs -:</t>
    </r>
    <r>
      <rPr>
        <rFont val="Arial"/>
        <color theme="1"/>
        <sz val="10.0"/>
      </rPr>
      <t xml:space="preserve">
- Intra-subframe frequency hopping for PUSCH scheduled by UL grant
- DCI format 3a (TPC commands for PUCCH and PUSCH with single bit power adjustments)
- Aperiodic CQI/PMI/RI reporting on PUSCH: Mode 2-0 - UE
selected subband CQI without PMI
- Aperiodic CQI/PMI/RI reporting on PUSCH: Mode 2-2 - UE
selected subband CQI with multiple PMI</t>
    </r>
  </si>
  <si>
    <t>MTR-27594</t>
  </si>
  <si>
    <r>
      <rPr>
        <rFont val="Arial"/>
        <color theme="1"/>
        <sz val="10.0"/>
      </rPr>
      <t xml:space="preserve">[LTE FDD][LTE TDD] </t>
    </r>
    <r>
      <rPr>
        <rFont val="Arial"/>
        <b/>
        <color theme="1"/>
        <sz val="10.0"/>
      </rPr>
      <t>index 2 (FGI2):</t>
    </r>
    <r>
      <rPr>
        <rFont val="Arial"/>
        <color theme="1"/>
        <sz val="10.0"/>
      </rPr>
      <t xml:space="preserve">
- Simultaneous CQI and ACK/NACK on PUCCH, i.e. PUCCH
format 2a and 2b
- Absolute TPC command for PUSCH
- Resource allocation type 1 for PDSCH
- Periodic CQI/PMI/RI reporting on PUCCH: Mode 2-0 - UE
selected subband CQI without PMI
- Periodic CQI/PMI/RI reporting on PUCCH: Mode 2-1 - UE
selected subband CQI with single PMI
</t>
    </r>
    <r>
      <rPr>
        <rFont val="Arial"/>
        <b/>
        <color theme="1"/>
        <sz val="10.0"/>
      </rPr>
      <t>3GPP optional for Cat M1 UEs.</t>
    </r>
  </si>
  <si>
    <t>MTR-27596</t>
  </si>
  <si>
    <r>
      <rPr>
        <rFont val="Arial"/>
        <b/>
        <color theme="1"/>
        <sz val="10.0"/>
      </rPr>
      <t>index 3 (FGI3):</t>
    </r>
    <r>
      <rPr>
        <rFont val="Arial"/>
        <b val="0"/>
        <color theme="1"/>
        <sz val="10.0"/>
      </rPr>
      <t xml:space="preserve">
- 5bit RLC UM SN
- 7bit PDCP SN
- can only be set to 1 if the UE has set bit number 7 to 1
Optional for non-VoLTE devices.
</t>
    </r>
    <r>
      <rPr>
        <rFont val="Arial"/>
        <b/>
        <color theme="1"/>
        <sz val="10.0"/>
      </rPr>
      <t>Please note:</t>
    </r>
    <r>
      <rPr>
        <rFont val="Arial"/>
        <b val="0"/>
        <color theme="1"/>
        <sz val="10.0"/>
      </rPr>
      <t xml:space="preserve"> Common FGI, i.e. the UE is </t>
    </r>
    <r>
      <rPr>
        <rFont val="Arial"/>
        <b/>
        <color theme="1"/>
        <sz val="10.0"/>
      </rPr>
      <t>NOT</t>
    </r>
    <r>
      <rPr>
        <rFont val="Arial"/>
        <b val="0"/>
        <color theme="1"/>
        <sz val="10.0"/>
      </rPr>
      <t xml:space="preserve"> allowed to signal different values for FDD and TDD.</t>
    </r>
  </si>
  <si>
    <t>MTR-27597</t>
  </si>
  <si>
    <r>
      <rPr>
        <rFont val="Arial"/>
        <color theme="1"/>
        <sz val="10.0"/>
      </rPr>
      <t xml:space="preserve">[LTE FDD][LTE TDD] </t>
    </r>
    <r>
      <rPr>
        <rFont val="Arial"/>
        <b/>
        <color theme="1"/>
        <sz val="10.0"/>
      </rPr>
      <t>index 4 (FGI4):</t>
    </r>
    <r>
      <rPr>
        <rFont val="Arial"/>
        <color theme="1"/>
        <sz val="10.0"/>
      </rPr>
      <t xml:space="preserve">
- Short DRX cycle
- can only be set to 1 if the UE has set bit number 5 to 1
Optional for non-VoLTE devices.</t>
    </r>
  </si>
  <si>
    <t>MTR-27598</t>
  </si>
  <si>
    <r>
      <rPr>
        <rFont val="Arial"/>
        <b/>
        <color theme="1"/>
        <sz val="10.0"/>
      </rPr>
      <t>index 5 (FGI5):</t>
    </r>
    <r>
      <rPr>
        <rFont val="Arial"/>
        <b val="0"/>
        <color theme="1"/>
        <sz val="10.0"/>
      </rPr>
      <t xml:space="preserve">
- Long DRX cycle
- DRX command MAC control element
</t>
    </r>
    <r>
      <rPr>
        <rFont val="Arial"/>
        <b/>
        <color theme="1"/>
        <sz val="10.0"/>
      </rPr>
      <t>3GPP mandatory for Rel-10 devices.</t>
    </r>
    <r>
      <rPr>
        <rFont val="Arial"/>
        <b val="0"/>
        <color theme="1"/>
        <sz val="10.0"/>
      </rPr>
      <t xml:space="preserve">
</t>
    </r>
    <r>
      <rPr>
        <rFont val="Arial"/>
        <b/>
        <color theme="1"/>
        <sz val="10.0"/>
      </rPr>
      <t>Please note:</t>
    </r>
    <r>
      <rPr>
        <rFont val="Arial"/>
        <b val="0"/>
        <color theme="1"/>
        <sz val="10.0"/>
      </rPr>
      <t xml:space="preserve"> Common FGI, i.e. the UE is </t>
    </r>
    <r>
      <rPr>
        <rFont val="Arial"/>
        <b/>
        <color theme="1"/>
        <sz val="10.0"/>
      </rPr>
      <t>NOT</t>
    </r>
    <r>
      <rPr>
        <rFont val="Arial"/>
        <b val="0"/>
        <color theme="1"/>
        <sz val="10.0"/>
      </rPr>
      <t xml:space="preserve"> allowed to signal different values for FDD and TDD.</t>
    </r>
  </si>
  <si>
    <t>MTR-27599</t>
  </si>
  <si>
    <r>
      <rPr>
        <rFont val="Arial"/>
        <b/>
        <color theme="1"/>
        <sz val="10.0"/>
      </rPr>
      <t>index 6 (FGI6):</t>
    </r>
    <r>
      <rPr>
        <rFont val="Arial"/>
        <b val="0"/>
        <color theme="1"/>
        <sz val="10.0"/>
      </rPr>
      <t xml:space="preserve">
- Prioritized bit rate
Optional for non-VoLTE devices.
</t>
    </r>
    <r>
      <rPr>
        <rFont val="Arial"/>
        <b/>
        <color theme="1"/>
        <sz val="10.0"/>
      </rPr>
      <t>3GPP mandatory for Rel-10 devices.</t>
    </r>
    <r>
      <rPr>
        <rFont val="Arial"/>
        <b val="0"/>
        <color theme="1"/>
        <sz val="10.0"/>
      </rPr>
      <t xml:space="preserve">
</t>
    </r>
    <r>
      <rPr>
        <rFont val="Arial"/>
        <b/>
        <color theme="1"/>
        <sz val="10.0"/>
      </rPr>
      <t>Please note:</t>
    </r>
    <r>
      <rPr>
        <rFont val="Arial"/>
        <b val="0"/>
        <color theme="1"/>
        <sz val="10.0"/>
      </rPr>
      <t xml:space="preserve"> Common FGI, i.e. the UE is </t>
    </r>
    <r>
      <rPr>
        <rFont val="Arial"/>
        <b/>
        <color theme="1"/>
        <sz val="10.0"/>
      </rPr>
      <t>NOT</t>
    </r>
    <r>
      <rPr>
        <rFont val="Arial"/>
        <b val="0"/>
        <color theme="1"/>
        <sz val="10.0"/>
      </rPr>
      <t xml:space="preserve"> allowed to signal different values for FDD and TDD.</t>
    </r>
  </si>
  <si>
    <t>MTR-27600</t>
  </si>
  <si>
    <r>
      <rPr>
        <rFont val="Arial"/>
        <b/>
        <color theme="1"/>
        <sz val="10.0"/>
      </rPr>
      <t>index 7 (FGI7):</t>
    </r>
    <r>
      <rPr>
        <rFont val="Arial"/>
        <b val="0"/>
        <color theme="1"/>
        <sz val="10.0"/>
      </rPr>
      <t xml:space="preserve">
- RLC UM
- can only be set to 0 if the UE does not support voice
Optional for non-VoLTE devices.
</t>
    </r>
    <r>
      <rPr>
        <rFont val="Arial"/>
        <b/>
        <color theme="1"/>
        <sz val="10.0"/>
      </rPr>
      <t>Please note:</t>
    </r>
    <r>
      <rPr>
        <rFont val="Arial"/>
        <b val="0"/>
        <color theme="1"/>
        <sz val="10.0"/>
      </rPr>
      <t xml:space="preserve"> Common FGI, i.e. the UE is </t>
    </r>
    <r>
      <rPr>
        <rFont val="Arial"/>
        <b/>
        <color theme="1"/>
        <sz val="10.0"/>
      </rPr>
      <t>NOT</t>
    </r>
    <r>
      <rPr>
        <rFont val="Arial"/>
        <b val="0"/>
        <color theme="1"/>
        <sz val="10.0"/>
      </rPr>
      <t xml:space="preserve"> allowed to signal different values for FDD and TDD.</t>
    </r>
  </si>
  <si>
    <t>MTR-27601</t>
  </si>
  <si>
    <r>
      <rPr>
        <rFont val="Arial"/>
        <color theme="1"/>
        <sz val="10.0"/>
      </rPr>
      <t>[LTE FDD][LTE TDD]</t>
    </r>
    <r>
      <rPr>
        <rFont val="Arial"/>
        <b/>
        <color theme="1"/>
        <sz val="10.0"/>
      </rPr>
      <t xml:space="preserve"> index 8 (FGI8):</t>
    </r>
    <r>
      <rPr>
        <rFont val="Arial"/>
        <color theme="1"/>
        <sz val="10.0"/>
      </rPr>
      <t xml:space="preserve">
- EUTRA RRC_CONNECTED to UTRA CELL_DCH PS handover
- can only be set to 1 for LTE FDD/TDD if the UE has set bit number 22 to 1 for LTE FDD/TDD
</t>
    </r>
    <r>
      <rPr>
        <rFont val="Arial"/>
        <b/>
        <color theme="1"/>
        <sz val="10.0"/>
      </rPr>
      <t>3GPP mandatory for Rel-10 devices for LTE FDD if UE supports UTRA FDD; 3GPP optional for Cat M1/M2 UEs for LTE FDD and LTE TDD.</t>
    </r>
  </si>
  <si>
    <t>MTR-27602</t>
  </si>
  <si>
    <r>
      <rPr>
        <rFont val="Arial"/>
        <color theme="1"/>
        <sz val="10.0"/>
      </rPr>
      <t>[LTE FDD][LTE TDD]</t>
    </r>
    <r>
      <rPr>
        <rFont val="Arial"/>
        <b/>
        <color theme="1"/>
        <sz val="10.0"/>
      </rPr>
      <t xml:space="preserve"> index 9 (FGI9):</t>
    </r>
    <r>
      <rPr>
        <rFont val="Arial"/>
        <color theme="1"/>
        <sz val="10.0"/>
      </rPr>
      <t xml:space="preserve">
- EUTRA RRC_CONNECTED to GERAN GSM_Dedicated handover
- related to SRVCC
- can only be set to 1 for LTE FDD/TDD if the UE has set bit number 23 to 1 for LTE FDD/TDD
Optional for non-VoLTE devices.
</t>
    </r>
    <r>
      <rPr>
        <rFont val="Arial"/>
        <b/>
        <color theme="1"/>
        <sz val="10.0"/>
      </rPr>
      <t>3GPP optional for Cat M1/M2 UEs.</t>
    </r>
  </si>
  <si>
    <t>MTR-27603</t>
  </si>
  <si>
    <r>
      <rPr>
        <rFont val="Arial"/>
        <color theme="1"/>
        <sz val="10.0"/>
      </rPr>
      <t xml:space="preserve">[LTE FDD][LTE TDD] </t>
    </r>
    <r>
      <rPr>
        <rFont val="Arial"/>
        <b/>
        <color theme="1"/>
        <sz val="10.0"/>
      </rPr>
      <t>index 10 (FGI10):</t>
    </r>
    <r>
      <rPr>
        <rFont val="Arial"/>
        <color theme="1"/>
        <sz val="10.0"/>
      </rPr>
      <t xml:space="preserve">
- EUTRA RRC_CONNECTED to GERAN (Packet_) Idle by Cell Change Order
- EUTRA RRC_CONNECTED to GERAN (Packet_) Idle by Cell Change Order with NACC (Network Assisted Cell Change)</t>
    </r>
  </si>
  <si>
    <t>MTR-27604</t>
  </si>
  <si>
    <r>
      <rPr>
        <rFont val="Arial"/>
        <color theme="1"/>
        <sz val="10.0"/>
      </rPr>
      <t xml:space="preserve">[LTE FDD][LTE TDD] </t>
    </r>
    <r>
      <rPr>
        <rFont val="Arial"/>
        <b/>
        <color theme="1"/>
        <sz val="10.0"/>
      </rPr>
      <t>index 11 (FGI11):</t>
    </r>
    <r>
      <rPr>
        <rFont val="Arial"/>
        <color theme="1"/>
        <sz val="10.0"/>
      </rPr>
      <t xml:space="preserve">
- EUTRA RRC_CONNECTED to 1xRTT CS Active handover
- can only be set to 1 if the UE has sets bit number 24 to 1</t>
    </r>
  </si>
  <si>
    <t>Recommended OFF in TISD</t>
  </si>
  <si>
    <t>MTR-27605</t>
  </si>
  <si>
    <r>
      <rPr>
        <rFont val="Arial"/>
        <color theme="1"/>
        <sz val="10.0"/>
      </rPr>
      <t xml:space="preserve">[LTE FDD][LTE TDD] </t>
    </r>
    <r>
      <rPr>
        <rFont val="Arial"/>
        <b/>
        <color theme="1"/>
        <sz val="10.0"/>
      </rPr>
      <t>index 12 (FGI12):</t>
    </r>
    <r>
      <rPr>
        <rFont val="Arial"/>
        <color theme="1"/>
        <sz val="10.0"/>
      </rPr>
      <t xml:space="preserve">
- EUTRA RRC_CONNECTED to HRPD Active handover
- can only be set to 1 if the UE has set bit number 26 to 1</t>
    </r>
  </si>
  <si>
    <t>MTR-27606</t>
  </si>
  <si>
    <r>
      <rPr>
        <rFont val="Arial"/>
        <b/>
        <color theme="1"/>
        <sz val="10.0"/>
      </rPr>
      <t>index 13 (FGI13):</t>
    </r>
    <r>
      <rPr>
        <rFont val="Arial"/>
        <b val="0"/>
        <color theme="1"/>
        <sz val="10.0"/>
      </rPr>
      <t xml:space="preserve">
- Inter-frequency handover
- can only be set to 1 if the UE has set bit number 25 to 1
</t>
    </r>
    <r>
      <rPr>
        <rFont val="Arial"/>
        <b/>
        <color theme="1"/>
        <sz val="10.0"/>
      </rPr>
      <t xml:space="preserve"> </t>
    </r>
    <r>
      <rPr>
        <rFont val="Arial"/>
        <b val="0"/>
        <color theme="1"/>
        <sz val="10.0"/>
      </rPr>
      <t xml:space="preserve">
</t>
    </r>
    <r>
      <rPr>
        <rFont val="Arial"/>
        <b/>
        <color theme="1"/>
        <sz val="10.0"/>
      </rPr>
      <t>3GPP mandatory for Rel-10 devices; 3GPP optional for Cat M1 UEs.</t>
    </r>
    <r>
      <rPr>
        <rFont val="Arial"/>
        <b val="0"/>
        <color theme="1"/>
        <sz val="10.0"/>
      </rPr>
      <t xml:space="preserve">
</t>
    </r>
    <r>
      <rPr>
        <rFont val="Arial"/>
        <b/>
        <color theme="1"/>
        <sz val="10.0"/>
      </rPr>
      <t>Please note:</t>
    </r>
    <r>
      <rPr>
        <rFont val="Arial"/>
        <b val="0"/>
        <color theme="1"/>
        <sz val="10.0"/>
      </rPr>
      <t xml:space="preserve"> Common FGI, i.e. the UE is </t>
    </r>
    <r>
      <rPr>
        <rFont val="Arial"/>
        <b/>
        <color theme="1"/>
        <sz val="10.0"/>
      </rPr>
      <t>NOT</t>
    </r>
    <r>
      <rPr>
        <rFont val="Arial"/>
        <b val="0"/>
        <color theme="1"/>
        <sz val="10.0"/>
      </rPr>
      <t xml:space="preserve"> allowed to signal different values for FDD and TDD.</t>
    </r>
  </si>
  <si>
    <t>MTR-27607</t>
  </si>
  <si>
    <r>
      <rPr>
        <rFont val="Arial"/>
        <b/>
        <color theme="1"/>
        <sz val="10.0"/>
      </rPr>
      <t>index 14 (FGI14):</t>
    </r>
    <r>
      <rPr>
        <rFont val="Arial"/>
        <b val="0"/>
        <color theme="1"/>
        <sz val="10.0"/>
      </rPr>
      <t xml:space="preserve">
- Measurement reporting event: Event A4 - Neighbour &gt; threshold
- Measurement reporting event: Event A5 - Serving &lt; threshold1 &amp; Neighbour &gt; threshold2
</t>
    </r>
    <r>
      <rPr>
        <rFont val="Arial"/>
        <b/>
        <color theme="1"/>
        <sz val="10.0"/>
      </rPr>
      <t xml:space="preserve"> </t>
    </r>
    <r>
      <rPr>
        <rFont val="Arial"/>
        <b val="0"/>
        <color theme="1"/>
        <sz val="10.0"/>
      </rPr>
      <t xml:space="preserve">
</t>
    </r>
    <r>
      <rPr>
        <rFont val="Arial"/>
        <b/>
        <color theme="1"/>
        <sz val="10.0"/>
      </rPr>
      <t>3GPP mandatory for Rel-9 devices (March 2013 and later); 3GPP optional for Cat M1 UEs.</t>
    </r>
    <r>
      <rPr>
        <rFont val="Arial"/>
        <b val="0"/>
        <color theme="1"/>
        <sz val="10.0"/>
      </rPr>
      <t xml:space="preserve">
</t>
    </r>
    <r>
      <rPr>
        <rFont val="Arial"/>
        <b/>
        <color theme="1"/>
        <sz val="10.0"/>
      </rPr>
      <t xml:space="preserve"> </t>
    </r>
    <r>
      <rPr>
        <rFont val="Arial"/>
        <b val="0"/>
        <color theme="1"/>
        <sz val="10.0"/>
      </rPr>
      <t xml:space="preserve">
</t>
    </r>
    <r>
      <rPr>
        <rFont val="Arial"/>
        <b/>
        <color theme="1"/>
        <sz val="10.0"/>
      </rPr>
      <t>Please note:</t>
    </r>
    <r>
      <rPr>
        <rFont val="Arial"/>
        <b val="0"/>
        <color theme="1"/>
        <sz val="10.0"/>
      </rPr>
      <t xml:space="preserve"> Common FGI, i.e. the UE is </t>
    </r>
    <r>
      <rPr>
        <rFont val="Arial"/>
        <b/>
        <color theme="1"/>
        <sz val="10.0"/>
      </rPr>
      <t>NOT</t>
    </r>
    <r>
      <rPr>
        <rFont val="Arial"/>
        <b val="0"/>
        <color theme="1"/>
        <sz val="10.0"/>
      </rPr>
      <t xml:space="preserve"> allowed to signal different values for FDD and TDD.</t>
    </r>
  </si>
  <si>
    <t>MTR-27608</t>
  </si>
  <si>
    <r>
      <rPr>
        <rFont val="Arial"/>
        <color theme="1"/>
        <sz val="10.0"/>
      </rPr>
      <t>[LTE FDD][LTE TDD]</t>
    </r>
    <r>
      <rPr>
        <rFont val="Arial"/>
        <b/>
        <color theme="1"/>
        <sz val="10.0"/>
      </rPr>
      <t xml:space="preserve"> index 15 (FGI15):</t>
    </r>
    <r>
      <rPr>
        <rFont val="Arial"/>
        <color theme="1"/>
        <sz val="10.0"/>
      </rPr>
      <t xml:space="preserve">
- Measurement reporting event: Event B1 - Neighbour &gt; threshold
- can only be set to 1 for FDD/TDD if the UE has set at least one of the bits number 22, 23, 24 or 26 to 1 for FDD/TDD.
</t>
    </r>
    <r>
      <rPr>
        <rFont val="Arial"/>
        <b/>
        <color theme="1"/>
        <sz val="10.0"/>
      </rPr>
      <t>3GPP optional for Cat M1/M2 UEs.</t>
    </r>
  </si>
  <si>
    <t>MTR-27609</t>
  </si>
  <si>
    <r>
      <rPr>
        <rFont val="Arial"/>
        <b/>
        <color theme="1"/>
        <sz val="10.0"/>
      </rPr>
      <t>index 16 (FGI16):</t>
    </r>
    <r>
      <rPr>
        <rFont val="Arial"/>
        <b val="0"/>
        <color theme="1"/>
        <sz val="10.0"/>
      </rPr>
      <t xml:space="preserve">
- Periodical measurement reporting for non-ANR related measurements
</t>
    </r>
    <r>
      <rPr>
        <rFont val="Arial"/>
        <b/>
        <color theme="1"/>
        <sz val="10.0"/>
      </rPr>
      <t xml:space="preserve"> </t>
    </r>
    <r>
      <rPr>
        <rFont val="Arial"/>
        <b val="0"/>
        <color theme="1"/>
        <sz val="10.0"/>
      </rPr>
      <t xml:space="preserve">
</t>
    </r>
    <r>
      <rPr>
        <rFont val="Arial"/>
        <b/>
        <color theme="1"/>
        <sz val="10.0"/>
      </rPr>
      <t>3GPP mandatory for Rel-10 devices; 3GPP optional for Cat M1 UEs.</t>
    </r>
    <r>
      <rPr>
        <rFont val="Arial"/>
        <b val="0"/>
        <color theme="1"/>
        <sz val="10.0"/>
      </rPr>
      <t xml:space="preserve">
</t>
    </r>
    <r>
      <rPr>
        <rFont val="Arial"/>
        <b/>
        <color theme="1"/>
        <sz val="10.0"/>
      </rPr>
      <t xml:space="preserve"> </t>
    </r>
    <r>
      <rPr>
        <rFont val="Arial"/>
        <b val="0"/>
        <color theme="1"/>
        <sz val="10.0"/>
      </rPr>
      <t xml:space="preserve">
</t>
    </r>
    <r>
      <rPr>
        <rFont val="Arial"/>
        <b/>
        <color theme="1"/>
        <sz val="10.0"/>
      </rPr>
      <t>Please note:</t>
    </r>
    <r>
      <rPr>
        <rFont val="Arial"/>
        <b val="0"/>
        <color theme="1"/>
        <sz val="10.0"/>
      </rPr>
      <t xml:space="preserve"> Common FGI, i.e. the UE is </t>
    </r>
    <r>
      <rPr>
        <rFont val="Arial"/>
        <b/>
        <color theme="1"/>
        <sz val="10.0"/>
      </rPr>
      <t>NOT</t>
    </r>
    <r>
      <rPr>
        <rFont val="Arial"/>
        <b val="0"/>
        <color theme="1"/>
        <sz val="10.0"/>
      </rPr>
      <t xml:space="preserve"> allowed to signal different values for FDD and TDD.</t>
    </r>
  </si>
  <si>
    <t>MTR-27610</t>
  </si>
  <si>
    <r>
      <rPr>
        <rFont val="Arial"/>
        <b/>
        <color theme="1"/>
        <sz val="10.0"/>
      </rPr>
      <t>index 17 (FGI17):</t>
    </r>
    <r>
      <rPr>
        <rFont val="Arial"/>
        <b val="0"/>
        <color theme="1"/>
        <sz val="10.0"/>
      </rPr>
      <t xml:space="preserve">
- Periodical measurement reporting for SON / ANR
- ANR related intra-frequency measurement reporting events
- can only be set to 1 if the UE has set bit number 5 to 1.
</t>
    </r>
    <r>
      <rPr>
        <rFont val="Arial"/>
        <b/>
        <color theme="1"/>
        <sz val="10.0"/>
      </rPr>
      <t xml:space="preserve"> </t>
    </r>
    <r>
      <rPr>
        <rFont val="Arial"/>
        <b val="0"/>
        <color theme="1"/>
        <sz val="10.0"/>
      </rPr>
      <t xml:space="preserve">
</t>
    </r>
    <r>
      <rPr>
        <rFont val="Arial"/>
        <b/>
        <color theme="1"/>
        <sz val="10.0"/>
      </rPr>
      <t>3GPP optional for Cat M1 UEs.</t>
    </r>
    <r>
      <rPr>
        <rFont val="Arial"/>
        <b val="0"/>
        <color theme="1"/>
        <sz val="10.0"/>
      </rPr>
      <t xml:space="preserve">
</t>
    </r>
    <r>
      <rPr>
        <rFont val="Arial"/>
        <b/>
        <color theme="1"/>
        <sz val="10.0"/>
      </rPr>
      <t>Please note:</t>
    </r>
    <r>
      <rPr>
        <rFont val="Arial"/>
        <b val="0"/>
        <color theme="1"/>
        <sz val="10.0"/>
      </rPr>
      <t xml:space="preserve"> Common FGI, i.e. the UE is </t>
    </r>
    <r>
      <rPr>
        <rFont val="Arial"/>
        <b/>
        <color theme="1"/>
        <sz val="10.0"/>
      </rPr>
      <t>NOT</t>
    </r>
    <r>
      <rPr>
        <rFont val="Arial"/>
        <b val="0"/>
        <color theme="1"/>
        <sz val="10.0"/>
      </rPr>
      <t xml:space="preserve"> allowed to signal different values for FDD and TDD.</t>
    </r>
  </si>
  <si>
    <t>MTR-27611</t>
  </si>
  <si>
    <r>
      <rPr>
        <rFont val="Arial"/>
        <b/>
        <color theme="1"/>
        <sz val="10.0"/>
      </rPr>
      <t>index 18 (FGI18):</t>
    </r>
    <r>
      <rPr>
        <rFont val="Arial"/>
        <b val="0"/>
        <color theme="1"/>
        <sz val="10.0"/>
      </rPr>
      <t xml:space="preserve">
- ANR related inter-frequency measurement reporting events
- can only be set to 1 if the UE has set bit number 5 to 1.
</t>
    </r>
    <r>
      <rPr>
        <rFont val="Arial"/>
        <b/>
        <color theme="1"/>
        <sz val="10.0"/>
      </rPr>
      <t xml:space="preserve"> </t>
    </r>
    <r>
      <rPr>
        <rFont val="Arial"/>
        <b val="0"/>
        <color theme="1"/>
        <sz val="10.0"/>
      </rPr>
      <t xml:space="preserve">
</t>
    </r>
    <r>
      <rPr>
        <rFont val="Arial"/>
        <b/>
        <color theme="1"/>
        <sz val="10.0"/>
      </rPr>
      <t>3GPP mandatory for Rel-10 devices; 3GPP optional for Cat M1 UEs.</t>
    </r>
    <r>
      <rPr>
        <rFont val="Arial"/>
        <b val="0"/>
        <color theme="1"/>
        <sz val="10.0"/>
      </rPr>
      <t xml:space="preserve">
</t>
    </r>
    <r>
      <rPr>
        <rFont val="Arial"/>
        <b/>
        <color theme="1"/>
        <sz val="10.0"/>
      </rPr>
      <t>Please note:</t>
    </r>
    <r>
      <rPr>
        <rFont val="Arial"/>
        <b val="0"/>
        <color theme="1"/>
        <sz val="10.0"/>
      </rPr>
      <t xml:space="preserve"> Common FGI, i.e. the UE is </t>
    </r>
    <r>
      <rPr>
        <rFont val="Arial"/>
        <b/>
        <color theme="1"/>
        <sz val="10.0"/>
      </rPr>
      <t>NOT</t>
    </r>
    <r>
      <rPr>
        <rFont val="Arial"/>
        <b val="0"/>
        <color theme="1"/>
        <sz val="10.0"/>
      </rPr>
      <t xml:space="preserve"> allowed to signal different values for FDD and TDD.</t>
    </r>
  </si>
  <si>
    <t>MTR-27612</t>
  </si>
  <si>
    <r>
      <rPr>
        <rFont val="Arial"/>
        <color theme="1"/>
        <sz val="10.0"/>
      </rPr>
      <t>[LTE FDD][LTE TDD]</t>
    </r>
    <r>
      <rPr>
        <rFont val="Arial"/>
        <b/>
        <color theme="1"/>
        <sz val="10.0"/>
      </rPr>
      <t xml:space="preserve"> index 19 (FGI19):</t>
    </r>
    <r>
      <rPr>
        <rFont val="Arial"/>
        <color theme="1"/>
        <sz val="10.0"/>
      </rPr>
      <t xml:space="preserve">
- ANR related inter-RAT measurement reporting events
- can only be set to 1 if the UE has set common bit number 5 to 1.</t>
    </r>
  </si>
  <si>
    <t>MTR-27613</t>
  </si>
  <si>
    <r>
      <rPr>
        <rFont val="Arial"/>
        <b/>
        <color theme="1"/>
        <sz val="10.0"/>
      </rPr>
      <t>index 20 (FGI20):</t>
    </r>
    <r>
      <rPr>
        <rFont val="Arial"/>
        <b val="0"/>
        <color theme="1"/>
        <sz val="10.0"/>
      </rPr>
      <t xml:space="preserve">
If bit number 7 is set to ‘0’:
- SRB1 and SRB2 for DCCH + 8x AM DRB
If bit number 7 is set to ‘1’:
- SRB1 and SRB2 for DCCH + 8x AM DRB
- SRB1 and SRB2 for DCCH + 5x AM DRB + 3x UM DRB
</t>
    </r>
    <r>
      <rPr>
        <rFont val="Arial"/>
        <b/>
        <color theme="1"/>
        <sz val="10.0"/>
      </rPr>
      <t>3GPP mandatory for Rel-10 devices.</t>
    </r>
    <r>
      <rPr>
        <rFont val="Arial"/>
        <b val="0"/>
        <color theme="1"/>
        <sz val="10.0"/>
      </rPr>
      <t xml:space="preserve">
</t>
    </r>
    <r>
      <rPr>
        <rFont val="Arial"/>
        <b/>
        <color theme="1"/>
        <sz val="10.0"/>
      </rPr>
      <t>Please note:</t>
    </r>
    <r>
      <rPr>
        <rFont val="Arial"/>
        <b val="0"/>
        <color theme="1"/>
        <sz val="10.0"/>
      </rPr>
      <t xml:space="preserve"> Common FGI, i.e. the UE is </t>
    </r>
    <r>
      <rPr>
        <rFont val="Arial"/>
        <b/>
        <color theme="1"/>
        <sz val="10.0"/>
      </rPr>
      <t>NOT</t>
    </r>
    <r>
      <rPr>
        <rFont val="Arial"/>
        <b val="0"/>
        <color theme="1"/>
        <sz val="10.0"/>
      </rPr>
      <t xml:space="preserve"> allowed to signal different values for FDD and TDD.
NOTE: UE which indicate support for a DRB combination also support all subsets of the DRB combination. Therefore, release of DRB(s) never results in an unsupported DRB combination.
- Regardless of what bit number 7 and bit number 20 is set to, UE shall support at least SRB1 and SRB2 for DCCH + 4x AM DRB
- Regardless of what bit number 20 is set to, if bit number 7 is set to ‘1’, UE shall support at least SRB1 and SRB2 for DCCH + 4x AM DRB + 1x UM DRB</t>
    </r>
  </si>
  <si>
    <t>MTR-27614</t>
  </si>
  <si>
    <r>
      <rPr>
        <rFont val="Arial"/>
        <b/>
        <color theme="1"/>
        <sz val="10.0"/>
      </rPr>
      <t>index 21 (FGI21):</t>
    </r>
    <r>
      <rPr>
        <rFont val="Arial"/>
        <b val="0"/>
        <color theme="1"/>
        <sz val="10.0"/>
      </rPr>
      <t xml:space="preserve">
- Predefined intra- and inter-subframe frequency hopping for PUSCH with N_sb &gt; 1
- Predefined inter-subframe frequency hopping for PUSCH with N_sb &gt; 1
</t>
    </r>
    <r>
      <rPr>
        <rFont val="Arial"/>
        <b/>
        <color theme="1"/>
        <sz val="10.0"/>
      </rPr>
      <t>3GPP optional for Cat M1 UEs.</t>
    </r>
    <r>
      <rPr>
        <rFont val="Arial"/>
        <b val="0"/>
        <color theme="1"/>
        <sz val="10.0"/>
      </rPr>
      <t xml:space="preserve">
</t>
    </r>
    <r>
      <rPr>
        <rFont val="Arial"/>
        <b/>
        <color theme="1"/>
        <sz val="10.0"/>
      </rPr>
      <t>Please note:</t>
    </r>
    <r>
      <rPr>
        <rFont val="Arial"/>
        <b val="0"/>
        <color theme="1"/>
        <sz val="10.0"/>
      </rPr>
      <t xml:space="preserve"> Common FGI, i.e. the UE is </t>
    </r>
    <r>
      <rPr>
        <rFont val="Arial"/>
        <b/>
        <color theme="1"/>
        <sz val="10.0"/>
      </rPr>
      <t>NOT</t>
    </r>
    <r>
      <rPr>
        <rFont val="Arial"/>
        <b val="0"/>
        <color theme="1"/>
        <sz val="10.0"/>
      </rPr>
      <t xml:space="preserve"> allowed to signal different values for FDD and TDD.</t>
    </r>
  </si>
  <si>
    <t>MTR-27615</t>
  </si>
  <si>
    <r>
      <rPr>
        <rFont val="Arial"/>
        <color theme="1"/>
        <sz val="10.0"/>
      </rPr>
      <t xml:space="preserve">[LTE FDD][LTE TDD] </t>
    </r>
    <r>
      <rPr>
        <rFont val="Arial"/>
        <b/>
        <color theme="1"/>
        <sz val="10.0"/>
      </rPr>
      <t>index 22 (FGI22):</t>
    </r>
    <r>
      <rPr>
        <rFont val="Arial"/>
        <color theme="1"/>
        <sz val="10.0"/>
      </rPr>
      <t xml:space="preserve">
- UTRAN measurements, reporting and measurement reporting event B2 in E-UTRA connected mode
</t>
    </r>
    <r>
      <rPr>
        <rFont val="Arial"/>
        <b/>
        <color theme="1"/>
        <sz val="10.0"/>
      </rPr>
      <t xml:space="preserve"> </t>
    </r>
    <r>
      <rPr>
        <rFont val="Arial"/>
        <color theme="1"/>
        <sz val="10.0"/>
      </rPr>
      <t xml:space="preserve">
</t>
    </r>
    <r>
      <rPr>
        <rFont val="Arial"/>
        <b/>
        <color theme="1"/>
        <sz val="10.0"/>
      </rPr>
      <t>3GPP mandatory for Rel-10 devices; 3GPP optional for Cat M1/M2 UEs.</t>
    </r>
  </si>
  <si>
    <t>MTR-27616</t>
  </si>
  <si>
    <r>
      <rPr>
        <rFont val="Arial"/>
        <color theme="1"/>
        <sz val="10.0"/>
      </rPr>
      <t>[LTE FDD][LTE TDD]</t>
    </r>
    <r>
      <rPr>
        <rFont val="Arial"/>
        <b/>
        <color theme="1"/>
        <sz val="10.0"/>
      </rPr>
      <t xml:space="preserve"> index 23 (FGI23):</t>
    </r>
    <r>
      <rPr>
        <rFont val="Arial"/>
        <color theme="1"/>
        <sz val="10.0"/>
      </rPr>
      <t xml:space="preserve">
- GERAN measurements, reporting and measurement reporting event B2 in E-UTRA connected mode
</t>
    </r>
    <r>
      <rPr>
        <rFont val="Arial"/>
        <b/>
        <color theme="1"/>
        <sz val="10.0"/>
      </rPr>
      <t>3GPP optional for Cat M1/M2 UEs.</t>
    </r>
  </si>
  <si>
    <t>MTR-27617</t>
  </si>
  <si>
    <r>
      <rPr>
        <rFont val="Arial"/>
        <color theme="1"/>
        <sz val="10.0"/>
      </rPr>
      <t xml:space="preserve">[LTE FDD][LTE TDD] </t>
    </r>
    <r>
      <rPr>
        <rFont val="Arial"/>
        <b/>
        <color theme="1"/>
        <sz val="10.0"/>
      </rPr>
      <t>index 24 (FGI24):</t>
    </r>
    <r>
      <rPr>
        <rFont val="Arial"/>
        <color theme="1"/>
        <sz val="10.0"/>
      </rPr>
      <t xml:space="preserve">
- 1xRTT measurements, reporting and measurement reporting event B2 in E-UTRA connected mode
</t>
    </r>
    <r>
      <rPr>
        <rFont val="Arial"/>
        <b/>
        <color theme="1"/>
        <sz val="10.0"/>
      </rPr>
      <t>3GPP optional for Cat M1/M2 UEs.</t>
    </r>
  </si>
  <si>
    <t>MTR-27618</t>
  </si>
  <si>
    <r>
      <rPr>
        <rFont val="Arial"/>
        <b/>
        <color theme="1"/>
        <sz val="10.0"/>
      </rPr>
      <t>index 25 (FGI25):</t>
    </r>
    <r>
      <rPr>
        <rFont val="Arial"/>
        <b val="0"/>
        <color theme="1"/>
        <sz val="10.0"/>
      </rPr>
      <t xml:space="preserve">
- Inter-frequency measurements and reporting in E-UTRA connected mode
</t>
    </r>
    <r>
      <rPr>
        <rFont val="Arial"/>
        <b/>
        <color theme="1"/>
        <sz val="10.0"/>
      </rPr>
      <t xml:space="preserve"> </t>
    </r>
    <r>
      <rPr>
        <rFont val="Arial"/>
        <b val="0"/>
        <color theme="1"/>
        <sz val="10.0"/>
      </rPr>
      <t xml:space="preserve">
</t>
    </r>
    <r>
      <rPr>
        <rFont val="Arial"/>
        <b/>
        <color theme="1"/>
        <sz val="10.0"/>
      </rPr>
      <t>3GPP mandatory for Rel-10 devices; 3GPP optional for Cat M1 UEs.</t>
    </r>
    <r>
      <rPr>
        <rFont val="Arial"/>
        <b val="0"/>
        <color theme="1"/>
        <sz val="10.0"/>
      </rPr>
      <t xml:space="preserve">
</t>
    </r>
    <r>
      <rPr>
        <rFont val="Arial"/>
        <b/>
        <color theme="1"/>
        <sz val="10.0"/>
      </rPr>
      <t>Please note:</t>
    </r>
    <r>
      <rPr>
        <rFont val="Arial"/>
        <b val="0"/>
        <color theme="1"/>
        <sz val="10.0"/>
      </rPr>
      <t xml:space="preserve"> Common FGI, i.e. the UE is </t>
    </r>
    <r>
      <rPr>
        <rFont val="Arial"/>
        <b/>
        <color theme="1"/>
        <sz val="10.0"/>
      </rPr>
      <t>NOT</t>
    </r>
    <r>
      <rPr>
        <rFont val="Arial"/>
        <b val="0"/>
        <color theme="1"/>
        <sz val="10.0"/>
      </rPr>
      <t xml:space="preserve"> allowed to signal different values for FDD and TDD.</t>
    </r>
  </si>
  <si>
    <t>MTR-27619</t>
  </si>
  <si>
    <r>
      <rPr>
        <rFont val="Arial"/>
        <color theme="1"/>
        <sz val="10.0"/>
      </rPr>
      <t xml:space="preserve">[LTE FDD][LTE TDD] </t>
    </r>
    <r>
      <rPr>
        <rFont val="Arial"/>
        <b/>
        <color theme="1"/>
        <sz val="10.0"/>
      </rPr>
      <t>index 26 (FGI26):</t>
    </r>
    <r>
      <rPr>
        <rFont val="Arial"/>
        <color theme="1"/>
        <sz val="10.0"/>
      </rPr>
      <t xml:space="preserve">
- HRPD measurements, reporting and measurement reporting event B2 in E-UTRA connected mode
</t>
    </r>
    <r>
      <rPr>
        <rFont val="Arial"/>
        <b/>
        <color theme="1"/>
        <sz val="10.0"/>
      </rPr>
      <t>3GPP optional for Cat M1/M2 UEs.</t>
    </r>
  </si>
  <si>
    <t>MTR-27620</t>
  </si>
  <si>
    <r>
      <rPr>
        <rFont val="Arial"/>
        <color theme="1"/>
        <sz val="10.0"/>
      </rPr>
      <t>[LTE FDD][LTE TDD]</t>
    </r>
    <r>
      <rPr>
        <rFont val="Arial"/>
        <b/>
        <color theme="1"/>
        <sz val="10.0"/>
      </rPr>
      <t xml:space="preserve"> index 27 (FGI27): </t>
    </r>
    <r>
      <rPr>
        <rFont val="Arial"/>
        <color theme="1"/>
        <sz val="10.0"/>
      </rPr>
      <t xml:space="preserve">
- EUTRA RRC_CONNECTED to UTRA CELL_DCH CS handover
- related to SRVCC
- can only be set to 1 for LTE FDD/TDD if the UE has set bit number 8 to 1 for LTE FDD/TDD
</t>
    </r>
    <r>
      <rPr>
        <rFont val="Arial"/>
        <b/>
        <color theme="1"/>
        <sz val="10.0"/>
      </rPr>
      <t>3GPP mandatory for FDD Rel-9 devices, if UE supports VoLTE and UTRA FDD (March 2013 and later); 3GPP optional for Cat M1/M2 UEs.</t>
    </r>
  </si>
  <si>
    <t>MTR-27621</t>
  </si>
  <si>
    <r>
      <rPr>
        <rFont val="Arial"/>
        <color theme="1"/>
        <sz val="10.0"/>
      </rPr>
      <t xml:space="preserve">[LTE FDD][LTE TDD] </t>
    </r>
    <r>
      <rPr>
        <rFont val="Arial"/>
        <b/>
        <color theme="1"/>
        <sz val="10.0"/>
      </rPr>
      <t xml:space="preserve">index 28 (FGI28): </t>
    </r>
    <r>
      <rPr>
        <rFont val="Arial"/>
        <color theme="1"/>
        <sz val="10.0"/>
      </rPr>
      <t xml:space="preserve">
- TTI bundling (introduced with the split of FGI3 in TS36.331 V9.5.0)
N/A for Rel-8 devices
Optional for non-VoLTE devices.
</t>
    </r>
    <r>
      <rPr>
        <rFont val="Arial"/>
        <b/>
        <color theme="1"/>
        <sz val="10.0"/>
      </rPr>
      <t>3GPP mandatory for Rel-9 devices (June 2013 and later); 3GPP optional for Cat M1/M2 UEs.</t>
    </r>
  </si>
  <si>
    <t>MTR-27622</t>
  </si>
  <si>
    <r>
      <rPr>
        <rFont val="Arial"/>
        <color theme="1"/>
        <sz val="10.0"/>
      </rPr>
      <t>[LTE FDD][LTE TDD]</t>
    </r>
    <r>
      <rPr>
        <rFont val="Arial"/>
        <b/>
        <color theme="1"/>
        <sz val="10.0"/>
      </rPr>
      <t xml:space="preserve"> index 29 (FGI29): </t>
    </r>
    <r>
      <rPr>
        <rFont val="Arial"/>
        <color theme="1"/>
        <sz val="10.0"/>
      </rPr>
      <t xml:space="preserve">
- Semi-Persistent Scheduling (introduced with the split of FGI3 in TS36.331 V9.5.0)
N/A for Rel-8 devices
Optional for non-VoLTE devices.
</t>
    </r>
    <r>
      <rPr>
        <rFont val="Arial"/>
        <b/>
        <color theme="1"/>
        <sz val="10.0"/>
      </rPr>
      <t>3GPP optional for Cat M1/M2 UEs.</t>
    </r>
  </si>
  <si>
    <t>MTR-27623</t>
  </si>
  <si>
    <r>
      <rPr>
        <rFont val="Arial"/>
        <b/>
        <color theme="1"/>
        <sz val="10.0"/>
      </rPr>
      <t>index 30 (FGI30):</t>
    </r>
    <r>
      <rPr>
        <rFont val="Arial"/>
        <b val="0"/>
        <color theme="1"/>
        <sz val="10.0"/>
      </rPr>
      <t xml:space="preserve">
- Handover between FDD and TDD
   - can only be set to 1 if the UE has set FDD bit number 13 to 1
</t>
    </r>
    <r>
      <rPr>
        <rFont val="Arial"/>
        <b/>
        <color theme="1"/>
        <sz val="10.0"/>
      </rPr>
      <t>Please note:</t>
    </r>
    <r>
      <rPr>
        <rFont val="Arial"/>
        <b val="0"/>
        <color theme="1"/>
        <sz val="10.0"/>
      </rPr>
      <t xml:space="preserve"> Common FGI, i.e. the UE is </t>
    </r>
    <r>
      <rPr>
        <rFont val="Arial"/>
        <b/>
        <color theme="1"/>
        <sz val="10.0"/>
      </rPr>
      <t>NOT</t>
    </r>
    <r>
      <rPr>
        <rFont val="Arial"/>
        <b val="0"/>
        <color theme="1"/>
        <sz val="10.0"/>
      </rPr>
      <t xml:space="preserve"> allowed to signal different values for FDD and TDD.</t>
    </r>
  </si>
  <si>
    <t>MTR-27624</t>
  </si>
  <si>
    <r>
      <rPr>
        <rFont val="Arial"/>
        <b/>
        <color theme="1"/>
        <sz val="10.0"/>
      </rPr>
      <t>index 31: (FGI 31): UE supports the mechanisms defined for cells broadcasting multi band information</t>
    </r>
    <r>
      <rPr>
        <rFont val="Arial"/>
        <b val="0"/>
        <color theme="1"/>
        <sz val="10.0"/>
      </rPr>
      <t xml:space="preserve">
i.e. comprehending multiBandInfoList, disregarding in RRC_CONNECTED the related system information fields and understanding the EARFCN signalling for
all bands, that overlap with the bands supported by the UE, and that are defined in the earliest version of TS 36.101 that includes all UE supported bands.
</t>
    </r>
    <r>
      <rPr>
        <rFont val="Arial"/>
        <b/>
        <color theme="1"/>
        <sz val="10.0"/>
      </rPr>
      <t>Please note:</t>
    </r>
    <r>
      <rPr>
        <rFont val="Arial"/>
        <b val="0"/>
        <color theme="1"/>
        <sz val="10.0"/>
      </rPr>
      <t xml:space="preserve"> Common FGI, i.e. the UE is </t>
    </r>
    <r>
      <rPr>
        <rFont val="Arial"/>
        <b/>
        <color theme="1"/>
        <sz val="10.0"/>
      </rPr>
      <t>NOT</t>
    </r>
    <r>
      <rPr>
        <rFont val="Arial"/>
        <b val="0"/>
        <color theme="1"/>
        <sz val="10.0"/>
      </rPr>
      <t xml:space="preserve"> allowed to signal different values for FDD and TDD.</t>
    </r>
  </si>
  <si>
    <t>MTR-27625</t>
  </si>
  <si>
    <r>
      <rPr>
        <rFont val="Arial"/>
        <b/>
        <color theme="1"/>
        <sz val="10.0"/>
      </rPr>
      <t>index 32</t>
    </r>
    <r>
      <rPr>
        <rFont val="Arial"/>
        <b val="0"/>
        <color theme="1"/>
        <sz val="10.0"/>
      </rPr>
      <t>: undefined</t>
    </r>
  </si>
  <si>
    <t>index 32: undefined</t>
  </si>
  <si>
    <t>MTR-29952</t>
  </si>
  <si>
    <r>
      <rPr>
        <rFont val="Arial"/>
        <b/>
        <color theme="1"/>
        <sz val="10.0"/>
      </rPr>
      <t>2.4.3.1.2</t>
    </r>
    <r>
      <rPr>
        <rFont val="Arial"/>
        <b val="0"/>
        <color theme="1"/>
        <sz val="10.0"/>
      </rPr>
      <t xml:space="preserve"> </t>
    </r>
    <r>
      <rPr>
        <rFont val="Arial"/>
        <b/>
        <color theme="1"/>
        <sz val="10.0"/>
      </rPr>
      <t>LTE Rel-9 FDD/TDD FGI Extensions</t>
    </r>
  </si>
  <si>
    <t>MTR-36131</t>
  </si>
  <si>
    <r>
      <rPr>
        <rFont val="Arial"/>
        <color theme="1"/>
        <sz val="10.0"/>
      </rPr>
      <t xml:space="preserve">This section includes the requirements for </t>
    </r>
    <r>
      <rPr>
        <rFont val="Arial"/>
        <b/>
        <color theme="1"/>
        <sz val="10.0"/>
      </rPr>
      <t>LTE Release 9 FDD/TDD Feature Group Indicators (FGI)</t>
    </r>
    <r>
      <rPr>
        <rFont val="Arial"/>
        <color theme="1"/>
        <sz val="10.0"/>
      </rPr>
      <t xml:space="preserve">. FDD/TDD FGIs are differentiated by '[LTE FDD][LTE TDD]' from Common Feature Group Indicators.
For FDD/TDD FGIs the compliance statement shall be 
	- 'complies' if the indicator is supported for both FDD and TDD mode,
	 -'partially complies' if the indicator is supported either for FDD only or for TDD only in which case the support per mode shall be indicated in 'Comments Vendor',
	-'does not comply' if the indicator is not supported neither in FDD mode nor is it supported in TDD mode.
Note: Common FGI is the FGI for which the UE is not allowed to signal different values for FDD and TDD.
</t>
    </r>
    <r>
      <rPr>
        <rFont val="Arial"/>
        <b/>
        <color theme="1"/>
        <sz val="10.0"/>
      </rPr>
      <t>NOTE: The individual FGIs shall be enabled or disabled as defined in the latest Deutsche Telekom Settings document (TISD).</t>
    </r>
  </si>
  <si>
    <t>MTR-29953</t>
  </si>
  <si>
    <t>2013 V2</t>
  </si>
  <si>
    <r>
      <rPr>
        <rFont val="Arial"/>
        <color theme="1"/>
        <sz val="10.0"/>
      </rPr>
      <t xml:space="preserve">[LTE FDD][LTE TDD] </t>
    </r>
    <r>
      <rPr>
        <rFont val="Arial"/>
        <b/>
        <color theme="1"/>
        <sz val="10.0"/>
      </rPr>
      <t>index 33 (FGI33):</t>
    </r>
    <r>
      <rPr>
        <rFont val="Arial"/>
        <color theme="1"/>
        <sz val="10.0"/>
      </rPr>
      <t xml:space="preserve">
Inter-RAT ANR features for UTRAN including:
- Inter-RAT periodical measurement reporting where </t>
    </r>
    <r>
      <rPr>
        <rFont val="Arial"/>
        <i/>
        <color theme="1"/>
        <sz val="10.0"/>
      </rPr>
      <t xml:space="preserve">triggerType </t>
    </r>
    <r>
      <rPr>
        <rFont val="Arial"/>
        <color theme="1"/>
        <sz val="10.0"/>
      </rPr>
      <t xml:space="preserve">is set to </t>
    </r>
    <r>
      <rPr>
        <rFont val="Arial"/>
        <i/>
        <color theme="1"/>
        <sz val="10.0"/>
      </rPr>
      <t xml:space="preserve">periodical </t>
    </r>
    <r>
      <rPr>
        <rFont val="Arial"/>
        <color theme="1"/>
        <sz val="10.0"/>
      </rPr>
      <t xml:space="preserve">and </t>
    </r>
    <r>
      <rPr>
        <rFont val="Arial"/>
        <i/>
        <color theme="1"/>
        <sz val="10.0"/>
      </rPr>
      <t xml:space="preserve">purpose </t>
    </r>
    <r>
      <rPr>
        <rFont val="Arial"/>
        <color theme="1"/>
        <sz val="10.0"/>
      </rPr>
      <t xml:space="preserve">is set to </t>
    </r>
    <r>
      <rPr>
        <rFont val="Arial"/>
        <i/>
        <color theme="1"/>
        <sz val="10.0"/>
      </rPr>
      <t>reportStrongestCellsForSON</t>
    </r>
    <r>
      <rPr>
        <rFont val="Arial"/>
        <color theme="1"/>
        <sz val="10.0"/>
      </rPr>
      <t xml:space="preserve">
- Inter-RAT periodical measurement reporting where </t>
    </r>
    <r>
      <rPr>
        <rFont val="Arial"/>
        <i/>
        <color theme="1"/>
        <sz val="10.0"/>
      </rPr>
      <t xml:space="preserve">triggerType </t>
    </r>
    <r>
      <rPr>
        <rFont val="Arial"/>
        <color theme="1"/>
        <sz val="10.0"/>
      </rPr>
      <t xml:space="preserve">is set to </t>
    </r>
    <r>
      <rPr>
        <rFont val="Arial"/>
        <i/>
        <color theme="1"/>
        <sz val="10.0"/>
      </rPr>
      <t xml:space="preserve">periodical </t>
    </r>
    <r>
      <rPr>
        <rFont val="Arial"/>
        <color theme="1"/>
        <sz val="10.0"/>
      </rPr>
      <t xml:space="preserve">and </t>
    </r>
    <r>
      <rPr>
        <rFont val="Arial"/>
        <i/>
        <color theme="1"/>
        <sz val="10.0"/>
      </rPr>
      <t xml:space="preserve">purpose </t>
    </r>
    <r>
      <rPr>
        <rFont val="Arial"/>
        <color theme="1"/>
        <sz val="10.0"/>
      </rPr>
      <t xml:space="preserve">is set to </t>
    </r>
    <r>
      <rPr>
        <rFont val="Arial"/>
        <i/>
        <color theme="1"/>
        <sz val="10.0"/>
      </rPr>
      <t>reportCGI</t>
    </r>
    <r>
      <rPr>
        <rFont val="Arial"/>
        <color theme="1"/>
        <sz val="10.0"/>
      </rPr>
      <t xml:space="preserve">
- can only be set to 1 if the UE has set bit number 5 and bit number 22 to 1.</t>
    </r>
  </si>
  <si>
    <t>MTR-29954</t>
  </si>
  <si>
    <r>
      <rPr>
        <rFont val="Arial"/>
        <color theme="1"/>
        <sz val="10.0"/>
      </rPr>
      <t xml:space="preserve">[LTE FDD][LTE TDD] </t>
    </r>
    <r>
      <rPr>
        <rFont val="Arial"/>
        <b/>
        <color theme="1"/>
        <sz val="10.0"/>
      </rPr>
      <t>index 34 (FGI34):</t>
    </r>
    <r>
      <rPr>
        <rFont val="Arial"/>
        <color theme="1"/>
        <sz val="10.0"/>
      </rPr>
      <t xml:space="preserve">
Inter-RAT ANR features for GERAN including:
- Inter-RAT periodical measurement reporting where </t>
    </r>
    <r>
      <rPr>
        <rFont val="Arial"/>
        <i/>
        <color theme="1"/>
        <sz val="10.0"/>
      </rPr>
      <t xml:space="preserve">triggerType </t>
    </r>
    <r>
      <rPr>
        <rFont val="Arial"/>
        <color theme="1"/>
        <sz val="10.0"/>
      </rPr>
      <t xml:space="preserve">is set to
</t>
    </r>
    <r>
      <rPr>
        <rFont val="Arial"/>
        <i/>
        <color theme="1"/>
        <sz val="10.0"/>
      </rPr>
      <t xml:space="preserve">periodical </t>
    </r>
    <r>
      <rPr>
        <rFont val="Arial"/>
        <color theme="1"/>
        <sz val="10.0"/>
      </rPr>
      <t xml:space="preserve">and </t>
    </r>
    <r>
      <rPr>
        <rFont val="Arial"/>
        <i/>
        <color theme="1"/>
        <sz val="10.0"/>
      </rPr>
      <t xml:space="preserve">purpose </t>
    </r>
    <r>
      <rPr>
        <rFont val="Arial"/>
        <color theme="1"/>
        <sz val="10.0"/>
      </rPr>
      <t xml:space="preserve">is set to </t>
    </r>
    <r>
      <rPr>
        <rFont val="Arial"/>
        <i/>
        <color theme="1"/>
        <sz val="10.0"/>
      </rPr>
      <t>reportStrongestCells</t>
    </r>
    <r>
      <rPr>
        <rFont val="Arial"/>
        <color theme="1"/>
        <sz val="10.0"/>
      </rPr>
      <t xml:space="preserve">
- Inter-RAT periodical measurement reporting where </t>
    </r>
    <r>
      <rPr>
        <rFont val="Arial"/>
        <i/>
        <color theme="1"/>
        <sz val="10.0"/>
      </rPr>
      <t xml:space="preserve">triggerType </t>
    </r>
    <r>
      <rPr>
        <rFont val="Arial"/>
        <color theme="1"/>
        <sz val="10.0"/>
      </rPr>
      <t xml:space="preserve">is set to </t>
    </r>
    <r>
      <rPr>
        <rFont val="Arial"/>
        <i/>
        <color theme="1"/>
        <sz val="10.0"/>
      </rPr>
      <t xml:space="preserve">periodical </t>
    </r>
    <r>
      <rPr>
        <rFont val="Arial"/>
        <color theme="1"/>
        <sz val="10.0"/>
      </rPr>
      <t xml:space="preserve">and </t>
    </r>
    <r>
      <rPr>
        <rFont val="Arial"/>
        <i/>
        <color theme="1"/>
        <sz val="10.0"/>
      </rPr>
      <t xml:space="preserve">purpose </t>
    </r>
    <r>
      <rPr>
        <rFont val="Arial"/>
        <color theme="1"/>
        <sz val="10.0"/>
      </rPr>
      <t xml:space="preserve">is set to </t>
    </r>
    <r>
      <rPr>
        <rFont val="Arial"/>
        <i/>
        <color theme="1"/>
        <sz val="10.0"/>
      </rPr>
      <t>reportCGI</t>
    </r>
    <r>
      <rPr>
        <rFont val="Arial"/>
        <color theme="1"/>
        <sz val="10.0"/>
      </rPr>
      <t xml:space="preserve">
- can only be set to 1 if the UE has set bit number 5 and bit number 23 to 1.</t>
    </r>
  </si>
  <si>
    <t>MTR-29955</t>
  </si>
  <si>
    <r>
      <rPr>
        <rFont val="Arial"/>
        <color theme="1"/>
        <sz val="10.0"/>
      </rPr>
      <t>[LTE FDD][LTE TDD]</t>
    </r>
    <r>
      <rPr>
        <rFont val="Arial"/>
        <b/>
        <color theme="1"/>
        <sz val="10.0"/>
      </rPr>
      <t xml:space="preserve"> index 35 (FGI35):</t>
    </r>
    <r>
      <rPr>
        <rFont val="Arial"/>
        <color theme="1"/>
        <sz val="10.0"/>
      </rPr>
      <t xml:space="preserve">
Inter-RAT ANR features for 1xRTT including:
- Inter-RAT periodical measurement reporting where </t>
    </r>
    <r>
      <rPr>
        <rFont val="Arial"/>
        <i/>
        <color theme="1"/>
        <sz val="10.0"/>
      </rPr>
      <t xml:space="preserve">triggerType </t>
    </r>
    <r>
      <rPr>
        <rFont val="Arial"/>
        <color theme="1"/>
        <sz val="10.0"/>
      </rPr>
      <t xml:space="preserve">is set to </t>
    </r>
    <r>
      <rPr>
        <rFont val="Arial"/>
        <i/>
        <color theme="1"/>
        <sz val="10.0"/>
      </rPr>
      <t xml:space="preserve">periodical </t>
    </r>
    <r>
      <rPr>
        <rFont val="Arial"/>
        <color theme="1"/>
        <sz val="10.0"/>
      </rPr>
      <t xml:space="preserve">and </t>
    </r>
    <r>
      <rPr>
        <rFont val="Arial"/>
        <i/>
        <color theme="1"/>
        <sz val="10.0"/>
      </rPr>
      <t xml:space="preserve">purpose </t>
    </r>
    <r>
      <rPr>
        <rFont val="Arial"/>
        <color theme="1"/>
        <sz val="10.0"/>
      </rPr>
      <t xml:space="preserve">is set to </t>
    </r>
    <r>
      <rPr>
        <rFont val="Arial"/>
        <i/>
        <color theme="1"/>
        <sz val="10.0"/>
      </rPr>
      <t>reportStrongestCellsForSON</t>
    </r>
    <r>
      <rPr>
        <rFont val="Arial"/>
        <color theme="1"/>
        <sz val="10.0"/>
      </rPr>
      <t xml:space="preserve">
- Inter-RAT periodical measurement reporting where </t>
    </r>
    <r>
      <rPr>
        <rFont val="Arial"/>
        <i/>
        <color theme="1"/>
        <sz val="10.0"/>
      </rPr>
      <t xml:space="preserve">triggerType </t>
    </r>
    <r>
      <rPr>
        <rFont val="Arial"/>
        <color theme="1"/>
        <sz val="10.0"/>
      </rPr>
      <t xml:space="preserve">is set to </t>
    </r>
    <r>
      <rPr>
        <rFont val="Arial"/>
        <i/>
        <color theme="1"/>
        <sz val="10.0"/>
      </rPr>
      <t xml:space="preserve">periodical </t>
    </r>
    <r>
      <rPr>
        <rFont val="Arial"/>
        <color theme="1"/>
        <sz val="10.0"/>
      </rPr>
      <t xml:space="preserve">and </t>
    </r>
    <r>
      <rPr>
        <rFont val="Arial"/>
        <i/>
        <color theme="1"/>
        <sz val="10.0"/>
      </rPr>
      <t xml:space="preserve">purpose </t>
    </r>
    <r>
      <rPr>
        <rFont val="Arial"/>
        <color theme="1"/>
        <sz val="10.0"/>
      </rPr>
      <t xml:space="preserve">is set to </t>
    </r>
    <r>
      <rPr>
        <rFont val="Arial"/>
        <i/>
        <color theme="1"/>
        <sz val="10.0"/>
      </rPr>
      <t>reportCGI</t>
    </r>
    <r>
      <rPr>
        <rFont val="Arial"/>
        <color theme="1"/>
        <sz val="10.0"/>
      </rPr>
      <t xml:space="preserve">
- can only be set to 1 if the UE has set bit number 5 and bit number 24 to 1.</t>
    </r>
  </si>
  <si>
    <t>MTR-29956</t>
  </si>
  <si>
    <r>
      <rPr>
        <rFont val="Arial"/>
        <color theme="1"/>
        <sz val="10.0"/>
      </rPr>
      <t xml:space="preserve">[LTE FDD] [LTE TDD] </t>
    </r>
    <r>
      <rPr>
        <rFont val="Arial"/>
        <b/>
        <color theme="1"/>
        <sz val="10.0"/>
      </rPr>
      <t>index 36 (FGI36):</t>
    </r>
    <r>
      <rPr>
        <rFont val="Arial"/>
        <color theme="1"/>
        <sz val="10.0"/>
      </rPr>
      <t xml:space="preserve">
Inter-RAT ANR features for HRPD including:
- Inter-RAT periodical measurement reporting where </t>
    </r>
    <r>
      <rPr>
        <rFont val="Arial"/>
        <i/>
        <color theme="1"/>
        <sz val="10.0"/>
      </rPr>
      <t xml:space="preserve">triggerType </t>
    </r>
    <r>
      <rPr>
        <rFont val="Arial"/>
        <color theme="1"/>
        <sz val="10.0"/>
      </rPr>
      <t xml:space="preserve">is set to
</t>
    </r>
    <r>
      <rPr>
        <rFont val="Arial"/>
        <i/>
        <color theme="1"/>
        <sz val="10.0"/>
      </rPr>
      <t xml:space="preserve">periodical </t>
    </r>
    <r>
      <rPr>
        <rFont val="Arial"/>
        <color theme="1"/>
        <sz val="10.0"/>
      </rPr>
      <t xml:space="preserve">and </t>
    </r>
    <r>
      <rPr>
        <rFont val="Arial"/>
        <i/>
        <color theme="1"/>
        <sz val="10.0"/>
      </rPr>
      <t xml:space="preserve">purpose </t>
    </r>
    <r>
      <rPr>
        <rFont val="Arial"/>
        <color theme="1"/>
        <sz val="10.0"/>
      </rPr>
      <t xml:space="preserve">is set to </t>
    </r>
    <r>
      <rPr>
        <rFont val="Arial"/>
        <i/>
        <color theme="1"/>
        <sz val="10.0"/>
      </rPr>
      <t>reportStrongestCellsForSON</t>
    </r>
    <r>
      <rPr>
        <rFont val="Arial"/>
        <color theme="1"/>
        <sz val="10.0"/>
      </rPr>
      <t xml:space="preserve">
- Inter-RAT periodical measurement reporting where </t>
    </r>
    <r>
      <rPr>
        <rFont val="Arial"/>
        <i/>
        <color theme="1"/>
        <sz val="10.0"/>
      </rPr>
      <t xml:space="preserve">triggerType </t>
    </r>
    <r>
      <rPr>
        <rFont val="Arial"/>
        <color theme="1"/>
        <sz val="10.0"/>
      </rPr>
      <t xml:space="preserve">is set to
</t>
    </r>
    <r>
      <rPr>
        <rFont val="Arial"/>
        <i/>
        <color theme="1"/>
        <sz val="10.0"/>
      </rPr>
      <t xml:space="preserve">periodical </t>
    </r>
    <r>
      <rPr>
        <rFont val="Arial"/>
        <color theme="1"/>
        <sz val="10.0"/>
      </rPr>
      <t xml:space="preserve">and </t>
    </r>
    <r>
      <rPr>
        <rFont val="Arial"/>
        <i/>
        <color theme="1"/>
        <sz val="10.0"/>
      </rPr>
      <t xml:space="preserve">purpose </t>
    </r>
    <r>
      <rPr>
        <rFont val="Arial"/>
        <color theme="1"/>
        <sz val="10.0"/>
      </rPr>
      <t xml:space="preserve">is set to </t>
    </r>
    <r>
      <rPr>
        <rFont val="Arial"/>
        <i/>
        <color theme="1"/>
        <sz val="10.0"/>
      </rPr>
      <t>reportCGI</t>
    </r>
    <r>
      <rPr>
        <rFont val="Arial"/>
        <color theme="1"/>
        <sz val="10.0"/>
      </rPr>
      <t xml:space="preserve">
- can only be set to 1 if the UE has set bit number 5 and bit number 26 to 1.</t>
    </r>
  </si>
  <si>
    <t>MTR-32152</t>
  </si>
  <si>
    <r>
      <rPr>
        <rFont val="Arial"/>
        <color theme="1"/>
        <sz val="10.0"/>
      </rPr>
      <t>[LTE FDD][LTE TDD]</t>
    </r>
    <r>
      <rPr>
        <rFont val="Arial"/>
        <b/>
        <color theme="1"/>
        <sz val="10.0"/>
      </rPr>
      <t xml:space="preserve"> index 37 (FGI37):</t>
    </r>
    <r>
      <rPr>
        <rFont val="Arial"/>
        <color theme="1"/>
        <sz val="10.0"/>
      </rPr>
      <t xml:space="preserve">
Inter-RAT ANR features for UTRAN TDD including:
- Inter-RAT periodical measurement reporting where triggerType is set to periodical and purpose is set to reportStrongestCellsForSON 
- Inter-RAT periodical measurement reporting where triggerType is set to periodical and purpose is set to reportCGI</t>
    </r>
  </si>
  <si>
    <t>MTR-32153</t>
  </si>
  <si>
    <r>
      <rPr>
        <rFont val="Arial"/>
        <color theme="1"/>
        <sz val="10.0"/>
      </rPr>
      <t xml:space="preserve">[LTE FDD][LTE TDD] </t>
    </r>
    <r>
      <rPr>
        <rFont val="Arial"/>
        <b/>
        <color theme="1"/>
        <sz val="10.0"/>
      </rPr>
      <t>index 38 (FGI38):</t>
    </r>
    <r>
      <rPr>
        <rFont val="Arial"/>
        <color theme="1"/>
        <sz val="10.0"/>
      </rPr>
      <t xml:space="preserve">
- EUTRA RRC_CONNECTED to UTRA TDD CELL_DCH PS handover, if the UE supports both UTRAN FDD and UTRAN TDD</t>
    </r>
  </si>
  <si>
    <t>MTR-32154</t>
  </si>
  <si>
    <r>
      <rPr>
        <rFont val="Arial"/>
        <color theme="1"/>
        <sz val="10.0"/>
      </rPr>
      <t>[LTE FDD][LTE TDD]</t>
    </r>
    <r>
      <rPr>
        <rFont val="Arial"/>
        <b/>
        <color theme="1"/>
        <sz val="10.0"/>
      </rPr>
      <t xml:space="preserve"> index 39 (FGI39):</t>
    </r>
    <r>
      <rPr>
        <rFont val="Arial"/>
        <color theme="1"/>
        <sz val="10.0"/>
      </rPr>
      <t xml:space="preserve">
- UTRAN TDD measurements, reporting and measurement reporting event B2 in E-UTRA connected mode, if the UE supports both UTRAN FDD and UTRAN TDD
</t>
    </r>
    <r>
      <rPr>
        <rFont val="Arial"/>
        <b/>
        <color theme="1"/>
        <sz val="10.0"/>
      </rPr>
      <t>3GPP optional for Cat M1/M2 UEs.</t>
    </r>
  </si>
  <si>
    <t>MTR-32155</t>
  </si>
  <si>
    <r>
      <rPr>
        <rFont val="Arial"/>
        <color theme="1"/>
        <sz val="10.0"/>
      </rPr>
      <t>[LTE FDD][LTE TDD]</t>
    </r>
    <r>
      <rPr>
        <rFont val="Arial"/>
        <b/>
        <color theme="1"/>
        <sz val="10.0"/>
      </rPr>
      <t xml:space="preserve"> index 40 (FGI40):</t>
    </r>
    <r>
      <rPr>
        <rFont val="Arial"/>
        <color theme="1"/>
        <sz val="10.0"/>
      </rPr>
      <t xml:space="preserve">
- EUTRA RRC_CONNECTED to UTRA TDD CELL_DCH  CS handover, if the UE supports both UTRAN FDD and UTRAN TDD</t>
    </r>
  </si>
  <si>
    <t>MTR-30706</t>
  </si>
  <si>
    <r>
      <rPr>
        <rFont val="Arial"/>
        <color theme="1"/>
        <sz val="10.0"/>
      </rPr>
      <t>[LTE FDD][LTE TDD]</t>
    </r>
    <r>
      <rPr>
        <rFont val="Arial"/>
        <b/>
        <color theme="1"/>
        <sz val="10.0"/>
      </rPr>
      <t xml:space="preserve"> index 41 (FGI41):</t>
    </r>
    <r>
      <rPr>
        <rFont val="Arial"/>
        <color theme="1"/>
        <sz val="10.0"/>
      </rPr>
      <t xml:space="preserve">
Measurement reporting event: Event B1 – Neighbour &gt; threshold for UTRAN FDD, if the UE supports UTRAN FDD and has set bit number 22 to 1
</t>
    </r>
    <r>
      <rPr>
        <rFont val="Arial"/>
        <b/>
        <color theme="1"/>
        <sz val="10.0"/>
      </rPr>
      <t xml:space="preserve">Note: </t>
    </r>
    <r>
      <rPr>
        <rFont val="Arial"/>
        <color theme="1"/>
        <sz val="10.0"/>
      </rPr>
      <t>3GPP Mandatory for FDD unless UE has set bit number 15 to 1;</t>
    </r>
    <r>
      <rPr>
        <rFont val="Arial"/>
        <b/>
        <color theme="1"/>
        <sz val="10.0"/>
      </rPr>
      <t xml:space="preserve"> 3GPP optional for Cat M1/M2 UEs.</t>
    </r>
  </si>
  <si>
    <t>MTR-32213</t>
  </si>
  <si>
    <r>
      <rPr>
        <rFont val="Arial"/>
        <color theme="1"/>
        <sz val="10.0"/>
      </rPr>
      <t>[LTE FDD][LTE TDD]</t>
    </r>
    <r>
      <rPr>
        <rFont val="Arial"/>
        <b/>
        <color theme="1"/>
        <sz val="10.0"/>
      </rPr>
      <t xml:space="preserve"> index 42 (FGI42):</t>
    </r>
    <r>
      <rPr>
        <rFont val="Arial"/>
        <color theme="1"/>
        <sz val="10.0"/>
      </rPr>
      <t xml:space="preserve">
- DCI format 3a (TPC commands for PUCCH and PUSCH with single bit power adjustments)</t>
    </r>
  </si>
  <si>
    <t>MTR-29431</t>
  </si>
  <si>
    <r>
      <rPr>
        <rFont val="Arial"/>
        <b/>
        <color theme="1"/>
        <sz val="10.0"/>
      </rPr>
      <t>2.4.3.1.3</t>
    </r>
    <r>
      <rPr>
        <rFont val="Arial"/>
        <b val="0"/>
        <color theme="1"/>
        <sz val="10.0"/>
      </rPr>
      <t xml:space="preserve"> </t>
    </r>
    <r>
      <rPr>
        <rFont val="Arial"/>
        <b/>
        <color theme="1"/>
        <sz val="10.0"/>
      </rPr>
      <t>LTE Rel-10 FDD/TDD FGI Extensions</t>
    </r>
  </si>
  <si>
    <t>MTR-36134</t>
  </si>
  <si>
    <r>
      <rPr>
        <rFont val="Arial"/>
        <color theme="1"/>
        <sz val="10.0"/>
      </rPr>
      <t xml:space="preserve">This section includes the requirements for </t>
    </r>
    <r>
      <rPr>
        <rFont val="Arial"/>
        <b/>
        <color theme="1"/>
        <sz val="10.0"/>
      </rPr>
      <t>LTE Release 10 FDD/TDD/Common Feature Group Indicators (FGI)</t>
    </r>
    <r>
      <rPr>
        <rFont val="Arial"/>
        <color theme="1"/>
        <sz val="10.0"/>
      </rPr>
      <t xml:space="preserve">. FDD/TDD FGIs are differentiated by '[LTE FDD][LTE TDD]' from Common Feature Group Indicators. 
For FDD/TDD FGIs the compliance statement shall be 
	- 'complies' if the indicator is supported for both FDD and TDD mode,
	 -'partially complies' if the indicator is supported either for FDD only or for TDD only in which case the support per mode shall be indicated in 'Comments Vendor',
	-'does not comply' if the indicator is not supported neither in FDD mode nor is it supported in TDD mode.
Note: Common FGI is the FGI for which the UE is not allowed to signal different values for FDD and TDD.
</t>
    </r>
    <r>
      <rPr>
        <rFont val="Arial"/>
        <b/>
        <color theme="1"/>
        <sz val="10.0"/>
      </rPr>
      <t>NOTE: The individual FGIs shall be enabled or disabled as defined in the latest Deutsche Telekom Settings document (TISD).</t>
    </r>
  </si>
  <si>
    <t>MTR-29433</t>
  </si>
  <si>
    <r>
      <rPr>
        <rFont val="Arial"/>
        <b/>
        <color theme="1"/>
        <sz val="10.0"/>
      </rPr>
      <t>Index 101: FGI101</t>
    </r>
    <r>
      <rPr>
        <rFont val="Arial"/>
        <b val="0"/>
        <color theme="1"/>
        <sz val="10.0"/>
      </rPr>
      <t xml:space="preserve">
- DMRS with OCC (orthogonal cover code) and SGH (sequence group hopping) disabling
- if the UE supports two or more layers for spatial multiplexing in UL, this bit shall be set to 1.
</t>
    </r>
    <r>
      <rPr>
        <rFont val="Arial"/>
        <b/>
        <color theme="1"/>
        <sz val="10.0"/>
      </rPr>
      <t>Please note:</t>
    </r>
    <r>
      <rPr>
        <rFont val="Arial"/>
        <b val="0"/>
        <color theme="1"/>
        <sz val="10.0"/>
      </rPr>
      <t xml:space="preserve"> Common FGI, i.e. the UE is </t>
    </r>
    <r>
      <rPr>
        <rFont val="Arial"/>
        <b/>
        <color theme="1"/>
        <sz val="10.0"/>
      </rPr>
      <t>NOT</t>
    </r>
    <r>
      <rPr>
        <rFont val="Arial"/>
        <b val="0"/>
        <color theme="1"/>
        <sz val="10.0"/>
      </rPr>
      <t xml:space="preserve"> allowed to signal different values for FDD and TDD.</t>
    </r>
  </si>
  <si>
    <t>MTR-29434</t>
  </si>
  <si>
    <r>
      <rPr>
        <rFont val="Arial"/>
        <color theme="1"/>
        <sz val="10.0"/>
      </rPr>
      <t xml:space="preserve">[LTE FDD][LTE TDD] </t>
    </r>
    <r>
      <rPr>
        <rFont val="Arial"/>
        <b/>
        <color theme="1"/>
        <sz val="10.0"/>
      </rPr>
      <t>Index 102: FGI102</t>
    </r>
    <r>
      <rPr>
        <rFont val="Arial"/>
        <color theme="1"/>
        <sz val="10.0"/>
      </rPr>
      <t xml:space="preserve">
- Trigger type 1 SRS (aperiodic SRS) transmission (Up to X ports)
NOTE: X = number of supported layers on given band</t>
    </r>
  </si>
  <si>
    <t>MTR-29435</t>
  </si>
  <si>
    <r>
      <rPr>
        <rFont val="Arial"/>
        <color theme="1"/>
        <sz val="10.0"/>
      </rPr>
      <t>[LTE FDD][LTE TDD]</t>
    </r>
    <r>
      <rPr>
        <rFont val="Arial"/>
        <b/>
        <color theme="1"/>
        <sz val="10.0"/>
      </rPr>
      <t xml:space="preserve"> Index 103: FGI103</t>
    </r>
    <r>
      <rPr>
        <rFont val="Arial"/>
        <color theme="1"/>
        <sz val="10.0"/>
      </rPr>
      <t xml:space="preserve">
- PDSCH transmission mode 9 (TM9) when up to 4 CSI reference signal ports are configured
- for Category 8 UEs, this bit shall be set to 1.</t>
    </r>
  </si>
  <si>
    <t>MTR-29436</t>
  </si>
  <si>
    <r>
      <rPr>
        <rFont val="Arial"/>
        <b/>
        <color theme="1"/>
        <sz val="10.0"/>
      </rPr>
      <t>Index 104: FGI104</t>
    </r>
    <r>
      <rPr>
        <rFont val="Arial"/>
        <b val="0"/>
        <color theme="1"/>
        <sz val="10.0"/>
      </rPr>
      <t xml:space="preserve">
- PDSCH transmission mode 9 (TM9) for TDD when 8 CSI reference signal ports are configured
- if the UE does not support TDD, this bit is irrelevant (capability signalling exists for FDD for this feature), and this bit shall be set to 0.
- for Category 8 UEs, this bit shall be set to 1.
</t>
    </r>
    <r>
      <rPr>
        <rFont val="Arial"/>
        <b/>
        <color theme="1"/>
        <sz val="10.0"/>
      </rPr>
      <t>Please note:</t>
    </r>
    <r>
      <rPr>
        <rFont val="Arial"/>
        <b val="0"/>
        <color theme="1"/>
        <sz val="10.0"/>
      </rPr>
      <t xml:space="preserve"> Common FGI, i.e. the UE is </t>
    </r>
    <r>
      <rPr>
        <rFont val="Arial"/>
        <b/>
        <color theme="1"/>
        <sz val="10.0"/>
      </rPr>
      <t>NOT</t>
    </r>
    <r>
      <rPr>
        <rFont val="Arial"/>
        <b val="0"/>
        <color theme="1"/>
        <sz val="10.0"/>
      </rPr>
      <t xml:space="preserve"> allowed to signal different values for FDD and TDD.</t>
    </r>
  </si>
  <si>
    <t>MTR-29437</t>
  </si>
  <si>
    <r>
      <rPr>
        <rFont val="Arial"/>
        <color theme="1"/>
        <sz val="10.0"/>
      </rPr>
      <t xml:space="preserve">[LTE FDD][LTE TDD] </t>
    </r>
    <r>
      <rPr>
        <rFont val="Arial"/>
        <b/>
        <color theme="1"/>
        <sz val="10.0"/>
      </rPr>
      <t>Index 105: FGI105</t>
    </r>
    <r>
      <rPr>
        <rFont val="Arial"/>
        <color theme="1"/>
        <sz val="10.0"/>
      </rPr>
      <t xml:space="preserve">
- Periodic CQI/PMI/RI reporting on PUCCH:
Mode 2-0 – UE selected subband CQI without PMI, when PDSCH transmission mode 9 (TM9) is configured
- Periodic CQI/PMI/RI reporting on PUCCH: Mode 2-1 – UE selected subband CQI with single PMI, when PDSCH transmission mode 9 and up to 4 CSI reference signal ports are configured
- this bit can be set to 1 only if indices 2 (Table B.1-1) and 103 are set to 1.</t>
    </r>
  </si>
  <si>
    <t>MTR-29438</t>
  </si>
  <si>
    <r>
      <rPr>
        <rFont val="Arial"/>
        <color theme="1"/>
        <sz val="10.0"/>
      </rPr>
      <t xml:space="preserve">[LTE FDD][LTE TDD] </t>
    </r>
    <r>
      <rPr>
        <rFont val="Arial"/>
        <b/>
        <color theme="1"/>
        <sz val="10.0"/>
      </rPr>
      <t>Index 106: FGI106</t>
    </r>
    <r>
      <rPr>
        <rFont val="Arial"/>
        <color theme="1"/>
        <sz val="10.0"/>
      </rPr>
      <t xml:space="preserve">
- Periodic CQI/PMI/RI/PTI reporting on PUCCH:
Mode 2-1 – UE selected subband CQI with single PMI, when PDSCH transmission mode 9 (TM9) and 8 CSI reference signal ports are configured
- this bit can be set to 1 only if the UE supports PDSCH transmission mode 9 with 8 CSI reference signal ports (i.e., for FDD, if </t>
    </r>
    <r>
      <rPr>
        <rFont val="Arial"/>
        <i/>
        <color theme="1"/>
        <sz val="10.0"/>
      </rPr>
      <t xml:space="preserve">tm9-With-8Tx-FDD-r10 </t>
    </r>
    <r>
      <rPr>
        <rFont val="Arial"/>
        <color theme="1"/>
        <sz val="10.0"/>
      </rPr>
      <t>is set to ‘supported’) and if index 2 (Rel-8/9: FGI2) is set to 1.</t>
    </r>
  </si>
  <si>
    <t>Mandatory OFF in TISD</t>
  </si>
  <si>
    <t>MTR-29439</t>
  </si>
  <si>
    <r>
      <rPr>
        <rFont val="Arial"/>
        <color theme="1"/>
        <sz val="10.0"/>
      </rPr>
      <t xml:space="preserve">[LTE FDD][LTE TDD] </t>
    </r>
    <r>
      <rPr>
        <rFont val="Arial"/>
        <b/>
        <color theme="1"/>
        <sz val="10.0"/>
      </rPr>
      <t>Index 107: FGI107</t>
    </r>
    <r>
      <rPr>
        <rFont val="Arial"/>
        <color theme="1"/>
        <sz val="10.0"/>
      </rPr>
      <t xml:space="preserve">
- Aperiodic CQI/PMI/RI reporting on PUSCH:
Mode 2-0 – UE selected subband CQI without PMI, when PDSCH transmission mode 9 (TM9) is configured
- Aperiodic CQI/PMI/RI reporting on PUSCH:
Mode 2-2 – UE selected subband CQI with multiple PMI, when PDSCH transmission mode 9 and up to 4 CSI reference signal ports are configured
- this bit can be set to 1 only if indices 1 (Table B.1-1) and 103 are set to 1.</t>
    </r>
  </si>
  <si>
    <t>MTR-29440</t>
  </si>
  <si>
    <r>
      <rPr>
        <rFont val="Arial"/>
        <color theme="1"/>
        <sz val="10.0"/>
      </rPr>
      <t>[LTE FDD][LTE TDD]</t>
    </r>
    <r>
      <rPr>
        <rFont val="Arial"/>
        <b/>
        <color theme="1"/>
        <sz val="10.0"/>
      </rPr>
      <t xml:space="preserve"> Index 108: FGI108</t>
    </r>
    <r>
      <rPr>
        <rFont val="Arial"/>
        <color theme="1"/>
        <sz val="10.0"/>
      </rPr>
      <t xml:space="preserve">
- Aperiodic CQI/PMI/RI reporting on PUSCH:
Mode 2-2 – UE selected subband CQI with multiple PMI, when PDSCH transmission mode 9 (TM9) and 8 CSI reference signal ports are configured
- this bit can be set to 1 only if the UE supports PDSCH transmission mode 9 with 8 CSI reference signal ports (i.e., for FDD, if </t>
    </r>
    <r>
      <rPr>
        <rFont val="Arial"/>
        <i/>
        <color theme="1"/>
        <sz val="10.0"/>
      </rPr>
      <t xml:space="preserve">tm9-With-8Tx-FDD-r10 </t>
    </r>
    <r>
      <rPr>
        <rFont val="Arial"/>
        <color theme="1"/>
        <sz val="10.0"/>
      </rPr>
      <t>is set to ‘supported’) and if index 1 (Rel-8/9 FGI1) is set to 1) (i.e., for TDD, if common index 104 is set to 1 and if index 1 (Rel-8/9 FGI1) is set to 1).</t>
    </r>
  </si>
  <si>
    <t>MTR-29441</t>
  </si>
  <si>
    <r>
      <rPr>
        <rFont val="Arial"/>
        <color theme="1"/>
        <sz val="10.0"/>
      </rPr>
      <t>[LTE FDD][LTE TDD]</t>
    </r>
    <r>
      <rPr>
        <rFont val="Arial"/>
        <b/>
        <color theme="1"/>
        <sz val="10.0"/>
      </rPr>
      <t xml:space="preserve"> Index 109: FGI109</t>
    </r>
    <r>
      <rPr>
        <rFont val="Arial"/>
        <color theme="1"/>
        <sz val="10.0"/>
      </rPr>
      <t xml:space="preserve">
- Periodic CQI/PMI/RI reporting on PUCCH Mode 1-1, submode 1
- this bit can be set to 1 only if the UE supports PDSCH transmission mode 9 (TM9) with 8 CSI reference signal ports (i.e., for FDD, if </t>
    </r>
    <r>
      <rPr>
        <rFont val="Arial"/>
        <i/>
        <color theme="1"/>
        <sz val="10.0"/>
      </rPr>
      <t xml:space="preserve">tm9-With-8Tx-FDD-r10 </t>
    </r>
    <r>
      <rPr>
        <rFont val="Arial"/>
        <color theme="1"/>
        <sz val="10.0"/>
      </rPr>
      <t>is set to ‘supported’) (i.e., for TDD, if Common index 104 is set to 1).</t>
    </r>
  </si>
  <si>
    <t>MTR-29442</t>
  </si>
  <si>
    <r>
      <rPr>
        <rFont val="Arial"/>
        <color theme="1"/>
        <sz val="10.0"/>
      </rPr>
      <t>[LTE FDD][LTE TDD]</t>
    </r>
    <r>
      <rPr>
        <rFont val="Arial"/>
        <b/>
        <color theme="1"/>
        <sz val="10.0"/>
      </rPr>
      <t xml:space="preserve"> Index 110: FGI110</t>
    </r>
    <r>
      <rPr>
        <rFont val="Arial"/>
        <color theme="1"/>
        <sz val="10.0"/>
      </rPr>
      <t xml:space="preserve">
- Periodic CQI/PMI/RI reporting on PUCCH Mode 1-1, submode 2
- this bit can be set to 1 only if the UE supports PDSCH transmission mode 9 (TM9) with 8 CSI reference signal ports (i.e., FDD, if </t>
    </r>
    <r>
      <rPr>
        <rFont val="Arial"/>
        <i/>
        <color theme="1"/>
        <sz val="10.0"/>
      </rPr>
      <t xml:space="preserve">tm9-With-8Tx-FDD-r10 </t>
    </r>
    <r>
      <rPr>
        <rFont val="Arial"/>
        <color theme="1"/>
        <sz val="10.0"/>
      </rPr>
      <t>is set to ‘supported’) (i.e., for TDD, if Common index 104 is set to 1).</t>
    </r>
  </si>
  <si>
    <t>MTR-29443</t>
  </si>
  <si>
    <r>
      <rPr>
        <rFont val="Arial"/>
        <color theme="1"/>
        <sz val="10.0"/>
      </rPr>
      <t>[LTE FDD][LTE TDD]</t>
    </r>
    <r>
      <rPr>
        <rFont val="Arial"/>
        <b/>
        <color theme="1"/>
        <sz val="10.0"/>
      </rPr>
      <t xml:space="preserve"> Index 111: FGI111</t>
    </r>
    <r>
      <rPr>
        <rFont val="Arial"/>
        <color theme="1"/>
        <sz val="10.0"/>
      </rPr>
      <t xml:space="preserve">
- Measurement reporting trigger Event A6
- this bit can be set to 1 only if the UE supports carrier aggregation.</t>
    </r>
  </si>
  <si>
    <t>MTR-29444</t>
  </si>
  <si>
    <r>
      <rPr>
        <rFont val="Arial"/>
        <color theme="1"/>
        <sz val="10.0"/>
      </rPr>
      <t xml:space="preserve">[LTE FDD][LTE TDD] </t>
    </r>
    <r>
      <rPr>
        <rFont val="Arial"/>
        <b/>
        <color theme="1"/>
        <sz val="10.0"/>
      </rPr>
      <t>Index 112: FGI112</t>
    </r>
    <r>
      <rPr>
        <rFont val="Arial"/>
        <color theme="1"/>
        <sz val="10.0"/>
      </rPr>
      <t xml:space="preserve">
- SCell addition within the Handover to EUTRA procedure
- this bit can be set to 1 only if the UE supports carrier aggregation and the Handover to EUTRA procedure.</t>
    </r>
  </si>
  <si>
    <t>MTR-29445</t>
  </si>
  <si>
    <r>
      <rPr>
        <rFont val="Arial"/>
        <color theme="1"/>
        <sz val="10.0"/>
      </rPr>
      <t xml:space="preserve">[LTE FDD][LTE TDD] </t>
    </r>
    <r>
      <rPr>
        <rFont val="Arial"/>
        <b/>
        <color theme="1"/>
        <sz val="10.0"/>
      </rPr>
      <t>Index 113: FGI113</t>
    </r>
    <r>
      <rPr>
        <rFont val="Arial"/>
        <color theme="1"/>
        <sz val="10.0"/>
      </rPr>
      <t xml:space="preserve">
- Trigger type 0 SRS (periodic SRS) transmission on X Serving Cells
NOTE: X = number of supported component carriers in a given band combination
- this bit can be set to 1 only if the UE supports carrier aggregation in UL.</t>
    </r>
  </si>
  <si>
    <t>MTR-29446</t>
  </si>
  <si>
    <r>
      <rPr>
        <rFont val="Arial"/>
        <b/>
        <color theme="1"/>
        <sz val="10.0"/>
      </rPr>
      <t>Index 114: FGI114</t>
    </r>
    <r>
      <rPr>
        <rFont val="Arial"/>
        <b val="0"/>
        <color theme="1"/>
        <sz val="10.0"/>
      </rPr>
      <t xml:space="preserve">
- Reporting of both UTRA CPICH RSCP and Ec/N0 in a Measurement Report
- this bit can be set to 1 only if index 22 (Rel-8/9 FGI22) is set to 1.
</t>
    </r>
    <r>
      <rPr>
        <rFont val="Arial"/>
        <b/>
        <color theme="1"/>
        <sz val="10.0"/>
      </rPr>
      <t>Please note:</t>
    </r>
    <r>
      <rPr>
        <rFont val="Arial"/>
        <b val="0"/>
        <color theme="1"/>
        <sz val="10.0"/>
      </rPr>
      <t xml:space="preserve"> Common FGI, i.e. the UE is </t>
    </r>
    <r>
      <rPr>
        <rFont val="Arial"/>
        <b/>
        <color theme="1"/>
        <sz val="10.0"/>
      </rPr>
      <t>NOT</t>
    </r>
    <r>
      <rPr>
        <rFont val="Arial"/>
        <b val="0"/>
        <color theme="1"/>
        <sz val="10.0"/>
      </rPr>
      <t xml:space="preserve"> allowed to signal different values for FDD and TDD.</t>
    </r>
  </si>
  <si>
    <t>MTR-29447</t>
  </si>
  <si>
    <r>
      <rPr>
        <rFont val="Arial"/>
        <color theme="1"/>
        <sz val="10.0"/>
      </rPr>
      <t xml:space="preserve">[LTE FDD][LTE TDD] </t>
    </r>
    <r>
      <rPr>
        <rFont val="Arial"/>
        <b/>
        <color theme="1"/>
        <sz val="10.0"/>
      </rPr>
      <t>Index 115: FGI115</t>
    </r>
    <r>
      <rPr>
        <rFont val="Arial"/>
        <color theme="1"/>
        <sz val="10.0"/>
      </rPr>
      <t xml:space="preserve">
- time domain ICIC RLM/RRM measurement subframe restriction for the serving cell
- time domain ICIC RRM measurement subframe restriction for neighbour cells
- time domain ICIC CSI measurement subframe restriction
</t>
    </r>
    <r>
      <rPr>
        <rFont val="Arial"/>
        <b/>
        <color theme="1"/>
        <sz val="10.0"/>
      </rPr>
      <t>3GPP optional for Cat M1/M2 UEs.</t>
    </r>
  </si>
  <si>
    <t>MTR-29448</t>
  </si>
  <si>
    <r>
      <rPr>
        <rFont val="Arial"/>
        <color theme="1"/>
        <sz val="10.0"/>
      </rPr>
      <t xml:space="preserve">[LTE FDD][LTE TDD] </t>
    </r>
    <r>
      <rPr>
        <rFont val="Arial"/>
        <b/>
        <color theme="1"/>
        <sz val="10.0"/>
      </rPr>
      <t>Index 116: FGI116</t>
    </r>
    <r>
      <rPr>
        <rFont val="Arial"/>
        <color theme="1"/>
        <sz val="10.0"/>
      </rPr>
      <t xml:space="preserve">
- Relative transmit phase continuity for spatial multiplexing in UL
- this bit can be set to 1 only if the UE supports two or more layers for spatial multiplexing in UL.</t>
    </r>
  </si>
  <si>
    <t>MTR-38558</t>
  </si>
  <si>
    <r>
      <rPr>
        <rFont val="Arial"/>
        <b/>
        <color theme="1"/>
        <sz val="10.0"/>
      </rPr>
      <t>2.4.3.2</t>
    </r>
    <r>
      <rPr>
        <rFont val="Arial"/>
        <b val="0"/>
        <color theme="1"/>
        <sz val="10.0"/>
      </rPr>
      <t xml:space="preserve"> </t>
    </r>
    <r>
      <rPr>
        <rFont val="Arial"/>
        <b/>
        <color theme="1"/>
        <sz val="10.0"/>
      </rPr>
      <t>LTE PDCP &amp; RLC</t>
    </r>
  </si>
  <si>
    <t>MTR-27566</t>
  </si>
  <si>
    <r>
      <rPr>
        <rFont val="Arial"/>
        <b/>
        <color theme="1"/>
        <sz val="10.0"/>
      </rPr>
      <t xml:space="preserve">LTE PDCP Robust Header Compression </t>
    </r>
    <r>
      <rPr>
        <rFont val="Arial"/>
        <b val="0"/>
        <color theme="1"/>
        <sz val="10.0"/>
      </rPr>
      <t xml:space="preserve">is supported.
Individual profiles are enabled or disabled as defined in the Telekom International Settings Document [TISD].
Inidicated with IE: [pdcp-Parameters/supportedROHC-Profiles]
Please indicate the supported profiles in the "Comments Vendor" field:
(0x0000 </t>
    </r>
    <r>
      <rPr>
        <rFont val="Arial"/>
        <b/>
        <color theme="1"/>
        <sz val="10.0"/>
      </rPr>
      <t>ROHC</t>
    </r>
    <r>
      <rPr>
        <rFont val="Arial"/>
        <b val="0"/>
        <color theme="1"/>
        <sz val="10.0"/>
      </rPr>
      <t xml:space="preserve"> uncompressed (RFC 4995) implicitly if any other profile is supported)
0x0001 ROHC RTP - RTP/UDP/IP  (RFC 3095, RFC 4815)
0x0002 ROHC UDP - non-RTP UDP/IP  (RFC 3095, RFC 4815)
0x0003 ROHC ESP - ESP/IP  (RFC 3095, RFC 4815)
0x0004 ROHC IP  (RFC 3843, RFC 4815)
0x0006 ROHC TCP - TCP/IP  (RFC 4996)
0x0101 ROHC v2 RTP - RTP/UDP/IP  (RFC 5225)
0x0102 ROHC v2 RTP - RTP/UDP/IP  (RFC 5225)
0x0103 ROHC v2 ESP - ESP/IP  (RFC 5225)
0x0104 ROHC v2 IP  (RFC 5225)</t>
    </r>
  </si>
  <si>
    <t>Profile 0x0001, 0x0002, 0x0004</t>
  </si>
  <si>
    <t>MTR-30600</t>
  </si>
  <si>
    <r>
      <rPr>
        <rFont val="Arial"/>
        <color theme="1"/>
        <sz val="10.0"/>
      </rPr>
      <t xml:space="preserve">[Rel. 11] </t>
    </r>
    <r>
      <rPr>
        <rFont val="Arial"/>
        <b/>
        <color theme="1"/>
        <sz val="10.0"/>
      </rPr>
      <t xml:space="preserve">PDCP SN extension </t>
    </r>
    <r>
      <rPr>
        <rFont val="Arial"/>
        <color theme="1"/>
        <sz val="10.0"/>
      </rPr>
      <t xml:space="preserve">is supported with 15 bit length PDCP sequence number and enabled or disabled as defined in [TISD] (default=disabled).
</t>
    </r>
    <r>
      <rPr>
        <rFont val="Arial"/>
        <b/>
        <color theme="1"/>
        <sz val="10.0"/>
      </rPr>
      <t>Note</t>
    </r>
    <r>
      <rPr>
        <rFont val="Arial"/>
        <color theme="1"/>
        <sz val="10.0"/>
      </rPr>
      <t xml:space="preserve">: indicated with the Rel-11 IE "pdcp-SN-Extension"
Respond </t>
    </r>
    <r>
      <rPr>
        <rFont val="Arial"/>
        <b/>
        <color theme="1"/>
        <sz val="10.0"/>
      </rPr>
      <t xml:space="preserve">"Not Applicable" </t>
    </r>
    <r>
      <rPr>
        <rFont val="Arial"/>
        <color theme="1"/>
        <sz val="10.0"/>
      </rPr>
      <t>when feature not supported!</t>
    </r>
  </si>
  <si>
    <t>MTR-32603</t>
  </si>
  <si>
    <r>
      <rPr>
        <rFont val="Arial"/>
        <color theme="1"/>
        <sz val="10.0"/>
      </rPr>
      <t xml:space="preserve">[Rel. 12] </t>
    </r>
    <r>
      <rPr>
        <rFont val="Arial"/>
        <b/>
        <color theme="1"/>
        <sz val="10.0"/>
      </rPr>
      <t>15 bit RLC length Indicator</t>
    </r>
    <r>
      <rPr>
        <rFont val="Arial"/>
        <color theme="1"/>
        <sz val="10.0"/>
      </rPr>
      <t xml:space="preserve">
is supported and indicated with IE "extended-RLC.LI-Field".</t>
    </r>
  </si>
  <si>
    <t>MTR-33858</t>
  </si>
  <si>
    <r>
      <rPr>
        <rFont val="Arial"/>
        <color theme="1"/>
        <sz val="10.0"/>
      </rPr>
      <t>[Rel. 14]</t>
    </r>
    <r>
      <rPr>
        <rFont val="Arial"/>
        <b/>
        <color theme="1"/>
        <sz val="10.0"/>
      </rPr>
      <t xml:space="preserve"> PDCP Robust Header Compression Support for UplinkOnly</t>
    </r>
    <r>
      <rPr>
        <rFont val="Arial"/>
        <color theme="1"/>
        <sz val="10.0"/>
      </rPr>
      <t xml:space="preserve">
is supported and indicated with IE: [PDCP-Parameters-v1430/supportedUplinkOnlyROHC-Profiles-r14"]</t>
    </r>
  </si>
  <si>
    <t>MTR-38559</t>
  </si>
  <si>
    <r>
      <rPr>
        <rFont val="Arial"/>
        <b/>
        <color theme="1"/>
        <sz val="10.0"/>
      </rPr>
      <t>2.4.3.3</t>
    </r>
    <r>
      <rPr>
        <rFont val="Arial"/>
        <b val="0"/>
        <color theme="1"/>
        <sz val="10.0"/>
      </rPr>
      <t xml:space="preserve"> </t>
    </r>
    <r>
      <rPr>
        <rFont val="Arial"/>
        <b/>
        <color theme="1"/>
        <sz val="10.0"/>
      </rPr>
      <t>LTE related Voice Service handling</t>
    </r>
  </si>
  <si>
    <t>MTR-28885</t>
  </si>
  <si>
    <t>2012 V2</t>
  </si>
  <si>
    <r>
      <rPr>
        <rFont val="Arial"/>
        <color theme="1"/>
        <sz val="10.0"/>
      </rPr>
      <t xml:space="preserve">[Rel. 9] </t>
    </r>
    <r>
      <rPr>
        <rFont val="Arial"/>
        <b/>
        <color theme="1"/>
        <sz val="10.0"/>
      </rPr>
      <t>Service Specific Access Control (SSAC)</t>
    </r>
    <r>
      <rPr>
        <rFont val="Arial"/>
        <color theme="1"/>
        <sz val="10.0"/>
      </rPr>
      <t xml:space="preserve">
is supported.
This includes handling of relevant parameters such as "s</t>
    </r>
    <r>
      <rPr>
        <rFont val="Arial"/>
        <i/>
        <color theme="1"/>
        <sz val="10.0"/>
      </rPr>
      <t xml:space="preserve">sac-BarringForMMTEL-Voice", "arringFactorForMMTEL-Voice" or "sBarringTimeForMMTEL-Voice" </t>
    </r>
    <r>
      <rPr>
        <rFont val="Arial"/>
        <color theme="1"/>
        <sz val="10.0"/>
      </rPr>
      <t>for Voice Services.
Mandatory for IMS voice capable devices!</t>
    </r>
  </si>
  <si>
    <t>MTR-30525</t>
  </si>
  <si>
    <r>
      <rPr>
        <rFont val="Arial"/>
        <color theme="1"/>
        <sz val="10.0"/>
      </rPr>
      <t xml:space="preserve">[Rel. 11] </t>
    </r>
    <r>
      <rPr>
        <rFont val="Arial"/>
        <b/>
        <color theme="1"/>
        <sz val="10.0"/>
      </rPr>
      <t>rSRVCC from GERAN to E-UTRAN (FDD)</t>
    </r>
    <r>
      <rPr>
        <rFont val="Arial"/>
        <color theme="1"/>
        <sz val="10.0"/>
      </rPr>
      <t xml:space="preserve">
is supported and enabled or disabled as defined in the Deutsche Telekom International Settings Document [TISD] (default=disabled).
Feature indication in Rel-11 Mobile Station Classmark 3 IE "CS to PS SRVCC from GERAN to E-UTRA".</t>
    </r>
  </si>
  <si>
    <t>MTR-32615</t>
  </si>
  <si>
    <r>
      <rPr>
        <rFont val="Arial"/>
        <color theme="1"/>
        <sz val="10.0"/>
      </rPr>
      <t xml:space="preserve">[Rel. 12] </t>
    </r>
    <r>
      <rPr>
        <rFont val="Arial"/>
        <b/>
        <color theme="1"/>
        <sz val="10.0"/>
      </rPr>
      <t>'mo-VoiceCall' establishment cause</t>
    </r>
    <r>
      <rPr>
        <rFont val="Arial"/>
        <color theme="1"/>
        <sz val="10.0"/>
      </rPr>
      <t xml:space="preserve">
is supported.
The UE sets the 'establishmentCause' in [RRCConnectionRequest] to 'mo-VoiceCall' for mobile originating MMTEL voice calls if the SystemInformationBlockType2 includes 'voiceServiceCauseIndication'.</t>
    </r>
  </si>
  <si>
    <t>MTR-33135</t>
  </si>
  <si>
    <r>
      <rPr>
        <rFont val="Arial"/>
        <color theme="1"/>
        <sz val="10.0"/>
      </rPr>
      <t xml:space="preserve">[Rel. 14] </t>
    </r>
    <r>
      <rPr>
        <rFont val="Arial"/>
        <b/>
        <color theme="1"/>
        <sz val="10.0"/>
      </rPr>
      <t>recommendedBitRate</t>
    </r>
    <r>
      <rPr>
        <rFont val="Arial"/>
        <color theme="1"/>
        <sz val="10.0"/>
      </rPr>
      <t xml:space="preserve">
is supported and indicated with IE "MMTEL-Parameters-r14/recommendedBitRate-r14"</t>
    </r>
  </si>
  <si>
    <t>[2024/11/5] Change to partial complies
UE could support. But default disable</t>
  </si>
  <si>
    <t>UE could support. But default disable</t>
  </si>
  <si>
    <t>MTR-33136</t>
  </si>
  <si>
    <r>
      <rPr>
        <rFont val="Arial"/>
        <color theme="1"/>
        <sz val="10.0"/>
      </rPr>
      <t xml:space="preserve">[Rel. 14] </t>
    </r>
    <r>
      <rPr>
        <rFont val="Arial"/>
        <b/>
        <color theme="1"/>
        <sz val="10.0"/>
      </rPr>
      <t>recommendedBitRateQuery</t>
    </r>
    <r>
      <rPr>
        <rFont val="Arial"/>
        <color theme="1"/>
        <sz val="10.0"/>
      </rPr>
      <t xml:space="preserve">
is supported and indicated with IE "MMTEL-Parameters-r14/recommendedBitRateQuery-r14".</t>
    </r>
  </si>
  <si>
    <t>MTR-40111</t>
  </si>
  <si>
    <r>
      <rPr>
        <rFont val="Arial"/>
        <color theme="1"/>
        <sz val="10.0"/>
      </rPr>
      <t xml:space="preserve">[Rel. 14] </t>
    </r>
    <r>
      <rPr>
        <rFont val="Arial"/>
        <b/>
        <color theme="1"/>
        <sz val="10.0"/>
      </rPr>
      <t>bitRateQueryProhibitTimer</t>
    </r>
    <r>
      <rPr>
        <rFont val="Arial"/>
        <color theme="1"/>
        <sz val="10.0"/>
      </rPr>
      <t xml:space="preserve">
is supported and indicated with IE "MMTEL-Parameters-r14/bitRateQueryProhibitTimer-r14".</t>
    </r>
  </si>
  <si>
    <t>MTR-38560</t>
  </si>
  <si>
    <r>
      <rPr>
        <rFont val="Arial"/>
        <b/>
        <color theme="1"/>
        <sz val="10.0"/>
      </rPr>
      <t>2.4.3.4</t>
    </r>
    <r>
      <rPr>
        <rFont val="Arial"/>
        <b val="0"/>
        <color theme="1"/>
        <sz val="10.0"/>
      </rPr>
      <t xml:space="preserve"> </t>
    </r>
    <r>
      <rPr>
        <rFont val="Arial"/>
        <b/>
        <color theme="1"/>
        <sz val="10.0"/>
      </rPr>
      <t>LTE Signaling Optimization</t>
    </r>
  </si>
  <si>
    <t>MTR-31293</t>
  </si>
  <si>
    <r>
      <rPr>
        <rFont val="Arial"/>
        <color theme="1"/>
        <sz val="10.0"/>
      </rPr>
      <t xml:space="preserve">[Rel. 11] </t>
    </r>
    <r>
      <rPr>
        <rFont val="Arial"/>
        <b/>
        <color theme="1"/>
        <sz val="10.0"/>
      </rPr>
      <t>Reception of requestedFrequencyBands</t>
    </r>
    <r>
      <rPr>
        <rFont val="Arial"/>
        <color theme="1"/>
        <sz val="10.0"/>
      </rPr>
      <t xml:space="preserve">
is supported.
Note: indicated with the Rel-11 IE "freqBandRetrieval"</t>
    </r>
  </si>
  <si>
    <t>MTR-32745</t>
  </si>
  <si>
    <r>
      <rPr>
        <rFont val="Arial"/>
        <color theme="1"/>
        <sz val="10.0"/>
      </rPr>
      <t xml:space="preserve">[Rel. 11] </t>
    </r>
    <r>
      <rPr>
        <rFont val="Arial"/>
        <b/>
        <color theme="1"/>
        <sz val="10.0"/>
      </rPr>
      <t>SupportedBandCombinationAdd-v11d0</t>
    </r>
    <r>
      <rPr>
        <rFont val="Arial"/>
        <color theme="1"/>
        <sz val="10.0"/>
      </rPr>
      <t xml:space="preserve">
is supported if more than 128 bands and band combinations are to be reported.</t>
    </r>
  </si>
  <si>
    <t>MTR-35244</t>
  </si>
  <si>
    <r>
      <rPr>
        <rFont val="Arial"/>
        <color theme="1"/>
        <sz val="10.0"/>
      </rPr>
      <t xml:space="preserve">[Rel. 13] </t>
    </r>
    <r>
      <rPr>
        <rFont val="Arial"/>
        <b/>
        <color theme="1"/>
        <sz val="10.0"/>
      </rPr>
      <t>skipFallbackCombinations-r13</t>
    </r>
    <r>
      <rPr>
        <rFont val="Arial"/>
        <color theme="1"/>
        <sz val="10.0"/>
      </rPr>
      <t xml:space="preserve"> is supported
The UE supports reception of [skipFallbackCombinations] from the network that requests the UE to exclude fallback band combinations from capability signalling. A UE that indicates support for this shall also indicate support for requestReducedFormat-r13 (Note: Implicitely done if the band combinations are sent via [supportedBandCombinationReduced].</t>
    </r>
  </si>
  <si>
    <t>MTR-35242</t>
  </si>
  <si>
    <r>
      <rPr>
        <rFont val="Arial"/>
        <color theme="1"/>
        <sz val="10.0"/>
      </rPr>
      <t xml:space="preserve">[Rel. 13] </t>
    </r>
    <r>
      <rPr>
        <rFont val="Arial"/>
        <b/>
        <color theme="1"/>
        <sz val="10.0"/>
      </rPr>
      <t>differentFallbackSupported-r13</t>
    </r>
    <r>
      <rPr>
        <rFont val="Arial"/>
        <color theme="1"/>
        <sz val="10.0"/>
      </rPr>
      <t xml:space="preserve"> is supported
This field defines whether the UE supports the different capabilities for at least one fallback case of the concerning band combination.</t>
    </r>
  </si>
  <si>
    <t>MTR-35246</t>
  </si>
  <si>
    <r>
      <rPr>
        <rFont val="Arial"/>
        <color theme="1"/>
        <sz val="10.0"/>
      </rPr>
      <t xml:space="preserve">[Rel. 14] </t>
    </r>
    <r>
      <rPr>
        <rFont val="Arial"/>
        <b/>
        <color theme="1"/>
        <sz val="10.0"/>
      </rPr>
      <t>diffFallbackCombReport-r14</t>
    </r>
    <r>
      <rPr>
        <rFont val="Arial"/>
        <color theme="1"/>
        <sz val="10.0"/>
      </rPr>
      <t xml:space="preserve">
is supported.
Support of this feature is expected as '</t>
    </r>
    <r>
      <rPr>
        <rFont val="Arial"/>
        <b/>
        <color theme="1"/>
        <sz val="10.0"/>
      </rPr>
      <t>Mandatory</t>
    </r>
    <r>
      <rPr>
        <rFont val="Arial"/>
        <color theme="1"/>
        <sz val="10.0"/>
      </rPr>
      <t xml:space="preserve">' if </t>
    </r>
    <r>
      <rPr>
        <rFont val="Arial"/>
        <b/>
        <color theme="1"/>
        <sz val="10.0"/>
      </rPr>
      <t>differentFallbackSupported-r13</t>
    </r>
    <r>
      <rPr>
        <rFont val="Arial"/>
        <color theme="1"/>
        <sz val="10.0"/>
      </rPr>
      <t xml:space="preserve"> is also supported!
This field indicates whether the UE supports reporting of UE radio access capabilities for the CA band combinations asked by the eNB as well as, if any, reporting of different UE radio access capabilities for their fallback band combination as specified in TS 36.331 [5]. The UE does not report fallback combinations if their UE radio access capabilities are the same as the ones for the CA band combination asked by the eNB. In this release of the specification, UEs capable of supportedBandCombinationReduced shall indicate support for diffFallbackCombReport-r14. UE that indicates support for this shall also indicate support for requestReducedFormat-r13.
(Note: Implicitely done if the band combinations are sent via [supportedBandCombinationReduced-r13].</t>
    </r>
  </si>
  <si>
    <t>MTR-35243</t>
  </si>
  <si>
    <r>
      <rPr>
        <rFont val="Arial"/>
        <color theme="1"/>
        <sz val="10.0"/>
      </rPr>
      <t xml:space="preserve">[Rel. 13] </t>
    </r>
    <r>
      <rPr>
        <rFont val="Arial"/>
        <b/>
        <color theme="1"/>
        <sz val="10.0"/>
      </rPr>
      <t>maximumCCsRetrieval-r13</t>
    </r>
    <r>
      <rPr>
        <rFont val="Arial"/>
        <color theme="1"/>
        <sz val="10.0"/>
      </rPr>
      <t xml:space="preserve"> is supported
This field defines whether the UE supports reception of requestedMaxCCsDL and requestedMaxCCsUL.</t>
    </r>
  </si>
  <si>
    <t>MTR-35245</t>
  </si>
  <si>
    <r>
      <rPr>
        <rFont val="Arial"/>
        <color theme="1"/>
        <sz val="10.0"/>
      </rPr>
      <t xml:space="preserve">[Rel. 13] </t>
    </r>
    <r>
      <rPr>
        <rFont val="Arial"/>
        <b/>
        <color theme="1"/>
        <sz val="10.0"/>
      </rPr>
      <t>reducedIntNonContComb-r13</t>
    </r>
    <r>
      <rPr>
        <rFont val="Arial"/>
        <color theme="1"/>
        <sz val="10.0"/>
      </rPr>
      <t xml:space="preserve"> is supported
This field defines whether the UE supports receiving requestReducedIntNonContComb. If the UE supports reducedIntNonContComb-r13, the UE only includes one intra-band non-contiguous CA band combination, and exclude the other intra-band non-contiguous CA band combinations for which the presence of uplink CA bandwidth class in the band combination entry is different.</t>
    </r>
  </si>
  <si>
    <t>MTR-35241</t>
  </si>
  <si>
    <r>
      <rPr>
        <rFont val="Arial"/>
        <color theme="1"/>
        <sz val="10.0"/>
      </rPr>
      <t xml:space="preserve">[Rel. 13] </t>
    </r>
    <r>
      <rPr>
        <rFont val="Arial"/>
        <b/>
        <color theme="1"/>
        <sz val="10.0"/>
      </rPr>
      <t>supportedBandCombinationReduced-r13</t>
    </r>
    <r>
      <rPr>
        <rFont val="Arial"/>
        <color theme="1"/>
        <sz val="10.0"/>
      </rPr>
      <t xml:space="preserve"> is supported
It is mandatory for UEs supporting carrier aggregation beyond 5 component carriers.
If a CA band combination beyond 5 component carriers is included in this field, the UE supports Activation/Deactivation MAC Control Element of four octets as specified in TS 36.321 [4]. If a CA band combination beyond 5 component carriers with uplink is included in this field, the UE supports Extended PHR MAC Control Element supporting 32 serving cells with configured uplink as specified in TS 36.321 [4].
If the fallback band combinations for a given band combination are omitted in this field (see TS 36.331 [5]), the UE shall for all the omitted fallback band combinations support the same UE radio access capabilities as for the parent band combination.</t>
    </r>
  </si>
  <si>
    <t>MTR-37266</t>
  </si>
  <si>
    <t>2022 V2</t>
  </si>
  <si>
    <r>
      <rPr>
        <rFont val="Arial"/>
        <color theme="1"/>
        <sz val="10.0"/>
      </rPr>
      <t xml:space="preserve">[Rel. 16] </t>
    </r>
    <r>
      <rPr>
        <rFont val="Arial"/>
        <b/>
        <color theme="1"/>
        <sz val="10.0"/>
      </rPr>
      <t>LTE RRC Segmentation in UL (of UE Capability Information)</t>
    </r>
    <r>
      <rPr>
        <rFont val="Arial"/>
        <color theme="1"/>
        <sz val="10.0"/>
      </rPr>
      <t xml:space="preserve">
Segmentation of </t>
    </r>
    <r>
      <rPr>
        <rFont val="Arial"/>
        <i/>
        <color theme="1"/>
        <sz val="10.0"/>
      </rPr>
      <t xml:space="preserve">UECapabilityInformation </t>
    </r>
    <r>
      <rPr>
        <rFont val="Arial"/>
        <color theme="1"/>
        <sz val="10.0"/>
      </rPr>
      <t xml:space="preserve">as specified in TS 36.331 is supported/used if necessary.
[RACS WI - activation controlled by the network via </t>
    </r>
    <r>
      <rPr>
        <rFont val="Arial"/>
        <i/>
        <color theme="1"/>
        <sz val="10.0"/>
      </rPr>
      <t>rrc-SegAllowed</t>
    </r>
    <r>
      <rPr>
        <rFont val="Arial"/>
        <b/>
        <i/>
        <color theme="1"/>
        <sz val="10.0"/>
      </rPr>
      <t xml:space="preserve"> </t>
    </r>
    <r>
      <rPr>
        <rFont val="Arial"/>
        <color theme="1"/>
        <sz val="10.0"/>
      </rPr>
      <t xml:space="preserve">in </t>
    </r>
    <r>
      <rPr>
        <rFont val="Arial"/>
        <i/>
        <color theme="1"/>
        <sz val="10.0"/>
      </rPr>
      <t>UECapabilityEnquiry</t>
    </r>
    <r>
      <rPr>
        <rFont val="Arial"/>
        <color theme="1"/>
        <sz val="10.0"/>
      </rPr>
      <t xml:space="preserve"> - used message: </t>
    </r>
    <r>
      <rPr>
        <rFont val="Arial"/>
        <i/>
        <color theme="1"/>
        <sz val="10.0"/>
      </rPr>
      <t>ULDedicatedMessageSegment</t>
    </r>
    <r>
      <rPr>
        <rFont val="Arial"/>
        <color theme="1"/>
        <sz val="10.0"/>
      </rPr>
      <t xml:space="preserve">]
</t>
    </r>
    <r>
      <rPr>
        <rFont val="Arial"/>
        <b/>
        <color theme="1"/>
        <sz val="10.0"/>
      </rPr>
      <t>This feature is especially important for EN-DC capable devices to limit the UE Capability message size!</t>
    </r>
    <r>
      <rPr>
        <rFont val="Arial"/>
        <color theme="1"/>
        <sz val="10.0"/>
      </rPr>
      <t xml:space="preserve">
</t>
    </r>
    <r>
      <rPr>
        <rFont val="Arial"/>
        <b/>
        <color theme="1"/>
        <sz val="10.0"/>
      </rPr>
      <t>If this Rel. 16 feature is supported, the LTE RRC Release version indication from the UE to the network shall be accordingly set to "16"</t>
    </r>
    <r>
      <rPr>
        <rFont val="Arial"/>
        <color theme="1"/>
        <sz val="10.0"/>
      </rPr>
      <t>!</t>
    </r>
  </si>
  <si>
    <t>The maximum supported size of a PDCP SDU is 8188 octets in LTE (3GPP spec 36.323) and the maximum supported size of a PDCP SDU is 9000 bytes in NR 5G(3GPP spec 38.323).
Lassen support up to 8172 bytes in LTE and up to 8188 bytes in NR in a single PDU segment. b/281813700</t>
  </si>
  <si>
    <t>MTR-38548</t>
  </si>
  <si>
    <r>
      <rPr>
        <rFont val="Arial"/>
        <b/>
        <color theme="1"/>
        <sz val="10.0"/>
      </rPr>
      <t>2.4.4</t>
    </r>
    <r>
      <rPr>
        <rFont val="Arial"/>
        <b val="0"/>
        <color theme="1"/>
        <sz val="10.0"/>
      </rPr>
      <t xml:space="preserve"> </t>
    </r>
    <r>
      <rPr>
        <rFont val="Arial"/>
        <b/>
        <color theme="1"/>
        <sz val="10.0"/>
      </rPr>
      <t>LTE Supporting Features</t>
    </r>
  </si>
  <si>
    <t>MTR-38561</t>
  </si>
  <si>
    <r>
      <rPr>
        <rFont val="Arial"/>
        <b/>
        <color theme="1"/>
        <sz val="10.0"/>
      </rPr>
      <t>2.4.4.1</t>
    </r>
    <r>
      <rPr>
        <rFont val="Arial"/>
        <b val="0"/>
        <color theme="1"/>
        <sz val="10.0"/>
      </rPr>
      <t xml:space="preserve"> </t>
    </r>
    <r>
      <rPr>
        <rFont val="Arial"/>
        <b/>
        <color theme="1"/>
        <sz val="10.0"/>
      </rPr>
      <t>LTE Self Organizing Network (SON)</t>
    </r>
  </si>
  <si>
    <t>MTR-29495</t>
  </si>
  <si>
    <r>
      <rPr>
        <rFont val="Arial"/>
        <b/>
        <color theme="1"/>
        <sz val="10.0"/>
      </rPr>
      <t>SON/ANR is supported at least for LTE intra-frequency and LTE inter-frequency</t>
    </r>
    <r>
      <rPr>
        <rFont val="Arial"/>
        <b val="0"/>
        <color theme="1"/>
        <sz val="10.0"/>
      </rPr>
      <t xml:space="preserve"> (see also FGI17, 18)
If not fully supported then please explain under "Comments Vendor"</t>
    </r>
  </si>
  <si>
    <t>MTR-38562</t>
  </si>
  <si>
    <r>
      <rPr>
        <rFont val="Arial"/>
        <b/>
        <color theme="1"/>
        <sz val="10.0"/>
      </rPr>
      <t>2.4.4.2</t>
    </r>
    <r>
      <rPr>
        <rFont val="Arial"/>
        <b val="0"/>
        <color theme="1"/>
        <sz val="10.0"/>
      </rPr>
      <t xml:space="preserve"> </t>
    </r>
    <r>
      <rPr>
        <rFont val="Arial"/>
        <b/>
        <color theme="1"/>
        <sz val="10.0"/>
      </rPr>
      <t>LTE Minimization of Drive Tests (MDT)</t>
    </r>
  </si>
  <si>
    <t>MTR-29374</t>
  </si>
  <si>
    <r>
      <rPr>
        <rFont val="Arial"/>
        <color theme="1"/>
        <sz val="10.0"/>
      </rPr>
      <t xml:space="preserve">[Rel. 9] </t>
    </r>
    <r>
      <rPr>
        <rFont val="Arial"/>
        <b/>
        <color theme="1"/>
        <sz val="10.0"/>
      </rPr>
      <t xml:space="preserve">rachReport </t>
    </r>
    <r>
      <rPr>
        <rFont val="Arial"/>
        <color theme="1"/>
        <sz val="10.0"/>
      </rPr>
      <t xml:space="preserve">(delivery of rachReport upon request from the network) is supported and enabled or disabled as defined in [TISD] (default=disabled).
</t>
    </r>
    <r>
      <rPr>
        <rFont val="Arial"/>
        <b/>
        <color theme="1"/>
        <sz val="10.0"/>
      </rPr>
      <t>Note</t>
    </r>
    <r>
      <rPr>
        <rFont val="Arial"/>
        <color theme="1"/>
        <sz val="10.0"/>
      </rPr>
      <t>: indicated with the Rel-9 IE "son-Parameters-r9/rach-Report-r9"
Respond</t>
    </r>
    <r>
      <rPr>
        <rFont val="Arial"/>
        <b/>
        <color theme="1"/>
        <sz val="10.0"/>
      </rPr>
      <t xml:space="preserve"> "Not Applicable" </t>
    </r>
    <r>
      <rPr>
        <rFont val="Arial"/>
        <color theme="1"/>
        <sz val="10.0"/>
      </rPr>
      <t>when feature not supported!</t>
    </r>
  </si>
  <si>
    <t>MTR-29961</t>
  </si>
  <si>
    <r>
      <rPr>
        <rFont val="Arial"/>
        <color theme="1"/>
        <sz val="10.0"/>
      </rPr>
      <t xml:space="preserve">[Rel. 9] </t>
    </r>
    <r>
      <rPr>
        <rFont val="Arial"/>
        <b/>
        <color theme="1"/>
        <sz val="10.0"/>
      </rPr>
      <t>Radio Link failure reporting</t>
    </r>
    <r>
      <rPr>
        <rFont val="Arial"/>
        <color theme="1"/>
        <sz val="10.0"/>
      </rPr>
      <t xml:space="preserve"> is supported.
This includes:
- Support of "UE information procedure" with "rlf-Report"
- indication of "rlf-InfoAvailable-r9" in
  [RRCConnectionReestablishmentComplete] as applicable
</t>
    </r>
    <r>
      <rPr>
        <rFont val="Arial"/>
        <b/>
        <color theme="1"/>
        <sz val="10.0"/>
      </rPr>
      <t xml:space="preserve">Note: </t>
    </r>
    <r>
      <rPr>
        <rFont val="Arial"/>
        <color theme="1"/>
        <sz val="10.0"/>
      </rPr>
      <t>This 3GPP optional Rel. 9 extension is 3GPP mandatory for Rel. 10 devices</t>
    </r>
  </si>
  <si>
    <t>MTR-29389</t>
  </si>
  <si>
    <r>
      <rPr>
        <rFont val="Arial"/>
        <color theme="1"/>
        <sz val="10.0"/>
      </rPr>
      <t xml:space="preserve">[Rel. 10] </t>
    </r>
    <r>
      <rPr>
        <rFont val="Arial"/>
        <b/>
        <color theme="1"/>
        <sz val="10.0"/>
      </rPr>
      <t>E-UTRA MDT: Logged Measurements</t>
    </r>
    <r>
      <rPr>
        <rFont val="Arial"/>
        <color theme="1"/>
        <sz val="10.0"/>
      </rPr>
      <t xml:space="preserve">
The UE supports logged measurements in RRC_IDLE upon request from the network and indicates this with the Rel-10 IE "</t>
    </r>
    <r>
      <rPr>
        <rFont val="Arial"/>
        <b/>
        <color theme="1"/>
        <sz val="10.0"/>
      </rPr>
      <t>ue-BasedNetwPerfMeasParameters-r10/loggedMeasurementsIdle</t>
    </r>
    <r>
      <rPr>
        <rFont val="Arial"/>
        <color theme="1"/>
        <sz val="10.0"/>
      </rPr>
      <t>".
Support includes:
Logging of location information as applicable.
Logging of serving cell information and neighbours for
- intra-frequency
- inter-frequency
- inter-RAT (UTRAN, GERAN)
When supported a minimum of 64kB memory is available for log storage in RRC_IDLE.</t>
    </r>
  </si>
  <si>
    <r>
      <rPr>
        <rFont val="Arial"/>
        <sz val="10.0"/>
      </rPr>
      <t xml:space="preserve">[2024/11/15]
Change to comply for S5300.
</t>
    </r>
    <r>
      <rPr>
        <rFont val="Arial"/>
        <color rgb="FF1155CC"/>
        <sz val="10.0"/>
        <u/>
      </rPr>
      <t>b/345469004</t>
    </r>
    <r>
      <rPr>
        <rFont val="Arial"/>
        <sz val="10.0"/>
      </rPr>
      <t xml:space="preserve"> enable for P24</t>
    </r>
  </si>
  <si>
    <t>MTR-29390</t>
  </si>
  <si>
    <r>
      <rPr>
        <rFont val="Arial"/>
        <color theme="1"/>
        <sz val="10.0"/>
      </rPr>
      <t xml:space="preserve">[Rel. 10] </t>
    </r>
    <r>
      <rPr>
        <rFont val="Arial"/>
        <b/>
        <color theme="1"/>
        <sz val="10.0"/>
      </rPr>
      <t>E-UTRA MDT+GNSS:</t>
    </r>
    <r>
      <rPr>
        <rFont val="Arial"/>
        <color theme="1"/>
        <sz val="10.0"/>
      </rPr>
      <t xml:space="preserve">
The UE is equipped with a standalone GNSS receiver that may be used to provide detailed location information in RRC measurement report and logged measurements in RRC_IDLE and indicates this with the Rel-10 IE "ue-BasedNetwPerfMeasParameters-r10/standaloneGNSS-Location"</t>
    </r>
  </si>
  <si>
    <t>MTR-38564</t>
  </si>
  <si>
    <r>
      <rPr>
        <rFont val="Arial"/>
        <b/>
        <color theme="1"/>
        <sz val="10.0"/>
      </rPr>
      <t>2.4.4.4</t>
    </r>
    <r>
      <rPr>
        <rFont val="Arial"/>
        <b val="0"/>
        <color theme="1"/>
        <sz val="10.0"/>
      </rPr>
      <t xml:space="preserve"> </t>
    </r>
    <r>
      <rPr>
        <rFont val="Arial"/>
        <b/>
        <color theme="1"/>
        <sz val="10.0"/>
      </rPr>
      <t>LTE Low and Ultra-Reliable Latency</t>
    </r>
  </si>
  <si>
    <t>MTR-38566</t>
  </si>
  <si>
    <r>
      <rPr>
        <rFont val="Arial"/>
        <b/>
        <color theme="1"/>
        <sz val="10.0"/>
      </rPr>
      <t>2.4.4.5</t>
    </r>
    <r>
      <rPr>
        <rFont val="Arial"/>
        <b val="0"/>
        <color theme="1"/>
        <sz val="10.0"/>
      </rPr>
      <t xml:space="preserve"> </t>
    </r>
    <r>
      <rPr>
        <rFont val="Arial"/>
        <b/>
        <color theme="1"/>
        <sz val="10.0"/>
      </rPr>
      <t>LTE Miscellaneous Supporting Features</t>
    </r>
  </si>
  <si>
    <t>5 NR (5G)</t>
  </si>
  <si>
    <t>MTR-33192</t>
  </si>
  <si>
    <r>
      <rPr>
        <rFont val="Arial"/>
        <b/>
        <color theme="1"/>
        <sz val="10.0"/>
      </rPr>
      <t>2.5</t>
    </r>
    <r>
      <rPr>
        <rFont val="Arial"/>
        <b val="0"/>
        <color theme="1"/>
        <sz val="10.0"/>
      </rPr>
      <t xml:space="preserve"> </t>
    </r>
    <r>
      <rPr>
        <rFont val="Arial"/>
        <b/>
        <color theme="1"/>
        <sz val="10.0"/>
      </rPr>
      <t>NR (5G)</t>
    </r>
  </si>
  <si>
    <t>MTR-33303</t>
  </si>
  <si>
    <r>
      <rPr>
        <rFont val="Arial"/>
        <b/>
        <color theme="1"/>
        <sz val="10.0"/>
      </rPr>
      <t>2.5.1</t>
    </r>
    <r>
      <rPr>
        <rFont val="Arial"/>
        <b val="0"/>
        <color theme="1"/>
        <sz val="10.0"/>
      </rPr>
      <t xml:space="preserve"> </t>
    </r>
    <r>
      <rPr>
        <rFont val="Arial"/>
        <b/>
        <color theme="1"/>
        <sz val="10.0"/>
      </rPr>
      <t>5G Deployment Modes</t>
    </r>
  </si>
  <si>
    <t>MTR-33578</t>
  </si>
  <si>
    <r>
      <rPr>
        <rFont val="Arial"/>
        <b/>
        <color theme="1"/>
        <sz val="10.0"/>
      </rPr>
      <t>5G Deployment Mode 3/3a/3x (EN-DC, NSA)</t>
    </r>
    <r>
      <rPr>
        <rFont val="Arial"/>
        <b val="0"/>
        <color theme="1"/>
        <sz val="10.0"/>
      </rPr>
      <t xml:space="preserve">
is supported.
This includes Split Bearer (LTE + NR) in downlink and uplink.</t>
    </r>
  </si>
  <si>
    <t>MTR-33581</t>
  </si>
  <si>
    <r>
      <rPr>
        <rFont val="Arial"/>
        <b/>
        <color theme="1"/>
        <sz val="10.0"/>
      </rPr>
      <t>5G Deployment Mode 2 (5G NR Standalone, SA)</t>
    </r>
    <r>
      <rPr>
        <rFont val="Arial"/>
        <b val="0"/>
        <color theme="1"/>
        <sz val="10.0"/>
      </rPr>
      <t xml:space="preserve">
is supported and enabled or disabled as defined in [TISD] (default = disabled).</t>
    </r>
  </si>
  <si>
    <t>5G SA was disabled by default</t>
  </si>
  <si>
    <t>MTR-33305</t>
  </si>
  <si>
    <r>
      <rPr>
        <rFont val="Arial"/>
        <b/>
        <color theme="1"/>
        <sz val="10.0"/>
      </rPr>
      <t>2.5.2</t>
    </r>
    <r>
      <rPr>
        <rFont val="Arial"/>
        <b val="0"/>
        <color theme="1"/>
        <sz val="10.0"/>
      </rPr>
      <t xml:space="preserve"> </t>
    </r>
    <r>
      <rPr>
        <rFont val="Arial"/>
        <b/>
        <color theme="1"/>
        <sz val="10.0"/>
      </rPr>
      <t>EN-DC combinations</t>
    </r>
  </si>
  <si>
    <t>MTR-34696</t>
  </si>
  <si>
    <r>
      <rPr>
        <rFont val="Arial"/>
        <b/>
        <color theme="1"/>
        <sz val="10.0"/>
      </rPr>
      <t>2.5.2.1</t>
    </r>
    <r>
      <rPr>
        <rFont val="Arial"/>
        <b val="0"/>
        <color theme="1"/>
        <sz val="10.0"/>
      </rPr>
      <t xml:space="preserve"> </t>
    </r>
    <r>
      <rPr>
        <rFont val="Arial"/>
        <b/>
        <color theme="1"/>
        <sz val="10.0"/>
      </rPr>
      <t>EN-DC Combination Overview</t>
    </r>
  </si>
  <si>
    <t>MTR-35658</t>
  </si>
  <si>
    <r>
      <rPr>
        <rFont val="Arial"/>
        <b/>
        <color theme="1"/>
        <sz val="10.0"/>
      </rPr>
      <t>Guidance on EN-DC Layer compliance:</t>
    </r>
    <r>
      <rPr>
        <rFont val="Arial"/>
        <b val="0"/>
        <color theme="1"/>
        <sz val="10.0"/>
      </rPr>
      <t xml:space="preserve">
Please use the following rules to state your compliance for the EN-DC layer requirements listed below:
</t>
    </r>
    <r>
      <rPr>
        <rFont val="Arial"/>
        <b/>
        <color theme="1"/>
        <sz val="10.0"/>
      </rPr>
      <t>Complies:</t>
    </r>
    <r>
      <rPr>
        <rFont val="Arial"/>
        <b val="0"/>
        <color theme="1"/>
        <sz val="10.0"/>
      </rPr>
      <t xml:space="preserve"> The requirement is fully supported as defined (incl. all listed band combination examples with exactly the stated MIMO modes)
</t>
    </r>
    <r>
      <rPr>
        <rFont val="Arial"/>
        <b/>
        <color theme="1"/>
        <sz val="10.0"/>
      </rPr>
      <t>Partially complies:</t>
    </r>
    <r>
      <rPr>
        <rFont val="Arial"/>
        <b val="0"/>
        <color theme="1"/>
        <sz val="10.0"/>
      </rPr>
      <t xml:space="preserve"> The requirement is supported in principle (e.g. the number of supported layers) but </t>
    </r>
    <r>
      <rPr>
        <rFont val="Arial"/>
        <b/>
        <color theme="1"/>
        <sz val="10.0"/>
      </rPr>
      <t xml:space="preserve">not </t>
    </r>
    <r>
      <rPr>
        <rFont val="Arial"/>
        <b val="0"/>
        <color theme="1"/>
        <sz val="10.0"/>
      </rPr>
      <t xml:space="preserve">with all stated band combinations or not for all listed MIMO combinations that are applicable for the targeted Concept Class/Data Rate Class of the offered product.
Please confirm the not supported combinations in the "Comments vendor" field.
</t>
    </r>
    <r>
      <rPr>
        <rFont val="Arial"/>
        <b/>
        <color theme="1"/>
        <sz val="10.0"/>
      </rPr>
      <t>Does not comply:</t>
    </r>
    <r>
      <rPr>
        <rFont val="Arial"/>
        <b val="0"/>
        <color theme="1"/>
        <sz val="10.0"/>
      </rPr>
      <t xml:space="preserve"> The requirement is not supported at all. Please explain the reason for the non-compliancy in the "Comments vendor" field.</t>
    </r>
  </si>
  <si>
    <t>MTR-34699</t>
  </si>
  <si>
    <r>
      <rPr>
        <rFont val="Arial"/>
        <b/>
        <color theme="1"/>
        <sz val="10.0"/>
      </rPr>
      <t>2.5.2.1.1</t>
    </r>
    <r>
      <rPr>
        <rFont val="Arial"/>
        <b val="0"/>
        <color theme="1"/>
        <sz val="10.0"/>
      </rPr>
      <t xml:space="preserve"> </t>
    </r>
    <r>
      <rPr>
        <rFont val="Arial"/>
        <b/>
        <color theme="1"/>
        <sz val="10.0"/>
      </rPr>
      <t>EN-DC with n1A Requirements</t>
    </r>
  </si>
  <si>
    <t>MTR-34677</t>
  </si>
  <si>
    <r>
      <rPr>
        <rFont val="Arial"/>
        <b/>
        <color theme="1"/>
        <sz val="10.0"/>
      </rPr>
      <t>EN-DC: n1A with B8 and B20 anchor bands</t>
    </r>
    <r>
      <rPr>
        <rFont val="Arial"/>
        <b val="0"/>
        <color theme="1"/>
        <sz val="10.0"/>
      </rPr>
      <t xml:space="preserve">
The following </t>
    </r>
    <r>
      <rPr>
        <rFont val="Arial"/>
        <b/>
        <color theme="1"/>
        <sz val="10.0"/>
      </rPr>
      <t>LTE low band anchor layers</t>
    </r>
    <r>
      <rPr>
        <rFont val="Arial"/>
        <b val="0"/>
        <color theme="1"/>
        <sz val="10.0"/>
      </rPr>
      <t xml:space="preserve"> for EN-DC combinations with </t>
    </r>
    <r>
      <rPr>
        <rFont val="Arial"/>
        <b/>
        <color theme="1"/>
        <sz val="10.0"/>
      </rPr>
      <t>n1A</t>
    </r>
    <r>
      <rPr>
        <rFont val="Arial"/>
        <b val="0"/>
        <color theme="1"/>
        <sz val="10.0"/>
      </rPr>
      <t xml:space="preserve"> are supported:
B8 (900 MHz), B20 (800 MHz)</t>
    </r>
  </si>
  <si>
    <t>DC_8A_n1A
DC_20A_n1A
DC_8A-20A_n1A</t>
  </si>
  <si>
    <t>MTR-34157</t>
  </si>
  <si>
    <r>
      <rPr>
        <rFont val="Arial"/>
        <b/>
        <color theme="1"/>
        <sz val="10.0"/>
      </rPr>
      <t>EN-DC: n1A with B3 anchor band</t>
    </r>
    <r>
      <rPr>
        <rFont val="Arial"/>
        <b val="0"/>
        <color theme="1"/>
        <sz val="10.0"/>
      </rPr>
      <t xml:space="preserve">
The following additional </t>
    </r>
    <r>
      <rPr>
        <rFont val="Arial"/>
        <b/>
        <color theme="1"/>
        <sz val="10.0"/>
      </rPr>
      <t>LTE anchor layer</t>
    </r>
    <r>
      <rPr>
        <rFont val="Arial"/>
        <b val="0"/>
        <color theme="1"/>
        <sz val="10.0"/>
      </rPr>
      <t xml:space="preserve"> for EN-DC combination with </t>
    </r>
    <r>
      <rPr>
        <rFont val="Arial"/>
        <b/>
        <color theme="1"/>
        <sz val="10.0"/>
      </rPr>
      <t>n1A</t>
    </r>
    <r>
      <rPr>
        <rFont val="Arial"/>
        <b val="0"/>
        <color theme="1"/>
        <sz val="10.0"/>
      </rPr>
      <t xml:space="preserve"> is supported:
B3 (1800 MHz)</t>
    </r>
  </si>
  <si>
    <t>MTR-39426</t>
  </si>
  <si>
    <r>
      <rPr>
        <rFont val="Arial"/>
        <b/>
        <color theme="1"/>
        <sz val="10.0"/>
      </rPr>
      <t>EN-DC</t>
    </r>
    <r>
      <rPr>
        <rFont val="Arial"/>
        <b val="0"/>
        <color theme="1"/>
        <sz val="10.0"/>
      </rPr>
      <t xml:space="preserve"> is supported with </t>
    </r>
    <r>
      <rPr>
        <rFont val="Arial"/>
        <b/>
        <color theme="1"/>
        <sz val="10.0"/>
      </rPr>
      <t>up to 30 MHz bandwidth on NR band n1</t>
    </r>
    <r>
      <rPr>
        <rFont val="Arial"/>
        <b val="0"/>
        <color theme="1"/>
        <sz val="10.0"/>
      </rPr>
      <t>.</t>
    </r>
  </si>
  <si>
    <t>ENDC with n1 support up to BW 20M</t>
  </si>
  <si>
    <t>MTR-34692</t>
  </si>
  <si>
    <r>
      <rPr>
        <rFont val="Arial"/>
        <b/>
        <color theme="1"/>
        <sz val="10.0"/>
      </rPr>
      <t>EN-DC is supported with up to 16 layers on the LTE side and n1A single NR FDD carrier</t>
    </r>
    <r>
      <rPr>
        <rFont val="Arial"/>
        <b val="0"/>
        <color theme="1"/>
        <sz val="10.0"/>
      </rPr>
      <t xml:space="preserve">
including up to 30 MHz/4x4 MIMO on NR for n1A on at least the following combinations:
</t>
    </r>
    <r>
      <rPr>
        <rFont val="Arial"/>
        <b val="0"/>
        <color theme="1"/>
        <sz val="10.0"/>
        <u/>
      </rPr>
      <t>For data rate class 2000/225:</t>
    </r>
    <r>
      <rPr>
        <rFont val="Arial"/>
        <b val="0"/>
        <color theme="1"/>
        <sz val="10.0"/>
      </rPr>
      <t xml:space="preserve">
DC_3C(4x4)-7C(4x4)_n1A(4x4)</t>
    </r>
  </si>
  <si>
    <t>Please refef to sheet EN-DC for more detailed information</t>
  </si>
  <si>
    <t>DC_3C(4x4)-7C(4x4)_n1A(4x4): yes</t>
  </si>
  <si>
    <t>MTR-35657</t>
  </si>
  <si>
    <r>
      <rPr>
        <rFont val="Arial"/>
        <b/>
        <color theme="1"/>
        <sz val="10.0"/>
      </rPr>
      <t>EN-DC is supported with up to 14 layers on the LTE side and n1A single NR FDD carrier</t>
    </r>
    <r>
      <rPr>
        <rFont val="Arial"/>
        <b val="0"/>
        <color theme="1"/>
        <sz val="10.0"/>
      </rPr>
      <t xml:space="preserve">
including up to 30 MHz/4x4 MIMO on NR for n1A on at least the following combinations:
</t>
    </r>
    <r>
      <rPr>
        <rFont val="Arial"/>
        <b val="0"/>
        <color theme="1"/>
        <sz val="10.0"/>
        <u/>
      </rPr>
      <t>For data rate class 2000/225:</t>
    </r>
    <r>
      <rPr>
        <rFont val="Arial"/>
        <b val="0"/>
        <color theme="1"/>
        <sz val="10.0"/>
      </rPr>
      <t xml:space="preserve">
DC_3C(4x4)-7A(4x4)-20A(2x2)_n1A(4x4)
DC_3C(4x4)-7A(4x4)-32A(2x2)_n1A(4x4)
DC_3A(4x4)-7C(4x4)-20A(2x2)_n1A(4x4)
DC_3C(4x4)-7C(2x2)-20A(2x2)_n1A(4x4)
DC_3C(2x2)-7C(4x4)-20A(2x2)_n1A(4x4)</t>
    </r>
  </si>
  <si>
    <t>DC_3C(4x4)-7A(4x4)-20A(2x2)_n1A(4x4): yes
DC_3A(4x4)-7C(4x4)-20A(2x2)_n1A(4x4): yes
DC_3C(4x4)-7C(2x2)-20A(2x2)_n1A(4x4): yes
DC_3C(2x2)-7C(4x4)-20A(2x2)_n1A(4x4): yes</t>
  </si>
  <si>
    <t>MTR-35656</t>
  </si>
  <si>
    <r>
      <rPr>
        <rFont val="Arial"/>
        <b/>
        <color theme="1"/>
        <sz val="10.0"/>
      </rPr>
      <t>EN-DC is supported with up to 12 layers on the LTE side and n1A single NR FDD carrier</t>
    </r>
    <r>
      <rPr>
        <rFont val="Arial"/>
        <b val="0"/>
        <color theme="1"/>
        <sz val="10.0"/>
      </rPr>
      <t xml:space="preserve">
including up to 30 MHz/4x4 MIMO on NR for n1A on at least the following combinations:
</t>
    </r>
    <r>
      <rPr>
        <rFont val="Arial"/>
        <b val="0"/>
        <color theme="1"/>
        <sz val="10.0"/>
        <u/>
      </rPr>
      <t>For data rate class 2000/225:</t>
    </r>
    <r>
      <rPr>
        <rFont val="Arial"/>
        <b val="0"/>
        <color theme="1"/>
        <sz val="10.0"/>
      </rPr>
      <t xml:space="preserve">
DC_3C(4x4)-7A(4x4)_n1A(4x4)
DC_3A(4x4)-7C(4x4)_n1A(4x4)
DC_3C(2x2)-7C(4x4)_n1A(4x4)
DC_3C(4x4)-7C(2x2)_n1A(4x4)
DC_3C(4x4)-7A(2x2)-8A(2x2)_n1A(4x4)
DC_3C(4x4)-7A(2x2)-20A(2x2)_n1A(4x4)
DC_3C(4x4)-7A(2x2)-32A(2x2)_n1A(4x4)
DC_3A(2x2)-7C(4x4)-20A(2x2)_n1A(4x4)</t>
    </r>
  </si>
  <si>
    <t>DC_3C(4x4)-7A(4x4)_n1A(4x4): yes
DC_3A(4x4)-7C(4x4)_n1A(4x4): yes
DC_3C(4x4)-7A(2x2)-20A(2x2)_n1A(4x4): yes
DC_3A(2x2)-7C(4x4)-20A(2x2)_n1A(4x4): yes
DC_3C(4x4)-7C(2x2)_n1A(4x4): yes
DC_3C(2x2)-7C(4x4)_n1A(4x4): yes</t>
  </si>
  <si>
    <t>MTR-35655</t>
  </si>
  <si>
    <r>
      <rPr>
        <rFont val="Arial"/>
        <b/>
        <color theme="1"/>
        <sz val="10.0"/>
      </rPr>
      <t>EN-DC is supported with up to 10 layers on the LTE side and n1A single NR FDD carrier</t>
    </r>
    <r>
      <rPr>
        <rFont val="Arial"/>
        <b val="0"/>
        <color theme="1"/>
        <sz val="10.0"/>
      </rPr>
      <t xml:space="preserve">
including up to 30 MHz/4x4 MIMO on NR for n1A on at least the following combinations:
</t>
    </r>
    <r>
      <rPr>
        <rFont val="Arial"/>
        <b val="0"/>
        <color theme="1"/>
        <sz val="10.0"/>
        <u/>
      </rPr>
      <t>For data rate classes &gt;1600/225:</t>
    </r>
    <r>
      <rPr>
        <rFont val="Arial"/>
        <b val="0"/>
        <color theme="1"/>
        <sz val="10.0"/>
      </rPr>
      <t xml:space="preserve">
DC_3C(4x4)-7A(2x2)_n1A(4x4)
DC_3A(2x2)-7C(4x4)_n1A(4x4)
DC_3C(4x4)-8A(2x2)_n1A(4x4)
DC_3C(4x4)-20A(2x2)_n1A(4x4)
DC_3C(4x4)-32A(2x2)_n1A(4x4)
DC_7C(4x4)-20A(2x2)_n1A(4x4)
</t>
    </r>
    <r>
      <rPr>
        <rFont val="Arial"/>
        <b val="0"/>
        <color theme="1"/>
        <sz val="10.0"/>
        <u/>
      </rPr>
      <t>For data rate class 2000/225:</t>
    </r>
    <r>
      <rPr>
        <rFont val="Arial"/>
        <b val="0"/>
        <color theme="1"/>
        <sz val="10.0"/>
      </rPr>
      <t xml:space="preserve">
DC_3C(2x2)-7A(4x4)-8A(2x2)_n1A(4x4)
DC_3C(2x2)-7A(4x4)-20A(2x2)_n1A(4x4)
DC_3C(2x2)-7A(4x4)-32A(2x2)_n1A(4x4)
DC_3A(4x4)-7C(2x2)-20A(2x2)_n1A(4x4)
DC_3C(2x2)-7C(2x2)-20A(2x2)_n1A(4x4)</t>
    </r>
  </si>
  <si>
    <t>DC_3C(4x4)-7A(2x2)_n1A(4x4): yes
DC_3A(2x2)-7C(4x4)_n1A(4x4): yes
DC_3C(4x4)-8A(2x2)_n1A(4x4): yes
DC_3C(4x4)-20A(2x2)_n1A(4x4): yes
DC_7C(4x4)-20A(2x2)_n1A(4x4): yes
DC_3A(4x4)-7A(2x2)-8A(2x2)_n1A(4x4): yes
DC_3A(4x4)-7A(2x2)-20A(2x2)_n1A(4x4): yes
DC_3C(2x2)-7C(2x2)-20A(2x2)_n1A(4x4): yes
DC_3C(2x2)-7A(4x4)-20A(2x2)_n1A(4x4): yes
DC_3A(4x4)-7C(2x2)-20A(2x2)_n1A(4x4): yes</t>
  </si>
  <si>
    <t>MTR-34694</t>
  </si>
  <si>
    <r>
      <rPr>
        <rFont val="Arial"/>
        <b/>
        <color theme="1"/>
        <sz val="10.0"/>
      </rPr>
      <t xml:space="preserve">EN-DC is supported with up to 8 layers on the LTE side and n1A single NR FDD </t>
    </r>
    <r>
      <rPr>
        <rFont val="Arial"/>
        <b val="0"/>
        <color theme="1"/>
        <sz val="10.0"/>
      </rPr>
      <t xml:space="preserve">
</t>
    </r>
    <r>
      <rPr>
        <rFont val="Arial"/>
        <b/>
        <color theme="1"/>
        <sz val="10.0"/>
      </rPr>
      <t>carrier</t>
    </r>
    <r>
      <rPr>
        <rFont val="Arial"/>
        <b val="0"/>
        <color theme="1"/>
        <sz val="10.0"/>
      </rPr>
      <t xml:space="preserve">
including up to 30 MHz/4x4 MIMO on NR for n1A on at least the following combinations:
</t>
    </r>
    <r>
      <rPr>
        <rFont val="Arial"/>
        <b val="0"/>
        <color theme="1"/>
        <sz val="10.0"/>
        <u/>
      </rPr>
      <t>For data rate classes &gt;1200/225:</t>
    </r>
    <r>
      <rPr>
        <rFont val="Arial"/>
        <b val="0"/>
        <color theme="1"/>
        <sz val="10.0"/>
      </rPr>
      <t xml:space="preserve">
DC_3C(4x4)_n1A(4x4)
DC_7C(4x4)_n1A(4x4)
DC_3A(4x4)-7A(4x4)_n1A(4x4)
</t>
    </r>
    <r>
      <rPr>
        <rFont val="Arial"/>
        <b val="0"/>
        <color theme="1"/>
        <sz val="10.0"/>
        <u/>
      </rPr>
      <t>For data rate classes &gt;1600/225:</t>
    </r>
    <r>
      <rPr>
        <rFont val="Arial"/>
        <b val="0"/>
        <color theme="1"/>
        <sz val="10.0"/>
      </rPr>
      <t xml:space="preserve">
DC_3C(2x2)-7A(4x4)_n1A(4x4)
DC_3A(4x4)-7C(2x2)_n1A(4x4)
</t>
    </r>
    <r>
      <rPr>
        <rFont val="Arial"/>
        <b val="0"/>
        <color theme="1"/>
        <sz val="10.0"/>
        <u/>
      </rPr>
      <t>For data rate class 2000/225:</t>
    </r>
    <r>
      <rPr>
        <rFont val="Arial"/>
        <b val="0"/>
        <color theme="1"/>
        <sz val="10.0"/>
      </rPr>
      <t xml:space="preserve">
DC_3C(2x2)-7C(2x2)_n1A(4x4)
DC_3A(4x4)-7A(2x2)-8A(2x2)_n1A(4x4)
DC_3A(4x4)-7A(2x2)-20A(2x2)_n1A(4x4)
DC_3A(2x2)-7A(4x4)-8A(2x2)_n1A(4x4)
DC_3A(2x2)-7A(4x4)-20A(2x2)_n1A(4x4)
DC_3C(2x2)-7A(2x2)-8A(2x2)_n1A(4x4)
DC_3C(2x2)-7A(2x2)-20A(2x2)_n1A(4x4)
DC_3C(2x2)-7A(2x2)-32A(2x2)_n1A(4x4)
DC_3A(2x2)-7C(2x2)-20A(2x2)_n1A(4x4)</t>
    </r>
  </si>
  <si>
    <t>DC_3C(4x4)_n1A(4x4): yes
DC_7C(4x4)_n1A(4x4): yes
DC_3A(4x4)-7A(4x4)_n1A(4x4): yes
DC_3C(2x2)-7A(4x4)_n1A(4x4): yes
DC_3A(4x4)-7C(2x2)_n1A(4x4): yes
DC_3C(2x2)-7CA(2x2)_n1A(4x4): yes
DC_3A(4x4)-7A(2x2)-20A(2x2)_n1A(4x4): yes
DC_3A(2x2)-7A(4x4)-20A(2x2)_n1A(4x4): yes
DC_3A(4x4)-7A(2x2)-8A(2x2)_n1A(4x4): yes
DC_3A(2x2)-7A(4x4)-8A(2x2)_n1A(4x4): yes
DC_3C(2x2)-7A(2x2)-20A(2x2)_n1A(4x4): yes
DC_3A(2x2)-7C(2x2)-20A(2x2)_n1A(4x4): yes</t>
  </si>
  <si>
    <t>MTR-35654</t>
  </si>
  <si>
    <r>
      <rPr>
        <rFont val="Arial"/>
        <b/>
        <color theme="1"/>
        <sz val="10.0"/>
      </rPr>
      <t>EN-DC is supported with up to 6 layers on the LTE side and n1A single NR FDD carrier</t>
    </r>
    <r>
      <rPr>
        <rFont val="Arial"/>
        <b val="0"/>
        <color theme="1"/>
        <sz val="10.0"/>
      </rPr>
      <t xml:space="preserve">
including up to 30 MHz/4x4 MIMO on NR for n1A on at least the following combinations:
</t>
    </r>
    <r>
      <rPr>
        <rFont val="Arial"/>
        <b val="0"/>
        <color theme="1"/>
        <sz val="10.0"/>
        <u/>
      </rPr>
      <t>For data rate classes &gt;1200/225:</t>
    </r>
    <r>
      <rPr>
        <rFont val="Arial"/>
        <b val="0"/>
        <color theme="1"/>
        <sz val="10.0"/>
      </rPr>
      <t xml:space="preserve">
DC_3A(4x4)-7A(2x2)_n1A(4x4)
DC_3A(4x4)-8A(2x2)_n1A(4x4)
DC_3A(4x4)-20A(2x2)_n1A(4x4)
DC_3A(4x4)-32A(2x2)_n1A(4x4)
DC_3A(2x2)-7A(4x4)_n1A(4x4)
</t>
    </r>
    <r>
      <rPr>
        <rFont val="Arial"/>
        <b val="0"/>
        <color theme="1"/>
        <sz val="10.0"/>
        <u/>
      </rPr>
      <t>For data rate classes &gt;1600/225:</t>
    </r>
    <r>
      <rPr>
        <rFont val="Arial"/>
        <b val="0"/>
        <color theme="1"/>
        <sz val="10.0"/>
      </rPr>
      <t xml:space="preserve">
DC_3C(2x2)-7A(2x2)_n1A(4x4)
DC_3C(2x2)-8A(2x2)_n1A(4x4)
DC_3C(2x2)-20A(2x2)_n1A(4x4)
DC_3C(2x2)-32A(2x2)_n1A(4x4)
DC_3A(2x2)-7C(2x2)_n1A(4x4)
DC_7C(2x2)-20A(2x2)_n1A(4x4)
</t>
    </r>
    <r>
      <rPr>
        <rFont val="Arial"/>
        <b val="0"/>
        <color theme="1"/>
        <sz val="10.0"/>
        <u/>
      </rPr>
      <t>For data rate class 2000/225:</t>
    </r>
    <r>
      <rPr>
        <rFont val="Arial"/>
        <b val="0"/>
        <color theme="1"/>
        <sz val="10.0"/>
      </rPr>
      <t xml:space="preserve">
DC_3A(2x2)-7A(2x2)-8A(2x2)_n1A(4x4)
DC_3A(2x2)-7A(2x2)-20A(2x2)_n1A(4x4)
DC_3A(2x2)-7A(2x2)-32A(2x2)_n1A(4x4)</t>
    </r>
  </si>
  <si>
    <t>DC_3A(4x4)-7A(2x2)_n1A(4x4): yes
DC_3A(4x4)-8A(2x2)_n1A(4x4): yes
DC_3A(4x4)-20A(2x2)_n1A(4x4): yes
DC_3A(2x2)-7A(4x4)_n1A(4x4): yes
DC_3C(2x2)-7A(2x2)_n1A(4x4): yes
DC_3C(2x2)-8A(2x2)_n1A(4x4): yes
DC_3C(2x2)-20A(2x2)_n1A(4x4): yes
DC_3A(2x2)-7C(2x2)_n1A(4x4): yes
DC_7C(2x2)-20A(2x2)_n1A(4x4): yes
DC_3A(2x2)-7A(2x2)-8A(2x2)_n1A(4x4): yes
DC_3A(2x2)-7A(2x2)-20A(2x2)_n1A(4x4): yes</t>
  </si>
  <si>
    <t>MTR-35247</t>
  </si>
  <si>
    <r>
      <rPr>
        <rFont val="Arial"/>
        <b/>
        <color theme="1"/>
        <sz val="10.0"/>
      </rPr>
      <t>EN-DC is supported with up to 4 layers on the LTE side and n1A single NR FDD carrier</t>
    </r>
    <r>
      <rPr>
        <rFont val="Arial"/>
        <b val="0"/>
        <color theme="1"/>
        <sz val="10.0"/>
      </rPr>
      <t xml:space="preserve">
including up to 30 MHz/4x4 MIMO on NR for n1A on at least the following combinations:
</t>
    </r>
    <r>
      <rPr>
        <rFont val="Arial"/>
        <b val="0"/>
        <color theme="1"/>
        <sz val="10.0"/>
        <u/>
      </rPr>
      <t>For data rate classes &gt;=1000/225:</t>
    </r>
    <r>
      <rPr>
        <rFont val="Arial"/>
        <b val="0"/>
        <color theme="1"/>
        <sz val="10.0"/>
      </rPr>
      <t xml:space="preserve">
DC_3A(4x4)_n1A(4x4)
DC_7A(4x4)_n1A(4x4)
DC_3C(2x2)_n1A(4x4)
DC_3A(2x2)-7A(2x2)_n1A(4x4)
DC_3A(2x2)-8A(2x2)_n1A(4x4)
DC_3A(2x2)-20A(2x2)_n1A(4x4)
DC_3A(2x2)-32A(2x2)_n1A(4x4)
DC_7C(2x2)_n1A(4x4)
DC_7A(2x2)-20A(2x2)_n1A(4x4)
DC_7A(2x2)-32A(2x2)_n1A(4x4)
DC_8A(2x2)-32A(2x2)_n1A(4x4)
DC_20A(2x2)-32A(2x2)_n1A(4x4)</t>
    </r>
  </si>
  <si>
    <t>DC_3A(4x4)_n1A(4x4): yes
DC_7A(4x4)_n1A(4x4): yes
DC_3A(2x2)-7A(2x2)_n1A(4x4): yes
DC_3A(2x2)-8A(2x2)_n1A(4x4): yes
DC_3A(2x2)-20A(2x2)_n1A(4x4): yes
DC_7A(2x2)-20A(2x2)_n1A(4x4): yes
DC_3C(2x2)_n1A(4x4): yes
DC_7C(2x2)_n1A(4x4): yes</t>
  </si>
  <si>
    <t>MTR-34685</t>
  </si>
  <si>
    <r>
      <rPr>
        <rFont val="Arial"/>
        <color theme="1"/>
        <sz val="10.0"/>
      </rPr>
      <t xml:space="preserve">Please indicate the </t>
    </r>
    <r>
      <rPr>
        <rFont val="Arial"/>
        <b/>
        <color theme="1"/>
        <sz val="10.0"/>
      </rPr>
      <t>highest number of layers on LTE side</t>
    </r>
    <r>
      <rPr>
        <rFont val="Arial"/>
        <color theme="1"/>
        <sz val="10.0"/>
      </rPr>
      <t xml:space="preserve"> supported in any </t>
    </r>
    <r>
      <rPr>
        <rFont val="Arial"/>
        <b/>
        <color theme="1"/>
        <sz val="10.0"/>
      </rPr>
      <t xml:space="preserve">n1A </t>
    </r>
    <r>
      <rPr>
        <rFont val="Arial"/>
        <color theme="1"/>
        <sz val="10.0"/>
      </rPr>
      <t xml:space="preserve">EN-DC combination with at least the European LTE bands 3, 7, (8 or 20) under "Comments Vendor" and state examples for the related supported ENDC combinations, e.g.
</t>
    </r>
    <r>
      <rPr>
        <rFont val="Arial"/>
        <b/>
        <color theme="1"/>
        <sz val="10.0"/>
      </rPr>
      <t>12 layers</t>
    </r>
    <r>
      <rPr>
        <rFont val="Arial"/>
        <color theme="1"/>
        <sz val="10.0"/>
      </rPr>
      <t xml:space="preserve"> with
 3C(4x4)-7A(4x4)_n1A(4x4)
 3C(4x4)-7A(2x2)-20A(2x2)_n1A(4x4)</t>
    </r>
  </si>
  <si>
    <t xml:space="preserve">16 layers with,
- DC_3C(4x4)-7C(4x4)-20A(2x2)_n1A(4x4)
- DC_3C(4x4)-7C(4x4)-20A(2x2)_n1A(4x4)
- DC_3C(4x4)-7C(4x4)-20A(2x2)_n1A(4x4)
</t>
  </si>
  <si>
    <t>xx layers with
[list the max. EN-DC combination(s) here]</t>
  </si>
  <si>
    <t>MTR-40112</t>
  </si>
  <si>
    <r>
      <rPr>
        <rFont val="Arial"/>
        <b/>
        <color theme="1"/>
        <sz val="10.0"/>
      </rPr>
      <t>EN-DC with n1A single NR FDD carrier is supported at least with following band combinations:</t>
    </r>
    <r>
      <rPr>
        <rFont val="Arial"/>
        <b val="0"/>
        <color theme="1"/>
        <sz val="10.0"/>
      </rPr>
      <t xml:space="preserve">
</t>
    </r>
    <r>
      <rPr>
        <rFont val="Arial"/>
        <b/>
        <color theme="1"/>
        <sz val="10.0"/>
      </rPr>
      <t>3+1 bands:</t>
    </r>
    <r>
      <rPr>
        <rFont val="Arial"/>
        <b val="0"/>
        <color theme="1"/>
        <sz val="10.0"/>
      </rPr>
      <t xml:space="preserve">
DC_3C-7A-8A_n1A
DC_3C-7C-20A_n1A 
DC_3C-7A-32A_n1A
DC_3C-20A-32A_n1A 
</t>
    </r>
    <r>
      <rPr>
        <rFont val="Arial"/>
        <b/>
        <color theme="1"/>
        <sz val="10.0"/>
      </rPr>
      <t>4+1 bands:</t>
    </r>
    <r>
      <rPr>
        <rFont val="Arial"/>
        <b val="0"/>
        <color theme="1"/>
        <sz val="10.0"/>
      </rPr>
      <t xml:space="preserve">
DC_3A-7A-8A-32A_n1A 
DC_3A-7A-20A-32A_n1A 
The above implies that any subset of the above combinations is supported.
MIMO support is expected to be in line with maximum layer support and the individual 4x4 MIMO support on each band.
if 4x4 MIMO cannot be supported on a specific combination of bands, even though the max. layer and individual 4x4 MIMO conditions are fulfilled, this must be indicated under "Comments Vendor".</t>
    </r>
  </si>
  <si>
    <t xml:space="preserve">[2024/11/5]
Maximum 3 inter-band EN-DC 
DC_3C-7A-8A_n1A -&gt; HW not support
DC_3C-7C-20A_n1A -&gt; HW not support 
DC_3C-7A-32A_n1A -&gt; Not TG4 POR ?
DC_3C-20A-32A_n1A -&gt; HW not support
</t>
  </si>
  <si>
    <t>MTR-34700</t>
  </si>
  <si>
    <r>
      <rPr>
        <rFont val="Arial"/>
        <b/>
        <color theme="1"/>
        <sz val="10.0"/>
      </rPr>
      <t>2.5.2.1.2</t>
    </r>
    <r>
      <rPr>
        <rFont val="Arial"/>
        <b val="0"/>
        <color theme="1"/>
        <sz val="10.0"/>
      </rPr>
      <t xml:space="preserve"> </t>
    </r>
    <r>
      <rPr>
        <rFont val="Arial"/>
        <b/>
        <color theme="1"/>
        <sz val="10.0"/>
      </rPr>
      <t>EN-DC with n3A Requirements</t>
    </r>
  </si>
  <si>
    <t>MTR-34158</t>
  </si>
  <si>
    <r>
      <rPr>
        <rFont val="Arial"/>
        <b/>
        <color theme="1"/>
        <sz val="10.0"/>
      </rPr>
      <t>n3A with B8 and B20 anchor bands</t>
    </r>
    <r>
      <rPr>
        <rFont val="Arial"/>
        <b val="0"/>
        <color theme="1"/>
        <sz val="10.0"/>
      </rPr>
      <t xml:space="preserve">
The following </t>
    </r>
    <r>
      <rPr>
        <rFont val="Arial"/>
        <b/>
        <color theme="1"/>
        <sz val="10.0"/>
      </rPr>
      <t>LTE low band anchor layers</t>
    </r>
    <r>
      <rPr>
        <rFont val="Arial"/>
        <b val="0"/>
        <color theme="1"/>
        <sz val="10.0"/>
      </rPr>
      <t xml:space="preserve"> for EN-DC combinations with </t>
    </r>
    <r>
      <rPr>
        <rFont val="Arial"/>
        <b/>
        <color theme="1"/>
        <sz val="10.0"/>
      </rPr>
      <t>n3A</t>
    </r>
    <r>
      <rPr>
        <rFont val="Arial"/>
        <b val="0"/>
        <color theme="1"/>
        <sz val="10.0"/>
      </rPr>
      <t xml:space="preserve"> are supported:
B8 (900 MHz), B20 (800 MHz)</t>
    </r>
  </si>
  <si>
    <t>DC_8A_n3A
DC_20A_n3A
DC_8A-20A_n3A</t>
  </si>
  <si>
    <t>MTR-34691</t>
  </si>
  <si>
    <r>
      <rPr>
        <rFont val="Arial"/>
        <b/>
        <color theme="1"/>
        <sz val="10.0"/>
      </rPr>
      <t>n3A with B1 anchor band</t>
    </r>
    <r>
      <rPr>
        <rFont val="Arial"/>
        <b val="0"/>
        <color theme="1"/>
        <sz val="10.0"/>
      </rPr>
      <t xml:space="preserve">
The following additional </t>
    </r>
    <r>
      <rPr>
        <rFont val="Arial"/>
        <b/>
        <color theme="1"/>
        <sz val="10.0"/>
      </rPr>
      <t>LTE anchor layer</t>
    </r>
    <r>
      <rPr>
        <rFont val="Arial"/>
        <b val="0"/>
        <color theme="1"/>
        <sz val="10.0"/>
      </rPr>
      <t xml:space="preserve"> for EN-DC combination with </t>
    </r>
    <r>
      <rPr>
        <rFont val="Arial"/>
        <b/>
        <color theme="1"/>
        <sz val="10.0"/>
      </rPr>
      <t>n3A</t>
    </r>
    <r>
      <rPr>
        <rFont val="Arial"/>
        <b val="0"/>
        <color theme="1"/>
        <sz val="10.0"/>
      </rPr>
      <t xml:space="preserve"> is supported:
B1 (2100 MHz)</t>
    </r>
  </si>
  <si>
    <t>MTR-39427</t>
  </si>
  <si>
    <r>
      <rPr>
        <rFont val="Arial"/>
        <b/>
        <color theme="1"/>
        <sz val="10.0"/>
      </rPr>
      <t>EN-DC</t>
    </r>
    <r>
      <rPr>
        <rFont val="Arial"/>
        <b val="0"/>
        <color theme="1"/>
        <sz val="10.0"/>
      </rPr>
      <t xml:space="preserve"> is supported with </t>
    </r>
    <r>
      <rPr>
        <rFont val="Arial"/>
        <b/>
        <color theme="1"/>
        <sz val="10.0"/>
      </rPr>
      <t>up to 30 MHz bandwidth on NR band n3</t>
    </r>
    <r>
      <rPr>
        <rFont val="Arial"/>
        <b val="0"/>
        <color theme="1"/>
        <sz val="10.0"/>
      </rPr>
      <t>.</t>
    </r>
  </si>
  <si>
    <t>MTR-34681</t>
  </si>
  <si>
    <r>
      <rPr>
        <rFont val="Arial"/>
        <b/>
        <color theme="1"/>
        <sz val="10.0"/>
      </rPr>
      <t>EN-DC is supported with up to 16 layers on the LTE side and n3A single NR FDD carrier</t>
    </r>
    <r>
      <rPr>
        <rFont val="Arial"/>
        <b val="0"/>
        <color theme="1"/>
        <sz val="10.0"/>
      </rPr>
      <t xml:space="preserve">
including up to 30 MHz/4x4 MIMO on NR for n3A.</t>
    </r>
  </si>
  <si>
    <t>MTR-35662</t>
  </si>
  <si>
    <r>
      <rPr>
        <rFont val="Arial"/>
        <b/>
        <color theme="1"/>
        <sz val="10.0"/>
      </rPr>
      <t>EN-DC is supported with up to 14 layers on the LTE side and n3A single NR FDD carrier</t>
    </r>
    <r>
      <rPr>
        <rFont val="Arial"/>
        <b val="0"/>
        <color theme="1"/>
        <sz val="10.0"/>
      </rPr>
      <t xml:space="preserve">
including up to 30 MHz/4x4 MIMO on NR for n3A on at least the following combinations:
</t>
    </r>
    <r>
      <rPr>
        <rFont val="Arial"/>
        <b val="0"/>
        <color theme="1"/>
        <sz val="10.0"/>
        <u/>
      </rPr>
      <t>For data rate class 2000/225:</t>
    </r>
    <r>
      <rPr>
        <rFont val="Arial"/>
        <b val="0"/>
        <color theme="1"/>
        <sz val="10.0"/>
      </rPr>
      <t xml:space="preserve">
DC_1A(4x4)-7C(4x4)-20A(2x2)_n3A(4x4)</t>
    </r>
  </si>
  <si>
    <t>DC_1A(4x4)-7C(4x4)-20A(2x2)_n3A(4x4): yes</t>
  </si>
  <si>
    <t>MTR-35664</t>
  </si>
  <si>
    <r>
      <rPr>
        <rFont val="Arial"/>
        <b/>
        <color theme="1"/>
        <sz val="10.0"/>
      </rPr>
      <t>EN-DC is supported with up to 12 layers on the LTE side and n3A single NR FDD carrier</t>
    </r>
    <r>
      <rPr>
        <rFont val="Arial"/>
        <b val="0"/>
        <color theme="1"/>
        <sz val="10.0"/>
      </rPr>
      <t xml:space="preserve">
including up to 30 MHz/4x4 MIMO on NR for n3A on at least the following combinations:
</t>
    </r>
    <r>
      <rPr>
        <rFont val="Arial"/>
        <b val="0"/>
        <color theme="1"/>
        <sz val="10.0"/>
        <u/>
      </rPr>
      <t>For data rate class 2000/225:</t>
    </r>
    <r>
      <rPr>
        <rFont val="Arial"/>
        <b val="0"/>
        <color theme="1"/>
        <sz val="10.0"/>
      </rPr>
      <t xml:space="preserve">
DC_1A(4x4)-7C(4x4)_n3A(4x4)
DC_1A(2x2)-7C(4x4)-20A(2x2)_n3A(4x4)
DC_1A(2x2)-7A(4x4)-20A(2x2)-32A(2x2)_n3A(4x4)</t>
    </r>
  </si>
  <si>
    <t>DC_1A(4x4)-7C(4x4)_n3A(4x4): yes
DC_1A(2x2)-7C(4x4)-20A(2x2)_n3A(4x4): yes</t>
  </si>
  <si>
    <t>MTR-35663</t>
  </si>
  <si>
    <r>
      <rPr>
        <rFont val="Arial"/>
        <b/>
        <color theme="1"/>
        <sz val="10.0"/>
      </rPr>
      <t>EN-DC is supported with up to 10 layers on the LTE side and n3A single NR FDD carrier</t>
    </r>
    <r>
      <rPr>
        <rFont val="Arial"/>
        <b val="0"/>
        <color theme="1"/>
        <sz val="10.0"/>
      </rPr>
      <t xml:space="preserve">
including up to 30 MHz/4x4 MIMO on NR for n3A on at least the following combinations:
</t>
    </r>
    <r>
      <rPr>
        <rFont val="Arial"/>
        <b val="0"/>
        <color theme="1"/>
        <sz val="10.0"/>
        <u/>
      </rPr>
      <t>For data rate classes &gt;1600/225:</t>
    </r>
    <r>
      <rPr>
        <rFont val="Arial"/>
        <b val="0"/>
        <color theme="1"/>
        <sz val="10.0"/>
      </rPr>
      <t xml:space="preserve">
DC_1A(2x2)-7C(4x4)_n3A(4x4)
DC_7C(4x4)-20A(2x2)_n3A(4x4)
DC_1A(4x4)-7A(4x4)-8A(2x2)_n3A(4x4)
DC_1A(4x4)-7A(4x4)-20A(2x2)_n3A(4x4)
DC_1A(4x4)-7A(4x4)-32A(2x2)_n3A(4x4)
</t>
    </r>
    <r>
      <rPr>
        <rFont val="Arial"/>
        <b val="0"/>
        <color theme="1"/>
        <sz val="10.0"/>
        <u/>
      </rPr>
      <t>For data rate class 2000/225:</t>
    </r>
    <r>
      <rPr>
        <rFont val="Arial"/>
        <b val="0"/>
        <color theme="1"/>
        <sz val="10.0"/>
      </rPr>
      <t xml:space="preserve">
DC_1A(4x4)-7C(2x2)-20A(2x2)_n3A(4x4)</t>
    </r>
  </si>
  <si>
    <t>DC_1A(2x2)-7C(4x4)_n3A(4x4): yes
DC_7C(4x4)-20A(2x2)_n3A(4x4): yes
DC_1A(4x4)-7A(4x4)-20A(2x2)_n3A(4x4): yes
DC_1A(4x4)-7C(2x2)-20A(2x2)_n3A(4x4): yes</t>
  </si>
  <si>
    <t>MTR-34682</t>
  </si>
  <si>
    <r>
      <rPr>
        <rFont val="Arial"/>
        <b/>
        <color theme="1"/>
        <sz val="10.0"/>
      </rPr>
      <t>EN-DC is supported with up to 8 layers on the LTE side and n3A single NR FDD carrier</t>
    </r>
    <r>
      <rPr>
        <rFont val="Arial"/>
        <b val="0"/>
        <color theme="1"/>
        <sz val="10.0"/>
      </rPr>
      <t xml:space="preserve">
including up to 30 MHz/4x4 MIMO on NR for n3A on at least the following combinations:
</t>
    </r>
    <r>
      <rPr>
        <rFont val="Arial"/>
        <b val="0"/>
        <color theme="1"/>
        <sz val="10.0"/>
        <u/>
      </rPr>
      <t>For data rate classes &gt;1200/225:</t>
    </r>
    <r>
      <rPr>
        <rFont val="Arial"/>
        <b val="0"/>
        <color theme="1"/>
        <sz val="10.0"/>
      </rPr>
      <t xml:space="preserve">
DC_1A(4x4)-7A(4x4)_n3A(4x4)
DC_7C(4x4)_n3A(4x4)
</t>
    </r>
    <r>
      <rPr>
        <rFont val="Arial"/>
        <b val="0"/>
        <color theme="1"/>
        <sz val="10.0"/>
        <u/>
      </rPr>
      <t>For data rate classes &gt;1600/225:</t>
    </r>
    <r>
      <rPr>
        <rFont val="Arial"/>
        <b val="0"/>
        <color theme="1"/>
        <sz val="10.0"/>
      </rPr>
      <t xml:space="preserve">
DC_1A(4x4)-7A(2x2)-8A(2x2)_n3A(4x4)
DC_1A(4x4)-7A(2x2)-20A(2x2)_n3A(4x4)
DC_1A(4x4)-7A(2x2)-32A(2x2)_n3A(4x4)
DC_1A(2x2)-7A(4x4)-8A(2x2)_n3A(4x4)
DC_1A(2x2)-7A(4x4)-20A(2x2)_n3A(4x4)
DC_1A(2x2)-7A(4x4)-32A(2x2)_n3A(4x4)
DC_1A(4x4)-8A(2x2)-32A(2x2)_n3A(4x4)
DC_1A(4x4)-20A(2x2)-32A(2x2)_n3A(4x4)
</t>
    </r>
    <r>
      <rPr>
        <rFont val="Arial"/>
        <b val="0"/>
        <color theme="1"/>
        <sz val="10.0"/>
        <u/>
      </rPr>
      <t>For data rate class 2000/225:</t>
    </r>
    <r>
      <rPr>
        <rFont val="Arial"/>
        <b val="0"/>
        <color theme="1"/>
        <sz val="10.0"/>
      </rPr>
      <t xml:space="preserve">
DC_1A(2x2)-7C(2x2)-20A(2x2)_n3A(4x4)</t>
    </r>
  </si>
  <si>
    <t>DC_1A(4x4)-7A(4x4)_n3A(4x4): yes
DC_7C(4x4)_n3A(4x4): yes
DC_1A(4x4)-7A(2x2)-20A(2x2)_n3A(4x4): yes
DC_1A(2x2)-7A(4x4)-20A(2x2)_n3A(4x4): yes
DC_1A(2x2)-7C(2x2)-20A(2x2)_n3A(4x4): yes</t>
  </si>
  <si>
    <t>MTR-35665</t>
  </si>
  <si>
    <r>
      <rPr>
        <rFont val="Arial"/>
        <b/>
        <color theme="1"/>
        <sz val="10.0"/>
      </rPr>
      <t>EN-DC is supported with up to 6 layers on the LTE side and n3A single NR FDD carrier</t>
    </r>
    <r>
      <rPr>
        <rFont val="Arial"/>
        <b val="0"/>
        <color theme="1"/>
        <sz val="10.0"/>
      </rPr>
      <t xml:space="preserve">
including up to 30 MHz/4x4 MIMO on NR for n3A on at least the following combinations:
</t>
    </r>
    <r>
      <rPr>
        <rFont val="Arial"/>
        <b val="0"/>
        <color theme="1"/>
        <sz val="10.0"/>
        <u/>
      </rPr>
      <t>For data rate classes &gt;1200/225:</t>
    </r>
    <r>
      <rPr>
        <rFont val="Arial"/>
        <b val="0"/>
        <color theme="1"/>
        <sz val="10.0"/>
      </rPr>
      <t xml:space="preserve">
DC_1A(4x4)-7A(2x2)_n3A(4x4)
DC_1A(2x2)-7A(4x4)_n3A(4x4)
DC_1A(4x4)-8A(2x2)_n3A(4x4)
DC_1A(4x4)-20A(2x2)_n3A(4x4)
DC_1A(4x4)-32A(2x2)_n3A(4x4)
DC_7A(4x4)-8A(2x2)_n3A(4x4)
DC_7A(4x4)-20A(2x2)_n3A(4x4)
DC_7A(4x4)-32A(2x2)_n3A(4x4)
</t>
    </r>
    <r>
      <rPr>
        <rFont val="Arial"/>
        <b val="0"/>
        <color theme="1"/>
        <sz val="10.0"/>
        <u/>
      </rPr>
      <t>For data rate classes &gt;1600/225:</t>
    </r>
    <r>
      <rPr>
        <rFont val="Arial"/>
        <b val="0"/>
        <color theme="1"/>
        <sz val="10.0"/>
      </rPr>
      <t xml:space="preserve">
DC_1A(2x2)-7C(2x2)_n3A(4x4)
DC_7C(2x2)-20A(2x2)_n3A(4x4)
DC_1A(2x2)-7A(2x2)-8A(2x2)_n3A(4x4)
DC_1A(2x2)-7A(2x2)-20A(2x2)_n3A(4x4)
DC_1A(2x2)-7A(2x2)-32A(2x2)_n3A(4x4)</t>
    </r>
  </si>
  <si>
    <t>DC_1A(4x4)-7A(2x2)_n3A(4x4): yes
DC_1A(2x2)-7A(4x4)_n3A(4x4): yes
DC_1A(4x4)-20A(2x2)_n3A(4x4): yes
DC_7A(4x4)-20A(2x2)_n3A(4x4): yes
DC_1A(2x2)-7C(2x2)_n3A(4x4): yes
DC_7C(2x2)-20A(2x2)_n3A(4x4): yes
DC_1A(2x2)-7A(2x2)-20A(2x2)_n3A(4x4): yes</t>
  </si>
  <si>
    <t>MTR-35248</t>
  </si>
  <si>
    <r>
      <rPr>
        <rFont val="Arial"/>
        <b/>
        <color theme="1"/>
        <sz val="10.0"/>
      </rPr>
      <t>EN-DC is supported with up to 4 layers on the LTE side and n3A single NR FDD carrier</t>
    </r>
    <r>
      <rPr>
        <rFont val="Arial"/>
        <b val="0"/>
        <color theme="1"/>
        <sz val="10.0"/>
      </rPr>
      <t xml:space="preserve">
including up to 30 MHz/4x4 MIMO on NR for n3A on at least the following combinations:
</t>
    </r>
    <r>
      <rPr>
        <rFont val="Arial"/>
        <b val="0"/>
        <color theme="1"/>
        <sz val="10.0"/>
        <u/>
      </rPr>
      <t>For data rate classes &gt;=1000/225:</t>
    </r>
    <r>
      <rPr>
        <rFont val="Arial"/>
        <b val="0"/>
        <color theme="1"/>
        <sz val="10.0"/>
      </rPr>
      <t xml:space="preserve">
DC_1A(4x4)_n3A(4x4)
DC_7A(4x4)_n3A(4x4)
DC_1A(2x2)-7A(2x2)_n3A(4x4)
DC_1A(2x2)-8A(2x2)_n3A(4x4)
DC_1A(2x2)-20A(2x2)_n3A(4x4)
DC_1A(2x2)-32A(2x2)_n3A(4x4)
DC_7C(2x2)_n3A(4x4)
DC_7A(2x2)-8A(2x2)_n3A(4x4)
DC_7A(2x2)-20A(2x2)_n3A(4x4)
DC_7A(2x2)-32A(2x2)_n3A(4x4)
DC_8A(2x2)-32A(2x2)_n3A(4x4)
DC_20A(2x2)-32A(2x2)_n3A(4x4)</t>
    </r>
  </si>
  <si>
    <t>DC_1A(4x4)_n3A(4x4): yes
DC_7A(4x4)_n3A(4x4): yes
DC_7C(2x2)_n3A(4x4): yes
DC_1A(2x2)-7A(2x2)_n3A(4x4): yes
DC_1A(2x2)-20A(2x2)_n3A(4x4): yes
DC_7A(2x2)-20A(2x2)_n3A(4x4): yes
DC_7C(2x2)_n3A(4x4): yes</t>
  </si>
  <si>
    <t>MTR-34686</t>
  </si>
  <si>
    <r>
      <rPr>
        <rFont val="Arial"/>
        <color theme="1"/>
        <sz val="10.0"/>
      </rPr>
      <t xml:space="preserve">Please indicate the </t>
    </r>
    <r>
      <rPr>
        <rFont val="Arial"/>
        <b/>
        <color theme="1"/>
        <sz val="10.0"/>
      </rPr>
      <t>highest number of layers on LTE side</t>
    </r>
    <r>
      <rPr>
        <rFont val="Arial"/>
        <color theme="1"/>
        <sz val="10.0"/>
      </rPr>
      <t xml:space="preserve"> supported in any </t>
    </r>
    <r>
      <rPr>
        <rFont val="Arial"/>
        <b/>
        <color theme="1"/>
        <sz val="10.0"/>
      </rPr>
      <t xml:space="preserve">n3A </t>
    </r>
    <r>
      <rPr>
        <rFont val="Arial"/>
        <color theme="1"/>
        <sz val="10.0"/>
      </rPr>
      <t xml:space="preserve">EN-DC combination with at least the European LTE bands 3, 7, (8 or 20) under "Comments Vendor" and state examples for the related supported ENDC combinations, e.g.
</t>
    </r>
    <r>
      <rPr>
        <rFont val="Arial"/>
        <b/>
        <color theme="1"/>
        <sz val="10.0"/>
      </rPr>
      <t>10 layers</t>
    </r>
    <r>
      <rPr>
        <rFont val="Arial"/>
        <color theme="1"/>
        <sz val="10.0"/>
      </rPr>
      <t xml:space="preserve"> with
DC_1A(4x4)-7A(4x4)-20A(2x2)_n3A(4x4)
DC_7C(4x4)-20A(2x2)_n3A(4x4)</t>
    </r>
  </si>
  <si>
    <t>DTAG config has 8-layers for LTE with n3A
DC_1A-3A-n3A(4-4-4)</t>
  </si>
  <si>
    <t>MTR-40113</t>
  </si>
  <si>
    <r>
      <rPr>
        <rFont val="Arial"/>
        <b/>
        <color theme="1"/>
        <sz val="10.0"/>
      </rPr>
      <t>EN-DC with n3A single NR FDD carrier is supported at least with following band combinations:</t>
    </r>
    <r>
      <rPr>
        <rFont val="Arial"/>
        <b val="0"/>
        <color theme="1"/>
        <sz val="10.0"/>
      </rPr>
      <t xml:space="preserve">
</t>
    </r>
    <r>
      <rPr>
        <rFont val="Arial"/>
        <b/>
        <color theme="1"/>
        <sz val="10.0"/>
      </rPr>
      <t>3+1 bands:</t>
    </r>
    <r>
      <rPr>
        <rFont val="Arial"/>
        <b val="0"/>
        <color theme="1"/>
        <sz val="10.0"/>
      </rPr>
      <t xml:space="preserve">
DC_1A-7A-8A_n3A
DC_1A-7C-20A_n3A 
</t>
    </r>
    <r>
      <rPr>
        <rFont val="Arial"/>
        <b/>
        <color theme="1"/>
        <sz val="10.0"/>
      </rPr>
      <t>4+1 bands:</t>
    </r>
    <r>
      <rPr>
        <rFont val="Arial"/>
        <b val="0"/>
        <color theme="1"/>
        <sz val="10.0"/>
      </rPr>
      <t xml:space="preserve">
DC_1A-7A-20A-32A_n3A 
The above implies that any subset of the above combinations is supported.
MIMO support is expected to be in line with maximum layer support and the individual 4x4 MIMO support on each band.
if 4x4 MIMO cannot be supported on a specific combination of bands, even though the max. layer and individual 4x4 MIMO conditions are fulfilled, this must be indicated under "Comments Vendor".</t>
    </r>
  </si>
  <si>
    <t>[2024/11/5]
Maximum 3 inter-band EN-DC
DC_1A-7A-8A_n3A --&gt; HW not support
DC_1A-7C-20A_n3A -&gt; HW not support</t>
  </si>
  <si>
    <t>MTR-35181</t>
  </si>
  <si>
    <r>
      <rPr>
        <rFont val="Arial"/>
        <b/>
        <color theme="1"/>
        <sz val="10.0"/>
      </rPr>
      <t>2.5.2.1.3</t>
    </r>
    <r>
      <rPr>
        <rFont val="Arial"/>
        <b val="0"/>
        <color theme="1"/>
        <sz val="10.0"/>
      </rPr>
      <t xml:space="preserve"> </t>
    </r>
    <r>
      <rPr>
        <rFont val="Arial"/>
        <b/>
        <color theme="1"/>
        <sz val="10.0"/>
      </rPr>
      <t>EN-DC with n7A Requirements</t>
    </r>
  </si>
  <si>
    <t>MTR-35182</t>
  </si>
  <si>
    <r>
      <rPr>
        <rFont val="Arial"/>
        <b/>
        <color theme="1"/>
        <sz val="10.0"/>
      </rPr>
      <t>n7A with B8 and B20 anchor bands</t>
    </r>
    <r>
      <rPr>
        <rFont val="Arial"/>
        <b val="0"/>
        <color theme="1"/>
        <sz val="10.0"/>
      </rPr>
      <t xml:space="preserve">
The following </t>
    </r>
    <r>
      <rPr>
        <rFont val="Arial"/>
        <b/>
        <color theme="1"/>
        <sz val="10.0"/>
      </rPr>
      <t>LTE low band anchor layers</t>
    </r>
    <r>
      <rPr>
        <rFont val="Arial"/>
        <b val="0"/>
        <color theme="1"/>
        <sz val="10.0"/>
      </rPr>
      <t xml:space="preserve"> for EN-DC combinations with </t>
    </r>
    <r>
      <rPr>
        <rFont val="Arial"/>
        <b/>
        <color theme="1"/>
        <sz val="10.0"/>
      </rPr>
      <t>n7A</t>
    </r>
    <r>
      <rPr>
        <rFont val="Arial"/>
        <b val="0"/>
        <color theme="1"/>
        <sz val="10.0"/>
      </rPr>
      <t xml:space="preserve"> are supported:
B8 (900 MHz), B20 (800 MHz)
</t>
    </r>
    <r>
      <rPr>
        <rFont val="Arial"/>
        <b/>
        <color theme="1"/>
        <sz val="10.0"/>
      </rPr>
      <t>Note:</t>
    </r>
    <r>
      <rPr>
        <rFont val="Arial"/>
        <b val="0"/>
        <color theme="1"/>
        <sz val="10.0"/>
      </rPr>
      <t xml:space="preserve"> Primary focus is on B20 anchor</t>
    </r>
  </si>
  <si>
    <t>DC_8A_n7A
DC_20A_n7A</t>
  </si>
  <si>
    <t>MTR-35183</t>
  </si>
  <si>
    <r>
      <rPr>
        <rFont val="Arial"/>
        <b/>
        <color theme="1"/>
        <sz val="10.0"/>
      </rPr>
      <t>n7A with B1 and B3 anchor bands</t>
    </r>
    <r>
      <rPr>
        <rFont val="Arial"/>
        <b val="0"/>
        <color theme="1"/>
        <sz val="10.0"/>
      </rPr>
      <t xml:space="preserve">
The following additional </t>
    </r>
    <r>
      <rPr>
        <rFont val="Arial"/>
        <b/>
        <color theme="1"/>
        <sz val="10.0"/>
      </rPr>
      <t>LTE anchor layer</t>
    </r>
    <r>
      <rPr>
        <rFont val="Arial"/>
        <b val="0"/>
        <color theme="1"/>
        <sz val="10.0"/>
      </rPr>
      <t xml:space="preserve"> for EN-DC combinations with </t>
    </r>
    <r>
      <rPr>
        <rFont val="Arial"/>
        <b/>
        <color theme="1"/>
        <sz val="10.0"/>
      </rPr>
      <t>n7A</t>
    </r>
    <r>
      <rPr>
        <rFont val="Arial"/>
        <b val="0"/>
        <color theme="1"/>
        <sz val="10.0"/>
      </rPr>
      <t xml:space="preserve"> are supported:
B1 (2100 MHz), B3 (1800 MHz)</t>
    </r>
  </si>
  <si>
    <t>MTR-39428</t>
  </si>
  <si>
    <r>
      <rPr>
        <rFont val="Arial"/>
        <b/>
        <color theme="1"/>
        <sz val="10.0"/>
      </rPr>
      <t>EN-DC</t>
    </r>
    <r>
      <rPr>
        <rFont val="Arial"/>
        <b val="0"/>
        <color theme="1"/>
        <sz val="10.0"/>
      </rPr>
      <t xml:space="preserve"> is supported with </t>
    </r>
    <r>
      <rPr>
        <rFont val="Arial"/>
        <b/>
        <color theme="1"/>
        <sz val="10.0"/>
      </rPr>
      <t>up to 40 MHz bandwidth on NR band n7</t>
    </r>
    <r>
      <rPr>
        <rFont val="Arial"/>
        <b val="0"/>
        <color theme="1"/>
        <sz val="10.0"/>
      </rPr>
      <t>.</t>
    </r>
  </si>
  <si>
    <t>MTR-35184</t>
  </si>
  <si>
    <r>
      <rPr>
        <rFont val="Arial"/>
        <b/>
        <color theme="1"/>
        <sz val="10.0"/>
      </rPr>
      <t>EN-DC is supported with up to 16 layers on the LTE side and n7A single NR FDD carrier</t>
    </r>
    <r>
      <rPr>
        <rFont val="Arial"/>
        <b val="0"/>
        <color theme="1"/>
        <sz val="10.0"/>
      </rPr>
      <t xml:space="preserve">
including up to 40 MHz/4x4 MIMO on NR for n7A on e. g. following combinations:
DC_1A(4x4)-1A(4x4)-3A(4x4)-3A(4x4)_n7A(4x4)</t>
    </r>
  </si>
  <si>
    <t>Please refer to sheet EN-DC for more detailed information</t>
  </si>
  <si>
    <t>DC_1A(4x4)-1A(4x4)-3A(4x4)-3A(4x4)_n7A(4x4): yes</t>
  </si>
  <si>
    <t>MTR-35666</t>
  </si>
  <si>
    <r>
      <rPr>
        <rFont val="Arial"/>
        <b/>
        <color theme="1"/>
        <sz val="10.0"/>
      </rPr>
      <t>EN-DC is supported with up to 14 layers on the LTE side and n7A single NR FDD carrier</t>
    </r>
    <r>
      <rPr>
        <rFont val="Arial"/>
        <b val="0"/>
        <color theme="1"/>
        <sz val="10.0"/>
      </rPr>
      <t xml:space="preserve">
including up to 40 MHz/4x4 MIMO on NR for n7A on at least the following combinations:
DC_1A(4x4)-3C(4x4)-28A(2x2)_n7A(4x4)</t>
    </r>
  </si>
  <si>
    <t>DC_1A(4x4)-3C(4x4)-28A(2x2)_n7A(4x4): yes</t>
  </si>
  <si>
    <t>MTR-35667</t>
  </si>
  <si>
    <r>
      <rPr>
        <rFont val="Arial"/>
        <b/>
        <color theme="1"/>
        <sz val="10.0"/>
      </rPr>
      <t>EN-DC is supported with up to 12 layers on the LTE side and n7A single NR FDD carrier</t>
    </r>
    <r>
      <rPr>
        <rFont val="Arial"/>
        <b val="0"/>
        <color theme="1"/>
        <sz val="10.0"/>
      </rPr>
      <t xml:space="preserve">
including up to 40 MHz/4x4 MIMO on NR for n7A on at least the following combinations:
</t>
    </r>
    <r>
      <rPr>
        <rFont val="Arial"/>
        <b val="0"/>
        <color theme="1"/>
        <sz val="10.0"/>
        <u/>
      </rPr>
      <t>For data rate class 2000/225:</t>
    </r>
    <r>
      <rPr>
        <rFont val="Arial"/>
        <b val="0"/>
        <color theme="1"/>
        <sz val="10.0"/>
      </rPr>
      <t xml:space="preserve">
DC_1A(4x4)-3C(4x4)_n7A(4x4)</t>
    </r>
  </si>
  <si>
    <t>DC_1A(4x4)-3C(4x4)_n7A(4x4): yes</t>
  </si>
  <si>
    <t>MTR-35668</t>
  </si>
  <si>
    <r>
      <rPr>
        <rFont val="Arial"/>
        <b/>
        <color theme="1"/>
        <sz val="10.0"/>
      </rPr>
      <t>EN-DC is supported with up to 10 layers on the LTE side and n7A single NR FDD carrier</t>
    </r>
    <r>
      <rPr>
        <rFont val="Arial"/>
        <b val="0"/>
        <color theme="1"/>
        <sz val="10.0"/>
      </rPr>
      <t xml:space="preserve">
including up to 40 MHz/4x4 MIMO on NR for n7A on at least the following combinations:
</t>
    </r>
    <r>
      <rPr>
        <rFont val="Arial"/>
        <b val="0"/>
        <color theme="1"/>
        <sz val="10.0"/>
        <u/>
      </rPr>
      <t>For data rate classes &gt;1600/225:</t>
    </r>
    <r>
      <rPr>
        <rFont val="Arial"/>
        <b val="0"/>
        <color theme="1"/>
        <sz val="10.0"/>
      </rPr>
      <t xml:space="preserve">
DC_1A(2x2)-3C(4x4)_n7A(4x4)
DC_3C(4x4)-20A(2x2)_n7A(4x4)</t>
    </r>
  </si>
  <si>
    <t>DC_1A(2x2)-3C(4x4)_n7A(4x4): yes
DC_3C(4x4)-20A(2x2)_n7A(4x4): yes</t>
  </si>
  <si>
    <t>MTR-35185</t>
  </si>
  <si>
    <r>
      <rPr>
        <rFont val="Arial"/>
        <b/>
        <color theme="1"/>
        <sz val="10.0"/>
      </rPr>
      <t>EN-DC is supported with up to 8 layers on the LTE side and n7A single NR FDD carrier</t>
    </r>
    <r>
      <rPr>
        <rFont val="Arial"/>
        <b val="0"/>
        <color theme="1"/>
        <sz val="10.0"/>
      </rPr>
      <t xml:space="preserve">
including up to 40 MHz/4x4 MIMO on NR for n7A on at least the following combinations:
</t>
    </r>
    <r>
      <rPr>
        <rFont val="Arial"/>
        <b val="0"/>
        <color theme="1"/>
        <sz val="10.0"/>
        <u/>
      </rPr>
      <t>For data rate classes &gt;1200/225:</t>
    </r>
    <r>
      <rPr>
        <rFont val="Arial"/>
        <b val="0"/>
        <color theme="1"/>
        <sz val="10.0"/>
      </rPr>
      <t xml:space="preserve">
DC_1A(4x4)-3A(4x4)_n7A(4x4)
DC_3C(4x4)_n7A(4x4)
</t>
    </r>
    <r>
      <rPr>
        <rFont val="Arial"/>
        <b val="0"/>
        <color theme="1"/>
        <sz val="10.0"/>
        <u/>
      </rPr>
      <t>For data rate classes &gt;1600/225:</t>
    </r>
    <r>
      <rPr>
        <rFont val="Arial"/>
        <b val="0"/>
        <color theme="1"/>
        <sz val="10.0"/>
      </rPr>
      <t xml:space="preserve">
DC_1A(4x4)-3C(2x2)_n7A(4x4)</t>
    </r>
  </si>
  <si>
    <t>DC_1A(4x4)-3A(4x4)_n7A(4x4); yes
DC_3C(4x4)_n7A(4x4): yes
DC_1A(4x4)-3C(2x2)_n7A(4x4): yes</t>
  </si>
  <si>
    <t>MTR-35669</t>
  </si>
  <si>
    <r>
      <rPr>
        <rFont val="Arial"/>
        <b/>
        <color theme="1"/>
        <sz val="10.0"/>
      </rPr>
      <t>EN-DC is supported with up to 6 layers on the LTE side and n7A single NR FDD carrier</t>
    </r>
    <r>
      <rPr>
        <rFont val="Arial"/>
        <b val="0"/>
        <color theme="1"/>
        <sz val="10.0"/>
      </rPr>
      <t xml:space="preserve">
including up to 40 MHz/4x4 MIMO on NR for n7A on at least the following combinations:
</t>
    </r>
    <r>
      <rPr>
        <rFont val="Arial"/>
        <b val="0"/>
        <color theme="1"/>
        <sz val="10.0"/>
        <u/>
      </rPr>
      <t>For data rate classes &gt;1200/225:</t>
    </r>
    <r>
      <rPr>
        <rFont val="Arial"/>
        <b val="0"/>
        <color theme="1"/>
        <sz val="10.0"/>
      </rPr>
      <t xml:space="preserve">
DC_1A(2x2)-3A(4x4)_n7A(4x4)
DC_1A(4x4)-3A(2x2)_n7A(4x4)
DC_3A(4x4)-8A(2x2)_n7A(4x4)
DC_3A(4x4)-20A(2x2)_n7A(4x4)
</t>
    </r>
    <r>
      <rPr>
        <rFont val="Arial"/>
        <b val="0"/>
        <color theme="1"/>
        <sz val="10.0"/>
        <u/>
      </rPr>
      <t>For data rate classes &gt;1600/225:</t>
    </r>
    <r>
      <rPr>
        <rFont val="Arial"/>
        <b val="0"/>
        <color theme="1"/>
        <sz val="10.0"/>
      </rPr>
      <t xml:space="preserve">
DC_1A(2x2)-3C(2x2)_n7A(4x4)
DC_1A(2x2)-3A(2x2)-20A(2x2)_n7A(4x4)
DC_3C(2x2)-20A(2x2)_n7A(4x4)</t>
    </r>
  </si>
  <si>
    <t>DC_1A(2x2)-3A(4x4)_n7A(4x4): yes
DC_1A(4x4)-3A(2x2)_n7A(4x4): yes
DC_3A(4x4)-20A(2x2)_n7A(4x4): yes
DC_1A(2x2)-3C(2x2)_n7A(4x4): yes
DC_3C(2x2)-20A(2x2)_n7A(4x4): yes</t>
  </si>
  <si>
    <t>MTR-35249</t>
  </si>
  <si>
    <r>
      <rPr>
        <rFont val="Arial"/>
        <b/>
        <color theme="1"/>
        <sz val="10.0"/>
      </rPr>
      <t>EN-DC is supported with up to 4 layers on the LTE side and n7A single NR FDD carrier</t>
    </r>
    <r>
      <rPr>
        <rFont val="Arial"/>
        <b val="0"/>
        <color theme="1"/>
        <sz val="10.0"/>
      </rPr>
      <t xml:space="preserve">
including up to 40 MHz/4x4 MIMO on NR for n7A on at least the following combinations:
</t>
    </r>
    <r>
      <rPr>
        <rFont val="Arial"/>
        <b val="0"/>
        <color theme="1"/>
        <sz val="10.0"/>
        <u/>
      </rPr>
      <t>For data rate classes &gt;=1000/225:</t>
    </r>
    <r>
      <rPr>
        <rFont val="Arial"/>
        <b val="0"/>
        <color theme="1"/>
        <sz val="10.0"/>
      </rPr>
      <t xml:space="preserve">
DC_1A(4x4)_n7A(4x4)
DC_3A(4x4)_n7A(4x4)
DC_1A(2x2)-3A(2x2)_n7A(4x4)
DC_3C(2x2)_n7A(4x4)
DC_3A(2x2)-8A(2x2)_n7A(4x4)
DC_3A(2x2)-20A(2x2)_n7A(4x4)</t>
    </r>
  </si>
  <si>
    <t>DC_1A(4x4)_n7A(4x4): yes
DC_3A(4x4)_n7A(4x4): yes
DC_1A(2x2)-3A(2x2)_n7A(4x4): yes
DC_3A(2x2)-20A(2x2)_n7A(4x4): yes
DC_3C(2x2)_n7A(4x4): yes</t>
  </si>
  <si>
    <t>MTR-35186</t>
  </si>
  <si>
    <r>
      <rPr>
        <rFont val="Arial"/>
        <color theme="1"/>
        <sz val="10.0"/>
      </rPr>
      <t xml:space="preserve">Please indicate the </t>
    </r>
    <r>
      <rPr>
        <rFont val="Arial"/>
        <b/>
        <color theme="1"/>
        <sz val="10.0"/>
      </rPr>
      <t>highest number of layers on LTE side</t>
    </r>
    <r>
      <rPr>
        <rFont val="Arial"/>
        <color theme="1"/>
        <sz val="10.0"/>
      </rPr>
      <t xml:space="preserve"> supported in any </t>
    </r>
    <r>
      <rPr>
        <rFont val="Arial"/>
        <b/>
        <color theme="1"/>
        <sz val="10.0"/>
      </rPr>
      <t xml:space="preserve">n7A </t>
    </r>
    <r>
      <rPr>
        <rFont val="Arial"/>
        <color theme="1"/>
        <sz val="10.0"/>
      </rPr>
      <t xml:space="preserve">EN-DC combination with at least the European LTE bands 1, 3, (8 or 20) under "Comments Vendor" and state examples for the related supported ENDC combinations, e.g.
</t>
    </r>
    <r>
      <rPr>
        <rFont val="Arial"/>
        <b/>
        <color theme="1"/>
        <sz val="10.0"/>
      </rPr>
      <t>12 layers</t>
    </r>
    <r>
      <rPr>
        <rFont val="Arial"/>
        <color theme="1"/>
        <sz val="10.0"/>
      </rPr>
      <t xml:space="preserve"> with
DC_1A(4x4)-3C(4x4)_n7A(4x4)</t>
    </r>
  </si>
  <si>
    <t xml:space="preserve">DTAG config has 8-layers for LTE with n7A
DC_3A-3A-n7A-n78A(4-4-2-4) </t>
  </si>
  <si>
    <t>MTR-40114</t>
  </si>
  <si>
    <r>
      <rPr>
        <rFont val="Arial"/>
        <b/>
        <color theme="1"/>
        <sz val="10.0"/>
      </rPr>
      <t>EN-DC with n7A single NR FDD carrier is supported at least with following band combinations:</t>
    </r>
    <r>
      <rPr>
        <rFont val="Arial"/>
        <b val="0"/>
        <color theme="1"/>
        <sz val="10.0"/>
      </rPr>
      <t xml:space="preserve">
</t>
    </r>
    <r>
      <rPr>
        <rFont val="Arial"/>
        <b/>
        <color theme="1"/>
        <sz val="10.0"/>
      </rPr>
      <t>2+1 bands:</t>
    </r>
    <r>
      <rPr>
        <rFont val="Arial"/>
        <b val="0"/>
        <color theme="1"/>
        <sz val="10.0"/>
      </rPr>
      <t xml:space="preserve">
DC_1A-3C_n7A
DC_3C-20A_n7A
</t>
    </r>
    <r>
      <rPr>
        <rFont val="Arial"/>
        <b/>
        <color theme="1"/>
        <sz val="10.0"/>
      </rPr>
      <t>3+1 bands:</t>
    </r>
    <r>
      <rPr>
        <rFont val="Arial"/>
        <b val="0"/>
        <color theme="1"/>
        <sz val="10.0"/>
      </rPr>
      <t xml:space="preserve">
DC_3A-20A-32A_n7A
The above implies that any subset of the above combinations is supported.
MIMO support is expected to be in line with maximum layer support and the individual 4x4 MIMO support on each band.
if 4x4 MIMO cannot be supported on a specific combination of bands, even though the max. layer and individual 4x4 MIMO conditions are fulfilled, this must be indicated under "Comments Vendor".</t>
    </r>
  </si>
  <si>
    <t>[2024/11/5]
DC_1A-3C_n7A -&gt; HW not support 
DC_3C-20A_n7A -&gt; Support
DC_3A-20A-32A_n7A -&gt; HW not support</t>
  </si>
  <si>
    <t>MTR-39158</t>
  </si>
  <si>
    <r>
      <rPr>
        <rFont val="Arial"/>
        <b/>
        <color theme="1"/>
        <sz val="10.0"/>
      </rPr>
      <t>2.5.2.1.4</t>
    </r>
    <r>
      <rPr>
        <rFont val="Arial"/>
        <b val="0"/>
        <color theme="1"/>
        <sz val="10.0"/>
      </rPr>
      <t xml:space="preserve"> </t>
    </r>
    <r>
      <rPr>
        <rFont val="Arial"/>
        <b/>
        <color theme="1"/>
        <sz val="10.0"/>
      </rPr>
      <t>EN-DC with n8A Requirements</t>
    </r>
  </si>
  <si>
    <t>MTR-39159</t>
  </si>
  <si>
    <r>
      <rPr>
        <rFont val="Arial"/>
        <b/>
        <color theme="1"/>
        <sz val="10.0"/>
      </rPr>
      <t>n8A with B1, B3 and B7 anchor bands</t>
    </r>
    <r>
      <rPr>
        <rFont val="Arial"/>
        <b val="0"/>
        <color theme="1"/>
        <sz val="10.0"/>
      </rPr>
      <t xml:space="preserve">
The following</t>
    </r>
    <r>
      <rPr>
        <rFont val="Arial"/>
        <b/>
        <color theme="1"/>
        <sz val="10.0"/>
      </rPr>
      <t xml:space="preserve"> LTE anchor layers</t>
    </r>
    <r>
      <rPr>
        <rFont val="Arial"/>
        <b val="0"/>
        <color theme="1"/>
        <sz val="10.0"/>
      </rPr>
      <t xml:space="preserve"> for EN-DC combinations with </t>
    </r>
    <r>
      <rPr>
        <rFont val="Arial"/>
        <b/>
        <color theme="1"/>
        <sz val="10.0"/>
      </rPr>
      <t>n8A</t>
    </r>
    <r>
      <rPr>
        <rFont val="Arial"/>
        <b val="0"/>
        <color theme="1"/>
        <sz val="10.0"/>
      </rPr>
      <t xml:space="preserve"> are supported:
B1 (2100 MHz), B3 (1800 MHz) and B7 (2600 MHz)</t>
    </r>
  </si>
  <si>
    <t>MTR-39160</t>
  </si>
  <si>
    <r>
      <rPr>
        <rFont val="Arial"/>
        <b/>
        <color theme="1"/>
        <sz val="10.0"/>
      </rPr>
      <t>n8A with B20 anchor band</t>
    </r>
    <r>
      <rPr>
        <rFont val="Arial"/>
        <b val="0"/>
        <color theme="1"/>
        <sz val="10.0"/>
      </rPr>
      <t xml:space="preserve">
The following</t>
    </r>
    <r>
      <rPr>
        <rFont val="Arial"/>
        <b/>
        <color theme="1"/>
        <sz val="10.0"/>
      </rPr>
      <t xml:space="preserve"> LTE anchor layer</t>
    </r>
    <r>
      <rPr>
        <rFont val="Arial"/>
        <b val="0"/>
        <color theme="1"/>
        <sz val="10.0"/>
      </rPr>
      <t xml:space="preserve"> for EN-DC combinations with </t>
    </r>
    <r>
      <rPr>
        <rFont val="Arial"/>
        <b/>
        <color theme="1"/>
        <sz val="10.0"/>
      </rPr>
      <t>n8A</t>
    </r>
    <r>
      <rPr>
        <rFont val="Arial"/>
        <b val="0"/>
        <color theme="1"/>
        <sz val="10.0"/>
      </rPr>
      <t xml:space="preserve"> is supported:
B20 (800 MHz)</t>
    </r>
  </si>
  <si>
    <t>MTR-39164</t>
  </si>
  <si>
    <r>
      <rPr>
        <rFont val="Arial"/>
        <color theme="1"/>
        <sz val="10.0"/>
      </rPr>
      <t xml:space="preserve">Please indicate the </t>
    </r>
    <r>
      <rPr>
        <rFont val="Arial"/>
        <b/>
        <color theme="1"/>
        <sz val="10.0"/>
      </rPr>
      <t>highest number of layers on LTE</t>
    </r>
    <r>
      <rPr>
        <rFont val="Arial"/>
        <color theme="1"/>
        <sz val="10.0"/>
      </rPr>
      <t xml:space="preserve"> side supported in any </t>
    </r>
    <r>
      <rPr>
        <rFont val="Arial"/>
        <b/>
        <color theme="1"/>
        <sz val="10.0"/>
      </rPr>
      <t>n8A</t>
    </r>
    <r>
      <rPr>
        <rFont val="Arial"/>
        <color theme="1"/>
        <sz val="10.0"/>
      </rPr>
      <t xml:space="preserve"> EN-DC combination with at least the European LTE bands 1, 3, (7) under "Comments Vendor" and state examples for the related supported ENDC combinations, e.g.
</t>
    </r>
    <r>
      <rPr>
        <rFont val="Arial"/>
        <b/>
        <color theme="1"/>
        <sz val="10.0"/>
      </rPr>
      <t>10 layers</t>
    </r>
    <r>
      <rPr>
        <rFont val="Arial"/>
        <color theme="1"/>
        <sz val="10.0"/>
      </rPr>
      <t xml:space="preserve"> with
DC_1A(4x4)-3A(4x4)-20A(2x2)_n8A(2x2)</t>
    </r>
  </si>
  <si>
    <t>DTAG config has 8-layers for LTE with n8A 
DC_1A-38A-n8A(4-4-2)</t>
  </si>
  <si>
    <t>x layers
&lt;Example band combination&gt;</t>
  </si>
  <si>
    <t>MTR-39161</t>
  </si>
  <si>
    <r>
      <rPr>
        <rFont val="Arial"/>
        <b/>
        <color theme="1"/>
        <sz val="10.0"/>
      </rPr>
      <t>2.5.2.1.5</t>
    </r>
    <r>
      <rPr>
        <rFont val="Arial"/>
        <b val="0"/>
        <color theme="1"/>
        <sz val="10.0"/>
      </rPr>
      <t xml:space="preserve"> </t>
    </r>
    <r>
      <rPr>
        <rFont val="Arial"/>
        <b/>
        <color theme="1"/>
        <sz val="10.0"/>
      </rPr>
      <t>EN-DC with n20A Requirements</t>
    </r>
  </si>
  <si>
    <t>MTR-39162</t>
  </si>
  <si>
    <r>
      <rPr>
        <rFont val="Arial"/>
        <b/>
        <color theme="1"/>
        <sz val="10.0"/>
      </rPr>
      <t>n20A with B1, B3 and B7 anchor bands</t>
    </r>
    <r>
      <rPr>
        <rFont val="Arial"/>
        <b val="0"/>
        <color theme="1"/>
        <sz val="10.0"/>
      </rPr>
      <t xml:space="preserve">
The following</t>
    </r>
    <r>
      <rPr>
        <rFont val="Arial"/>
        <b/>
        <color theme="1"/>
        <sz val="10.0"/>
      </rPr>
      <t xml:space="preserve"> LTE anchor layers</t>
    </r>
    <r>
      <rPr>
        <rFont val="Arial"/>
        <b val="0"/>
        <color theme="1"/>
        <sz val="10.0"/>
      </rPr>
      <t xml:space="preserve"> for EN-DC combinations with </t>
    </r>
    <r>
      <rPr>
        <rFont val="Arial"/>
        <b/>
        <color theme="1"/>
        <sz val="10.0"/>
      </rPr>
      <t>n20A</t>
    </r>
    <r>
      <rPr>
        <rFont val="Arial"/>
        <b val="0"/>
        <color theme="1"/>
        <sz val="10.0"/>
      </rPr>
      <t xml:space="preserve"> are supported:
B1 (2100 MHz), B3 (1800 MHz) and B7 (2600 MHz)</t>
    </r>
  </si>
  <si>
    <t>MTR-39163</t>
  </si>
  <si>
    <r>
      <rPr>
        <rFont val="Arial"/>
        <b/>
        <color theme="1"/>
        <sz val="10.0"/>
      </rPr>
      <t>n20A with B8 anchor band</t>
    </r>
    <r>
      <rPr>
        <rFont val="Arial"/>
        <b val="0"/>
        <color theme="1"/>
        <sz val="10.0"/>
      </rPr>
      <t xml:space="preserve">
The following</t>
    </r>
    <r>
      <rPr>
        <rFont val="Arial"/>
        <b/>
        <color theme="1"/>
        <sz val="10.0"/>
      </rPr>
      <t xml:space="preserve"> LTE anchor layer</t>
    </r>
    <r>
      <rPr>
        <rFont val="Arial"/>
        <b val="0"/>
        <color theme="1"/>
        <sz val="10.0"/>
      </rPr>
      <t xml:space="preserve"> for EN-DC combinations with </t>
    </r>
    <r>
      <rPr>
        <rFont val="Arial"/>
        <b/>
        <color theme="1"/>
        <sz val="10.0"/>
      </rPr>
      <t>n20A</t>
    </r>
    <r>
      <rPr>
        <rFont val="Arial"/>
        <b val="0"/>
        <color theme="1"/>
        <sz val="10.0"/>
      </rPr>
      <t xml:space="preserve"> is supported:
B8 (900 MHz)</t>
    </r>
  </si>
  <si>
    <t>MTR-39165</t>
  </si>
  <si>
    <r>
      <rPr>
        <rFont val="Arial"/>
        <color theme="1"/>
        <sz val="10.0"/>
      </rPr>
      <t xml:space="preserve">Please indicate the </t>
    </r>
    <r>
      <rPr>
        <rFont val="Arial"/>
        <b/>
        <color theme="1"/>
        <sz val="10.0"/>
      </rPr>
      <t>highest number of layers on LTE</t>
    </r>
    <r>
      <rPr>
        <rFont val="Arial"/>
        <color theme="1"/>
        <sz val="10.0"/>
      </rPr>
      <t xml:space="preserve"> side supported in any </t>
    </r>
    <r>
      <rPr>
        <rFont val="Arial"/>
        <b/>
        <color theme="1"/>
        <sz val="10.0"/>
      </rPr>
      <t>n20A</t>
    </r>
    <r>
      <rPr>
        <rFont val="Arial"/>
        <color theme="1"/>
        <sz val="10.0"/>
      </rPr>
      <t xml:space="preserve"> EN-DC combination with at least the European LTE bands 1, 3, (7) under "Comments Vendor" and state examples for the related supported ENDC combinations, e.g.
</t>
    </r>
    <r>
      <rPr>
        <rFont val="Arial"/>
        <b/>
        <color theme="1"/>
        <sz val="10.0"/>
      </rPr>
      <t>8 layers</t>
    </r>
    <r>
      <rPr>
        <rFont val="Arial"/>
        <color theme="1"/>
        <sz val="10.0"/>
      </rPr>
      <t xml:space="preserve"> with
DC_3C(4x4)_n20A(2x2)</t>
    </r>
  </si>
  <si>
    <t>DTAG config has 8-layers for LTE with n20A 
DC_3C-n20A(44-2)</t>
  </si>
  <si>
    <t>MTR-34698</t>
  </si>
  <si>
    <r>
      <rPr>
        <rFont val="Arial"/>
        <b/>
        <color theme="1"/>
        <sz val="10.0"/>
      </rPr>
      <t>2.5.2.1.6</t>
    </r>
    <r>
      <rPr>
        <rFont val="Arial"/>
        <b val="0"/>
        <color theme="1"/>
        <sz val="10.0"/>
      </rPr>
      <t xml:space="preserve"> </t>
    </r>
    <r>
      <rPr>
        <rFont val="Arial"/>
        <b/>
        <color theme="1"/>
        <sz val="10.0"/>
      </rPr>
      <t>EN-DC with n28A Requirements</t>
    </r>
  </si>
  <si>
    <t>MTR-33784</t>
  </si>
  <si>
    <r>
      <rPr>
        <rFont val="Arial"/>
        <b/>
        <color theme="1"/>
        <sz val="10.0"/>
      </rPr>
      <t>n28A with B1, B3 and B7 anchor bands</t>
    </r>
    <r>
      <rPr>
        <rFont val="Arial"/>
        <b val="0"/>
        <color theme="1"/>
        <sz val="10.0"/>
      </rPr>
      <t xml:space="preserve">
The following</t>
    </r>
    <r>
      <rPr>
        <rFont val="Arial"/>
        <b/>
        <color theme="1"/>
        <sz val="10.0"/>
      </rPr>
      <t xml:space="preserve"> LTE anchor layers</t>
    </r>
    <r>
      <rPr>
        <rFont val="Arial"/>
        <b val="0"/>
        <color theme="1"/>
        <sz val="10.0"/>
      </rPr>
      <t xml:space="preserve"> for EN-DC combinations with </t>
    </r>
    <r>
      <rPr>
        <rFont val="Arial"/>
        <b/>
        <color theme="1"/>
        <sz val="10.0"/>
      </rPr>
      <t>n28A</t>
    </r>
    <r>
      <rPr>
        <rFont val="Arial"/>
        <b val="0"/>
        <color theme="1"/>
        <sz val="10.0"/>
      </rPr>
      <t xml:space="preserve"> are supported:
B1 (2100 MHz), B3 (1800 MHz) and B7 (2600 MHz)</t>
    </r>
  </si>
  <si>
    <t>DC_3A_n28A</t>
  </si>
  <si>
    <t>MTR-39807</t>
  </si>
  <si>
    <r>
      <rPr>
        <rFont val="Arial"/>
        <b/>
        <color theme="1"/>
        <sz val="10.0"/>
      </rPr>
      <t>n28A with B8 anchor band</t>
    </r>
    <r>
      <rPr>
        <rFont val="Arial"/>
        <b val="0"/>
        <color theme="1"/>
        <sz val="10.0"/>
      </rPr>
      <t xml:space="preserve">
The following</t>
    </r>
    <r>
      <rPr>
        <rFont val="Arial"/>
        <b/>
        <color theme="1"/>
        <sz val="10.0"/>
      </rPr>
      <t xml:space="preserve"> LTE anchor layer</t>
    </r>
    <r>
      <rPr>
        <rFont val="Arial"/>
        <b val="0"/>
        <color theme="1"/>
        <sz val="10.0"/>
      </rPr>
      <t xml:space="preserve"> for EN-DC combinations with </t>
    </r>
    <r>
      <rPr>
        <rFont val="Arial"/>
        <b/>
        <color theme="1"/>
        <sz val="10.0"/>
      </rPr>
      <t>n28A</t>
    </r>
    <r>
      <rPr>
        <rFont val="Arial"/>
        <b val="0"/>
        <color theme="1"/>
        <sz val="10.0"/>
      </rPr>
      <t xml:space="preserve"> is supported:
B8 (900 MHz)</t>
    </r>
  </si>
  <si>
    <t>MTR-33785</t>
  </si>
  <si>
    <r>
      <rPr>
        <rFont val="Arial"/>
        <b/>
        <color theme="1"/>
        <sz val="10.0"/>
      </rPr>
      <t>n28A with B20 anchor band</t>
    </r>
    <r>
      <rPr>
        <rFont val="Arial"/>
        <b val="0"/>
        <color theme="1"/>
        <sz val="10.0"/>
      </rPr>
      <t xml:space="preserve">
The following</t>
    </r>
    <r>
      <rPr>
        <rFont val="Arial"/>
        <b/>
        <color theme="1"/>
        <sz val="10.0"/>
      </rPr>
      <t xml:space="preserve"> LTE anchor layer</t>
    </r>
    <r>
      <rPr>
        <rFont val="Arial"/>
        <b val="0"/>
        <color theme="1"/>
        <sz val="10.0"/>
      </rPr>
      <t xml:space="preserve"> for EN-DC combinations with </t>
    </r>
    <r>
      <rPr>
        <rFont val="Arial"/>
        <b/>
        <color theme="1"/>
        <sz val="10.0"/>
      </rPr>
      <t>n28A</t>
    </r>
    <r>
      <rPr>
        <rFont val="Arial"/>
        <b val="0"/>
        <color theme="1"/>
        <sz val="10.0"/>
      </rPr>
      <t xml:space="preserve"> is supported:
B20 (800 MHz)
</t>
    </r>
    <r>
      <rPr>
        <rFont val="Arial"/>
        <b/>
        <color theme="1"/>
        <sz val="10.0"/>
      </rPr>
      <t xml:space="preserve">Important: </t>
    </r>
    <r>
      <rPr>
        <rFont val="Arial"/>
        <b val="0"/>
        <color theme="1"/>
        <sz val="10.0"/>
      </rPr>
      <t>at least DL 2x2 MIMO must be supported on each of the involved bands simultaneously</t>
    </r>
  </si>
  <si>
    <t>20A-n28A(2-2)(0M-20M)</t>
  </si>
  <si>
    <t>RFFE limitation: Not Support for L+L Tx</t>
  </si>
  <si>
    <t>MTR-39429</t>
  </si>
  <si>
    <r>
      <rPr>
        <rFont val="Arial"/>
        <b/>
        <color theme="1"/>
        <sz val="10.0"/>
      </rPr>
      <t>EN-DC</t>
    </r>
    <r>
      <rPr>
        <rFont val="Arial"/>
        <b val="0"/>
        <color theme="1"/>
        <sz val="10.0"/>
      </rPr>
      <t xml:space="preserve"> is supported with </t>
    </r>
    <r>
      <rPr>
        <rFont val="Arial"/>
        <b/>
        <color theme="1"/>
        <sz val="10.0"/>
      </rPr>
      <t>up to 20 MHz bandwidth on NR band n28</t>
    </r>
    <r>
      <rPr>
        <rFont val="Arial"/>
        <b val="0"/>
        <color theme="1"/>
        <sz val="10.0"/>
      </rPr>
      <t>.</t>
    </r>
  </si>
  <si>
    <t>MTR-39806</t>
  </si>
  <si>
    <r>
      <rPr>
        <rFont val="Arial"/>
        <b/>
        <color theme="1"/>
        <sz val="10.0"/>
      </rPr>
      <t>EN-DC</t>
    </r>
    <r>
      <rPr>
        <rFont val="Arial"/>
        <b val="0"/>
        <color theme="1"/>
        <sz val="10.0"/>
      </rPr>
      <t xml:space="preserve"> is supported with </t>
    </r>
    <r>
      <rPr>
        <rFont val="Arial"/>
        <b/>
        <color theme="1"/>
        <sz val="10.0"/>
      </rPr>
      <t>up to 30 MHz bandwidth on NR band n28</t>
    </r>
    <r>
      <rPr>
        <rFont val="Arial"/>
        <b val="0"/>
        <color theme="1"/>
        <sz val="10.0"/>
      </rPr>
      <t>.</t>
    </r>
  </si>
  <si>
    <t>MTR-34693</t>
  </si>
  <si>
    <r>
      <rPr>
        <rFont val="Arial"/>
        <b/>
        <color theme="1"/>
        <sz val="10.0"/>
      </rPr>
      <t>EN-DC is supported with up to 16 layers on the LTE side and n28A single NR FDD carrier</t>
    </r>
    <r>
      <rPr>
        <rFont val="Arial"/>
        <b val="0"/>
        <color theme="1"/>
        <sz val="10.0"/>
      </rPr>
      <t xml:space="preserve">
including up to 30 MHz/2x2 MIMO on NR for n28A on at least the following combinations:
</t>
    </r>
    <r>
      <rPr>
        <rFont val="Arial"/>
        <b val="0"/>
        <color theme="1"/>
        <sz val="10.0"/>
        <u/>
      </rPr>
      <t>For data rate class 2000/225:</t>
    </r>
    <r>
      <rPr>
        <rFont val="Arial"/>
        <b val="0"/>
        <color theme="1"/>
        <sz val="10.0"/>
      </rPr>
      <t xml:space="preserve">
DC_1A(4x4)-3C(4x4)-7A(4x4)_n28A(2x2)
DC_3C(4x4)-7C(4x4)_n28A(2x2)
DC_1A(4x4)-3C(4x4)-7C(2x2)_n28A(2x2)
DC_1A(4x4)-3C(2x2)-7C(4x4)_n28A(2x2)
DC_1A(4x4)-3C(2x2)-20A(2x2)-32A(2x2)_n28A(2x2)</t>
    </r>
  </si>
  <si>
    <t>1A-1A-3C-n28A(4-4-44-2)(0M-0M-0M0M-20M)</t>
  </si>
  <si>
    <t>Not support LB+LB ENDC</t>
  </si>
  <si>
    <t>DC_1A(4x4)-3C(4x4)-7A(4x4)_n28A(2x2): yes
DC_3C(4x4)-7C(4x4)_n28A(2x2): yes
DC_1A(4x4)-3C(4x4)-7C(2x2)_n28A(2x2): yes
DC_1A(4x4)-3C(2x2)-7C(4x4)_n28A(2x2): yes</t>
  </si>
  <si>
    <t>MTR-35675</t>
  </si>
  <si>
    <r>
      <rPr>
        <rFont val="Arial"/>
        <b/>
        <color theme="1"/>
        <sz val="10.0"/>
      </rPr>
      <t>EN-DC is supported with up to 14 layers on the LTE side and n28A single NR FDD carrier</t>
    </r>
    <r>
      <rPr>
        <rFont val="Arial"/>
        <b val="0"/>
        <color theme="1"/>
        <sz val="10.0"/>
      </rPr>
      <t xml:space="preserve">
including up to 30 MHz/2x2 MIMO on NR for n28A on at least the following combinations:
</t>
    </r>
    <r>
      <rPr>
        <rFont val="Arial"/>
        <b val="0"/>
        <color theme="1"/>
        <sz val="10.0"/>
        <u/>
      </rPr>
      <t>For data rate classes 2000/225:</t>
    </r>
    <r>
      <rPr>
        <rFont val="Arial"/>
        <b val="0"/>
        <color theme="1"/>
        <sz val="10.0"/>
      </rPr>
      <t xml:space="preserve">
DC_1A(4x4)-3C(4x4)-20A(2x2)_n28A(2x2)
DC_1A(4x4)-3C(4x4)-32A(2x2)_n28A(2x2)</t>
    </r>
  </si>
  <si>
    <t>Combo listed are not supported in HW</t>
  </si>
  <si>
    <t>DC_1A(4x4)-3A(4x4)-7A(4x4)-20A(2x2)_n28A(2x2): yes
DC_1A(2x2)-3C(4x4)-7A(4x4)_n28A(2x2): yes
DC_1A(4x4)-3C(4x4)-7A(2x2)_n28A(2x2): yes</t>
  </si>
  <si>
    <t>MTR-35674</t>
  </si>
  <si>
    <r>
      <rPr>
        <rFont val="Arial"/>
        <b/>
        <color theme="1"/>
        <sz val="10.0"/>
      </rPr>
      <t>EN-DC is supported with up to 12 layers on the LTE side and n28A single NR FDD carrier</t>
    </r>
    <r>
      <rPr>
        <rFont val="Arial"/>
        <b val="0"/>
        <color theme="1"/>
        <sz val="10.0"/>
      </rPr>
      <t xml:space="preserve">
including up to 30 MHz/2x2 MIMO on NR for n28A on at least the following combinations:
</t>
    </r>
    <r>
      <rPr>
        <rFont val="Arial"/>
        <b val="0"/>
        <color theme="1"/>
        <sz val="10.0"/>
        <u/>
      </rPr>
      <t>For data rate class 2000/225:</t>
    </r>
    <r>
      <rPr>
        <rFont val="Arial"/>
        <b val="0"/>
        <color theme="1"/>
        <sz val="10.0"/>
      </rPr>
      <t xml:space="preserve">
DC_1A(4x4)-3C(4x4)_n28A(2x2)
DC_1A(2x2)-3C(4x4)-20A(2x2)_n28A(2x2)
DC_1A(2x2)-3C(4x4)-32A(2x2)_n28A(2x2)
DC_1A(4x4)-3A(4x4)-20A(2x2)-32A(2x2)_n28A(2x2)
DC_3C(4x4)-20A(2x2)-32A(2x2)_n28A(2x2)</t>
    </r>
  </si>
  <si>
    <t>1A-1A-3A-n28A(4-4-4-2)(0M-0M-0M-20M)</t>
  </si>
  <si>
    <t>DC_1A(4x4)-3C(4x4)_n28A(2x2): yes
DC_3C(4x4)-7A(4x4)_n28A(2x2): yes
DC_1A(4x4)-3A(4x4)-7A(4x4)_n28A(2x2): yes
DC_3C(4x4)-7A(4x4)_n28A(2x2): yes
DC_3A(4x4)-7C(4x4)_n28A(2x2): yes
DC_1A(2x2)-3C(4x4)-7A(2x2)_n28A(2x2): yes
DC_1A(2x2)-3C(4x4)-20A(2x2)_n28A(2x2): yes</t>
  </si>
  <si>
    <t>MTR-35673</t>
  </si>
  <si>
    <r>
      <rPr>
        <rFont val="Arial"/>
        <b/>
        <color theme="1"/>
        <sz val="10.0"/>
      </rPr>
      <t>EN-DC is supported with up to 10 layers on the LTE side and n28A single NR FDD carrier</t>
    </r>
    <r>
      <rPr>
        <rFont val="Arial"/>
        <b val="0"/>
        <color theme="1"/>
        <sz val="10.0"/>
      </rPr>
      <t xml:space="preserve">
including up to 30 MHz/2x2 MIMO on NR for n28A on at least the following combinations:
</t>
    </r>
    <r>
      <rPr>
        <rFont val="Arial"/>
        <b val="0"/>
        <color theme="1"/>
        <sz val="10.0"/>
        <u/>
      </rPr>
      <t>For data rate class &gt;1600/225:</t>
    </r>
    <r>
      <rPr>
        <rFont val="Arial"/>
        <b val="0"/>
        <color theme="1"/>
        <sz val="10.0"/>
      </rPr>
      <t xml:space="preserve">
DC_1A(2x2)-3C(4x4)_n28A(2x2)
DC_3C(4x4)-20A(2x2)_n28A(2x2)
DC_3C(4x4)-32A(2x2)_n28A(2x2)
DC_1A(4x4)-3A(4x4)-20A(2x2)_n28A(2x2)
DC_1A(4x4)-3A(4x4)-32A(2x2)_n28A(2x2)</t>
    </r>
  </si>
  <si>
    <t xml:space="preserve">1A-1A-7A-n28A(4-4-2-2)(0M-0M-0M-20M)
</t>
  </si>
  <si>
    <t>DC_1A(2x2)-3C(4x4)_n28A(2x2): yes
DC_3C(4x4)-7A(2x2)_n28A(2x2): yes
DC_3C(4x4)-20A(2x2)_n28A(2x2): yes
DC_1A(4x4)-3A(4x4)-20A(2x2)_n28A(2x2): yes
DC_1A(4x4)-7A(4x4)-20A(2x2)_n28A(2x2): yes
DC_3A(4x4)-7A(4x4)-20A(2x2)_n28A(2x2): yes</t>
  </si>
  <si>
    <t>MTR-34695</t>
  </si>
  <si>
    <r>
      <rPr>
        <rFont val="Arial"/>
        <b/>
        <color theme="1"/>
        <sz val="10.0"/>
      </rPr>
      <t>EN-DC is supported with up to 8 layers on the LTE side and n28A single NR FDD carrier</t>
    </r>
    <r>
      <rPr>
        <rFont val="Arial"/>
        <b val="0"/>
        <color theme="1"/>
        <sz val="10.0"/>
      </rPr>
      <t xml:space="preserve">
including up to 30 MHz/2x2 MIMO on NR for n28A on at least the following combinations:
</t>
    </r>
    <r>
      <rPr>
        <rFont val="Arial"/>
        <b val="0"/>
        <color theme="1"/>
        <sz val="10.0"/>
        <u/>
      </rPr>
      <t>For data rate class &gt;1200/225:</t>
    </r>
    <r>
      <rPr>
        <rFont val="Arial"/>
        <b val="0"/>
        <color theme="1"/>
        <sz val="10.0"/>
      </rPr>
      <t xml:space="preserve">
DC_1A(4x4)-3A(4x4)_n28A(2x2)
DC_3C(4x4)_n28A(2x2)
</t>
    </r>
    <r>
      <rPr>
        <rFont val="Arial"/>
        <b val="0"/>
        <color theme="1"/>
        <sz val="10.0"/>
        <u/>
      </rPr>
      <t>For data rate class &gt;1600/225:</t>
    </r>
    <r>
      <rPr>
        <rFont val="Arial"/>
        <b val="0"/>
        <color theme="1"/>
        <sz val="10.0"/>
      </rPr>
      <t xml:space="preserve">
DC_1A(2x2)-3A(4x4)-32A(2x2)_n28A(2x2)
DC_1A(2x2)-20A(2x2)-32A(2x2)_n28A(2x2)
DC_3A(4x4)-20A(2x2)-32A(2x2)_n28A(2x2)
</t>
    </r>
    <r>
      <rPr>
        <rFont val="Arial"/>
        <b val="0"/>
        <color theme="1"/>
        <sz val="10.0"/>
        <u/>
      </rPr>
      <t>For data rate class 2000/225:</t>
    </r>
    <r>
      <rPr>
        <rFont val="Arial"/>
        <b val="0"/>
        <color theme="1"/>
        <sz val="10.0"/>
      </rPr>
      <t xml:space="preserve">
DC_1A(2x2)-3C(2x2)-7A(2x2)_n28A(2x2)</t>
    </r>
  </si>
  <si>
    <t>1A-3A-n28A(4-4-2)(0M-0M-20M)</t>
  </si>
  <si>
    <t>DC_1A(4x4)-3A(4x4)_n28A(2x2): yes
DC_1A(4x4)-7A(4x4)_n28A(2x2): yes
DC_3A(4x4)-7A(4x4)_n28A(2x2): yes
DC_3C(4x4)_n28A(2x2): yes
DC_1A(2x2)-3A(4x4)-7A(2x2)_n28A(2x2): yes
DC_3A(4x4)-7A(2x2)-20A(2x2)_n28A(2x2): yes
DC_1A(2x2)-3C(2x2)-7A(2x2)_n28A(2x2): yes
DC_1A(2x2)-3A(2x2)-7A(2x2)-20A(2x2)_n28A(2x2): yes</t>
  </si>
  <si>
    <t>MTR-35671</t>
  </si>
  <si>
    <r>
      <rPr>
        <rFont val="Arial"/>
        <b/>
        <color theme="1"/>
        <sz val="10.0"/>
      </rPr>
      <t>EN-DC is supported with up to 6 layers on the LTE side and n28A single NR FDD carrier</t>
    </r>
    <r>
      <rPr>
        <rFont val="Arial"/>
        <b val="0"/>
        <color theme="1"/>
        <sz val="10.0"/>
      </rPr>
      <t xml:space="preserve">
including up to 30 MHz/2x2 MIMO on NR for n28A on at least the following combinations:
</t>
    </r>
    <r>
      <rPr>
        <rFont val="Arial"/>
        <b val="0"/>
        <color theme="1"/>
        <sz val="10.0"/>
        <u/>
      </rPr>
      <t>For data rate class &gt;1200/225:</t>
    </r>
    <r>
      <rPr>
        <rFont val="Arial"/>
        <b val="0"/>
        <color theme="1"/>
        <sz val="10.0"/>
      </rPr>
      <t xml:space="preserve">
DC_1A(2x2)-3A(4x4)_n28A(2x2)
DC_1A(4x4)-20A(2x2)_n28A(2x2)
DC_3A(4x4)-20A(2x2)_n28A(2x2)
DC_3A(4x4)-32A(2x2)_n28A(2x2)
</t>
    </r>
    <r>
      <rPr>
        <rFont val="Arial"/>
        <b val="0"/>
        <color theme="1"/>
        <sz val="10.0"/>
        <u/>
      </rPr>
      <t>For data rate class &gt;1600/225:</t>
    </r>
    <r>
      <rPr>
        <rFont val="Arial"/>
        <b val="0"/>
        <color theme="1"/>
        <sz val="10.0"/>
      </rPr>
      <t xml:space="preserve">
DC_1A(2x2)-3C(2x2)_n28A(2x2)
DC_1A(2x2)-3A(2x2)-20A(2x2)_n28A(2x2)
DC_1A(2x2)-3A(2x2)-32A(2x2)_n28A(2x2)
DC_3C(2x2)-20A(2x2)_n28A(2x2)
DC_3C(2x2)-32A(2x2)_n28A(2x2)</t>
    </r>
  </si>
  <si>
    <t xml:space="preserve">3A-n28A-n78A(4-2-4)(0M-20M-100M)
</t>
  </si>
  <si>
    <t>DC_1A(2x2)-3A(4x4)_n28A(2x2): yes
DC_1A(4x4)-20A(2x2)_n28A(2x2): yes
DC_3A(4x4)-7A(2x2)_n28A(2x2): yes
DC_3A(4x4)-20A(2x2)_n28A(2x2): yes
DC_1A(2x2)-3C(2x2)_n28A(2x2): yes
DC_1A(2x2)-3A(2x2)-7A_n28A(2x2): yes
DC_3C(2x2)-7A(2x2)_n28A(2x2): yes
DC_3C(2x2)-20A(2x2)_n28A(2x2): yes
DC_3A(2x2)-7A(2x2)-20A(2x2)_n28A(2x2): yes</t>
  </si>
  <si>
    <t>MTR-35250</t>
  </si>
  <si>
    <r>
      <rPr>
        <rFont val="Arial"/>
        <b/>
        <color theme="1"/>
        <sz val="10.0"/>
      </rPr>
      <t xml:space="preserve">EN-DC is supported with up to 4 layers on the LTE side and n28A single NR FDD carrier
</t>
    </r>
    <r>
      <rPr>
        <rFont val="Arial"/>
        <b val="0"/>
        <color theme="1"/>
        <sz val="10.0"/>
      </rPr>
      <t>including up to 30 MHz/2x2 MIMO on NR for n28A on at least the following combinations:
F</t>
    </r>
    <r>
      <rPr>
        <rFont val="Arial"/>
        <b val="0"/>
        <color theme="1"/>
        <sz val="10.0"/>
        <u/>
      </rPr>
      <t xml:space="preserve">or data rate class &gt;=1000/225:
</t>
    </r>
    <r>
      <rPr>
        <rFont val="Arial"/>
        <b val="0"/>
        <color theme="1"/>
        <sz val="10.0"/>
      </rPr>
      <t>DC_1A(4x4)_n28A(2x2)
DC_3A(4x4)_n28A(2x2)
DC_7A(4x4)_n28A(2x2)
DC_1A(2x2)-3A(2x2)_n28A(2x2)
DC_1A(2x2)-20A(2x2)_n28A(2x2)
DC_1A(2x2)-32A(2x2)_n28A(2x2)
DC_3C(2x2)_n28A(2x2)
DC_3A(2x2)-20A(2x2)_n28A(2x2)
DC_3A(2x2)-32A(2x2)_n28A(2x2)
DC_20A(2x2)-32A(2x2)_n28A(2x2)</t>
    </r>
  </si>
  <si>
    <t>1A-n28A(4-2)(0M-20M)</t>
  </si>
  <si>
    <t>DC_1A(4x4)_n28A(2x2): yes
DC_3A(4x4)_n28A(2x2): yes
DC_7A(4x4)_n28A(2x2): yes
DC_1A(2x2)-3A(2x2)_n28A(2x2): yes
DC_1A(2x2)-7A(2x2)_n28A(2x2): yes
DC_1A(2x2)-20A(2x2)_n28A(2x2): yes
DC_3C(2x2)_n28A(2x2): yes
DC_3A(2x2)-7A(2x2)_n28A(2x2): yes
DC_3A(2x2)-20A(2x2)_n28A(2x2): yes</t>
  </si>
  <si>
    <t>MTR-34684</t>
  </si>
  <si>
    <r>
      <rPr>
        <rFont val="Arial"/>
        <color theme="1"/>
        <sz val="10.0"/>
      </rPr>
      <t xml:space="preserve">Please indicate the </t>
    </r>
    <r>
      <rPr>
        <rFont val="Arial"/>
        <b/>
        <color theme="1"/>
        <sz val="10.0"/>
      </rPr>
      <t>highest number of layers on LTE</t>
    </r>
    <r>
      <rPr>
        <rFont val="Arial"/>
        <color theme="1"/>
        <sz val="10.0"/>
      </rPr>
      <t xml:space="preserve"> side supported in any </t>
    </r>
    <r>
      <rPr>
        <rFont val="Arial"/>
        <b/>
        <color theme="1"/>
        <sz val="10.0"/>
      </rPr>
      <t>n28A</t>
    </r>
    <r>
      <rPr>
        <rFont val="Arial"/>
        <color theme="1"/>
        <sz val="10.0"/>
      </rPr>
      <t xml:space="preserve"> EN-DC combination with at least the European LTE bands 1, 3, (7) under "Comments Vendor" and state examples for the related supported ENDC combinations, e.g.
</t>
    </r>
    <r>
      <rPr>
        <rFont val="Arial"/>
        <b/>
        <color theme="1"/>
        <sz val="10.0"/>
      </rPr>
      <t>12 layers</t>
    </r>
    <r>
      <rPr>
        <rFont val="Arial"/>
        <color theme="1"/>
        <sz val="10.0"/>
      </rPr>
      <t xml:space="preserve"> with
DC_1A(4x4)-3C(4x4)_n28A(2x2)
DC_1A(4x4)-3A(4x4)-7A(4x4)_n28A(2x2)</t>
    </r>
  </si>
  <si>
    <t>DTAG config has 12-layers for LTE for n28
DC_1A-1A-3A-n28A(4-4-4-2)</t>
  </si>
  <si>
    <t>MTR-40115</t>
  </si>
  <si>
    <r>
      <rPr>
        <rFont val="Arial"/>
        <b/>
        <color theme="1"/>
        <sz val="10.0"/>
      </rPr>
      <t>EN-DC with n28A single NR FDD carrier is supported at least with following band combinations:</t>
    </r>
    <r>
      <rPr>
        <rFont val="Arial"/>
        <b val="0"/>
        <color theme="1"/>
        <sz val="10.0"/>
      </rPr>
      <t xml:space="preserve">
</t>
    </r>
    <r>
      <rPr>
        <rFont val="Arial"/>
        <b/>
        <color theme="1"/>
        <sz val="10.0"/>
      </rPr>
      <t>3+1 bands:</t>
    </r>
    <r>
      <rPr>
        <rFont val="Arial"/>
        <b val="0"/>
        <color theme="1"/>
        <sz val="10.0"/>
      </rPr>
      <t xml:space="preserve">
DC_1A-3C-7C_n28A
DC_3C-7A-20A_n28A
</t>
    </r>
    <r>
      <rPr>
        <rFont val="Arial"/>
        <b/>
        <color theme="1"/>
        <sz val="10.0"/>
      </rPr>
      <t>4+1 bands:</t>
    </r>
    <r>
      <rPr>
        <rFont val="Arial"/>
        <b val="0"/>
        <color theme="1"/>
        <sz val="10.0"/>
      </rPr>
      <t xml:space="preserve">
DC_1A-3A-7A-20A_n28A
DC_1A-3C-7A-32A_n28A
DC_1A-3C-20A-32A_n28A 
The above implies that any subset of the above combinations is supported.
MIMO support is expected to be in line with maximum layer support and the individual 4x4 MIMO support on each band.
if 4x4 MIMO cannot be supported on a specific combination of bands, even though the max. layer and individual 4x4 MIMO conditions are fulfilled, this must be indicated under "Comments Vendor".</t>
    </r>
  </si>
  <si>
    <t>DC_1A_n28A, 
DC_3A_n28A,
DC_7A_n28A,
DC_20A_n28A 
support n28 2x2 Only</t>
  </si>
  <si>
    <t>MTR-34697</t>
  </si>
  <si>
    <r>
      <rPr>
        <rFont val="Arial"/>
        <b/>
        <color theme="1"/>
        <sz val="10.0"/>
      </rPr>
      <t>2.5.2.1.8</t>
    </r>
    <r>
      <rPr>
        <rFont val="Arial"/>
        <b val="0"/>
        <color theme="1"/>
        <sz val="10.0"/>
      </rPr>
      <t xml:space="preserve"> </t>
    </r>
    <r>
      <rPr>
        <rFont val="Arial"/>
        <b/>
        <color theme="1"/>
        <sz val="10.0"/>
      </rPr>
      <t>EN-DC with n78A Requirements</t>
    </r>
  </si>
  <si>
    <t>MTR-33783</t>
  </si>
  <si>
    <r>
      <rPr>
        <rFont val="Arial"/>
        <b/>
        <color theme="1"/>
        <sz val="10.0"/>
      </rPr>
      <t>n78A with EU anchor bands</t>
    </r>
    <r>
      <rPr>
        <rFont val="Arial"/>
        <b val="0"/>
        <color theme="1"/>
        <sz val="10.0"/>
      </rPr>
      <t xml:space="preserve">
The following </t>
    </r>
    <r>
      <rPr>
        <rFont val="Arial"/>
        <b/>
        <color theme="1"/>
        <sz val="10.0"/>
      </rPr>
      <t>LTE anchor layers</t>
    </r>
    <r>
      <rPr>
        <rFont val="Arial"/>
        <b val="0"/>
        <color theme="1"/>
        <sz val="10.0"/>
      </rPr>
      <t xml:space="preserve"> for EN-DC combinations with </t>
    </r>
    <r>
      <rPr>
        <rFont val="Arial"/>
        <b/>
        <color theme="1"/>
        <sz val="10.0"/>
      </rPr>
      <t>n78A</t>
    </r>
    <r>
      <rPr>
        <rFont val="Arial"/>
        <b val="0"/>
        <color theme="1"/>
        <sz val="10.0"/>
      </rPr>
      <t xml:space="preserve"> are supported:
B1 (2100 MHz), B3 (1800 MHz), B7 (2600 MHz), B8 (900 MHz) and B20 (800 MHz)</t>
    </r>
  </si>
  <si>
    <t>MTR-35728</t>
  </si>
  <si>
    <r>
      <rPr>
        <rFont val="Arial"/>
        <b/>
        <color theme="1"/>
        <sz val="10.0"/>
      </rPr>
      <t>n78A with B28 anchor band</t>
    </r>
    <r>
      <rPr>
        <rFont val="Arial"/>
        <b val="0"/>
        <color theme="1"/>
        <sz val="10.0"/>
      </rPr>
      <t xml:space="preserve">
The following additional </t>
    </r>
    <r>
      <rPr>
        <rFont val="Arial"/>
        <b/>
        <color theme="1"/>
        <sz val="10.0"/>
      </rPr>
      <t>LTE anchor layer</t>
    </r>
    <r>
      <rPr>
        <rFont val="Arial"/>
        <b val="0"/>
        <color theme="1"/>
        <sz val="10.0"/>
      </rPr>
      <t xml:space="preserve"> for EN-DC combinations with </t>
    </r>
    <r>
      <rPr>
        <rFont val="Arial"/>
        <b/>
        <color theme="1"/>
        <sz val="10.0"/>
      </rPr>
      <t>n78A</t>
    </r>
    <r>
      <rPr>
        <rFont val="Arial"/>
        <b val="0"/>
        <color theme="1"/>
        <sz val="10.0"/>
      </rPr>
      <t xml:space="preserve"> is supported:
B28 (700 MHz)</t>
    </r>
  </si>
  <si>
    <t>DC_28A_n78A</t>
  </si>
  <si>
    <t>MTR-34679</t>
  </si>
  <si>
    <r>
      <rPr>
        <rFont val="Arial"/>
        <b/>
        <color theme="1"/>
        <sz val="10.0"/>
      </rPr>
      <t>EN-DC is supported with up to 16 layers on the LTE side and n78A single NR TDD carrier</t>
    </r>
    <r>
      <rPr>
        <rFont val="Arial"/>
        <b val="0"/>
        <color theme="1"/>
        <sz val="10.0"/>
      </rPr>
      <t xml:space="preserve">
including 100 MHz/4x4 MIMO on NR for n78A on at least the following combinations:
DC_1A(4x4)-3C(4x4)-7A(4x4)_n78A(4x4)
DC_3C(4x4)-7C(4x4)_n78A(4x4)</t>
    </r>
  </si>
  <si>
    <t>DC_1A(4x4)-3C(4x4)-7A(4x4)_n78A(4x4): yes
DC_3C(4x4)-7C(4x4)_n78A(4x4): yes</t>
  </si>
  <si>
    <t>MTR-35681</t>
  </si>
  <si>
    <r>
      <rPr>
        <rFont val="Arial"/>
        <b/>
        <color theme="1"/>
        <sz val="10.0"/>
      </rPr>
      <t>EN-DC is supported with up to 14 layers on the LTE side and n78A single NR TDD carrier</t>
    </r>
    <r>
      <rPr>
        <rFont val="Arial"/>
        <b val="0"/>
        <color theme="1"/>
        <sz val="10.0"/>
      </rPr>
      <t xml:space="preserve">
including 100 MHz/4x4 MIMO on NR for n78A on at least the following combinations:
DC_1A(2x2)-3C(4x4)-7A(4x4)_n78A(4x4)
DC_1A(4x4)-3C(4x4)-7A(2x2)_n78A(4x4)
DC_1A(4x4)-3C(4x4)-8A(2x2)_n78A(4x4)
DC_1A(4x4)-3C(4x4)-32A(2x2)_n78A(4x4)
DC_3C(4x4)-7A(4x4)-8A(2x2)_n78A(4x4)
DC_3C(4x4)-7A(4x4)-20A(2x2)_n78A(4x4)
DC_3C(4x4)-7A(4x4)-32A(2x2)_n78A(4x4)
DC_1A(4x4)-3A(4x4)-7A(4x4)-8A(2x2)_n78A(4x4)
DC_1A(4x4)-3A(4x4)-7A(4x4)-20A(2x2)_n78A(4x4)
DC_1A(4x4)-3A(4x4)-7A(4x4)-32A(2x2)_n78A(4x4)</t>
    </r>
  </si>
  <si>
    <t>DC_3C(4x4)-7A(4x4)-20A(2x2)_n78A(4x4): yes
DC_1A(2x2)-3C(4x4)-7A(4x4)_n78A(4x4): yes
DC_1A(4x4)-3C(4x4)-7A(2x2)_n78A(4x4): yes
DC_1A(4x4)-3C(4x4)-8A(2x2)_n78A(4x4): yes
DC_1A(4x4)-3A(4x4)-7A(4x4)-20A(2x2)_n78A(4x4): yes</t>
  </si>
  <si>
    <t>MTR-35682</t>
  </si>
  <si>
    <r>
      <rPr>
        <rFont val="Arial"/>
        <b/>
        <color theme="1"/>
        <sz val="10.0"/>
      </rPr>
      <t>EN-DC is supported with up to 12 layers on the LTE side and n78A single NR TDD carrier</t>
    </r>
    <r>
      <rPr>
        <rFont val="Arial"/>
        <b val="0"/>
        <color theme="1"/>
        <sz val="10.0"/>
      </rPr>
      <t xml:space="preserve">
including 100 MHz/4x4 MIMO on NR for n78A on at least the following combinations:
DC_1A(4x4)-3C(4x4)_n78A(4x4)
DC_3C(4x4)-7A(4x4)_n78A(4x4)
DC_3A(4x4)-7C(4x4)_n78A(4x4)
DC_1A(4x4)-3A(4x4)-7A(4x4)_n78A(4x4)
DC_1A(2x2)-3C(4x4)-7A(2x2)_n78A(4x4)
DC_1A(2x2)-3C(4x4)-8A(2x2)_n78A(4x4)
DC_1A(2x2)-3C(4x4)-32A(2x2)_n78A(4x4)
DC_3C(4x4)-7C(2x2)_n78A(4x4)
DC_3C(2x2)-7C(4x4)_n78A(4x4)
DC_3C(4x4)-7A(2x2)-8A(2x2)_n78A(4x4)
DC_3C(4x4)-7A(2x2)-20A(2x2)_n78A(4x4)
DC_3C(4x4)-7A(2x2)-32A(2x2)_n78A(4x4)</t>
    </r>
  </si>
  <si>
    <t>DC_1A(4x4)-3C(4x4)_n78A(4x4): yes
DC_3C(4x4)-7A(4x4)_n78A(4x4): yes
DC_3A(4x4)-7C(4x4)_n78A(4x4): yes
DC_1A(4x4)-3A(4x4)-7A(4x4)_n78A(4x4): yes
DC_1A(2x2)-3C(4x4)-7A(2x2)_n78A(4x4): yes
DC_1A(2x2)-3C(4x4)-8A(2x2)_n78A(4x4): yes
DC_3C(4x4)-7C(2x2)_n78A(4x4): yes
DC_3C(2x2)-7C(4x4)_n78A(4x4): yes
DC_3C(4x4)-7A(2x2)-20A(2x2)_n78A(4x4): yes</t>
  </si>
  <si>
    <t>MTR-35252</t>
  </si>
  <si>
    <r>
      <rPr>
        <rFont val="Arial"/>
        <b/>
        <color theme="1"/>
        <sz val="10.0"/>
      </rPr>
      <t>EN-DC is supported with up to 10 layers on the LTE side and n78A single NR TDD carrier</t>
    </r>
    <r>
      <rPr>
        <rFont val="Arial"/>
        <b val="0"/>
        <color theme="1"/>
        <sz val="10.0"/>
      </rPr>
      <t xml:space="preserve">
including 100 MHz/4x4 MIMO on NR for n78A on at least the following combinations:
</t>
    </r>
    <r>
      <rPr>
        <rFont val="Arial"/>
        <b val="0"/>
        <color theme="1"/>
        <sz val="10.0"/>
        <u/>
      </rPr>
      <t>For data rate class 2000/225:</t>
    </r>
    <r>
      <rPr>
        <rFont val="Arial"/>
        <b val="0"/>
        <color theme="1"/>
        <sz val="10.0"/>
      </rPr>
      <t xml:space="preserve">
DC_1A(4x4)-3A(4x4)-8A(2x2)_n78A(4x4)
DC_1A(4x4)-3A(4x4)-7A(2x2)_n78A(4x4)
DC_1A(4x4)-3A(4x4)-20A(2x2)_n78A(4x4)
DC_1A(4x4)-3A(4x4)-32A(2x2)_n78A(4x4)
DC_1A(4x4)-7A(4x4)-20A(2x2)_n78A(4x4)
DC_1A(4x4)-7A(4x4)-32A(2x2)_n78A(4x4)
DC_3A(4x4)-7A(4x4)-20A(2x2)_n78A(4x4)
DC_3A(4x4)-7A(4x4)-32A(2x2)_n78A(4x4)
DC_1A(2x2)-3C(4x4)_n78A(4x4)
DC_3C(4x4)-7A(2x2)_n78A(4x4)
DC_3C(4x4)-20A(2x2)_n78A(4x4)
DC_3C(4x4)-32A(2x2)_n78A(4x4)</t>
    </r>
  </si>
  <si>
    <t>DC_1A(4x4)-3A(4x4)-8A(2x2)_n78A(4x4): yes
DC_1A(4x4)-3A(4x4)-7A(2x2)_n78A(4x4): yes
DC_1A(4x4)-3A(4x4)-20A(2x2)_n78A(4x4): yes
DC_1A(4x4)-7A(4x4)-20A(2x2)_n78A(4x4): yes
DC_3A(4x4)-7A(4x4)-20A(2x2)_n78A(4x4): yes
DC_1A(2x2)-3C(4x4)_n78A(4x4): yes
DC_3C(4x4)-7A(2x2)_n78A(4x4): yes
DC_3C(4x4)-20A(2x2)_n78A(4x4): yes</t>
  </si>
  <si>
    <t>MTR-34680</t>
  </si>
  <si>
    <r>
      <rPr>
        <rFont val="Arial"/>
        <b/>
        <color theme="1"/>
        <sz val="10.0"/>
      </rPr>
      <t>EN-DC is supported with up to 8 layers on the LTE side and n78A single NR TDD carrier</t>
    </r>
    <r>
      <rPr>
        <rFont val="Arial"/>
        <b val="0"/>
        <color theme="1"/>
        <sz val="10.0"/>
      </rPr>
      <t xml:space="preserve">
including 100 MHz/4x4 MIMO on NR for n78A on at least the following combinations:
</t>
    </r>
    <r>
      <rPr>
        <rFont val="Arial"/>
        <b val="0"/>
        <color theme="1"/>
        <sz val="10.0"/>
        <u/>
      </rPr>
      <t>For data rate classes &gt;1600/225:</t>
    </r>
    <r>
      <rPr>
        <rFont val="Arial"/>
        <b val="0"/>
        <color theme="1"/>
        <sz val="10.0"/>
      </rPr>
      <t xml:space="preserve">
DC_1A(4x4)-3A(4x4)_n78A(4x4)
DC_1A(4x4)-7A(4x4)_n78A(4x4)
DC_3C(4x4)_n78A(4x4)
DC_3A(4x4)-7A(4x4)_n78A(4x4)
</t>
    </r>
    <r>
      <rPr>
        <rFont val="Arial"/>
        <b val="0"/>
        <color theme="1"/>
        <sz val="10.0"/>
        <u/>
      </rPr>
      <t>For data rate class 2000/225:</t>
    </r>
    <r>
      <rPr>
        <rFont val="Arial"/>
        <b val="0"/>
        <color theme="1"/>
        <sz val="10.0"/>
      </rPr>
      <t xml:space="preserve">
DC_3A(4x4)-7A(2x2)-8A(2x2)_n78A(4x4)
DC_3A(4x4)-7A(2x2)-20A(2x2)_n78A(4x4)
DC_3A(4x4)-7A(2x2)-32A(2x2)_n78A(4x4)
DC_1A(2x2)-3A(4x4)-7A(2x2)_n78A(4x4)
DC_1A(2x2)-3A(4x4)-8A(2x2)_n78A(4x4)
DC_1A(2x2)-3A(4x4)-20A(2x2)_n78A(4x4)
DC_1A(2x2)-3A(4x4)-32A(2x2)_n78A(4x4)
DC_3C(2x2)-7A(2x2)-20A(2x2)_n78A(4x4)
DC_3C(2x2)-7A(2x2)-32A(2x2)_n78A(4x4)
DC_1A(2x2)-3A(2x2)-7A(2x2)-20A(2x2)_n78A(4x4)
DC_1A(2x2)-3A(2x2)-7A(2x2)-32A(2x2)_n78A(4x4)</t>
    </r>
  </si>
  <si>
    <t>DC_1A(4x4)-3A(4x4)_n78A(4x4): yes
DC_1A(4x4)-7A(4x4)_n78A(4x4): yes
DC_3C(4x4)_n78A(4x4): yes
DC_3A(4x4)-7A(4x4)_n78A(4x4): yes
DC_3A(4x4)-7A(2x2)-8A(2x2)_n78A(4x4): yes
DC_3A(4x4)-7A(2x2)-20A(2x2)_n78A(4x4): yes
DC_1A(2x2)-3A(4x4)-7A(2x2)_n78A(4x4): yes
DC_1A(2x2)-3A(4x4)-8A(2x2)_n78A(4x4): yes
DC_1A(2x2)-3A(4x4)-20A(2x2)_n78A(4x4): yes
DC_1A(2x2)-3A(2x2)-7A(2x2)-20A(2x2)_n78A(4x4): yes
DC_3C(2x2)-7A(2x2)-20A(2x2)_n78A(4x4): yes</t>
  </si>
  <si>
    <t>MTR-35680</t>
  </si>
  <si>
    <r>
      <rPr>
        <rFont val="Arial"/>
        <b/>
        <color theme="1"/>
        <sz val="10.0"/>
      </rPr>
      <t>EN-DC is supported with up to 6 layers on the LTE side and n78A single NR TDD carrier</t>
    </r>
    <r>
      <rPr>
        <rFont val="Arial"/>
        <b val="0"/>
        <color theme="1"/>
        <sz val="10.0"/>
      </rPr>
      <t xml:space="preserve">
including 100 MHz/4x4 MIMO on NR for n78A on at least the following combinations:
</t>
    </r>
    <r>
      <rPr>
        <rFont val="Arial"/>
        <b val="0"/>
        <color theme="1"/>
        <sz val="10.0"/>
        <u/>
      </rPr>
      <t>For data rate classes &gt;1600/225:</t>
    </r>
    <r>
      <rPr>
        <rFont val="Arial"/>
        <b val="0"/>
        <color theme="1"/>
        <sz val="10.0"/>
      </rPr>
      <t xml:space="preserve">
DC_1A(2x2)-3A(4x4)_n78A(4x4)
DC_1A(4x4)-8A(2x2)_n78A(4x4)
DC_1A(4x4)-7A(2x2)_n78A(4x4)
DC_1A(4x4)-20A(2x2)_n78A(4x4)
DC_1A(4x4)-32A(2x2)_n78A(4x4)
DC_3A(4x4)-7A(2x2)_n78A(4x4)
DC_3A(4x4)-8A(2x2)_n78A(4x4)
DC_3A(4x4)-20A(2x2)_n78A(4x4)
DC_3A(4x4)-32A(2x2)_n78A(4x4)
DC_7A(4x4)-8A(2x2)_n78A(4x4)
DC_7A(4x4)-20A(2x2)_n78A(4x4)
DC_7A(4x4)-32A(2x2)_n78A(4x4)
DC_1A(2x2)-3C(2x2)_n78A(4x4)
DC_3C(2x2)-8A(2x2)_n78A(4x4)
DC_3C(2x2)-20A(2x2)_n78A(4x4)
DC_3C(2x2)-32A(2x2)_n78A(4x4)
</t>
    </r>
    <r>
      <rPr>
        <rFont val="Arial"/>
        <b val="0"/>
        <color theme="1"/>
        <sz val="10.0"/>
        <u/>
      </rPr>
      <t>For data rate class 2000/225:</t>
    </r>
    <r>
      <rPr>
        <rFont val="Arial"/>
        <b val="0"/>
        <color theme="1"/>
        <sz val="10.0"/>
      </rPr>
      <t xml:space="preserve">
DC_1A(2x2)-3A(2x2)-8A(2x2)_n78A(4x4)
DC_1A(2x2)-3A(2x2)-20A(2x2)_n78A(4x4)
DC_1A(2x2)-3A(2x2)-32A(2x2)_n78A(4x4)
DC_3A(2x2)-7A(2x2)-20A(2x2)_n78A(4x4)</t>
    </r>
  </si>
  <si>
    <t>DC_1A(2x2)-3A(4x4)_n78A(4x4): yes
DC_1A(4x4)-8A(2x2)_n78A(4x4): yes
DC_1A(4x4)-7A(2x2)_n78A(4x4): yes
DC_1A(4x4)-20A(2x2)_n78A(4x4): yes
DC_3A(4x4)-7A(2x2)_n78A(4x4): yes
DC_3A(4x4)-8A(2x2)_n78A(4x4): yes
DC_3A(4x4)-20A(2x2)_n78A(4x4): yes
DC_7A(4x4)-8A(2x2)_n78A(4x4): yes
DC_7A(4x4)-20A(2x2)_n78A(4x4): yes
DC_3A(2x2)-7A(2x2)-20A(2x2)_n78A(4x4): yes
DC_1A(2x2)-3C(2x2)_n78A(4x4): yes
DC_3C(2x2)-8A(2x2)_n78A(4x4): yes
DC_3C(2x2)-20A(2x2)_n78A(4x4): yes</t>
  </si>
  <si>
    <t>MTR-35253</t>
  </si>
  <si>
    <r>
      <rPr>
        <rFont val="Arial"/>
        <b/>
        <color theme="1"/>
        <sz val="10.0"/>
      </rPr>
      <t>EN-DC is supported with up to 4 layers on the LTE side and n78A single NR TDD carrier</t>
    </r>
    <r>
      <rPr>
        <rFont val="Arial"/>
        <b val="0"/>
        <color theme="1"/>
        <sz val="10.0"/>
      </rPr>
      <t xml:space="preserve">
including 100 MHz/4x4 MIMO on NR for n78A on at least the following combinations:
</t>
    </r>
    <r>
      <rPr>
        <rFont val="Arial"/>
        <b val="0"/>
        <color theme="1"/>
        <sz val="10.0"/>
        <u/>
      </rPr>
      <t>For data rate classes &gt;=1000/225:</t>
    </r>
    <r>
      <rPr>
        <rFont val="Arial"/>
        <b val="0"/>
        <color theme="1"/>
        <sz val="10.0"/>
      </rPr>
      <t xml:space="preserve">
DC_1A(4x4)_n78A(4x4)
DC_3A(4x4)_n78A(4x4)
DC_7A(4x4)_n78A(4x4)
DC_3C(2x2)_n78A(4x4)
DC_1A(2x2)-3A(2x2)_n78A(4x4)
DC_1A(2x2)-7A(2x2)_n78A(4x4)
DC_1A(2x2)-8A(2x2)_n78A(4x4)
DC_1A(2x2)-20A(2x2)_n78A(4x4)
DC_1A(2x2)-32A(2x2)_n78A(4x4)
DC_3A(2x2)-7A(2x2)_n78A(4x4)
DC_3A(2x2)-8A(2x2)_n78A(4x4)
DC_3A(2x2)-20A(2x2)_n78A(4x4)
DC_3A(2x2)-32A(2x2)_n78A(4x4)
DC_7A(2x2)-20A(2x2)_n78A(4x4)
DC_7A(2x2)-32A(2x2)_n78A(4x4)
DC_20A(2x2)-32A(2x2)_n78A(4x4)</t>
    </r>
  </si>
  <si>
    <t>DC_1A(4x4)_n78A(4x4)
DC_3A(4x4)_n78A(4x4)
DC_7A(4x4)_n78A(4x4)
DC_3C(2x2)_n78A(4x4)
1A-20A-n78A(4-2-4)(0M-0M-100M)
1A-3A-n78A(4-4-4)(0M-0M-100M)
1A-7A-n78A(4-2-4)(0M-0M-100M)
1A-8A-n78A(4-2-4)(0M-0M-100M)
3A-20A-n78A(4-2-4)(0M-0M-100M)
3A-32A-n78A(4-2-4)(0M-0M-100M)
3A-7A-n78A(4-2-4)(0M-0M-100M)
3A-8A-n78A(4-2-4)(0M-0M-100M)
20A-32A-n78A(2-2-4)(0M-0M-100M)
7A-20A-n78A(4-2-4)(0M-0M-100M)
7A-32A-n78A(4-2-4)(0M-0M-100M)</t>
  </si>
  <si>
    <t>Please refer to sheet "5G-EN-DC" in more detail</t>
  </si>
  <si>
    <t>DC_1A(4x4)_n78A(4x4): yes
DC_3A(4x4)_n78A(4x4): yes
DC_7A(4x4)_n78A(4x4): yes
DC_3C(2x2)_n78A(4x4): yes
DC_1A(2x2)-3A(2x2)_n78A(4x4): yes
DC_1A(2x2)-7A(2x2)_n78A(4x4): yes
DC_1A(2x2)-8A(2x2)_n78A(4x4): yes
DC_1A(2x2)-20A(2x2)_n78A(4x4): yes
DC_3A(2x2)-7A(2x2)_n78A(4x4): yes
DC_3A(2x2)-8A(2x2)_n78A(4x4): yes
DC_3A(2x2)-20A(2x2)_n78A(4x4): yes
DC_7A(2x2)-20A(2x2)_n78A(4x4): yes</t>
  </si>
  <si>
    <t>MTR-34683</t>
  </si>
  <si>
    <r>
      <rPr>
        <rFont val="Arial"/>
        <color theme="1"/>
        <sz val="10.0"/>
      </rPr>
      <t xml:space="preserve">Please indicate the </t>
    </r>
    <r>
      <rPr>
        <rFont val="Arial"/>
        <b/>
        <color theme="1"/>
        <sz val="10.0"/>
      </rPr>
      <t>highest number of layers on LTE</t>
    </r>
    <r>
      <rPr>
        <rFont val="Arial"/>
        <color theme="1"/>
        <sz val="10.0"/>
      </rPr>
      <t xml:space="preserve"> side supported in any </t>
    </r>
    <r>
      <rPr>
        <rFont val="Arial"/>
        <b/>
        <color theme="1"/>
        <sz val="10.0"/>
      </rPr>
      <t>n78A (100 MHz)</t>
    </r>
    <r>
      <rPr>
        <rFont val="Arial"/>
        <color theme="1"/>
        <sz val="10.0"/>
      </rPr>
      <t xml:space="preserve"> EN-DC combination with at least the European LTE bands 1, 3, 7 under "Comments Vendor" and state examples for the related supported ENDC combinations, e.g.
</t>
    </r>
    <r>
      <rPr>
        <rFont val="Arial"/>
        <b/>
        <color theme="1"/>
        <sz val="10.0"/>
      </rPr>
      <t>12 layers</t>
    </r>
    <r>
      <rPr>
        <rFont val="Arial"/>
        <color theme="1"/>
        <sz val="10.0"/>
      </rPr>
      <t xml:space="preserve"> with
DC_1A(4x4)-3C(4x4)_n78A(4x4)</t>
    </r>
  </si>
  <si>
    <t>DTAG config has 12-layers for LTE for n78
DC_1A-1A-3A-n78A(4-4-4-4)</t>
  </si>
  <si>
    <t>MTR-40116</t>
  </si>
  <si>
    <r>
      <rPr>
        <rFont val="Arial"/>
        <b/>
        <color theme="1"/>
        <sz val="10.0"/>
      </rPr>
      <t>EN-DC with n78A single NR FDD carrier is supported at least with following band combinations:</t>
    </r>
    <r>
      <rPr>
        <rFont val="Arial"/>
        <b val="0"/>
        <color theme="1"/>
        <sz val="10.0"/>
      </rPr>
      <t xml:space="preserve">
</t>
    </r>
    <r>
      <rPr>
        <rFont val="Arial"/>
        <b/>
        <color theme="1"/>
        <sz val="10.0"/>
      </rPr>
      <t>2+1 band:</t>
    </r>
    <r>
      <rPr>
        <rFont val="Arial"/>
        <b val="0"/>
        <color theme="1"/>
        <sz val="10.0"/>
      </rPr>
      <t xml:space="preserve">
DC_3C-7C_n78A
</t>
    </r>
    <r>
      <rPr>
        <rFont val="Arial"/>
        <b/>
        <color theme="1"/>
        <sz val="10.0"/>
      </rPr>
      <t>3+1 bands:</t>
    </r>
    <r>
      <rPr>
        <rFont val="Arial"/>
        <b val="0"/>
        <color theme="1"/>
        <sz val="10.0"/>
      </rPr>
      <t xml:space="preserve">
DC_3C-7A-20A_n78A
</t>
    </r>
    <r>
      <rPr>
        <rFont val="Arial"/>
        <b/>
        <color theme="1"/>
        <sz val="10.0"/>
      </rPr>
      <t>4+1 bands:</t>
    </r>
    <r>
      <rPr>
        <rFont val="Arial"/>
        <b val="0"/>
        <color theme="1"/>
        <sz val="10.0"/>
      </rPr>
      <t xml:space="preserve">
DC_1A-3A-7A-20A_n78A
DC_1A-3C-7A-32A_n78A
DC_1A-3A-20A-32A_n78A
DC_1A-7A-20A-32A_n78A
DC_3A-7A-20A-32A_n78A
The above implies that any subset of the above combinations is supported.
MIMO support is expected to be in line with maximum layer support and the individual 4x4 MIMO support on each band.
if 4x4 MIMO cannot be supported on a specific combination of bands, even though the max. layer and individual 4x4 MIMO conditions are fulfilled, this must be indicated under "Comments Vendor".</t>
    </r>
  </si>
  <si>
    <t>3C-7A-n78A(44-2-4)(0M0M-0M-100M) Support. Other not support</t>
  </si>
  <si>
    <t>MTR-36739</t>
  </si>
  <si>
    <r>
      <rPr>
        <rFont val="Arial"/>
        <b/>
        <color theme="1"/>
        <sz val="10.0"/>
      </rPr>
      <t>2.5.2.1.9</t>
    </r>
    <r>
      <rPr>
        <rFont val="Arial"/>
        <b val="0"/>
        <color theme="1"/>
        <sz val="10.0"/>
      </rPr>
      <t xml:space="preserve"> </t>
    </r>
    <r>
      <rPr>
        <rFont val="Arial"/>
        <b/>
        <color theme="1"/>
        <sz val="10.0"/>
      </rPr>
      <t>Further EN-DC Combination Requirements</t>
    </r>
  </si>
  <si>
    <t>MTR-40161</t>
  </si>
  <si>
    <r>
      <rPr>
        <rFont val="Arial"/>
        <b/>
        <color theme="1"/>
        <sz val="10.0"/>
      </rPr>
      <t>EN-DC Uplink with LTE intra-band UL CA in band 3</t>
    </r>
    <r>
      <rPr>
        <rFont val="Arial"/>
        <b val="0"/>
        <color theme="1"/>
        <sz val="10.0"/>
      </rPr>
      <t xml:space="preserve">
EN-DC with UL split bearer based on a single NR carrier (at least for n1, n28, n78) and 2 LTE carriers using '3C' (intra-band contiguous) combination is supported.</t>
    </r>
  </si>
  <si>
    <t>RFFE limitation:ENDC UL CA Contigious</t>
  </si>
  <si>
    <t>MTR-39934</t>
  </si>
  <si>
    <r>
      <rPr>
        <rFont val="Arial"/>
        <b/>
        <color theme="1"/>
        <sz val="10.0"/>
      </rPr>
      <t>EN-DC with Carrier Aggregation on NR bands (FDD/30 MHz+TDD/100 MHz)</t>
    </r>
    <r>
      <rPr>
        <rFont val="Arial"/>
        <b val="0"/>
        <color theme="1"/>
        <sz val="10.0"/>
      </rPr>
      <t xml:space="preserve">
is supported.
</t>
    </r>
    <r>
      <rPr>
        <rFont val="Arial"/>
        <b/>
        <color theme="1"/>
        <sz val="10.0"/>
      </rPr>
      <t>Please list the applicable EN-DC with NR-NR aggregation combinations without mentioning specific LTE anchors under "Comments Vendor", e. g.</t>
    </r>
    <r>
      <rPr>
        <rFont val="Arial"/>
        <b val="0"/>
        <color theme="1"/>
        <sz val="10.0"/>
      </rPr>
      <t xml:space="preserve">
</t>
    </r>
    <r>
      <rPr>
        <rFont val="Arial"/>
        <b/>
        <color theme="1"/>
        <sz val="10.0"/>
      </rPr>
      <t xml:space="preserve"> - LTE + n1A/30MHz-n78A/100MHz, n3A/30MHz-n78A/100MHz, n28A/30MHz-n78A/100MHz</t>
    </r>
    <r>
      <rPr>
        <rFont val="Arial"/>
        <b val="0"/>
        <color theme="1"/>
        <sz val="10.0"/>
      </rPr>
      <t xml:space="preserve">
Note: If EN-DC with NR CA is supported then also support of 3GPP LTE RRC [Rel. 16] (MTR-27278) incl. LTE UL RRC Segementation (MTR-37266) is expected to properly handle increased UE Capability message sizes!</t>
    </r>
  </si>
  <si>
    <t xml:space="preserve">n3A-n78A(4-4)(40M-100M)
n7A-n78A(4-4)(50M-100M)
</t>
  </si>
  <si>
    <t>MTR-39935</t>
  </si>
  <si>
    <r>
      <rPr>
        <rFont val="Arial"/>
        <b/>
        <color theme="1"/>
        <sz val="10.0"/>
      </rPr>
      <t>EN-DC with Carrier Aggregation on NR bands (FDD/30 MHz+FDD/20 MHz)</t>
    </r>
    <r>
      <rPr>
        <rFont val="Arial"/>
        <b val="0"/>
        <color theme="1"/>
        <sz val="10.0"/>
      </rPr>
      <t xml:space="preserve">
is supported.
</t>
    </r>
    <r>
      <rPr>
        <rFont val="Arial"/>
        <b/>
        <color theme="1"/>
        <sz val="10.0"/>
      </rPr>
      <t>Please list the applicable EN-DC with NR-NR aggregation combinations without mentioning specific LTE anchors under "Comments Vendor", e. g.</t>
    </r>
    <r>
      <rPr>
        <rFont val="Arial"/>
        <b val="0"/>
        <color theme="1"/>
        <sz val="10.0"/>
      </rPr>
      <t xml:space="preserve">
</t>
    </r>
    <r>
      <rPr>
        <rFont val="Arial"/>
        <b/>
        <color theme="1"/>
        <sz val="10.0"/>
      </rPr>
      <t xml:space="preserve"> - LTE + n1A/30MHz-n3A/20MHz, n1A/30MHz-n28A/20Hz, n3A/30MHz-n28A/20MHz</t>
    </r>
    <r>
      <rPr>
        <rFont val="Arial"/>
        <b val="0"/>
        <color theme="1"/>
        <sz val="10.0"/>
      </rPr>
      <t xml:space="preserve">
Note: If EN-DC with NR CA is supported then also support of 3GPP LTE RRC [Rel. 16] (MTR-27278) incl. LTE UL RRC Segementation (MTR-37266) is expected to properly handle increased UE Capability message sizes!</t>
    </r>
  </si>
  <si>
    <t>n3A-n28A(4-2)(40M-20M)</t>
  </si>
  <si>
    <t>MTR-39936</t>
  </si>
  <si>
    <r>
      <rPr>
        <rFont val="Arial"/>
        <b/>
        <color theme="1"/>
        <sz val="10.0"/>
      </rPr>
      <t>EN-DC with Carrier Aggregation on NR bands (FDD/30 MHz+SDL/20 MHz)</t>
    </r>
    <r>
      <rPr>
        <rFont val="Arial"/>
        <b val="0"/>
        <color theme="1"/>
        <sz val="10.0"/>
      </rPr>
      <t xml:space="preserve">
is supported.
</t>
    </r>
    <r>
      <rPr>
        <rFont val="Arial"/>
        <b/>
        <color theme="1"/>
        <sz val="10.0"/>
      </rPr>
      <t>Please list the applicable EN-DC with NR-NR aggregation combinations without mentioning specific LTE anchors under "Comments Vendor", e. g.</t>
    </r>
    <r>
      <rPr>
        <rFont val="Arial"/>
        <b val="0"/>
        <color theme="1"/>
        <sz val="10.0"/>
      </rPr>
      <t xml:space="preserve">
</t>
    </r>
    <r>
      <rPr>
        <rFont val="Arial"/>
        <b/>
        <color theme="1"/>
        <sz val="10.0"/>
      </rPr>
      <t xml:space="preserve"> - LTE + n1A/30MHz-n75A/30MHz, n3A/30MHz-n75A/30MHz, n28A/30MHz-n75A/30MHz</t>
    </r>
    <r>
      <rPr>
        <rFont val="Arial"/>
        <b val="0"/>
        <color theme="1"/>
        <sz val="10.0"/>
      </rPr>
      <t xml:space="preserve">
Note: If EN-DC with NR CA is supported then also support of 3GPP LTE RRC [Rel. 16] (MTR-27278) incl. LTE UL RRC Segementation (MTR-37266) is expected to properly handle increased UE Capability message sizes!</t>
    </r>
  </si>
  <si>
    <t>n3A-n75A
n28A-n75A</t>
  </si>
  <si>
    <t>MTR-39937</t>
  </si>
  <si>
    <r>
      <rPr>
        <rFont val="Arial"/>
        <b/>
        <color theme="1"/>
        <sz val="10.0"/>
      </rPr>
      <t>EN-DC with Carrier Aggregation on NR bands (TDD/100 MHz+TDD/50 MHz)</t>
    </r>
    <r>
      <rPr>
        <rFont val="Arial"/>
        <b val="0"/>
        <color theme="1"/>
        <sz val="10.0"/>
      </rPr>
      <t xml:space="preserve">
is supported.
</t>
    </r>
    <r>
      <rPr>
        <rFont val="Arial"/>
        <b/>
        <color theme="1"/>
        <sz val="10.0"/>
      </rPr>
      <t>Please list the applicable EN-DC with NR-NR aggregation combinations without mentioning specific LTE anchors under "Comments Vendor", e. g.</t>
    </r>
    <r>
      <rPr>
        <rFont val="Arial"/>
        <b val="0"/>
        <color theme="1"/>
        <sz val="10.0"/>
      </rPr>
      <t xml:space="preserve">
</t>
    </r>
    <r>
      <rPr>
        <rFont val="Arial"/>
        <b/>
        <color theme="1"/>
        <sz val="10.0"/>
      </rPr>
      <t xml:space="preserve"> - LTE + n78C/150MHz, n78(2A)/150MHz</t>
    </r>
    <r>
      <rPr>
        <rFont val="Arial"/>
        <b val="0"/>
        <color theme="1"/>
        <sz val="10.0"/>
      </rPr>
      <t xml:space="preserve">
Note: If EN-DC with NR CA is supported then also support of 3GPP LTE RRC [Rel. 16] (MTR-27278) incl. LTE UL RRC Segementation (MTR-37266) is expected to properly handle increased UE Capability message sizes!</t>
    </r>
  </si>
  <si>
    <t>_n78C
_n78(2A)</t>
  </si>
  <si>
    <t>MTR-39938</t>
  </si>
  <si>
    <r>
      <rPr>
        <rFont val="Arial"/>
        <b/>
        <color theme="1"/>
        <sz val="10.0"/>
      </rPr>
      <t>EN-DC with Carrier Aggregation on NR bands (TDD/100 MHz+SDL/30 MHz)</t>
    </r>
    <r>
      <rPr>
        <rFont val="Arial"/>
        <b val="0"/>
        <color theme="1"/>
        <sz val="10.0"/>
      </rPr>
      <t xml:space="preserve">
is supported.
</t>
    </r>
    <r>
      <rPr>
        <rFont val="Arial"/>
        <b/>
        <color theme="1"/>
        <sz val="10.0"/>
      </rPr>
      <t>Please list the applicable EN-DC with NR-NR aggregation combinations without mentioning specific LTE anchors under "Comments Vendor", e. g.</t>
    </r>
    <r>
      <rPr>
        <rFont val="Arial"/>
        <b val="0"/>
        <color theme="1"/>
        <sz val="10.0"/>
      </rPr>
      <t xml:space="preserve">
</t>
    </r>
    <r>
      <rPr>
        <rFont val="Arial"/>
        <b/>
        <color theme="1"/>
        <sz val="10.0"/>
      </rPr>
      <t xml:space="preserve"> - LTE + n75A/50MHz-n78A/100MHz</t>
    </r>
    <r>
      <rPr>
        <rFont val="Arial"/>
        <b val="0"/>
        <color theme="1"/>
        <sz val="10.0"/>
      </rPr>
      <t xml:space="preserve">
Note: If EN-DC with NR CA is supported then also support of 3GPP LTE RRC [Rel. 16] (MTR-27278) incl. LTE UL RRC Segementation (MTR-37266) is expected to properly handle increased UE Capability message sizes!</t>
    </r>
  </si>
  <si>
    <t>-n75A-n78A(2-4)(20M-100M)
n75 supports 30M, Please request TAM to create a FR for desired MRDC combos with BCS</t>
  </si>
  <si>
    <t>MTR-35226</t>
  </si>
  <si>
    <r>
      <rPr>
        <rFont val="Arial"/>
        <b/>
        <color theme="1"/>
        <sz val="10.0"/>
      </rPr>
      <t>EN-DC with NR FR2 bands</t>
    </r>
    <r>
      <rPr>
        <rFont val="Arial"/>
        <b val="0"/>
        <color theme="1"/>
        <sz val="10.0"/>
      </rPr>
      <t xml:space="preserve">
is supported.
Please list the applicable LTE anchor bands under "Comments Vendor".</t>
    </r>
  </si>
  <si>
    <t>EMEA SKU does not have FR2 support</t>
  </si>
  <si>
    <t>MTR-36732</t>
  </si>
  <si>
    <r>
      <rPr>
        <rFont val="Arial"/>
        <b/>
        <color theme="1"/>
        <sz val="10.0"/>
      </rPr>
      <t>2.5.3</t>
    </r>
    <r>
      <rPr>
        <rFont val="Arial"/>
        <b val="0"/>
        <color theme="1"/>
        <sz val="10.0"/>
      </rPr>
      <t xml:space="preserve"> </t>
    </r>
    <r>
      <rPr>
        <rFont val="Arial"/>
        <b/>
        <color theme="1"/>
        <sz val="10.0"/>
      </rPr>
      <t>NR-CA Combinations (SA)</t>
    </r>
  </si>
  <si>
    <t>MTR-37477</t>
  </si>
  <si>
    <r>
      <rPr>
        <rFont val="Arial"/>
        <b/>
        <color theme="1"/>
        <sz val="10.0"/>
      </rPr>
      <t>2.5.3.1</t>
    </r>
    <r>
      <rPr>
        <rFont val="Arial"/>
        <b val="0"/>
        <color theme="1"/>
        <sz val="10.0"/>
      </rPr>
      <t xml:space="preserve"> </t>
    </r>
    <r>
      <rPr>
        <rFont val="Arial"/>
        <b/>
        <color theme="1"/>
        <sz val="10.0"/>
      </rPr>
      <t>NR-CA Combination Overview</t>
    </r>
  </si>
  <si>
    <t>MTR-36733</t>
  </si>
  <si>
    <r>
      <rPr>
        <rFont val="Arial"/>
        <b/>
        <color theme="1"/>
        <sz val="10.0"/>
      </rPr>
      <t xml:space="preserve">NR DL Carrier Aggregation with 2 carriers in FR1 (SA) </t>
    </r>
    <r>
      <rPr>
        <rFont val="Arial"/>
        <b val="0"/>
        <color theme="1"/>
        <sz val="10.0"/>
      </rPr>
      <t>is supported
This includes:
 FDD+FDD (F+F)
 FDD+TDD (F+T)
 TDD+TDD (2T)</t>
    </r>
  </si>
  <si>
    <t>SA disabled.</t>
  </si>
  <si>
    <t>MTR-39943</t>
  </si>
  <si>
    <r>
      <rPr>
        <rFont val="Arial"/>
        <b/>
        <color theme="1"/>
        <sz val="10.0"/>
      </rPr>
      <t>NR DL Carrier Aggregation with 2 Carriers in FR1 (SA)</t>
    </r>
    <r>
      <rPr>
        <rFont val="Arial"/>
        <b val="0"/>
        <color theme="1"/>
        <sz val="10.0"/>
      </rPr>
      <t xml:space="preserve"> is supported (</t>
    </r>
    <r>
      <rPr>
        <rFont val="Arial"/>
        <b/>
        <color theme="1"/>
        <sz val="10.0"/>
      </rPr>
      <t>2F</t>
    </r>
    <r>
      <rPr>
        <rFont val="Arial"/>
        <b val="0"/>
        <color theme="1"/>
        <sz val="10.0"/>
      </rPr>
      <t>)
Please indicate the supported variants of layer/bandwith combinations under "Comments Vendor", e.g.
e.g.
 FDD: ? MHz / ? Layers</t>
    </r>
  </si>
  <si>
    <t>FDD: ? MHz / ? Layers</t>
  </si>
  <si>
    <t>MTR-39944</t>
  </si>
  <si>
    <r>
      <rPr>
        <rFont val="Arial"/>
        <b/>
        <color theme="1"/>
        <sz val="10.0"/>
      </rPr>
      <t>NR DL Carrier Aggregation with 2 Carriers in FR1 (SA)</t>
    </r>
    <r>
      <rPr>
        <rFont val="Arial"/>
        <b val="0"/>
        <color theme="1"/>
        <sz val="10.0"/>
      </rPr>
      <t xml:space="preserve"> is supported (</t>
    </r>
    <r>
      <rPr>
        <rFont val="Arial"/>
        <b/>
        <color theme="1"/>
        <sz val="10.0"/>
      </rPr>
      <t>1F+1T</t>
    </r>
    <r>
      <rPr>
        <rFont val="Arial"/>
        <b val="0"/>
        <color theme="1"/>
        <sz val="10.0"/>
      </rPr>
      <t>)
Please indicate the supported variants of layer/bandwith combinations under "Comments Vendor", e.g.
 FDD: ? MHz / ? Layers + TDD: 100 MHz / 4 Layers</t>
    </r>
  </si>
  <si>
    <t>FDD: ? MHz / ? Layers + TDD: 100 MHz / 4 Layer</t>
  </si>
  <si>
    <t>MTR-39945</t>
  </si>
  <si>
    <r>
      <rPr>
        <rFont val="Arial"/>
        <b/>
        <color theme="1"/>
        <sz val="10.0"/>
      </rPr>
      <t>NR DL Carrier Aggregation with 2 Carriers in FR1 (SA)</t>
    </r>
    <r>
      <rPr>
        <rFont val="Arial"/>
        <b val="0"/>
        <color theme="1"/>
        <sz val="10.0"/>
      </rPr>
      <t xml:space="preserve"> is supported (</t>
    </r>
    <r>
      <rPr>
        <rFont val="Arial"/>
        <b/>
        <color theme="1"/>
        <sz val="10.0"/>
      </rPr>
      <t>2T</t>
    </r>
    <r>
      <rPr>
        <rFont val="Arial"/>
        <b val="0"/>
        <color theme="1"/>
        <sz val="10.0"/>
      </rPr>
      <t>)
Please indicate the supported variants of layer/bandwith combinations under 
"Comments Vendor"</t>
    </r>
  </si>
  <si>
    <t>TDD: ? MHz / 4 Layers</t>
  </si>
  <si>
    <t>MTR-36734</t>
  </si>
  <si>
    <r>
      <rPr>
        <rFont val="Arial"/>
        <b/>
        <color theme="1"/>
        <sz val="10.0"/>
      </rPr>
      <t xml:space="preserve">NR DL Carrier Aggregation with 3 carriers in FR1 (SA) </t>
    </r>
    <r>
      <rPr>
        <rFont val="Arial"/>
        <b val="0"/>
        <color theme="1"/>
        <sz val="10.0"/>
      </rPr>
      <t>is supported
This includes:
 FDD+FDD+FDD (3F)
 FDD+FDD+TDD (2F+1T)
 FDD+TDD+TDD (1F+2T)</t>
    </r>
  </si>
  <si>
    <t>SA disabled</t>
  </si>
  <si>
    <t>MTR-39948</t>
  </si>
  <si>
    <r>
      <rPr>
        <rFont val="Arial"/>
        <b/>
        <color theme="1"/>
        <sz val="10.0"/>
      </rPr>
      <t>NR DL Carrier Aggregation with 3 Carriers in FR1 (SA)</t>
    </r>
    <r>
      <rPr>
        <rFont val="Arial"/>
        <b val="0"/>
        <color theme="1"/>
        <sz val="10.0"/>
      </rPr>
      <t xml:space="preserve"> is supported (</t>
    </r>
    <r>
      <rPr>
        <rFont val="Arial"/>
        <b/>
        <color theme="1"/>
        <sz val="10.0"/>
      </rPr>
      <t>3F</t>
    </r>
    <r>
      <rPr>
        <rFont val="Arial"/>
        <b val="0"/>
        <color theme="1"/>
        <sz val="10.0"/>
      </rPr>
      <t>)
Please indicate the supported variants of layer/bandwith combinations under "Comments Vendor", e.g.
 FDD: ? MHz / ? Layers</t>
    </r>
  </si>
  <si>
    <t>MTR-39949</t>
  </si>
  <si>
    <r>
      <rPr>
        <rFont val="Arial"/>
        <b/>
        <color theme="1"/>
        <sz val="10.0"/>
      </rPr>
      <t>NR DL Carrier Aggregation with 3 Carriers in FR1 (SA)</t>
    </r>
    <r>
      <rPr>
        <rFont val="Arial"/>
        <b val="0"/>
        <color theme="1"/>
        <sz val="10.0"/>
      </rPr>
      <t xml:space="preserve"> is supported (</t>
    </r>
    <r>
      <rPr>
        <rFont val="Arial"/>
        <b/>
        <color theme="1"/>
        <sz val="10.0"/>
      </rPr>
      <t>2F+1T</t>
    </r>
    <r>
      <rPr>
        <rFont val="Arial"/>
        <b val="0"/>
        <color theme="1"/>
        <sz val="10.0"/>
      </rPr>
      <t>)
Please indicate the supported variants of layer/bandwith combinations under "Comments Vendor", e.g.
 FDD: ? MHz / ? Layers + TDD: 100 MHz / 4 Layers</t>
    </r>
  </si>
  <si>
    <t>FDD: ? MHz / ? Layers + TDD: 100 MHz / 4 Layers</t>
  </si>
  <si>
    <t>MTR-39950</t>
  </si>
  <si>
    <r>
      <rPr>
        <rFont val="Arial"/>
        <b/>
        <color theme="1"/>
        <sz val="10.0"/>
      </rPr>
      <t>NR DL Carrier Aggregation with 3 Carriers in FR1 (SA)</t>
    </r>
    <r>
      <rPr>
        <rFont val="Arial"/>
        <b val="0"/>
        <color theme="1"/>
        <sz val="10.0"/>
      </rPr>
      <t xml:space="preserve"> is supported (</t>
    </r>
    <r>
      <rPr>
        <rFont val="Arial"/>
        <b/>
        <color theme="1"/>
        <sz val="10.0"/>
      </rPr>
      <t>1F+2T</t>
    </r>
    <r>
      <rPr>
        <rFont val="Arial"/>
        <b val="0"/>
        <color theme="1"/>
        <sz val="10.0"/>
      </rPr>
      <t>)
Please indicate the supported variants of layer/bandwith combinations under "Comments Vendor", e.g.
 FDD: ? MHz / ? Layers + TDD: 120 MHz / 4 Layers
 FDD: ? MHz / ? Layers + TDD: 140 MHz / 4 Layers
 FDD: ? MHz / ? Layers + TDD: 150 MHz / 4 Layers
 FDD: ? MHz / ? Layers + TDD: 200 MHz / 4 Layers</t>
    </r>
  </si>
  <si>
    <t>FDD: ? MHz / ? Layers + TDD: 120 MHz / 4 Layers    FDD: ? MHz / ? Layers + TDD: 140 MHz / 4 Layers  FDD: ? MHz / ? Layers + TDD: 150 MHz / 4 Layers  FDD: ? MHz / ? Layers + TDD: 200 MHz / 4 Layers</t>
  </si>
  <si>
    <t>MTR-36735</t>
  </si>
  <si>
    <r>
      <rPr>
        <rFont val="Arial"/>
        <b/>
        <color theme="1"/>
        <sz val="10.0"/>
      </rPr>
      <t xml:space="preserve">NR DL Carrier Aggregation with 4 carriers in FR1 (SA) </t>
    </r>
    <r>
      <rPr>
        <rFont val="Arial"/>
        <b val="0"/>
        <color theme="1"/>
        <sz val="10.0"/>
      </rPr>
      <t>is supported
This includes at least:
 FDD+FDD+FDD+TDD (3F+1T)
 FDD+FDD+TDD+TDD (2F+2T)</t>
    </r>
  </si>
  <si>
    <t>SA disabled. Maximum 3 inter-band EN-DC or NR-CA (up to 5CC)</t>
  </si>
  <si>
    <t>MTR-39951</t>
  </si>
  <si>
    <r>
      <rPr>
        <rFont val="Arial"/>
        <b/>
        <color theme="1"/>
        <sz val="10.0"/>
      </rPr>
      <t>NR DL Carrier Aggregation with 4 Carriers in FR1 (SA)</t>
    </r>
    <r>
      <rPr>
        <rFont val="Arial"/>
        <b val="0"/>
        <color theme="1"/>
        <sz val="10.0"/>
      </rPr>
      <t xml:space="preserve"> is supported (</t>
    </r>
    <r>
      <rPr>
        <rFont val="Arial"/>
        <b/>
        <color theme="1"/>
        <sz val="10.0"/>
      </rPr>
      <t>4F</t>
    </r>
    <r>
      <rPr>
        <rFont val="Arial"/>
        <b val="0"/>
        <color theme="1"/>
        <sz val="10.0"/>
      </rPr>
      <t>)
Please indicate the supported variants of layer/bandwith combinations under "Comments Vendor", e.g.
 FDD: ? MHz / ? Layers</t>
    </r>
  </si>
  <si>
    <t>MTR-39952</t>
  </si>
  <si>
    <r>
      <rPr>
        <rFont val="Arial"/>
        <b/>
        <color theme="1"/>
        <sz val="10.0"/>
      </rPr>
      <t>NR DL Carrier Aggregation with 4 Carriers in FR1 (SA)</t>
    </r>
    <r>
      <rPr>
        <rFont val="Arial"/>
        <b val="0"/>
        <color theme="1"/>
        <sz val="10.0"/>
      </rPr>
      <t xml:space="preserve"> is supported (</t>
    </r>
    <r>
      <rPr>
        <rFont val="Arial"/>
        <b/>
        <color theme="1"/>
        <sz val="10.0"/>
      </rPr>
      <t>3F+1T</t>
    </r>
    <r>
      <rPr>
        <rFont val="Arial"/>
        <b val="0"/>
        <color theme="1"/>
        <sz val="10.0"/>
      </rPr>
      <t>)
Please indicate the supported variants of layer/bandwith combinations under "Comments Vendor", e.g.
 FDD: ? MHz / ? Layers + TDD: 100 MHz / 4 Layers</t>
    </r>
  </si>
  <si>
    <t>MTR-39953</t>
  </si>
  <si>
    <r>
      <rPr>
        <rFont val="Arial"/>
        <b/>
        <color theme="1"/>
        <sz val="10.0"/>
      </rPr>
      <t>NR DL Carrier Aggregation with 4 Carriers in FR1 (SA)</t>
    </r>
    <r>
      <rPr>
        <rFont val="Arial"/>
        <b val="0"/>
        <color theme="1"/>
        <sz val="10.0"/>
      </rPr>
      <t xml:space="preserve"> is supported (</t>
    </r>
    <r>
      <rPr>
        <rFont val="Arial"/>
        <b/>
        <color theme="1"/>
        <sz val="10.0"/>
      </rPr>
      <t>2F+2T</t>
    </r>
    <r>
      <rPr>
        <rFont val="Arial"/>
        <b val="0"/>
        <color theme="1"/>
        <sz val="10.0"/>
      </rPr>
      <t>)
Please indicate the supported variants of layer/bandwith combinations under "Comments Vendor", e.g.
 FDD: ? MHz / ? Layers + TDD: 140 MHz / 4 Layers
 FDD: ? MHz / ? Layers + TDD: 150 MHz / 4 Layers
 FDD: ? MHz / ? Layers + TDD: 200 MHz / 4 Layers</t>
    </r>
  </si>
  <si>
    <t>FDD: ? MHz / ? Layers + TDD: 140 MHz / 4 Layers  FDD: ? MHz / ? Layers + TDD: 150 MHz / 4 Layers FDD: ? MHz / ? Layers + TDD: 200 MHz / 4 Layers</t>
  </si>
  <si>
    <t>MTR-36738</t>
  </si>
  <si>
    <r>
      <rPr>
        <rFont val="Arial"/>
        <b/>
        <color theme="1"/>
        <sz val="10.0"/>
      </rPr>
      <t>NR DL Carrier Aggregation with 5 carriers in FR1 (SA)</t>
    </r>
    <r>
      <rPr>
        <rFont val="Arial"/>
        <b val="0"/>
        <color theme="1"/>
        <sz val="10.0"/>
      </rPr>
      <t xml:space="preserve">
is supported</t>
    </r>
  </si>
  <si>
    <t>MTR-36737</t>
  </si>
  <si>
    <r>
      <rPr>
        <rFont val="Arial"/>
        <b/>
        <color theme="1"/>
        <sz val="10.0"/>
      </rPr>
      <t>NR DL Carrier Aggregation between FR1 and FR2 bands</t>
    </r>
    <r>
      <rPr>
        <rFont val="Arial"/>
        <b val="0"/>
        <color theme="1"/>
        <sz val="10.0"/>
      </rPr>
      <t xml:space="preserve">
is supported</t>
    </r>
  </si>
  <si>
    <t>MTR-40214</t>
  </si>
  <si>
    <r>
      <rPr>
        <rFont val="Arial"/>
        <b/>
        <color theme="1"/>
        <sz val="10.0"/>
      </rPr>
      <t>[Rel. 15] NR Inter-band UL Carrier Aggregation in FR1 (SA) with FDD+FDD</t>
    </r>
    <r>
      <rPr>
        <rFont val="Arial"/>
        <b val="0"/>
        <color theme="1"/>
        <sz val="10.0"/>
      </rPr>
      <t xml:space="preserve">
is supported.
This includes at least the following band combinations:
- n1-n3
- n1-n28
- n3-n28
</t>
    </r>
    <r>
      <rPr>
        <rFont val="Arial"/>
        <b/>
        <color theme="1"/>
        <sz val="10.0"/>
      </rPr>
      <t>If supported please indicate under "Comments vendor" all supported UL CA band combinations!</t>
    </r>
  </si>
  <si>
    <t>1600/225 Mbps, 2000/225 Mbps, 5G SA</t>
  </si>
  <si>
    <t>MTR-40215</t>
  </si>
  <si>
    <r>
      <rPr>
        <rFont val="Arial"/>
        <b/>
        <color theme="1"/>
        <sz val="10.0"/>
      </rPr>
      <t>[Rel. 15] NR Inter-band UL Carrier Aggregation in FR1 (SA) with FDD+TDD</t>
    </r>
    <r>
      <rPr>
        <rFont val="Arial"/>
        <b val="0"/>
        <color theme="1"/>
        <sz val="10.0"/>
      </rPr>
      <t xml:space="preserve">
is supported.
This includes at least the following band combinations:
- n1-n78
- n3-n78
- n28-n78
</t>
    </r>
    <r>
      <rPr>
        <rFont val="Arial"/>
        <b/>
        <color theme="1"/>
        <sz val="10.0"/>
      </rPr>
      <t>If supported please indicate under "Comments vendor" all supported UL CA band combinations!</t>
    </r>
  </si>
  <si>
    <t>MTR-38937</t>
  </si>
  <si>
    <r>
      <rPr>
        <rFont val="Arial"/>
        <b/>
        <color theme="1"/>
        <sz val="10.0"/>
      </rPr>
      <t>[Rel. 16] NR UL Tx Switching (Option 1: Switched Single UL) FDD&lt;&gt;TDD (incl. UL MIMO and PC2 on band n78)</t>
    </r>
    <r>
      <rPr>
        <rFont val="Arial"/>
        <b val="0"/>
        <color theme="1"/>
        <sz val="10.0"/>
      </rPr>
      <t xml:space="preserve">
is supported.
This includes at least the following band combinations:
- n1-n78
- n3-n78
- n28-n78
Indicated per band combination via the Rel. 16 IE [</t>
    </r>
    <r>
      <rPr>
        <rFont val="Arial"/>
        <b val="0"/>
        <i/>
        <color theme="1"/>
        <sz val="10.0"/>
      </rPr>
      <t>BandCombination-UplinkTxSwitch-r16</t>
    </r>
    <r>
      <rPr>
        <rFont val="Arial"/>
        <b val="0"/>
        <color theme="1"/>
        <sz val="10.0"/>
      </rPr>
      <t>] \\ [</t>
    </r>
    <r>
      <rPr>
        <rFont val="Arial"/>
        <b val="0"/>
        <i/>
        <color theme="1"/>
        <sz val="10.0"/>
      </rPr>
      <t>uplinkTxSwitching-OptionSupport-r16</t>
    </r>
    <r>
      <rPr>
        <rFont val="Arial"/>
        <b val="0"/>
        <color theme="1"/>
        <sz val="10.0"/>
      </rPr>
      <t xml:space="preserve">] with one of the following values:
- switchedUL or 
- both  (would include DualIUL)
In addition the "Tx switching period between two uplink carriers" is signalled under "RF-Parameters-&gt; supportedBandCombinationList-UplinkTxSwitch-r16" with one of the candidate values \{35us, 140 us, 210us\}.
See also TR38.882 Index 22-1 and RF/RRM 7-1.
</t>
    </r>
    <r>
      <rPr>
        <rFont val="Arial"/>
        <b/>
        <color theme="1"/>
        <sz val="10.0"/>
      </rPr>
      <t>If supported please indicate under "Comments vendor" all supported band combinations and list potential restrictions regarding UL MIMO and PC2 usage!</t>
    </r>
  </si>
  <si>
    <t>5G SA disabled.</t>
  </si>
  <si>
    <t>MTR-38938</t>
  </si>
  <si>
    <r>
      <rPr>
        <rFont val="Arial"/>
        <b/>
        <color theme="1"/>
        <sz val="10.0"/>
      </rPr>
      <t>[Rel. 16] NR Power Boosting for UL Tx Switching</t>
    </r>
    <r>
      <rPr>
        <rFont val="Arial"/>
        <b val="0"/>
        <color theme="1"/>
        <sz val="10.0"/>
      </rPr>
      <t xml:space="preserve">
is supported
Indicated per band combination with the IE [</t>
    </r>
    <r>
      <rPr>
        <rFont val="Arial"/>
        <b val="0"/>
        <i/>
        <color theme="1"/>
        <sz val="10.0"/>
      </rPr>
      <t>BandCombination-UplinkTxSwitch-r16</t>
    </r>
    <r>
      <rPr>
        <rFont val="Arial"/>
        <b val="0"/>
        <color theme="1"/>
        <sz val="10.0"/>
      </rPr>
      <t>] \\ [</t>
    </r>
    <r>
      <rPr>
        <rFont val="Arial"/>
        <b val="0"/>
        <i/>
        <color theme="1"/>
        <sz val="10.0"/>
      </rPr>
      <t>uplinkTxSwitching-PowerBoosting-r16</t>
    </r>
    <r>
      <rPr>
        <rFont val="Arial"/>
        <b val="0"/>
        <color theme="1"/>
        <sz val="10.0"/>
      </rPr>
      <t xml:space="preserve">] for </t>
    </r>
    <r>
      <rPr>
        <rFont val="Arial"/>
        <b/>
        <color theme="1"/>
        <sz val="10.0"/>
      </rPr>
      <t>NR band n78</t>
    </r>
    <r>
      <rPr>
        <rFont val="Arial"/>
        <b val="0"/>
        <color theme="1"/>
        <sz val="10.0"/>
      </rPr>
      <t>.
The support indication shall apply for every NR FDD+TDD SwitchedUL combination for which this is applicable in general - potential deviations must be indicated under 'Comments vendor'.</t>
    </r>
  </si>
  <si>
    <t>MTR-39224</t>
  </si>
  <si>
    <r>
      <rPr>
        <rFont val="Arial"/>
        <b/>
        <color theme="1"/>
        <sz val="10.0"/>
      </rPr>
      <t>[Rel. 16] NR UL coherent transmission between SRS and PUSCH across switching time</t>
    </r>
    <r>
      <rPr>
        <rFont val="Arial"/>
        <b val="0"/>
        <color theme="1"/>
        <sz val="10.0"/>
      </rPr>
      <t xml:space="preserve"> (for 5G SA operation)
is supported and indicated with IE [</t>
    </r>
    <r>
      <rPr>
        <rFont val="Arial"/>
        <b val="0"/>
        <i/>
        <color theme="1"/>
        <sz val="10.0"/>
      </rPr>
      <t>uplinkTxSwitching-PUSCH-TransCoherence-r16</t>
    </r>
    <r>
      <rPr>
        <rFont val="Arial"/>
        <b/>
        <i/>
        <color theme="1"/>
        <sz val="10.0"/>
      </rPr>
      <t xml:space="preserve"> </t>
    </r>
    <r>
      <rPr>
        <rFont val="Arial"/>
        <b val="0"/>
        <color theme="1"/>
        <sz val="10.0"/>
      </rPr>
      <t>] set to "fullCoherent" in [</t>
    </r>
    <r>
      <rPr>
        <rFont val="Arial"/>
        <b val="0"/>
        <i/>
        <color theme="1"/>
        <sz val="10.0"/>
      </rPr>
      <t>supportedBandCombinationList-UplinkTxSwitch-r16</t>
    </r>
    <r>
      <rPr>
        <rFont val="Arial"/>
        <b val="0"/>
        <color theme="1"/>
        <sz val="10.0"/>
      </rPr>
      <t>].
The support indication shall apply for every NR Switched UL combination for which this applicable in general - potential deviations must be indicated under 'Comments vendor'.</t>
    </r>
  </si>
  <si>
    <t>MTR-38936</t>
  </si>
  <si>
    <r>
      <rPr>
        <rFont val="Arial"/>
        <b/>
        <color theme="1"/>
        <sz val="10.0"/>
      </rPr>
      <t>[Rel. 16] NR UL Tx Switching (Option 2: Switched Dual UL) FDD+TDD (Dual UL)&lt;&gt;TDD (incl. UL MIMO and PC2 on band n78)</t>
    </r>
    <r>
      <rPr>
        <rFont val="Arial"/>
        <b val="0"/>
        <color theme="1"/>
        <sz val="10.0"/>
      </rPr>
      <t xml:space="preserve">
is supported
Indicated per band combination via the Rel. 16 IE [</t>
    </r>
    <r>
      <rPr>
        <rFont val="Arial"/>
        <b val="0"/>
        <i/>
        <color theme="1"/>
        <sz val="10.0"/>
      </rPr>
      <t>BandCombination-UplinkTxSwitch-r16</t>
    </r>
    <r>
      <rPr>
        <rFont val="Arial"/>
        <b val="0"/>
        <color theme="1"/>
        <sz val="10.0"/>
      </rPr>
      <t>] \\ [</t>
    </r>
    <r>
      <rPr>
        <rFont val="Arial"/>
        <b val="0"/>
        <i/>
        <color theme="1"/>
        <sz val="10.0"/>
      </rPr>
      <t>uplinkTxSwitching-OptionSupport-r16</t>
    </r>
    <r>
      <rPr>
        <rFont val="Arial"/>
        <b val="0"/>
        <color theme="1"/>
        <sz val="10.0"/>
      </rPr>
      <t>] with one of the following values:
- dualUL or 
- both  (would include switchedUL)
See also TR38.882 Index 22-1.
If supported please indicate under "Comments vendor" all supported NR Switched UL band combinations!</t>
    </r>
  </si>
  <si>
    <t>MTR-33603</t>
  </si>
  <si>
    <r>
      <rPr>
        <rFont val="Arial"/>
        <b/>
        <color theme="1"/>
        <sz val="10.0"/>
      </rPr>
      <t>2.5.4</t>
    </r>
    <r>
      <rPr>
        <rFont val="Arial"/>
        <b val="0"/>
        <color theme="1"/>
        <sz val="10.0"/>
      </rPr>
      <t xml:space="preserve"> </t>
    </r>
    <r>
      <rPr>
        <rFont val="Arial"/>
        <b/>
        <color theme="1"/>
        <sz val="10.0"/>
      </rPr>
      <t>Data rate requirements</t>
    </r>
  </si>
  <si>
    <t>MTR-33604</t>
  </si>
  <si>
    <r>
      <rPr>
        <rFont val="Arial"/>
        <b/>
        <color theme="1"/>
        <sz val="10.0"/>
      </rPr>
      <t>2.5.4.1</t>
    </r>
    <r>
      <rPr>
        <rFont val="Arial"/>
        <b val="0"/>
        <color theme="1"/>
        <sz val="10.0"/>
      </rPr>
      <t xml:space="preserve"> </t>
    </r>
    <r>
      <rPr>
        <rFont val="Arial"/>
        <b/>
        <color theme="1"/>
        <sz val="10.0"/>
      </rPr>
      <t>NR Speed</t>
    </r>
  </si>
  <si>
    <t>MTR-33790</t>
  </si>
  <si>
    <r>
      <rPr>
        <rFont val="Arial"/>
        <b/>
        <color theme="1"/>
        <sz val="10.0"/>
      </rPr>
      <t xml:space="preserve">256 QAM DL </t>
    </r>
    <r>
      <rPr>
        <rFont val="Arial"/>
        <b val="0"/>
        <color theme="1"/>
        <sz val="10.0"/>
      </rPr>
      <t xml:space="preserve">
on all FR1 NR bands is supported</t>
    </r>
  </si>
  <si>
    <t>MTR-34519</t>
  </si>
  <si>
    <r>
      <rPr>
        <rFont val="Arial"/>
        <b/>
        <color theme="1"/>
        <sz val="10.0"/>
      </rPr>
      <t xml:space="preserve">1024 QAM DL </t>
    </r>
    <r>
      <rPr>
        <rFont val="Arial"/>
        <b val="0"/>
        <color theme="1"/>
        <sz val="10.0"/>
      </rPr>
      <t xml:space="preserve">
on all FR1 NR bands is supported</t>
    </r>
  </si>
  <si>
    <t>MTR-33792</t>
  </si>
  <si>
    <r>
      <rPr>
        <rFont val="Arial"/>
        <b/>
        <color theme="1"/>
        <sz val="10.0"/>
      </rPr>
      <t>256 QAM UL</t>
    </r>
    <r>
      <rPr>
        <rFont val="Arial"/>
        <b val="0"/>
        <color theme="1"/>
        <sz val="10.0"/>
      </rPr>
      <t xml:space="preserve">
on all FR1 NR bands is supported</t>
    </r>
  </si>
  <si>
    <t>MTR-33611</t>
  </si>
  <si>
    <r>
      <rPr>
        <rFont val="Arial"/>
        <b/>
        <color theme="1"/>
        <sz val="10.0"/>
      </rPr>
      <t>2.5.4.2</t>
    </r>
    <r>
      <rPr>
        <rFont val="Arial"/>
        <b val="0"/>
        <color theme="1"/>
        <sz val="10.0"/>
      </rPr>
      <t xml:space="preserve"> </t>
    </r>
    <r>
      <rPr>
        <rFont val="Arial"/>
        <b/>
        <color theme="1"/>
        <sz val="10.0"/>
      </rPr>
      <t>Combined LTE-NR Speed</t>
    </r>
  </si>
  <si>
    <t>MTR-33621</t>
  </si>
  <si>
    <r>
      <rPr>
        <rFont val="Arial"/>
        <b/>
        <color theme="1"/>
        <sz val="10.0"/>
      </rPr>
      <t>2.5.6</t>
    </r>
    <r>
      <rPr>
        <rFont val="Arial"/>
        <b val="0"/>
        <color theme="1"/>
        <sz val="10.0"/>
      </rPr>
      <t xml:space="preserve"> </t>
    </r>
    <r>
      <rPr>
        <rFont val="Arial"/>
        <b/>
        <color theme="1"/>
        <sz val="10.0"/>
      </rPr>
      <t>General NR/EN-DC related Radio Requirements</t>
    </r>
  </si>
  <si>
    <t>MTR-33851</t>
  </si>
  <si>
    <r>
      <rPr>
        <rFont val="Arial"/>
        <b/>
        <color theme="1"/>
        <sz val="10.0"/>
      </rPr>
      <t>2.5.6.1</t>
    </r>
    <r>
      <rPr>
        <rFont val="Arial"/>
        <b val="0"/>
        <color theme="1"/>
        <sz val="10.0"/>
      </rPr>
      <t xml:space="preserve"> </t>
    </r>
    <r>
      <rPr>
        <rFont val="Arial"/>
        <b/>
        <color theme="1"/>
        <sz val="10.0"/>
      </rPr>
      <t>NR and EN-DC Mobility</t>
    </r>
  </si>
  <si>
    <t>MTR-33788</t>
  </si>
  <si>
    <r>
      <rPr>
        <rFont val="Arial"/>
        <color theme="1"/>
        <sz val="10.0"/>
      </rPr>
      <t xml:space="preserve">Enhanced Mobility controlled by eNB/MCG using events A3, A5 and tunnelling of the measurement report in E-UTRA RRC message </t>
    </r>
    <r>
      <rPr>
        <rFont val="Arial"/>
        <i/>
        <color theme="1"/>
        <sz val="10.0"/>
      </rPr>
      <t>ULInformationTransferMRDC</t>
    </r>
    <r>
      <rPr>
        <rFont val="Arial"/>
        <color theme="1"/>
        <sz val="10.0"/>
      </rPr>
      <t xml:space="preserve"> is supported (IE "eventA-MeasAndReport").</t>
    </r>
  </si>
  <si>
    <t>MTR-34122</t>
  </si>
  <si>
    <t>Enhanced Mobility controlled by eNB/MCG using events A3, A5 and reporting over SRB3 to SCG is supported (IEs "eventA-MeasAndReport" and "SRB3").</t>
  </si>
  <si>
    <t>MTR-34678</t>
  </si>
  <si>
    <r>
      <rPr>
        <rFont val="Arial"/>
        <b/>
        <color theme="1"/>
        <sz val="10.0"/>
      </rPr>
      <t>[Rel. 16] LTE to NR measurements without GAPs</t>
    </r>
    <r>
      <rPr>
        <rFont val="Arial"/>
        <b val="0"/>
        <color theme="1"/>
        <sz val="10.0"/>
      </rPr>
      <t xml:space="preserve"> are supported.
This is signalled via the Rel. 16 "</t>
    </r>
    <r>
      <rPr>
        <rFont val="Arial"/>
        <b val="0"/>
        <i/>
        <color theme="1"/>
        <sz val="10.0"/>
      </rPr>
      <t>interRAT-NeedForGapsNR</t>
    </r>
    <r>
      <rPr>
        <rFont val="Arial"/>
        <b val="0"/>
        <color theme="1"/>
        <sz val="10.0"/>
      </rPr>
      <t>" set to FALSE for each supported NR band per supported LTE band or band combination.
The band combinations in focus are the ones indicated in the EN-DC combination section.
(typical ones: LTE: 1, 3, 7, 8, 20 - NR: 1, 28, 78)</t>
    </r>
  </si>
  <si>
    <t>RFFE limitation (b/298369466)</t>
  </si>
  <si>
    <t>MTR-34719</t>
  </si>
  <si>
    <r>
      <rPr>
        <rFont val="Arial"/>
        <b/>
        <color theme="1"/>
        <sz val="10.0"/>
      </rPr>
      <t>2.5.6.2</t>
    </r>
    <r>
      <rPr>
        <rFont val="Arial"/>
        <b val="0"/>
        <color theme="1"/>
        <sz val="10.0"/>
      </rPr>
      <t xml:space="preserve"> </t>
    </r>
    <r>
      <rPr>
        <rFont val="Arial"/>
        <b/>
        <color theme="1"/>
        <sz val="10.0"/>
      </rPr>
      <t>Self-Organized Network (SON), Minimization of Driving Tests (MDT) and Automatic Neighbouring Relations (ANR)</t>
    </r>
  </si>
  <si>
    <t>MTR-36200</t>
  </si>
  <si>
    <r>
      <rPr>
        <rFont val="Arial"/>
        <b/>
        <color theme="1"/>
        <sz val="10.0"/>
      </rPr>
      <t>[Rel. 16] Immediate MDT</t>
    </r>
    <r>
      <rPr>
        <rFont val="Arial"/>
        <b val="0"/>
        <color theme="1"/>
        <sz val="10.0"/>
      </rPr>
      <t xml:space="preserve"> including location information (related capability is </t>
    </r>
    <r>
      <rPr>
        <rFont val="Arial"/>
        <b val="0"/>
        <i/>
        <color theme="1"/>
        <sz val="10.0"/>
      </rPr>
      <t>gnss-Location-r16)</t>
    </r>
    <r>
      <rPr>
        <rFont val="Arial"/>
        <b val="0"/>
        <color theme="1"/>
        <sz val="10.0"/>
      </rPr>
      <t xml:space="preserve"> is supported for </t>
    </r>
    <r>
      <rPr>
        <rFont val="Arial"/>
        <b/>
        <color theme="1"/>
        <sz val="10.0"/>
      </rPr>
      <t>ENDC</t>
    </r>
    <r>
      <rPr>
        <rFont val="Arial"/>
        <b val="0"/>
        <color theme="1"/>
        <sz val="10.0"/>
      </rPr>
      <t>.
Immediate MDT reports will be delivered to the network either directly to the gNB (related capability is in MTR-34310) or indirectly via eNB (in a container).</t>
    </r>
  </si>
  <si>
    <t>MTR-34721</t>
  </si>
  <si>
    <r>
      <rPr>
        <rFont val="Arial"/>
        <b/>
        <color theme="1"/>
        <sz val="10.0"/>
      </rPr>
      <t>ANR: LTE-&gt;NR</t>
    </r>
    <r>
      <rPr>
        <rFont val="Arial"/>
        <b val="0"/>
        <color theme="1"/>
        <sz val="10.0"/>
      </rPr>
      <t xml:space="preserve">
Within LTE RRC: </t>
    </r>
    <r>
      <rPr>
        <rFont val="Arial"/>
        <b/>
        <color theme="1"/>
        <sz val="10.0"/>
      </rPr>
      <t>CGI reporting of NR cell when EN-DC is NOT configured</t>
    </r>
    <r>
      <rPr>
        <rFont val="Arial"/>
        <b val="0"/>
        <color theme="1"/>
        <sz val="10.0"/>
      </rPr>
      <t xml:space="preserve">
[LTE Capability] The UE supports Inter-RAT </t>
    </r>
    <r>
      <rPr>
        <rFont val="Arial"/>
        <b/>
        <color theme="1"/>
        <sz val="10.0"/>
      </rPr>
      <t xml:space="preserve">report CGI </t>
    </r>
    <r>
      <rPr>
        <rFont val="Arial"/>
        <b val="0"/>
        <color theme="1"/>
        <sz val="10.0"/>
      </rPr>
      <t xml:space="preserve">procedure towards NR cell when it is </t>
    </r>
    <r>
      <rPr>
        <rFont val="Arial"/>
        <b/>
        <color theme="1"/>
        <sz val="10.0"/>
      </rPr>
      <t>not configured with EN-DC</t>
    </r>
    <r>
      <rPr>
        <rFont val="Arial"/>
        <b val="0"/>
        <color theme="1"/>
        <sz val="10.0"/>
      </rPr>
      <t>.
The support is indicated within UE-EUTRA-Capability IE as follows
"NeighCellSI-AcquisitionParameters-v1530/reportCGI-NR-NoEN-DC-r15"</t>
    </r>
  </si>
  <si>
    <t>MTR-36243</t>
  </si>
  <si>
    <r>
      <rPr>
        <rFont val="Arial"/>
        <b/>
        <color theme="1"/>
        <sz val="10.0"/>
      </rPr>
      <t>[Rel. 16] ANR: LTE -&gt; NR (autonomous gaps)</t>
    </r>
    <r>
      <rPr>
        <rFont val="Arial"/>
        <b val="0"/>
        <color theme="1"/>
        <sz val="10.0"/>
      </rPr>
      <t xml:space="preserve">
Within LTE RRC: </t>
    </r>
    <r>
      <rPr>
        <rFont val="Arial"/>
        <b/>
        <color theme="1"/>
        <sz val="10.0"/>
      </rPr>
      <t>CGI reporting of NR cell when EN-DC is not configured</t>
    </r>
    <r>
      <rPr>
        <rFont val="Arial"/>
        <b val="0"/>
        <color theme="1"/>
        <sz val="10.0"/>
      </rPr>
      <t xml:space="preserve">
[LTE Capability] The UE supports Inter-RAT report CGI procedure towards NR cell when it is </t>
    </r>
    <r>
      <rPr>
        <rFont val="Arial"/>
        <b/>
        <color theme="1"/>
        <sz val="10.0"/>
      </rPr>
      <t>not configured with EN-DC</t>
    </r>
    <r>
      <rPr>
        <rFont val="Arial"/>
        <b val="0"/>
        <color theme="1"/>
        <sz val="10.0"/>
      </rPr>
      <t>. (</t>
    </r>
    <r>
      <rPr>
        <rFont val="Arial"/>
        <b/>
        <color theme="1"/>
        <sz val="10.0"/>
      </rPr>
      <t>Autonomous gaps</t>
    </r>
    <r>
      <rPr>
        <rFont val="Arial"/>
        <b val="0"/>
        <color theme="1"/>
        <sz val="10.0"/>
      </rPr>
      <t xml:space="preserve"> are used for reading SI of the neighbouring cell).
The support is signalled within UE-EUTRA-Capability IE as follows
"NeighCellSI-AcquisitionParameters-v1610/nr-AutonomousGaps-FR1-r16"
Note: This is 3GPP mandatory for Rel. 16 devices!</t>
    </r>
  </si>
  <si>
    <t>RFFE limitation (b/297186794)</t>
  </si>
  <si>
    <t>MTR-34720</t>
  </si>
  <si>
    <r>
      <rPr>
        <rFont val="Arial"/>
        <b/>
        <color theme="1"/>
        <sz val="10.0"/>
      </rPr>
      <t>ANR: ENDC -&gt;NR</t>
    </r>
    <r>
      <rPr>
        <rFont val="Arial"/>
        <b val="0"/>
        <color theme="1"/>
        <sz val="10.0"/>
      </rPr>
      <t xml:space="preserve">
Within LTE RRC: </t>
    </r>
    <r>
      <rPr>
        <rFont val="Arial"/>
        <b/>
        <color theme="1"/>
        <sz val="10.0"/>
      </rPr>
      <t>CGI reporting of NR cell when EN-DC is configured</t>
    </r>
    <r>
      <rPr>
        <rFont val="Arial"/>
        <b val="0"/>
        <color theme="1"/>
        <sz val="10.0"/>
      </rPr>
      <t xml:space="preserve">
[LTE Capability] The UE supports Inter-RAT </t>
    </r>
    <r>
      <rPr>
        <rFont val="Arial"/>
        <b/>
        <color theme="1"/>
        <sz val="10.0"/>
      </rPr>
      <t>report CGI</t>
    </r>
    <r>
      <rPr>
        <rFont val="Arial"/>
        <b val="0"/>
        <color theme="1"/>
        <sz val="10.0"/>
      </rPr>
      <t xml:space="preserve"> procedure towards NR cell when it is </t>
    </r>
    <r>
      <rPr>
        <rFont val="Arial"/>
        <b/>
        <color theme="1"/>
        <sz val="10.0"/>
      </rPr>
      <t>configured with EN-DC</t>
    </r>
    <r>
      <rPr>
        <rFont val="Arial"/>
        <b val="0"/>
        <color theme="1"/>
        <sz val="10.0"/>
      </rPr>
      <t>. 
The support is signalled within UE-EUTRA-Capability IE as follows "NeighCellSI-AcquisitionParameters-v1530/reportCGI-NR-EN-DC-r15"</t>
    </r>
  </si>
  <si>
    <t>Support but default disable (It's not related to 5G SA. we could enable if DT request)</t>
  </si>
  <si>
    <t>MTR-36239</t>
  </si>
  <si>
    <r>
      <rPr>
        <rFont val="Arial"/>
        <b/>
        <color theme="1"/>
        <sz val="10.0"/>
      </rPr>
      <t>ANR: ENDC -&gt; LTE (non-aligned DRX)</t>
    </r>
    <r>
      <rPr>
        <rFont val="Arial"/>
        <b val="0"/>
        <color theme="1"/>
        <sz val="10.0"/>
      </rPr>
      <t xml:space="preserve">
Within LTE RRC: </t>
    </r>
    <r>
      <rPr>
        <rFont val="Arial"/>
        <b/>
        <color theme="1"/>
        <sz val="10.0"/>
      </rPr>
      <t>CGI reporting of LTE cell when EN-DC is configured</t>
    </r>
    <r>
      <rPr>
        <rFont val="Arial"/>
        <b val="0"/>
        <color theme="1"/>
        <sz val="10.0"/>
      </rPr>
      <t xml:space="preserve">
[LTE Capability] The UE supports Intra-RAT </t>
    </r>
    <r>
      <rPr>
        <rFont val="Arial"/>
        <b/>
        <color theme="1"/>
        <sz val="10.0"/>
      </rPr>
      <t>reportCGI</t>
    </r>
    <r>
      <rPr>
        <rFont val="Arial"/>
        <b val="0"/>
        <color theme="1"/>
        <sz val="10.0"/>
      </rPr>
      <t xml:space="preserve"> procedure towards LTE cell when it is </t>
    </r>
    <r>
      <rPr>
        <rFont val="Arial"/>
        <b/>
        <color theme="1"/>
        <sz val="10.0"/>
      </rPr>
      <t>configured with EN-DC</t>
    </r>
    <r>
      <rPr>
        <rFont val="Arial"/>
        <b val="0"/>
        <color theme="1"/>
        <sz val="10.0"/>
      </rPr>
      <t>. (MN and SN have different DRX cycles, or on-duration configured by MN does not contain on-duration configured by SN if their DRX cycles are same.)
The support is signalled within UE-EUTRA-Capability IE as follows
"NeighCellSI-AcquisitionParameters-v1550/eutra-CGI-Reporting-ENDC-r15".</t>
    </r>
  </si>
  <si>
    <t>MTR-36240</t>
  </si>
  <si>
    <r>
      <rPr>
        <rFont val="Arial"/>
        <b/>
        <color theme="1"/>
        <sz val="10.0"/>
      </rPr>
      <t>[Rel. 16] ANR: ENDC -&gt; LTE (autonomous gaps)</t>
    </r>
    <r>
      <rPr>
        <rFont val="Arial"/>
        <b val="0"/>
        <color theme="1"/>
        <sz val="10.0"/>
      </rPr>
      <t xml:space="preserve">
Within LTE RRC: </t>
    </r>
    <r>
      <rPr>
        <rFont val="Arial"/>
        <b/>
        <color theme="1"/>
        <sz val="10.0"/>
      </rPr>
      <t>CGI reporting of LTE cell when EN-DC is configured</t>
    </r>
    <r>
      <rPr>
        <rFont val="Arial"/>
        <b val="0"/>
        <color theme="1"/>
        <sz val="10.0"/>
      </rPr>
      <t xml:space="preserve">
[Rel. 16] [LTE Capability] The UE supports Intra-RAT </t>
    </r>
    <r>
      <rPr>
        <rFont val="Arial"/>
        <b/>
        <color theme="1"/>
        <sz val="10.0"/>
      </rPr>
      <t xml:space="preserve">reportCGI </t>
    </r>
    <r>
      <rPr>
        <rFont val="Arial"/>
        <b val="0"/>
        <color theme="1"/>
        <sz val="10.0"/>
      </rPr>
      <t xml:space="preserve">procedure towards LTE cell when it is </t>
    </r>
    <r>
      <rPr>
        <rFont val="Arial"/>
        <b/>
        <color theme="1"/>
        <sz val="10.0"/>
      </rPr>
      <t>configured with EN-DC</t>
    </r>
    <r>
      <rPr>
        <rFont val="Arial"/>
        <b val="0"/>
        <color theme="1"/>
        <sz val="10.0"/>
      </rPr>
      <t>. (</t>
    </r>
    <r>
      <rPr>
        <rFont val="Arial"/>
        <b/>
        <color theme="1"/>
        <sz val="10.0"/>
      </rPr>
      <t>Autonomous gaps</t>
    </r>
    <r>
      <rPr>
        <rFont val="Arial"/>
        <b val="0"/>
        <color theme="1"/>
        <sz val="10.0"/>
      </rPr>
      <t xml:space="preserve"> are used for reading SI of the neighbouring cell.)
The support is signalled within UE-EUTRA-Capability IE as follows
"NeighCellSI-AcquisitionParameters-v1610/eutra-SI-AcquisitionForHO-ENDC-r16".</t>
    </r>
  </si>
  <si>
    <t>MTR-36241</t>
  </si>
  <si>
    <r>
      <rPr>
        <rFont val="Arial"/>
        <b/>
        <color theme="1"/>
        <sz val="10.0"/>
      </rPr>
      <t>[Rel. 16] ANR: ENDC -&gt; NR (autonomous gaps)</t>
    </r>
    <r>
      <rPr>
        <rFont val="Arial"/>
        <b val="0"/>
        <color theme="1"/>
        <sz val="10.0"/>
      </rPr>
      <t xml:space="preserve">
Within LTE RRC: </t>
    </r>
    <r>
      <rPr>
        <rFont val="Arial"/>
        <b/>
        <color theme="1"/>
        <sz val="10.0"/>
      </rPr>
      <t>CGI reporting of NR cell when EN-DC is configured</t>
    </r>
    <r>
      <rPr>
        <rFont val="Arial"/>
        <b val="0"/>
        <color theme="1"/>
        <sz val="10.0"/>
      </rPr>
      <t xml:space="preserve">
[LTE Capability] The UE supports Inter-RAT </t>
    </r>
    <r>
      <rPr>
        <rFont val="Arial"/>
        <b/>
        <color theme="1"/>
        <sz val="10.0"/>
      </rPr>
      <t>reportCGI</t>
    </r>
    <r>
      <rPr>
        <rFont val="Arial"/>
        <b val="0"/>
        <color theme="1"/>
        <sz val="10.0"/>
      </rPr>
      <t xml:space="preserve"> procedure towards NR cell when it is </t>
    </r>
    <r>
      <rPr>
        <rFont val="Arial"/>
        <b/>
        <color theme="1"/>
        <sz val="10.0"/>
      </rPr>
      <t>configured with EN-DC</t>
    </r>
    <r>
      <rPr>
        <rFont val="Arial"/>
        <b val="0"/>
        <color theme="1"/>
        <sz val="10.0"/>
      </rPr>
      <t>. (</t>
    </r>
    <r>
      <rPr>
        <rFont val="Arial"/>
        <b/>
        <color theme="1"/>
        <sz val="10.0"/>
      </rPr>
      <t>Autonomous gaps</t>
    </r>
    <r>
      <rPr>
        <rFont val="Arial"/>
        <b val="0"/>
        <color theme="1"/>
        <sz val="10.0"/>
      </rPr>
      <t xml:space="preserve"> are used for reading SI of the neighbouring cell.)
The support is signalled within UE-EUTRA-Capability IE as follows
"NeighCellSI-AcquisitionParameters-v1610/nr-AutonomousGaps-ENDC-FR1-r16".</t>
    </r>
  </si>
  <si>
    <t>MTR-34321</t>
  </si>
  <si>
    <r>
      <rPr>
        <rFont val="Arial"/>
        <b/>
        <color theme="1"/>
        <sz val="10.0"/>
      </rPr>
      <t>ANR: ENDC NR -&gt; NR</t>
    </r>
    <r>
      <rPr>
        <rFont val="Arial"/>
        <b val="0"/>
        <color theme="1"/>
        <sz val="10.0"/>
      </rPr>
      <t xml:space="preserve">
</t>
    </r>
    <r>
      <rPr>
        <rFont val="Arial"/>
        <b/>
        <color theme="1"/>
        <sz val="10.0"/>
      </rPr>
      <t>L2/3: Index 4-5 (3): CGI reporting of NR cell when EN-DC is configured</t>
    </r>
    <r>
      <rPr>
        <rFont val="Arial"/>
        <b val="0"/>
        <color theme="1"/>
        <sz val="10.0"/>
      </rPr>
      <t xml:space="preserve">
supported and indicated with IE "MeasAndMobParametersCommon \\ nr-CGI-Reporting-ENDC"</t>
    </r>
  </si>
  <si>
    <t>MTR-36242</t>
  </si>
  <si>
    <r>
      <rPr>
        <rFont val="Arial"/>
        <b/>
        <color theme="1"/>
        <sz val="10.0"/>
      </rPr>
      <t>[Rel. 16] ANR: ENDC (NR RRC) -&gt; NR (autonomous gaps)</t>
    </r>
    <r>
      <rPr>
        <rFont val="Arial"/>
        <b val="0"/>
        <color theme="1"/>
        <sz val="10.0"/>
      </rPr>
      <t xml:space="preserve">
Within NR RRC: </t>
    </r>
    <r>
      <rPr>
        <rFont val="Arial"/>
        <b/>
        <color theme="1"/>
        <sz val="10.0"/>
      </rPr>
      <t>CGI reporting of NR cell when EN-DC is configured</t>
    </r>
    <r>
      <rPr>
        <rFont val="Arial"/>
        <b val="0"/>
        <color theme="1"/>
        <sz val="10.0"/>
      </rPr>
      <t xml:space="preserve"> 
[NR Capability]
(Autonomous gaps are used for reading SI of the neighbouring cell.)
The support is indicated by IE: "MeasAndMobParametersFRX-Diff/
nr-AutonomousGaps-ENDC-r16".</t>
    </r>
  </si>
  <si>
    <t>MTR-33622</t>
  </si>
  <si>
    <r>
      <rPr>
        <rFont val="Arial"/>
        <b/>
        <color theme="1"/>
        <sz val="10.0"/>
      </rPr>
      <t>2.5.6.3</t>
    </r>
    <r>
      <rPr>
        <rFont val="Arial"/>
        <b val="0"/>
        <color theme="1"/>
        <sz val="10.0"/>
      </rPr>
      <t xml:space="preserve"> </t>
    </r>
    <r>
      <rPr>
        <rFont val="Arial"/>
        <b/>
        <color theme="1"/>
        <sz val="10.0"/>
      </rPr>
      <t>Uplink/Power Related Topics</t>
    </r>
  </si>
  <si>
    <t>MTR-34676</t>
  </si>
  <si>
    <r>
      <rPr>
        <rFont val="Arial"/>
        <b/>
        <color theme="1"/>
        <sz val="10.0"/>
      </rPr>
      <t>UL resource allocation type 0 (non-contiguous) on 5G NR</t>
    </r>
    <r>
      <rPr>
        <rFont val="Arial"/>
        <b val="0"/>
        <color theme="1"/>
        <sz val="10.0"/>
      </rPr>
      <t xml:space="preserve">
is supported.
The device supports uplink resource allocation type 0 on PUSCH in non-contiguous mode as defined in 3GPP TS38.214 to reach maximum usable data rates.</t>
    </r>
  </si>
  <si>
    <t>MTR-33627</t>
  </si>
  <si>
    <r>
      <rPr>
        <rFont val="Arial"/>
        <b/>
        <color theme="1"/>
        <sz val="10.0"/>
      </rPr>
      <t xml:space="preserve">EN-DC Dynamic power sharing </t>
    </r>
    <r>
      <rPr>
        <rFont val="Arial"/>
        <b val="0"/>
        <color theme="1"/>
        <sz val="10.0"/>
      </rPr>
      <t xml:space="preserve">for all supported EN-DC band combination is supported and indicated with IE [MRDC-Paramters/dynamicPowerSharingENDC".
</t>
    </r>
    <r>
      <rPr>
        <rFont val="Arial"/>
        <b/>
        <color theme="1"/>
        <sz val="10.0"/>
      </rPr>
      <t xml:space="preserve"> </t>
    </r>
    <r>
      <rPr>
        <rFont val="Arial"/>
        <b val="0"/>
        <color theme="1"/>
        <sz val="10.0"/>
      </rPr>
      <t xml:space="preserve">
</t>
    </r>
    <r>
      <rPr>
        <rFont val="Arial"/>
        <b/>
        <color theme="1"/>
        <sz val="10.0"/>
      </rPr>
      <t xml:space="preserve">Note: </t>
    </r>
    <r>
      <rPr>
        <rFont val="Arial"/>
        <b val="0"/>
        <color theme="1"/>
        <sz val="10.0"/>
      </rPr>
      <t>If supported the power between NR and LTE will be shared dynamically if P_LTE + P_NR &gt; Pcmax.</t>
    </r>
  </si>
  <si>
    <t>MTR-33626</t>
  </si>
  <si>
    <r>
      <rPr>
        <rFont val="Arial"/>
        <b/>
        <color theme="1"/>
        <sz val="10.0"/>
      </rPr>
      <t>singleUL-Transmission</t>
    </r>
    <r>
      <rPr>
        <rFont val="Arial"/>
        <b val="0"/>
        <color theme="1"/>
        <sz val="10.0"/>
      </rPr>
      <t xml:space="preserve">
Please list all EN-DC combinations for which the UE indicates singleUL-Transmission under "Comments Vendor". Otherwise state that singleUL-Transmission is not required.
</t>
    </r>
    <r>
      <rPr>
        <rFont val="Arial"/>
        <b/>
        <color theme="1"/>
        <sz val="10.0"/>
      </rPr>
      <t xml:space="preserve">Note: </t>
    </r>
    <r>
      <rPr>
        <rFont val="Arial"/>
        <b val="0"/>
        <color theme="1"/>
        <sz val="10.0"/>
      </rPr>
      <t>Indicates that the UE may suffer from possible intermodulation interference into its own primary downlink channel bandwidth.
Still dual/triple uplink transmission support is mandatory for these EN-DC combinations in case the actual frequency combination does not lead to interference into the own primary downlink channel bandwidth (see TS 38.101-3 chapter 5.2B.1).</t>
    </r>
  </si>
  <si>
    <t>Separate Tx supported for LTE and NR.</t>
  </si>
  <si>
    <t>MTR-33628</t>
  </si>
  <si>
    <r>
      <rPr>
        <rFont val="Arial"/>
        <b/>
        <color theme="1"/>
        <sz val="10.0"/>
      </rPr>
      <t>tdm-Pattern</t>
    </r>
    <r>
      <rPr>
        <rFont val="Arial"/>
        <b val="0"/>
        <color theme="1"/>
        <sz val="10.0"/>
      </rPr>
      <t xml:space="preserve">
</t>
    </r>
    <r>
      <rPr>
        <rFont val="Arial"/>
        <b/>
        <color theme="1"/>
        <sz val="10.0"/>
      </rPr>
      <t xml:space="preserve"> </t>
    </r>
    <r>
      <rPr>
        <rFont val="Arial"/>
        <b val="0"/>
        <color theme="1"/>
        <sz val="10.0"/>
      </rPr>
      <t xml:space="preserve">
</t>
    </r>
    <r>
      <rPr>
        <rFont val="Arial"/>
        <b/>
        <color theme="1"/>
        <sz val="10.0"/>
      </rPr>
      <t>Note:</t>
    </r>
    <r>
      <rPr>
        <rFont val="Arial"/>
        <b val="0"/>
        <color theme="1"/>
        <sz val="10.0"/>
      </rPr>
      <t xml:space="preserve"> 3GPP conditionally mandatory for UEs that do not support dynamic power sharing and for UEs that indicate single UL for any BC.</t>
    </r>
  </si>
  <si>
    <t>Separate Tx supported for LTE and NR.
Pixel products do follow 3GPP 38.306 spec as tdm-Pattern is not supported as UE supports dynamicPowerSharingENDC</t>
  </si>
  <si>
    <t>MTR-39633</t>
  </si>
  <si>
    <r>
      <rPr>
        <rFont val="Arial"/>
        <b/>
        <color theme="1"/>
        <sz val="10.0"/>
      </rPr>
      <t xml:space="preserve">NR band n1: SA, Single Tx, Power class 2 (26 dBm) </t>
    </r>
    <r>
      <rPr>
        <rFont val="Arial"/>
        <b val="0"/>
        <color theme="1"/>
        <sz val="10.0"/>
      </rPr>
      <t>is supported.
Indicated per band with the optional IE [BandNR/ue-PowerClass]: pc2.</t>
    </r>
  </si>
  <si>
    <t>MTR-40222</t>
  </si>
  <si>
    <r>
      <rPr>
        <rFont val="Arial"/>
        <b/>
        <color theme="1"/>
        <sz val="10.0"/>
      </rPr>
      <t xml:space="preserve">NR band n1: SA, Single Carrier, Dual Tx (UL MIMO), Power Class 3 (23 dBm) </t>
    </r>
    <r>
      <rPr>
        <rFont val="Arial"/>
        <b val="0"/>
        <color theme="1"/>
        <sz val="10.0"/>
      </rPr>
      <t>is supported</t>
    </r>
    <r>
      <rPr>
        <rFont val="Arial"/>
        <b/>
        <color theme="1"/>
        <sz val="10.0"/>
      </rPr>
      <t>.</t>
    </r>
    <r>
      <rPr>
        <rFont val="Arial"/>
        <b val="0"/>
        <color theme="1"/>
        <sz val="10.0"/>
      </rPr>
      <t xml:space="preserve">
Without additional features transmit power is assumed to be equally distributed over both streams (20 dbm + 20 dBm).</t>
    </r>
  </si>
  <si>
    <t>MTR-39956</t>
  </si>
  <si>
    <r>
      <rPr>
        <rFont val="Arial"/>
        <b/>
        <color theme="1"/>
        <sz val="10.0"/>
      </rPr>
      <t xml:space="preserve">NR band n1: SA, Single Carrier, Dual Tx (UL MIMO), Power Class 2 (26 dBm) </t>
    </r>
    <r>
      <rPr>
        <rFont val="Arial"/>
        <b val="0"/>
        <color theme="1"/>
        <sz val="10.0"/>
      </rPr>
      <t>is supported</t>
    </r>
    <r>
      <rPr>
        <rFont val="Arial"/>
        <b/>
        <color theme="1"/>
        <sz val="10.0"/>
      </rPr>
      <t>.</t>
    </r>
    <r>
      <rPr>
        <rFont val="Arial"/>
        <b val="0"/>
        <color theme="1"/>
        <sz val="10.0"/>
      </rPr>
      <t xml:space="preserve">
Indicated per band with the optional IE [BandNR/ue-PowerClass]: pc2.
Without additional features transmit power is assumed to be equally distributed over both streams (23 dbm + 23 dBm).</t>
    </r>
  </si>
  <si>
    <t>MTR-39634</t>
  </si>
  <si>
    <r>
      <rPr>
        <rFont val="Arial"/>
        <b/>
        <color theme="1"/>
        <sz val="10.0"/>
      </rPr>
      <t xml:space="preserve">NR band n3: SA, Single Tx, Power class 2 (26 dBm) </t>
    </r>
    <r>
      <rPr>
        <rFont val="Arial"/>
        <b val="0"/>
        <color theme="1"/>
        <sz val="10.0"/>
      </rPr>
      <t>is supported.
Indicated per band with the optional IE [BandNR/ue-PowerClass]: pc2.</t>
    </r>
  </si>
  <si>
    <t>MTR-40223</t>
  </si>
  <si>
    <r>
      <rPr>
        <rFont val="Arial"/>
        <b/>
        <color theme="1"/>
        <sz val="10.0"/>
      </rPr>
      <t xml:space="preserve">NR band n3: SA, Single Carrier, Dual Tx (UL MIMO), Power Class 3 (23 dBm) </t>
    </r>
    <r>
      <rPr>
        <rFont val="Arial"/>
        <b val="0"/>
        <color theme="1"/>
        <sz val="10.0"/>
      </rPr>
      <t>is supported</t>
    </r>
    <r>
      <rPr>
        <rFont val="Arial"/>
        <b/>
        <color theme="1"/>
        <sz val="10.0"/>
      </rPr>
      <t>.</t>
    </r>
    <r>
      <rPr>
        <rFont val="Arial"/>
        <b val="0"/>
        <color theme="1"/>
        <sz val="10.0"/>
      </rPr>
      <t xml:space="preserve">
Without additional features transmit power is assumed to be equally distributed over both streams (20 dbm + 20 dBm).</t>
    </r>
  </si>
  <si>
    <t>MTR-39957</t>
  </si>
  <si>
    <r>
      <rPr>
        <rFont val="Arial"/>
        <b/>
        <color theme="1"/>
        <sz val="10.0"/>
      </rPr>
      <t xml:space="preserve">NR band n3: SA, Single Carrier, Dual Tx (UL MIMO), Power Class 2 (26 dBm) </t>
    </r>
    <r>
      <rPr>
        <rFont val="Arial"/>
        <b val="0"/>
        <color theme="1"/>
        <sz val="10.0"/>
      </rPr>
      <t>is supported</t>
    </r>
    <r>
      <rPr>
        <rFont val="Arial"/>
        <b/>
        <color theme="1"/>
        <sz val="10.0"/>
      </rPr>
      <t>.</t>
    </r>
    <r>
      <rPr>
        <rFont val="Arial"/>
        <b val="0"/>
        <color theme="1"/>
        <sz val="10.0"/>
      </rPr>
      <t xml:space="preserve">
Indicated per band with the optional IE [BandNR/ue-PowerClass]: pc2.
Without additional features transmit power is assumed to be equally distributed over both streams (23 dbm + 23 dBm).</t>
    </r>
  </si>
  <si>
    <t>MTR-37141</t>
  </si>
  <si>
    <r>
      <rPr>
        <rFont val="Arial"/>
        <b/>
        <color theme="1"/>
        <sz val="10.0"/>
      </rPr>
      <t xml:space="preserve">NR band n78: SA, Single Tx, Power class 2 (26 dBm) </t>
    </r>
    <r>
      <rPr>
        <rFont val="Arial"/>
        <b val="0"/>
        <color theme="1"/>
        <sz val="10.0"/>
      </rPr>
      <t>is supported.
Indicated per band with the optional IE [BandNR/ue-PowerClass]: pc2.</t>
    </r>
  </si>
  <si>
    <t>The feature will be default supported once SA is enabled, please discuss with Google TAM for feature enablement plans</t>
  </si>
  <si>
    <t>MTR-37136</t>
  </si>
  <si>
    <r>
      <rPr>
        <rFont val="Arial"/>
        <b/>
        <color theme="1"/>
        <sz val="10.0"/>
      </rPr>
      <t xml:space="preserve">NR band n78: SA, Single Carrier, Dual Tx (UL MIMO), Power Class 3 (23 dBm) </t>
    </r>
    <r>
      <rPr>
        <rFont val="Arial"/>
        <b val="0"/>
        <color theme="1"/>
        <sz val="10.0"/>
      </rPr>
      <t>is supported</t>
    </r>
    <r>
      <rPr>
        <rFont val="Arial"/>
        <b/>
        <color theme="1"/>
        <sz val="10.0"/>
      </rPr>
      <t>.</t>
    </r>
    <r>
      <rPr>
        <rFont val="Arial"/>
        <b val="0"/>
        <color theme="1"/>
        <sz val="10.0"/>
      </rPr>
      <t xml:space="preserve">
Without additional features transmit power is assumed to be equally distributed over both streams (20 dbm + 20 dBm).</t>
    </r>
  </si>
  <si>
    <t>MTR-40220</t>
  </si>
  <si>
    <r>
      <rPr>
        <rFont val="Arial"/>
        <b/>
        <color theme="1"/>
        <sz val="10.0"/>
      </rPr>
      <t xml:space="preserve">NR band n78: SA, Single Carrier, Dual Tx (UL MIMO), Power Class 2 (26 dBm) </t>
    </r>
    <r>
      <rPr>
        <rFont val="Arial"/>
        <b val="0"/>
        <color theme="1"/>
        <sz val="10.0"/>
      </rPr>
      <t>is supported</t>
    </r>
    <r>
      <rPr>
        <rFont val="Arial"/>
        <b/>
        <color theme="1"/>
        <sz val="10.0"/>
      </rPr>
      <t>.</t>
    </r>
    <r>
      <rPr>
        <rFont val="Arial"/>
        <b val="0"/>
        <color theme="1"/>
        <sz val="10.0"/>
      </rPr>
      <t xml:space="preserve">
Indicated per band with the optional IE [BandNR/ue-PowerClass]: pc2.
Without additional features transmit power is assumed to be equally distributed over both streams (23 dbm + 23 dBm).</t>
    </r>
  </si>
  <si>
    <t>MTR-40221</t>
  </si>
  <si>
    <r>
      <rPr>
        <rFont val="Arial"/>
        <b/>
        <color theme="1"/>
        <sz val="10.0"/>
      </rPr>
      <t xml:space="preserve">NR band n78: SA, Single Carrier, Dual Tx (UL MIMO), Power Class 1.5 (29 dBm) </t>
    </r>
    <r>
      <rPr>
        <rFont val="Arial"/>
        <b val="0"/>
        <color theme="1"/>
        <sz val="10.0"/>
      </rPr>
      <t>is supported</t>
    </r>
    <r>
      <rPr>
        <rFont val="Arial"/>
        <b/>
        <color theme="1"/>
        <sz val="10.0"/>
      </rPr>
      <t>.</t>
    </r>
    <r>
      <rPr>
        <rFont val="Arial"/>
        <b val="0"/>
        <color theme="1"/>
        <sz val="10.0"/>
      </rPr>
      <t xml:space="preserve">
Indicated per band with the optional IE [BandNR/ue-PowerClass]: pc1.5.</t>
    </r>
  </si>
  <si>
    <t>MTR-39623</t>
  </si>
  <si>
    <r>
      <rPr>
        <rFont val="Arial"/>
        <b/>
        <color theme="1"/>
        <sz val="10.0"/>
      </rPr>
      <t>[Rel. 16] UL full power transmission mode "fullpower" is supported</t>
    </r>
    <r>
      <rPr>
        <rFont val="Arial"/>
        <b val="0"/>
        <color theme="1"/>
        <sz val="10.0"/>
      </rPr>
      <t xml:space="preserve">
Signalled by
[Rel. 16] Layer1: 16-5a </t>
    </r>
    <r>
      <rPr>
        <rFont val="Arial"/>
        <b/>
        <color theme="1"/>
        <sz val="10.0"/>
      </rPr>
      <t>"</t>
    </r>
    <r>
      <rPr>
        <rFont val="Arial"/>
        <b val="0"/>
        <i/>
        <color theme="1"/>
        <sz val="10.0"/>
      </rPr>
      <t>ul-FullPwrMode-r16</t>
    </r>
    <r>
      <rPr>
        <rFont val="Arial"/>
        <b/>
        <color theme="1"/>
        <sz val="10.0"/>
      </rPr>
      <t>"</t>
    </r>
    <r>
      <rPr>
        <rFont val="Arial"/>
        <b val="0"/>
        <color theme="1"/>
        <sz val="10.0"/>
      </rPr>
      <t xml:space="preserve">
</t>
    </r>
    <r>
      <rPr>
        <rFont val="Arial"/>
        <b/>
        <color theme="1"/>
        <sz val="10.0"/>
      </rPr>
      <t>This indicates that each Tx chain can support full power individually - power is not scaled down.</t>
    </r>
    <r>
      <rPr>
        <rFont val="Arial"/>
        <b val="0"/>
        <color theme="1"/>
        <sz val="10.0"/>
      </rPr>
      <t xml:space="preserve">
This requirement is related to the general requirement in MTR-38537</t>
    </r>
  </si>
  <si>
    <r>
      <rPr>
        <rFont val="Arial"/>
        <sz val="10.0"/>
      </rPr>
      <t xml:space="preserve">UL FPTX is for the band which supports MIMO, UL FPTX is not supported for the band which MIMO is not supported.
</t>
    </r>
    <r>
      <rPr>
        <rFont val="Arial"/>
        <color rgb="FF1155CC"/>
        <sz val="10.0"/>
        <u/>
      </rPr>
      <t>b/277144807#comment46</t>
    </r>
    <r>
      <rPr>
        <rFont val="Arial"/>
        <sz val="10.0"/>
      </rPr>
      <t xml:space="preserve"> 
M25 ROW SKU not support UL MIMO </t>
    </r>
  </si>
  <si>
    <t>MTR-39624</t>
  </si>
  <si>
    <r>
      <rPr>
        <rFont val="Arial"/>
        <b/>
        <color theme="1"/>
        <sz val="10.0"/>
      </rPr>
      <t>[Rel. 16] UL full power transmission mode "fullpower1" is supported</t>
    </r>
    <r>
      <rPr>
        <rFont val="Arial"/>
        <b val="0"/>
        <color theme="1"/>
        <sz val="10.0"/>
      </rPr>
      <t xml:space="preserve">
Signalled by
[Rel. 16] Layer1: 16-5b </t>
    </r>
    <r>
      <rPr>
        <rFont val="Arial"/>
        <b/>
        <color theme="1"/>
        <sz val="10.0"/>
      </rPr>
      <t>"</t>
    </r>
    <r>
      <rPr>
        <rFont val="Arial"/>
        <b val="0"/>
        <i/>
        <color theme="1"/>
        <sz val="10.0"/>
      </rPr>
      <t>ul-FullPwrMode1-r16</t>
    </r>
    <r>
      <rPr>
        <rFont val="Arial"/>
        <b/>
        <color theme="1"/>
        <sz val="10.0"/>
      </rPr>
      <t>"</t>
    </r>
    <r>
      <rPr>
        <rFont val="Arial"/>
        <b val="0"/>
        <color theme="1"/>
        <sz val="10.0"/>
      </rPr>
      <t xml:space="preserve">
</t>
    </r>
    <r>
      <rPr>
        <rFont val="Arial"/>
        <b/>
        <color theme="1"/>
        <sz val="10.0"/>
      </rPr>
      <t>This indicates that no single Tx-chain can support full power individually - power is scaled down by the number of antennas used.</t>
    </r>
    <r>
      <rPr>
        <rFont val="Arial"/>
        <b val="0"/>
        <color theme="1"/>
        <sz val="10.0"/>
      </rPr>
      <t xml:space="preserve">
This requirement is related to the general requirement in MTR-38537</t>
    </r>
  </si>
  <si>
    <r>
      <rPr>
        <rFont val="Arial"/>
        <sz val="10.0"/>
      </rPr>
      <t xml:space="preserve">UL FPTX is for the band which supports MIMO, UL FPTX is not supported for the band which MIMO is not supported.
</t>
    </r>
    <r>
      <rPr>
        <rFont val="Arial"/>
        <color rgb="FF1155CC"/>
        <sz val="10.0"/>
        <u/>
      </rPr>
      <t>b/277144807#comment46</t>
    </r>
    <r>
      <rPr>
        <rFont val="Arial"/>
        <sz val="10.0"/>
      </rPr>
      <t xml:space="preserve"> 
M25 ROW SKU not support UL MIMO </t>
    </r>
  </si>
  <si>
    <t>MTR-39625</t>
  </si>
  <si>
    <r>
      <rPr>
        <rFont val="Arial"/>
        <b/>
        <color theme="1"/>
        <sz val="10.0"/>
      </rPr>
      <t>[Rel. 16] UL full power transmission mode "fullpower2" is supported</t>
    </r>
    <r>
      <rPr>
        <rFont val="Arial"/>
        <b val="0"/>
        <color theme="1"/>
        <sz val="10.0"/>
      </rPr>
      <t xml:space="preserve">
</t>
    </r>
    <r>
      <rPr>
        <rFont val="Arial"/>
        <b/>
        <color theme="1"/>
        <sz val="10.0"/>
      </rPr>
      <t>This indicates that a subset of the Tx-chains can support full power individually.Full power will be used on the indicated TPMis - the power on the remaining will be scaled down for the remaining TPMIs.</t>
    </r>
    <r>
      <rPr>
        <rFont val="Arial"/>
        <b val="0"/>
        <color theme="1"/>
        <sz val="10.0"/>
      </rPr>
      <t xml:space="preserve">
Signalled by
[Rel. 16] Layer1: 16-5c </t>
    </r>
    <r>
      <rPr>
        <rFont val="Arial"/>
        <b/>
        <color theme="1"/>
        <sz val="10.0"/>
      </rPr>
      <t>"</t>
    </r>
    <r>
      <rPr>
        <rFont val="Arial"/>
        <b val="0"/>
        <i/>
        <color theme="1"/>
        <sz val="10.0"/>
      </rPr>
      <t>ul-FullPwrMode2-MaxSRS-ResInSet</t>
    </r>
    <r>
      <rPr>
        <rFont val="Arial"/>
        <b val="0"/>
        <color theme="1"/>
        <sz val="10.0"/>
      </rPr>
      <t xml:space="preserve">" (one of n1.n2.n4)
[Rel. 16] Layer1: 16-5c-2 </t>
    </r>
    <r>
      <rPr>
        <rFont val="Arial"/>
        <b/>
        <color theme="1"/>
        <sz val="10.0"/>
      </rPr>
      <t>"</t>
    </r>
    <r>
      <rPr>
        <rFont val="Arial"/>
        <b val="0"/>
        <i/>
        <color theme="1"/>
        <sz val="10.0"/>
      </rPr>
      <t>ul-FullPwrMode2-SRSConfig-diffNumSRSPorts-r16</t>
    </r>
    <r>
      <rPr>
        <rFont val="Arial"/>
        <b/>
        <color theme="1"/>
        <sz val="10.0"/>
      </rPr>
      <t xml:space="preserve">" </t>
    </r>
    <r>
      <rPr>
        <rFont val="Arial"/>
        <b val="0"/>
        <color theme="1"/>
        <sz val="10.0"/>
      </rPr>
      <t xml:space="preserve">(one of: p1-2, p1-4, p1-2-4)
[Rel. 16] Layer1: 16-5c-3 </t>
    </r>
    <r>
      <rPr>
        <rFont val="Arial"/>
        <b/>
        <color theme="1"/>
        <sz val="10.0"/>
      </rPr>
      <t>"</t>
    </r>
    <r>
      <rPr>
        <rFont val="Arial"/>
        <b val="0"/>
        <i/>
        <color theme="1"/>
        <sz val="10.0"/>
      </rPr>
      <t>ul-FullPwrMode2-TPMIGroup-r16</t>
    </r>
    <r>
      <rPr>
        <rFont val="Arial"/>
        <b/>
        <color theme="1"/>
        <sz val="10.0"/>
      </rPr>
      <t xml:space="preserve">" </t>
    </r>
    <r>
      <rPr>
        <rFont val="Arial"/>
        <b val="0"/>
        <color theme="1"/>
        <sz val="10.0"/>
      </rPr>
      <t xml:space="preserve">and subelements
This requirement is related to the general requirement in MTR-38537
</t>
    </r>
    <r>
      <rPr>
        <rFont val="Arial"/>
        <b/>
        <color theme="1"/>
        <sz val="10.0"/>
      </rPr>
      <t>The supported subfeatures shall be indicated under "comments vendor"</t>
    </r>
  </si>
  <si>
    <t>MTR-39958</t>
  </si>
  <si>
    <r>
      <rPr>
        <rFont val="Arial"/>
        <b/>
        <color theme="1"/>
        <sz val="10.0"/>
      </rPr>
      <t>NR-CA: UL CA, NR FDD (Single Tx) + NR FDD (Single Tx), Power Class 2 (26 dBm)</t>
    </r>
    <r>
      <rPr>
        <rFont val="Arial"/>
        <b val="0"/>
        <color theme="1"/>
        <sz val="10.0"/>
      </rPr>
      <t xml:space="preserve"> is supported.
Indicated per BandCombination with the optional IE [BandCombination/powerClass-v1530]: pc2
If supported then please indicate under "Comments Vendor" the NR UL CA FDD+FDD band combinations for which this is supported.</t>
    </r>
  </si>
  <si>
    <t>MTR-40224</t>
  </si>
  <si>
    <r>
      <rPr>
        <rFont val="Arial"/>
        <b/>
        <color theme="1"/>
        <sz val="10.0"/>
      </rPr>
      <t>NR-CA: UL CA, NR FDD (Single Tx) + NR TDD (Single Tx), Power Class 2 (26 dBm)</t>
    </r>
    <r>
      <rPr>
        <rFont val="Arial"/>
        <b val="0"/>
        <color theme="1"/>
        <sz val="10.0"/>
      </rPr>
      <t xml:space="preserve"> is supported.
Indicated per BandCombination with the optional IE [BandCombination/powerClass-v1530]: pc2
If supported then please indicate under "Comments Vendor" the NR UL CA FDD+TDD band combinations for which this is supported.</t>
    </r>
  </si>
  <si>
    <t>MTR-40229</t>
  </si>
  <si>
    <r>
      <rPr>
        <rFont val="Arial"/>
        <b/>
        <color theme="1"/>
        <sz val="10.0"/>
      </rPr>
      <t>[Rel. 17] NR higherPowerLimit-r17 (27.8 dBm)</t>
    </r>
    <r>
      <rPr>
        <rFont val="Arial"/>
        <b val="0"/>
        <color theme="1"/>
        <sz val="10.0"/>
      </rPr>
      <t xml:space="preserve"> is  supported
This is applicable as temporary power boost for NR band combinations with NR UL Carrier Aggregation and regular Power Class 2.</t>
    </r>
  </si>
  <si>
    <t>MTR-37137</t>
  </si>
  <si>
    <r>
      <rPr>
        <rFont val="Arial"/>
        <b/>
        <color theme="1"/>
        <sz val="10.0"/>
      </rPr>
      <t>NR-CA: UL Tx Switching, NR FDD (Single Tx) &lt;-&gt; NR TDD (Single Carrier, Dual Tx/UL MIMO), Power Class 3</t>
    </r>
    <r>
      <rPr>
        <rFont val="Arial"/>
        <b val="0"/>
        <color theme="1"/>
        <sz val="10.0"/>
      </rPr>
      <t xml:space="preserve"> is supported.
Please indicate under "Comments Vendor" for which NR-CA combinations this applies.</t>
    </r>
  </si>
  <si>
    <t>MTR-38939</t>
  </si>
  <si>
    <r>
      <rPr>
        <rFont val="Arial"/>
        <b/>
        <color theme="1"/>
        <sz val="10.0"/>
      </rPr>
      <t>NR-CA: UL Tx Switching, NR FDD (Single Tx) &lt;-&gt; NR TDD (Single Carrier, Dual Tx/UL MIMO), Power Class 2 (26 dBm)</t>
    </r>
    <r>
      <rPr>
        <rFont val="Arial"/>
        <b val="0"/>
        <color theme="1"/>
        <sz val="10.0"/>
      </rPr>
      <t xml:space="preserve"> is supported.
Indicated per band combination with the optional IE [BandCombination/powerClass-v1530]: pc2
Please indicate under "Comments Vendor" for which NR NR-CA combinations this applies.</t>
    </r>
  </si>
  <si>
    <t>MTR-37143</t>
  </si>
  <si>
    <r>
      <rPr>
        <rFont val="Arial"/>
        <b/>
        <color theme="1"/>
        <sz val="10.0"/>
      </rPr>
      <t>[Rel. 16] EN-DC: LTE (Single Tx) + NR band n78, Power class 2 (26 dBm)</t>
    </r>
    <r>
      <rPr>
        <rFont val="Arial"/>
        <b val="0"/>
        <color theme="1"/>
        <sz val="10.0"/>
      </rPr>
      <t xml:space="preserve"> is supported. 
Indicated per BandCombination with the optional IE [BandCombination/powerClass-v1530]: pc2
+ [powerClassNRPart-r16]: pc3 or pc2.
Please indicate under "Comments Vendor" the supported NR band power class (pc3 or pc2) within such PC2 band combinations.
To comply to this requirement all EN-DC combinations with LTE bands B1/B3/B7 and NR band n78A must support PC2.</t>
    </r>
  </si>
  <si>
    <t>NR supports PC2 on bands: n77, n78</t>
  </si>
  <si>
    <t>MTR-33733</t>
  </si>
  <si>
    <r>
      <rPr>
        <rFont val="Arial"/>
        <b/>
        <color theme="1"/>
        <sz val="10.0"/>
      </rPr>
      <t>2x2 MIMO UL</t>
    </r>
    <r>
      <rPr>
        <rFont val="Arial"/>
        <b val="0"/>
        <color theme="1"/>
        <sz val="10.0"/>
      </rPr>
      <t xml:space="preserve"> is supported on </t>
    </r>
    <r>
      <rPr>
        <rFont val="Arial"/>
        <b/>
        <color theme="1"/>
        <sz val="10.0"/>
      </rPr>
      <t>NR low bands</t>
    </r>
    <r>
      <rPr>
        <rFont val="Arial"/>
        <b val="0"/>
        <color theme="1"/>
        <sz val="10.0"/>
      </rPr>
      <t xml:space="preserve"> (bands &lt;= 1 GHz).
List all supported low bands with 2x2 MIMO UL under "Comments Vendor".</t>
    </r>
  </si>
  <si>
    <t>MTR-33654</t>
  </si>
  <si>
    <r>
      <rPr>
        <rFont val="Arial"/>
        <b/>
        <color theme="1"/>
        <sz val="10.0"/>
      </rPr>
      <t>2x2 MIMO UL</t>
    </r>
    <r>
      <rPr>
        <rFont val="Arial"/>
        <b val="0"/>
        <color theme="1"/>
        <sz val="10.0"/>
      </rPr>
      <t xml:space="preserve"> is supported on </t>
    </r>
    <r>
      <rPr>
        <rFont val="Arial"/>
        <b/>
        <color theme="1"/>
        <sz val="10.0"/>
      </rPr>
      <t xml:space="preserve">NR mid bands </t>
    </r>
    <r>
      <rPr>
        <rFont val="Arial"/>
        <b val="0"/>
        <color theme="1"/>
        <sz val="10.0"/>
      </rPr>
      <t>(1 GHz &lt; bands &lt; 3 GHz).
List all supported mid bands with 2x2 MIMO UL under "Comments Vendor".</t>
    </r>
  </si>
  <si>
    <t>UL MIMO: No support (only single TX chain for ROW SKU)</t>
  </si>
  <si>
    <t>SA/non-UL CA: 
n41 (PC3/path), 
n48 (20dBm/path),
n77, n78 (PC3/path)</t>
  </si>
  <si>
    <t>MTR-33655</t>
  </si>
  <si>
    <r>
      <rPr>
        <rFont val="Arial"/>
        <b/>
        <color theme="1"/>
        <sz val="10.0"/>
      </rPr>
      <t>UL Tx antenna switching for SRS</t>
    </r>
    <r>
      <rPr>
        <rFont val="Arial"/>
        <b val="0"/>
        <color theme="1"/>
        <sz val="10.0"/>
      </rPr>
      <t xml:space="preserve"> is supported.
SRS antenna switching under network control is supported for all four antennas at least on NR TDD band n78 and indicated with IE supported "</t>
    </r>
    <r>
      <rPr>
        <rFont val="Arial"/>
        <b val="0"/>
        <i/>
        <color theme="1"/>
        <sz val="10.0"/>
      </rPr>
      <t>SRS-TxPortSwitch</t>
    </r>
    <r>
      <rPr>
        <rFont val="Arial"/>
        <b val="0"/>
        <color theme="1"/>
        <sz val="10.0"/>
      </rPr>
      <t xml:space="preserve">".
For a device with single stream UL </t>
    </r>
    <r>
      <rPr>
        <rFont val="Arial"/>
        <b/>
        <color theme="1"/>
        <sz val="10.0"/>
      </rPr>
      <t>"1T4R</t>
    </r>
    <r>
      <rPr>
        <rFont val="Arial"/>
        <b val="0"/>
        <color theme="1"/>
        <sz val="10.0"/>
      </rPr>
      <t>" is mandated.
For a device with 2x2 UL MIMO "</t>
    </r>
    <r>
      <rPr>
        <rFont val="Arial"/>
        <b/>
        <color theme="1"/>
        <sz val="10.0"/>
      </rPr>
      <t>2T4R</t>
    </r>
    <r>
      <rPr>
        <rFont val="Arial"/>
        <b val="0"/>
        <color theme="1"/>
        <sz val="10.0"/>
      </rPr>
      <t>" is mandated.
If not fully supported indicate under "Comments Vendor" the number of supported antennas for switching.</t>
    </r>
  </si>
  <si>
    <t>SRS [2T4R]: No support</t>
  </si>
  <si>
    <t xml:space="preserve">SRS 2T4R supports for NSA n78. N38 didn't support SRS.
</t>
  </si>
  <si>
    <t>1T4R</t>
  </si>
  <si>
    <t>MTR-33656</t>
  </si>
  <si>
    <r>
      <rPr>
        <rFont val="Arial"/>
        <b/>
        <color theme="1"/>
        <sz val="10.0"/>
      </rPr>
      <t>UL Tx antenna switching</t>
    </r>
    <r>
      <rPr>
        <rFont val="Arial"/>
        <b val="0"/>
        <color theme="1"/>
        <sz val="10.0"/>
      </rPr>
      <t xml:space="preserve"> </t>
    </r>
    <r>
      <rPr>
        <rFont val="Arial"/>
        <b/>
        <color theme="1"/>
        <sz val="10.0"/>
      </rPr>
      <t>for uplink user data</t>
    </r>
    <r>
      <rPr>
        <rFont val="Arial"/>
        <b val="0"/>
        <color theme="1"/>
        <sz val="10.0"/>
      </rPr>
      <t xml:space="preserve"> is supported.
Indicate under "Comments Vendor" the number of supported antennas for switching, e.g. 2 or 4 antennas.</t>
    </r>
  </si>
  <si>
    <t>UL Tx antenna switching is supported with the capacity of 2 antennas to be used for switching depending on the mode and proprietary implementations.</t>
  </si>
  <si>
    <t>MTR-39626</t>
  </si>
  <si>
    <r>
      <rPr>
        <rFont val="Arial"/>
        <b/>
        <color theme="1"/>
        <sz val="10.0"/>
      </rPr>
      <t>[Rel. 16] Transparent Tx Diversity is supported</t>
    </r>
    <r>
      <rPr>
        <rFont val="Arial"/>
        <b val="0"/>
        <color theme="1"/>
        <sz val="10.0"/>
      </rPr>
      <t xml:space="preserve">
[Rel. 16] RF/RRM: 2-21 IE "</t>
    </r>
    <r>
      <rPr>
        <rFont val="Arial"/>
        <b val="0"/>
        <i/>
        <color theme="1"/>
        <sz val="10.0"/>
      </rPr>
      <t>txDiversity-r16"</t>
    </r>
  </si>
  <si>
    <t>MTR-37202</t>
  </si>
  <si>
    <r>
      <rPr>
        <rFont val="Arial"/>
        <b/>
        <color theme="1"/>
        <sz val="10.0"/>
      </rPr>
      <t>2.5.6.4</t>
    </r>
    <r>
      <rPr>
        <rFont val="Arial"/>
        <b val="0"/>
        <color theme="1"/>
        <sz val="10.0"/>
      </rPr>
      <t xml:space="preserve"> </t>
    </r>
    <r>
      <rPr>
        <rFont val="Arial"/>
        <b/>
        <color theme="1"/>
        <sz val="10.0"/>
      </rPr>
      <t>NR CA support features</t>
    </r>
  </si>
  <si>
    <t>MTR-37145</t>
  </si>
  <si>
    <r>
      <rPr>
        <rFont val="Arial"/>
        <b/>
        <color theme="1"/>
        <sz val="10.0"/>
      </rPr>
      <t xml:space="preserve">SRS carrier switching in NR-CA (Standalone) </t>
    </r>
    <r>
      <rPr>
        <rFont val="Arial"/>
        <b val="0"/>
        <color theme="1"/>
        <sz val="10.0"/>
      </rPr>
      <t>is supported
in the relevant NR DL CA combinations with band n78 as SCell and other NR bands as PCell, e.g. n1, n3, n7, n28.
[TR38.822 Layer 2: 5-56]
Please indicate under "Comments Vendor" the supported switching time (contents of the IE [srs-CarrierSwitch/srs-SwitchingTimesListNR])!</t>
    </r>
  </si>
  <si>
    <t>LSI have no plan to support this in 5300 (b/223908961)</t>
  </si>
  <si>
    <t>x µs</t>
  </si>
  <si>
    <t>MTR-40162</t>
  </si>
  <si>
    <r>
      <rPr>
        <rFont val="Arial"/>
        <b/>
        <color theme="1"/>
        <sz val="10.0"/>
      </rPr>
      <t xml:space="preserve">SRS carrier switching in EN-DC with NR-CA </t>
    </r>
    <r>
      <rPr>
        <rFont val="Arial"/>
        <b val="0"/>
        <color theme="1"/>
        <sz val="10.0"/>
      </rPr>
      <t>is supported
in the relevant EN-DC with NR DL CA combinations with NR band n78 as SCell and other NR bands as PSCell, e.g. n1, n3, n7, n28.
[TR38.822 Layer 2: 5-56]
Please indicate under "Comments Vendor" the supported switching time (contents of the IE [srs-CarrierSwitch/srs-SwitchingTimesListNR]).</t>
    </r>
  </si>
  <si>
    <t>MTR-38532</t>
  </si>
  <si>
    <t>2023 V1</t>
  </si>
  <si>
    <r>
      <rPr>
        <rFont val="Arial"/>
        <b/>
        <color theme="1"/>
        <sz val="10.0"/>
      </rPr>
      <t xml:space="preserve">Cross carrier scheduling </t>
    </r>
    <r>
      <rPr>
        <rFont val="Arial"/>
        <b val="0"/>
        <color theme="1"/>
        <sz val="10.0"/>
      </rPr>
      <t xml:space="preserve">is supported </t>
    </r>
    <r>
      <rPr>
        <rFont val="Arial"/>
        <b/>
        <color theme="1"/>
        <sz val="10.0"/>
      </rPr>
      <t>(same numerology)</t>
    </r>
    <r>
      <rPr>
        <rFont val="Arial"/>
        <b val="0"/>
        <color theme="1"/>
        <sz val="10.0"/>
      </rPr>
      <t xml:space="preserve">
[TR38.822 Layer 1: 6-10]
Please indicate under comments vendor the supported bands. (e.g. n1,n28 or n78)</t>
    </r>
  </si>
  <si>
    <t>SA disabled at launch. Reach out to TAM to get this feature enabled when SA is supported.</t>
  </si>
  <si>
    <t>MTR-38533</t>
  </si>
  <si>
    <r>
      <rPr>
        <rFont val="Arial"/>
        <b/>
        <color theme="1"/>
        <sz val="10.0"/>
      </rPr>
      <t xml:space="preserve">Cross carrier scheduling </t>
    </r>
    <r>
      <rPr>
        <rFont val="Arial"/>
        <b val="0"/>
        <color theme="1"/>
        <sz val="10.0"/>
      </rPr>
      <t>is supported</t>
    </r>
    <r>
      <rPr>
        <rFont val="Arial"/>
        <b/>
        <color theme="1"/>
        <sz val="10.0"/>
      </rPr>
      <t xml:space="preserve"> (different numerology)</t>
    </r>
    <r>
      <rPr>
        <rFont val="Arial"/>
        <b val="0"/>
        <color theme="1"/>
        <sz val="10.0"/>
      </rPr>
      <t xml:space="preserve">
[TR38.822 Layer 1: 6-10a]
Please indicate under comments vendor the supported band and SCS (e.g. n1/15kHz + n78/30kHz)</t>
    </r>
  </si>
  <si>
    <t>MTR-33650</t>
  </si>
  <si>
    <r>
      <rPr>
        <rFont val="Arial"/>
        <b/>
        <color theme="1"/>
        <sz val="10.0"/>
      </rPr>
      <t>2.5.6.5</t>
    </r>
    <r>
      <rPr>
        <rFont val="Arial"/>
        <b val="0"/>
        <color theme="1"/>
        <sz val="10.0"/>
      </rPr>
      <t xml:space="preserve"> </t>
    </r>
    <r>
      <rPr>
        <rFont val="Arial"/>
        <b/>
        <color theme="1"/>
        <sz val="10.0"/>
      </rPr>
      <t>NR DL MIMO</t>
    </r>
  </si>
  <si>
    <t>MTR-33651</t>
  </si>
  <si>
    <r>
      <rPr>
        <rFont val="Arial"/>
        <b/>
        <color theme="1"/>
        <sz val="10.0"/>
      </rPr>
      <t>4x4 MIMO DL on NR mid/high bands (&gt; 1.5 GHz)</t>
    </r>
    <r>
      <rPr>
        <rFont val="Arial"/>
        <b val="0"/>
        <color theme="1"/>
        <sz val="10.0"/>
      </rPr>
      <t xml:space="preserve">
List all supported NR mid/high bands with 4x4 MIMO DL under "Comments Vendor", e.g. n1, n3, n7, n78</t>
    </r>
  </si>
  <si>
    <t>4x4: n1,n3,n7,n38,n40, n41,n77(HPUE),n78(HPUE),n79</t>
  </si>
  <si>
    <t>4x4: n1/n2/n3/n7/n25/n30/n38/n40/n41/n48/n66/n77/n78/n79</t>
  </si>
  <si>
    <t>MTR-40216</t>
  </si>
  <si>
    <r>
      <rPr>
        <rFont val="Arial"/>
        <b/>
        <color theme="1"/>
        <sz val="10.0"/>
      </rPr>
      <t>4x4 MIMO DL on NR band n75 (1.5 GHz)</t>
    </r>
    <r>
      <rPr>
        <rFont val="Arial"/>
        <b val="0"/>
        <color theme="1"/>
        <sz val="10.0"/>
      </rPr>
      <t xml:space="preserve"> is supported</t>
    </r>
  </si>
  <si>
    <t>2x2</t>
  </si>
  <si>
    <t>MTR-33652</t>
  </si>
  <si>
    <r>
      <rPr>
        <rFont val="Arial"/>
        <b/>
        <color theme="1"/>
        <sz val="10.0"/>
      </rPr>
      <t>4x4 MIMO DL</t>
    </r>
    <r>
      <rPr>
        <rFont val="Arial"/>
        <b val="0"/>
        <color theme="1"/>
        <sz val="10.0"/>
      </rPr>
      <t xml:space="preserve"> </t>
    </r>
    <r>
      <rPr>
        <rFont val="Arial"/>
        <b/>
        <color theme="1"/>
        <sz val="10.0"/>
      </rPr>
      <t>on 5G NR low bands (&lt;= 1 GHz)</t>
    </r>
    <r>
      <rPr>
        <rFont val="Arial"/>
        <b val="0"/>
        <color theme="1"/>
        <sz val="10.0"/>
      </rPr>
      <t xml:space="preserve">
List all supported NR low bands with 4x4 MIMO DL under "Comments Vendor", e.g. n8, n20, n28</t>
    </r>
  </si>
  <si>
    <t>MTR-33732</t>
  </si>
  <si>
    <r>
      <rPr>
        <rFont val="Arial"/>
        <color theme="1"/>
        <sz val="10.0"/>
      </rPr>
      <t xml:space="preserve">At least </t>
    </r>
    <r>
      <rPr>
        <rFont val="Arial"/>
        <b/>
        <color theme="1"/>
        <sz val="10.0"/>
      </rPr>
      <t>2x2 MIMO DL</t>
    </r>
    <r>
      <rPr>
        <rFont val="Arial"/>
        <color theme="1"/>
        <sz val="10.0"/>
      </rPr>
      <t xml:space="preserve"> is supported on </t>
    </r>
    <r>
      <rPr>
        <rFont val="Arial"/>
        <b/>
        <color theme="1"/>
        <sz val="10.0"/>
      </rPr>
      <t>all 5G NR bands</t>
    </r>
    <r>
      <rPr>
        <rFont val="Arial"/>
        <color theme="1"/>
        <sz val="10.0"/>
      </rPr>
      <t>.
List all deviations under "Comments Vendor".</t>
    </r>
  </si>
  <si>
    <t>MTR-33794</t>
  </si>
  <si>
    <r>
      <rPr>
        <rFont val="Arial"/>
        <b/>
        <color theme="1"/>
        <sz val="10.0"/>
      </rPr>
      <t>MIMO Codebook based</t>
    </r>
    <r>
      <rPr>
        <rFont val="Arial"/>
        <b val="0"/>
        <color theme="1"/>
        <sz val="10.0"/>
      </rPr>
      <t xml:space="preserve">
is supported on all NR bands.</t>
    </r>
  </si>
  <si>
    <t>MTR-33793</t>
  </si>
  <si>
    <r>
      <rPr>
        <rFont val="Arial"/>
        <b/>
        <color theme="1"/>
        <sz val="10.0"/>
      </rPr>
      <t>MIMO non Codebook based</t>
    </r>
    <r>
      <rPr>
        <rFont val="Arial"/>
        <b val="0"/>
        <color theme="1"/>
        <sz val="10.0"/>
      </rPr>
      <t xml:space="preserve">
is supported on all NR bands.</t>
    </r>
  </si>
  <si>
    <t>MTR-33631</t>
  </si>
  <si>
    <r>
      <rPr>
        <rFont val="Arial"/>
        <b/>
        <color theme="1"/>
        <sz val="10.0"/>
      </rPr>
      <t>2.5.6.6</t>
    </r>
    <r>
      <rPr>
        <rFont val="Arial"/>
        <b val="0"/>
        <color theme="1"/>
        <sz val="10.0"/>
      </rPr>
      <t xml:space="preserve"> </t>
    </r>
    <r>
      <rPr>
        <rFont val="Arial"/>
        <b/>
        <color theme="1"/>
        <sz val="10.0"/>
      </rPr>
      <t>NR Parameters</t>
    </r>
  </si>
  <si>
    <t>MTR-33661</t>
  </si>
  <si>
    <r>
      <rPr>
        <rFont val="Arial"/>
        <b/>
        <color theme="1"/>
        <sz val="10.0"/>
      </rPr>
      <t>2.5.6.7</t>
    </r>
    <r>
      <rPr>
        <rFont val="Arial"/>
        <b val="0"/>
        <color theme="1"/>
        <sz val="10.0"/>
      </rPr>
      <t xml:space="preserve"> </t>
    </r>
    <r>
      <rPr>
        <rFont val="Arial"/>
        <b/>
        <color theme="1"/>
        <sz val="10.0"/>
      </rPr>
      <t>Spectrum Sharing</t>
    </r>
  </si>
  <si>
    <t>MTR-34723</t>
  </si>
  <si>
    <r>
      <rPr>
        <rFont val="Arial"/>
        <b/>
        <color theme="1"/>
        <sz val="10.0"/>
      </rPr>
      <t>Alternative additional DMRS location</t>
    </r>
    <r>
      <rPr>
        <rFont val="Arial"/>
        <b val="0"/>
        <color theme="1"/>
        <sz val="10.0"/>
      </rPr>
      <t xml:space="preserve">
is supported for all applicable FR1 bands indicated with:
additionalDMRS-DL-Alt per band.(listed in TR 38.822 Layer-1 UE features Index 2-6b)</t>
    </r>
  </si>
  <si>
    <t>All applicable for FR1 Bands</t>
  </si>
  <si>
    <t xml:space="preserve">MTR-33223
</t>
  </si>
  <si>
    <t>MTR-37259</t>
  </si>
  <si>
    <r>
      <rPr>
        <rFont val="Arial"/>
        <b/>
        <color theme="1"/>
        <sz val="10.0"/>
      </rPr>
      <t>2.5.7</t>
    </r>
    <r>
      <rPr>
        <rFont val="Arial"/>
        <b val="0"/>
        <color theme="1"/>
        <sz val="10.0"/>
      </rPr>
      <t xml:space="preserve"> </t>
    </r>
    <r>
      <rPr>
        <rFont val="Arial"/>
        <b/>
        <color theme="1"/>
        <sz val="10.0"/>
      </rPr>
      <t>NR Enhancements in Rel. 16 and following</t>
    </r>
  </si>
  <si>
    <t>MTR-35201</t>
  </si>
  <si>
    <r>
      <rPr>
        <rFont val="Arial"/>
        <b/>
        <color theme="1"/>
        <sz val="10.0"/>
      </rPr>
      <t>2.5.7.1</t>
    </r>
    <r>
      <rPr>
        <rFont val="Arial"/>
        <b val="0"/>
        <color theme="1"/>
        <sz val="10.0"/>
      </rPr>
      <t xml:space="preserve"> </t>
    </r>
    <r>
      <rPr>
        <rFont val="Arial"/>
        <b/>
        <color theme="1"/>
        <sz val="10.0"/>
      </rPr>
      <t>UE Power Saving</t>
    </r>
  </si>
  <si>
    <t>MTR-35209</t>
  </si>
  <si>
    <r>
      <rPr>
        <rFont val="Arial"/>
        <b/>
        <color theme="1"/>
        <sz val="10.0"/>
      </rPr>
      <t>2.5.7.1.1</t>
    </r>
    <r>
      <rPr>
        <rFont val="Arial"/>
        <b val="0"/>
        <color theme="1"/>
        <sz val="10.0"/>
      </rPr>
      <t xml:space="preserve"> </t>
    </r>
    <r>
      <rPr>
        <rFont val="Arial"/>
        <b/>
        <color theme="1"/>
        <sz val="10.0"/>
      </rPr>
      <t>Active BWP Switching</t>
    </r>
  </si>
  <si>
    <t>MTR-35210</t>
  </si>
  <si>
    <r>
      <rPr>
        <rFont val="Arial"/>
        <b/>
        <color theme="1"/>
        <sz val="10.0"/>
      </rPr>
      <t>Active BWP switching (DL&amp;UL)</t>
    </r>
    <r>
      <rPr>
        <rFont val="Arial"/>
        <b val="0"/>
        <color theme="1"/>
        <sz val="10.0"/>
      </rPr>
      <t xml:space="preserve"> is supported. 
Following capability is related to this feature and </t>
    </r>
    <r>
      <rPr>
        <rFont val="Arial"/>
        <b/>
        <color theme="1"/>
        <sz val="10.0"/>
      </rPr>
      <t>at least Type 2</t>
    </r>
    <r>
      <rPr>
        <rFont val="Arial"/>
        <b val="0"/>
        <color theme="1"/>
        <sz val="10.0"/>
      </rPr>
      <t xml:space="preserve"> needs to be supported: “Active BWP switching delay” (IE "Phy-ParametersCommon \\ bwp-SwitchingDelay") listed under TR 38.822, see </t>
    </r>
    <r>
      <rPr>
        <rFont val="Arial"/>
        <b/>
        <color theme="1"/>
        <sz val="10.0"/>
      </rPr>
      <t>RF/RRM: Index 1-8 - Active BWP switching delay</t>
    </r>
    <r>
      <rPr>
        <rFont val="Arial"/>
        <b val="0"/>
        <color theme="1"/>
        <sz val="10.0"/>
      </rPr>
      <t xml:space="preserve"> </t>
    </r>
    <r>
      <rPr>
        <rFont val="Arial"/>
        <b/>
        <color theme="1"/>
        <sz val="10.0"/>
      </rPr>
      <t>(MTR-34329)</t>
    </r>
    <r>
      <rPr>
        <rFont val="Arial"/>
        <b val="0"/>
        <color theme="1"/>
        <sz val="10.0"/>
      </rPr>
      <t xml:space="preserve">. 
</t>
    </r>
    <r>
      <rPr>
        <rFont val="Arial"/>
        <b val="0"/>
        <color theme="1"/>
        <sz val="10.0"/>
        <u/>
      </rPr>
      <t>Note:</t>
    </r>
    <r>
      <rPr>
        <rFont val="Arial"/>
        <b val="0"/>
        <color theme="1"/>
        <sz val="10.0"/>
      </rPr>
      <t xml:space="preserve">
Type 1 -&gt; 1 ms
Type 2 -&gt; 2.5 ms for SCS=30 kHz, 3 ms für SCS=15kHz
In addition to the above capability the device must also signal </t>
    </r>
    <r>
      <rPr>
        <rFont val="Arial"/>
        <b/>
        <color theme="1"/>
        <sz val="10.0"/>
      </rPr>
      <t>per NR band</t>
    </r>
    <r>
      <rPr>
        <rFont val="Arial"/>
        <b val="0"/>
        <color theme="1"/>
        <sz val="10.0"/>
      </rPr>
      <t xml:space="preserve"> how many different BWPs can be switched (</t>
    </r>
    <r>
      <rPr>
        <rFont val="Arial"/>
        <b/>
        <color theme="1"/>
        <sz val="10.0"/>
      </rPr>
      <t>2/Type A: MTR-37935 or 4/Type B: MTR-37936</t>
    </r>
    <r>
      <rPr>
        <rFont val="Arial"/>
        <b val="0"/>
        <color theme="1"/>
        <sz val="10.0"/>
      </rPr>
      <t>)
Please state in the Comments Vendor any deviations from fully supporting active DL BWP switching in this requirement.</t>
    </r>
  </si>
  <si>
    <t>Support Type2:  please discuss with Google TAM for feature enablement plans</t>
  </si>
  <si>
    <t>MTR-37935</t>
  </si>
  <si>
    <r>
      <rPr>
        <rFont val="Arial"/>
        <b/>
        <color theme="1"/>
        <sz val="10.0"/>
      </rPr>
      <t>Type A BWP adaptation (2 BWPs) with same numerology</t>
    </r>
    <r>
      <rPr>
        <rFont val="Arial"/>
        <b val="0"/>
        <color theme="1"/>
        <sz val="10.0"/>
      </rPr>
      <t xml:space="preserve"> is supported (at least on Band n78). 
I.e. for the respective band(s) set "BandNR/bwp-SameNumerology" = upto2 (or alternatively upto4 - see below) 
This allows the network to switch (via DCI) between 2 configured BWPs on the specific band
This is listed under TR 38.822, see </t>
    </r>
    <r>
      <rPr>
        <rFont val="Arial"/>
        <b/>
        <color theme="1"/>
        <sz val="10.0"/>
      </rPr>
      <t>L1: Index 6-2 - Type A BWP adaptation with same numerology</t>
    </r>
    <r>
      <rPr>
        <rFont val="Arial"/>
        <b val="0"/>
        <color theme="1"/>
        <sz val="10.0"/>
      </rPr>
      <t>. 
Please state in the Comments Vendor if further bands beyond n78 are supported.</t>
    </r>
  </si>
  <si>
    <t>MTR-37936</t>
  </si>
  <si>
    <r>
      <rPr>
        <rFont val="Arial"/>
        <b/>
        <color theme="1"/>
        <sz val="10.0"/>
      </rPr>
      <t>Type B BWP adaptation (4 BWPs) with same numerology</t>
    </r>
    <r>
      <rPr>
        <rFont val="Arial"/>
        <b val="0"/>
        <color theme="1"/>
        <sz val="10.0"/>
      </rPr>
      <t xml:space="preserve"> is supported (at least on Band n78). 
I.e. for the respective band(s) set "BandNR/bwp-SameNumerology" = upto4 
This allows the network to switch (via DCI) between 4 configured BWPs on the specific band.
This is listed under TR 38.822, see </t>
    </r>
    <r>
      <rPr>
        <rFont val="Arial"/>
        <b/>
        <color theme="1"/>
        <sz val="10.0"/>
      </rPr>
      <t>L1: Index 6-3 - Type B BWP adaptation with same numerology</t>
    </r>
    <r>
      <rPr>
        <rFont val="Arial"/>
        <b val="0"/>
        <color theme="1"/>
        <sz val="10.0"/>
      </rPr>
      <t>. 
Please state in the Comments Vendor if further bands beyond n78 are supported.</t>
    </r>
  </si>
  <si>
    <t>MTR-37937</t>
  </si>
  <si>
    <r>
      <rPr>
        <rFont val="Arial"/>
        <b/>
        <color theme="1"/>
        <sz val="10.0"/>
      </rPr>
      <t>BWP operation without restriction on BW of BWP(s)</t>
    </r>
    <r>
      <rPr>
        <rFont val="Arial"/>
        <b val="0"/>
        <color theme="1"/>
        <sz val="10.0"/>
      </rPr>
      <t xml:space="preserve"> is supported (at least on Band n78). 
I.e. for the respective band(s) "BandNR/bwp-bwp-WithoutRestriction =supported" is present.
This allows a configuration where the bandwidth of a UE-specific RRC configured DL BWP may not include the bandwidth of CORESET #0 (if configured) and SSB.
This is listed under TR 38.822, see </t>
    </r>
    <r>
      <rPr>
        <rFont val="Arial"/>
        <b/>
        <color theme="1"/>
        <sz val="10.0"/>
      </rPr>
      <t xml:space="preserve">L1: Index 6-1a -BWP operation without restriction on BW of BWP(s) </t>
    </r>
    <r>
      <rPr>
        <rFont val="Arial"/>
        <b val="0"/>
        <color theme="1"/>
        <sz val="10.0"/>
      </rPr>
      <t>. 
Please state in the Comments Vendor if further bands beyond n78 are supported.</t>
    </r>
  </si>
  <si>
    <t>MTR-35693</t>
  </si>
  <si>
    <r>
      <rPr>
        <rFont val="Arial"/>
        <b/>
        <color theme="1"/>
        <sz val="10.0"/>
      </rPr>
      <t>2.5.7.1.2</t>
    </r>
    <r>
      <rPr>
        <rFont val="Arial"/>
        <b val="0"/>
        <color theme="1"/>
        <sz val="10.0"/>
      </rPr>
      <t xml:space="preserve"> </t>
    </r>
    <r>
      <rPr>
        <rFont val="Arial"/>
        <b/>
        <color theme="1"/>
        <sz val="10.0"/>
      </rPr>
      <t>UE Assistance for Power Saving / Overheating</t>
    </r>
  </si>
  <si>
    <t>MTR-35701</t>
  </si>
  <si>
    <r>
      <rPr>
        <rFont val="Arial"/>
        <b/>
        <color theme="1"/>
        <sz val="10.0"/>
      </rPr>
      <t>[Rel. 15] [Rel. 16]</t>
    </r>
    <r>
      <rPr>
        <rFont val="Arial"/>
        <b val="0"/>
        <color theme="1"/>
        <sz val="10.0"/>
      </rPr>
      <t xml:space="preserve"> </t>
    </r>
    <r>
      <rPr>
        <rFont val="Arial"/>
        <b/>
        <color theme="1"/>
        <sz val="10.0"/>
      </rPr>
      <t>Transmission of assistance for overheating</t>
    </r>
    <r>
      <rPr>
        <rFont val="Arial"/>
        <b val="0"/>
        <color theme="1"/>
        <sz val="10.0"/>
      </rPr>
      <t xml:space="preserve"> by UE is supported.
If in overheating or the preference on overheating assistance information changed, UE can transmit Overheating Assistance IE in either </t>
    </r>
    <r>
      <rPr>
        <rFont val="Arial"/>
        <b val="0"/>
        <i/>
        <color theme="1"/>
        <sz val="10.0"/>
      </rPr>
      <t>NR RRC UEAssistanceInformation</t>
    </r>
    <r>
      <rPr>
        <rFont val="Arial"/>
        <b val="0"/>
        <color theme="1"/>
        <sz val="10.0"/>
      </rPr>
      <t xml:space="preserve"> message or in </t>
    </r>
    <r>
      <rPr>
        <rFont val="Arial"/>
        <b val="0"/>
        <i/>
        <color theme="1"/>
        <sz val="10.0"/>
      </rPr>
      <t>LTE RRC UEAssistanceInformation</t>
    </r>
    <r>
      <rPr>
        <rFont val="Arial"/>
        <b val="0"/>
        <color theme="1"/>
        <sz val="10.0"/>
      </rPr>
      <t xml:space="preserve"> message assuming the UE is configured by RRC to do so. 
The Overheating Assistance IE may comprise the UE’s preference on reduced number of component carriers in DL / UL for SCG, the UE’s preference on reduced maximum bandwidth in DL / UL for all serving cells of the cell group and the UE’s preference for reduced maximum number of MIMO Layers in DL / UL for each serving cell of the cell group.
The related reporting prohibition time (0..600s) as defined by the network via [OtherConfig] in IE "</t>
    </r>
    <r>
      <rPr>
        <rFont val="Arial"/>
        <b val="0"/>
        <i/>
        <color theme="1"/>
        <sz val="10.0"/>
      </rPr>
      <t>overheatingAssistanceConfig/overheatingIndicationProhibitTimer</t>
    </r>
    <r>
      <rPr>
        <rFont val="Arial"/>
        <b val="0"/>
        <color theme="1"/>
        <sz val="10.0"/>
      </rPr>
      <t>" is respected (T345).
Related UE capabilities: [overheatingInd in NR specification], [overheatingIndForSCG-r16 in LTE specification].
[3GPP TS38.331, 5.7.4 UE Assistance Information]</t>
    </r>
  </si>
  <si>
    <t>SA, SCG Support: Reach out to TAM when NW is ready for feature enablement</t>
  </si>
  <si>
    <t>MTR-35694</t>
  </si>
  <si>
    <r>
      <rPr>
        <rFont val="Arial"/>
        <b/>
        <color theme="1"/>
        <sz val="10.0"/>
      </rPr>
      <t>[Rel. 16] Transmission of cDRX setting preference</t>
    </r>
    <r>
      <rPr>
        <rFont val="Arial"/>
        <b val="0"/>
        <color theme="1"/>
        <sz val="10.0"/>
      </rPr>
      <t xml:space="preserve"> by UE is supported. 
UE can transmit its current c-DRX preference comprising long DRX cycle, DRX inactivity timer,  short DRX cycle and short DRX timer for a cell group [drx-Preference-r16] by using either </t>
    </r>
    <r>
      <rPr>
        <rFont val="Arial"/>
        <b val="0"/>
        <i/>
        <color theme="1"/>
        <sz val="10.0"/>
      </rPr>
      <t>NR RRC UEAssistanceInformation</t>
    </r>
    <r>
      <rPr>
        <rFont val="Arial"/>
        <b val="0"/>
        <color theme="1"/>
        <sz val="10.0"/>
      </rPr>
      <t xml:space="preserve"> message or LTE RRC </t>
    </r>
    <r>
      <rPr>
        <rFont val="Arial"/>
        <b val="0"/>
        <i/>
        <color theme="1"/>
        <sz val="10.0"/>
      </rPr>
      <t>ULInformationTransferMRDC</t>
    </r>
    <r>
      <rPr>
        <rFont val="Arial"/>
        <b val="0"/>
        <color theme="1"/>
        <sz val="10.0"/>
      </rPr>
      <t xml:space="preserve"> message assuming the UE is configured by RRC to do so.
The related reporting prohibition time (0..30s) as defined by the network via [OtherConfig] in IE "</t>
    </r>
    <r>
      <rPr>
        <rFont val="Arial"/>
        <b val="0"/>
        <i/>
        <color theme="1"/>
        <sz val="10.0"/>
      </rPr>
      <t>drx-PreferenceConfig/drx-PreferenceProhibitTimer</t>
    </r>
    <r>
      <rPr>
        <rFont val="Arial"/>
        <b val="0"/>
        <color theme="1"/>
        <sz val="10.0"/>
      </rPr>
      <t xml:space="preserve">" is respected (T346a).
Related UE capability: </t>
    </r>
    <r>
      <rPr>
        <rFont val="Arial"/>
        <b/>
        <color theme="1"/>
        <sz val="10.0"/>
      </rPr>
      <t>Layer2/3: Index 19-1 [PowSav-ParametersCommon-r16/drx-preference-r16].</t>
    </r>
    <r>
      <rPr>
        <rFont val="Arial"/>
        <b val="0"/>
        <color theme="1"/>
        <sz val="10.0"/>
      </rPr>
      <t xml:space="preserve">
[3GPP TS38.331, 5.7.4 UE Assistance Information]</t>
    </r>
  </si>
  <si>
    <t>MTR-35695</t>
  </si>
  <si>
    <r>
      <rPr>
        <rFont val="Arial"/>
        <b/>
        <color theme="1"/>
        <sz val="10.0"/>
      </rPr>
      <t>[Rel. 16] Transmission of preference on maximum aggregated bandwidth</t>
    </r>
    <r>
      <rPr>
        <rFont val="Arial"/>
        <b val="0"/>
        <color theme="1"/>
        <sz val="10.0"/>
      </rPr>
      <t xml:space="preserve"> by UE is supported.
UE can transmit its current preference on maximum aggregated bandwidth for a cell group [maxBW-Preference-r16] by using either </t>
    </r>
    <r>
      <rPr>
        <rFont val="Arial"/>
        <b val="0"/>
        <i/>
        <color theme="1"/>
        <sz val="10.0"/>
      </rPr>
      <t>NR RRC UEAssistanceInformation</t>
    </r>
    <r>
      <rPr>
        <rFont val="Arial"/>
        <b val="0"/>
        <color theme="1"/>
        <sz val="10.0"/>
      </rPr>
      <t xml:space="preserve"> message or </t>
    </r>
    <r>
      <rPr>
        <rFont val="Arial"/>
        <b val="0"/>
        <i/>
        <color theme="1"/>
        <sz val="10.0"/>
      </rPr>
      <t>LTE RRC ULInformationTransferMRDC</t>
    </r>
    <r>
      <rPr>
        <rFont val="Arial"/>
        <b val="0"/>
        <color theme="1"/>
        <sz val="10.0"/>
      </rPr>
      <t xml:space="preserve"> message assuming the UE is configured by RRC to do so.
If 0 is transmitted as maximum aggregated bandwidth, it is an indication for SCG release. It shall be used instead of other implementation-specific indications.
The related reporting prohibition time (0..30s) as defined by the network via [OtherConfig] in IE "</t>
    </r>
    <r>
      <rPr>
        <rFont val="Arial"/>
        <b val="0"/>
        <i/>
        <color theme="1"/>
        <sz val="10.0"/>
      </rPr>
      <t>maxBW-PreferenceConfig/maxBW-PreferenceProhibitTimer</t>
    </r>
    <r>
      <rPr>
        <rFont val="Arial"/>
        <b val="0"/>
        <color theme="1"/>
        <sz val="10.0"/>
      </rPr>
      <t xml:space="preserve">" is respected (T346b).
Related UE capability:  </t>
    </r>
    <r>
      <rPr>
        <rFont val="Arial"/>
        <b/>
        <color theme="1"/>
        <sz val="10.0"/>
      </rPr>
      <t>Layer2/3: Index 19-2 [PowSav-ParametersCommon-r16/</t>
    </r>
    <r>
      <rPr>
        <rFont val="Arial"/>
        <b/>
        <i/>
        <color theme="1"/>
        <sz val="10.0"/>
      </rPr>
      <t>maxBW-Preference-r16</t>
    </r>
    <r>
      <rPr>
        <rFont val="Arial"/>
        <b/>
        <color theme="1"/>
        <sz val="10.0"/>
      </rPr>
      <t>].</t>
    </r>
    <r>
      <rPr>
        <rFont val="Arial"/>
        <b val="0"/>
        <color theme="1"/>
        <sz val="10.0"/>
      </rPr>
      <t xml:space="preserve">
[3GPP TS38.331, 5.7.4 UE Assistance Information]</t>
    </r>
  </si>
  <si>
    <t>MTR-35696</t>
  </si>
  <si>
    <r>
      <rPr>
        <rFont val="Arial"/>
        <b/>
        <color theme="1"/>
        <sz val="10.0"/>
      </rPr>
      <t>[Rel. 16] Transmission of preference on maximum number of secondary component carriers</t>
    </r>
    <r>
      <rPr>
        <rFont val="Arial"/>
        <b val="0"/>
        <color theme="1"/>
        <sz val="10.0"/>
      </rPr>
      <t xml:space="preserve"> by UE is supported.
UE can transmit its current preference on maximum number of secondary component carriers for a cell group [maxCC-Preference-r16] by using either </t>
    </r>
    <r>
      <rPr>
        <rFont val="Arial"/>
        <b val="0"/>
        <i/>
        <color theme="1"/>
        <sz val="10.0"/>
      </rPr>
      <t>NR RRC UEAssistanceInformation message</t>
    </r>
    <r>
      <rPr>
        <rFont val="Arial"/>
        <b val="0"/>
        <color theme="1"/>
        <sz val="10.0"/>
      </rPr>
      <t xml:space="preserve"> or LTE RRC </t>
    </r>
    <r>
      <rPr>
        <rFont val="Arial"/>
        <b val="0"/>
        <i/>
        <color theme="1"/>
        <sz val="10.0"/>
      </rPr>
      <t>ULInformationTransferMRDC</t>
    </r>
    <r>
      <rPr>
        <rFont val="Arial"/>
        <b val="0"/>
        <color theme="1"/>
        <sz val="10.0"/>
      </rPr>
      <t xml:space="preserve"> message assuming the UE is configured by RRC to do so.
If 0 is transmitted as maximum number of secondary component carriers, it is an indication for SCG release. It shall be used instead of other implementation-specific indications.
The related reporting prohibition time (0..30s) as defined by the network via [OtherConfig] in IE "</t>
    </r>
    <r>
      <rPr>
        <rFont val="Arial"/>
        <b val="0"/>
        <i/>
        <color theme="1"/>
        <sz val="10.0"/>
      </rPr>
      <t>maxCC-PreferenceConfig/maxCC-PreferenceProhibitTimer</t>
    </r>
    <r>
      <rPr>
        <rFont val="Arial"/>
        <b val="0"/>
        <color theme="1"/>
        <sz val="10.0"/>
      </rPr>
      <t xml:space="preserve">" is respected (T346c).
Related UE capability: </t>
    </r>
    <r>
      <rPr>
        <rFont val="Arial"/>
        <b/>
        <color theme="1"/>
        <sz val="10.0"/>
      </rPr>
      <t>Layer2/3: Index 19-3 [PowSav-ParametersCommon-r16/maxCC-preference-r16].</t>
    </r>
    <r>
      <rPr>
        <rFont val="Arial"/>
        <b val="0"/>
        <color theme="1"/>
        <sz val="10.0"/>
      </rPr>
      <t xml:space="preserve">
[3GPP TS38.331, 5.7.4 UE Assistance Information]</t>
    </r>
  </si>
  <si>
    <t>MTR-35697</t>
  </si>
  <si>
    <r>
      <rPr>
        <rFont val="Arial"/>
        <b/>
        <color theme="1"/>
        <sz val="10.0"/>
      </rPr>
      <t>[Rel. 16] Transmission of preference on maximum number of MIMO layers</t>
    </r>
    <r>
      <rPr>
        <rFont val="Arial"/>
        <b val="0"/>
        <color theme="1"/>
        <sz val="10.0"/>
      </rPr>
      <t xml:space="preserve"> by UE is supported.
UE can transmit its current preference on maximum number of MIMO layers for a cell group [maxMIMO-LayerPreference-r16] by using either </t>
    </r>
    <r>
      <rPr>
        <rFont val="Arial"/>
        <b val="0"/>
        <i/>
        <color theme="1"/>
        <sz val="10.0"/>
      </rPr>
      <t>NR RRC UEAssistanceInformation</t>
    </r>
    <r>
      <rPr>
        <rFont val="Arial"/>
        <b val="0"/>
        <color theme="1"/>
        <sz val="10.0"/>
      </rPr>
      <t xml:space="preserve"> message or </t>
    </r>
    <r>
      <rPr>
        <rFont val="Arial"/>
        <b val="0"/>
        <i/>
        <color theme="1"/>
        <sz val="10.0"/>
      </rPr>
      <t>LTE RRC ULInformationTransferMRDC</t>
    </r>
    <r>
      <rPr>
        <rFont val="Arial"/>
        <b val="0"/>
        <color theme="1"/>
        <sz val="10.0"/>
      </rPr>
      <t xml:space="preserve"> message assuming the UE is configured by RRC to do so.
The related reporting prohibition time (0..30s) as defined by the network via [OtherConfig] in IE "</t>
    </r>
    <r>
      <rPr>
        <rFont val="Arial"/>
        <b val="0"/>
        <i/>
        <color theme="1"/>
        <sz val="10.0"/>
      </rPr>
      <t>maxMIMO-LayerPreferenceConfig</t>
    </r>
    <r>
      <rPr>
        <rFont val="Arial"/>
        <b val="0"/>
        <color theme="1"/>
        <sz val="10.0"/>
      </rPr>
      <t>/</t>
    </r>
    <r>
      <rPr>
        <rFont val="Arial"/>
        <b val="0"/>
        <i/>
        <color theme="1"/>
        <sz val="10.0"/>
      </rPr>
      <t>maxMIMO-LayerPreferenceProhibitTimer</t>
    </r>
    <r>
      <rPr>
        <rFont val="Arial"/>
        <b val="0"/>
        <color theme="1"/>
        <sz val="10.0"/>
      </rPr>
      <t xml:space="preserve">" is respected (T346d).
Related UE capability: [PowSav-ParametersFRX-Diff-r16/maxMIMO-LayerPreference-r16 
Further related UE capabilities: </t>
    </r>
    <r>
      <rPr>
        <rFont val="Arial"/>
        <b/>
        <color theme="1"/>
        <sz val="10.0"/>
      </rPr>
      <t>Layer2/3: Index 19-4</t>
    </r>
    <r>
      <rPr>
        <rFont val="Arial"/>
        <b val="0"/>
        <color theme="1"/>
        <sz val="10.0"/>
      </rPr>
      <t xml:space="preserve"> </t>
    </r>
    <r>
      <rPr>
        <rFont val="Arial"/>
        <b/>
        <color theme="1"/>
        <sz val="10.0"/>
      </rPr>
      <t>[maxLayersMIMO-Indication and Layer 1 Index 19-3: maxLayersMIMO-Adaptation-r16].</t>
    </r>
    <r>
      <rPr>
        <rFont val="Arial"/>
        <b val="0"/>
        <color theme="1"/>
        <sz val="10.0"/>
      </rPr>
      <t xml:space="preserve">
[3GPP TS38.331, 5.7.4 UE Assistance Information]</t>
    </r>
  </si>
  <si>
    <t>MTR-35698</t>
  </si>
  <si>
    <r>
      <rPr>
        <rFont val="Arial"/>
        <b/>
        <color theme="1"/>
        <sz val="10.0"/>
      </rPr>
      <t>[Rel. 16] Transmission of preference on minimum scheduling offset for cross-slot scheduling</t>
    </r>
    <r>
      <rPr>
        <rFont val="Arial"/>
        <b val="0"/>
        <color theme="1"/>
        <sz val="10.0"/>
      </rPr>
      <t xml:space="preserve"> by UE is supported.
UE can transmit its current preference on minimum scheduling offset for cross-slot scheduling in UL/DL for a cell group [minSchedulingOffsetPreference-r16] by using either </t>
    </r>
    <r>
      <rPr>
        <rFont val="Arial"/>
        <b val="0"/>
        <i/>
        <color theme="1"/>
        <sz val="10.0"/>
      </rPr>
      <t>NR RRC UEAssistanceInformation</t>
    </r>
    <r>
      <rPr>
        <rFont val="Arial"/>
        <b val="0"/>
        <color theme="1"/>
        <sz val="10.0"/>
      </rPr>
      <t xml:space="preserve"> message or LTE RRC </t>
    </r>
    <r>
      <rPr>
        <rFont val="Arial"/>
        <b val="0"/>
        <i/>
        <color theme="1"/>
        <sz val="10.0"/>
      </rPr>
      <t>ULInformationTransferMRDC</t>
    </r>
    <r>
      <rPr>
        <rFont val="Arial"/>
        <b val="0"/>
        <color theme="1"/>
        <sz val="10.0"/>
      </rPr>
      <t xml:space="preserve"> message assuming the UE is configured by RRC to do so.
The related reporting prohibition time (0..30s) as defined by the network via [OtherConfig] in IE "</t>
    </r>
    <r>
      <rPr>
        <rFont val="Arial"/>
        <b val="0"/>
        <i/>
        <color theme="1"/>
        <sz val="10.0"/>
      </rPr>
      <t>minSchedulingOffsetPreferenceConfig</t>
    </r>
    <r>
      <rPr>
        <rFont val="Arial"/>
        <b val="0"/>
        <color theme="1"/>
        <sz val="10.0"/>
      </rPr>
      <t>/</t>
    </r>
    <r>
      <rPr>
        <rFont val="Arial"/>
        <b val="0"/>
        <i/>
        <color theme="1"/>
        <sz val="10.0"/>
      </rPr>
      <t>minSchedulingOffsetPreferenceProhibitTimer</t>
    </r>
    <r>
      <rPr>
        <rFont val="Arial"/>
        <b val="0"/>
        <color theme="1"/>
        <sz val="10.0"/>
      </rPr>
      <t xml:space="preserve">" is respected (T346e)
Related UE capability: </t>
    </r>
    <r>
      <rPr>
        <rFont val="Arial"/>
        <b/>
        <color theme="1"/>
        <sz val="10.0"/>
      </rPr>
      <t>Layer 1 Index 19-4a [PowSav-ParametersCommon-r16/minSchedulingOffsetPreference-r16].</t>
    </r>
    <r>
      <rPr>
        <rFont val="Arial"/>
        <b val="0"/>
        <color theme="1"/>
        <sz val="10.0"/>
      </rPr>
      <t xml:space="preserve">
[3GPP TS38.331, 5.7.4 UE Assistance Information]</t>
    </r>
  </si>
  <si>
    <t>MTR-35699</t>
  </si>
  <si>
    <r>
      <rPr>
        <rFont val="Arial"/>
        <b/>
        <color theme="1"/>
        <sz val="10.0"/>
      </rPr>
      <t>[Rel. 16] Transmission of preference to leave RRC_CONNECTED state</t>
    </r>
    <r>
      <rPr>
        <rFont val="Arial"/>
        <b val="0"/>
        <color theme="1"/>
        <sz val="10.0"/>
      </rPr>
      <t xml:space="preserve"> by UE is supported.
UE can transmit its current preference to leave RRC_CONNECTED state for a cell group [releasePreference-r16] by using either </t>
    </r>
    <r>
      <rPr>
        <rFont val="Arial"/>
        <b val="0"/>
        <i/>
        <color theme="1"/>
        <sz val="10.0"/>
      </rPr>
      <t>NR RRC UEAssistanceInformation</t>
    </r>
    <r>
      <rPr>
        <rFont val="Arial"/>
        <b val="0"/>
        <color theme="1"/>
        <sz val="10.0"/>
      </rPr>
      <t xml:space="preserve"> message or LTE RRC </t>
    </r>
    <r>
      <rPr>
        <rFont val="Arial"/>
        <b val="0"/>
        <i/>
        <color theme="1"/>
        <sz val="10.0"/>
      </rPr>
      <t>ULInformationTransferMRDC</t>
    </r>
    <r>
      <rPr>
        <rFont val="Arial"/>
        <b val="0"/>
        <color theme="1"/>
        <sz val="10.0"/>
      </rPr>
      <t xml:space="preserve"> message assuming the UE is configured by RRC to do so.
If ‘RRC_CONNECTED’ is transmitted as end RRC state preference, this is an indication about UE preference that RRC connection should not be released.
The device can indicate via [releasePreference-r16] its preference as one of: idle / inactive / connected / outOfConnected
The related reporting prohibition time (0..30s) as defined by the network via [OtherConfig] in IE "</t>
    </r>
    <r>
      <rPr>
        <rFont val="Arial"/>
        <b val="0"/>
        <i/>
        <color theme="1"/>
        <sz val="10.0"/>
      </rPr>
      <t>releasePreferenceConfig</t>
    </r>
    <r>
      <rPr>
        <rFont val="Arial"/>
        <b val="0"/>
        <color theme="1"/>
        <sz val="10.0"/>
      </rPr>
      <t>/</t>
    </r>
    <r>
      <rPr>
        <rFont val="Arial"/>
        <b val="0"/>
        <i/>
        <color theme="1"/>
        <sz val="10.0"/>
      </rPr>
      <t>releasePreferenceProhibitTimer</t>
    </r>
    <r>
      <rPr>
        <rFont val="Arial"/>
        <b val="0"/>
        <color theme="1"/>
        <sz val="10.0"/>
      </rPr>
      <t xml:space="preserve">" is respected (T346f)
Related UE capability:  </t>
    </r>
    <r>
      <rPr>
        <rFont val="Arial"/>
        <b/>
        <color theme="1"/>
        <sz val="10.0"/>
      </rPr>
      <t>Layer2/3: Index 19-5[PowSav-ParametersCommon-r16/releasePreference-r16]</t>
    </r>
    <r>
      <rPr>
        <rFont val="Arial"/>
        <b val="0"/>
        <color theme="1"/>
        <sz val="10.0"/>
      </rPr>
      <t>.
[3GPP TS38.331, 5.7.4 UE Assistance Information]</t>
    </r>
  </si>
  <si>
    <t>MTR-35206</t>
  </si>
  <si>
    <r>
      <rPr>
        <rFont val="Arial"/>
        <b/>
        <color theme="1"/>
        <sz val="10.0"/>
      </rPr>
      <t>2.5.7.1.3</t>
    </r>
    <r>
      <rPr>
        <rFont val="Arial"/>
        <b val="0"/>
        <color theme="1"/>
        <sz val="10.0"/>
      </rPr>
      <t xml:space="preserve"> </t>
    </r>
    <r>
      <rPr>
        <rFont val="Arial"/>
        <b/>
        <color theme="1"/>
        <sz val="10.0"/>
      </rPr>
      <t>Cross Slot Scheduling</t>
    </r>
  </si>
  <si>
    <t>MTR-35208</t>
  </si>
  <si>
    <r>
      <rPr>
        <rFont val="Arial"/>
        <b/>
        <color theme="1"/>
        <sz val="10.0"/>
      </rPr>
      <t>[Rel. 16] DL Cross slot scheduling for PDSCH</t>
    </r>
    <r>
      <rPr>
        <rFont val="Arial"/>
        <b val="0"/>
        <color theme="1"/>
        <sz val="10.0"/>
      </rPr>
      <t xml:space="preserve"> is supported. 
Following capability is related to this feature and needs to be supported for all relevant FR1 bands: “DL scheduling offset greater than zero for PDSCH mapping type A” (IE "Phy-ParametersXDD-Diff \\ dl-SchedulingOffset-PDSCH-TypeA") listed under TR 38.822, see Layer 1 / Index 5-30 (MTR-34301). 
Further related capability: [crossSlotScheduling-r16].
Please state in the Comments Vendor any deviations from fully supporting DL cross slot scheduling in this requirement.</t>
    </r>
  </si>
  <si>
    <t>Support from android U release</t>
  </si>
  <si>
    <t>MTR-35207</t>
  </si>
  <si>
    <r>
      <rPr>
        <rFont val="Arial"/>
        <b/>
        <color theme="1"/>
        <sz val="10.0"/>
      </rPr>
      <t>[Rel. 16] UL cross slot scheduling for PUSCH</t>
    </r>
    <r>
      <rPr>
        <rFont val="Arial"/>
        <b val="0"/>
        <color theme="1"/>
        <sz val="10.0"/>
      </rPr>
      <t xml:space="preserve"> is supported.
Following capability is related to this feature (for larger values of scheduling offset) and needs to be supported for all relevant FR1 bands: “</t>
    </r>
    <r>
      <rPr>
        <rFont val="Arial"/>
        <b/>
        <color theme="1"/>
        <sz val="10.0"/>
      </rPr>
      <t>UL scheduling slot offset greater than 12</t>
    </r>
    <r>
      <rPr>
        <rFont val="Arial"/>
        <b val="0"/>
        <color theme="1"/>
        <sz val="10.0"/>
      </rPr>
      <t>” (IE "Phy-ParametersXDD-Diff \\ ul-SchedulingOffset") listed under TR 38.822, see Layer 1 / Index 5-31 (MTR-34303).
Further related capability: [crossSlotScheduling-r16].
Please state in the Comments Vendor any deviations from fully supporting UL cross slot scheduling in this requirement.</t>
    </r>
  </si>
  <si>
    <t>MTR-38801</t>
  </si>
  <si>
    <r>
      <rPr>
        <rFont val="Arial"/>
        <b/>
        <color theme="1"/>
        <sz val="10.0"/>
      </rPr>
      <t>2.5.7.1.4</t>
    </r>
    <r>
      <rPr>
        <rFont val="Arial"/>
        <b val="0"/>
        <color theme="1"/>
        <sz val="10.0"/>
      </rPr>
      <t xml:space="preserve"> </t>
    </r>
    <r>
      <rPr>
        <rFont val="Arial"/>
        <b/>
        <color theme="1"/>
        <sz val="10.0"/>
      </rPr>
      <t>Other UE Power Saving Features</t>
    </r>
  </si>
  <si>
    <t>MTR-35706</t>
  </si>
  <si>
    <r>
      <rPr>
        <rFont val="Arial"/>
        <b/>
        <color theme="1"/>
        <sz val="10.0"/>
      </rPr>
      <t>[Rel. 16] WUS (Wake Up Signal)</t>
    </r>
    <r>
      <rPr>
        <rFont val="Arial"/>
        <b val="0"/>
        <color theme="1"/>
        <sz val="10.0"/>
      </rPr>
      <t xml:space="preserve"> is supported.
The feature is supported according to TS 38.321 and TS 38.331.
Related UE capability: [drx-Adaptation-r16] (The capability signalling includes the minimum time gap between the end of the slot of DCP and the beginning of the slot where the UE would start drx_onDurationTimer.)</t>
    </r>
  </si>
  <si>
    <t>MTR-35683</t>
  </si>
  <si>
    <r>
      <rPr>
        <rFont val="Arial"/>
        <b/>
        <color theme="1"/>
        <sz val="10.0"/>
      </rPr>
      <t>2.5.7.2</t>
    </r>
    <r>
      <rPr>
        <rFont val="Arial"/>
        <b val="0"/>
        <color theme="1"/>
        <sz val="10.0"/>
      </rPr>
      <t xml:space="preserve"> </t>
    </r>
    <r>
      <rPr>
        <rFont val="Arial"/>
        <b/>
        <color theme="1"/>
        <sz val="10.0"/>
      </rPr>
      <t>NR Mobility Enhancements</t>
    </r>
  </si>
  <si>
    <t>MTR-35685</t>
  </si>
  <si>
    <r>
      <rPr>
        <rFont val="Arial"/>
        <b/>
        <color theme="1"/>
        <sz val="10.0"/>
      </rPr>
      <t>[Rel. 16] Conditional Handover (CHO) for NR/ENDC</t>
    </r>
    <r>
      <rPr>
        <rFont val="Arial"/>
        <b val="0"/>
        <color theme="1"/>
        <sz val="10.0"/>
      </rPr>
      <t xml:space="preserve"> is supported.
To improve the robustness and reliability, the network can provide the up to 8 candidate cell configuration(s) associated with execution condition(s) to the UE for NR and ENDC handover procedures.
Related UE capabilities: [condHandover-r16], [condHandoverFailure-r16], [condHandoverFDD-TDD-r16], [condHandoverTwoTriggerEvents-r16] (Conditional mandatory if CHO is supported)
If also FR2 is supported: [condHandoverFR1-FR2-r16]</t>
    </r>
  </si>
  <si>
    <t>MTR-35686</t>
  </si>
  <si>
    <r>
      <rPr>
        <rFont val="Arial"/>
        <b/>
        <color theme="1"/>
        <sz val="10.0"/>
      </rPr>
      <t>[Rel. 16] Conditional PSCell Change (CPC) for NR/ENDC</t>
    </r>
    <r>
      <rPr>
        <rFont val="Arial"/>
        <b val="0"/>
        <color theme="1"/>
        <sz val="10.0"/>
      </rPr>
      <t xml:space="preserve"> is supported.
To improve the robustness and reliability, the network can provide the up to 8 candidate cell configuration(s) associated with execution condition(s) to the UE for NR and ENDC PSCell change procedures.
Related UE capabilities: [condPSCellChange-r16], [condPSCellChangeFDD-TDD-r16], [condPSCellChangeTwoTriggerEvents-r16] (Conditional mandatory if CPC is supported)
If also FR2 is supported: [condPSCellChangeFR1-FR2-r16]</t>
    </r>
  </si>
  <si>
    <t>MTR-35687</t>
  </si>
  <si>
    <r>
      <rPr>
        <rFont val="Arial"/>
        <b/>
        <color theme="1"/>
        <sz val="10.0"/>
      </rPr>
      <t xml:space="preserve">[Rel. 16] Timer T312 based fast failure recovery for NR/ENDC </t>
    </r>
    <r>
      <rPr>
        <rFont val="Arial"/>
        <b val="0"/>
        <color theme="1"/>
        <sz val="10.0"/>
      </rPr>
      <t>is supported.
To speed up RLF recovery procedure, re-establishment procedures are triggered sooner as with timer T310 by using T312 for PCell and PSCell (similar to LTE).
Related UE capabilities: [pcellT312-r16], [pscellT312-r16]</t>
    </r>
  </si>
  <si>
    <t>MTR-37260</t>
  </si>
  <si>
    <r>
      <rPr>
        <rFont val="Arial"/>
        <b/>
        <color theme="1"/>
        <sz val="10.0"/>
      </rPr>
      <t>2.5.7.3</t>
    </r>
    <r>
      <rPr>
        <rFont val="Arial"/>
        <b val="0"/>
        <color theme="1"/>
        <sz val="10.0"/>
      </rPr>
      <t xml:space="preserve"> </t>
    </r>
    <r>
      <rPr>
        <rFont val="Arial"/>
        <b/>
        <color theme="1"/>
        <sz val="10.0"/>
      </rPr>
      <t>RRC Segmentation</t>
    </r>
  </si>
  <si>
    <t>MTR-37261</t>
  </si>
  <si>
    <r>
      <rPr>
        <rFont val="Arial"/>
        <b/>
        <color theme="1"/>
        <sz val="10.0"/>
      </rPr>
      <t>[Rel. 16] NR RRC Segmentation in UL (of UE Capbility Information)</t>
    </r>
    <r>
      <rPr>
        <rFont val="Arial"/>
        <b val="0"/>
        <color theme="1"/>
        <sz val="10.0"/>
      </rPr>
      <t xml:space="preserve">
Segmentation of </t>
    </r>
    <r>
      <rPr>
        <rFont val="Arial"/>
        <b val="0"/>
        <i/>
        <color theme="1"/>
        <sz val="10.0"/>
      </rPr>
      <t xml:space="preserve">UECapabilityInformation </t>
    </r>
    <r>
      <rPr>
        <rFont val="Arial"/>
        <b val="0"/>
        <color theme="1"/>
        <sz val="10.0"/>
      </rPr>
      <t xml:space="preserve">as specified in TS 38.331 is supported/used if necessary.
[RACS WI - activation controlled by the network via </t>
    </r>
    <r>
      <rPr>
        <rFont val="Arial"/>
        <b val="0"/>
        <i/>
        <color theme="1"/>
        <sz val="10.0"/>
      </rPr>
      <t>rrc-SegAllowed</t>
    </r>
    <r>
      <rPr>
        <rFont val="Arial"/>
        <b/>
        <i/>
        <color theme="1"/>
        <sz val="10.0"/>
      </rPr>
      <t xml:space="preserve"> </t>
    </r>
    <r>
      <rPr>
        <rFont val="Arial"/>
        <b val="0"/>
        <color theme="1"/>
        <sz val="10.0"/>
      </rPr>
      <t xml:space="preserve">in </t>
    </r>
    <r>
      <rPr>
        <rFont val="Arial"/>
        <b val="0"/>
        <i/>
        <color theme="1"/>
        <sz val="10.0"/>
      </rPr>
      <t>UECapabilityEnquiry</t>
    </r>
    <r>
      <rPr>
        <rFont val="Arial"/>
        <b val="0"/>
        <color theme="1"/>
        <sz val="10.0"/>
      </rPr>
      <t xml:space="preserve"> - used message: </t>
    </r>
    <r>
      <rPr>
        <rFont val="Arial"/>
        <b val="0"/>
        <i/>
        <color theme="1"/>
        <sz val="10.0"/>
      </rPr>
      <t>ULDedicatedMessageSegment</t>
    </r>
    <r>
      <rPr>
        <rFont val="Arial"/>
        <b val="0"/>
        <color theme="1"/>
        <sz val="10.0"/>
      </rPr>
      <t>]</t>
    </r>
  </si>
  <si>
    <t>SA disabled. Feature can be enabled when SA is enabled.</t>
  </si>
  <si>
    <t>MTR-39219</t>
  </si>
  <si>
    <r>
      <rPr>
        <rFont val="Arial"/>
        <b/>
        <color theme="1"/>
        <sz val="10.0"/>
      </rPr>
      <t>2.5.7.4</t>
    </r>
    <r>
      <rPr>
        <rFont val="Arial"/>
        <b val="0"/>
        <color theme="1"/>
        <sz val="10.0"/>
      </rPr>
      <t xml:space="preserve"> </t>
    </r>
    <r>
      <rPr>
        <rFont val="Arial"/>
        <b/>
        <color theme="1"/>
        <sz val="10.0"/>
      </rPr>
      <t>Miscellaneous R16 enhancements</t>
    </r>
  </si>
  <si>
    <t>MTR-34229</t>
  </si>
  <si>
    <r>
      <rPr>
        <rFont val="Arial"/>
        <b/>
        <color theme="1"/>
        <sz val="10.0"/>
      </rPr>
      <t>2.5.8</t>
    </r>
    <r>
      <rPr>
        <rFont val="Arial"/>
        <b val="0"/>
        <color theme="1"/>
        <sz val="10.0"/>
      </rPr>
      <t xml:space="preserve"> </t>
    </r>
    <r>
      <rPr>
        <rFont val="Arial"/>
        <b/>
        <color theme="1"/>
        <sz val="10.0"/>
      </rPr>
      <t>3GPP Mandatory 5G Capabilities</t>
    </r>
  </si>
  <si>
    <t>MTR-34690</t>
  </si>
  <si>
    <t>The following 3GPP 5G Capabilities are listed in TR 38.822 as mandatory with capability signalling. They are listed according to the the Index number in the corresponding chapters
- Layer-1 UE Features
- Layer-2 and Layer-3 Features
- RF and RRM Features</t>
  </si>
  <si>
    <t>MTR-34230</t>
  </si>
  <si>
    <r>
      <rPr>
        <rFont val="Arial"/>
        <b/>
        <color theme="1"/>
        <sz val="10.0"/>
      </rPr>
      <t>2.5.8.1</t>
    </r>
    <r>
      <rPr>
        <rFont val="Arial"/>
        <b val="0"/>
        <color theme="1"/>
        <sz val="10.0"/>
      </rPr>
      <t xml:space="preserve"> </t>
    </r>
    <r>
      <rPr>
        <rFont val="Arial"/>
        <b/>
        <color theme="1"/>
        <sz val="10.0"/>
      </rPr>
      <t>Layer-1 UE Features - 3GPP Mandatory with capability signalling (from Table 4.1-1 in TR 38.822-f01)</t>
    </r>
  </si>
  <si>
    <t>MTR-34231</t>
  </si>
  <si>
    <r>
      <rPr>
        <rFont val="Arial"/>
        <b/>
        <color theme="1"/>
        <sz val="10.0"/>
      </rPr>
      <t>2.5.8.1</t>
    </r>
    <r>
      <rPr>
        <rFont val="Arial"/>
        <b val="0"/>
        <color theme="1"/>
        <sz val="10.0"/>
      </rPr>
      <t xml:space="preserve"> </t>
    </r>
    <r>
      <rPr>
        <rFont val="Arial"/>
        <b/>
        <color theme="1"/>
        <sz val="10.0"/>
      </rPr>
      <t>Layer-1 UE Features - 3GPP Mandatory with capability signalling (from Table 4.1-1 in TR 38.822-f01)</t>
    </r>
  </si>
  <si>
    <t>MTR-38924</t>
  </si>
  <si>
    <r>
      <rPr>
        <rFont val="Arial"/>
        <b/>
        <color theme="1"/>
        <sz val="10.0"/>
      </rPr>
      <t>L1: Index 1-3: SS block based RLM</t>
    </r>
    <r>
      <rPr>
        <rFont val="Arial"/>
        <b val="0"/>
        <color theme="1"/>
        <sz val="10.0"/>
      </rPr>
      <t xml:space="preserve">
supported and indicated with IE "MeasAndMobParametersCommon \\ ssb-RLM"</t>
    </r>
  </si>
  <si>
    <t>MTR-34240</t>
  </si>
  <si>
    <r>
      <rPr>
        <rFont val="Arial"/>
        <b/>
        <color theme="1"/>
        <sz val="10.0"/>
      </rPr>
      <t>L1: Index 1-7: CSI-RS based RLM</t>
    </r>
    <r>
      <rPr>
        <rFont val="Arial"/>
        <b val="0"/>
        <color theme="1"/>
        <sz val="10.0"/>
      </rPr>
      <t xml:space="preserve">
supported and indicated with IE "MeasAndMobParametersFRX-Diff \\ csi-RS-RLM"</t>
    </r>
  </si>
  <si>
    <t>Supported. But default disable</t>
  </si>
  <si>
    <t>MTR-34241</t>
  </si>
  <si>
    <r>
      <rPr>
        <rFont val="Arial"/>
        <b/>
        <color theme="1"/>
        <sz val="10.0"/>
      </rPr>
      <t>L1: Index 1-10: Support of SCell without SS/PBCH block</t>
    </r>
    <r>
      <rPr>
        <rFont val="Arial"/>
        <b val="0"/>
        <color theme="1"/>
        <sz val="10.0"/>
      </rPr>
      <t xml:space="preserve">
supported and indicated with IE "FeatureSetDownlink \\ scellWithoutSSB"</t>
    </r>
  </si>
  <si>
    <t>MTR-34232</t>
  </si>
  <si>
    <r>
      <rPr>
        <rFont val="Arial"/>
        <b/>
        <color theme="1"/>
        <sz val="10.0"/>
      </rPr>
      <t>2.5.8.1.2</t>
    </r>
    <r>
      <rPr>
        <rFont val="Arial"/>
        <b val="0"/>
        <color theme="1"/>
        <sz val="10.0"/>
      </rPr>
      <t xml:space="preserve"> </t>
    </r>
    <r>
      <rPr>
        <rFont val="Arial"/>
        <b/>
        <color theme="1"/>
        <sz val="10.0"/>
      </rPr>
      <t>MIMO</t>
    </r>
  </si>
  <si>
    <t>MTR-34242</t>
  </si>
  <si>
    <r>
      <rPr>
        <rFont val="Arial"/>
        <b/>
        <color theme="1"/>
        <sz val="10.0"/>
      </rPr>
      <t>L1: Index 2-4: TCI states for PDSCH</t>
    </r>
    <r>
      <rPr>
        <rFont val="Arial"/>
        <b val="0"/>
        <color theme="1"/>
        <sz val="10.0"/>
      </rPr>
      <t xml:space="preserve">
supported and indicated with IE "maxNumberActiveTCI-PerBWP" and "maxNumberConfiguredTCIstatesPerCC"</t>
    </r>
  </si>
  <si>
    <t>MTR-34243</t>
  </si>
  <si>
    <r>
      <rPr>
        <rFont val="Arial"/>
        <b/>
        <color theme="1"/>
        <sz val="10.0"/>
      </rPr>
      <t>L1: Index 2-4a: Additional active TCI state for PDCCH</t>
    </r>
    <r>
      <rPr>
        <rFont val="Arial"/>
        <b val="0"/>
        <color theme="1"/>
        <sz val="10.0"/>
      </rPr>
      <t xml:space="preserve">
supported and indicated with IE "MIMO-ParametersPerBand \\ additionalActiveTCI-StatePDCCH"</t>
    </r>
  </si>
  <si>
    <t>MTR-34244</t>
  </si>
  <si>
    <r>
      <rPr>
        <rFont val="Arial"/>
        <b/>
        <color theme="1"/>
        <sz val="10.0"/>
      </rPr>
      <t>L1: Index 2-6a: Support 1+2 DMRS (downlink)</t>
    </r>
    <r>
      <rPr>
        <rFont val="Arial"/>
        <b val="0"/>
        <color theme="1"/>
        <sz val="10.0"/>
      </rPr>
      <t xml:space="preserve">
supported and indicated with IE "FeatureSetDownlink-v1540 \\ oneFL-DMRS-TwoAdditionalDMRS-DL"</t>
    </r>
  </si>
  <si>
    <t>MTR-34245</t>
  </si>
  <si>
    <r>
      <rPr>
        <rFont val="Arial"/>
        <b/>
        <color theme="1"/>
        <sz val="10.0"/>
      </rPr>
      <t>L1: Index 2-10: Supported DMRS types (downlink)</t>
    </r>
    <r>
      <rPr>
        <rFont val="Arial"/>
        <b val="0"/>
        <color theme="1"/>
        <sz val="10.0"/>
      </rPr>
      <t xml:space="preserve">
indicated with IE "Phy-ParametersFRX-Diff \\ supportedDMRS-TypeDL".
</t>
    </r>
    <r>
      <rPr>
        <rFont val="Arial"/>
        <b/>
        <color theme="1"/>
        <sz val="10.0"/>
      </rPr>
      <t>Please indicate under Comments Vendor the supported DMRS DL types, e.g.</t>
    </r>
    <r>
      <rPr>
        <rFont val="Arial"/>
        <b val="0"/>
        <color theme="1"/>
        <sz val="10.0"/>
      </rPr>
      <t xml:space="preserve">
- Type 1 (mandatory) or
- Type 1 + Type 2 (optional)</t>
    </r>
  </si>
  <si>
    <t>Type1 + Type2</t>
  </si>
  <si>
    <t>MTR-34246</t>
  </si>
  <si>
    <r>
      <rPr>
        <rFont val="Arial"/>
        <b/>
        <color theme="1"/>
        <sz val="10.0"/>
      </rPr>
      <t>L1: Index 2-16b: Support 1+2 DMRS (uplink)</t>
    </r>
    <r>
      <rPr>
        <rFont val="Arial"/>
        <b val="0"/>
        <color theme="1"/>
        <sz val="10.0"/>
      </rPr>
      <t xml:space="preserve">
supported and indicated with IE "Phy-ParametersFRX-Diff \\ oneFL-DMRS-TwoAdditionalDMRS-UL"</t>
    </r>
  </si>
  <si>
    <t>MTR-38925</t>
  </si>
  <si>
    <r>
      <rPr>
        <rFont val="Arial"/>
        <b/>
        <color theme="1"/>
        <sz val="10.0"/>
      </rPr>
      <t>L1: Index 2-17: Supported DMRS types (uplink)</t>
    </r>
    <r>
      <rPr>
        <rFont val="Arial"/>
        <b val="0"/>
        <color theme="1"/>
        <sz val="10.0"/>
      </rPr>
      <t xml:space="preserve">
indicated with IE "Phy-ParametersFRX-Diff \\ supportedDMRS-TypeUL".
</t>
    </r>
    <r>
      <rPr>
        <rFont val="Arial"/>
        <b/>
        <color theme="1"/>
        <sz val="10.0"/>
      </rPr>
      <t>Please indicate under Comments Vendor the supported DMRS UL types, e.g.</t>
    </r>
    <r>
      <rPr>
        <rFont val="Arial"/>
        <b val="0"/>
        <color theme="1"/>
        <sz val="10.0"/>
      </rPr>
      <t xml:space="preserve">
- Type 1 (mandatory) or
- Type 1 + Type 2 (mandatory)</t>
    </r>
  </si>
  <si>
    <t>MTR-34247</t>
  </si>
  <si>
    <r>
      <rPr>
        <rFont val="Arial"/>
        <b/>
        <color theme="1"/>
        <sz val="10.0"/>
      </rPr>
      <t>L1: Index 2-18: Supported 2 symbols front-loaded DMRS (uplink)</t>
    </r>
    <r>
      <rPr>
        <rFont val="Arial"/>
        <b val="0"/>
        <color theme="1"/>
        <sz val="10.0"/>
      </rPr>
      <t xml:space="preserve">
supported and indicated with IE "Phy-ParametersFRX-Diff \\ twoFL-DMRS"</t>
    </r>
  </si>
  <si>
    <t>MTR-34248</t>
  </si>
  <si>
    <r>
      <rPr>
        <rFont val="Arial"/>
        <b/>
        <color theme="1"/>
        <sz val="10.0"/>
      </rPr>
      <t>L1: Index 2-18a: Supported 2 symbols front-loaded +2 symbols additional DMRS (uplink)</t>
    </r>
    <r>
      <rPr>
        <rFont val="Arial"/>
        <b val="0"/>
        <color theme="1"/>
        <sz val="10.0"/>
      </rPr>
      <t xml:space="preserve">
supported and indicated with IE "Phy-ParametersFRX-Diff \\ twoFL-DMRS-TwoAdditionalDMRS-UL"</t>
    </r>
  </si>
  <si>
    <t>MTR-34249</t>
  </si>
  <si>
    <r>
      <rPr>
        <rFont val="Arial"/>
        <b/>
        <color theme="1"/>
        <sz val="10.0"/>
      </rPr>
      <t>L1: Index 2-21: Periodic beam report</t>
    </r>
    <r>
      <rPr>
        <rFont val="Arial"/>
        <b val="0"/>
        <color theme="1"/>
        <sz val="10.0"/>
      </rPr>
      <t xml:space="preserve">
supported and indicated with IE "MIMO-ParametersPerBand \\ periodicBeamReport"</t>
    </r>
  </si>
  <si>
    <t>MTR-34250</t>
  </si>
  <si>
    <r>
      <rPr>
        <rFont val="Arial"/>
        <b/>
        <color theme="1"/>
        <sz val="10.0"/>
      </rPr>
      <t>L1: Index 2-22: Aperiodic beam report</t>
    </r>
    <r>
      <rPr>
        <rFont val="Arial"/>
        <b val="0"/>
        <color theme="1"/>
        <sz val="10.0"/>
      </rPr>
      <t xml:space="preserve">
supported and indicated with IE "MIMO-ParametersPerBand \\ aperiodicBeamReport"</t>
    </r>
  </si>
  <si>
    <t>MTR-34251</t>
  </si>
  <si>
    <r>
      <rPr>
        <rFont val="Arial"/>
        <b/>
        <color theme="1"/>
        <sz val="10.0"/>
      </rPr>
      <t>L1: Index 2-24: SSB/CSI-RS for beam measurement</t>
    </r>
    <r>
      <rPr>
        <rFont val="Arial"/>
        <b val="0"/>
        <color theme="1"/>
        <sz val="10.0"/>
      </rPr>
      <t xml:space="preserve">
supported and indicated with IE "MIMO-ParametersPerBand \\ beamManagementSSB-CSI-RS"</t>
    </r>
  </si>
  <si>
    <t>MTR-34252</t>
  </si>
  <si>
    <r>
      <rPr>
        <rFont val="Arial"/>
        <b/>
        <color theme="1"/>
        <sz val="10.0"/>
      </rPr>
      <t>L1: Index 2-25: Beam reporting timing</t>
    </r>
    <r>
      <rPr>
        <rFont val="Arial"/>
        <b val="0"/>
        <color theme="1"/>
        <sz val="10.0"/>
      </rPr>
      <t xml:space="preserve">
for SCS 15kHz, 30kHz and 60kHz supported and indicated with IE "MIMO-ParametersPerBand \\ beamReportTiming"</t>
    </r>
  </si>
  <si>
    <t>MTR-34253</t>
  </si>
  <si>
    <r>
      <rPr>
        <rFont val="Arial"/>
        <b/>
        <color theme="1"/>
        <sz val="10.0"/>
      </rPr>
      <t>L1: Index 2-29: Non-group based beam reporting</t>
    </r>
    <r>
      <rPr>
        <rFont val="Arial"/>
        <b val="0"/>
        <color theme="1"/>
        <sz val="10.0"/>
      </rPr>
      <t xml:space="preserve">
supported and indicated with IE "MIMO-ParametersPerBand \\ maxNumberNonGroupBeamReporting"</t>
    </r>
  </si>
  <si>
    <t>MTR-34254</t>
  </si>
  <si>
    <r>
      <rPr>
        <rFont val="Arial"/>
        <b/>
        <color theme="1"/>
        <sz val="10.0"/>
      </rPr>
      <t>L1: Index 2-33: CSI-RS and CSI-IM reception for CSI feedback</t>
    </r>
    <r>
      <rPr>
        <rFont val="Arial"/>
        <b val="0"/>
        <color theme="1"/>
        <sz val="10.0"/>
      </rPr>
      <t xml:space="preserve">
supported and indicated with IE "MIMO-ParametersPerBand \\ csi-RS-IM-ReceptionForFeedback"</t>
    </r>
  </si>
  <si>
    <t>MTR-34255</t>
  </si>
  <si>
    <r>
      <rPr>
        <rFont val="Arial"/>
        <b/>
        <color theme="1"/>
        <sz val="10.0"/>
      </rPr>
      <t>L1: Index 2-33a: Supported PDSCH RE-mapping patterns perSymbol</t>
    </r>
    <r>
      <rPr>
        <rFont val="Arial"/>
        <b val="0"/>
        <color theme="1"/>
        <sz val="10.0"/>
      </rPr>
      <t xml:space="preserve">
supported and indicated with IE "Phy-ParametersFR1 \\ pdsch-RE-MappingFR1-PerSymbol"</t>
    </r>
  </si>
  <si>
    <t>MTR-34256</t>
  </si>
  <si>
    <r>
      <rPr>
        <rFont val="Arial"/>
        <b/>
        <color theme="1"/>
        <sz val="10.0"/>
      </rPr>
      <t>L1: Index 2-33a: Supported PDSCH RE-mapping patterns perSlot</t>
    </r>
    <r>
      <rPr>
        <rFont val="Arial"/>
        <b val="0"/>
        <color theme="1"/>
        <sz val="10.0"/>
      </rPr>
      <t xml:space="preserve">
supported and indicated with IE "Phy-ParametersFR1 \\ pdsch-RE-MappingFR1-PerSlot"</t>
    </r>
  </si>
  <si>
    <t>MTR-34257</t>
  </si>
  <si>
    <r>
      <rPr>
        <rFont val="Arial"/>
        <b/>
        <color theme="1"/>
        <sz val="10.0"/>
      </rPr>
      <t>L1: Index 2-33b: SP CSI-RS</t>
    </r>
    <r>
      <rPr>
        <rFont val="Arial"/>
        <b val="0"/>
        <color theme="1"/>
        <sz val="10.0"/>
      </rPr>
      <t xml:space="preserve">
supported and indicated with IE "Phy-ParametersFRX-Diff \\ sp-CSI-RS"</t>
    </r>
  </si>
  <si>
    <t>MTR-34258</t>
  </si>
  <si>
    <t>L1: Index 2-35: CSI report framework</t>
  </si>
  <si>
    <t>MTR-34259</t>
  </si>
  <si>
    <r>
      <rPr>
        <rFont val="Arial"/>
        <b/>
        <color theme="1"/>
        <sz val="10.0"/>
      </rPr>
      <t>L1: Index 2-35 (1): Maximum number of periodic CSI report setting per BWP for CSI report</t>
    </r>
    <r>
      <rPr>
        <rFont val="Arial"/>
        <b val="0"/>
        <color theme="1"/>
        <sz val="10.0"/>
      </rPr>
      <t xml:space="preserve">
supported and indicated with IE "csi-ReportFramework \\ maxNumberPeriodicCSI-PerBWP-ForCSI-Report"
Candidate values: \{from 1 to 4\}
</t>
    </r>
    <r>
      <rPr>
        <rFont val="Arial"/>
        <b/>
        <color theme="1"/>
        <sz val="10.0"/>
      </rPr>
      <t>Please indicate the supported number under "Comments Vendor"!</t>
    </r>
  </si>
  <si>
    <t xml:space="preserve">maxNumberPeriodicCSI-PerBWP-ForCSI-Report: 2
</t>
  </si>
  <si>
    <t>MTR-34260</t>
  </si>
  <si>
    <r>
      <rPr>
        <rFont val="Arial"/>
        <b/>
        <color theme="1"/>
        <sz val="10.0"/>
      </rPr>
      <t>L1: Index 2-35 (2): Maximum number of periodic CSI report setting per BWP for beam report</t>
    </r>
    <r>
      <rPr>
        <rFont val="Arial"/>
        <b val="0"/>
        <color theme="1"/>
        <sz val="10.0"/>
      </rPr>
      <t xml:space="preserve">
supported and indicated with IE "csi-ReportFramework \\ maxNumberPeriodicCSI-PerBWP-ForBeamReport"
Candidate values: \{from 1 to 4\}
</t>
    </r>
    <r>
      <rPr>
        <rFont val="Arial"/>
        <b/>
        <color theme="1"/>
        <sz val="10.0"/>
      </rPr>
      <t>Please indicate the supported number under "Comments Vendor"!</t>
    </r>
  </si>
  <si>
    <t>maxNumberPeriodicCSI-PerBWP-ForBeamReport: 2</t>
  </si>
  <si>
    <t>MTR-34261</t>
  </si>
  <si>
    <r>
      <rPr>
        <rFont val="Arial"/>
        <b/>
        <color theme="1"/>
        <sz val="10.0"/>
      </rPr>
      <t>L1: Index 2-35 (3): Maximum number of aperiodic CSI report setting per BWP for CSI report</t>
    </r>
    <r>
      <rPr>
        <rFont val="Arial"/>
        <b val="0"/>
        <color theme="1"/>
        <sz val="10.0"/>
      </rPr>
      <t xml:space="preserve">
supported and indicated with IE "csi-ReportFramework \\ maxNumberAperiodicCSI-PerBWP-ForCSI-Report"
Candidate values: \{from 1 to 4\}
</t>
    </r>
    <r>
      <rPr>
        <rFont val="Arial"/>
        <b/>
        <color theme="1"/>
        <sz val="10.0"/>
      </rPr>
      <t>Please indicate the supported number under "Comments Vendor"!</t>
    </r>
  </si>
  <si>
    <t xml:space="preserve">maxNumberAperiodicCSI-PerBWP-ForCSI-Report: 2
</t>
  </si>
  <si>
    <t>MTR-34262</t>
  </si>
  <si>
    <r>
      <rPr>
        <rFont val="Arial"/>
        <b/>
        <color theme="1"/>
        <sz val="10.0"/>
      </rPr>
      <t>L1: Index 2-35 (4): Maximum number of aperiodic CSI report setting per BWP for beam report</t>
    </r>
    <r>
      <rPr>
        <rFont val="Arial"/>
        <b val="0"/>
        <color theme="1"/>
        <sz val="10.0"/>
      </rPr>
      <t xml:space="preserve">
supported and indicated with IE "csi-ReportFramework \\ maxNumberAperiodicCSI-PerBWP-ForBeamReport"
Candidate values: \{from 1 to 4\}
</t>
    </r>
    <r>
      <rPr>
        <rFont val="Arial"/>
        <b/>
        <color theme="1"/>
        <sz val="10.0"/>
      </rPr>
      <t>Please indicate the supported number under "Comments Vendor"!</t>
    </r>
  </si>
  <si>
    <t>maxNumberAperiodicCSI-PerBWP-ForBeamReport: 2</t>
  </si>
  <si>
    <t>MTR-34263</t>
  </si>
  <si>
    <r>
      <rPr>
        <rFont val="Arial"/>
        <b/>
        <color theme="1"/>
        <sz val="10.0"/>
      </rPr>
      <t>L1: Index 2-35 (5): Maximum number of configured aperiodic CSI triggering states in CSI-AperiodicTriggerStateList per CC</t>
    </r>
    <r>
      <rPr>
        <rFont val="Arial"/>
        <b val="0"/>
        <color theme="1"/>
        <sz val="10.0"/>
      </rPr>
      <t xml:space="preserve">
supported and indicated with IE "csi-ReportFramework \\ maxNumberAperiodicCSI-triggeringStatePerCC"
Candidate values: \{n3, n7, n15, n31, n63, n128\}
</t>
    </r>
    <r>
      <rPr>
        <rFont val="Arial"/>
        <b/>
        <color theme="1"/>
        <sz val="10.0"/>
      </rPr>
      <t>Please indicate the supported number under "Comments Vendor"!</t>
    </r>
  </si>
  <si>
    <t>maxNumberAperiodicCSI-triggeringStatePerCC: n63</t>
  </si>
  <si>
    <t>MTR-34264</t>
  </si>
  <si>
    <r>
      <rPr>
        <rFont val="Arial"/>
        <b/>
        <color theme="1"/>
        <sz val="10.0"/>
      </rPr>
      <t>L1: Index 2-35 (6): Maximum number of semi-persistent CSI report setting per BWP for CSI report</t>
    </r>
    <r>
      <rPr>
        <rFont val="Arial"/>
        <b val="0"/>
        <color theme="1"/>
        <sz val="10.0"/>
      </rPr>
      <t xml:space="preserve">
supported and indicated with IE "csi-ReportFramework \\ maxNumberSemiPersistentCSI-PerBWP-ForCSI-Report"
Candidate values: \{from 0 to 4\}
</t>
    </r>
    <r>
      <rPr>
        <rFont val="Arial"/>
        <b/>
        <color theme="1"/>
        <sz val="10.0"/>
      </rPr>
      <t>Please indicate the supported number under "Comments Vendor"!</t>
    </r>
  </si>
  <si>
    <t xml:space="preserve">maxNumberSemiPersistentCSI-PerBWP-ForCSI-Report: 0
</t>
  </si>
  <si>
    <t>MTR-34265</t>
  </si>
  <si>
    <r>
      <rPr>
        <rFont val="Arial"/>
        <b/>
        <color theme="1"/>
        <sz val="10.0"/>
      </rPr>
      <t>L1: Index 2-35 (7): Maximum number of semi-persistent CSI report setting per BWP for beam report</t>
    </r>
    <r>
      <rPr>
        <rFont val="Arial"/>
        <b val="0"/>
        <color theme="1"/>
        <sz val="10.0"/>
      </rPr>
      <t xml:space="preserve">
supported and indicated with IE "csi-ReportFramework \\ maxNumberSemiPersistentCSI-PerBWP-ForBeamReport"
Candidate values: \{from 0 to 4\}
</t>
    </r>
    <r>
      <rPr>
        <rFont val="Arial"/>
        <b/>
        <color theme="1"/>
        <sz val="10.0"/>
      </rPr>
      <t>Please indicate the supported number under "Comments Vendor"!</t>
    </r>
  </si>
  <si>
    <t xml:space="preserve">maxNumberSemiPersistentCSI-PerBWP-ForBeamReport: 0
</t>
  </si>
  <si>
    <t>MTR-34266</t>
  </si>
  <si>
    <r>
      <rPr>
        <rFont val="Arial"/>
        <b/>
        <color theme="1"/>
        <sz val="10.0"/>
      </rPr>
      <t xml:space="preserve">L1: Index 2-35 (8): UE can process Y CSI report(s) simultaneously in a CC. </t>
    </r>
    <r>
      <rPr>
        <rFont val="Arial"/>
        <b val="0"/>
        <color theme="1"/>
        <sz val="10.0"/>
      </rPr>
      <t xml:space="preserve">CSI reports can be P/SP/A CSI and any latency class and codebook type.
supported and indicated with IE "csi-ReportFramework \\ simultaneousCSI-ReportsPerCC"
</t>
    </r>
    <r>
      <rPr>
        <rFont val="Arial"/>
        <b/>
        <color theme="1"/>
        <sz val="10.0"/>
      </rPr>
      <t>Please indicate the supported number Y under "Comments Vendor"!</t>
    </r>
  </si>
  <si>
    <t>simultaneousCSI-ReportsPerCC: 4</t>
  </si>
  <si>
    <t>MTR-34267</t>
  </si>
  <si>
    <r>
      <rPr>
        <rFont val="Arial"/>
        <b/>
        <color theme="1"/>
        <sz val="10.0"/>
      </rPr>
      <t>L1: Index 2-35 (9): UE can process X CSI report(s) simultaneously across all CCs.</t>
    </r>
    <r>
      <rPr>
        <rFont val="Arial"/>
        <b val="0"/>
        <color theme="1"/>
        <sz val="10.0"/>
      </rPr>
      <t xml:space="preserve"> CSI reports can be P/SP/A CSI and any latency class and codebook type.
supported and indicated with IE "CA-ParametersNR-v1540 \\ simultaneousCSI-ReportsAllCC"
Candidate values: \{from 1 to 8\}
</t>
    </r>
    <r>
      <rPr>
        <rFont val="Arial"/>
        <b/>
        <color theme="1"/>
        <sz val="10.0"/>
      </rPr>
      <t>Please indicate the supported number X under "Comments Vendor"!</t>
    </r>
  </si>
  <si>
    <t>simultaneousCSI-ReportsAllCC: 8</t>
  </si>
  <si>
    <t>MTR-34268</t>
  </si>
  <si>
    <t>L1: Index 2-36: Type I single panel codebook</t>
  </si>
  <si>
    <t>MTR-38926</t>
  </si>
  <si>
    <r>
      <rPr>
        <rFont val="Arial"/>
        <b/>
        <color theme="1"/>
        <sz val="10.0"/>
      </rPr>
      <t>L1: Index 2-36 (1): Supported CSI-RS Resource List</t>
    </r>
    <r>
      <rPr>
        <rFont val="Arial"/>
        <b val="0"/>
        <color theme="1"/>
        <sz val="10.0"/>
      </rPr>
      <t xml:space="preserve">
supported and indicated with IE "CodebookParameters \\ supportedCSI-RS-ResourceList"containing up to 16 combinations of
1.1. maxNumberTxPortsPerResource \{2, 4, 8, 12, 16, 24, 32\}
1.2. maxNumberResourcesPerBand   \{from 1 to 64\}
1.3. totalNumberTxPortsPerBand   \{from 2 to 256\}
</t>
    </r>
    <r>
      <rPr>
        <rFont val="Arial"/>
        <b/>
        <color theme="1"/>
        <sz val="10.0"/>
      </rPr>
      <t>Please indicate the supported combinations under "Comments Vendor", e.g. as</t>
    </r>
    <r>
      <rPr>
        <rFont val="Arial"/>
        <b val="0"/>
        <color theme="1"/>
        <sz val="10.0"/>
      </rPr>
      <t xml:space="preserve">
2/1/2; 32/64/256; </t>
    </r>
    <r>
      <rPr>
        <rFont val="Arial"/>
        <b/>
        <color theme="1"/>
        <sz val="10.0"/>
      </rPr>
      <t>etc.!</t>
    </r>
  </si>
  <si>
    <t>FR1: 8/8/64; 16/2/32 ; 32/3/96</t>
  </si>
  <si>
    <t>MTR-38927</t>
  </si>
  <si>
    <r>
      <rPr>
        <rFont val="Arial"/>
        <b/>
        <color theme="1"/>
        <sz val="10.0"/>
      </rPr>
      <t>L1: Index 2-36 (2): Supported Codebook Mode(s)</t>
    </r>
    <r>
      <rPr>
        <rFont val="Arial"/>
        <b val="0"/>
        <color theme="1"/>
        <sz val="10.0"/>
      </rPr>
      <t xml:space="preserve">
supported and indicated with IE "CodebookParameters \\ modes"
</t>
    </r>
    <r>
      <rPr>
        <rFont val="Arial"/>
        <b/>
        <color theme="1"/>
        <sz val="10.0"/>
      </rPr>
      <t>Please indicate under Comments Vendor the supported Codebook mode(s), e.g.</t>
    </r>
    <r>
      <rPr>
        <rFont val="Arial"/>
        <b val="0"/>
        <color theme="1"/>
        <sz val="10.0"/>
      </rPr>
      <t xml:space="preserve">
- Mode 1 or
- Mode 1 + Mode 2</t>
    </r>
  </si>
  <si>
    <t>Mode1</t>
  </si>
  <si>
    <t>MTR-38928</t>
  </si>
  <si>
    <r>
      <rPr>
        <rFont val="Arial"/>
        <b/>
        <color theme="1"/>
        <sz val="10.0"/>
      </rPr>
      <t>L1: Index 2-36 (3): Max # of CSI-RS resource in a resource set</t>
    </r>
    <r>
      <rPr>
        <rFont val="Arial"/>
        <b val="0"/>
        <color theme="1"/>
        <sz val="10.0"/>
      </rPr>
      <t xml:space="preserve">
supported and indicated with IE "CodebookParameters \\ maxNumberCSI-RS-PerResourceSet"
Candidate values set: \{1:8\}
</t>
    </r>
    <r>
      <rPr>
        <rFont val="Arial"/>
        <b/>
        <color theme="1"/>
        <sz val="10.0"/>
      </rPr>
      <t>Please indicate under Comments Vendor the supported Codebook mode(s).</t>
    </r>
  </si>
  <si>
    <t xml:space="preserve">maxNumberCSI-RS-PerResourceSet: 4
</t>
  </si>
  <si>
    <t>MTR-34269</t>
  </si>
  <si>
    <t>L1: Index 2-51: TRS (CSI-RS for tracking)</t>
  </si>
  <si>
    <t>MTR-34270</t>
  </si>
  <si>
    <r>
      <rPr>
        <rFont val="Arial"/>
        <b/>
        <color theme="1"/>
        <sz val="10.0"/>
      </rPr>
      <t>L1: Index 2-51 (1): TRS burst length</t>
    </r>
    <r>
      <rPr>
        <rFont val="Arial"/>
        <b val="0"/>
        <color theme="1"/>
        <sz val="10.0"/>
      </rPr>
      <t xml:space="preserve">
supported and indicated with IE "csi-RS-ForTracking \\ maxBurstLength"</t>
    </r>
  </si>
  <si>
    <t>maxBurstLength is 2</t>
  </si>
  <si>
    <t>MTR-34271</t>
  </si>
  <si>
    <r>
      <rPr>
        <rFont val="Arial"/>
        <b/>
        <color theme="1"/>
        <sz val="10.0"/>
      </rPr>
      <t>L1: Index 2-51 (2): Max # of TRS resource sets (per CC) UE is able to track simultaneously</t>
    </r>
    <r>
      <rPr>
        <rFont val="Arial"/>
        <b val="0"/>
        <color theme="1"/>
        <sz val="10.0"/>
      </rPr>
      <t xml:space="preserve">
supported and indicated with IE "csi-RS-ForTracking \\ maxSimultaneousResourceSetsPerCC"</t>
    </r>
  </si>
  <si>
    <t>maxSimultaneousResourceSetsPerCC is 1</t>
  </si>
  <si>
    <t>MTR-34272</t>
  </si>
  <si>
    <r>
      <rPr>
        <rFont val="Arial"/>
        <b/>
        <color theme="1"/>
        <sz val="10.0"/>
      </rPr>
      <t>L1: Index 2-51 (3): Max # of TRS resource sets configured to UE per CC</t>
    </r>
    <r>
      <rPr>
        <rFont val="Arial"/>
        <b val="0"/>
        <color theme="1"/>
        <sz val="10.0"/>
      </rPr>
      <t xml:space="preserve">
supported and indicated with IE "csi-RS-ForTracking \\ maxConfiguredResourceSetsPerCC"</t>
    </r>
  </si>
  <si>
    <t>maxConfiguredResourceSetsPerCC is 8</t>
  </si>
  <si>
    <t>MTR-34273</t>
  </si>
  <si>
    <r>
      <rPr>
        <rFont val="Arial"/>
        <b/>
        <color theme="1"/>
        <sz val="10.0"/>
      </rPr>
      <t>L1: Index 2-51 (4): Max # of TRS resource sets configured to UE across CCs</t>
    </r>
    <r>
      <rPr>
        <rFont val="Arial"/>
        <b val="0"/>
        <color theme="1"/>
        <sz val="10.0"/>
      </rPr>
      <t xml:space="preserve">
supported and indicated with IE "csi-RS-ForTracking \\ maxConfiguredResourceSetsAllCC"</t>
    </r>
  </si>
  <si>
    <t>maxConfiguredResourceSetsAllCC is 32</t>
  </si>
  <si>
    <t>MTR-34274</t>
  </si>
  <si>
    <r>
      <rPr>
        <rFont val="Arial"/>
        <b/>
        <color theme="1"/>
        <sz val="10.0"/>
      </rPr>
      <t>L1: Index 2-53: SRS resources</t>
    </r>
    <r>
      <rPr>
        <rFont val="Arial"/>
        <b val="0"/>
        <color theme="1"/>
        <sz val="10.0"/>
      </rPr>
      <t xml:space="preserve">
supported and indicated with IE "MIMO-ParametersPerBand \\ supportedSRS-Resources"</t>
    </r>
  </si>
  <si>
    <t>MTR-34275</t>
  </si>
  <si>
    <t>L1: Index 2-55: SRS Tx switch</t>
  </si>
  <si>
    <t>MTR-34276</t>
  </si>
  <si>
    <r>
      <rPr>
        <rFont val="Arial"/>
        <b/>
        <color theme="1"/>
        <sz val="10.0"/>
      </rPr>
      <t>L1: Index 2-55 (1): Support SRS Tx port switch</t>
    </r>
    <r>
      <rPr>
        <rFont val="Arial"/>
        <b val="0"/>
        <color theme="1"/>
        <sz val="10.0"/>
      </rPr>
      <t xml:space="preserve">
supported and indicated with IE "srs-TxSwitch-v1540 \\ supportedSRS-TxPortSwitch"</t>
    </r>
  </si>
  <si>
    <t>supportedSRS-TxPortSwitch support for some Combos</t>
  </si>
  <si>
    <t>MTR-34277</t>
  </si>
  <si>
    <r>
      <rPr>
        <rFont val="Arial"/>
        <b/>
        <color theme="1"/>
        <sz val="10.0"/>
      </rPr>
      <t>L1: Index 2-55 (2): Report whether the uplink TX switching impact to downlink receiving in a band</t>
    </r>
    <r>
      <rPr>
        <rFont val="Arial"/>
        <b val="0"/>
        <color theme="1"/>
        <sz val="10.0"/>
      </rPr>
      <t xml:space="preserve">
supported and indicated with IE "srs-TxSwitch-v1540 \\ txSwitchImpactToRx"</t>
    </r>
  </si>
  <si>
    <t>MTR-34278</t>
  </si>
  <si>
    <r>
      <rPr>
        <rFont val="Arial"/>
        <b/>
        <color theme="1"/>
        <sz val="10.0"/>
      </rPr>
      <t>L1: Index 2-55 (3): Report whether the UL Tx is switched together with UL Tx in another band</t>
    </r>
    <r>
      <rPr>
        <rFont val="Arial"/>
        <b val="0"/>
        <color theme="1"/>
        <sz val="10.0"/>
      </rPr>
      <t xml:space="preserve">
supported and indicated with IE "srs-TxSwitch-v1540 \\ txSwitchWithAnotherBand"</t>
    </r>
  </si>
  <si>
    <t>MTR-34233</t>
  </si>
  <si>
    <r>
      <rPr>
        <rFont val="Arial"/>
        <b/>
        <color theme="1"/>
        <sz val="10.0"/>
      </rPr>
      <t>2.5.8.1.3</t>
    </r>
    <r>
      <rPr>
        <rFont val="Arial"/>
        <b val="0"/>
        <color theme="1"/>
        <sz val="10.0"/>
      </rPr>
      <t xml:space="preserve"> </t>
    </r>
    <r>
      <rPr>
        <rFont val="Arial"/>
        <b/>
        <color theme="1"/>
        <sz val="10.0"/>
      </rPr>
      <t>DL control channel and procedure</t>
    </r>
  </si>
  <si>
    <t>MTR-34280</t>
  </si>
  <si>
    <r>
      <rPr>
        <rFont val="Arial"/>
        <b/>
        <color theme="1"/>
        <sz val="10.0"/>
      </rPr>
      <t>L1: Index 3-4: More than one TCI state configurations per CORESET</t>
    </r>
    <r>
      <rPr>
        <rFont val="Arial"/>
        <b val="0"/>
        <color theme="1"/>
        <sz val="10.0"/>
      </rPr>
      <t xml:space="preserve">
supported and indicated with IE "BandNR \\ multipleTCI"</t>
    </r>
  </si>
  <si>
    <t>MTR-34234</t>
  </si>
  <si>
    <r>
      <rPr>
        <rFont val="Arial"/>
        <b/>
        <color theme="1"/>
        <sz val="10.0"/>
      </rPr>
      <t>2.5.8.1.4</t>
    </r>
    <r>
      <rPr>
        <rFont val="Arial"/>
        <b val="0"/>
        <color theme="1"/>
        <sz val="10.0"/>
      </rPr>
      <t xml:space="preserve"> </t>
    </r>
    <r>
      <rPr>
        <rFont val="Arial"/>
        <b/>
        <color theme="1"/>
        <sz val="10.0"/>
      </rPr>
      <t>UL control channel and procedure</t>
    </r>
  </si>
  <si>
    <t>MTR-34281</t>
  </si>
  <si>
    <r>
      <rPr>
        <rFont val="Arial"/>
        <b/>
        <color theme="1"/>
        <sz val="10.0"/>
      </rPr>
      <t>L1: Index 4-3: PUCCH format 2 over 1 – 2 OFDM symbols once per slot with frequency hopping as "enabled"</t>
    </r>
    <r>
      <rPr>
        <rFont val="Arial"/>
        <b val="0"/>
        <color theme="1"/>
        <sz val="10.0"/>
      </rPr>
      <t xml:space="preserve">
supported and indicated with IE "Phy-ParametersFRX-Diff \\ pucch-F2-WithFH"</t>
    </r>
  </si>
  <si>
    <t>MTR-34282</t>
  </si>
  <si>
    <r>
      <rPr>
        <rFont val="Arial"/>
        <b/>
        <color theme="1"/>
        <sz val="10.0"/>
      </rPr>
      <t>L1: Index 4-4: PUCCH format 3 over 4 – 14 OFDM symbols once per slot with frequency hopping as "enabled"</t>
    </r>
    <r>
      <rPr>
        <rFont val="Arial"/>
        <b val="0"/>
        <color theme="1"/>
        <sz val="10.0"/>
      </rPr>
      <t xml:space="preserve">
supported and indicated with IE "Phy-ParametersFRX-Diff \\ pucch-F3-WithFH"</t>
    </r>
  </si>
  <si>
    <t>MTR-34283</t>
  </si>
  <si>
    <r>
      <rPr>
        <rFont val="Arial"/>
        <b/>
        <color theme="1"/>
        <sz val="10.0"/>
      </rPr>
      <t>L1: Index 4-5: PUCCH format 4 over 4 – 14 OFDM symbols once per slot with frequency hopping as "enabled"</t>
    </r>
    <r>
      <rPr>
        <rFont val="Arial"/>
        <b val="0"/>
        <color theme="1"/>
        <sz val="10.0"/>
      </rPr>
      <t xml:space="preserve">
supported and indicated with IE "Phy-ParametersFRX-Diff \\ pucch-F4-WithFH"</t>
    </r>
  </si>
  <si>
    <t>MTR-34284</t>
  </si>
  <si>
    <r>
      <rPr>
        <rFont val="Arial"/>
        <b/>
        <color theme="1"/>
        <sz val="10.0"/>
      </rPr>
      <t>L1: Index 4-6: Non-frequency hopping for PUCCH formats 0 and 2 with frequency hopping as "disabled"</t>
    </r>
    <r>
      <rPr>
        <rFont val="Arial"/>
        <b val="0"/>
        <color theme="1"/>
        <sz val="10.0"/>
      </rPr>
      <t xml:space="preserve">
supported and indicated with IE "Phy-ParametersFRX-Diff \\ freqHoppingPUCCH-F0-2"</t>
    </r>
  </si>
  <si>
    <t>MTR-34285</t>
  </si>
  <si>
    <r>
      <rPr>
        <rFont val="Arial"/>
        <b/>
        <color theme="1"/>
        <sz val="10.0"/>
      </rPr>
      <t>L1: Index 4-7: Non-frequency hopping for PUCCH format 1, 3, and 4 with frequency hopping as "disabled"</t>
    </r>
    <r>
      <rPr>
        <rFont val="Arial"/>
        <b val="0"/>
        <color theme="1"/>
        <sz val="10.0"/>
      </rPr>
      <t xml:space="preserve">
supported and indicated with IE "Phy-ParametersFRX-Diff \\ freqHoppingPUCCH-F1-3-4"</t>
    </r>
  </si>
  <si>
    <t>MTR-34286</t>
  </si>
  <si>
    <r>
      <rPr>
        <rFont val="Arial"/>
        <b/>
        <color theme="1"/>
        <sz val="10.0"/>
      </rPr>
      <t>L1: Index 4-10: Dynamic HARQ-ACK codebook</t>
    </r>
    <r>
      <rPr>
        <rFont val="Arial"/>
        <b val="0"/>
        <color theme="1"/>
        <sz val="10.0"/>
      </rPr>
      <t xml:space="preserve">
supported and indicated with IE "Phy-ParametersCommon \\ dynamicHARQ-ACK-Codebook"</t>
    </r>
  </si>
  <si>
    <t>MTR-34287</t>
  </si>
  <si>
    <r>
      <rPr>
        <rFont val="Arial"/>
        <b/>
        <color theme="1"/>
        <sz val="10.0"/>
      </rPr>
      <t>L1: Index 4-11: Semi-static HARQ-ACK codebook</t>
    </r>
    <r>
      <rPr>
        <rFont val="Arial"/>
        <b val="0"/>
        <color theme="1"/>
        <sz val="10.0"/>
      </rPr>
      <t xml:space="preserve">
supported and indicated with IE "Phy-ParametersCommon \\ semiStaticHARQ-ACK-Codebook"</t>
    </r>
  </si>
  <si>
    <t>MTR-34288</t>
  </si>
  <si>
    <r>
      <rPr>
        <rFont val="Arial"/>
        <b/>
        <color theme="1"/>
        <sz val="10.0"/>
      </rPr>
      <t>L1: Index 4-12: HARQ-ACK spatial bundling for PUCCH or PUSCH per PUCCH group</t>
    </r>
    <r>
      <rPr>
        <rFont val="Arial"/>
        <b val="0"/>
        <color theme="1"/>
        <sz val="10.0"/>
      </rPr>
      <t xml:space="preserve">
supported and indicated with IE "Phy-ParametersCommon \\ spatialBundlingHARQ-ACK"</t>
    </r>
  </si>
  <si>
    <t>MTR-34289</t>
  </si>
  <si>
    <r>
      <rPr>
        <rFont val="Arial"/>
        <b/>
        <color theme="1"/>
        <sz val="10.0"/>
      </rPr>
      <t>L1: Index 4-19: SR/HARQ-ACK/CSI multiplexing once per slot using a PUCCH (or HARQ-ACK/CSI piggybacked on a PUSCH) when SR/HARQ-ACK/CSI are supposed to be sent with the same starting symbol on the PUCCH resources in a slot</t>
    </r>
    <r>
      <rPr>
        <rFont val="Arial"/>
        <b val="0"/>
        <color theme="1"/>
        <sz val="10.0"/>
      </rPr>
      <t xml:space="preserve">
supported and indicated with IE "Phy-ParametersFRX-Diff \\ mux-SR-HARQ-ACK-CSI-PUCCH-OncePerSlot"</t>
    </r>
  </si>
  <si>
    <t>MTR-34290</t>
  </si>
  <si>
    <r>
      <rPr>
        <rFont val="Arial"/>
        <b/>
        <color theme="1"/>
        <sz val="10.0"/>
      </rPr>
      <t>L1: Index 4-20: UCI code-block segmentation</t>
    </r>
    <r>
      <rPr>
        <rFont val="Arial"/>
        <b val="0"/>
        <color theme="1"/>
        <sz val="10.0"/>
      </rPr>
      <t xml:space="preserve">
supported and indicated with IE "Phy-ParametersFRX-Diff \\ uci-CodeBlockSegmentation"</t>
    </r>
  </si>
  <si>
    <t>MTR-34291</t>
  </si>
  <si>
    <r>
      <rPr>
        <rFont val="Arial"/>
        <b/>
        <color theme="1"/>
        <sz val="10.0"/>
      </rPr>
      <t>L1: Index 4-23: Repetitions for PUCCH format 1, 3, and 4 over multiple slots with K = 2, 4, 8</t>
    </r>
    <r>
      <rPr>
        <rFont val="Arial"/>
        <b val="0"/>
        <color theme="1"/>
        <sz val="10.0"/>
      </rPr>
      <t xml:space="preserve">
supported and indicated with IE "Phy-ParametersCommon \\ pucch-Repetition-F1-3-4"</t>
    </r>
  </si>
  <si>
    <t>[2024/11/8]
It could be enabed  per request.
Default disable</t>
  </si>
  <si>
    <t>MTR-34292</t>
  </si>
  <si>
    <r>
      <rPr>
        <rFont val="Arial"/>
        <b/>
        <color theme="1"/>
        <sz val="10.0"/>
      </rPr>
      <t>L1: Index 4-28: HARQ-ACK multiplexing on PUSCH with different PUCCH/PUSCH starting OFDM symbols</t>
    </r>
    <r>
      <rPr>
        <rFont val="Arial"/>
        <b val="0"/>
        <color theme="1"/>
        <sz val="10.0"/>
      </rPr>
      <t xml:space="preserve">
supported and indicated with IE "mux-SR-HARQ-ACK-CSI-PUCCH-OncePerSlot \\ diffSymbol"</t>
    </r>
  </si>
  <si>
    <t>MTR-34235</t>
  </si>
  <si>
    <r>
      <rPr>
        <rFont val="Arial"/>
        <b/>
        <color theme="1"/>
        <sz val="10.0"/>
      </rPr>
      <t>2.5.8.1.5</t>
    </r>
    <r>
      <rPr>
        <rFont val="Arial"/>
        <b val="0"/>
        <color theme="1"/>
        <sz val="10.0"/>
      </rPr>
      <t xml:space="preserve"> </t>
    </r>
    <r>
      <rPr>
        <rFont val="Arial"/>
        <b/>
        <color theme="1"/>
        <sz val="10.0"/>
      </rPr>
      <t>Scheduling/HARQ operation</t>
    </r>
  </si>
  <si>
    <t>MTR-34293</t>
  </si>
  <si>
    <r>
      <rPr>
        <rFont val="Arial"/>
        <b/>
        <color theme="1"/>
        <sz val="10.0"/>
      </rPr>
      <t>2.5.8.1.5</t>
    </r>
    <r>
      <rPr>
        <rFont val="Arial"/>
        <b val="0"/>
        <color theme="1"/>
        <sz val="10.0"/>
      </rPr>
      <t xml:space="preserve"> </t>
    </r>
    <r>
      <rPr>
        <rFont val="Arial"/>
        <b/>
        <color theme="1"/>
        <sz val="10.0"/>
      </rPr>
      <t>Scheduling/HARQ operation</t>
    </r>
  </si>
  <si>
    <t>MTR-34294</t>
  </si>
  <si>
    <r>
      <rPr>
        <rFont val="Arial"/>
        <b/>
        <color theme="1"/>
        <sz val="10.0"/>
      </rPr>
      <t>L1: Index 5-6a: PDSCH mapping type B</t>
    </r>
    <r>
      <rPr>
        <rFont val="Arial"/>
        <b val="0"/>
        <color theme="1"/>
        <sz val="10.0"/>
      </rPr>
      <t xml:space="preserve">
supported and indicated with IE "Phy-ParametersCommon \\ pdsch-MappingTypeB"</t>
    </r>
  </si>
  <si>
    <t>MTR-34295</t>
  </si>
  <si>
    <r>
      <rPr>
        <rFont val="Arial"/>
        <b/>
        <color theme="1"/>
        <sz val="10.0"/>
      </rPr>
      <t>L1: Index 5-7: Interleaving for VRB-to-PRB mapping for PDSCH</t>
    </r>
    <r>
      <rPr>
        <rFont val="Arial"/>
        <b val="0"/>
        <color theme="1"/>
        <sz val="10.0"/>
      </rPr>
      <t xml:space="preserve">
supported and indicated with IE "Phy-ParametersCommon \\ interleavingVRB-ToPRB-PDSCH"</t>
    </r>
  </si>
  <si>
    <r>
      <rPr>
        <rFont val="Arial"/>
        <sz val="10.0"/>
      </rPr>
      <t xml:space="preserve">[20241108] 
Default disable per </t>
    </r>
    <r>
      <rPr>
        <rFont val="Arial"/>
        <color rgb="FF1155CC"/>
        <sz val="10.0"/>
        <u/>
      </rPr>
      <t>b/376209133</t>
    </r>
    <r>
      <rPr>
        <rFont val="Arial"/>
        <sz val="10.0"/>
      </rPr>
      <t xml:space="preserve"> </t>
    </r>
  </si>
  <si>
    <t>MTR-34296</t>
  </si>
  <si>
    <r>
      <rPr>
        <rFont val="Arial"/>
        <b/>
        <color theme="1"/>
        <sz val="10.0"/>
      </rPr>
      <t>L1: Index 5-9: Intra-slot frequency-hopping for PUSCH except for PUSCH scheduled by Type 1 CSS before RRC connection</t>
    </r>
    <r>
      <rPr>
        <rFont val="Arial"/>
        <b val="0"/>
        <color theme="1"/>
        <sz val="10.0"/>
      </rPr>
      <t xml:space="preserve">
supported and indicated with IE "Phy-ParametersFRX-Diff \\ intraSlotFreqHopping-PUSCH"</t>
    </r>
  </si>
  <si>
    <t>MTR-34297</t>
  </si>
  <si>
    <r>
      <rPr>
        <rFont val="Arial"/>
        <b/>
        <color theme="1"/>
        <sz val="10.0"/>
      </rPr>
      <t>L1: Index 5-17: PUSCH repetitions over multiple slots</t>
    </r>
    <r>
      <rPr>
        <rFont val="Arial"/>
        <b val="0"/>
        <color theme="1"/>
        <sz val="10.0"/>
      </rPr>
      <t xml:space="preserve">
supported and indicated with IE "Phy-ParametersCommon \\ pusch-RepetitionMultiSlots"</t>
    </r>
  </si>
  <si>
    <r>
      <rPr>
        <rFont val="Arial"/>
        <sz val="10.0"/>
      </rPr>
      <t xml:space="preserve">[20241108]
Default disable per </t>
    </r>
    <r>
      <rPr>
        <rFont val="Arial"/>
        <color rgb="FF1155CC"/>
        <sz val="10.0"/>
        <u/>
      </rPr>
      <t>b/336927802</t>
    </r>
    <r>
      <rPr>
        <rFont val="Arial"/>
        <sz val="10.0"/>
      </rPr>
      <t>,</t>
    </r>
    <r>
      <rPr>
        <rFont val="Arial"/>
        <color rgb="FF1155CC"/>
        <sz val="10.0"/>
        <u/>
      </rPr>
      <t>b/340902390</t>
    </r>
  </si>
  <si>
    <t>MTR-34298</t>
  </si>
  <si>
    <r>
      <rPr>
        <rFont val="Arial"/>
        <b/>
        <color theme="1"/>
        <sz val="10.0"/>
      </rPr>
      <t>L1: Index 5-26: Semi-static rate-matching resource set configuration for DL</t>
    </r>
    <r>
      <rPr>
        <rFont val="Arial"/>
        <b val="0"/>
        <color theme="1"/>
        <sz val="10.0"/>
      </rPr>
      <t xml:space="preserve">
supported and indicated with IE "Phy-ParametersCommon \\ rateMatchingResrcSetSemi-Static"</t>
    </r>
  </si>
  <si>
    <t>MTR-34299</t>
  </si>
  <si>
    <r>
      <rPr>
        <rFont val="Arial"/>
        <b/>
        <color theme="1"/>
        <sz val="10.0"/>
      </rPr>
      <t>L1: Index 5-27a: Dynamic rate-matching control resource set for DL</t>
    </r>
    <r>
      <rPr>
        <rFont val="Arial"/>
        <b val="0"/>
        <color theme="1"/>
        <sz val="10.0"/>
      </rPr>
      <t xml:space="preserve">
supported and indicated with IE "Phy-ParametersCommon \\ rateMatchingCtrlResrcSetDynamic"</t>
    </r>
  </si>
  <si>
    <t>MTR-34300</t>
  </si>
  <si>
    <r>
      <rPr>
        <rFont val="Arial"/>
        <b/>
        <color theme="1"/>
        <sz val="10.0"/>
      </rPr>
      <t>L1: Index 5-28: Rate-matching around LTE CRS</t>
    </r>
    <r>
      <rPr>
        <rFont val="Arial"/>
        <b val="0"/>
        <color theme="1"/>
        <sz val="10.0"/>
      </rPr>
      <t xml:space="preserve">
supported and indicated with IE "BandNR \\ rateMatchingLTE-CRS"</t>
    </r>
  </si>
  <si>
    <t>MTR-34301</t>
  </si>
  <si>
    <r>
      <rPr>
        <rFont val="Arial"/>
        <b/>
        <color theme="1"/>
        <sz val="10.0"/>
      </rPr>
      <t>L1: Index 5-30: DL scheduling slot offset greater than zero for PDSCH mapping type A</t>
    </r>
    <r>
      <rPr>
        <rFont val="Arial"/>
        <b val="0"/>
        <color theme="1"/>
        <sz val="10.0"/>
      </rPr>
      <t xml:space="preserve">
supported and indicated with IE "Phy-ParametersXDD-Diff \\ dl-SchedulingOffset-PDSCH-TypeA"
Following capability is related to this one “PDSCH mapping type A with less than 7 OFDM symbols”, listed under TR 38.822, see Layer 1 / Index 5-6 (MTR-34293).</t>
    </r>
  </si>
  <si>
    <t>MTR-34302</t>
  </si>
  <si>
    <r>
      <rPr>
        <rFont val="Arial"/>
        <b/>
        <color theme="1"/>
        <sz val="10.0"/>
      </rPr>
      <t>L1: Index 5-30a: DL scheduling slot offset greater than zero for PDSCH mapping type B</t>
    </r>
    <r>
      <rPr>
        <rFont val="Arial"/>
        <b val="0"/>
        <color theme="1"/>
        <sz val="10.0"/>
      </rPr>
      <t xml:space="preserve">
supported and indicated with IE "Phy-ParametersXDD-Diff \\ dl-SchedulingOffset-PDSCH-TypeB"
Following capability is related to this one “PDSCH mapping type B” listed under TR 38.822, see Layer 1 / Index 5-6a (MTR-34294).</t>
    </r>
  </si>
  <si>
    <t>MTR-34303</t>
  </si>
  <si>
    <r>
      <rPr>
        <rFont val="Arial"/>
        <b/>
        <color theme="1"/>
        <sz val="10.0"/>
      </rPr>
      <t>L1: Index 5-31: UL scheduling slot offset greater than 12</t>
    </r>
    <r>
      <rPr>
        <rFont val="Arial"/>
        <b val="0"/>
        <color theme="1"/>
        <sz val="10.0"/>
      </rPr>
      <t xml:space="preserve">
supported and indicated with IE "Phy-ParametersXDD-Diff \\ ul-SchedulingOffset"</t>
    </r>
  </si>
  <si>
    <t>MTR-34236</t>
  </si>
  <si>
    <r>
      <rPr>
        <rFont val="Arial"/>
        <b/>
        <color theme="1"/>
        <sz val="10.0"/>
      </rPr>
      <t>2.5.8.1.6</t>
    </r>
    <r>
      <rPr>
        <rFont val="Arial"/>
        <b val="0"/>
        <color theme="1"/>
        <sz val="10.0"/>
      </rPr>
      <t xml:space="preserve"> </t>
    </r>
    <r>
      <rPr>
        <rFont val="Arial"/>
        <b/>
        <color theme="1"/>
        <sz val="10.0"/>
      </rPr>
      <t>CA/DC, BWP, SUL</t>
    </r>
  </si>
  <si>
    <t>MTR-34304</t>
  </si>
  <si>
    <r>
      <rPr>
        <rFont val="Arial"/>
        <b/>
        <color theme="1"/>
        <sz val="10.0"/>
      </rPr>
      <t>L1: Index 6-13: Case 1 Single Tx UL LTE-NR DC</t>
    </r>
    <r>
      <rPr>
        <rFont val="Arial"/>
        <b val="0"/>
        <color theme="1"/>
        <sz val="10.0"/>
      </rPr>
      <t xml:space="preserve">
supported and indicated with IE "MRDC-Parameters \\ tdm-Pattern"</t>
    </r>
  </si>
  <si>
    <t>MTR-34305</t>
  </si>
  <si>
    <r>
      <rPr>
        <rFont val="Arial"/>
        <b/>
        <color theme="1"/>
        <sz val="10.0"/>
      </rPr>
      <t>L1: Index 6-17: Supplemental uplink with different numerologies between SUL and non SUL carriers</t>
    </r>
    <r>
      <rPr>
        <rFont val="Arial"/>
        <b val="0"/>
        <color theme="1"/>
        <sz val="10.0"/>
      </rPr>
      <t xml:space="preserve">
supported and indicated with IE "RF-Parameters \\ supportedBandCombinationList"</t>
    </r>
  </si>
  <si>
    <t>MTR-34237</t>
  </si>
  <si>
    <r>
      <rPr>
        <rFont val="Arial"/>
        <b/>
        <color theme="1"/>
        <sz val="10.0"/>
      </rPr>
      <t>2.5.8.1.7</t>
    </r>
    <r>
      <rPr>
        <rFont val="Arial"/>
        <b val="0"/>
        <color theme="1"/>
        <sz val="10.0"/>
      </rPr>
      <t xml:space="preserve"> </t>
    </r>
    <r>
      <rPr>
        <rFont val="Arial"/>
        <b/>
        <color theme="1"/>
        <sz val="10.0"/>
      </rPr>
      <t>UL TPC</t>
    </r>
  </si>
  <si>
    <t>MTR-34306</t>
  </si>
  <si>
    <r>
      <rPr>
        <rFont val="Arial"/>
        <b/>
        <color theme="1"/>
        <sz val="10.0"/>
      </rPr>
      <t>L1: Index 8-1: Dynamic power sharing for LTE-NR DC</t>
    </r>
    <r>
      <rPr>
        <rFont val="Arial"/>
        <b val="0"/>
        <color theme="1"/>
        <sz val="10.0"/>
      </rPr>
      <t xml:space="preserve">
supported and indicated with IE "MRDC-Parameters \\ dynamicPowerSharing"</t>
    </r>
  </si>
  <si>
    <t>MTR-34307</t>
  </si>
  <si>
    <r>
      <rPr>
        <rFont val="Arial"/>
        <b/>
        <color theme="1"/>
        <sz val="10.0"/>
      </rPr>
      <t>L1: Index 8-2: Operation A with single UL Tx case 1</t>
    </r>
    <r>
      <rPr>
        <rFont val="Arial"/>
        <b val="0"/>
        <color theme="1"/>
        <sz val="10.0"/>
      </rPr>
      <t xml:space="preserve">
supported and indicated with IE "MRDC-Parameters \\ tdm-Pattern"</t>
    </r>
  </si>
  <si>
    <t>MTR-34308</t>
  </si>
  <si>
    <r>
      <rPr>
        <rFont val="Arial"/>
        <b/>
        <color theme="1"/>
        <sz val="10.0"/>
      </rPr>
      <t>L1: Index 8-8: UL power control with 2 PUSCH closed loops</t>
    </r>
    <r>
      <rPr>
        <rFont val="Arial"/>
        <b val="0"/>
        <color theme="1"/>
        <sz val="10.0"/>
      </rPr>
      <t xml:space="preserve">
supported and indicated with IE "Phy-ParametersXDD-Diff \\ twoDifferentTPC-Loop-PUSCH"</t>
    </r>
  </si>
  <si>
    <t>MTR-34309</t>
  </si>
  <si>
    <r>
      <rPr>
        <rFont val="Arial"/>
        <b/>
        <color theme="1"/>
        <sz val="10.0"/>
      </rPr>
      <t>L1: Index 8-9: UL power control with 2 PUCCH closed loops</t>
    </r>
    <r>
      <rPr>
        <rFont val="Arial"/>
        <b val="0"/>
        <color theme="1"/>
        <sz val="10.0"/>
      </rPr>
      <t xml:space="preserve">
supported and indicated with IE "Phy-ParametersXDD-Diff \\ twoDifferentTPC-Loop-PUCCH"</t>
    </r>
  </si>
  <si>
    <t>MTR-34238</t>
  </si>
  <si>
    <r>
      <rPr>
        <rFont val="Arial"/>
        <b/>
        <color theme="1"/>
        <sz val="10.0"/>
      </rPr>
      <t>2.5.8.2</t>
    </r>
    <r>
      <rPr>
        <rFont val="Arial"/>
        <b val="0"/>
        <color theme="1"/>
        <sz val="10.0"/>
      </rPr>
      <t xml:space="preserve"> </t>
    </r>
    <r>
      <rPr>
        <rFont val="Arial"/>
        <b/>
        <color theme="1"/>
        <sz val="10.0"/>
      </rPr>
      <t>Layer-2 and Layer-3 Features - 3GPP Mandatory with capability signalling (from Table 4.2-1 in TR 38.822-f01)</t>
    </r>
  </si>
  <si>
    <t>MTR-34310</t>
  </si>
  <si>
    <r>
      <rPr>
        <rFont val="Arial"/>
        <b/>
        <color theme="1"/>
        <sz val="10.0"/>
      </rPr>
      <t>L2/3: Index 0-2: SRB3</t>
    </r>
    <r>
      <rPr>
        <rFont val="Arial"/>
        <b val="0"/>
        <color theme="1"/>
        <sz val="10.0"/>
      </rPr>
      <t xml:space="preserve">
supported and indicated with IE "GeneralParametersMRDC-XDD-Diff \\ srb3"
</t>
    </r>
    <r>
      <rPr>
        <rFont val="Arial"/>
        <b/>
        <color theme="1"/>
        <sz val="10.0"/>
      </rPr>
      <t>Note:</t>
    </r>
    <r>
      <rPr>
        <rFont val="Arial"/>
        <b val="0"/>
        <color theme="1"/>
        <sz val="10.0"/>
      </rPr>
      <t xml:space="preserve"> even though this IE could be signaled in the FDD/TDD specific fields, 3GPP does not allow an FDD/TDD differentiation and mandates this IE to be signaled only in the common field.</t>
    </r>
  </si>
  <si>
    <t>MTR-38929</t>
  </si>
  <si>
    <r>
      <rPr>
        <rFont val="Arial"/>
        <b/>
        <color theme="1"/>
        <sz val="10.0"/>
      </rPr>
      <t>L2/3: Index 0-3 (3): Split DRB with both UL MCG and SCG paths</t>
    </r>
    <r>
      <rPr>
        <rFont val="Arial"/>
        <b val="0"/>
        <color theme="1"/>
        <sz val="10.0"/>
      </rPr>
      <t xml:space="preserve">
supported and indicated with IE "GeneralParametersMRDC-XDD-Diff \\ splitDRB-withUL-both-MCG-SCG"
</t>
    </r>
    <r>
      <rPr>
        <rFont val="Arial"/>
        <b/>
        <color theme="1"/>
        <sz val="10.0"/>
      </rPr>
      <t>Note:</t>
    </r>
    <r>
      <rPr>
        <rFont val="Arial"/>
        <b val="0"/>
        <color theme="1"/>
        <sz val="10.0"/>
      </rPr>
      <t xml:space="preserve"> even though this IE could be signaled in the FDD/TDD specific fields, 3GPP does not allow an FDD/TDD differentiation and mandates this IE to be signaled only in the common field.</t>
    </r>
  </si>
  <si>
    <t>MTR-34311</t>
  </si>
  <si>
    <r>
      <rPr>
        <rFont val="Arial"/>
        <b/>
        <color theme="1"/>
        <sz val="10.0"/>
      </rPr>
      <t>L2/3: Index 1-5: PDCP Short SN</t>
    </r>
    <r>
      <rPr>
        <rFont val="Arial"/>
        <b val="0"/>
        <color theme="1"/>
        <sz val="10.0"/>
      </rPr>
      <t xml:space="preserve">
supported and indicated with IE "PDCP-Parameters \\ shortSN"</t>
    </r>
  </si>
  <si>
    <t>MTR-34312</t>
  </si>
  <si>
    <r>
      <rPr>
        <rFont val="Arial"/>
        <b/>
        <color theme="1"/>
        <sz val="10.0"/>
      </rPr>
      <t>L2/3: Index 2-1: RLC AM with short SN (12 bit length)</t>
    </r>
    <r>
      <rPr>
        <rFont val="Arial"/>
        <b val="0"/>
        <color theme="1"/>
        <sz val="10.0"/>
      </rPr>
      <t xml:space="preserve">
supported and indicated with IE "RLC-Parameters \\ am-WithShortSN"</t>
    </r>
  </si>
  <si>
    <t>MTR-34313</t>
  </si>
  <si>
    <r>
      <rPr>
        <rFont val="Arial"/>
        <b/>
        <color theme="1"/>
        <sz val="10.0"/>
      </rPr>
      <t>L2/3: Index 2-2: RLC UM with short SN (6 bit length)</t>
    </r>
    <r>
      <rPr>
        <rFont val="Arial"/>
        <b val="0"/>
        <color theme="1"/>
        <sz val="10.0"/>
      </rPr>
      <t xml:space="preserve">
supported and indicated with IE "RLC-Parameters \\ um-WithShortSN"</t>
    </r>
  </si>
  <si>
    <t>MTR-34314</t>
  </si>
  <si>
    <r>
      <rPr>
        <rFont val="Arial"/>
        <b/>
        <color theme="1"/>
        <sz val="10.0"/>
      </rPr>
      <t>L2/3: Index 2-3: RLC UM with long SN (12 bit length)</t>
    </r>
    <r>
      <rPr>
        <rFont val="Arial"/>
        <b val="0"/>
        <color theme="1"/>
        <sz val="10.0"/>
      </rPr>
      <t xml:space="preserve">
supported and indicated with IE "RLC-Parameters \\ um-WithLongSN"</t>
    </r>
  </si>
  <si>
    <t>MTR-34315</t>
  </si>
  <si>
    <t>L2/3: Index 3-3: DRX</t>
  </si>
  <si>
    <t>MTR-34316</t>
  </si>
  <si>
    <r>
      <rPr>
        <rFont val="Arial"/>
        <b/>
        <color theme="1"/>
        <sz val="10.0"/>
      </rPr>
      <t>L2/3: Index 3-3 (1): DRX with long DRX cycle</t>
    </r>
    <r>
      <rPr>
        <rFont val="Arial"/>
        <b val="0"/>
        <color theme="1"/>
        <sz val="10.0"/>
      </rPr>
      <t xml:space="preserve">
supported and indicated with IE "MAC-ParametersXDD-Diff \\ longDRX-Cycle"</t>
    </r>
  </si>
  <si>
    <t>MTR-34317</t>
  </si>
  <si>
    <r>
      <rPr>
        <rFont val="Arial"/>
        <b/>
        <color theme="1"/>
        <sz val="10.0"/>
      </rPr>
      <t>L2/3: Index 3-3 (2): DRX with short DRX cycle</t>
    </r>
    <r>
      <rPr>
        <rFont val="Arial"/>
        <b val="0"/>
        <color theme="1"/>
        <sz val="10.0"/>
      </rPr>
      <t xml:space="preserve">
supported and indicated with IE "MAC-ParametersXDD-Diff \\ shortDRX-Cycle"</t>
    </r>
  </si>
  <si>
    <t>MTR-34318</t>
  </si>
  <si>
    <t>L2/3: Index 4-1: Measurements and Reports</t>
  </si>
  <si>
    <t>MTR-34319</t>
  </si>
  <si>
    <r>
      <rPr>
        <rFont val="Arial"/>
        <b/>
        <color theme="1"/>
        <sz val="10.0"/>
      </rPr>
      <t>L2/3: Index 4-1 (1): Intra-frequency and inter-frequency measurements and reports</t>
    </r>
    <r>
      <rPr>
        <rFont val="Arial"/>
        <b val="0"/>
        <color theme="1"/>
        <sz val="10.0"/>
      </rPr>
      <t xml:space="preserve">
supported and indicated with IE "MeasAndMobParametersXDD-Diff \\ intraAndInterF-MeasAndReport"</t>
    </r>
  </si>
  <si>
    <t>MTR-34320</t>
  </si>
  <si>
    <r>
      <rPr>
        <rFont val="Arial"/>
        <b/>
        <color theme="1"/>
        <sz val="10.0"/>
      </rPr>
      <t>L2/3: Index 4-1 (2): Event A-based measurement and measurement report</t>
    </r>
    <r>
      <rPr>
        <rFont val="Arial"/>
        <b val="0"/>
        <color theme="1"/>
        <sz val="10.0"/>
      </rPr>
      <t xml:space="preserve">
supported and indicated with IE "MeasAndMobParametersXDD-Diff \\ eventA-MeasAndReport"</t>
    </r>
  </si>
  <si>
    <t>MTR-34322</t>
  </si>
  <si>
    <t>L2/3: Index 4-6: Measurement and Reporting while NR connected</t>
  </si>
  <si>
    <t>MTR-34323</t>
  </si>
  <si>
    <r>
      <rPr>
        <rFont val="Arial"/>
        <b/>
        <color theme="1"/>
        <sz val="10.0"/>
      </rPr>
      <t>L2/3: Index 4-6 (1): LTE measurement and reporting while in NR connected</t>
    </r>
    <r>
      <rPr>
        <rFont val="Arial"/>
        <b val="0"/>
        <color theme="1"/>
        <sz val="10.0"/>
      </rPr>
      <t xml:space="preserve">
</t>
    </r>
    <r>
      <rPr>
        <rFont val="Arial"/>
        <b/>
        <color theme="1"/>
        <sz val="10.0"/>
      </rPr>
      <t xml:space="preserve">    Periodic measurement and reporting while NR connected.</t>
    </r>
    <r>
      <rPr>
        <rFont val="Arial"/>
        <b val="0"/>
        <color theme="1"/>
        <sz val="10.0"/>
      </rPr>
      <t xml:space="preserve">
supported and indicated with IE "MeasAndMobParametersCommon \\ periodicEUTRA-MeasAndReport"</t>
    </r>
  </si>
  <si>
    <t xml:space="preserve">SA disabled at launch. </t>
  </si>
  <si>
    <t>MTR-34324</t>
  </si>
  <si>
    <r>
      <rPr>
        <rFont val="Arial"/>
        <b/>
        <color theme="1"/>
        <sz val="10.0"/>
      </rPr>
      <t>L2/3: Index 4-6 (2): LTE measurement and reporting while in NR connected</t>
    </r>
    <r>
      <rPr>
        <rFont val="Arial"/>
        <b val="0"/>
        <color theme="1"/>
        <sz val="10.0"/>
      </rPr>
      <t xml:space="preserve">
</t>
    </r>
    <r>
      <rPr>
        <rFont val="Arial"/>
        <b/>
        <color theme="1"/>
        <sz val="10.0"/>
      </rPr>
      <t xml:space="preserve">    Event B#N-based measurement and reporting while NR connected</t>
    </r>
    <r>
      <rPr>
        <rFont val="Arial"/>
        <b val="0"/>
        <color theme="1"/>
        <sz val="10.0"/>
      </rPr>
      <t xml:space="preserve">
supported and indicated with IE "MeasAndMobParametersCommon \\ eventB-MeasAndReport"</t>
    </r>
  </si>
  <si>
    <t>MTR-34325</t>
  </si>
  <si>
    <t>L2/3: Index 7-1: Handover</t>
  </si>
  <si>
    <t>MTR-34326</t>
  </si>
  <si>
    <r>
      <rPr>
        <rFont val="Arial"/>
        <b/>
        <color theme="1"/>
        <sz val="10.0"/>
      </rPr>
      <t>L2/3: Index 7-1 (2): Inter-frequency Handover</t>
    </r>
    <r>
      <rPr>
        <rFont val="Arial"/>
        <b val="0"/>
        <color theme="1"/>
        <sz val="10.0"/>
      </rPr>
      <t xml:space="preserve">
supported and indicated with IE "MeasAndMobParametersXDD-Diff \\ handoverInterF"</t>
    </r>
  </si>
  <si>
    <t>MTR-34327</t>
  </si>
  <si>
    <r>
      <rPr>
        <rFont val="Arial"/>
        <b/>
        <color theme="1"/>
        <sz val="10.0"/>
      </rPr>
      <t>L2/3: Index 7-1 (3): Handover between TDD and FDD</t>
    </r>
    <r>
      <rPr>
        <rFont val="Arial"/>
        <b val="0"/>
        <color theme="1"/>
        <sz val="10.0"/>
      </rPr>
      <t xml:space="preserve">
supported and indicated with IE "measAndMobParametersCommon \\ handoverFDD-TDD"</t>
    </r>
  </si>
  <si>
    <t>MTR-34239</t>
  </si>
  <si>
    <r>
      <rPr>
        <rFont val="Arial"/>
        <b/>
        <color theme="1"/>
        <sz val="10.0"/>
      </rPr>
      <t>2.5.8.3</t>
    </r>
    <r>
      <rPr>
        <rFont val="Arial"/>
        <b val="0"/>
        <color theme="1"/>
        <sz val="10.0"/>
      </rPr>
      <t xml:space="preserve"> </t>
    </r>
    <r>
      <rPr>
        <rFont val="Arial"/>
        <b/>
        <color theme="1"/>
        <sz val="10.0"/>
      </rPr>
      <t>RF and RRM Features - 3GPP Mandatory with capability signalling (from Table 4.3-1 in TR 38.822-f01)</t>
    </r>
  </si>
  <si>
    <t>MTR-34328</t>
  </si>
  <si>
    <r>
      <rPr>
        <rFont val="Arial"/>
        <b/>
        <color theme="1"/>
        <sz val="10.0"/>
      </rPr>
      <t>RF/RRM: Index 1-4 - 256QAM for PDSCH</t>
    </r>
    <r>
      <rPr>
        <rFont val="Arial"/>
        <b val="0"/>
        <color theme="1"/>
        <sz val="10.0"/>
      </rPr>
      <t xml:space="preserve">
supported and indicated with IE "Phy-ParametersFR1 \\ pdsch-256QAM-FR1"</t>
    </r>
  </si>
  <si>
    <t>MTR-34329</t>
  </si>
  <si>
    <r>
      <rPr>
        <rFont val="Arial"/>
        <b/>
        <color theme="1"/>
        <sz val="10.0"/>
      </rPr>
      <t>RF/RRM: Index 1-8 - Active BWP switching delay</t>
    </r>
    <r>
      <rPr>
        <rFont val="Arial"/>
        <b val="0"/>
        <color theme="1"/>
        <sz val="10.0"/>
      </rPr>
      <t xml:space="preserve">
supported and indicated with IE "Phy-ParametersCommon \\ bwp-SwitchingDelay"
If compliant, please indicate in the Comment Vendor if Type 1 or Type 2 (according to TS 38.133, section 8.6.2, Table 8.6.2-1) is supported.</t>
    </r>
  </si>
  <si>
    <t>bwp-SwitchingDelay Type 2 supported</t>
  </si>
  <si>
    <t>MTR-34331</t>
  </si>
  <si>
    <r>
      <rPr>
        <rFont val="Arial"/>
        <b/>
        <color theme="1"/>
        <sz val="10.0"/>
      </rPr>
      <t>RF/RRM: Index 2-8 - UE power class</t>
    </r>
    <r>
      <rPr>
        <rFont val="Arial"/>
        <b val="0"/>
        <color theme="1"/>
        <sz val="10.0"/>
      </rPr>
      <t xml:space="preserve">
supported and indicated with IE "BandNR \\ ue-PowerClass"
[no signalling in case of default power class]</t>
    </r>
  </si>
  <si>
    <t>Power class 2/3 are supported</t>
  </si>
  <si>
    <t>MTR-34332</t>
  </si>
  <si>
    <r>
      <rPr>
        <rFont val="Arial"/>
        <b/>
        <color theme="1"/>
        <sz val="10.0"/>
      </rPr>
      <t>RF/RRM: Index 2-16 - PA architectures for intra-band EN-DC</t>
    </r>
    <r>
      <rPr>
        <rFont val="Arial"/>
        <b val="0"/>
        <color theme="1"/>
        <sz val="10.0"/>
      </rPr>
      <t xml:space="preserve">
supported and indicated with IE "MRDC-Parameters \\ dualPA-Architecture"
[only applicable iff intra-band UL ENDC is supported -&gt; conditional mandatory]</t>
    </r>
  </si>
  <si>
    <t>MTR-34333</t>
  </si>
  <si>
    <r>
      <rPr>
        <rFont val="Arial"/>
        <b/>
        <color theme="1"/>
        <sz val="10.0"/>
      </rPr>
      <t>RF/RRM: Index 2-17 - PA architectures for intra-band UL CA</t>
    </r>
    <r>
      <rPr>
        <rFont val="Arial"/>
        <b val="0"/>
        <color theme="1"/>
        <sz val="10.0"/>
      </rPr>
      <t xml:space="preserve">
supported and indicated with IE "CA-ParametersNR-v1540 \\ dualPA-Architecture"
[only applicable in case of intra-band UL CA -&gt; conditional mandatory]</t>
    </r>
  </si>
  <si>
    <t>MTR-37147</t>
  </si>
  <si>
    <r>
      <rPr>
        <rFont val="Arial"/>
        <b/>
        <color theme="1"/>
        <sz val="10.0"/>
      </rPr>
      <t>2.5.9</t>
    </r>
    <r>
      <rPr>
        <rFont val="Arial"/>
        <b val="0"/>
        <color theme="1"/>
        <sz val="10.0"/>
      </rPr>
      <t xml:space="preserve"> </t>
    </r>
    <r>
      <rPr>
        <rFont val="Arial"/>
        <b/>
        <color theme="1"/>
        <sz val="10.0"/>
      </rPr>
      <t>NR features with 5GC focus</t>
    </r>
  </si>
  <si>
    <t>MTR-37485</t>
  </si>
  <si>
    <r>
      <rPr>
        <rFont val="Arial"/>
        <b/>
        <color theme="1"/>
        <sz val="10.0"/>
      </rPr>
      <t>L2/3: Index 6-1 "RRC inactive"</t>
    </r>
    <r>
      <rPr>
        <rFont val="Arial"/>
        <b val="0"/>
        <color theme="1"/>
        <sz val="10.0"/>
      </rPr>
      <t xml:space="preserve"> state is supported
and indicated with IE "inactiveState"
[3GPP mandatory for devices with SA support]</t>
    </r>
  </si>
  <si>
    <t>MTR-39220</t>
  </si>
  <si>
    <r>
      <rPr>
        <rFont val="Arial"/>
        <b/>
        <color theme="1"/>
        <sz val="10.0"/>
      </rPr>
      <t>[Rel. 16] Inactive mode - R16 enhancement: resume with stored SCell config</t>
    </r>
    <r>
      <rPr>
        <rFont val="Arial"/>
        <b val="0"/>
        <color theme="1"/>
        <sz val="10.0"/>
      </rPr>
      <t xml:space="preserve">
The UE supports 'Resume with stored MCG SCell configuration' and indicates this with "resumeWithStoredMCG-SCells-r16"
</t>
    </r>
    <r>
      <rPr>
        <rFont val="Arial"/>
        <b/>
        <color theme="1"/>
        <sz val="10.0"/>
      </rPr>
      <t>L2/3 Index 18-2</t>
    </r>
  </si>
  <si>
    <t>Support but default disable (we could enable if DT request)</t>
  </si>
  <si>
    <t>MTR-37152</t>
  </si>
  <si>
    <r>
      <rPr>
        <rFont val="Arial"/>
        <b/>
        <color theme="1"/>
        <sz val="10.0"/>
      </rPr>
      <t>2.5.9.1</t>
    </r>
    <r>
      <rPr>
        <rFont val="Arial"/>
        <b val="0"/>
        <color theme="1"/>
        <sz val="10.0"/>
      </rPr>
      <t xml:space="preserve"> </t>
    </r>
    <r>
      <rPr>
        <rFont val="Arial"/>
        <b/>
        <color theme="1"/>
        <sz val="10.0"/>
      </rPr>
      <t>Access handling</t>
    </r>
  </si>
  <si>
    <t>MTR-37165</t>
  </si>
  <si>
    <r>
      <rPr>
        <rFont val="Arial"/>
        <b/>
        <color theme="1"/>
        <sz val="10.0"/>
      </rPr>
      <t>General cell barring</t>
    </r>
    <r>
      <rPr>
        <rFont val="Arial"/>
        <b val="0"/>
        <color theme="1"/>
        <sz val="10.0"/>
      </rPr>
      <t xml:space="preserve">
The UE takes into account:
- MIB: cellBarred
- SIB1 decoding
- intraFrequencyReselection
- SIB1: cellReservedForOperatorUse
- SIB1: cellReservedForOtherUse</t>
    </r>
  </si>
  <si>
    <t>MTR-37167</t>
  </si>
  <si>
    <r>
      <rPr>
        <rFont val="Arial"/>
        <b/>
        <color theme="1"/>
        <sz val="10.0"/>
      </rPr>
      <t>Unified Access Control (UAC) is supported on radio level</t>
    </r>
    <r>
      <rPr>
        <rFont val="Arial"/>
        <b val="0"/>
        <color theme="1"/>
        <sz val="10.0"/>
      </rPr>
      <t xml:space="preserve">
The support includes the cases using
- uac-BarringForCommon
- UAC-BarringPerPLMN
and also using:
- uac-ExplicitACBarringList
- uac-ImplicitACBarringList</t>
    </r>
  </si>
  <si>
    <t>MTR-37166</t>
  </si>
  <si>
    <r>
      <rPr>
        <rFont val="Arial"/>
        <b/>
        <color theme="1"/>
        <sz val="10.0"/>
      </rPr>
      <t>Operator Defined Access Categories</t>
    </r>
    <r>
      <rPr>
        <rFont val="Arial"/>
        <b val="0"/>
        <color theme="1"/>
        <sz val="10.0"/>
      </rPr>
      <t xml:space="preserve"> (=32-64) are taken into account if provided by higher layers (according to Operator-defined access category definitions configured via 5GSM CONFIGURATION UPDATE)</t>
    </r>
  </si>
  <si>
    <t>MTR-37168</t>
  </si>
  <si>
    <r>
      <rPr>
        <rFont val="Arial"/>
        <b/>
        <color theme="1"/>
        <sz val="10.0"/>
      </rPr>
      <t>RRC Establishment causes</t>
    </r>
    <r>
      <rPr>
        <rFont val="Arial"/>
        <b val="0"/>
        <color theme="1"/>
        <sz val="10.0"/>
      </rPr>
      <t xml:space="preserve"> are set in accordance to UAC rules</t>
    </r>
  </si>
  <si>
    <t>MTR-37151</t>
  </si>
  <si>
    <r>
      <rPr>
        <rFont val="Arial"/>
        <b/>
        <color theme="1"/>
        <sz val="10.0"/>
      </rPr>
      <t>2.5.9.2</t>
    </r>
    <r>
      <rPr>
        <rFont val="Arial"/>
        <b val="0"/>
        <color theme="1"/>
        <sz val="10.0"/>
      </rPr>
      <t xml:space="preserve"> </t>
    </r>
    <r>
      <rPr>
        <rFont val="Arial"/>
        <b/>
        <color theme="1"/>
        <sz val="10.0"/>
      </rPr>
      <t>SIB handling</t>
    </r>
  </si>
  <si>
    <t>MTR-37214</t>
  </si>
  <si>
    <r>
      <rPr>
        <rFont val="Arial"/>
        <color theme="1"/>
        <sz val="10.0"/>
      </rPr>
      <t xml:space="preserve">The UE supports the handling of </t>
    </r>
    <r>
      <rPr>
        <rFont val="Arial"/>
        <b/>
        <color theme="1"/>
        <sz val="10.0"/>
      </rPr>
      <t>LTE SIB24</t>
    </r>
    <r>
      <rPr>
        <rFont val="Arial"/>
        <color theme="1"/>
        <sz val="10.0"/>
      </rPr>
      <t xml:space="preserve">
This includes the scheduling via "schedulingInfoListExt" (see 3GPP RP-201939)</t>
    </r>
  </si>
  <si>
    <t>MTR-37160</t>
  </si>
  <si>
    <t>The UE supports the handling of at least the followin NR SIBs
Minimum SI: 
  MIB  (cell barred status and essential PHY info to receive further SIBs)
  SIB1 (info for initial access and scheduling of other SIBs)
Other SI:
  SIB2 reselection (serving cell)
  SIB3 reselection (intra-frequency neighbours)
  SIB4 reselection (inter-frequency neighbours)
  SIB5 reselection (EUTRA)</t>
  </si>
  <si>
    <t>MTR-37161</t>
  </si>
  <si>
    <r>
      <rPr>
        <rFont val="Arial"/>
        <color theme="1"/>
        <sz val="10.0"/>
      </rPr>
      <t xml:space="preserve">The UE supports the handling of </t>
    </r>
    <r>
      <rPr>
        <rFont val="Arial"/>
        <b/>
        <color theme="1"/>
        <sz val="10.0"/>
      </rPr>
      <t>NR SIB 8 for CMAS</t>
    </r>
  </si>
  <si>
    <t>MTR-37162</t>
  </si>
  <si>
    <r>
      <rPr>
        <rFont val="Arial"/>
        <color theme="1"/>
        <sz val="10.0"/>
      </rPr>
      <t xml:space="preserve">The UE supports the handling of </t>
    </r>
    <r>
      <rPr>
        <rFont val="Arial"/>
        <b/>
        <color theme="1"/>
        <sz val="10.0"/>
      </rPr>
      <t>NR SIB 9 for GPS time / UTC</t>
    </r>
  </si>
  <si>
    <t>MTR-37163</t>
  </si>
  <si>
    <r>
      <rPr>
        <rFont val="Arial"/>
        <color theme="1"/>
        <sz val="10.0"/>
      </rPr>
      <t xml:space="preserve">[Rel. 16] The UE supports the handling of </t>
    </r>
    <r>
      <rPr>
        <rFont val="Arial"/>
        <b/>
        <color theme="1"/>
        <sz val="10.0"/>
      </rPr>
      <t>NR SIB 10 for Human-Readable Network Names (HRNN)</t>
    </r>
  </si>
  <si>
    <t>MTR-37164</t>
  </si>
  <si>
    <r>
      <rPr>
        <rFont val="Arial"/>
        <color theme="1"/>
        <sz val="10.0"/>
      </rPr>
      <t xml:space="preserve">[Rel. 16] The UE supports the handling of </t>
    </r>
    <r>
      <rPr>
        <rFont val="Arial"/>
        <b/>
        <color theme="1"/>
        <sz val="10.0"/>
      </rPr>
      <t>NR SIB 11 for idle/inactive measurements</t>
    </r>
  </si>
  <si>
    <t>MTR-37149</t>
  </si>
  <si>
    <r>
      <rPr>
        <rFont val="Arial"/>
        <b/>
        <color theme="1"/>
        <sz val="10.0"/>
      </rPr>
      <t>2.5.9.3</t>
    </r>
    <r>
      <rPr>
        <rFont val="Arial"/>
        <b val="0"/>
        <color theme="1"/>
        <sz val="10.0"/>
      </rPr>
      <t xml:space="preserve"> </t>
    </r>
    <r>
      <rPr>
        <rFont val="Arial"/>
        <b/>
        <color theme="1"/>
        <sz val="10.0"/>
      </rPr>
      <t>Measurements</t>
    </r>
  </si>
  <si>
    <t>MTR-37154</t>
  </si>
  <si>
    <r>
      <rPr>
        <rFont val="Arial"/>
        <b/>
        <color theme="1"/>
        <sz val="10.0"/>
      </rPr>
      <t>NR-&gt;LTE measurements:</t>
    </r>
    <r>
      <rPr>
        <rFont val="Arial"/>
        <b val="0"/>
        <color theme="1"/>
        <sz val="10.0"/>
      </rPr>
      <t xml:space="preserve">
see MTR-34323: periodic measurements
see MTR-34324: event based measurements</t>
    </r>
  </si>
  <si>
    <t>MTR-38934</t>
  </si>
  <si>
    <r>
      <rPr>
        <rFont val="Arial"/>
        <b/>
        <color theme="1"/>
        <sz val="10.0"/>
      </rPr>
      <t>NR-&gt;NR measurements:</t>
    </r>
    <r>
      <rPr>
        <rFont val="Arial"/>
        <b val="0"/>
        <color theme="1"/>
        <sz val="10.0"/>
      </rPr>
      <t xml:space="preserve">
</t>
    </r>
    <r>
      <rPr>
        <rFont val="Arial"/>
        <b/>
        <color theme="1"/>
        <sz val="10.0"/>
      </rPr>
      <t>[Rel. 16] RF/RRM Index 9-2: GAP patterns for NR-only measurements in NR SA</t>
    </r>
    <r>
      <rPr>
        <rFont val="Arial"/>
        <b val="0"/>
        <color theme="1"/>
        <sz val="10.0"/>
      </rPr>
      <t xml:space="preserve">
are supported and indicated with IE "MeasAndMobParametersCommon \\ supportedGapPattern-NRonly-r16" for </t>
    </r>
    <r>
      <rPr>
        <rFont val="Arial"/>
        <b/>
        <color theme="1"/>
        <sz val="10.0"/>
      </rPr>
      <t>at least</t>
    </r>
    <r>
      <rPr>
        <rFont val="Arial"/>
        <b val="0"/>
        <color theme="1"/>
        <sz val="10.0"/>
      </rPr>
      <t xml:space="preserve"> the following mandatory patterns:
</t>
    </r>
    <r>
      <rPr>
        <rFont val="Arial"/>
        <b/>
        <color theme="1"/>
        <sz val="10.0"/>
      </rPr>
      <t>2, 3, 11</t>
    </r>
    <r>
      <rPr>
        <rFont val="Arial"/>
        <b val="0"/>
        <color theme="1"/>
        <sz val="10.0"/>
      </rPr>
      <t xml:space="preserve">
(only considered mandatory for Rel. 16 supporting devices)
</t>
    </r>
    <r>
      <rPr>
        <rFont val="Arial"/>
        <b/>
        <color theme="1"/>
        <sz val="10.0"/>
      </rPr>
      <t>Please indicate all supported gap patterns under "Comments Vendor".</t>
    </r>
  </si>
  <si>
    <t>MTR-39618</t>
  </si>
  <si>
    <r>
      <rPr>
        <rFont val="Arial"/>
        <b/>
        <color theme="1"/>
        <sz val="10.0"/>
      </rPr>
      <t>[Rel. 16] NR-&gt;NR measurements without need for gaps - reporting mechanism</t>
    </r>
    <r>
      <rPr>
        <rFont val="Arial"/>
        <b val="0"/>
        <color theme="1"/>
        <sz val="10.0"/>
      </rPr>
      <t xml:space="preserve">
[TR38.822 Layer 2/3: 24-6 UE support of dynamic reporting of measurement gap requirement]
The UE supports reporting the measurement gap requirement
information for NR target in the UE response to a network configuration RRC
message.
This is indicated via the UE capability </t>
    </r>
    <r>
      <rPr>
        <rFont val="Arial"/>
        <b val="0"/>
        <i/>
        <color theme="1"/>
        <sz val="10.0"/>
      </rPr>
      <t>MeasAndMobParametersCommon/</t>
    </r>
    <r>
      <rPr>
        <rFont val="Arial"/>
        <b/>
        <i/>
        <color theme="1"/>
        <sz val="10.0"/>
      </rPr>
      <t>nr-NeedForGap-Reporting-r16</t>
    </r>
    <r>
      <rPr>
        <rFont val="Arial"/>
        <b val="0"/>
        <color theme="1"/>
        <sz val="10.0"/>
      </rPr>
      <t xml:space="preserve">
General mechanism:
gNB indicates in RRCReconfiguration/RRCResume via </t>
    </r>
    <r>
      <rPr>
        <rFont val="Arial"/>
        <b val="0"/>
        <i/>
        <color theme="1"/>
        <sz val="10.0"/>
      </rPr>
      <t>needForGapsConfigNR</t>
    </r>
    <r>
      <rPr>
        <rFont val="Arial"/>
        <b val="0"/>
        <color theme="1"/>
        <sz val="10.0"/>
      </rPr>
      <t xml:space="preserve"> the target NR bands
UE answers with </t>
    </r>
    <r>
      <rPr>
        <rFont val="Arial"/>
        <b val="0"/>
        <i/>
        <color theme="1"/>
        <sz val="10.0"/>
      </rPr>
      <t>needForGapsInfoNR</t>
    </r>
    <r>
      <rPr>
        <rFont val="Arial"/>
        <b val="0"/>
        <color theme="1"/>
        <sz val="10.0"/>
      </rPr>
      <t xml:space="preserve"> (containing </t>
    </r>
    <r>
      <rPr>
        <rFont val="Arial"/>
        <b val="0"/>
        <i/>
        <color theme="1"/>
        <sz val="10.0"/>
      </rPr>
      <t>intraFreq-needForGap</t>
    </r>
    <r>
      <rPr>
        <rFont val="Arial"/>
        <b val="0"/>
        <color theme="1"/>
        <sz val="10.0"/>
      </rPr>
      <t xml:space="preserve"> and </t>
    </r>
    <r>
      <rPr>
        <rFont val="Arial"/>
        <b val="0"/>
        <i/>
        <color theme="1"/>
        <sz val="10.0"/>
      </rPr>
      <t xml:space="preserve">interFreq-needForGap) </t>
    </r>
    <r>
      <rPr>
        <rFont val="Arial"/>
        <b val="0"/>
        <color theme="1"/>
        <sz val="10.0"/>
      </rPr>
      <t>in RRCReconfigurationComplete/RRCResumeComplete</t>
    </r>
  </si>
  <si>
    <t>MTR-39619</t>
  </si>
  <si>
    <r>
      <rPr>
        <rFont val="Arial"/>
        <b/>
        <color theme="1"/>
        <sz val="10.0"/>
      </rPr>
      <t>[Rel. 16] NR-&gt;NR intra frequency measurements without need for gaps - non-overlapping target SSB</t>
    </r>
    <r>
      <rPr>
        <rFont val="Arial"/>
        <b val="0"/>
        <color theme="1"/>
        <sz val="10.0"/>
      </rPr>
      <t xml:space="preserve">
The device does NOT need gaps for NR intra-frequency measurements even if one (or more) of the configured BWPs does not contain the frequencies of the target SSB (in the same band).
The device uses the mechanism indicated in MTR-39618 to signal this.</t>
    </r>
  </si>
  <si>
    <t>Modem support but
5G SA default disabled.</t>
  </si>
  <si>
    <t>MTR-39620</t>
  </si>
  <si>
    <r>
      <rPr>
        <rFont val="Arial"/>
        <b/>
        <color theme="1"/>
        <sz val="10.0"/>
      </rPr>
      <t>[Rel. 16] NR-&gt;NR inter frequency measurements without need for gaps - support for specific band combinations</t>
    </r>
    <r>
      <rPr>
        <rFont val="Arial"/>
        <b val="0"/>
        <color theme="1"/>
        <sz val="10.0"/>
      </rPr>
      <t xml:space="preserve">
The device does NOT need gaps for NR inter-frequency measurements in combinations of frequencies where NR Inter-frequency band carrier aggregation is supported by the device but no SCell configured for the frequency to be measured. 
2CA example: CA_n1A-n78A is supported &amp; only n1A is currently used -&gt; measurements of n78A are possible without need for gaps.
3CA example: CA_n1A-n28A-n78A is supported, but only n1A+n28A are configured, then measurements of n78A are possible without need for gaps.
The device uses the mechanism indicated in MTR-39618 to signal this.
</t>
    </r>
    <r>
      <rPr>
        <rFont val="Arial"/>
        <b/>
        <color theme="1"/>
        <sz val="10.0"/>
      </rPr>
      <t>If this requirement is supported in general, but there are restrictions on the band combinations, this shall be indicated as 'partially compliant' and the restrictions shall be indicated under "Comments Vendor".</t>
    </r>
  </si>
  <si>
    <t>MTR-39621</t>
  </si>
  <si>
    <r>
      <rPr>
        <rFont val="Arial"/>
        <b/>
        <color theme="1"/>
        <sz val="10.0"/>
      </rPr>
      <t>[Rel. 16] Layer 2/3 Index 24-17: Periodic reporting of best neighouring cells</t>
    </r>
    <r>
      <rPr>
        <rFont val="Arial"/>
        <b val="0"/>
        <color theme="1"/>
        <sz val="10.0"/>
      </rPr>
      <t xml:space="preserve">
is supported and indicated with the IE "</t>
    </r>
    <r>
      <rPr>
        <rFont val="Arial"/>
        <b val="0"/>
        <i/>
        <color theme="1"/>
        <sz val="10.0"/>
      </rPr>
      <t>reportAddNeighMeasForPeriodic-r16"</t>
    </r>
    <r>
      <rPr>
        <rFont val="Arial"/>
        <b val="0"/>
        <color theme="1"/>
        <sz val="10.0"/>
      </rPr>
      <t xml:space="preserve">
</t>
    </r>
    <r>
      <rPr>
        <rFont val="Arial"/>
        <b/>
        <color theme="1"/>
        <sz val="10.0"/>
      </rPr>
      <t>[3GPP mandatory for Rel. 16]</t>
    </r>
  </si>
  <si>
    <t>5G SA default disabled.</t>
  </si>
  <si>
    <t>MTR-38935</t>
  </si>
  <si>
    <r>
      <rPr>
        <rFont val="Arial"/>
        <b/>
        <color theme="1"/>
        <sz val="10.0"/>
      </rPr>
      <t>2.5.9.4</t>
    </r>
    <r>
      <rPr>
        <rFont val="Arial"/>
        <b val="0"/>
        <color theme="1"/>
        <sz val="10.0"/>
      </rPr>
      <t xml:space="preserve"> </t>
    </r>
    <r>
      <rPr>
        <rFont val="Arial"/>
        <b/>
        <color theme="1"/>
        <sz val="10.0"/>
      </rPr>
      <t>NR Carrier Aggregation Enhancements</t>
    </r>
  </si>
  <si>
    <t>MTR-39616</t>
  </si>
  <si>
    <r>
      <rPr>
        <rFont val="Arial"/>
        <b/>
        <color theme="1"/>
        <sz val="10.0"/>
      </rPr>
      <t>2.5.9.5</t>
    </r>
    <r>
      <rPr>
        <rFont val="Arial"/>
        <b val="0"/>
        <color theme="1"/>
        <sz val="10.0"/>
      </rPr>
      <t xml:space="preserve"> </t>
    </r>
    <r>
      <rPr>
        <rFont val="Arial"/>
        <b/>
        <color theme="1"/>
        <sz val="10.0"/>
      </rPr>
      <t>VoNR related radio features</t>
    </r>
  </si>
  <si>
    <t>OEM, Chipset</t>
  </si>
  <si>
    <t>MTR-38930</t>
  </si>
  <si>
    <r>
      <rPr>
        <rFont val="Arial"/>
        <b/>
        <color theme="1"/>
        <sz val="10.0"/>
      </rPr>
      <t>L2/3: Index 0-5 (1): IMS voice over NR</t>
    </r>
    <r>
      <rPr>
        <rFont val="Arial"/>
        <b val="0"/>
        <color theme="1"/>
        <sz val="10.0"/>
      </rPr>
      <t xml:space="preserve">
is supported and indicated with IE "IMS-Parameters-FRX-Diff \\ voiceOverNR"</t>
    </r>
  </si>
  <si>
    <t>VONR Default disabled</t>
  </si>
  <si>
    <t>VoNR not enable</t>
  </si>
  <si>
    <t>MTR-39627</t>
  </si>
  <si>
    <r>
      <rPr>
        <rFont val="Arial"/>
        <b/>
        <color theme="1"/>
        <sz val="10.0"/>
      </rPr>
      <t>NR PDCP Robust Header Compression</t>
    </r>
    <r>
      <rPr>
        <rFont val="Arial"/>
        <b val="0"/>
        <color theme="1"/>
        <sz val="10.0"/>
      </rPr>
      <t xml:space="preserve"> is supported.
</t>
    </r>
    <r>
      <rPr>
        <rFont val="Arial"/>
        <b/>
        <color theme="1"/>
        <sz val="10.0"/>
      </rPr>
      <t>L2/3: Index 1-1</t>
    </r>
    <r>
      <rPr>
        <rFont val="Arial"/>
        <b val="0"/>
        <color theme="1"/>
        <sz val="10.0"/>
      </rPr>
      <t xml:space="preserve">
Individual profiles are enabled or disabled as defined in the Telekom International Settings Document [TISD].
Inidicated with IE: [pdcp-Parameters/supportedROHC-Profiles]
</t>
    </r>
    <r>
      <rPr>
        <rFont val="Arial"/>
        <b/>
        <color theme="1"/>
        <sz val="10.0"/>
      </rPr>
      <t>Please indicate the supported profiles in the "Comments Vendor" field:</t>
    </r>
    <r>
      <rPr>
        <rFont val="Arial"/>
        <b val="0"/>
        <color theme="1"/>
        <sz val="10.0"/>
      </rPr>
      <t xml:space="preserve">
(0x0000 ROHC uncompressed (RFC 4995) implicitly if any other profile is supported)
0x0001 ROHC RTP - RTP/UDP/IP  (RFC 3095, RFC 4815)
0x0002 ROHC UDP - non-RTP UDP/IP  (RFC 3095, RFC 4815)
0x0003 ROHC ESP - ESP/IP  (RFC 3095, RFC 4815)
0x0004 ROHC IP  (RFC 3843, RFC 4815)
0x0006 ROHC TCP - TCP/IP  (RFC 4996)
0x0101 ROHC v2 RTP - RTP/UDP/IP  (RFC 5225)
0x0102 ROHC v2 RTP - RTP/UDP/IP  (RFC 5225)
0x0103 ROHC v2 ESP - ESP/IP  (RFC 5225)
0x0104 ROHC v2 IP  (RFC 5225)</t>
    </r>
  </si>
  <si>
    <t>MTR-39628</t>
  </si>
  <si>
    <r>
      <rPr>
        <rFont val="Arial"/>
        <b/>
        <color theme="1"/>
        <sz val="10.0"/>
      </rPr>
      <t>NR PDCP ROHC context continuation operation</t>
    </r>
    <r>
      <rPr>
        <rFont val="Arial"/>
        <b val="0"/>
        <color theme="1"/>
        <sz val="10.0"/>
      </rPr>
      <t xml:space="preserve"> is supported.
</t>
    </r>
    <r>
      <rPr>
        <rFont val="Arial"/>
        <b/>
        <color theme="1"/>
        <sz val="10.0"/>
      </rPr>
      <t>L2/3: Index 1-2</t>
    </r>
    <r>
      <rPr>
        <rFont val="Arial"/>
        <b val="0"/>
        <color theme="1"/>
        <sz val="10.0"/>
      </rPr>
      <t xml:space="preserve">
The UE supports ROHC context continuation without a resetting the ROHC context upon handover and indicates this by the IE "</t>
    </r>
    <r>
      <rPr>
        <rFont val="Arial"/>
        <b val="0"/>
        <i/>
        <color theme="1"/>
        <sz val="10.0"/>
      </rPr>
      <t>continueROHC-Context</t>
    </r>
    <r>
      <rPr>
        <rFont val="Arial"/>
        <b val="0"/>
        <color theme="1"/>
        <sz val="10.0"/>
      </rPr>
      <t>"</t>
    </r>
  </si>
  <si>
    <t>MTR-39629</t>
  </si>
  <si>
    <r>
      <rPr>
        <rFont val="Arial"/>
        <b/>
        <color theme="1"/>
        <sz val="10.0"/>
      </rPr>
      <t>Support for different SN sizes on PDCP and RLC</t>
    </r>
    <r>
      <rPr>
        <rFont val="Arial"/>
        <b val="0"/>
        <color theme="1"/>
        <sz val="10.0"/>
      </rPr>
      <t xml:space="preserve">
MTR-34311 L2/3: Index 1-5: PDCP Short SN            (12 bit length)
MTR-34312 L2/3: Index 2-1: RLC AM with short SN  (12 bit length)
MTR-34313 L2/3: Index 2-2: RLC UM with short SN  (6 bit length)
MTR-34314 L2/3: Index 2-3: RLC UM with long SN   (12 bit length)
(all 3GPP mandatory with capability signalling)
[18 bit PDCP and RLC AM length are the defaults without signalling]</t>
    </r>
  </si>
  <si>
    <t>MTR-39630</t>
  </si>
  <si>
    <r>
      <rPr>
        <rFont val="Arial"/>
        <b/>
        <color theme="1"/>
        <sz val="10.0"/>
      </rPr>
      <t>Usage of UAC for VoNR</t>
    </r>
    <r>
      <rPr>
        <rFont val="Arial"/>
        <b val="0"/>
        <color theme="1"/>
        <sz val="10.0"/>
      </rPr>
      <t xml:space="preserve">
</t>
    </r>
    <r>
      <rPr>
        <rFont val="Arial"/>
        <b/>
        <color theme="1"/>
        <sz val="10.0"/>
      </rPr>
      <t>The UE follows the 3GPP rules defined for UAC in TS24.501 chapter 4.5 for the case of VoNR</t>
    </r>
    <r>
      <rPr>
        <rFont val="Arial"/>
        <b val="0"/>
        <color theme="1"/>
        <sz val="10.0"/>
      </rPr>
      <t xml:space="preserve">
The access identity and access category are taken into account to determine if access if allowed and to determine the proper RRC cause.
The device uses causes in RRCSetupRequest and RRCResumeRequest in accordance with the 3GPP definition in TS24.501 4.5.6. I.e. specifically for Access identitiy = 0 
Access category -&gt; RRC establishment cause
2 = emergeny =&gt; emergency
4 = MO MMTel voice =&gt; mo-VoiceCall
(5 = MO MMTel video =&gt; mo-VideoCall)
6 = MO MS and SMSoIP =&gt; mo-SMS</t>
    </r>
  </si>
  <si>
    <t>MTR-37148</t>
  </si>
  <si>
    <r>
      <rPr>
        <rFont val="Arial"/>
        <b/>
        <color theme="1"/>
        <sz val="10.0"/>
      </rPr>
      <t>2.5.9.6</t>
    </r>
    <r>
      <rPr>
        <rFont val="Arial"/>
        <b val="0"/>
        <color theme="1"/>
        <sz val="10.0"/>
      </rPr>
      <t xml:space="preserve"> </t>
    </r>
    <r>
      <rPr>
        <rFont val="Arial"/>
        <b/>
        <color theme="1"/>
        <sz val="10.0"/>
      </rPr>
      <t>SON/ANR</t>
    </r>
  </si>
  <si>
    <t>MTR-37157</t>
  </si>
  <si>
    <r>
      <rPr>
        <rFont val="Arial"/>
        <b/>
        <color theme="1"/>
        <sz val="10.0"/>
      </rPr>
      <t>ANR NR-&gt;NR</t>
    </r>
    <r>
      <rPr>
        <rFont val="Arial"/>
        <b val="0"/>
        <color theme="1"/>
        <sz val="10.0"/>
      </rPr>
      <t xml:space="preserve">
</t>
    </r>
    <r>
      <rPr>
        <rFont val="Arial"/>
        <b/>
        <color theme="1"/>
        <sz val="10.0"/>
      </rPr>
      <t xml:space="preserve">L2/3: Index 4-5 (2) "CGI reporting of NR cell when EN-DC is not configured" </t>
    </r>
    <r>
      <rPr>
        <rFont val="Arial"/>
        <b val="0"/>
        <color theme="1"/>
        <sz val="10.0"/>
      </rPr>
      <t xml:space="preserve">
is supported and indicated with IE "MeasAndMobParametersCommon/nr-CGI-Reporting"</t>
    </r>
  </si>
  <si>
    <t>MTR-37207</t>
  </si>
  <si>
    <r>
      <rPr>
        <rFont val="Arial"/>
        <b/>
        <color theme="1"/>
        <sz val="10.0"/>
      </rPr>
      <t>[Rel. 16] ANR NR-&gt;NR with autonomous gaps</t>
    </r>
    <r>
      <rPr>
        <rFont val="Arial"/>
        <b val="0"/>
        <color theme="1"/>
        <sz val="10.0"/>
      </rPr>
      <t xml:space="preserve">
</t>
    </r>
    <r>
      <rPr>
        <rFont val="Arial"/>
        <b/>
        <color theme="1"/>
        <sz val="10.0"/>
      </rPr>
      <t>RF&amp;RRM: 9-6 1) "Support of autonomous gap-based CGI reading of an NR neighbour cell for NR SA"</t>
    </r>
    <r>
      <rPr>
        <rFont val="Arial"/>
        <b val="0"/>
        <color theme="1"/>
        <sz val="10.0"/>
      </rPr>
      <t xml:space="preserve"> is supported and indicated with IE "nr-AutonomousGaps-r16"</t>
    </r>
  </si>
  <si>
    <t>MTR-37159</t>
  </si>
  <si>
    <r>
      <rPr>
        <rFont val="Arial"/>
        <b/>
        <color theme="1"/>
        <sz val="10.0"/>
      </rPr>
      <t>ANR NR-&gt;LTE</t>
    </r>
    <r>
      <rPr>
        <rFont val="Arial"/>
        <b val="0"/>
        <color theme="1"/>
        <sz val="10.0"/>
      </rPr>
      <t xml:space="preserve">
</t>
    </r>
    <r>
      <rPr>
        <rFont val="Arial"/>
        <b/>
        <color theme="1"/>
        <sz val="10.0"/>
      </rPr>
      <t xml:space="preserve">L2/3: Index 4-5 (1) "CGI reporting of EUTRA cell when EN-DC is not configured" </t>
    </r>
    <r>
      <rPr>
        <rFont val="Arial"/>
        <b val="0"/>
        <color theme="1"/>
        <sz val="10.0"/>
      </rPr>
      <t xml:space="preserve">
is supported and indicated with IE "MeasAndMobParametersCommon/eutra-CGI-Reporting"</t>
    </r>
  </si>
  <si>
    <t>MTR-37206</t>
  </si>
  <si>
    <r>
      <rPr>
        <rFont val="Arial"/>
        <b/>
        <color theme="1"/>
        <sz val="10.0"/>
      </rPr>
      <t>[Rel. 16] ANR NR-&gt;LTE with autonomous gaps</t>
    </r>
    <r>
      <rPr>
        <rFont val="Arial"/>
        <b val="0"/>
        <color theme="1"/>
        <sz val="10.0"/>
      </rPr>
      <t xml:space="preserve">
</t>
    </r>
    <r>
      <rPr>
        <rFont val="Arial"/>
        <b/>
        <color theme="1"/>
        <sz val="10.0"/>
      </rPr>
      <t>RF&amp;RRM: 9-7 (1) "autonomous gap-based CGI reading of an E-UTRA neighbour cell for ENDC and NR SA"</t>
    </r>
    <r>
      <rPr>
        <rFont val="Arial"/>
        <b val="0"/>
        <color theme="1"/>
        <sz val="10.0"/>
      </rPr>
      <t xml:space="preserve"> is supported and indicated with IE "eutra-AutonomousGaps-r16"</t>
    </r>
  </si>
  <si>
    <t>MTR-37150</t>
  </si>
  <si>
    <r>
      <rPr>
        <rFont val="Arial"/>
        <b/>
        <color theme="1"/>
        <sz val="10.0"/>
      </rPr>
      <t>2.5.9.7</t>
    </r>
    <r>
      <rPr>
        <rFont val="Arial"/>
        <b val="0"/>
        <color theme="1"/>
        <sz val="10.0"/>
      </rPr>
      <t xml:space="preserve"> </t>
    </r>
    <r>
      <rPr>
        <rFont val="Arial"/>
        <b/>
        <color theme="1"/>
        <sz val="10.0"/>
      </rPr>
      <t>Handover</t>
    </r>
  </si>
  <si>
    <t>MTR-37209</t>
  </si>
  <si>
    <r>
      <rPr>
        <rFont val="Arial"/>
        <b/>
        <color theme="1"/>
        <sz val="10.0"/>
      </rPr>
      <t>NR -&gt; NR handover</t>
    </r>
    <r>
      <rPr>
        <rFont val="Arial"/>
        <b val="0"/>
        <color theme="1"/>
        <sz val="10.0"/>
      </rPr>
      <t xml:space="preserve">
see MTR-34326 Inter-frequency Hanover
see MTR-34327 FDD-TDD handover</t>
    </r>
  </si>
  <si>
    <t>MTR-37155</t>
  </si>
  <si>
    <r>
      <rPr>
        <rFont val="Arial"/>
        <b/>
        <color theme="1"/>
        <sz val="10.0"/>
      </rPr>
      <t>LTE-&gt; NR FDD handover</t>
    </r>
    <r>
      <rPr>
        <rFont val="Arial"/>
        <b val="0"/>
        <color theme="1"/>
        <sz val="10.0"/>
      </rPr>
      <t xml:space="preserve">
</t>
    </r>
    <r>
      <rPr>
        <rFont val="Arial"/>
        <b/>
        <color theme="1"/>
        <sz val="10.0"/>
      </rPr>
      <t>UE supports handover from E-UTRA/EPC to NR FDD FR1</t>
    </r>
    <r>
      <rPr>
        <rFont val="Arial"/>
        <b val="0"/>
        <color theme="1"/>
        <sz val="10.0"/>
      </rPr>
      <t xml:space="preserve">
</t>
    </r>
    <r>
      <rPr>
        <rFont val="Arial"/>
        <b val="0"/>
        <i/>
        <color theme="1"/>
        <sz val="10.0"/>
      </rPr>
      <t>and indicates the with the LTE RRC capability IE "eutra-EPC-HO-ToNR-FDD-FR1-r15"</t>
    </r>
  </si>
  <si>
    <t>MTR-37211</t>
  </si>
  <si>
    <r>
      <rPr>
        <rFont val="Arial"/>
        <b/>
        <color theme="1"/>
        <sz val="10.0"/>
      </rPr>
      <t>LTE-&gt; NR TDD handover</t>
    </r>
    <r>
      <rPr>
        <rFont val="Arial"/>
        <b val="0"/>
        <color theme="1"/>
        <sz val="10.0"/>
      </rPr>
      <t xml:space="preserve">
</t>
    </r>
    <r>
      <rPr>
        <rFont val="Arial"/>
        <b/>
        <color theme="1"/>
        <sz val="10.0"/>
      </rPr>
      <t>UE supports handover from E-UTRA/EPC to NR TDD FR1</t>
    </r>
    <r>
      <rPr>
        <rFont val="Arial"/>
        <b val="0"/>
        <color theme="1"/>
        <sz val="10.0"/>
      </rPr>
      <t xml:space="preserve">
</t>
    </r>
    <r>
      <rPr>
        <rFont val="Arial"/>
        <b val="0"/>
        <i/>
        <color theme="1"/>
        <sz val="10.0"/>
      </rPr>
      <t>and indicates the with the LTE RRC capability IE "eutra-EPC-HO-ToNR-TDD-FR1-r15"</t>
    </r>
  </si>
  <si>
    <t>MTR-37156</t>
  </si>
  <si>
    <r>
      <rPr>
        <rFont val="Arial"/>
        <b/>
        <color theme="1"/>
        <sz val="10.0"/>
      </rPr>
      <t>NR-&gt; LTE handover</t>
    </r>
    <r>
      <rPr>
        <rFont val="Arial"/>
        <b val="0"/>
        <color theme="1"/>
        <sz val="10.0"/>
      </rPr>
      <t xml:space="preserve">
</t>
    </r>
    <r>
      <rPr>
        <rFont val="Arial"/>
        <b/>
        <color theme="1"/>
        <sz val="10.0"/>
      </rPr>
      <t xml:space="preserve">L2/3: Index 7-1 (4) "HO from NR to LTE" </t>
    </r>
    <r>
      <rPr>
        <rFont val="Arial"/>
        <b val="0"/>
        <color theme="1"/>
        <sz val="10.0"/>
      </rPr>
      <t xml:space="preserve">
is supported and indicated with "MeasAndMobParametersXDD-Diff \\ handoverLTE-EPC"</t>
    </r>
  </si>
  <si>
    <t>MTR-37213</t>
  </si>
  <si>
    <r>
      <rPr>
        <rFont val="Arial"/>
        <b/>
        <color theme="1"/>
        <sz val="10.0"/>
      </rPr>
      <t>[Rel. 16] NR -&gt; ENDC handover</t>
    </r>
    <r>
      <rPr>
        <rFont val="Arial"/>
        <b val="0"/>
        <color theme="1"/>
        <sz val="10.0"/>
      </rPr>
      <t xml:space="preserve">
</t>
    </r>
    <r>
      <rPr>
        <rFont val="Arial"/>
        <b/>
        <color theme="1"/>
        <sz val="10.0"/>
      </rPr>
      <t>The UE supports inter-RAT handover from NR to EN-DC</t>
    </r>
    <r>
      <rPr>
        <rFont val="Arial"/>
        <b val="0"/>
        <color theme="1"/>
        <sz val="10.0"/>
      </rPr>
      <t xml:space="preserve">
and indicates this with the LTE RRC IE "</t>
    </r>
    <r>
      <rPr>
        <rFont val="Arial"/>
        <b val="0"/>
        <i/>
        <color theme="1"/>
        <sz val="10.0"/>
      </rPr>
      <t>nr-HO-ToEN-DC-r16"</t>
    </r>
  </si>
  <si>
    <t>MTR-39622</t>
  </si>
  <si>
    <r>
      <rPr>
        <rFont val="Arial"/>
        <b/>
        <color theme="1"/>
        <sz val="10.0"/>
      </rPr>
      <t>2.5.9.8</t>
    </r>
    <r>
      <rPr>
        <rFont val="Arial"/>
        <b val="0"/>
        <color theme="1"/>
        <sz val="10.0"/>
      </rPr>
      <t xml:space="preserve"> </t>
    </r>
    <r>
      <rPr>
        <rFont val="Arial"/>
        <b/>
        <color theme="1"/>
        <sz val="10.0"/>
      </rPr>
      <t>UL improvements</t>
    </r>
  </si>
  <si>
    <t>MTR-40163</t>
  </si>
  <si>
    <r>
      <rPr>
        <rFont val="Arial"/>
        <b/>
        <color theme="1"/>
        <sz val="10.0"/>
      </rPr>
      <t>[Rel. 16] NR 2-step Random Access type (Type-2 RA prcedure)</t>
    </r>
    <r>
      <rPr>
        <rFont val="Arial"/>
        <b val="0"/>
        <color theme="1"/>
        <sz val="10.0"/>
      </rPr>
      <t xml:space="preserve"> is supported.
This includes the combined transmission of
 1. PRACH (Msg1) and PUSCH (Msg3) [named as MsgA]
 2. RAR (msg2) and contention resolution (Msg4) [named as MsgB]</t>
    </r>
  </si>
  <si>
    <t>PMW-MCE-AS</t>
  </si>
  <si>
    <t>MTR-38923</t>
  </si>
  <si>
    <r>
      <rPr>
        <rFont val="Arial"/>
        <b/>
        <color theme="1"/>
        <sz val="10.0"/>
      </rPr>
      <t>2.5.9.9</t>
    </r>
    <r>
      <rPr>
        <rFont val="Arial"/>
        <b val="0"/>
        <color theme="1"/>
        <sz val="10.0"/>
      </rPr>
      <t xml:space="preserve"> </t>
    </r>
    <r>
      <rPr>
        <rFont val="Arial"/>
        <b/>
        <color theme="1"/>
        <sz val="10.0"/>
      </rPr>
      <t>UL Grant Handling</t>
    </r>
  </si>
  <si>
    <t>MTR-37232</t>
  </si>
  <si>
    <r>
      <rPr>
        <rFont val="Arial"/>
        <color theme="1"/>
        <sz val="10.0"/>
      </rPr>
      <t xml:space="preserve">[Rel. 16] Layer1: 5-19 </t>
    </r>
    <r>
      <rPr>
        <rFont val="Arial"/>
        <b/>
        <color theme="1"/>
        <sz val="10.0"/>
      </rPr>
      <t>"configuredUL-GrantType1"</t>
    </r>
    <r>
      <rPr>
        <rFont val="Arial"/>
        <color theme="1"/>
        <sz val="10.0"/>
      </rPr>
      <t xml:space="preserve">
is supported.</t>
    </r>
  </si>
  <si>
    <t>MTR-37233</t>
  </si>
  <si>
    <r>
      <rPr>
        <rFont val="Arial"/>
        <color theme="1"/>
        <sz val="10.0"/>
      </rPr>
      <t xml:space="preserve">[Rel. 16] Layer1: 5-20 </t>
    </r>
    <r>
      <rPr>
        <rFont val="Arial"/>
        <b/>
        <color theme="1"/>
        <sz val="10.0"/>
      </rPr>
      <t>"configuredUL-GrantType2"</t>
    </r>
    <r>
      <rPr>
        <rFont val="Arial"/>
        <color theme="1"/>
        <sz val="10.0"/>
      </rPr>
      <t xml:space="preserve">
is supported and indicated either via "configuredUL-GrantType2" or band specific via "configuredUL-GrantType2-v1650"
This implies support for Skipping UL transmission for configured UL grant (no additional UE capability)
[usage: services with for lower latency / lower jitter]</t>
    </r>
  </si>
  <si>
    <r>
      <rPr>
        <rFont val="Arial"/>
        <sz val="10.0"/>
      </rPr>
      <t xml:space="preserve">"[20241108]
Default disable per </t>
    </r>
    <r>
      <rPr>
        <rFont val="Arial"/>
        <color rgb="FF1155CC"/>
        <sz val="10.0"/>
        <u/>
      </rPr>
      <t>b/336927802</t>
    </r>
    <r>
      <rPr>
        <rFont val="Arial"/>
        <sz val="10.0"/>
      </rPr>
      <t xml:space="preserve"> ,</t>
    </r>
    <r>
      <rPr>
        <rFont val="Arial"/>
        <color rgb="FF1155CC"/>
        <sz val="10.0"/>
        <u/>
      </rPr>
      <t>b/340902390</t>
    </r>
    <r>
      <rPr>
        <rFont val="Arial"/>
        <sz val="10.0"/>
      </rPr>
      <t xml:space="preserve"> "</t>
    </r>
  </si>
  <si>
    <t>MTR-38932</t>
  </si>
  <si>
    <r>
      <rPr>
        <rFont val="Arial"/>
        <b/>
        <color theme="1"/>
        <sz val="10.0"/>
      </rPr>
      <t>[Rel. 16] Enhanced Skip Uplink Tx Configured</t>
    </r>
    <r>
      <rPr>
        <rFont val="Arial"/>
        <b val="0"/>
        <color theme="1"/>
        <sz val="10.0"/>
      </rPr>
      <t xml:space="preserve">
is supported and indicated either via "MAC-CellGroupConfig
MAC-ParametersXDD-Diff \\ enhancedSkipUplinkTxConfigured-r16" or band specific via "enhancedSkipUplinkTxConfigured-v1660".
See also TS38.882 Layer 2/3: Index 24-16</t>
    </r>
  </si>
  <si>
    <t>MTR-38543</t>
  </si>
  <si>
    <r>
      <rPr>
        <rFont val="Arial"/>
        <b/>
        <color theme="1"/>
        <sz val="10.0"/>
      </rPr>
      <t>Layer 2/3 Index 3-6 (1): Skip Uplink Tx Dynamic</t>
    </r>
    <r>
      <rPr>
        <rFont val="Arial"/>
        <b val="0"/>
        <color theme="1"/>
        <sz val="10.0"/>
      </rPr>
      <t xml:space="preserve">
is supported and indicated with the IE [MAC-ParametersXDD-Diff \\ skipUplinkTxDynamic]. 
This referes to "Skipping UL transmission for dynamic UL grant" as per TR38.822.
Note: This  feature is 3GPP mandatory from Rel. 16 onwards!</t>
    </r>
  </si>
  <si>
    <t>MTR-38933</t>
  </si>
  <si>
    <r>
      <rPr>
        <rFont val="Arial"/>
        <b/>
        <color theme="1"/>
        <sz val="10.0"/>
      </rPr>
      <t>[Rel. 16] Layer 2/3 Index 24-17: Enhanced Skip Uplink Tx Dynamic</t>
    </r>
    <r>
      <rPr>
        <rFont val="Arial"/>
        <b val="0"/>
        <color theme="1"/>
        <sz val="10.0"/>
      </rPr>
      <t xml:space="preserve">
is supported and indicated via "MAC-CellGroupConfig
MAC-ParametersXDD-Diff \\ enhancedSkipUplinkTxDynamic-r16".
See also TR38.882 Layer 2/3: Index 24-17</t>
    </r>
  </si>
  <si>
    <t>MTR-37153</t>
  </si>
  <si>
    <r>
      <rPr>
        <rFont val="Arial"/>
        <b/>
        <color theme="1"/>
        <sz val="10.0"/>
      </rPr>
      <t>2.5.9.10</t>
    </r>
    <r>
      <rPr>
        <rFont val="Arial"/>
        <b val="0"/>
        <color theme="1"/>
        <sz val="10.0"/>
      </rPr>
      <t xml:space="preserve"> </t>
    </r>
    <r>
      <rPr>
        <rFont val="Arial"/>
        <b/>
        <color theme="1"/>
        <sz val="10.0"/>
      </rPr>
      <t>URLLC features</t>
    </r>
  </si>
  <si>
    <t>MTR-37478</t>
  </si>
  <si>
    <r>
      <rPr>
        <rFont val="Arial"/>
        <b/>
        <color theme="1"/>
        <sz val="10.0"/>
      </rPr>
      <t>[Rel. 15] [Rel. 16] URLLC</t>
    </r>
    <r>
      <rPr>
        <rFont val="Arial"/>
        <b val="0"/>
        <color theme="1"/>
        <sz val="10.0"/>
      </rPr>
      <t xml:space="preserve"> features are supported
Please indicate under </t>
    </r>
    <r>
      <rPr>
        <rFont val="Arial"/>
        <b/>
        <color theme="1"/>
        <sz val="10.0"/>
      </rPr>
      <t>comments vendor</t>
    </r>
    <r>
      <rPr>
        <rFont val="Arial"/>
        <b val="0"/>
        <color theme="1"/>
        <sz val="10.0"/>
      </rPr>
      <t xml:space="preserve"> which URLLC related features are supported (if no URLLC support is given: state -none-)
Possible groups of features are:  (abbreviated sub-features in brackets)
</t>
    </r>
    <r>
      <rPr>
        <rFont val="Arial"/>
        <b/>
        <color theme="1"/>
        <sz val="10.0"/>
      </rPr>
      <t xml:space="preserve">- Repetitions </t>
    </r>
    <r>
      <rPr>
        <rFont val="Arial"/>
        <b val="0"/>
        <color theme="1"/>
        <sz val="10.0"/>
      </rPr>
      <t xml:space="preserve"> (PUSCH / PDSCH / type1 / type2)
</t>
    </r>
    <r>
      <rPr>
        <rFont val="Arial"/>
        <b/>
        <color theme="1"/>
        <sz val="10.0"/>
      </rPr>
      <t>- Mini-slot</t>
    </r>
    <r>
      <rPr>
        <rFont val="Arial"/>
        <b val="0"/>
        <color theme="1"/>
        <sz val="10.0"/>
      </rPr>
      <t xml:space="preserve">  (PDSCH map. A/ PDSCH map. B /PDSCH different TB / PUSCH different TB)
</t>
    </r>
    <r>
      <rPr>
        <rFont val="Arial"/>
        <b/>
        <color theme="1"/>
        <sz val="10.0"/>
      </rPr>
      <t xml:space="preserve">- PDCCH processing </t>
    </r>
    <r>
      <rPr>
        <rFont val="Arial"/>
        <b val="0"/>
        <color theme="1"/>
        <sz val="10.0"/>
      </rPr>
      <t xml:space="preserve"> (Any / AnyWithGap / Single)
</t>
    </r>
    <r>
      <rPr>
        <rFont val="Arial"/>
        <b/>
        <color theme="1"/>
        <sz val="10.0"/>
      </rPr>
      <t xml:space="preserve">- UL configuration grant </t>
    </r>
    <r>
      <rPr>
        <rFont val="Arial"/>
        <b val="0"/>
        <color theme="1"/>
        <sz val="10.0"/>
      </rPr>
      <t xml:space="preserve"> (Type1 / Type2)
</t>
    </r>
    <r>
      <rPr>
        <rFont val="Arial"/>
        <b/>
        <color theme="1"/>
        <sz val="10.0"/>
      </rPr>
      <t>- DL SPS</t>
    </r>
    <r>
      <rPr>
        <rFont val="Arial"/>
        <b val="0"/>
        <color theme="1"/>
        <sz val="10.0"/>
      </rPr>
      <t xml:space="preserve">
</t>
    </r>
    <r>
      <rPr>
        <rFont val="Arial"/>
        <b/>
        <color theme="1"/>
        <sz val="10.0"/>
      </rPr>
      <t xml:space="preserve">- HARQ-ACK  </t>
    </r>
    <r>
      <rPr>
        <rFont val="Arial"/>
        <b val="0"/>
        <color theme="1"/>
        <sz val="10.0"/>
      </rPr>
      <t>(</t>
    </r>
    <r>
      <rPr>
        <rFont val="Arial"/>
        <b val="0"/>
        <i/>
        <color theme="1"/>
        <sz val="10.0"/>
      </rPr>
      <t>mux-HARQ-ACK-PUSCH-DiffSymbol</t>
    </r>
    <r>
      <rPr>
        <rFont val="Arial"/>
        <b val="0"/>
        <color theme="1"/>
        <sz val="10.0"/>
      </rPr>
      <t xml:space="preserve">)
</t>
    </r>
    <r>
      <rPr>
        <rFont val="Arial"/>
        <b/>
        <color theme="1"/>
        <sz val="10.0"/>
      </rPr>
      <t>- Reduced processing time</t>
    </r>
    <r>
      <rPr>
        <rFont val="Arial"/>
        <b val="0"/>
        <color theme="1"/>
        <sz val="10.0"/>
      </rPr>
      <t xml:space="preserve">  (PDSCH / PUSCH)
</t>
    </r>
    <r>
      <rPr>
        <rFont val="Arial"/>
        <b/>
        <color theme="1"/>
        <sz val="10.0"/>
      </rPr>
      <t>- Ultra-reliable CQI/MCS</t>
    </r>
    <r>
      <rPr>
        <rFont val="Arial"/>
        <b val="0"/>
        <color theme="1"/>
        <sz val="10.0"/>
      </rPr>
      <t xml:space="preserve">  (alt CQI table: alt MCS: dl-64QAM / ul-64QAM / dl-dynamic / ul-dynamic)
</t>
    </r>
    <r>
      <rPr>
        <rFont val="Arial"/>
        <b/>
        <color theme="1"/>
        <sz val="10.0"/>
      </rPr>
      <t>- PDCP duplication</t>
    </r>
    <r>
      <rPr>
        <rFont val="Arial"/>
        <b val="0"/>
        <color theme="1"/>
        <sz val="10.0"/>
      </rPr>
      <t xml:space="preserve">  (splitSRB / SRB / MCS-OrSCG-DRB / SplitDRB)
</t>
    </r>
    <r>
      <rPr>
        <rFont val="Arial"/>
        <b/>
        <color theme="1"/>
        <sz val="10.0"/>
      </rPr>
      <t>- Further Rel. 16 URLLC enhancements</t>
    </r>
  </si>
  <si>
    <t>5G SA default disabled. This feature need to discuss while SA enable</t>
  </si>
  <si>
    <t>This feature needs to be discussed during SA enablement.</t>
  </si>
  <si>
    <t>6 Features &amp; Procedures</t>
  </si>
  <si>
    <t>MTR-810</t>
  </si>
  <si>
    <r>
      <rPr>
        <rFont val="Arial"/>
        <b/>
        <color theme="1"/>
        <sz val="10.0"/>
      </rPr>
      <t>2.6</t>
    </r>
    <r>
      <rPr>
        <rFont val="Arial"/>
        <b val="0"/>
        <color theme="1"/>
        <sz val="10.0"/>
      </rPr>
      <t xml:space="preserve"> </t>
    </r>
    <r>
      <rPr>
        <rFont val="Arial"/>
        <b/>
        <color theme="1"/>
        <sz val="10.0"/>
      </rPr>
      <t>Features &amp; Procedures</t>
    </r>
  </si>
  <si>
    <t>MTR-811</t>
  </si>
  <si>
    <r>
      <rPr>
        <rFont val="Arial"/>
        <b/>
        <color theme="1"/>
        <sz val="10.0"/>
      </rPr>
      <t>2.6.1</t>
    </r>
    <r>
      <rPr>
        <rFont val="Arial"/>
        <b val="0"/>
        <color theme="1"/>
        <sz val="10.0"/>
      </rPr>
      <t xml:space="preserve"> </t>
    </r>
    <r>
      <rPr>
        <rFont val="Arial"/>
        <b/>
        <color theme="1"/>
        <sz val="10.0"/>
      </rPr>
      <t>PLMN handling and NAS level Access Control</t>
    </r>
  </si>
  <si>
    <t>MTR-28872</t>
  </si>
  <si>
    <r>
      <rPr>
        <rFont val="Arial"/>
        <b/>
        <color theme="1"/>
        <sz val="10.0"/>
      </rPr>
      <t>2.6.1.1</t>
    </r>
    <r>
      <rPr>
        <rFont val="Arial"/>
        <b val="0"/>
        <color theme="1"/>
        <sz val="10.0"/>
      </rPr>
      <t xml:space="preserve"> </t>
    </r>
    <r>
      <rPr>
        <rFont val="Arial"/>
        <b/>
        <color theme="1"/>
        <sz val="10.0"/>
      </rPr>
      <t>General PLMN Selection and Mobility</t>
    </r>
  </si>
  <si>
    <t>MTR-29641</t>
  </si>
  <si>
    <r>
      <rPr>
        <rFont val="Arial"/>
        <b/>
        <color theme="1"/>
        <sz val="10.0"/>
      </rPr>
      <t>Connected Mode Mobility in inter-PLMN</t>
    </r>
    <r>
      <rPr>
        <rFont val="Arial"/>
        <b val="0"/>
        <color theme="1"/>
        <sz val="10.0"/>
      </rPr>
      <t xml:space="preserve"> </t>
    </r>
    <r>
      <rPr>
        <rFont val="Arial"/>
        <b/>
        <color theme="1"/>
        <sz val="10.0"/>
      </rPr>
      <t>scenarios.</t>
    </r>
    <r>
      <rPr>
        <rFont val="Arial"/>
        <b val="0"/>
        <color theme="1"/>
        <sz val="10.0"/>
      </rPr>
      <t xml:space="preserve">
There is no limitation of connected mode mobility to a single PLMN. All inter PLMN scenarios work to the same degree as intra PLMN scenarios. This includes neighbour cell reporting independent of the network's PLMN. That shall ensure mobility in network sharing scenarios.</t>
    </r>
  </si>
  <si>
    <t>MTR-839</t>
  </si>
  <si>
    <r>
      <rPr>
        <rFont val="Arial"/>
        <b/>
        <color theme="1"/>
        <sz val="10.0"/>
      </rPr>
      <t>2.6.1.2</t>
    </r>
    <r>
      <rPr>
        <rFont val="Arial"/>
        <b val="0"/>
        <color theme="1"/>
        <sz val="10.0"/>
      </rPr>
      <t xml:space="preserve"> </t>
    </r>
    <r>
      <rPr>
        <rFont val="Arial"/>
        <b/>
        <color theme="1"/>
        <sz val="10.0"/>
      </rPr>
      <t>Steering of Roaming [EPC]</t>
    </r>
  </si>
  <si>
    <t>MTR-30739</t>
  </si>
  <si>
    <r>
      <rPr>
        <rFont val="Arial"/>
        <b/>
        <color theme="1"/>
        <sz val="10.0"/>
      </rPr>
      <t>2.6.1.2.1</t>
    </r>
    <r>
      <rPr>
        <rFont val="Arial"/>
        <b val="0"/>
        <color theme="1"/>
        <sz val="10.0"/>
      </rPr>
      <t xml:space="preserve"> </t>
    </r>
    <r>
      <rPr>
        <rFont val="Arial"/>
        <b/>
        <color theme="1"/>
        <sz val="10.0"/>
      </rPr>
      <t>Steering of Roaming (Managed Roaming) via CS domain</t>
    </r>
  </si>
  <si>
    <t>MTR-817</t>
  </si>
  <si>
    <r>
      <rPr>
        <rFont val="Arial"/>
        <b/>
        <color theme="1"/>
        <sz val="10.0"/>
      </rPr>
      <t>2.6.1.3</t>
    </r>
    <r>
      <rPr>
        <rFont val="Arial"/>
        <b val="0"/>
        <color theme="1"/>
        <sz val="10.0"/>
      </rPr>
      <t xml:space="preserve"> </t>
    </r>
    <r>
      <rPr>
        <rFont val="Arial"/>
        <b/>
        <color theme="1"/>
        <sz val="10.0"/>
      </rPr>
      <t>Network/PLMN Name</t>
    </r>
  </si>
  <si>
    <t>MTR-818</t>
  </si>
  <si>
    <r>
      <rPr>
        <rFont val="Arial"/>
        <b/>
        <color theme="1"/>
        <sz val="10.0"/>
      </rPr>
      <t>2.6.1.3.1</t>
    </r>
    <r>
      <rPr>
        <rFont val="Arial"/>
        <b val="0"/>
        <color theme="1"/>
        <sz val="10.0"/>
      </rPr>
      <t xml:space="preserve"> </t>
    </r>
    <r>
      <rPr>
        <rFont val="Arial"/>
        <b/>
        <color theme="1"/>
        <sz val="10.0"/>
      </rPr>
      <t>Display of PLMN Name</t>
    </r>
  </si>
  <si>
    <t>MTR-19389</t>
  </si>
  <si>
    <r>
      <rPr>
        <rFont val="Arial"/>
        <b/>
        <color theme="1"/>
        <sz val="10.0"/>
      </rPr>
      <t>2.6.1.3.2</t>
    </r>
    <r>
      <rPr>
        <rFont val="Arial"/>
        <b val="0"/>
        <color theme="1"/>
        <sz val="10.0"/>
      </rPr>
      <t xml:space="preserve"> </t>
    </r>
    <r>
      <rPr>
        <rFont val="Arial"/>
        <b/>
        <color theme="1"/>
        <sz val="10.0"/>
      </rPr>
      <t>NITZ</t>
    </r>
  </si>
  <si>
    <t>MTR-912</t>
  </si>
  <si>
    <r>
      <rPr>
        <rFont val="Arial"/>
        <color theme="1"/>
        <sz val="10.0"/>
      </rPr>
      <t xml:space="preserve">[EPC] </t>
    </r>
    <r>
      <rPr>
        <rFont val="Arial"/>
        <b/>
        <color theme="1"/>
        <sz val="10.0"/>
      </rPr>
      <t xml:space="preserve">NITZ </t>
    </r>
    <r>
      <rPr>
        <rFont val="Arial"/>
        <color theme="1"/>
        <sz val="10.0"/>
      </rPr>
      <t>(Network Information on Time Zone and Network Name) is supported.
This includes some or all of the following information provided by the network:
- Full name for network 
- Short name for network
- Local time zone
- Universal time and local time zone
- Network daylight saving time</t>
    </r>
  </si>
  <si>
    <t>Do not suppot short name.</t>
  </si>
  <si>
    <t>MTR-37101</t>
  </si>
  <si>
    <r>
      <rPr>
        <rFont val="Arial"/>
        <color theme="1"/>
        <sz val="10.0"/>
      </rPr>
      <t xml:space="preserve">[5GC] </t>
    </r>
    <r>
      <rPr>
        <rFont val="Arial"/>
        <b/>
        <color theme="1"/>
        <sz val="10.0"/>
      </rPr>
      <t>NITZ information retrieval</t>
    </r>
    <r>
      <rPr>
        <rFont val="Arial"/>
        <color theme="1"/>
        <sz val="10.0"/>
      </rPr>
      <t xml:space="preserve"> is supported via </t>
    </r>
    <r>
      <rPr>
        <rFont val="Arial"/>
        <b/>
        <color theme="1"/>
        <sz val="10.0"/>
      </rPr>
      <t>5GC Configuration Update Command</t>
    </r>
    <r>
      <rPr>
        <rFont val="Arial"/>
        <color theme="1"/>
        <sz val="10.0"/>
      </rPr>
      <t>.
- Full name for network 
- Short name for network
- Local time zone
- Universal time and local time zone
- Network daylight saving time</t>
    </r>
  </si>
  <si>
    <t>The feature will be supported once SA is enabled for DT_DE.
Please discuss with Google TAM for feature enablement plans if the feature is deployed in live network.</t>
  </si>
  <si>
    <t>MTR-6487</t>
  </si>
  <si>
    <r>
      <rPr>
        <rFont val="Arial"/>
        <b/>
        <color theme="1"/>
        <sz val="10.0"/>
      </rPr>
      <t>2.6.1.4</t>
    </r>
    <r>
      <rPr>
        <rFont val="Arial"/>
        <b val="0"/>
        <color theme="1"/>
        <sz val="10.0"/>
      </rPr>
      <t xml:space="preserve"> </t>
    </r>
    <r>
      <rPr>
        <rFont val="Arial"/>
        <b/>
        <color theme="1"/>
        <sz val="10.0"/>
      </rPr>
      <t>Network Sharing</t>
    </r>
  </si>
  <si>
    <t>MTR-37170</t>
  </si>
  <si>
    <r>
      <rPr>
        <rFont val="Arial"/>
        <b/>
        <color theme="1"/>
        <sz val="10.0"/>
      </rPr>
      <t>2.6.1.5</t>
    </r>
    <r>
      <rPr>
        <rFont val="Arial"/>
        <b val="0"/>
        <color theme="1"/>
        <sz val="10.0"/>
      </rPr>
      <t xml:space="preserve"> </t>
    </r>
    <r>
      <rPr>
        <rFont val="Arial"/>
        <b/>
        <color theme="1"/>
        <sz val="10.0"/>
      </rPr>
      <t>Unified Access Control (UAC) [5GC]</t>
    </r>
  </si>
  <si>
    <t>MTR-37171</t>
  </si>
  <si>
    <r>
      <rPr>
        <rFont val="Arial"/>
        <b/>
        <color theme="1"/>
        <sz val="10.0"/>
      </rPr>
      <t xml:space="preserve">Unified Access Control (UAC) </t>
    </r>
    <r>
      <rPr>
        <rFont val="Arial"/>
        <b val="0"/>
        <color theme="1"/>
        <sz val="10.0"/>
      </rPr>
      <t>is supported.</t>
    </r>
  </si>
  <si>
    <t>5G SA disabled.To be discussed when SA enabled</t>
  </si>
  <si>
    <t>MTR-36747</t>
  </si>
  <si>
    <r>
      <rPr>
        <rFont val="Arial"/>
        <b/>
        <color theme="1"/>
        <sz val="10.0"/>
      </rPr>
      <t>2.6.2</t>
    </r>
    <r>
      <rPr>
        <rFont val="Arial"/>
        <b val="0"/>
        <color theme="1"/>
        <sz val="10.0"/>
      </rPr>
      <t xml:space="preserve"> </t>
    </r>
    <r>
      <rPr>
        <rFont val="Arial"/>
        <b/>
        <color theme="1"/>
        <sz val="10.0"/>
      </rPr>
      <t>Mobility Management</t>
    </r>
  </si>
  <si>
    <t>MTR-37097</t>
  </si>
  <si>
    <r>
      <rPr>
        <rFont val="Arial"/>
        <b/>
        <color theme="1"/>
        <sz val="10.0"/>
      </rPr>
      <t>2.6.2.1</t>
    </r>
    <r>
      <rPr>
        <rFont val="Arial"/>
        <b val="0"/>
        <color theme="1"/>
        <sz val="10.0"/>
      </rPr>
      <t xml:space="preserve"> </t>
    </r>
    <r>
      <rPr>
        <rFont val="Arial"/>
        <b/>
        <color theme="1"/>
        <sz val="10.0"/>
      </rPr>
      <t>EPC Mobility Management</t>
    </r>
  </si>
  <si>
    <t>MTR-30261</t>
  </si>
  <si>
    <r>
      <rPr>
        <rFont val="Arial"/>
        <color theme="1"/>
        <sz val="10.0"/>
      </rPr>
      <t xml:space="preserve">[EPC] The mobility management </t>
    </r>
    <r>
      <rPr>
        <rFont val="Arial"/>
        <b/>
        <color theme="1"/>
        <sz val="10.0"/>
      </rPr>
      <t>back-off timers</t>
    </r>
    <r>
      <rPr>
        <rFont val="Arial"/>
        <color theme="1"/>
        <sz val="10.0"/>
      </rPr>
      <t xml:space="preserve"> (T3246, T3346) are supported if received with rejection cause #22 (Congestion) in an integrity protected reject message. The value is chosen randomly if the rejection message is not integrity protected (see Rel-10 TS 24.008, 24.301).</t>
    </r>
  </si>
  <si>
    <t>MTR-32592</t>
  </si>
  <si>
    <r>
      <rPr>
        <rFont val="Arial"/>
        <color theme="1"/>
        <sz val="10.0"/>
      </rPr>
      <t xml:space="preserve">[EPC] </t>
    </r>
    <r>
      <rPr>
        <rFont val="Arial"/>
        <b/>
        <color theme="1"/>
        <sz val="10.0"/>
      </rPr>
      <t>E-UTRA Disabling for EMM cause #15</t>
    </r>
    <r>
      <rPr>
        <rFont val="Arial"/>
        <color theme="1"/>
        <sz val="10.0"/>
      </rPr>
      <t xml:space="preserve">
is supported as specified in 3GPP TS 24.301.
This NAS feature is enabled if "E-UTRA Disabling Allowed for EMM cause #15" parameter is present as specified in 3GPP TS 24.368 or 3GPP TS 31.102.</t>
    </r>
  </si>
  <si>
    <t>MTR-30260</t>
  </si>
  <si>
    <r>
      <rPr>
        <rFont val="Arial"/>
        <color theme="1"/>
        <sz val="10.0"/>
      </rPr>
      <t>[EPC] [Rel. 10] The</t>
    </r>
    <r>
      <rPr>
        <rFont val="Arial"/>
        <b/>
        <color theme="1"/>
        <sz val="10.0"/>
      </rPr>
      <t xml:space="preserve"> Extended Periodic Timer</t>
    </r>
    <r>
      <rPr>
        <rFont val="Arial"/>
        <color theme="1"/>
        <sz val="10.0"/>
      </rPr>
      <t xml:space="preserve"> (i.e. extended value for timers T3212 for MM messages, T3312 for GMM messages, and T3412 for EMM messages - if applicable) are supported and indicated in Rel. 10 IE "MS network feature support".</t>
    </r>
  </si>
  <si>
    <t>MTR-37096</t>
  </si>
  <si>
    <r>
      <rPr>
        <rFont val="Arial"/>
        <b/>
        <color theme="1"/>
        <sz val="10.0"/>
      </rPr>
      <t>2.6.2.2</t>
    </r>
    <r>
      <rPr>
        <rFont val="Arial"/>
        <b val="0"/>
        <color theme="1"/>
        <sz val="10.0"/>
      </rPr>
      <t xml:space="preserve"> </t>
    </r>
    <r>
      <rPr>
        <rFont val="Arial"/>
        <b/>
        <color theme="1"/>
        <sz val="10.0"/>
      </rPr>
      <t>5GC Mobility Management</t>
    </r>
  </si>
  <si>
    <t>MTR-33644</t>
  </si>
  <si>
    <r>
      <rPr>
        <rFont val="Arial"/>
        <color theme="1"/>
        <sz val="10.0"/>
      </rPr>
      <t xml:space="preserve">[5GC] </t>
    </r>
    <r>
      <rPr>
        <rFont val="Arial"/>
        <b/>
        <color theme="1"/>
        <sz val="10.0"/>
      </rPr>
      <t>N1 mode</t>
    </r>
    <r>
      <rPr>
        <rFont val="Arial"/>
        <color theme="1"/>
        <sz val="10.0"/>
      </rPr>
      <t xml:space="preserve">
is supported and indicated with IE "N1 mode supported" in the UE network capability IE of the [ATTACH REQUEST] message.</t>
    </r>
  </si>
  <si>
    <t>MTR-37188</t>
  </si>
  <si>
    <r>
      <rPr>
        <rFont val="Arial"/>
        <color theme="1"/>
        <sz val="10.0"/>
      </rPr>
      <t xml:space="preserve">[5GC] </t>
    </r>
    <r>
      <rPr>
        <rFont val="Arial"/>
        <b/>
        <color theme="1"/>
        <sz val="10.0"/>
      </rPr>
      <t>Single registration with N26</t>
    </r>
    <r>
      <rPr>
        <rFont val="Arial"/>
        <color theme="1"/>
        <sz val="10.0"/>
      </rPr>
      <t xml:space="preserve"> is supported.
This includes PDU session handling for this case.</t>
    </r>
  </si>
  <si>
    <t>MTR-37189</t>
  </si>
  <si>
    <r>
      <rPr>
        <rFont val="Arial"/>
        <color theme="1"/>
        <sz val="10.0"/>
      </rPr>
      <t xml:space="preserve">[5GC] </t>
    </r>
    <r>
      <rPr>
        <rFont val="Arial"/>
        <b/>
        <color theme="1"/>
        <sz val="10.0"/>
      </rPr>
      <t>Single registration without N26</t>
    </r>
    <r>
      <rPr>
        <rFont val="Arial"/>
        <color theme="1"/>
        <sz val="10.0"/>
      </rPr>
      <t xml:space="preserve"> is supported.
This includes PDU session handling for this case.</t>
    </r>
  </si>
  <si>
    <t>MTR-37190</t>
  </si>
  <si>
    <r>
      <rPr>
        <rFont val="Arial"/>
        <color theme="1"/>
        <sz val="10.0"/>
      </rPr>
      <t xml:space="preserve">[5GC] </t>
    </r>
    <r>
      <rPr>
        <rFont val="Arial"/>
        <b/>
        <color theme="1"/>
        <sz val="10.0"/>
      </rPr>
      <t>Dual registration</t>
    </r>
    <r>
      <rPr>
        <rFont val="Arial"/>
        <color theme="1"/>
        <sz val="10.0"/>
      </rPr>
      <t xml:space="preserve"> is supported.
This includes PDU session handling for this case.</t>
    </r>
  </si>
  <si>
    <t>Chipset limitation</t>
  </si>
  <si>
    <t>MTR-39445</t>
  </si>
  <si>
    <t>[EPC] [5GC] During iRAT Mobility from 5GS to EPS, the UE shall ensure that a connection to the LTE attach APN is established, independent from the actual UE Data-Off status.
If this APN is not actively transferred from the 5GS it should be set up from scratch on the EPS.</t>
  </si>
  <si>
    <t>MTR-36748</t>
  </si>
  <si>
    <r>
      <rPr>
        <rFont val="Arial"/>
        <b/>
        <color theme="1"/>
        <sz val="10.0"/>
      </rPr>
      <t>2.6.3</t>
    </r>
    <r>
      <rPr>
        <rFont val="Arial"/>
        <b val="0"/>
        <color theme="1"/>
        <sz val="10.0"/>
      </rPr>
      <t xml:space="preserve"> </t>
    </r>
    <r>
      <rPr>
        <rFont val="Arial"/>
        <b/>
        <color theme="1"/>
        <sz val="10.0"/>
      </rPr>
      <t>Session Management</t>
    </r>
  </si>
  <si>
    <t>MTR-37175</t>
  </si>
  <si>
    <r>
      <rPr>
        <rFont val="Arial"/>
        <b/>
        <color theme="1"/>
        <sz val="10.0"/>
      </rPr>
      <t>2.6.3.1</t>
    </r>
    <r>
      <rPr>
        <rFont val="Arial"/>
        <b val="0"/>
        <color theme="1"/>
        <sz val="10.0"/>
      </rPr>
      <t xml:space="preserve"> </t>
    </r>
    <r>
      <rPr>
        <rFont val="Arial"/>
        <b/>
        <color theme="1"/>
        <sz val="10.0"/>
      </rPr>
      <t>Session Management Parameters / Quantities</t>
    </r>
  </si>
  <si>
    <t>MTR-898</t>
  </si>
  <si>
    <r>
      <rPr>
        <rFont val="Arial"/>
        <color theme="1"/>
        <sz val="10.0"/>
      </rPr>
      <t xml:space="preserve">[EPC] At least two </t>
    </r>
    <r>
      <rPr>
        <rFont val="Arial"/>
        <b/>
        <color theme="1"/>
        <sz val="10.0"/>
      </rPr>
      <t>Primary PDP contexts</t>
    </r>
    <r>
      <rPr>
        <rFont val="Arial"/>
        <color theme="1"/>
        <sz val="10.0"/>
      </rPr>
      <t xml:space="preserve"> can be established.
Please note the number of supported Primary PDP contexts under "Comments Vendor"!</t>
    </r>
  </si>
  <si>
    <t>Protocols can support at least two Primary PDP contexts.</t>
  </si>
  <si>
    <t>MTR-37252</t>
  </si>
  <si>
    <r>
      <rPr>
        <rFont val="Arial"/>
        <color theme="1"/>
        <sz val="10.0"/>
      </rPr>
      <t xml:space="preserve">[EPC] </t>
    </r>
    <r>
      <rPr>
        <rFont val="Arial"/>
        <b/>
        <color theme="1"/>
        <sz val="10.0"/>
      </rPr>
      <t xml:space="preserve">A maximum number of 8 EPS bearer contexts </t>
    </r>
    <r>
      <rPr>
        <rFont val="Arial"/>
        <color theme="1"/>
        <sz val="10.0"/>
      </rPr>
      <t>is supported</t>
    </r>
  </si>
  <si>
    <t>MTR-33647</t>
  </si>
  <si>
    <r>
      <rPr>
        <rFont val="Arial"/>
        <color theme="1"/>
        <sz val="10.0"/>
      </rPr>
      <t xml:space="preserve">[EPC] </t>
    </r>
    <r>
      <rPr>
        <rFont val="Arial"/>
        <b/>
        <color theme="1"/>
        <sz val="10.0"/>
      </rPr>
      <t xml:space="preserve">A maximum number of 15 EPS bearer contexts (15 bearers) </t>
    </r>
    <r>
      <rPr>
        <rFont val="Arial"/>
        <color theme="1"/>
        <sz val="10.0"/>
      </rPr>
      <t xml:space="preserve">
is supported and indicated with IE "15 bearers" in UE network capability and in EPS network feature support.
Support expected by UEs supporting 5G SA.
</t>
    </r>
    <r>
      <rPr>
        <rFont val="Arial"/>
        <b/>
        <color theme="1"/>
        <sz val="10.0"/>
      </rPr>
      <t>Please note:</t>
    </r>
    <r>
      <rPr>
        <rFont val="Arial"/>
        <color theme="1"/>
        <sz val="10.0"/>
      </rPr>
      <t xml:space="preserve"> EPS bearer identity 1 to 4 will be deactivated locally before inter-system change to A/Gb mode or Iu mode.</t>
    </r>
  </si>
  <si>
    <t>11 EPS bearer contexts is supported</t>
  </si>
  <si>
    <t>MTR-37176</t>
  </si>
  <si>
    <r>
      <rPr>
        <rFont val="Arial"/>
        <color theme="1"/>
        <sz val="10.0"/>
      </rPr>
      <t xml:space="preserve">[5GC] The device supports up to </t>
    </r>
    <r>
      <rPr>
        <rFont val="Arial"/>
        <b/>
        <color theme="1"/>
        <sz val="10.0"/>
      </rPr>
      <t>15 of parallel PDU sessions</t>
    </r>
    <r>
      <rPr>
        <rFont val="Arial"/>
        <color theme="1"/>
        <sz val="10.0"/>
      </rPr>
      <t>.
If the device is not compliant please note under Comments Vendor the maximum number of supported parallel PDU sessions.</t>
    </r>
  </si>
  <si>
    <t>MTR-37092</t>
  </si>
  <si>
    <r>
      <rPr>
        <rFont val="Arial"/>
        <b/>
        <color theme="1"/>
        <sz val="10.0"/>
      </rPr>
      <t>2.6.3.2</t>
    </r>
    <r>
      <rPr>
        <rFont val="Arial"/>
        <b val="0"/>
        <color theme="1"/>
        <sz val="10.0"/>
      </rPr>
      <t xml:space="preserve"> </t>
    </r>
    <r>
      <rPr>
        <rFont val="Arial"/>
        <b/>
        <color theme="1"/>
        <sz val="10.0"/>
      </rPr>
      <t>5GC Session Management</t>
    </r>
  </si>
  <si>
    <t>MTR-37093</t>
  </si>
  <si>
    <r>
      <rPr>
        <rFont val="Arial"/>
        <color theme="1"/>
        <sz val="10.0"/>
      </rPr>
      <t>[5GC]</t>
    </r>
    <r>
      <rPr>
        <rFont val="Arial"/>
        <b/>
        <color theme="1"/>
        <sz val="10.0"/>
      </rPr>
      <t xml:space="preserve"> SSC Mode 1</t>
    </r>
    <r>
      <rPr>
        <rFont val="Arial"/>
        <color theme="1"/>
        <sz val="10.0"/>
      </rPr>
      <t xml:space="preserve"> is supported</t>
    </r>
  </si>
  <si>
    <t>MTR-37098</t>
  </si>
  <si>
    <r>
      <rPr>
        <rFont val="Arial"/>
        <color theme="1"/>
        <sz val="10.0"/>
      </rPr>
      <t xml:space="preserve">[5GC] The UE supports requesting </t>
    </r>
    <r>
      <rPr>
        <rFont val="Arial"/>
        <b/>
        <color theme="1"/>
        <sz val="10.0"/>
      </rPr>
      <t>Always-on PDU</t>
    </r>
    <r>
      <rPr>
        <rFont val="Arial"/>
        <color theme="1"/>
        <sz val="10.0"/>
      </rPr>
      <t xml:space="preserve"> sessions.
This shall be configurable in the device per DNN.
Demand for Always-ON support for DT specific services might be defined in [TISD] (default = off).</t>
    </r>
  </si>
  <si>
    <t>MTR-37123</t>
  </si>
  <si>
    <r>
      <rPr>
        <rFont val="Arial"/>
        <color theme="1"/>
        <sz val="10.0"/>
      </rPr>
      <t xml:space="preserve">[5GC] The UE supports </t>
    </r>
    <r>
      <rPr>
        <rFont val="Arial"/>
        <b/>
        <color theme="1"/>
        <sz val="10.0"/>
      </rPr>
      <t>Reflective QoS</t>
    </r>
    <r>
      <rPr>
        <rFont val="Arial"/>
        <color theme="1"/>
        <sz val="10.0"/>
      </rPr>
      <t xml:space="preserve"> handling</t>
    </r>
  </si>
  <si>
    <t>MTR-37179</t>
  </si>
  <si>
    <r>
      <rPr>
        <rFont val="Arial"/>
        <color theme="1"/>
        <sz val="10.0"/>
      </rPr>
      <t>[5GC] The UE supports the "</t>
    </r>
    <r>
      <rPr>
        <rFont val="Arial"/>
        <b/>
        <color theme="1"/>
        <sz val="10.0"/>
      </rPr>
      <t>back-off timer</t>
    </r>
    <r>
      <rPr>
        <rFont val="Arial"/>
        <color theme="1"/>
        <sz val="10.0"/>
      </rPr>
      <t>" (T3396) for all procedures and reject causes where applicable
When the received back-off timer value is neither zero nor deactivated, the UE shall not try to activate a connection to the same data network before expiry of the timer as specified in TS 24.008/24.301/24.501</t>
    </r>
  </si>
  <si>
    <t>MTR-894</t>
  </si>
  <si>
    <r>
      <rPr>
        <rFont val="Arial"/>
        <b/>
        <color theme="1"/>
        <sz val="10.0"/>
      </rPr>
      <t>2.6.3.3</t>
    </r>
    <r>
      <rPr>
        <rFont val="Arial"/>
        <b val="0"/>
        <color theme="1"/>
        <sz val="10.0"/>
      </rPr>
      <t xml:space="preserve"> </t>
    </r>
    <r>
      <rPr>
        <rFont val="Arial"/>
        <b/>
        <color theme="1"/>
        <sz val="10.0"/>
      </rPr>
      <t>EPC Session Management</t>
    </r>
  </si>
  <si>
    <t>MTR-32587</t>
  </si>
  <si>
    <r>
      <rPr>
        <rFont val="Arial"/>
        <color theme="1"/>
        <sz val="10.0"/>
      </rPr>
      <t xml:space="preserve">[EPC] [Rel. 11] </t>
    </r>
    <r>
      <rPr>
        <rFont val="Arial"/>
        <b/>
        <color theme="1"/>
        <sz val="10.0"/>
      </rPr>
      <t xml:space="preserve">Extension of the Maximum bit rate for downlink </t>
    </r>
    <r>
      <rPr>
        <rFont val="Arial"/>
        <color theme="1"/>
        <sz val="10.0"/>
      </rPr>
      <t xml:space="preserve">
beyond 256 Mbps is supported. 
Depending on the octet 13 in IE "EPS quality of service" the Maximum bit rate for downlink is
</t>
    </r>
    <r>
      <rPr>
        <rFont val="Arial"/>
        <b/>
        <color theme="1"/>
        <sz val="10.0"/>
      </rPr>
      <t>1-61:</t>
    </r>
    <r>
      <rPr>
        <rFont val="Arial"/>
        <color theme="1"/>
        <sz val="10.0"/>
      </rPr>
      <t xml:space="preserve"> In the range of values from 260 Mbps to 500 Mbps in 4 Mbps increments.
</t>
    </r>
    <r>
      <rPr>
        <rFont val="Arial"/>
        <b/>
        <color theme="1"/>
        <sz val="10.0"/>
      </rPr>
      <t>62-161:</t>
    </r>
    <r>
      <rPr>
        <rFont val="Arial"/>
        <color theme="1"/>
        <sz val="10.0"/>
      </rPr>
      <t xml:space="preserve"> In the range of values from 510 Mbps to 1500 Mbps in 10 Mbps increments.
</t>
    </r>
    <r>
      <rPr>
        <rFont val="Arial"/>
        <b/>
        <color theme="1"/>
        <sz val="10.0"/>
      </rPr>
      <t xml:space="preserve">162-246: </t>
    </r>
    <r>
      <rPr>
        <rFont val="Arial"/>
        <color theme="1"/>
        <sz val="10.0"/>
      </rPr>
      <t>In the range of values from 1600 Mbps to 10 Gbps in 100 Mbps increments.</t>
    </r>
  </si>
  <si>
    <t>MTR-3766</t>
  </si>
  <si>
    <r>
      <rPr>
        <rFont val="Arial"/>
        <b/>
        <color theme="1"/>
        <sz val="10.0"/>
      </rPr>
      <t>MT Call cancellation Avoidance for DT Multi-SIM scenarios</t>
    </r>
    <r>
      <rPr>
        <rFont val="Arial"/>
        <b val="0"/>
        <color theme="1"/>
        <sz val="10.0"/>
      </rPr>
      <t xml:space="preserve">
</t>
    </r>
    <r>
      <rPr>
        <rFont val="Arial"/>
        <b/>
        <color theme="1"/>
        <sz val="10.0"/>
      </rPr>
      <t>Applicability: All devices without voice support, e.g. tablets w/o voice or data products!</t>
    </r>
    <r>
      <rPr>
        <rFont val="Arial"/>
        <b val="0"/>
        <color theme="1"/>
        <sz val="10.0"/>
      </rPr>
      <t xml:space="preserve">
A data only device (voice not supported) or a device where voice is partly disabled (e.g. the user sets a tablet into "silent mode") shall ignore signaling for incoming voice calls (MTCs) (neither accept/connect nor reject).
This is required to avoid potential call drops in DTAG Multi-SIM scenarios where a voice capable phone is used in parallel with a second Multi-SIM but is not respding fast enough to the incoming call.
</t>
    </r>
    <r>
      <rPr>
        <rFont val="Arial"/>
        <b/>
        <color theme="1"/>
        <sz val="10.0"/>
      </rPr>
      <t>If the device supports voice services then state "Not applicable".</t>
    </r>
  </si>
  <si>
    <t>not a data only device.</t>
  </si>
  <si>
    <t>MTR-30421</t>
  </si>
  <si>
    <r>
      <rPr>
        <rFont val="Arial"/>
        <color theme="1"/>
        <sz val="10.0"/>
      </rPr>
      <t>[EPC] [Rel. 10] The UE supports the SM "</t>
    </r>
    <r>
      <rPr>
        <rFont val="Arial"/>
        <b/>
        <color theme="1"/>
        <sz val="10.0"/>
      </rPr>
      <t>Back-off timer</t>
    </r>
    <r>
      <rPr>
        <rFont val="Arial"/>
        <color theme="1"/>
        <sz val="10.0"/>
      </rPr>
      <t>" (T3396) for all procedures and reject causes where applicable.
When the received back-off timer value is neither zero nor deactivated, the UE shall not try to activate a connection to the same data network as specified in TS 24.008/TS 24.301.</t>
    </r>
  </si>
  <si>
    <t>PMW-MCE-NAS</t>
  </si>
  <si>
    <t>MTR-34687</t>
  </si>
  <si>
    <r>
      <rPr>
        <rFont val="Arial"/>
        <color theme="1"/>
        <sz val="10.0"/>
      </rPr>
      <t xml:space="preserve">[EPC] [5GC] [Rel. 14] </t>
    </r>
    <r>
      <rPr>
        <rFont val="Arial"/>
        <b/>
        <color theme="1"/>
        <sz val="10.0"/>
      </rPr>
      <t>3GPP PS data off</t>
    </r>
    <r>
      <rPr>
        <rFont val="Arial"/>
        <color theme="1"/>
        <sz val="10.0"/>
      </rPr>
      <t xml:space="preserve"> is supported.
With this Rel. 14 NAS functionality the device provides the 3GPP PS data off UE status depending on the activation/deactivation of 3GPP PS data off by the user to a PGW supporting 3GPP PS data off. Once 3GPP PS data off is activated the device shall only use PS services belonging to the 3GPP PS Data off Exempt Services.</t>
    </r>
  </si>
  <si>
    <t>MTR-40181</t>
  </si>
  <si>
    <t>[EPC] [5GC] When the UE supporting N1 mode initiates  a PDN Connectivity Request and the request type is "initial request" or "emergency", the UE shall generate a PDU session ID, associate the PDU session ID with the PDN connection that is being established, and include the PDU session ID in the protocol configuration options IE or the extended protocol configuration options IE. (see 3GPP TS 24.301 Rel 16 section 6.5.1.2)</t>
  </si>
  <si>
    <t>VoLTE, Vo5G</t>
  </si>
  <si>
    <t>5G SA default disabled. Reach out to TAM for feature enablement once SA is enabled.</t>
  </si>
  <si>
    <t>MTR-40182</t>
  </si>
  <si>
    <t>[EPC] [5GC] If the UE supporting N1 mode supports receiving QoS rules with the length of two octets or QoS flow descriptions with the length of two octets via the extended protocol configuration options IE, the UE shall include the QoS rules with the length of two octets support indicator or the QoS flow descriptions with the length of two octets support indicator, respectively, in the protocol configuration options IE or the extended protocol configuration options IE of the PDN Connectivity Request. (see 3GPP TS 24.301 Rel 16 section 6.5.1.2)</t>
  </si>
  <si>
    <t>MTR-868</t>
  </si>
  <si>
    <r>
      <rPr>
        <rFont val="Arial"/>
        <b/>
        <color theme="1"/>
        <sz val="10.0"/>
      </rPr>
      <t>2.6.4</t>
    </r>
    <r>
      <rPr>
        <rFont val="Arial"/>
        <b val="0"/>
        <color theme="1"/>
        <sz val="10.0"/>
      </rPr>
      <t xml:space="preserve"> </t>
    </r>
    <r>
      <rPr>
        <rFont val="Arial"/>
        <b/>
        <color theme="1"/>
        <sz val="10.0"/>
      </rPr>
      <t>Network Access Security</t>
    </r>
  </si>
  <si>
    <t>MTR-29812</t>
  </si>
  <si>
    <r>
      <rPr>
        <rFont val="Arial"/>
        <color theme="1"/>
        <sz val="10.0"/>
      </rPr>
      <t xml:space="preserve">A </t>
    </r>
    <r>
      <rPr>
        <rFont val="Arial"/>
        <b/>
        <color theme="1"/>
        <sz val="10.0"/>
      </rPr>
      <t>no-ciphering indicator</t>
    </r>
    <r>
      <rPr>
        <rFont val="Arial"/>
        <color theme="1"/>
        <sz val="10.0"/>
      </rPr>
      <t xml:space="preserve"> for 2G is supported.
If an unciphered CS or PS connection in 2G or 3G is established to the network the UE shall indicate this to the user in a textual or graphical way according to section 14 of 3GPP TS22.101 (Ver. 8.11 or newer).</t>
    </r>
  </si>
  <si>
    <t>MTR-885</t>
  </si>
  <si>
    <r>
      <rPr>
        <rFont val="Arial"/>
        <b/>
        <color theme="1"/>
        <sz val="10.0"/>
      </rPr>
      <t>2.6.4.1</t>
    </r>
    <r>
      <rPr>
        <rFont val="Arial"/>
        <b val="0"/>
        <color theme="1"/>
        <sz val="10.0"/>
      </rPr>
      <t xml:space="preserve"> </t>
    </r>
    <r>
      <rPr>
        <rFont val="Arial"/>
        <b/>
        <color theme="1"/>
        <sz val="10.0"/>
      </rPr>
      <t>IMEI security</t>
    </r>
  </si>
  <si>
    <t>MTR-887</t>
  </si>
  <si>
    <t>The IMEI must be secure within the device so that stolen devices can be blacklisted, see Appendix AJ "Security Principles Related to Handset Theft 3.0.0".</t>
  </si>
  <si>
    <t>MTR-870</t>
  </si>
  <si>
    <r>
      <rPr>
        <rFont val="Arial"/>
        <b/>
        <color theme="1"/>
        <sz val="10.0"/>
      </rPr>
      <t>2.6.4.2</t>
    </r>
    <r>
      <rPr>
        <rFont val="Arial"/>
        <b val="0"/>
        <color theme="1"/>
        <sz val="10.0"/>
      </rPr>
      <t xml:space="preserve"> </t>
    </r>
    <r>
      <rPr>
        <rFont val="Arial"/>
        <b/>
        <color theme="1"/>
        <sz val="10.0"/>
      </rPr>
      <t>GERAN related security</t>
    </r>
  </si>
  <si>
    <t>MTR-872</t>
  </si>
  <si>
    <r>
      <rPr>
        <rFont val="Arial"/>
        <b/>
        <color theme="1"/>
        <sz val="10.0"/>
      </rPr>
      <t>A5/1</t>
    </r>
    <r>
      <rPr>
        <rFont val="Arial"/>
        <b val="0"/>
        <color theme="1"/>
        <sz val="10.0"/>
      </rPr>
      <t xml:space="preserve"> GSM encryption algorithm is supported.</t>
    </r>
  </si>
  <si>
    <t>MTR-873</t>
  </si>
  <si>
    <r>
      <rPr>
        <rFont val="Arial"/>
        <b/>
        <color theme="1"/>
        <sz val="10.0"/>
      </rPr>
      <t>A5/2</t>
    </r>
    <r>
      <rPr>
        <rFont val="Arial"/>
        <b val="0"/>
        <color theme="1"/>
        <sz val="10.0"/>
      </rPr>
      <t xml:space="preserve"> GSM encryption algorithm is </t>
    </r>
    <r>
      <rPr>
        <rFont val="Arial"/>
        <b/>
        <color theme="1"/>
        <sz val="10.0"/>
      </rPr>
      <t xml:space="preserve">NOT </t>
    </r>
    <r>
      <rPr>
        <rFont val="Arial"/>
        <b val="0"/>
        <color theme="1"/>
        <sz val="10.0"/>
      </rPr>
      <t xml:space="preserve">supported!
In accordance with the GSMA security requirements the device </t>
    </r>
    <r>
      <rPr>
        <rFont val="Arial"/>
        <b/>
        <color theme="1"/>
        <sz val="10.0"/>
      </rPr>
      <t>does not support GSM Encryption algorithm A5/2</t>
    </r>
    <r>
      <rPr>
        <rFont val="Arial"/>
        <b val="0"/>
        <color theme="1"/>
        <sz val="10.0"/>
      </rPr>
      <t>!</t>
    </r>
  </si>
  <si>
    <t>MTR-874</t>
  </si>
  <si>
    <t>2006 V1</t>
  </si>
  <si>
    <r>
      <rPr>
        <rFont val="Arial"/>
        <b/>
        <color theme="1"/>
        <sz val="10.0"/>
      </rPr>
      <t xml:space="preserve">A5/3 </t>
    </r>
    <r>
      <rPr>
        <rFont val="Arial"/>
        <b val="0"/>
        <color theme="1"/>
        <sz val="10.0"/>
      </rPr>
      <t>GSM encryption algorithm</t>
    </r>
    <r>
      <rPr>
        <rFont val="Arial"/>
        <b/>
        <color theme="1"/>
        <sz val="10.0"/>
      </rPr>
      <t xml:space="preserve"> </t>
    </r>
    <r>
      <rPr>
        <rFont val="Arial"/>
        <b val="0"/>
        <color theme="1"/>
        <sz val="10.0"/>
      </rPr>
      <t>is supported.</t>
    </r>
  </si>
  <si>
    <t>MTR-28868</t>
  </si>
  <si>
    <r>
      <rPr>
        <rFont val="Arial"/>
        <b/>
        <color theme="1"/>
        <sz val="10.0"/>
      </rPr>
      <t>A5/4</t>
    </r>
    <r>
      <rPr>
        <rFont val="Arial"/>
        <b val="0"/>
        <color theme="1"/>
        <sz val="10.0"/>
      </rPr>
      <t xml:space="preserve"> GSM encryption algorithm is supported.</t>
    </r>
  </si>
  <si>
    <t>MTR-9028</t>
  </si>
  <si>
    <r>
      <rPr>
        <rFont val="Arial"/>
        <b/>
        <color theme="1"/>
        <sz val="10.0"/>
      </rPr>
      <t>GERAN L2 Uplink fill bit / fill frame randomization</t>
    </r>
    <r>
      <rPr>
        <rFont val="Arial"/>
        <b val="0"/>
        <color theme="1"/>
        <sz val="10.0"/>
      </rPr>
      <t xml:space="preserve"> is supported.
The device supports sending of random L2 fill bits and fill frames.
</t>
    </r>
    <r>
      <rPr>
        <rFont val="Arial"/>
        <b/>
        <color theme="1"/>
        <sz val="10.0"/>
      </rPr>
      <t>Showstopper if not supported!</t>
    </r>
  </si>
  <si>
    <t>MTR-32879</t>
  </si>
  <si>
    <r>
      <rPr>
        <rFont val="Arial"/>
        <b/>
        <color theme="1"/>
        <sz val="10.0"/>
      </rPr>
      <t>GEA1</t>
    </r>
    <r>
      <rPr>
        <rFont val="Arial"/>
        <b val="0"/>
        <color theme="1"/>
        <sz val="10.0"/>
      </rPr>
      <t xml:space="preserve"> GPRS encryption algorithm is </t>
    </r>
    <r>
      <rPr>
        <rFont val="Arial"/>
        <b/>
        <color theme="1"/>
        <sz val="10.0"/>
      </rPr>
      <t xml:space="preserve">NOT </t>
    </r>
    <r>
      <rPr>
        <rFont val="Arial"/>
        <b val="0"/>
        <color theme="1"/>
        <sz val="10.0"/>
      </rPr>
      <t xml:space="preserve">supported!
In accordance with the GSMA security requirements the device </t>
    </r>
    <r>
      <rPr>
        <rFont val="Arial"/>
        <b/>
        <color theme="1"/>
        <sz val="10.0"/>
      </rPr>
      <t>does not support GPRS encryption algorithm GEA1</t>
    </r>
    <r>
      <rPr>
        <rFont val="Arial"/>
        <b val="0"/>
        <color theme="1"/>
        <sz val="10.0"/>
      </rPr>
      <t>.</t>
    </r>
  </si>
  <si>
    <t>MTR-876</t>
  </si>
  <si>
    <r>
      <rPr>
        <rFont val="Arial"/>
        <b/>
        <color theme="1"/>
        <sz val="10.0"/>
      </rPr>
      <t>GEA2</t>
    </r>
    <r>
      <rPr>
        <rFont val="Arial"/>
        <b val="0"/>
        <color theme="1"/>
        <sz val="10.0"/>
      </rPr>
      <t xml:space="preserve"> GPRS encryption algorithm is </t>
    </r>
    <r>
      <rPr>
        <rFont val="Arial"/>
        <b/>
        <color theme="1"/>
        <sz val="10.0"/>
      </rPr>
      <t xml:space="preserve">NOT </t>
    </r>
    <r>
      <rPr>
        <rFont val="Arial"/>
        <b val="0"/>
        <color theme="1"/>
        <sz val="10.0"/>
      </rPr>
      <t xml:space="preserve">supported!
In accordance with the GSMA security requirements the device </t>
    </r>
    <r>
      <rPr>
        <rFont val="Arial"/>
        <b/>
        <color theme="1"/>
        <sz val="10.0"/>
      </rPr>
      <t>does not support GPRS encryption algorithm GEA2</t>
    </r>
    <r>
      <rPr>
        <rFont val="Arial"/>
        <b val="0"/>
        <color theme="1"/>
        <sz val="10.0"/>
      </rPr>
      <t>.
Note: For devices that have a GERAN protocol stack Rel. 16 or higher implemented, 3GPP TS43.020 also mandates since September 2021 to deactivate GEA2 by default! For earlier release implementations this is 3GPP optional but explicitely requested by DT!</t>
    </r>
  </si>
  <si>
    <t>MTR-877</t>
  </si>
  <si>
    <t>2008 V2</t>
  </si>
  <si>
    <r>
      <rPr>
        <rFont val="Arial"/>
        <b/>
        <color theme="1"/>
        <sz val="10.0"/>
      </rPr>
      <t>GEA3</t>
    </r>
    <r>
      <rPr>
        <rFont val="Arial"/>
        <b val="0"/>
        <color theme="1"/>
        <sz val="10.0"/>
      </rPr>
      <t xml:space="preserve"> GPRS encryption algorithm is supported.</t>
    </r>
  </si>
  <si>
    <t>MTR-28086</t>
  </si>
  <si>
    <r>
      <rPr>
        <rFont val="Arial"/>
        <b/>
        <color theme="1"/>
        <sz val="10.0"/>
      </rPr>
      <t>GEA4</t>
    </r>
    <r>
      <rPr>
        <rFont val="Arial"/>
        <b val="0"/>
        <color theme="1"/>
        <sz val="10.0"/>
      </rPr>
      <t xml:space="preserve"> GPRS encryption algorithm is supported and enabled or disabled as defined in [TISD] (default=disabled).
Respond </t>
    </r>
    <r>
      <rPr>
        <rFont val="Arial"/>
        <b/>
        <color theme="1"/>
        <sz val="10.0"/>
      </rPr>
      <t xml:space="preserve">"Not Applicable" </t>
    </r>
    <r>
      <rPr>
        <rFont val="Arial"/>
        <b val="0"/>
        <color theme="1"/>
        <sz val="10.0"/>
      </rPr>
      <t>when feature not supported!</t>
    </r>
  </si>
  <si>
    <t>MTR-35254</t>
  </si>
  <si>
    <r>
      <rPr>
        <rFont val="Arial"/>
        <b/>
        <color theme="1"/>
        <sz val="10.0"/>
      </rPr>
      <t>2.6.4.3</t>
    </r>
    <r>
      <rPr>
        <rFont val="Arial"/>
        <b val="0"/>
        <color theme="1"/>
        <sz val="10.0"/>
      </rPr>
      <t xml:space="preserve"> </t>
    </r>
    <r>
      <rPr>
        <rFont val="Arial"/>
        <b/>
        <color theme="1"/>
        <sz val="10.0"/>
      </rPr>
      <t>LTE/SAE security</t>
    </r>
  </si>
  <si>
    <t>MTR-38941</t>
  </si>
  <si>
    <r>
      <rPr>
        <rFont val="Arial"/>
        <b/>
        <color theme="1"/>
        <sz val="10.0"/>
      </rPr>
      <t xml:space="preserve">128-EIA0/128-EEA0 </t>
    </r>
    <r>
      <rPr>
        <rFont val="Arial"/>
        <b val="0"/>
        <color theme="1"/>
        <sz val="10.0"/>
      </rPr>
      <t>E-UTRAN integrity and ciphering algorithms are supported for unauthenticated emergency calls in Limited Service Mode (LSM) as defined in 3GPP TS33.401 and TS23.401.
Note: Even support for EIA0/EEA0 might not be present in the signaling of the "UE security capability" it has to be supported for use case of unauthenticated emergency calls.</t>
    </r>
  </si>
  <si>
    <t>EIA0/EEA0 support</t>
  </si>
  <si>
    <t>MTR-27348</t>
  </si>
  <si>
    <r>
      <rPr>
        <rFont val="Arial"/>
        <b/>
        <color theme="1"/>
        <sz val="10.0"/>
      </rPr>
      <t xml:space="preserve">128-EIA1/128-EEA1 </t>
    </r>
    <r>
      <rPr>
        <rFont val="Arial"/>
        <b val="0"/>
        <color theme="1"/>
        <sz val="10.0"/>
      </rPr>
      <t>E-UTRAN integrity and ciphering algorithms are supported and indicated in the IE "UE security capability".</t>
    </r>
  </si>
  <si>
    <t>MTR-27349</t>
  </si>
  <si>
    <r>
      <rPr>
        <rFont val="Arial"/>
        <b/>
        <color theme="1"/>
        <sz val="10.0"/>
      </rPr>
      <t xml:space="preserve">128-EIA2/128-EEA2 </t>
    </r>
    <r>
      <rPr>
        <rFont val="Arial"/>
        <b val="0"/>
        <color theme="1"/>
        <sz val="10.0"/>
      </rPr>
      <t>E-UTRAN integrity and ciphering algorithms are supported and indicated in the IE "UE security capability".</t>
    </r>
  </si>
  <si>
    <t>MTR-30680</t>
  </si>
  <si>
    <r>
      <rPr>
        <rFont val="Arial"/>
        <b/>
        <color theme="1"/>
        <sz val="10.0"/>
      </rPr>
      <t xml:space="preserve">128-EIA3/128-EEA3 </t>
    </r>
    <r>
      <rPr>
        <rFont val="Arial"/>
        <b val="0"/>
        <color theme="1"/>
        <sz val="10.0"/>
      </rPr>
      <t>E-UTRAN integrity and ciphering algorithms are supported and indicated in the IE "UE security capability".</t>
    </r>
  </si>
  <si>
    <t>MTR-39939</t>
  </si>
  <si>
    <r>
      <rPr>
        <rFont val="Arial"/>
        <b/>
        <color theme="1"/>
        <sz val="10.0"/>
      </rPr>
      <t>[Rel. 14] Unsecured redirection from LTE to GERAN is not allowed</t>
    </r>
    <r>
      <rPr>
        <rFont val="Arial"/>
        <b val="0"/>
        <color theme="1"/>
        <sz val="10.0"/>
      </rPr>
      <t xml:space="preserve">
If provided with IE "Network policy" an unsecured redirection to GERAN for the current PLMN is not performed.</t>
    </r>
  </si>
  <si>
    <t>MTR-35256</t>
  </si>
  <si>
    <r>
      <rPr>
        <rFont val="Arial"/>
        <b/>
        <color theme="1"/>
        <sz val="10.0"/>
      </rPr>
      <t>2.6.4.4</t>
    </r>
    <r>
      <rPr>
        <rFont val="Arial"/>
        <b val="0"/>
        <color theme="1"/>
        <sz val="10.0"/>
      </rPr>
      <t xml:space="preserve"> </t>
    </r>
    <r>
      <rPr>
        <rFont val="Arial"/>
        <b/>
        <color theme="1"/>
        <sz val="10.0"/>
      </rPr>
      <t>5G security</t>
    </r>
  </si>
  <si>
    <t>MTR-33639</t>
  </si>
  <si>
    <r>
      <rPr>
        <rFont val="Arial"/>
        <b/>
        <color theme="1"/>
        <sz val="10.0"/>
      </rPr>
      <t xml:space="preserve">5GS encryption algorithm 5G-EA0 </t>
    </r>
    <r>
      <rPr>
        <rFont val="Arial"/>
        <b val="0"/>
        <color theme="1"/>
        <sz val="10.0"/>
      </rPr>
      <t xml:space="preserve">and 
</t>
    </r>
    <r>
      <rPr>
        <rFont val="Arial"/>
        <b/>
        <color theme="1"/>
        <sz val="10.0"/>
      </rPr>
      <t>5GS integrity algorithm 5G-IA0</t>
    </r>
    <r>
      <rPr>
        <rFont val="Arial"/>
        <b val="0"/>
        <color theme="1"/>
        <sz val="10.0"/>
      </rPr>
      <t xml:space="preserve">
are supported.
At least 5G-EA0 is indicated in IE "UE security capability".
As the network is allowed to select and assign 5G-IA0 for unauthenticated emergency calls irrespective of the security algorithms signaled by the UE, support for 5G-IA0 might not be present in the UE security capability IE but still supported.
Notes:
- 5G-EA0 and NEA0 are synonyms for the same enryption algorithm.
- 5G-IA0 and NIA0 are synonyms for the same integrity algorithm.
Further details see 3GPP TS33.501.</t>
    </r>
  </si>
  <si>
    <t>5G-EA0 is support, 5G-IA0 5G-IA0 is supported only under limited service</t>
  </si>
  <si>
    <t>MTR-37254</t>
  </si>
  <si>
    <t>The UE shall never send information elements in an unencrypted way for which unencrypted transfer is prohibited by the related 3GPP standards (see i.e. TS33.501).</t>
  </si>
  <si>
    <t>MTR-33640</t>
  </si>
  <si>
    <r>
      <rPr>
        <rFont val="Arial"/>
        <b/>
        <color theme="1"/>
        <sz val="10.0"/>
      </rPr>
      <t xml:space="preserve">5GS encryption algorithm 5G-EA1 </t>
    </r>
    <r>
      <rPr>
        <rFont val="Arial"/>
        <b val="0"/>
        <color theme="1"/>
        <sz val="10.0"/>
      </rPr>
      <t xml:space="preserve">and 
</t>
    </r>
    <r>
      <rPr>
        <rFont val="Arial"/>
        <b/>
        <color theme="1"/>
        <sz val="10.0"/>
      </rPr>
      <t>5GS integrity algorithm 5G-IA1</t>
    </r>
    <r>
      <rPr>
        <rFont val="Arial"/>
        <b val="0"/>
        <color theme="1"/>
        <sz val="10.0"/>
      </rPr>
      <t xml:space="preserve">
are supported and indicated in IE "UE additional security capability information element".
Notes:
- 5G-EA1, 128-NEA1 and NEA1 are synonyms for the same enryption algorithm.
- 5G-IA1, 128-NIA1 and NIA1 are synonyms for the same integrity algorithm.
- 128-EA1/128-IA1 are based on SNOW 3G (see TS 35.215)</t>
    </r>
  </si>
  <si>
    <t>MTR-33641</t>
  </si>
  <si>
    <r>
      <rPr>
        <rFont val="Arial"/>
        <b/>
        <color theme="1"/>
        <sz val="10.0"/>
      </rPr>
      <t xml:space="preserve">5GS encryption algorithm 5G-EA2 </t>
    </r>
    <r>
      <rPr>
        <rFont val="Arial"/>
        <b val="0"/>
        <color theme="1"/>
        <sz val="10.0"/>
      </rPr>
      <t xml:space="preserve">and 
</t>
    </r>
    <r>
      <rPr>
        <rFont val="Arial"/>
        <b/>
        <color theme="1"/>
        <sz val="10.0"/>
      </rPr>
      <t>5GS integrity algorithm 5G-IA2</t>
    </r>
    <r>
      <rPr>
        <rFont val="Arial"/>
        <b val="0"/>
        <color theme="1"/>
        <sz val="10.0"/>
      </rPr>
      <t xml:space="preserve">
are supported and indicated in IE "UE additional security capability information element".
Notes:
- 5G-EA2, 128-NEA2 and NEA2 are synonyms for the same enryption algorithm.
- 5G-IA2, 128-NIA2 and NIA2 are synonyms for the same integrity algorithm.
- 128-EA2/128-IA2 are based on 128-bit AES in CTR/CMAC mode</t>
    </r>
  </si>
  <si>
    <t>MTR-33642</t>
  </si>
  <si>
    <r>
      <rPr>
        <rFont val="Arial"/>
        <b/>
        <color theme="1"/>
        <sz val="10.0"/>
      </rPr>
      <t xml:space="preserve">5GS encryption algorithm 5G-EA3 </t>
    </r>
    <r>
      <rPr>
        <rFont val="Arial"/>
        <b val="0"/>
        <color theme="1"/>
        <sz val="10.0"/>
      </rPr>
      <t xml:space="preserve">and 
</t>
    </r>
    <r>
      <rPr>
        <rFont val="Arial"/>
        <b/>
        <color theme="1"/>
        <sz val="10.0"/>
      </rPr>
      <t>5GS integrity algorithm 5G-IA3</t>
    </r>
    <r>
      <rPr>
        <rFont val="Arial"/>
        <b val="0"/>
        <color theme="1"/>
        <sz val="10.0"/>
      </rPr>
      <t xml:space="preserve">
are supported and indicated in IE "UE additional security capability information element".
Notes:
- 5G-EA3, 128-NEA3 and NEA3 are synonyms for the same enryption algorithm.
- 5G-IA3, 128-NIA3 and NIA3 are synonyms for the same integrity algorithm.
- 128-EA3/128-IA3 are based on128-bit ZUC (see TS 35.221)
If supported, the same algorithms for E-UTRAN shall be supported as well!</t>
    </r>
  </si>
  <si>
    <t>MTR-40213</t>
  </si>
  <si>
    <r>
      <rPr>
        <rFont val="Arial"/>
        <b/>
        <color theme="1"/>
        <sz val="10.0"/>
      </rPr>
      <t>Avoidance of unsecured mobility from NR</t>
    </r>
    <r>
      <rPr>
        <rFont val="Arial"/>
        <b val="0"/>
        <color theme="1"/>
        <sz val="10.0"/>
      </rPr>
      <t xml:space="preserve"> is supported
The UE must ignore/reject an [RRC Release] request prior to AS security activation in case it includes any one of [deprioritisationRequest, suspendConfig, redirectedCarrierInfo, cellReselectionPriorities].
See 3GPP TS38.331 Annex B.1 "Protection of RRC Messages”</t>
    </r>
  </si>
  <si>
    <t>MTR-35257</t>
  </si>
  <si>
    <r>
      <rPr>
        <rFont val="Arial"/>
        <b/>
        <color theme="1"/>
        <sz val="10.0"/>
      </rPr>
      <t>5G Integrity protection on user plane up to 64kbps</t>
    </r>
    <r>
      <rPr>
        <rFont val="Arial"/>
        <b val="0"/>
        <color theme="1"/>
        <sz val="10.0"/>
      </rPr>
      <t xml:space="preserve"> is supported
(applicable in SA mode of operation)</t>
    </r>
  </si>
  <si>
    <t>MTR-35258</t>
  </si>
  <si>
    <r>
      <rPr>
        <rFont val="Arial"/>
        <b/>
        <color theme="1"/>
        <sz val="10.0"/>
      </rPr>
      <t>5G Integrity protection on user plane up to the full datarate</t>
    </r>
    <r>
      <rPr>
        <rFont val="Arial"/>
        <b val="0"/>
        <color theme="1"/>
        <sz val="10.0"/>
      </rPr>
      <t xml:space="preserve"> is supported
(applicable in SA mode of operation)
The device indicates this by setting both the values for uplink and downlink in the IE "Integrity protection maximum data rate" to "Full data rate".
</t>
    </r>
    <r>
      <rPr>
        <rFont val="Arial"/>
        <b/>
        <color theme="1"/>
        <sz val="10.0"/>
      </rPr>
      <t>Note: If SA mode is active, integrity protection on user plane is considered mandatory up to the full rate supported by the device - this is considered a critical security requirement.</t>
    </r>
    <r>
      <rPr>
        <rFont val="Arial"/>
        <b val="0"/>
        <color theme="1"/>
        <sz val="10.0"/>
      </rPr>
      <t xml:space="preserve">
See liason statement from GSMA to 3GPP (SP-200021):
"GSMA politely requests SA/RAN/CT to ask the affected working groups to agree the necessary CRs in the appropriate release to have mandatory support of full-rate user plane integrity protection for all UEs supporting NR connected to the 5GC."</t>
    </r>
  </si>
  <si>
    <t>MTR-37085</t>
  </si>
  <si>
    <r>
      <rPr>
        <rFont val="Arial"/>
        <b/>
        <color theme="1"/>
        <sz val="10.0"/>
      </rPr>
      <t>5G Subscription Concealed Identifier (SUCI) calculation on the UE</t>
    </r>
    <r>
      <rPr>
        <rFont val="Arial"/>
        <b val="0"/>
        <color theme="1"/>
        <sz val="10.0"/>
      </rPr>
      <t xml:space="preserve"> is supported.
Note: This is the preferred option for Deutsche Telekom!</t>
    </r>
  </si>
  <si>
    <t>MTR-37086</t>
  </si>
  <si>
    <r>
      <rPr>
        <rFont val="Arial"/>
        <b/>
        <color theme="1"/>
        <sz val="10.0"/>
      </rPr>
      <t>5G Subscription Concealed Identifier (SUCI) calculation on the USIM</t>
    </r>
    <r>
      <rPr>
        <rFont val="Arial"/>
        <b val="0"/>
        <color theme="1"/>
        <sz val="10.0"/>
      </rPr>
      <t xml:space="preserve"> is supported.
Note: Usage of this option requires proper integration and validation prior activation.</t>
    </r>
  </si>
  <si>
    <t>MTR-37087</t>
  </si>
  <si>
    <r>
      <rPr>
        <rFont val="Arial"/>
        <color theme="1"/>
        <sz val="10.0"/>
      </rPr>
      <t xml:space="preserve">The UE uses </t>
    </r>
    <r>
      <rPr>
        <rFont val="Arial"/>
        <b/>
        <color theme="1"/>
        <sz val="10.0"/>
      </rPr>
      <t>temporary instead of permanent identifiers for 5GS network registration whereever possible</t>
    </r>
    <r>
      <rPr>
        <rFont val="Arial"/>
        <color theme="1"/>
        <sz val="10.0"/>
      </rPr>
      <t xml:space="preserve">
as described in 3GPP TS24.501.</t>
    </r>
  </si>
  <si>
    <t>MTR-37121</t>
  </si>
  <si>
    <r>
      <rPr>
        <rFont val="Arial"/>
        <color theme="1"/>
        <sz val="10.0"/>
      </rPr>
      <t xml:space="preserve">The UE supports </t>
    </r>
    <r>
      <rPr>
        <rFont val="Arial"/>
        <b/>
        <color theme="1"/>
        <sz val="10.0"/>
      </rPr>
      <t>5G AKA</t>
    </r>
    <r>
      <rPr>
        <rFont val="Arial"/>
        <color theme="1"/>
        <sz val="10.0"/>
      </rPr>
      <t xml:space="preserve"> authentication according to 24.501 chapter 5.4.1</t>
    </r>
  </si>
  <si>
    <t>MTR-37122</t>
  </si>
  <si>
    <r>
      <rPr>
        <rFont val="Arial"/>
        <color theme="1"/>
        <sz val="10.0"/>
      </rPr>
      <t xml:space="preserve">The UE supports </t>
    </r>
    <r>
      <rPr>
        <rFont val="Arial"/>
        <b/>
        <color theme="1"/>
        <sz val="10.0"/>
      </rPr>
      <t xml:space="preserve">EAP AKA' </t>
    </r>
    <r>
      <rPr>
        <rFont val="Arial"/>
        <color theme="1"/>
        <sz val="10.0"/>
      </rPr>
      <t>authentication according to 24.501 chapter 5.4.1</t>
    </r>
  </si>
  <si>
    <t>MTR-36749</t>
  </si>
  <si>
    <r>
      <rPr>
        <rFont val="Arial"/>
        <b/>
        <color theme="1"/>
        <sz val="10.0"/>
      </rPr>
      <t>2.6.5</t>
    </r>
    <r>
      <rPr>
        <rFont val="Arial"/>
        <b val="0"/>
        <color theme="1"/>
        <sz val="10.0"/>
      </rPr>
      <t xml:space="preserve"> </t>
    </r>
    <r>
      <rPr>
        <rFont val="Arial"/>
        <b/>
        <color theme="1"/>
        <sz val="10.0"/>
      </rPr>
      <t>Special cases</t>
    </r>
  </si>
  <si>
    <t>MTR-37089</t>
  </si>
  <si>
    <r>
      <rPr>
        <rFont val="Arial"/>
        <b/>
        <color theme="1"/>
        <sz val="10.0"/>
      </rPr>
      <t>2.6.5.1</t>
    </r>
    <r>
      <rPr>
        <rFont val="Arial"/>
        <b val="0"/>
        <color theme="1"/>
        <sz val="10.0"/>
      </rPr>
      <t xml:space="preserve"> </t>
    </r>
    <r>
      <rPr>
        <rFont val="Arial"/>
        <b/>
        <color theme="1"/>
        <sz val="10.0"/>
      </rPr>
      <t>Network Slicing</t>
    </r>
  </si>
  <si>
    <t>MTR-37090</t>
  </si>
  <si>
    <r>
      <rPr>
        <rFont val="Arial"/>
        <color theme="1"/>
        <sz val="10.0"/>
      </rPr>
      <t xml:space="preserve">[5GC] [Rel. 16] The UE supports </t>
    </r>
    <r>
      <rPr>
        <rFont val="Arial"/>
        <b/>
        <color theme="1"/>
        <sz val="10.0"/>
      </rPr>
      <t>generic 5GS network slicing concepts and procedures for more than one default slice</t>
    </r>
    <r>
      <rPr>
        <rFont val="Arial"/>
        <color theme="1"/>
        <sz val="10.0"/>
      </rPr>
      <t xml:space="preserve"> using Rel. 16 signalling.
Essential Network slice functionalities include:
- Slice registration (requested, allowed, configured NSSAIs)
- URSP usage for PDU session establishment
- URSP updating
Optional functionalities out of Rel. 16:
- URSP parameters on USIM
- Slice authentication (NSSAA)
- Mapped NSSAIs (Roaming)</t>
    </r>
  </si>
  <si>
    <t>2000/225 Mbps, 5G SA</t>
  </si>
  <si>
    <t>MTR-39940</t>
  </si>
  <si>
    <r>
      <rPr>
        <rFont val="Arial"/>
        <color theme="1"/>
        <sz val="10.0"/>
      </rPr>
      <t>[EPC] The UE supports “</t>
    </r>
    <r>
      <rPr>
        <rFont val="Arial"/>
        <b/>
        <color theme="1"/>
        <sz val="10.0"/>
      </rPr>
      <t>Use of URSP in EPS</t>
    </r>
    <r>
      <rPr>
        <rFont val="Arial"/>
        <color theme="1"/>
        <sz val="10.0"/>
      </rPr>
      <t>” as indicated in 3GPP TS24.526 section 4.4.2.
Specifically this includes derivation of the APN using OSAppIDs as well as DNN.</t>
    </r>
  </si>
  <si>
    <t>MTR-37251</t>
  </si>
  <si>
    <r>
      <rPr>
        <rFont val="Arial"/>
        <b/>
        <color theme="1"/>
        <sz val="10.0"/>
      </rPr>
      <t>2.6.5.2</t>
    </r>
    <r>
      <rPr>
        <rFont val="Arial"/>
        <b val="0"/>
        <color theme="1"/>
        <sz val="10.0"/>
      </rPr>
      <t xml:space="preserve"> </t>
    </r>
    <r>
      <rPr>
        <rFont val="Arial"/>
        <b/>
        <color theme="1"/>
        <sz val="10.0"/>
      </rPr>
      <t>Various 5GC related features</t>
    </r>
  </si>
  <si>
    <t>MTR-37088</t>
  </si>
  <si>
    <r>
      <rPr>
        <rFont val="Arial"/>
        <color theme="1"/>
        <sz val="10.0"/>
      </rPr>
      <t xml:space="preserve">[5GC] [Rel. 16] </t>
    </r>
    <r>
      <rPr>
        <rFont val="Arial"/>
        <b/>
        <color theme="1"/>
        <sz val="10.0"/>
      </rPr>
      <t>UE Radio Capability Signaling Optimisation (RACS)</t>
    </r>
    <r>
      <rPr>
        <rFont val="Arial"/>
        <color theme="1"/>
        <sz val="10.0"/>
      </rPr>
      <t xml:space="preserve"> is supported with </t>
    </r>
    <r>
      <rPr>
        <rFont val="Arial"/>
        <b/>
        <color theme="1"/>
        <sz val="10.0"/>
      </rPr>
      <t xml:space="preserve">network </t>
    </r>
    <r>
      <rPr>
        <rFont val="Arial"/>
        <color theme="1"/>
        <sz val="10.0"/>
      </rPr>
      <t>(</t>
    </r>
    <r>
      <rPr>
        <rFont val="Arial"/>
        <b/>
        <color theme="1"/>
        <sz val="10.0"/>
      </rPr>
      <t>5GC</t>
    </r>
    <r>
      <rPr>
        <rFont val="Arial"/>
        <color theme="1"/>
        <sz val="10.0"/>
      </rPr>
      <t xml:space="preserve">) </t>
    </r>
    <r>
      <rPr>
        <rFont val="Arial"/>
        <b/>
        <color theme="1"/>
        <sz val="10.0"/>
      </rPr>
      <t xml:space="preserve">provided Radio Capability IDs </t>
    </r>
    <r>
      <rPr>
        <rFont val="Arial"/>
        <color theme="1"/>
        <sz val="10.0"/>
      </rPr>
      <t>sent in [Registration Accept] message.
Reference: 3GPP TS24.501</t>
    </r>
  </si>
  <si>
    <t>MTR-37256</t>
  </si>
  <si>
    <r>
      <rPr>
        <rFont val="Arial"/>
        <color theme="1"/>
        <sz val="10.0"/>
      </rPr>
      <t xml:space="preserve">[EPC] [Rel. 16] </t>
    </r>
    <r>
      <rPr>
        <rFont val="Arial"/>
        <b/>
        <color theme="1"/>
        <sz val="10.0"/>
      </rPr>
      <t>UE Radio Capability Signaling Optimisation (RACS)</t>
    </r>
    <r>
      <rPr>
        <rFont val="Arial"/>
        <color theme="1"/>
        <sz val="10.0"/>
      </rPr>
      <t xml:space="preserve"> is supported with </t>
    </r>
    <r>
      <rPr>
        <rFont val="Arial"/>
        <b/>
        <color theme="1"/>
        <sz val="10.0"/>
      </rPr>
      <t xml:space="preserve">network </t>
    </r>
    <r>
      <rPr>
        <rFont val="Arial"/>
        <color theme="1"/>
        <sz val="10.0"/>
      </rPr>
      <t>(</t>
    </r>
    <r>
      <rPr>
        <rFont val="Arial"/>
        <b/>
        <color theme="1"/>
        <sz val="10.0"/>
      </rPr>
      <t>EPC</t>
    </r>
    <r>
      <rPr>
        <rFont val="Arial"/>
        <color theme="1"/>
        <sz val="10.0"/>
      </rPr>
      <t>)</t>
    </r>
    <r>
      <rPr>
        <rFont val="Arial"/>
        <b/>
        <color theme="1"/>
        <sz val="10.0"/>
      </rPr>
      <t xml:space="preserve"> provided Radio Capability IDs</t>
    </r>
    <r>
      <rPr>
        <rFont val="Arial"/>
        <color theme="1"/>
        <sz val="10.0"/>
      </rPr>
      <t xml:space="preserve"> sent in [Registration Accept] message.
Reference: 3GPP TS24.301</t>
    </r>
  </si>
  <si>
    <t>MTR-37257</t>
  </si>
  <si>
    <r>
      <rPr>
        <rFont val="Arial"/>
        <color theme="1"/>
        <sz val="10.0"/>
      </rPr>
      <t xml:space="preserve">[EPC/5GC] [Rel. 16] </t>
    </r>
    <r>
      <rPr>
        <rFont val="Arial"/>
        <b/>
        <color theme="1"/>
        <sz val="10.0"/>
      </rPr>
      <t>UE Radio Capability Signaling Optimisation (RACS)</t>
    </r>
    <r>
      <rPr>
        <rFont val="Arial"/>
        <color theme="1"/>
        <sz val="10.0"/>
      </rPr>
      <t xml:space="preserve"> is supported with </t>
    </r>
    <r>
      <rPr>
        <rFont val="Arial"/>
        <b/>
        <color theme="1"/>
        <sz val="10.0"/>
      </rPr>
      <t>UE predefined Radio Capability IDs</t>
    </r>
    <r>
      <rPr>
        <rFont val="Arial"/>
        <color theme="1"/>
        <sz val="10.0"/>
      </rPr>
      <t xml:space="preserve"> sent in [Registration Request] message.
Reference: 3GPP TS24.301/TS24.501</t>
    </r>
  </si>
  <si>
    <t>MTR-37099</t>
  </si>
  <si>
    <r>
      <rPr>
        <rFont val="Arial"/>
        <color theme="1"/>
        <sz val="10.0"/>
      </rPr>
      <t>[Rel. 16]</t>
    </r>
    <r>
      <rPr>
        <rFont val="Arial"/>
        <b/>
        <color theme="1"/>
        <sz val="10.0"/>
      </rPr>
      <t xml:space="preserve"> Access Traffic Steering, Switching and Splitting (ATSSS)</t>
    </r>
    <r>
      <rPr>
        <rFont val="Arial"/>
        <color theme="1"/>
        <sz val="10.0"/>
      </rPr>
      <t xml:space="preserve"> is supported as defined in 3GPP 24.193</t>
    </r>
  </si>
  <si>
    <t>MTR-37091</t>
  </si>
  <si>
    <r>
      <rPr>
        <rFont val="Arial"/>
        <color theme="1"/>
        <sz val="10.0"/>
      </rPr>
      <t xml:space="preserve">[5GC] </t>
    </r>
    <r>
      <rPr>
        <rFont val="Arial"/>
        <b/>
        <color theme="1"/>
        <sz val="10.0"/>
      </rPr>
      <t>5GS Steering of Roaming (SoR)</t>
    </r>
    <r>
      <rPr>
        <rFont val="Arial"/>
        <color theme="1"/>
        <sz val="10.0"/>
      </rPr>
      <t xml:space="preserve"> is supported including transport of SOR transparent container via 5G NAS</t>
    </r>
  </si>
  <si>
    <t>MTR-36750</t>
  </si>
  <si>
    <r>
      <rPr>
        <rFont val="Arial"/>
        <b/>
        <color theme="1"/>
        <sz val="10.0"/>
      </rPr>
      <t>2.6.5.3</t>
    </r>
    <r>
      <rPr>
        <rFont val="Arial"/>
        <b val="0"/>
        <color theme="1"/>
        <sz val="10.0"/>
      </rPr>
      <t xml:space="preserve"> </t>
    </r>
    <r>
      <rPr>
        <rFont val="Arial"/>
        <b/>
        <color theme="1"/>
        <sz val="10.0"/>
      </rPr>
      <t>Local and Private Networks [5GC]</t>
    </r>
  </si>
  <si>
    <t>MTR-36751</t>
  </si>
  <si>
    <r>
      <rPr>
        <rFont val="Arial"/>
        <color theme="1"/>
        <sz val="10.0"/>
      </rPr>
      <t xml:space="preserve">[5GC] </t>
    </r>
    <r>
      <rPr>
        <rFont val="Arial"/>
        <b/>
        <color theme="1"/>
        <sz val="10.0"/>
      </rPr>
      <t xml:space="preserve">Local Area Data Network (LADN) </t>
    </r>
    <r>
      <rPr>
        <rFont val="Arial"/>
        <color theme="1"/>
        <sz val="10.0"/>
      </rPr>
      <t>related procedures are supported.</t>
    </r>
  </si>
  <si>
    <t>MTR-36752</t>
  </si>
  <si>
    <r>
      <rPr>
        <rFont val="Arial"/>
        <color theme="1"/>
        <sz val="10.0"/>
      </rPr>
      <t xml:space="preserve">[5GC] </t>
    </r>
    <r>
      <rPr>
        <rFont val="Arial"/>
        <b/>
        <color theme="1"/>
        <sz val="10.0"/>
      </rPr>
      <t>Stand-alone Non-Public Network (SNPN)</t>
    </r>
    <r>
      <rPr>
        <rFont val="Arial"/>
        <color theme="1"/>
        <sz val="10.0"/>
      </rPr>
      <t xml:space="preserve"> related procedures are supported.</t>
    </r>
  </si>
  <si>
    <t>MTR-37084</t>
  </si>
  <si>
    <r>
      <rPr>
        <rFont val="Arial"/>
        <color theme="1"/>
        <sz val="10.0"/>
      </rPr>
      <t>[5GC] [Rel. 16]</t>
    </r>
    <r>
      <rPr>
        <rFont val="Arial"/>
        <b/>
        <color theme="1"/>
        <sz val="10.0"/>
      </rPr>
      <t xml:space="preserve"> Closed Access Group (CAG)</t>
    </r>
    <r>
      <rPr>
        <rFont val="Arial"/>
        <color theme="1"/>
        <sz val="10.0"/>
      </rPr>
      <t xml:space="preserve"> related procedures are supported.</t>
    </r>
  </si>
  <si>
    <t>3 Device Enablers</t>
  </si>
  <si>
    <t>MTR-26087</t>
  </si>
  <si>
    <r>
      <rPr>
        <rFont val="Arial"/>
        <b/>
        <color theme="1"/>
        <sz val="10.0"/>
      </rPr>
      <t>3</t>
    </r>
    <r>
      <rPr>
        <rFont val="Arial"/>
        <b val="0"/>
        <color theme="1"/>
        <sz val="10.0"/>
      </rPr>
      <t xml:space="preserve"> </t>
    </r>
    <r>
      <rPr>
        <rFont val="Arial"/>
        <b/>
        <color theme="1"/>
        <sz val="10.0"/>
      </rPr>
      <t>Device Enablers</t>
    </r>
  </si>
  <si>
    <t>1 Connectivity</t>
  </si>
  <si>
    <t>MTR-1298</t>
  </si>
  <si>
    <r>
      <rPr>
        <rFont val="Arial"/>
        <b/>
        <color theme="1"/>
        <sz val="10.0"/>
      </rPr>
      <t>3.1</t>
    </r>
    <r>
      <rPr>
        <rFont val="Arial"/>
        <b val="0"/>
        <color theme="1"/>
        <sz val="10.0"/>
      </rPr>
      <t xml:space="preserve"> </t>
    </r>
    <r>
      <rPr>
        <rFont val="Arial"/>
        <b/>
        <color theme="1"/>
        <sz val="10.0"/>
      </rPr>
      <t>Connectivity</t>
    </r>
  </si>
  <si>
    <t>MTR-1299</t>
  </si>
  <si>
    <r>
      <rPr>
        <rFont val="Arial"/>
        <b/>
        <color theme="1"/>
        <sz val="10.0"/>
      </rPr>
      <t>3.1.1</t>
    </r>
    <r>
      <rPr>
        <rFont val="Arial"/>
        <b val="0"/>
        <color theme="1"/>
        <sz val="10.0"/>
      </rPr>
      <t xml:space="preserve"> </t>
    </r>
    <r>
      <rPr>
        <rFont val="Arial"/>
        <b/>
        <color theme="1"/>
        <sz val="10.0"/>
      </rPr>
      <t>Bluetooth</t>
    </r>
  </si>
  <si>
    <t>MTR-1300</t>
  </si>
  <si>
    <r>
      <rPr>
        <rFont val="Arial"/>
        <b/>
        <color theme="1"/>
        <sz val="10.0"/>
      </rPr>
      <t>3.1.1.1</t>
    </r>
    <r>
      <rPr>
        <rFont val="Arial"/>
        <b val="0"/>
        <color theme="1"/>
        <sz val="10.0"/>
      </rPr>
      <t xml:space="preserve"> </t>
    </r>
    <r>
      <rPr>
        <rFont val="Arial"/>
        <b/>
        <color theme="1"/>
        <sz val="10.0"/>
      </rPr>
      <t>General Requirements</t>
    </r>
  </si>
  <si>
    <t>MTR-8988</t>
  </si>
  <si>
    <t>Support of GSMA: Bluetooth Interoperability Requirements for Mobile Terminals, December 16, 2015 Version 2.0, see "http://www.gsma.com/newsroom/all-documents/tsg-prd-ts-19-v2-0-bluetooth-interoperability-requirements-for-mobile-terminals/".</t>
  </si>
  <si>
    <t>MTR-33699</t>
  </si>
  <si>
    <t>Bluetooth Core Specification version 5.1 or higher is supported.	
Please state the supported Bluetooth version on Comments Vendor field.</t>
  </si>
  <si>
    <t>BT v6</t>
  </si>
  <si>
    <t>BT v5.3</t>
  </si>
  <si>
    <t>MTR-36114</t>
  </si>
  <si>
    <t>Bluetooth (BT) Profile Suppport: List the support BT profiles by name, acronym, version and type in the "Comments Vendor" field, e.g. Hands Free Profile, HFP v1.6, Gateway (BTIR-0130).</t>
  </si>
  <si>
    <t>A2DP 1.3.2
AVRCP v1.5
Device ID 1.3
HFP 1.7.2
HID 1.0
HSP v1.2
MAP 1.4.2
OPP v1.2.1
PAN 1.0
PBAP 1.2.3
SAP  v1.1.1
SPP v1.2</t>
  </si>
  <si>
    <t>MTR-1328</t>
  </si>
  <si>
    <t>The Terminal MUST support simultaneous multi profile usage via one BT link. The BT SIG paper, simultaneous use of HFP, A2DP and AVRCP profiles provides guidance in this area. ["Simultaneous use of HFP, A2DP, and AVRCP_WP", BT SIG, January 2007]
(For example;
1. The Hands-Free Profile and the Phone Book Access Profile can be used simultaneously.
2. The Hands-Free Profile and the Advanced Audio Distribution Profile can be used together simultaneously)
3. The Hands-Free Profile and the Message Access Profile can be used simultaneously.
(BTIR-0030)</t>
  </si>
  <si>
    <t>MTR-24750</t>
  </si>
  <si>
    <t>2011 V1</t>
  </si>
  <si>
    <t>The Terminal SHALL support each profile connection independently from other profile connections. For example, the Terminal SHALL NOT require HFP to establish PBAP; PBAP SHALL be available regardless of other profile connections. (BTIR-0035)</t>
  </si>
  <si>
    <t>MTR-1306</t>
  </si>
  <si>
    <t>The Terminal MUST implement the BT SIG secure simple pairing user interface flow whitepaper (BTIR-0060)</t>
  </si>
  <si>
    <t>MTR-1329</t>
  </si>
  <si>
    <t>The Bluetooth transceiver is disabled by default.
The user is required to turn BT on and select discovery mode before pairing can take place. BT should be visible when first turned on.</t>
  </si>
  <si>
    <t>MTR-32962</t>
  </si>
  <si>
    <r>
      <rPr>
        <rFont val="Arial"/>
        <b/>
        <color theme="1"/>
        <sz val="10.0"/>
      </rPr>
      <t>3.1.1.2</t>
    </r>
    <r>
      <rPr>
        <rFont val="Arial"/>
        <b val="0"/>
        <color theme="1"/>
        <sz val="10.0"/>
      </rPr>
      <t xml:space="preserve"> </t>
    </r>
    <r>
      <rPr>
        <rFont val="Arial"/>
        <b/>
        <color theme="1"/>
        <sz val="10.0"/>
      </rPr>
      <t>BT - Security</t>
    </r>
  </si>
  <si>
    <t>MTR-32963</t>
  </si>
  <si>
    <t>Bluetooth is disabled by default, as long as no other device (e.g. headset, smart watch) is paired with the terminal.</t>
  </si>
  <si>
    <t>Bluetooth is enabled by default</t>
  </si>
  <si>
    <t>MTR-32964</t>
  </si>
  <si>
    <t>Once the end user has paired a device, he is informed that Bluetooth is now on by default and has to be switched off in the settings.</t>
  </si>
  <si>
    <t>MTR-32965</t>
  </si>
  <si>
    <t>Once the end user unpairs the last device, Bluetooth is again disabled by default.</t>
  </si>
  <si>
    <t>MTR-32968</t>
  </si>
  <si>
    <t>Pairing of a Bluetooth device always requires a confirmation by the end user.</t>
  </si>
  <si>
    <t>MTR-32969</t>
  </si>
  <si>
    <t>The end user can control whether his terminal is visible as a Bluetooth device or not. This control may be implicit, e.g. terminal is visible as long as the end user is in the Bluetooth settings dialog.</t>
  </si>
  <si>
    <t>Always show visible in bluetooth settings</t>
  </si>
  <si>
    <t>MTR-1337</t>
  </si>
  <si>
    <r>
      <rPr>
        <rFont val="Arial"/>
        <b/>
        <color theme="1"/>
        <sz val="10.0"/>
      </rPr>
      <t>3.1.2</t>
    </r>
    <r>
      <rPr>
        <rFont val="Arial"/>
        <b val="0"/>
        <color theme="1"/>
        <sz val="10.0"/>
      </rPr>
      <t xml:space="preserve"> </t>
    </r>
    <r>
      <rPr>
        <rFont val="Arial"/>
        <b/>
        <color theme="1"/>
        <sz val="10.0"/>
      </rPr>
      <t>USB</t>
    </r>
  </si>
  <si>
    <t>MTR-1338</t>
  </si>
  <si>
    <r>
      <rPr>
        <rFont val="Arial"/>
        <b/>
        <color theme="1"/>
        <sz val="10.0"/>
      </rPr>
      <t>3.1.2.1</t>
    </r>
    <r>
      <rPr>
        <rFont val="Arial"/>
        <b val="0"/>
        <color theme="1"/>
        <sz val="10.0"/>
      </rPr>
      <t xml:space="preserve"> </t>
    </r>
    <r>
      <rPr>
        <rFont val="Arial"/>
        <b/>
        <color theme="1"/>
        <sz val="10.0"/>
      </rPr>
      <t>Mechanical</t>
    </r>
  </si>
  <si>
    <t>MTR-1339</t>
  </si>
  <si>
    <r>
      <rPr>
        <rFont val="Arial"/>
        <b/>
        <color theme="1"/>
        <sz val="10.0"/>
      </rPr>
      <t>Micro-USB port:</t>
    </r>
    <r>
      <rPr>
        <rFont val="Arial"/>
        <b val="0"/>
        <color theme="1"/>
        <sz val="10.0"/>
      </rPr>
      <t xml:space="preserve"> (OMTP CLD-0030) The device supports a charging and local data connector (CLD) which is implemented in line with the physical characteristics for USB Micro-B or Micro-AB receptacle(s) </t>
    </r>
    <r>
      <rPr>
        <rFont val="Arial"/>
        <b/>
        <color theme="1"/>
        <sz val="10.0"/>
      </rPr>
      <t xml:space="preserve">and </t>
    </r>
    <r>
      <rPr>
        <rFont val="Arial"/>
        <b val="0"/>
        <color theme="1"/>
        <sz val="10.0"/>
      </rPr>
      <t>USB Micro-A or Micro-B plug as defined in “Universal Serial Bus Micro-USB Cables and Connectors Specification v1.01” Chapter 4.</t>
    </r>
  </si>
  <si>
    <t>Terminal as USB C device</t>
  </si>
  <si>
    <t>MTR-31733</t>
  </si>
  <si>
    <r>
      <rPr>
        <rFont val="Arial"/>
        <b/>
        <color theme="1"/>
        <sz val="10.0"/>
      </rPr>
      <t>USB type-C port:</t>
    </r>
    <r>
      <rPr>
        <rFont val="Arial"/>
        <b val="0"/>
        <color theme="1"/>
        <sz val="10.0"/>
      </rPr>
      <t xml:space="preserve"> The device supports a USB Type C local data connector which complies with the USB Type-C Cable and Connector Specification Revision 1.1.</t>
    </r>
  </si>
  <si>
    <t>USB-C</t>
  </si>
  <si>
    <t>MTR-39800</t>
  </si>
  <si>
    <t>Please list the in-box cable specification:
A to C or C to C
USB 2.0 or above 3.0, with transmission speed.
Max current 3A or above 3A.
Cable length</t>
  </si>
  <si>
    <t>C to C</t>
  </si>
  <si>
    <t>MTR-8862</t>
  </si>
  <si>
    <r>
      <rPr>
        <rFont val="Arial"/>
        <b/>
        <color theme="1"/>
        <sz val="10.0"/>
      </rPr>
      <t>3.1.2.2</t>
    </r>
    <r>
      <rPr>
        <rFont val="Arial"/>
        <b val="0"/>
        <color theme="1"/>
        <sz val="10.0"/>
      </rPr>
      <t xml:space="preserve"> </t>
    </r>
    <r>
      <rPr>
        <rFont val="Arial"/>
        <b/>
        <color theme="1"/>
        <sz val="10.0"/>
      </rPr>
      <t>Electrical</t>
    </r>
  </si>
  <si>
    <t>MTR-26005</t>
  </si>
  <si>
    <r>
      <rPr>
        <rFont val="Arial"/>
        <b/>
        <color theme="1"/>
        <sz val="10.0"/>
      </rPr>
      <t>3.1.2.2.1</t>
    </r>
    <r>
      <rPr>
        <rFont val="Arial"/>
        <b val="0"/>
        <color theme="1"/>
        <sz val="10.0"/>
      </rPr>
      <t xml:space="preserve"> </t>
    </r>
    <r>
      <rPr>
        <rFont val="Arial"/>
        <b/>
        <color theme="1"/>
        <sz val="10.0"/>
      </rPr>
      <t>USB OTG</t>
    </r>
  </si>
  <si>
    <t>MTR-13398</t>
  </si>
  <si>
    <r>
      <rPr>
        <rFont val="Arial"/>
        <b/>
        <color theme="1"/>
        <sz val="10.0"/>
      </rPr>
      <t>3.1.2.2.2</t>
    </r>
    <r>
      <rPr>
        <rFont val="Arial"/>
        <b val="0"/>
        <color theme="1"/>
        <sz val="10.0"/>
      </rPr>
      <t xml:space="preserve"> </t>
    </r>
    <r>
      <rPr>
        <rFont val="Arial"/>
        <b/>
        <color theme="1"/>
        <sz val="10.0"/>
      </rPr>
      <t>USB Battery Charging</t>
    </r>
  </si>
  <si>
    <t>MTR-8873</t>
  </si>
  <si>
    <r>
      <rPr>
        <rFont val="Arial"/>
        <color theme="1"/>
        <sz val="10.0"/>
      </rPr>
      <t xml:space="preserve">The device </t>
    </r>
    <r>
      <rPr>
        <rFont val="Arial"/>
        <b/>
        <color theme="1"/>
        <sz val="10.0"/>
      </rPr>
      <t xml:space="preserve">must not </t>
    </r>
    <r>
      <rPr>
        <rFont val="Arial"/>
        <color theme="1"/>
        <sz val="10.0"/>
      </rPr>
      <t>draw more than 1500mA from the USB bus.</t>
    </r>
  </si>
  <si>
    <t>MTR-13394</t>
  </si>
  <si>
    <t>2010 V1</t>
  </si>
  <si>
    <r>
      <rPr>
        <rFont val="Arial"/>
        <color theme="1"/>
        <sz val="10.0"/>
      </rPr>
      <t xml:space="preserve">The device </t>
    </r>
    <r>
      <rPr>
        <rFont val="Arial"/>
        <b/>
        <color theme="1"/>
        <sz val="10.0"/>
      </rPr>
      <t xml:space="preserve">should </t>
    </r>
    <r>
      <rPr>
        <rFont val="Arial"/>
        <color theme="1"/>
        <sz val="10.0"/>
      </rPr>
      <t>charge efficiently and safely when connected to any USB-compliant charging source including those capable of delivering up to 1500mA</t>
    </r>
  </si>
  <si>
    <t>MTR-31732</t>
  </si>
  <si>
    <r>
      <rPr>
        <rFont val="Arial"/>
        <color theme="1"/>
        <sz val="10.0"/>
      </rPr>
      <t xml:space="preserve">The device supports </t>
    </r>
    <r>
      <rPr>
        <rFont val="Arial"/>
        <b/>
        <color theme="1"/>
        <sz val="10.0"/>
      </rPr>
      <t>USB power delivery</t>
    </r>
    <r>
      <rPr>
        <rFont val="Arial"/>
        <color theme="1"/>
        <sz val="10.0"/>
      </rPr>
      <t xml:space="preserve"> according to the USB power delivery specification. 
Please specify the supported power level in watts in the "Comments Vendor" field.</t>
    </r>
  </si>
  <si>
    <t>1.0 C wired charge rate</t>
  </si>
  <si>
    <t>MTR-13393</t>
  </si>
  <si>
    <r>
      <rPr>
        <rFont val="Arial"/>
        <b/>
        <color theme="1"/>
        <sz val="10.0"/>
      </rPr>
      <t>3.1.2.2.3</t>
    </r>
    <r>
      <rPr>
        <rFont val="Arial"/>
        <b val="0"/>
        <color theme="1"/>
        <sz val="10.0"/>
      </rPr>
      <t xml:space="preserve"> </t>
    </r>
    <r>
      <rPr>
        <rFont val="Arial"/>
        <b/>
        <color theme="1"/>
        <sz val="10.0"/>
      </rPr>
      <t>USB Speed classes</t>
    </r>
  </si>
  <si>
    <t>MTR-1342</t>
  </si>
  <si>
    <r>
      <rPr>
        <rFont val="Arial"/>
        <b/>
        <color theme="1"/>
        <sz val="10.0"/>
      </rPr>
      <t xml:space="preserve">USB High Speed: </t>
    </r>
    <r>
      <rPr>
        <rFont val="Arial"/>
        <b val="0"/>
        <color theme="1"/>
        <sz val="10.0"/>
      </rPr>
      <t>(OMTP CLD-0080)</t>
    </r>
    <r>
      <rPr>
        <rFont val="Arial"/>
        <b/>
        <color theme="1"/>
        <sz val="10.0"/>
      </rPr>
      <t xml:space="preserve"> </t>
    </r>
    <r>
      <rPr>
        <rFont val="Arial"/>
        <b val="0"/>
        <color theme="1"/>
        <sz val="10.0"/>
      </rPr>
      <t>Devices in certain categories support USB High Speed (480Mb/s) as defined in “Universal Serial Bus Specification 2.0” Section 7.1. Please see the concept classes (device categories) sheet.</t>
    </r>
  </si>
  <si>
    <t>MTR-31731</t>
  </si>
  <si>
    <r>
      <rPr>
        <rFont val="Arial"/>
        <b/>
        <color theme="1"/>
        <sz val="10.0"/>
      </rPr>
      <t>SuperSpeed USB</t>
    </r>
    <r>
      <rPr>
        <rFont val="Arial"/>
        <b val="0"/>
        <color theme="1"/>
        <sz val="10.0"/>
      </rPr>
      <t>: The device supports super speed USB (10 Gbps) as defined in USB 3.1 Gen2 specification.
In case of non-compliances, please list the supported data speed class in the "Comments Vendor" field.</t>
    </r>
  </si>
  <si>
    <t>USB-C 3.2 Gen2x1 (10 Gbps)</t>
  </si>
  <si>
    <t>MTR-30956</t>
  </si>
  <si>
    <t>The device supports at least USB version 3.0 or higher.
Please state in the "Comments vendor" field the supported USB versions.</t>
  </si>
  <si>
    <t>MTR-8878</t>
  </si>
  <si>
    <r>
      <rPr>
        <rFont val="Arial"/>
        <b/>
        <color theme="1"/>
        <sz val="10.0"/>
      </rPr>
      <t>3.1.2.3</t>
    </r>
    <r>
      <rPr>
        <rFont val="Arial"/>
        <b val="0"/>
        <color theme="1"/>
        <sz val="10.0"/>
      </rPr>
      <t xml:space="preserve"> </t>
    </r>
    <r>
      <rPr>
        <rFont val="Arial"/>
        <b/>
        <color theme="1"/>
        <sz val="10.0"/>
      </rPr>
      <t>General</t>
    </r>
  </si>
  <si>
    <t>MTR-35727</t>
  </si>
  <si>
    <t>USB-C with DP (Alternative Mode) for external displays with a resolution of 3840*1080 is supported.</t>
  </si>
  <si>
    <t>MTR-39689</t>
  </si>
  <si>
    <t>Display Port over USB-C is supported. Please provide Display Port version in Comments Vendor field.</t>
  </si>
  <si>
    <t>MTR-36077</t>
  </si>
  <si>
    <r>
      <rPr>
        <rFont val="Arial"/>
        <b/>
        <color theme="1"/>
        <sz val="10.0"/>
      </rPr>
      <t>3.1.3</t>
    </r>
    <r>
      <rPr>
        <rFont val="Arial"/>
        <b val="0"/>
        <color theme="1"/>
        <sz val="10.0"/>
      </rPr>
      <t xml:space="preserve"> </t>
    </r>
    <r>
      <rPr>
        <rFont val="Arial"/>
        <b/>
        <color theme="1"/>
        <sz val="10.0"/>
      </rPr>
      <t>WiFi/WLAN</t>
    </r>
  </si>
  <si>
    <t>MTR-33033</t>
  </si>
  <si>
    <t>The terminal SHALL be in compliance with the 802.11-2016 standard issued by IEEE.</t>
  </si>
  <si>
    <t>MTR-32996</t>
  </si>
  <si>
    <r>
      <rPr>
        <rFont val="Arial"/>
        <b/>
        <color theme="1"/>
        <sz val="10.0"/>
      </rPr>
      <t>3.1.3.1</t>
    </r>
    <r>
      <rPr>
        <rFont val="Arial"/>
        <b val="0"/>
        <color theme="1"/>
        <sz val="10.0"/>
      </rPr>
      <t xml:space="preserve"> </t>
    </r>
    <r>
      <rPr>
        <rFont val="Arial"/>
        <b/>
        <color theme="1"/>
        <sz val="10.0"/>
      </rPr>
      <t>User Interface Requirements</t>
    </r>
  </si>
  <si>
    <t>MTR-32997</t>
  </si>
  <si>
    <t>The device shall provide an area in which the user can 
   - Acitvate/deactivate WLAN 
   - Retrieve WLAN connection status information, e.g. SSID, signal strength, IP addresses amongst others
   - Connect /disconnect to WLAN networks in range</t>
  </si>
  <si>
    <t>MTR-32998</t>
  </si>
  <si>
    <t>The device shall notify the user of all available Wi-Fi networks. No filtering, blacklisting or proprietary priorisation shall be applied.</t>
  </si>
  <si>
    <t>No filtering, blacklisting or proprietary priorisation applied.</t>
  </si>
  <si>
    <t>MTR-28211</t>
  </si>
  <si>
    <r>
      <rPr>
        <rFont val="Arial"/>
        <b/>
        <color theme="1"/>
        <sz val="10.0"/>
      </rPr>
      <t>3.1.3.2</t>
    </r>
    <r>
      <rPr>
        <rFont val="Arial"/>
        <b val="0"/>
        <color theme="1"/>
        <sz val="10.0"/>
      </rPr>
      <t xml:space="preserve"> </t>
    </r>
    <r>
      <rPr>
        <rFont val="Arial"/>
        <b/>
        <color theme="1"/>
        <sz val="10.0"/>
      </rPr>
      <t>Configuration</t>
    </r>
  </si>
  <si>
    <t>MTR-28212</t>
  </si>
  <si>
    <t>The WLAN default configuration is applied according to DTAG's preferences as part of the terminal's customization and according to Deutsche Telekom International Settings Document [TISD]:
- WLAN activated
- Pre-configuration of Wi-Fi profiles
- Pre-configured network SSIDs SHALL be set to status "already paired once".
Important note: Wi-Fi profiles shall be implemented in a way, that the SSIDs of those profiles are handled as if the device on an operating system level has already connected to it. Do not implement this features as if the user has manually connected to the SSIDs of the Wi-Fi profiles as this will block them from being handled via respective APIs.</t>
  </si>
  <si>
    <t>No SSID customization or preferences but Google does bias connections to effective WLANs to improve customer experience.
 User can still access EAP WiFi manually, once connected the settings are retained.</t>
  </si>
  <si>
    <t>MTR-31260</t>
  </si>
  <si>
    <t>WiFi scanning deactivated: By default the setting WiFi scan shall be off e.g. Android setting "WiFi/Advanced/Always allow scanning" shall not be ticked unless requested for a NatCo by DT’s International Settings Document or manually changed by the user.</t>
  </si>
  <si>
    <t>Google keep it on as default to improve location accuracy, especially for ELS.
 Google does not support to customize this settings</t>
  </si>
  <si>
    <t>MTR-1229</t>
  </si>
  <si>
    <t>The terminal shall restore the pre-configured Wi-Fi profiles according to the Deutsche Telekom International Settings Document [TISD] (MTR-28212) after a factory reset.</t>
  </si>
  <si>
    <t>MTR-1226</t>
  </si>
  <si>
    <r>
      <rPr>
        <rFont val="Arial"/>
        <b/>
        <color theme="1"/>
        <sz val="10.0"/>
      </rPr>
      <t>3.1.3.3</t>
    </r>
    <r>
      <rPr>
        <rFont val="Arial"/>
        <b val="0"/>
        <color theme="1"/>
        <sz val="10.0"/>
      </rPr>
      <t xml:space="preserve"> </t>
    </r>
    <r>
      <rPr>
        <rFont val="Arial"/>
        <b/>
        <color theme="1"/>
        <sz val="10.0"/>
      </rPr>
      <t>Network Selection</t>
    </r>
  </si>
  <si>
    <t>MTR-32784</t>
  </si>
  <si>
    <t>Please indicate the implemented algorithm/mechanism for WiFi network selection and prioritisarion in the "Comments Vendor" field.
Note: Responses can be a reference to OS standard implementations (e.g. Google QNS). In case of proprietary implementations, a separate document describing the solution shall be submitted.</t>
  </si>
  <si>
    <t>Google QNS</t>
  </si>
  <si>
    <t>MTR-1233</t>
  </si>
  <si>
    <r>
      <rPr>
        <rFont val="Arial"/>
        <b/>
        <color theme="1"/>
        <sz val="10.0"/>
      </rPr>
      <t>3.1.3.4</t>
    </r>
    <r>
      <rPr>
        <rFont val="Arial"/>
        <b val="0"/>
        <color theme="1"/>
        <sz val="10.0"/>
      </rPr>
      <t xml:space="preserve"> </t>
    </r>
    <r>
      <rPr>
        <rFont val="Arial"/>
        <b/>
        <color theme="1"/>
        <sz val="10.0"/>
      </rPr>
      <t>General Technical Requirements</t>
    </r>
  </si>
  <si>
    <t>MTR-28314</t>
  </si>
  <si>
    <t>The terminal is Wi-Fi 4 (802.11n) compliant and supports also 5 GHz frequency band.</t>
  </si>
  <si>
    <t>MTR-30693</t>
  </si>
  <si>
    <t>The terminal is Wi-Fi 5 (802.11ac) compliant. 
The vendor is asked to state the support of 160MHz bandwidth and of Wave 2 in the Comments Vendor field.</t>
  </si>
  <si>
    <t>WiFi 5, WiFi 6, WiFi 6E, WiFi 7</t>
  </si>
  <si>
    <t>MTR-33295</t>
  </si>
  <si>
    <t>The terminal is Wi-Fi 6 (802.11ax) compliant.
The device can connect and operate over Wi-Fi 6 as a client with Wi-Fi 6 capable Access points.</t>
  </si>
  <si>
    <t>WiFi 6, WiFi 6E, WiFi 7</t>
  </si>
  <si>
    <t>Support Wi-Fi 6E</t>
  </si>
  <si>
    <t>MTR-38808</t>
  </si>
  <si>
    <t>The terminal is Wi-Fi 6 certified.
Please state the supported Wi-Fi 6 Release version in Comments Vendor field.</t>
  </si>
  <si>
    <t>MTR-36123</t>
  </si>
  <si>
    <t>The device supports Wifi 6E (802.11ax + 6 GHz band).
The device can connect and operate over Wi-Fi 6e as a client with Wi-Fi 6 capable Access points.</t>
  </si>
  <si>
    <t>WiFi 6E, WiFi 7</t>
  </si>
  <si>
    <t>MTR-31989</t>
  </si>
  <si>
    <t>The device supports Wi-Fi with 2 antennas and 2x2 MIMO.</t>
  </si>
  <si>
    <t>MTR-39166</t>
  </si>
  <si>
    <t>The device supports Wi-Fi with 4 antennas and 4x4 MIMO.</t>
  </si>
  <si>
    <t>MTR-39212</t>
  </si>
  <si>
    <t>The terminal is Wi-Fi 7 (802.11be) compliant and certified.</t>
  </si>
  <si>
    <t>MTR-34716</t>
  </si>
  <si>
    <t>The terminal may indicate the supported Wi-Fi status (Wi-Fi 4/5/6/7) in the Wi-Fi logo displayed in the status line in the upper part of the display.</t>
  </si>
  <si>
    <t>Not support specific icon to display supported Wi-F</t>
  </si>
  <si>
    <t>MTR-31988</t>
  </si>
  <si>
    <t>The terminal provides a WLAN radio interface in compliance with the mandatory parts of IEEE 802.11ad (WiGig, 60 GHz band).</t>
  </si>
  <si>
    <t>MTR-34713</t>
  </si>
  <si>
    <t>The terminal provides a WLAN radio interface in compliance with the mandatory parts of IEEE 802.11ay (WiGig, 60 GHz band).</t>
  </si>
  <si>
    <t>MTR-30691</t>
  </si>
  <si>
    <t>The terminal provides a WLAN radio interface in compliance with the mandatory parts of IEEE 802.11r (Fast BSS Transition).
Note: 802.11r is prerequisite to fully utilise public WLAN controller and private mesh network installations and provide best customer experience.</t>
  </si>
  <si>
    <t>MTR-30692</t>
  </si>
  <si>
    <t>The terminal provides a WLAN radio interface in compliance with the mandatory parts of IEEE 802.11k (Radio Resource Management).
Note: 802.11k is prerequisite to fully utilise public WLAN controller and private mesh network installations and provide best customer experience.</t>
  </si>
  <si>
    <t>MTR-32992</t>
  </si>
  <si>
    <t>The terminal provides a WLAN radio interface in compliance with the mandatory parts of IEEE 802.11v (Wireless Network Management).
Note: 802.11v is prerequisite to fully utilise public WLAN controller and private mesh network installations and provide best customer experience.</t>
  </si>
  <si>
    <t>MTR-34714</t>
  </si>
  <si>
    <t>The terminal provides a WLAN radio interface in compliance with the mandatory parts of IEEE 802.11e.</t>
  </si>
  <si>
    <t>MTR-34715</t>
  </si>
  <si>
    <t>The terminal provides a WLAN radio interface in compliance with the mandatory parts of IEEE 802.11u.</t>
  </si>
  <si>
    <t>MTR-1259</t>
  </si>
  <si>
    <r>
      <rPr>
        <rFont val="Arial"/>
        <b/>
        <color theme="1"/>
        <sz val="10.0"/>
      </rPr>
      <t>3.1.3.5</t>
    </r>
    <r>
      <rPr>
        <rFont val="Arial"/>
        <b val="0"/>
        <color theme="1"/>
        <sz val="10.0"/>
      </rPr>
      <t xml:space="preserve"> </t>
    </r>
    <r>
      <rPr>
        <rFont val="Arial"/>
        <b/>
        <color theme="1"/>
        <sz val="10.0"/>
      </rPr>
      <t>Authentication</t>
    </r>
  </si>
  <si>
    <t>MTR-1260</t>
  </si>
  <si>
    <t>The terminal supports EAP-SIM (RFC 4186) in conjunction with 802.1X and RSN.</t>
  </si>
  <si>
    <t>MTR-28152</t>
  </si>
  <si>
    <t>The terminal supports the use of fast-reauthentication as defined in RFC 4186.</t>
  </si>
  <si>
    <t>MTR-26844</t>
  </si>
  <si>
    <t>The terminal supports EAP-AKA (RFC 4187) in conjunction with 802.1X and RSN.</t>
  </si>
  <si>
    <t>MTR-28155</t>
  </si>
  <si>
    <t>The terminal supports fast-reauthentication as defined in RFC 4187.</t>
  </si>
  <si>
    <t>MTR-1264</t>
  </si>
  <si>
    <r>
      <rPr>
        <rFont val="Arial"/>
        <b/>
        <color theme="1"/>
        <sz val="10.0"/>
      </rPr>
      <t>3.1.3.6</t>
    </r>
    <r>
      <rPr>
        <rFont val="Arial"/>
        <b val="0"/>
        <color theme="1"/>
        <sz val="10.0"/>
      </rPr>
      <t xml:space="preserve"> </t>
    </r>
    <r>
      <rPr>
        <rFont val="Arial"/>
        <b/>
        <color theme="1"/>
        <sz val="10.0"/>
      </rPr>
      <t>API Requirements</t>
    </r>
  </si>
  <si>
    <t>MTR-31380</t>
  </si>
  <si>
    <r>
      <rPr>
        <rFont val="Arial"/>
        <b/>
        <color theme="1"/>
        <sz val="10.0"/>
      </rPr>
      <t>3.1.3.7</t>
    </r>
    <r>
      <rPr>
        <rFont val="Arial"/>
        <b val="0"/>
        <color theme="1"/>
        <sz val="10.0"/>
      </rPr>
      <t xml:space="preserve"> </t>
    </r>
    <r>
      <rPr>
        <rFont val="Arial"/>
        <b/>
        <color theme="1"/>
        <sz val="10.0"/>
      </rPr>
      <t>Wi-Fi Direct</t>
    </r>
  </si>
  <si>
    <t>MTR-31384</t>
  </si>
  <si>
    <t>If Wi-Fi Direct™ is supported, the terminal shall be able to activate or deactivate the Wi-Fi Direct™ function.</t>
  </si>
  <si>
    <t>MTR-39690</t>
  </si>
  <si>
    <t>Miracast is supported.</t>
  </si>
  <si>
    <t>MTR-29024</t>
  </si>
  <si>
    <r>
      <rPr>
        <rFont val="Arial"/>
        <b/>
        <color theme="1"/>
        <sz val="10.0"/>
      </rPr>
      <t>3.1.4</t>
    </r>
    <r>
      <rPr>
        <rFont val="Arial"/>
        <b val="0"/>
        <color theme="1"/>
        <sz val="10.0"/>
      </rPr>
      <t xml:space="preserve"> </t>
    </r>
    <r>
      <rPr>
        <rFont val="Arial"/>
        <b/>
        <color theme="1"/>
        <sz val="10.0"/>
      </rPr>
      <t>Tethering</t>
    </r>
  </si>
  <si>
    <t>MTR-29025</t>
  </si>
  <si>
    <t>The device is able to tether to a computer via USB cable through a " USB Tethering " menu.</t>
  </si>
  <si>
    <t>MTR-29026</t>
  </si>
  <si>
    <t>The device is able to tether to a computer via Bluetooth through a " Bluetooth Tethering " menu.</t>
  </si>
  <si>
    <t>MTR-29027</t>
  </si>
  <si>
    <t>The device is able to do Wi-Fi tethering / sharing with computer or other Wi-Fi devices through a "Wi-Fi Sharing / hotspot " menu and assigning a network name (SSID) by default to device name.</t>
  </si>
  <si>
    <t>MTR-29028</t>
  </si>
  <si>
    <t>When using Wifi sharing, security must be activated by default to "WPA" with options for "WPA2", WEP, and unsecured and assigning a user configurable default Wifi password.</t>
  </si>
  <si>
    <t>MTR-38803</t>
  </si>
  <si>
    <t>Please state all supported Wi-Fi technologies for "Wi-Fi Sharing /hotspot" e.g. Wi-Fi 4, 5, 6, 6e.....</t>
  </si>
  <si>
    <t>WiFi 6e</t>
  </si>
  <si>
    <t>WiFi 4, WiFi 5, WiFi 6, WiFi 6e, WiFi 7</t>
  </si>
  <si>
    <t>MTR-34674</t>
  </si>
  <si>
    <t>In case of tethering support via Wifi, the support shall be limited to the 5GHz spectrum band.</t>
  </si>
  <si>
    <t>MTR-35726</t>
  </si>
  <si>
    <t>The device support external displays via HDCP (High-bandwidth Digital Content Protection) 2.x over wired HDMI, e.g. via USB-C.
Please list the supported means both wired and wireless in case HDCP is supported in the "Comments Vendor" field.</t>
  </si>
  <si>
    <t>MTR-35730</t>
  </si>
  <si>
    <t>The device is able to provide 1.5A peak current as source via cable for accessory devices e.g. glasses.</t>
  </si>
  <si>
    <t>MTR-38538</t>
  </si>
  <si>
    <t>Devices using the Qualcomm Snapdragon 8 generation 1 or newer are "spaces ready" certified by Qualcomm.</t>
  </si>
  <si>
    <t>MTR-32354</t>
  </si>
  <si>
    <r>
      <rPr>
        <rFont val="Arial"/>
        <b/>
        <color theme="1"/>
        <sz val="10.0"/>
      </rPr>
      <t>3.1.5</t>
    </r>
    <r>
      <rPr>
        <rFont val="Arial"/>
        <b val="0"/>
        <color theme="1"/>
        <sz val="10.0"/>
      </rPr>
      <t xml:space="preserve"> </t>
    </r>
    <r>
      <rPr>
        <rFont val="Arial"/>
        <b/>
        <color theme="1"/>
        <sz val="10.0"/>
      </rPr>
      <t>MirrorLink</t>
    </r>
  </si>
  <si>
    <t>MTR-9246</t>
  </si>
  <si>
    <r>
      <rPr>
        <rFont val="Arial"/>
        <b/>
        <color theme="1"/>
        <sz val="10.0"/>
      </rPr>
      <t>3.1.6</t>
    </r>
    <r>
      <rPr>
        <rFont val="Arial"/>
        <b val="0"/>
        <color theme="1"/>
        <sz val="10.0"/>
      </rPr>
      <t xml:space="preserve"> </t>
    </r>
    <r>
      <rPr>
        <rFont val="Arial"/>
        <b/>
        <color theme="1"/>
        <sz val="10.0"/>
      </rPr>
      <t>NFC</t>
    </r>
  </si>
  <si>
    <t>MTR-31053</t>
  </si>
  <si>
    <t>The device has an NFC controller.</t>
  </si>
  <si>
    <t>MTR-30789</t>
  </si>
  <si>
    <t>The OS supports HCE (Host Card Emulation)</t>
  </si>
  <si>
    <t>MTR-29750</t>
  </si>
  <si>
    <t>[TS26_NFC_REQ_045]
For Handling logical channel, Baseband SHALL provide interfaces based on either the following AT commands or equivalent functionality:
 • AT+CCHO
 • AT+CCHC 
 • AT+CGLA</t>
  </si>
  <si>
    <t>MTR-28859</t>
  </si>
  <si>
    <t>The mobile terminal SHALL have successfully undergone the Mobile MasterCard® PayPass™ Testing and Approvals Process, which is to be proven through a Mobile MasterCard® PayPass™ Letter of Approval. Further reference information can be obtained directly from MasterCard Worldwide.</t>
  </si>
  <si>
    <t>Google Pay supports Emulation of closed loop cards and Account-based cards with tokens on the phone</t>
  </si>
  <si>
    <t>MTR-28860</t>
  </si>
  <si>
    <t>The mobile terminal SHALL meet the conditions for a Visa Compliant Product, which is to be proven through a Letter of Compliance issued by Visa Approval Services. Further reference information can be obtained directly from Visa.</t>
  </si>
  <si>
    <t>MTR-19735</t>
  </si>
  <si>
    <t>NFC proximity antenna implementation according to EMVCo EMV Contactless Communication Protocol Spec.</t>
  </si>
  <si>
    <t>MTR-39825</t>
  </si>
  <si>
    <r>
      <rPr>
        <rFont val="Arial"/>
        <b/>
        <color theme="1"/>
        <sz val="10.0"/>
      </rPr>
      <t>3.1.8</t>
    </r>
    <r>
      <rPr>
        <rFont val="Arial"/>
        <b val="0"/>
        <color theme="1"/>
        <sz val="10.0"/>
      </rPr>
      <t xml:space="preserve"> </t>
    </r>
    <r>
      <rPr>
        <rFont val="Arial"/>
        <b/>
        <color theme="1"/>
        <sz val="10.0"/>
      </rPr>
      <t>Non-Terrestrial Networks (NTN)</t>
    </r>
  </si>
  <si>
    <t>MTR-39827</t>
  </si>
  <si>
    <r>
      <rPr>
        <rFont val="Arial"/>
        <color theme="1"/>
        <sz val="10.0"/>
      </rPr>
      <t xml:space="preserve">The device supports </t>
    </r>
    <r>
      <rPr>
        <rFont val="Arial"/>
        <b/>
        <color theme="1"/>
        <sz val="10.0"/>
      </rPr>
      <t>services via Non-Terrestrial Networks (NTN)</t>
    </r>
    <r>
      <rPr>
        <rFont val="Arial"/>
        <color theme="1"/>
        <sz val="10.0"/>
      </rPr>
      <t>.
Please indicate the supported use cases in "Comments Vendor", e.g. Messaging, Data, Voice etc.</t>
    </r>
  </si>
  <si>
    <t>NTN Not enabled for EMEA at launch</t>
  </si>
  <si>
    <t>MTR-39828</t>
  </si>
  <si>
    <r>
      <rPr>
        <rFont val="Arial"/>
        <color theme="1"/>
        <sz val="10.0"/>
      </rPr>
      <t xml:space="preserve">The device supports </t>
    </r>
    <r>
      <rPr>
        <rFont val="Arial"/>
        <b/>
        <color theme="1"/>
        <sz val="10.0"/>
      </rPr>
      <t>3GPP standardized NTN</t>
    </r>
    <r>
      <rPr>
        <rFont val="Arial"/>
        <color theme="1"/>
        <sz val="10.0"/>
      </rPr>
      <t xml:space="preserve"> services.
Please indicate the supported technology and 3GPP release in "Comments Vendor", e.g. 3GPP Rel. 17 IOT-NTN + NR-NTN</t>
    </r>
  </si>
  <si>
    <t>MTR-39829</t>
  </si>
  <si>
    <r>
      <rPr>
        <rFont val="Arial"/>
        <color theme="1"/>
        <sz val="10.0"/>
      </rPr>
      <t>Please indicate the supported</t>
    </r>
    <r>
      <rPr>
        <rFont val="Arial"/>
        <b/>
        <color theme="1"/>
        <sz val="10.0"/>
      </rPr>
      <t xml:space="preserve"> type(s) of satellite setups</t>
    </r>
    <r>
      <rPr>
        <rFont val="Arial"/>
        <color theme="1"/>
        <sz val="10.0"/>
      </rPr>
      <t xml:space="preserve"> in "Comments Vendor", e.g. GEO, MEO, LEO, etc.</t>
    </r>
  </si>
  <si>
    <t>NTN Not enabled for EMEA at launch. GEO</t>
  </si>
  <si>
    <t>MTR-39830</t>
  </si>
  <si>
    <r>
      <rPr>
        <rFont val="Arial"/>
        <color theme="1"/>
        <sz val="10.0"/>
      </rPr>
      <t xml:space="preserve">Please indicate the </t>
    </r>
    <r>
      <rPr>
        <rFont val="Arial"/>
        <b/>
        <color theme="1"/>
        <sz val="10.0"/>
      </rPr>
      <t>Satellite Operator partner</t>
    </r>
    <r>
      <rPr>
        <rFont val="Arial"/>
        <color theme="1"/>
        <sz val="10.0"/>
      </rPr>
      <t xml:space="preserve"> in "Comments Vendor".
e.g. Globalstar, Iridium, Ast, Lynk, Starlink, Inmarsat, OneWeb, Omnispace</t>
    </r>
  </si>
  <si>
    <t>NTN Not enabled for EMEA at launch. Skylo</t>
  </si>
  <si>
    <t>MTR-39941</t>
  </si>
  <si>
    <r>
      <rPr>
        <rFont val="Arial"/>
        <color theme="1"/>
        <sz val="10.0"/>
      </rPr>
      <t xml:space="preserve">Please indicate the </t>
    </r>
    <r>
      <rPr>
        <rFont val="Arial"/>
        <b/>
        <color theme="1"/>
        <sz val="10.0"/>
      </rPr>
      <t>Satellite Network Abstraction Layer partner</t>
    </r>
    <r>
      <rPr>
        <rFont val="Arial"/>
        <color theme="1"/>
        <sz val="10.0"/>
      </rPr>
      <t xml:space="preserve"> in "Comments Vendor".
e.g. Skylo</t>
    </r>
  </si>
  <si>
    <t>2 Basic Enablers</t>
  </si>
  <si>
    <t>MTR-1712</t>
  </si>
  <si>
    <r>
      <rPr>
        <rFont val="Arial"/>
        <b/>
        <color theme="1"/>
        <sz val="10.0"/>
      </rPr>
      <t>3.2</t>
    </r>
    <r>
      <rPr>
        <rFont val="Arial"/>
        <b val="0"/>
        <color theme="1"/>
        <sz val="10.0"/>
      </rPr>
      <t xml:space="preserve"> </t>
    </r>
    <r>
      <rPr>
        <rFont val="Arial"/>
        <b/>
        <color theme="1"/>
        <sz val="10.0"/>
      </rPr>
      <t>Basic Enablers</t>
    </r>
  </si>
  <si>
    <t>MTR-1348</t>
  </si>
  <si>
    <r>
      <rPr>
        <rFont val="Arial"/>
        <b/>
        <color theme="1"/>
        <sz val="10.0"/>
      </rPr>
      <t>3.2.1</t>
    </r>
    <r>
      <rPr>
        <rFont val="Arial"/>
        <b val="0"/>
        <color theme="1"/>
        <sz val="10.0"/>
      </rPr>
      <t xml:space="preserve"> </t>
    </r>
    <r>
      <rPr>
        <rFont val="Arial"/>
        <b/>
        <color theme="1"/>
        <sz val="10.0"/>
      </rPr>
      <t>Display</t>
    </r>
  </si>
  <si>
    <t>MTR-1349</t>
  </si>
  <si>
    <r>
      <rPr>
        <rFont val="Arial"/>
        <b/>
        <color theme="1"/>
        <sz val="10.0"/>
      </rPr>
      <t>3.2.1.1</t>
    </r>
    <r>
      <rPr>
        <rFont val="Arial"/>
        <b val="0"/>
        <color theme="1"/>
        <sz val="10.0"/>
      </rPr>
      <t xml:space="preserve"> </t>
    </r>
    <r>
      <rPr>
        <rFont val="Arial"/>
        <b/>
        <color theme="1"/>
        <sz val="10.0"/>
      </rPr>
      <t>General Requirements</t>
    </r>
  </si>
  <si>
    <t>MTR-13373</t>
  </si>
  <si>
    <r>
      <rPr>
        <rFont val="Arial"/>
        <b/>
        <color theme="1"/>
        <sz val="10.0"/>
      </rPr>
      <t>Display Type (main)</t>
    </r>
    <r>
      <rPr>
        <rFont val="Arial"/>
        <b val="0"/>
        <color theme="1"/>
        <sz val="10.0"/>
      </rPr>
      <t xml:space="preserve">
Please provide a description of the display technology used for the Main display in the "Comments Vendor" field:</t>
    </r>
    <r>
      <rPr>
        <rFont val="Arial"/>
        <b val="0"/>
        <i/>
        <color theme="1"/>
        <sz val="10.0"/>
      </rPr>
      <t xml:space="preserve"> i.e. Transflective LTPS TFT</t>
    </r>
    <r>
      <rPr>
        <rFont val="Arial"/>
        <b val="0"/>
        <color theme="1"/>
        <sz val="10.0"/>
      </rPr>
      <t>, AMOLED</t>
    </r>
  </si>
  <si>
    <t>Enablers</t>
  </si>
  <si>
    <t>pOLED</t>
  </si>
  <si>
    <t>MTR-39779</t>
  </si>
  <si>
    <r>
      <rPr>
        <rFont val="Arial"/>
        <b/>
        <color theme="1"/>
        <sz val="10.0"/>
      </rPr>
      <t>Display Glas Protection Type and class</t>
    </r>
    <r>
      <rPr>
        <rFont val="Arial"/>
        <b val="0"/>
        <color theme="1"/>
        <sz val="10.0"/>
      </rPr>
      <t xml:space="preserve">
Please provide a description of the protection type/class of the display glas in "Comments Vendor".</t>
    </r>
  </si>
  <si>
    <t>2D Gorilla glass</t>
  </si>
  <si>
    <t>MTR-39780</t>
  </si>
  <si>
    <r>
      <rPr>
        <rFont val="Arial"/>
        <b/>
        <color theme="1"/>
        <sz val="10.0"/>
      </rPr>
      <t>Display Refresh Rate</t>
    </r>
    <r>
      <rPr>
        <rFont val="Arial"/>
        <b val="0"/>
        <color theme="1"/>
        <sz val="10.0"/>
      </rPr>
      <t xml:space="preserve">
Please provide the refresh rate of the main screen in "Comments Vendor".</t>
    </r>
  </si>
  <si>
    <t>60/120Hz</t>
  </si>
  <si>
    <t>MTR-39796</t>
  </si>
  <si>
    <r>
      <rPr>
        <rFont val="Arial"/>
        <b/>
        <color theme="1"/>
        <sz val="10.0"/>
      </rPr>
      <t>Screen to Body ratio</t>
    </r>
    <r>
      <rPr>
        <rFont val="Arial"/>
        <b val="0"/>
        <color theme="1"/>
        <sz val="10.0"/>
      </rPr>
      <t xml:space="preserve">
Please provide the value of screen to body ratio in "Comments Vendor".</t>
    </r>
  </si>
  <si>
    <t>AA/Phone profile =&gt; 83%
AA/ CG =&gt;87%</t>
  </si>
  <si>
    <t>MTR-18800</t>
  </si>
  <si>
    <r>
      <rPr>
        <rFont val="Arial"/>
        <b/>
        <color theme="1"/>
        <sz val="10.0"/>
      </rPr>
      <t>Display Type (secondary)</t>
    </r>
    <r>
      <rPr>
        <rFont val="Arial"/>
        <b val="0"/>
        <color theme="1"/>
        <sz val="10.0"/>
      </rPr>
      <t xml:space="preserve">
If another display is provided, please provide a description of the display technology used for the Secondary display in the "Comments Vendor" field:</t>
    </r>
    <r>
      <rPr>
        <rFont val="Arial"/>
        <b val="0"/>
        <i/>
        <color theme="1"/>
        <sz val="10.0"/>
      </rPr>
      <t xml:space="preserve"> i.e. Transflective LTPS TFT</t>
    </r>
    <r>
      <rPr>
        <rFont val="Arial"/>
        <b val="0"/>
        <color theme="1"/>
        <sz val="10.0"/>
      </rPr>
      <t>, AMOLED</t>
    </r>
  </si>
  <si>
    <t>NA</t>
  </si>
  <si>
    <t>MTR-18794</t>
  </si>
  <si>
    <r>
      <rPr>
        <rFont val="Arial"/>
        <b/>
        <color theme="1"/>
        <sz val="10.0"/>
      </rPr>
      <t>Main screen size (inches)</t>
    </r>
    <r>
      <rPr>
        <rFont val="Arial"/>
        <b val="0"/>
        <color theme="1"/>
        <sz val="10.0"/>
      </rPr>
      <t>: 
 Please provide the main screen size in inch and screen body ration in % in the "Comments Vendor".</t>
    </r>
  </si>
  <si>
    <t>6.285"</t>
  </si>
  <si>
    <t>MTR-18797</t>
  </si>
  <si>
    <r>
      <rPr>
        <rFont val="Arial"/>
        <b/>
        <color theme="1"/>
        <sz val="10.0"/>
      </rPr>
      <t>Main screen resolution (pixels)</t>
    </r>
    <r>
      <rPr>
        <rFont val="Arial"/>
        <b val="0"/>
        <color theme="1"/>
        <sz val="10.0"/>
      </rPr>
      <t>: Please provide the main screen resolution
 in the "Comments Vendor".</t>
    </r>
  </si>
  <si>
    <t>1080 x 2424</t>
  </si>
  <si>
    <t>1080 x 2400</t>
  </si>
  <si>
    <t>MTR-39795</t>
  </si>
  <si>
    <r>
      <rPr>
        <rFont val="Arial"/>
        <b/>
        <color theme="1"/>
        <sz val="10.0"/>
      </rPr>
      <t>Main screen brightness (typical, Min, Max values)</t>
    </r>
    <r>
      <rPr>
        <rFont val="Arial"/>
        <b val="0"/>
        <color theme="1"/>
        <sz val="10.0"/>
      </rPr>
      <t xml:space="preserve">
Please provide the information in the "Comments Vendor".</t>
    </r>
  </si>
  <si>
    <t>1000 nits (Normal)
1800 nits (HBM)
2700 nits (Peak)</t>
  </si>
  <si>
    <t>MTR-18796</t>
  </si>
  <si>
    <r>
      <rPr>
        <rFont val="Arial"/>
        <b/>
        <color theme="1"/>
        <sz val="10.0"/>
      </rPr>
      <t>Main screen colour depth (bit, no. of colours)</t>
    </r>
    <r>
      <rPr>
        <rFont val="Arial"/>
        <b val="0"/>
        <color theme="1"/>
        <sz val="10.0"/>
      </rPr>
      <t xml:space="preserve">
Please provide the following information in the "Comments Vendor".</t>
    </r>
  </si>
  <si>
    <t>24 bit</t>
  </si>
  <si>
    <t>MTR-31750</t>
  </si>
  <si>
    <t>Screen contrast ratio [bit, no. of colours], if applicable</t>
  </si>
  <si>
    <t>&gt; 1,000,000:1</t>
  </si>
  <si>
    <t>MTR-31751</t>
  </si>
  <si>
    <t>Second screen contrast ratio [bit, no. of colours], if applicable</t>
  </si>
  <si>
    <t>MTR-37962</t>
  </si>
  <si>
    <t>Screen brightness in Nits.</t>
  </si>
  <si>
    <t>800 nits (SDR)
1400 nits (HDR)</t>
  </si>
  <si>
    <t>MTR-33195</t>
  </si>
  <si>
    <t>If the main screen provides specific properties or form elements like curved, frameless or cut out areas, please state them in the "Comments Vendor" field.</t>
  </si>
  <si>
    <t>MTR-8739</t>
  </si>
  <si>
    <r>
      <rPr>
        <rFont val="Arial"/>
        <b/>
        <color theme="1"/>
        <sz val="10.0"/>
      </rPr>
      <t>3.2.1.2</t>
    </r>
    <r>
      <rPr>
        <rFont val="Arial"/>
        <b val="0"/>
        <color theme="1"/>
        <sz val="10.0"/>
      </rPr>
      <t xml:space="preserve"> </t>
    </r>
    <r>
      <rPr>
        <rFont val="Arial"/>
        <b/>
        <color theme="1"/>
        <sz val="10.0"/>
      </rPr>
      <t>Touch screen</t>
    </r>
  </si>
  <si>
    <t>MTR-26489</t>
  </si>
  <si>
    <r>
      <rPr>
        <rFont val="Arial"/>
        <b/>
        <color theme="1"/>
        <sz val="10.0"/>
      </rPr>
      <t>A touch screen is supported.</t>
    </r>
    <r>
      <rPr>
        <rFont val="Arial"/>
        <b val="0"/>
        <color theme="1"/>
        <sz val="10.0"/>
      </rPr>
      <t xml:space="preserve">
Please state in the </t>
    </r>
    <r>
      <rPr>
        <rFont val="Arial"/>
        <b/>
        <color theme="1"/>
        <sz val="10.0"/>
      </rPr>
      <t>"Comments Vendor"</t>
    </r>
    <r>
      <rPr>
        <rFont val="Arial"/>
        <b val="0"/>
        <color theme="1"/>
        <sz val="10.0"/>
      </rPr>
      <t xml:space="preserve"> the type of technology which is provided (e.g. OLED).</t>
    </r>
  </si>
  <si>
    <t>MTR-14908</t>
  </si>
  <si>
    <t>If a touch screen is supported the full active area of the display panel must be enabled for touch operation.</t>
  </si>
  <si>
    <t>MTR-33197</t>
  </si>
  <si>
    <t>If the touch screen supports additional functionality like 3D touch force, please state in the "Comments Vendor" field.</t>
  </si>
  <si>
    <t>MTR-1367</t>
  </si>
  <si>
    <r>
      <rPr>
        <rFont val="Arial"/>
        <b/>
        <color theme="1"/>
        <sz val="10.0"/>
      </rPr>
      <t>3.2.2</t>
    </r>
    <r>
      <rPr>
        <rFont val="Arial"/>
        <b val="0"/>
        <color theme="1"/>
        <sz val="10.0"/>
      </rPr>
      <t xml:space="preserve"> </t>
    </r>
    <r>
      <rPr>
        <rFont val="Arial"/>
        <b/>
        <color theme="1"/>
        <sz val="10.0"/>
      </rPr>
      <t>Camera/Camcorder</t>
    </r>
  </si>
  <si>
    <t>MTR-30958</t>
  </si>
  <si>
    <r>
      <rPr>
        <rFont val="Arial"/>
        <b/>
        <color theme="1"/>
        <sz val="10.0"/>
      </rPr>
      <t>Camera orientation / placement</t>
    </r>
    <r>
      <rPr>
        <rFont val="Arial"/>
        <b val="0"/>
        <color theme="1"/>
        <sz val="10.0"/>
      </rPr>
      <t>: The camera is placed on the rear side of the device, opposite to the screen which operates as viewfinder.</t>
    </r>
  </si>
  <si>
    <t>MTR-33198</t>
  </si>
  <si>
    <r>
      <rPr>
        <rFont val="Arial"/>
        <b/>
        <color theme="1"/>
        <sz val="10.0"/>
      </rPr>
      <t>Rear camera:</t>
    </r>
    <r>
      <rPr>
        <rFont val="Arial"/>
        <b val="0"/>
        <color theme="1"/>
        <sz val="10.0"/>
      </rPr>
      <t xml:space="preserve"> Please provide the type and number of camera modules being applied on the device under "Comments Vendor", in particular the sensor resolution in MegaPixel for each camera module.</t>
    </r>
  </si>
  <si>
    <t>Dual Camera System
48 MP wide + 13MP ultrawide</t>
  </si>
  <si>
    <t>Dual Camera System
64MP wide + 13MP ultrawide</t>
  </si>
  <si>
    <t>MTR-39781</t>
  </si>
  <si>
    <t>The main rear camera supports Optical Image Stabilization (OIS)</t>
  </si>
  <si>
    <t>MTR-30959</t>
  </si>
  <si>
    <r>
      <rPr>
        <rFont val="Arial"/>
        <b/>
        <color theme="1"/>
        <sz val="10.0"/>
      </rPr>
      <t>Front facing camera:</t>
    </r>
    <r>
      <rPr>
        <rFont val="Arial"/>
        <b val="0"/>
        <color theme="1"/>
        <sz val="10.0"/>
      </rPr>
      <t xml:space="preserve"> An additional camera is placed on the front side of the device where the viewfinder screen is located, supporting the use case of taking self-images.</t>
    </r>
  </si>
  <si>
    <t>MTR-33199</t>
  </si>
  <si>
    <r>
      <rPr>
        <rFont val="Arial"/>
        <b/>
        <color theme="1"/>
        <sz val="10.0"/>
      </rPr>
      <t>Front camera:</t>
    </r>
    <r>
      <rPr>
        <rFont val="Arial"/>
        <b val="0"/>
        <color theme="1"/>
        <sz val="10.0"/>
      </rPr>
      <t xml:space="preserve"> Please provide the type and number of camera modules being applied on the device under "Comments Vendor", in particular the sensor resolution in MegaPixel for each camera module..</t>
    </r>
  </si>
  <si>
    <t>Single FFC with punch hole</t>
  </si>
  <si>
    <t>MTR-1436</t>
  </si>
  <si>
    <t>H.263 Video recording: The camera application must be able to record video encoded in the H.263/SP format as defined by 3GPP in TS 26.140 (MPEG4 Part 2). At 60 fps at 1080 p resolution is recommended.
Please state in the "Comments Vendor" field supported all video encoding formats, max. frame rate and max. resolution, e.g. H.265, 4K, 30fps.</t>
  </si>
  <si>
    <t>MTR-8919</t>
  </si>
  <si>
    <r>
      <rPr>
        <rFont val="Arial"/>
        <b/>
        <color theme="1"/>
        <sz val="10.0"/>
      </rPr>
      <t xml:space="preserve">H.264 HW Video recording: </t>
    </r>
    <r>
      <rPr>
        <rFont val="Arial"/>
        <b val="0"/>
        <color theme="1"/>
        <sz val="10.0"/>
      </rPr>
      <t>The Camcorder Application must have an option to encode video in the H.264 format in baseline and main profile.</t>
    </r>
  </si>
  <si>
    <t>MTR-35217</t>
  </si>
  <si>
    <t>HEVC HW encoding is supported.</t>
  </si>
  <si>
    <t>MTR-19319</t>
  </si>
  <si>
    <r>
      <rPr>
        <rFont val="Arial"/>
        <b/>
        <color theme="1"/>
        <sz val="10.0"/>
      </rPr>
      <t>3.2.3</t>
    </r>
    <r>
      <rPr>
        <rFont val="Arial"/>
        <b val="0"/>
        <color theme="1"/>
        <sz val="10.0"/>
      </rPr>
      <t xml:space="preserve"> </t>
    </r>
    <r>
      <rPr>
        <rFont val="Arial"/>
        <b/>
        <color theme="1"/>
        <sz val="10.0"/>
      </rPr>
      <t>Sensors / location</t>
    </r>
  </si>
  <si>
    <t>MTR-19320</t>
  </si>
  <si>
    <r>
      <rPr>
        <rFont val="Arial"/>
        <b/>
        <color theme="1"/>
        <sz val="10.0"/>
      </rPr>
      <t>3.2.3.1</t>
    </r>
    <r>
      <rPr>
        <rFont val="Arial"/>
        <b val="0"/>
        <color theme="1"/>
        <sz val="10.0"/>
      </rPr>
      <t xml:space="preserve"> </t>
    </r>
    <r>
      <rPr>
        <rFont val="Arial"/>
        <b/>
        <strike/>
        <color theme="1"/>
        <sz val="10.0"/>
      </rPr>
      <t>­</t>
    </r>
    <r>
      <rPr>
        <rFont val="Arial"/>
        <b/>
        <color theme="1"/>
        <sz val="10.0"/>
      </rPr>
      <t>Sensor overview</t>
    </r>
  </si>
  <si>
    <t>MTR-29785</t>
  </si>
  <si>
    <t>The device supports device sensors such as accelerometer, gyroscope etc. which can be used by application software.
Please list the supported sensor types in the "Comments Vendor" field.</t>
  </si>
  <si>
    <t>Accel, Gyro, Magnetometer, Prox, ALS, Barometer and HAL</t>
  </si>
  <si>
    <t>MTR-19321</t>
  </si>
  <si>
    <r>
      <rPr>
        <rFont val="Arial"/>
        <b/>
        <color theme="1"/>
        <sz val="10.0"/>
      </rPr>
      <t>3.2.3.2</t>
    </r>
    <r>
      <rPr>
        <rFont val="Arial"/>
        <b val="0"/>
        <color theme="1"/>
        <sz val="10.0"/>
      </rPr>
      <t xml:space="preserve"> </t>
    </r>
    <r>
      <rPr>
        <rFont val="Arial"/>
        <b/>
        <color theme="1"/>
        <sz val="10.0"/>
      </rPr>
      <t>Location / GPS</t>
    </r>
  </si>
  <si>
    <t>MTR-26885</t>
  </si>
  <si>
    <t>The device provides GPS, Galileo, Glonass and Beidou support for use of location based services.</t>
  </si>
  <si>
    <t>GPS+Galileo</t>
  </si>
  <si>
    <t>MTR-19871</t>
  </si>
  <si>
    <t>Information about the GPS chipset manufacturer and the chipset model is provided in the "Comments Vendor" field</t>
  </si>
  <si>
    <t>Integrated</t>
  </si>
  <si>
    <t>MTR-33108</t>
  </si>
  <si>
    <t>List under "Comments Vendor" the supported GNSS frequencies of the chip and state whether the device includes the related antennas.</t>
  </si>
  <si>
    <t>Only L1 support</t>
  </si>
  <si>
    <t>MTR-29786</t>
  </si>
  <si>
    <t>Galileo and Beidou information are used in addition to GPS to generate more accurate location information.
Provide more information about these additional GNSS in the "Comments Vendor" field.</t>
  </si>
  <si>
    <t>GPS, GLONASS, Gaileo, BeiDou</t>
  </si>
  <si>
    <t>MTR-39776</t>
  </si>
  <si>
    <t>The GNSS chipsets supports DGNSS-MSM1 correction messages:
RTCM v3.1 messages 1006, 1008, 1019, 1020, 1033, 1042, 1046
RTCM v3.2 MSM1 group messages 1071, 1091, 1121</t>
  </si>
  <si>
    <t>MTR-39777</t>
  </si>
  <si>
    <t>Please provide information of additional Power Consumption when using DGNSS.</t>
  </si>
  <si>
    <t>MTR-4894</t>
  </si>
  <si>
    <r>
      <rPr>
        <rFont val="Arial"/>
        <b/>
        <color theme="1"/>
        <sz val="10.0"/>
      </rPr>
      <t>3.2.4</t>
    </r>
    <r>
      <rPr>
        <rFont val="Arial"/>
        <b val="0"/>
        <color theme="1"/>
        <sz val="10.0"/>
      </rPr>
      <t xml:space="preserve"> </t>
    </r>
    <r>
      <rPr>
        <rFont val="Arial"/>
        <b/>
        <color theme="1"/>
        <sz val="10.0"/>
      </rPr>
      <t>Media and streaming</t>
    </r>
  </si>
  <si>
    <t>MTR-4945</t>
  </si>
  <si>
    <r>
      <rPr>
        <rFont val="Arial"/>
        <b/>
        <color theme="1"/>
        <sz val="10.0"/>
      </rPr>
      <t>3.2.4.1</t>
    </r>
    <r>
      <rPr>
        <rFont val="Arial"/>
        <b val="0"/>
        <color theme="1"/>
        <sz val="10.0"/>
      </rPr>
      <t xml:space="preserve"> </t>
    </r>
    <r>
      <rPr>
        <rFont val="Arial"/>
        <b/>
        <color theme="1"/>
        <sz val="10.0"/>
      </rPr>
      <t>Streaming media</t>
    </r>
  </si>
  <si>
    <t>MTR-4946</t>
  </si>
  <si>
    <r>
      <rPr>
        <rFont val="Arial"/>
        <b/>
        <color theme="1"/>
        <sz val="10.0"/>
      </rPr>
      <t>3.2.4.1.1</t>
    </r>
    <r>
      <rPr>
        <rFont val="Arial"/>
        <b val="0"/>
        <color theme="1"/>
        <sz val="10.0"/>
      </rPr>
      <t xml:space="preserve"> </t>
    </r>
    <r>
      <rPr>
        <rFont val="Arial"/>
        <b/>
        <color theme="1"/>
        <sz val="10.0"/>
      </rPr>
      <t>Protocol support</t>
    </r>
  </si>
  <si>
    <t>MTR-4963</t>
  </si>
  <si>
    <r>
      <rPr>
        <rFont val="Arial"/>
        <b/>
        <color theme="1"/>
        <sz val="10.0"/>
      </rPr>
      <t>3.2.4.1.2</t>
    </r>
    <r>
      <rPr>
        <rFont val="Arial"/>
        <b val="0"/>
        <color theme="1"/>
        <sz val="10.0"/>
      </rPr>
      <t xml:space="preserve"> </t>
    </r>
    <r>
      <rPr>
        <rFont val="Arial"/>
        <b/>
        <color theme="1"/>
        <sz val="10.0"/>
      </rPr>
      <t>Media support</t>
    </r>
  </si>
  <si>
    <t>MTR-4966</t>
  </si>
  <si>
    <t>MPEG-4 AVC/H.264 codec Baseline Profile Level 2.1 is supported.</t>
  </si>
  <si>
    <t>MTR-8941</t>
  </si>
  <si>
    <t>MPEG-4 AVC/H.264 codec Main Profile Level 3.0 is supported.</t>
  </si>
  <si>
    <t>MTR-4969</t>
  </si>
  <si>
    <t>2005 V1</t>
  </si>
  <si>
    <t>MPEG-4 AAC codec is supported.</t>
  </si>
  <si>
    <t>MTR-31738</t>
  </si>
  <si>
    <t>HEVC/H.265 High Efficiency Video Coding/decoding is supported.</t>
  </si>
  <si>
    <t>MTR-35216</t>
  </si>
  <si>
    <t>HEVC 4:2.2 decoder is supported.</t>
  </si>
  <si>
    <t>MTR-4864</t>
  </si>
  <si>
    <t>AAC Plus (HE-AAC including SBR) codec is supported.</t>
  </si>
  <si>
    <t>MTR-4865</t>
  </si>
  <si>
    <t>Enhanced AAC Plus (HE-AAC including SBR and PS) codec is suported.</t>
  </si>
  <si>
    <t>MTR-35732</t>
  </si>
  <si>
    <t>Widevine L1 (level 1) codec is supported.</t>
  </si>
  <si>
    <t>MTR-40237</t>
  </si>
  <si>
    <t>AV1 codec level 4.1 or higher is supported.</t>
  </si>
  <si>
    <t>MTR-35731</t>
  </si>
  <si>
    <t>HDCP 2.x (High-bandwidth Digital Content Protection) is supported.</t>
  </si>
  <si>
    <t>HDCP 2.2 supported</t>
  </si>
  <si>
    <t>MTR-1714</t>
  </si>
  <si>
    <r>
      <rPr>
        <rFont val="Arial"/>
        <b/>
        <color theme="1"/>
        <sz val="10.0"/>
      </rPr>
      <t>3.2.5</t>
    </r>
    <r>
      <rPr>
        <rFont val="Arial"/>
        <b val="0"/>
        <color theme="1"/>
        <sz val="10.0"/>
      </rPr>
      <t xml:space="preserve"> </t>
    </r>
    <r>
      <rPr>
        <rFont val="Arial"/>
        <b/>
        <color theme="1"/>
        <sz val="10.0"/>
      </rPr>
      <t>Memory/Storage</t>
    </r>
  </si>
  <si>
    <t>MTR-14820</t>
  </si>
  <si>
    <t>Please state the details of the SDRAM usable by the applications processor (i.e. 256MB LP-DDR3) in the "Comments Vendor" field</t>
  </si>
  <si>
    <t>8GB LPDDR5X</t>
  </si>
  <si>
    <t>MTR-14821</t>
  </si>
  <si>
    <t>Please state the details of the persistent memory in the handset (i.e. 128MB NOR Flash + 8GB NAND Flash) in the "Comments Vendor" field</t>
  </si>
  <si>
    <t>128GB UFS 3.1 / 256GB</t>
  </si>
  <si>
    <t>MTR-30310</t>
  </si>
  <si>
    <t>The terminal provides a total internal memory size of at least 500MB for installed executable DT applications per NatCo.
Please state in the "Comments Vendor" field the max. available memory allocation for DT applications.</t>
  </si>
  <si>
    <t>Offer one 3rd party application via PAI</t>
  </si>
  <si>
    <t>MTR-1719</t>
  </si>
  <si>
    <r>
      <rPr>
        <rFont val="Arial"/>
        <b/>
        <color theme="1"/>
        <sz val="10.0"/>
      </rPr>
      <t xml:space="preserve">Free persistent user memory </t>
    </r>
    <r>
      <rPr>
        <rFont val="Arial"/>
        <b val="0"/>
        <color theme="1"/>
        <sz val="10.0"/>
      </rPr>
      <t>space.
Please state the available free persistent user memory in MB both internal and external in the "Comments Vendor" field.</t>
    </r>
  </si>
  <si>
    <t>System takes up to 30 GB</t>
  </si>
  <si>
    <t>MTR-19844</t>
  </si>
  <si>
    <r>
      <rPr>
        <rFont val="Arial"/>
        <b/>
        <color theme="1"/>
        <sz val="10.0"/>
      </rPr>
      <t>Memory Expansion:</t>
    </r>
    <r>
      <rPr>
        <rFont val="Arial"/>
        <b val="0"/>
        <color theme="1"/>
        <sz val="10.0"/>
      </rPr>
      <t xml:space="preserve"> The terminal must support memory expansion card, e.g. Micro SDHC or others of at least 32GB.
Please state the max. available memory size and card type in the "Comments Vendor" field.</t>
    </r>
  </si>
  <si>
    <t>MTR-1732</t>
  </si>
  <si>
    <r>
      <rPr>
        <rFont val="Arial"/>
        <b/>
        <color theme="1"/>
        <sz val="10.0"/>
      </rPr>
      <t>3.2.7</t>
    </r>
    <r>
      <rPr>
        <rFont val="Arial"/>
        <b val="0"/>
        <color theme="1"/>
        <sz val="10.0"/>
      </rPr>
      <t xml:space="preserve"> </t>
    </r>
    <r>
      <rPr>
        <rFont val="Arial"/>
        <b/>
        <color theme="1"/>
        <sz val="10.0"/>
      </rPr>
      <t>Text / Language Support</t>
    </r>
  </si>
  <si>
    <t>MTR-1733</t>
  </si>
  <si>
    <t>The Charsets US-ASCII and ISO-8859-1, -2 &amp; -3 is supported.</t>
  </si>
  <si>
    <t>MTR-1734</t>
  </si>
  <si>
    <t>Multi-language text support: The device supports at least all European languages of the DT-countries.
Please list non-compliant languages in the "Comments Vendor" field.</t>
  </si>
  <si>
    <t>MTR-1735</t>
  </si>
  <si>
    <r>
      <rPr>
        <rFont val="Arial"/>
        <b/>
        <color theme="1"/>
        <sz val="10.0"/>
      </rPr>
      <t>Czech</t>
    </r>
    <r>
      <rPr>
        <rFont val="Arial"/>
        <b val="0"/>
        <color theme="1"/>
        <sz val="10.0"/>
      </rPr>
      <t xml:space="preserve"> language is supported.</t>
    </r>
  </si>
  <si>
    <t>MTR-1736</t>
  </si>
  <si>
    <r>
      <rPr>
        <rFont val="Arial"/>
        <b/>
        <color theme="1"/>
        <sz val="10.0"/>
      </rPr>
      <t xml:space="preserve">Dutch </t>
    </r>
    <r>
      <rPr>
        <rFont val="Arial"/>
        <b val="0"/>
        <color theme="1"/>
        <sz val="10.0"/>
      </rPr>
      <t>language is supported.</t>
    </r>
  </si>
  <si>
    <t>MTR-1737</t>
  </si>
  <si>
    <r>
      <rPr>
        <rFont val="Arial"/>
        <b/>
        <color theme="1"/>
        <sz val="10.0"/>
      </rPr>
      <t>German and Turkish</t>
    </r>
    <r>
      <rPr>
        <rFont val="Arial"/>
        <b val="0"/>
        <color theme="1"/>
        <sz val="10.0"/>
      </rPr>
      <t xml:space="preserve"> language is supported.</t>
    </r>
  </si>
  <si>
    <t>MTR-1738</t>
  </si>
  <si>
    <r>
      <rPr>
        <rFont val="Arial"/>
        <b/>
        <color theme="1"/>
        <sz val="10.0"/>
      </rPr>
      <t xml:space="preserve">English </t>
    </r>
    <r>
      <rPr>
        <rFont val="Arial"/>
        <b val="0"/>
        <color theme="1"/>
        <sz val="10.0"/>
      </rPr>
      <t>language is supported.</t>
    </r>
  </si>
  <si>
    <t>MTR-19481</t>
  </si>
  <si>
    <r>
      <rPr>
        <rFont val="Arial"/>
        <b/>
        <color theme="1"/>
        <sz val="10.0"/>
      </rPr>
      <t>Italian, French, Spanish and Portuguese</t>
    </r>
    <r>
      <rPr>
        <rFont val="Arial"/>
        <b val="0"/>
        <color theme="1"/>
        <sz val="10.0"/>
      </rPr>
      <t xml:space="preserve"> language is supported.</t>
    </r>
  </si>
  <si>
    <t>MTR-1739</t>
  </si>
  <si>
    <r>
      <rPr>
        <rFont val="Arial"/>
        <b/>
        <color theme="1"/>
        <sz val="10.0"/>
      </rPr>
      <t xml:space="preserve">Hungarian </t>
    </r>
    <r>
      <rPr>
        <rFont val="Arial"/>
        <b val="0"/>
        <color theme="1"/>
        <sz val="10.0"/>
      </rPr>
      <t>language is supported.</t>
    </r>
  </si>
  <si>
    <t>MTR-1740</t>
  </si>
  <si>
    <r>
      <rPr>
        <rFont val="Arial"/>
        <b/>
        <color theme="1"/>
        <sz val="10.0"/>
      </rPr>
      <t xml:space="preserve">Polish </t>
    </r>
    <r>
      <rPr>
        <rFont val="Arial"/>
        <b val="0"/>
        <color theme="1"/>
        <sz val="10.0"/>
      </rPr>
      <t>language is supported.</t>
    </r>
  </si>
  <si>
    <t>MTR-1741</t>
  </si>
  <si>
    <r>
      <rPr>
        <rFont val="Arial"/>
        <b/>
        <color theme="1"/>
        <sz val="10.0"/>
      </rPr>
      <t xml:space="preserve">Slovakian </t>
    </r>
    <r>
      <rPr>
        <rFont val="Arial"/>
        <b val="0"/>
        <color theme="1"/>
        <sz val="10.0"/>
      </rPr>
      <t>language is supported.</t>
    </r>
  </si>
  <si>
    <t>MTR-1742</t>
  </si>
  <si>
    <t>2007 V2</t>
  </si>
  <si>
    <r>
      <rPr>
        <rFont val="Arial"/>
        <b/>
        <color theme="1"/>
        <sz val="10.0"/>
      </rPr>
      <t xml:space="preserve">Croatian </t>
    </r>
    <r>
      <rPr>
        <rFont val="Arial"/>
        <b val="0"/>
        <color theme="1"/>
        <sz val="10.0"/>
      </rPr>
      <t>language is supported.</t>
    </r>
  </si>
  <si>
    <t>MTR-1743</t>
  </si>
  <si>
    <r>
      <rPr>
        <rFont val="Arial"/>
        <b/>
        <color theme="1"/>
        <sz val="10.0"/>
      </rPr>
      <t>Macedonian and Albanian (Shqip)</t>
    </r>
    <r>
      <rPr>
        <rFont val="Arial"/>
        <b val="0"/>
        <color theme="1"/>
        <sz val="10.0"/>
      </rPr>
      <t xml:space="preserve"> language is supported.</t>
    </r>
  </si>
  <si>
    <t>MTR-19479</t>
  </si>
  <si>
    <r>
      <rPr>
        <rFont val="Arial"/>
        <b/>
        <color theme="1"/>
        <sz val="10.0"/>
      </rPr>
      <t xml:space="preserve">Greek </t>
    </r>
    <r>
      <rPr>
        <rFont val="Arial"/>
        <b val="0"/>
        <color theme="1"/>
        <sz val="10.0"/>
      </rPr>
      <t>language is supported.</t>
    </r>
  </si>
  <si>
    <t>MTR-19482</t>
  </si>
  <si>
    <r>
      <rPr>
        <rFont val="Arial"/>
        <b/>
        <color theme="1"/>
        <sz val="10.0"/>
      </rPr>
      <t xml:space="preserve">Russian </t>
    </r>
    <r>
      <rPr>
        <rFont val="Arial"/>
        <b val="0"/>
        <color theme="1"/>
        <sz val="10.0"/>
      </rPr>
      <t>language is supported.</t>
    </r>
  </si>
  <si>
    <t>MTR-29787</t>
  </si>
  <si>
    <r>
      <rPr>
        <rFont val="Arial"/>
        <b/>
        <color theme="1"/>
        <sz val="10.0"/>
      </rPr>
      <t xml:space="preserve">Romanian </t>
    </r>
    <r>
      <rPr>
        <rFont val="Arial"/>
        <b val="0"/>
        <color theme="1"/>
        <sz val="10.0"/>
      </rPr>
      <t>language is supported.</t>
    </r>
  </si>
  <si>
    <t>MTR-29789</t>
  </si>
  <si>
    <r>
      <rPr>
        <rFont val="Arial"/>
        <b/>
        <color theme="1"/>
        <sz val="10.0"/>
      </rPr>
      <t>Montenegrin, Serbian (Latin), Croatian and Bosnian</t>
    </r>
    <r>
      <rPr>
        <rFont val="Arial"/>
        <b val="0"/>
        <color theme="1"/>
        <sz val="10.0"/>
      </rPr>
      <t xml:space="preserve"> language is supported.</t>
    </r>
  </si>
  <si>
    <t>Android supports Serbian</t>
  </si>
  <si>
    <t>MTR-39236</t>
  </si>
  <si>
    <r>
      <rPr>
        <rFont val="Arial"/>
        <b/>
        <color theme="1"/>
        <sz val="10.0"/>
      </rPr>
      <t>3.2.8</t>
    </r>
    <r>
      <rPr>
        <rFont val="Arial"/>
        <b val="0"/>
        <color theme="1"/>
        <sz val="10.0"/>
      </rPr>
      <t xml:space="preserve"> </t>
    </r>
    <r>
      <rPr>
        <rFont val="Arial"/>
        <b/>
        <color theme="1"/>
        <sz val="10.0"/>
      </rPr>
      <t>Accessibility for visually impaired users</t>
    </r>
  </si>
  <si>
    <t>MTR-40164</t>
  </si>
  <si>
    <t>Device and pre-installed software must comply with the latest version of the EN 301 549 standard ("Accessibility requirements for ICT products and services").</t>
  </si>
  <si>
    <r>
      <rPr>
        <rFont val="Arial"/>
        <color rgb="FF0563C1"/>
        <sz val="10.0"/>
        <u/>
      </rPr>
      <t xml:space="preserve">https://sites.google.com/corp/google.com/eaa-resource/faq
</t>
    </r>
    <r>
      <rPr>
        <rFont val="Arial"/>
        <color rgb="FF1155CC"/>
        <sz val="10.0"/>
        <u/>
      </rPr>
      <t>https://docs.google.com/document/d/1FppnO1vlQroJSY4MAb8T-49ffsfG6EmO4xH4p_C4FRQ/edit?tab=t.0#bookmark=kix.npo4ugqzjsgu</t>
    </r>
  </si>
  <si>
    <t>MTR-40165</t>
  </si>
  <si>
    <r>
      <rPr>
        <rFont val="Arial"/>
        <color theme="1"/>
        <sz val="10.0"/>
      </rPr>
      <t xml:space="preserve">Device must meet </t>
    </r>
    <r>
      <rPr>
        <rFont val="Arial"/>
        <b/>
        <color theme="1"/>
        <sz val="10.0"/>
      </rPr>
      <t xml:space="preserve">visual accessibility </t>
    </r>
    <r>
      <rPr>
        <rFont val="Arial"/>
        <color theme="1"/>
        <sz val="10.0"/>
      </rPr>
      <t>requirements, including contrast ratio, text size adjustability, and non-reliance on color alone for information conveyance as per EN 301 549 - clause 4.1.2.1 (Contrast Ratio)* clause 4.1.2.3 (Text Enlargement)* clause 4.1.2.9 (Color Coding)</t>
    </r>
  </si>
  <si>
    <t>MTR-40166</t>
  </si>
  <si>
    <r>
      <rPr>
        <rFont val="Arial"/>
        <color theme="1"/>
        <sz val="10.0"/>
      </rPr>
      <t xml:space="preserve">Device must meet </t>
    </r>
    <r>
      <rPr>
        <rFont val="Arial"/>
        <b/>
        <color theme="1"/>
        <sz val="10.0"/>
      </rPr>
      <t xml:space="preserve">auditory accessibility </t>
    </r>
    <r>
      <rPr>
        <rFont val="Arial"/>
        <color theme="1"/>
        <sz val="10.0"/>
      </rPr>
      <t>requirements, including adjustable volume control and visual alternatives for critical auditory information as per EN 301 549 - clause 4.2 (Auditory)</t>
    </r>
  </si>
  <si>
    <t>MTR-40167</t>
  </si>
  <si>
    <r>
      <rPr>
        <rFont val="Arial"/>
        <color theme="1"/>
        <sz val="10.0"/>
      </rPr>
      <t xml:space="preserve">Device must meet </t>
    </r>
    <r>
      <rPr>
        <rFont val="Arial"/>
        <b/>
        <color theme="1"/>
        <sz val="10.0"/>
      </rPr>
      <t xml:space="preserve">mobility accessibility </t>
    </r>
    <r>
      <rPr>
        <rFont val="Arial"/>
        <color theme="1"/>
        <sz val="10.0"/>
      </rPr>
      <t>requirements, including single switch/alternative input operation and intuitive keyboard navigation as per EN 301 548 - clause 4.3 (Control)* clause 4.3.2 (Keyboard)</t>
    </r>
  </si>
  <si>
    <t>MTR-40168</t>
  </si>
  <si>
    <r>
      <rPr>
        <rFont val="Arial"/>
        <color theme="1"/>
        <sz val="10.0"/>
      </rPr>
      <t xml:space="preserve">Device and pre-installed software must meet </t>
    </r>
    <r>
      <rPr>
        <rFont val="Arial"/>
        <b/>
        <color theme="1"/>
        <sz val="10.0"/>
      </rPr>
      <t xml:space="preserve">cognitive accessibility </t>
    </r>
    <r>
      <rPr>
        <rFont val="Arial"/>
        <color theme="1"/>
        <sz val="10.0"/>
      </rPr>
      <t>requirements, including a simple and uncluttered interface and clear instructions/error messages as per EN 301 549 - clause 4.4 (Cognitive)</t>
    </r>
  </si>
  <si>
    <t>MTR-40169</t>
  </si>
  <si>
    <r>
      <rPr>
        <rFont val="Arial"/>
        <color theme="1"/>
        <sz val="10.0"/>
      </rPr>
      <t xml:space="preserve">User manuals and other </t>
    </r>
    <r>
      <rPr>
        <rFont val="Arial"/>
        <b/>
        <color theme="1"/>
        <sz val="10.0"/>
      </rPr>
      <t xml:space="preserve">documentation </t>
    </r>
    <r>
      <rPr>
        <rFont val="Arial"/>
        <color theme="1"/>
        <sz val="10.0"/>
      </rPr>
      <t>must be accessible and follow the guidelines outlined in EN 301 549 - clause 5 (Documentation)</t>
    </r>
  </si>
  <si>
    <t>MTR-39238</t>
  </si>
  <si>
    <t>Device offers sound amplification up to 50 decibels</t>
  </si>
  <si>
    <t>Not supported</t>
  </si>
  <si>
    <t>MTR-39240</t>
  </si>
  <si>
    <t>Device offers support of communication with augmentative and alternative forms of communication or with other assistive technologies (AAC), for people with various problems with speech, vision or other skills</t>
  </si>
  <si>
    <t>MTR-39241</t>
  </si>
  <si>
    <t>Device supports compatibility with hearing aids</t>
  </si>
  <si>
    <t>Hearing Aid Compatibility (HAC):  M3/T4 (HAC Rating)</t>
  </si>
  <si>
    <t>MTR-39237</t>
  </si>
  <si>
    <t>Device offers a built-in screen reader supporting Greek language</t>
  </si>
  <si>
    <t>MTR-1786</t>
  </si>
  <si>
    <r>
      <rPr>
        <rFont val="Arial"/>
        <b/>
        <color theme="1"/>
        <sz val="10.0"/>
      </rPr>
      <t>3.2.9</t>
    </r>
    <r>
      <rPr>
        <rFont val="Arial"/>
        <b val="0"/>
        <color theme="1"/>
        <sz val="10.0"/>
      </rPr>
      <t xml:space="preserve"> </t>
    </r>
    <r>
      <rPr>
        <rFont val="Arial"/>
        <b/>
        <color theme="1"/>
        <sz val="10.0"/>
      </rPr>
      <t>Battery operations time / charging/ power saving</t>
    </r>
  </si>
  <si>
    <t>MTR-1787</t>
  </si>
  <si>
    <r>
      <rPr>
        <rFont val="Arial"/>
        <b/>
        <color theme="1"/>
        <sz val="10.0"/>
      </rPr>
      <t>Talk time GSM:</t>
    </r>
    <r>
      <rPr>
        <rFont val="Arial"/>
        <b val="0"/>
        <color theme="1"/>
        <sz val="10.0"/>
      </rPr>
      <t xml:space="preserve"> A minimum of 10 hours straight talk time is provided.
The real supported talk time of the device in 2G is provided in hours in the "Comments Vendor" field.
For details see the GSMA/GCF Battery Life Measurement Specification TS.09, Chapter 4.1.</t>
    </r>
  </si>
  <si>
    <t>25.35 Hours, PLC19
12.22 Hours, PLC5</t>
  </si>
  <si>
    <t>MTR-1788</t>
  </si>
  <si>
    <r>
      <rPr>
        <rFont val="Arial"/>
        <b/>
        <color theme="1"/>
        <sz val="10.0"/>
      </rPr>
      <t>Standby time GSM:</t>
    </r>
    <r>
      <rPr>
        <rFont val="Arial"/>
        <b val="0"/>
        <color theme="1"/>
        <sz val="10.0"/>
      </rPr>
      <t xml:space="preserve"> For standby time while registered and connected in a GSM network, a minimum of 300 hours is supported.
The real standby time of the device in 2G is provided in hours in the "Comments Vendor" field.
For details see the GSMA/GCF Battery Life Measurement Specification TS.09, Chapter 3.1 and 3.2.</t>
    </r>
  </si>
  <si>
    <t>251.36 Hours</t>
  </si>
  <si>
    <t>MTR-31741</t>
  </si>
  <si>
    <r>
      <rPr>
        <rFont val="Arial"/>
        <b/>
        <color theme="1"/>
        <sz val="10.0"/>
      </rPr>
      <t>Talk time LTE:</t>
    </r>
    <r>
      <rPr>
        <rFont val="Arial"/>
        <b val="0"/>
        <color theme="1"/>
        <sz val="10.0"/>
      </rPr>
      <t xml:space="preserve"> A minimum of 10 hours straight talk time is provided.
The real supported talk time of the device in </t>
    </r>
    <r>
      <rPr>
        <rFont val="Arial"/>
        <b/>
        <color theme="1"/>
        <sz val="10.0"/>
      </rPr>
      <t xml:space="preserve">VoLTE </t>
    </r>
    <r>
      <rPr>
        <rFont val="Arial"/>
        <b val="0"/>
        <color theme="1"/>
        <sz val="10.0"/>
      </rPr>
      <t>is provided in hours in the "Comments Vendor" field.</t>
    </r>
  </si>
  <si>
    <t>VoLTE, Enablers</t>
  </si>
  <si>
    <t>18.71 hours</t>
  </si>
  <si>
    <t>MTR-31767</t>
  </si>
  <si>
    <r>
      <rPr>
        <rFont val="Arial"/>
        <b/>
        <color theme="1"/>
        <sz val="10.0"/>
      </rPr>
      <t>Talk time WiFi:</t>
    </r>
    <r>
      <rPr>
        <rFont val="Arial"/>
        <b val="0"/>
        <color theme="1"/>
        <sz val="10.0"/>
      </rPr>
      <t xml:space="preserve"> A minimum of 10 hours straight talk time is provided.
And the real supported talk time of the device in </t>
    </r>
    <r>
      <rPr>
        <rFont val="Arial"/>
        <b/>
        <color theme="1"/>
        <sz val="10.0"/>
      </rPr>
      <t xml:space="preserve">VoWiFi </t>
    </r>
    <r>
      <rPr>
        <rFont val="Arial"/>
        <b val="0"/>
        <color theme="1"/>
        <sz val="10.0"/>
      </rPr>
      <t>is provided in hours in the "Comments Vendor" field.</t>
    </r>
  </si>
  <si>
    <t>30.05 hours</t>
  </si>
  <si>
    <t>MTR-31740</t>
  </si>
  <si>
    <r>
      <rPr>
        <rFont val="Arial"/>
        <b/>
        <color theme="1"/>
        <sz val="10.0"/>
      </rPr>
      <t>Standby time LTE:</t>
    </r>
    <r>
      <rPr>
        <rFont val="Arial"/>
        <b val="0"/>
        <color theme="1"/>
        <sz val="10.0"/>
      </rPr>
      <t xml:space="preserve"> For standby time while registered and connected in an LTE network a minimum of 300 hours is supported (single SIM device or one SIM active in a dual-SIM device).
The real standby time of the device in LTE is provided in hours in the "Comments Vendor" field.</t>
    </r>
  </si>
  <si>
    <t>302.37 hours</t>
  </si>
  <si>
    <t>MTR-33107</t>
  </si>
  <si>
    <r>
      <rPr>
        <rFont val="Arial"/>
        <b/>
        <color theme="1"/>
        <sz val="10.0"/>
      </rPr>
      <t>Standby time DUAL-SIM, LTE network mode:</t>
    </r>
    <r>
      <rPr>
        <rFont val="Arial"/>
        <b val="0"/>
        <color theme="1"/>
        <sz val="10.0"/>
      </rPr>
      <t xml:space="preserve"> For standby time while registered and connected in a LTE network, using DUAL-SIM (both modules active) configuration a minimum of 200 hours is supported.
The real standby time of the device in LTE, using DUAL-SIM configuration is provided in hours in the "Comments Vendor" field.
Note: if only one SIM slot is active, the standby time in LTE of single SIM devices apply (MTR-31740).</t>
    </r>
  </si>
  <si>
    <t>262.49 hours.</t>
  </si>
  <si>
    <t>MTR-39932</t>
  </si>
  <si>
    <r>
      <rPr>
        <rFont val="Arial"/>
        <b/>
        <color theme="1"/>
        <sz val="10.0"/>
      </rPr>
      <t>Talk time NR:</t>
    </r>
    <r>
      <rPr>
        <rFont val="Arial"/>
        <b val="0"/>
        <color theme="1"/>
        <sz val="10.0"/>
      </rPr>
      <t xml:space="preserve"> A minimum of 10 hours straight talk time is provided.
The real supported talk time of the device in </t>
    </r>
    <r>
      <rPr>
        <rFont val="Arial"/>
        <b/>
        <color theme="1"/>
        <sz val="10.0"/>
      </rPr>
      <t xml:space="preserve">VoNR </t>
    </r>
    <r>
      <rPr>
        <rFont val="Arial"/>
        <b val="0"/>
        <color theme="1"/>
        <sz val="10.0"/>
      </rPr>
      <t>is provided in hours in the "Comments Vendor" field.</t>
    </r>
  </si>
  <si>
    <t>5G SA, Enablers</t>
  </si>
  <si>
    <t>MTR-37954</t>
  </si>
  <si>
    <r>
      <rPr>
        <rFont val="Arial"/>
        <b/>
        <color theme="1"/>
        <sz val="10.0"/>
      </rPr>
      <t>Standby time 5G NSA:</t>
    </r>
    <r>
      <rPr>
        <rFont val="Arial"/>
        <b val="0"/>
        <color theme="1"/>
        <sz val="10.0"/>
      </rPr>
      <t xml:space="preserve"> For standby time while registered and connected in an FR1 5G NSA network a minimum of 350 hours is supported (single SIM device or one SIM active in a dual-SIM device).
The real standby time of the device in 5G NSA is provided in hours in the "Comments Vendor" field.</t>
    </r>
  </si>
  <si>
    <t>NR (5G), Enablers</t>
  </si>
  <si>
    <t>Not in GCF Scope</t>
  </si>
  <si>
    <t>MTR-39933</t>
  </si>
  <si>
    <r>
      <rPr>
        <rFont val="Arial"/>
        <b/>
        <color theme="1"/>
        <sz val="10.0"/>
      </rPr>
      <t>Standby time 5G SA:</t>
    </r>
    <r>
      <rPr>
        <rFont val="Arial"/>
        <b val="0"/>
        <color theme="1"/>
        <sz val="10.0"/>
      </rPr>
      <t xml:space="preserve"> For standby time while registered and connected in a FR1 5G SA network a minimum of 350 hours is supported (single SIM device or one SIM active in a dual-SIM device).
The real standby time of the device in 5G SA is provided in hours in the "Comments Vendor" field.</t>
    </r>
  </si>
  <si>
    <t>MTR-31743</t>
  </si>
  <si>
    <r>
      <rPr>
        <rFont val="Arial"/>
        <b/>
        <color theme="1"/>
        <sz val="10.0"/>
      </rPr>
      <t>Standby time for Browsing in Carriers network:</t>
    </r>
    <r>
      <rPr>
        <rFont val="Arial"/>
        <b val="0"/>
        <color theme="1"/>
        <sz val="10.0"/>
      </rPr>
      <t xml:space="preserve"> 
A minimum device standby time of 4 hours is supported during Browsing by using a cellular network.
And the real standby time of the device is provided in hours in the "Comments Vendor" field as well as the technology of bearer used.
For details see the GSMA/GCF Battery Life Measurement Specification TS.09, Chapter 6.2.</t>
    </r>
  </si>
  <si>
    <t>Values will be supplied before LE1</t>
  </si>
  <si>
    <t>24.17 hours</t>
  </si>
  <si>
    <t>MTR-31744</t>
  </si>
  <si>
    <r>
      <rPr>
        <rFont val="Arial"/>
        <b/>
        <color theme="1"/>
        <sz val="10.0"/>
      </rPr>
      <t>Standby time for Browsing in Wi-Fi:</t>
    </r>
    <r>
      <rPr>
        <rFont val="Arial"/>
        <b val="0"/>
        <color theme="1"/>
        <sz val="10.0"/>
      </rPr>
      <t xml:space="preserve"> 
A minimum device standby time of 4 hours is supported during Browsing by a Wi-Fi network.
And the real standby time of the device is provided in hours in the "Comments Vendor" field.
For details see the GSMA/GCF Battery Life Measurement Specification TS.09, Chapter 6.2.</t>
    </r>
  </si>
  <si>
    <t>28.39 hours.</t>
  </si>
  <si>
    <t>MTR-31745</t>
  </si>
  <si>
    <r>
      <rPr>
        <rFont val="Arial"/>
        <b/>
        <color theme="1"/>
        <sz val="10.0"/>
      </rPr>
      <t>Standby time for Music Player:</t>
    </r>
    <r>
      <rPr>
        <rFont val="Arial"/>
        <b val="0"/>
        <color theme="1"/>
        <sz val="10.0"/>
      </rPr>
      <t xml:space="preserve"> 
A minimum device standby time of 30 hours is supported during the operation of the native music player (with screen off).
And the real standby time of the device is provided in hours in the "Comments Vendor" field.
For details see the GSMA/GCF Battery Life Measurement Specification TS.09, Chapter 8.1.</t>
    </r>
  </si>
  <si>
    <t>61.47 hours</t>
  </si>
  <si>
    <t>MTR-31746</t>
  </si>
  <si>
    <r>
      <rPr>
        <rFont val="Arial"/>
        <b/>
        <color theme="1"/>
        <sz val="10.0"/>
      </rPr>
      <t>Standby time for Youtube streaming:</t>
    </r>
    <r>
      <rPr>
        <rFont val="Arial"/>
        <b val="0"/>
        <color theme="1"/>
        <sz val="10.0"/>
      </rPr>
      <t xml:space="preserve"> 
A minimum device standby time of 5 hours is supported during the operation of streaming (using YouTube).
And the real standby time of the device is provided in hours in the "Comments Vendor" field.
For details see the GSMA/GCF Battery Life Measurement Specification TS.09, Chapter 7.1.</t>
    </r>
  </si>
  <si>
    <t>10.89 hours</t>
  </si>
  <si>
    <t>MTR-31747</t>
  </si>
  <si>
    <r>
      <rPr>
        <rFont val="Arial"/>
        <b/>
        <color theme="1"/>
        <sz val="10.0"/>
      </rPr>
      <t>Standby time Wi-Fi in Idle connected to AP:</t>
    </r>
    <r>
      <rPr>
        <rFont val="Arial"/>
        <b val="0"/>
        <color theme="1"/>
        <sz val="10.0"/>
      </rPr>
      <t xml:space="preserve"> 
A minimum device standby time of 200 hours is supported in idle (screen off), camped on a highest possible supported network with Wi-Fi enabled and connected to an AP.
And the real standby time of the device in is provided in hours in the "Comments Vendor" field.
For details see the GSMA/GCF Battery Life Measurement Specification TS.09, Chapter 3.8.2.</t>
    </r>
  </si>
  <si>
    <t>283.75 hours</t>
  </si>
  <si>
    <t>MTR-31748</t>
  </si>
  <si>
    <r>
      <rPr>
        <rFont val="Arial"/>
        <b/>
        <color theme="1"/>
        <sz val="10.0"/>
      </rPr>
      <t>Standby time Wi-Fi in Idle not connected to any AP:</t>
    </r>
    <r>
      <rPr>
        <rFont val="Arial"/>
        <b val="0"/>
        <color theme="1"/>
        <sz val="10.0"/>
      </rPr>
      <t xml:space="preserve"> 
A minimum device standby time of 200 hours is supported in idle (screen off), camped on a highest possible supported network with Wi-Fi enabled but with NO known access point around.
And the real standby time of the device is provided in hours in the "Comments Vendor" field.
For details see the GSMA/GCF Battery Life Measurement Specification TS.09, Chapter 3.8.1.</t>
    </r>
  </si>
  <si>
    <t>296.05 hours</t>
  </si>
  <si>
    <t>MTR-30836</t>
  </si>
  <si>
    <r>
      <rPr>
        <rFont val="Arial"/>
        <b/>
        <color theme="1"/>
        <sz val="10.0"/>
      </rPr>
      <t>Battery capacity:</t>
    </r>
    <r>
      <rPr>
        <rFont val="Arial"/>
        <b val="0"/>
        <color theme="1"/>
        <sz val="10.0"/>
      </rPr>
      <t xml:space="preserve"> Please provide the device battery capacity in mAh in the "Comments Vendor" field.
Respond </t>
    </r>
    <r>
      <rPr>
        <rFont val="Arial"/>
        <b/>
        <color theme="1"/>
        <sz val="10.0"/>
      </rPr>
      <t xml:space="preserve">"Not Applicable" </t>
    </r>
    <r>
      <rPr>
        <rFont val="Arial"/>
        <b val="0"/>
        <color theme="1"/>
        <sz val="10.0"/>
      </rPr>
      <t>when there is no battery mandated in the concept class and no battery in the device.</t>
    </r>
  </si>
  <si>
    <t>Minimum 5000mAh
Typical 5100mAh</t>
  </si>
  <si>
    <t>4404 mAh</t>
  </si>
  <si>
    <t>MTR-28999</t>
  </si>
  <si>
    <t>The battery of commercial production devices shall be charged to at least 40% of its nominal capacity when leaving the production lines.</t>
  </si>
  <si>
    <t>MTR-29029</t>
  </si>
  <si>
    <t>Powered off Terminals should fully charge from 0-2% to 100% within in 2 hours when charged with the recommended or supplied OEM supplied charger.</t>
  </si>
  <si>
    <t>MTR-30545</t>
  </si>
  <si>
    <t>Powered off Terminal does not spend more than average 1 mA.</t>
  </si>
  <si>
    <t>MTR-28175</t>
  </si>
  <si>
    <t>The device includes optimization of the terminal’s battery in locked state. Average battery consumption with activated Wi-Fi SHALL not exceed the average battery consumption with deactivated Wi-Fi of the device by 20%.</t>
  </si>
  <si>
    <t>MTR-28359</t>
  </si>
  <si>
    <t>The device includes optimization of the terminal’s battery. Average battery consumption in Wi-Fi data transfer scenario SHALL be identical to the average battery consumption in cellular data transfer scenario over the same duration.</t>
  </si>
  <si>
    <t>MTR-37957</t>
  </si>
  <si>
    <t>Battery charging speed: Please provide battery charging speed information both in capacity gains in minutes (10 and 30 minutes) and max charging speed in Watts in the "Comments Vendor" field.</t>
  </si>
  <si>
    <t>23W wired charging
100% in 115 min
80% in 70 min</t>
  </si>
  <si>
    <t xml:space="preserve">18W fast charging USB-C
</t>
  </si>
  <si>
    <t>MTR-37958</t>
  </si>
  <si>
    <r>
      <rPr>
        <rFont val="Arial"/>
        <b/>
        <color theme="1"/>
        <sz val="10.0"/>
      </rPr>
      <t>Wired fast charging</t>
    </r>
    <r>
      <rPr>
        <rFont val="Arial"/>
        <b val="0"/>
        <color theme="1"/>
        <sz val="10.0"/>
      </rPr>
      <t xml:space="preserve"> is supported.
Please list all supported charging protocols in "Comments Vendor".
Comments shall include answers at least for following items:
Each supported protocol’s max voltage and current.
Switching voltage during charging is supported? E.g. from 9V2A to 5V2A etc. or support PD protocol but at fixed 5V.</t>
    </r>
  </si>
  <si>
    <t>GPP(10W)</t>
  </si>
  <si>
    <t>GPP(10W) with pixel stand. BPP(5W) with others.</t>
  </si>
  <si>
    <t>MTR-39783</t>
  </si>
  <si>
    <r>
      <rPr>
        <rFont val="Arial"/>
        <b/>
        <color theme="1"/>
        <sz val="10.0"/>
      </rPr>
      <t>Charging protocal USB-PD 3.0</t>
    </r>
    <r>
      <rPr>
        <rFont val="Arial"/>
        <b val="0"/>
        <color theme="1"/>
        <sz val="10.0"/>
      </rPr>
      <t xml:space="preserve"> or higher is supported
(incl. power delivery and compliant with the official USB-IF standards)
Please state the supported version in "Comments Vendor".</t>
    </r>
  </si>
  <si>
    <t>USB 3.2</t>
  </si>
  <si>
    <t>MTR-37959</t>
  </si>
  <si>
    <r>
      <rPr>
        <rFont val="Arial"/>
        <b/>
        <color theme="1"/>
        <sz val="10.0"/>
      </rPr>
      <t>Wireless charging</t>
    </r>
    <r>
      <rPr>
        <rFont val="Arial"/>
        <b val="0"/>
        <color theme="1"/>
        <sz val="10.0"/>
      </rPr>
      <t xml:space="preserve"> is supported.
Please list all supported charging protocols in "Comments Vendor".
Comments shall include answers at least for following items:
Qi with sub-version e.g. V1.1/V1.2 or Qi 2 and max receiving power. 
Is reverse wireless charging supported and its delivery power (to other devices).</t>
    </r>
  </si>
  <si>
    <t xml:space="preserve">7.5 W EPP wireless charging (with no reverse)
</t>
  </si>
  <si>
    <t>MTR-36235</t>
  </si>
  <si>
    <r>
      <rPr>
        <rFont val="Arial"/>
        <b/>
        <color theme="1"/>
        <sz val="10.0"/>
      </rPr>
      <t>3.2.10</t>
    </r>
    <r>
      <rPr>
        <rFont val="Arial"/>
        <b val="0"/>
        <color theme="1"/>
        <sz val="10.0"/>
      </rPr>
      <t xml:space="preserve"> </t>
    </r>
    <r>
      <rPr>
        <rFont val="Arial"/>
        <b/>
        <color theme="1"/>
        <sz val="10.0"/>
      </rPr>
      <t>Email Support</t>
    </r>
  </si>
  <si>
    <t>MTR-4580</t>
  </si>
  <si>
    <t>An integrated client for receiving and sending e-mail is provided.</t>
  </si>
  <si>
    <t>MTR-36236</t>
  </si>
  <si>
    <t>The email client provide common protocols like POP3, IMAP4, EAS. Please provide in the comments vendor field a list of provided protocols and related versions, e.g. Exchange ActiveSync 12.1.</t>
  </si>
  <si>
    <t>POP3, IMAP4, SMTP</t>
  </si>
  <si>
    <t>MTR-14903</t>
  </si>
  <si>
    <r>
      <rPr>
        <rFont val="Arial"/>
        <b/>
        <color theme="1"/>
        <sz val="10.0"/>
      </rPr>
      <t>3.2.11</t>
    </r>
    <r>
      <rPr>
        <rFont val="Arial"/>
        <b val="0"/>
        <color theme="1"/>
        <sz val="10.0"/>
      </rPr>
      <t xml:space="preserve"> </t>
    </r>
    <r>
      <rPr>
        <rFont val="Arial"/>
        <b/>
        <color theme="1"/>
        <sz val="10.0"/>
      </rPr>
      <t>Device Reset</t>
    </r>
  </si>
  <si>
    <t>MTR-1822</t>
  </si>
  <si>
    <r>
      <rPr>
        <rFont val="Arial"/>
        <color theme="1"/>
        <sz val="10.0"/>
      </rPr>
      <t>Master Reset:
The terminal has a method of performing a</t>
    </r>
    <r>
      <rPr>
        <rFont val="Arial"/>
        <b/>
        <color theme="1"/>
        <sz val="10.0"/>
      </rPr>
      <t xml:space="preserve"> Hard Reset</t>
    </r>
    <r>
      <rPr>
        <rFont val="Arial"/>
        <color theme="1"/>
        <sz val="10.0"/>
      </rPr>
      <t xml:space="preserve"> which performs all functions of the Factory Reset and erases all user data like contacts, calendar entries, SMS, MMS, e-mails and multimedia content. Before executing this reset, the user must</t>
    </r>
    <r>
      <rPr>
        <rFont val="Arial"/>
        <b/>
        <color theme="1"/>
        <sz val="10.0"/>
      </rPr>
      <t xml:space="preserve"> </t>
    </r>
    <r>
      <rPr>
        <rFont val="Arial"/>
        <color theme="1"/>
        <sz val="10.0"/>
      </rPr>
      <t>be asked for confirmation. 
Please state how to perform this in the "Comments Vendor" field.
User data are erased in a way that they cannot easily be recovered with reasonable effort. For example, the device uses BLKSECDISCARD instead of BLKDISCARD to observe hardware wear-levelling, and erases data on the data partition as well as on the primary SD card. Alternatively, the device may encrypt all data with a cryptographically strong algorithm and key size and the Master Reset securely discards the storage key and randomly generates a new key, thus rendering all encrypted data worthless.</t>
    </r>
  </si>
  <si>
    <t>Power On device to bootloader mode -&gt; Recovery Mode -&gt; Wipe data/factory reset</t>
  </si>
  <si>
    <t>MTR-1821</t>
  </si>
  <si>
    <r>
      <rPr>
        <rFont val="Arial"/>
        <color theme="1"/>
        <sz val="10.0"/>
      </rPr>
      <t xml:space="preserve">The terminal has a method of performing a </t>
    </r>
    <r>
      <rPr>
        <rFont val="Arial"/>
        <b/>
        <color theme="1"/>
        <sz val="10.0"/>
      </rPr>
      <t>Factory Reset</t>
    </r>
    <r>
      <rPr>
        <rFont val="Arial"/>
        <color theme="1"/>
        <sz val="10.0"/>
      </rPr>
      <t xml:space="preserve"> which recovers all customisation settings with which the terminal has been shipped but leaves all user data (including contacts, calendar entries, SMS, MMS, e-mails and multimedia content) untouched. Before executing this reset, the user must</t>
    </r>
    <r>
      <rPr>
        <rFont val="Arial"/>
        <b/>
        <color theme="1"/>
        <sz val="10.0"/>
      </rPr>
      <t xml:space="preserve"> </t>
    </r>
    <r>
      <rPr>
        <rFont val="Arial"/>
        <color theme="1"/>
        <sz val="10.0"/>
      </rPr>
      <t>be asked for confirmation. 
Please state how to perform this in the "Comments Vendor" field.</t>
    </r>
  </si>
  <si>
    <t>Settings -&gt; Systems -&gt; Reset options -&gt; Erase all data (factory reset)</t>
  </si>
  <si>
    <t>MTR-13377</t>
  </si>
  <si>
    <t>The terminal has a method of performing a Soft Reset which terminates all running processes and reboots the terminal. Before executing this reset, the user is asked for confirmation. 
Please state how to perform this in the "Comments Vendor" field.</t>
  </si>
  <si>
    <t>Press and hold power for ten seconds for Soft Reset.</t>
  </si>
  <si>
    <t>MTR-13780</t>
  </si>
  <si>
    <r>
      <rPr>
        <rFont val="Arial"/>
        <b/>
        <color theme="1"/>
        <sz val="10.0"/>
      </rPr>
      <t>3.2.12</t>
    </r>
    <r>
      <rPr>
        <rFont val="Arial"/>
        <b val="0"/>
        <color theme="1"/>
        <sz val="10.0"/>
      </rPr>
      <t xml:space="preserve"> </t>
    </r>
    <r>
      <rPr>
        <rFont val="Arial"/>
        <b/>
        <color theme="1"/>
        <sz val="10.0"/>
      </rPr>
      <t>Service Functionality</t>
    </r>
  </si>
  <si>
    <t>MTR-1815</t>
  </si>
  <si>
    <r>
      <rPr>
        <rFont val="Arial"/>
        <color theme="1"/>
        <sz val="10.0"/>
      </rPr>
      <t xml:space="preserve">The terminal </t>
    </r>
    <r>
      <rPr>
        <rFont val="Arial"/>
        <b/>
        <color theme="1"/>
        <sz val="10.0"/>
      </rPr>
      <t xml:space="preserve">must </t>
    </r>
    <r>
      <rPr>
        <rFont val="Arial"/>
        <color theme="1"/>
        <sz val="10.0"/>
      </rPr>
      <t>have a method of displaying the current IMEI-SV number of the device. Please state how to access this in the "Comments Vendor" field.</t>
    </r>
  </si>
  <si>
    <t>Settings -&gt; About phone -&gt; IMEI</t>
  </si>
  <si>
    <t>MTR-1816</t>
  </si>
  <si>
    <r>
      <rPr>
        <rFont val="Arial"/>
        <color theme="1"/>
        <sz val="10.0"/>
      </rPr>
      <t xml:space="preserve">The terminal </t>
    </r>
    <r>
      <rPr>
        <rFont val="Arial"/>
        <b/>
        <color theme="1"/>
        <sz val="10.0"/>
      </rPr>
      <t xml:space="preserve">must </t>
    </r>
    <r>
      <rPr>
        <rFont val="Arial"/>
        <color theme="1"/>
        <sz val="10.0"/>
      </rPr>
      <t>have a method of displaying the version number of the installed platform software. Please state how to access this in the "Comments Vendor" field.</t>
    </r>
  </si>
  <si>
    <t>Settings -&gt; About phone -&gt; build number</t>
  </si>
  <si>
    <t>MTR-8887</t>
  </si>
  <si>
    <r>
      <rPr>
        <rFont val="Arial"/>
        <color theme="1"/>
        <sz val="10.0"/>
      </rPr>
      <t xml:space="preserve">The terminal </t>
    </r>
    <r>
      <rPr>
        <rFont val="Arial"/>
        <b/>
        <color theme="1"/>
        <sz val="10.0"/>
      </rPr>
      <t xml:space="preserve">must </t>
    </r>
    <r>
      <rPr>
        <rFont val="Arial"/>
        <color theme="1"/>
        <sz val="10.0"/>
      </rPr>
      <t>have a method of displaying the build date of the installed platform software. Please state how to access this in the "Comments Vendor" field.</t>
    </r>
  </si>
  <si>
    <t>MTR-1817</t>
  </si>
  <si>
    <r>
      <rPr>
        <rFont val="Arial"/>
        <color theme="1"/>
        <sz val="10.0"/>
      </rPr>
      <t xml:space="preserve">The terminal </t>
    </r>
    <r>
      <rPr>
        <rFont val="Arial"/>
        <b/>
        <color theme="1"/>
        <sz val="10.0"/>
      </rPr>
      <t xml:space="preserve">must </t>
    </r>
    <r>
      <rPr>
        <rFont val="Arial"/>
        <color theme="1"/>
        <sz val="10.0"/>
      </rPr>
      <t>have a method of displaying the hardware version number. Please state how to access this in the "Comments Vendor" field.</t>
    </r>
  </si>
  <si>
    <t>Settings -&gt; About phone -&gt; Model</t>
  </si>
  <si>
    <t>MTR-1792</t>
  </si>
  <si>
    <t>A functionality is provided which delivers on request the ICCID, IMSI and MSISDN to an application.</t>
  </si>
  <si>
    <t>MTR-1793</t>
  </si>
  <si>
    <t>A functionality is provided which delivers on request the IMEI to an application.</t>
  </si>
  <si>
    <t>MTR-1789</t>
  </si>
  <si>
    <r>
      <rPr>
        <rFont val="Arial"/>
        <b/>
        <color theme="1"/>
        <sz val="10.0"/>
      </rPr>
      <t>3.2.13</t>
    </r>
    <r>
      <rPr>
        <rFont val="Arial"/>
        <b val="0"/>
        <color theme="1"/>
        <sz val="10.0"/>
      </rPr>
      <t xml:space="preserve"> </t>
    </r>
    <r>
      <rPr>
        <rFont val="Arial"/>
        <b/>
        <color theme="1"/>
        <sz val="10.0"/>
      </rPr>
      <t>Other</t>
    </r>
  </si>
  <si>
    <t>MTR-1731</t>
  </si>
  <si>
    <t>Please state the number of implemented microphones and loudspeakers in the "Comments Vendor" field. For loadspeakers please list type of support (e.g. Stereo, Dolby Atmos, ec).</t>
  </si>
  <si>
    <t>Stereo</t>
  </si>
  <si>
    <t>MTR-4781</t>
  </si>
  <si>
    <t>The terminal supports a Stereo Headset.</t>
  </si>
  <si>
    <t>MTR-8555</t>
  </si>
  <si>
    <t>The terminal features a 3.5mm audio output jack.
If a different kind of audio output jack is used specify type under "Comments Vendor".</t>
  </si>
  <si>
    <t>MTR-29790</t>
  </si>
  <si>
    <t>Please provide information about the GPU peak performance in rendering in triangles per second and the fill rate in pixels per second in the "Comments Vendor" field.</t>
  </si>
  <si>
    <t>Please discuss with Google TAM for more detailed informatoin</t>
  </si>
  <si>
    <t>MTR-31393</t>
  </si>
  <si>
    <t>The terminal supports Android multi-user operation.
Please state in the "Comments Vendor" field any deviations from Android multi-user wrt user types, profile types, enabling and managing multiple users.</t>
  </si>
  <si>
    <t>supports native Android multi-user operation</t>
  </si>
  <si>
    <t>MTR-37955</t>
  </si>
  <si>
    <t>Device screen protection mechanisms to lock/unlock the screen operation are provided.
Please describe all supported mechanisms e.g. facial unlock and/or fingerprint in the "Comments Vendor" field.</t>
  </si>
  <si>
    <t>supports Screen Lock, Face &amp; Fingerprint Unlock</t>
  </si>
  <si>
    <t>MTR-37956</t>
  </si>
  <si>
    <t>The device supports device sensors such as accelerometer; proximity, gyroscope etc. which can be used by application software.
Please list the supported all sensor types in the "Comments Vendor" field.</t>
  </si>
  <si>
    <t>Accel, Gyro, Magnetometer, Prox, ALS, Barometer and Hall</t>
  </si>
  <si>
    <t>MTR-37960</t>
  </si>
  <si>
    <t>The device supports Ingress Protection (IP) Rating as defined in IEC 60529 / EN 60529 of at least IP55. 
Please provide the supported IP rating in the "Comments Vendor" field.</t>
  </si>
  <si>
    <t>IP68</t>
  </si>
  <si>
    <t>IPX67</t>
  </si>
  <si>
    <t>MTR-37961</t>
  </si>
  <si>
    <t>Device size (height x width x depth) in mm and weight in g. 
Please provide the device size and weight information in the "Comments Vendor" field.</t>
  </si>
  <si>
    <t>154.708x73.253x8.94 mm
185.89 g</t>
  </si>
  <si>
    <t xml:space="preserve">72.734 x 152.093 x 8.94
</t>
  </si>
  <si>
    <t>3 IPv4/IPv6/IPv4v6</t>
  </si>
  <si>
    <t>MTR-26868</t>
  </si>
  <si>
    <r>
      <rPr>
        <rFont val="Arial"/>
        <b/>
        <color theme="1"/>
        <sz val="10.0"/>
      </rPr>
      <t>3.3</t>
    </r>
    <r>
      <rPr>
        <rFont val="Arial"/>
        <b val="0"/>
        <color theme="1"/>
        <sz val="10.0"/>
      </rPr>
      <t xml:space="preserve"> </t>
    </r>
    <r>
      <rPr>
        <rFont val="Arial"/>
        <b/>
        <color theme="1"/>
        <sz val="10.0"/>
      </rPr>
      <t>IPv4/IPv6/IPv4v6</t>
    </r>
  </si>
  <si>
    <t>MTR-967</t>
  </si>
  <si>
    <r>
      <rPr>
        <rFont val="Arial"/>
        <b/>
        <color theme="1"/>
        <sz val="10.0"/>
      </rPr>
      <t>3.3.1</t>
    </r>
    <r>
      <rPr>
        <rFont val="Arial"/>
        <b val="0"/>
        <color theme="1"/>
        <sz val="10.0"/>
      </rPr>
      <t xml:space="preserve"> </t>
    </r>
    <r>
      <rPr>
        <rFont val="Arial"/>
        <b/>
        <color theme="1"/>
        <sz val="10.0"/>
      </rPr>
      <t>Technical TCP/IP Stack Requirements</t>
    </r>
  </si>
  <si>
    <t>MTR-968</t>
  </si>
  <si>
    <t>The terminal supports the Path Maximum Transfer Unit (MTU) Discovery for IPv4 (RFC1191) and IPv6 (RFC1981).</t>
  </si>
  <si>
    <t>MTR-969</t>
  </si>
  <si>
    <t>The terminal supports the TCP Window Scale Option (RFC1323).</t>
  </si>
  <si>
    <t>MTR-970</t>
  </si>
  <si>
    <t>The terminal supports the TCP Selective Acknowledgement Options (RFC2018) and an appropriate SACK-based packet recovery mechanism (e.g. RFC3517).</t>
  </si>
  <si>
    <t>MTR-29803</t>
  </si>
  <si>
    <t>The terminal supports a TCP receive window auto-tuning mechanism to ensure that the maximum downlink throughput provided by the radio bearer can be utilized by an application.</t>
  </si>
  <si>
    <t>MTR-29804</t>
  </si>
  <si>
    <r>
      <rPr>
        <rFont val="Arial"/>
        <b/>
        <color theme="1"/>
        <sz val="10.0"/>
      </rPr>
      <t>TCP receive window sizes</t>
    </r>
    <r>
      <rPr>
        <rFont val="Arial"/>
        <b val="0"/>
        <color theme="1"/>
        <sz val="10.0"/>
      </rPr>
      <t xml:space="preserve">
For each supported radio bearer (2G, 3G, LTE, 5G) the device follows OS/platform supplier defaults. 
Note: If you intend to configure strongly different values this must be discussed individually.</t>
    </r>
  </si>
  <si>
    <t>MTR-26926</t>
  </si>
  <si>
    <r>
      <rPr>
        <rFont val="Arial"/>
        <b/>
        <color theme="1"/>
        <sz val="10.0"/>
      </rPr>
      <t>3.3.2</t>
    </r>
    <r>
      <rPr>
        <rFont val="Arial"/>
        <b val="0"/>
        <color theme="1"/>
        <sz val="10.0"/>
      </rPr>
      <t xml:space="preserve"> </t>
    </r>
    <r>
      <rPr>
        <rFont val="Arial"/>
        <b/>
        <color theme="1"/>
        <sz val="10.0"/>
      </rPr>
      <t>IPv6/IPv4v6 support in general</t>
    </r>
  </si>
  <si>
    <t>MTR-31963</t>
  </si>
  <si>
    <r>
      <rPr>
        <rFont val="Arial"/>
        <b/>
        <color theme="1"/>
        <sz val="10.0"/>
      </rPr>
      <t>Note:</t>
    </r>
    <r>
      <rPr>
        <rFont val="Arial"/>
        <b val="0"/>
        <color theme="1"/>
        <sz val="10.0"/>
      </rPr>
      <t xml:space="preserve"> The generic IPv6/IPv4v6 requirements are applicable on interfaces 3GPP and WiFi.</t>
    </r>
  </si>
  <si>
    <t>MTR-26882</t>
  </si>
  <si>
    <t>Terminal shall support IP version 6 (IPv6) [RFC2460] in addition to IP version 4 (IPv4) [RFC791]; i.e. terminal must be dual-stack enabled for all IP capable applications and interfaces according to RFC4213 chapter 2.
Note: Terminal shall support both protocols, i.e. configuration with both IPv4 and IPv6 addresses. Terminal may use IPv4 mechanisms to acquire IPv4 addresses, and IPv6 protocol mechanisms to acquire IPv6 addresses.</t>
  </si>
  <si>
    <t>MTR-26909</t>
  </si>
  <si>
    <t>Terminal shall follow a strict IETF/3GPP standards-based, non-proprietary implementation for IP version 6 (IPv6) according to RFC2460. 
Note: Terminals shall be forbidden to support special or proprietary clients for IPv6 implementation reasons, i.e. native implementation only, no tunnelling, protocols translations and other transition mechanisms.</t>
  </si>
  <si>
    <t>MTR-26883</t>
  </si>
  <si>
    <t>Terminal shall be capable of maintaining multiple PDP contexts (primary, secondary)/PDN connections (default, dedicated) with different PDP/PDN types (IPv4, IPv6, IPv4v6).</t>
  </si>
  <si>
    <t>MTR-27373</t>
  </si>
  <si>
    <t>Terminal shall support Path MTU Discovery for IPv6 according to RFC1981.</t>
  </si>
  <si>
    <t>MTR-26901</t>
  </si>
  <si>
    <t>Terminal shall support the addressing architecture of the IP version 6 protocol according to RFC4291.</t>
  </si>
  <si>
    <t>MTR-26902</t>
  </si>
  <si>
    <t>Terminal shall support default address selection policy as defined in RFC6724 Default Address Selection for IP version 6 (IPv6).
Note: RFC3483 is obsolete and replaced by RFC6724.</t>
  </si>
  <si>
    <t>MTR-26903</t>
  </si>
  <si>
    <t>Terminal shall support IPv6 Privacy Extension for Stateless Address Autoconfiguration according to RFC4941.</t>
  </si>
  <si>
    <t>MTR-27382</t>
  </si>
  <si>
    <t>The terminal shall not use any identifiers defined in 3GPP TS 23.003 as the basis for generating the interface identifier.</t>
  </si>
  <si>
    <t>MTR-26904</t>
  </si>
  <si>
    <t>Terminal shall support self configuration of the IPv6 address according to RFC4862 IPv6 Stateless Address Autoconfiguration (SLAAC).</t>
  </si>
  <si>
    <t>MTR-27374</t>
  </si>
  <si>
    <t>Terminal shall support Internet Control Message Protocol (ICMPv6) according to RFC4443 on all IPv6 enabled interfaces.</t>
  </si>
  <si>
    <t>MTR-27375</t>
  </si>
  <si>
    <t>Terminal shall support Domain Name System (DNS) query resolution over IPv6.</t>
  </si>
  <si>
    <t>MTR-27376</t>
  </si>
  <si>
    <t>Terminal shall support Domain Name System (DNS) Extensions to Support IPv6 according to RFC3596.</t>
  </si>
  <si>
    <t>MTR-27377</t>
  </si>
  <si>
    <t>Terminal shall support Neighbour Discovery for IPv6 according to RFC4861.</t>
  </si>
  <si>
    <t>MTR-27378</t>
  </si>
  <si>
    <t>Terminal shall support IPv6 Router Advertisement Options for DNS Configuration as defined in RFC6106.</t>
  </si>
  <si>
    <t>MTR-26906</t>
  </si>
  <si>
    <t>Terminal shall support combined IPv4v6 PDP/PDN type according to 3GPP Release 8.
Note: DTAG is requesting only 3GPP Release 8 support for terminals, pre-Release 8 behaviour for terminals will not be supported.</t>
  </si>
  <si>
    <t>MTR-26910</t>
  </si>
  <si>
    <t>All installed applications and services on the terminal shall run independent of the IP protocol (IPv4, IPv6) (i.e. IPv4/IPv6-agnostic) to be compliant with RFC4213 chapter 2.
Note: Generally, terminal shall support client applications (e.g. web browser) which can use both IPv4 and IPv6 PDP contexts/PDP connections in parallel.</t>
  </si>
  <si>
    <t>Device support both IPv4 and IPv6 PDP contexts/PDP connections in parallel</t>
  </si>
  <si>
    <t>MTR-27061</t>
  </si>
  <si>
    <t>It shall be possible to configure the PDP/PDN type (IPv4, IPv6, IPv4v6) per APN according to International Settings Document [TISD].</t>
  </si>
  <si>
    <t>MTR-26911</t>
  </si>
  <si>
    <t>It shall be possible to update the APN configuration (incl. PDP/PDN type IPv4, IPv6,IPv4v6) over the air as described in MTR section customisation.</t>
  </si>
  <si>
    <t>MTR-27060</t>
  </si>
  <si>
    <t>It shall be possible to edit APN configuration (incl. PDP/PDN type IPv4, IPv6 IPv4v6) in the terminal manually.</t>
  </si>
  <si>
    <t>MTR-30819</t>
  </si>
  <si>
    <t>Terminal shall support means to select the PDP type (IPv4, IPv6, IPv4v6) used in roaming case which is separately from the PDP type used when attached to the HPLMN (e.g. via APN configuration). 
Note: Default roaming PDP type is set according to International Setting Document [TISD].</t>
  </si>
  <si>
    <t>MTR-29509</t>
  </si>
  <si>
    <t>Terminal shall support implementation of "happy eyeballs" according to RFC6555: Happy Eyeballs: Success with Dual-Stack Hosts.</t>
  </si>
  <si>
    <t>MTR-30104</t>
  </si>
  <si>
    <t>Terminal shall support 
- IPv6 aware Traffic Flow Templates (TFT)
- PCO (Protocol Configuration Options) to retrieve the IPv6 address(es) of the Recursive DNS server(s) 
as described in 3GPP TS24.008.</t>
  </si>
  <si>
    <t>MTR-30105</t>
  </si>
  <si>
    <t>Terminal shall support ROHC (Robust Header Compression) for IPv6 as described in RFC5795.</t>
  </si>
  <si>
    <t>MTR-30106</t>
  </si>
  <si>
    <t>The terminal should support the MTU size communication via the Router Advertisement message.</t>
  </si>
  <si>
    <t>MTR-26927</t>
  </si>
  <si>
    <r>
      <rPr>
        <rFont val="Arial"/>
        <b/>
        <color theme="1"/>
        <sz val="10.0"/>
      </rPr>
      <t>3.3.3</t>
    </r>
    <r>
      <rPr>
        <rFont val="Arial"/>
        <b val="0"/>
        <color theme="1"/>
        <sz val="10.0"/>
      </rPr>
      <t xml:space="preserve"> </t>
    </r>
    <r>
      <rPr>
        <rFont val="Arial"/>
        <b/>
        <color theme="1"/>
        <sz val="10.0"/>
      </rPr>
      <t>IP Configuration and behaviour of the terminal (Release 8 and onwards)</t>
    </r>
  </si>
  <si>
    <t>MTR-26934</t>
  </si>
  <si>
    <r>
      <rPr>
        <rFont val="Arial"/>
        <b/>
        <color theme="1"/>
        <sz val="10.0"/>
      </rPr>
      <t>3.3.3.1</t>
    </r>
    <r>
      <rPr>
        <rFont val="Arial"/>
        <b val="0"/>
        <color theme="1"/>
        <sz val="10.0"/>
      </rPr>
      <t xml:space="preserve"> </t>
    </r>
    <r>
      <rPr>
        <rFont val="Arial"/>
        <b/>
        <color theme="1"/>
        <sz val="10.0"/>
      </rPr>
      <t>If the terminal requests IPv4v6 PDP/PDN type AND the network downgrades the request to PDP/PDN type IPv4</t>
    </r>
  </si>
  <si>
    <t>MTR-27381</t>
  </si>
  <si>
    <t>in case the network indicates that only IPv4 is allowed, terminal shall NOT request another PDP/PDN type of IPv6 for the same APN.</t>
  </si>
  <si>
    <t>MTR-27063</t>
  </si>
  <si>
    <r>
      <rPr>
        <rFont val="Arial"/>
        <b/>
        <color theme="1"/>
        <sz val="10.0"/>
      </rPr>
      <t>3.3.3.2</t>
    </r>
    <r>
      <rPr>
        <rFont val="Arial"/>
        <b val="0"/>
        <color theme="1"/>
        <sz val="10.0"/>
      </rPr>
      <t xml:space="preserve"> </t>
    </r>
    <r>
      <rPr>
        <rFont val="Arial"/>
        <b/>
        <color theme="1"/>
        <sz val="10.0"/>
      </rPr>
      <t>If the terminal requests IPv4v6 PDP/PDN type AND the network downgrades the request to PDP/PDN type IPv6</t>
    </r>
  </si>
  <si>
    <t>MTR-27064</t>
  </si>
  <si>
    <t>in case the network indicates that only IPv6 is allowed, terminal shall NOT request another PDP/PDN type of IPv4 for the same APN.</t>
  </si>
  <si>
    <t>MTR-27383</t>
  </si>
  <si>
    <t>Terminal shall use DNS server IPv4 and IPv6 addresses provided by the GGSN/PDN-GW in the PCO information element.</t>
  </si>
  <si>
    <t>MTR-35212</t>
  </si>
  <si>
    <t>The terminal shall use any received DNS Server (IPv4 or IPv6) for all possible record Types (A, AAAA, etc.).</t>
  </si>
  <si>
    <t>MTR-27386</t>
  </si>
  <si>
    <t>If the terminal uses multiple PDP/PDN types to different APNs in parallel, then DNS resolution AND the DNS cache shall be separated by PDP context/PDN connection.
Note: The DNS resolution of a domain/host name for an application bound to APN 1 shall be performed using the DNS server provided by the network for the PDP context/PDN connection towards APN 1.</t>
  </si>
  <si>
    <t>MTR-29050</t>
  </si>
  <si>
    <r>
      <rPr>
        <rFont val="Arial"/>
        <b/>
        <color theme="1"/>
        <sz val="10.0"/>
      </rPr>
      <t>3.3.4</t>
    </r>
    <r>
      <rPr>
        <rFont val="Arial"/>
        <b val="0"/>
        <color theme="1"/>
        <sz val="10.0"/>
      </rPr>
      <t xml:space="preserve"> </t>
    </r>
    <r>
      <rPr>
        <rFont val="Arial"/>
        <b/>
        <color theme="1"/>
        <sz val="10.0"/>
      </rPr>
      <t>IPv6 Internet Access Sharing</t>
    </r>
    <r>
      <rPr>
        <rFont val="Arial"/>
        <b val="0"/>
        <color theme="1"/>
        <sz val="10.0"/>
      </rPr>
      <t xml:space="preserve">
(Mobile Hotspot, USB-Tethering, BT-Tethering)</t>
    </r>
  </si>
  <si>
    <t>MTR-29051</t>
  </si>
  <si>
    <r>
      <rPr>
        <rFont val="Arial"/>
        <b/>
        <color theme="1"/>
        <sz val="10.0"/>
      </rPr>
      <t>3.3.4.1</t>
    </r>
    <r>
      <rPr>
        <rFont val="Arial"/>
        <b val="0"/>
        <color theme="1"/>
        <sz val="10.0"/>
      </rPr>
      <t xml:space="preserve"> </t>
    </r>
    <r>
      <rPr>
        <rFont val="Arial"/>
        <b/>
        <color theme="1"/>
        <sz val="10.0"/>
      </rPr>
      <t>IPv6 Internet Access Sharing - /64 prefix sharing</t>
    </r>
    <r>
      <rPr>
        <rFont val="Arial"/>
        <b val="0"/>
        <color theme="1"/>
        <sz val="10.0"/>
      </rPr>
      <t xml:space="preserve">
(Possible solution for handsets)</t>
    </r>
  </si>
  <si>
    <t>MTR-29052</t>
  </si>
  <si>
    <t>Terminal shall support the WWAN interface assigned /64 IPv6 prefix sharing to all supported Tethering/Sharing interfaces (e.g. RFC7278).
See MTR-29024 and following.</t>
  </si>
  <si>
    <t>MTR-29053</t>
  </si>
  <si>
    <t>Terminal shall be able to provide the IPv6 Stateless Autoconfiguration (SLAAC) using the WWAN interface assigned /64 IPv6 prefix on the LAN interface.</t>
  </si>
  <si>
    <t>MTR-29054</t>
  </si>
  <si>
    <t>In case of link drop (i.e. global unicast IPv6 is no longer valid) the terminal shall send the Router Advertisement message with Preferred_Lifetime value set '1' and Router_Lifetime value set ‘0’, to invalidate the IPv6 prefix on the LAN.</t>
  </si>
  <si>
    <t>Supported, but not exactly as listed here, because preferred and valid lifetime of 0 is ignored by Windows PCs. So we had to deprecate the prefixes (by sending very small preferred lifetime) rather than 0 values.</t>
  </si>
  <si>
    <t>MTR-29055</t>
  </si>
  <si>
    <t>Terminal shall support uplink filtering for multicast traffic to avoid flooding of unnecessary multicast packets towards the network. 
Note: Only multicast addresses between LAN and WWAN need to be propagated (link-local scope all-nodes address, link-local scope all-routers address, All-DHCP-Server multicast address, All-DNS-Server multicast address, all solicited-node multicast addresses). All other multicast frames shall be dropped by the terminal and bridging module respectively.</t>
  </si>
  <si>
    <t>MTR-29058</t>
  </si>
  <si>
    <t>Terminal shall support IPv6 Router Advertisement Options for DNS Configuration according to RFC6106 when proxying Router Advertisement Options on behalf of the PDN-GW/GGSN.</t>
  </si>
  <si>
    <t>MTR-30305</t>
  </si>
  <si>
    <t>The terminal shall support Stateless Dynamic Host Configuration Protocol (DHCP) Service for IPv6 according to RFC3736 (e.g. to provide DNS server details to the LAN).</t>
  </si>
  <si>
    <t>MTR-29060</t>
  </si>
  <si>
    <r>
      <rPr>
        <rFont val="Arial"/>
        <b/>
        <color theme="1"/>
        <sz val="10.0"/>
      </rPr>
      <t>3.3.4.2</t>
    </r>
    <r>
      <rPr>
        <rFont val="Arial"/>
        <b val="0"/>
        <color theme="1"/>
        <sz val="10.0"/>
      </rPr>
      <t xml:space="preserve"> </t>
    </r>
    <r>
      <rPr>
        <rFont val="Arial"/>
        <b/>
        <color theme="1"/>
        <sz val="10.0"/>
      </rPr>
      <t>IPv6 Internet Access Sharing - Prefix Delegation</t>
    </r>
    <r>
      <rPr>
        <rFont val="Arial"/>
        <b val="0"/>
        <color theme="1"/>
        <sz val="10.0"/>
      </rPr>
      <t xml:space="preserve">
(Possible solution for home routers)</t>
    </r>
  </si>
  <si>
    <t>MTR-30342</t>
  </si>
  <si>
    <r>
      <rPr>
        <rFont val="Arial"/>
        <b/>
        <color theme="1"/>
        <sz val="10.0"/>
      </rPr>
      <t>3.3.5</t>
    </r>
    <r>
      <rPr>
        <rFont val="Arial"/>
        <b val="0"/>
        <color theme="1"/>
        <sz val="10.0"/>
      </rPr>
      <t xml:space="preserve"> </t>
    </r>
    <r>
      <rPr>
        <rFont val="Arial"/>
        <b/>
        <color theme="1"/>
        <sz val="10.0"/>
      </rPr>
      <t>IPv6-only access - IPv4/IPv6 interworking</t>
    </r>
  </si>
  <si>
    <t>MTR-30343</t>
  </si>
  <si>
    <t>The terminal shall support a setup that exclusively provides an IPv6 only PDN connection.</t>
  </si>
  <si>
    <t>MTR-30540</t>
  </si>
  <si>
    <t>The terminal shall support a setup that exclusively provides an IPv6 only WiFi connection.</t>
  </si>
  <si>
    <t>MTR-30345</t>
  </si>
  <si>
    <t>The terminal shall implement 464XLAT and the Customer Side Translator function (CLAT) according to RFC 6877. This must only be active if the terminal determines that it has an IPv6-only upstream connectivity, and a valid NAT64 prefix has been obtained.</t>
  </si>
  <si>
    <t>MTR-30346</t>
  </si>
  <si>
    <t>The terminal should embed a DNS64 function according to RFC6147. This must only be active if the terminal determines that it has an IPv6-only upstream connectivity, and a valid NAT64 prefix has been obtained.</t>
  </si>
  <si>
    <t>MTR-30541</t>
  </si>
  <si>
    <t>The terminal shall support Transmission of IPv6 Packets over Ethernet Networks according to RFC2464.</t>
  </si>
  <si>
    <t>MTR-31194</t>
  </si>
  <si>
    <t>As described in RFC6877 CLAT must perform NAT44 for all IPv4 WLAN/LAN/USB received packets so that all the originated IPv4 packets originating from tethered devices appear from a single IPv4 address and are then statelessly translated to one interface IPv6 address that is claimed by the CLAT via the Neighbour Discovery Protocol (NDP) and defended with Duplicate Address Detection (DAD).</t>
  </si>
  <si>
    <t>MTR-31195</t>
  </si>
  <si>
    <t>Terminal shall follow RFC7335 for the choice of the (internal) CLAT IPv4 addresses.</t>
  </si>
  <si>
    <t>MTR-31196</t>
  </si>
  <si>
    <t>The NAT64 prefix necessary for the CLAT and DNS64 configuration (MTR-30345 and MTR-30346) must be obtained from the network by using the measures as defined in RFC7050.</t>
  </si>
  <si>
    <t>4 (U)SIM/(U)SAT</t>
  </si>
  <si>
    <t>MTR-1711</t>
  </si>
  <si>
    <r>
      <rPr>
        <rFont val="Arial"/>
        <b/>
        <color theme="1"/>
        <sz val="10.0"/>
      </rPr>
      <t>3.4</t>
    </r>
    <r>
      <rPr>
        <rFont val="Arial"/>
        <b val="0"/>
        <color theme="1"/>
        <sz val="10.0"/>
      </rPr>
      <t xml:space="preserve"> </t>
    </r>
    <r>
      <rPr>
        <rFont val="Arial"/>
        <b/>
        <color theme="1"/>
        <sz val="10.0"/>
      </rPr>
      <t>(U)SIM/(U)SAT</t>
    </r>
  </si>
  <si>
    <t>MTR-1475</t>
  </si>
  <si>
    <r>
      <rPr>
        <rFont val="Arial"/>
        <b/>
        <color theme="1"/>
        <sz val="10.0"/>
      </rPr>
      <t>3.4.1</t>
    </r>
    <r>
      <rPr>
        <rFont val="Arial"/>
        <b val="0"/>
        <color theme="1"/>
        <sz val="10.0"/>
      </rPr>
      <t xml:space="preserve"> </t>
    </r>
    <r>
      <rPr>
        <rFont val="Arial"/>
        <b/>
        <color theme="1"/>
        <sz val="10.0"/>
      </rPr>
      <t>Smart Card Interface</t>
    </r>
  </si>
  <si>
    <t>MTR-1476</t>
  </si>
  <si>
    <t>Legacy GSM Phase 2, Phase 2+ SIM cards of any release are supported
(5V support is optional)</t>
  </si>
  <si>
    <t>MTR-25428</t>
  </si>
  <si>
    <t>The device supports a physical SIM/UICC slot for network selection.</t>
  </si>
  <si>
    <t>MTR-26779</t>
  </si>
  <si>
    <t>The device supports "2FF/3FF-Combi-SIMs". The SIM holding mechanism is designed in a way that insertion and removal of Combi-SIMs is unproblematic, doesn't cause any damage and that a reliable connectivity is ensured at all times. (Not applicable, if 2FF not support)</t>
  </si>
  <si>
    <t>Only 4FF supported</t>
  </si>
  <si>
    <t>MTR-26780</t>
  </si>
  <si>
    <t>The device supports the "Mini-UICC" form factor (3FF-SIM) according to ETSI TS 102 221.</t>
  </si>
  <si>
    <t>MTR-31319</t>
  </si>
  <si>
    <t>The device supports 'Triple-Cut SIM cards'. (2FF-sized SIMs with additional break lines, that allow to break out the 3FF-sized SIM format or a 4FF SIM). The SIM holding mechanism is designed in a way that insertion and removal of Triple-Cut-SIMs is unproblematic, doesn't cause any damage and that a reliable connectivity is ensured at all times. (Not applicable, if only 4FF support)</t>
  </si>
  <si>
    <t>MTR-31318</t>
  </si>
  <si>
    <t>The device supports the "Nano-UICC" form factor (4FF-SIM) according to ETSI TS 102 221. If no other mentioned formfactor is supported, please state the supported formfactor in the "Comments Vendor" field.</t>
  </si>
  <si>
    <t>MTR-1478</t>
  </si>
  <si>
    <r>
      <rPr>
        <rFont val="Arial"/>
        <b/>
        <color theme="1"/>
        <sz val="10.0"/>
      </rPr>
      <t>3.4.2</t>
    </r>
    <r>
      <rPr>
        <rFont val="Arial"/>
        <b val="0"/>
        <color theme="1"/>
        <sz val="10.0"/>
      </rPr>
      <t xml:space="preserve"> </t>
    </r>
    <r>
      <rPr>
        <rFont val="Arial"/>
        <b/>
        <color theme="1"/>
        <sz val="10.0"/>
      </rPr>
      <t>UICC Interface</t>
    </r>
  </si>
  <si>
    <t>MTR-1479</t>
  </si>
  <si>
    <t>"3GPP-R6 &gt; 04/2005" is main implementation basis
(State actual base version under "Comments Vendor")</t>
  </si>
  <si>
    <t>V14.1</t>
  </si>
  <si>
    <t>MTR-1480</t>
  </si>
  <si>
    <t>"UICC-Terminal interface" according "3GPP TS 31.101" is supported</t>
  </si>
  <si>
    <t>MTR-1482</t>
  </si>
  <si>
    <t>3V and 1.8V UICC technology (Class B &amp; C)</t>
  </si>
  <si>
    <t>MTR-1481</t>
  </si>
  <si>
    <t>2 logical UICC channels (if UE is R99 or higher)</t>
  </si>
  <si>
    <t>MTR-1484</t>
  </si>
  <si>
    <t>If the "Manage Channel (open)" command is used to open a channel to a 2nd application, then this logical channel is immediately closed again, if the 2nd application is not used anymore or doesn't exist</t>
  </si>
  <si>
    <t>MTR-1570</t>
  </si>
  <si>
    <t>"SIM on UICC" where EF-DIR is empty, i.e. USIM not available.</t>
  </si>
  <si>
    <t>MTR-1487</t>
  </si>
  <si>
    <r>
      <rPr>
        <rFont val="Arial"/>
        <b/>
        <color theme="1"/>
        <sz val="10.0"/>
      </rPr>
      <t>3.4.3</t>
    </r>
    <r>
      <rPr>
        <rFont val="Arial"/>
        <b val="0"/>
        <color theme="1"/>
        <sz val="10.0"/>
      </rPr>
      <t xml:space="preserve"> </t>
    </r>
    <r>
      <rPr>
        <rFont val="Arial"/>
        <b/>
        <color theme="1"/>
        <sz val="10.0"/>
      </rPr>
      <t>USIM specific requirements</t>
    </r>
  </si>
  <si>
    <t>MTR-1488</t>
  </si>
  <si>
    <t>"USIM application" according "3GPP TS 31.102" is supported</t>
  </si>
  <si>
    <t>MTR-1510</t>
  </si>
  <si>
    <t>GSM Access</t>
  </si>
  <si>
    <t>MTR-1513</t>
  </si>
  <si>
    <t>Enabled Services Table</t>
  </si>
  <si>
    <t>MTR-1515</t>
  </si>
  <si>
    <t>GSM security context</t>
  </si>
  <si>
    <t>MTR-1514</t>
  </si>
  <si>
    <t>APN Control List (ACL)</t>
  </si>
  <si>
    <t>MTR-1559</t>
  </si>
  <si>
    <t>The device supports a USIM phonebook with at least 250 complete phonebook entries (ADN + email + ANR + ...) including re-synchronisation feature</t>
  </si>
  <si>
    <t>MTR-37135</t>
  </si>
  <si>
    <t>The device supports the ‚Subscription Concealed Identifier Calculation Information EF’ and ‘Routing Indicator’ in the DF ‘5GS’ for
SUCI calculation on UI. (Not applicable, if 5G is not supported)</t>
  </si>
  <si>
    <t>MTR-1486</t>
  </si>
  <si>
    <r>
      <rPr>
        <rFont val="Arial"/>
        <b/>
        <color theme="1"/>
        <sz val="10.0"/>
      </rPr>
      <t>3.4.4</t>
    </r>
    <r>
      <rPr>
        <rFont val="Arial"/>
        <b val="0"/>
        <color theme="1"/>
        <sz val="10.0"/>
      </rPr>
      <t xml:space="preserve"> </t>
    </r>
    <r>
      <rPr>
        <rFont val="Arial"/>
        <b/>
        <color theme="1"/>
        <sz val="10.0"/>
      </rPr>
      <t>SIM specific requirements</t>
    </r>
  </si>
  <si>
    <t>MTR-1567</t>
  </si>
  <si>
    <t>"SIM-ME interface" according "3GPP TS 51.011" is supported</t>
  </si>
  <si>
    <t>MTR-1576</t>
  </si>
  <si>
    <t>CHV1 disable function</t>
  </si>
  <si>
    <t>MTR-1581</t>
  </si>
  <si>
    <t>Proactive SIM</t>
  </si>
  <si>
    <t>MTR-1542</t>
  </si>
  <si>
    <r>
      <rPr>
        <rFont val="Arial"/>
        <b/>
        <color theme="1"/>
        <sz val="10.0"/>
      </rPr>
      <t>3.4.5</t>
    </r>
    <r>
      <rPr>
        <rFont val="Arial"/>
        <b val="0"/>
        <color theme="1"/>
        <sz val="10.0"/>
      </rPr>
      <t xml:space="preserve"> </t>
    </r>
    <r>
      <rPr>
        <rFont val="Arial"/>
        <b/>
        <color theme="1"/>
        <sz val="10.0"/>
      </rPr>
      <t>SIM &amp; USIM common requirements</t>
    </r>
  </si>
  <si>
    <t>MTR-1577</t>
  </si>
  <si>
    <t>ADN (Abbreviated Dialling Numbers) &gt;= 250 records</t>
  </si>
  <si>
    <t>MTR-1499</t>
  </si>
  <si>
    <t>FDN (Fixed Dialling Numbers) &gt;= 250 records</t>
  </si>
  <si>
    <t>MTR-1509</t>
  </si>
  <si>
    <t>MSISDN &gt;= 4 entries</t>
  </si>
  <si>
    <t>MTR-1578</t>
  </si>
  <si>
    <t>Extension 1 (for ADN) &gt;= 20 records</t>
  </si>
  <si>
    <t>MTR-1500</t>
  </si>
  <si>
    <t>SMS (Short Message Storage) &gt;= 200 records</t>
  </si>
  <si>
    <t>MTR-1502</t>
  </si>
  <si>
    <t>SMSP (Short Message Service Parameters) &gt;= 2 records</t>
  </si>
  <si>
    <t>MTR-1504</t>
  </si>
  <si>
    <t>CBMI (Cell Broadcast Message Identifier)</t>
  </si>
  <si>
    <t>MTR-1505</t>
  </si>
  <si>
    <t>GID1 (Group Identifier Level 1)</t>
  </si>
  <si>
    <t>MTR-1506</t>
  </si>
  <si>
    <t>GID2 (Group Identifier Level 2)</t>
  </si>
  <si>
    <t>MTR-1507</t>
  </si>
  <si>
    <t>SPN (Service Provider Name)</t>
  </si>
  <si>
    <t>MTR-1555</t>
  </si>
  <si>
    <t>FPLMN (Forbidden PLMN) (SIM = 4 entries; USIM &gt;= 16 entries)</t>
  </si>
  <si>
    <t>MTR-1579</t>
  </si>
  <si>
    <t>PLMN selector (2G User PLMN) = 32 entries</t>
  </si>
  <si>
    <t>MTR-1508</t>
  </si>
  <si>
    <t>UPLMNwACT (User PLMN selector with Access Technology) &gt;= 51 entries</t>
  </si>
  <si>
    <t>MTR-1516</t>
  </si>
  <si>
    <t>OPLMNwACT (Operator PLMN selector with Access Technology) &gt;= 51 entries</t>
  </si>
  <si>
    <t>MTR-1517</t>
  </si>
  <si>
    <t>HPLMN (HPLMN selector with Access Technology) &gt;= 2 entries</t>
  </si>
  <si>
    <t>MTR-1497</t>
  </si>
  <si>
    <t>HPPLMN (Higher Priority PLMN Search Period)</t>
  </si>
  <si>
    <t>MTR-1498</t>
  </si>
  <si>
    <t>The according PLMN selector is re-read before scanning for a higher priority PLMN</t>
  </si>
  <si>
    <t>MTR-1523</t>
  </si>
  <si>
    <t>PNN (PLMN Network Name) &gt;= 10 entries</t>
  </si>
  <si>
    <t>MTR-1524</t>
  </si>
  <si>
    <t>OPL (Operator PLMN List) &gt;= 20 entries</t>
  </si>
  <si>
    <t>MTR-1511</t>
  </si>
  <si>
    <t>Data download via SMS-PP (OTA)</t>
  </si>
  <si>
    <t>MTR-1709</t>
  </si>
  <si>
    <t>SPN, PNN/OPL and 'Idle Mode Text' handling:
A. If the first byte of EF_SPN is set to "01" (Display of reg. PLMN required), the UE displays: 
• the content of EF_PNN if one is defined in EF_OPL for the network code of the registered PLMN. (If no valid entry is defined in EF_PNN/OPL, the operator name as stored in the UE firmware may be displayed.)
• the entire SPN string if one is defined in EF_SPN. (FF...FF = Empty)
• the Idle Mode Text if one is set up by the card via STK.
B. If the first byte of EF SPN is set to "00" (Display of reg. PLMN NOT required), the UE displays: 
• NOT any network name (neither any content of EF_PNN/OPL, nor any network name as stored in the UE firmware) unless in roaming case.
• the entire SPN string if one is defined in EF_SPN. (FF...FF = Empty)
• the Idle Mode Text if one is set up by the card via STK.
C. In roaming case the UE displays:
• the content of EF_PNN if one is defined in EF_OPL for the network code of the registered PLMN.
• the appropriate operator name as stored in the UE firmware, if no valid entry is defined in EF_PNN/OPL.</t>
  </si>
  <si>
    <t>MTR-1586</t>
  </si>
  <si>
    <r>
      <rPr>
        <rFont val="Arial"/>
        <b/>
        <color theme="1"/>
        <sz val="10.0"/>
      </rPr>
      <t>3.4.6</t>
    </r>
    <r>
      <rPr>
        <rFont val="Arial"/>
        <b val="0"/>
        <color theme="1"/>
        <sz val="10.0"/>
      </rPr>
      <t xml:space="preserve"> </t>
    </r>
    <r>
      <rPr>
        <rFont val="Arial"/>
        <b/>
        <color theme="1"/>
        <sz val="10.0"/>
      </rPr>
      <t>SAT/USAT/CAT basic requirements</t>
    </r>
  </si>
  <si>
    <t>MTR-1587</t>
  </si>
  <si>
    <t>"USIM Application Toolkit (USAT)" according "3GPP TS 31.111" 
on the USIM interface</t>
  </si>
  <si>
    <t>MTR-19717</t>
  </si>
  <si>
    <t>"Card Application Toolkit (CAT)" according "ETSI TS 102.223"
on the UICC interface</t>
  </si>
  <si>
    <t>MTR-1569</t>
  </si>
  <si>
    <t>"SIM Application Toolkit (SAT)" according "3GPP TS 51.014"
on the SIM interface</t>
  </si>
  <si>
    <t>MTR-1496</t>
  </si>
  <si>
    <t>Minimum requirements for UE without display (i.e. datacard):
Terminal Profile, Envelope, Fetch, Terminal Response, Provide Local Information (IMEI), Poll Interval, Polling Off, Send SMS, Send USSD, Envelope(SMS PP Download), Set Up Menu</t>
  </si>
  <si>
    <t>MTR-1557</t>
  </si>
  <si>
    <t>Card initiated communication (i.e. UE to OTA server) is neither displayed nor indicated to the user. Default setting: Don't ask user's permission.</t>
  </si>
  <si>
    <t>MTR-1684</t>
  </si>
  <si>
    <t>The Alpha Identifier of all proactive commands are supported as specified: 
- If an Alpha Identifier (AI) is provided by the card and it is not a null data object, the terminal uses it to inform the user
- If a null data object AI is provided by the card then the terminal gives not any indication to the user</t>
  </si>
  <si>
    <t>MTR-1590</t>
  </si>
  <si>
    <t>DISPLAY TEXT</t>
  </si>
  <si>
    <t>SIM-SAT Basic</t>
  </si>
  <si>
    <t>MTR-1591</t>
  </si>
  <si>
    <t>POLL INTERVAL</t>
  </si>
  <si>
    <t>MTR-1592</t>
  </si>
  <si>
    <t>POLLING OFF</t>
  </si>
  <si>
    <t>MTR-1593</t>
  </si>
  <si>
    <t>SET UP MENU</t>
  </si>
  <si>
    <t>MTR-1594</t>
  </si>
  <si>
    <t>PROVIDE LOCAL INFORMATION (MCC, MNC, LAC, Cell ID &amp; IMEI)</t>
  </si>
  <si>
    <t>MTR-1595</t>
  </si>
  <si>
    <t>The Format of LAC and Cell-ID sent with "Provide Local Information" is as follows: 2 Bytes length for each, the nibbles are not to be swapped, i.e. LAC and Cell-ID are forwarded without modification as they are broadcasted by the network. MCC and MNC are sent to the card as specified in TS 23.048, i.e. a padding 'F' is inserted after MCC and all nibbles are swapped for 2 digit MNC (262 01 -&gt; 62F210)</t>
  </si>
  <si>
    <t>MTR-1596</t>
  </si>
  <si>
    <t>SETUP EVENT LIST - Event: Location status</t>
  </si>
  <si>
    <t>MTR-1600</t>
  </si>
  <si>
    <t>SET UP IDLE MODE TEXT</t>
  </si>
  <si>
    <t>MTR-1608</t>
  </si>
  <si>
    <t>Profile download</t>
  </si>
  <si>
    <t>MTR-1609</t>
  </si>
  <si>
    <t>SMS-PP data download</t>
  </si>
  <si>
    <t>MTR-1611</t>
  </si>
  <si>
    <t>Menu selection</t>
  </si>
  <si>
    <t>MTR-1612</t>
  </si>
  <si>
    <t>Timer expiration</t>
  </si>
  <si>
    <t>MTR-1614</t>
  </si>
  <si>
    <t>GET INKEY</t>
  </si>
  <si>
    <t>MTR-1615</t>
  </si>
  <si>
    <t>GET INPUT</t>
  </si>
  <si>
    <t>MTR-1616</t>
  </si>
  <si>
    <t>MORE TIME</t>
  </si>
  <si>
    <t>MTR-1617</t>
  </si>
  <si>
    <t>PLAY TONE</t>
  </si>
  <si>
    <t>MTR-1618</t>
  </si>
  <si>
    <t>REFRESH (all modes). If the UE keeps an image of files in its memory, it updates the content of the files depending on the mode (i.e. if a REFRESH with full file change notification is sent by the UICC, the image of all files in memory is updated. If a file change notification is sent, only the listed files are updated)</t>
  </si>
  <si>
    <t>MTR-1622</t>
  </si>
  <si>
    <t>SELECT ITEM</t>
  </si>
  <si>
    <t>MTR-1623</t>
  </si>
  <si>
    <t>SEND SHORT MESSAGE</t>
  </si>
  <si>
    <t>MTR-1624</t>
  </si>
  <si>
    <t>SEND SS</t>
  </si>
  <si>
    <t>MTR-1625</t>
  </si>
  <si>
    <t>SEND USSD</t>
  </si>
  <si>
    <t>MTR-1626</t>
  </si>
  <si>
    <t>The USSD string is send according to the setting of the DCS byte 
(e.g. as 7bit GSM default alphabet or 8bit data)</t>
  </si>
  <si>
    <t>MTR-1643</t>
  </si>
  <si>
    <t>SEND DTMF command</t>
  </si>
  <si>
    <t>MTR-1627</t>
  </si>
  <si>
    <t>SET UP CALL</t>
  </si>
  <si>
    <t>MTR-1629</t>
  </si>
  <si>
    <t>SET UP EVENT LIST</t>
  </si>
  <si>
    <t>MTR-1630</t>
  </si>
  <si>
    <t>SET UP EVENT LIST - Event: MT call</t>
  </si>
  <si>
    <t>MTR-1631</t>
  </si>
  <si>
    <t>SET UP EVENT LIST - Event: Call connected (all modes)</t>
  </si>
  <si>
    <t>MTR-1632</t>
  </si>
  <si>
    <t>SET UP EVENT LIST - Event: Call disconnected (all modes)</t>
  </si>
  <si>
    <t>MTR-1633</t>
  </si>
  <si>
    <t>SET UP EVENT LIST - Event: Idle screen available</t>
  </si>
  <si>
    <t>MTR-1640</t>
  </si>
  <si>
    <t>TIMER MANAGEMENT (start stop)</t>
  </si>
  <si>
    <t>MTR-1641</t>
  </si>
  <si>
    <t>TIMER MANAGEMENT (get current value)</t>
  </si>
  <si>
    <t>MTR-1628</t>
  </si>
  <si>
    <t>PROVIDE LOCAL INFORMATION (NMR)</t>
  </si>
  <si>
    <t>MTR-1642</t>
  </si>
  <si>
    <t>PROVIDE LOCAL INFORMATION (date, time and time zone)</t>
  </si>
  <si>
    <t>MTR-1644</t>
  </si>
  <si>
    <t>PROVIDE LOCAL INFORMATION (Timing Advance)</t>
  </si>
  <si>
    <t>MTR-1646</t>
  </si>
  <si>
    <t>PROVIDE LOCAL INFORMATION (Access Technology)</t>
  </si>
  <si>
    <t>MTR-1663</t>
  </si>
  <si>
    <t>PROVIDE LOCAL INFORMATION (IMEISV)</t>
  </si>
  <si>
    <t>MTR-1670</t>
  </si>
  <si>
    <t>PROVIDE LOCAL INFORMATION (NMR(UTRAN))</t>
  </si>
  <si>
    <t>MTR-30223</t>
  </si>
  <si>
    <t>The terminal prevents a blocked Proactive Command Session by:
- Preventing to bring the Proactive Command Application to the background if there is a proactive command still not terminated by a Terminal Response. See also Chapter 6 of [SIM-DI]
or
- The terminal terminates a hanging Proactive Command by sending a Terminal Response after a timeout.</t>
  </si>
  <si>
    <t>MTR-19718</t>
  </si>
  <si>
    <r>
      <rPr>
        <rFont val="Arial"/>
        <b/>
        <color theme="1"/>
        <sz val="10.0"/>
      </rPr>
      <t>3.4.7</t>
    </r>
    <r>
      <rPr>
        <rFont val="Arial"/>
        <b val="0"/>
        <color theme="1"/>
        <sz val="10.0"/>
      </rPr>
      <t xml:space="preserve"> </t>
    </r>
    <r>
      <rPr>
        <rFont val="Arial"/>
        <b/>
        <color theme="1"/>
        <sz val="10.0"/>
      </rPr>
      <t>SAT/USAT/CAT for 'Browser handling'</t>
    </r>
  </si>
  <si>
    <t>MTR-1679</t>
  </si>
  <si>
    <t>Support of letter class "c" (Launch browser) if browser is installed</t>
  </si>
  <si>
    <t>MTR-1645</t>
  </si>
  <si>
    <t>LAUNCH BROWSER</t>
  </si>
  <si>
    <t>MTR-19719</t>
  </si>
  <si>
    <r>
      <rPr>
        <rFont val="Arial"/>
        <b/>
        <color theme="1"/>
        <sz val="10.0"/>
      </rPr>
      <t>3.4.8</t>
    </r>
    <r>
      <rPr>
        <rFont val="Arial"/>
        <b val="0"/>
        <color theme="1"/>
        <sz val="10.0"/>
      </rPr>
      <t xml:space="preserve"> </t>
    </r>
    <r>
      <rPr>
        <rFont val="Arial"/>
        <b/>
        <color theme="1"/>
        <sz val="10.0"/>
      </rPr>
      <t>SAT/USAT/CAT for 'BIP'</t>
    </r>
  </si>
  <si>
    <t>MTR-1680</t>
  </si>
  <si>
    <t>Support of letter class "e" (CAT/BIP)</t>
  </si>
  <si>
    <t>MTR-1647</t>
  </si>
  <si>
    <t>OPEN CHANNEL</t>
  </si>
  <si>
    <t>MTR-1648</t>
  </si>
  <si>
    <t>CLOSE CHANNEL</t>
  </si>
  <si>
    <t>MTR-1649</t>
  </si>
  <si>
    <t>RECEIVE DATA</t>
  </si>
  <si>
    <t>MTR-1650</t>
  </si>
  <si>
    <t>SEND DATA</t>
  </si>
  <si>
    <t>MTR-1651</t>
  </si>
  <si>
    <t>GET CHANNEL STATUS</t>
  </si>
  <si>
    <t>MTR-1655</t>
  </si>
  <si>
    <t>BIP over GPRS</t>
  </si>
  <si>
    <t>MTR-1656</t>
  </si>
  <si>
    <t>Number of channels supported: &gt;= 4</t>
  </si>
  <si>
    <t>MTR-1658</t>
  </si>
  <si>
    <t>TCP over BIP</t>
  </si>
  <si>
    <t>MTR-1659</t>
  </si>
  <si>
    <t>UDP over BIP</t>
  </si>
  <si>
    <t>MTR-1635</t>
  </si>
  <si>
    <t>SET UP EVENT LIST - Event: Data available</t>
  </si>
  <si>
    <t>MTR-1636</t>
  </si>
  <si>
    <t>SET UP EVENT LIST - Event: Channel status</t>
  </si>
  <si>
    <t>5 Dual-SIM</t>
  </si>
  <si>
    <t>MTR-32785</t>
  </si>
  <si>
    <r>
      <rPr>
        <rFont val="Arial"/>
        <b/>
        <color theme="1"/>
        <sz val="10.0"/>
      </rPr>
      <t>3.5</t>
    </r>
    <r>
      <rPr>
        <rFont val="Arial"/>
        <b val="0"/>
        <color theme="1"/>
        <sz val="10.0"/>
      </rPr>
      <t xml:space="preserve"> </t>
    </r>
    <r>
      <rPr>
        <rFont val="Arial"/>
        <b/>
        <color theme="1"/>
        <sz val="10.0"/>
      </rPr>
      <t>Dual-SIM</t>
    </r>
  </si>
  <si>
    <t>MTR-30966</t>
  </si>
  <si>
    <r>
      <rPr>
        <rFont val="Arial"/>
        <color theme="1"/>
        <sz val="10.0"/>
      </rPr>
      <t xml:space="preserve">Requirements in this chapter apply only for Dual Sim devices. In case of single SIm device please respond to all requirements in this chapter with "Not Applicable".
</t>
    </r>
    <r>
      <rPr>
        <rFont val="Arial"/>
        <b/>
        <color theme="1"/>
        <sz val="10.0"/>
      </rPr>
      <t xml:space="preserve">Note: </t>
    </r>
    <r>
      <rPr>
        <rFont val="Arial"/>
        <color theme="1"/>
        <sz val="10.0"/>
      </rPr>
      <t>in the following "SIM-module" is used as a synonym of a local SIM/profile associated to a radio module with which it is booked into the network.</t>
    </r>
  </si>
  <si>
    <t>MTR-30967</t>
  </si>
  <si>
    <r>
      <rPr>
        <rFont val="Arial"/>
        <b/>
        <color theme="1"/>
        <sz val="10.0"/>
      </rPr>
      <t>3.5.1</t>
    </r>
    <r>
      <rPr>
        <rFont val="Arial"/>
        <b val="0"/>
        <color theme="1"/>
        <sz val="10.0"/>
      </rPr>
      <t xml:space="preserve"> </t>
    </r>
    <r>
      <rPr>
        <rFont val="Arial"/>
        <b/>
        <color theme="1"/>
        <sz val="10.0"/>
      </rPr>
      <t>General</t>
    </r>
  </si>
  <si>
    <t>MTR-30971</t>
  </si>
  <si>
    <t>DSDS: The device supports dual-SIM dual-standby (DSDS), i.e. both SIMs are camped on a network for receiving paging messages and the device supports only one transceiver.</t>
  </si>
  <si>
    <t>Dual-SIM</t>
  </si>
  <si>
    <t>MTR-30984</t>
  </si>
  <si>
    <t>DSDA: The device supports dual-SIM dual-active (DSDA) with two separate wireless modules booked into the networks, i.e. the device supports two independent transceivers.</t>
  </si>
  <si>
    <t>MTR-31015</t>
  </si>
  <si>
    <t>In case DSDA is supported (MTR-30984), it shall be deactivated and the device limited to DSDS.
Note: With active DSDA there is the risk that
- SAR limits would be exceeded
- the device would create interference between the transceivers
- sending in the same band MUST be avoided but cannot be ensured</t>
  </si>
  <si>
    <t>MTR-31002</t>
  </si>
  <si>
    <t>Each SIM module supports all the requirements defined in the SIM-SAT section (MTR-1711 and following) of the MTR.</t>
  </si>
  <si>
    <t>MTR-31009</t>
  </si>
  <si>
    <t>Describe both SIM card form factors in the "Comments Vendor" field, see related generic requirements MTR-26779, MTR-26780, MTR-31318, MTR-31319.</t>
  </si>
  <si>
    <t>Physical SIM (4FF) + eSIM</t>
  </si>
  <si>
    <t>MTR-33734</t>
  </si>
  <si>
    <r>
      <rPr>
        <rFont val="Arial"/>
        <b/>
        <color theme="1"/>
        <sz val="10.0"/>
      </rPr>
      <t>3.5.2</t>
    </r>
    <r>
      <rPr>
        <rFont val="Arial"/>
        <b val="0"/>
        <color theme="1"/>
        <sz val="10.0"/>
      </rPr>
      <t xml:space="preserve"> </t>
    </r>
    <r>
      <rPr>
        <rFont val="Arial"/>
        <b/>
        <color theme="1"/>
        <sz val="10.0"/>
      </rPr>
      <t>IMEI Dual-SIM Requirements</t>
    </r>
  </si>
  <si>
    <t>MTR-33735</t>
  </si>
  <si>
    <r>
      <rPr>
        <rFont val="Arial"/>
        <color theme="1"/>
        <sz val="10.0"/>
      </rPr>
      <t xml:space="preserve">Each SIM module shall have a unique associated IMEI.
</t>
    </r>
    <r>
      <rPr>
        <rFont val="Arial"/>
        <b/>
        <color theme="1"/>
        <sz val="10.0"/>
      </rPr>
      <t xml:space="preserve">Note: </t>
    </r>
    <r>
      <rPr>
        <rFont val="Arial"/>
        <color theme="1"/>
        <sz val="10.0"/>
      </rPr>
      <t>In line with GSMA Requirement TS37_2.1_REQ_1 (PRD TS.37).</t>
    </r>
  </si>
  <si>
    <t>MTR-33736</t>
  </si>
  <si>
    <t>Both IMEIs (first 14 digits, i.e. without checksum) are in ascending order:
- IMEI 1 is the primary IMEI, i.e. the IMEI printed with the barcode on the box. 
- IMEI 2 is in ascending order to IMEI 1 (i.e. the number without checksum is incremented by 1 compared to the primary IMEI)</t>
  </si>
  <si>
    <t>MTR-33737</t>
  </si>
  <si>
    <t>The "primary IMEI" (first 14 digits of the IMEI with the lowest value) is starting with an even number.
If not fully supported, please explain under "Comments Vendor" the deviation</t>
  </si>
  <si>
    <t>MTR-30968</t>
  </si>
  <si>
    <r>
      <rPr>
        <rFont val="Arial"/>
        <b/>
        <color theme="1"/>
        <sz val="10.0"/>
      </rPr>
      <t>3.5.3</t>
    </r>
    <r>
      <rPr>
        <rFont val="Arial"/>
        <b val="0"/>
        <color theme="1"/>
        <sz val="10.0"/>
      </rPr>
      <t xml:space="preserve"> </t>
    </r>
    <r>
      <rPr>
        <rFont val="Arial"/>
        <b/>
        <color theme="1"/>
        <sz val="10.0"/>
      </rPr>
      <t>Radio</t>
    </r>
  </si>
  <si>
    <t>MTR-31003</t>
  </si>
  <si>
    <t>In Dual-SIM operation mode it is possible to use all supported radio technologies /modes with at least one of the SIM modules. For this SIM module there must be no limitation compared to single SIM operation mode.
Please describe any limitations in the field "Comments Vendor".</t>
  </si>
  <si>
    <t>Both SIM supports multi-mode 2G/3G/LTE</t>
  </si>
  <si>
    <t>MTR-32831</t>
  </si>
  <si>
    <r>
      <rPr>
        <rFont val="Arial"/>
        <color theme="1"/>
        <sz val="10.0"/>
      </rPr>
      <t xml:space="preserve">In Dual-SIM operation mode it is possible to use all supported radio technologies /modes with </t>
    </r>
    <r>
      <rPr>
        <rFont val="Arial"/>
        <b/>
        <color theme="1"/>
        <sz val="10.0"/>
      </rPr>
      <t>both</t>
    </r>
    <r>
      <rPr>
        <rFont val="Arial"/>
        <color theme="1"/>
        <sz val="10.0"/>
      </rPr>
      <t xml:space="preserve"> SIM modules. For both SIM module there must be no limitation compared to single SIM operation mode.
Please describe any limitations in the field "Comments Vendor".</t>
    </r>
  </si>
  <si>
    <t>One : 2G/3G/LTE/5G
Both : 2G/3G/LTE/5G</t>
  </si>
  <si>
    <t>MTR-36158</t>
  </si>
  <si>
    <t>In idle mode the device shall not miss pagings on any SIM module.</t>
  </si>
  <si>
    <t>MTR-30985</t>
  </si>
  <si>
    <t>If one SIM-module is performing data transfer (any radio technology) the other SIM-module can still be paged.</t>
  </si>
  <si>
    <t>MTR-32925</t>
  </si>
  <si>
    <r>
      <rPr>
        <rFont val="Arial"/>
        <color theme="1"/>
        <sz val="10.0"/>
      </rPr>
      <t xml:space="preserve">When both modules support LTE (see MTR-32831) and two USIMs are inserted the Carrier Aggregation and MIMO capabilities of both modules are identical with the Carrier Aggregation (UL, DL) and MIMO capabilities when only one USIM is inserted (as documented in the corresponding LTE sections, see MTR-31253, MTR-32485, MTR-31254).
Describe all restrictions under "Comments Vendor" when not fully supported but both modules support LTE.
Respond </t>
    </r>
    <r>
      <rPr>
        <rFont val="Arial"/>
        <b/>
        <color theme="1"/>
        <sz val="10.0"/>
      </rPr>
      <t>"Not Applicable"</t>
    </r>
    <r>
      <rPr>
        <rFont val="Arial"/>
        <color theme="1"/>
        <sz val="10.0"/>
      </rPr>
      <t xml:space="preserve"> when only one or no module support LTE.</t>
    </r>
  </si>
  <si>
    <t>For Dual SIM scenario, there is no restriction. However for dual Volte and DRDS (dual Rx for LTE+LTE.) cases, number of Rx paths supported per SIM and band combinations may be restricted.</t>
  </si>
  <si>
    <t>MTR-35199</t>
  </si>
  <si>
    <r>
      <rPr>
        <rFont val="Arial"/>
        <color theme="1"/>
        <sz val="10.0"/>
      </rPr>
      <t xml:space="preserve">If at least one module supports 5G (see MTR-33223) and two USIMs are inserted the 5G EN-DC, LTE Carrier Aggregation and MIMO capabilities of both modules are identical with the 5G EN-DC, LTE Carrier Aggregation (UL, DL) and MIMO capabilities when only one USIM is inserted (as documented in the corresponding 5G and LTE sections).
Describe all restrictions under "Comments Vendor" when not fully supported.
Respond </t>
    </r>
    <r>
      <rPr>
        <rFont val="Arial"/>
        <b/>
        <color theme="1"/>
        <sz val="10.0"/>
      </rPr>
      <t>"Not Applicable"</t>
    </r>
    <r>
      <rPr>
        <rFont val="Arial"/>
        <color theme="1"/>
        <sz val="10.0"/>
      </rPr>
      <t xml:space="preserve"> when 5G is not supported at all in the device.</t>
    </r>
  </si>
  <si>
    <t>NR ( SA or NSA) + LTE mode are supported. The CA,MIMO capa will be same  as in single SIM. No specific restriction.</t>
  </si>
  <si>
    <t>MTR-30969</t>
  </si>
  <si>
    <r>
      <rPr>
        <rFont val="Arial"/>
        <b/>
        <color theme="1"/>
        <sz val="10.0"/>
      </rPr>
      <t>3.5.4</t>
    </r>
    <r>
      <rPr>
        <rFont val="Arial"/>
        <b val="0"/>
        <color theme="1"/>
        <sz val="10.0"/>
      </rPr>
      <t xml:space="preserve"> </t>
    </r>
    <r>
      <rPr>
        <rFont val="Arial"/>
        <b/>
        <color theme="1"/>
        <sz val="10.0"/>
      </rPr>
      <t>UI Functions</t>
    </r>
  </si>
  <si>
    <t>MTR-30988</t>
  </si>
  <si>
    <t>The user can use Voice, Messages and data via SIM1 and SIM2 module both for incoming and outgoing traffic alternately.</t>
  </si>
  <si>
    <t>MTR-30989</t>
  </si>
  <si>
    <t>The user can select the SIM-module per outgoing event, e.g. each call, Messages or data connection.</t>
  </si>
  <si>
    <t>MTR-30990</t>
  </si>
  <si>
    <t>The user can pre-define the outgoing applications Voice, SMS, Messages data per SIM-module, e.g. voice, Messages on SIM1 and mobile data on SIM2.</t>
  </si>
  <si>
    <t>MTR-30991</t>
  </si>
  <si>
    <t>The user can select network type per SIM-module (e.g. 2G or multimode 2G/3G/LTE) during setup/power-up.</t>
  </si>
  <si>
    <t>MTR-30992</t>
  </si>
  <si>
    <t>The user can select network type per SIM-module (e.g. 2G or multimode 2G/3G/LTE) during operation in the menu.</t>
  </si>
  <si>
    <t>MTR-30993</t>
  </si>
  <si>
    <t>Call logs can be differentiated between the networks SIM1/2 (filter incoming, outgoing and missed calls).</t>
  </si>
  <si>
    <t>MTR-30994</t>
  </si>
  <si>
    <t>Phonebook / contact list can be differentiated between the networks SIM1/2 (e.g. via icon and filter option).</t>
  </si>
  <si>
    <t>Google does not support adding contacts to SIM card</t>
  </si>
  <si>
    <t>MTR-30995</t>
  </si>
  <si>
    <t>If new contacts are added to the phonebook/contacts list, there is the option to assign either SIM1/2 or both.</t>
  </si>
  <si>
    <t>MTR-30996</t>
  </si>
  <si>
    <t>Messages can be differentiated between the networks SIM1/2 (e.g. via icon and filter option), the defaults shows all messages.</t>
  </si>
  <si>
    <t>MTR-30997</t>
  </si>
  <si>
    <t>Incoming calls are indicated in addition to the caller ID/number with the SIM/network type.</t>
  </si>
  <si>
    <t>Not support on VoWiFi call</t>
  </si>
  <si>
    <t>MTR-30999</t>
  </si>
  <si>
    <t>Network indications for both, SIM1 and SIM2 modules are provided.</t>
  </si>
  <si>
    <t>MTR-31000</t>
  </si>
  <si>
    <t>The user can switch off and on one SIM-module (SIM1 or SIM2) during device operation.</t>
  </si>
  <si>
    <t>MTR-31001</t>
  </si>
  <si>
    <t>The user can manually change the name of the SIM-modules.</t>
  </si>
  <si>
    <t>MTR-32834</t>
  </si>
  <si>
    <r>
      <rPr>
        <rFont val="Arial"/>
        <b/>
        <color theme="1"/>
        <sz val="10.0"/>
      </rPr>
      <t>3.5.5</t>
    </r>
    <r>
      <rPr>
        <rFont val="Arial"/>
        <b val="0"/>
        <color theme="1"/>
        <sz val="10.0"/>
      </rPr>
      <t xml:space="preserve"> </t>
    </r>
    <r>
      <rPr>
        <rFont val="Arial"/>
        <b/>
        <color theme="1"/>
        <sz val="10.0"/>
      </rPr>
      <t>Voice</t>
    </r>
  </si>
  <si>
    <t>MTR-32918</t>
  </si>
  <si>
    <t>LTE and VoLTE is supported on one SIM-module</t>
  </si>
  <si>
    <t>MTR-32919</t>
  </si>
  <si>
    <t>LTE and VoLTE is available and supported on both SIM modules individually</t>
  </si>
  <si>
    <t>MTR-32852</t>
  </si>
  <si>
    <t>If Voice and LTE is predefined (according to one or many of MTR-30990,-30991,-30992) for a SIM-module and VoLTE is supported according section "Services/Voice/IMS based Voice" , then MOCs and MTCs shall be performed via VoLTE in this module.</t>
  </si>
  <si>
    <t>MTR-32853</t>
  </si>
  <si>
    <t>If LTE is predefined (according to one or many of MTR-30991 to MTR-30992) for SIM-module 1 and SIM-module 2 and VoLTE is supported according section "Services/Voice/IMS based Voice", then MTCs shall be performed via VoLTE on both SIM-modules (in first come first serve mode).
If not supported explain under "Comments Vendor" how MTC are handled for the non-Voice predefined SIM module.</t>
  </si>
  <si>
    <t>MTR-32855</t>
  </si>
  <si>
    <t>The VoLTE usage is independent of the data predefinition in MTR-30988,-30989,-30990,-30991,-30992.
(If Voice and LTE is predefined (according to MTR-32852) for a Sim-module but DATA not, then VoLTE must be possible regardless)</t>
  </si>
  <si>
    <t>MTR-33204</t>
  </si>
  <si>
    <t>If LTE and VoLTE is available and supported on both SIM modules then the access to supplementary services must carried via XCAP for both SIM modules using the same mechanisms described in 6.1.4.3.2 Supplementary service configuration.”</t>
  </si>
  <si>
    <t>MTR-32920</t>
  </si>
  <si>
    <t>VoWifi is supported on one SIM module</t>
  </si>
  <si>
    <t>MTR-32921</t>
  </si>
  <si>
    <t>VoWifi is supported on both SIM modules</t>
  </si>
  <si>
    <t>MTR-32856</t>
  </si>
  <si>
    <t>If Voice is predefined (according to MTR-30989,-30990) for a SIM-module and VoWifi is supported according section"Services/Voice/IMS based Voice", then VoWifi shall be used for Voice Calls in this SIM module (dependent on the "access preferred" settings)</t>
  </si>
  <si>
    <t>MTR-37192</t>
  </si>
  <si>
    <t>If Voice and VoWIFI support is predefined for a SIM but a Wi Fi connection is not possible and the call service of the corresponding SIM is not available ( eg , No Service) then  call service is supported by using the data network of the other SIM.</t>
  </si>
  <si>
    <t>MTR-37194</t>
  </si>
  <si>
    <t>The functionality described in MTR-37192 can be enabled/disabled by the user via an appropriate switch in the User Settings Menu. The default setting shall be “disabled”</t>
  </si>
  <si>
    <t>MTR-37195</t>
  </si>
  <si>
    <t>If the funktionality of MTR-37192 is supported it can be enabled or disabled via [TISD] as part of the device customisation by the vendor. If disabled, then also the user switch described in MTR- 37194 is not visible.</t>
  </si>
  <si>
    <t>MTR-31007</t>
  </si>
  <si>
    <r>
      <rPr>
        <rFont val="Arial"/>
        <b/>
        <color theme="1"/>
        <sz val="10.0"/>
      </rPr>
      <t>The dual SIM device performs Emergency calls:</t>
    </r>
    <r>
      <rPr>
        <rFont val="Arial"/>
        <b val="0"/>
        <color theme="1"/>
        <sz val="10.0"/>
      </rPr>
      <t xml:space="preserve">
- When both SIMs are CS attached / LTE "Combined EPS/IMSI attach": On 
the module where outgoing voice calls are pre-defined. When there is no 
pre-definition the user shall not be asked for the module but the emergency 
call is performed on any module. 
- When only one SIM is CS attached / LTE "Combined EPS/IMSI attach": On 
the attached network</t>
    </r>
  </si>
  <si>
    <t>MTR-32851</t>
  </si>
  <si>
    <r>
      <rPr>
        <rFont val="Arial"/>
        <b/>
        <color theme="1"/>
        <sz val="10.0"/>
      </rPr>
      <t>3.5.6</t>
    </r>
    <r>
      <rPr>
        <rFont val="Arial"/>
        <b val="0"/>
        <color theme="1"/>
        <sz val="10.0"/>
      </rPr>
      <t xml:space="preserve"> </t>
    </r>
    <r>
      <rPr>
        <rFont val="Arial"/>
        <b/>
        <color theme="1"/>
        <sz val="10.0"/>
      </rPr>
      <t>Data &amp; RCS</t>
    </r>
  </si>
  <si>
    <t>MTR-32832</t>
  </si>
  <si>
    <r>
      <rPr>
        <rFont val="Arial"/>
        <color theme="1"/>
        <sz val="10.0"/>
      </rPr>
      <t xml:space="preserve">If during device setup only 1 SIM profile is present that SIM module is automatically set to mobile data active.
</t>
    </r>
    <r>
      <rPr>
        <rFont val="Arial"/>
        <b/>
        <color theme="1"/>
        <sz val="10.0"/>
      </rPr>
      <t xml:space="preserve">Note: </t>
    </r>
    <r>
      <rPr>
        <rFont val="Arial"/>
        <color theme="1"/>
        <sz val="10.0"/>
      </rPr>
      <t>Mobile data active means that this SIM module is used exclusively for mobile data traffic if mobile data is enabled in the device.</t>
    </r>
  </si>
  <si>
    <t>MTR-32833</t>
  </si>
  <si>
    <t>If during device setup 2 SIM profiles are present the user shall select which SIM module is set to "mobile data active".</t>
  </si>
  <si>
    <t>MTR-32849</t>
  </si>
  <si>
    <t>If both SIM modules support mobile data over multi-mode 2G/3G/LTE then there shall be no restrictions on data applications (e.g. RCS). 
In case there are any restrictions, please list them in the "Comments Vendor" field.</t>
  </si>
  <si>
    <t>MTR-32926</t>
  </si>
  <si>
    <t>The Dual SIM Device is compliant to the requirements described in GSMA RCC.71 - RCS Universal Profile Service Definition Document; Version 1.0, 2.2.9</t>
  </si>
  <si>
    <t>MTR-37196</t>
  </si>
  <si>
    <t>In DSDS when a call is attempted with either SIM then the Default Data Slot is automatically changed to the corresponding SIM, allowing simultaneous use of call and data service.</t>
  </si>
  <si>
    <t>MTR-37197</t>
  </si>
  <si>
    <t>The functionality described in MTR-37196 can be enabled/disabled by the user via an appropriate switch in the User Settings Menu. The default setting shall be “disabled”</t>
  </si>
  <si>
    <t>MTR-37198</t>
  </si>
  <si>
    <t>If the funktionality of MTR-37196 is supported it can be enabled or disabled via [TISD] as part of the device customisation by the vendor. If disabled, then also the user switch described in MTR-37197 is not visible.</t>
  </si>
  <si>
    <t>MTR-37201</t>
  </si>
  <si>
    <t>The UE switches to another SIM for mobile data service if the preferred SIM cannot establish a data connection.</t>
  </si>
  <si>
    <t>MTR-37200</t>
  </si>
  <si>
    <t>The functionality described in MTR-37201 can be enabled/disabled by the user via an appropriate switch in the User Settings Menu. The default setting shall be “disabled”</t>
  </si>
  <si>
    <t>MTR-37199</t>
  </si>
  <si>
    <t>If the funktionality of MTR-37201 is supported it can be enabled or disabled via [TISD] as part of the device customisation by the vendor. If disabled, then also the user switch described in MTR-37200 is not visible.</t>
  </si>
  <si>
    <t>MTR-30970</t>
  </si>
  <si>
    <r>
      <rPr>
        <rFont val="Arial"/>
        <b/>
        <color theme="1"/>
        <sz val="10.0"/>
      </rPr>
      <t>3.5.7</t>
    </r>
    <r>
      <rPr>
        <rFont val="Arial"/>
        <b val="0"/>
        <color theme="1"/>
        <sz val="10.0"/>
      </rPr>
      <t xml:space="preserve"> </t>
    </r>
    <r>
      <rPr>
        <rFont val="Arial"/>
        <b/>
        <color theme="1"/>
        <sz val="10.0"/>
      </rPr>
      <t>SIM profile based Customization</t>
    </r>
  </si>
  <si>
    <t>MTR-32836</t>
  </si>
  <si>
    <t>If during device setup only 1 SIM/profile is present, the SIM profile based customization as outlined in chapter "SW Enablers =&gt; General Customisation / UI" (MTR-1871 and following) is applied for that SIM/profile.</t>
  </si>
  <si>
    <t>MTR-32837</t>
  </si>
  <si>
    <t>If during device setup 2 SIM/profiles are present, the SIM profile based customization as outlined in chapter "SW Enablers =&gt; General Customisation / UI" (MTR-1871 and following) is applied for the SIM/profile which is set to "mobile data active".</t>
  </si>
  <si>
    <t>MTR-30973</t>
  </si>
  <si>
    <t>SIM-module prompt by default is provided for outgoing traffic, e.g. placing voice call, sending Messages or starting data connection.</t>
  </si>
  <si>
    <t>MTR-30974</t>
  </si>
  <si>
    <t>The call log default shows all events independent of the related SIM-module in one view.</t>
  </si>
  <si>
    <t>MTR-30975</t>
  </si>
  <si>
    <t>The phonebook / contact list shows per default all contacts independent of the related SIM-module in one view.</t>
  </si>
  <si>
    <t>MTR-30977</t>
  </si>
  <si>
    <t>The user has the option to manually change the assignment of the RAT multi-mode configuration of SIM1 and SIM2 only after the initial setup. Any already executed customization shall not be changed.</t>
  </si>
  <si>
    <t>MTR-30978</t>
  </si>
  <si>
    <t>The configuration settings should be kept in case of reboots if no SIM/profile change is detected.</t>
  </si>
  <si>
    <t>MTR-30979</t>
  </si>
  <si>
    <t>If after device reboot or during operation the SIM/profile has changed, the user shall be asked if a manual SIM-module / RAT assignment shall be kept or changed to default, see MTR-30990. Specifically, if the "mobile data active" SIM card is removed the other SIM card should not be automatically set to "mobile data active" but the user shall be asked to avoid bill shock.</t>
  </si>
  <si>
    <t>MTR-32850</t>
  </si>
  <si>
    <t>If after reboot a SIM/profile change is detected, the device configuration shall be updated accordingly without user interaction.</t>
  </si>
  <si>
    <t>MTR-32838</t>
  </si>
  <si>
    <r>
      <rPr>
        <rFont val="Arial"/>
        <b/>
        <color theme="1"/>
        <sz val="10.0"/>
      </rPr>
      <t>3.5.8</t>
    </r>
    <r>
      <rPr>
        <rFont val="Arial"/>
        <b val="0"/>
        <color theme="1"/>
        <sz val="10.0"/>
      </rPr>
      <t xml:space="preserve"> </t>
    </r>
    <r>
      <rPr>
        <rFont val="Arial"/>
        <b/>
        <color theme="1"/>
        <sz val="10.0"/>
      </rPr>
      <t>Hardware</t>
    </r>
  </si>
  <si>
    <t>MTR-33205</t>
  </si>
  <si>
    <t>Please state the number of physical tray's for carrying SIM's and memory cards (e.g. Micro SD or others) under "Comments Vendor".</t>
  </si>
  <si>
    <t>1 Physical SIM Tray only</t>
  </si>
  <si>
    <t>MTR-32840</t>
  </si>
  <si>
    <t>The device features two physical SIM slots.</t>
  </si>
  <si>
    <t>MTR-32841</t>
  </si>
  <si>
    <r>
      <rPr>
        <rFont val="Arial"/>
        <color theme="1"/>
        <sz val="10.0"/>
      </rPr>
      <t xml:space="preserve">The device features a hybrid slot (can be used for Memory expansion card </t>
    </r>
    <r>
      <rPr>
        <rFont val="Arial"/>
        <b/>
        <color theme="1"/>
        <sz val="10.0"/>
      </rPr>
      <t>or</t>
    </r>
    <r>
      <rPr>
        <rFont val="Arial"/>
        <color theme="1"/>
        <sz val="10.0"/>
      </rPr>
      <t xml:space="preserve"> second SIM operation).</t>
    </r>
  </si>
  <si>
    <t>MTR-32842</t>
  </si>
  <si>
    <t>The device features an additional memory card slot in addition to Dual SIM operation.</t>
  </si>
  <si>
    <t>MTR-32843</t>
  </si>
  <si>
    <t>The device features trayless eSIM for second SIM operation.</t>
  </si>
  <si>
    <t>6 Remote SIM Provisioning (eSIM)</t>
  </si>
  <si>
    <t>MTR-32075</t>
  </si>
  <si>
    <r>
      <rPr>
        <rFont val="Arial"/>
        <b/>
        <color theme="1"/>
        <sz val="10.0"/>
      </rPr>
      <t>3.6</t>
    </r>
    <r>
      <rPr>
        <rFont val="Arial"/>
        <b val="0"/>
        <color theme="1"/>
        <sz val="10.0"/>
      </rPr>
      <t xml:space="preserve"> </t>
    </r>
    <r>
      <rPr>
        <rFont val="Arial"/>
        <b/>
        <color theme="1"/>
        <sz val="10.0"/>
      </rPr>
      <t>Remote SIM Provisioning (eSIM)</t>
    </r>
  </si>
  <si>
    <t>MTR-35130</t>
  </si>
  <si>
    <t>The device supports eSIM.</t>
  </si>
  <si>
    <t>MTR-38634</t>
  </si>
  <si>
    <t>The device supports Multiple Enabled Profiles for eSIM (MEP).
Please state if the solution is based on [GSMA SGP.22] v3 or if its proprietary under "Comments Vendor".</t>
  </si>
  <si>
    <t>Support GSMA SGP.21 V3.0 and SGP.22 V3.0</t>
  </si>
  <si>
    <t>MTR-32271</t>
  </si>
  <si>
    <r>
      <rPr>
        <rFont val="Arial"/>
        <b/>
        <color theme="1"/>
        <sz val="10.0"/>
      </rPr>
      <t>3.6.1</t>
    </r>
    <r>
      <rPr>
        <rFont val="Arial"/>
        <b val="0"/>
        <color theme="1"/>
        <sz val="10.0"/>
      </rPr>
      <t xml:space="preserve"> </t>
    </r>
    <r>
      <rPr>
        <rFont val="Arial"/>
        <b/>
        <color theme="1"/>
        <sz val="10.0"/>
      </rPr>
      <t>Terminal LPA (Local Profile Assistant)</t>
    </r>
  </si>
  <si>
    <t>MTR-32275</t>
  </si>
  <si>
    <t>The LPA is compliant to [GSMA SGP.21] and [SGP.22]. Please state the GSMA documents versions under "Comments Vendor".</t>
  </si>
  <si>
    <t>GSMA OS Standard Version : v2.2.2
SIMalliance Standard Version : v.2.3.1</t>
  </si>
  <si>
    <t>MTR-32277</t>
  </si>
  <si>
    <t>The LPA is tested and certified in accordance to the corresponding GSMA certification scheme [SGP.23 &amp; SGP.24].</t>
  </si>
  <si>
    <t>GSMA self-declaration form of eUICC</t>
  </si>
  <si>
    <t>MTR-32280</t>
  </si>
  <si>
    <t>The device operating system shall ensure that the only instance that can communicate with the eUICC within the RSP process is the OS-integrated LPA.
LPA APIs or similar processes shall always interact via the LPA with the eUICC.</t>
  </si>
  <si>
    <t>MTR-32281</t>
  </si>
  <si>
    <t>All cryptographic keys or other security credentials used by the LPA shall be protected to ensure its confidentiality, integrity and unallowed access by using a secure environment for such data. Please describe the implemented security mechanisms and the secure environment under "Comments Vendor".</t>
  </si>
  <si>
    <t>Follow Android AOSP Security design</t>
  </si>
  <si>
    <t>MTR-32282</t>
  </si>
  <si>
    <t>The LPA shall ensure that user intent can’t be manipulated by any other software application neither locally nor remotely. To achive this the terminal implements secure technical measures to capture and verify owner intent (device user or Mobile Device Management Client) for each single eSIM profile administrative action (such as but not limited to download, install, delete).</t>
  </si>
  <si>
    <t>MTR-32283</t>
  </si>
  <si>
    <t>The terminal offers an eUICC Factory Reset separated from device Factory Reset. The device might offer a combined reset in addition. In any case the eUICC Factory reset is protected from unauthorized and accidental access by user defined protection method (e.g. PIN, pattern, password, fingerprint). The eUICC reset just effects operational profiles, ex-factory profiles like test or bootstrap profiles are not affected.</t>
  </si>
  <si>
    <t>MTR-35670</t>
  </si>
  <si>
    <t>The LPA shall support a Discovery Service (SM-DS) for eSIM profile downloads.
Please state the supported SM-DS under "Comments Vendor".</t>
  </si>
  <si>
    <t>MTR-32284</t>
  </si>
  <si>
    <t>In case terminal detects no operational profile (during OOBE or after eUICC Reset but not limited to) following sequence is followed: 
1. Try to connect to WiFi or any other available internet connectivity
2. Query Discovery Service (SM-DS) for waiting operation
3. Prompt user for Activation Code, in case no Event is found on SM-DS. Activation Code can be entered by QR-Code and keyboard.
The terminal will automatically enable the first operational profile.</t>
  </si>
  <si>
    <t>During Setup Wizard if there is no operational Profile it will offer a UI for user to setup SIM-Free (eSIM) profile.</t>
  </si>
  <si>
    <t>MTR-32285</t>
  </si>
  <si>
    <t>The terminal offers a functionality to query SM-DS and to enter an activation code independent whether an operational profile is present or not. Activation of profiles beyond first operational profile needs to be confirmed by the end-customer.</t>
  </si>
  <si>
    <t>Google will check SM-DS first time during the eSIM flow in Setup Wizard and then from the Settings every time the user goes to "Add Carrier". There is no UI to query SM-DS manually.</t>
  </si>
  <si>
    <t>MTR-32286</t>
  </si>
  <si>
    <t>The terminal displays Profile meta data before download is initiated and within Profile selection menu.
At least "Operator Name", "Profile Name" and ICCID.</t>
  </si>
  <si>
    <t>Pixel display carrier's name to the user instead of all the profile's meta data.
We enabled the ICCID display under Settings - About phone - SIM status.
In line with the previous Pixel eSIM LPA implementation, we do display the carrier name, but not the profile name on UI.</t>
  </si>
  <si>
    <t>MTR-32287</t>
  </si>
  <si>
    <t>The device displays eSIM specific device information to support eSIM provisioning: The terminal’s IMEI and EID (eUICC-ID), both in text and as barcode. 
These values can be copied to clipboard.</t>
  </si>
  <si>
    <t>- IMEI1 and eID text / barcode will be printed on the box and display under bootloader (Power + Volume Down) -&gt; Barcode (Volume keys to select menu)
- eID QR Code in eSIM setup wizard</t>
  </si>
  <si>
    <t>MTR-32288</t>
  </si>
  <si>
    <t>The terminal displays the ICCIDs of all operational profiles installed on the terminal’s eUICC.</t>
  </si>
  <si>
    <t>Per Google LPA, the ICCID will display under Settings, SIM Status</t>
  </si>
  <si>
    <t>MTR-32289</t>
  </si>
  <si>
    <t>The EID is printed on an adhesive label that is attached to the device box.</t>
  </si>
  <si>
    <t>Device IMEI will be printed on the box but no sticker on the device
- IMEI1 and IMEI2 values will be printed on the box
- IMEI1 barcode will be printed on the box
- EID will be printed on the box</t>
  </si>
  <si>
    <t>MTR-32845</t>
  </si>
  <si>
    <t>The IMEI is printed on an adhesive label that is attached to the device box.</t>
  </si>
  <si>
    <t>Device IMEI will be printed on the box but no sticker on the device
 - IMEI1 and IMEI2 values will be printed on the box
 - IMEI1 barcode will be printed on the box
 - EID will be printed on the box</t>
  </si>
  <si>
    <t>MTR-32273</t>
  </si>
  <si>
    <r>
      <rPr>
        <rFont val="Arial"/>
        <b/>
        <color theme="1"/>
        <sz val="10.0"/>
      </rPr>
      <t>3.6.2</t>
    </r>
    <r>
      <rPr>
        <rFont val="Arial"/>
        <b val="0"/>
        <color theme="1"/>
        <sz val="10.0"/>
      </rPr>
      <t xml:space="preserve"> </t>
    </r>
    <r>
      <rPr>
        <rFont val="Arial"/>
        <b/>
        <color theme="1"/>
        <sz val="10.0"/>
      </rPr>
      <t>eUICC (embedded, removable ex-factory or integrated as ieUICC/"iSIM")</t>
    </r>
  </si>
  <si>
    <t>MTR-32293</t>
  </si>
  <si>
    <t>The device is equipped ex-factory with an eUICC. Please enter the eUICCs vendor name, the chipset name and version under "Comments Vendor".
For ieUICC please provide details of ieUICC solution under "Comments Vendor".</t>
  </si>
  <si>
    <t>STMicroelectronics
eOS v2.0 (Thales)</t>
  </si>
  <si>
    <t>MTR-35136</t>
  </si>
  <si>
    <t>The eUICC model used in the device shall be pre-certified by DTAG, therefore has to be provided as Plug-In eUICC with GSMA SGP.26 certificates either by OEM or his eUICC vendor.
For ieUICC a device sample for certification has to be provided to Smartcard Engineering using the established Sample Distribution List.</t>
  </si>
  <si>
    <t>The Google LPA comes preloaded with three TLS CI certificates: GSMA Production, GSMA Test, and GSMA SGP.26 Test</t>
  </si>
  <si>
    <t>MTR-32294</t>
  </si>
  <si>
    <t>The (i)eUICC is compliant to [GSMA SGP.21] and [SGP.22]. 
Please state GSMA SGP-versions under "Comments Vendor".</t>
  </si>
  <si>
    <t>MTR-38635</t>
  </si>
  <si>
    <t>The (i)eUICC is compliant to [GSMA SGP.31] and [SGP.32] specifications for IoT Devices which are Network Constrained and/or UI Constrained. 
Please state GSMA SGP-versions under "Comments Vendor".</t>
  </si>
  <si>
    <t>MTR-32295</t>
  </si>
  <si>
    <t>The (i)eUICC can process profiles compliant to [TCA/SIMalliance eUICC Profile Package Interoperable Format] v2.0 and v2.1. 
(i)eUICCs in 5G SA devices can process profiles compliant to v2.3.1.
Please state the highest supported TCA/SIMAlliance version under "Comments Vendor".</t>
  </si>
  <si>
    <t>IMAlliance eUICC Profile Package: Interoperable Format Technical Specification V2.0.
L10 is also compliant to SAIP v2.3.1.</t>
  </si>
  <si>
    <t>MTR-32296</t>
  </si>
  <si>
    <t>The (i)eUICC is tested and certified in accordance to the corresponding GSMA certification scheme [GSMA SGP.23 &amp; SGP.24]. Please provide the appropriate eUICCs GSMA certification report.</t>
  </si>
  <si>
    <t>MTR-32297</t>
  </si>
  <si>
    <t>The (i)eUICC has valid certificates for its keys issued by the GSMA PKI/CA.</t>
  </si>
  <si>
    <t>MTR-32298</t>
  </si>
  <si>
    <t>The (i)eUICC contains all necessary certificates for the RSP issued by the GSMA CA.</t>
  </si>
  <si>
    <t>MTR-35139</t>
  </si>
  <si>
    <t>The device has a preinstalled bootstrap profile.</t>
  </si>
  <si>
    <t>Mass production device won't have preinstalled bootstrap profile</t>
  </si>
  <si>
    <t>MTR-40147</t>
  </si>
  <si>
    <t>To be able to use the bootstrap profile for RSP the DTAG SM-DP+, SM-DS and Entitlement Server FQDNs need to be whitelisted as defined in the Deutsche Telekom International Settings Document [TISD].</t>
  </si>
  <si>
    <t>This is not supported on EMEA SKU</t>
  </si>
  <si>
    <t>MTR-32299</t>
  </si>
  <si>
    <t>The operator/service provider of the bootstrap connectivity is anonymous to the user.</t>
  </si>
  <si>
    <t>MTR-32300</t>
  </si>
  <si>
    <t>When the bootstrap profile is enabled on a terminal the user is notified to have no operational profile enabled and that there is only the restricted bootstrap connectivity (analogous to terminal without SIM card).</t>
  </si>
  <si>
    <t>MTR-32302</t>
  </si>
  <si>
    <t>The (i)eUICC complies with eUICC CAT2/Medium (384kB) or eUICC CAT3/Contactless (1024kB) or better.
Please state the free memory for eSIM Profiles under "Comments Vendor".</t>
  </si>
  <si>
    <t>Free NVM: 795.684 KB 
Free Ram: 16.148 KB</t>
  </si>
  <si>
    <t>MTR-33193</t>
  </si>
  <si>
    <t>The (i)eUICC supports the security protocols SCP80 and SCP03, and Delegated Management as defined by ETSI and Global Platform.</t>
  </si>
  <si>
    <t>Google eSIM solution support SCP02, SCP03, SCP11, SCP80, SCP81 but not OTA80</t>
  </si>
  <si>
    <t>MTR-36773</t>
  </si>
  <si>
    <t>The (i)eUICC supports "Tag 'AB' Security attributes expanded format" when using CREATE FILE (EF and DF/ADF) according ETSI 102 222 Ch. 6.3.2. and ETSI 102 221 Ch. 11.1.1.4.7.2.</t>
  </si>
  <si>
    <t>eSIM baseline limitation.
We support Compact Format” ‘8B’ instead.
The EF is present from first specification but was not required by the customers till now as no major advantages and only the compact mode was used.</t>
  </si>
  <si>
    <t>MTR-35672</t>
  </si>
  <si>
    <t>The (i)eUICC supports Java Card v3.0.4 or higher.
Please state the supported Java Card version under "Comments Vendor".</t>
  </si>
  <si>
    <t>3.0.5.</t>
  </si>
  <si>
    <t>MTR-36076</t>
  </si>
  <si>
    <t>The (i)eUICC supports Firmware OTA updates of the (i)eUICC OS (can be proprietary/OEM specific implementation).
Installed eSIM Profiles shall not be impacted by FOTA updates</t>
  </si>
  <si>
    <t>7 Entitlement</t>
  </si>
  <si>
    <t>MTR-36079</t>
  </si>
  <si>
    <r>
      <rPr>
        <rFont val="Arial"/>
        <b/>
        <color theme="1"/>
        <sz val="10.0"/>
      </rPr>
      <t>3.7</t>
    </r>
    <r>
      <rPr>
        <rFont val="Arial"/>
        <b val="0"/>
        <color theme="1"/>
        <sz val="10.0"/>
      </rPr>
      <t xml:space="preserve"> </t>
    </r>
    <r>
      <rPr>
        <rFont val="Arial"/>
        <b/>
        <color theme="1"/>
        <sz val="10.0"/>
      </rPr>
      <t>Entitlement</t>
    </r>
  </si>
  <si>
    <t>MTR-36147</t>
  </si>
  <si>
    <t>The device shall support EAP-AKA authentication as per GSMA TS.43v11</t>
  </si>
  <si>
    <t>MTR-40132</t>
  </si>
  <si>
    <t>The device shall support OIDC authentication as per GSMA TS.43v11</t>
  </si>
  <si>
    <t>Require FR to support this.</t>
  </si>
  <si>
    <t>MTR-36148</t>
  </si>
  <si>
    <t>If device is a primary device (e.G. smartphone), it shall support Primary ODSA flows (ap2009) as per GSMA TS.43v11 Chapter 8</t>
  </si>
  <si>
    <t>TS.43 primary device transfer currently MTR-38802 (temp token)</t>
  </si>
  <si>
    <t>MTR-38802</t>
  </si>
  <si>
    <t>If device is a primary device (e.G. smartphone), it shall support Primary ODSA with Temporary Token as per TS.43v11 Chapter 8</t>
  </si>
  <si>
    <t>MTR-36149</t>
  </si>
  <si>
    <t>The device shall support push messages during delayed download ODSA as per GSMA TS.43v11</t>
  </si>
  <si>
    <t>Neither Companion ODSA or Primary ODSA are supported by system software. See response to MTR-36153 and MTR-36148.</t>
  </si>
  <si>
    <t>MTR-36151</t>
  </si>
  <si>
    <t>The device shall support Data Plan Policy Entitlement (ap2010) as per GSMA TS.43v11 Chapter 9</t>
  </si>
  <si>
    <t>MTR-40133</t>
  </si>
  <si>
    <t>The device shall support Acquireing Operator_Token (ap2015) as per GSMA TS.43v11 Chapter 14</t>
  </si>
  <si>
    <r>
      <rPr>
        <rFont val="Arial"/>
        <sz val="10.0"/>
      </rPr>
      <t xml:space="preserve">Please ask TAM to create an FR to investigate feasibility 
(Internal reference </t>
    </r>
    <r>
      <rPr>
        <rFont val="Arial"/>
        <color rgb="FF1155CC"/>
        <sz val="10.0"/>
        <u/>
      </rPr>
      <t>b/322535353</t>
    </r>
    <r>
      <rPr>
        <rFont val="Arial"/>
        <sz val="10.0"/>
      </rPr>
      <t>)</t>
    </r>
  </si>
  <si>
    <t>MTR-40134</t>
  </si>
  <si>
    <t>The device shall support SatMode Entitlement authentication (ap2016) as per GSMA TS.43v11 Chapter 15</t>
  </si>
  <si>
    <r>
      <rPr>
        <rFont val="Arial"/>
        <sz val="10.0"/>
      </rPr>
      <t xml:space="preserve">Please ask TAM to create an FR to investigate feasibility 
(Internal reference </t>
    </r>
    <r>
      <rPr>
        <rFont val="Arial"/>
        <color rgb="FF1155CC"/>
        <sz val="10.0"/>
        <u/>
      </rPr>
      <t>b/306670992</t>
    </r>
    <r>
      <rPr>
        <rFont val="Arial"/>
        <sz val="10.0"/>
      </rPr>
      <t>)</t>
    </r>
  </si>
  <si>
    <t>4 SW Enablers</t>
  </si>
  <si>
    <t>MTR-26088</t>
  </si>
  <si>
    <r>
      <rPr>
        <rFont val="Arial"/>
        <b/>
        <color theme="1"/>
        <sz val="10.0"/>
      </rPr>
      <t>4</t>
    </r>
    <r>
      <rPr>
        <rFont val="Arial"/>
        <b val="0"/>
        <color theme="1"/>
        <sz val="10.0"/>
      </rPr>
      <t xml:space="preserve"> </t>
    </r>
    <r>
      <rPr>
        <rFont val="Arial"/>
        <b/>
        <color theme="1"/>
        <sz val="10.0"/>
      </rPr>
      <t>SW Enablers</t>
    </r>
  </si>
  <si>
    <t>1 General Customisation / UI</t>
  </si>
  <si>
    <t>MTR-1871</t>
  </si>
  <si>
    <r>
      <rPr>
        <rFont val="Arial"/>
        <b/>
        <color theme="1"/>
        <sz val="10.0"/>
      </rPr>
      <t>4.1</t>
    </r>
    <r>
      <rPr>
        <rFont val="Arial"/>
        <b val="0"/>
        <color theme="1"/>
        <sz val="10.0"/>
      </rPr>
      <t xml:space="preserve"> </t>
    </r>
    <r>
      <rPr>
        <rFont val="Arial"/>
        <b/>
        <color theme="1"/>
        <sz val="10.0"/>
      </rPr>
      <t>General Customisation / UI</t>
    </r>
  </si>
  <si>
    <t>MTR-1872</t>
  </si>
  <si>
    <r>
      <rPr>
        <rFont val="Arial"/>
        <b/>
        <color theme="1"/>
        <sz val="10.0"/>
      </rPr>
      <t>4.1.1</t>
    </r>
    <r>
      <rPr>
        <rFont val="Arial"/>
        <b val="0"/>
        <color theme="1"/>
        <sz val="10.0"/>
      </rPr>
      <t xml:space="preserve"> </t>
    </r>
    <r>
      <rPr>
        <rFont val="Arial"/>
        <b/>
        <color theme="1"/>
        <sz val="10.0"/>
      </rPr>
      <t>SIM Profile based Customization</t>
    </r>
  </si>
  <si>
    <t>MTR-27691</t>
  </si>
  <si>
    <r>
      <rPr>
        <rFont val="Arial"/>
        <b/>
        <color theme="1"/>
        <sz val="10.0"/>
      </rPr>
      <t>4.1.1.1</t>
    </r>
    <r>
      <rPr>
        <rFont val="Arial"/>
        <b val="0"/>
        <color theme="1"/>
        <sz val="10.0"/>
      </rPr>
      <t xml:space="preserve"> </t>
    </r>
    <r>
      <rPr>
        <rFont val="Arial"/>
        <b/>
        <color theme="1"/>
        <sz val="10.0"/>
      </rPr>
      <t>Definition and Overall Requirements</t>
    </r>
  </si>
  <si>
    <t>MTR-32349</t>
  </si>
  <si>
    <t>SIM Profile based Customization is defined by using the following parameters from the SIM Profile as criteria to apply customization elements:
MCC, MNC, GID1, SPN.</t>
  </si>
  <si>
    <t>MTR-32315</t>
  </si>
  <si>
    <t>DT NatCo and DT sub-brand customization is defined as:
a. Radio/Baseband Configuration as per DT MTR requirements &amp; [TISD]
b. Settings (Bookmarks, Access settings &amp; Client settings) as per DT MTR requirements and [TISD]
c. UI Elements including: sound elements, service indicators and visual assets, see chapters 4.1.2, 4.1.3
d. Applications, widgets, application folders etc. as per UI briefing documents PDS and chapter 4.1.4 requirements</t>
  </si>
  <si>
    <t>MTR-32316</t>
  </si>
  <si>
    <t>"DT SIM Profile" is defined as all SIM Profiles matching DT Natcos MNC/MCC combinations as outlined in the Deutsche Telekom International Settings Document [TISD].</t>
  </si>
  <si>
    <t>MTR-26457</t>
  </si>
  <si>
    <t>A mobile terminal for a particular NatCo can be customized according to MTR-32315 and MTR-32316 definitions in the following ways: 
1. DT NatCo customization.
2. DT NatCo sub-brand customization (e.g. Telering for TMA).
3. Generic UI customization. Generic UI customization means omision of all DT specific UI Elements and Applications. The device is still customized in terms of a Radio/Baseband configuration as per [TISD].</t>
  </si>
  <si>
    <t>MTR-32317</t>
  </si>
  <si>
    <t>The device can be customized during start-up as per 1, 2 or 3 above by detecting the combination of MCC, MNC, GID1 and SPN fields from the SIM Profile.</t>
  </si>
  <si>
    <t>a. Radio/Baseband Configuration as per DT MTR requirements &amp; [TISD] -&gt; Support by detecting SIM MCC/MNC
b. Settings (Bookmarks, Access settings &amp; Client settings) as per DT MTR requirements and [TISD] -&gt; Partially support the APP settings
c. UI Elements including: sound elements, service indicators and visual assets, see chapters 3.1.2, 3.1.3 -&gt; 
d. Applications, widgets, application folders etc. as per UI briefing documents PDS and chapter 3.1.4 requirements -&gt; Not support</t>
  </si>
  <si>
    <t>MTR-32318</t>
  </si>
  <si>
    <t>For each installed application which is installed during the customization process, DT can define to install it with system rights to allow for permissions which are protected by “SystemOrSignature”. This could be achieved by installing the application into the system partition.
(Rationale: E.g. use of DT App enabler)</t>
  </si>
  <si>
    <t>Not support this requirement for Carrier PAI</t>
  </si>
  <si>
    <t>MTR-32319</t>
  </si>
  <si>
    <t>DT Applications which are installed in the system partition must have selected permissions allowed by default. The OEM shall grant DTAG customization elements sufficient rights on the devices to complete the customization.
(Rationale: E.g. use of DT App enabler)</t>
  </si>
  <si>
    <t>MTR-31240</t>
  </si>
  <si>
    <t>Post launch operator customization of generic open market kit / vanilla device is fully supported. 
I.e. software version for DT and open market kit is the same throughout the device life cycle.</t>
  </si>
  <si>
    <t>a. Radio/Baseband Configuration as per DT MTR requirements &amp; [TISD] -&gt; Support by detecting SIM MCC/MNC
b. Settings (Bookmarks, Access settings &amp; Client settings) as per DT MTR requirements and [TISD] -&gt; Partially support the APP settings
c. UI Elements including: sound elements, service indicators and visual assets, see chapters 3.1.2, 3.1.3 -&gt; 
d. Applications, widgets, application folders etc. as per UI briefing documents PDS and chapter 3.1.4 requirements -&gt; Not support"</t>
  </si>
  <si>
    <t>MTR-32418</t>
  </si>
  <si>
    <t>"The terminal SHALL be in compliance with the latest version of the TS.32 specification "Technical Adaptation of Devices through Late Customisation" issued by the GSMA" see [//www.gsma.com/newsroom/all-documents/technical-adaptation-of-devices-through-late-customisation/].</t>
  </si>
  <si>
    <t>MTR-2911</t>
  </si>
  <si>
    <r>
      <rPr>
        <rFont val="Arial"/>
        <b/>
        <color theme="1"/>
        <sz val="10.0"/>
      </rPr>
      <t>4.1.1.1.1</t>
    </r>
    <r>
      <rPr>
        <rFont val="Arial"/>
        <b val="0"/>
        <color theme="1"/>
        <sz val="10.0"/>
      </rPr>
      <t xml:space="preserve"> </t>
    </r>
    <r>
      <rPr>
        <rFont val="Arial"/>
        <b/>
        <color theme="1"/>
        <sz val="10.0"/>
      </rPr>
      <t>Over The Air (OTA) Provisioning</t>
    </r>
  </si>
  <si>
    <t>MTR-2912</t>
  </si>
  <si>
    <t>The Terminal provides one or more OTA provisioning mechanisms for Settings defined under MTR-32315 Point b. Please list all supported OTA methods in the "Comments Vendor" field (e.g. OMA CP,...).</t>
  </si>
  <si>
    <t>PARIS (Pixel cARrIer Settings) to push carrier cofigurations through OTA</t>
  </si>
  <si>
    <t>MTR-2915</t>
  </si>
  <si>
    <r>
      <rPr>
        <rFont val="Arial"/>
        <b/>
        <color theme="1"/>
        <sz val="10.0"/>
      </rPr>
      <t>4.1.1.1.2</t>
    </r>
    <r>
      <rPr>
        <rFont val="Arial"/>
        <b val="0"/>
        <color theme="1"/>
        <sz val="10.0"/>
      </rPr>
      <t xml:space="preserve"> </t>
    </r>
    <r>
      <rPr>
        <rFont val="Arial"/>
        <b/>
        <color theme="1"/>
        <sz val="10.0"/>
      </rPr>
      <t>Over The Air (OTA) Provisionable content</t>
    </r>
  </si>
  <si>
    <t>MTR-2916</t>
  </si>
  <si>
    <t>Access profiles, containing all relevant access settingsi.e. Connection Name, APN, username, password, see also Deutsche Telekom International Settings Document [TISD].</t>
  </si>
  <si>
    <t>MTR-2919</t>
  </si>
  <si>
    <t>Browser client profiles incl. Connection name, proxy IP address, URL, proxy port etc. (see [TISD] for details).</t>
  </si>
  <si>
    <t>MTR-2920</t>
  </si>
  <si>
    <t>MMS client profiles incl. Connection name, MMSC address, port (see [TISD] for details).</t>
  </si>
  <si>
    <t>MTR-13642</t>
  </si>
  <si>
    <r>
      <rPr>
        <rFont val="Arial"/>
        <b/>
        <color theme="1"/>
        <sz val="10.0"/>
      </rPr>
      <t>4.1.1.2</t>
    </r>
    <r>
      <rPr>
        <rFont val="Arial"/>
        <b val="0"/>
        <color theme="1"/>
        <sz val="10.0"/>
      </rPr>
      <t xml:space="preserve"> </t>
    </r>
    <r>
      <rPr>
        <rFont val="Arial"/>
        <b/>
        <color theme="1"/>
        <sz val="10.0"/>
      </rPr>
      <t>Setup Experience</t>
    </r>
  </si>
  <si>
    <t>MTR-29860</t>
  </si>
  <si>
    <t>The device shall be delivered in ex-factory state. Ex-factory state is defined as the state before the user starts the device with a SIM Profile. In ex-factory state the device shall support the logic for triggering the related customizations on the device, which are mentioned in MTR-26457.</t>
  </si>
  <si>
    <t>MTR-29845</t>
  </si>
  <si>
    <t>When the device is started for the first time with a DT SIM Profile, the NatCo, subbrand or the Service Provider shall be detected based on MCC/MNC/SPN/GID1 and the corresponding customization shall be started. For details regarding the MCC, MNC, SPN, GID1 combination per country, please refer to the latest version of the [TISD] document.</t>
  </si>
  <si>
    <t>MTR-30651</t>
  </si>
  <si>
    <t>The detailed guideline for activating the customization during start-up is supported as indicated in the Flowchart under MTR Appendix "DT - SIM based Customization Logic v1.0".</t>
  </si>
  <si>
    <t>Pixels have its own start-up design, no customization of the activation process</t>
  </si>
  <si>
    <t>MTR-26475</t>
  </si>
  <si>
    <t>An interruption of the device customization during start-up (e.g. due to low battery power) shall not lead to a damage of the device software. When this customization is stopped or interrupted, it shall be possible to complete it at the next earliest possible time.</t>
  </si>
  <si>
    <t>MTR-33277</t>
  </si>
  <si>
    <t>The Operator Customization as defined in MTR-32315 shall be applied during device general OOBE.
In case of incompliencies please specify under "Comments Vendor" time gap between finalisation of general OOBE and start of operator customization.</t>
  </si>
  <si>
    <t>MTR-32337</t>
  </si>
  <si>
    <t>Please specify under "Comments Vendor" the offered tool(s) to provide Operator applications in the post launch customization process, e.g. own COTA server, Play Auto Installs, ADCP, ODM Solution..</t>
  </si>
  <si>
    <t>Play Auto Install</t>
  </si>
  <si>
    <t>MTR-32326</t>
  </si>
  <si>
    <t>In case a "service provider update screen" is foreseen by the vendors customization solution it shall be possible to make that screen visible for selected SIM Profiles only.</t>
  </si>
  <si>
    <t>MTR-32327</t>
  </si>
  <si>
    <t>In case a "service provider update screen" is foreseen by the vendors customization solution the visual content of the service provider update screen shall be customizable. E.g. the displayed text shall be changeable server based.</t>
  </si>
  <si>
    <t>MTR-32439</t>
  </si>
  <si>
    <t>In case a "service provider update screen" is foreseen by the vendors customization solution the service provider update screen shall include a checkbox with Opt-in or Opt-out pre-defined selection on SIM Profile basis for giving the user flexibility to execute the Customization.</t>
  </si>
  <si>
    <t>MTR-32440</t>
  </si>
  <si>
    <t>In case a "service provider update screen" is foreseen by the vendors customization solution it shall be possible to remove visibility of the Opt-in or Opt-out checkbox for selected SIM Profiles when Wifi-Connection is used or Zero Charging is installed. In this scenario, the service provider update screen is a pure "info screen".</t>
  </si>
  <si>
    <t>MTR-29474</t>
  </si>
  <si>
    <t>A graphical element (e.g. progress bar) informs the user about the progress of the device customization.</t>
  </si>
  <si>
    <t>MTR-33276</t>
  </si>
  <si>
    <t>The OOBE shall end with the possibillity to enable a DT welcome screen (e.g. in TDG known as "Telekom Moment") by sendong "BOOT_COMPLETED" to DT App enabler (see also MTR-32318 and MTR-32319 for reference).</t>
  </si>
  <si>
    <t>MTR-32328</t>
  </si>
  <si>
    <t>After finishing the customization process no device restart shall be required.</t>
  </si>
  <si>
    <t>MTR-31426</t>
  </si>
  <si>
    <r>
      <rPr>
        <rFont val="Arial"/>
        <b/>
        <color theme="1"/>
        <sz val="10.0"/>
      </rPr>
      <t>4.1.1.3</t>
    </r>
    <r>
      <rPr>
        <rFont val="Arial"/>
        <b val="0"/>
        <color theme="1"/>
        <sz val="10.0"/>
      </rPr>
      <t xml:space="preserve"> </t>
    </r>
    <r>
      <rPr>
        <rFont val="Arial"/>
        <b/>
        <color theme="1"/>
        <sz val="10.0"/>
      </rPr>
      <t>SIM Profile Change Use Cases w/o Factory Reset</t>
    </r>
  </si>
  <si>
    <t>MTR-29846</t>
  </si>
  <si>
    <t>When the device is started for the first time with a non-DT SIM Profile the Generic UI shall take effect if there is no other operator customization avalaible.</t>
  </si>
  <si>
    <t>MTR-30464</t>
  </si>
  <si>
    <t>2014 V11</t>
  </si>
  <si>
    <t>The required connectivity settings in case of a non-DT SIM Profile (MMS, Internet, etc.) shall be automatically activated within the device based on the detected SIM Profile.</t>
  </si>
  <si>
    <t>MTR-29848</t>
  </si>
  <si>
    <t>After an initial start with a non-DT SIM Profile when the device is re-started with a DT SIM Profile, the device shall detect this SIM Profile change and install only the network customization related settings like Radio/Baseband Configuration as per DT MTR requirements &amp; [TISD] as defined in MTR-26457 Point "a".</t>
  </si>
  <si>
    <t>MTR-30355</t>
  </si>
  <si>
    <t>In continuation of MTR-29848, in the event that customer data might be affected, the customer shall be informed accordingly before starting with the DT specific customization.</t>
  </si>
  <si>
    <t>PAI will notified users that download the application required data consumption</t>
  </si>
  <si>
    <t>MTR-29849</t>
  </si>
  <si>
    <t>After an initial start with a DT SIM Profile when the device is re-started with a non DT SIM Profile, the customer shall keep all user data related DT customization. User data shall not be removed without customer consent.</t>
  </si>
  <si>
    <t>MTR-31889</t>
  </si>
  <si>
    <t>In case of a DT SIM Profile swap between a DT Profile of NatCo 1 and a DT Profile of NatCo 2 or a DT Profile of a DT sub-brand the first activated customization shall be retained if user data is involved. User data shall not be removed without customer consent.</t>
  </si>
  <si>
    <t>Only common settings will be retained</t>
  </si>
  <si>
    <t>MTR-31890</t>
  </si>
  <si>
    <t>The required connectivity settings in case of MTR-31889 (MMS, Internet, etc.) shall be automatically activated within the device.</t>
  </si>
  <si>
    <t>MTR-29850</t>
  </si>
  <si>
    <t>When the device is started without a SIM Profile, the Generic UI shall be visible to the user. The device shall be in the ‚NO SIM Profile‘ mode and standard conditions in this mode shall apply.</t>
  </si>
  <si>
    <t>MTR-29852</t>
  </si>
  <si>
    <t>In continuation with MTR-29850, when the device is subsequently started with a DT-SIM Profile, it shall install the customization as defined in MTR-26457.</t>
  </si>
  <si>
    <t>MTR-31241</t>
  </si>
  <si>
    <t>When the device is started without a SIM Profile and subsequently started with a DT-SIM Profile (29850 + 29852 above) : In the event that customer data might be affected the customer shall be informed accordingly before starting with the DT customization. User data shall not be removed without customer consent.</t>
  </si>
  <si>
    <t>MTR-32024</t>
  </si>
  <si>
    <t>In case customer notifications are used before the device is customized like in MTR-29845 or MTR-31241 the customer shall not have the possibility to 'Cancel', "Skip" or "Never show again" the customization offer. The only two possibilities shall be to proceed with the customization or to be reminded at a later point in time.</t>
  </si>
  <si>
    <t>The customization option will be dismissed if user ignore it after several days</t>
  </si>
  <si>
    <t>MTR-31592</t>
  </si>
  <si>
    <t>Hot SIM-Profile Swap: In the scenario that the device is being used without SIM Profile or with a non-DT SIM Profile and the customer changes to DT SIM Profile during operation (without the device being rebooted/restarted), the device shall detect this SIM Profile change and install only the network customization related settings like Radio/Baseband Configuration as per DT MTR requirements &amp; [TISD] as defined in MTR-26457 Point "a".</t>
  </si>
  <si>
    <t>MTR-31593</t>
  </si>
  <si>
    <t>In case of Hot SIM-Profile Swap, the customer data shall not be lost under any circumstances. In the event that customer data might be affected the customer shall be informed accordingly before starting with the customization.</t>
  </si>
  <si>
    <t>MTR-29698</t>
  </si>
  <si>
    <t>If the device is switched off during the customization update process, the Customization solution has to continue the installation of remaining elements (not to restart the process from the beginning) and to remove any temporary files from first attempt.</t>
  </si>
  <si>
    <t>MTR-29858</t>
  </si>
  <si>
    <r>
      <rPr>
        <rFont val="Arial"/>
        <b/>
        <color theme="1"/>
        <sz val="10.0"/>
      </rPr>
      <t>4.1.1.4</t>
    </r>
    <r>
      <rPr>
        <rFont val="Arial"/>
        <b val="0"/>
        <color theme="1"/>
        <sz val="10.0"/>
      </rPr>
      <t xml:space="preserve"> </t>
    </r>
    <r>
      <rPr>
        <rFont val="Arial"/>
        <b/>
        <color theme="1"/>
        <sz val="10.0"/>
      </rPr>
      <t>Factory Reset</t>
    </r>
  </si>
  <si>
    <t>MTR-32347</t>
  </si>
  <si>
    <t>In case the device requires a factory reset in order to customize the device the user must be informed about any loss of the personal user data appropriately.</t>
  </si>
  <si>
    <t>MTR-32348</t>
  </si>
  <si>
    <t>In case the device requires a factory reset in order to customize the device the customer shall be given the possibility to backup the personal user data (e.g. in the cloud) before the factory reset and customization process starts.</t>
  </si>
  <si>
    <t>A warning message to informa user that all data in internal storage will lost after reset</t>
  </si>
  <si>
    <t>MTR-32330</t>
  </si>
  <si>
    <t>All applied operator customization is deleted upon factory reset.
The device is set back to ex-factory state.</t>
  </si>
  <si>
    <t>MTR-32331</t>
  </si>
  <si>
    <t>After performing a factory reset the Operator customization is started again as described in MTR chapters 4.1.1.2 and 4.1.1.3.</t>
  </si>
  <si>
    <t>MTR-27253</t>
  </si>
  <si>
    <r>
      <rPr>
        <rFont val="Arial"/>
        <b/>
        <color theme="1"/>
        <sz val="10.0"/>
      </rPr>
      <t>4.1.2</t>
    </r>
    <r>
      <rPr>
        <rFont val="Arial"/>
        <b val="0"/>
        <color theme="1"/>
        <sz val="10.0"/>
      </rPr>
      <t xml:space="preserve"> </t>
    </r>
    <r>
      <rPr>
        <rFont val="Arial"/>
        <b/>
        <color theme="1"/>
        <sz val="10.0"/>
      </rPr>
      <t>Core screens customization</t>
    </r>
  </si>
  <si>
    <t>MTR-27254</t>
  </si>
  <si>
    <r>
      <rPr>
        <rFont val="Arial"/>
        <b/>
        <color theme="1"/>
        <sz val="10.0"/>
      </rPr>
      <t>4.1.2.1</t>
    </r>
    <r>
      <rPr>
        <rFont val="Arial"/>
        <b val="0"/>
        <color theme="1"/>
        <sz val="10.0"/>
      </rPr>
      <t xml:space="preserve"> </t>
    </r>
    <r>
      <rPr>
        <rFont val="Arial"/>
        <b/>
        <color theme="1"/>
        <sz val="10.0"/>
      </rPr>
      <t>Home screen</t>
    </r>
  </si>
  <si>
    <t>MTR-13747</t>
  </si>
  <si>
    <t>The Homescreen customization shall differ based on method which will be used for Operator customization on this device:
The Homescreen(s) of the device are customized by DTAG according to the specified device requirements of a NatCo which will be defined by the DTAG terminal UI customization specification (UI briefing / PDS, styleguide, etc.).</t>
  </si>
  <si>
    <t>Google Pixel only supports PAI</t>
  </si>
  <si>
    <t>MTR-32336</t>
  </si>
  <si>
    <t>Post- Launch Customization: 
The device supports at least 1 DTAG customizable homescreen based on "DT - UI Concept KISS v5.0", see MTR Appendix. On the default homescreen at least one key DT application (e.g. customer care app) is recommended.</t>
  </si>
  <si>
    <t>Only support one application with PAI</t>
  </si>
  <si>
    <t>MTR-33771</t>
  </si>
  <si>
    <t>Post- Launch Customization: 
The device supports 2 DTAG customizable home screens based on "DT - UI Concept KISS v5.0", see MTR Appendix. On the default homescreen at least one key DT application (e.g. customer care app) is recommended.</t>
  </si>
  <si>
    <t>MTR-32334</t>
  </si>
  <si>
    <t>Widgets shall be supported.</t>
  </si>
  <si>
    <t>MTR-32335</t>
  </si>
  <si>
    <t>Application folders shall be supported.</t>
  </si>
  <si>
    <t>MTR-1909</t>
  </si>
  <si>
    <r>
      <rPr>
        <rFont val="Arial"/>
        <b/>
        <color theme="1"/>
        <sz val="10.0"/>
      </rPr>
      <t>4.1.2.2</t>
    </r>
    <r>
      <rPr>
        <rFont val="Arial"/>
        <b val="0"/>
        <color theme="1"/>
        <sz val="10.0"/>
      </rPr>
      <t xml:space="preserve"> </t>
    </r>
    <r>
      <rPr>
        <rFont val="Arial"/>
        <b/>
        <color theme="1"/>
        <sz val="10.0"/>
      </rPr>
      <t>Main Menu</t>
    </r>
  </si>
  <si>
    <t>MTR-27255</t>
  </si>
  <si>
    <t>The Main Menu shall offer different sorting views (e.g. a-z, category, most frequently used, last used, downloaded, etc.) for easier/ personalized access to functionalities &amp; applications</t>
  </si>
  <si>
    <t>Sort in Alphabetical order</t>
  </si>
  <si>
    <t>MTR-33260</t>
  </si>
  <si>
    <t>All applications in the main device menu (app tray) are sorted alphabetically by default.</t>
  </si>
  <si>
    <t>MTR-1922</t>
  </si>
  <si>
    <t>In case of Sim-Application Toolkit (SIMAT) is supported, the application folder shall be located in the phones main menu</t>
  </si>
  <si>
    <t>SIMAT shown in app tray</t>
  </si>
  <si>
    <t>MTR-27685</t>
  </si>
  <si>
    <r>
      <rPr>
        <rFont val="Arial"/>
        <b/>
        <color theme="1"/>
        <sz val="10.0"/>
      </rPr>
      <t>4.1.2.3</t>
    </r>
    <r>
      <rPr>
        <rFont val="Arial"/>
        <b val="0"/>
        <color theme="1"/>
        <sz val="10.0"/>
      </rPr>
      <t xml:space="preserve"> </t>
    </r>
    <r>
      <rPr>
        <rFont val="Arial"/>
        <b/>
        <color theme="1"/>
        <sz val="10.0"/>
      </rPr>
      <t>Network Service Indication</t>
    </r>
  </si>
  <si>
    <t>MTR-29510</t>
  </si>
  <si>
    <t>The UI indication (label, icon) for network coverage should be applied consistently within the terminal and follow a certain logic (e.g. 2G, 3G, 4G, etc.). Technical labels like "E", "EDGE" or "H" and "HSPA" should be avoided. DT shall be able to customize the label in order to ensure consistency across DT networks.</t>
  </si>
  <si>
    <t>MTR-33778</t>
  </si>
  <si>
    <t>The naming of the shown bearers in the user settings menu shall reflect the naming of the network indicators as specified in Telekom International Settings Document [TISD] e.g. 2G/3G/LTE for a 4G device in Telekom Deutschland network.</t>
  </si>
  <si>
    <t>MTR-27681</t>
  </si>
  <si>
    <t>The operator name shall be visible in the User Interface areas, which are strongly related to Operator services, i.e. status indicators for network connection, data connection, incoming calls, outgoing calls, home screen &amp; status bar, etc.</t>
  </si>
  <si>
    <t>Operator name visible in lock screen, quick settings shade and settings UI</t>
  </si>
  <si>
    <t>MTR-40209</t>
  </si>
  <si>
    <r>
      <rPr>
        <rFont val="Arial"/>
        <b/>
        <color theme="1"/>
        <sz val="10.0"/>
      </rPr>
      <t>4.1.2.3.1</t>
    </r>
    <r>
      <rPr>
        <rFont val="Arial"/>
        <b val="0"/>
        <color theme="1"/>
        <sz val="10.0"/>
      </rPr>
      <t xml:space="preserve"> </t>
    </r>
    <r>
      <rPr>
        <rFont val="Arial"/>
        <b/>
        <color theme="1"/>
        <sz val="10.0"/>
      </rPr>
      <t>Network Operation Mode</t>
    </r>
  </si>
  <si>
    <t>MTR-30377</t>
  </si>
  <si>
    <t>The User is able to set the options of network operation modes. The Options are defined per NatCo in the Telekom International Settings Document [TISD].</t>
  </si>
  <si>
    <t>MTR-30374</t>
  </si>
  <si>
    <t>The default setting of network operation mode should be multimode containing all supported network operation modes, e.g. 2G / 3G / 4G / 5G .</t>
  </si>
  <si>
    <t>MTR-33776</t>
  </si>
  <si>
    <t>In a 5G capable device the user menu for network operation modes shall not have an option to disable 4G without disabling 5G at the same time.
Background: 5G standalone operation is not yet supported in Telekom networks.</t>
  </si>
  <si>
    <t>MTR-33795</t>
  </si>
  <si>
    <t>If the user selects a different network mode than the default multi-mode a warning message should be displayed to inform him that network coverage may be reduced by his selection.</t>
  </si>
  <si>
    <t>MTR-40210</t>
  </si>
  <si>
    <r>
      <rPr>
        <rFont val="Arial"/>
        <b/>
        <color theme="1"/>
        <sz val="10.0"/>
      </rPr>
      <t>4.1.2.3.2</t>
    </r>
    <r>
      <rPr>
        <rFont val="Arial"/>
        <b val="0"/>
        <color theme="1"/>
        <sz val="10.0"/>
      </rPr>
      <t xml:space="preserve"> </t>
    </r>
    <r>
      <rPr>
        <rFont val="Arial"/>
        <b/>
        <color theme="1"/>
        <sz val="10.0"/>
      </rPr>
      <t>4G/LTE Service Indication</t>
    </r>
  </si>
  <si>
    <t>MTR-29511</t>
  </si>
  <si>
    <t>The network indicator for 4G/LTE networks is customisable per DT NatCo and subbrand as defined in the Telekom International Settings Document [TISD].</t>
  </si>
  <si>
    <t>MTR-30826</t>
  </si>
  <si>
    <r>
      <rPr>
        <rFont val="Arial"/>
        <b/>
        <color theme="1"/>
        <sz val="10.0"/>
      </rPr>
      <t>Indication of 4G/LTE Carrier Aggregation to the user</t>
    </r>
    <r>
      <rPr>
        <rFont val="Arial"/>
        <b val="0"/>
        <color theme="1"/>
        <sz val="10.0"/>
      </rPr>
      <t xml:space="preserve">
The device provides the means to visually indicate to the user the availability of 4G/LTE carrier aggregation.
This can be based on the configuration of more than one carrier (S-Cell) by the network in the RRCReconfiguration message.
The status will be indicated in the user interface. The actual way how to indicate and e.g. the logo/text will be defined in the [TISD].
Note: This requirement only applies if 4G/LTE carrier aggregation is supported.</t>
    </r>
  </si>
  <si>
    <t>LTE+ or 4G+ will display when CA is active</t>
  </si>
  <si>
    <t>MTR-40211</t>
  </si>
  <si>
    <r>
      <rPr>
        <rFont val="Arial"/>
        <b/>
        <color theme="1"/>
        <sz val="10.0"/>
      </rPr>
      <t>4.1.2.3.3</t>
    </r>
    <r>
      <rPr>
        <rFont val="Arial"/>
        <b val="0"/>
        <color theme="1"/>
        <sz val="10.0"/>
      </rPr>
      <t xml:space="preserve"> </t>
    </r>
    <r>
      <rPr>
        <rFont val="Arial"/>
        <b/>
        <color theme="1"/>
        <sz val="10.0"/>
      </rPr>
      <t>5G/NR Service Indication</t>
    </r>
  </si>
  <si>
    <t>MTR-33800</t>
  </si>
  <si>
    <t>On the graphical display of UE or data only device display (UI) a 5G indicator is shown if certain preconditions are fulfilled.
The exact way of indicating 5G will be defined on a country specific level in the Deutsche Telekom International Settings Document (TISD).
On data only devices 5G may be alternatively indicated by OLED indicator only.
The documentation may contain aspects like graphical representations, single vs dual RAT and signal strength indication.</t>
  </si>
  <si>
    <t>MTR-33659</t>
  </si>
  <si>
    <r>
      <rPr>
        <rFont val="Arial"/>
        <color theme="1"/>
        <sz val="10.0"/>
      </rPr>
      <t>The device provides a</t>
    </r>
    <r>
      <rPr>
        <rFont val="Arial"/>
        <b/>
        <color theme="1"/>
        <sz val="10.0"/>
      </rPr>
      <t xml:space="preserve"> "5G" indication</t>
    </r>
    <r>
      <rPr>
        <rFont val="Arial"/>
        <color theme="1"/>
        <sz val="10.0"/>
      </rPr>
      <t xml:space="preserve"> containing the following elements: 
</t>
    </r>
    <r>
      <rPr>
        <rFont val="Arial"/>
        <b/>
        <color theme="1"/>
        <sz val="10.0"/>
      </rPr>
      <t>- Name/Logo</t>
    </r>
    <r>
      <rPr>
        <rFont val="Arial"/>
        <color theme="1"/>
        <sz val="10.0"/>
      </rPr>
      <t xml:space="preserve">:  default "5G"
</t>
    </r>
    <r>
      <rPr>
        <rFont val="Arial"/>
        <b/>
        <color theme="1"/>
        <sz val="10.0"/>
      </rPr>
      <t xml:space="preserve">- RAT Indicator(s): </t>
    </r>
    <r>
      <rPr>
        <rFont val="Arial"/>
        <color theme="1"/>
        <sz val="10.0"/>
      </rPr>
      <t xml:space="preserve">
</t>
    </r>
    <r>
      <rPr>
        <rFont val="Arial"/>
        <b/>
        <color theme="1"/>
        <sz val="10.0"/>
      </rPr>
      <t xml:space="preserve">  </t>
    </r>
    <r>
      <rPr>
        <rFont val="Arial"/>
        <color theme="1"/>
        <sz val="10.0"/>
      </rPr>
      <t xml:space="preserve">a) combined 2G/3G/4G/5G indicator (default)
  b) additional 5G indicator
</t>
    </r>
    <r>
      <rPr>
        <rFont val="Arial"/>
        <b/>
        <color theme="1"/>
        <sz val="10.0"/>
      </rPr>
      <t xml:space="preserve">- Signal strength: </t>
    </r>
    <r>
      <rPr>
        <rFont val="Arial"/>
        <color theme="1"/>
        <sz val="10.0"/>
      </rPr>
      <t xml:space="preserve"> 
  i) single signal strength indicator (acc anchor layer) default
  ii) two separate signal strength indicators
The exact details shall be configured per DT market as defined in the Telekom International Settinsg Document [TISD].
This requirement is applicable only in case of devices with graphical displays. (Otherwise indicate "Not applicable")
</t>
    </r>
    <r>
      <rPr>
        <rFont val="Arial"/>
        <b/>
        <color theme="1"/>
        <sz val="10.0"/>
      </rPr>
      <t>Note:</t>
    </r>
    <r>
      <rPr>
        <rFont val="Arial"/>
        <color theme="1"/>
        <sz val="10.0"/>
      </rPr>
      <t xml:space="preserve"> The activation of the "5G" indicator is done according to MTR-33657/MTR-33658.</t>
    </r>
  </si>
  <si>
    <t>MTR-33772</t>
  </si>
  <si>
    <t>If 5G network band(s) &lt; 3000MHz involved in ENDC: The network indicator for 5G is customizable (e.g. "5G") per DT NatCo and sub brand as defined in the Telekom International Settings Document [TISD].</t>
  </si>
  <si>
    <t>MTR-35143</t>
  </si>
  <si>
    <t>If at least one 5G network band &gt; 3000MHz involved in ENDC: The network indicator for 5G is customizable (e.g. 5G+) per DT NatCo and sub brand as defined in the Telekom International Settings Document [TISD].</t>
  </si>
  <si>
    <t>MTR-33658</t>
  </si>
  <si>
    <r>
      <rPr>
        <rFont val="Arial"/>
        <b/>
        <color theme="1"/>
        <sz val="10.0"/>
      </rPr>
      <t>User friendly handling of 5G RAT Indication</t>
    </r>
    <r>
      <rPr>
        <rFont val="Arial"/>
        <b val="0"/>
        <color theme="1"/>
        <sz val="10.0"/>
      </rPr>
      <t xml:space="preserve">
The 5G RAT Indication in the graphical UI of a device (e.g. "5G") or an OLED indicator of data only devices (without UI) is handled such that a proper usage experience is ensured.
</t>
    </r>
    <r>
      <rPr>
        <rFont val="Arial"/>
        <b/>
        <color theme="1"/>
        <sz val="10.0"/>
      </rPr>
      <t>Specifically, a fast toggling is avoided.</t>
    </r>
    <r>
      <rPr>
        <rFont val="Arial"/>
        <b val="0"/>
        <color theme="1"/>
        <sz val="10.0"/>
      </rPr>
      <t xml:space="preserve">
This may be achieved by activating the higher RAT indication immediatly but deactivating only after a timeout of e.g. 10 seconds.
Please describe your implemenation and used parameters under "Comments Vendor".</t>
    </r>
  </si>
  <si>
    <t>Timer set to 10s</t>
  </si>
  <si>
    <t>MTR-37083</t>
  </si>
  <si>
    <t>The network indicator for 5G SA operation is customizable (e.g. 5G SA) per DT NatCo and sub brand as defined in the Telekom International Settings Document [TISD].</t>
  </si>
  <si>
    <t>MTR-30749</t>
  </si>
  <si>
    <r>
      <rPr>
        <rFont val="Arial"/>
        <b/>
        <color theme="1"/>
        <sz val="10.0"/>
      </rPr>
      <t>4.1.2.3.4</t>
    </r>
    <r>
      <rPr>
        <rFont val="Arial"/>
        <b val="0"/>
        <color theme="1"/>
        <sz val="10.0"/>
      </rPr>
      <t xml:space="preserve"> </t>
    </r>
    <r>
      <rPr>
        <rFont val="Arial"/>
        <b/>
        <color theme="1"/>
        <sz val="10.0"/>
      </rPr>
      <t>VoLTE Service Indication</t>
    </r>
  </si>
  <si>
    <t>MTR-30758</t>
  </si>
  <si>
    <t>The device shall provide the user with the information about VoLTE/IMS Registration status. This is added to an existing screen that shows other "network status" information.</t>
  </si>
  <si>
    <t>Pixel does not support display IMS registration stauts on status bar. IMS registration status display under Settings - About phone - SIM status</t>
  </si>
  <si>
    <t>MTR-30751</t>
  </si>
  <si>
    <t>The device shows an info/icon for VoLTE and/or HD Voice, which can be enabled and disabled by DTAG via [TISD].</t>
  </si>
  <si>
    <t>Support HD icon on in-call UI. Disabled according to TISD</t>
  </si>
  <si>
    <t>MTR-30754</t>
  </si>
  <si>
    <t>The device shows an icon or info during incoming, outgoing or ongoing call informing the user that the call is over VoLTE. It can be enabled and disabled by DTAG via [TISD].</t>
  </si>
  <si>
    <t>All Pixel products does not support VoLTE icon When call is over VoLTE, data icon remains on 4G</t>
  </si>
  <si>
    <t>MTR-31622</t>
  </si>
  <si>
    <r>
      <rPr>
        <rFont val="Arial"/>
        <b/>
        <color theme="1"/>
        <sz val="10.0"/>
      </rPr>
      <t>4.1.2.3.5</t>
    </r>
    <r>
      <rPr>
        <rFont val="Arial"/>
        <b val="0"/>
        <color theme="1"/>
        <sz val="10.0"/>
      </rPr>
      <t xml:space="preserve"> </t>
    </r>
    <r>
      <rPr>
        <rFont val="Arial"/>
        <b/>
        <color theme="1"/>
        <sz val="10.0"/>
      </rPr>
      <t>WiFi Calling User Interface</t>
    </r>
  </si>
  <si>
    <t>MTR-31642</t>
  </si>
  <si>
    <t>When the UE is registered for WiFi Calling services, the device displays on the home screen a network information a text, that is provided via [TISD], e.g. ”WLAN Call” which will replace the usual network information. E.g. for Telekom Deutschland the “Telekom.de” would be replaced by “WLAN Call”.</t>
  </si>
  <si>
    <t>MTR-31842</t>
  </si>
  <si>
    <t>The text of the WiFi operator information shall be configurable via [TISD].</t>
  </si>
  <si>
    <t>MTR-31644</t>
  </si>
  <si>
    <t>The visibility of the WiFi operator information (see MTR-31642, 31842) text is configurable via [TISD]. In case the WiFi operator information is set to invisible the standard operator information shall be displayed.</t>
  </si>
  <si>
    <t>MTR-31755</t>
  </si>
  <si>
    <t>When the user is able to make and receive calls via WiFi Calling, a WiFi Calling Icon is shown on all screens.
E.g. on the status bar in the Home screen and In call screen.</t>
  </si>
  <si>
    <t>MTR-31843</t>
  </si>
  <si>
    <t>The visibility of the WiFi Calling Icon (see MTR-31755) is configurable via [TISD].</t>
  </si>
  <si>
    <t>Supports WiFi Calling registration status on Status bar</t>
  </si>
  <si>
    <t>MTR-27256</t>
  </si>
  <si>
    <r>
      <rPr>
        <rFont val="Arial"/>
        <b/>
        <color theme="1"/>
        <sz val="10.0"/>
      </rPr>
      <t>4.1.2.4</t>
    </r>
    <r>
      <rPr>
        <rFont val="Arial"/>
        <b val="0"/>
        <color theme="1"/>
        <sz val="10.0"/>
      </rPr>
      <t xml:space="preserve"> </t>
    </r>
    <r>
      <rPr>
        <rFont val="Arial"/>
        <b/>
        <color theme="1"/>
        <sz val="10.0"/>
      </rPr>
      <t>Lock Screen</t>
    </r>
  </si>
  <si>
    <t>MTR-27258</t>
  </si>
  <si>
    <t>The Lock screen shall offer at least the following information 
- Operator name
- signal strength
- Time
- Date
- New event (missed call, new message, new email, etc.)
- Battery status
- Charging status
and the following options:
- Unlock
- Emergency Call</t>
  </si>
  <si>
    <t>MTR-33278</t>
  </si>
  <si>
    <t>The operator name shall be visible on the lock screen.</t>
  </si>
  <si>
    <t>MTR-40184</t>
  </si>
  <si>
    <r>
      <rPr>
        <rFont val="Arial"/>
        <b/>
        <color theme="1"/>
        <sz val="10.0"/>
      </rPr>
      <t>4.1.2.6</t>
    </r>
    <r>
      <rPr>
        <rFont val="Arial"/>
        <b val="0"/>
        <color theme="1"/>
        <sz val="10.0"/>
      </rPr>
      <t xml:space="preserve"> </t>
    </r>
    <r>
      <rPr>
        <rFont val="Arial"/>
        <b/>
        <color theme="1"/>
        <sz val="10.0"/>
      </rPr>
      <t>Service Switch Settings</t>
    </r>
  </si>
  <si>
    <t>MTR-31631</t>
  </si>
  <si>
    <r>
      <rPr>
        <rFont val="Arial"/>
        <b/>
        <color theme="1"/>
        <sz val="10.0"/>
      </rPr>
      <t>WiFi Calling switch</t>
    </r>
    <r>
      <rPr>
        <rFont val="Arial"/>
        <b val="0"/>
        <color theme="1"/>
        <sz val="10.0"/>
      </rPr>
      <t xml:space="preserve">
The UE offers a switch to activate/deactivate  Wifi Calling.</t>
    </r>
  </si>
  <si>
    <t>MTR-31705</t>
  </si>
  <si>
    <r>
      <rPr>
        <rFont val="Arial"/>
        <b/>
        <color theme="1"/>
        <sz val="10.0"/>
      </rPr>
      <t>WiFi Calling Switch Default Value</t>
    </r>
    <r>
      <rPr>
        <rFont val="Arial"/>
        <b val="0"/>
        <color theme="1"/>
        <sz val="10.0"/>
      </rPr>
      <t xml:space="preserve">
The default value of the WiFi Calling Switch shall be configurable as defined in the DT International Settings Document [TISD].</t>
    </r>
  </si>
  <si>
    <t>MTR-31632</t>
  </si>
  <si>
    <r>
      <rPr>
        <rFont val="Arial"/>
        <b/>
        <color theme="1"/>
        <sz val="10.0"/>
      </rPr>
      <t>WiFi Calling Switch Visibility</t>
    </r>
    <r>
      <rPr>
        <rFont val="Arial"/>
        <b val="0"/>
        <color theme="1"/>
        <sz val="10.0"/>
      </rPr>
      <t xml:space="preserve">
The visibility of the WiFi Calling  Switch in the UI of the UE shall be configurable as defined in the DT International Settings Document [TISD].</t>
    </r>
  </si>
  <si>
    <t>MTR-40185</t>
  </si>
  <si>
    <r>
      <rPr>
        <rFont val="Arial"/>
        <b/>
        <color theme="1"/>
        <sz val="10.0"/>
      </rPr>
      <t>WiFi Calling Switch Editability</t>
    </r>
    <r>
      <rPr>
        <rFont val="Arial"/>
        <b val="0"/>
        <color theme="1"/>
        <sz val="10.0"/>
      </rPr>
      <t xml:space="preserve">
The user editability of the WiFi Calling  Switch in the UI of the UE shall be configurable as defined in the DT International Settings Document [TISD].</t>
    </r>
  </si>
  <si>
    <t>Comply to MTR-31705 and MTR-31632</t>
  </si>
  <si>
    <t>PMW IMS</t>
  </si>
  <si>
    <t>MTR-32113</t>
  </si>
  <si>
    <r>
      <rPr>
        <rFont val="Arial"/>
        <b/>
        <color theme="1"/>
        <sz val="10.0"/>
      </rPr>
      <t>WiFi Calling Switch Label</t>
    </r>
    <r>
      <rPr>
        <rFont val="Arial"/>
        <b val="0"/>
        <color theme="1"/>
        <sz val="10.0"/>
      </rPr>
      <t xml:space="preserve">
The lable of the WiFi Calling  Switch in the UI of the UE shall be configurable as defined in the DT International Settings Document [TISD].
Note:. This approach will make it easier for customers to find the marketed product by name in the settings menu and switch it on.  E.g. for TMCZ the configured text would be “Wi-Fi volání”</t>
    </r>
  </si>
  <si>
    <t>MTR-31633</t>
  </si>
  <si>
    <r>
      <rPr>
        <rFont val="Arial"/>
        <b/>
        <color theme="1"/>
        <sz val="10.0"/>
      </rPr>
      <t>WiFi Calling Mode Switch in home network</t>
    </r>
    <r>
      <rPr>
        <rFont val="Arial"/>
        <b val="0"/>
        <color theme="1"/>
        <sz val="10.0"/>
      </rPr>
      <t xml:space="preserve">
The device offers a setting for "WiFi Calling Mode in HPLMN" with possible values “Cellular Preferred”, "IMS Preferred" and “WiFi Preferred” (see MTR-31634, 31637).</t>
    </r>
  </si>
  <si>
    <t>MTR-40187</t>
  </si>
  <si>
    <r>
      <rPr>
        <rFont val="Arial"/>
        <b/>
        <color theme="1"/>
        <sz val="10.0"/>
      </rPr>
      <t>WiFi Calling Mode Switch Default Value in home network</t>
    </r>
    <r>
      <rPr>
        <rFont val="Arial"/>
        <b val="0"/>
        <color theme="1"/>
        <sz val="10.0"/>
      </rPr>
      <t xml:space="preserve">
The default value of the "WiFi Calling Mode Switch in HPLMN" (see MTR-31633)shall be configurable as defined in the DT International Settings Document [TISD].</t>
    </r>
  </si>
  <si>
    <t>Preferred setting is not user configurable. This is a flag in the SW</t>
  </si>
  <si>
    <t>MTR-31638</t>
  </si>
  <si>
    <r>
      <rPr>
        <rFont val="Arial"/>
        <b/>
        <color theme="1"/>
        <sz val="10.0"/>
      </rPr>
      <t>WiFi Calling Mode Switch Visibility in home network</t>
    </r>
    <r>
      <rPr>
        <rFont val="Arial"/>
        <b val="0"/>
        <color theme="1"/>
        <sz val="10.0"/>
      </rPr>
      <t xml:space="preserve">
The visibility of the "WiFi Calling Mode Switch in HPLMN" in the UI of the UE shall be configurable as defined in the DT International Settings Document [TISD].</t>
    </r>
  </si>
  <si>
    <t>MTR-40188</t>
  </si>
  <si>
    <r>
      <rPr>
        <rFont val="Arial"/>
        <b/>
        <color theme="1"/>
        <sz val="10.0"/>
      </rPr>
      <t>WiFi Calling Mode Switch Editability in home network</t>
    </r>
    <r>
      <rPr>
        <rFont val="Arial"/>
        <b val="0"/>
        <color theme="1"/>
        <sz val="10.0"/>
      </rPr>
      <t xml:space="preserve">
The visibility of the "WiFi Calling Mode Switch in HPLMN" in the UI of the UE shall be configurable as defined in the DT International Settings Document [TISD].</t>
    </r>
  </si>
  <si>
    <t>WiFi Calling mode preference is as per ISD</t>
  </si>
  <si>
    <t>MTR-40189</t>
  </si>
  <si>
    <r>
      <rPr>
        <rFont val="Arial"/>
        <b/>
        <color theme="1"/>
        <sz val="10.0"/>
      </rPr>
      <t>WiFi Calling Mode Switch Label in home network</t>
    </r>
    <r>
      <rPr>
        <rFont val="Arial"/>
        <b val="0"/>
        <color theme="1"/>
        <sz val="10.0"/>
      </rPr>
      <t xml:space="preserve">
The label of the "WiFi Calling Mode Switch in HPLMN" in the UI of the UE shall be configurable as defined in the DT International Settings Document [TISD].</t>
    </r>
  </si>
  <si>
    <t>MTR-31753</t>
  </si>
  <si>
    <r>
      <rPr>
        <rFont val="Arial"/>
        <b/>
        <color theme="1"/>
        <sz val="10.0"/>
      </rPr>
      <t>WiFi Calling Mode Switch when Roaming</t>
    </r>
    <r>
      <rPr>
        <rFont val="Arial"/>
        <b val="0"/>
        <color theme="1"/>
        <sz val="10.0"/>
      </rPr>
      <t xml:space="preserve">
The device offers a setting for "WiFi Calling Mode in VPLMN" with possible values “Cellular Preferred”, "IMS Preferred" and “WiFi Preferred” (see MTR-31634, 31637).</t>
    </r>
  </si>
  <si>
    <t>MTR-40190</t>
  </si>
  <si>
    <r>
      <rPr>
        <rFont val="Arial"/>
        <b/>
        <color theme="1"/>
        <sz val="10.0"/>
      </rPr>
      <t>WiFi Calling Mode Switch Default Value when Roaming</t>
    </r>
    <r>
      <rPr>
        <rFont val="Arial"/>
        <b val="0"/>
        <color theme="1"/>
        <sz val="10.0"/>
      </rPr>
      <t xml:space="preserve">
The default value of the "WiFi Calling Mode Switch in VPLMN" shall be configurable as defined in the DT International Settings Document [TISD].</t>
    </r>
  </si>
  <si>
    <t>MTR-31754</t>
  </si>
  <si>
    <r>
      <rPr>
        <rFont val="Arial"/>
        <b/>
        <color theme="1"/>
        <sz val="10.0"/>
      </rPr>
      <t>WiFi Calling Mode Switch Visibility when Roaming</t>
    </r>
    <r>
      <rPr>
        <rFont val="Arial"/>
        <b val="0"/>
        <color theme="1"/>
        <sz val="10.0"/>
      </rPr>
      <t xml:space="preserve">
The visibility of the "WiFi Calling Mode Switch in VPLMN" in the UI of the UE shall be configurable as defined in the DT International Settings Document [TISD].</t>
    </r>
  </si>
  <si>
    <t>MTR-40191</t>
  </si>
  <si>
    <r>
      <rPr>
        <rFont val="Arial"/>
        <b/>
        <color theme="1"/>
        <sz val="10.0"/>
      </rPr>
      <t>WiFi Calling Mode Switch Editability Roaming</t>
    </r>
    <r>
      <rPr>
        <rFont val="Arial"/>
        <b val="0"/>
        <color theme="1"/>
        <sz val="10.0"/>
      </rPr>
      <t xml:space="preserve">
The visibility of the "WiFi Calling Mode Switch in VPLMN" in the UI of the UE shall be configurable as defined in the DT International Settings Document [TISD].</t>
    </r>
  </si>
  <si>
    <t>MTR-40192</t>
  </si>
  <si>
    <r>
      <rPr>
        <rFont val="Arial"/>
        <b/>
        <color theme="1"/>
        <sz val="10.0"/>
      </rPr>
      <t>WiFi Calling Mode Switch Label when Roaming</t>
    </r>
    <r>
      <rPr>
        <rFont val="Arial"/>
        <b val="0"/>
        <color theme="1"/>
        <sz val="10.0"/>
      </rPr>
      <t xml:space="preserve">
The label of the "WiFi Calling Mode Switch in VPLMN" in the UI of the UE shall be configurable as defined in the DT International Settings Document [TISD].</t>
    </r>
  </si>
  <si>
    <t>MTR-40193</t>
  </si>
  <si>
    <r>
      <rPr>
        <rFont val="Arial"/>
        <b/>
        <color theme="1"/>
        <sz val="10.0"/>
      </rPr>
      <t>5GSA switch</t>
    </r>
    <r>
      <rPr>
        <rFont val="Arial"/>
        <b val="0"/>
        <color theme="1"/>
        <sz val="10.0"/>
      </rPr>
      <t xml:space="preserve">
The UE offers a switch to activate/deactivate 5GSA.</t>
    </r>
  </si>
  <si>
    <t>SA switch is not configurable</t>
  </si>
  <si>
    <t>MTR-40194</t>
  </si>
  <si>
    <r>
      <rPr>
        <rFont val="Arial"/>
        <b/>
        <color theme="1"/>
        <sz val="10.0"/>
      </rPr>
      <t>5GSA Switch Default Value</t>
    </r>
    <r>
      <rPr>
        <rFont val="Arial"/>
        <b val="0"/>
        <color theme="1"/>
        <sz val="10.0"/>
      </rPr>
      <t xml:space="preserve">
The default value of the 5GSA Switch shall be configurable as defined in the DT International Settings Document [TISD].</t>
    </r>
  </si>
  <si>
    <t>MTR-40195</t>
  </si>
  <si>
    <r>
      <rPr>
        <rFont val="Arial"/>
        <b/>
        <color theme="1"/>
        <sz val="10.0"/>
      </rPr>
      <t>5GSA Switch Visibility</t>
    </r>
    <r>
      <rPr>
        <rFont val="Arial"/>
        <b val="0"/>
        <color theme="1"/>
        <sz val="10.0"/>
      </rPr>
      <t xml:space="preserve">
The visibility of the 5GSA  Switch in the UI of the UE shall be configurable as defined in the DT International Settings Document [TISD].</t>
    </r>
  </si>
  <si>
    <t>MTR-40196</t>
  </si>
  <si>
    <r>
      <rPr>
        <rFont val="Arial"/>
        <b/>
        <color theme="1"/>
        <sz val="10.0"/>
      </rPr>
      <t>5GSA Switch Editability</t>
    </r>
    <r>
      <rPr>
        <rFont val="Arial"/>
        <b val="0"/>
        <color theme="1"/>
        <sz val="10.0"/>
      </rPr>
      <t xml:space="preserve">
The user editability of the 5GSA Switch in the UI of the UE shall be configurable as defined in the DT International Settings Document [TISD].</t>
    </r>
  </si>
  <si>
    <t>MTR-40197</t>
  </si>
  <si>
    <r>
      <rPr>
        <rFont val="Arial"/>
        <b/>
        <color theme="1"/>
        <sz val="10.0"/>
      </rPr>
      <t>5GSA Switch Label</t>
    </r>
    <r>
      <rPr>
        <rFont val="Arial"/>
        <b val="0"/>
        <color theme="1"/>
        <sz val="10.0"/>
      </rPr>
      <t xml:space="preserve">
The lable of the 5GSA Switch in the UI of the UE shall be configurable as defined in the DT International Settings Document [TISD].</t>
    </r>
  </si>
  <si>
    <t>MTR-40198</t>
  </si>
  <si>
    <r>
      <rPr>
        <rFont val="Arial"/>
        <b/>
        <color theme="1"/>
        <sz val="10.0"/>
      </rPr>
      <t>VoNR switch</t>
    </r>
    <r>
      <rPr>
        <rFont val="Arial"/>
        <b val="0"/>
        <color theme="1"/>
        <sz val="10.0"/>
      </rPr>
      <t xml:space="preserve">
The UE offers a switch to activate/deactivate VoNR.</t>
    </r>
  </si>
  <si>
    <t>VoNR not enabled</t>
  </si>
  <si>
    <t>MTR-40203</t>
  </si>
  <si>
    <r>
      <rPr>
        <rFont val="Arial"/>
        <b/>
        <color theme="1"/>
        <sz val="10.0"/>
      </rPr>
      <t>VoNR Switch Default Value</t>
    </r>
    <r>
      <rPr>
        <rFont val="Arial"/>
        <b val="0"/>
        <color theme="1"/>
        <sz val="10.0"/>
      </rPr>
      <t xml:space="preserve">
The default value of the VoNR Switch shall be configurable as defined in the DT International Settings Document [TISD].</t>
    </r>
  </si>
  <si>
    <t>MTR-40204</t>
  </si>
  <si>
    <r>
      <rPr>
        <rFont val="Arial"/>
        <b/>
        <color theme="1"/>
        <sz val="10.0"/>
      </rPr>
      <t>VoNR Switch Visibility</t>
    </r>
    <r>
      <rPr>
        <rFont val="Arial"/>
        <b val="0"/>
        <color theme="1"/>
        <sz val="10.0"/>
      </rPr>
      <t xml:space="preserve">
The visibility of the VoNR  Switch in the UI of the UE shall be configurable as defined in the DT International Settings Document [TISD].</t>
    </r>
  </si>
  <si>
    <t>MTR-40205</t>
  </si>
  <si>
    <r>
      <rPr>
        <rFont val="Arial"/>
        <b/>
        <color theme="1"/>
        <sz val="10.0"/>
      </rPr>
      <t>VoNR Switch Editability</t>
    </r>
    <r>
      <rPr>
        <rFont val="Arial"/>
        <b val="0"/>
        <color theme="1"/>
        <sz val="10.0"/>
      </rPr>
      <t xml:space="preserve">
The user editability of the VoNR Switch in the UI of the UE shall be configurable as defined in the DT International Settings Document [TISD].</t>
    </r>
  </si>
  <si>
    <t>MTR-40206</t>
  </si>
  <si>
    <r>
      <rPr>
        <rFont val="Arial"/>
        <b/>
        <color theme="1"/>
        <sz val="10.0"/>
      </rPr>
      <t>VoNR Switch Label</t>
    </r>
    <r>
      <rPr>
        <rFont val="Arial"/>
        <b val="0"/>
        <color theme="1"/>
        <sz val="10.0"/>
      </rPr>
      <t xml:space="preserve">
The lable of the VoNR Switch in the UI of the UE shall be configurable as defined in the DT International Settings Document [TISD].</t>
    </r>
  </si>
  <si>
    <t>Label not configurable</t>
  </si>
  <si>
    <t>MTR-33773</t>
  </si>
  <si>
    <r>
      <rPr>
        <rFont val="Arial"/>
        <b/>
        <color theme="1"/>
        <sz val="10.0"/>
      </rPr>
      <t xml:space="preserve">2G/GSMSwitch </t>
    </r>
    <r>
      <rPr>
        <rFont val="Arial"/>
        <b val="0"/>
        <color theme="1"/>
        <sz val="10.0"/>
      </rPr>
      <t xml:space="preserve">
It should be possible for the user to disable GSM (2G) operation in a sub menu of the mobile network settings, according to 3GPP TS 22.011. Outgoing emergency calls must still be possible using 2G, even if 2G has been disabled by the user and when there is no other network coverage.  A text in the same sub menue shall inform the user that emergency calls via 2G will still be possible even if 2G/GSM has been disabled.</t>
    </r>
  </si>
  <si>
    <t>MTR-40207</t>
  </si>
  <si>
    <r>
      <rPr>
        <rFont val="Arial"/>
        <b/>
        <color theme="1"/>
        <sz val="10.0"/>
      </rPr>
      <t>2G/GSM Switch Default Value</t>
    </r>
    <r>
      <rPr>
        <rFont val="Arial"/>
        <b val="0"/>
        <color theme="1"/>
        <sz val="10.0"/>
      </rPr>
      <t xml:space="preserve">
The default value of the 2G/GSM Switch shall be configurable as defined in the DT International Settings Document [TISD].</t>
    </r>
  </si>
  <si>
    <t>Not configruable</t>
  </si>
  <si>
    <t>MTR-40199</t>
  </si>
  <si>
    <r>
      <rPr>
        <rFont val="Arial"/>
        <b/>
        <color theme="1"/>
        <sz val="10.0"/>
      </rPr>
      <t>2G/GSM Switch Visibility</t>
    </r>
    <r>
      <rPr>
        <rFont val="Arial"/>
        <b val="0"/>
        <color theme="1"/>
        <sz val="10.0"/>
      </rPr>
      <t xml:space="preserve">
The visibility of the 2G/GSM Switch in the UI of the UE shall be configurable as defined in the DT International Settings Document [TISD].</t>
    </r>
  </si>
  <si>
    <t>MTR-40200</t>
  </si>
  <si>
    <r>
      <rPr>
        <rFont val="Arial"/>
        <b/>
        <color theme="1"/>
        <sz val="10.0"/>
      </rPr>
      <t>2G/GSM Switch Editability</t>
    </r>
    <r>
      <rPr>
        <rFont val="Arial"/>
        <b val="0"/>
        <color theme="1"/>
        <sz val="10.0"/>
      </rPr>
      <t xml:space="preserve">
The user editability of the 2G/GSM Switch in the UI of the UE shall be configurable as defined in the DT International Settings Document [TISD].</t>
    </r>
  </si>
  <si>
    <t>MTR-40201</t>
  </si>
  <si>
    <r>
      <rPr>
        <rFont val="Arial"/>
        <b/>
        <color theme="1"/>
        <sz val="10.0"/>
      </rPr>
      <t>2G/GSM Switch Label</t>
    </r>
    <r>
      <rPr>
        <rFont val="Arial"/>
        <b val="0"/>
        <color theme="1"/>
        <sz val="10.0"/>
      </rPr>
      <t xml:space="preserve">
The lable of the 2G/GSM Switch in the UI of the UE shall be configurable as defined in the DT International Settings Document [TISD].</t>
    </r>
  </si>
  <si>
    <t>MTR-32307</t>
  </si>
  <si>
    <t>The lable of a Service switch  shall not be translated by the OEM to other languages featured by the device.
Note, DTAG NatCos will market the service under a single distinct name, a device bought at a NatCos shop should therefore not show another name if the user changes the device language in device settings.</t>
  </si>
  <si>
    <t>MTR-27259</t>
  </si>
  <si>
    <r>
      <rPr>
        <rFont val="Arial"/>
        <b/>
        <color theme="1"/>
        <sz val="10.0"/>
      </rPr>
      <t>4.1.3</t>
    </r>
    <r>
      <rPr>
        <rFont val="Arial"/>
        <b val="0"/>
        <color theme="1"/>
        <sz val="10.0"/>
      </rPr>
      <t xml:space="preserve"> </t>
    </r>
    <r>
      <rPr>
        <rFont val="Arial"/>
        <b/>
        <color theme="1"/>
        <sz val="10.0"/>
      </rPr>
      <t>UI elements customization</t>
    </r>
  </si>
  <si>
    <t>MTR-1940</t>
  </si>
  <si>
    <r>
      <rPr>
        <rFont val="Arial"/>
        <b/>
        <color theme="1"/>
        <sz val="10.0"/>
      </rPr>
      <t>4.1.3.1</t>
    </r>
    <r>
      <rPr>
        <rFont val="Arial"/>
        <b val="0"/>
        <color theme="1"/>
        <sz val="10.0"/>
      </rPr>
      <t xml:space="preserve"> </t>
    </r>
    <r>
      <rPr>
        <rFont val="Arial"/>
        <b/>
        <color theme="1"/>
        <sz val="10.0"/>
      </rPr>
      <t>Visual Assets</t>
    </r>
  </si>
  <si>
    <t>MTR-13477</t>
  </si>
  <si>
    <t>The device supports customization of start-up image</t>
  </si>
  <si>
    <t>MTR-13478</t>
  </si>
  <si>
    <t>The device supports customization of start-up animation</t>
  </si>
  <si>
    <t>MTR-13479</t>
  </si>
  <si>
    <t>The device supports customization of shut down image</t>
  </si>
  <si>
    <t>MTR-13480</t>
  </si>
  <si>
    <t>The device supports customization of shut down animation</t>
  </si>
  <si>
    <t>MTR-1972</t>
  </si>
  <si>
    <r>
      <rPr>
        <rFont val="Arial"/>
        <b/>
        <color theme="1"/>
        <sz val="10.0"/>
      </rPr>
      <t>4.1.3.2</t>
    </r>
    <r>
      <rPr>
        <rFont val="Arial"/>
        <b val="0"/>
        <color theme="1"/>
        <sz val="10.0"/>
      </rPr>
      <t xml:space="preserve"> </t>
    </r>
    <r>
      <rPr>
        <rFont val="Arial"/>
        <b/>
        <color theme="1"/>
        <sz val="10.0"/>
      </rPr>
      <t>Sound Elements</t>
    </r>
  </si>
  <si>
    <t>MTR-1975</t>
  </si>
  <si>
    <t>The device supports customization of Ringtones.</t>
  </si>
  <si>
    <t>MTR-1978</t>
  </si>
  <si>
    <t>The device supports customization of Start-up sound.</t>
  </si>
  <si>
    <t>MTR-1979</t>
  </si>
  <si>
    <t>The device supports customization of Shut down sound.</t>
  </si>
  <si>
    <t>MTR-1973</t>
  </si>
  <si>
    <t>Volume change applies to all sounds.</t>
  </si>
  <si>
    <t>MTR-38571</t>
  </si>
  <si>
    <t>It must be possible to play the sound effects of start and shut down images and animations only one time and not on any subsequent reboot of the device.</t>
  </si>
  <si>
    <t>Pixel products follow the native Android System designs</t>
  </si>
  <si>
    <t>MTR-1974</t>
  </si>
  <si>
    <t>Silent mode applies to all sounds (also to start-up and shut down sounds) except for alarm signal.</t>
  </si>
  <si>
    <t>MTR-1977</t>
  </si>
  <si>
    <t>Any confirmation sound shall be played only when all content is downloaded/available for user. (Example: new MMS indication and download not started/completed - sound must not be played.)</t>
  </si>
  <si>
    <t>Case vary</t>
  </si>
  <si>
    <t>MTR-1008</t>
  </si>
  <si>
    <r>
      <rPr>
        <rFont val="Arial"/>
        <b/>
        <color theme="1"/>
        <sz val="10.0"/>
      </rPr>
      <t>4.1.4</t>
    </r>
    <r>
      <rPr>
        <rFont val="Arial"/>
        <b val="0"/>
        <color theme="1"/>
        <sz val="10.0"/>
      </rPr>
      <t xml:space="preserve"> </t>
    </r>
    <r>
      <rPr>
        <rFont val="Arial"/>
        <b/>
        <color theme="1"/>
        <sz val="10.0"/>
      </rPr>
      <t>Data Connection Management</t>
    </r>
  </si>
  <si>
    <t>MTR-945</t>
  </si>
  <si>
    <r>
      <rPr>
        <rFont val="Arial"/>
        <b/>
        <color theme="1"/>
        <sz val="10.0"/>
      </rPr>
      <t>4.1.4.1</t>
    </r>
    <r>
      <rPr>
        <rFont val="Arial"/>
        <b val="0"/>
        <color theme="1"/>
        <sz val="10.0"/>
      </rPr>
      <t xml:space="preserve"> </t>
    </r>
    <r>
      <rPr>
        <rFont val="Arial"/>
        <b/>
        <color theme="1"/>
        <sz val="10.0"/>
      </rPr>
      <t>Access profiles handling</t>
    </r>
  </si>
  <si>
    <t>MTR-37102</t>
  </si>
  <si>
    <t>The device shall pre-configure operator specific Access profiles based on the used SIM card (following the DT SIM based Customization rules) as defined in [TISD].
This includes all  relevant details such as:
- Access profile name
- APN/DNN
- Username
- Password
- IP-type
- Visiblity in UI
- Edit possibility
etc.</t>
  </si>
  <si>
    <t>MTR-29800</t>
  </si>
  <si>
    <t>The device shall allow the user to manually configure multiple Access profiles (APNs/DNNs) in the device UI. 
This includes relevant parameters like:
- Access profile name
- APN/DNN
- Username
- Password
- IP-type
etc.
Note: Changing of pre-configured Access profiles might be restricted if defined in [TISD]</t>
  </si>
  <si>
    <t>MTR-37103</t>
  </si>
  <si>
    <r>
      <rPr>
        <rFont val="Arial"/>
        <b/>
        <color theme="1"/>
        <sz val="10.0"/>
      </rPr>
      <t>4.1.4.2</t>
    </r>
    <r>
      <rPr>
        <rFont val="Arial"/>
        <b val="0"/>
        <color theme="1"/>
        <sz val="10.0"/>
      </rPr>
      <t xml:space="preserve"> </t>
    </r>
    <r>
      <rPr>
        <rFont val="Arial"/>
        <b/>
        <color theme="1"/>
        <sz val="10.0"/>
      </rPr>
      <t>WLAN Offloading</t>
    </r>
  </si>
  <si>
    <t>MTR-29871</t>
  </si>
  <si>
    <t>If the terminal supports WLAN offload functionalities, those will not be applied on data connections to APN/DNN "IMS" or "HOS"</t>
  </si>
  <si>
    <t>MTR-30759</t>
  </si>
  <si>
    <t>The WLAN offload setting shall not have impact on VoLTE Supplementary Service Settings configuration.
If the APN/DNN configured to be used for XCAP/Ut (see MTR-29937) is the same APN/DNN as used for default internet data, enabling of WLAN offload may limit standard user data, but the APN/DNN shall still be usable for XCAP/Ut service.</t>
  </si>
  <si>
    <t>MTR-30351</t>
  </si>
  <si>
    <r>
      <rPr>
        <rFont val="Arial"/>
        <b/>
        <color theme="1"/>
        <sz val="10.0"/>
      </rPr>
      <t>4.1.4.3</t>
    </r>
    <r>
      <rPr>
        <rFont val="Arial"/>
        <b val="0"/>
        <color theme="1"/>
        <sz val="10.0"/>
      </rPr>
      <t xml:space="preserve"> </t>
    </r>
    <r>
      <rPr>
        <rFont val="Arial"/>
        <b/>
        <color theme="1"/>
        <sz val="10.0"/>
      </rPr>
      <t>Data connection on / off</t>
    </r>
  </si>
  <si>
    <t>MTR-25786</t>
  </si>
  <si>
    <t>Standard data connectivity shall be controlable via the device UI separately for home and roaming networks ("Data Roaming switch").
‘Roaming’ as used here includes national and international roaming.
Note: Embedded Messaging client for SMS/MMS shall function independent of general data connectivity.</t>
  </si>
  <si>
    <t>MTR-25787</t>
  </si>
  <si>
    <t>The data connection settings for home and roaming network can be set to one of the following values respectively:
 - Data off (Never connect)
 - Data on (Connect automatically)
Default settings are defined in [TISD]</t>
  </si>
  <si>
    <t>MTR-26573</t>
  </si>
  <si>
    <r>
      <rPr>
        <rFont val="Arial"/>
        <color theme="1"/>
        <sz val="10.0"/>
      </rPr>
      <t>When general data connectivity for roaming ("Data Roaming") is enabled by the user a reasonable warning shall be presented, e.g.:
“</t>
    </r>
    <r>
      <rPr>
        <rFont val="Arial"/>
        <color theme="1"/>
        <sz val="10.0"/>
        <u/>
      </rPr>
      <t>Please note:</t>
    </r>
    <r>
      <rPr>
        <rFont val="Arial"/>
        <color theme="1"/>
        <sz val="10.0"/>
      </rPr>
      <t xml:space="preserve">
Do you want to allow Data-Roaming?
Data-Roaming will be charged according to your current tariff.
Do you like to continue? Yes/No”.
The DT settings document [TISD] may provide guidance for local wordings.</t>
    </r>
  </si>
  <si>
    <t>MTR-26572</t>
  </si>
  <si>
    <t>If the user moves into a roaming network and the Data Roaming settings are not set to On (Connect automatically), the general data connection is interrupted.</t>
  </si>
  <si>
    <t>MTR-30760</t>
  </si>
  <si>
    <t>The general data connection setting shall not have impact on domestic or roaming VoLTE calls and SMS i.e. handled via default APN/DNN "IMS".
Notes:
 - Requirement above is in line with GSMA IR.92 
   Version 10.0, Clause 5.5
 - A VoLTE device might send “data-off” indication towards
   Packet Core and IMS-Core according to 3GPP Release 14
   Standards for Data-Off.
   However this must not impact the requirement above. 
 - In case of future GSMA IR.92 versions which define 
   deviating default values for VoLTE service: 
   DT Requirements overrides such deviations</t>
  </si>
  <si>
    <t>MTR-30761</t>
  </si>
  <si>
    <t>The data connection settings shall not have impact on VoLTE Supplementary Service Settings configuration neither in domestic nor in roaming scenarios.
If the /DNNAPN configured to be used for XCAP/Ut (see MTR-29937) is the same APN/DNN used for general user data, disabling of the genral data connectivity may disable standard user data but the APN/DNN shall still be used for XCAP/Ut services.
Notes:
 - Requirement above is in line with GSMA IR.92 
   Version 10.0, Clause 5.5
 - A VoLTE device might send “data-off” indication towards
   Packet Core and IMS-Core according to 3GPP Release 14
   Standards for Data-Off.
   However this must not impact the requirement above. 
 - In case of future GSMA IR.92 versions which define 
   deviating default values for VoLTE service: 
   DT Requirements overrides such deviations</t>
  </si>
  <si>
    <t>VoLTE, VoWiFi</t>
  </si>
  <si>
    <t>MTR-948</t>
  </si>
  <si>
    <r>
      <rPr>
        <rFont val="Arial"/>
        <b/>
        <color theme="1"/>
        <sz val="10.0"/>
      </rPr>
      <t>4.1.4.4</t>
    </r>
    <r>
      <rPr>
        <rFont val="Arial"/>
        <b val="0"/>
        <color theme="1"/>
        <sz val="10.0"/>
      </rPr>
      <t xml:space="preserve"> </t>
    </r>
    <r>
      <rPr>
        <rFont val="Arial"/>
        <b/>
        <color theme="1"/>
        <sz val="10.0"/>
      </rPr>
      <t>Flight Mode</t>
    </r>
  </si>
  <si>
    <t>MTR-949</t>
  </si>
  <si>
    <t>The device shall provide a "Flight Mode" that disables all radio technologies (2G/3G/4G/5G, WLAN, Bluetooth …) simultaneously.
The "Flight Mode" can be changed without the need for a power-cycling.</t>
  </si>
  <si>
    <t>MTR-29868</t>
  </si>
  <si>
    <t>The device has a "Flight Mode" easily accessible from the device UI, by means of a hardware or software button.</t>
  </si>
  <si>
    <t>Please check with AP team or HW team for design</t>
  </si>
  <si>
    <t>MTR-32160</t>
  </si>
  <si>
    <r>
      <rPr>
        <rFont val="Arial"/>
        <b/>
        <color theme="1"/>
        <sz val="10.0"/>
      </rPr>
      <t>4.1.5</t>
    </r>
    <r>
      <rPr>
        <rFont val="Arial"/>
        <b val="0"/>
        <color theme="1"/>
        <sz val="10.0"/>
      </rPr>
      <t xml:space="preserve"> </t>
    </r>
    <r>
      <rPr>
        <rFont val="Arial"/>
        <b/>
        <color theme="1"/>
        <sz val="10.0"/>
      </rPr>
      <t>Browser Customization</t>
    </r>
  </si>
  <si>
    <t>MTR-1929</t>
  </si>
  <si>
    <t>The browser is customized with Homepage &amp; Bookmarks according to [TISD]. If the browser only supports the Bookmark placement within a folder (e.g. Chrome for Android the "Partner Bookmark Folder"), the naming must be customized according to [TISD].</t>
  </si>
  <si>
    <t>Chrome not support home page customization</t>
  </si>
  <si>
    <t>2 SW Platform Requirements</t>
  </si>
  <si>
    <t>MTR-19519</t>
  </si>
  <si>
    <r>
      <rPr>
        <rFont val="Arial"/>
        <b/>
        <color theme="1"/>
        <sz val="10.0"/>
      </rPr>
      <t>4.2</t>
    </r>
    <r>
      <rPr>
        <rFont val="Arial"/>
        <b val="0"/>
        <color theme="1"/>
        <sz val="10.0"/>
      </rPr>
      <t xml:space="preserve"> </t>
    </r>
    <r>
      <rPr>
        <rFont val="Arial"/>
        <b/>
        <color theme="1"/>
        <sz val="10.0"/>
      </rPr>
      <t>SW Platform Requirements</t>
    </r>
  </si>
  <si>
    <t>MTR-19648</t>
  </si>
  <si>
    <r>
      <rPr>
        <rFont val="Arial"/>
        <b/>
        <color theme="1"/>
        <sz val="10.0"/>
      </rPr>
      <t>4.2.1</t>
    </r>
    <r>
      <rPr>
        <rFont val="Arial"/>
        <b val="0"/>
        <color theme="1"/>
        <sz val="10.0"/>
      </rPr>
      <t xml:space="preserve"> </t>
    </r>
    <r>
      <rPr>
        <rFont val="Arial"/>
        <b/>
        <color theme="1"/>
        <sz val="10.0"/>
      </rPr>
      <t>Android Platform</t>
    </r>
  </si>
  <si>
    <t>MTR-19649</t>
  </si>
  <si>
    <r>
      <rPr>
        <rFont val="Arial"/>
        <b/>
        <color theme="1"/>
        <sz val="10.0"/>
      </rPr>
      <t>4.2.1.1</t>
    </r>
    <r>
      <rPr>
        <rFont val="Arial"/>
        <b val="0"/>
        <color theme="1"/>
        <sz val="10.0"/>
      </rPr>
      <t xml:space="preserve"> </t>
    </r>
    <r>
      <rPr>
        <rFont val="Arial"/>
        <b/>
        <color theme="1"/>
        <sz val="10.0"/>
      </rPr>
      <t>General</t>
    </r>
  </si>
  <si>
    <t>MTR-19650</t>
  </si>
  <si>
    <t>The used Android Version of the terminal at launch time must not be older than 6 month (basis is the official Google Android OS Release date).
Please state in the "Comments Vendor" field the supported Android version.</t>
  </si>
  <si>
    <t>Release with Android-V</t>
  </si>
  <si>
    <t>MTR-19651</t>
  </si>
  <si>
    <t>The terminal complies to the latest Compatibility Test Suite (CTS) from Android Open Source Project (AOSP - source.android.com) to ensure proper compatibility to the Android Platform.</t>
  </si>
  <si>
    <t>Client ID using Google OTA provisioned design, we don't customize """"""""""""""""ro.com.google.clientidbase.ms"""""""""""""""" and """"""""""""""""ro.com.google.clientidbase.am"""""""""""""""" instead we customized the uri 
The Client ID can be qeury through """"""""""""""""adb shell content query --uri content://com.google.settings/partner""""""""""""""""</t>
  </si>
  <si>
    <t>MTR-25803</t>
  </si>
  <si>
    <r>
      <rPr>
        <rFont val="Arial"/>
        <color theme="1"/>
        <sz val="10.0"/>
      </rPr>
      <t xml:space="preserve">Customization of the </t>
    </r>
    <r>
      <rPr>
        <rFont val="Arial"/>
        <b/>
        <color theme="1"/>
        <sz val="10.0"/>
      </rPr>
      <t>Android Client ID</t>
    </r>
    <r>
      <rPr>
        <rFont val="Arial"/>
        <color theme="1"/>
        <sz val="10.0"/>
      </rPr>
      <t>:
The Android Client ID's for Google Play Store and Google Search are  provisioned over the air during device setup and the value of the product specific properties "ro.com.google.clientidbase.ms" and "ro.com.google.clientidbase.am" is customized according to the Deutsche Telekom International Settings Document [TISD].</t>
    </r>
  </si>
  <si>
    <t>Client ID using Google OTA provisioned design, we don't customize "ro.com.google.clientidbase.ms" and "ro.com.google.clientidbase.am" instead we customized the uri 
The Client ID can be qeury through "adb shell content query --uri content://com.google.settings/partner"</t>
  </si>
  <si>
    <t>MTR-39803</t>
  </si>
  <si>
    <t>If DT’s Carrier ID’s aren’t matched, device will add a DT fallback Client ID as per [TISD].</t>
  </si>
  <si>
    <t>MTR-35159</t>
  </si>
  <si>
    <t>ARCore is supported.</t>
  </si>
  <si>
    <t>Follow AOSP design</t>
  </si>
  <si>
    <t>MTR-38931</t>
  </si>
  <si>
    <t>The device should contain all contents of latest QPR released by Google – QPR released by Google within 3 months of the date of terminal testing would be considered as latest.</t>
  </si>
  <si>
    <t>MTR-38817</t>
  </si>
  <si>
    <t>The preinstalled Google Android Mainline Module software version is according to the Deutsche  Telekom International Settings Document definition [TISD].
Please state the preinstalled software version in “Comments Vendor” field.</t>
  </si>
  <si>
    <t>android mainline module is not defined in ISD</t>
  </si>
  <si>
    <t>MTR-38810</t>
  </si>
  <si>
    <r>
      <rPr>
        <rFont val="Arial"/>
        <b/>
        <color theme="1"/>
        <sz val="10.0"/>
      </rPr>
      <t>4.2.1.1.1</t>
    </r>
    <r>
      <rPr>
        <rFont val="Arial"/>
        <b val="0"/>
        <color theme="1"/>
        <sz val="10.0"/>
      </rPr>
      <t xml:space="preserve"> </t>
    </r>
    <r>
      <rPr>
        <rFont val="Arial"/>
        <b/>
        <color theme="1"/>
        <sz val="10.0"/>
      </rPr>
      <t>ADCP</t>
    </r>
  </si>
  <si>
    <t>MTR-38811</t>
  </si>
  <si>
    <t>ADCP Configuration of the device is shared with DT (View Access).</t>
  </si>
  <si>
    <t>https://docs.partner.android.com/partners/guides/adcp</t>
  </si>
  <si>
    <t>MTR-38812</t>
  </si>
  <si>
    <t>Android Client ID's can be configured via ADCP.</t>
  </si>
  <si>
    <t>MTR-38813</t>
  </si>
  <si>
    <t>Carrier Settings App is preinstalled in the device.</t>
  </si>
  <si>
    <t>Carrier Settings App is handled by PAI</t>
  </si>
  <si>
    <t>MTR-38814</t>
  </si>
  <si>
    <t>Wallpapers can be provided via ADCP.</t>
  </si>
  <si>
    <t>MTR-38815</t>
  </si>
  <si>
    <t>Ringtones can be provided via ADCP.</t>
  </si>
  <si>
    <t>MTR-38818</t>
  </si>
  <si>
    <t>Google apps can be customized via ADCP (e.g. Chrome bookmarks, Gmail signature, Gmail Account set up)</t>
  </si>
  <si>
    <t>MTR-39788</t>
  </si>
  <si>
    <t>The device vendor will implement most recent version of DT’s Carrier Configuration file from AOSP for all DT relevant Carrier IDs in every major MR and New Device release.</t>
  </si>
  <si>
    <t>MTR-19652</t>
  </si>
  <si>
    <r>
      <rPr>
        <rFont val="Arial"/>
        <b/>
        <color theme="1"/>
        <sz val="10.0"/>
      </rPr>
      <t>4.2.1.2</t>
    </r>
    <r>
      <rPr>
        <rFont val="Arial"/>
        <b val="0"/>
        <color theme="1"/>
        <sz val="10.0"/>
      </rPr>
      <t xml:space="preserve"> </t>
    </r>
    <r>
      <rPr>
        <rFont val="Arial"/>
        <b/>
        <color theme="1"/>
        <sz val="10.0"/>
      </rPr>
      <t>Debugging and Testing</t>
    </r>
  </si>
  <si>
    <t>MTR-19653</t>
  </si>
  <si>
    <t>In case an exception has occurred the platform shall store the stack trace in:
    /data/anr/traces.txt</t>
  </si>
  <si>
    <t>https://android.googlesource.com/?format=HTML</t>
  </si>
  <si>
    <t>MTR-30724</t>
  </si>
  <si>
    <r>
      <rPr>
        <rFont val="Arial"/>
        <b/>
        <color theme="1"/>
        <sz val="10.0"/>
      </rPr>
      <t>4.2.1.3</t>
    </r>
    <r>
      <rPr>
        <rFont val="Arial"/>
        <b val="0"/>
        <color theme="1"/>
        <sz val="10.0"/>
      </rPr>
      <t xml:space="preserve"> </t>
    </r>
    <r>
      <rPr>
        <rFont val="Arial"/>
        <b/>
        <color theme="1"/>
        <sz val="10.0"/>
      </rPr>
      <t>Open Source statement</t>
    </r>
  </si>
  <si>
    <t>MTR-30725</t>
  </si>
  <si>
    <t>Parts of the Linux Kernel use Open Source components which are licensed via GPL2.
Please state in the "Comments Vendor" field the used Open Source components.</t>
  </si>
  <si>
    <t>MTR-30726</t>
  </si>
  <si>
    <t>Acknowledge with your vendor statement that the used Kernel/System software is licensed under GPL2.</t>
  </si>
  <si>
    <t>MTR-30727</t>
  </si>
  <si>
    <t>Allow access to the Kernel sources of the device software, e.g. by providing access to a special server.
Please state in the "Comments Vendor" field the option for accessing the requested data.</t>
  </si>
  <si>
    <t>3 OEM Software Management</t>
  </si>
  <si>
    <t>MTR-29330</t>
  </si>
  <si>
    <r>
      <rPr>
        <rFont val="Arial"/>
        <b/>
        <color theme="1"/>
        <sz val="10.0"/>
      </rPr>
      <t>4.3</t>
    </r>
    <r>
      <rPr>
        <rFont val="Arial"/>
        <b val="0"/>
        <color theme="1"/>
        <sz val="10.0"/>
      </rPr>
      <t xml:space="preserve"> </t>
    </r>
    <r>
      <rPr>
        <rFont val="Arial"/>
        <b/>
        <color theme="1"/>
        <sz val="10.0"/>
      </rPr>
      <t>OEM Software Management</t>
    </r>
  </si>
  <si>
    <t>MTR-29342</t>
  </si>
  <si>
    <r>
      <rPr>
        <rFont val="Arial"/>
        <b/>
        <color theme="1"/>
        <sz val="10.0"/>
      </rPr>
      <t>4.3.1</t>
    </r>
    <r>
      <rPr>
        <rFont val="Arial"/>
        <b val="0"/>
        <color theme="1"/>
        <sz val="10.0"/>
      </rPr>
      <t xml:space="preserve"> </t>
    </r>
    <r>
      <rPr>
        <rFont val="Arial"/>
        <b/>
        <color theme="1"/>
        <sz val="10.0"/>
      </rPr>
      <t>Service user Experience</t>
    </r>
  </si>
  <si>
    <t>MTR-39208</t>
  </si>
  <si>
    <t>The OEM shall operate or use a technical solution to roll out software updates to devices in the DT network (such as FOTA or GOTA) and shall do so promptly after DT approval for the update</t>
  </si>
  <si>
    <t>GOTA</t>
  </si>
  <si>
    <t>MTR-29332</t>
  </si>
  <si>
    <t>OEM FOTA solution shall provide the number of updates to the next major OS version to the device whatever applicable legislation requires. Please state the number of expected OS Updates during devcie life cycle in the Comments Vendor field.</t>
  </si>
  <si>
    <t>OEM SW Mgmt</t>
  </si>
  <si>
    <t>MTR-32338</t>
  </si>
  <si>
    <t>All security patches and major OS updates shall be provided as soon as possible after having become available to the OEM (e. g. from Google) but in no case later than 90 days after that.</t>
  </si>
  <si>
    <t>MTR-39789</t>
  </si>
  <si>
    <t>The vendor provides monthly security updates during the software support period.
In case of partial or incompliance please state the device security update policy for the software support period in the Comments Vendor field.</t>
  </si>
  <si>
    <t>MTR-40067</t>
  </si>
  <si>
    <t>The vendor shall fulfill all applicable legislation in relation to the length of the software support period, the kind (OS updates, security patches or bug fixes) and frequency of software updates as well as the period during which these must be made available after release (e. g. EU regulations 2019/770, 2019/771, 2023/1670). Please indicate in the vendor comments field the length of the software update period in years after the latest placement on the market (last planned sales).</t>
  </si>
  <si>
    <t>7 Years of Android Updates, monthly security updated and quarterly feature updates.</t>
  </si>
  <si>
    <t>MTR-29340</t>
  </si>
  <si>
    <t>In case the device uses the Cellular Network for download of updates then the user is presented with the charging advice according to the Deutsche Telekom International Settings Document [TISD].</t>
  </si>
  <si>
    <t>Charging information not displayed, The size of the download is shown the user in the System update page. Most updates will wait for a wifi connection before downloading.</t>
  </si>
  <si>
    <t>MTR-40138</t>
  </si>
  <si>
    <t>In case the device uses the Cellular Network in roaming, the update should also be available, after the user is presented with the roming charging advice</t>
  </si>
  <si>
    <t>MTR-40139</t>
  </si>
  <si>
    <t>During initial setup of the device the user shall be asked to do automatical software updates. In settings menu the user shall have the option to change his initial selection about the automatic software updates</t>
  </si>
  <si>
    <t>System update and App update is available in the settings-&gt;system-&gt;software updates</t>
  </si>
  <si>
    <t>MTR-40140</t>
  </si>
  <si>
    <t>During initial setup of the device the availability of a software update shall be checked. The user shall have the option to imediately install the update, or install it after the initial setup is finished</t>
  </si>
  <si>
    <t>MTR-32340</t>
  </si>
  <si>
    <t>The OEM shall have a separate infrastructure and/or delivery mechanism to deliver elements needed/used for SIM Profile based customization to the devices - Customization Over The Air (COTA).</t>
  </si>
  <si>
    <t>Pixel only offers one application via PAI</t>
  </si>
  <si>
    <t>MTR-32341</t>
  </si>
  <si>
    <t>The OEM COTA solution shall deliver DTAG customization to the devices upon identification of a DTAG SIM Profile in line with MTR-32315.</t>
  </si>
  <si>
    <t>MTR-32342</t>
  </si>
  <si>
    <t>The OEM COTA solution and/or devices shall support zero-rating in the event that any of the DTAG local affiliates chooses zero-rating for its SIM Profile based customization.</t>
  </si>
  <si>
    <t>MTR-32343</t>
  </si>
  <si>
    <t>The OEM COTA solution shall support updates of the SIM Profile based customization in the event that these become available after the initial customization.</t>
  </si>
  <si>
    <t>MTR-28382</t>
  </si>
  <si>
    <t>Device Software updates should keep the active customization configuration.</t>
  </si>
  <si>
    <t>5 Security</t>
  </si>
  <si>
    <t>MTR-26089</t>
  </si>
  <si>
    <r>
      <rPr>
        <rFont val="Arial"/>
        <b/>
        <color theme="1"/>
        <sz val="10.0"/>
      </rPr>
      <t>5</t>
    </r>
    <r>
      <rPr>
        <rFont val="Arial"/>
        <b val="0"/>
        <color theme="1"/>
        <sz val="10.0"/>
      </rPr>
      <t xml:space="preserve"> </t>
    </r>
    <r>
      <rPr>
        <rFont val="Arial"/>
        <b/>
        <color theme="1"/>
        <sz val="10.0"/>
      </rPr>
      <t>Security</t>
    </r>
  </si>
  <si>
    <t>1 Platform Security</t>
  </si>
  <si>
    <t>MTR-3417</t>
  </si>
  <si>
    <r>
      <rPr>
        <rFont val="Arial"/>
        <b/>
        <color theme="1"/>
        <sz val="10.0"/>
      </rPr>
      <t>5.1</t>
    </r>
    <r>
      <rPr>
        <rFont val="Arial"/>
        <b val="0"/>
        <color theme="1"/>
        <sz val="10.0"/>
      </rPr>
      <t xml:space="preserve"> </t>
    </r>
    <r>
      <rPr>
        <rFont val="Arial"/>
        <b/>
        <color theme="1"/>
        <sz val="10.0"/>
      </rPr>
      <t>Platform Security</t>
    </r>
  </si>
  <si>
    <t>MTR-13136</t>
  </si>
  <si>
    <r>
      <rPr>
        <rFont val="Arial"/>
        <b/>
        <color theme="1"/>
        <sz val="10.0"/>
      </rPr>
      <t>5.1.1</t>
    </r>
    <r>
      <rPr>
        <rFont val="Arial"/>
        <b val="0"/>
        <color theme="1"/>
        <sz val="10.0"/>
      </rPr>
      <t xml:space="preserve"> </t>
    </r>
    <r>
      <rPr>
        <rFont val="Arial"/>
        <b/>
        <color theme="1"/>
        <sz val="10.0"/>
      </rPr>
      <t>General</t>
    </r>
  </si>
  <si>
    <t>MTR-3418</t>
  </si>
  <si>
    <t>The security of platforms / operating systems (OS) is an important issue for Deutsche Telekom - especially if they allow the installation and execution of applications by the user. Since these OSs are in general not developed or specified by the vendor, the security architecture and functionalities are given by the OS supplier. Therefore it is important to know the OS and its exact version to evaluate the security risks. Please provide the OS version in MTR-16.</t>
  </si>
  <si>
    <t>MTR-35165</t>
  </si>
  <si>
    <t>The terminal verifies the integrity of software/firmware updates by means of signature verification, or through a mechanism that provides a similar strength, before the update is executed/applied.</t>
  </si>
  <si>
    <t>MTR-35166</t>
  </si>
  <si>
    <t>The terminal provides at least one of the following secure device unlock mechanisms: Alphanumeric password, fingerprint recognition, face recognition, or some other secure biometric authentication.</t>
  </si>
  <si>
    <t>MTR-35167</t>
  </si>
  <si>
    <t>The terminal supports file-based encryption (FBE) of internal storage.</t>
  </si>
  <si>
    <t>Not support external storage</t>
  </si>
  <si>
    <t>MTR-35168</t>
  </si>
  <si>
    <t>The terminal supports encryption of external storage media (e.g. SD cards).</t>
  </si>
  <si>
    <t>MTR-35169</t>
  </si>
  <si>
    <t>For internet access and for DNS resolution, the terminal uses provider-provisioned or user-defined gateways (e.g. APN, DNS server). There are no hard-coded fallback options. The terminal does not divert traffic to servers of which the user is unaware.</t>
  </si>
  <si>
    <t>MTR-35170</t>
  </si>
  <si>
    <t>The terminal provides a secure configuration by default. It offers to the user to setup a device unlock mechanism as well as file-based encryption.</t>
  </si>
  <si>
    <t>MTR-35171</t>
  </si>
  <si>
    <t>Wireless interfaces (WiFi, Bluetooth, NFC) can be configured by the user and can be switched off completely.</t>
  </si>
  <si>
    <t>MTR-35172</t>
  </si>
  <si>
    <t>The user is able to view and edit the list of configured WiFi access points at any time. The user can delete WiFi access points which are no longer used at any time, especially without having to be in vicinity of that access point.</t>
  </si>
  <si>
    <t>MTR-35173</t>
  </si>
  <si>
    <t>The user can disable automatic connection for configured WiFi access points.</t>
  </si>
  <si>
    <t>MTR-35174</t>
  </si>
  <si>
    <t>The user remains in control over the data exchanged via NFC. The user can configure the NFC interface in a way that NFC transactions require user confirmation.</t>
  </si>
  <si>
    <t>MTR-28309</t>
  </si>
  <si>
    <t>OS security patches provided by the OS supplier will regularly be integrated and deployed in the OS.</t>
  </si>
  <si>
    <t>MTR-28310</t>
  </si>
  <si>
    <t>The terminal will be shipped with an OS version which contains the latest integrated and deployed security patches.</t>
  </si>
  <si>
    <t>At least 36 months after the terminal has launched</t>
  </si>
  <si>
    <t>MTR-28311</t>
  </si>
  <si>
    <t>The vendor will provide regular OS updates / patches including the latest integrated and deployed security patches.
Please specify the update interval (e.g. monthly) as well as the duration for which updates will be provided (e.g. 36 months after the terminal has been sold for the last time) in the "Comments Vendor" field.</t>
  </si>
  <si>
    <t>MTR-31870</t>
  </si>
  <si>
    <t>The solution is clear of any backdoors, which could result in a circumvention of security mechanisms. A backdoor is a functionality on the terminal, which is unknown to the user of the terminal and provides unauthorized access (potentially even remote access, potentially even with enhanced access rights) to the terminal or to the data processed by the terminal.</t>
  </si>
  <si>
    <t>MTR-31871</t>
  </si>
  <si>
    <t>Biometric data (such as fingerprints) never leave the device. This implies protection (e.g. encrypted storage, access restrictions, use of a secure element) against unauthorized exfiltration (e.g. by malicious apps). Please elaborate on your protection methods.</t>
  </si>
  <si>
    <t>MTR-35127</t>
  </si>
  <si>
    <t>If the device exhibits accounts that require default passwords, the device reminds the user to change every default password into a user-specific password und guides the user through the necessary steps.</t>
  </si>
  <si>
    <t>MTR-31876</t>
  </si>
  <si>
    <t>The OS of the device supports and provides to apps a means to securely store secrets on the device. Explain in the "Comments Vendor" field what mechanisms (e.g. a keychain API) and what hardware support (e.g. a secure element or trusted execution environment) are available.</t>
  </si>
  <si>
    <t>MTR-35175</t>
  </si>
  <si>
    <t>The terminal’s CPU supports the mobile OS in preventing attacks. This includes support for pointer authentication code (PAC) and mitigation of return-oriented programming (ROP) techniques.</t>
  </si>
  <si>
    <t>MTR-3410</t>
  </si>
  <si>
    <r>
      <rPr>
        <rFont val="Arial"/>
        <b/>
        <color theme="1"/>
        <sz val="10.0"/>
      </rPr>
      <t>5.1.2</t>
    </r>
    <r>
      <rPr>
        <rFont val="Arial"/>
        <b val="0"/>
        <color theme="1"/>
        <sz val="10.0"/>
      </rPr>
      <t xml:space="preserve"> </t>
    </r>
    <r>
      <rPr>
        <rFont val="Arial"/>
        <b/>
        <color theme="1"/>
        <sz val="10.0"/>
      </rPr>
      <t>Application Data Storage</t>
    </r>
  </si>
  <si>
    <t>MTR-28313</t>
  </si>
  <si>
    <t>Deutsche Telekom requires that the application data is stored in a secure way that is protected against unauthorized access. This applies to both, volatile and persistent storage.</t>
  </si>
  <si>
    <t>MTR-17959</t>
  </si>
  <si>
    <r>
      <rPr>
        <rFont val="Arial"/>
        <b/>
        <color theme="1"/>
        <sz val="10.0"/>
      </rPr>
      <t>5.1.3</t>
    </r>
    <r>
      <rPr>
        <rFont val="Arial"/>
        <b val="0"/>
        <color theme="1"/>
        <sz val="10.0"/>
      </rPr>
      <t xml:space="preserve"> </t>
    </r>
    <r>
      <rPr>
        <rFont val="Arial"/>
        <b/>
        <color theme="1"/>
        <sz val="10.0"/>
      </rPr>
      <t>Application Security</t>
    </r>
  </si>
  <si>
    <t>MTR-26491</t>
  </si>
  <si>
    <t>The applications which are developed by or on behalf of the vendor and will be delivered with the terminal must be developed and implemented in accordance with industry best practice for secure development. Platform / OS specific security issues are considered.</t>
  </si>
  <si>
    <t>MTR-31867</t>
  </si>
  <si>
    <t>If applications are pre-installed on the device, they run with minimum access rights. Please list all applications with system rights (i.e. with protection level “signature” or “signatureOrSystem”), that do not already have system rights as part of the standard Google AOSP distribution, in the "Comments Vendor" field, and justify why system rights are necessary.</t>
  </si>
  <si>
    <t>PAIs (consumer retains option to delete) - Final list is subject to change</t>
  </si>
  <si>
    <t>MTR-32260</t>
  </si>
  <si>
    <r>
      <rPr>
        <rFont val="Arial"/>
        <b/>
        <color theme="1"/>
        <sz val="10.0"/>
      </rPr>
      <t>5.1.4</t>
    </r>
    <r>
      <rPr>
        <rFont val="Arial"/>
        <b val="0"/>
        <color theme="1"/>
        <sz val="10.0"/>
      </rPr>
      <t xml:space="preserve"> </t>
    </r>
    <r>
      <rPr>
        <rFont val="Arial"/>
        <b/>
        <color theme="1"/>
        <sz val="10.0"/>
      </rPr>
      <t>TLS requirements</t>
    </r>
  </si>
  <si>
    <t>MTR-31875</t>
  </si>
  <si>
    <t>The OS of the device supports and provides to apps state-of-the-art cryptographic algorithms and protocols to secure communication. Apps can use system APIs to establish secure TLS and/or VPN connections. State-of-the-art crypto includes support for cryptographic algorithms like AES and SHA2 as well as secure protocols like TLS v1.3 or TLS 1.2 with strong cipher suites (no NULL ciphers, no export ciphers, no deprecated crypto algorithms) and support for perfect-forward-secrecy (PFS). Please list supported algorithms and protocols in the "Comments Vendor" field. In the event of future improvements of such cryptographic algorithms the Supplier will implement those without undue delay in its terminals and inform DTAG thereof.</t>
  </si>
  <si>
    <t>Devices encrypted by default</t>
  </si>
  <si>
    <t>MTR-3703</t>
  </si>
  <si>
    <r>
      <rPr>
        <rFont val="Arial"/>
        <b/>
        <color theme="1"/>
        <sz val="10.0"/>
      </rPr>
      <t>5.1.5</t>
    </r>
    <r>
      <rPr>
        <rFont val="Arial"/>
        <b val="0"/>
        <color theme="1"/>
        <sz val="10.0"/>
      </rPr>
      <t xml:space="preserve"> </t>
    </r>
    <r>
      <rPr>
        <rFont val="Arial"/>
        <b/>
        <color theme="1"/>
        <sz val="10.0"/>
      </rPr>
      <t>Anti-virus</t>
    </r>
  </si>
  <si>
    <t>MTR-31869</t>
  </si>
  <si>
    <t>On Android devices, Google Play Protect functionality is supported and is not disabled. If the device does not include Google Mobile Services, a service with similar functionality is provided during the lifetime of the device (at least for 2 years) and enabled by default on the device.</t>
  </si>
  <si>
    <t>MTR-35161</t>
  </si>
  <si>
    <r>
      <rPr>
        <rFont val="Arial"/>
        <b/>
        <color theme="1"/>
        <sz val="10.0"/>
      </rPr>
      <t>5.1.6</t>
    </r>
    <r>
      <rPr>
        <rFont val="Arial"/>
        <b val="0"/>
        <color theme="1"/>
        <sz val="10.0"/>
      </rPr>
      <t xml:space="preserve"> </t>
    </r>
    <r>
      <rPr>
        <rFont val="Arial"/>
        <b/>
        <color theme="1"/>
        <sz val="10.0"/>
      </rPr>
      <t>Hardware Platform</t>
    </r>
  </si>
  <si>
    <t>MTR-35164</t>
  </si>
  <si>
    <t>State the technology of the secure chip used (e.g. secure element).</t>
  </si>
  <si>
    <t>Titan M2</t>
  </si>
  <si>
    <t>MTR-35163</t>
  </si>
  <si>
    <t>List the use cases supported by the secure chip (e.g., secure key storage, password storage, bootloader integrity protection, etc.).</t>
  </si>
  <si>
    <t>Security in the Bootloader
Lock Screen Protection &amp; Disk Encryption On-Device
Secure Transactions in Third-Party Apps
Insider Attack Resistance (https://android-developers.googleblog.com/2018/05/insider-attack-resistance.html)</t>
  </si>
  <si>
    <t>MTR-35162</t>
  </si>
  <si>
    <t>List any security approvals or certifications for the secure chip (e.g., Common Criteria, PCI DSS, FIPS 140, Global Platform Secure Element, …).</t>
  </si>
  <si>
    <t>Android Enterprise Recommended (https://www.android.com/enterprise/recommended/)</t>
  </si>
  <si>
    <t>2 WiFi Security</t>
  </si>
  <si>
    <t>MTR-36157</t>
  </si>
  <si>
    <r>
      <rPr>
        <rFont val="Arial"/>
        <b/>
        <color theme="1"/>
        <sz val="10.0"/>
      </rPr>
      <t>5.2</t>
    </r>
    <r>
      <rPr>
        <rFont val="Arial"/>
        <b val="0"/>
        <color theme="1"/>
        <sz val="10.0"/>
      </rPr>
      <t xml:space="preserve"> </t>
    </r>
    <r>
      <rPr>
        <rFont val="Arial"/>
        <b/>
        <color theme="1"/>
        <sz val="10.0"/>
      </rPr>
      <t>WiFi Security</t>
    </r>
  </si>
  <si>
    <t>MTR-33044</t>
  </si>
  <si>
    <r>
      <rPr>
        <rFont val="Arial"/>
        <b/>
        <color theme="1"/>
        <sz val="10.0"/>
      </rPr>
      <t>5.2.1</t>
    </r>
    <r>
      <rPr>
        <rFont val="Arial"/>
        <b val="0"/>
        <color theme="1"/>
        <sz val="10.0"/>
      </rPr>
      <t xml:space="preserve"> </t>
    </r>
    <r>
      <rPr>
        <rFont val="Arial"/>
        <b/>
        <color theme="1"/>
        <sz val="10.0"/>
      </rPr>
      <t>Privacy</t>
    </r>
  </si>
  <si>
    <t>MTR-33048</t>
  </si>
  <si>
    <t>The terminal shall prevent tracking of its MAC address during Wi-Fi Scanning (i.e. rotating MAC addresses – please describe the solution used).</t>
  </si>
  <si>
    <t>MTR-31296</t>
  </si>
  <si>
    <t>The terminal shall not reveal SSIDs of already paired WiFi networks in broadcasted Wi-Fi probe requests.
The vendor shall describe the solution in the "Comments Vendor" field.</t>
  </si>
  <si>
    <t>WiFi 6E (BCM 4383)
802.11 a/b/g/n/ac/ax 
2.4GHz/5GHz/6GHz,  2x2 MIMO or 1+1 SDB
Up to 80MHz and 2.4 Gbps
Security Modes = WPA, WPA3, WEP
Authentication Types=PEAP, TLS, TTLS, PWD, SIM, AKA, AKA</t>
  </si>
  <si>
    <t>MTR-1254</t>
  </si>
  <si>
    <r>
      <rPr>
        <rFont val="Arial"/>
        <b/>
        <color theme="1"/>
        <sz val="10.0"/>
      </rPr>
      <t>5.2.2</t>
    </r>
    <r>
      <rPr>
        <rFont val="Arial"/>
        <b val="0"/>
        <color theme="1"/>
        <sz val="10.0"/>
      </rPr>
      <t xml:space="preserve"> </t>
    </r>
    <r>
      <rPr>
        <rFont val="Arial"/>
        <b/>
        <color theme="1"/>
        <sz val="10.0"/>
      </rPr>
      <t>Security</t>
    </r>
  </si>
  <si>
    <t>MTR-31902</t>
  </si>
  <si>
    <t>The terminal shall not delete assigned pseudonyms and/or fast re-authentication tokens in case the EAP exchange fails, with a notification from the network with the value of 1026 (0x0402 User has been temporarily denied access to the requested service) or 1031 (0x0407 User has not subscribed to the requested service) and MUST use the assigned pseudonyms or fast re-authentication token in subsequent retries to connect to the network.</t>
  </si>
  <si>
    <t>MTR-31903</t>
  </si>
  <si>
    <t>If the EAP exchange fails the device SHALL not retry to connect to the network for more than 5 times.</t>
  </si>
  <si>
    <t>MTR-31905</t>
  </si>
  <si>
    <t>The device SHALL not try to connect to an EAP-SIM or EAP-AKA network if no SIM or USIM is available.</t>
  </si>
  <si>
    <t>MTR-33034</t>
  </si>
  <si>
    <t>The WLAN interface supports the WiFi-Alliance’s WPA3 standard.</t>
  </si>
  <si>
    <t>MTR-26170</t>
  </si>
  <si>
    <t>The device shall not support WEP as a Wifi security encryption mode</t>
  </si>
  <si>
    <t>Supports for Open, WPA2 PSK, WPA3-SAE</t>
  </si>
  <si>
    <t>6 Services</t>
  </si>
  <si>
    <t>MTR-26090</t>
  </si>
  <si>
    <r>
      <rPr>
        <rFont val="Arial"/>
        <b/>
        <color theme="1"/>
        <sz val="10.0"/>
      </rPr>
      <t>6</t>
    </r>
    <r>
      <rPr>
        <rFont val="Arial"/>
        <b val="0"/>
        <color theme="1"/>
        <sz val="10.0"/>
      </rPr>
      <t xml:space="preserve"> </t>
    </r>
    <r>
      <rPr>
        <rFont val="Arial"/>
        <b/>
        <color theme="1"/>
        <sz val="10.0"/>
      </rPr>
      <t>Services</t>
    </r>
  </si>
  <si>
    <t>1 Voice</t>
  </si>
  <si>
    <t>MTR-1114</t>
  </si>
  <si>
    <r>
      <rPr>
        <rFont val="Arial"/>
        <b/>
        <color theme="1"/>
        <sz val="10.0"/>
      </rPr>
      <t>6.1</t>
    </r>
    <r>
      <rPr>
        <rFont val="Arial"/>
        <b val="0"/>
        <color theme="1"/>
        <sz val="10.0"/>
      </rPr>
      <t xml:space="preserve"> </t>
    </r>
    <r>
      <rPr>
        <rFont val="Arial"/>
        <b/>
        <color theme="1"/>
        <sz val="10.0"/>
      </rPr>
      <t>Voice</t>
    </r>
  </si>
  <si>
    <t>MTR-1122</t>
  </si>
  <si>
    <r>
      <rPr>
        <rFont val="Arial"/>
        <b/>
        <color theme="1"/>
        <sz val="10.0"/>
      </rPr>
      <t>6.1.1</t>
    </r>
    <r>
      <rPr>
        <rFont val="Arial"/>
        <b val="0"/>
        <color theme="1"/>
        <sz val="10.0"/>
      </rPr>
      <t xml:space="preserve"> </t>
    </r>
    <r>
      <rPr>
        <rFont val="Arial"/>
        <b/>
        <color theme="1"/>
        <sz val="10.0"/>
      </rPr>
      <t>General Requirements</t>
    </r>
  </si>
  <si>
    <t>MTR-33030</t>
  </si>
  <si>
    <t>If the user tries to initiate a call in flightmode the user is noticed to deactivate the flight mode in order to continue the call. Exception MTR-33029.
Exception: Emergency Calls and if VoWifi is enabled</t>
  </si>
  <si>
    <t>MTR-27990</t>
  </si>
  <si>
    <r>
      <rPr>
        <rFont val="Arial"/>
        <color theme="1"/>
        <sz val="10.0"/>
      </rPr>
      <t xml:space="preserve">The device shall be configured for </t>
    </r>
    <r>
      <rPr>
        <rFont val="Arial"/>
        <b/>
        <color theme="1"/>
        <sz val="10.0"/>
      </rPr>
      <t>UE`s Usage Setting</t>
    </r>
    <r>
      <rPr>
        <rFont val="Arial"/>
        <color theme="1"/>
        <sz val="10.0"/>
      </rPr>
      <t xml:space="preserve"> as defined in the International Setting Document [TISD].
- Voice centric
- Data centric
The device signals this preference in the relevant message to the core network.</t>
    </r>
  </si>
  <si>
    <t>MTR-29611</t>
  </si>
  <si>
    <r>
      <rPr>
        <rFont val="Arial"/>
        <b/>
        <color theme="1"/>
        <sz val="10.0"/>
      </rPr>
      <t>6.1.2</t>
    </r>
    <r>
      <rPr>
        <rFont val="Arial"/>
        <b val="0"/>
        <color theme="1"/>
        <sz val="10.0"/>
      </rPr>
      <t xml:space="preserve"> </t>
    </r>
    <r>
      <rPr>
        <rFont val="Arial"/>
        <b/>
        <color theme="1"/>
        <sz val="10.0"/>
      </rPr>
      <t>Codecs</t>
    </r>
  </si>
  <si>
    <t>MTR-36103</t>
  </si>
  <si>
    <r>
      <rPr>
        <rFont val="Arial"/>
        <b/>
        <color theme="1"/>
        <sz val="10.0"/>
      </rPr>
      <t>6.1.2.1</t>
    </r>
    <r>
      <rPr>
        <rFont val="Arial"/>
        <b val="0"/>
        <color theme="1"/>
        <sz val="10.0"/>
      </rPr>
      <t xml:space="preserve"> </t>
    </r>
    <r>
      <rPr>
        <rFont val="Arial"/>
        <b/>
        <color theme="1"/>
        <sz val="10.0"/>
      </rPr>
      <t>AMR</t>
    </r>
  </si>
  <si>
    <t>MTR-36104</t>
  </si>
  <si>
    <t>The UE supports Adaptive Multi-Rate (AMR) narrow band codec including all codec modes via GSM.</t>
  </si>
  <si>
    <t>MTR-29720</t>
  </si>
  <si>
    <t>The UE supports IMS Voice with Adaptive Multi-Rate (AMR) narrow band codec including all codec modes as described in IR.92 section 3.2.1.</t>
  </si>
  <si>
    <t>MTR-36105</t>
  </si>
  <si>
    <r>
      <rPr>
        <rFont val="Arial"/>
        <b/>
        <color theme="1"/>
        <sz val="10.0"/>
      </rPr>
      <t>6.1.2.2</t>
    </r>
    <r>
      <rPr>
        <rFont val="Arial"/>
        <b val="0"/>
        <color theme="1"/>
        <sz val="10.0"/>
      </rPr>
      <t xml:space="preserve"> </t>
    </r>
    <r>
      <rPr>
        <rFont val="Arial"/>
        <b/>
        <color theme="1"/>
        <sz val="10.0"/>
      </rPr>
      <t>AMR-WB</t>
    </r>
  </si>
  <si>
    <t>MTR-28465</t>
  </si>
  <si>
    <t>The device supports AMR-WB codec as defined in GSMA HD Voice logo terminal requirements version 2.0, section C2.1.</t>
  </si>
  <si>
    <t>MTR-19440</t>
  </si>
  <si>
    <t>AMR-WB over GSM is supported for the codec rates 12.65, 8.85 and 6.60 kbps.</t>
  </si>
  <si>
    <t>MTR-29722</t>
  </si>
  <si>
    <t>The UE supports IMS Voice with Adaptive Multi-Rate Wide Band (AMR-WB) codec including all codec modes as described in IR.92 section 3.2.1.</t>
  </si>
  <si>
    <t>Voice, VoLTE, VoWiFi</t>
  </si>
  <si>
    <t>MTR-32221</t>
  </si>
  <si>
    <r>
      <rPr>
        <rFont val="Arial"/>
        <b/>
        <color theme="1"/>
        <sz val="10.0"/>
      </rPr>
      <t>6.1.2.3</t>
    </r>
    <r>
      <rPr>
        <rFont val="Arial"/>
        <b val="0"/>
        <color theme="1"/>
        <sz val="10.0"/>
      </rPr>
      <t xml:space="preserve"> </t>
    </r>
    <r>
      <rPr>
        <rFont val="Arial"/>
        <b/>
        <color theme="1"/>
        <sz val="10.0"/>
      </rPr>
      <t>Enhanced Voice Services (EVS)</t>
    </r>
  </si>
  <si>
    <t>MTR-32226</t>
  </si>
  <si>
    <t>UE shall support EVS (Enhanced Voice Services) according to 
- IR.92 (VoLTE),
- IR.51 (VoWiFi)
- NG.114.</t>
  </si>
  <si>
    <t>Voice, EVS</t>
  </si>
  <si>
    <t>MTR-32468</t>
  </si>
  <si>
    <t>EVS modes NB-SWB (Narrowband to Super-wideband) up to bitrates 24.4 kbps is supported.</t>
  </si>
  <si>
    <t>MTR-32228</t>
  </si>
  <si>
    <t>EVS AMR-WB IO Mode (interoperability with AMR-WB) is supported, incl.
- payload format according to 3GPP TS 26.445 
- frame interworking according to RFC 4867</t>
  </si>
  <si>
    <t>MTR-32465</t>
  </si>
  <si>
    <t>Audio bandwidth for EVS Primary mode in SDP shall include bw value as defined in 3GPP 26.445 from Narrowband to Super-wideband. The value is configurable as described in IR.92 section C.3 and the value used by DT are defined in [TISD].</t>
  </si>
  <si>
    <t>MTR-32466</t>
  </si>
  <si>
    <r>
      <rPr>
        <rFont val="Arial"/>
        <color theme="1"/>
        <sz val="10.0"/>
      </rPr>
      <t xml:space="preserve">The EVS RTP Payload Format shall include a </t>
    </r>
    <r>
      <rPr>
        <rFont val="Arial"/>
        <b/>
        <color theme="1"/>
        <sz val="10.0"/>
      </rPr>
      <t>Compact</t>
    </r>
    <r>
      <rPr>
        <rFont val="Arial"/>
        <color theme="1"/>
        <sz val="10.0"/>
      </rPr>
      <t xml:space="preserve"> format and a </t>
    </r>
    <r>
      <rPr>
        <rFont val="Arial"/>
        <b/>
        <color theme="1"/>
        <sz val="10.0"/>
      </rPr>
      <t>Header-Full</t>
    </r>
    <r>
      <rPr>
        <rFont val="Arial"/>
        <color theme="1"/>
        <sz val="10.0"/>
      </rPr>
      <t xml:space="preserve"> format support according to 3GPP 26.445.</t>
    </r>
  </si>
  <si>
    <t>MTR-32467</t>
  </si>
  <si>
    <t>Channel aware mode at 13.2 kbps for both wideband and super-wideband audio bandwidths shall be supported according to 3GPP 26.445 and 3GPP 26.114.</t>
  </si>
  <si>
    <t>MTR-1141</t>
  </si>
  <si>
    <r>
      <rPr>
        <rFont val="Arial"/>
        <b/>
        <color theme="1"/>
        <sz val="10.0"/>
      </rPr>
      <t>6.1.3</t>
    </r>
    <r>
      <rPr>
        <rFont val="Arial"/>
        <b val="0"/>
        <color theme="1"/>
        <sz val="10.0"/>
      </rPr>
      <t xml:space="preserve"> </t>
    </r>
    <r>
      <rPr>
        <rFont val="Arial"/>
        <b/>
        <color theme="1"/>
        <sz val="10.0"/>
      </rPr>
      <t>CS Voice (GSM)</t>
    </r>
  </si>
  <si>
    <t>MTR-36109</t>
  </si>
  <si>
    <t>Circuit Switched (CS) Telephony (TS11) according to 3GPP TS 22.003 and 3GPP TS 22.105 is supported. The requirements for the underlying radio level support can be found in section "Network Access".</t>
  </si>
  <si>
    <t>The teleservices sections mentioned in 3GPP TS 22.003 and 3GPP TS 22.105 are supported by UE</t>
  </si>
  <si>
    <t>MTR-1162</t>
  </si>
  <si>
    <r>
      <rPr>
        <rFont val="Arial"/>
        <b/>
        <color theme="1"/>
        <sz val="10.0"/>
      </rPr>
      <t>6.1.3.1</t>
    </r>
    <r>
      <rPr>
        <rFont val="Arial"/>
        <b val="0"/>
        <color theme="1"/>
        <sz val="10.0"/>
      </rPr>
      <t xml:space="preserve"> </t>
    </r>
    <r>
      <rPr>
        <rFont val="Arial"/>
        <b/>
        <color theme="1"/>
        <sz val="10.0"/>
      </rPr>
      <t>Call related Supplementary Services (GSM)</t>
    </r>
  </si>
  <si>
    <t>MTR-814</t>
  </si>
  <si>
    <t>Control of supplementary services via Supplementary Service Codes according to 3GPP TS 22.030 is supported.</t>
  </si>
  <si>
    <t>MTR-1164</t>
  </si>
  <si>
    <t>Call Hold/Call Waiting is supported according to 3GPP TS24.083.</t>
  </si>
  <si>
    <t>MTR-1120</t>
  </si>
  <si>
    <t>The device supports the functionality to: 
- activate
- deactivate
- interrogate
Call Waiting.</t>
  </si>
  <si>
    <t>MTR-1166</t>
  </si>
  <si>
    <t>The device supports the following functionality: 
- hold an active call and originate a new call
- put an active call on hold and accept a new incoming call
- ignore a waiting call
- disconnect an active call and answer the calling party
- swap between an active call and a held call
- release the active call and activate the held call
- possibility to release the held call and keep the active call
- reject the waiting call</t>
  </si>
  <si>
    <t>MTR-1167</t>
  </si>
  <si>
    <t>The device supports a notification (signal tone) if CW is activated and UE receives a second call during an active call.</t>
  </si>
  <si>
    <t>MTR-940</t>
  </si>
  <si>
    <t>Call Barring is supported in compliance to 3GPP TS24.088.</t>
  </si>
  <si>
    <t>MTR-941</t>
  </si>
  <si>
    <t>The device supports Registration, Activation, Deactivation, Interrogation, Invocation &amp; erasure of the following different Call Barring services:
- BAOC - All Outgoing Calls
- BOIC - Outgoing International Calls
- BOIC-exHC - Outgoing International Calls except those directed to the HPLMN Country
- BAIC - All Incoming Calls
- BIC-Roam - Incoming Calls when Roaming Outside the HPLMN Country
- changing of CB password</t>
  </si>
  <si>
    <t>MTR-31032</t>
  </si>
  <si>
    <t>The device supports changing and requesting password for Call Barring</t>
  </si>
  <si>
    <t>Does support Call Barring but the UI is default off as DT_DE network does not supports following features, AO/OX/BAIC/BAICRoam/BAIC/BOICexHC.
Please contact with Google TAM for further feature enablement plans</t>
  </si>
  <si>
    <t>MTR-933</t>
  </si>
  <si>
    <t>The device supports control (interrogation, registration, erasure) of Call Forwarding according to TS24.082:
- Unconditional (CFU)
- on Mobile Subscriber Busy (CFB)
- on No Reply (CFNRy)
- on Mobile Subscriber Not Reachable (CFNRc)
- of all Incoming Calls, independent of the Basic Service Group.</t>
  </si>
  <si>
    <t>MTR-1173</t>
  </si>
  <si>
    <t>Multiparty call according to 3GPP TS 24.084 is supported.</t>
  </si>
  <si>
    <t>MTR-1177</t>
  </si>
  <si>
    <t>CLIP according to 3GPP TS 24.081 is supported.</t>
  </si>
  <si>
    <t>MTR-1178</t>
  </si>
  <si>
    <t>CLIR is supported according to 3GPP TS 24.081.</t>
  </si>
  <si>
    <t>MTR-1184</t>
  </si>
  <si>
    <t>ECT according to 3GPP TS 22.091 is supported.</t>
  </si>
  <si>
    <t>MTR-1185</t>
  </si>
  <si>
    <t>The device supports the following ECT functionality:
- Start Call Transfer between active and held call.
- Transfer the hold call after the second call has been established.</t>
  </si>
  <si>
    <t>MTR-1187</t>
  </si>
  <si>
    <t>The device supports invoking ECT using 4 SEND as specified in 3GPP TS 22.030.</t>
  </si>
  <si>
    <t>MTR-26793</t>
  </si>
  <si>
    <r>
      <rPr>
        <rFont val="Arial"/>
        <color theme="1"/>
        <sz val="10.0"/>
      </rPr>
      <t xml:space="preserve">If the device supports </t>
    </r>
    <r>
      <rPr>
        <rFont val="Arial"/>
        <b/>
        <color theme="1"/>
        <sz val="10.0"/>
      </rPr>
      <t xml:space="preserve">ECT </t>
    </r>
    <r>
      <rPr>
        <rFont val="Arial"/>
        <color theme="1"/>
        <sz val="10.0"/>
      </rPr>
      <t>(MTR-1184) but the network does not support it or the user does not have an ECT subscription the following applies: The device shall be able to gracefully handle this situation, e.g. by showing an appropriate error message when the user tries to use ECT.</t>
    </r>
  </si>
  <si>
    <t>MTR-36187</t>
  </si>
  <si>
    <r>
      <rPr>
        <rFont val="Arial"/>
        <b/>
        <color theme="1"/>
        <sz val="10.0"/>
      </rPr>
      <t>6.1.3.2</t>
    </r>
    <r>
      <rPr>
        <rFont val="Arial"/>
        <b val="0"/>
        <color theme="1"/>
        <sz val="10.0"/>
      </rPr>
      <t xml:space="preserve"> </t>
    </r>
    <r>
      <rPr>
        <rFont val="Arial"/>
        <b/>
        <color theme="1"/>
        <sz val="10.0"/>
      </rPr>
      <t>Unstructured Supplementary Service Data - (USSD)</t>
    </r>
  </si>
  <si>
    <t>MTR-924</t>
  </si>
  <si>
    <r>
      <rPr>
        <rFont val="Arial"/>
        <b/>
        <color theme="1"/>
        <sz val="10.0"/>
      </rPr>
      <t>USSD</t>
    </r>
    <r>
      <rPr>
        <rFont val="Arial"/>
        <b val="0"/>
        <color theme="1"/>
        <sz val="10.0"/>
      </rPr>
      <t xml:space="preserve"> is supported during a call and in idle mode when voice is supported. This includes
- Mobile initiated USSD operation
- Network initiated USSD operation
- Display of text strings transparently received from the network</t>
    </r>
  </si>
  <si>
    <t>MTR-29604</t>
  </si>
  <si>
    <r>
      <rPr>
        <rFont val="Arial"/>
        <b/>
        <color theme="1"/>
        <sz val="10.0"/>
      </rPr>
      <t>6.1.4</t>
    </r>
    <r>
      <rPr>
        <rFont val="Arial"/>
        <b val="0"/>
        <color theme="1"/>
        <sz val="10.0"/>
      </rPr>
      <t xml:space="preserve"> </t>
    </r>
    <r>
      <rPr>
        <rFont val="Arial"/>
        <b/>
        <color theme="1"/>
        <sz val="10.0"/>
      </rPr>
      <t>IMS Based Voice</t>
    </r>
  </si>
  <si>
    <t>MTR-29818</t>
  </si>
  <si>
    <r>
      <rPr>
        <rFont val="Arial"/>
        <b/>
        <color theme="1"/>
        <sz val="10.0"/>
      </rPr>
      <t>IMS based Voice over LTE (VoLTE)</t>
    </r>
    <r>
      <rPr>
        <rFont val="Arial"/>
        <b val="0"/>
        <color theme="1"/>
        <sz val="10.0"/>
      </rPr>
      <t xml:space="preserve"> is supported as described in this section. The generic IMS requirements are described in section 6.1.4.2 and radio level requirements in section 2. Network Access</t>
    </r>
  </si>
  <si>
    <t>MTR-30350</t>
  </si>
  <si>
    <r>
      <rPr>
        <rFont val="Arial"/>
        <b/>
        <color theme="1"/>
        <sz val="10.0"/>
      </rPr>
      <t>IMS based Video Telephony (ViLTE)</t>
    </r>
    <r>
      <rPr>
        <rFont val="Arial"/>
        <b val="0"/>
        <color theme="1"/>
        <sz val="10.0"/>
      </rPr>
      <t xml:space="preserve"> is supported as described in GSMA PRD IR.94: "IMS Profile for Conversational Video Service" and enabled or disabled as defined in [TISD].
If this is supported, please describe in "Comments Vendor" how terminal handles the situation that the network does not support the video service, e.g. a note is shown to the user explaining that the service is not available.</t>
    </r>
  </si>
  <si>
    <t>MTR-31242</t>
  </si>
  <si>
    <r>
      <rPr>
        <rFont val="Arial"/>
        <b/>
        <color theme="1"/>
        <sz val="10.0"/>
      </rPr>
      <t>IMS based WiFi Calling (VoWiFi)</t>
    </r>
    <r>
      <rPr>
        <rFont val="Arial"/>
        <b val="0"/>
        <color theme="1"/>
        <sz val="10.0"/>
      </rPr>
      <t xml:space="preserve"> is supported as described in this section.
The generic IMS requirements are described in section 6.1.4.2 and radio level requirements in section 2. Network Access.</t>
    </r>
  </si>
  <si>
    <t>MTR-35661</t>
  </si>
  <si>
    <r>
      <rPr>
        <rFont val="Arial"/>
        <b/>
        <color theme="1"/>
        <sz val="10.0"/>
      </rPr>
      <t>IMS based Voice over 5GS (VoNR)</t>
    </r>
    <r>
      <rPr>
        <rFont val="Arial"/>
        <b val="0"/>
        <color theme="1"/>
        <sz val="10.0"/>
      </rPr>
      <t xml:space="preserve"> as described in GSMA NG.114: "IMS Profile for Voice, Video and Messaging over 5GS; Version 2.0" is supported.
The generic IMS requirements are described in section 6.1.4.2 and radio level requirements in section 2. Network Access.</t>
    </r>
  </si>
  <si>
    <t>The chipset supports it, but VoNR is disabled as SA is disabled for product launch, please discuss with Google TAM for feature enablement plans if the feature is deployed in live network.</t>
  </si>
  <si>
    <t>MTR-31879</t>
  </si>
  <si>
    <t>Please state the name of the producer of the IMS stack in the terminal in "Comments Vendor", if applicable.</t>
  </si>
  <si>
    <t>LSI</t>
  </si>
  <si>
    <t>SLSI</t>
  </si>
  <si>
    <t>MTR-28119</t>
  </si>
  <si>
    <r>
      <rPr>
        <rFont val="Arial"/>
        <b/>
        <color theme="1"/>
        <sz val="10.0"/>
      </rPr>
      <t>6.1.4.1</t>
    </r>
    <r>
      <rPr>
        <rFont val="Arial"/>
        <b val="0"/>
        <color theme="1"/>
        <sz val="10.0"/>
      </rPr>
      <t xml:space="preserve"> </t>
    </r>
    <r>
      <rPr>
        <rFont val="Arial"/>
        <b/>
        <color theme="1"/>
        <sz val="10.0"/>
      </rPr>
      <t>Standards</t>
    </r>
  </si>
  <si>
    <t>MTR-28123</t>
  </si>
  <si>
    <t>The UE complies with the relevant parts of 3GPP TS 24.229 [Rel. 10] and for 5G-UEs [Rel. 16].</t>
  </si>
  <si>
    <t>RCS, VoLTE, VoWiFi, Vo5G</t>
  </si>
  <si>
    <t>MTR-30348</t>
  </si>
  <si>
    <t>The UE complies with the relevant parts of GSMA PRD IR.92: "IMS Profile for Voice and SMS" version 11.0.
If the answer is "Partially Complies" or "Does Not Comply" it is requested to provide the latest version number, which is fully compliant, as well as a list of not complied functionalities.</t>
  </si>
  <si>
    <t>MTR-31391</t>
  </si>
  <si>
    <t>The UE complies with the relevant parts of GSMA PRD IR.51: "IMS Profile for Voice, Video and SMS over WiFi" version 5.0.
If the answer is "Partially Complies" or "Does Not Comply" it is requested to provide the latest version number, which is fully compliant, as well as a list of not complied functionalities.</t>
  </si>
  <si>
    <t>MTR-36117</t>
  </si>
  <si>
    <t>The UE complies with the relevant parts of GSMA NG.114: " IMS Profile for Voice, Video and Messaging over 5GS; Version 2.0 "
If the answer is "Partially Complies" or "Does Not Comply" it is requested to provide a list of not complied functionalities.</t>
  </si>
  <si>
    <t>SA is disabled for product launch, please discuss with Google TAM for feature enablement plans if the feature is deployed in live network.</t>
  </si>
  <si>
    <t>MTR-29605</t>
  </si>
  <si>
    <r>
      <rPr>
        <rFont val="Arial"/>
        <b/>
        <color theme="1"/>
        <sz val="10.0"/>
      </rPr>
      <t>6.1.4.2</t>
    </r>
    <r>
      <rPr>
        <rFont val="Arial"/>
        <b val="0"/>
        <color theme="1"/>
        <sz val="10.0"/>
      </rPr>
      <t xml:space="preserve"> </t>
    </r>
    <r>
      <rPr>
        <rFont val="Arial"/>
        <b/>
        <color theme="1"/>
        <sz val="10.0"/>
      </rPr>
      <t>IMS Procedures</t>
    </r>
  </si>
  <si>
    <t>MTR-36102</t>
  </si>
  <si>
    <r>
      <rPr>
        <rFont val="Arial"/>
        <b/>
        <color theme="1"/>
        <sz val="10.0"/>
      </rPr>
      <t>6.1.4.2.1</t>
    </r>
    <r>
      <rPr>
        <rFont val="Arial"/>
        <b val="0"/>
        <color theme="1"/>
        <sz val="10.0"/>
      </rPr>
      <t xml:space="preserve"> </t>
    </r>
    <r>
      <rPr>
        <rFont val="Arial"/>
        <b/>
        <color theme="1"/>
        <sz val="10.0"/>
      </rPr>
      <t>General Requirements</t>
    </r>
  </si>
  <si>
    <t>MTR-28147</t>
  </si>
  <si>
    <t>The UE supports IPv4 and IPv6 for all IMS protocols; for detailed IPv6 requirements please refer to MTR section 3.3.</t>
  </si>
  <si>
    <t>VoLTE, VoWiFi, Vo5G</t>
  </si>
  <si>
    <t>MTR-32528</t>
  </si>
  <si>
    <t>The TCP MSS size in the UE shall be set to less than 1340 bytes for all IMS services to ensure that the MTU size of 1500 bytes is not exceeded.</t>
  </si>
  <si>
    <t>MTR-32453</t>
  </si>
  <si>
    <t>The UE supports User-Agent header.
The User-Agent header shall contain an unique User-Agent-Name ,consisting of following information at minimum:
- Manufacturer-Name,
- Device Name, 
- Hardware-ID, 
- Software-ID
Note: It is up to the manufacturer to add additional information</t>
  </si>
  <si>
    <t>User Agent follow the format Google-DeviceName_SoftwareVersion</t>
  </si>
  <si>
    <t>MTR-33756</t>
  </si>
  <si>
    <t>The UE must include the User-Agent header in all SIP requests and Server header in all SIP responses</t>
  </si>
  <si>
    <t>MTR-33758</t>
  </si>
  <si>
    <t>The UE must include the User-Agent header in HTTP requests for XCAP</t>
  </si>
  <si>
    <t>MTR-28120</t>
  </si>
  <si>
    <r>
      <rPr>
        <rFont val="Arial"/>
        <b/>
        <color theme="1"/>
        <sz val="10.0"/>
      </rPr>
      <t>6.1.4.2.2</t>
    </r>
    <r>
      <rPr>
        <rFont val="Arial"/>
        <b val="0"/>
        <color theme="1"/>
        <sz val="10.0"/>
      </rPr>
      <t xml:space="preserve"> </t>
    </r>
    <r>
      <rPr>
        <rFont val="Arial"/>
        <b/>
        <color theme="1"/>
        <sz val="10.0"/>
      </rPr>
      <t>SIP Registration Procedures</t>
    </r>
  </si>
  <si>
    <t>MTR-28129</t>
  </si>
  <si>
    <t>The UE subscribes to registration event package as described in IR.92 section 2.2.1 (for 4G UEs) or NG.114  section 2.2.1 (for 5G Ues).</t>
  </si>
  <si>
    <t>MTR-28128</t>
  </si>
  <si>
    <t>Network initiated de-registration is supported as described in IR.92 section 2.2.1. (for 4G UEs) or NG.114 section 2.2.1 (for 5G UEs).</t>
  </si>
  <si>
    <t>MTR-31901</t>
  </si>
  <si>
    <t>The UE shall start the initial registration procedure, in case of state attribute set to "terminated" and event attribute set to "deactivated" within the Notify, which initiates the de-registration as described in 3GPP 24.229 section 5.1.1.7</t>
  </si>
  <si>
    <t>MTR-28130</t>
  </si>
  <si>
    <t>The UE does not use sigcomp. If sigcomp is supported by the UE (this is not mandated here), it is by default not used and may be enabled via a configuration mechanism, please provide further info how this is done in "Comments Vendor"</t>
  </si>
  <si>
    <t>MTR-28131</t>
  </si>
  <si>
    <r>
      <rPr>
        <rFont val="Arial"/>
        <color theme="1"/>
        <sz val="10.0"/>
      </rPr>
      <t xml:space="preserve">The UE provides the </t>
    </r>
    <r>
      <rPr>
        <rFont val="Arial"/>
        <i/>
        <color theme="1"/>
        <sz val="10.0"/>
      </rPr>
      <t>P-Access-Network-Info</t>
    </r>
    <r>
      <rPr>
        <rFont val="Arial"/>
        <color theme="1"/>
        <sz val="10.0"/>
      </rPr>
      <t xml:space="preserve"> header according to [24.229] including access type and one or more access info(s).</t>
    </r>
  </si>
  <si>
    <t>MTR-31411</t>
  </si>
  <si>
    <t>The access info included in PANI header provides the cell id (user provided; CGI for GERAN/UTRAN, ECGI for EUTRAN, (NCGI NR ).</t>
  </si>
  <si>
    <t>MTR-29615</t>
  </si>
  <si>
    <t>The REGISTER request contains the MMTel IMS Communication Service Identifier (ICSI), i.e. urn:urn-7:3gpp-service.ims.icsi.mmtel as described in IR.92 section 2.2.1 (for 4G UEs) or NG.114 section 2.2.1 (for 5G UEs).</t>
  </si>
  <si>
    <t>MTR-29620</t>
  </si>
  <si>
    <t>The "+sip.instance" header field parameter (Instance ID) of the Contact address includes the IMEI URN as described in IR.92 section 2.2.1 (for 4G UEs) or NG.114 section 2.2.1 (for 5G UEs).</t>
  </si>
  <si>
    <t>MTR-29598</t>
  </si>
  <si>
    <t>The UE performs IMS re-registration before the registration expires or one of the services triggers re-registration (e.g. to de-register one service and maintain the rest).</t>
  </si>
  <si>
    <t>MTR-29600</t>
  </si>
  <si>
    <t>The UE performs IMS deregistration when the last IMS service triggers de-registration.</t>
  </si>
  <si>
    <t>MTR-30568</t>
  </si>
  <si>
    <r>
      <rPr>
        <rFont val="Arial"/>
        <color theme="1"/>
        <sz val="10.0"/>
      </rPr>
      <t xml:space="preserve">The parameter </t>
    </r>
    <r>
      <rPr>
        <rFont val="Arial"/>
        <i/>
        <color theme="1"/>
        <sz val="10.0"/>
      </rPr>
      <t>Expires</t>
    </r>
    <r>
      <rPr>
        <rFont val="Arial"/>
        <b/>
        <i/>
        <color theme="1"/>
        <sz val="10.0"/>
      </rPr>
      <t xml:space="preserve"> </t>
    </r>
    <r>
      <rPr>
        <rFont val="Arial"/>
        <color theme="1"/>
        <sz val="10.0"/>
      </rPr>
      <t>in SIP REGISTER shall not be smaller than 7200 seconds.</t>
    </r>
  </si>
  <si>
    <t>MTR-30569</t>
  </si>
  <si>
    <r>
      <rPr>
        <rFont val="Arial"/>
        <color theme="1"/>
        <sz val="10.0"/>
      </rPr>
      <t xml:space="preserve">On receiving a 423 (Interval Too Brief) response to the REGISTER request, the UE shall send another REGISTER request populating the registration expiration interval value with an expiration timer of at least the value received in the </t>
    </r>
    <r>
      <rPr>
        <rFont val="Arial"/>
        <i/>
        <color theme="1"/>
        <sz val="10.0"/>
      </rPr>
      <t>Min-Expires</t>
    </r>
    <r>
      <rPr>
        <rFont val="Arial"/>
        <color theme="1"/>
        <sz val="10.0"/>
      </rPr>
      <t xml:space="preserve"> header field of the 423 (Interval Too Brief) response.</t>
    </r>
  </si>
  <si>
    <t>MTR-31986</t>
  </si>
  <si>
    <t>If the UE receives 503 Service Unavailable or any other 4xx, 5xx or 6xx response with Retry-After header as response to an initial REGISTER request, then the UE automatically re-attempts an initial registration via the same IP-CAN and the same P-CSCF after the amount of time indicated in the Retry-After header field.</t>
  </si>
  <si>
    <t>MTR-35202</t>
  </si>
  <si>
    <t>If the UE receives a 403 Forbidden (without Retry-After header) as response to an initial REGISTER request, then the UE automatically re-attempts an initial registration by making use of the mechanism defined in subclause 4.5 of RFC 5626 for determination of the retry delay time before each new registration attempt as described in 3gpp 24.229 5.1.1.2.1 Rel.15</t>
  </si>
  <si>
    <t>MTR-38847</t>
  </si>
  <si>
    <t>The UE must not fall into a status of permanent failure after any kind of unsuccesful registration.</t>
  </si>
  <si>
    <t>b/281955791#comment5</t>
  </si>
  <si>
    <t>b/281955791</t>
  </si>
  <si>
    <t>MTR-29607</t>
  </si>
  <si>
    <r>
      <rPr>
        <rFont val="Arial"/>
        <b/>
        <color theme="1"/>
        <sz val="10.0"/>
      </rPr>
      <t>6.1.4.2.3</t>
    </r>
    <r>
      <rPr>
        <rFont val="Arial"/>
        <b val="0"/>
        <color theme="1"/>
        <sz val="10.0"/>
      </rPr>
      <t xml:space="preserve"> </t>
    </r>
    <r>
      <rPr>
        <rFont val="Arial"/>
        <b/>
        <color theme="1"/>
        <sz val="10.0"/>
      </rPr>
      <t>Authentication</t>
    </r>
  </si>
  <si>
    <t>MTR-29629</t>
  </si>
  <si>
    <t>The UE supports IMS-AKA with USIM as described in IR.92 section 2.2.2. (for 4G-UEs) or NG.114 section 2.2.2 (for 5G-UEs)</t>
  </si>
  <si>
    <t>MTR-29631</t>
  </si>
  <si>
    <t>For authentication in Ut interface (i.e. between the UE and the MMTel AS, used for supplementary service configuration via XCAP, see section Supplementary service configuration (MTR-29637 et seqq.), the UE must support receiving 2xx response to the HTTP request without being challenged by 401 Unauthorized response as described in IR.92 section 2.2.2( for 4G-UEs) or NG.114 section 2.2.2 (for 5G-UEs).</t>
  </si>
  <si>
    <t>MTR-29630</t>
  </si>
  <si>
    <t>GBA authentication is used for Ut interface as recommended in IR.92 section 2.2.2 (for 4G-UEs) or NG.114 section 2.2.2 (for 5G-UEs) . For a Ue supporting GBA, the following detailed requirements are mandatory.</t>
  </si>
  <si>
    <t>MTR-32455</t>
  </si>
  <si>
    <t>The UE shall indicate the support of GBA-Authentication by including the static string "3gpp-gba" in the User-Agent header of the initial GET as described in 3GPP TS 24.109. This string shall be subsequent to the User-Agent entries defined in MTR-32453 separated by a blank.</t>
  </si>
  <si>
    <t>MTR-32059</t>
  </si>
  <si>
    <t>GBA(see MTR-29630) can be enabled or disabled as part of the device customisation by the vendor as requested by DTAG via [TISD].</t>
  </si>
  <si>
    <t>MTR-29632</t>
  </si>
  <si>
    <t>The UE supports HTTP Digest AKA with USIM on Ub interface (will be used as first step for Ut authentication) as described in 3GPP TS 24.109.</t>
  </si>
  <si>
    <t>MTR-29634</t>
  </si>
  <si>
    <t>For Ua interface, the UE shall support HTTP Digest authentication on Ua interface as described in 3GPP TS 24.109 section 5.2 (will be used as second step for Ut authentication).</t>
  </si>
  <si>
    <t>MTR-29635</t>
  </si>
  <si>
    <t>For Ua interface, the UE shall support UE and NAF authentication using HTTPS based on shared key-based UE authentication (HTTP Digest) with certificate-based NAF authentication (TLS) as described in 3GPP TS 24.109 section 5.3.2 (will be used as second step for Ut authentication).</t>
  </si>
  <si>
    <t>MTR-28125</t>
  </si>
  <si>
    <r>
      <rPr>
        <rFont val="Arial"/>
        <b/>
        <color theme="1"/>
        <sz val="10.0"/>
      </rPr>
      <t>6.1.4.2.4</t>
    </r>
    <r>
      <rPr>
        <rFont val="Arial"/>
        <b val="0"/>
        <color theme="1"/>
        <sz val="10.0"/>
      </rPr>
      <t xml:space="preserve"> </t>
    </r>
    <r>
      <rPr>
        <rFont val="Arial"/>
        <b/>
        <color theme="1"/>
        <sz val="10.0"/>
      </rPr>
      <t>SIP Session Handling</t>
    </r>
  </si>
  <si>
    <t>MTR-31387</t>
  </si>
  <si>
    <t>The UE indicates in the SDP offer in the initial INVITE that the media is sendrecv either by including the "a=sendrecv" attribute or by omitting the direction attribute as described in IR.92 section 2.2.4. (for 4G-UEs) or NG.114 section 2.2.4 (for 5G-UEs)</t>
  </si>
  <si>
    <t>MTR-29642</t>
  </si>
  <si>
    <t>The UE supports SIP Precondition framework and uses preconditions during call set-up in appropriate way as specified in IR.92 section 2.4.1 (for 4G-UEs) or NG.114 section 2.2.5 (for 5G-UEs) and described in the signalling flows in 3GPP TR 24.930.</t>
  </si>
  <si>
    <t>MTR-28136</t>
  </si>
  <si>
    <r>
      <rPr>
        <rFont val="Arial"/>
        <color theme="1"/>
        <sz val="10.0"/>
      </rPr>
      <t>If preconditions are used, then for outgoing</t>
    </r>
    <r>
      <rPr>
        <rFont val="Arial"/>
        <i/>
        <color theme="1"/>
        <sz val="10.0"/>
      </rPr>
      <t xml:space="preserve"> INVITE</t>
    </r>
    <r>
      <rPr>
        <rFont val="Arial"/>
        <color theme="1"/>
        <sz val="10.0"/>
      </rPr>
      <t xml:space="preserve"> UE indicates preconditions support in </t>
    </r>
    <r>
      <rPr>
        <rFont val="Arial"/>
        <i/>
        <color theme="1"/>
        <sz val="10.0"/>
      </rPr>
      <t xml:space="preserve">Supported </t>
    </r>
    <r>
      <rPr>
        <rFont val="Arial"/>
        <color theme="1"/>
        <sz val="10.0"/>
      </rPr>
      <t xml:space="preserve">header and not </t>
    </r>
    <r>
      <rPr>
        <rFont val="Arial"/>
        <i/>
        <color theme="1"/>
        <sz val="10.0"/>
      </rPr>
      <t xml:space="preserve">Require </t>
    </r>
    <r>
      <rPr>
        <rFont val="Arial"/>
        <color theme="1"/>
        <sz val="10.0"/>
      </rPr>
      <t>header.</t>
    </r>
  </si>
  <si>
    <t>MTR-28137</t>
  </si>
  <si>
    <t>The UE does not rely on precondition usage of the remote UE as described in IR.92 section 2.4.1 (for 4G-UEs) or NG.114 section 2.2.5 (for 5G-UEs).</t>
  </si>
  <si>
    <t>MTR-31386</t>
  </si>
  <si>
    <t>When receiving an INVITE request without preconditions, the UE sends a 183 Session Progress response with SDP body. The user is alerted and the 180 Ringing response is sent, once the local resources at the terminated side are reserved. The above is described in IR.92 section 2.4.1 (for 4G-UEs) or NG.114 section 2.2.5 (for 5G-UEs).</t>
  </si>
  <si>
    <t>MTR-31848</t>
  </si>
  <si>
    <t>The UE uses the preconditions mechanism when initiating a WiFi Call and indicates that the local resources are reserved as described in IR.51.</t>
  </si>
  <si>
    <t>MTR-32554</t>
  </si>
  <si>
    <t>The terminating VoLTE/VoWiFi device always sends 183 with PANI and SDP.</t>
  </si>
  <si>
    <t>MTR-30264</t>
  </si>
  <si>
    <t>The UE supports Mobile Subscriber ISDN Number (MSISDN) based IMPU, which means a tel-URIs with an associated SIP-URI:
EXAMPLE:
- tel: +491721234512 
- SIP:+491721234512@example.com; user=phone 
NOTE: Both number types are correctly routed by DTAG network.</t>
  </si>
  <si>
    <t>MTR-30268</t>
  </si>
  <si>
    <t>The UE supports alphanumeric SIP URI:s. 
EXAMPLE: 
SIP: voicemail@example.com 
NOTE: The DTAG network is currently not planned to route alphanumeric SIP URI:s, i.e. the call would be rejected.</t>
  </si>
  <si>
    <t>MTR-32452</t>
  </si>
  <si>
    <t>The UE handles local numbers as home-local numbers. 
The “phone-context” tel URI parameter must be added to Tel-URI or SIP-URI as described in IR.92 respectively in 3GPP 24.229 section 5.1.2A.1.3</t>
  </si>
  <si>
    <t>MTR-33217</t>
  </si>
  <si>
    <t>The UE supports the configuration parameter Policy_on_local_numbers defined in IR.92 section C.3(for 4G-UEs) or NG.114 section C.3(for 5G-UEs) and the value of it is controlled via [TISD]. 
NOTE: TDG will use value 1 – home local</t>
  </si>
  <si>
    <t>MTR-30269</t>
  </si>
  <si>
    <t>The UE supports geo-local numbers, i.e. setting the “phone-context” parameter according to geo-local numbers as defined in IR.92 (for 4G-UEs) or NG.114 (for 5G-UEs) section 2.2.3.2 and 3GPP TS24.229 section 7.2A.10.</t>
  </si>
  <si>
    <t>MTR-28141</t>
  </si>
  <si>
    <r>
      <rPr>
        <rFont val="Arial"/>
        <color theme="1"/>
        <sz val="10.0"/>
      </rPr>
      <t>If present, the</t>
    </r>
    <r>
      <rPr>
        <rFont val="Arial"/>
        <i/>
        <color theme="1"/>
        <sz val="10.0"/>
      </rPr>
      <t xml:space="preserve"> P-Asserted-identity</t>
    </r>
    <r>
      <rPr>
        <rFont val="Arial"/>
        <color theme="1"/>
        <sz val="10.0"/>
      </rPr>
      <t xml:space="preserve"> header will be used by the UE to display the caller identity and the </t>
    </r>
    <r>
      <rPr>
        <rFont val="Arial"/>
        <i/>
        <color theme="1"/>
        <sz val="10.0"/>
      </rPr>
      <t xml:space="preserve">From </t>
    </r>
    <r>
      <rPr>
        <rFont val="Arial"/>
        <color theme="1"/>
        <sz val="10.0"/>
      </rPr>
      <t>header field will be ignored.</t>
    </r>
  </si>
  <si>
    <t>MTR-30763</t>
  </si>
  <si>
    <r>
      <rPr>
        <rFont val="Arial"/>
        <color theme="1"/>
        <sz val="10.0"/>
      </rPr>
      <t xml:space="preserve">If </t>
    </r>
    <r>
      <rPr>
        <rFont val="Arial"/>
        <i/>
        <color theme="1"/>
        <sz val="10.0"/>
      </rPr>
      <t>P-Asserted-Identity</t>
    </r>
    <r>
      <rPr>
        <rFont val="Arial"/>
        <color theme="1"/>
        <sz val="10.0"/>
      </rPr>
      <t xml:space="preserve"> header is not present to indicate the caller identity, the UE displays the content of the </t>
    </r>
    <r>
      <rPr>
        <rFont val="Arial"/>
        <i/>
        <color theme="1"/>
        <sz val="10.0"/>
      </rPr>
      <t xml:space="preserve">From </t>
    </r>
    <r>
      <rPr>
        <rFont val="Arial"/>
        <color theme="1"/>
        <sz val="10.0"/>
      </rPr>
      <t>header.</t>
    </r>
  </si>
  <si>
    <t>MTR-29643</t>
  </si>
  <si>
    <t>The UE supports early media as described in IR.92 section 2.2.7(for 4G-UEs) or NG.114 section 2.2.6(for 5G-UEs) i.e. UE plays media (i.e. ringback tone) that is received during the call establishment.
NOTE: DTAG implements network based solutions for ring back tone and different announcements during call-setup, by using standardized UE procedures for early media.</t>
  </si>
  <si>
    <t>MTR-29644</t>
  </si>
  <si>
    <t>The UE supports P-Early-Media header as described in IR.92 section 2.2.7 (for 4G-UEs) or NG.114 section 2.2.6 (for 5G-UEs), RFC 5009 and 3GPP TS24.229.
NOTE: DTAG network solution makes use of P-Early-Media header, i.e. when the header is present and indicates that the UE will receive early media, the UE should play the early media from the network and otherwise a local ring-back tone (see MTR-29646).</t>
  </si>
  <si>
    <t>MTR-29646</t>
  </si>
  <si>
    <t>The UE must render locally generated communication progress information (as stated in 3GPP TS 24.628), if:
- an early dialog exists where a SIP 18x response to the SIP INVITE request other than 183 (Session Progress) response was received
and
- no early dialog exists where the last received P-Early-Media header field as described in IETF RFC 5009 [12] contained "sendrecv" or "sendonly"
 and
- in-band information is not received from the network.</t>
  </si>
  <si>
    <t>MTR-33766</t>
  </si>
  <si>
    <t>The UE must evaluate the rules of MTR-29646 again after each subsequent request or response received from remote party, and when in-band information starts, and when the UE determines the in-band media to have stopped.</t>
  </si>
  <si>
    <t>MTR-33768</t>
  </si>
  <si>
    <r>
      <rPr>
        <rFont val="Arial"/>
        <color theme="1"/>
        <sz val="10.0"/>
      </rPr>
      <t>The UE MUST insert a "199" option-tag in the Supported header field [HYPERLINK "https://tools.ietf.org/html/rfc32</t>
    </r>
    <r>
      <rPr>
        <rFont val="Arial"/>
        <color theme="1"/>
        <sz val="10.0"/>
        <u/>
      </rPr>
      <t>61"RFC3261</t>
    </r>
    <r>
      <rPr>
        <rFont val="Arial"/>
        <color theme="1"/>
        <sz val="10.0"/>
      </rPr>
      <t>] of an SIP request to show that it is willing to receive 199 responses.</t>
    </r>
  </si>
  <si>
    <t>MTR-33765</t>
  </si>
  <si>
    <t>Upon receiving a 199 (Early Dialog Terminated) provisional response to an established early dialog the UE shall release resources specifically related to that early dialog as described in 3GPP 24.229 5.1.3.1.</t>
  </si>
  <si>
    <t>MTR-29645</t>
  </si>
  <si>
    <t>The UE supports up to twelve(12) parallel early dialogs and receiving early media in one of them (as specified in IR.92 section 2.2.5 (for 4G-UEs) or NG.114 section 2.2.7(for 5G-UEs)) it is possible, that the early media is received within different dialog than the final dialog. 
NOTE: Please state the number of maximal supported parallel early dialogs in the "Comments Vendor" field.</t>
  </si>
  <si>
    <t>Maximum 7 early dialogues supported for now.</t>
  </si>
  <si>
    <t>MTR-31033</t>
  </si>
  <si>
    <t>If a terminal based ringing/ring back timer exists in the UE, then it's value should be higher than the network based timer. In DTAG network the value is 120s. Please state the timer value in "Comments Vendor", if applicable.
Note: DTAG recommends the value 130s for the terminal based timer (if such is implemented). Also a higher value can be selected.</t>
  </si>
  <si>
    <t>Timer configured to 130 seconds as recommended</t>
  </si>
  <si>
    <t>MTR-28139</t>
  </si>
  <si>
    <t>The UE accepts INVITE and Re-INVITE containing unsupported media types by putting the port of corresponding media lines to zero in the generated SDP answer.
Hereby the media line in the SDP answer needs to be compliant to RFC 2327 SDP: 
media-field =        "m=" media space port ["/" integer] space proto 1*(space fmt) CRLF (parameter “fmt” is mandatory, even though it has no relevance in case of port=0)</t>
  </si>
  <si>
    <t>MTR-40143</t>
  </si>
  <si>
    <t>Even if the device supports a certain media type a network not supporting a certain media type might set within an SDP offer the port assigned to this media type to zero. In this case the device just needs to mirror this m-line with the SDP answer.</t>
  </si>
  <si>
    <t>MTR-40146</t>
  </si>
  <si>
    <t>A device which requests a certain media type with an SDP offer and receives the SDP answer with zero port in the m-line for this media type shall be aware that this media type is not supported by either the network or the remote side. It shall proceed the session without this unsupported media (if at least one other media is supported). The device shall provide an appropriate indication about the unsupported media to the user.</t>
  </si>
  <si>
    <t>MTR-29647</t>
  </si>
  <si>
    <t>The UE supports the remote end updating the media with a re-INVITE/UPDATE (e.g. changing the remote IP address). 
NOTE: Possible use case is creation of Ad-Hoc Multi Party Conference, where the network may change the media path.</t>
  </si>
  <si>
    <t>MTR-29738</t>
  </si>
  <si>
    <t>If the UE receives a (re-)INVITE without SDP offer, it generates an offer in the next reliable response (e.g. 200 OK) according to SIP RFC 3261.</t>
  </si>
  <si>
    <t>MTR-34163</t>
  </si>
  <si>
    <t>If the UE receives an initial INVITE (with 100Rel) without an SDP offer, then it must send back the initial SDP offer in the first reliable non-failure message as described in RFC3261 section 13.2.1</t>
  </si>
  <si>
    <t>MTR-29648</t>
  </si>
  <si>
    <t>As described in IR.92 section 2.2.4(for 4G-UEs) or NG.114 section 2.2.4(for 5G-UEs), when the UE is not able or willing to answer an incoming call, the UE sends the following responses:
- 486 (Busy Here) is sent when the user is engaged in another call,
- 486 (Busy Here) is sent when the user rejects the call (i.e. by pushing the red button).</t>
  </si>
  <si>
    <t>MTR-31030</t>
  </si>
  <si>
    <t>When receiving 486 Busy Here responses, the UE plays appropriate local tone.</t>
  </si>
  <si>
    <t>UE plays busy tone</t>
  </si>
  <si>
    <t>MTR-28138</t>
  </si>
  <si>
    <t>The UE locally terminates the SIP session if it looses:
- the dedicated media bearer for voice as described in IR.92 section 2.4.2.3. (for 4G UEs)
       or     
- the dedicated QoS flow for voice as described in NG.114 section 4.6.2 (for 5G UEs)</t>
  </si>
  <si>
    <t>MTR-30720</t>
  </si>
  <si>
    <t>The UE shall list the REFER method in the Allow header of REGISTER request, only if it supports receiving REFER also outside dialog.</t>
  </si>
  <si>
    <t>MTR-34161</t>
  </si>
  <si>
    <t>The UE supports the SIP Replace Header as defined in RFC 3891</t>
  </si>
  <si>
    <t>MTR-34162</t>
  </si>
  <si>
    <t>If the UE supports the Replaces header (see MTR-34151) it MUST include the "replaces" option tag in a Supported header field. (see RFC 3891 section 6.2)</t>
  </si>
  <si>
    <t>MTR-32066</t>
  </si>
  <si>
    <t>If the UE ends a call session with a BYE, it appends an appropriate Reason Header Field, which satisfies RFC 3326.</t>
  </si>
  <si>
    <t>MTR-35649</t>
  </si>
  <si>
    <t>If a UE receives a 491 response to a re-INVITE, it should start a timer with a value T chosen as defined in RFC 3261</t>
  </si>
  <si>
    <t>MTR-39431</t>
  </si>
  <si>
    <r>
      <rPr>
        <rFont val="Arial"/>
        <color theme="1"/>
        <sz val="10.0"/>
      </rPr>
      <t xml:space="preserve">All CS Retry mechanisms to recover a voice call shall be deactivated in the UE. Instead the UE is fully compliant to 3GPP TS24.229 Rel. 15 5.1.3 and 3GPP TS24.229 5.1.2A.6
</t>
    </r>
    <r>
      <rPr>
        <rFont val="Arial"/>
        <color theme="1"/>
        <sz val="10.0"/>
        <u/>
      </rPr>
      <t>Note:</t>
    </r>
    <r>
      <rPr>
        <rFont val="Arial"/>
        <color theme="1"/>
        <sz val="10.0"/>
      </rPr>
      <t xml:space="preserve"> Sometimes these CS Retry mechanisms are also known as "silent redial".</t>
    </r>
  </si>
  <si>
    <t>CSFB by default, when receiving error response to INVITE.
UE follows 3GPP 24.229 Rel15 chapter 5.1.2 and 5.1.3 and 3gpp 24.229 5.1.2A.6</t>
  </si>
  <si>
    <t>MTR-28126</t>
  </si>
  <si>
    <r>
      <rPr>
        <rFont val="Arial"/>
        <b/>
        <color theme="1"/>
        <sz val="10.0"/>
      </rPr>
      <t>6.1.4.2.5</t>
    </r>
    <r>
      <rPr>
        <rFont val="Arial"/>
        <b val="0"/>
        <color theme="1"/>
        <sz val="10.0"/>
      </rPr>
      <t xml:space="preserve"> </t>
    </r>
    <r>
      <rPr>
        <rFont val="Arial"/>
        <b/>
        <color theme="1"/>
        <sz val="10.0"/>
      </rPr>
      <t>IMS Media Handling</t>
    </r>
  </si>
  <si>
    <t>MTR-28142</t>
  </si>
  <si>
    <t>The UE uses same port number for sending and receiving RTP. It does not rely on remote end doing the same.</t>
  </si>
  <si>
    <t>MTR-28143</t>
  </si>
  <si>
    <t>The UE uses same port number for sending and receiving RTCP. It does not rely on remote end doing the same.</t>
  </si>
  <si>
    <t>MTR-29724</t>
  </si>
  <si>
    <t>RTCP transmission is used during early media, active session and when the session is on hold as described in GSMA IR.92 (since version 10) section 3.2.4 (for 4G-UEs) or NG.114 section 3.6.3 (for 5G-UEs).</t>
  </si>
  <si>
    <t>MTR-29723</t>
  </si>
  <si>
    <t>The UE does not use Session Description Protocol Capability Negotiation (SDPcapNeg), but it is able to ignore the attributes if remote end uses them, as described in IR.92 section 3.2.2 (for 4G-UEs) or NG.114 section 3.6.4 (for 5G-UEs).</t>
  </si>
  <si>
    <t>MTR-29725</t>
  </si>
  <si>
    <t>The UE supports sending and receiving DTMF events as described in IR.92 section 3.3 (for 4G-UEs) or NG.114 section 3.5 (for 5G-UEs), see also MTR-1151.</t>
  </si>
  <si>
    <t>MTR-28121</t>
  </si>
  <si>
    <r>
      <rPr>
        <rFont val="Arial"/>
        <b/>
        <color theme="1"/>
        <sz val="10.0"/>
      </rPr>
      <t>6.1.4.2.6</t>
    </r>
    <r>
      <rPr>
        <rFont val="Arial"/>
        <b val="0"/>
        <color theme="1"/>
        <sz val="10.0"/>
      </rPr>
      <t xml:space="preserve"> </t>
    </r>
    <r>
      <rPr>
        <rFont val="Arial"/>
        <b/>
        <color theme="1"/>
        <sz val="10.0"/>
      </rPr>
      <t>Security</t>
    </r>
  </si>
  <si>
    <t>MTR-28145</t>
  </si>
  <si>
    <t>The UE supports Sec-Agree.</t>
  </si>
  <si>
    <t>MTR-28146</t>
  </si>
  <si>
    <t>The UE supports IPSec.</t>
  </si>
  <si>
    <t>MTR-32922</t>
  </si>
  <si>
    <t>In the initial Sec-Agree message of the IPSEC handshake (for IPsec tunnelling at UE&lt;&gt;P-CSCF) the UE offers a list of IPSec Encryption Algorithms. The list must contain all IPSec Encryption Algorithms which are marked "mandatory" in [TISD] but is not restricted to them.
Note: In order to be future proofed, the UE should also include the algorithms marked "recommended" in the [TISD], if available.</t>
  </si>
  <si>
    <t>KEY_LEN_AES_128,
KEY_LEN_AES_192,
KEY_LEN_AES_256</t>
  </si>
  <si>
    <t>MTR-32930</t>
  </si>
  <si>
    <t>The list of offered IPSec Encryption Algorithms must always contain the "null"-Algorithm, because the DTAG networks choose null encryption in case of debugging</t>
  </si>
  <si>
    <t>AIMS_IPSEC_ENC_ALGO =7</t>
  </si>
  <si>
    <t>MTR-32924</t>
  </si>
  <si>
    <t>In the initial Sec-Agree message of the IPSEC handshake (for IPsec tunnelling at UE&lt;&gt;P-CSCF) the UE offers a list of IPSec Integrity Algorithms. The list must contain all IPSec Integrity Algorithms which are marked "mandatory" in [TISD] but is not restricted to them.
Note: In order to be future proofed, the UE should also include the algorithms marked "recommended" in the [TISD], if available.</t>
  </si>
  <si>
    <t>hmac-md5-96,"hmac-sha-1-96</t>
  </si>
  <si>
    <t>MTR-33290</t>
  </si>
  <si>
    <t>The UE supports SRTP according to 3GPP TS 24.229 and RFC3711.
NOTE: Media security is currently not used by DTAG for VoLTE but it is considered for future.</t>
  </si>
  <si>
    <t>MTR-33291</t>
  </si>
  <si>
    <t>The UE supports SDES key management protocol as defined in 3GPP TS 24.229.
NOTE: Media security is currently not used by DTAG for VoLTE but it is considered for future.</t>
  </si>
  <si>
    <t>MTR-30765</t>
  </si>
  <si>
    <r>
      <rPr>
        <rFont val="Arial"/>
        <b/>
        <color theme="1"/>
        <sz val="10.0"/>
      </rPr>
      <t>6.1.4.2.7</t>
    </r>
    <r>
      <rPr>
        <rFont val="Arial"/>
        <b val="0"/>
        <color theme="1"/>
        <sz val="10.0"/>
      </rPr>
      <t xml:space="preserve"> </t>
    </r>
    <r>
      <rPr>
        <rFont val="Arial"/>
        <b/>
        <color theme="1"/>
        <sz val="10.0"/>
      </rPr>
      <t>IMS Restoration Procedures</t>
    </r>
  </si>
  <si>
    <t>MTR-30766</t>
  </si>
  <si>
    <t>This section summarizes the requirements needed for procedures, where one of the network elements is either temporarily or permanently not in use.</t>
  </si>
  <si>
    <t>MTR-38822</t>
  </si>
  <si>
    <t>The UE shall indicate the capability of supporting P-CSCF Re-selection to the SMF/P-GW/GGSN at the activation of the IMS PDU session /PDN connection /PDP context, in the PCO parameter 0012H (P-CSCF Re-selection support) as described in 3GPP TS23.380 clause 5.4.4 and TS24.008 clause 10.5.6.3.</t>
  </si>
  <si>
    <t>MTR-30767</t>
  </si>
  <si>
    <t>If the combined attached UE receives no response (i.e. timer F fires) to the initial registration message, the UE shall initiate a new initial registration to a P-CSCF which is different from the currently used P-CSCF address and which is not marked as unavailable. This functionality is described in 3GPP TS 24.229 section 5.1.1.2.1.</t>
  </si>
  <si>
    <t>MTR-30768</t>
  </si>
  <si>
    <t>The combined attached UE initiates a new initial registration using another P-CSCF address, if it receives no response (i.e. timer F fires) to the re-registration or de-registration first P-CSCF address. This functionality is described in 3GPP TS 24.229 section 5.1.1.2.1.</t>
  </si>
  <si>
    <t>MTR-36238</t>
  </si>
  <si>
    <t>If the combined attached UE cannot establish the TCP session for Registration i.e. no response for TCP-SYN, it re-attempts an initial registration by using a retry delay timer and a similar mechanism as specified in 3GPP TS24.229 5.1.1.2 for the case when the timer F expires at the UE (see also MTR-30767).
The retry delay timer shall be computed by the algorithm defined in subclause 4.5 of RFC 5626 + 5 min.</t>
  </si>
  <si>
    <t>MTR-39432</t>
  </si>
  <si>
    <t>When the UE is running the Register Retry mechanism as described in 3GPP TS 24.229 section 5.1.1.2.1., it shall not reset the Retry Delay timmer upon triggering a new P-CSCF discovery, even not after a RAT change.</t>
  </si>
  <si>
    <t>FR has been raised and this will be supported in JunQPR for TG4 (b/365977851)</t>
  </si>
  <si>
    <t>Current UE implementation does initial registration in new PCSCF and uses fresh retry timer.
 3GPP 24.229 5.1.9 P-CSCF addresses management
If the UE performs a new P-CSCF discovery or is power-cycled, the UE shall clear all the availability marks on the locally stored P-CSCF addresses.</t>
  </si>
  <si>
    <t>MTR-37939</t>
  </si>
  <si>
    <t>The UE, which is attached to 4G EPS or 5GSA, checks once a day (at random time) if it is in a state of a permanent failure at PDN level or at IMS Registration level and initiates a new initial Register if it is.</t>
  </si>
  <si>
    <t>b/259361985</t>
  </si>
  <si>
    <t>MTR-30769</t>
  </si>
  <si>
    <t>The UE handles a 401 Unauthorized challenge to re-registration or de-registration similarly as it handles the challenge for initial registration. This functionality is mandatory in 3GPP TS 24.229 section 5.1.1.6.1.</t>
  </si>
  <si>
    <t>MTR-30770</t>
  </si>
  <si>
    <t>The UE initiates a new initial registration, if it receives a 504 Server Time-Out response to any non-REGISTER request (i.e. INVITE). This functionality is mandatory in TS 24.229 5.1.2A.1.6.</t>
  </si>
  <si>
    <t>MTR-31029</t>
  </si>
  <si>
    <t>The UE initiates a new initial registration if it receives a [Modify EPS Bearer Context Request] message (for 4G UEs) or respectively a [PDU SESSION MODIFICATION COMMAND] message (for 5G UEs) containing a list of P-CSCF addresses that does not include the address of the currently used P-CSCF as described in Rel. 9 version of 3GPP TS24.229 section L.2.2.1C. and described in IR.92 section 4.4 (for 4G-UEs) or NG.114 section 4.7 (for 5G-UEs).</t>
  </si>
  <si>
    <t>MTR-33105</t>
  </si>
  <si>
    <t>If the UE receives a [Modify EPS Bearer Context Request] message(for 4G UEs) or respectively a [PDU SESSION MODIFICATION COMMAND] message (for 5G UEs) as described in MTR-31029 during an ongoing call, it does not initiate a new initial registration immediately but waits until the call is finished.
Note: This requirement is important to support DTs operation concept.</t>
  </si>
  <si>
    <t>MTR-39417</t>
  </si>
  <si>
    <t>Upon timer B expires in the "Calling" state of INVITE client transaction, the UE shall not do a CS retry but shall initiate a Register-Restoration as described in 3GPP TS24.229 5.1.2A.</t>
  </si>
  <si>
    <t>FR has been raised and this will be supported in JunQPR for TG4 (b/376655271)</t>
  </si>
  <si>
    <t>The chipset does not support it.Can be reqeust as FR and discover the possibility.</t>
  </si>
  <si>
    <t>MTR-39418</t>
  </si>
  <si>
    <t>Upon expiring of timer F in the "Trying" state of non-INVITE client transaction the UE shall not do
 a CS retry but shall initiate a Register-Restoration as described in 3GPP TS24.229 5.1.2A.6.</t>
  </si>
  <si>
    <t>MTR-39419</t>
  </si>
  <si>
    <t>If the UE receives a 503 (Service Unavailable) response without a Retry-After header field upon any SIP request from a contact address that has been previously registered, the UE shall not do a CSFB but shall initiate a Register-Restoration as described in 3GPP TS24.229 5.1.2A.6.</t>
  </si>
  <si>
    <t>MTR-39433</t>
  </si>
  <si>
    <r>
      <rPr>
        <rFont val="Arial"/>
        <color theme="1"/>
        <sz val="10.0"/>
      </rPr>
      <t xml:space="preserve">When the UE needs to initiate a Register-Restoration upon a IMS voice session failure as described for MTR-394217 - MTR-39419 then it follows the behaviour according to the case if multiple registration mechanism is not used (see 3GPP TS24.229 5.1.2A.6).
</t>
    </r>
    <r>
      <rPr>
        <rFont val="Arial"/>
        <color theme="1"/>
        <sz val="10.0"/>
        <u/>
      </rPr>
      <t>Note:</t>
    </r>
    <r>
      <rPr>
        <rFont val="Arial"/>
        <color theme="1"/>
        <sz val="10.0"/>
      </rPr>
      <t xml:space="preserve"> The DT networks do not use multiple registration associated with one IMS registration. While the UE registers for VoLTE/VoNR at the DT IMS System, it registers for RCS at the Google IMS-System, which is completely separated from DTs IMS system and needs a separate registration.</t>
    </r>
  </si>
  <si>
    <t>b/318796066</t>
  </si>
  <si>
    <t>MTR-39809</t>
  </si>
  <si>
    <r>
      <rPr>
        <rFont val="Arial"/>
        <b/>
        <color theme="1"/>
        <sz val="10.0"/>
      </rPr>
      <t>6.1.4.2.8</t>
    </r>
    <r>
      <rPr>
        <rFont val="Arial"/>
        <b val="0"/>
        <color theme="1"/>
        <sz val="10.0"/>
      </rPr>
      <t xml:space="preserve"> </t>
    </r>
    <r>
      <rPr>
        <rFont val="Arial"/>
        <b/>
        <color theme="1"/>
        <sz val="10.0"/>
      </rPr>
      <t>IMS Restoration Procedures for "Voice Centric" devices in PS-only networks</t>
    </r>
  </si>
  <si>
    <t>MTR-39810</t>
  </si>
  <si>
    <r>
      <rPr>
        <rFont val="Arial"/>
        <color theme="1"/>
        <sz val="10.0"/>
      </rPr>
      <t xml:space="preserve">A “voice centric” device is equipped with a </t>
    </r>
    <r>
      <rPr>
        <rFont val="Arial"/>
        <b/>
        <color theme="1"/>
        <sz val="10.0"/>
      </rPr>
      <t>proprietary timer (vc)</t>
    </r>
    <r>
      <rPr>
        <rFont val="Arial"/>
        <color theme="1"/>
        <sz val="10.0"/>
      </rPr>
      <t xml:space="preserve"> (not defined in standard), which shall be started upon an IMS PDU/PDN establishment rejection.</t>
    </r>
  </si>
  <si>
    <t>The chipset does not support it</t>
  </si>
  <si>
    <t>MTR-39811</t>
  </si>
  <si>
    <r>
      <rPr>
        <rFont val="Arial"/>
        <color theme="1"/>
        <sz val="10.0"/>
      </rPr>
      <t>The proprietary timer (vc)</t>
    </r>
    <r>
      <rPr>
        <rFont val="Arial"/>
        <b/>
        <color theme="1"/>
        <sz val="10.0"/>
      </rPr>
      <t xml:space="preserve"> </t>
    </r>
    <r>
      <rPr>
        <rFont val="Arial"/>
        <color theme="1"/>
        <sz val="10.0"/>
      </rPr>
      <t>(see MTR-39810) shall be configured for 4G and 5G separately in the UE with the values defined in [TISD].</t>
    </r>
  </si>
  <si>
    <t>FR created to handle expected vc proprietary timer (b/b/329816894)</t>
  </si>
  <si>
    <t>MTR-39422</t>
  </si>
  <si>
    <r>
      <rPr>
        <rFont val="Arial"/>
        <color theme="1"/>
        <sz val="10.0"/>
      </rPr>
      <t>If a [PDU Session Establishment Request] was rejected and the proprietary timer (vc)</t>
    </r>
    <r>
      <rPr>
        <rFont val="Arial"/>
        <b/>
        <color theme="1"/>
        <sz val="10.0"/>
      </rPr>
      <t xml:space="preserve"> </t>
    </r>
    <r>
      <rPr>
        <rFont val="Arial"/>
        <color theme="1"/>
        <sz val="10.0"/>
      </rPr>
      <t>(see MTR-39810) has been started, then the UE conducts NAS retry mechanism according to the rules defined in 3GPP TS24.501 section 6.4.1.4.2 and 6.4.1.4.3 until timer (vc) expires (only relevant for 5GSM Reject causes which allow retries).</t>
    </r>
  </si>
  <si>
    <t>VoNR is not enabled</t>
  </si>
  <si>
    <t>MTR-39812</t>
  </si>
  <si>
    <t>If a [PDN CONNECTIVITY REQUEST] message was rejected and the proprietary timer (vc) (see MTR-39810) has been started, then the UE conducts NAS retry mechanism according to the rules defined in 3GPP TS24.301 section 6.5.1.4.2 and 6.5.1.4.3 until timer (vc) expires (only relevant for ESM reject causes which allow retries).</t>
  </si>
  <si>
    <t>MTR-39813</t>
  </si>
  <si>
    <t>When the proprietary timer (vc) (defined in MTR-39810) expires, the 5G attached UE shall disable N1-mode, enter Cell-Search and proceed as defined in 3GPP TS24.501 section 4.9.2</t>
  </si>
  <si>
    <t>MTR-39814</t>
  </si>
  <si>
    <r>
      <rPr>
        <rFont val="Arial"/>
        <color theme="1"/>
        <sz val="10.0"/>
      </rPr>
      <t xml:space="preserve">When the proprietary timer (vc) (defined in MTR-39810) expires, the 4G attached UE, </t>
    </r>
    <r>
      <rPr>
        <rFont val="Arial"/>
        <b/>
        <color theme="1"/>
        <sz val="10.0"/>
      </rPr>
      <t>which is not combined attached,</t>
    </r>
    <r>
      <rPr>
        <rFont val="Arial"/>
        <color theme="1"/>
        <sz val="10.0"/>
      </rPr>
      <t xml:space="preserve"> shall disable S1-mode, enter Cell-Search and proceed as described in 3GPP TS24.301 section 4.5.
Note: The combined attached UE stays stable on 4G and performs IMS restoration procedure according to section 6.1.4.2.7 above.</t>
    </r>
  </si>
  <si>
    <t>MTR-39815</t>
  </si>
  <si>
    <t>If the N1-mode was disabled due to timer vc expiry (see MTR-39813) the UE shall re-enable the N1-mode capability after a reasonable time.</t>
  </si>
  <si>
    <t>VoNR is not enabled. Please reach out to TAM for feature support when VoNR is enabled.</t>
  </si>
  <si>
    <t>MTR-39816</t>
  </si>
  <si>
    <t>If the S1-mode was disabled due to timer vc expiry (see MTR-39814), the UE shall re-enable the S1-mode capability after a reasonable time.</t>
  </si>
  <si>
    <t>Ticket has been raised to investigate this vc handling http://b/329816894 [ISD Update][DTAG][IN-MARKET][CM] New timer (VC-4G and VC-5G) added for voice centric device</t>
  </si>
  <si>
    <t>MTR-39817</t>
  </si>
  <si>
    <t>When a “voice centric” device, which is 5G registered in HPLMN and has established an IMS PDU session, fails to register to IMS then it shall not immediately start a Cell Search and move to lower prio RAT (4G) of HPLMN. Instead it should retry the SIP Registration according to the procedure defined in 3GPP TS24.229 5.1.1.2 &amp; 5.1.1.4.</t>
  </si>
  <si>
    <t>MTR-39818</t>
  </si>
  <si>
    <t>When a “voice centric” device, which is 4G registered in HPLMN (not combined attached) and has established an IMS PDN connectivity, fails to register to IMS then it shall not immediately start a Cell-Search and move to lower prio RAT (2G) of HPLMN. Instead it should retry the SIP Registration according to the procedure defined in 3GPP TS24.229 5.1.1.2 &amp; 5.1.1.4.</t>
  </si>
  <si>
    <t>FR to handle feasibility (b/376655271)</t>
  </si>
  <si>
    <t>MTR-39819</t>
  </si>
  <si>
    <t>When due to the SIP Registration retry procedure (see MTR-39817 &amp; MTR-39818) all P-CSCF addresses are marked, the UE shall disable N1/S1-mode, enter Cell-Search and look for a lower prio RAT of HPLM/EPLMN which provides voice service support.</t>
  </si>
  <si>
    <t>MTR-39820</t>
  </si>
  <si>
    <t>During the SIP Registration retry procedure (see MTR-39817 &amp; MTR-39818) the UE shall honour the retry delay timer defined in RFC5626 chapter 4.5 before it initiates the next IMS Register retry attempt. This shall also be done when the RAT has been changed in between.</t>
  </si>
  <si>
    <t>MTR-39821</t>
  </si>
  <si>
    <t>If the N1-mode was disabled due to not successful SIP Registration Retry procedure (see MTR-39819) the UE shall re-enable the N1-mode capability after a reasonable time.</t>
  </si>
  <si>
    <t>MTR-39824</t>
  </si>
  <si>
    <t>If N1-mode has been disabled due to 5GMM cause #27 "N1-mode not allowed", then the UE shall re-Enable N1-Mode capability according to 3GPP TS24.501 section 4.9.1</t>
  </si>
  <si>
    <t>MTR-39822</t>
  </si>
  <si>
    <t>If the S1-mode was disabled due to not successful SIP Registration Retry procedure (see MTR-39819), the UE shall re-enable the S1-mode capability after a reasonable time.</t>
  </si>
  <si>
    <t>MTR-39823</t>
  </si>
  <si>
    <t>If during the search of a voice capable RAT, the N1-mode/S1-mode has been disabled (see MTR-39813, MTR-39814,MTR-39819), but no voice capable RAT can be found at all, the UE shall re-enable N1-mode/S1-mode and return to the 5G-RAN/4G-RAN of the registered PLMN for Data services only (see 3GPP TS24.501 chapter 4.9 option D and 3GPP TS24.301 chapter 4.5 option C).</t>
  </si>
  <si>
    <t>Chipset not support</t>
  </si>
  <si>
    <t>MTR-39890</t>
  </si>
  <si>
    <t>If the UE is registered in 5G/4G for data service only, because it cannot find a voice capable RAT (see MTR-39823), it shall try to re-connect to the IMS after a reasonable time interval.</t>
  </si>
  <si>
    <t>MTR-29608</t>
  </si>
  <si>
    <r>
      <rPr>
        <rFont val="Arial"/>
        <b/>
        <color theme="1"/>
        <sz val="10.0"/>
      </rPr>
      <t>6.1.4.3</t>
    </r>
    <r>
      <rPr>
        <rFont val="Arial"/>
        <b val="0"/>
        <color theme="1"/>
        <sz val="10.0"/>
      </rPr>
      <t xml:space="preserve"> </t>
    </r>
    <r>
      <rPr>
        <rFont val="Arial"/>
        <b/>
        <color theme="1"/>
        <sz val="10.0"/>
      </rPr>
      <t>Supplementary services</t>
    </r>
  </si>
  <si>
    <t>MTR-29636</t>
  </si>
  <si>
    <r>
      <rPr>
        <rFont val="Arial"/>
        <b/>
        <color theme="1"/>
        <sz val="10.0"/>
      </rPr>
      <t>6.1.4.3.1</t>
    </r>
    <r>
      <rPr>
        <rFont val="Arial"/>
        <b val="0"/>
        <color theme="1"/>
        <sz val="10.0"/>
      </rPr>
      <t xml:space="preserve"> </t>
    </r>
    <r>
      <rPr>
        <rFont val="Arial"/>
        <b/>
        <color theme="1"/>
        <sz val="10.0"/>
      </rPr>
      <t>Supported services</t>
    </r>
  </si>
  <si>
    <t>MTR-30581</t>
  </si>
  <si>
    <r>
      <rPr>
        <rFont val="Arial"/>
        <b/>
        <color theme="1"/>
        <sz val="10.0"/>
      </rPr>
      <t>6.1.4.3.1.1</t>
    </r>
    <r>
      <rPr>
        <rFont val="Arial"/>
        <b val="0"/>
        <color theme="1"/>
        <sz val="10.0"/>
      </rPr>
      <t xml:space="preserve"> </t>
    </r>
    <r>
      <rPr>
        <rFont val="Arial"/>
        <b/>
        <color theme="1"/>
        <sz val="10.0"/>
      </rPr>
      <t>Identity</t>
    </r>
  </si>
  <si>
    <t>MTR-29649</t>
  </si>
  <si>
    <t>The UE supports Originating Identification Presentation (OIP) as specified in IR.92 section 2.3.1 (for 4G-UEs) or NG.114 section 2.3.1 (for 5G-UEs).</t>
  </si>
  <si>
    <t>MTR-29650</t>
  </si>
  <si>
    <t>The UE supports Terminating Identification Presentation (TIP) as specified in IR.92 section 2.3.1 (for 4G-UEs) or NG.114 section 2.3.1 (for 5G-UEs).</t>
  </si>
  <si>
    <t>MTR-29655</t>
  </si>
  <si>
    <t>The UE supports Originating Identification Restriction (OIR) as specified in IR.92 section 2.3.6 (for 4G-UEs) or NG.114 section 2.3.6 (for 5G-UEs).</t>
  </si>
  <si>
    <t>MTR-30582</t>
  </si>
  <si>
    <t>The OIR setting options are identical to the ones defined for CLI, see MTR-1178. These settings are terminal based (i.e. not exchanged with the network) and impact the SIP procedures (i.e. Privacy header).</t>
  </si>
  <si>
    <t>MTR-31888</t>
  </si>
  <si>
    <r>
      <rPr>
        <rFont val="Arial"/>
        <color theme="1"/>
        <sz val="10.0"/>
      </rPr>
      <t xml:space="preserve">According to ETSI GSM02.30 OIR (formerly CLIR) should be switched on/off by following GSM Codes:
</t>
    </r>
    <r>
      <rPr>
        <rFont val="Arial"/>
        <b/>
        <color theme="1"/>
        <sz val="10.0"/>
      </rPr>
      <t>In temporary mode:</t>
    </r>
    <r>
      <rPr>
        <rFont val="Arial"/>
        <color theme="1"/>
        <sz val="10.0"/>
      </rPr>
      <t xml:space="preserve">
 * 31 # &lt;called number&gt; SEND : OIR switched off for a single call i.e. number shown
 # 31 # &lt;called number&gt; SEND : OIR invoked for a single call i.e. number hidden
</t>
    </r>
    <r>
      <rPr>
        <rFont val="Arial"/>
        <b/>
        <color theme="1"/>
        <sz val="10.0"/>
      </rPr>
      <t>In permanent mode</t>
    </r>
    <r>
      <rPr>
        <rFont val="Arial"/>
        <color theme="1"/>
        <sz val="10.0"/>
      </rPr>
      <t xml:space="preserve"> (also terminal based functionality)
 * 31 #	OIR switched on for each call, i.e. number always hidden
 # 31 # OIR switched off for each call, i.e. number always shown
The temporary mode overrules the permanent mode.
After *#31# no network query should be performed (see MTR-30582).</t>
    </r>
  </si>
  <si>
    <t>MTR-29651</t>
  </si>
  <si>
    <t>The UE supports Terminating Identification Restriction (TIR) as specified in IR.92 section 2.3.7 (for 4G-UEs) or NG.114 section 2.3.7 (for 5G-UEs).</t>
  </si>
  <si>
    <t>MTR-30583</t>
  </si>
  <si>
    <r>
      <rPr>
        <rFont val="Arial"/>
        <b/>
        <color theme="1"/>
        <sz val="10.0"/>
      </rPr>
      <t>6.1.4.3.1.2</t>
    </r>
    <r>
      <rPr>
        <rFont val="Arial"/>
        <b val="0"/>
        <color theme="1"/>
        <sz val="10.0"/>
      </rPr>
      <t xml:space="preserve"> </t>
    </r>
    <r>
      <rPr>
        <rFont val="Arial"/>
        <b/>
        <color theme="1"/>
        <sz val="10.0"/>
      </rPr>
      <t>Communication Forwarding</t>
    </r>
  </si>
  <si>
    <t>MTR-29652</t>
  </si>
  <si>
    <t>The UE supports Communication Forwarding as specified in IR.92 section 2.3.8 (for 4G-UEs) or NG.114 section 2.3.8 (for 5G-UEs) and conditions specified in IR.92 table 2.2 respectively NG.114 table 2.3.8-1.</t>
  </si>
  <si>
    <t>MTR-29656</t>
  </si>
  <si>
    <t>Additionally to MTR-29652, the UE supports condition &lt;rule-deactivated&gt; for Communication Forwarding. This provides the same user experience as in GSM; user can de-activate Communication Forwarding, but keep the number, so that it can later be activated again.</t>
  </si>
  <si>
    <t>MTR-29658</t>
  </si>
  <si>
    <t>The UE shall understand supported actions and conditions for Communication Forwarding (see 3GPP TS 24.604 section 4.9.1.5) and supported conditions for Communication Barring (see 3GPP 24.611 section 4.9.1.6) and use only supported elements when configuring these services.</t>
  </si>
  <si>
    <t>MTR-31286</t>
  </si>
  <si>
    <t>The UE supports History-Info header for presentation of diverting parties as described in IR92 section 2.3.8 (for 4G-UEs) or NG.114 section 2.3.8 (for 5G-UEs).</t>
  </si>
  <si>
    <t>MTR-30585</t>
  </si>
  <si>
    <r>
      <rPr>
        <rFont val="Arial"/>
        <b/>
        <color theme="1"/>
        <sz val="10.0"/>
      </rPr>
      <t>6.1.4.3.1.3</t>
    </r>
    <r>
      <rPr>
        <rFont val="Arial"/>
        <b val="0"/>
        <color theme="1"/>
        <sz val="10.0"/>
      </rPr>
      <t xml:space="preserve"> </t>
    </r>
    <r>
      <rPr>
        <rFont val="Arial"/>
        <b/>
        <color theme="1"/>
        <sz val="10.0"/>
      </rPr>
      <t>Communication Barring</t>
    </r>
  </si>
  <si>
    <t>MTR-29660</t>
  </si>
  <si>
    <t>The UE supports Communication Barring as specified in IR.92 section 2.3.9 (for 4G-UEs) or NG.114 section 2.3.9 (for 5G-UEs) and conditions specified in IR.92 table 2.3. respectively in NG.114 table 2.3.9-1.
NOTE: Some DTAG VoLTE networks support interrogation but not configuration of Communication Barring. An error is returned in this case.</t>
  </si>
  <si>
    <t>MTR-34129</t>
  </si>
  <si>
    <t>The UE supports the procedures in 3GPP TS24.611 with the Rel. 14 additions to section 4.5.0 and sections 5.3.1.2 and 5.3.1.3 in 3GPP Rel. 14 TS 24.623 as requested in IR.92v12 section 2.3.9 (for 4G-UEs) or NG.114 section 2.3.9 (for 5G-UEs).</t>
  </si>
  <si>
    <t>MTR-30587</t>
  </si>
  <si>
    <r>
      <rPr>
        <rFont val="Arial"/>
        <b/>
        <color theme="1"/>
        <sz val="10.0"/>
      </rPr>
      <t>6.1.4.3.1.4</t>
    </r>
    <r>
      <rPr>
        <rFont val="Arial"/>
        <b val="0"/>
        <color theme="1"/>
        <sz val="10.0"/>
      </rPr>
      <t xml:space="preserve"> </t>
    </r>
    <r>
      <rPr>
        <rFont val="Arial"/>
        <b/>
        <color theme="1"/>
        <sz val="10.0"/>
      </rPr>
      <t>Communication Hold</t>
    </r>
  </si>
  <si>
    <t>MTR-29661</t>
  </si>
  <si>
    <t>The UE supports Communication Hold as specified in IR.92 section 2.3.1 (for 4G-UEs) or NG.114 section 2.3.1(for 5G-UEs).
NOTE: DTAG VoLTE solution for call hold uses re-INVITE without SDP for announcements and for RTCP, see MTR-29738.</t>
  </si>
  <si>
    <t>MTR-30589</t>
  </si>
  <si>
    <r>
      <rPr>
        <rFont val="Arial"/>
        <b/>
        <color theme="1"/>
        <sz val="10.0"/>
      </rPr>
      <t>6.1.4.3.1.5</t>
    </r>
    <r>
      <rPr>
        <rFont val="Arial"/>
        <b val="0"/>
        <color theme="1"/>
        <sz val="10.0"/>
      </rPr>
      <t xml:space="preserve"> </t>
    </r>
    <r>
      <rPr>
        <rFont val="Arial"/>
        <b/>
        <color theme="1"/>
        <sz val="10.0"/>
      </rPr>
      <t>Message Waiting Indication</t>
    </r>
  </si>
  <si>
    <t>MTR-29662</t>
  </si>
  <si>
    <t>The UE supports Message Waiting Indication event package as specified in IR.92 section 3.4 (for 4G-UEs) or NG.114 section 2.4 (for 5G-UEs).
NOTE: In IR.92 MWI is optional and it is not planned to be supported in DTAG VoLTE network.</t>
  </si>
  <si>
    <t>MTR-29664</t>
  </si>
  <si>
    <t>If the UE supports Message Waiting Indication event package, but the network does not support it, the UE is able to gracefully handle this.</t>
  </si>
  <si>
    <t>MTR-30590</t>
  </si>
  <si>
    <r>
      <rPr>
        <rFont val="Arial"/>
        <b/>
        <color theme="1"/>
        <sz val="10.0"/>
      </rPr>
      <t>6.1.4.3.1.6</t>
    </r>
    <r>
      <rPr>
        <rFont val="Arial"/>
        <b val="0"/>
        <color theme="1"/>
        <sz val="10.0"/>
      </rPr>
      <t xml:space="preserve"> </t>
    </r>
    <r>
      <rPr>
        <rFont val="Arial"/>
        <b/>
        <color theme="1"/>
        <sz val="10.0"/>
      </rPr>
      <t>Communication Waiting</t>
    </r>
  </si>
  <si>
    <t>MTR-29665</t>
  </si>
  <si>
    <t>The UE supports Communication Waiting terminal based solution as specified in IR.92 section 2.3.4 (for 4G-UEs) or NG.114 section 2.3.4 (for 5G-UEs). Especially the UE supports Alert-Info header.</t>
  </si>
  <si>
    <t>MTR-30591</t>
  </si>
  <si>
    <t>The UE supports terminal based Communication Waiting and provides the ability for the user to activate, deactivate and interrogate the terminal based service without using UE to network signalling (e.g. XCAP/Ut) as described in IR.92 section 2.3.4 (for 4G-UEs) or NG.114 section 2.3.4 (for 5G-UEs). The Communication Waiting setting options and notification requirements are identical to the ones defined for Call Waiting, see MTR-1120 and MTR-1167</t>
  </si>
  <si>
    <t>MTR-30592</t>
  </si>
  <si>
    <r>
      <rPr>
        <rFont val="Arial"/>
        <b/>
        <color theme="1"/>
        <sz val="10.0"/>
      </rPr>
      <t>6.1.4.3.1.7</t>
    </r>
    <r>
      <rPr>
        <rFont val="Arial"/>
        <b val="0"/>
        <color theme="1"/>
        <sz val="10.0"/>
      </rPr>
      <t xml:space="preserve"> </t>
    </r>
    <r>
      <rPr>
        <rFont val="Arial"/>
        <b/>
        <color theme="1"/>
        <sz val="10.0"/>
      </rPr>
      <t>Ad-Hoc Multi Party Conference</t>
    </r>
  </si>
  <si>
    <t>MTR-29666</t>
  </si>
  <si>
    <t>The UE supports Ad-Hoc Multi Party Conference as specified in IR.92 section 2.3.3(for 4G-UEs) or NG.114 section 2.3.3 (for 5G-UEs).. Especially, the UE sends REFER method to conference server using existing session.</t>
  </si>
  <si>
    <t>MTR-30306</t>
  </si>
  <si>
    <t>For conference creation, the UE uses the standardized Conference Factory URI according to IR.92 (for 4G-UEs) or NG.114 (for 5G-UEs) and 3GPP TS23.003.</t>
  </si>
  <si>
    <t>Configured by CP</t>
  </si>
  <si>
    <t>MTR-29667</t>
  </si>
  <si>
    <t>The UE supports procedures for subscription to conference state events as specified in IR.92 section 2.3.3(for 4G-UEs) or NG.114 section 2.3.3 (for 5G-UEs). The events are shown to the customer in appropriate way.</t>
  </si>
  <si>
    <t>MTR-31028</t>
  </si>
  <si>
    <t>The UE sends the SUBSCRIBE to conference state events (see MTR-29667) outside the INVITE dialog between the UE and the conference server as described in IR.92 section 2.3.3(for 4G-UEs) or NG.114 section 2.3.3 (for 5G-UEs).</t>
  </si>
  <si>
    <t>MTR-29739</t>
  </si>
  <si>
    <t>The DTAG VoLTE solution for Ad-Hoc Multi Party Conference uses re-INVITE from the conference server towards the remote participant to notify of established conference (instead of new INVITE with Replaces header and closing the original session). The UE recognizes that it is a part of the conference from the Contact header in the re-INVITE, where “isfocus” tag is included. UE subscribes to the conference event state using the URI from this Contact header.</t>
  </si>
  <si>
    <t>MTR-31034</t>
  </si>
  <si>
    <t>A conference participant is not allowed to try to add or remove other participants to/from the conference.
NOTE: DTAG network does not allow conference participant adding or removing other participants, only the conference initiator is allowed to do this.</t>
  </si>
  <si>
    <t>MTR-31035</t>
  </si>
  <si>
    <t>It is not allowed to try to add any conference to another conference as specified in 3GPP TS 22.173 section 8.2.13.2.2.</t>
  </si>
  <si>
    <t>MTR-34130</t>
  </si>
  <si>
    <t>If the conference initator tries to add a conference particiant to an existing conference and the REFER is rejected by the network with SIP403, then the existing conference must remain unaffected. 
NOTE: DTAG network reject the request of adding a premium service (900) to the conference with SIP403, but this should not kill the already established conference</t>
  </si>
  <si>
    <t>MTR-39242</t>
  </si>
  <si>
    <t>The UE supports up to 6 participants allowed in a conference.</t>
  </si>
  <si>
    <t>MTR-32233</t>
  </si>
  <si>
    <r>
      <rPr>
        <rFont val="Arial"/>
        <b/>
        <color theme="1"/>
        <sz val="10.0"/>
      </rPr>
      <t>6.1.4.3.1.8</t>
    </r>
    <r>
      <rPr>
        <rFont val="Arial"/>
        <b val="0"/>
        <color theme="1"/>
        <sz val="10.0"/>
      </rPr>
      <t xml:space="preserve"> </t>
    </r>
    <r>
      <rPr>
        <rFont val="Arial"/>
        <b/>
        <color theme="1"/>
        <sz val="10.0"/>
      </rPr>
      <t>Explicit Communication Transfer - Consultative</t>
    </r>
  </si>
  <si>
    <t>MTR-32234</t>
  </si>
  <si>
    <t>The procedures for the consultative transfer defined in IR.92 v10 section 2.3.11 (for 4G-UEs) or NG.114 section 2.3.3 (for 5G-UEs) are supported and enabled or disabled as defined in [TISD].</t>
  </si>
  <si>
    <t>MTR-36754</t>
  </si>
  <si>
    <t>When the user initiates a call transfer, the UE shall put the session towards the transfer target on hold by sending a Re-INVITE with flow parameter set to “sendonly”.</t>
  </si>
  <si>
    <t>MTR-37204</t>
  </si>
  <si>
    <t>When the user initiates a call transfer, the UE shall send an in-dialog REFER within the dialog towards the transferee using the Refer-To Header including a SIP URI (TEL URIs are not accepted) and a Replaces Header Field starting with a "?"
Note: According to RFC 3261 Header Fields in a SIP-URI always start with a "?"</t>
  </si>
  <si>
    <t>MTR-34131</t>
  </si>
  <si>
    <t>If Consultative ECT is enabled and the user has an active and a held call in place, then the integrated dialer (GUI) shall offer a trigger button to initiate the call transfer.</t>
  </si>
  <si>
    <t>MTR-36190</t>
  </si>
  <si>
    <t>The UE supports invoking ECT using 4 SEND as specified in 3GPP TS 22.030</t>
  </si>
  <si>
    <t>MTR-36191</t>
  </si>
  <si>
    <t>After the user has triggered the call transfer, he must be informed by an appropriate message about the successful/unsuccessful result of the transactian (call transferred / call cannot be transferred)</t>
  </si>
  <si>
    <t>MTR-36192</t>
  </si>
  <si>
    <t>Upon an unsuccessful call transfer attempt , the UE shall return to the call state that has been in place before ECT was triggered</t>
  </si>
  <si>
    <t>MTR-29637</t>
  </si>
  <si>
    <r>
      <rPr>
        <rFont val="Arial"/>
        <b/>
        <color theme="1"/>
        <sz val="10.0"/>
      </rPr>
      <t>6.1.4.3.2</t>
    </r>
    <r>
      <rPr>
        <rFont val="Arial"/>
        <b val="0"/>
        <color theme="1"/>
        <sz val="10.0"/>
      </rPr>
      <t xml:space="preserve"> </t>
    </r>
    <r>
      <rPr>
        <rFont val="Arial"/>
        <b/>
        <color theme="1"/>
        <sz val="10.0"/>
      </rPr>
      <t>Supplementary service configuration</t>
    </r>
  </si>
  <si>
    <t>MTR-31418</t>
  </si>
  <si>
    <t>The APN/DNN for home operator services can be preconfigured in the UE with the values defined in [TISD].</t>
  </si>
  <si>
    <t>MTR-33040</t>
  </si>
  <si>
    <t>The UE establishes the APN/DNN for home operator services on demand and closes it latest after 120s of inactivity as described in IR.92 section 4.3.1. or NG.114 section 4.5.1.3 .</t>
  </si>
  <si>
    <t>120s for HOS</t>
  </si>
  <si>
    <t>MTR-29937</t>
  </si>
  <si>
    <t>The APN/DNN used for XCAP in 5G/4G/3G/2G access can be preconfigured in the UE as described in IR.92 section 4.3.1. or NG.114 section 4.5.1.3.
For DTAG the name and the dedicated configuration values are defined in [TISD].</t>
  </si>
  <si>
    <t>MTR-29654</t>
  </si>
  <si>
    <t>The UE supports supplementary service configuration via XML Configuration Access Protocol (XCAP) at Ut interface as described in IR.92 version 10 section 2.3.2 (for 4G-UEs) or NG.114 section 2.3.2 (for 5G-UEs).</t>
  </si>
  <si>
    <t>MTR-29711</t>
  </si>
  <si>
    <t>The UE constructs the XCAP Root URI as defined in 3GPP TS 23.003 and IR.92 section 2.3.2 (for 4G-UEs) or NG.114 section 2.3.2 (for 5G-UEs).
NOTE: DTAG does not plan to configure the XCAP Root URI and according to IR.92 the above is the default behaviour.</t>
  </si>
  <si>
    <t>MTR-29712</t>
  </si>
  <si>
    <t>The UE uses the IMS default public user identity for XCAP user identity as described in IR.92 section 2.3.2 (for 4G-UEs) or NG.114 section 2.3.2 (for 5G-UEs).</t>
  </si>
  <si>
    <t>MTR-30716</t>
  </si>
  <si>
    <t>When there is not default public user identity available, the UE uses the temporary public user identity derived from the IMSI as XCAP User Identity as defined in IR.92 section 2.3.2 (for 4G-UEs) or NG.114 section 2.3.2 (for 5G-UEs).</t>
  </si>
  <si>
    <t>MTR-32553</t>
  </si>
  <si>
    <t>The UE supports the AccessForXCAP parameter as specified in 3GPP TS 24.424. and described in IR.51 annex B.2 and IR.92 annex C.3 and NG.114 annex C3</t>
  </si>
  <si>
    <t>MTR-33037</t>
  </si>
  <si>
    <t>If the AccessForXCAP parameter is supported it is configured with the value defined in [TISD]</t>
  </si>
  <si>
    <t>MTR-30596</t>
  </si>
  <si>
    <t>If service setting management via XCAP fails with 403 Forbidden response as described in IR.92 section A.4, the UE shall manage the settings in CS domain and retry XCAP after a power off/power on. If other error responses trigger this behaviour, please list them in "Comments Vendor".</t>
  </si>
  <si>
    <t>MTR-32222</t>
  </si>
  <si>
    <t>The UE must not remove a &lt;rule&gt; element of a supplementary service profiled in simservs.xml document as described in IR.92 version 10 section 2.3.2 (for 4G-UEs) or NG.114 section 2.3.2 (for 5G-UEs).</t>
  </si>
  <si>
    <t>MTR-29719</t>
  </si>
  <si>
    <t>The GSM codes defined in 3GPP TS 22.030 are mapped to appropriate XCAP/Ut operations, e.g. #21#, cancel unconditional call forwarding. If this is not supported, please clarify in "Comments Vendor", what happens if the user dials a GSM code.</t>
  </si>
  <si>
    <t>MTR-32780</t>
  </si>
  <si>
    <t>If the user dials ##002# then the UE shall erase all CFD services by setting the dedicated rulesets to rule-deactivated and the &lt;target&gt; child element with empty string. 
Note: according to IR.92 the UE must modify at most one &lt;rule&gt; element of the supplementary service per XCAP request.</t>
  </si>
  <si>
    <t>MTR-32781</t>
  </si>
  <si>
    <t>If the user dials ##004# then the UE shall erase all conditional CFD services by setting the dedicated rulesets to rule-deactivated and the &lt;target&gt; child element with empty string.
Note: according to IR.92 the UE must modify at most one &lt;rule&gt; element of the supplementary service per XCAP request.</t>
  </si>
  <si>
    <t>MTR-30599</t>
  </si>
  <si>
    <r>
      <rPr>
        <rFont val="Arial"/>
        <b/>
        <color theme="1"/>
        <sz val="10.0"/>
      </rPr>
      <t>6.1.4.4</t>
    </r>
    <r>
      <rPr>
        <rFont val="Arial"/>
        <b val="0"/>
        <color theme="1"/>
        <sz val="10.0"/>
      </rPr>
      <t xml:space="preserve"> </t>
    </r>
    <r>
      <rPr>
        <rFont val="Arial"/>
        <b/>
        <color theme="1"/>
        <sz val="10.0"/>
      </rPr>
      <t>USSI</t>
    </r>
  </si>
  <si>
    <t>MTR-29717</t>
  </si>
  <si>
    <t>UE initiated USSD over IMS (USSI) according to GSMA NG.101; GSM IR.92v12 Annex D and 3GPP TS 24.390 (release 12) is supported and enabled or disabled as defined in [TISD].
Note: The USSD Procedures shall be applied for all other codes than GSM codes defined in 3GPP TS 22.030 i.e. DTAG proprietary USSD codes (e.g. *135# to query own phone number)</t>
  </si>
  <si>
    <t>MTR-33042</t>
  </si>
  <si>
    <t>Network initiated USSD over IMS (USSI) according to GSMA NG.101, GSM IR.92v12 Annex D and 3GPP TS24.390 (Rel. 12) is supported by the UE and enabled or disabled as defined in [TISD].
Note: for the time being this is a nice to have feature, as we currently have no use case in our network.</t>
  </si>
  <si>
    <t>MTR-32551</t>
  </si>
  <si>
    <t>When the UE attempts to deliver the USSD request using IMS and receives a 404 (Not Found) response to the INVITE request, the UE shall determine that the attempt fails due to missing network support. In this case the UE shall attempt to deliver the USSD request using the CS domain (if available) as specified in 3GPP TS 24.390 and 3GPP TS 23.221 since Rel12 and IR.92 v11 A.9</t>
  </si>
  <si>
    <t>MTR-31617</t>
  </si>
  <si>
    <r>
      <rPr>
        <rFont val="Arial"/>
        <b/>
        <color theme="1"/>
        <sz val="10.0"/>
      </rPr>
      <t>6.1.4.5</t>
    </r>
    <r>
      <rPr>
        <rFont val="Arial"/>
        <b val="0"/>
        <color theme="1"/>
        <sz val="10.0"/>
      </rPr>
      <t xml:space="preserve"> </t>
    </r>
    <r>
      <rPr>
        <rFont val="Arial"/>
        <b/>
        <color theme="1"/>
        <sz val="10.0"/>
      </rPr>
      <t>VoLTE</t>
    </r>
  </si>
  <si>
    <t>MTR-36129</t>
  </si>
  <si>
    <r>
      <rPr>
        <rFont val="Arial"/>
        <b/>
        <color theme="1"/>
        <sz val="10.0"/>
      </rPr>
      <t>6.1.4.5.1</t>
    </r>
    <r>
      <rPr>
        <rFont val="Arial"/>
        <b val="0"/>
        <color theme="1"/>
        <sz val="10.0"/>
      </rPr>
      <t xml:space="preserve"> </t>
    </r>
    <r>
      <rPr>
        <rFont val="Arial"/>
        <b/>
        <color theme="1"/>
        <sz val="10.0"/>
      </rPr>
      <t>VoLTE Implementation Guidelines</t>
    </r>
  </si>
  <si>
    <t>MTR-29921</t>
  </si>
  <si>
    <t>The Voice_Domain_Preference_E_UTRAN defined in 3GPP TS 24.167 section 5.27, shall be configured for VoLTE UEs as defined in [TISD]</t>
  </si>
  <si>
    <t>MTR-30301</t>
  </si>
  <si>
    <t>When requesting PDN Connectivity for VoLTE, the UE indicates to the network, that the attach is for SIP signalling by setting the IM CN Subsystem Signalling Flag as described in TS 24.229 Annex L.2.2.1.</t>
  </si>
  <si>
    <t>MTR-36757</t>
  </si>
  <si>
    <t>When the UE requests a PDN Connectivity Request for VoLTE and receives a PDN Connectivity Reject with Cause #33 in which the back-off timer (T3396) and the SM_RetryWaitTime is not available, then it starts a new PDN Connectivity Request after a default time of 12 min as defined in 3GPP 24.301 (Rel. 12).</t>
  </si>
  <si>
    <t>MTR-29935</t>
  </si>
  <si>
    <t>The UE uses the well-known IMS APN for SIP signalling as defined in IR.92 section 4.3.1 and IR.51 section 4.6 and IR.88. For DTAG the name and the dedicated configuration values are defined in [TISD].
NOTE: Generic usage of APN is described in section 2. Network Access.</t>
  </si>
  <si>
    <t>MTR-29936</t>
  </si>
  <si>
    <t>When requesting PDN Connectivity for the well-known IMS APN (during attach request or in later phases), the UE uses the PDN type defined in [TISD] (as described in IR.92 section 5.1).</t>
  </si>
  <si>
    <t>MTR-39610</t>
  </si>
  <si>
    <t>The UE supports P-CSCF discovery via EPS procedures (i.e. PCO IE) as defined in IR.92 section 4.4 and configurated in [TISD].</t>
  </si>
  <si>
    <t>MTR-39420</t>
  </si>
  <si>
    <t>The UE shall prefer the IPv6 address type, if during PCSCF discovery procedure both IPv4 and IPv6 addresses are assigned by the network to the UE (as described in IR.92 section 5.1).</t>
  </si>
  <si>
    <t>MTR-29621</t>
  </si>
  <si>
    <t>The UE shall register to IMS for VoLTE (i.e. with MMTEL ICSI) if the response to the network attach provides IMS VoIP support indication from the networks described in IR.92 section 2.2.1.
NOTE: In other circumstances and if no other services need registration, the UE will not initiate any IMS registration at all. Registrations for other services might occur if applicable.</t>
  </si>
  <si>
    <t>MTR-30728</t>
  </si>
  <si>
    <r>
      <rPr>
        <rFont val="Arial"/>
        <b/>
        <color theme="1"/>
        <sz val="10.0"/>
      </rPr>
      <t>6.1.4.5.2</t>
    </r>
    <r>
      <rPr>
        <rFont val="Arial"/>
        <b val="0"/>
        <color theme="1"/>
        <sz val="10.0"/>
      </rPr>
      <t xml:space="preserve"> </t>
    </r>
    <r>
      <rPr>
        <rFont val="Arial"/>
        <b/>
        <color theme="1"/>
        <sz val="10.0"/>
      </rPr>
      <t>VoLTE Roaming</t>
    </r>
  </si>
  <si>
    <t>MTR-32880</t>
  </si>
  <si>
    <t>VoLTE Roaming is supported.
i.e. IF LTE Roaming is supported and the VPMN sends the VoPS indication to the UE during attach, then the UE tries to establish a PDN connection to the well-known IMS APN.
Note: The visited MME resolves the APN based on the user profile received from HPMN HSS. The user profile indicates whether the APN is to be routed home (S8HR) or locally (LBO). DTAG focuses on S8HR.</t>
  </si>
  <si>
    <t>MTR-32881</t>
  </si>
  <si>
    <t>The support of VoLTE Roaming (according to MTR-32880) can be enabled or disabled via [TISD]</t>
  </si>
  <si>
    <t>MTR-31388</t>
  </si>
  <si>
    <t>When VoLTE roaming cannot be established (e.g. because of missing roaming agreement, see MTR-32880), the UE nevertheless uses the VoLTE mechanism for supplementary service settings management via the APN for XCAP (see MTR-29937).</t>
  </si>
  <si>
    <t>MTR-38820</t>
  </si>
  <si>
    <t>When VoLTE roaming cannot be established (e.g. the VPMN does not send the VoPS indication to the UE during attach) and the UE is in EPS attached mode (not combined attached), the "voice centric" terminal shall disable its E-UTRA capability and shall proceed as described in 3GPP 24.301 section 4.5.</t>
  </si>
  <si>
    <t>MTR-33214</t>
  </si>
  <si>
    <t>VoLTE emergency calls (see section 6.1.5.2) are supported in roaming scenarios, i.e. the emergency call is established in the visited network(LBO). The device performs domain selection for emergency call based on the emergency service support indicator received during attach from the visited network.</t>
  </si>
  <si>
    <t>MTR-33215</t>
  </si>
  <si>
    <t>The configuration parameter Media_type_restriction_policy defined in IR.92 section C.3 with Roaming leaf defined in 24.167 section 5.48 is supported. The value corresponds to the [TISD] setting in MTR-32881.</t>
  </si>
  <si>
    <t>Config in AP existing configs, e.g., VOICE_OVER_LTE, VIDEO_OVER_LTE</t>
  </si>
  <si>
    <t>MTR-33216</t>
  </si>
  <si>
    <t>When roaming, the UE sets the “phone-context” parameter according to "home-local number" (see also MTR-32452).</t>
  </si>
  <si>
    <t>MTR-33218</t>
  </si>
  <si>
    <t>The UE supports the configuration parameter Allow_Handover_PDN_connection_WLAN_and_EPS defined in 3GPP TS 24.167. The value is configured via[TISD]. The TDG value is 2.
NOTE: GSMA RILTE is currently discussing adding this parameter to IR.51</t>
  </si>
  <si>
    <t>MTR-33219</t>
  </si>
  <si>
    <t>If VoLTE – VoWiFi handover is not allowed when roaming, see MTR-33218, the UE does not initiate handover. It will, however, establish a new connection over LTE/WiFi according to the local policies, e.g. in case of “WiFi preferred” and WiFi becomes available. If there is an ongoing call, the UE waits for it to finish before establishing new connection, otherwise the call would break.</t>
  </si>
  <si>
    <t>MTR-33764</t>
  </si>
  <si>
    <t>If an initial registration within a certain PLMN (used in a roaming scenario) has been rejected with SIP error 403 (without retry after time), the UE shall in case of change to a PLMN, where the pre-requisites to register for VoLTE (according to bullets 2, 3, 4, 5 and 6 in section L.3.1.2 of 3GPP TS24.229) are fulfilled, perform a new initial registration attempt in that PLMN.</t>
  </si>
  <si>
    <t>MTR-36124</t>
  </si>
  <si>
    <r>
      <rPr>
        <rFont val="Arial"/>
        <b/>
        <color theme="1"/>
        <sz val="10.0"/>
      </rPr>
      <t>6.1.4.6</t>
    </r>
    <r>
      <rPr>
        <rFont val="Arial"/>
        <b val="0"/>
        <color theme="1"/>
        <sz val="10.0"/>
      </rPr>
      <t xml:space="preserve"> </t>
    </r>
    <r>
      <rPr>
        <rFont val="Arial"/>
        <b/>
        <color theme="1"/>
        <sz val="10.0"/>
      </rPr>
      <t>VoWiFi - WiFi Calling</t>
    </r>
  </si>
  <si>
    <t>MTR-31415</t>
  </si>
  <si>
    <r>
      <rPr>
        <rFont val="Arial"/>
        <b/>
        <color theme="1"/>
        <sz val="10.0"/>
      </rPr>
      <t>6.1.4.6.1</t>
    </r>
    <r>
      <rPr>
        <rFont val="Arial"/>
        <b val="0"/>
        <color theme="1"/>
        <sz val="10.0"/>
      </rPr>
      <t xml:space="preserve"> </t>
    </r>
    <r>
      <rPr>
        <rFont val="Arial"/>
        <b/>
        <color theme="1"/>
        <sz val="10.0"/>
      </rPr>
      <t>WiFi Calling Implementation Guidelines</t>
    </r>
  </si>
  <si>
    <t>MTR-31701</t>
  </si>
  <si>
    <t>When attaching to WiFi Calling, the UE performs IMS registration as specified in IR.51.</t>
  </si>
  <si>
    <t>MTR-31419</t>
  </si>
  <si>
    <r>
      <rPr>
        <rFont val="Arial"/>
        <color theme="1"/>
        <sz val="10.0"/>
      </rPr>
      <t>When in home network, the UE shall derive the</t>
    </r>
    <r>
      <rPr>
        <rFont val="Arial"/>
        <b/>
        <color theme="1"/>
        <sz val="10.0"/>
      </rPr>
      <t xml:space="preserve"> FQDN used as ePDG address based on the home operator identity</t>
    </r>
    <r>
      <rPr>
        <rFont val="Arial"/>
        <color theme="1"/>
        <sz val="10.0"/>
      </rPr>
      <t xml:space="preserve"> stored in the SIM card as specified in IR.51, NG.115 and in 3GPP TS 23.003: 
epdg.epc.mnc&lt;MNC&gt;.mcc&lt;MCC&gt;.pub.3gppnetwork.org</t>
    </r>
  </si>
  <si>
    <t>VoWiFi, Vo5G</t>
  </si>
  <si>
    <t>MTR-36755</t>
  </si>
  <si>
    <t>The 5GSA capable UE is configured to support ePDG FQDNs Construction as specified in TS23.502 section 4.11.4.3</t>
  </si>
  <si>
    <t>MTR-36758</t>
  </si>
  <si>
    <t>The 5GC NAS capable UE indicates its support of 5GC NAS in IKEv2, by including the "N1_MODE_CAPABILITY Notify" payload as defined in 3GPP TS24.302 subclause 8.2.9.15 and 7.2.2  in the [IKE_AUTH Request] message.</t>
  </si>
  <si>
    <t>Not comply as for now.</t>
  </si>
  <si>
    <t>MTR-36756</t>
  </si>
  <si>
    <r>
      <rPr>
        <rFont val="Arial"/>
        <b/>
        <color theme="1"/>
        <sz val="10.0"/>
      </rPr>
      <t>VoWifi via N3IWF</t>
    </r>
    <r>
      <rPr>
        <rFont val="Arial"/>
        <b val="0"/>
        <color theme="1"/>
        <sz val="10.0"/>
      </rPr>
      <t xml:space="preserve"> is supported by the 5GSA capable UE according to NG.115 and enabled or disabled as defined in [TISD] (default=disabled).</t>
    </r>
  </si>
  <si>
    <t>MTR-31420</t>
  </si>
  <si>
    <t>When roaming, the UE shall use the ePDG address based on the home operator identity (see MTR-31419).</t>
  </si>
  <si>
    <t>MTR-31421</t>
  </si>
  <si>
    <t>The UE establishes the connection to the ePDG as specified in IR.51 and NG.115.</t>
  </si>
  <si>
    <t>MTR-37941</t>
  </si>
  <si>
    <t>The UE uses the profile of Internet Key Exchange version 2 (IKEv2) as specified in 3GPP TS 33.402 [9] when establishing a connection to ePDG</t>
  </si>
  <si>
    <t>MTR-37943</t>
  </si>
  <si>
    <r>
      <rPr>
        <rFont val="Arial"/>
        <color theme="1"/>
        <sz val="10.0"/>
      </rPr>
      <t xml:space="preserve">In the [IKE_SA_INIT] message of the IKEv2 handshake the UE offers a list of supported </t>
    </r>
    <r>
      <rPr>
        <rFont val="Arial"/>
        <b/>
        <color theme="1"/>
        <sz val="10.0"/>
      </rPr>
      <t>Encryption Algorithms</t>
    </r>
    <r>
      <rPr>
        <rFont val="Arial"/>
        <color theme="1"/>
        <sz val="10.0"/>
      </rPr>
      <t>. Proposal 1 must contain all transform-type-1: Encryption Algorithms which are marked "mandatory" in [TISD] but is not restricted to them.
Note: In order to be future proofed, the UE should also include the algorithms marked "recommended" in the [TISD], if available.</t>
    </r>
  </si>
  <si>
    <t>Support:
ENCRYPTION_ALGORITHM_3DES,
ENCRYPTION_ALGORITHM_AES_CBC,
ENCRYPTION_ALGORITHM_AES_CTR,
ENCRYPTION_ALGORITHM_AES_GCM_8,
ENCRYPTION_ALGORITHM_AES_GCM_12,
ENCRYPTION_ALGORITHM_AES_GCM_16,
ENCRYPTION_ALGORITHM_CHACHA20_POLY1305</t>
  </si>
  <si>
    <t>MTR-37945</t>
  </si>
  <si>
    <r>
      <rPr>
        <rFont val="Arial"/>
        <color theme="1"/>
        <sz val="10.0"/>
      </rPr>
      <t xml:space="preserve">In the [IKE_SA_INIT] message of the IKEv2 handshake the UE offers a list of supported </t>
    </r>
    <r>
      <rPr>
        <rFont val="Arial"/>
        <b/>
        <color theme="1"/>
        <sz val="10.0"/>
      </rPr>
      <t>Pseudo-random Function Algorithms</t>
    </r>
    <r>
      <rPr>
        <rFont val="Arial"/>
        <color theme="1"/>
        <sz val="10.0"/>
      </rPr>
      <t>. Proposal 1 must contain all transform-type-2: Pseudo-random Function</t>
    </r>
    <r>
      <rPr>
        <rFont val="Arial"/>
        <b/>
        <color theme="1"/>
        <sz val="10.0"/>
      </rPr>
      <t xml:space="preserve"> </t>
    </r>
    <r>
      <rPr>
        <rFont val="Arial"/>
        <color theme="1"/>
        <sz val="10.0"/>
      </rPr>
      <t>Algorithms which are marked "mandatory" in [TISD] but is not restricted to them.
Note: In order to be future proofed, the UE should also include the algorithms marked "recommended" in the [TISD], if available.</t>
    </r>
  </si>
  <si>
    <t>Support:
PSEUDORANDOM_FUNCTION_HMAC_SHA1,
PSEUDORANDOM_FUNCTION_AES128_XCBC,
PSEUDORANDOM_FUNCTION_SHA2_256,
PSEUDORANDOM_FUNCTION_SHA2_384,
PSEUDORANDOM_FUNCTION_SHA2_512,
PSEUDORANDOM_FUNCTION_AES128_CMAC</t>
  </si>
  <si>
    <t>MTR-37946</t>
  </si>
  <si>
    <r>
      <rPr>
        <rFont val="Arial"/>
        <color theme="1"/>
        <sz val="10.0"/>
      </rPr>
      <t xml:space="preserve">In the [IKE_SA_INIT] message of the IKEv2 handshake the UE offers a list of supported </t>
    </r>
    <r>
      <rPr>
        <rFont val="Arial"/>
        <b/>
        <color theme="1"/>
        <sz val="10.0"/>
      </rPr>
      <t>Integrity Algorithms</t>
    </r>
    <r>
      <rPr>
        <rFont val="Arial"/>
        <color theme="1"/>
        <sz val="10.0"/>
      </rPr>
      <t>. Proposal 1 must contain all transform-type-3: Integrity</t>
    </r>
    <r>
      <rPr>
        <rFont val="Arial"/>
        <b/>
        <color theme="1"/>
        <sz val="10.0"/>
      </rPr>
      <t xml:space="preserve"> </t>
    </r>
    <r>
      <rPr>
        <rFont val="Arial"/>
        <color theme="1"/>
        <sz val="10.0"/>
      </rPr>
      <t>Algorithms which are marked "mandatory" in [TISD] but is not restricted to them.
Note: In order to be future proofed, the UE should also include the algorithms marked "recommended" in the [TISD], if available.</t>
    </r>
  </si>
  <si>
    <t>Support:
INTEGRITY_ALGORITHM_NONE = 0
INTEGRITY_ALGORITHM_HMAC_SHA1_96 = 2
INTEGRITY_ALGORITHM_AES_XCBC_96 = 5
INTEGRITY_ALGORITHM_AES_CMAC_96 = 8
INTEGRITY_ALGORITHM_HMAC_SHA2_256_128 = 12
INTEGRITY_ALGORITHM_HMAC_SHA2_384_192 = 13
INTEGRITY_ALGORITHM_HMAC_SHA2_512_256 = 14</t>
  </si>
  <si>
    <t>MTR-37947</t>
  </si>
  <si>
    <r>
      <rPr>
        <rFont val="Arial"/>
        <color theme="1"/>
        <sz val="10.0"/>
      </rPr>
      <t xml:space="preserve">In the [IKE_SA_INIT] message of the IKEv2 handshake the UE offers a list of supported </t>
    </r>
    <r>
      <rPr>
        <rFont val="Arial"/>
        <b/>
        <color theme="1"/>
        <sz val="10.0"/>
      </rPr>
      <t>Diffie-Hellman Groups</t>
    </r>
    <r>
      <rPr>
        <rFont val="Arial"/>
        <color theme="1"/>
        <sz val="10.0"/>
      </rPr>
      <t>. Proposal 1 must contain all transform-type-4: Diffie-Hellman Groups which are marked "mandatory" in [TISD] but is not restricted to them.
Note: In order to be future proofed, the UE should also include the Diffie-Hellman Groups marked "recommended" in the [TISD], if available.</t>
    </r>
  </si>
  <si>
    <t>Support:
DH_GROUP_1024_BIT_MODP,
DH_GROUP_1536_BIT_MODP,
DH_GROUP_2048_BIT_MODP,
DH_GROUP_3072_BIT_MODP,
DH_GROUP_4096_BIT_MODP,
DH_GROUP_CURVE_25519</t>
  </si>
  <si>
    <t>MTR-37948</t>
  </si>
  <si>
    <t>In the Type Payload "Key Exchange" of the first IKE_SA_INIT request the UE must already send key material based on a DH group, which is defined in [TISD]</t>
  </si>
  <si>
    <t>MTR-31853</t>
  </si>
  <si>
    <t>The UE supports rekeying as described in IR.51 section 4.4.</t>
  </si>
  <si>
    <t>MTR-32102</t>
  </si>
  <si>
    <t>The UE supports the rekeying timer with a default value not bigger than the value defined in the Deutsche Telekom International Settings Document [TISD].</t>
  </si>
  <si>
    <t>Set the timer to 18 hrs per TISD.</t>
  </si>
  <si>
    <t>MTR-36193</t>
  </si>
  <si>
    <t>The UE supports fast re-authentication as described in IR.51 section 4.4.</t>
  </si>
  <si>
    <t>Support but disabled as the feature is under internal verification, please discuss with Google TAM for feature enablement plans if the feature is deployed in live network.</t>
  </si>
  <si>
    <t>MTR-32332</t>
  </si>
  <si>
    <t>UE shall support error types (codes) defined in 3GPP TS 24.302 Release 13 Section 8.1.2 table 8.1.2.2-1 describing error notifications while negotiating an IKEv2 SA for the PDN connection to the APN requested by the UE.</t>
  </si>
  <si>
    <t>MTR-31422</t>
  </si>
  <si>
    <t>If the UE does not receive a response to an initial IKEv2 message sent towards an IP address of the selected ePDG, than the UE shall repeat the ePDG selection, excluding the not responding ePDG, as described in IR.51 and 3GPP TS 24.302.</t>
  </si>
  <si>
    <t>MTR-32552</t>
  </si>
  <si>
    <t>In case of failures in establishing the tunnel with the ePDG the UE should apply a retry mechanism with a retry waiting timer randomized and of increasing time up to 12 h.</t>
  </si>
  <si>
    <t>iwlan.max_retries_int:Default 3 times</t>
  </si>
  <si>
    <t>MTR-31423</t>
  </si>
  <si>
    <t>The UE supports the procedures for P-CSCF discovery via EPC via WLAN, as described in IR.51 section 4.9 and the Release 13 version of 3GPP TS 24.229 section R.2.2.1 section 4.9 method IV.</t>
  </si>
  <si>
    <t>MTR-32094</t>
  </si>
  <si>
    <t>When requesting the IPv4 and IPv6 P-CSCF addresses the UE uses the standardized ID values 20 and 21, respectively.</t>
  </si>
  <si>
    <t>MTR-31846</t>
  </si>
  <si>
    <t>The UE uses the received P-CSCF addresses in priority order as described in IR.51 section 4.9 and the Release 13 version of 3GPP TS 24.229 section R.2.2.1 method IV.</t>
  </si>
  <si>
    <t>MTR-31847</t>
  </si>
  <si>
    <t>The UE sends UDP keep-alive packets with default interval of 20s as described in RFC 3948 as described in IR.51 section 4.4.</t>
  </si>
  <si>
    <t>iwlan.natt_keep_alive_timer_sec_int=20s</t>
  </si>
  <si>
    <t>MTR-31424</t>
  </si>
  <si>
    <t>The UE supports the UE based Liveness Check Mechanism as described in IR.51. The default value for the UE interval, i.e LivenessCheckPeriod parameter, in IR.51 Table B.3.1 is 2 min. The network mechanism for updating the value is not required.
NOTE: The default value 2 min for the liveness check UE timer is part of IR.51 version 6.0.</t>
  </si>
  <si>
    <t>iwlan.dpd_timer_sec_int=120 Not support on liveness check to use the timer network provided.</t>
  </si>
  <si>
    <t>MTR-32103</t>
  </si>
  <si>
    <t>In WiFi the APN for home operator services (MTR-31418) is reached via ePDG and over untrusted WiFi.</t>
  </si>
  <si>
    <t>MTR-31417</t>
  </si>
  <si>
    <t>The APN used for XCAP over EPC integrated WiFi access can be preconfigured. For DTAG the value is defined in [TISD]. This can be either same or different than the APN for XCAP in LTE/3G/2G access (see MTR-29937), i.e. the settings are separate, as described in IR.51 section 4.6.</t>
  </si>
  <si>
    <t>MTR-31416</t>
  </si>
  <si>
    <t>The APN defined for home operator services in WiFi (MTR-31418) shall be used for MMS when the UE is using VoWifi access.</t>
  </si>
  <si>
    <t>MTR-31650</t>
  </si>
  <si>
    <t>When establishing the connection towards the ePDG, the APN is formatted according to the entry in [TISD].
Note: IR.51 section 4.7.4. requires to use ID_FQDN per default.</t>
  </si>
  <si>
    <t>MTR-31849</t>
  </si>
  <si>
    <t>If the attach to the “IMS” APN or “HOS” APN fails, the UE behaves according to the error handling procedures standardized in RFC 5996. The UE does not stay permanently in a state, where it is repeating the attach attempts.</t>
  </si>
  <si>
    <t>MTR-32464</t>
  </si>
  <si>
    <t>The UE shall use an MTU size of at most 1406 bytes for the ePDG tunnel interface as otherwise VoWifi will not work reliably in some Wifi hotspots. 
Note: Deutsche Telekom, for example, has several thousand public Wifi hotspots which use a similar MTU size and which discard packets over this size.</t>
  </si>
  <si>
    <t>Default size used is 1280 bytes</t>
  </si>
  <si>
    <t>MTR-31634</t>
  </si>
  <si>
    <t>For WiFi Calling services in domestic and roaming case three modes are offered, “Cellular Preferred” ”, "IMS Preferred" and “WiFi Preferred”. It shall be configurable via [TISD] which of the preferred modes (Cellular, IMS or WiFi) is used per default.
Note: If your answer is "Does not comply" or "Partialy complies" then please describe in column "Comments Vendor" which modes you not support.</t>
  </si>
  <si>
    <t>MTR-31637</t>
  </si>
  <si>
    <t>The default mode for WiFi Calling in domestic case is configurable according to [TISD] (TISD = telekom international settings document).</t>
  </si>
  <si>
    <t>MTR-31752</t>
  </si>
  <si>
    <t>The default mode for WiFi Calling in roaming case is configurable according to [TISD].</t>
  </si>
  <si>
    <t>MTR-31702</t>
  </si>
  <si>
    <t>In “WiFi Preferred” mode (see MTR-31634), the UE shall use WiFi access for Calls, SMS, MMS and supplementary service settings modifications as soon as the WiFi signal is available.</t>
  </si>
  <si>
    <t>MTR-32042</t>
  </si>
  <si>
    <t>In WiFi preferred CONNECTED MODE, if no LTE coverage is available for a handover, the UE shall stay in WiFi and continue the call until out of WiFi coverage.
NOTE: The UE must not drop call nor de-register due to low WiFi signal conditions, it shall stay until WiFi is no longer available. This may happen typically in underground areas.</t>
  </si>
  <si>
    <t>MTR-31703</t>
  </si>
  <si>
    <t>In “Cellular Preferred” mode (see MTR-31634), the UE shall use WiFi for Calls, SMS, MMS and supplementary service settings modifications only when the cellular signal is not available.</t>
  </si>
  <si>
    <t>MTR-33811</t>
  </si>
  <si>
    <t>In "IMS Preferred mode (see MTR-31634), the UE shall use 2G/3G for Calls SMS, MMS and supplementary service settings modification only when LTE (4G) and WiFi signals are not available. LTE is chosen when both LTE and WiFi are available.</t>
  </si>
  <si>
    <t>MTR-39421</t>
  </si>
  <si>
    <t>A 5G SA capable UE in "IMS Preferred" mode (see MTR-31634), tries to attach to an access network according following prioritisation:
 1. 5G/4G
 2. WiFi
 3. 2G/3G</t>
  </si>
  <si>
    <t>Need to be confirm supported from QNS side.</t>
  </si>
  <si>
    <t>MTR-32035</t>
  </si>
  <si>
    <t>Any handover process prepared and initiated by the network shall not be interrupted nor cancelled by the UE.</t>
  </si>
  <si>
    <t>MTR-32043</t>
  </si>
  <si>
    <t>To avoid ping-pong between LTE and WiFi, the UE will implement a hysteresis by means of RSSI offset, timer with several seconds, internal hysteresis, measurement interval before initiating the handover from WiFi to LTE.</t>
  </si>
  <si>
    <t>MTR-32232</t>
  </si>
  <si>
    <t>In so-called "WiFi Only" scenarios (e.g. indoor, underground, basement, flight mode where only WiFi is available) where only WiFi access is available, WiFi Calling shall be possible, i.e. registration, establishment, call. In ”WiFi Only” mode a running call shall continue until out of WiFi coverage.
NOTE: ”WiFi Only” mode is not a separate profile, it is not a specific definition nor a separate requirement for WiFi calling. Furthermore, it is not a separate mode the user can choose in the menu for WiFi call operations. It is just a state of the device because no other bearer than WiFi is available at that time. The terminal can be in either “Cellular Preferred” or “WiFi Preferred mode”, this has no impact on the behaviour.
In “WiFi Only” mode WiFi is used 
- regardless of the WiFi signal strength and
- regardless of availability of cellular network.</t>
  </si>
  <si>
    <t>MTR-36740</t>
  </si>
  <si>
    <r>
      <rPr>
        <rFont val="Arial"/>
        <b/>
        <color theme="1"/>
        <sz val="10.0"/>
      </rPr>
      <t>6.1.4.7</t>
    </r>
    <r>
      <rPr>
        <rFont val="Arial"/>
        <b val="0"/>
        <color theme="1"/>
        <sz val="10.0"/>
      </rPr>
      <t xml:space="preserve"> </t>
    </r>
    <r>
      <rPr>
        <rFont val="Arial"/>
        <b/>
        <color theme="1"/>
        <sz val="10.0"/>
      </rPr>
      <t>IMS Voice over 5G</t>
    </r>
  </si>
  <si>
    <t>MTR-36741</t>
  </si>
  <si>
    <r>
      <rPr>
        <rFont val="Arial"/>
        <b/>
        <color theme="1"/>
        <sz val="10.0"/>
      </rPr>
      <t xml:space="preserve">VoNR </t>
    </r>
    <r>
      <rPr>
        <rFont val="Arial"/>
        <b val="0"/>
        <color theme="1"/>
        <sz val="10.0"/>
      </rPr>
      <t>(as described in GSMA NG.114 Version 2.0) is supported by the 5GSA capable UE and enabled or disabled as defined in [TISD] (default=disabled).
Support is signaled in the [UE Capability Information] message with the IE [irat-ParametersNR-v1540]/[</t>
    </r>
    <r>
      <rPr>
        <rFont val="Arial"/>
        <b val="0"/>
        <i/>
        <color theme="1"/>
        <sz val="10.0"/>
      </rPr>
      <t>ims-VoiceOverNR-FR1-r15</t>
    </r>
    <r>
      <rPr>
        <rFont val="Arial"/>
        <b val="0"/>
        <color theme="1"/>
        <sz val="10.0"/>
      </rPr>
      <t>] as defined in 3GPP TS38.306 and TS38.331.</t>
    </r>
  </si>
  <si>
    <t>The feature will be default supported once SA is enabled</t>
  </si>
  <si>
    <t>MTR-36760</t>
  </si>
  <si>
    <r>
      <rPr>
        <rFont val="Arial"/>
        <color theme="1"/>
        <sz val="10.0"/>
      </rPr>
      <t xml:space="preserve">The 5GSA capable UE supports the </t>
    </r>
    <r>
      <rPr>
        <rFont val="Arial"/>
        <b/>
        <color theme="1"/>
        <sz val="10.0"/>
      </rPr>
      <t>EPS fallback procedure for IMS voice with N26 interface</t>
    </r>
    <r>
      <rPr>
        <rFont val="Arial"/>
        <color theme="1"/>
        <sz val="10.0"/>
      </rPr>
      <t xml:space="preserve"> as specified in section 4.13.6.1 of 3GPP TS 23.502, 3GPP TS 38.331 and 3GPP TS 38.413 .</t>
    </r>
  </si>
  <si>
    <t>MTR-36759</t>
  </si>
  <si>
    <t>The 5GSA capable UE performs the PDU session establishment to the IMS well-known APN/DNN as described in NG.114 section 4.9</t>
  </si>
  <si>
    <t>MTR-36743</t>
  </si>
  <si>
    <t>The UE supports the procedures for P-CSCF discovery via 5GS. These are described in Annex U.2.2.1 of 3GPP TS 24.229 , as option II for P-CSCF discovery. (See also: NG.114 section 4.7)</t>
  </si>
  <si>
    <t>MTR-36745</t>
  </si>
  <si>
    <t>When establishing a 5GS PDU session with a QoS flow used for SIP signaling, the UE shall indicate to the network, by setting the IM CN Subsystem Signalling Flag in the extended Protocol Configuration Options information element specified in 3GPP TS 24.501 [258] in the PDU SESSION ESTABLISHMENT REQUEST message, that the request is for SIP signalling. ( as described in TS 24.229 Annex U.2.2.1.)</t>
  </si>
  <si>
    <t>MTR-36742</t>
  </si>
  <si>
    <t>The UE shall register to IMS for Vo5G (i.e. with MMTEL ICSI), when the conditions for performing the IMS registration in bullets 2, 3, 4, 5, 6 and 7 in section U.3.1.2 of 3GPP TS24.229  are fulfilled.
NOTE: In particular if the IMSVoPS indicator, provided by the lower layers, does not indicate voice support (see bullet 5), the UE will not initiate an IMS registration at all. Registration for other services might occur if applicable.</t>
  </si>
  <si>
    <t xml:space="preserve">Compliant by chipset capability.
Requirement complies and set to Partially Complies first as SA/VoNR is disabled for product launch.
</t>
  </si>
  <si>
    <t>MTR-39424</t>
  </si>
  <si>
    <t>[Rel. 16] When the UE requests a IMS PDU SESSION for VoIMS and receives a [PDU SESSION ESTABLISHMENT REJECT] message without Back-off timer and with 5GSM cause value #8, "operator determined barring", #27 "missing or unknown DNN", #32 "service option not supported", #33 "requested service option not subscribed" or #70 "missing or unknown DNN in a slice" and no SM_RetryWaitTime is available, then the UE shall behave as described in 3GPP TS24.501 6.4.1.4, [Rel. 16] using the default value of 12 minutes for the back-off timer.</t>
  </si>
  <si>
    <t>MTR-39423</t>
  </si>
  <si>
    <t>When the UE requests a IMS PDU SESSION for VoIMS and receives a [PDU SESSION ESTABLISHMENT REJECT] message with cause #26"insufficient resources" but
without Back-off timer, the UE shall use the default value of 12 minutes for the back-off timer (except it is configured for high priority access in selected PLMN).</t>
  </si>
  <si>
    <t>MTR-36125</t>
  </si>
  <si>
    <r>
      <rPr>
        <rFont val="Arial"/>
        <b/>
        <color theme="1"/>
        <sz val="10.0"/>
      </rPr>
      <t>6.1.4.8</t>
    </r>
    <r>
      <rPr>
        <rFont val="Arial"/>
        <b val="0"/>
        <color theme="1"/>
        <sz val="10.0"/>
      </rPr>
      <t xml:space="preserve"> </t>
    </r>
    <r>
      <rPr>
        <rFont val="Arial"/>
        <b/>
        <color theme="1"/>
        <sz val="10.0"/>
      </rPr>
      <t>Interworking</t>
    </r>
  </si>
  <si>
    <t>MTR-29728</t>
  </si>
  <si>
    <r>
      <rPr>
        <rFont val="Arial"/>
        <b/>
        <color theme="1"/>
        <sz val="10.0"/>
      </rPr>
      <t>6.1.4.8.1</t>
    </r>
    <r>
      <rPr>
        <rFont val="Arial"/>
        <b val="0"/>
        <color theme="1"/>
        <sz val="10.0"/>
      </rPr>
      <t xml:space="preserve"> </t>
    </r>
    <r>
      <rPr>
        <rFont val="Arial"/>
        <b/>
        <color theme="1"/>
        <sz val="10.0"/>
      </rPr>
      <t>IMS Voice and CS co-existence</t>
    </r>
  </si>
  <si>
    <t>MTR-29893</t>
  </si>
  <si>
    <t>The UE supports both IMS based voice and CS voice. Service experience is seamless (i.e. no separate IMS call UI, shared phonebook for GSM telephone numbers as well as for SIP URIs, same handling of outgoing and incoming calls in front of the user).</t>
  </si>
  <si>
    <t>MTR-29897</t>
  </si>
  <si>
    <t>The UE takes the terminal based IMS Call Waiting setting into account on CS side as well, e.g. rejects the second call in case CW is disabled in the terminal, as described in IR.92 section A.8.
NOTE: The network settings for CW in CS domain are not synchronized with the local IMS settings. The terminal may then receive a second call via CS access even though the local IMS CW setting is off.</t>
  </si>
  <si>
    <t>MTR-29896</t>
  </si>
  <si>
    <t>The UE supports supplementary service configuration via XCAP also when UE is using CS access for voice as described in IR.92 section A.4.</t>
  </si>
  <si>
    <t>MTR-32460</t>
  </si>
  <si>
    <t>If the UE changes from PS to CS domain during call session setup for any reason and if it has already received a provisional response to the initial Invite and if neither bSRVCC nor aSRVCC has been triggered, then it shall cancel the ongoing IMS based call session setup before it leaves the PS domain and initiates a CS retry.</t>
  </si>
  <si>
    <t>MTR-31602</t>
  </si>
  <si>
    <r>
      <rPr>
        <rFont val="Arial"/>
        <b/>
        <color theme="1"/>
        <sz val="10.0"/>
      </rPr>
      <t>6.1.4.8.2</t>
    </r>
    <r>
      <rPr>
        <rFont val="Arial"/>
        <b val="0"/>
        <color theme="1"/>
        <sz val="10.0"/>
      </rPr>
      <t xml:space="preserve"> </t>
    </r>
    <r>
      <rPr>
        <rFont val="Arial"/>
        <b/>
        <color theme="1"/>
        <sz val="10.0"/>
      </rPr>
      <t>VoLTE and CS co-existence</t>
    </r>
  </si>
  <si>
    <t>MTR-29900</t>
  </si>
  <si>
    <t>The UE is configured to use CSFB (i.e. to perform combined EPS/IMSI attach when attaching to LTE).</t>
  </si>
  <si>
    <t>MTR-29895</t>
  </si>
  <si>
    <t>If the UE supports Idle Mode Signalling Reduction (ISR), it shall support ISR according to 3GPP Rel-9. Especially, it shall disable ISR for the purpose of T-ADS as described in IR.92 section A.2 and in 3GPP TS 23.401 and 3GPP TS 24.301.</t>
  </si>
  <si>
    <t>MTR-29819</t>
  </si>
  <si>
    <t>Single Radio Voice Call Continuity (SRVCC) is supported. Radio level requirements are described in section 2 Network Access.</t>
  </si>
  <si>
    <t>MTR-30616</t>
  </si>
  <si>
    <t>If the UE does not have connection to the well-known APN "IMS", the terminal uses voice calls via CSFB.</t>
  </si>
  <si>
    <t>MTR-31606</t>
  </si>
  <si>
    <t>The UE supports SRVCC in alerting phase (aSRVCC) as described in Release 10 version 3GPP TS 23.216, 23.237 and 24.237.</t>
  </si>
  <si>
    <t>MTR-32062</t>
  </si>
  <si>
    <t>The UE supports the SRVCC in pre-alerting phase (bSRVCC) as described in Release 12 version 3GPP TS 23.216, 23.237 and 24.237.</t>
  </si>
  <si>
    <t>MTR-32064</t>
  </si>
  <si>
    <t>MSC Server assisted mid-call feature during Access Transfer is supported as described in Release 10 version 3GPP 23.237 and 24.237 and enabled or disabled as defined in [TISD].</t>
  </si>
  <si>
    <t>MTR-31604</t>
  </si>
  <si>
    <r>
      <rPr>
        <rFont val="Arial"/>
        <b/>
        <color theme="1"/>
        <sz val="10.0"/>
      </rPr>
      <t>6.1.4.8.3</t>
    </r>
    <r>
      <rPr>
        <rFont val="Arial"/>
        <b val="0"/>
        <color theme="1"/>
        <sz val="10.0"/>
      </rPr>
      <t xml:space="preserve"> </t>
    </r>
    <r>
      <rPr>
        <rFont val="Arial"/>
        <b/>
        <color theme="1"/>
        <sz val="10.0"/>
      </rPr>
      <t>WiFi Calling and VoLTE co-existence</t>
    </r>
  </si>
  <si>
    <t>MTR-31557</t>
  </si>
  <si>
    <t>The UE supports seamless handover between VoLTE to WiFi Calling as described in IR.51 section 4.8.</t>
  </si>
  <si>
    <t>MTR-31912</t>
  </si>
  <si>
    <t>The UE supports IP address preservation and follows the handover procedures accordingly as specified in 3GPP TS 24.302.</t>
  </si>
  <si>
    <t>MTR-31425</t>
  </si>
  <si>
    <t>If moving the PDN connection to the APN "IMS" between WiFi and LTE due to handover, the UE initiates IMS re-registration procedure as described in IR.51 section 2.2.1.</t>
  </si>
  <si>
    <t>MTR-31561</t>
  </si>
  <si>
    <t>Seamless handover between two different WiFi accesses (MOBIKE) is supported and enabled or disabled as defined in [TISD]. 
NOTE: This feature is currently not planned to be supported by the DTAG network.</t>
  </si>
  <si>
    <t>We have no config to disable\enable MOBIKE, and the default is ON. In current design, UE will do handover from WiFi to LTE first when UE moves to a different Wi-Fi access if UE has a available cellular service.</t>
  </si>
  <si>
    <t>MTR-36127</t>
  </si>
  <si>
    <r>
      <rPr>
        <rFont val="Arial"/>
        <b/>
        <color theme="1"/>
        <sz val="10.0"/>
      </rPr>
      <t>6.1.4.8.4</t>
    </r>
    <r>
      <rPr>
        <rFont val="Arial"/>
        <b val="0"/>
        <color theme="1"/>
        <sz val="10.0"/>
      </rPr>
      <t xml:space="preserve"> </t>
    </r>
    <r>
      <rPr>
        <rFont val="Arial"/>
        <b/>
        <color theme="1"/>
        <sz val="10.0"/>
      </rPr>
      <t>Vo5GS - Interworking with other Voice Domains</t>
    </r>
  </si>
  <si>
    <t>MTR-36767</t>
  </si>
  <si>
    <r>
      <rPr>
        <rFont val="Arial"/>
        <color theme="1"/>
        <sz val="10.0"/>
      </rPr>
      <t xml:space="preserve">If the UE is configured to support VoNR then it should also support an </t>
    </r>
    <r>
      <rPr>
        <rFont val="Arial"/>
        <b/>
        <color theme="1"/>
        <sz val="10.0"/>
      </rPr>
      <t>handover of an active voice call from 5GS to EPS with N26 interface</t>
    </r>
    <r>
      <rPr>
        <rFont val="Arial"/>
        <color theme="1"/>
        <sz val="10.0"/>
      </rPr>
      <t xml:space="preserve"> as defined in 3GPP 23.502</t>
    </r>
  </si>
  <si>
    <t>MTR-39247</t>
  </si>
  <si>
    <t>The UE supports the handover procedures between EPC/ePDG and 5GS as defined in 3GPP 23.502 Section 4.11.4 .</t>
  </si>
  <si>
    <t>MTR-40156</t>
  </si>
  <si>
    <r>
      <rPr>
        <rFont val="Arial"/>
        <b/>
        <color theme="1"/>
        <sz val="10.0"/>
      </rPr>
      <t>6.1.4.9</t>
    </r>
    <r>
      <rPr>
        <rFont val="Arial"/>
        <b val="0"/>
        <color theme="1"/>
        <sz val="10.0"/>
      </rPr>
      <t xml:space="preserve"> </t>
    </r>
    <r>
      <rPr>
        <rFont val="Arial"/>
        <b/>
        <color theme="1"/>
        <sz val="10.0"/>
      </rPr>
      <t>IMS Voice Enhancements</t>
    </r>
  </si>
  <si>
    <t>MTR-40157</t>
  </si>
  <si>
    <r>
      <rPr>
        <rFont val="Arial"/>
        <color theme="1"/>
        <sz val="10.0"/>
      </rPr>
      <t>Real Time Text (RTT) as described in</t>
    </r>
    <r>
      <rPr>
        <rFont val="Arial"/>
        <b/>
        <color theme="1"/>
        <sz val="10.0"/>
      </rPr>
      <t xml:space="preserve"> </t>
    </r>
    <r>
      <rPr>
        <rFont val="Arial"/>
        <color theme="1"/>
        <sz val="10.0"/>
      </rPr>
      <t xml:space="preserve">IR.92 Annex B and NG.114 Annex B2 is supported and enabled or disabled as defined in [TISD]. 
</t>
    </r>
    <r>
      <rPr>
        <rFont val="Arial"/>
        <b/>
        <color theme="1"/>
        <sz val="10.0"/>
      </rPr>
      <t xml:space="preserve">Note: </t>
    </r>
    <r>
      <rPr>
        <rFont val="Arial"/>
        <color theme="1"/>
        <sz val="10.0"/>
      </rPr>
      <t xml:space="preserve"> Real Time Text is also referred to as  GTT-IP in IR.92 and NG.114</t>
    </r>
  </si>
  <si>
    <t>RTT will be enabled in MarQPR, JunQPR'25</t>
  </si>
  <si>
    <t>PMW-IMS</t>
  </si>
  <si>
    <t>MTR-40158</t>
  </si>
  <si>
    <t>The UE supports IMS Data Channel as described in IR.92 section 2.2.1, 2.2.4.1 and 3.8</t>
  </si>
  <si>
    <t>MTR-40159</t>
  </si>
  <si>
    <t>The UE supports IMS Data Channel as described in NG.114 section 2.2.1.8, 2.2.4.3 and 3.8</t>
  </si>
  <si>
    <t>MTR-29813</t>
  </si>
  <si>
    <r>
      <rPr>
        <rFont val="Arial"/>
        <b/>
        <color theme="1"/>
        <sz val="10.0"/>
      </rPr>
      <t>6.1.5</t>
    </r>
    <r>
      <rPr>
        <rFont val="Arial"/>
        <b val="0"/>
        <color theme="1"/>
        <sz val="10.0"/>
      </rPr>
      <t xml:space="preserve"> </t>
    </r>
    <r>
      <rPr>
        <rFont val="Arial"/>
        <b/>
        <color theme="1"/>
        <sz val="10.0"/>
      </rPr>
      <t>Emergency Calls</t>
    </r>
  </si>
  <si>
    <t>MTR-1157</t>
  </si>
  <si>
    <t>Any lock state of the device is overridden by the SOS-procedure.</t>
  </si>
  <si>
    <t>Voice, VoLTE, VoWiFi, Vo5G</t>
  </si>
  <si>
    <t>MTR-1158</t>
  </si>
  <si>
    <t>It is always possible to set up emergency call (e.g. even during ongoing packet connection, which maybe then suspended, and resumed after the emergency call).</t>
  </si>
  <si>
    <t>MTR-33029</t>
  </si>
  <si>
    <t>The flight mode is overridden by the emergency call procedure without user acceptance.</t>
  </si>
  <si>
    <t>MTR-1156</t>
  </si>
  <si>
    <t>Emergency Calls are supported without a SIM/USIM being inserted.</t>
  </si>
  <si>
    <t>MTR-1153</t>
  </si>
  <si>
    <r>
      <rPr>
        <rFont val="Arial"/>
        <b/>
        <color theme="1"/>
        <sz val="10.0"/>
      </rPr>
      <t>6.1.5.1</t>
    </r>
    <r>
      <rPr>
        <rFont val="Arial"/>
        <b val="0"/>
        <color theme="1"/>
        <sz val="10.0"/>
      </rPr>
      <t xml:space="preserve"> </t>
    </r>
    <r>
      <rPr>
        <rFont val="Arial"/>
        <b/>
        <color theme="1"/>
        <sz val="10.0"/>
      </rPr>
      <t>CS Emergency Calls</t>
    </r>
  </si>
  <si>
    <t>MTR-19439</t>
  </si>
  <si>
    <t>Emergency Calls are supported according to relevant 3GPP specifications.</t>
  </si>
  <si>
    <t>MTR-1154</t>
  </si>
  <si>
    <t>The device supports Emergency Calls in all states according to 3GPP TS 22.030. This includes support of emergency call with SIM/USIM before the PIN is entered.</t>
  </si>
  <si>
    <t>MTR-1155</t>
  </si>
  <si>
    <t>The device supports Emergency Call including any relevant call number (e.g. 112 and 911) according to 3GPP TS 22.101 3.16 or higher.</t>
  </si>
  <si>
    <t>MTR-29729</t>
  </si>
  <si>
    <r>
      <rPr>
        <rFont val="Arial"/>
        <b/>
        <color theme="1"/>
        <sz val="10.0"/>
      </rPr>
      <t>6.1.5.2</t>
    </r>
    <r>
      <rPr>
        <rFont val="Arial"/>
        <b val="0"/>
        <color theme="1"/>
        <sz val="10.0"/>
      </rPr>
      <t xml:space="preserve"> </t>
    </r>
    <r>
      <rPr>
        <rFont val="Arial"/>
        <b/>
        <color theme="1"/>
        <sz val="10.0"/>
      </rPr>
      <t>IMS Emergency call</t>
    </r>
  </si>
  <si>
    <t>MTR-29730</t>
  </si>
  <si>
    <t>The UE supports VoLTE emergency service including Emergency SRVCC
as described in IR.92 section 5.2.</t>
  </si>
  <si>
    <t>MTR-36761</t>
  </si>
  <si>
    <t>The 5GSA capable UE supports the IMS emergency services as specified in 3GPP TS24.229 and Annex H of 3GPP TS23.167.</t>
  </si>
  <si>
    <t>MTR-36763</t>
  </si>
  <si>
    <t>The 5G SA capable UE supports the Emergency Services natively over 5GS as requested in NG.114 section 5.1.</t>
  </si>
  <si>
    <t>MTR-36762</t>
  </si>
  <si>
    <t>The 5GSA capable UE supports the Emergency Services with a handover and/or a redirection to an E-UTRAN cell at QoS Flow establishment for IMS Emergency Services as requested in NG.114 section 5.1</t>
  </si>
  <si>
    <t>MTR-36764</t>
  </si>
  <si>
    <t>The Emergency Services Fallback procedure as specified in 3GPP TS23.501 and 3GPP TS23.502 is supported by the 5G capable UE as requested in NG.114 section 5.1.</t>
  </si>
  <si>
    <t>MTR-36771</t>
  </si>
  <si>
    <t>The 5G SA capable UE shall initiate the Emergency Service according to the setting of the "Emergency Service Support Indicator" and the "Emergency Service Fallback Indicator" sent by the network to the UE in the Registration Accept message on per-TA-list and per-Rat basis as described in TS23.501 and TS23.502.</t>
  </si>
  <si>
    <t>MTR-39831</t>
  </si>
  <si>
    <t>When a 5G SA capable UE has determined that the emergency services fallback to S1-mode was successful, the UE shall disable the N1-mode capability.</t>
  </si>
  <si>
    <t>MTR-39833</t>
  </si>
  <si>
    <t>If the disabling of N1-mode capability for 3GPP access was due to successful completion of an emergency services fallback (see MTR-39831), the UE shall 
- re-enable the N1-mode capability after a reasonable time and 
- close the emergency PDN before returning to 5G
Note: fast return to 5G must be avoided. The UE should stay on 4G for a reasonable time to reduce the set up time for a subsequent 2nd emergency call and to ensure the completion of an ongoing positioning procedure by the 4G EPC.</t>
  </si>
  <si>
    <t>MTR-36766</t>
  </si>
  <si>
    <t>The UE supports SR-VCC for emergency session for handover from E-UTRAN connected to EPC as described in Annex A.5 of GSMA PRD IR.92 and in NG.114 section 5.1)</t>
  </si>
  <si>
    <t>MTR-36765</t>
  </si>
  <si>
    <t>When due to network rejection a back-off timer is running or the timer is deactivated, the UE is allowed to initiate an attach procedure or a PDN connectivity procedure or a PDU session
establishment procedure if the procedure is for emergency services as described in section 6.5.1.4 of 3GPP 24.301 and in section 6.4.1 of 3GPP 24.501</t>
  </si>
  <si>
    <t>MTR-29731</t>
  </si>
  <si>
    <t>The UE is able to detect if the network supports VoLTE emergency calls as described in IR.92 section A.5.</t>
  </si>
  <si>
    <t>MTR-29732</t>
  </si>
  <si>
    <t>The UE supports domain selection for emergency calls and reattempt in another domain if emergency call in one domain fails as described in IR.92 section A.5. and in NG.114)</t>
  </si>
  <si>
    <t>MTR-31840</t>
  </si>
  <si>
    <t>A UE that is not capable to authenticate with the IMS network (i.e. inbound without roaming agreement) shall not initiate IMS emergency registration, but instead immediately initiate an emergency session as defined in 3GPP TS 23.167.</t>
  </si>
  <si>
    <t>MTR-31841</t>
  </si>
  <si>
    <t>If the emergency registration fails with any error response or time-out, the UE shall establish an anonymous emergency call as specified in section 5.1.6.8.2 of 3GPP 24.229 (Release14 or later)</t>
  </si>
  <si>
    <t>MTR-32225</t>
  </si>
  <si>
    <t>In case of emergency registration time-out (see MTR-31841) the UE must support the &lt;emerg-reg&gt; timer defined in table 7.8.1 of 3GPP Rel. 14 TS24.229 and related procedures defined in section 5.1.6.1 of 3GPP Rel. 14 TS24.229. The &lt;emerg-reg&lt; timer parameter is configured with the value defined in the [TISD].</t>
  </si>
  <si>
    <t>MTR-32461</t>
  </si>
  <si>
    <t>If the IMS emergency call via E-UTRAN connected to EPC or via VoWifi fails with any error response or time-out, the UE initiates a CS emergency call.</t>
  </si>
  <si>
    <t>MTR-32462</t>
  </si>
  <si>
    <t>The UE shall support the "emerg-request" timer defined in TS 24.229 Table 7.8.1 and shall support the dedicated usage procedures defined in 3GPP TS24.229 clause 5.1.6.8.1. When this timer expires the UE shall retry the emergency call via CS as defined in 3GPP TS23.167 subclause 7.3.  
The "emerg-request" timer parameter is configured with the value defined in the [TISD].</t>
  </si>
  <si>
    <t>MTR-29734</t>
  </si>
  <si>
    <t>The UE supports a list of emergency numbers pre-configured on the SIM</t>
  </si>
  <si>
    <t>MTR-29735</t>
  </si>
  <si>
    <t>The UE supports handling of the Local Emergency Numbers list as described in 3GPP TS24.301 section 5.3.7 (Rel. 12 or higher).</t>
  </si>
  <si>
    <t>MTR-36400</t>
  </si>
  <si>
    <t>The UE supports handling of the Extended Local Emergency Numbers list as described in 3GPP TS24.301 section 5.3.7 (Rel. 15 or higher).</t>
  </si>
  <si>
    <t>MTR-30717</t>
  </si>
  <si>
    <t>When the UE receives a 380 response without emergency service information to a UE undetected Emergency Call (e.g. number 110 in Germany) and the domain selection selects a re-try in CS domain, the UE must initiate a normal CS call as described in recent changes to 3GPP Release 9 specifications.</t>
  </si>
  <si>
    <t>MTR-31887</t>
  </si>
  <si>
    <t>The UE reacts to the 380 response only if the 380 response contains a P-Asserted-Identity header field with a value equal to the value of the last entry of the Path header field value received during registration as described in 24.229 section 5.1.2A.1.1.</t>
  </si>
  <si>
    <t>MTR-32236</t>
  </si>
  <si>
    <t>If the UE receives a 380 (Alternative Service) response to an INVITE request and the response contains a 3GPP IM CN subsystem XML body that includes an &lt;ims-3gpp&gt; element, including a version attribute with an &lt;alternative-service&gt; child element with the &lt;type&gt; child element set to "emergency" then the UE shall select a domain in accordance with the conventions and rules specified in 3GPP TS22.101 [1A] and 3GPP TS23.167.</t>
  </si>
  <si>
    <t>MTR-35176</t>
  </si>
  <si>
    <t>If the domain selection in MTR-32236 results in CS domain, the UE follows the behaviour defined in subclause 7.1.2 of 3GPP TS23.167.</t>
  </si>
  <si>
    <t>MTR-35177</t>
  </si>
  <si>
    <t>If the domain selection in MTR-32236 results in VoLTE or Vo5G, the UE applies the emergency service procedures in 3GPP TS24.229 subclause 5.1.6</t>
  </si>
  <si>
    <t>MTR-35178</t>
  </si>
  <si>
    <t>If the domain selection in MTR-32236 results in VoWifi, the UE sets up an emergency session according to MTR-34140.</t>
  </si>
  <si>
    <t>MTR-35179</t>
  </si>
  <si>
    <t>If the UE receives a 380 (Alternative Service) response to an [Emergency Session Setup Request] according to 3GPP TS24.229 5.1.6.8 and the response contains a 3GPP IM CN subsystem XML body that includes an &lt;ims-3gpp&gt; element, including a version attribute, with an &lt;alternative-service&gt; child element with the &lt;type&gt; child element set to "emergency" and if the CS domain is available to the UE, and no prior attempt using the CS domain for the current emergency call attempt has been made, then the UE attempts emergency call via CS domain using appropriate access technology specific procedures.</t>
  </si>
  <si>
    <t>MTR-35180</t>
  </si>
  <si>
    <t>If the UE receives a 380 (Alternative Service) response to an [Emergency Session Setup Request] according to 3GPP TS24.229 5.1.6.8 and the response contains a 3GPP IM CN subsystem XML body that includes an &lt;ims-3gpp&gt; element, including a version attribute, with an &lt;alternative-service&gt; child element with the &lt;type&gt; child element set to "emergency" and if the CS domain is not available to the UE or the emergency call has already been attempted using the CS domain, then the UE performs one of the following actions
 - if the &lt;action&gt; child element of the &lt;alternative-service&gt; child element of the &lt;ims-3gpp&gt; element in the IM CN subsystem XML body is set to "emergency-registration", perform an initial emergency registration using a different VPLMN if available, as described in subclause 3GPP TS24.229 subclause 5.1.6.2 and if the new emergency registration succeeded, attempt an emergency call; or
 - perform implementation specific actions (to be described in "vendor comment").</t>
  </si>
  <si>
    <t>MTR-32518</t>
  </si>
  <si>
    <t>When initiating an IMS emergency session, the UE must conform to the requirements to convey its location, using the “Geolocation” header and the PIDF location object in the initial INVITE request, as specified in section 5.1.6.8.2 and section 5.1.6.8.3 of 3GPP TS 24.229 [5].</t>
  </si>
  <si>
    <t>MTR-31556</t>
  </si>
  <si>
    <t>When using WiFi calling, the UE must use cellular access if available, i.e. Vo5g, VoLTE or CS domain, for emergency call.</t>
  </si>
  <si>
    <t>MTR-34525</t>
  </si>
  <si>
    <t>When using WiFi Calling and the UE initiates an emergency call, it performs the cell selection by using stored information (Stored Information Cell Selection) as defined in 3GPP TS36.133 4.1. 
Note: Different cell selection procedures are possible (see also MTR-34526) but the Stored Information Cell Selection is DTs preferred one.</t>
  </si>
  <si>
    <t>MTR-34526</t>
  </si>
  <si>
    <t>When using WiFi calling and the UE initiates an emergency call, it performs the cell selection by using "Initial cell selection" as defined in 3GPP TS36.133 4.1. The UE shall accept any cell.</t>
  </si>
  <si>
    <t>MTR-34527</t>
  </si>
  <si>
    <t>If the cell selection (requested in MTR-34525 or MTR-34526) doesn´t find a cell within 5 sec the emergency call is send via WiFi Calling.</t>
  </si>
  <si>
    <t>MTR-33031</t>
  </si>
  <si>
    <t>When the UE is using WiFi calling in flight mode and if the UE receives a 380 (Alternative Service) response to an emergency session setup request, then the UE leaves the flightmode with or without user interaction and follows the procedures defined in MTR-35179 and MTR-35180.</t>
  </si>
  <si>
    <t>MTR-32915</t>
  </si>
  <si>
    <t>If the UE that initiates the emergency session has failed or has not been able to use cellular access to set up an emergency session (as requested in MTR-31556) it tries to establish a WiFi calling emergency session.</t>
  </si>
  <si>
    <t>MTR-32917</t>
  </si>
  <si>
    <t>The support of WiFi calling emergency sessions (as defined in MTR-32915) can be enabled or disabled as defined in [TISD].</t>
  </si>
  <si>
    <t>MTR-34140</t>
  </si>
  <si>
    <t>The UE supports establishing a WiFi calling emergency session by using the IMS-APN via IKEv2 tunnel to any home ePDG.</t>
  </si>
  <si>
    <t>MTR-34143</t>
  </si>
  <si>
    <t>The UE supports establishing a WiFi calling emergency session by using the procedures required in IR.51v6.0 section 5.3.</t>
  </si>
  <si>
    <t>MTR-34144</t>
  </si>
  <si>
    <t>The used mode of WiFi calling emergency session (according MTR-34140 or MTR-34143) can be configured as defined in [TISD]</t>
  </si>
  <si>
    <t>MTR-33284</t>
  </si>
  <si>
    <t>Before starting the emergency ePDG selection procedure the UE attempts to determine the country it is located in.
Note: The visited country is determined by implementation-specific methods which are up to the UE manufacturer.</t>
  </si>
  <si>
    <t>MTR-33285</t>
  </si>
  <si>
    <t>When the UE uses the procedures of MTR-34143 then it performs the emergency ePDG selection procedure based on its knowledge of the PLMN it is attached to as defined in section 4.5.4.4 and 4.5.4a.2 of 3GPP TS23.402.</t>
  </si>
  <si>
    <t>LAC/TAC based discovery is implemented but not enabled. In general we comply to the requirement. Some release14/15 requirements are not completely implemented.</t>
  </si>
  <si>
    <t>MTR-33286</t>
  </si>
  <si>
    <t>When the UE uses the procedures of MTR-34143 then it performs the emergency ePDG selection procedure without using the ePDG selection configuration data (the ePDG Emergency Identifier and the ePDG selection information defined in 3GPP TS23.402 section 4.5.4.3 and 4.5.4a.2), if this data is not configured within the UE or UICC or if UICC is not available.
Note: The ePDG selection configuration data will not be configured by Telekom Deutschland  within the UE or UICC.</t>
  </si>
  <si>
    <t>For emergency pdn, UE will use fqdn of format sos.epdg.epc.mnc&lt;MNC&gt;.mcc&lt;MCC&gt;.pub.3gppnetwork.org. Some release 14/15 requirements are not completely implemented (ex. section 4.5.4a.1)</t>
  </si>
  <si>
    <t>MTR-33287</t>
  </si>
  <si>
    <t>When making an emergency call over untrusted WLAN the UE must conform to the requirements to convey the most recent radio cell id, it has camped on, using the “Cellular-Network-Info” header in any SIP request or response of the emergency call dialog that contains the PANI header as specified in section 7.2.15 of 3GPP TS 24.229 [Rel.14]</t>
  </si>
  <si>
    <t>MTR-39801</t>
  </si>
  <si>
    <t>When an emergency call is established over untrusted WLAN, the UE must conform to the requirements to convey its location, using the “Geo-location” header and the PIDF location object in the initial INVITE request, as specified in section 5.1.6.8.2 and section 5.1.6.8.3 of 3GPP TS24.229.</t>
  </si>
  <si>
    <t xml:space="preserve">b/230344897
IMSSH_SIP_HEADER_GEOLOCATION_ROUTING_YES = 0x02
</t>
  </si>
  <si>
    <t>MTR-39248</t>
  </si>
  <si>
    <t>Emergency camping on 5G or 4G cells in limited service state shall be supported and enabled in the UE as required in IR.92v17 and NG.114 v5.0. That allows the setup of IMS emergency services with non-ciphering.
Note: Limited service state includes inbound roamers without a VoLTE Roaming agreement, UEs with an IMSI that cannot be authenticated and UEs without an IMSI. See section 5.16.4.1 of 3GPP TS23.501</t>
  </si>
  <si>
    <t>1. UE supports Emergency camping on 4G cells in limited service state
2. UE doesn't support Emergency camping on 5G cells in limited service state, due to VoNR is not in POR of DT_DE</t>
  </si>
  <si>
    <t>MTR-39249</t>
  </si>
  <si>
    <t>The UE supports the 5GC Registration procedures referred to as Emergency Registration (see clause 5.16.4 of TS 23.501) if it is in a limited service state, as specified in TS 23.122 .</t>
  </si>
  <si>
    <t>Supported but VoNR not enabled</t>
  </si>
  <si>
    <t>MTR-19910</t>
  </si>
  <si>
    <r>
      <rPr>
        <rFont val="Arial"/>
        <b/>
        <color theme="1"/>
        <sz val="10.0"/>
      </rPr>
      <t>6.1.6</t>
    </r>
    <r>
      <rPr>
        <rFont val="Arial"/>
        <b val="0"/>
        <color theme="1"/>
        <sz val="10.0"/>
      </rPr>
      <t xml:space="preserve"> </t>
    </r>
    <r>
      <rPr>
        <rFont val="Arial"/>
        <b/>
        <color theme="1"/>
        <sz val="10.0"/>
      </rPr>
      <t>Voice Quality</t>
    </r>
  </si>
  <si>
    <t>MTR-28460</t>
  </si>
  <si>
    <r>
      <rPr>
        <rFont val="Arial"/>
        <color theme="1"/>
        <sz val="10.0"/>
      </rPr>
      <t xml:space="preserve">For a device supporting </t>
    </r>
    <r>
      <rPr>
        <rFont val="Arial"/>
        <b/>
        <color theme="1"/>
        <sz val="10.0"/>
      </rPr>
      <t>Narrow Band</t>
    </r>
    <r>
      <rPr>
        <rFont val="Arial"/>
        <color theme="1"/>
        <sz val="10.0"/>
      </rPr>
      <t xml:space="preserve"> </t>
    </r>
    <r>
      <rPr>
        <rFont val="Arial"/>
        <b/>
        <color theme="1"/>
        <sz val="10.0"/>
      </rPr>
      <t>and Wide Band</t>
    </r>
    <r>
      <rPr>
        <rFont val="Arial"/>
        <color theme="1"/>
        <sz val="10.0"/>
      </rPr>
      <t xml:space="preserve"> and </t>
    </r>
    <r>
      <rPr>
        <rFont val="Arial"/>
        <b/>
        <color theme="1"/>
        <sz val="10.0"/>
      </rPr>
      <t>Super Wide Band</t>
    </r>
    <r>
      <rPr>
        <rFont val="Arial"/>
        <color theme="1"/>
        <sz val="10.0"/>
      </rPr>
      <t xml:space="preserve"> voice, the vendor provides the completely filled out Test Result sheet “</t>
    </r>
    <r>
      <rPr>
        <rFont val="Arial"/>
        <i/>
        <color theme="1"/>
        <sz val="10.0"/>
      </rPr>
      <t>DTAG VoiceQuality TestSuite v x.y_VoLTE.xls</t>
    </r>
    <r>
      <rPr>
        <rFont val="Arial"/>
        <color theme="1"/>
        <sz val="10.0"/>
      </rPr>
      <t>” (provided by DTAG on request) and an optional written test report to DT.
The document shall be delivered prior to start of the DTAG Acceptance IOT phase for the device.</t>
    </r>
  </si>
  <si>
    <t>MTR-28435</t>
  </si>
  <si>
    <t>The device complies with GSMA HD Voice logo terminal requirements.
For further information on the HD Voice logo please refer to
http://www.gsma.com/network2020/hd-voice 
https://www.gsma.com/futurenetworks/wp-content/uploads/2013/04/Annex-F-Version-3.0.pdf</t>
  </si>
  <si>
    <t>2 SMS</t>
  </si>
  <si>
    <t>MTR-36180</t>
  </si>
  <si>
    <r>
      <rPr>
        <rFont val="Arial"/>
        <b/>
        <color theme="1"/>
        <sz val="10.0"/>
      </rPr>
      <t>6.2</t>
    </r>
    <r>
      <rPr>
        <rFont val="Arial"/>
        <b val="0"/>
        <color theme="1"/>
        <sz val="10.0"/>
      </rPr>
      <t xml:space="preserve"> </t>
    </r>
    <r>
      <rPr>
        <rFont val="Arial"/>
        <b/>
        <color theme="1"/>
        <sz val="10.0"/>
      </rPr>
      <t>SMS</t>
    </r>
  </si>
  <si>
    <t>MTR-812</t>
  </si>
  <si>
    <r>
      <rPr>
        <rFont val="Arial"/>
        <b/>
        <color theme="1"/>
        <sz val="10.0"/>
      </rPr>
      <t>SMS</t>
    </r>
    <r>
      <rPr>
        <rFont val="Arial"/>
        <b val="0"/>
        <color theme="1"/>
        <sz val="10.0"/>
      </rPr>
      <t xml:space="preserve">
Mobile originated Short Message Service (TS21) and Mobile terminated Short Message Service (TS22) according to 3GPP TS 23.040 is supported.
</t>
    </r>
    <r>
      <rPr>
        <rFont val="Arial"/>
        <b/>
        <color theme="1"/>
        <sz val="10.0"/>
      </rPr>
      <t xml:space="preserve">Note: </t>
    </r>
    <r>
      <rPr>
        <rFont val="Arial"/>
        <b val="0"/>
        <color theme="1"/>
        <sz val="10.0"/>
      </rPr>
      <t>EMS support is not required.</t>
    </r>
  </si>
  <si>
    <t>MTR-922</t>
  </si>
  <si>
    <r>
      <rPr>
        <rFont val="Arial"/>
        <b/>
        <color theme="1"/>
        <sz val="10.0"/>
      </rPr>
      <t>Reception of a short message type 0</t>
    </r>
    <r>
      <rPr>
        <rFont val="Arial"/>
        <b val="0"/>
        <color theme="1"/>
        <sz val="10.0"/>
      </rPr>
      <t xml:space="preserve"> is acknowledged and the content discarded. No indication (audio or visual) is given to the user about receipt of the short message type 0.</t>
    </r>
  </si>
  <si>
    <t>MTR-30381</t>
  </si>
  <si>
    <t>For Class 0 SMS, URLs in the text content are presented and clickable by the user so that the browser is started with the selected URL.</t>
  </si>
  <si>
    <t>MTR-30384</t>
  </si>
  <si>
    <t>For Class 0 SMS, the sender address is shown as message headline.</t>
  </si>
  <si>
    <t>MTR-919</t>
  </si>
  <si>
    <r>
      <rPr>
        <rFont val="Arial"/>
        <b/>
        <color theme="1"/>
        <sz val="10.0"/>
      </rPr>
      <t>SMS (MO and MT) via CS</t>
    </r>
    <r>
      <rPr>
        <rFont val="Arial"/>
        <b val="0"/>
        <color theme="1"/>
        <sz val="10.0"/>
      </rPr>
      <t xml:space="preserve"> signalling is supported</t>
    </r>
  </si>
  <si>
    <t>MTR-27407</t>
  </si>
  <si>
    <r>
      <rPr>
        <rFont val="Arial"/>
        <b/>
        <color theme="1"/>
        <sz val="10.0"/>
      </rPr>
      <t>SMS over SGs</t>
    </r>
    <r>
      <rPr>
        <rFont val="Arial"/>
        <b val="0"/>
        <color theme="1"/>
        <sz val="10.0"/>
      </rPr>
      <t xml:space="preserve"> is supported.</t>
    </r>
  </si>
  <si>
    <t>MTR-29623</t>
  </si>
  <si>
    <r>
      <rPr>
        <rFont val="Arial"/>
        <b/>
        <color theme="1"/>
        <sz val="10.0"/>
      </rPr>
      <t>6.2.1</t>
    </r>
    <r>
      <rPr>
        <rFont val="Arial"/>
        <b val="0"/>
        <color theme="1"/>
        <sz val="10.0"/>
      </rPr>
      <t xml:space="preserve"> </t>
    </r>
    <r>
      <rPr>
        <rFont val="Arial"/>
        <b/>
        <color theme="1"/>
        <sz val="10.0"/>
      </rPr>
      <t>SMS over IP</t>
    </r>
  </si>
  <si>
    <t>MTR-29624</t>
  </si>
  <si>
    <t>The UE supports SMS over IP as sender and receiver as described in IR.92 section 2.5  (for 4G UEs) or NG.114  sections 2.4., 2.4.1 (for 5G Ues) and there mentioned parts of 3GPP TS 24.341.</t>
  </si>
  <si>
    <t>MTR-29625</t>
  </si>
  <si>
    <t>The UE supports the SMS payload over IMS in the same way as for GSM as described in IR.92 section 2.5. (for 4G UEs) or NG.114  sections 2.4., 2.4.1 (for 5G Ues) 
This covers e.g.:
- OTA message to SIM
- concatenated SMS
- flash SMS (class 0)
- binary headers controlling operator specific features.</t>
  </si>
  <si>
    <t>MTR-29619</t>
  </si>
  <si>
    <t>The REGISTER request contains the SMS feature tag +g.3gpp.smsip as described in IR.92 section 2.2.1. (for 4G UEs) or NG.114  section 2.2.1 (for 5G Ues)</t>
  </si>
  <si>
    <t>MTR-29622</t>
  </si>
  <si>
    <t>The UE registers to IMS for SMS exactly when it registers for MMTel service.
NOTE: If the parameter "SMSoIP_usage_policy " (defined in Table C3 in IR.92) is supported by the terminal, it must be set to the value 0 -"Only with voice".</t>
  </si>
  <si>
    <t>MTR-30307</t>
  </si>
  <si>
    <t>The domain preference for UE originated SMS, i.e. SMS_Over_IP_Networks_Indication defined in 3GPP TS 24.167 section 5.28, shall be configured as defined in [TISD].</t>
  </si>
  <si>
    <t>No 1-1 mapping config, but can disable SMS over IP in Shannon IMS's SMS_OVER_IP</t>
  </si>
  <si>
    <t>3 MMS</t>
  </si>
  <si>
    <t>MTR-4235</t>
  </si>
  <si>
    <r>
      <rPr>
        <rFont val="Arial"/>
        <b/>
        <color theme="1"/>
        <sz val="10.0"/>
      </rPr>
      <t>6.3</t>
    </r>
    <r>
      <rPr>
        <rFont val="Arial"/>
        <b val="0"/>
        <color theme="1"/>
        <sz val="10.0"/>
      </rPr>
      <t xml:space="preserve"> </t>
    </r>
    <r>
      <rPr>
        <rFont val="Arial"/>
        <b/>
        <color theme="1"/>
        <sz val="10.0"/>
      </rPr>
      <t>MMS</t>
    </r>
  </si>
  <si>
    <t>MTR-18783</t>
  </si>
  <si>
    <r>
      <rPr>
        <rFont val="Arial"/>
        <b/>
        <color theme="1"/>
        <sz val="10.0"/>
      </rPr>
      <t>6.3.1</t>
    </r>
    <r>
      <rPr>
        <rFont val="Arial"/>
        <b val="0"/>
        <color theme="1"/>
        <sz val="10.0"/>
      </rPr>
      <t xml:space="preserve"> </t>
    </r>
    <r>
      <rPr>
        <rFont val="Arial"/>
        <b/>
        <color theme="1"/>
        <sz val="10.0"/>
      </rPr>
      <t>General requirements</t>
    </r>
  </si>
  <si>
    <t>MTR-32240</t>
  </si>
  <si>
    <t>Type of integrated messenger SMS/MMS: 
In case a 3rd party messanging client is used for the default SMS/MMS function, please provide name of client and vendor as well as the version in the "Comments Vendor" field, e.g. Google Messages app.</t>
  </si>
  <si>
    <t>Google RCS</t>
  </si>
  <si>
    <t>MTR-33194</t>
  </si>
  <si>
    <t>The MMS functionality of the messaging client can be enabled or deactivated per Natco based on MCC/MNC pair, see country specific settings in the [TISD].</t>
  </si>
  <si>
    <t>MMS Basic, MMS Advanced</t>
  </si>
  <si>
    <t>MTR-18785</t>
  </si>
  <si>
    <t>The maximum MMS message size (kB) for both send and receive shall be recorded in the "Comments Vendor" column.</t>
  </si>
  <si>
    <t>MMS Advanced</t>
  </si>
  <si>
    <t>Default 300KB</t>
  </si>
  <si>
    <t>MTR-4478</t>
  </si>
  <si>
    <t>The maximum message size shall be as defined by Deutsche Telekom in the settings document [TISD].</t>
  </si>
  <si>
    <t>MTR-4451</t>
  </si>
  <si>
    <t>Roaming awareness: The client supports the following specified message retrieval options in case the terminal is camped on a visited network.
Note: MMS roaming awareness shall be independent of general data roaming awareness, e.g. data roaming switch in Android.</t>
  </si>
  <si>
    <t>MTR-4452</t>
  </si>
  <si>
    <t>- automatic</t>
  </si>
  <si>
    <t>MTR-4453</t>
  </si>
  <si>
    <t>- manual retrieval with user acknowledgement</t>
  </si>
  <si>
    <t>MTR-4454</t>
  </si>
  <si>
    <t>- never</t>
  </si>
  <si>
    <t>MTR-19443</t>
  </si>
  <si>
    <r>
      <rPr>
        <rFont val="Arial"/>
        <b/>
        <color theme="1"/>
        <sz val="10.0"/>
      </rPr>
      <t>6.3.2</t>
    </r>
    <r>
      <rPr>
        <rFont val="Arial"/>
        <b val="0"/>
        <color theme="1"/>
        <sz val="10.0"/>
      </rPr>
      <t xml:space="preserve"> </t>
    </r>
    <r>
      <rPr>
        <rFont val="Arial"/>
        <b/>
        <color theme="1"/>
        <sz val="10.0"/>
      </rPr>
      <t>Media support</t>
    </r>
  </si>
  <si>
    <t>MTR-20014</t>
  </si>
  <si>
    <t>The following specified basic text, audio, image and video media formats according to [MMS-CO13, OMA] are supported.
Non-compliant media formats must get listed in the "Comments Vendor" field.</t>
  </si>
  <si>
    <t>MTR-19444</t>
  </si>
  <si>
    <t>The client supports following plain text formats: US-ASCII, UTF-8, UTF-16 -for both send and receive</t>
  </si>
  <si>
    <t>MTR-19448</t>
  </si>
  <si>
    <t>Baseline JPEG - for both send and receive</t>
  </si>
  <si>
    <t>MTR-19452</t>
  </si>
  <si>
    <t>Supports H.263 &amp; AMR (3GP) - for both send and receive</t>
  </si>
  <si>
    <t>MTR-4236</t>
  </si>
  <si>
    <r>
      <rPr>
        <rFont val="Arial"/>
        <b/>
        <color theme="1"/>
        <sz val="10.0"/>
      </rPr>
      <t>6.3.3</t>
    </r>
    <r>
      <rPr>
        <rFont val="Arial"/>
        <b val="0"/>
        <color theme="1"/>
        <sz val="10.0"/>
      </rPr>
      <t xml:space="preserve"> </t>
    </r>
    <r>
      <rPr>
        <rFont val="Arial"/>
        <b/>
        <color theme="1"/>
        <sz val="10.0"/>
      </rPr>
      <t>User interface Requirements</t>
    </r>
  </si>
  <si>
    <t>MTR-4260</t>
  </si>
  <si>
    <t>Unified messaging client: A unified client for SMS, concatenated SMS and MMS is supported.</t>
  </si>
  <si>
    <t>MTR-4270</t>
  </si>
  <si>
    <t>Unified composer: The message composer provides the creation of text messages with automatic transition from SMS to MMS smil composition in case the user creates a long text message (e.g. &gt;320 characters) or inserts any media, e.g. audio, still image of video.
[default text rule, see [TISD]]
Note: If SMS encoding has been changed to UCS-2, the character border for switching to MMS has to change accordingly (&gt;140 chars), see section other enabler, MTR-1749.</t>
  </si>
  <si>
    <t>MTR-4355</t>
  </si>
  <si>
    <t>In case the SMIL is not present in an MM, the message client is able to present the content of the received attachments (text, image, video…) easily readable / viewable by the user. The attachments are presented in the same order as existent in the received MM.</t>
  </si>
  <si>
    <t>MTR-4353</t>
  </si>
  <si>
    <t>SMIL support: Automatic presentation of the SMIL message happens by default, when the MMS is opened by the user.</t>
  </si>
  <si>
    <t>MTR-19467</t>
  </si>
  <si>
    <r>
      <rPr>
        <rFont val="Arial"/>
        <b/>
        <color theme="1"/>
        <sz val="10.0"/>
      </rPr>
      <t>6.3.4</t>
    </r>
    <r>
      <rPr>
        <rFont val="Arial"/>
        <b val="0"/>
        <color theme="1"/>
        <sz val="10.0"/>
      </rPr>
      <t xml:space="preserve"> </t>
    </r>
    <r>
      <rPr>
        <rFont val="Arial"/>
        <b/>
        <color theme="1"/>
        <sz val="10.0"/>
      </rPr>
      <t>Message transmission</t>
    </r>
  </si>
  <si>
    <t>MTR-4312</t>
  </si>
  <si>
    <t>The sending supports
- mixed addresses (mobile numbers, short codes, fixed numbers and e-mail addresses).</t>
  </si>
  <si>
    <t>MTR-4389</t>
  </si>
  <si>
    <t>The terminal indicates support for MMS by inserting the following MIME type into the accept header:
application/vnd.WAP.mms-message.</t>
  </si>
  <si>
    <t>MTR-4392</t>
  </si>
  <si>
    <t>E.164 formats (SIM &amp; USIM), short numeration as defined in TS 23.140(SIM&amp;USIM) and RFC2822 formats (USIM) are supported.</t>
  </si>
  <si>
    <t>MTR-4331</t>
  </si>
  <si>
    <t>The Message client is able to receive messages with an e-mail address format.</t>
  </si>
  <si>
    <t>MTR-31294</t>
  </si>
  <si>
    <t>MMS reception when data is set to off: The device supports the reception of MMS in the home network even through the overall data connection is set to off.</t>
  </si>
  <si>
    <t>user has to enable the setting manually to allow MMS when mobile data is off.</t>
  </si>
  <si>
    <t>MTR-19475</t>
  </si>
  <si>
    <r>
      <rPr>
        <rFont val="Arial"/>
        <b/>
        <color theme="1"/>
        <sz val="10.0"/>
      </rPr>
      <t>6.3.5</t>
    </r>
    <r>
      <rPr>
        <rFont val="Arial"/>
        <b val="0"/>
        <color theme="1"/>
        <sz val="10.0"/>
      </rPr>
      <t xml:space="preserve"> </t>
    </r>
    <r>
      <rPr>
        <rFont val="Arial"/>
        <b/>
        <color theme="1"/>
        <sz val="10.0"/>
      </rPr>
      <t>Technical Standards and Protocol support</t>
    </r>
  </si>
  <si>
    <t>MTR-4369</t>
  </si>
  <si>
    <t>The MMS client complies with [23.140 Rel6]</t>
  </si>
  <si>
    <t>MTR-19477</t>
  </si>
  <si>
    <t>The MMS client complies with [MMS-CO13]</t>
  </si>
  <si>
    <t>MTR-28116</t>
  </si>
  <si>
    <t>The MMS client complies with [MMS-CO12].</t>
  </si>
  <si>
    <t>MTR-30835</t>
  </si>
  <si>
    <t>UAHeader: the MMS User Agent Header contains the correct vendor name, model name and software version of the device.</t>
  </si>
  <si>
    <t>MTR-4463</t>
  </si>
  <si>
    <t>Support of User Agent Profile (UAProf) by the device to support UAHeader.</t>
  </si>
  <si>
    <t>MTR-4464</t>
  </si>
  <si>
    <t>Parameters included in UAProf contain at least :</t>
  </si>
  <si>
    <t>MTR-4465</t>
  </si>
  <si>
    <t>· the MMS versions supported by the MMS User Agent</t>
  </si>
  <si>
    <t>MTR-4466</t>
  </si>
  <si>
    <t>· the maximum receiving MMS size in bytes</t>
  </si>
  <si>
    <t>MTR-4467</t>
  </si>
  <si>
    <t>· the list of MMS supported content types
   (e.g. image/jpeg, audio/wav, video/mpeg-4)</t>
  </si>
  <si>
    <t>MTR-4468</t>
  </si>
  <si>
    <t>· The maximum number of colours of the screen and its
   resolution (in pixels)</t>
  </si>
  <si>
    <t>MTR-4373</t>
  </si>
  <si>
    <t>Support of WAP 2.0 TCP/IP protocol stack for send and receive MMS.</t>
  </si>
  <si>
    <t>MTR-4374</t>
  </si>
  <si>
    <t>MMS uses Push over SMS for notification.</t>
  </si>
  <si>
    <t>4 RCS</t>
  </si>
  <si>
    <t>MTR-28236</t>
  </si>
  <si>
    <r>
      <rPr>
        <rFont val="Arial"/>
        <b/>
        <color theme="1"/>
        <sz val="10.0"/>
      </rPr>
      <t>6.4</t>
    </r>
    <r>
      <rPr>
        <rFont val="Arial"/>
        <b val="0"/>
        <color theme="1"/>
        <sz val="10.0"/>
      </rPr>
      <t xml:space="preserve"> </t>
    </r>
    <r>
      <rPr>
        <rFont val="Arial"/>
        <b/>
        <color theme="1"/>
        <sz val="10.0"/>
      </rPr>
      <t>RCS</t>
    </r>
  </si>
  <si>
    <t>MTR-32244</t>
  </si>
  <si>
    <t>Please state under "Comments Vendor" if for messaging Google's Android Messaging client or a native solution is implemented and which is activated per default.</t>
  </si>
  <si>
    <t>Google RCS Client (Android Messages)</t>
  </si>
  <si>
    <t>MTR-33007</t>
  </si>
  <si>
    <t>Please state under "Comments Vendor" if for dialing Google's Android Messages client or a native solution is implemented and which is activated per default.</t>
  </si>
  <si>
    <t>Google Dialer</t>
  </si>
  <si>
    <t>MTR-37953</t>
  </si>
  <si>
    <t>The device must be shipped with Android Messages client pre-installed.</t>
  </si>
  <si>
    <t>RCS</t>
  </si>
  <si>
    <t>5 Cell Broadcast &amp; Public Warning</t>
  </si>
  <si>
    <t>MTR-19965</t>
  </si>
  <si>
    <r>
      <rPr>
        <rFont val="Arial"/>
        <b/>
        <color theme="1"/>
        <sz val="10.0"/>
      </rPr>
      <t>6.5</t>
    </r>
    <r>
      <rPr>
        <rFont val="Arial"/>
        <b val="0"/>
        <color theme="1"/>
        <sz val="10.0"/>
      </rPr>
      <t xml:space="preserve"> </t>
    </r>
    <r>
      <rPr>
        <rFont val="Arial"/>
        <b/>
        <color theme="1"/>
        <sz val="10.0"/>
      </rPr>
      <t>Cell Broadcast &amp; Public Warning</t>
    </r>
  </si>
  <si>
    <t>MTR-19966</t>
  </si>
  <si>
    <r>
      <rPr>
        <rFont val="Arial"/>
        <b/>
        <color theme="1"/>
        <sz val="10.0"/>
      </rPr>
      <t>Cell Broadcast on GSM</t>
    </r>
    <r>
      <rPr>
        <rFont val="Arial"/>
        <b val="0"/>
        <color theme="1"/>
        <sz val="10.0"/>
      </rPr>
      <t xml:space="preserve"> according to 3GPP TS 23.041 is supported.</t>
    </r>
  </si>
  <si>
    <t>EU Alert</t>
  </si>
  <si>
    <t>MTR-36154</t>
  </si>
  <si>
    <r>
      <rPr>
        <rFont val="Arial"/>
        <b/>
        <color theme="1"/>
        <sz val="10.0"/>
      </rPr>
      <t xml:space="preserve">Cell Broadcast on LTE </t>
    </r>
    <r>
      <rPr>
        <rFont val="Arial"/>
        <b val="0"/>
        <color theme="1"/>
        <sz val="10.0"/>
      </rPr>
      <t>according to 3GPP TS 23.401 is supported.
i.e. message receiption via SIB 12.</t>
    </r>
  </si>
  <si>
    <t>MTR-36871</t>
  </si>
  <si>
    <r>
      <rPr>
        <rFont val="Arial"/>
        <b/>
        <color theme="1"/>
        <sz val="10.0"/>
      </rPr>
      <t xml:space="preserve">Cell Broadcast on NR </t>
    </r>
    <r>
      <rPr>
        <rFont val="Arial"/>
        <b val="0"/>
        <color theme="1"/>
        <sz val="10.0"/>
      </rPr>
      <t>according to 3GPP TS 23.401 is supported.
i.e. message receiption via SIB 8.</t>
    </r>
  </si>
  <si>
    <t>5G SA, EU Alert</t>
  </si>
  <si>
    <t>MTR-25400</t>
  </si>
  <si>
    <r>
      <rPr>
        <rFont val="Arial"/>
        <b/>
        <color theme="1"/>
        <sz val="10.0"/>
      </rPr>
      <t>Cell Broadcast and Public Warning Services</t>
    </r>
    <r>
      <rPr>
        <rFont val="Arial"/>
        <b val="0"/>
        <color theme="1"/>
        <sz val="10.0"/>
      </rPr>
      <t xml:space="preserve"> are configurable and enabled or disabled as defined in [TISD] (default = disabled)</t>
    </r>
  </si>
  <si>
    <t>MTR-39804</t>
  </si>
  <si>
    <r>
      <rPr>
        <rFont val="Arial"/>
        <b/>
        <color theme="1"/>
        <sz val="10.0"/>
      </rPr>
      <t>EU Public Warning System (EU-Alert)</t>
    </r>
    <r>
      <rPr>
        <rFont val="Arial"/>
        <b val="0"/>
        <color theme="1"/>
        <sz val="10.0"/>
      </rPr>
      <t xml:space="preserve"> is technically supported and implemented according the following standards:
The service is in general based on the following technical specifications:
- ETSI TS102.900 "Emergency Communications (EMTEL); European Public Warning System (EU-ALERT) using the Cell Broadcast Service"
- 3GPP TS 22.268 "Public Warning System (PWS) requirements"
- 3GPP TS 23.041 "Technical realization of Cell Broadcast Service (CBS)"
- 3GPP TS 23.401 "General Packet Radio Service (GPRS) enhancements for Evolved Universal Terrestrial Radio Access Network (E-UTRAN) access"
- ATIS/TIA J-STD-100 "Joint ATIS/TIA CMAS Mobile Device Behavior Specification"
Country specific settings are configured according to the local laws (see also dedicated requirements following).</t>
    </r>
  </si>
  <si>
    <t>MTR-36155</t>
  </si>
  <si>
    <r>
      <rPr>
        <rFont val="Arial"/>
        <b/>
        <color theme="1"/>
        <sz val="10.0"/>
      </rPr>
      <t xml:space="preserve">CMAS/WEA </t>
    </r>
    <r>
      <rPr>
        <rFont val="Arial"/>
        <b val="0"/>
        <color theme="1"/>
        <sz val="10.0"/>
      </rPr>
      <t>is supported
CMAS (Commercial Mobile Alert System) / WAE (Wireless Alert System) compliant alerting is supported when a corresponding Message Identifier is received via GSM, LTE or NR broadcasts (if applicable)</t>
    </r>
    <r>
      <rPr>
        <rFont val="Arial"/>
        <b/>
        <color theme="1"/>
        <sz val="10.0"/>
      </rPr>
      <t>.</t>
    </r>
  </si>
  <si>
    <t>MTR-30314</t>
  </si>
  <si>
    <r>
      <rPr>
        <rFont val="Arial"/>
        <b/>
        <color theme="1"/>
        <sz val="10.0"/>
      </rPr>
      <t xml:space="preserve">NL-Alert </t>
    </r>
    <r>
      <rPr>
        <rFont val="Arial"/>
        <b val="0"/>
        <color theme="1"/>
        <sz val="10.0"/>
      </rPr>
      <t>is supported
The Dutch public warning system "NL-Alert" (national variant of "EU-Alert") is implemented according to "NL-Alert High Level Service Design Instructions for mobile operators and handset vendors Version 2.2 February 2013" by Ministry of Security and Justice, The Netherlands.
For local public information see also: https://crisis.nl/nl-alert/english/
Configuration details, e.g. active channels are also defined in [TISD].</t>
    </r>
  </si>
  <si>
    <t>MTR-36873</t>
  </si>
  <si>
    <r>
      <rPr>
        <rFont val="Arial"/>
        <b/>
        <color theme="1"/>
        <sz val="10.0"/>
      </rPr>
      <t xml:space="preserve">RO-Alert </t>
    </r>
    <r>
      <rPr>
        <rFont val="Arial"/>
        <b val="0"/>
        <color theme="1"/>
        <sz val="10.0"/>
      </rPr>
      <t>is supported
The Romanian public warning system "RO-Alert" (national variant of "EU-Alert") is implemented as requested by the Romanian Ministry of Internal Affairs.
For local public information see also: https://ro-alert.ro/en/about-ro-alert/
Configuration details, e.g. active channels are also defined in [TISD].</t>
    </r>
  </si>
  <si>
    <t>MTR-36874</t>
  </si>
  <si>
    <r>
      <rPr>
        <rFont val="Arial"/>
        <b/>
        <color theme="1"/>
        <sz val="10.0"/>
      </rPr>
      <t xml:space="preserve">GR-Alert </t>
    </r>
    <r>
      <rPr>
        <rFont val="Arial"/>
        <b val="0"/>
        <color theme="1"/>
        <sz val="10.0"/>
      </rPr>
      <t>is supported
The Greek public warning system "GR-Alert" (national variant of "EU-Alert") is implemented.
Configuration details, e.g. active channels are defined in [TISD].</t>
    </r>
  </si>
  <si>
    <t>MTR-36875</t>
  </si>
  <si>
    <r>
      <rPr>
        <rFont val="Arial"/>
        <b/>
        <color theme="1"/>
        <sz val="10.0"/>
      </rPr>
      <t xml:space="preserve">DE-Alert </t>
    </r>
    <r>
      <rPr>
        <rFont val="Arial"/>
        <b val="0"/>
        <color theme="1"/>
        <sz val="10.0"/>
      </rPr>
      <t>is supported
The German public warning system "DE-Alert" (national variant of "EU-Alert") is implemented according to the latest version of the "Technische Richtlinie DE-Alert (TR DE-Alert) by "Bundesnetzagentur für Elektrizität, Gas, Telekommunikation, Post und Eisenbahnen".
For local public information see also: https://www.bundesnetzagentur.de/DE/Fachthemen/Telekommunikation/OeffentlicheSicherheit/DEAlert/start.html
Configuration details, e.g. active channels are defined in [TISD].</t>
    </r>
  </si>
  <si>
    <t>MTR-38816</t>
  </si>
  <si>
    <r>
      <rPr>
        <rFont val="Arial"/>
        <b/>
        <color theme="1"/>
        <sz val="10.0"/>
      </rPr>
      <t xml:space="preserve">AT-Alert </t>
    </r>
    <r>
      <rPr>
        <rFont val="Arial"/>
        <b val="0"/>
        <color theme="1"/>
        <sz val="10.0"/>
      </rPr>
      <t>is supported
The Austrian public warning system "AT-Alert" (national variant of "EU-Alert") is implemented according to the latest version of the "Verordnung des Bundesministers für Finanzen über die technische Ausgestaltung eines öffentlichen Warnsystems" by "BMF (Bundesministerium für Finanzen)".
Local character set shall be supported.
For local public information see also: https://www.ris.bka.gv.at/ (use search for 'AT-Alert' or 'öffentliches Warnsystem'.
Configuration details, e.g. active channels are defined in [TISD].</t>
    </r>
  </si>
  <si>
    <t>MTR-39210</t>
  </si>
  <si>
    <r>
      <rPr>
        <rFont val="Arial"/>
        <b/>
        <color theme="1"/>
        <sz val="10.0"/>
      </rPr>
      <t xml:space="preserve">HR-Alert </t>
    </r>
    <r>
      <rPr>
        <rFont val="Arial"/>
        <b val="0"/>
        <color theme="1"/>
        <sz val="10.0"/>
      </rPr>
      <t>is supported
The Croatian public warning system "HR-Alert" (national variant of "EU-Alert") is implemented according to the latest version of the "Technical Requirements for Mobile Devices" by "Ministry of the Interior, Republic of Croatia"
Local character set shall be supported.
For local public information see also: https://gov.hr/en/warning-signals/1640
Configuration details, e.g. active channels are defined in [TISD].</t>
    </r>
  </si>
  <si>
    <t>MTR-40230</t>
  </si>
  <si>
    <r>
      <rPr>
        <rFont val="Arial"/>
        <b/>
        <color theme="1"/>
        <sz val="10.0"/>
      </rPr>
      <t xml:space="preserve">PL-Alert </t>
    </r>
    <r>
      <rPr>
        <rFont val="Arial"/>
        <b val="0"/>
        <color theme="1"/>
        <sz val="10.0"/>
      </rPr>
      <t>is supported
Note: This is a preliminary requirement for the case the the Polish government will decide to mandate the implementation of an enhanced Public Warning System in Poland based on EU-Alert. No decision yet at the time of writing (01.05.2024).
The Polish public warning system "PL-Alert" (national variant of "EU-Alert") is implemented.
Configuration details, e.g. active channels will be defined in [TISD] once available.</t>
    </r>
  </si>
  <si>
    <t>Telekom_ISD_V2024.1-1 Disabled</t>
  </si>
  <si>
    <t>MTR-40235</t>
  </si>
  <si>
    <r>
      <rPr>
        <rFont val="Arial"/>
        <b/>
        <color theme="1"/>
        <sz val="10.0"/>
      </rPr>
      <t xml:space="preserve">CZ-Alert </t>
    </r>
    <r>
      <rPr>
        <rFont val="Arial"/>
        <b val="0"/>
        <color theme="1"/>
        <sz val="10.0"/>
      </rPr>
      <t>is supported
Note: This is a preliminary requirement for the case the the Czech Republic government will decide to mandate the implementation of an enhanced Public Warning System in the Czech Republic based on EU-Alert. No decision yet at the time of writing (01.05.2024).
The Czech Republic public warning system "PL-Alert" (national variant of "EU-Alert") is implemented.
Configuration details, e.g. active channels will be defined in [TISD] once available.</t>
    </r>
  </si>
  <si>
    <t>Network Access</t>
  </si>
  <si>
    <r>
      <rPr>
        <rFont val="Arial"/>
        <b/>
        <color theme="1"/>
        <sz val="10.0"/>
      </rPr>
      <t>2.2</t>
    </r>
    <r>
      <rPr>
        <rFont val="Arial"/>
        <b val="0"/>
        <color theme="1"/>
        <sz val="10.0"/>
      </rPr>
      <t xml:space="preserve"> </t>
    </r>
    <r>
      <rPr>
        <rFont val="Arial"/>
        <b/>
        <color theme="1"/>
        <sz val="10.0"/>
      </rPr>
      <t>RF Performance</t>
    </r>
  </si>
  <si>
    <t>MTR-30848</t>
  </si>
  <si>
    <r>
      <rPr>
        <rFont val="Arial"/>
        <color theme="1"/>
        <sz val="10.0"/>
      </rPr>
      <t xml:space="preserve">The RF performance requirements consist of the following subsections:
- </t>
    </r>
    <r>
      <rPr>
        <rFont val="Arial"/>
        <b/>
        <color theme="1"/>
        <sz val="10.0"/>
      </rPr>
      <t>Conducted</t>
    </r>
    <r>
      <rPr>
        <rFont val="Arial"/>
        <color theme="1"/>
        <sz val="10.0"/>
      </rPr>
      <t xml:space="preserve">
- </t>
    </r>
    <r>
      <rPr>
        <rFont val="Arial"/>
        <b/>
        <color theme="1"/>
        <sz val="10.0"/>
      </rPr>
      <t xml:space="preserve">FS </t>
    </r>
    <r>
      <rPr>
        <rFont val="Arial"/>
        <color theme="1"/>
        <sz val="10.0"/>
      </rPr>
      <t xml:space="preserve">= Free Space
- </t>
    </r>
    <r>
      <rPr>
        <rFont val="Arial"/>
        <b/>
        <color theme="1"/>
        <sz val="10.0"/>
      </rPr>
      <t>BHHL/BHHR</t>
    </r>
    <r>
      <rPr>
        <rFont val="Arial"/>
        <color theme="1"/>
        <sz val="10.0"/>
      </rPr>
      <t xml:space="preserve"> = Talk Mode Besides Head and Hand Left/Right
- </t>
    </r>
    <r>
      <rPr>
        <rFont val="Arial"/>
        <b/>
        <color theme="1"/>
        <sz val="10.0"/>
      </rPr>
      <t>HL/HR</t>
    </r>
    <r>
      <rPr>
        <rFont val="Arial"/>
        <color theme="1"/>
        <sz val="10.0"/>
      </rPr>
      <t xml:space="preserve"> = Browsing Mode Hand Left / Hand Right
- </t>
    </r>
    <r>
      <rPr>
        <rFont val="Arial"/>
        <b/>
        <color theme="1"/>
        <sz val="10.0"/>
      </rPr>
      <t>WL/WR</t>
    </r>
    <r>
      <rPr>
        <rFont val="Arial"/>
        <color theme="1"/>
        <sz val="10.0"/>
      </rPr>
      <t xml:space="preserve"> = Wrist Worn (smart watches)
- </t>
    </r>
    <r>
      <rPr>
        <rFont val="Arial"/>
        <b/>
        <color theme="1"/>
        <sz val="10.0"/>
      </rPr>
      <t>WiFi</t>
    </r>
    <r>
      <rPr>
        <rFont val="Arial"/>
        <color theme="1"/>
        <sz val="10.0"/>
      </rPr>
      <t xml:space="preserve"> = WiFi specific antenna performance
For each of those there are requirements for 
- transmission: </t>
    </r>
    <r>
      <rPr>
        <rFont val="Arial"/>
        <b/>
        <color theme="1"/>
        <sz val="10.0"/>
      </rPr>
      <t>Tx Power / TRP</t>
    </r>
    <r>
      <rPr>
        <rFont val="Arial"/>
        <color theme="1"/>
        <sz val="10.0"/>
      </rPr>
      <t xml:space="preserve">
</t>
    </r>
    <r>
      <rPr>
        <rFont val="Arial"/>
        <b/>
        <color theme="1"/>
        <sz val="10.0"/>
      </rPr>
      <t xml:space="preserve">- </t>
    </r>
    <r>
      <rPr>
        <rFont val="Arial"/>
        <color theme="1"/>
        <sz val="10.0"/>
      </rPr>
      <t xml:space="preserve">receive: </t>
    </r>
    <r>
      <rPr>
        <rFont val="Arial"/>
        <b/>
        <color theme="1"/>
        <sz val="10.0"/>
      </rPr>
      <t>Rx Sensitivity / TIS</t>
    </r>
    <r>
      <rPr>
        <rFont val="Arial"/>
        <color theme="1"/>
        <sz val="10.0"/>
      </rPr>
      <t xml:space="preserve">
Those requirements are understood as in normal operation mode of the device with all antennas active without test specific modifications.
</t>
    </r>
    <r>
      <rPr>
        <rFont val="Arial"/>
        <b/>
        <color theme="1"/>
        <sz val="10.0"/>
      </rPr>
      <t xml:space="preserve"> </t>
    </r>
    <r>
      <rPr>
        <rFont val="Arial"/>
        <color theme="1"/>
        <sz val="10.0"/>
      </rPr>
      <t xml:space="preserve">
In addition to those for the conducted and the Free Space cases individual values per antenna port / antenna are requested to ensure proper operation of MIMO and receive diversity. This applies especially for all supported LTE/NR bands.
Specifically for LTE/NR MIMO operation a maximum antenna correlation is specified.</t>
    </r>
  </si>
  <si>
    <t>MTR-36122</t>
  </si>
  <si>
    <r>
      <rPr>
        <rFont val="Arial"/>
        <b/>
        <color theme="1"/>
        <sz val="10.0"/>
      </rPr>
      <t>Accuracy of RF Performance values</t>
    </r>
    <r>
      <rPr>
        <rFont val="Arial"/>
        <b val="0"/>
        <color theme="1"/>
        <sz val="10.0"/>
      </rPr>
      <t xml:space="preserve">
RF values in this chapter provided by the OEM during the MTR SoC process are expected to be </t>
    </r>
    <r>
      <rPr>
        <rFont val="Arial"/>
        <b/>
        <color theme="1"/>
        <sz val="10.0"/>
      </rPr>
      <t>TARGET DESIGN VALUES</t>
    </r>
    <r>
      <rPr>
        <rFont val="Arial"/>
        <b val="0"/>
        <color theme="1"/>
        <sz val="10.0"/>
      </rPr>
      <t xml:space="preserve"> that are planned to be reached with the final implementation of the product. These can be based e.g. on simulation etc.
Stated values are assumed to be applicable for measurement conditions/scenarios as defined in the latest CTIA 'Test Plan for Wireless Over the Air Performance' / 3GPP TS 34.114 or comparable.
In ideal case the RF performance target values will become more precise and updated during the process, i.e. from Mini SoC to Full SoC.
Real practical measured values are expected to be provided outside the SoC as defined in chapter "RF Performance - Measurement Reports". Please see there for more details.</t>
    </r>
  </si>
  <si>
    <t>MTR-30849</t>
  </si>
  <si>
    <r>
      <rPr>
        <rFont val="Arial"/>
        <b/>
        <color theme="1"/>
        <sz val="10.0"/>
      </rPr>
      <t>2.2.1</t>
    </r>
    <r>
      <rPr>
        <rFont val="Arial"/>
        <b val="0"/>
        <color theme="1"/>
        <sz val="10.0"/>
      </rPr>
      <t xml:space="preserve"> </t>
    </r>
    <r>
      <rPr>
        <rFont val="Arial"/>
        <b/>
        <color theme="1"/>
        <sz val="10.0"/>
      </rPr>
      <t>RF Performance - Conducted</t>
    </r>
  </si>
  <si>
    <t>MTR-39436</t>
  </si>
  <si>
    <r>
      <rPr>
        <rFont val="Arial"/>
        <color theme="1"/>
        <sz val="10.0"/>
      </rPr>
      <t>Deutsche Telekom</t>
    </r>
    <r>
      <rPr>
        <rFont val="Arial"/>
        <b/>
        <color theme="1"/>
        <sz val="10.0"/>
      </rPr>
      <t xml:space="preserve"> "Conducted" RF Performance</t>
    </r>
    <r>
      <rPr>
        <rFont val="Arial"/>
        <color theme="1"/>
        <sz val="10.0"/>
      </rPr>
      <t xml:space="preserve"> requirements
Applicability: all device types with 5G NR support
i.e.
 - Smartphones
 - Tablets
 - Data products</t>
    </r>
  </si>
  <si>
    <t>MTR-39437</t>
  </si>
  <si>
    <r>
      <rPr>
        <rFont val="Arial"/>
        <color theme="1"/>
        <sz val="10.0"/>
      </rPr>
      <t xml:space="preserve">The following rules apply for </t>
    </r>
    <r>
      <rPr>
        <rFont val="Arial"/>
        <b/>
        <color theme="1"/>
        <sz val="10.0"/>
      </rPr>
      <t xml:space="preserve">"Conducted" RF Performance </t>
    </r>
    <r>
      <rPr>
        <rFont val="Arial"/>
        <color theme="1"/>
        <sz val="10.0"/>
      </rPr>
      <t xml:space="preserve"> requirements:
- </t>
    </r>
    <r>
      <rPr>
        <rFont val="Arial"/>
        <b/>
        <color theme="1"/>
        <sz val="10.0"/>
      </rPr>
      <t>Tx power values</t>
    </r>
    <r>
      <rPr>
        <rFont val="Arial"/>
        <color theme="1"/>
        <sz val="10.0"/>
      </rPr>
      <t xml:space="preserve"> shall be provided as follows:
  - all avalues are understood as target values. Values in actual production may deviate from those target values. Acceptable tolerances are covered in a different requirement.
  - Usable Tx power may strongly depend on the state the device is working in - especially related to fulfillment of SAR requirements. Hence, values for the following 3 main cases must be provided if different target values are used in those configurations
        - </t>
    </r>
    <r>
      <rPr>
        <rFont val="Arial"/>
        <b/>
        <color theme="1"/>
        <sz val="10.0"/>
      </rPr>
      <t>Pmax</t>
    </r>
    <r>
      <rPr>
        <rFont val="Arial"/>
        <color theme="1"/>
        <sz val="10.0"/>
      </rPr>
      <t xml:space="preserve">: no further SAR implied restrictions apply (i.e. device did not detect one of the other cases where a reduction may be required / sensors deactivated for TRP test)
             (still 3GPP power class definitions e.g. 23dBm +2/-2.5dB apply)
        - </t>
    </r>
    <r>
      <rPr>
        <rFont val="Arial"/>
        <b/>
        <color theme="1"/>
        <sz val="10.0"/>
      </rPr>
      <t>Plimit(head)</t>
    </r>
    <r>
      <rPr>
        <rFont val="Arial"/>
        <color theme="1"/>
        <sz val="10.0"/>
      </rPr>
      <t xml:space="preserve">: next to ear usage - device may limit the output power to fulfill head SAR requirements
        - </t>
    </r>
    <r>
      <rPr>
        <rFont val="Arial"/>
        <b/>
        <color theme="1"/>
        <sz val="10.0"/>
      </rPr>
      <t>Plimit(body)</t>
    </r>
    <r>
      <rPr>
        <rFont val="Arial"/>
        <color theme="1"/>
        <sz val="10.0"/>
      </rPr>
      <t xml:space="preserve">: next to body usage - device may limit the output power to fulfill body/limb SAR requirements
  - for the case of Plimit&lt;Pmax an indication must be given if static power reduction or a TAS algorithm is used
	[eiither </t>
    </r>
    <r>
      <rPr>
        <rFont val="Arial"/>
        <b/>
        <color theme="1"/>
        <sz val="10.0"/>
      </rPr>
      <t>static</t>
    </r>
    <r>
      <rPr>
        <rFont val="Arial"/>
        <color theme="1"/>
        <sz val="10.0"/>
      </rPr>
      <t xml:space="preserve"> or </t>
    </r>
    <r>
      <rPr>
        <rFont val="Arial"/>
        <b/>
        <color theme="1"/>
        <sz val="10.0"/>
      </rPr>
      <t>TAS</t>
    </r>
    <r>
      <rPr>
        <rFont val="Arial"/>
        <color theme="1"/>
        <sz val="10.0"/>
      </rPr>
      <t xml:space="preserve">]
- </t>
    </r>
    <r>
      <rPr>
        <rFont val="Arial"/>
        <b/>
        <color theme="1"/>
        <sz val="10.0"/>
      </rPr>
      <t>Rx sensitivity values</t>
    </r>
    <r>
      <rPr>
        <rFont val="Arial"/>
        <color theme="1"/>
        <sz val="10.0"/>
      </rPr>
      <t xml:space="preserve"> shall be provided as follows:
   Single value</t>
    </r>
  </si>
  <si>
    <t>MTR-34351</t>
  </si>
  <si>
    <r>
      <rPr>
        <rFont val="Arial"/>
        <b/>
        <color theme="1"/>
        <sz val="10.0"/>
      </rPr>
      <t>2.2.1.1</t>
    </r>
    <r>
      <rPr>
        <rFont val="Arial"/>
        <b val="0"/>
        <color theme="1"/>
        <sz val="10.0"/>
      </rPr>
      <t xml:space="preserve"> </t>
    </r>
    <r>
      <rPr>
        <rFont val="Arial"/>
        <b/>
        <color theme="1"/>
        <sz val="10.0"/>
      </rPr>
      <t>Conducted Tx power</t>
    </r>
  </si>
  <si>
    <t>MTR-40117</t>
  </si>
  <si>
    <r>
      <rPr>
        <rFont val="Arial"/>
        <b/>
        <color theme="1"/>
        <sz val="10.0"/>
      </rPr>
      <t>Tx Power n1 Pmax / Plimit(head) / Plimit(body)</t>
    </r>
    <r>
      <rPr>
        <rFont val="Arial"/>
        <b val="0"/>
        <color theme="1"/>
        <sz val="10.0"/>
      </rPr>
      <t xml:space="preserve">
Please indicate the three requested power values under "Comments Vendor".</t>
    </r>
  </si>
  <si>
    <t>Pmax : 24.7 dBm
Plimit (head) : 20.2 dBm [static/TAS]
Plimit (body) : 20.2 dBm [static/TAS]</t>
  </si>
  <si>
    <r>
      <rPr>
        <rFont val="Arial"/>
        <color theme="1"/>
        <sz val="10.0"/>
      </rPr>
      <t>Pmax : xx dBm</t>
    </r>
    <r>
      <rPr>
        <rFont val="Arial"/>
        <color theme="1"/>
        <sz val="10.0"/>
      </rPr>
      <t xml:space="preserve">
</t>
    </r>
    <r>
      <rPr>
        <rFont val="Arial"/>
        <color theme="1"/>
        <sz val="10.0"/>
      </rPr>
      <t>Plimit (head) : xx dBm [static/TAS]</t>
    </r>
    <r>
      <rPr>
        <rFont val="Arial"/>
        <color theme="1"/>
        <sz val="10.0"/>
      </rPr>
      <t xml:space="preserve">
</t>
    </r>
    <r>
      <rPr>
        <rFont val="Arial"/>
        <color theme="1"/>
        <sz val="10.0"/>
      </rPr>
      <t>Plimit (body) : xx dBm [static/TAS]</t>
    </r>
  </si>
  <si>
    <t>MTR-40118</t>
  </si>
  <si>
    <r>
      <rPr>
        <rFont val="Arial"/>
        <b/>
        <color theme="1"/>
        <sz val="10.0"/>
      </rPr>
      <t>Tx Power n3 Pmax / Plimit(head) / Plimit(body)</t>
    </r>
    <r>
      <rPr>
        <rFont val="Arial"/>
        <b val="0"/>
        <color theme="1"/>
        <sz val="10.0"/>
      </rPr>
      <t xml:space="preserve">
Please indicate the three requested power values under "Comments Vendor".</t>
    </r>
  </si>
  <si>
    <t>Pmax : 24.7 dBm
Plimit (head) : 20.4 dBm [static/TAS]
Plimit (body) : 20.4 dBm [static/TAS]</t>
  </si>
  <si>
    <r>
      <rPr>
        <rFont val="Arial"/>
        <color theme="1"/>
        <sz val="10.0"/>
      </rPr>
      <t>Pmax : xx dBm</t>
    </r>
    <r>
      <rPr>
        <rFont val="Arial"/>
        <color theme="1"/>
        <sz val="10.0"/>
      </rPr>
      <t xml:space="preserve">
</t>
    </r>
    <r>
      <rPr>
        <rFont val="Arial"/>
        <color theme="1"/>
        <sz val="10.0"/>
      </rPr>
      <t>Plimit (head) : xx dBm [static/TAS]</t>
    </r>
    <r>
      <rPr>
        <rFont val="Arial"/>
        <color theme="1"/>
        <sz val="10.0"/>
      </rPr>
      <t xml:space="preserve">
</t>
    </r>
    <r>
      <rPr>
        <rFont val="Arial"/>
        <color theme="1"/>
        <sz val="10.0"/>
      </rPr>
      <t>Plimit (body) : xx dBm [static/TAS]</t>
    </r>
  </si>
  <si>
    <t>MTR-40119</t>
  </si>
  <si>
    <r>
      <rPr>
        <rFont val="Arial"/>
        <b/>
        <color theme="1"/>
        <sz val="10.0"/>
      </rPr>
      <t>Tx Power n7 Pmax / Plimit(head) / Plimit(body)</t>
    </r>
    <r>
      <rPr>
        <rFont val="Arial"/>
        <b val="0"/>
        <color theme="1"/>
        <sz val="10.0"/>
      </rPr>
      <t xml:space="preserve">
Please indicate the three requested power values under "Comments Vendor".</t>
    </r>
  </si>
  <si>
    <t>Pmax : 24.7 dBm
Plimit (head) : 19.3 dBm [static/TAS]
Plimit (body) : 19.3 dBm [static/TAS]</t>
  </si>
  <si>
    <r>
      <rPr>
        <rFont val="Arial"/>
        <color theme="1"/>
        <sz val="10.0"/>
      </rPr>
      <t>Pmax : xx dBm</t>
    </r>
    <r>
      <rPr>
        <rFont val="Arial"/>
        <color theme="1"/>
        <sz val="10.0"/>
      </rPr>
      <t xml:space="preserve">
</t>
    </r>
    <r>
      <rPr>
        <rFont val="Arial"/>
        <color theme="1"/>
        <sz val="10.0"/>
      </rPr>
      <t>Plimit (head) : xx dBm [static/TAS]</t>
    </r>
    <r>
      <rPr>
        <rFont val="Arial"/>
        <color theme="1"/>
        <sz val="10.0"/>
      </rPr>
      <t xml:space="preserve">
</t>
    </r>
    <r>
      <rPr>
        <rFont val="Arial"/>
        <color theme="1"/>
        <sz val="10.0"/>
      </rPr>
      <t>Plimit (body) : xx dBm [static/TAS]</t>
    </r>
  </si>
  <si>
    <t>MTR-40120</t>
  </si>
  <si>
    <r>
      <rPr>
        <rFont val="Arial"/>
        <b/>
        <color theme="1"/>
        <sz val="10.0"/>
      </rPr>
      <t>Tx Power n8 Pmax / Plimit(head) / Plimit(body)</t>
    </r>
    <r>
      <rPr>
        <rFont val="Arial"/>
        <b val="0"/>
        <color theme="1"/>
        <sz val="10.0"/>
      </rPr>
      <t xml:space="preserve">
Please indicate the three requested power values under "Comments Vendor".</t>
    </r>
  </si>
  <si>
    <t>Pmax : 24.7 dBm
Plimit (head) : 22.7 dBm [static/TAS]
Plimit (body) : 24.4 dBm [static/TAS]</t>
  </si>
  <si>
    <r>
      <rPr>
        <rFont val="Arial"/>
        <color theme="1"/>
        <sz val="10.0"/>
      </rPr>
      <t>Pmax : xx dBm</t>
    </r>
    <r>
      <rPr>
        <rFont val="Arial"/>
        <color theme="1"/>
        <sz val="10.0"/>
      </rPr>
      <t xml:space="preserve">
</t>
    </r>
    <r>
      <rPr>
        <rFont val="Arial"/>
        <color theme="1"/>
        <sz val="10.0"/>
      </rPr>
      <t>Plimit (head) : xx dBm [static/TAS]</t>
    </r>
    <r>
      <rPr>
        <rFont val="Arial"/>
        <color theme="1"/>
        <sz val="10.0"/>
      </rPr>
      <t xml:space="preserve">
</t>
    </r>
    <r>
      <rPr>
        <rFont val="Arial"/>
        <color theme="1"/>
        <sz val="10.0"/>
      </rPr>
      <t>Plimit (body) : xx dBm [static/TAS]</t>
    </r>
  </si>
  <si>
    <t>MTR-40121</t>
  </si>
  <si>
    <r>
      <rPr>
        <rFont val="Arial"/>
        <b/>
        <color theme="1"/>
        <sz val="10.0"/>
      </rPr>
      <t>Tx Power n20 Pmax / Plimit(head) / Plimit(body)</t>
    </r>
    <r>
      <rPr>
        <rFont val="Arial"/>
        <b val="0"/>
        <color theme="1"/>
        <sz val="10.0"/>
      </rPr>
      <t xml:space="preserve">
Please indicate the three requested power values under "Comments Vendor".</t>
    </r>
  </si>
  <si>
    <t>Pmax : 24.7 dBm
Plimit (head) : 23.1 dBm [static/TAS]
Plimit (body) : 24.2 dBm [static/TAS]</t>
  </si>
  <si>
    <r>
      <rPr>
        <rFont val="Arial"/>
        <color theme="1"/>
        <sz val="10.0"/>
      </rPr>
      <t>Pmax : xx dBm</t>
    </r>
    <r>
      <rPr>
        <rFont val="Arial"/>
        <color theme="1"/>
        <sz val="10.0"/>
      </rPr>
      <t xml:space="preserve">
</t>
    </r>
    <r>
      <rPr>
        <rFont val="Arial"/>
        <color theme="1"/>
        <sz val="10.0"/>
      </rPr>
      <t>Plimit (head) : xx dBm [static/TAS]</t>
    </r>
    <r>
      <rPr>
        <rFont val="Arial"/>
        <color theme="1"/>
        <sz val="10.0"/>
      </rPr>
      <t xml:space="preserve">
</t>
    </r>
    <r>
      <rPr>
        <rFont val="Arial"/>
        <color theme="1"/>
        <sz val="10.0"/>
      </rPr>
      <t>Plimit (body) : xx dBm [static/TAS]</t>
    </r>
  </si>
  <si>
    <t>MTR-40122</t>
  </si>
  <si>
    <r>
      <rPr>
        <rFont val="Arial"/>
        <b/>
        <color theme="1"/>
        <sz val="10.0"/>
      </rPr>
      <t>Tx Power n28 Pmax / Plimit(head) / Plimit(body)</t>
    </r>
    <r>
      <rPr>
        <rFont val="Arial"/>
        <b val="0"/>
        <color theme="1"/>
        <sz val="10.0"/>
      </rPr>
      <t xml:space="preserve">
Please indicate the three requested power values under "Comments Vendor".</t>
    </r>
  </si>
  <si>
    <t>Pmax : 24.7 dBm
Plimit (head) : 23.9 dBm [static/TAS]
Plimit (body) : 24.2 dBm [static/TAS]</t>
  </si>
  <si>
    <r>
      <rPr>
        <rFont val="Arial"/>
        <color theme="1"/>
        <sz val="10.0"/>
      </rPr>
      <t>Pmax : xx dBm</t>
    </r>
    <r>
      <rPr>
        <rFont val="Arial"/>
        <color theme="1"/>
        <sz val="10.0"/>
      </rPr>
      <t xml:space="preserve">
</t>
    </r>
    <r>
      <rPr>
        <rFont val="Arial"/>
        <color theme="1"/>
        <sz val="10.0"/>
      </rPr>
      <t>Plimit (head) : xx dBm [static/TAS]</t>
    </r>
    <r>
      <rPr>
        <rFont val="Arial"/>
        <color theme="1"/>
        <sz val="10.0"/>
      </rPr>
      <t xml:space="preserve">
</t>
    </r>
    <r>
      <rPr>
        <rFont val="Arial"/>
        <color theme="1"/>
        <sz val="10.0"/>
      </rPr>
      <t>Plimit (body) : xx dBm [static/TAS]</t>
    </r>
  </si>
  <si>
    <t>MTR-40123</t>
  </si>
  <si>
    <r>
      <rPr>
        <rFont val="Arial"/>
        <b/>
        <color theme="1"/>
        <sz val="10.0"/>
      </rPr>
      <t>Tx Power n78 Pmax / Plimit(head) / Plimit(body)</t>
    </r>
    <r>
      <rPr>
        <rFont val="Arial"/>
        <b val="0"/>
        <color theme="1"/>
        <sz val="10.0"/>
      </rPr>
      <t xml:space="preserve">
</t>
    </r>
    <r>
      <rPr>
        <rFont val="Arial"/>
        <b/>
        <color theme="1"/>
        <sz val="10.0"/>
      </rPr>
      <t>[assuming PC3 configuration- 23dBm]</t>
    </r>
    <r>
      <rPr>
        <rFont val="Arial"/>
        <b val="0"/>
        <color theme="1"/>
        <sz val="10.0"/>
      </rPr>
      <t xml:space="preserve">
Please indicate the three requested power values under "Comments Vendor".</t>
    </r>
  </si>
  <si>
    <t>Pmax : 24.7 dBm
Plimit (head) : 18.4 dBm [static/TAS]
Plimit (body) : 18.4 dBm [static/TAS]</t>
  </si>
  <si>
    <r>
      <rPr>
        <rFont val="Arial"/>
        <color theme="1"/>
        <sz val="10.0"/>
      </rPr>
      <t>Pmax : xx dBm</t>
    </r>
    <r>
      <rPr>
        <rFont val="Arial"/>
        <color theme="1"/>
        <sz val="10.0"/>
      </rPr>
      <t xml:space="preserve">
</t>
    </r>
    <r>
      <rPr>
        <rFont val="Arial"/>
        <color theme="1"/>
        <sz val="10.0"/>
      </rPr>
      <t>Plimit (head) : xx dBm [static/TAS]</t>
    </r>
    <r>
      <rPr>
        <rFont val="Arial"/>
        <color theme="1"/>
        <sz val="10.0"/>
      </rPr>
      <t xml:space="preserve">
</t>
    </r>
    <r>
      <rPr>
        <rFont val="Arial"/>
        <color theme="1"/>
        <sz val="10.0"/>
      </rPr>
      <t>Plimit (body) : xx dBm [static/TAS]</t>
    </r>
  </si>
  <si>
    <t>MTR-40124</t>
  </si>
  <si>
    <r>
      <rPr>
        <rFont val="Arial"/>
        <b/>
        <color theme="1"/>
        <sz val="10.0"/>
      </rPr>
      <t>Tx Power n78 Pmax / Plimit(head) / Plimit(body)</t>
    </r>
    <r>
      <rPr>
        <rFont val="Arial"/>
        <b val="0"/>
        <color theme="1"/>
        <sz val="10.0"/>
      </rPr>
      <t xml:space="preserve">
</t>
    </r>
    <r>
      <rPr>
        <rFont val="Arial"/>
        <b/>
        <color theme="1"/>
        <sz val="10.0"/>
      </rPr>
      <t>[assuming PC2 configuration - 26dBm / if applicable for device]</t>
    </r>
    <r>
      <rPr>
        <rFont val="Arial"/>
        <b val="0"/>
        <color theme="1"/>
        <sz val="10.0"/>
      </rPr>
      <t xml:space="preserve">
Please indicate the three requested power values under "Comments Vendor".</t>
    </r>
  </si>
  <si>
    <t>Pmax : 26.2 dBm
Plimit (head) : 18.4 dBm [static/TAS]
Plimit (body) : 18.4 dBm [static/TAS]</t>
  </si>
  <si>
    <r>
      <rPr>
        <rFont val="Arial"/>
        <color theme="1"/>
        <sz val="10.0"/>
      </rPr>
      <t>Pmax : xx dBm</t>
    </r>
    <r>
      <rPr>
        <rFont val="Arial"/>
        <color theme="1"/>
        <sz val="10.0"/>
      </rPr>
      <t xml:space="preserve">
</t>
    </r>
    <r>
      <rPr>
        <rFont val="Arial"/>
        <color theme="1"/>
        <sz val="10.0"/>
      </rPr>
      <t>Plimit (head) : xx dBm [static/TAS]</t>
    </r>
    <r>
      <rPr>
        <rFont val="Arial"/>
        <color theme="1"/>
        <sz val="10.0"/>
      </rPr>
      <t xml:space="preserve">
</t>
    </r>
    <r>
      <rPr>
        <rFont val="Arial"/>
        <color theme="1"/>
        <sz val="10.0"/>
      </rPr>
      <t>Plimit (body) : xx dBm [static/TAS]</t>
    </r>
  </si>
  <si>
    <t>MTR-40125</t>
  </si>
  <si>
    <r>
      <rPr>
        <rFont val="Arial"/>
        <b/>
        <color theme="1"/>
        <sz val="10.0"/>
      </rPr>
      <t>Power calibration tolerances</t>
    </r>
    <r>
      <rPr>
        <rFont val="Arial"/>
        <b val="0"/>
        <color theme="1"/>
        <sz val="10.0"/>
      </rPr>
      <t xml:space="preserve">
The in production variability of the power values compared to the values indicated above is within +/-1 dB for 95% of the cases.</t>
    </r>
  </si>
  <si>
    <t>MTR-34354</t>
  </si>
  <si>
    <r>
      <rPr>
        <rFont val="Arial"/>
        <b/>
        <color theme="1"/>
        <sz val="10.0"/>
      </rPr>
      <t>2.2.1.2</t>
    </r>
    <r>
      <rPr>
        <rFont val="Arial"/>
        <b val="0"/>
        <color theme="1"/>
        <sz val="10.0"/>
      </rPr>
      <t xml:space="preserve"> </t>
    </r>
    <r>
      <rPr>
        <rFont val="Arial"/>
        <b/>
        <color theme="1"/>
        <sz val="10.0"/>
      </rPr>
      <t>Conducted Reference Sensitivity (for 10 MHz bandwidth)</t>
    </r>
  </si>
  <si>
    <t>MTR-34374</t>
  </si>
  <si>
    <r>
      <rPr>
        <rFont val="Arial"/>
        <b/>
        <color theme="1"/>
        <sz val="10.0"/>
      </rPr>
      <t>Rx Sensitivity n1 for conducted RF performance:</t>
    </r>
    <r>
      <rPr>
        <rFont val="Arial"/>
        <b val="0"/>
        <color theme="1"/>
        <sz val="10.0"/>
      </rPr>
      <t xml:space="preserve">
-99.5dBm 
[-99.5dBm= -96.8 dBm - 2.7dB assuming four antenna ports]
(3GPP minimum Requirement, 10 MHz BW, SCS 15 kHz)
Please indicate the target design value under "Comments Vendor".
See 3GPP TS 38.101-1 Table 7.3.2-1 for further details.</t>
    </r>
  </si>
  <si>
    <t>Target design value -99.5 dBm</t>
  </si>
  <si>
    <t>-xxx dBm</t>
  </si>
  <si>
    <t>MTR-34371</t>
  </si>
  <si>
    <r>
      <rPr>
        <rFont val="Arial"/>
        <b/>
        <color theme="1"/>
        <sz val="10.0"/>
      </rPr>
      <t>Rx Sensitivity n3 for conducted RF performance:</t>
    </r>
    <r>
      <rPr>
        <rFont val="Arial"/>
        <b val="0"/>
        <color theme="1"/>
        <sz val="10.0"/>
      </rPr>
      <t xml:space="preserve">
-96.5 dBm
[-96.5dBm= -93.8 dBm - 2.7dB assuming four antenna ports]
(3GPP minimum Requirement, 10 MHz BW, SCS 15 kHz)
Please indicate the target design value under "Comments Vendor".
See 3GPP TS 38.101-1 Table 7.3.2-1 for further details.</t>
    </r>
  </si>
  <si>
    <t>Target design value -96.5 dBm</t>
  </si>
  <si>
    <t>MTR-34370</t>
  </si>
  <si>
    <r>
      <rPr>
        <rFont val="Arial"/>
        <b/>
        <color theme="1"/>
        <sz val="10.0"/>
      </rPr>
      <t>Rx Sensitivity n7 for conducted RF performance:</t>
    </r>
    <r>
      <rPr>
        <rFont val="Arial"/>
        <b val="0"/>
        <color theme="1"/>
        <sz val="10.0"/>
      </rPr>
      <t xml:space="preserve">
-97.5 dBm 
[-97.5dBm= -94.8 dBm - 2.7dB assuming four antenna ports]
(3GPP minimum Requirement, 10 MHz BW, SCS 15 kHz)
Please indicate the target design value under "Comments Vendor".
See 3GPP TS 38.101-1 Table 7.3.2-1 for further details.</t>
    </r>
  </si>
  <si>
    <t>Target design value -97.5 dBm</t>
  </si>
  <si>
    <t>MTR-38619</t>
  </si>
  <si>
    <r>
      <rPr>
        <rFont val="Arial"/>
        <b/>
        <color theme="1"/>
        <sz val="10.0"/>
      </rPr>
      <t>Rx Sensitivity n8 for conducted RF performance:</t>
    </r>
    <r>
      <rPr>
        <rFont val="Arial"/>
        <b val="0"/>
        <color theme="1"/>
        <sz val="10.0"/>
      </rPr>
      <t xml:space="preserve">
-93.8 dBm 
[assuming two antenna ports - if four antenna ports are used a a value of -96.5dBm=-93.8dbm-2.7dB applies]
(3GPP minimum Requirement, 10 MHz BW, SCS 15 kHz)
Please indicate the target design value under "Comments Vendor".
See 3GPP TS 38.101-1 Table 7.3.2-1 for further details.</t>
    </r>
  </si>
  <si>
    <t>Target design value -93.8 dBm</t>
  </si>
  <si>
    <t>MTR-38618</t>
  </si>
  <si>
    <r>
      <rPr>
        <rFont val="Arial"/>
        <b/>
        <color theme="1"/>
        <sz val="10.0"/>
      </rPr>
      <t>Rx Sensitivity n20 for conducted RF performance:</t>
    </r>
    <r>
      <rPr>
        <rFont val="Arial"/>
        <b val="0"/>
        <color theme="1"/>
        <sz val="10.0"/>
      </rPr>
      <t xml:space="preserve">
-93.8 dBm 
[assuming two antenna ports - if four antenna ports are used a a value of -96.5dBm=-93.8dbm-2.7dB applies]
(3GPP minimum Requirement, 10 MHz BW, SCS 15 kHz)
Please indicate the target design value under "Comments Vendor".
See 3GPP TS 38.101-1 Table 7.3.2-1 for further details.</t>
    </r>
  </si>
  <si>
    <t>MTR-33813</t>
  </si>
  <si>
    <r>
      <rPr>
        <rFont val="Arial"/>
        <b/>
        <color theme="1"/>
        <sz val="10.0"/>
      </rPr>
      <t>Rx Sensitivity n28 for conducted RF performance:</t>
    </r>
    <r>
      <rPr>
        <rFont val="Arial"/>
        <b val="0"/>
        <color theme="1"/>
        <sz val="10.0"/>
      </rPr>
      <t xml:space="preserve">
-95.5 dBm 
[assuming two antenna ports - if four antenna ports are used a a value of -98.2dBm=-95.5dbm-2.7dB applies]
(3GPP minimum Requirement, 10 MHz BW, SCS 15 kHz)
Please indicate the target design value under "Comments Vendor".
See 3GPP TS 38.101-1 Table 7.3.2-1 for further details.</t>
    </r>
  </si>
  <si>
    <t>Target design value -95.5 dBm</t>
  </si>
  <si>
    <t>MTR-38877</t>
  </si>
  <si>
    <r>
      <rPr>
        <rFont val="Arial"/>
        <b/>
        <color theme="1"/>
        <sz val="10.0"/>
      </rPr>
      <t>Rx Sensitivity n75 for conducted RF performance:</t>
    </r>
    <r>
      <rPr>
        <rFont val="Arial"/>
        <b val="0"/>
        <color theme="1"/>
        <sz val="10.0"/>
      </rPr>
      <t xml:space="preserve">
-99.5dBm 
[-99.5dBm= -96.8 dBm - 2.7dB assuming four antenna ports]
(as for other 3GPP minimum Requirements, 10 MHz BW, SCS 15 kHz)
Please indicate the target design value under "Comments Vendor".
See 3GPP TS 38.101-1 Table 7.3.2-1 for further details.
[at the time of writing there is no value for n75 indicated by 3GPP, but the value indicated here is in line with the ones indicated by 3GPP for n24, inner parts of n74 or n1]</t>
    </r>
  </si>
  <si>
    <t>MTR-33812</t>
  </si>
  <si>
    <r>
      <rPr>
        <rFont val="Arial"/>
        <b/>
        <color theme="1"/>
        <sz val="10.0"/>
      </rPr>
      <t>Rx Sensitivity n78 for conducted RF performance:</t>
    </r>
    <r>
      <rPr>
        <rFont val="Arial"/>
        <b val="0"/>
        <color theme="1"/>
        <sz val="10.0"/>
      </rPr>
      <t xml:space="preserve">
-98.3 dBm
[-98.3dBm= -96.1 dBm - 2.2dB assuming four antenna ports]
(3GPP minimum Requirement, 10 MHz BW, SCS 30 kHz)
Please indicate the target design value under "Comments Vendor".
See 3GPP TS 38.101-1 Table 7.3.2-1 for further details.</t>
    </r>
  </si>
  <si>
    <t>Target design value -98.3 dBm</t>
  </si>
  <si>
    <t>MTR-34379</t>
  </si>
  <si>
    <r>
      <rPr>
        <rFont val="Arial"/>
        <b/>
        <color theme="1"/>
        <sz val="10.0"/>
      </rPr>
      <t>2.2.1.3</t>
    </r>
    <r>
      <rPr>
        <rFont val="Arial"/>
        <b val="0"/>
        <color theme="1"/>
        <sz val="10.0"/>
      </rPr>
      <t xml:space="preserve"> </t>
    </r>
    <r>
      <rPr>
        <rFont val="Arial"/>
        <b/>
        <color theme="1"/>
        <sz val="10.0"/>
      </rPr>
      <t>Conducted Reference Sensitivity for 20 MHz bandwidth</t>
    </r>
    <r>
      <rPr>
        <rFont val="Arial"/>
        <b val="0"/>
        <color theme="1"/>
        <sz val="10.0"/>
      </rPr>
      <t xml:space="preserve"> (use in case no 10MHz value is available)</t>
    </r>
  </si>
  <si>
    <t>MTR-34382</t>
  </si>
  <si>
    <r>
      <rPr>
        <rFont val="Arial"/>
        <b/>
        <color theme="1"/>
        <sz val="10.0"/>
      </rPr>
      <t>Rx Sensitivity n78 for conducted RF performance:</t>
    </r>
    <r>
      <rPr>
        <rFont val="Arial"/>
        <b val="0"/>
        <color theme="1"/>
        <sz val="10.0"/>
      </rPr>
      <t xml:space="preserve">
-95.1 dBm
[-95.1dBm= -92.9 dBm - 2.2dB assuming four antenna ports]
(3GPP minimum Requirement, 20 MHz BW, SCS 30 kHz)
Please indicate the target design value under "Comments Vendor".
See 3GPP TS 38.101-1 Table 7.3.2-1 for further details.</t>
    </r>
  </si>
  <si>
    <t>Target design value -95.1 dBm</t>
  </si>
  <si>
    <t>MTR-39955</t>
  </si>
  <si>
    <r>
      <rPr>
        <rFont val="Arial"/>
        <b/>
        <color theme="1"/>
        <sz val="10.0"/>
      </rPr>
      <t>2.2.1.4</t>
    </r>
    <r>
      <rPr>
        <rFont val="Arial"/>
        <b val="0"/>
        <color theme="1"/>
        <sz val="10.0"/>
      </rPr>
      <t xml:space="preserve"> </t>
    </r>
    <r>
      <rPr>
        <rFont val="Arial"/>
        <b/>
        <color theme="1"/>
        <sz val="10.0"/>
      </rPr>
      <t>Conducted Sensitivity Relaxations</t>
    </r>
  </si>
  <si>
    <t>MTR-33629</t>
  </si>
  <si>
    <r>
      <rPr>
        <rFont val="Arial"/>
        <color theme="1"/>
        <sz val="10.0"/>
      </rPr>
      <t xml:space="preserve">Indicate under "Comments Vendor" the </t>
    </r>
    <r>
      <rPr>
        <rFont val="Arial"/>
        <b/>
        <color theme="1"/>
        <sz val="10.0"/>
      </rPr>
      <t>Maximum Sensitivity Degradation</t>
    </r>
    <r>
      <rPr>
        <rFont val="Arial"/>
        <color theme="1"/>
        <sz val="10.0"/>
      </rPr>
      <t xml:space="preserve"> (MSD) measured according to TS 38.101-3 chapter 7.3B.2.3 for the critical frequency combinations (due to </t>
    </r>
    <r>
      <rPr>
        <rFont val="Arial"/>
        <b/>
        <color theme="1"/>
        <sz val="10.0"/>
      </rPr>
      <t>UL harmonic interference</t>
    </r>
    <r>
      <rPr>
        <rFont val="Arial"/>
        <color theme="1"/>
        <sz val="10.0"/>
      </rPr>
      <t>) in Band 3 UL + Band n78A DL at 20 MHz receive bandwidth. Allowed exception according to TS 38.101-3 Table 7.3B.2.3.1-1 is 20.9 dB. Expectation is that a significantly lower MSD is achieved.</t>
    </r>
  </si>
  <si>
    <t>1.8 dB</t>
  </si>
  <si>
    <t>x dB</t>
  </si>
  <si>
    <t>MTR-34688</t>
  </si>
  <si>
    <r>
      <rPr>
        <rFont val="Arial"/>
        <color theme="1"/>
        <sz val="10.0"/>
      </rPr>
      <t xml:space="preserve">The </t>
    </r>
    <r>
      <rPr>
        <rFont val="Arial"/>
        <b/>
        <color theme="1"/>
        <sz val="10.0"/>
      </rPr>
      <t>Maximum Sensitivity Degradation</t>
    </r>
    <r>
      <rPr>
        <rFont val="Arial"/>
        <color theme="1"/>
        <sz val="10.0"/>
      </rPr>
      <t xml:space="preserve"> (due to </t>
    </r>
    <r>
      <rPr>
        <rFont val="Arial"/>
        <b/>
        <color theme="1"/>
        <sz val="10.0"/>
      </rPr>
      <t>UL harmonic interference</t>
    </r>
    <r>
      <rPr>
        <rFont val="Arial"/>
        <color theme="1"/>
        <sz val="10.0"/>
      </rPr>
      <t>) as defined by MTR-33629 is 5 dB.</t>
    </r>
  </si>
  <si>
    <t>MSD (UL harmonic) complies 3GPP spec.
Pixel hardware designs follow 3GPP 38.101 and will try our best to minimize the deviation for every Pixel products</t>
  </si>
  <si>
    <t>MTR-33630</t>
  </si>
  <si>
    <r>
      <rPr>
        <rFont val="Arial"/>
        <color theme="1"/>
        <sz val="10.0"/>
      </rPr>
      <t xml:space="preserve">Indicate under "Comments Vendor" the </t>
    </r>
    <r>
      <rPr>
        <rFont val="Arial"/>
        <b/>
        <color theme="1"/>
        <sz val="10.0"/>
      </rPr>
      <t>Maximum Sensitivity Degradation</t>
    </r>
    <r>
      <rPr>
        <rFont val="Arial"/>
        <color theme="1"/>
        <sz val="10.0"/>
      </rPr>
      <t xml:space="preserve"> (MSD) measured according to TS 38.101-3 chapter 7.3B.2.3 for the critical frequency combinations (due to </t>
    </r>
    <r>
      <rPr>
        <rFont val="Arial"/>
        <b/>
        <color theme="1"/>
        <sz val="10.0"/>
      </rPr>
      <t>Dual Uplink Operation</t>
    </r>
    <r>
      <rPr>
        <rFont val="Arial"/>
        <color theme="1"/>
        <sz val="10.0"/>
      </rPr>
      <t>) in Band 3 UL (5 MHz bandwidth) + Band n78A UL (10 MHz bandwidth) and Band 3 DL (5 MHz bandwidth). Allowed exception according to TS 38.101-3 Table 7.3B.2.3.5.1-1 is 26 dB for 2 antennas and 28.7dB for 4 antennas. Expectation is that a significantly lower MSD is achieved.</t>
    </r>
  </si>
  <si>
    <t>4.9 dB</t>
  </si>
  <si>
    <t>MTR-34689</t>
  </si>
  <si>
    <r>
      <rPr>
        <rFont val="Arial"/>
        <color theme="1"/>
        <sz val="10.0"/>
      </rPr>
      <t xml:space="preserve">The </t>
    </r>
    <r>
      <rPr>
        <rFont val="Arial"/>
        <b/>
        <color theme="1"/>
        <sz val="10.0"/>
      </rPr>
      <t xml:space="preserve">Maximum Sensitivity Degradation </t>
    </r>
    <r>
      <rPr>
        <rFont val="Arial"/>
        <color theme="1"/>
        <sz val="10.0"/>
      </rPr>
      <t xml:space="preserve">(due to </t>
    </r>
    <r>
      <rPr>
        <rFont val="Arial"/>
        <b/>
        <color theme="1"/>
        <sz val="10.0"/>
      </rPr>
      <t>Dual Uplink Operation</t>
    </r>
    <r>
      <rPr>
        <rFont val="Arial"/>
        <color theme="1"/>
        <sz val="10.0"/>
      </rPr>
      <t>) as defined by MTR-33630 is 5 dB.</t>
    </r>
  </si>
  <si>
    <t>MSD (IMD2) complies 3GPP spec</t>
  </si>
  <si>
    <t>MTR-69</t>
  </si>
  <si>
    <r>
      <rPr>
        <rFont val="Arial"/>
        <b/>
        <color theme="1"/>
        <sz val="10.0"/>
      </rPr>
      <t>2.2.2</t>
    </r>
    <r>
      <rPr>
        <rFont val="Arial"/>
        <b val="0"/>
        <color theme="1"/>
        <sz val="10.0"/>
      </rPr>
      <t xml:space="preserve"> </t>
    </r>
    <r>
      <rPr>
        <rFont val="Arial"/>
        <b/>
        <color theme="1"/>
        <sz val="10.0"/>
      </rPr>
      <t>RF Performance - Free Space</t>
    </r>
  </si>
  <si>
    <t>MTR-29682</t>
  </si>
  <si>
    <r>
      <rPr>
        <rFont val="Arial"/>
        <color theme="1"/>
        <sz val="10.0"/>
      </rPr>
      <t>Deutsche Telekom</t>
    </r>
    <r>
      <rPr>
        <rFont val="Arial"/>
        <b/>
        <color theme="1"/>
        <sz val="10.0"/>
      </rPr>
      <t xml:space="preserve"> "Free Space" (FS) RF Performance</t>
    </r>
    <r>
      <rPr>
        <rFont val="Arial"/>
        <color theme="1"/>
        <sz val="10.0"/>
      </rPr>
      <t xml:space="preserve"> requirements
Applicability: all device types with focus on data services
i.e. 
 - Smartphones
 - Tablets
 - Data products</t>
    </r>
  </si>
  <si>
    <t>MTR-30851</t>
  </si>
  <si>
    <r>
      <rPr>
        <rFont val="Arial"/>
        <color theme="1"/>
        <sz val="10.0"/>
      </rPr>
      <t xml:space="preserve">The following rules apply for </t>
    </r>
    <r>
      <rPr>
        <rFont val="Arial"/>
        <b/>
        <color theme="1"/>
        <sz val="10.0"/>
      </rPr>
      <t xml:space="preserve">"Free Space" (FS) RF Performance </t>
    </r>
    <r>
      <rPr>
        <rFont val="Arial"/>
        <color theme="1"/>
        <sz val="10.0"/>
      </rPr>
      <t xml:space="preserve"> requirements:
- </t>
    </r>
    <r>
      <rPr>
        <rFont val="Arial"/>
        <b/>
        <color theme="1"/>
        <sz val="10.0"/>
      </rPr>
      <t>TRP values</t>
    </r>
    <r>
      <rPr>
        <rFont val="Arial"/>
        <color theme="1"/>
        <sz val="10.0"/>
      </rPr>
      <t xml:space="preserve"> shall be provided as follows:
  TRP: Single value for primary antenna as in normal operation
- </t>
    </r>
    <r>
      <rPr>
        <rFont val="Arial"/>
        <b/>
        <color theme="1"/>
        <sz val="10.0"/>
      </rPr>
      <t>TIS values</t>
    </r>
    <r>
      <rPr>
        <rFont val="Arial"/>
        <color theme="1"/>
        <sz val="10.0"/>
      </rPr>
      <t xml:space="preserve"> shall be provided as follows:
   GSM: Single value for primary antenna as in normal operation
   LTE/NR: Combined value with all antennas active plus
             Single value for primary antenna
             Single value for secondary antenna
             Single value for third antenna (if available and applicable for band)
             Single value for fourth antenna (if available and applicable for band)
   No single antenna value shall be more than 2dB worse than the threshold for the combined value stated in the individual requirement!</t>
    </r>
  </si>
  <si>
    <t>MTR-30855</t>
  </si>
  <si>
    <r>
      <rPr>
        <rFont val="Arial"/>
        <b/>
        <color theme="1"/>
        <sz val="10.0"/>
      </rPr>
      <t>2.2.2.1</t>
    </r>
    <r>
      <rPr>
        <rFont val="Arial"/>
        <b val="0"/>
        <color theme="1"/>
        <sz val="10.0"/>
      </rPr>
      <t xml:space="preserve"> </t>
    </r>
    <r>
      <rPr>
        <rFont val="Arial"/>
        <b/>
        <color theme="1"/>
        <sz val="10.0"/>
      </rPr>
      <t>TRP FS</t>
    </r>
  </si>
  <si>
    <t>MTR-71</t>
  </si>
  <si>
    <t>TRP FS GSM900 &gt;= 28 dBm</t>
  </si>
  <si>
    <t>26.2 dBm</t>
  </si>
  <si>
    <t>xx dBm</t>
  </si>
  <si>
    <t>MTR-73</t>
  </si>
  <si>
    <t>TRP FS GSM1800 &gt;= 26 dBm</t>
  </si>
  <si>
    <t>26.5 dBm</t>
  </si>
  <si>
    <t>MTR-30857</t>
  </si>
  <si>
    <t>TRP FS LTE Band 1 &gt;= 18.5 dBm</t>
  </si>
  <si>
    <t>Antenna (Data_Only), Antenna (Smartphone), Antenna (Tablet)</t>
  </si>
  <si>
    <t>20 dBm</t>
  </si>
  <si>
    <t>MTR-30858</t>
  </si>
  <si>
    <t>TRP FS LTE Band 3 &gt;= 18.5 dBm
[LTE only operation or ENDC with NR uplink not on band 1 - i.e not DC_3A_n1A...]</t>
  </si>
  <si>
    <t>21.5 dBm</t>
  </si>
  <si>
    <t>MTR-38541</t>
  </si>
  <si>
    <r>
      <rPr>
        <rFont val="Arial"/>
        <color theme="1"/>
        <sz val="10.0"/>
      </rPr>
      <t xml:space="preserve">TRP FS LTE Band 3 &gt;= 18.5 dBm
[applicable in case of NSA with </t>
    </r>
    <r>
      <rPr>
        <rFont val="Arial"/>
        <b/>
        <color theme="1"/>
        <sz val="10.0"/>
      </rPr>
      <t>NR uplink on n1</t>
    </r>
    <r>
      <rPr>
        <rFont val="Arial"/>
        <color theme="1"/>
        <sz val="10.0"/>
      </rPr>
      <t xml:space="preserve"> i.e. DC_3A_n1A...]</t>
    </r>
  </si>
  <si>
    <t>21.1 dBm</t>
  </si>
  <si>
    <t>MTR-30859</t>
  </si>
  <si>
    <t>TRP FS LTE Band 7 &gt;= 18.5 dBm</t>
  </si>
  <si>
    <t>20.4 dBm</t>
  </si>
  <si>
    <t>MTR-30860</t>
  </si>
  <si>
    <t>TRP FS LTE Band 8 &gt;= 18 dBm</t>
  </si>
  <si>
    <t>18.1 dBm</t>
  </si>
  <si>
    <t>MTR-30861</t>
  </si>
  <si>
    <t>TRP FS LTE Band 20 &gt;= 18 dBm
[LTE only operation or ENDC with NR uplink not a low band i.e. not n8,n28]</t>
  </si>
  <si>
    <t>19 dBm</t>
  </si>
  <si>
    <t>MTR-38540</t>
  </si>
  <si>
    <r>
      <rPr>
        <rFont val="Arial"/>
        <color theme="1"/>
        <sz val="10.0"/>
      </rPr>
      <t xml:space="preserve">TRP FS LTE Band 20 &gt;= 18 dBm
[applicable in case of NSA with </t>
    </r>
    <r>
      <rPr>
        <rFont val="Arial"/>
        <b/>
        <color theme="1"/>
        <sz val="10.0"/>
      </rPr>
      <t>NR on low band</t>
    </r>
    <r>
      <rPr>
        <rFont val="Arial"/>
        <color theme="1"/>
        <sz val="10.0"/>
      </rPr>
      <t xml:space="preserve"> as B8,B28 i.e. DC_20A_n28A,DC_20A_n8A
 if just one of those NR bands is supported, a single indication is sufficient
 if different NR bands are supported, the performance is expected to be similar independent of the anchor - if the performance differs depending on the anchor by more than 1dB, individual results have to be indicated]</t>
    </r>
  </si>
  <si>
    <t>only support DC_20A_n28A
18.6 dBm</t>
  </si>
  <si>
    <t>MTR-34414</t>
  </si>
  <si>
    <t>TRP FS LTE Band 28 &gt;= 18 dBm</t>
  </si>
  <si>
    <t>19.3 dBm</t>
  </si>
  <si>
    <t>MTR-34391</t>
  </si>
  <si>
    <t>TRP FS NR Band n1 &gt;= 18.5 dBm</t>
  </si>
  <si>
    <t>19.8 dBm</t>
  </si>
  <si>
    <t>MTR-35261</t>
  </si>
  <si>
    <r>
      <rPr>
        <rFont val="Arial"/>
        <color theme="1"/>
        <sz val="10.0"/>
      </rPr>
      <t xml:space="preserve">TRP FS NR Band n1 &gt;= 18.5 dBm
[applicable in case of NSA with </t>
    </r>
    <r>
      <rPr>
        <rFont val="Arial"/>
        <b/>
        <color theme="1"/>
        <sz val="10.0"/>
      </rPr>
      <t>LTE anchor on low band</t>
    </r>
    <r>
      <rPr>
        <rFont val="Arial"/>
        <color theme="1"/>
        <sz val="10.0"/>
      </rPr>
      <t xml:space="preserve"> as B8,B20,B28
 if just one of those anchors is supported, a single indication is sufficient
 if different anchors are supported, the performance is expected to be similar independent of the anchor - if the performance differs depending on the anchor by more than 1dB, individual results have to be indicated]</t>
    </r>
  </si>
  <si>
    <t>DC 8A: 20 dBm
DC 20A: 19.3 dBm 
DC 28A: 20.3 dBm</t>
  </si>
  <si>
    <t>MTR-35263</t>
  </si>
  <si>
    <r>
      <rPr>
        <rFont val="Arial"/>
        <color theme="1"/>
        <sz val="10.0"/>
      </rPr>
      <t xml:space="preserve">TRP FS NR Band n1 &gt;= 18.5 dBm
[applicable in case of NSA with </t>
    </r>
    <r>
      <rPr>
        <rFont val="Arial"/>
        <b/>
        <color theme="1"/>
        <sz val="10.0"/>
      </rPr>
      <t>LTE anchor on mid and high</t>
    </r>
    <r>
      <rPr>
        <rFont val="Arial"/>
        <color theme="1"/>
        <sz val="10.0"/>
      </rPr>
      <t xml:space="preserve"> band as B3,B7
 if just one of those anchors is supported, a single indication is sufficient
 if different anchors are supported, the performance is expected to be similar independent of the anchor - if the performance differs depending on the anchor by more than 1dB, individual results have to be indicated]</t>
    </r>
  </si>
  <si>
    <t>DC 3A: 21.1 dBm
DC 7A: 18.5 dBm</t>
  </si>
  <si>
    <t>MTR-34390</t>
  </si>
  <si>
    <t>TRP FS NR Band n3 &gt;= 18.5 dBm</t>
  </si>
  <si>
    <t>21.6 dBm</t>
  </si>
  <si>
    <t>MTR-35264</t>
  </si>
  <si>
    <r>
      <rPr>
        <rFont val="Arial"/>
        <color theme="1"/>
        <sz val="10.0"/>
      </rPr>
      <t xml:space="preserve">TRP FS NR Band n3 &gt;= 18.5 dBm
[applicable in case of NSA with </t>
    </r>
    <r>
      <rPr>
        <rFont val="Arial"/>
        <b/>
        <color theme="1"/>
        <sz val="10.0"/>
      </rPr>
      <t>LTE anchor on low band</t>
    </r>
    <r>
      <rPr>
        <rFont val="Arial"/>
        <color theme="1"/>
        <sz val="10.0"/>
      </rPr>
      <t xml:space="preserve"> as B8,B20,B28
 if just one of those anchors is supported, a single indication is sufficient
 if different anchors are supported, the performance is expected to be similar independent of the anchor - if the performance differs depending on the anchor by more than 1dB, individual results have to be indicated]</t>
    </r>
  </si>
  <si>
    <t>DC 8A: 21.7 dBm
DC 20A: 21.5 dBm
DC 28A: 21.7 dBm</t>
  </si>
  <si>
    <t>MTR-35266</t>
  </si>
  <si>
    <r>
      <rPr>
        <rFont val="Arial"/>
        <color theme="1"/>
        <sz val="10.0"/>
      </rPr>
      <t xml:space="preserve">TRP FS NR Band n3 &gt;= 18.5 dBm
[applicable in case of NSA with </t>
    </r>
    <r>
      <rPr>
        <rFont val="Arial"/>
        <b/>
        <color theme="1"/>
        <sz val="10.0"/>
      </rPr>
      <t>LTE anchor on mid and high</t>
    </r>
    <r>
      <rPr>
        <rFont val="Arial"/>
        <color theme="1"/>
        <sz val="10.0"/>
      </rPr>
      <t xml:space="preserve"> band as B1,B7
 if just one of those anchors is supported, a single indication is sufficient
 if different anchors are supported, the performance is expected to be similar independent of the anchor - if the performance differs depending on the anchor by more than 1dB, individual results have to be indicated]</t>
    </r>
  </si>
  <si>
    <t>DC 1A: 21.6 dBm
DC 7A: 21.4 dBm</t>
  </si>
  <si>
    <t>MTR-34388</t>
  </si>
  <si>
    <t>TRP FS NR Band n7 &gt;= 18.5 dBm</t>
  </si>
  <si>
    <t>20.6 dBm</t>
  </si>
  <si>
    <t>MTR-35267</t>
  </si>
  <si>
    <r>
      <rPr>
        <rFont val="Arial"/>
        <color theme="1"/>
        <sz val="10.0"/>
      </rPr>
      <t xml:space="preserve">TRP FS NR Band n7 &gt;= 18.5 dBm
[applicable in case of NSA with </t>
    </r>
    <r>
      <rPr>
        <rFont val="Arial"/>
        <b/>
        <color theme="1"/>
        <sz val="10.0"/>
      </rPr>
      <t>LTE anchor on low band</t>
    </r>
    <r>
      <rPr>
        <rFont val="Arial"/>
        <color theme="1"/>
        <sz val="10.0"/>
      </rPr>
      <t xml:space="preserve"> as B8,B20,B28
 if just one of those anchors is supported, a single indication is sufficient
 if different anchors are supported, the performance is expected to be similar independent of the anchor - if the performance differs depending on the anchor by more than 1dB, individual results have to be indicated]</t>
    </r>
  </si>
  <si>
    <t>DC 8A: 20.2 dBm
DC 20A:  20.5 dBm
DC 28A:  20.2 dBm</t>
  </si>
  <si>
    <t>MTR-35268</t>
  </si>
  <si>
    <r>
      <rPr>
        <rFont val="Arial"/>
        <color theme="1"/>
        <sz val="10.0"/>
      </rPr>
      <t xml:space="preserve">TRP FS NR Band n7 &gt;= 18.5 dBm
[applicable in case of NSA with </t>
    </r>
    <r>
      <rPr>
        <rFont val="Arial"/>
        <b/>
        <color theme="1"/>
        <sz val="10.0"/>
      </rPr>
      <t>LTE anchor on mid band</t>
    </r>
    <r>
      <rPr>
        <rFont val="Arial"/>
        <color theme="1"/>
        <sz val="10.0"/>
      </rPr>
      <t xml:space="preserve"> as B1,B3
 if just one of those anchors is supported, a single indication is sufficient
 if different anchors are supported, the performance is expected to be similar independent of the anchor - if the performance differs depending on the anchor by more than 1dB, individual results have to be indicated]</t>
    </r>
  </si>
  <si>
    <t>DC 1A: 19.5 dBm
DC 3A: 19.5 dBm</t>
  </si>
  <si>
    <t>MTR-38623</t>
  </si>
  <si>
    <t>TRP FS NR Band n8 &gt;= 18 dBm</t>
  </si>
  <si>
    <t>MTR-38624</t>
  </si>
  <si>
    <r>
      <rPr>
        <rFont val="Arial"/>
        <color theme="1"/>
        <sz val="10.0"/>
      </rPr>
      <t xml:space="preserve">TRP FS NR Band n8 &gt;= 18 dBm
[applicable in case of NSA with </t>
    </r>
    <r>
      <rPr>
        <rFont val="Arial"/>
        <b/>
        <color theme="1"/>
        <sz val="10.0"/>
      </rPr>
      <t>LTE anchor on low band</t>
    </r>
    <r>
      <rPr>
        <rFont val="Arial"/>
        <color theme="1"/>
        <sz val="10.0"/>
      </rPr>
      <t xml:space="preserve"> as B20,B28
 if just one of those anchors is supported, a single indication is sufficient
 if different anchors are supported, the performance is expected to be similar independent of the anchor - if the performance differs depending on the anchor by more than 1dB, individual results have to be indicated]</t>
    </r>
  </si>
  <si>
    <t>not support</t>
  </si>
  <si>
    <t>MTR-38625</t>
  </si>
  <si>
    <r>
      <rPr>
        <rFont val="Arial"/>
        <color theme="1"/>
        <sz val="10.0"/>
      </rPr>
      <t xml:space="preserve">TRP FS NR Band n8 &gt;= 18 dBm
[applicable in case of NSA with </t>
    </r>
    <r>
      <rPr>
        <rFont val="Arial"/>
        <b/>
        <color theme="1"/>
        <sz val="10.0"/>
      </rPr>
      <t>LTE anchor on mid and high band</t>
    </r>
    <r>
      <rPr>
        <rFont val="Arial"/>
        <color theme="1"/>
        <sz val="10.0"/>
      </rPr>
      <t xml:space="preserve"> as B1,B3,B7
 if just one of those anchors is supported, a single indication is sufficient
 if different anchors are supported, the performance is expected to be similar independent of the anchor - if the performance differs depending on the anchor by more than 1dB, individual results have to be indicated]</t>
    </r>
  </si>
  <si>
    <t>DC 1A: 18.4 dBm
DC 3A: 18.4 dBm
DC 7A: 18.5 dBm</t>
  </si>
  <si>
    <t>MTR-38620</t>
  </si>
  <si>
    <t>TRP FS NR Band n20 &gt;= 18 dBm</t>
  </si>
  <si>
    <t>18.5 dBm</t>
  </si>
  <si>
    <t>MTR-38621</t>
  </si>
  <si>
    <r>
      <rPr>
        <rFont val="Arial"/>
        <color theme="1"/>
        <sz val="10.0"/>
      </rPr>
      <t xml:space="preserve">TRP FS NR Band n20 &gt;= 18 dBm
[applicable in case of NSA with </t>
    </r>
    <r>
      <rPr>
        <rFont val="Arial"/>
        <b/>
        <color theme="1"/>
        <sz val="10.0"/>
      </rPr>
      <t>LTE anchor on low band</t>
    </r>
    <r>
      <rPr>
        <rFont val="Arial"/>
        <color theme="1"/>
        <sz val="10.0"/>
      </rPr>
      <t xml:space="preserve"> as B8,B28
 if just one of those anchors is supported, a single indication is sufficient
 if different anchors are supported, the performance is expected to be similar independent of the anchor - if the performance differs depending on the anchor by more than 1dB, individual results have to be indicated]</t>
    </r>
  </si>
  <si>
    <t>MTR-38622</t>
  </si>
  <si>
    <r>
      <rPr>
        <rFont val="Arial"/>
        <color theme="1"/>
        <sz val="10.0"/>
      </rPr>
      <t xml:space="preserve">TRP FS NR Band n20 &gt;= 18 dBm
[applicable in case of NSA with </t>
    </r>
    <r>
      <rPr>
        <rFont val="Arial"/>
        <b/>
        <color theme="1"/>
        <sz val="10.0"/>
      </rPr>
      <t>LTE anchor on mid and high band</t>
    </r>
    <r>
      <rPr>
        <rFont val="Arial"/>
        <color theme="1"/>
        <sz val="10.0"/>
      </rPr>
      <t xml:space="preserve"> as B1,B3,B7
 if just one of those anchors is supported, a single indication is sufficient
 if different anchors are supported, the performance is expected to be similar independent of the anchor - if the performance differs depending on the anchor by more than 1dB, individual results have to be indicated]</t>
    </r>
  </si>
  <si>
    <t>DC 1A: 19.4 dBm
DC 3A: 18.1 dBm
DC 7A: 18.4 dBm</t>
  </si>
  <si>
    <t>MTR-34387</t>
  </si>
  <si>
    <t>TRP FS NR Band n28 &gt;= 18 dBm</t>
  </si>
  <si>
    <t>MTR-35269</t>
  </si>
  <si>
    <r>
      <rPr>
        <rFont val="Arial"/>
        <color theme="1"/>
        <sz val="10.0"/>
      </rPr>
      <t xml:space="preserve">TRP FS NR Band n28 &gt;= 18 dBm
[applicable in case of NSA with </t>
    </r>
    <r>
      <rPr>
        <rFont val="Arial"/>
        <b/>
        <color theme="1"/>
        <sz val="10.0"/>
      </rPr>
      <t>LTE anchor on low band</t>
    </r>
    <r>
      <rPr>
        <rFont val="Arial"/>
        <color theme="1"/>
        <sz val="10.0"/>
      </rPr>
      <t xml:space="preserve"> as B8,B20
 if just one of those anchors is supported, a single indication is sufficient
 if different anchors are supported, the performance is expected to be similar independent of the anchor - if the performance differs depending on the anchor by more than 1dB, individual results have to be indicated]</t>
    </r>
  </si>
  <si>
    <t>DC 20A: 18.2 dBm</t>
  </si>
  <si>
    <t>MTR-35270</t>
  </si>
  <si>
    <r>
      <rPr>
        <rFont val="Arial"/>
        <color theme="1"/>
        <sz val="10.0"/>
      </rPr>
      <t xml:space="preserve">TRP FS NR Band n28 &gt;= 18 dBm
[applicable in case of NSA with </t>
    </r>
    <r>
      <rPr>
        <rFont val="Arial"/>
        <b/>
        <color theme="1"/>
        <sz val="10.0"/>
      </rPr>
      <t>LTE anchor on mid and high band</t>
    </r>
    <r>
      <rPr>
        <rFont val="Arial"/>
        <color theme="1"/>
        <sz val="10.0"/>
      </rPr>
      <t xml:space="preserve"> as B1,B3,B7
 if just one of those anchors is supported, a single indication is sufficient
 if different anchors are supported, the performance is expected to be similar independent of the anchor - if the performance differs depending on the anchor by more than 1dB, individual results have to be indicated]</t>
    </r>
  </si>
  <si>
    <t>DC 1A: 19.1 dBm
DC 3A: 18.9 dBm
DC 7A: 18.9 dBm</t>
  </si>
  <si>
    <t>MTR-33809</t>
  </si>
  <si>
    <t>TRP FS NR Band n78 &gt;= 18.5 dBm
with Tx Power for n78: Power Class PC3 / 23 dBm</t>
  </si>
  <si>
    <t>19.1 dBm</t>
  </si>
  <si>
    <t>MTR-35273</t>
  </si>
  <si>
    <r>
      <rPr>
        <rFont val="Arial"/>
        <color theme="1"/>
        <sz val="10.0"/>
      </rPr>
      <t xml:space="preserve">TRP FS NR Band n78 &gt;= 18.5 dBm
with Tx Power for n78: Power Class PC3 / 23 dBm
[applicable in case of NSA with </t>
    </r>
    <r>
      <rPr>
        <rFont val="Arial"/>
        <b/>
        <color theme="1"/>
        <sz val="10.0"/>
      </rPr>
      <t>LTE anchor on any band</t>
    </r>
    <r>
      <rPr>
        <rFont val="Arial"/>
        <color theme="1"/>
        <sz val="10.0"/>
      </rPr>
      <t xml:space="preserve"> as B1,B3,B7,B8,B20,B28
 if just one of those anchors is supported, a single indication is sufficient
 if different anchors are supported, the performance is expected to be similar independent of the anchor - if the performance differs depending on the anchor by more than 1dB, individual results have to be indicated]</t>
    </r>
  </si>
  <si>
    <t>DC 1A: 19.1 dBm
DC 3A: 19 dBm
DC 7A: 19 dBm
DC 8A: 19.1 dBm
DC 20A: 19.1 dBm
DC 28A: 19 dBm</t>
  </si>
  <si>
    <t>MTR-38826</t>
  </si>
  <si>
    <t>TRP FS NR Band n78 &gt;= 21.5 dBm
with Tx Power for n78: Power Class PC2 / 26 dBm</t>
  </si>
  <si>
    <t>21 dBm</t>
  </si>
  <si>
    <t>MTR-30862</t>
  </si>
  <si>
    <r>
      <rPr>
        <rFont val="Arial"/>
        <b/>
        <color theme="1"/>
        <sz val="10.0"/>
      </rPr>
      <t>2.2.2.2</t>
    </r>
    <r>
      <rPr>
        <rFont val="Arial"/>
        <b val="0"/>
        <color theme="1"/>
        <sz val="10.0"/>
      </rPr>
      <t xml:space="preserve"> </t>
    </r>
    <r>
      <rPr>
        <rFont val="Arial"/>
        <b/>
        <color theme="1"/>
        <sz val="10.0"/>
      </rPr>
      <t>TIS FS</t>
    </r>
  </si>
  <si>
    <t>MTR-72</t>
  </si>
  <si>
    <t>TIS FS GSM900 &lt;= -103 dBm</t>
  </si>
  <si>
    <t>-107.3 dBm</t>
  </si>
  <si>
    <t>MTR-74</t>
  </si>
  <si>
    <t>TIS FS GSM1800 &lt;= -104 dBm</t>
  </si>
  <si>
    <t>-106 dBm</t>
  </si>
  <si>
    <t>MTR-30867</t>
  </si>
  <si>
    <t>TIS FS LTE Band 1 &lt;= -94 dBm</t>
  </si>
  <si>
    <t>Combined: -xxx dBm
Primary: -xxx dBm
Secondary: -xxx dBm
3rd Antenna: -xxx dBm
4th Antenna: -xxx dBm</t>
  </si>
  <si>
    <r>
      <rPr>
        <rFont val="Arial"/>
        <color theme="1"/>
        <sz val="10.0"/>
      </rPr>
      <t>Combined: -xxx dBm</t>
    </r>
    <r>
      <rPr>
        <rFont val="Arial"/>
        <color theme="1"/>
        <sz val="10.0"/>
      </rPr>
      <t xml:space="preserve">
</t>
    </r>
    <r>
      <rPr>
        <rFont val="Arial"/>
        <color theme="1"/>
        <sz val="10.0"/>
      </rPr>
      <t>Primary: -xxx dBm</t>
    </r>
    <r>
      <rPr>
        <rFont val="Arial"/>
        <color theme="1"/>
        <sz val="10.0"/>
      </rPr>
      <t xml:space="preserve">
</t>
    </r>
    <r>
      <rPr>
        <rFont val="Arial"/>
        <color theme="1"/>
        <sz val="10.0"/>
      </rPr>
      <t>Secondary: -xxx dBm</t>
    </r>
    <r>
      <rPr>
        <rFont val="Arial"/>
        <color theme="1"/>
        <sz val="10.0"/>
      </rPr>
      <t xml:space="preserve">
</t>
    </r>
    <r>
      <rPr>
        <rFont val="Arial"/>
        <color theme="1"/>
        <sz val="10.0"/>
      </rPr>
      <t>3rd Antenna: -xxx dBm</t>
    </r>
    <r>
      <rPr>
        <rFont val="Arial"/>
        <color theme="1"/>
        <sz val="10.0"/>
      </rPr>
      <t xml:space="preserve">
</t>
    </r>
    <r>
      <rPr>
        <rFont val="Arial"/>
        <color theme="1"/>
        <sz val="10.0"/>
      </rPr>
      <t>4th Antenna: -xxx dBm</t>
    </r>
  </si>
  <si>
    <t>MTR-30868</t>
  </si>
  <si>
    <t>TIS FS LTE Band 3 &lt;= -94 dBm</t>
  </si>
  <si>
    <t>Combined: -98.7 dBm</t>
  </si>
  <si>
    <r>
      <rPr>
        <rFont val="Arial"/>
        <color theme="1"/>
        <sz val="10.0"/>
      </rPr>
      <t>Combined: -xxx dBm</t>
    </r>
    <r>
      <rPr>
        <rFont val="Arial"/>
        <color theme="1"/>
        <sz val="10.0"/>
      </rPr>
      <t xml:space="preserve">
</t>
    </r>
    <r>
      <rPr>
        <rFont val="Arial"/>
        <color theme="1"/>
        <sz val="10.0"/>
      </rPr>
      <t>Primary: -xxx dBm</t>
    </r>
    <r>
      <rPr>
        <rFont val="Arial"/>
        <color theme="1"/>
        <sz val="10.0"/>
      </rPr>
      <t xml:space="preserve">
</t>
    </r>
    <r>
      <rPr>
        <rFont val="Arial"/>
        <color theme="1"/>
        <sz val="10.0"/>
      </rPr>
      <t>Secondary: -xxx dBm</t>
    </r>
    <r>
      <rPr>
        <rFont val="Arial"/>
        <color theme="1"/>
        <sz val="10.0"/>
      </rPr>
      <t xml:space="preserve">
</t>
    </r>
    <r>
      <rPr>
        <rFont val="Arial"/>
        <color theme="1"/>
        <sz val="10.0"/>
      </rPr>
      <t>3rd Antenna: -xxx dBm</t>
    </r>
    <r>
      <rPr>
        <rFont val="Arial"/>
        <color theme="1"/>
        <sz val="10.0"/>
      </rPr>
      <t xml:space="preserve">
</t>
    </r>
    <r>
      <rPr>
        <rFont val="Arial"/>
        <color theme="1"/>
        <sz val="10.0"/>
      </rPr>
      <t>4th Antenna: -xxx dBm</t>
    </r>
  </si>
  <si>
    <t>MTR-30869</t>
  </si>
  <si>
    <t>TIS FS LTE Band 7 &lt;= -94 dBm</t>
  </si>
  <si>
    <t>Combined: -98.5 dBm</t>
  </si>
  <si>
    <r>
      <rPr>
        <rFont val="Arial"/>
        <color theme="1"/>
        <sz val="10.0"/>
      </rPr>
      <t>Combined: -xxx dBm</t>
    </r>
    <r>
      <rPr>
        <rFont val="Arial"/>
        <color theme="1"/>
        <sz val="10.0"/>
      </rPr>
      <t xml:space="preserve">
</t>
    </r>
    <r>
      <rPr>
        <rFont val="Arial"/>
        <color theme="1"/>
        <sz val="10.0"/>
      </rPr>
      <t>Primary: -xxx dBm</t>
    </r>
    <r>
      <rPr>
        <rFont val="Arial"/>
        <color theme="1"/>
        <sz val="10.0"/>
      </rPr>
      <t xml:space="preserve">
</t>
    </r>
    <r>
      <rPr>
        <rFont val="Arial"/>
        <color theme="1"/>
        <sz val="10.0"/>
      </rPr>
      <t>Secondary: -xxx dBm</t>
    </r>
    <r>
      <rPr>
        <rFont val="Arial"/>
        <color theme="1"/>
        <sz val="10.0"/>
      </rPr>
      <t xml:space="preserve">
</t>
    </r>
    <r>
      <rPr>
        <rFont val="Arial"/>
        <color theme="1"/>
        <sz val="10.0"/>
      </rPr>
      <t>3rd Antenna: -xxx dBm</t>
    </r>
    <r>
      <rPr>
        <rFont val="Arial"/>
        <color theme="1"/>
        <sz val="10.0"/>
      </rPr>
      <t xml:space="preserve">
</t>
    </r>
    <r>
      <rPr>
        <rFont val="Arial"/>
        <color theme="1"/>
        <sz val="10.0"/>
      </rPr>
      <t>4th Antenna: -xxx dBm</t>
    </r>
  </si>
  <si>
    <t>MTR-30870</t>
  </si>
  <si>
    <t>TIS FS LTE Band 8 &lt;= -93.5 dBm</t>
  </si>
  <si>
    <t>Combined: -96.9 dBm</t>
  </si>
  <si>
    <r>
      <rPr>
        <rFont val="Arial"/>
        <color theme="1"/>
        <sz val="10.0"/>
      </rPr>
      <t>Combined: -xxx dBm</t>
    </r>
    <r>
      <rPr>
        <rFont val="Arial"/>
        <color theme="1"/>
        <sz val="10.0"/>
      </rPr>
      <t xml:space="preserve">
</t>
    </r>
    <r>
      <rPr>
        <rFont val="Arial"/>
        <color theme="1"/>
        <sz val="10.0"/>
      </rPr>
      <t>Primary: -xxx dBm</t>
    </r>
    <r>
      <rPr>
        <rFont val="Arial"/>
        <color theme="1"/>
        <sz val="10.0"/>
      </rPr>
      <t xml:space="preserve">
</t>
    </r>
    <r>
      <rPr>
        <rFont val="Arial"/>
        <color theme="1"/>
        <sz val="10.0"/>
      </rPr>
      <t>Secondary: -xxx dBm</t>
    </r>
    <r>
      <rPr>
        <rFont val="Arial"/>
        <color theme="1"/>
        <sz val="10.0"/>
      </rPr>
      <t xml:space="preserve">
</t>
    </r>
    <r>
      <rPr>
        <rFont val="Arial"/>
        <color theme="1"/>
        <sz val="10.0"/>
      </rPr>
      <t>[3rd Antenna: -xxx dBm]</t>
    </r>
    <r>
      <rPr>
        <rFont val="Arial"/>
        <color theme="1"/>
        <sz val="10.0"/>
      </rPr>
      <t xml:space="preserve">
</t>
    </r>
    <r>
      <rPr>
        <rFont val="Arial"/>
        <color theme="1"/>
        <sz val="10.0"/>
      </rPr>
      <t>[4th Antenna: -xxx dBm]</t>
    </r>
  </si>
  <si>
    <t>MTR-30871</t>
  </si>
  <si>
    <t>TIS FS LTE Band 20 &lt;= -93.5 dBm</t>
  </si>
  <si>
    <t>Combined: -96.1 dBm</t>
  </si>
  <si>
    <r>
      <rPr>
        <rFont val="Arial"/>
        <color theme="1"/>
        <sz val="10.0"/>
      </rPr>
      <t>Combined: -xxx dBm</t>
    </r>
    <r>
      <rPr>
        <rFont val="Arial"/>
        <color theme="1"/>
        <sz val="10.0"/>
      </rPr>
      <t xml:space="preserve">
</t>
    </r>
    <r>
      <rPr>
        <rFont val="Arial"/>
        <color theme="1"/>
        <sz val="10.0"/>
      </rPr>
      <t>Primary: -xxx dBm</t>
    </r>
    <r>
      <rPr>
        <rFont val="Arial"/>
        <color theme="1"/>
        <sz val="10.0"/>
      </rPr>
      <t xml:space="preserve">
</t>
    </r>
    <r>
      <rPr>
        <rFont val="Arial"/>
        <color theme="1"/>
        <sz val="10.0"/>
      </rPr>
      <t>Secondary: -xxx dBm</t>
    </r>
    <r>
      <rPr>
        <rFont val="Arial"/>
        <color theme="1"/>
        <sz val="10.0"/>
      </rPr>
      <t xml:space="preserve">
</t>
    </r>
    <r>
      <rPr>
        <rFont val="Arial"/>
        <color theme="1"/>
        <sz val="10.0"/>
      </rPr>
      <t>[3rd Antenna: -xxx dBm]</t>
    </r>
    <r>
      <rPr>
        <rFont val="Arial"/>
        <color theme="1"/>
        <sz val="10.0"/>
      </rPr>
      <t xml:space="preserve">
</t>
    </r>
    <r>
      <rPr>
        <rFont val="Arial"/>
        <color theme="1"/>
        <sz val="10.0"/>
      </rPr>
      <t>[4th Antenna: -xxx dBm]</t>
    </r>
  </si>
  <si>
    <t>MTR-34415</t>
  </si>
  <si>
    <t>TIS FS LTE Band 28 &lt;= -93.5 dBm</t>
  </si>
  <si>
    <t>Combined: -96.7 dBm</t>
  </si>
  <si>
    <r>
      <rPr>
        <rFont val="Arial"/>
        <color theme="1"/>
        <sz val="10.0"/>
      </rPr>
      <t>Combined: -xxx dBm</t>
    </r>
    <r>
      <rPr>
        <rFont val="Arial"/>
        <color theme="1"/>
        <sz val="10.0"/>
      </rPr>
      <t xml:space="preserve">
</t>
    </r>
    <r>
      <rPr>
        <rFont val="Arial"/>
        <color theme="1"/>
        <sz val="10.0"/>
      </rPr>
      <t>Primary: -xxx dBm</t>
    </r>
    <r>
      <rPr>
        <rFont val="Arial"/>
        <color theme="1"/>
        <sz val="10.0"/>
      </rPr>
      <t xml:space="preserve">
</t>
    </r>
    <r>
      <rPr>
        <rFont val="Arial"/>
        <color theme="1"/>
        <sz val="10.0"/>
      </rPr>
      <t>Secondary: -xxx dBm</t>
    </r>
    <r>
      <rPr>
        <rFont val="Arial"/>
        <color theme="1"/>
        <sz val="10.0"/>
      </rPr>
      <t xml:space="preserve">
</t>
    </r>
    <r>
      <rPr>
        <rFont val="Arial"/>
        <color theme="1"/>
        <sz val="10.0"/>
      </rPr>
      <t>[3rd Antenna: -xxx dBm]</t>
    </r>
    <r>
      <rPr>
        <rFont val="Arial"/>
        <color theme="1"/>
        <sz val="10.0"/>
      </rPr>
      <t xml:space="preserve">
</t>
    </r>
    <r>
      <rPr>
        <rFont val="Arial"/>
        <color theme="1"/>
        <sz val="10.0"/>
      </rPr>
      <t>[4th Antenna: -xxx dBm]</t>
    </r>
  </si>
  <si>
    <t>MTR-33224</t>
  </si>
  <si>
    <t>TIS FS LTE Band 32 &lt;= -94 dBm</t>
  </si>
  <si>
    <t>Combined: -96.8 dBm</t>
  </si>
  <si>
    <r>
      <rPr>
        <rFont val="Arial"/>
        <color theme="1"/>
        <sz val="10.0"/>
      </rPr>
      <t>Combined: -xxx dBm</t>
    </r>
    <r>
      <rPr>
        <rFont val="Arial"/>
        <color theme="1"/>
        <sz val="10.0"/>
      </rPr>
      <t xml:space="preserve">
</t>
    </r>
    <r>
      <rPr>
        <rFont val="Arial"/>
        <color theme="1"/>
        <sz val="10.0"/>
      </rPr>
      <t>Primary: -xxx dBm</t>
    </r>
    <r>
      <rPr>
        <rFont val="Arial"/>
        <color theme="1"/>
        <sz val="10.0"/>
      </rPr>
      <t xml:space="preserve">
</t>
    </r>
    <r>
      <rPr>
        <rFont val="Arial"/>
        <color theme="1"/>
        <sz val="10.0"/>
      </rPr>
      <t>Secondary: -xxx dBm</t>
    </r>
    <r>
      <rPr>
        <rFont val="Arial"/>
        <color theme="1"/>
        <sz val="10.0"/>
      </rPr>
      <t xml:space="preserve">
</t>
    </r>
    <r>
      <rPr>
        <rFont val="Arial"/>
        <color theme="1"/>
        <sz val="10.0"/>
      </rPr>
      <t>[3rd Antenna: -xxx dBm]</t>
    </r>
    <r>
      <rPr>
        <rFont val="Arial"/>
        <color theme="1"/>
        <sz val="10.0"/>
      </rPr>
      <t xml:space="preserve">
</t>
    </r>
    <r>
      <rPr>
        <rFont val="Arial"/>
        <color theme="1"/>
        <sz val="10.0"/>
      </rPr>
      <t>[4th Antenna: -xxx dBm]</t>
    </r>
  </si>
  <si>
    <t>MTR-33808</t>
  </si>
  <si>
    <t>TIS FS NR Band n1 &lt;= -94 dBm (10 MHz BW, SCS 15 KHz)</t>
  </si>
  <si>
    <r>
      <rPr>
        <rFont val="Arial"/>
        <color theme="1"/>
        <sz val="10.0"/>
      </rPr>
      <t>Combined: -xxx dBm</t>
    </r>
    <r>
      <rPr>
        <rFont val="Arial"/>
        <color theme="1"/>
        <sz val="10.0"/>
      </rPr>
      <t xml:space="preserve">
</t>
    </r>
    <r>
      <rPr>
        <rFont val="Arial"/>
        <color theme="1"/>
        <sz val="10.0"/>
      </rPr>
      <t>Primary: -xxx dBm</t>
    </r>
    <r>
      <rPr>
        <rFont val="Arial"/>
        <color theme="1"/>
        <sz val="10.0"/>
      </rPr>
      <t xml:space="preserve">
</t>
    </r>
    <r>
      <rPr>
        <rFont val="Arial"/>
        <color theme="1"/>
        <sz val="10.0"/>
      </rPr>
      <t>Secondary: -xxx dBm</t>
    </r>
    <r>
      <rPr>
        <rFont val="Arial"/>
        <color theme="1"/>
        <sz val="10.0"/>
      </rPr>
      <t xml:space="preserve">
</t>
    </r>
    <r>
      <rPr>
        <rFont val="Arial"/>
        <color theme="1"/>
        <sz val="10.0"/>
      </rPr>
      <t>3rd Antenna: -xxx dBm</t>
    </r>
    <r>
      <rPr>
        <rFont val="Arial"/>
        <color theme="1"/>
        <sz val="10.0"/>
      </rPr>
      <t xml:space="preserve">
</t>
    </r>
    <r>
      <rPr>
        <rFont val="Arial"/>
        <color theme="1"/>
        <sz val="10.0"/>
      </rPr>
      <t>4th Antenna: -xxx dBm</t>
    </r>
  </si>
  <si>
    <t>MTR-34404</t>
  </si>
  <si>
    <t>TIS FS NR Band n3 &lt;= -94 dBm (10 MHz BW, SCS 15 KHz)</t>
  </si>
  <si>
    <t>Combined: -99.3 dBm</t>
  </si>
  <si>
    <r>
      <rPr>
        <rFont val="Arial"/>
        <color theme="1"/>
        <sz val="10.0"/>
      </rPr>
      <t>Combined: -xxx dBm</t>
    </r>
    <r>
      <rPr>
        <rFont val="Arial"/>
        <color theme="1"/>
        <sz val="10.0"/>
      </rPr>
      <t xml:space="preserve">
</t>
    </r>
    <r>
      <rPr>
        <rFont val="Arial"/>
        <color theme="1"/>
        <sz val="10.0"/>
      </rPr>
      <t>Primary: -xxx dBm</t>
    </r>
    <r>
      <rPr>
        <rFont val="Arial"/>
        <color theme="1"/>
        <sz val="10.0"/>
      </rPr>
      <t xml:space="preserve">
</t>
    </r>
    <r>
      <rPr>
        <rFont val="Arial"/>
        <color theme="1"/>
        <sz val="10.0"/>
      </rPr>
      <t>Secondary: -xxx dBm</t>
    </r>
    <r>
      <rPr>
        <rFont val="Arial"/>
        <color theme="1"/>
        <sz val="10.0"/>
      </rPr>
      <t xml:space="preserve">
</t>
    </r>
    <r>
      <rPr>
        <rFont val="Arial"/>
        <color theme="1"/>
        <sz val="10.0"/>
      </rPr>
      <t>3rd Antenna: -xxx dBm</t>
    </r>
    <r>
      <rPr>
        <rFont val="Arial"/>
        <color theme="1"/>
        <sz val="10.0"/>
      </rPr>
      <t xml:space="preserve">
</t>
    </r>
    <r>
      <rPr>
        <rFont val="Arial"/>
        <color theme="1"/>
        <sz val="10.0"/>
      </rPr>
      <t>4th Antenna: -xxx dBm</t>
    </r>
  </si>
  <si>
    <t>MTR-34403</t>
  </si>
  <si>
    <t>TIS FS NR Band n7 &lt;= -94 dBm (10 MHz BW, SCS 15 KHz)</t>
  </si>
  <si>
    <t>Combined: -98.2 dBm</t>
  </si>
  <si>
    <r>
      <rPr>
        <rFont val="Arial"/>
        <color theme="1"/>
        <sz val="10.0"/>
      </rPr>
      <t>Combined: -xxx dBm</t>
    </r>
    <r>
      <rPr>
        <rFont val="Arial"/>
        <color theme="1"/>
        <sz val="10.0"/>
      </rPr>
      <t xml:space="preserve">
</t>
    </r>
    <r>
      <rPr>
        <rFont val="Arial"/>
        <color theme="1"/>
        <sz val="10.0"/>
      </rPr>
      <t>Primary: -xxx dBm</t>
    </r>
    <r>
      <rPr>
        <rFont val="Arial"/>
        <color theme="1"/>
        <sz val="10.0"/>
      </rPr>
      <t xml:space="preserve">
</t>
    </r>
    <r>
      <rPr>
        <rFont val="Arial"/>
        <color theme="1"/>
        <sz val="10.0"/>
      </rPr>
      <t>Secondary: -xxx dBm</t>
    </r>
    <r>
      <rPr>
        <rFont val="Arial"/>
        <color theme="1"/>
        <sz val="10.0"/>
      </rPr>
      <t xml:space="preserve">
</t>
    </r>
    <r>
      <rPr>
        <rFont val="Arial"/>
        <color theme="1"/>
        <sz val="10.0"/>
      </rPr>
      <t>3rd Antenna: -xxx dBm</t>
    </r>
    <r>
      <rPr>
        <rFont val="Arial"/>
        <color theme="1"/>
        <sz val="10.0"/>
      </rPr>
      <t xml:space="preserve">
</t>
    </r>
    <r>
      <rPr>
        <rFont val="Arial"/>
        <color theme="1"/>
        <sz val="10.0"/>
      </rPr>
      <t>4th Antenna: -xxx dBm</t>
    </r>
  </si>
  <si>
    <t>MTR-38627</t>
  </si>
  <si>
    <t>TIS FS NR Band n8 &lt;= -93.5 dBm (10 MHz BW, SCS 15 KHz)</t>
  </si>
  <si>
    <t>Combined: -94.1 dBm</t>
  </si>
  <si>
    <r>
      <rPr>
        <rFont val="Arial"/>
        <color theme="1"/>
        <sz val="10.0"/>
      </rPr>
      <t>Combined: -xxx dBm</t>
    </r>
    <r>
      <rPr>
        <rFont val="Arial"/>
        <color theme="1"/>
        <sz val="10.0"/>
      </rPr>
      <t xml:space="preserve">
</t>
    </r>
    <r>
      <rPr>
        <rFont val="Arial"/>
        <color theme="1"/>
        <sz val="10.0"/>
      </rPr>
      <t>Primary: -xxx dBm</t>
    </r>
    <r>
      <rPr>
        <rFont val="Arial"/>
        <color theme="1"/>
        <sz val="10.0"/>
      </rPr>
      <t xml:space="preserve">
</t>
    </r>
    <r>
      <rPr>
        <rFont val="Arial"/>
        <color theme="1"/>
        <sz val="10.0"/>
      </rPr>
      <t>Secondary: -xxx dBm</t>
    </r>
    <r>
      <rPr>
        <rFont val="Arial"/>
        <color theme="1"/>
        <sz val="10.0"/>
      </rPr>
      <t xml:space="preserve">
</t>
    </r>
    <r>
      <rPr>
        <rFont val="Arial"/>
        <color theme="1"/>
        <sz val="10.0"/>
      </rPr>
      <t>[3rd Antenna: -xxx dBm]</t>
    </r>
    <r>
      <rPr>
        <rFont val="Arial"/>
        <color theme="1"/>
        <sz val="10.0"/>
      </rPr>
      <t xml:space="preserve">
</t>
    </r>
    <r>
      <rPr>
        <rFont val="Arial"/>
        <color theme="1"/>
        <sz val="10.0"/>
      </rPr>
      <t>[4th Antenna: -xxx dBm]</t>
    </r>
  </si>
  <si>
    <t>MTR-38626</t>
  </si>
  <si>
    <t>TIS FS NR Band n20 &lt;= -93.5 dBm (10 MHz BW, SCS 15 KHz)</t>
  </si>
  <si>
    <t>Combined: -94.9 dBm</t>
  </si>
  <si>
    <r>
      <rPr>
        <rFont val="Arial"/>
        <color theme="1"/>
        <sz val="10.0"/>
      </rPr>
      <t>Combined: -xxx dBm</t>
    </r>
    <r>
      <rPr>
        <rFont val="Arial"/>
        <color theme="1"/>
        <sz val="10.0"/>
      </rPr>
      <t xml:space="preserve">
</t>
    </r>
    <r>
      <rPr>
        <rFont val="Arial"/>
        <color theme="1"/>
        <sz val="10.0"/>
      </rPr>
      <t>Primary: -xxx dBm</t>
    </r>
    <r>
      <rPr>
        <rFont val="Arial"/>
        <color theme="1"/>
        <sz val="10.0"/>
      </rPr>
      <t xml:space="preserve">
</t>
    </r>
    <r>
      <rPr>
        <rFont val="Arial"/>
        <color theme="1"/>
        <sz val="10.0"/>
      </rPr>
      <t>Secondary: -xxx dBm</t>
    </r>
    <r>
      <rPr>
        <rFont val="Arial"/>
        <color theme="1"/>
        <sz val="10.0"/>
      </rPr>
      <t xml:space="preserve">
</t>
    </r>
    <r>
      <rPr>
        <rFont val="Arial"/>
        <color theme="1"/>
        <sz val="10.0"/>
      </rPr>
      <t>[3rd Antenna: -xxx dBm]</t>
    </r>
    <r>
      <rPr>
        <rFont val="Arial"/>
        <color theme="1"/>
        <sz val="10.0"/>
      </rPr>
      <t xml:space="preserve">
</t>
    </r>
    <r>
      <rPr>
        <rFont val="Arial"/>
        <color theme="1"/>
        <sz val="10.0"/>
      </rPr>
      <t>[4th Antenna: -xxx dBm]</t>
    </r>
  </si>
  <si>
    <t>MTR-34402</t>
  </si>
  <si>
    <t>TIS FS NR Band n28 &lt;= -93.5 dBm (10 MHz BW, SCS 15 KHz)</t>
  </si>
  <si>
    <t>Combined: -95.6 dBm</t>
  </si>
  <si>
    <r>
      <rPr>
        <rFont val="Arial"/>
        <color theme="1"/>
        <sz val="10.0"/>
      </rPr>
      <t>Combined: -xxx dBm</t>
    </r>
    <r>
      <rPr>
        <rFont val="Arial"/>
        <color theme="1"/>
        <sz val="10.0"/>
      </rPr>
      <t xml:space="preserve">
</t>
    </r>
    <r>
      <rPr>
        <rFont val="Arial"/>
        <color theme="1"/>
        <sz val="10.0"/>
      </rPr>
      <t>Primary: -xxx dBm</t>
    </r>
    <r>
      <rPr>
        <rFont val="Arial"/>
        <color theme="1"/>
        <sz val="10.0"/>
      </rPr>
      <t xml:space="preserve">
</t>
    </r>
    <r>
      <rPr>
        <rFont val="Arial"/>
        <color theme="1"/>
        <sz val="10.0"/>
      </rPr>
      <t>Secondary: -xxx dBm</t>
    </r>
    <r>
      <rPr>
        <rFont val="Arial"/>
        <color theme="1"/>
        <sz val="10.0"/>
      </rPr>
      <t xml:space="preserve">
</t>
    </r>
    <r>
      <rPr>
        <rFont val="Arial"/>
        <color theme="1"/>
        <sz val="10.0"/>
      </rPr>
      <t>[3rd Antenna: -xxx dBm]</t>
    </r>
    <r>
      <rPr>
        <rFont val="Arial"/>
        <color theme="1"/>
        <sz val="10.0"/>
      </rPr>
      <t xml:space="preserve">
</t>
    </r>
    <r>
      <rPr>
        <rFont val="Arial"/>
        <color theme="1"/>
        <sz val="10.0"/>
      </rPr>
      <t>[4th Antenna: -xxx dBm]</t>
    </r>
  </si>
  <si>
    <t>MTR-38844</t>
  </si>
  <si>
    <t>TIS FS NR Band n75 &lt;= -94 dBm (10 MHz BW, SCS 15 KHz)</t>
  </si>
  <si>
    <r>
      <rPr>
        <rFont val="Arial"/>
        <color theme="1"/>
        <sz val="10.0"/>
      </rPr>
      <t>Combined: -xxx dBm</t>
    </r>
    <r>
      <rPr>
        <rFont val="Arial"/>
        <color theme="1"/>
        <sz val="10.0"/>
      </rPr>
      <t xml:space="preserve">
</t>
    </r>
    <r>
      <rPr>
        <rFont val="Arial"/>
        <color theme="1"/>
        <sz val="10.0"/>
      </rPr>
      <t>Primary: -xxx dBm</t>
    </r>
    <r>
      <rPr>
        <rFont val="Arial"/>
        <color theme="1"/>
        <sz val="10.0"/>
      </rPr>
      <t xml:space="preserve">
</t>
    </r>
    <r>
      <rPr>
        <rFont val="Arial"/>
        <color theme="1"/>
        <sz val="10.0"/>
      </rPr>
      <t>Secondary: -xxx dBm</t>
    </r>
    <r>
      <rPr>
        <rFont val="Arial"/>
        <color theme="1"/>
        <sz val="10.0"/>
      </rPr>
      <t xml:space="preserve">
</t>
    </r>
    <r>
      <rPr>
        <rFont val="Arial"/>
        <color theme="1"/>
        <sz val="10.0"/>
      </rPr>
      <t>3rd Antenna: -xxx dBm</t>
    </r>
    <r>
      <rPr>
        <rFont val="Arial"/>
        <color theme="1"/>
        <sz val="10.0"/>
      </rPr>
      <t xml:space="preserve">
</t>
    </r>
    <r>
      <rPr>
        <rFont val="Arial"/>
        <color theme="1"/>
        <sz val="10.0"/>
      </rPr>
      <t>4th Antenna: -xxx dBm</t>
    </r>
  </si>
  <si>
    <t>MTR-34400</t>
  </si>
  <si>
    <t>TIS FS NR Band n78 &lt;= -94 dBm (10 MHz BW, SCS 30 KHz)</t>
  </si>
  <si>
    <t>-100 dBm</t>
  </si>
  <si>
    <r>
      <rPr>
        <rFont val="Arial"/>
        <color theme="1"/>
        <sz val="10.0"/>
      </rPr>
      <t>Combined: -xxx dBm</t>
    </r>
    <r>
      <rPr>
        <rFont val="Arial"/>
        <color theme="1"/>
        <sz val="10.0"/>
      </rPr>
      <t xml:space="preserve">
</t>
    </r>
    <r>
      <rPr>
        <rFont val="Arial"/>
        <color theme="1"/>
        <sz val="10.0"/>
      </rPr>
      <t>Primary: -xxx dBm</t>
    </r>
    <r>
      <rPr>
        <rFont val="Arial"/>
        <color theme="1"/>
        <sz val="10.0"/>
      </rPr>
      <t xml:space="preserve">
</t>
    </r>
    <r>
      <rPr>
        <rFont val="Arial"/>
        <color theme="1"/>
        <sz val="10.0"/>
      </rPr>
      <t>Secondary: -xxx dBm</t>
    </r>
    <r>
      <rPr>
        <rFont val="Arial"/>
        <color theme="1"/>
        <sz val="10.0"/>
      </rPr>
      <t xml:space="preserve">
</t>
    </r>
    <r>
      <rPr>
        <rFont val="Arial"/>
        <color theme="1"/>
        <sz val="10.0"/>
      </rPr>
      <t>3rd Antenna: -xxx dBm</t>
    </r>
    <r>
      <rPr>
        <rFont val="Arial"/>
        <color theme="1"/>
        <sz val="10.0"/>
      </rPr>
      <t xml:space="preserve">
</t>
    </r>
    <r>
      <rPr>
        <rFont val="Arial"/>
        <color theme="1"/>
        <sz val="10.0"/>
      </rPr>
      <t>4th Antenna: -xxx dBm</t>
    </r>
  </si>
  <si>
    <t>MTR-34396</t>
  </si>
  <si>
    <t>TIS FS NR Band n78 &lt;= -91 dBm (20 MHz BW, SCS 30 KHz)</t>
  </si>
  <si>
    <t>-96.6 dBm</t>
  </si>
  <si>
    <r>
      <rPr>
        <rFont val="Arial"/>
        <color theme="1"/>
        <sz val="10.0"/>
      </rPr>
      <t>Combined: -xxx dBm</t>
    </r>
    <r>
      <rPr>
        <rFont val="Arial"/>
        <color theme="1"/>
        <sz val="10.0"/>
      </rPr>
      <t xml:space="preserve">
</t>
    </r>
    <r>
      <rPr>
        <rFont val="Arial"/>
        <color theme="1"/>
        <sz val="10.0"/>
      </rPr>
      <t>Primary: -xxx dBm</t>
    </r>
    <r>
      <rPr>
        <rFont val="Arial"/>
        <color theme="1"/>
        <sz val="10.0"/>
      </rPr>
      <t xml:space="preserve">
</t>
    </r>
    <r>
      <rPr>
        <rFont val="Arial"/>
        <color theme="1"/>
        <sz val="10.0"/>
      </rPr>
      <t>Secondary: -xxx dBm</t>
    </r>
    <r>
      <rPr>
        <rFont val="Arial"/>
        <color theme="1"/>
        <sz val="10.0"/>
      </rPr>
      <t xml:space="preserve">
</t>
    </r>
    <r>
      <rPr>
        <rFont val="Arial"/>
        <color theme="1"/>
        <sz val="10.0"/>
      </rPr>
      <t>3rd Antenna: -xxx dBm</t>
    </r>
    <r>
      <rPr>
        <rFont val="Arial"/>
        <color theme="1"/>
        <sz val="10.0"/>
      </rPr>
      <t xml:space="preserve">
</t>
    </r>
    <r>
      <rPr>
        <rFont val="Arial"/>
        <color theme="1"/>
        <sz val="10.0"/>
      </rPr>
      <t>4th Antenna: -xxx dBm</t>
    </r>
  </si>
  <si>
    <t>MTR-29882</t>
  </si>
  <si>
    <r>
      <rPr>
        <rFont val="Arial"/>
        <color theme="1"/>
        <sz val="10.0"/>
      </rPr>
      <t xml:space="preserve">LTE/NR Antenna correlation (ECC) when measured under freefield conditions is equal or better than 0.5. For devices with more than 2 antennas this applies to all antenna pairs actively used for one frequency.
Note the values planned to achieve for all bands under "Comments Vendor"!
</t>
    </r>
    <r>
      <rPr>
        <rFont val="Arial"/>
        <b/>
        <color theme="1"/>
        <sz val="10.0"/>
      </rPr>
      <t xml:space="preserve">Note: </t>
    </r>
    <r>
      <rPr>
        <rFont val="Arial"/>
        <color theme="1"/>
        <sz val="10.0"/>
      </rPr>
      <t>A report for all bands is expected, see MTR-77.</t>
    </r>
  </si>
  <si>
    <t>meet requirement</t>
  </si>
  <si>
    <t>0.x</t>
  </si>
  <si>
    <t>MTR-60</t>
  </si>
  <si>
    <r>
      <rPr>
        <rFont val="Arial"/>
        <b/>
        <color theme="1"/>
        <sz val="10.0"/>
      </rPr>
      <t>2.2.3</t>
    </r>
    <r>
      <rPr>
        <rFont val="Arial"/>
        <b val="0"/>
        <color theme="1"/>
        <sz val="10.0"/>
      </rPr>
      <t xml:space="preserve"> </t>
    </r>
    <r>
      <rPr>
        <rFont val="Arial"/>
        <b/>
        <color theme="1"/>
        <sz val="10.0"/>
      </rPr>
      <t>RF Performance - Talk Mode "Besides Head and Hand"</t>
    </r>
  </si>
  <si>
    <t>MTR-30872</t>
  </si>
  <si>
    <r>
      <rPr>
        <rFont val="Arial"/>
        <color theme="1"/>
        <sz val="10.0"/>
      </rPr>
      <t>Deutsche Telekom "</t>
    </r>
    <r>
      <rPr>
        <rFont val="Arial"/>
        <b/>
        <color theme="1"/>
        <sz val="10.0"/>
      </rPr>
      <t xml:space="preserve">Talk Mode Besides Head and Hand" (BHHL/BHHR) RF Performance </t>
    </r>
    <r>
      <rPr>
        <rFont val="Arial"/>
        <color theme="1"/>
        <sz val="10.0"/>
      </rPr>
      <t>requirements
Applicability: every conventional handset/phone with voice support
i.e. 
 - Voice/Feature phones
 - Smartphones
Exceptions:
- LTE BHH requirements are only applicable if the device supports VoLTE
- NR BHH requirements are only applicable if the device supports VoNR
- Measurement methodology not applicable (e.g. due to size restrictions)</t>
    </r>
  </si>
  <si>
    <t>MTR-30873</t>
  </si>
  <si>
    <r>
      <rPr>
        <rFont val="Arial"/>
        <color theme="1"/>
        <sz val="10.0"/>
      </rPr>
      <t xml:space="preserve">The following rules apply for </t>
    </r>
    <r>
      <rPr>
        <rFont val="Arial"/>
        <b/>
        <color theme="1"/>
        <sz val="10.0"/>
      </rPr>
      <t>"Besides Head and Hand"</t>
    </r>
    <r>
      <rPr>
        <rFont val="Arial"/>
        <color theme="1"/>
        <sz val="10.0"/>
      </rPr>
      <t xml:space="preserve"> </t>
    </r>
    <r>
      <rPr>
        <rFont val="Arial"/>
        <b/>
        <color theme="1"/>
        <sz val="10.0"/>
      </rPr>
      <t xml:space="preserve">RF Performance  (BHHL/BHHR) </t>
    </r>
    <r>
      <rPr>
        <rFont val="Arial"/>
        <color theme="1"/>
        <sz val="10.0"/>
      </rPr>
      <t xml:space="preserve">requirements:
- </t>
    </r>
    <r>
      <rPr>
        <rFont val="Arial"/>
        <b/>
        <color theme="1"/>
        <sz val="10.0"/>
      </rPr>
      <t>TRP values</t>
    </r>
    <r>
      <rPr>
        <rFont val="Arial"/>
        <color theme="1"/>
        <sz val="10.0"/>
      </rPr>
      <t xml:space="preserve"> shall be provided as follows:
  TRP: A single value for the primary antenna each for the left and the right head postition
- </t>
    </r>
    <r>
      <rPr>
        <rFont val="Arial"/>
        <b/>
        <color theme="1"/>
        <sz val="10.0"/>
      </rPr>
      <t>TIS values</t>
    </r>
    <r>
      <rPr>
        <rFont val="Arial"/>
        <color theme="1"/>
        <sz val="10.0"/>
      </rPr>
      <t xml:space="preserve"> shall be provided as follows:
   GSM: A single value for the primary antenna each for the left and the right head position
   LTE/NR: A combined value with all antennas active (as in normal operation) each for the left and the right head position</t>
    </r>
  </si>
  <si>
    <t>MTR-30875</t>
  </si>
  <si>
    <r>
      <rPr>
        <rFont val="Arial"/>
        <b/>
        <color theme="1"/>
        <sz val="10.0"/>
      </rPr>
      <t>2.2.3.1</t>
    </r>
    <r>
      <rPr>
        <rFont val="Arial"/>
        <b val="0"/>
        <color theme="1"/>
        <sz val="10.0"/>
      </rPr>
      <t xml:space="preserve"> </t>
    </r>
    <r>
      <rPr>
        <rFont val="Arial"/>
        <b/>
        <color theme="1"/>
        <sz val="10.0"/>
      </rPr>
      <t>TRP BHHL&amp;BHHR</t>
    </r>
  </si>
  <si>
    <t>MTR-29684</t>
  </si>
  <si>
    <t>TRP BHHL&amp;BHHR GSM900 &gt;= 20 dBm</t>
  </si>
  <si>
    <t>Antenna (Voice_Centric), Antenna (Smartphone)</t>
  </si>
  <si>
    <t>BHHL: 19.7 dBm,
BHHR: 18.7 dBm</t>
  </si>
  <si>
    <r>
      <rPr>
        <rFont val="Arial"/>
        <color theme="1"/>
        <sz val="10.0"/>
      </rPr>
      <t>BHHL: xx dBm,</t>
    </r>
    <r>
      <rPr>
        <rFont val="Arial"/>
        <color theme="1"/>
        <sz val="10.0"/>
      </rPr>
      <t xml:space="preserve">
</t>
    </r>
    <r>
      <rPr>
        <rFont val="Arial"/>
        <color theme="1"/>
        <sz val="10.0"/>
      </rPr>
      <t>BHHR: xx dBm</t>
    </r>
  </si>
  <si>
    <t>MTR-29686</t>
  </si>
  <si>
    <t>TRP BHHL&amp;BHHR GSM1800 &gt;= 21 dBm</t>
  </si>
  <si>
    <t>BHHL: 21.8 dBm,
BHHR: 21 dBm</t>
  </si>
  <si>
    <r>
      <rPr>
        <rFont val="Arial"/>
        <color theme="1"/>
        <sz val="10.0"/>
      </rPr>
      <t>BHHL: xx dBm,</t>
    </r>
    <r>
      <rPr>
        <rFont val="Arial"/>
        <color theme="1"/>
        <sz val="10.0"/>
      </rPr>
      <t xml:space="preserve">
</t>
    </r>
    <r>
      <rPr>
        <rFont val="Arial"/>
        <color theme="1"/>
        <sz val="10.0"/>
      </rPr>
      <t>BHHR: xx dBm</t>
    </r>
  </si>
  <si>
    <t>MTR-30880</t>
  </si>
  <si>
    <t>TRP BHHL&amp;BHHR LTE Band 1 &gt;= 13.5 dBm</t>
  </si>
  <si>
    <t>BHHL: 17.3 dBm,
BHHR: 15.9 dBm</t>
  </si>
  <si>
    <r>
      <rPr>
        <rFont val="Arial"/>
        <color theme="1"/>
        <sz val="10.0"/>
      </rPr>
      <t>BHHL: xx dBm,</t>
    </r>
    <r>
      <rPr>
        <rFont val="Arial"/>
        <color theme="1"/>
        <sz val="10.0"/>
      </rPr>
      <t xml:space="preserve">
</t>
    </r>
    <r>
      <rPr>
        <rFont val="Arial"/>
        <color theme="1"/>
        <sz val="10.0"/>
      </rPr>
      <t>BHHR: xx dBm</t>
    </r>
  </si>
  <si>
    <t>MTR-30881</t>
  </si>
  <si>
    <t>TRP BHHL&amp;BHHR LTE Band 3 &gt;= 13.5 dBm</t>
  </si>
  <si>
    <t>BHHL: 16.5 dBm,
BHHR: 16.4 dBm</t>
  </si>
  <si>
    <r>
      <rPr>
        <rFont val="Arial"/>
        <color theme="1"/>
        <sz val="10.0"/>
      </rPr>
      <t>BHHL: xx dBm,</t>
    </r>
    <r>
      <rPr>
        <rFont val="Arial"/>
        <color theme="1"/>
        <sz val="10.0"/>
      </rPr>
      <t xml:space="preserve">
</t>
    </r>
    <r>
      <rPr>
        <rFont val="Arial"/>
        <color theme="1"/>
        <sz val="10.0"/>
      </rPr>
      <t>BHHR: xx dBm</t>
    </r>
  </si>
  <si>
    <t>MTR-30882</t>
  </si>
  <si>
    <t>TRP BHHL&amp;BHHR LTE Band 7 &gt;= 13.5 dBm</t>
  </si>
  <si>
    <t>BHHL: 17.8 dBm,
BHHR: 15.6 dBm</t>
  </si>
  <si>
    <r>
      <rPr>
        <rFont val="Arial"/>
        <color theme="1"/>
        <sz val="10.0"/>
      </rPr>
      <t>BHHL: xx dBm,</t>
    </r>
    <r>
      <rPr>
        <rFont val="Arial"/>
        <color theme="1"/>
        <sz val="10.0"/>
      </rPr>
      <t xml:space="preserve">
</t>
    </r>
    <r>
      <rPr>
        <rFont val="Arial"/>
        <color theme="1"/>
        <sz val="10.0"/>
      </rPr>
      <t>BHHR: xx dBm</t>
    </r>
  </si>
  <si>
    <t>MTR-30883</t>
  </si>
  <si>
    <t>TRP BHHL&amp;BHHR LTE Band 8 &gt;= 9.8 dBm</t>
  </si>
  <si>
    <t>BHHL: 11.9 dBm,
BHHR: 11.5 dBm</t>
  </si>
  <si>
    <r>
      <rPr>
        <rFont val="Arial"/>
        <color theme="1"/>
        <sz val="10.0"/>
      </rPr>
      <t>BHHL: xx dBm,</t>
    </r>
    <r>
      <rPr>
        <rFont val="Arial"/>
        <color theme="1"/>
        <sz val="10.0"/>
      </rPr>
      <t xml:space="preserve">
</t>
    </r>
    <r>
      <rPr>
        <rFont val="Arial"/>
        <color theme="1"/>
        <sz val="10.0"/>
      </rPr>
      <t>BHHR: xx dBm</t>
    </r>
  </si>
  <si>
    <t>MTR-30884</t>
  </si>
  <si>
    <t>TRP BHHL&amp;BHHR LTE Band 20 &gt;= 9.8 dBm</t>
  </si>
  <si>
    <t>BHHL: 11.7 dBm,
BHHR: 10.3 dBm</t>
  </si>
  <si>
    <r>
      <rPr>
        <rFont val="Arial"/>
        <color theme="1"/>
        <sz val="10.0"/>
      </rPr>
      <t>BHHL: xx dBm,</t>
    </r>
    <r>
      <rPr>
        <rFont val="Arial"/>
        <color theme="1"/>
        <sz val="10.0"/>
      </rPr>
      <t xml:space="preserve">
</t>
    </r>
    <r>
      <rPr>
        <rFont val="Arial"/>
        <color theme="1"/>
        <sz val="10.0"/>
      </rPr>
      <t>BHHR: xx dBm</t>
    </r>
  </si>
  <si>
    <t>MTR-34504</t>
  </si>
  <si>
    <t>TRP BHHL&amp;BHHR LTE Band 28 &gt;= 9.8 dBm</t>
  </si>
  <si>
    <t>BHHL: 11.7 dBm,
BHHR: 9.6 dBm</t>
  </si>
  <si>
    <r>
      <rPr>
        <rFont val="Arial"/>
        <color theme="1"/>
        <sz val="10.0"/>
      </rPr>
      <t>BHHL: xx dBm,</t>
    </r>
    <r>
      <rPr>
        <rFont val="Arial"/>
        <color theme="1"/>
        <sz val="10.0"/>
      </rPr>
      <t xml:space="preserve">
</t>
    </r>
    <r>
      <rPr>
        <rFont val="Arial"/>
        <color theme="1"/>
        <sz val="10.0"/>
      </rPr>
      <t>BHHR: xx dBm</t>
    </r>
  </si>
  <si>
    <t>MTR-38827</t>
  </si>
  <si>
    <t>TRP BHHL&amp;BHHR NR Band n1 &gt;= 13.5 dBm</t>
  </si>
  <si>
    <t>Antenna (Smartphone 5G)</t>
  </si>
  <si>
    <t>BHHL: 16.8 dBm,
BHHR: 15 dBm</t>
  </si>
  <si>
    <r>
      <rPr>
        <rFont val="Arial"/>
        <color theme="1"/>
        <sz val="10.0"/>
      </rPr>
      <t>BHHL: xx dBm,</t>
    </r>
    <r>
      <rPr>
        <rFont val="Arial"/>
        <color theme="1"/>
        <sz val="10.0"/>
      </rPr>
      <t xml:space="preserve">
</t>
    </r>
    <r>
      <rPr>
        <rFont val="Arial"/>
        <color theme="1"/>
        <sz val="10.0"/>
      </rPr>
      <t>BHHR: xx dBm</t>
    </r>
  </si>
  <si>
    <t>MTR-38828</t>
  </si>
  <si>
    <t>TRP BHHL&amp;BHHR NR Band n3 &gt;= 13.5 dBm</t>
  </si>
  <si>
    <t>BHHL: 16.7 dBm,
BHHR: 15.1 dBm</t>
  </si>
  <si>
    <r>
      <rPr>
        <rFont val="Arial"/>
        <color theme="1"/>
        <sz val="10.0"/>
      </rPr>
      <t>BHHL: xx dBm,</t>
    </r>
    <r>
      <rPr>
        <rFont val="Arial"/>
        <color theme="1"/>
        <sz val="10.0"/>
      </rPr>
      <t xml:space="preserve">
</t>
    </r>
    <r>
      <rPr>
        <rFont val="Arial"/>
        <color theme="1"/>
        <sz val="10.0"/>
      </rPr>
      <t>BHHR: xx dBm</t>
    </r>
  </si>
  <si>
    <t>MTR-38829</t>
  </si>
  <si>
    <t>TRP BHHL&amp;BHHR NR Band n7 &gt;= 13.5 dBm</t>
  </si>
  <si>
    <t>BHHL: 17 dBm,
BHHR: 15.1 dBm</t>
  </si>
  <si>
    <r>
      <rPr>
        <rFont val="Arial"/>
        <color theme="1"/>
        <sz val="10.0"/>
      </rPr>
      <t>BHHL: xx dBm,</t>
    </r>
    <r>
      <rPr>
        <rFont val="Arial"/>
        <color theme="1"/>
        <sz val="10.0"/>
      </rPr>
      <t xml:space="preserve">
</t>
    </r>
    <r>
      <rPr>
        <rFont val="Arial"/>
        <color theme="1"/>
        <sz val="10.0"/>
      </rPr>
      <t>BHHR: xx dBm</t>
    </r>
  </si>
  <si>
    <t>MTR-38830</t>
  </si>
  <si>
    <t>TRP BHHL&amp;BHHR NR Band n8 &gt;= 9.8 dBm</t>
  </si>
  <si>
    <t>BHHL: 11.7 dBm,
BHHR: 10.5 dBm</t>
  </si>
  <si>
    <r>
      <rPr>
        <rFont val="Arial"/>
        <color theme="1"/>
        <sz val="10.0"/>
      </rPr>
      <t>BHHL: xx dBm,</t>
    </r>
    <r>
      <rPr>
        <rFont val="Arial"/>
        <color theme="1"/>
        <sz val="10.0"/>
      </rPr>
      <t xml:space="preserve">
</t>
    </r>
    <r>
      <rPr>
        <rFont val="Arial"/>
        <color theme="1"/>
        <sz val="10.0"/>
      </rPr>
      <t>BHHR: xx dBm</t>
    </r>
  </si>
  <si>
    <t>MTR-38831</t>
  </si>
  <si>
    <t>TRP BHHL&amp;BHHR NR Band n20 &gt;= 9.8 dBm</t>
  </si>
  <si>
    <t>BHHL: 9.5 dBm,
BHHR: 10.1 dBm</t>
  </si>
  <si>
    <r>
      <rPr>
        <rFont val="Arial"/>
        <color theme="1"/>
        <sz val="10.0"/>
      </rPr>
      <t>BHHL: xx dBm,</t>
    </r>
    <r>
      <rPr>
        <rFont val="Arial"/>
        <color theme="1"/>
        <sz val="10.0"/>
      </rPr>
      <t xml:space="preserve">
</t>
    </r>
    <r>
      <rPr>
        <rFont val="Arial"/>
        <color theme="1"/>
        <sz val="10.0"/>
      </rPr>
      <t>BHHR: xx dBm</t>
    </r>
  </si>
  <si>
    <t>MTR-38832</t>
  </si>
  <si>
    <t>TRP BHHL&amp;BHHR NR Band n28 &gt;= 9.8 dBm</t>
  </si>
  <si>
    <t>BHHL: 11.6 dBm,
BHHR: 11.9 dBm</t>
  </si>
  <si>
    <r>
      <rPr>
        <rFont val="Arial"/>
        <color theme="1"/>
        <sz val="10.0"/>
      </rPr>
      <t>BHHL: xx dBm,</t>
    </r>
    <r>
      <rPr>
        <rFont val="Arial"/>
        <color theme="1"/>
        <sz val="10.0"/>
      </rPr>
      <t xml:space="preserve">
</t>
    </r>
    <r>
      <rPr>
        <rFont val="Arial"/>
        <color theme="1"/>
        <sz val="10.0"/>
      </rPr>
      <t>BHHR: xx dBm</t>
    </r>
  </si>
  <si>
    <t>MTR-38834</t>
  </si>
  <si>
    <t>TRP BHHL&amp;BHHR NR Band n78 &gt;= 13.5 dBm
with Tx Power for n78: Power Class PC3 / 23 dBm</t>
  </si>
  <si>
    <t>BHHL: 16.8 dBm,
BHHR: 16.8 dBm</t>
  </si>
  <si>
    <r>
      <rPr>
        <rFont val="Arial"/>
        <color theme="1"/>
        <sz val="10.0"/>
      </rPr>
      <t>BHHL: xx dBm,</t>
    </r>
    <r>
      <rPr>
        <rFont val="Arial"/>
        <color theme="1"/>
        <sz val="10.0"/>
      </rPr>
      <t xml:space="preserve">
</t>
    </r>
    <r>
      <rPr>
        <rFont val="Arial"/>
        <color theme="1"/>
        <sz val="10.0"/>
      </rPr>
      <t>BHHR: xx dBm</t>
    </r>
  </si>
  <si>
    <t>MTR-38835</t>
  </si>
  <si>
    <t>TRP BHHL&amp;BHHR NR Band n78 &gt;= 16.5 dBm
with Tx Power for n78: Power Class PC2 / 26 dBm</t>
  </si>
  <si>
    <t>BHHL: 18.3 dBm,
BHHR: 18.3 dBm</t>
  </si>
  <si>
    <r>
      <rPr>
        <rFont val="Arial"/>
        <color theme="1"/>
        <sz val="10.0"/>
      </rPr>
      <t>BHHL: xx dBm,</t>
    </r>
    <r>
      <rPr>
        <rFont val="Arial"/>
        <color theme="1"/>
        <sz val="10.0"/>
      </rPr>
      <t xml:space="preserve">
</t>
    </r>
    <r>
      <rPr>
        <rFont val="Arial"/>
        <color theme="1"/>
        <sz val="10.0"/>
      </rPr>
      <t>BHHR: xx dBm</t>
    </r>
  </si>
  <si>
    <t>MTR-30885</t>
  </si>
  <si>
    <r>
      <rPr>
        <rFont val="Arial"/>
        <b/>
        <color theme="1"/>
        <sz val="10.0"/>
      </rPr>
      <t>2.2.3.2</t>
    </r>
    <r>
      <rPr>
        <rFont val="Arial"/>
        <b val="0"/>
        <color theme="1"/>
        <sz val="10.0"/>
      </rPr>
      <t xml:space="preserve"> </t>
    </r>
    <r>
      <rPr>
        <rFont val="Arial"/>
        <b/>
        <color theme="1"/>
        <sz val="10.0"/>
      </rPr>
      <t>TIS BHHL&amp;BHHR</t>
    </r>
  </si>
  <si>
    <t>MTR-29685</t>
  </si>
  <si>
    <t>TIS BHHL&amp;BHHR GSM900 &lt;= -95 dBm</t>
  </si>
  <si>
    <t>BHHL: -99.3 dBm,
BHHR: -99.2 dBm</t>
  </si>
  <si>
    <r>
      <rPr>
        <rFont val="Arial"/>
        <color theme="1"/>
        <sz val="10.0"/>
      </rPr>
      <t>BHHL: -xxx dBm,</t>
    </r>
    <r>
      <rPr>
        <rFont val="Arial"/>
        <color theme="1"/>
        <sz val="10.0"/>
      </rPr>
      <t xml:space="preserve">
</t>
    </r>
    <r>
      <rPr>
        <rFont val="Arial"/>
        <color theme="1"/>
        <sz val="10.0"/>
      </rPr>
      <t>BHHR: -xxx dBm</t>
    </r>
  </si>
  <si>
    <t>MTR-29687</t>
  </si>
  <si>
    <t>TIS BHHL&amp;BHHR GSM1800 &lt;= -99 dBm</t>
  </si>
  <si>
    <t>BHHL: -101.1 dBm,
BHHR: -100.1 dBm</t>
  </si>
  <si>
    <r>
      <rPr>
        <rFont val="Arial"/>
        <color theme="1"/>
        <sz val="10.0"/>
      </rPr>
      <t>BHHL: -xxx dBm,</t>
    </r>
    <r>
      <rPr>
        <rFont val="Arial"/>
        <color theme="1"/>
        <sz val="10.0"/>
      </rPr>
      <t xml:space="preserve">
</t>
    </r>
    <r>
      <rPr>
        <rFont val="Arial"/>
        <color theme="1"/>
        <sz val="10.0"/>
      </rPr>
      <t>BHHR: -xxx dBm</t>
    </r>
  </si>
  <si>
    <t>MTR-30890</t>
  </si>
  <si>
    <t>TIS BHHL&amp;BHHR LTE Band 1 &lt;= -89 dBm</t>
  </si>
  <si>
    <t>Combined BHHL: -93.5 dBm,
Combined BHHR: -93 dBm</t>
  </si>
  <si>
    <r>
      <rPr>
        <rFont val="Arial"/>
        <color theme="1"/>
        <sz val="10.0"/>
      </rPr>
      <t>Combined BHHL: -xxx dBm,</t>
    </r>
    <r>
      <rPr>
        <rFont val="Arial"/>
        <color theme="1"/>
        <sz val="10.0"/>
      </rPr>
      <t xml:space="preserve">
</t>
    </r>
    <r>
      <rPr>
        <rFont val="Arial"/>
        <color theme="1"/>
        <sz val="10.0"/>
      </rPr>
      <t>Combined BHHR: -xxx dBm</t>
    </r>
  </si>
  <si>
    <t>MTR-30891</t>
  </si>
  <si>
    <t>TIS BHHL&amp;BHHR LTE Band 3 &lt;= -89 dBm</t>
  </si>
  <si>
    <t>Combined BHHL: -94.2 dBm,
Combined BHHR: -94.1 dBm</t>
  </si>
  <si>
    <r>
      <rPr>
        <rFont val="Arial"/>
        <color theme="1"/>
        <sz val="10.0"/>
      </rPr>
      <t>Combined BHHL: -xxx dBm,</t>
    </r>
    <r>
      <rPr>
        <rFont val="Arial"/>
        <color theme="1"/>
        <sz val="10.0"/>
      </rPr>
      <t xml:space="preserve">
</t>
    </r>
    <r>
      <rPr>
        <rFont val="Arial"/>
        <color theme="1"/>
        <sz val="10.0"/>
      </rPr>
      <t>Combined BHHR: -xxx dBm</t>
    </r>
  </si>
  <si>
    <t>MTR-30892</t>
  </si>
  <si>
    <t>TIS BHHL&amp;BHHR LTE Band 7 &lt;= -89 dBm</t>
  </si>
  <si>
    <t>Combined BHHL: -95 dBm,
Combined BHHR: -92.1 dBm</t>
  </si>
  <si>
    <r>
      <rPr>
        <rFont val="Arial"/>
        <color theme="1"/>
        <sz val="10.0"/>
      </rPr>
      <t>Combined BHHL: -xxx dBm,</t>
    </r>
    <r>
      <rPr>
        <rFont val="Arial"/>
        <color theme="1"/>
        <sz val="10.0"/>
      </rPr>
      <t xml:space="preserve">
</t>
    </r>
    <r>
      <rPr>
        <rFont val="Arial"/>
        <color theme="1"/>
        <sz val="10.0"/>
      </rPr>
      <t>Combined BHHR: -xxx dBm</t>
    </r>
  </si>
  <si>
    <t>MTR-30893</t>
  </si>
  <si>
    <t>TIS BHHL&amp;BHHR LTE Band 8 &lt;= -85 dBm</t>
  </si>
  <si>
    <t>Combined BHHL: -89.6 dBm,
Combined BHHR: -89.2 dBm</t>
  </si>
  <si>
    <r>
      <rPr>
        <rFont val="Arial"/>
        <color theme="1"/>
        <sz val="10.0"/>
      </rPr>
      <t>Combined BHHL: -xxx dBm,</t>
    </r>
    <r>
      <rPr>
        <rFont val="Arial"/>
        <color theme="1"/>
        <sz val="10.0"/>
      </rPr>
      <t xml:space="preserve">
</t>
    </r>
    <r>
      <rPr>
        <rFont val="Arial"/>
        <color theme="1"/>
        <sz val="10.0"/>
      </rPr>
      <t>Combined BHHR: -xxx dBm</t>
    </r>
  </si>
  <si>
    <t>MTR-30894</t>
  </si>
  <si>
    <t>TIS BHHL&amp;BHHR LTE Band 20 &lt;= -85 dBm</t>
  </si>
  <si>
    <t>Combined BHHL: -88.1 dBm,
Combined BHHR: -87.9 dBm</t>
  </si>
  <si>
    <r>
      <rPr>
        <rFont val="Arial"/>
        <color theme="1"/>
        <sz val="10.0"/>
      </rPr>
      <t>Combined BHHL: -xxx dBm,</t>
    </r>
    <r>
      <rPr>
        <rFont val="Arial"/>
        <color theme="1"/>
        <sz val="10.0"/>
      </rPr>
      <t xml:space="preserve">
</t>
    </r>
    <r>
      <rPr>
        <rFont val="Arial"/>
        <color theme="1"/>
        <sz val="10.0"/>
      </rPr>
      <t>Combined BHHR: -xxx dBm</t>
    </r>
  </si>
  <si>
    <t>MTR-34505</t>
  </si>
  <si>
    <t>TIS BHHL&amp;BHHR LTE Band 28 &lt;= -85 dBm</t>
  </si>
  <si>
    <t>Combined BHHL: -87.8 dBm,
Combined BHHR: -87.7 dBm</t>
  </si>
  <si>
    <r>
      <rPr>
        <rFont val="Arial"/>
        <color theme="1"/>
        <sz val="10.0"/>
      </rPr>
      <t>Combined BHHL: -xxx dBm,</t>
    </r>
    <r>
      <rPr>
        <rFont val="Arial"/>
        <color theme="1"/>
        <sz val="10.0"/>
      </rPr>
      <t xml:space="preserve">
</t>
    </r>
    <r>
      <rPr>
        <rFont val="Arial"/>
        <color theme="1"/>
        <sz val="10.0"/>
      </rPr>
      <t>Combined BHHR: -xxx dBm</t>
    </r>
  </si>
  <si>
    <t>MTR-38836</t>
  </si>
  <si>
    <t>TIS BHHL&amp;BHHR NR Band n1 &lt;= -89 dBm (10 MHz BW, SCS 15 kHz)</t>
  </si>
  <si>
    <t>Combined BHHL: -93.2 dBm,
Combined BHHR: -93.1 dBm</t>
  </si>
  <si>
    <r>
      <rPr>
        <rFont val="Arial"/>
        <color theme="1"/>
        <sz val="10.0"/>
      </rPr>
      <t>Combined BHHL: -xxx dBm,</t>
    </r>
    <r>
      <rPr>
        <rFont val="Arial"/>
        <color theme="1"/>
        <sz val="10.0"/>
      </rPr>
      <t xml:space="preserve">
</t>
    </r>
    <r>
      <rPr>
        <rFont val="Arial"/>
        <color theme="1"/>
        <sz val="10.0"/>
      </rPr>
      <t>Combined BHHR: -xxx dBm</t>
    </r>
  </si>
  <si>
    <t>MTR-38837</t>
  </si>
  <si>
    <t>TIS BHHL&amp;BHHR NR Band n3 &lt;= -89 dBm (10 MHz BW, SCS 15 kHz)</t>
  </si>
  <si>
    <t>Combined BHHL: -94.8 dBm,
Combined BHHR: -94.7 dBm</t>
  </si>
  <si>
    <r>
      <rPr>
        <rFont val="Arial"/>
        <color theme="1"/>
        <sz val="10.0"/>
      </rPr>
      <t>Combined BHHL: -xxx dBm,</t>
    </r>
    <r>
      <rPr>
        <rFont val="Arial"/>
        <color theme="1"/>
        <sz val="10.0"/>
      </rPr>
      <t xml:space="preserve">
</t>
    </r>
    <r>
      <rPr>
        <rFont val="Arial"/>
        <color theme="1"/>
        <sz val="10.0"/>
      </rPr>
      <t>Combined BHHR: -xxx dBm</t>
    </r>
  </si>
  <si>
    <t>MTR-38838</t>
  </si>
  <si>
    <t>TIS BHHL&amp;BHHR NR Band n7 &lt;= -89 dBm (10 MHz BW, SCS 15 kHz)</t>
  </si>
  <si>
    <t>Combined BHHL: -93.7 dBm,
Combined BHHR: -93.3 dBm</t>
  </si>
  <si>
    <r>
      <rPr>
        <rFont val="Arial"/>
        <color theme="1"/>
        <sz val="10.0"/>
      </rPr>
      <t>Combined BHHL: -xxx dBm,</t>
    </r>
    <r>
      <rPr>
        <rFont val="Arial"/>
        <color theme="1"/>
        <sz val="10.0"/>
      </rPr>
      <t xml:space="preserve">
</t>
    </r>
    <r>
      <rPr>
        <rFont val="Arial"/>
        <color theme="1"/>
        <sz val="10.0"/>
      </rPr>
      <t>Combined BHHR: -xxx dBm</t>
    </r>
  </si>
  <si>
    <t>MTR-38839</t>
  </si>
  <si>
    <t>TIS BHHL&amp;BHHR NR Band n8 &lt;= -85 dBm (10 MHz BW, SCS 15 kHz)</t>
  </si>
  <si>
    <t>Combined BHHL: -87.6 dBm,
Combined BHHR: -87 dBm</t>
  </si>
  <si>
    <r>
      <rPr>
        <rFont val="Arial"/>
        <color theme="1"/>
        <sz val="10.0"/>
      </rPr>
      <t>Combined BHHL: -xxx dBm,</t>
    </r>
    <r>
      <rPr>
        <rFont val="Arial"/>
        <color theme="1"/>
        <sz val="10.0"/>
      </rPr>
      <t xml:space="preserve">
</t>
    </r>
    <r>
      <rPr>
        <rFont val="Arial"/>
        <color theme="1"/>
        <sz val="10.0"/>
      </rPr>
      <t>Combined BHHR: -xxx dBm</t>
    </r>
  </si>
  <si>
    <t>MTR-38840</t>
  </si>
  <si>
    <t>TIS BHHL&amp;BHHR NR Band n20 &lt;= -85 dBm (10 MHz BW, SCS 15 kHz)</t>
  </si>
  <si>
    <t>Combined BHHL: -89.2 dBm,
Combined BHHR: -87.2 dBm</t>
  </si>
  <si>
    <r>
      <rPr>
        <rFont val="Arial"/>
        <color theme="1"/>
        <sz val="10.0"/>
      </rPr>
      <t>Combined BHHL: -xxx dBm,</t>
    </r>
    <r>
      <rPr>
        <rFont val="Arial"/>
        <color theme="1"/>
        <sz val="10.0"/>
      </rPr>
      <t xml:space="preserve">
</t>
    </r>
    <r>
      <rPr>
        <rFont val="Arial"/>
        <color theme="1"/>
        <sz val="10.0"/>
      </rPr>
      <t>Combined BHHR: -xxx dBm</t>
    </r>
  </si>
  <si>
    <t>MTR-38841</t>
  </si>
  <si>
    <t>TIS BHHL&amp;BHHR NR Band n28 &lt;= -85 dBm (10 MHz BW, SCS 15 kHz)</t>
  </si>
  <si>
    <t>Combined BHHL: -89.6 dBm,
Combined BHHR: -87.9 dBm</t>
  </si>
  <si>
    <r>
      <rPr>
        <rFont val="Arial"/>
        <color theme="1"/>
        <sz val="10.0"/>
      </rPr>
      <t>Combined BHHL: -xxx dBm,</t>
    </r>
    <r>
      <rPr>
        <rFont val="Arial"/>
        <color theme="1"/>
        <sz val="10.0"/>
      </rPr>
      <t xml:space="preserve">
</t>
    </r>
    <r>
      <rPr>
        <rFont val="Arial"/>
        <color theme="1"/>
        <sz val="10.0"/>
      </rPr>
      <t>Combined BHHR: -xxx dBm</t>
    </r>
  </si>
  <si>
    <t>MTR-38842</t>
  </si>
  <si>
    <t>TIS BHHL&amp;BHHR NR Band n78 &lt;= -89 dBm (10 MHz BW, SCS 30 kHz)</t>
  </si>
  <si>
    <t>Combined BHHL: -96.6 dBm,
Combined BHHR: -97 dBm</t>
  </si>
  <si>
    <r>
      <rPr>
        <rFont val="Arial"/>
        <color theme="1"/>
        <sz val="10.0"/>
      </rPr>
      <t>Combined BHHL: -xxx dBm,</t>
    </r>
    <r>
      <rPr>
        <rFont val="Arial"/>
        <color theme="1"/>
        <sz val="10.0"/>
      </rPr>
      <t xml:space="preserve">
</t>
    </r>
    <r>
      <rPr>
        <rFont val="Arial"/>
        <color theme="1"/>
        <sz val="10.0"/>
      </rPr>
      <t>Combined BHHR: -xxx dBm</t>
    </r>
  </si>
  <si>
    <t>MTR-38843</t>
  </si>
  <si>
    <t>TIS BHHL&amp;BHHR NR Band n78 &lt;= -86 dBm (20 MHz BW, SCS 30 kHz)</t>
  </si>
  <si>
    <t>Combined BHHL: -93.3 dBm,
Combined BHHR: -94.1 dBm</t>
  </si>
  <si>
    <r>
      <rPr>
        <rFont val="Arial"/>
        <color theme="1"/>
        <sz val="10.0"/>
      </rPr>
      <t>Combined BHHL: -xxx dBm,</t>
    </r>
    <r>
      <rPr>
        <rFont val="Arial"/>
        <color theme="1"/>
        <sz val="10.0"/>
      </rPr>
      <t xml:space="preserve">
</t>
    </r>
    <r>
      <rPr>
        <rFont val="Arial"/>
        <color theme="1"/>
        <sz val="10.0"/>
      </rPr>
      <t>Combined BHHR: -xxx dBm</t>
    </r>
  </si>
  <si>
    <t>MTR-30895</t>
  </si>
  <si>
    <r>
      <rPr>
        <rFont val="Arial"/>
        <b/>
        <color theme="1"/>
        <sz val="10.0"/>
      </rPr>
      <t>2.2.4</t>
    </r>
    <r>
      <rPr>
        <rFont val="Arial"/>
        <b val="0"/>
        <color theme="1"/>
        <sz val="10.0"/>
      </rPr>
      <t xml:space="preserve"> </t>
    </r>
    <r>
      <rPr>
        <rFont val="Arial"/>
        <b/>
        <color theme="1"/>
        <sz val="10.0"/>
      </rPr>
      <t>RF Performance - Browsing Mode "Hand only"</t>
    </r>
  </si>
  <si>
    <t>MTR-30896</t>
  </si>
  <si>
    <r>
      <rPr>
        <rFont val="Arial"/>
        <color theme="1"/>
        <sz val="10.0"/>
      </rPr>
      <t>Deutsche Telekom</t>
    </r>
    <r>
      <rPr>
        <rFont val="Arial"/>
        <b/>
        <color theme="1"/>
        <sz val="10.0"/>
      </rPr>
      <t xml:space="preserve"> "Browsing Mode - Hand" (HL/HR) RF Performance</t>
    </r>
    <r>
      <rPr>
        <rFont val="Arial"/>
        <color theme="1"/>
        <sz val="10.0"/>
      </rPr>
      <t xml:space="preserve"> requirements
Applicability: every device which can be used hand held in a browsing type of operation
i.e. device categories marked with the following 'Features':
- Antenna (Smartphone)
- Antenna (Smartphone 5G)
Exceptions:
- measurement methodology not applicable (e.g. due to size constraints)</t>
    </r>
  </si>
  <si>
    <t>MTR-30897</t>
  </si>
  <si>
    <r>
      <rPr>
        <rFont val="Arial"/>
        <color theme="1"/>
        <sz val="10.0"/>
      </rPr>
      <t xml:space="preserve">The following rules apply for </t>
    </r>
    <r>
      <rPr>
        <rFont val="Arial"/>
        <b/>
        <color theme="1"/>
        <sz val="10.0"/>
      </rPr>
      <t>"Browsing Mode - Hand" (HL/HR) RF Performance</t>
    </r>
    <r>
      <rPr>
        <rFont val="Arial"/>
        <color theme="1"/>
        <sz val="10.0"/>
      </rPr>
      <t xml:space="preserve"> requirements:
- </t>
    </r>
    <r>
      <rPr>
        <rFont val="Arial"/>
        <b/>
        <color theme="1"/>
        <sz val="10.0"/>
      </rPr>
      <t>TRP values</t>
    </r>
    <r>
      <rPr>
        <rFont val="Arial"/>
        <color theme="1"/>
        <sz val="10.0"/>
      </rPr>
      <t xml:space="preserve"> shall be provided as follows:
  TRP: A single value for the primary antenna each for the left and the right hand
- </t>
    </r>
    <r>
      <rPr>
        <rFont val="Arial"/>
        <b/>
        <color theme="1"/>
        <sz val="10.0"/>
      </rPr>
      <t>TIS values</t>
    </r>
    <r>
      <rPr>
        <rFont val="Arial"/>
        <color theme="1"/>
        <sz val="10.0"/>
      </rPr>
      <t xml:space="preserve"> shall be provided as follows:
   GSM: A single value for the primary antenna each for the left and the right hand
   LTE/NR: A combined value with all antennas active (as in normal operation) each for the left and the right hand</t>
    </r>
  </si>
  <si>
    <t>MTR-30899</t>
  </si>
  <si>
    <r>
      <rPr>
        <rFont val="Arial"/>
        <b/>
        <color theme="1"/>
        <sz val="10.0"/>
      </rPr>
      <t>2.2.4.1</t>
    </r>
    <r>
      <rPr>
        <rFont val="Arial"/>
        <b val="0"/>
        <color theme="1"/>
        <sz val="10.0"/>
      </rPr>
      <t xml:space="preserve"> </t>
    </r>
    <r>
      <rPr>
        <rFont val="Arial"/>
        <b/>
        <color theme="1"/>
        <sz val="10.0"/>
      </rPr>
      <t>TRP HL&amp;HR</t>
    </r>
  </si>
  <si>
    <t>MTR-30901</t>
  </si>
  <si>
    <t>TRP HL&amp;HR GSM900 &gt;= 25 dBm</t>
  </si>
  <si>
    <t>HL: 25.4 dBm,
HR: 25.1 dBm</t>
  </si>
  <si>
    <r>
      <rPr>
        <rFont val="Arial"/>
        <color theme="1"/>
        <sz val="10.0"/>
      </rPr>
      <t>HL: xx dBm,</t>
    </r>
    <r>
      <rPr>
        <rFont val="Arial"/>
        <color theme="1"/>
        <sz val="10.0"/>
      </rPr>
      <t xml:space="preserve">
</t>
    </r>
    <r>
      <rPr>
        <rFont val="Arial"/>
        <color theme="1"/>
        <sz val="10.0"/>
      </rPr>
      <t>HR: xx dBm</t>
    </r>
  </si>
  <si>
    <t>MTR-30902</t>
  </si>
  <si>
    <t>TRP HL&amp;HR GSM1800 &gt;= 23 dBm</t>
  </si>
  <si>
    <t>HL: 23.3 dBm,
HR: 22.3 dBm</t>
  </si>
  <si>
    <r>
      <rPr>
        <rFont val="Arial"/>
        <color theme="1"/>
        <sz val="10.0"/>
      </rPr>
      <t>HL: xx dBm,</t>
    </r>
    <r>
      <rPr>
        <rFont val="Arial"/>
        <color theme="1"/>
        <sz val="10.0"/>
      </rPr>
      <t xml:space="preserve">
</t>
    </r>
    <r>
      <rPr>
        <rFont val="Arial"/>
        <color theme="1"/>
        <sz val="10.0"/>
      </rPr>
      <t>HR: xx dBm</t>
    </r>
  </si>
  <si>
    <t>MTR-30908</t>
  </si>
  <si>
    <t>TRP HL&amp;HR LTE Band 1 &gt;= 15.5 dBm</t>
  </si>
  <si>
    <t>HL: 18.1 dBm,
HR: 16.8 dBm</t>
  </si>
  <si>
    <r>
      <rPr>
        <rFont val="Arial"/>
        <color theme="1"/>
        <sz val="10.0"/>
      </rPr>
      <t>HL: xx dBm,</t>
    </r>
    <r>
      <rPr>
        <rFont val="Arial"/>
        <color theme="1"/>
        <sz val="10.0"/>
      </rPr>
      <t xml:space="preserve">
</t>
    </r>
    <r>
      <rPr>
        <rFont val="Arial"/>
        <color theme="1"/>
        <sz val="10.0"/>
      </rPr>
      <t>HR: xx dBm</t>
    </r>
  </si>
  <si>
    <t>MTR-30909</t>
  </si>
  <si>
    <t>TRP HL&amp;HR LTE Band 3 &gt;= 15.5 dBm</t>
  </si>
  <si>
    <t>HL: 17.5 dBm,
HR: 17.6 dBm</t>
  </si>
  <si>
    <r>
      <rPr>
        <rFont val="Arial"/>
        <color theme="1"/>
        <sz val="10.0"/>
      </rPr>
      <t>HL: xx dBm,</t>
    </r>
    <r>
      <rPr>
        <rFont val="Arial"/>
        <color theme="1"/>
        <sz val="10.0"/>
      </rPr>
      <t xml:space="preserve">
</t>
    </r>
    <r>
      <rPr>
        <rFont val="Arial"/>
        <color theme="1"/>
        <sz val="10.0"/>
      </rPr>
      <t>HR: xx dBm</t>
    </r>
  </si>
  <si>
    <t>MTR-30910</t>
  </si>
  <si>
    <t>TRP HL&amp;HR LTE Band 7 &gt;= 15.5 dBm</t>
  </si>
  <si>
    <t>HL: 18.3 dBm,
HR: 16.4 dBm</t>
  </si>
  <si>
    <r>
      <rPr>
        <rFont val="Arial"/>
        <color theme="1"/>
        <sz val="10.0"/>
      </rPr>
      <t>HL: xx dBm,</t>
    </r>
    <r>
      <rPr>
        <rFont val="Arial"/>
        <color theme="1"/>
        <sz val="10.0"/>
      </rPr>
      <t xml:space="preserve">
</t>
    </r>
    <r>
      <rPr>
        <rFont val="Arial"/>
        <color theme="1"/>
        <sz val="10.0"/>
      </rPr>
      <t>HR: xx dBm</t>
    </r>
  </si>
  <si>
    <t>MTR-30911</t>
  </si>
  <si>
    <t>TRP HL&amp;HR LTE Band 8 &gt;= 14.3 dBm</t>
  </si>
  <si>
    <t>HL: 17 dBm,
HR: 17.5 dBm</t>
  </si>
  <si>
    <r>
      <rPr>
        <rFont val="Arial"/>
        <color theme="1"/>
        <sz val="10.0"/>
      </rPr>
      <t>HL: xx dBm,</t>
    </r>
    <r>
      <rPr>
        <rFont val="Arial"/>
        <color theme="1"/>
        <sz val="10.0"/>
      </rPr>
      <t xml:space="preserve">
</t>
    </r>
    <r>
      <rPr>
        <rFont val="Arial"/>
        <color theme="1"/>
        <sz val="10.0"/>
      </rPr>
      <t>HR: xx dBm</t>
    </r>
  </si>
  <si>
    <t>MTR-30912</t>
  </si>
  <si>
    <t>TRP HL&amp;HR LTE Band 20 &gt;= 14.3 dBm</t>
  </si>
  <si>
    <t>HL: 16.8 dBm,
HR: 17.3 dBm</t>
  </si>
  <si>
    <r>
      <rPr>
        <rFont val="Arial"/>
        <color theme="1"/>
        <sz val="10.0"/>
      </rPr>
      <t>HL: xx dBm,</t>
    </r>
    <r>
      <rPr>
        <rFont val="Arial"/>
        <color theme="1"/>
        <sz val="10.0"/>
      </rPr>
      <t xml:space="preserve">
</t>
    </r>
    <r>
      <rPr>
        <rFont val="Arial"/>
        <color theme="1"/>
        <sz val="10.0"/>
      </rPr>
      <t>HR: xx dBm</t>
    </r>
  </si>
  <si>
    <t>MTR-34506</t>
  </si>
  <si>
    <t>TRP HL&amp;HR LTE Band 28 &gt;= 14.3 dBm</t>
  </si>
  <si>
    <t>HL: 15.2 dBm,
HR: 14.3 dBm</t>
  </si>
  <si>
    <r>
      <rPr>
        <rFont val="Arial"/>
        <color theme="1"/>
        <sz val="10.0"/>
      </rPr>
      <t>HL: xx dBm,</t>
    </r>
    <r>
      <rPr>
        <rFont val="Arial"/>
        <color theme="1"/>
        <sz val="10.0"/>
      </rPr>
      <t xml:space="preserve">
</t>
    </r>
    <r>
      <rPr>
        <rFont val="Arial"/>
        <color theme="1"/>
        <sz val="10.0"/>
      </rPr>
      <t>HR: xx dBm</t>
    </r>
  </si>
  <si>
    <t>MTR-34508</t>
  </si>
  <si>
    <t>TRP HL&amp;HR NR Band n1 &gt;= 15.5 dBm</t>
  </si>
  <si>
    <t>HL: 17.2 dBm,
HR: 15.8 dBm</t>
  </si>
  <si>
    <r>
      <rPr>
        <rFont val="Arial"/>
        <color theme="1"/>
        <sz val="10.0"/>
      </rPr>
      <t>HL: xx dBm,</t>
    </r>
    <r>
      <rPr>
        <rFont val="Arial"/>
        <color theme="1"/>
        <sz val="10.0"/>
      </rPr>
      <t xml:space="preserve">
</t>
    </r>
    <r>
      <rPr>
        <rFont val="Arial"/>
        <color theme="1"/>
        <sz val="10.0"/>
      </rPr>
      <t>HR: xx dBm</t>
    </r>
  </si>
  <si>
    <t>MTR-34509</t>
  </si>
  <si>
    <t>TRP HL&amp;HR NR Band n3 &gt;= 15.5 dBm</t>
  </si>
  <si>
    <t>HL: 17.3 dBm,
HR: 16.9 dBm</t>
  </si>
  <si>
    <r>
      <rPr>
        <rFont val="Arial"/>
        <color theme="1"/>
        <sz val="10.0"/>
      </rPr>
      <t>HL: xx dBm,</t>
    </r>
    <r>
      <rPr>
        <rFont val="Arial"/>
        <color theme="1"/>
        <sz val="10.0"/>
      </rPr>
      <t xml:space="preserve">
</t>
    </r>
    <r>
      <rPr>
        <rFont val="Arial"/>
        <color theme="1"/>
        <sz val="10.0"/>
      </rPr>
      <t>HR: xx dBm</t>
    </r>
  </si>
  <si>
    <t>MTR-34515</t>
  </si>
  <si>
    <t>TRP HL&amp;HR NR Band n7 &gt;= 15.5 dBm</t>
  </si>
  <si>
    <t>HL: 17.8 dBm,
HR: 15.7 dBm</t>
  </si>
  <si>
    <r>
      <rPr>
        <rFont val="Arial"/>
        <color theme="1"/>
        <sz val="10.0"/>
      </rPr>
      <t>HL: xx dBm,</t>
    </r>
    <r>
      <rPr>
        <rFont val="Arial"/>
        <color theme="1"/>
        <sz val="10.0"/>
      </rPr>
      <t xml:space="preserve">
</t>
    </r>
    <r>
      <rPr>
        <rFont val="Arial"/>
        <color theme="1"/>
        <sz val="10.0"/>
      </rPr>
      <t>HR: xx dBm</t>
    </r>
  </si>
  <si>
    <t>MTR-38629</t>
  </si>
  <si>
    <t>TRP HL&amp;HR NR Band n8 &gt;= 14.3 dBm</t>
  </si>
  <si>
    <t>HL: 16.6 dBm,
HR: 15.7 dBm</t>
  </si>
  <si>
    <r>
      <rPr>
        <rFont val="Arial"/>
        <color theme="1"/>
        <sz val="10.0"/>
      </rPr>
      <t>HL: xx dBm,</t>
    </r>
    <r>
      <rPr>
        <rFont val="Arial"/>
        <color theme="1"/>
        <sz val="10.0"/>
      </rPr>
      <t xml:space="preserve">
</t>
    </r>
    <r>
      <rPr>
        <rFont val="Arial"/>
        <color theme="1"/>
        <sz val="10.0"/>
      </rPr>
      <t>HR: xx dBm</t>
    </r>
  </si>
  <si>
    <t>MTR-38628</t>
  </si>
  <si>
    <t>TRP HL&amp;HR NR Band n20 &gt;= 14.3 dBm</t>
  </si>
  <si>
    <t>HL: 15.4 dBm,
HR: 14.7 dBm</t>
  </si>
  <si>
    <r>
      <rPr>
        <rFont val="Arial"/>
        <color theme="1"/>
        <sz val="10.0"/>
      </rPr>
      <t>HL: xx dBm,</t>
    </r>
    <r>
      <rPr>
        <rFont val="Arial"/>
        <color theme="1"/>
        <sz val="10.0"/>
      </rPr>
      <t xml:space="preserve">
</t>
    </r>
    <r>
      <rPr>
        <rFont val="Arial"/>
        <color theme="1"/>
        <sz val="10.0"/>
      </rPr>
      <t>HR: xx dBm</t>
    </r>
  </si>
  <si>
    <t>MTR-34510</t>
  </si>
  <si>
    <t>TRP HL&amp;HR NR Band n28 &gt;= 14.3 dBm</t>
  </si>
  <si>
    <t>HL: 15.4 dBm,
HR: 14.1 dBm</t>
  </si>
  <si>
    <r>
      <rPr>
        <rFont val="Arial"/>
        <color theme="1"/>
        <sz val="10.0"/>
      </rPr>
      <t>HL: xx dBm,</t>
    </r>
    <r>
      <rPr>
        <rFont val="Arial"/>
        <color theme="1"/>
        <sz val="10.0"/>
      </rPr>
      <t xml:space="preserve">
</t>
    </r>
    <r>
      <rPr>
        <rFont val="Arial"/>
        <color theme="1"/>
        <sz val="10.0"/>
      </rPr>
      <t>HR: xx dBm</t>
    </r>
  </si>
  <si>
    <t>MTR-34512</t>
  </si>
  <si>
    <t>TRP HL&amp;HR NR Band n78 &gt;= 15.5 dBm
with Tx Power for n78: Power Class PC3 / 23 dBm</t>
  </si>
  <si>
    <t>HL: 17.4 dBm,
HR: 17.4 dBm</t>
  </si>
  <si>
    <r>
      <rPr>
        <rFont val="Arial"/>
        <color theme="1"/>
        <sz val="10.0"/>
      </rPr>
      <t>HL: xx dBm,</t>
    </r>
    <r>
      <rPr>
        <rFont val="Arial"/>
        <color theme="1"/>
        <sz val="10.0"/>
      </rPr>
      <t xml:space="preserve">
</t>
    </r>
    <r>
      <rPr>
        <rFont val="Arial"/>
        <color theme="1"/>
        <sz val="10.0"/>
      </rPr>
      <t>HR: xx dBm</t>
    </r>
  </si>
  <si>
    <t>MTR-38824</t>
  </si>
  <si>
    <t>TRP HL&amp;HR NR Band n78 &gt;= 18.5 dBm
with Tx Power for n78: Power Class PC2 / 26 dBm</t>
  </si>
  <si>
    <t>HL: 18.9 dBm,
HR: 19 dBm</t>
  </si>
  <si>
    <r>
      <rPr>
        <rFont val="Arial"/>
        <color theme="1"/>
        <sz val="10.0"/>
      </rPr>
      <t>HL: xx dBm,</t>
    </r>
    <r>
      <rPr>
        <rFont val="Arial"/>
        <color theme="1"/>
        <sz val="10.0"/>
      </rPr>
      <t xml:space="preserve">
</t>
    </r>
    <r>
      <rPr>
        <rFont val="Arial"/>
        <color theme="1"/>
        <sz val="10.0"/>
      </rPr>
      <t>HR: xx dBm</t>
    </r>
  </si>
  <si>
    <t>MTR-30913</t>
  </si>
  <si>
    <r>
      <rPr>
        <rFont val="Arial"/>
        <b/>
        <color theme="1"/>
        <sz val="10.0"/>
      </rPr>
      <t>2.2.4.2</t>
    </r>
    <r>
      <rPr>
        <rFont val="Arial"/>
        <b val="0"/>
        <color theme="1"/>
        <sz val="10.0"/>
      </rPr>
      <t xml:space="preserve"> </t>
    </r>
    <r>
      <rPr>
        <rFont val="Arial"/>
        <b/>
        <color theme="1"/>
        <sz val="10.0"/>
      </rPr>
      <t>TIS HL&amp;HR</t>
    </r>
  </si>
  <si>
    <t>MTR-30915</t>
  </si>
  <si>
    <t>TIS HL&amp;HR GSM900 &lt;= -99 dBm</t>
  </si>
  <si>
    <t>HL: -105.1 dBm,
HR: -102.7 dBm</t>
  </si>
  <si>
    <r>
      <rPr>
        <rFont val="Arial"/>
        <color theme="1"/>
        <sz val="10.0"/>
      </rPr>
      <t>HL: -xxx dBm,</t>
    </r>
    <r>
      <rPr>
        <rFont val="Arial"/>
        <color theme="1"/>
        <sz val="10.0"/>
      </rPr>
      <t xml:space="preserve">
</t>
    </r>
    <r>
      <rPr>
        <rFont val="Arial"/>
        <color theme="1"/>
        <sz val="10.0"/>
      </rPr>
      <t>HR: -xxx dBm</t>
    </r>
  </si>
  <si>
    <t>MTR-30916</t>
  </si>
  <si>
    <t>TIS HL&amp;HR GSM1800 &lt;= -100 dBm</t>
  </si>
  <si>
    <t>HL: -101.9 dBm,
HR: -102.7 dBm</t>
  </si>
  <si>
    <r>
      <rPr>
        <rFont val="Arial"/>
        <color theme="1"/>
        <sz val="10.0"/>
      </rPr>
      <t>HL: -xxx dBm,</t>
    </r>
    <r>
      <rPr>
        <rFont val="Arial"/>
        <color theme="1"/>
        <sz val="10.0"/>
      </rPr>
      <t xml:space="preserve">
</t>
    </r>
    <r>
      <rPr>
        <rFont val="Arial"/>
        <color theme="1"/>
        <sz val="10.0"/>
      </rPr>
      <t>HR: -xxx dBm</t>
    </r>
  </si>
  <si>
    <t>MTR-30922</t>
  </si>
  <si>
    <t>TIS HL&amp;HR LTE Band 1 &lt;= -91 dBm</t>
  </si>
  <si>
    <t>Combined HL: -95.1 dBm,
Combined HR: --95.5 dBm</t>
  </si>
  <si>
    <r>
      <rPr>
        <rFont val="Arial"/>
        <color theme="1"/>
        <sz val="10.0"/>
      </rPr>
      <t>Combined HL: -xxx dBm,</t>
    </r>
    <r>
      <rPr>
        <rFont val="Arial"/>
        <color theme="1"/>
        <sz val="10.0"/>
      </rPr>
      <t xml:space="preserve">
</t>
    </r>
    <r>
      <rPr>
        <rFont val="Arial"/>
        <color theme="1"/>
        <sz val="10.0"/>
      </rPr>
      <t>Combined HR: -xxx dBm</t>
    </r>
  </si>
  <si>
    <t>MTR-30923</t>
  </si>
  <si>
    <t>TIS HL&amp;HR LTE Band 3 &lt;= -91 dBm</t>
  </si>
  <si>
    <t>Combined HL: -96.7 dBm,
Combined HR: -97.8 dBm</t>
  </si>
  <si>
    <r>
      <rPr>
        <rFont val="Arial"/>
        <color theme="1"/>
        <sz val="10.0"/>
      </rPr>
      <t>Combined HL: -xxx dBm,</t>
    </r>
    <r>
      <rPr>
        <rFont val="Arial"/>
        <color theme="1"/>
        <sz val="10.0"/>
      </rPr>
      <t xml:space="preserve">
</t>
    </r>
    <r>
      <rPr>
        <rFont val="Arial"/>
        <color theme="1"/>
        <sz val="10.0"/>
      </rPr>
      <t>Combined HR: -xxx dBm</t>
    </r>
  </si>
  <si>
    <t>MTR-30924</t>
  </si>
  <si>
    <t>TIS HL&amp;HR LTE Band 7 &lt;= -91 dBm</t>
  </si>
  <si>
    <t>Combined HL: -96.5 dBm,
Combined HR: -95 dBm</t>
  </si>
  <si>
    <r>
      <rPr>
        <rFont val="Arial"/>
        <color theme="1"/>
        <sz val="10.0"/>
      </rPr>
      <t>Combined HL: -xxx dBm,</t>
    </r>
    <r>
      <rPr>
        <rFont val="Arial"/>
        <color theme="1"/>
        <sz val="10.0"/>
      </rPr>
      <t xml:space="preserve">
</t>
    </r>
    <r>
      <rPr>
        <rFont val="Arial"/>
        <color theme="1"/>
        <sz val="10.0"/>
      </rPr>
      <t>Combined HR: -xxx dBm</t>
    </r>
  </si>
  <si>
    <t>MTR-30925</t>
  </si>
  <si>
    <t>TIS HL&amp;HR LTE Band 8 &lt;= -89.5 dBm</t>
  </si>
  <si>
    <t>Combined HL: -94.4 dBm,
Combined HR: -94.9 dBm</t>
  </si>
  <si>
    <r>
      <rPr>
        <rFont val="Arial"/>
        <color theme="1"/>
        <sz val="10.0"/>
      </rPr>
      <t>Combined HL: -xxx dBm,</t>
    </r>
    <r>
      <rPr>
        <rFont val="Arial"/>
        <color theme="1"/>
        <sz val="10.0"/>
      </rPr>
      <t xml:space="preserve">
</t>
    </r>
    <r>
      <rPr>
        <rFont val="Arial"/>
        <color theme="1"/>
        <sz val="10.0"/>
      </rPr>
      <t>Combined HR: -xxx dBm</t>
    </r>
  </si>
  <si>
    <t>MTR-30926</t>
  </si>
  <si>
    <t>TIS HL&amp;HR LTE Band 20 &lt;= -89.5 dBm</t>
  </si>
  <si>
    <t>Combined HL: -93 dBm,
Combined HR: -92.4 dBm</t>
  </si>
  <si>
    <r>
      <rPr>
        <rFont val="Arial"/>
        <color theme="1"/>
        <sz val="10.0"/>
      </rPr>
      <t>Combined HL: -xxx dBm,</t>
    </r>
    <r>
      <rPr>
        <rFont val="Arial"/>
        <color theme="1"/>
        <sz val="10.0"/>
      </rPr>
      <t xml:space="preserve">
</t>
    </r>
    <r>
      <rPr>
        <rFont val="Arial"/>
        <color theme="1"/>
        <sz val="10.0"/>
      </rPr>
      <t>Combined HR: -xxx dBm</t>
    </r>
  </si>
  <si>
    <t>MTR-34507</t>
  </si>
  <si>
    <t>TIS HL&amp;HR LTE Band 28 &lt;= -89.5 dBm</t>
  </si>
  <si>
    <t>Combined HL: -92.8 dBm,
Combined HR: -91.6 dBm</t>
  </si>
  <si>
    <r>
      <rPr>
        <rFont val="Arial"/>
        <color theme="1"/>
        <sz val="10.0"/>
      </rPr>
      <t>Combined HL: -xxx dBm,</t>
    </r>
    <r>
      <rPr>
        <rFont val="Arial"/>
        <color theme="1"/>
        <sz val="10.0"/>
      </rPr>
      <t xml:space="preserve">
</t>
    </r>
    <r>
      <rPr>
        <rFont val="Arial"/>
        <color theme="1"/>
        <sz val="10.0"/>
      </rPr>
      <t>Combined HR: -xxx dBm</t>
    </r>
  </si>
  <si>
    <t>MTR-33225</t>
  </si>
  <si>
    <t>TIS HL&amp;HR LTE Band 32 &lt;= -91 dBm</t>
  </si>
  <si>
    <t>Combined HL: -91.3 dBm,
Combined HR: -90.2 dBm</t>
  </si>
  <si>
    <r>
      <rPr>
        <rFont val="Arial"/>
        <color theme="1"/>
        <sz val="10.0"/>
      </rPr>
      <t>Combined HL: -xxx dBm,</t>
    </r>
    <r>
      <rPr>
        <rFont val="Arial"/>
        <color theme="1"/>
        <sz val="10.0"/>
      </rPr>
      <t xml:space="preserve">
</t>
    </r>
    <r>
      <rPr>
        <rFont val="Arial"/>
        <color theme="1"/>
        <sz val="10.0"/>
      </rPr>
      <t>Combined HR: -xxx dBm</t>
    </r>
  </si>
  <si>
    <t>MTR-34513</t>
  </si>
  <si>
    <t>TIS HL&amp;HR NR Band n1 &lt;= -91 dBm (10 MHz BW, SCS 15 kHz)</t>
  </si>
  <si>
    <t>Combined HL: -95.5 dBm,
Combined HR: -95 dBm</t>
  </si>
  <si>
    <r>
      <rPr>
        <rFont val="Arial"/>
        <color theme="1"/>
        <sz val="10.0"/>
      </rPr>
      <t>Combined HL: -xxx dBm,</t>
    </r>
    <r>
      <rPr>
        <rFont val="Arial"/>
        <color theme="1"/>
        <sz val="10.0"/>
      </rPr>
      <t xml:space="preserve">
</t>
    </r>
    <r>
      <rPr>
        <rFont val="Arial"/>
        <color theme="1"/>
        <sz val="10.0"/>
      </rPr>
      <t>Combined HR: -xxx dBm</t>
    </r>
  </si>
  <si>
    <t>MTR-34514</t>
  </si>
  <si>
    <t>TIS HL&amp;HR NR Band n3 &lt;= -91 dBm (10 MHz BW, SCS 15 kHz)</t>
  </si>
  <si>
    <t>Combined HL: -96.7 dBm,
Combined HR: -97.1 dBm</t>
  </si>
  <si>
    <r>
      <rPr>
        <rFont val="Arial"/>
        <color theme="1"/>
        <sz val="10.0"/>
      </rPr>
      <t>Combined HL: -xxx dBm,</t>
    </r>
    <r>
      <rPr>
        <rFont val="Arial"/>
        <color theme="1"/>
        <sz val="10.0"/>
      </rPr>
      <t xml:space="preserve">
</t>
    </r>
    <r>
      <rPr>
        <rFont val="Arial"/>
        <color theme="1"/>
        <sz val="10.0"/>
      </rPr>
      <t>Combined HR: -xxx dBm</t>
    </r>
  </si>
  <si>
    <t>MTR-34516</t>
  </si>
  <si>
    <t>TIS HL&amp;HR NR Band n7 &lt;= -91 dBm (10 MHz BW, SCS 15 kHz)</t>
  </si>
  <si>
    <t>Combined HL: -95.7 dBm,
Combined HR: -95 dBm</t>
  </si>
  <si>
    <r>
      <rPr>
        <rFont val="Arial"/>
        <color theme="1"/>
        <sz val="10.0"/>
      </rPr>
      <t>Combined HL: -xxx dBm,</t>
    </r>
    <r>
      <rPr>
        <rFont val="Arial"/>
        <color theme="1"/>
        <sz val="10.0"/>
      </rPr>
      <t xml:space="preserve">
</t>
    </r>
    <r>
      <rPr>
        <rFont val="Arial"/>
        <color theme="1"/>
        <sz val="10.0"/>
      </rPr>
      <t>Combined HR: -xxx dBm</t>
    </r>
  </si>
  <si>
    <t>MTR-38631</t>
  </si>
  <si>
    <t>TIS HL&amp;HR NR Band n8 &lt;= -89.5 dBm (10 MHz BW, SCS 15 kHz)</t>
  </si>
  <si>
    <t>Combined HL: -91.5 dBm,
Combined HR: -92.6 dBm</t>
  </si>
  <si>
    <r>
      <rPr>
        <rFont val="Arial"/>
        <color theme="1"/>
        <sz val="10.0"/>
      </rPr>
      <t>Combined HL: -xxx dBm,</t>
    </r>
    <r>
      <rPr>
        <rFont val="Arial"/>
        <color theme="1"/>
        <sz val="10.0"/>
      </rPr>
      <t xml:space="preserve">
</t>
    </r>
    <r>
      <rPr>
        <rFont val="Arial"/>
        <color theme="1"/>
        <sz val="10.0"/>
      </rPr>
      <t>Combined HR: -xxx dBm</t>
    </r>
  </si>
  <si>
    <t>MTR-38630</t>
  </si>
  <si>
    <t>TIS HL&amp;HR NR Band n20 &lt;= -89.5 dBm (10 MHz BW, SCS 15 kHz)</t>
  </si>
  <si>
    <t>Combined HL: -93.4 dBm,
Combined HR: -91 dBm</t>
  </si>
  <si>
    <r>
      <rPr>
        <rFont val="Arial"/>
        <color theme="1"/>
        <sz val="10.0"/>
      </rPr>
      <t>Combined HL: -xxx dBm,</t>
    </r>
    <r>
      <rPr>
        <rFont val="Arial"/>
        <color theme="1"/>
        <sz val="10.0"/>
      </rPr>
      <t xml:space="preserve">
</t>
    </r>
    <r>
      <rPr>
        <rFont val="Arial"/>
        <color theme="1"/>
        <sz val="10.0"/>
      </rPr>
      <t>Combined HR: -xxx dBm</t>
    </r>
  </si>
  <si>
    <t>MTR-34517</t>
  </si>
  <si>
    <t>TIS HL&amp;HR NR Band n28 &lt;= -89.5 dBm (10 MHz BW, SCS 15 kHz)</t>
  </si>
  <si>
    <t>Combined HL: -92.7 dBm,
Combined HR: -90.9 dBm</t>
  </si>
  <si>
    <r>
      <rPr>
        <rFont val="Arial"/>
        <color theme="1"/>
        <sz val="10.0"/>
      </rPr>
      <t>Combined HL: -xxx dBm,</t>
    </r>
    <r>
      <rPr>
        <rFont val="Arial"/>
        <color theme="1"/>
        <sz val="10.0"/>
      </rPr>
      <t xml:space="preserve">
</t>
    </r>
    <r>
      <rPr>
        <rFont val="Arial"/>
        <color theme="1"/>
        <sz val="10.0"/>
      </rPr>
      <t>Combined HR: -xxx dBm</t>
    </r>
  </si>
  <si>
    <t>MTR-38851</t>
  </si>
  <si>
    <t>TIS HL&amp;HR NR Band n75 &lt;= -91 dBm (10 MHz BW, SCS 15 kHz)</t>
  </si>
  <si>
    <t>Combined HL: -xxx dBm,
Combined HR: -xxx dBm</t>
  </si>
  <si>
    <r>
      <rPr>
        <rFont val="Arial"/>
        <color theme="1"/>
        <sz val="10.0"/>
      </rPr>
      <t>Combined HL: -xxx dBm,</t>
    </r>
    <r>
      <rPr>
        <rFont val="Arial"/>
        <color theme="1"/>
        <sz val="10.0"/>
      </rPr>
      <t xml:space="preserve">
</t>
    </r>
    <r>
      <rPr>
        <rFont val="Arial"/>
        <color theme="1"/>
        <sz val="10.0"/>
      </rPr>
      <t>Combined HR: -xxx dBm</t>
    </r>
  </si>
  <si>
    <t>MTR-34518</t>
  </si>
  <si>
    <t>TIS HL&amp;HR NR Band n78 &lt;= -91 dBm (10 MHz BW, SCS 30 kHz)</t>
  </si>
  <si>
    <t>Combined HL: -97.7 dBm,
Combined HR: -98 dBm</t>
  </si>
  <si>
    <r>
      <rPr>
        <rFont val="Arial"/>
        <color theme="1"/>
        <sz val="10.0"/>
      </rPr>
      <t>Combined HL: -xxx dBm,</t>
    </r>
    <r>
      <rPr>
        <rFont val="Arial"/>
        <color theme="1"/>
        <sz val="10.0"/>
      </rPr>
      <t xml:space="preserve">
</t>
    </r>
    <r>
      <rPr>
        <rFont val="Arial"/>
        <color theme="1"/>
        <sz val="10.0"/>
      </rPr>
      <t>Combined HR: -xxx dBm</t>
    </r>
  </si>
  <si>
    <t>MTR-34521</t>
  </si>
  <si>
    <t>TIS HL&amp;HR NR Band n78 &lt;= -88 dBm (20 MHz BW, SCS 30 kHz)</t>
  </si>
  <si>
    <t>Combined HL: -94.3 dBm,
Combined HR: -95 dBm</t>
  </si>
  <si>
    <r>
      <rPr>
        <rFont val="Arial"/>
        <color theme="1"/>
        <sz val="10.0"/>
      </rPr>
      <t>Combined HL: -xxx dBm,</t>
    </r>
    <r>
      <rPr>
        <rFont val="Arial"/>
        <color theme="1"/>
        <sz val="10.0"/>
      </rPr>
      <t xml:space="preserve">
</t>
    </r>
    <r>
      <rPr>
        <rFont val="Arial"/>
        <color theme="1"/>
        <sz val="10.0"/>
      </rPr>
      <t>Combined HR: -xxx dBm</t>
    </r>
  </si>
  <si>
    <t>MTR-36121</t>
  </si>
  <si>
    <r>
      <rPr>
        <rFont val="Arial"/>
        <b/>
        <color theme="1"/>
        <sz val="10.0"/>
      </rPr>
      <t>2.2.7</t>
    </r>
    <r>
      <rPr>
        <rFont val="Arial"/>
        <b val="0"/>
        <color theme="1"/>
        <sz val="10.0"/>
      </rPr>
      <t xml:space="preserve"> </t>
    </r>
    <r>
      <rPr>
        <rFont val="Arial"/>
        <b/>
        <color theme="1"/>
        <sz val="10.0"/>
      </rPr>
      <t>RF Perfomance - Measurement Reports</t>
    </r>
  </si>
  <si>
    <t>MTR-30850</t>
  </si>
  <si>
    <r>
      <rPr>
        <rFont val="Arial"/>
        <color theme="1"/>
        <sz val="10.0"/>
      </rPr>
      <t>The vendor will deliver a "</t>
    </r>
    <r>
      <rPr>
        <rFont val="Arial"/>
        <b/>
        <color theme="1"/>
        <sz val="10.0"/>
      </rPr>
      <t>Conducted" RF Performance Test Report</t>
    </r>
    <r>
      <rPr>
        <rFont val="Arial"/>
        <color theme="1"/>
        <sz val="10.0"/>
      </rPr>
      <t xml:space="preserve"> containing measurement results for at least the following bands and technologies (if supported by the device),
 - 5G: n1, n3, n7, n8, n20, n28, n78
Measurements shall be aligned with the corresp. 3GPP performance requirements as defined in TS36.101 and TS38.101-1.
The report shall include a description of the used measurement setup and conditions.
The report shall include for each frequency band the following properties:
- TX power (indicate if dynamic antenna switching is used)
- RX sensitivity (all antennas active)
If number of receive antennas &gt;1 additionally:
- RX sensitivity per individual antenna (i.e. primary and secondary individually or 1..4 for 4 RX devices)
Single Antenna Measurement: Antenna switching deactivated
The report shall include one value for each of the 3 frequencies to be tested within a frequency band (low/mid/high).
</t>
    </r>
    <r>
      <rPr>
        <rFont val="Arial"/>
        <b/>
        <color theme="1"/>
        <sz val="10.0"/>
      </rPr>
      <t>The report will be delivered prior to start of the Telekom Acceptance IOT phase for the device.</t>
    </r>
  </si>
  <si>
    <t>MTR-77</t>
  </si>
  <si>
    <r>
      <rPr>
        <rFont val="Arial"/>
        <color theme="1"/>
        <sz val="10.0"/>
      </rPr>
      <t xml:space="preserve">The vendor will deliver a </t>
    </r>
    <r>
      <rPr>
        <rFont val="Arial"/>
        <b/>
        <color theme="1"/>
        <sz val="10.0"/>
      </rPr>
      <t>"Free Space" (FS) RF Performance Test Report</t>
    </r>
    <r>
      <rPr>
        <rFont val="Arial"/>
        <color theme="1"/>
        <sz val="10.0"/>
      </rPr>
      <t xml:space="preserve">, containing measurement results for at least the following bands and technologies (if supported by the device),
 - GSM: 900, 1800
 - LTE: 1, 3, 7, 8, 20, 28, 32 (Rx onyl)
 - 5G: n1, n3, n7, n8, n20, n28, n75 (Rx only), n78
 - EN-DC: DC_3A_n1A, DC_20A_n28A
Measurements shall be performed according to the latest CTIA 'Test Pan for Wireless Over the Air Performance' (for EN-DC version 4.0 or higher) / 3GPP TS 34.114 or comparable.
For USB data sticks a phantom laptop shall be used as defined in TR25.914.
The report shall include a description of the used measurement setup and conditions.
The report shall includes for each frequency band the following properties:
- TRP (indicate if dynamic antenna switching is used)
- TIS (all antennas active)
If number of receive antennas &gt;1 additionally:
- TIS per individual antenna (i.e. primary and secondary individually or 1..4 for 4 RX devices)
Single Antenna Measurement: Antenna switching deactivated
The report shall include one value for each of the 3 frequencies to be tested within a frequency band (low/mid/high).
</t>
    </r>
    <r>
      <rPr>
        <rFont val="Arial"/>
        <b/>
        <color theme="1"/>
        <sz val="10.0"/>
      </rPr>
      <t>In addition to the "full" test report the vendor will also provide the most relevant RF values (subset of the full scope) via the latest version of the Deutsche Telekom Excel template "DTAG GHS RF Performance Test Suite".</t>
    </r>
    <r>
      <rPr>
        <rFont val="Arial"/>
        <color theme="1"/>
        <sz val="10.0"/>
      </rPr>
      <t xml:space="preserve">
</t>
    </r>
    <r>
      <rPr>
        <rFont val="Arial"/>
        <b/>
        <color theme="1"/>
        <sz val="10.0"/>
      </rPr>
      <t>The report and the Excel template will be delivered prior to start of the Telekom Acceptance IOT phase for the device.</t>
    </r>
  </si>
  <si>
    <t>MTR-19975</t>
  </si>
  <si>
    <r>
      <rPr>
        <rFont val="Arial"/>
        <color theme="1"/>
        <sz val="10.0"/>
      </rPr>
      <t>The vendor will deliver a</t>
    </r>
    <r>
      <rPr>
        <rFont val="Arial"/>
        <b/>
        <color theme="1"/>
        <sz val="10.0"/>
      </rPr>
      <t xml:space="preserve"> "Talk Mode - Besides Head and Hand" RF Performance Test Report</t>
    </r>
    <r>
      <rPr>
        <rFont val="Arial"/>
        <color theme="1"/>
        <sz val="10.0"/>
      </rPr>
      <t xml:space="preserve">,  containing measurement results for at least the following bands and technologies (if supported by the device),
 - GSM900, 1800
 - LTE 1, 3, 7, 8, 20, 28
 - 5G: n1, n3, n7, n8, n20, n28, n78
Measurements are performed according to the latest CTIA 'Test Plan for Mobile Station Over the Air Performance', Appendix A.1.4 Head and Hand Phantom ("Talk Mode").
The following hand phantoms have to be used for devices
 - up to 72 mm: the CTIA "PDA-Grip Phantom"
 - &gt;72 mm and &lt;= 92 mm: the CTIA "Wide Phantom Hand"
 - &gt;92 mm the "free space" measurements have to be performed
The report shall include a description of the used measurement setup and conditions.
The test must have been carried out without manipulated UE behaviour, i.e. no artifical deactivatiion of proximity sensors.
The report shall include for each frequency band the following properties:
- TRP (if a dynamic antenna switching is used this has to be indicated)
- TIS (all antennas active)
If number of receive antennas &gt;1 additionally:
- TIS per individual antenna (i.e. primary and secondary individually or 1..4 for 4 RX devices)
Single Antenna Measurement: Antenna switching deactivated
The report shall include one value for each of the 3 frequencies to be tested within a frequency band (low/mid/high)
Even though currently no single antenna requirements exist for this mode the report shall include the individual measurements as far as possible.
</t>
    </r>
    <r>
      <rPr>
        <rFont val="Arial"/>
        <b/>
        <color theme="1"/>
        <sz val="10.0"/>
      </rPr>
      <t>In addition to the "full" test report the vendor will also provide the most relevant RF values (subset of the full scope) via the latest version of the Deutsche Telekom Excel template "DTAG GHS RF Performance Test Suite".</t>
    </r>
    <r>
      <rPr>
        <rFont val="Arial"/>
        <color theme="1"/>
        <sz val="10.0"/>
      </rPr>
      <t xml:space="preserve">
</t>
    </r>
    <r>
      <rPr>
        <rFont val="Arial"/>
        <b/>
        <color theme="1"/>
        <sz val="10.0"/>
      </rPr>
      <t>The report and the Excel template will be delivered prior to start of the Telekom Acceptance IOT phase for the device.</t>
    </r>
  </si>
  <si>
    <t>MTR-30898</t>
  </si>
  <si>
    <r>
      <rPr>
        <rFont val="Arial"/>
        <color theme="1"/>
        <sz val="10.0"/>
      </rPr>
      <t>The vendor will deliver a "</t>
    </r>
    <r>
      <rPr>
        <rFont val="Arial"/>
        <b/>
        <color theme="1"/>
        <sz val="10.0"/>
      </rPr>
      <t>Browsing Mode - Hand only" RF Performance Test Report</t>
    </r>
    <r>
      <rPr>
        <rFont val="Arial"/>
        <color theme="1"/>
        <sz val="10.0"/>
      </rPr>
      <t xml:space="preserve">, containing measurement results for at least the following bands and technologies (if supported by the device),
 - GSM: 900, 1800
 - LTE: 1, 3, 7, 8, 20, 28, 32 (Rx only)
 - 5G: n1, n3, n7, n8, n20, n28, n75 (Rx only), n78
 - EN-DC: DC_3A_n1A, DC_20A_n28A
Measurements are performed according to the latest CTIA 'Test Plan for Mobile Station Over the Air Performance', Appendix A.1.5 Hand Phantom Only ("Browsing Mode")
The report shall include a description of the used measurement setup and conditions.
The report shall include for each frequency band the following properties:
- TRP (if a dynamic antenna switching is used this has to be indicated)
- TIS (all antennas active)
If number of receive antennas &gt;1 additionally:
- TIS per individual antenna (i.e. primary and secondary individually or 1..4 for 4 RX devices)
Single Antenna Measurement: Antenna switching deactivated
The report shall include one value for each of the 3 frequencies to be tested within a frequency band (low/mid/high)
Even though currently no single antenna requirements exist for this mode the report shall include the individual measurements as far as possible.
</t>
    </r>
    <r>
      <rPr>
        <rFont val="Arial"/>
        <b/>
        <color theme="1"/>
        <sz val="10.0"/>
      </rPr>
      <t>In addition to the "full" test report the vendor will also provide the most relevant RF values (subset of the full scope) via the latest version of the Deutsche Telekom Excel template "DTAG GHS RF Performance Test Suite".</t>
    </r>
    <r>
      <rPr>
        <rFont val="Arial"/>
        <color theme="1"/>
        <sz val="10.0"/>
      </rPr>
      <t xml:space="preserve">
</t>
    </r>
    <r>
      <rPr>
        <rFont val="Arial"/>
        <b/>
        <color theme="1"/>
        <sz val="10.0"/>
      </rPr>
      <t>The report and the Excel template will be delivered prior to start of the Telekom Acceptance IOT phase for the device.</t>
    </r>
  </si>
  <si>
    <t>LTE-CA UL Configuration</t>
  </si>
  <si>
    <t>E-UTRA DL Configuration</t>
  </si>
  <si>
    <t>3GPP Release</t>
  </si>
  <si>
    <r>
      <rPr>
        <rFont val="Arial"/>
        <b/>
        <color theme="1"/>
        <sz val="10.0"/>
      </rPr>
      <t>2.4.1.4</t>
    </r>
    <r>
      <rPr>
        <rFont val="Arial"/>
        <b val="0"/>
        <color theme="1"/>
        <sz val="10.0"/>
      </rPr>
      <t xml:space="preserve"> </t>
    </r>
    <r>
      <rPr>
        <rFont val="Arial"/>
        <b/>
        <color theme="1"/>
        <sz val="10.0"/>
      </rPr>
      <t>LTE Carrier Aggregation</t>
    </r>
  </si>
  <si>
    <t>LTE-CA</t>
  </si>
  <si>
    <t>MTR-31389</t>
  </si>
  <si>
    <r>
      <rPr>
        <rFont val="Arial"/>
        <b/>
        <color theme="1"/>
        <sz val="10.0"/>
      </rPr>
      <t>2.4.1.4.1</t>
    </r>
    <r>
      <rPr>
        <rFont val="Arial"/>
        <b val="0"/>
        <color theme="1"/>
        <sz val="10.0"/>
      </rPr>
      <t xml:space="preserve"> </t>
    </r>
    <r>
      <rPr>
        <rFont val="Arial"/>
        <b/>
        <color theme="1"/>
        <sz val="10.0"/>
      </rPr>
      <t>LTE DL 2 Carrier Aggregation Combinations</t>
    </r>
  </si>
  <si>
    <t>MTR-32747</t>
  </si>
  <si>
    <t>CA_1A-1A  BCS: 0
 UL: 1A
 [40 MHz max: [5-20 MHz]+[5-20 MHz]]</t>
  </si>
  <si>
    <t>1A</t>
  </si>
  <si>
    <t>CA_1A-1A</t>
  </si>
  <si>
    <t>2017-06</t>
  </si>
  <si>
    <t>ul, bsc complies</t>
  </si>
  <si>
    <t>MTR-30428</t>
  </si>
  <si>
    <t>CA_1C  BCS: 0
 UL: 1A, CA_1C
 [40 MHz max: [15-20 MHz]+[15-20 MHz]]</t>
  </si>
  <si>
    <t>1A, CA_1C</t>
  </si>
  <si>
    <t>CA_1C</t>
  </si>
  <si>
    <t>2012-10</t>
  </si>
  <si>
    <t>MTR-32748</t>
  </si>
  <si>
    <t>CA_1C  BCS: 1
 UL: 1A, CA_1C
 [40 MHz max: [5-20 MHz]+[5-20 MHz]]</t>
  </si>
  <si>
    <t>MTR-31516</t>
  </si>
  <si>
    <t>CA_1A-3A  BCS: 0
 UL: 1A, 3A, CA_1A-3A
 [40 MHz max: [5-20 MHz]+[5-20 MHz]]</t>
  </si>
  <si>
    <t>1A, 3A, CA_1A-3A</t>
  </si>
  <si>
    <t>CA_1A-3A</t>
  </si>
  <si>
    <t>2014-09</t>
  </si>
  <si>
    <t>300/75 Mbps, 800/200 Mbps, 1000/200 Mbps, 1200/225 Mbps, 1600/225 Mbps, 2000/225 Mbps</t>
  </si>
  <si>
    <t>MTR-32868</t>
  </si>
  <si>
    <t>CA_1A-3A  BCS: 1
 UL: 1A, 3A, CA_1A-3A
 [40 MHz max: [5-20 MHz]+[3-20 MHz]]</t>
  </si>
  <si>
    <t>MTR-31517</t>
  </si>
  <si>
    <t>CA_1A-7A  BCS: 0
 UL: 1A, 7A, CA_1A-7A
 [40 MHz max: [5-20 MHz]+[10-20 MHz]]</t>
  </si>
  <si>
    <t>1A, 7A, CA_1A-7A</t>
  </si>
  <si>
    <t>CA_1A-7A</t>
  </si>
  <si>
    <t>MTR-32803</t>
  </si>
  <si>
    <t>CA_1A-7A  BCS: 1
 UL: 1A, 7A, CA_1A-7A
 [40 MHz max: [5-20 MHz]+[5-20 MHz]]</t>
  </si>
  <si>
    <t>MTR-30708</t>
  </si>
  <si>
    <t>CA_1A-8A  BCS: 0
 UL: 1A, 8A, CA_1A-8A
 [30 MHz max: [5-20 MHz]+[5-10 MHz]]</t>
  </si>
  <si>
    <t>1A, 8A, CA_1A-8A</t>
  </si>
  <si>
    <t>CA_1A-8A</t>
  </si>
  <si>
    <t>2013-07</t>
  </si>
  <si>
    <t>MTR-31519</t>
  </si>
  <si>
    <t>CA_1A-8A  BCS: 1
 UL: 1A, 8A, CA_1A-8A
 [20 MHz max: [5-10 MHz]+[5-10 MHz]]</t>
  </si>
  <si>
    <t>MTR-31520</t>
  </si>
  <si>
    <t>CA_1A-8A  BCS: 2
 UL: 1A, 8A, CA_1A-8A
 [30 MHz max: [5-20 MHz]+[3-10 MHz]]</t>
  </si>
  <si>
    <t>MTR-31521</t>
  </si>
  <si>
    <t>CA_1A-20A  BCS: 0
 UL: 1A, 20A, CA_1A-20A
 [40 MHz max: [5-20 MHz]+[5-20 MHz]]</t>
  </si>
  <si>
    <t>1A, 20A, CA_1A-20A</t>
  </si>
  <si>
    <t>CA_1A-20A</t>
  </si>
  <si>
    <t>2014-06</t>
  </si>
  <si>
    <t>MTR-31522</t>
  </si>
  <si>
    <t>CA_1A-28A  BCS: 0
 UL: 1A, 28A, CA_1A-28A
 [40 MHz max: [5-20 MHz]+[5-20 MHz]]</t>
  </si>
  <si>
    <t>1A, 28A, CA_1A-28A</t>
  </si>
  <si>
    <t>CA_1A-28A</t>
  </si>
  <si>
    <t>2014-12</t>
  </si>
  <si>
    <t>MTR-31523</t>
  </si>
  <si>
    <t>CA_1A-28A  BCS: 1
 UL: 1A, 28A, CA_1A-28A
 [20 MHz max: [5-10 MHz]+[5-10 MHz]]</t>
  </si>
  <si>
    <t>MTR-32970</t>
  </si>
  <si>
    <t>CA_1A-32A  BCS: 0
 UL: 1A
 [40 MHz max: [5-20 MHz]+[5-20 MHz]]</t>
  </si>
  <si>
    <t>CA_1A-32A</t>
  </si>
  <si>
    <t>2017-12</t>
  </si>
  <si>
    <t>MTR-30430</t>
  </si>
  <si>
    <t>CA_3A-3A  BCS: 0
 UL: 3A
 [40 MHz max: [5-20 MHz]+[5-20 MHz]]</t>
  </si>
  <si>
    <t>3A</t>
  </si>
  <si>
    <t>CA_3A-3A</t>
  </si>
  <si>
    <t>2013-12</t>
  </si>
  <si>
    <t>MTR-32876</t>
  </si>
  <si>
    <t>CA_3A-3A  BCS: 1
 UL: 3A
 [30 MHz max: [5-10 MHz]+[5-20 MHz]]</t>
  </si>
  <si>
    <t>MTR-32877</t>
  </si>
  <si>
    <t>CA_3A-3A  BCS: 2
 UL: 3A
 [10 MHz max: [3+5] or [5+5] MHz]</t>
  </si>
  <si>
    <t>MTR-30707</t>
  </si>
  <si>
    <t>CA_3C  BCS: 0
 UL: 3A, CA_3C
 [40 MHz max: [5-20 MHz]+[5-20 MHz]]</t>
  </si>
  <si>
    <t>3A, CA_3C</t>
  </si>
  <si>
    <t>CA_3C</t>
  </si>
  <si>
    <t>2009-12</t>
  </si>
  <si>
    <t>MTR-30431</t>
  </si>
  <si>
    <t>CA_3A-7A  BCS: 0
 UL: 3A, 7A, CA_3A-7A
 [40 MHz max: [5-20 MHz]+[10-20 MHz]]</t>
  </si>
  <si>
    <t>3A, 7A, CA_3A-7A</t>
  </si>
  <si>
    <t>CA_3A-7A</t>
  </si>
  <si>
    <t>2012-09</t>
  </si>
  <si>
    <t>MTR-32869</t>
  </si>
  <si>
    <t>CA_3A-7A  BCS: 1
 UL: 3A, 7A, CA_3A-7A
 [40 MHz max: [5-20 MHz]+[5-20 MHz]]</t>
  </si>
  <si>
    <t>MTR-30432</t>
  </si>
  <si>
    <t>CA_3A-8A  BCS: 0
 UL: 3A, 8A, CA_3A-8A
 [30 MHz max: [10-20 MHz]+[5-10 MHz]]</t>
  </si>
  <si>
    <t>3A, 8A, CA_3A-8A</t>
  </si>
  <si>
    <t>CA_3A-8A</t>
  </si>
  <si>
    <t>2012-12</t>
  </si>
  <si>
    <t>MTR-31524</t>
  </si>
  <si>
    <t>CA_3A-8A  BCS: 1
 UL: 3A, 8A, CA_3A-8A
 [20 MHz max: [10 MHz]+[5-10 MHz]]</t>
  </si>
  <si>
    <t>MTR-31525</t>
  </si>
  <si>
    <t>CA_3A-8A  BCS: 2
 UL: 3A, 8A, CA_3A-8A
 [30 MHz max: [5-20 MHz]+[3-10 MHz]]</t>
  </si>
  <si>
    <t>MTR-31925</t>
  </si>
  <si>
    <t>CA_3A-8A  BCS: 3
 UL: 3A, 8A, CA_3A-8A
 [30 MHz max: [5-20 MHz]+[5-10 MHz]]</t>
  </si>
  <si>
    <t>MTR-30433</t>
  </si>
  <si>
    <t>CA_3A-20A  BCS: 0
 UL: 3A, 20A, CA_3A-20A
 [30 MHz max: [5-20 MHz]+[5-10 MHz]]</t>
  </si>
  <si>
    <t>3A, 20A, CA_3A-20A</t>
  </si>
  <si>
    <t>CA_3A-20A</t>
  </si>
  <si>
    <t>MTR-31189</t>
  </si>
  <si>
    <t>CA_3A-20A  BCS: 1
 UL: 3A, 20A, CA_3A-20A
 [40 MHz max: [5-20 MHz]+[5-20 MHz]]</t>
  </si>
  <si>
    <t>MTR-31609</t>
  </si>
  <si>
    <t>CA_3A-28A  BCS: 0
 UL: 3A, 28A, CA_3A-28A
 [40 MHz max: [5-20 MHz]+[5-20 MHz]]</t>
  </si>
  <si>
    <t>3A, 28A, CA_3A-28A</t>
  </si>
  <si>
    <t>CA_3A-28A</t>
  </si>
  <si>
    <t>MTR-32217</t>
  </si>
  <si>
    <t>CA_3A-28A  BCS: 1
 UL: 3A, 28A, CA_3A-28A
 [40 MHz max: [3-20 MHz]+[5-20 MHz]]</t>
  </si>
  <si>
    <t>MTR-32163</t>
  </si>
  <si>
    <t>CA_3A-32A  BCS: 0
 UL: 3A
 [40 MHz max: [5-20 MHz]+[5-20 MHz]]</t>
  </si>
  <si>
    <t>CA_3A-32A</t>
  </si>
  <si>
    <t>2016-09</t>
  </si>
  <si>
    <t>MTR-31610</t>
  </si>
  <si>
    <t>CA_7A-7A  BCS: 0
 UL: 7A
 [40 MHz max: [5+15] or [10+10] or [10+15] or [15+15] or [15+20] or [20+20] MHz]</t>
  </si>
  <si>
    <t>7A</t>
  </si>
  <si>
    <t>CA_7A-7A</t>
  </si>
  <si>
    <t>MTR-32172</t>
  </si>
  <si>
    <t>CA_7A-7A  BCS: 1
 UL: 7A
 [40 MHz max: [5-20 MHz]+[10-20 MHz]]</t>
  </si>
  <si>
    <t>MTR-32173</t>
  </si>
  <si>
    <t>CA_7A-7A  BCS: 2
 UL: 7A
 [30 MHz max: [5-20 MHz]+[5-10 MHz]]</t>
  </si>
  <si>
    <t>MTR-32878</t>
  </si>
  <si>
    <t>CA_7A-7A  BCS: 3
 UL: 7A
 [40 MHz max: [10-20 MHz]+[10-20 MHz]]</t>
  </si>
  <si>
    <t>MTR-30429</t>
  </si>
  <si>
    <t>CA_7C  BCS: 0
 UL: 7A, CA_7C
 [40 MHz max: [15-20 MHz]+[15-20 MHz]]</t>
  </si>
  <si>
    <t>7A, CA_7C</t>
  </si>
  <si>
    <t>CA_7C</t>
  </si>
  <si>
    <t>MTR-31529</t>
  </si>
  <si>
    <t>CA_7C  BCS: 1
 UL: 7A, CA_7C
 [40 MHz max: [10-20 MHz]+[10-20 MHz]]</t>
  </si>
  <si>
    <t>MTR-32867</t>
  </si>
  <si>
    <t>CA_7C  BCS: 2
 UL: 7A, CA_7C
 [40 MHz max: [15-20 MHz]+[10-20 MHz]]</t>
  </si>
  <si>
    <t>MTR-31611</t>
  </si>
  <si>
    <t>CA_7A-8A  BCS: 0
 UL: 7A, 8A, CA_7A-8A
 [30 MHz max: [10-20 MHz]+[3-10 MHz]]</t>
  </si>
  <si>
    <t>7A, 8A, CA_7A-8A</t>
  </si>
  <si>
    <t>CA_7A-8A</t>
  </si>
  <si>
    <t>MTR-32174</t>
  </si>
  <si>
    <t>CA_7A-8A  BCS: 1
 UL: 7A, 8A, CA_7A-8A
 [30 MHz max: [10-20 MHz]+[5-10 MHz]]</t>
  </si>
  <si>
    <t>MTR-32175</t>
  </si>
  <si>
    <t>CA_7A-8A  BCS: 2
 UL: 7A, 8A, CA_7A-8A
 [30 MHz max: [5-20 MHz]+[5-10 MHz]]</t>
  </si>
  <si>
    <t>MTR-30434</t>
  </si>
  <si>
    <t>CA_7A-20A  BCS: 0
 UL: 7A, 20A, CA_7A-20A
 [30 MHz max: [10-20 MHz]+[5-10 MHz]]</t>
  </si>
  <si>
    <t>7A, 20A, CA_7A-20A</t>
  </si>
  <si>
    <t>CA_7A-20A</t>
  </si>
  <si>
    <t>MTR-31190</t>
  </si>
  <si>
    <t>CA_7A-20A  BCS: 1
 UL: 7A, 20A, CA_7A-20A
 [40 MHz max: [10-20 MHz]+[5-20 MHz]]</t>
  </si>
  <si>
    <t>MTR-32804</t>
  </si>
  <si>
    <t>CA_7A-20A  BCS: 2
 UL: 7A, 20A, CA_7A-20A
 [40 MHz max: [5-20 MHz]+[5-20 MHz]]</t>
  </si>
  <si>
    <t>MTR-31612</t>
  </si>
  <si>
    <t>CA_7A-28A  BCS: 0
 UL: 7A, 28A, CA_7A-28A
 [35 MHz max: [5-20 MHz]+[5-15 MHz]]</t>
  </si>
  <si>
    <t>7A, 28A, CA_7A-28A</t>
  </si>
  <si>
    <t>CA_7A-28A</t>
  </si>
  <si>
    <t>MTR-31969</t>
  </si>
  <si>
    <t>CA_7A-28A  BCS: 1
 UL: 7A, 28A, CA_7A-28A
 [40 MHz max: [5-20 MHz]+[5-20 MHz]]</t>
  </si>
  <si>
    <t>MTR-32164</t>
  </si>
  <si>
    <t>CA_7A-32A  BCS: 0
 UL: 7A
 [40 MHz max: [10-20 MHz]+[5-20 MHz]]</t>
  </si>
  <si>
    <t>CA_7A-32A</t>
  </si>
  <si>
    <t>2017-03</t>
  </si>
  <si>
    <t>MTR-30435</t>
  </si>
  <si>
    <t>CA_8A-20A  BCS: 0
 UL: 8A, 20A, CA_8A-20A
 [20 MHz max: [5-10 MHz]+[5-10 MHz]]</t>
  </si>
  <si>
    <t>8A, 20A, CA_8A-20A</t>
  </si>
  <si>
    <t>CA_8A-20A</t>
  </si>
  <si>
    <t>Request TAM to create FR to verify feasiblity of enablement for DTAG</t>
  </si>
  <si>
    <t>MTR-31191</t>
  </si>
  <si>
    <t>CA_8A-20A  BCS: 1
 UL: 8A, 20A, CA_8A-20A
 [20 MHz max: [3-10 MHz]+[5-10 MHz]]</t>
  </si>
  <si>
    <t>MTR-32826</t>
  </si>
  <si>
    <t>CA_8A-20A  BCS: 2
 UL: 8A, 20A, CA_8A-20A
 [30 MHz max: [5-10 MHz]+[10-20 MHz]]</t>
  </si>
  <si>
    <t>MTR-32176</t>
  </si>
  <si>
    <t>CA_8A-28A  BCS: 0
 UL: 8A, 28A, CA_8A-28A
 [30 MHz max: [3-10 MHz]+[5-20 MHz]]</t>
  </si>
  <si>
    <t>8A, 28A, CA_8A-28A</t>
  </si>
  <si>
    <t>CA_8A-28A</t>
  </si>
  <si>
    <t>2016-06</t>
  </si>
  <si>
    <t>MTR-32805</t>
  </si>
  <si>
    <t>CA_8A-32A  BCS: 0
 UL: 8A
 [30 MHz max: [3-10 MHz]+[5-20 MHz]]</t>
  </si>
  <si>
    <t>8A</t>
  </si>
  <si>
    <t>CA_8A-32A</t>
  </si>
  <si>
    <t>2017-09</t>
  </si>
  <si>
    <t>MTR-32177</t>
  </si>
  <si>
    <t>CA_20A-28A  BCS: 0
 UL: 20A, 28A
 [30 MHz max: [10-20 MHz]+[5-20 MHz]]</t>
  </si>
  <si>
    <t>20A, 28A</t>
  </si>
  <si>
    <t>CA_20A-28A</t>
  </si>
  <si>
    <t>MTR-31530</t>
  </si>
  <si>
    <t>CA_20A-32A  BCS: 0
 UL: 20A
 [30 MHz max: [5-10 MHz]+[5-20 MHz]]</t>
  </si>
  <si>
    <t>20A</t>
  </si>
  <si>
    <t>CA_20A-32A</t>
  </si>
  <si>
    <t>MTR-32218</t>
  </si>
  <si>
    <t>CA_20A-32A  BCS: 1
 UL: 20A
 [40 MHz max: [5-20 MHz]+[5-20 MHz]]</t>
  </si>
  <si>
    <t>MTR-34730</t>
  </si>
  <si>
    <t>CA_28C  BCS: 0
 UL: 28A
 [30 MHz max: [5-20 MHz]+[5-20 MHz]]</t>
  </si>
  <si>
    <t>28A</t>
  </si>
  <si>
    <t>CA_28C</t>
  </si>
  <si>
    <t>2018-03</t>
  </si>
  <si>
    <t>MTR-33687</t>
  </si>
  <si>
    <t>CA_28A-32A  BCS: 0
 UL: 28A
 [40 MHz max: [5-20 MHz]+[5-20 MHz]]</t>
  </si>
  <si>
    <t>CA_28A-32A</t>
  </si>
  <si>
    <t>2018-12</t>
  </si>
  <si>
    <t>MTR-31533</t>
  </si>
  <si>
    <r>
      <rPr>
        <rFont val="Arial"/>
        <b/>
        <color theme="1"/>
        <sz val="10.0"/>
      </rPr>
      <t>2.4.1.4.2</t>
    </r>
    <r>
      <rPr>
        <rFont val="Arial"/>
        <b val="0"/>
        <color theme="1"/>
        <sz val="10.0"/>
      </rPr>
      <t xml:space="preserve"> </t>
    </r>
    <r>
      <rPr>
        <rFont val="Arial"/>
        <b/>
        <color theme="1"/>
        <sz val="10.0"/>
      </rPr>
      <t>LTE DL 3 Carrier Aggregation Combinations</t>
    </r>
  </si>
  <si>
    <t>MTR-32749</t>
  </si>
  <si>
    <t>CA_1A-1A-3A  BCS: 0
 UL: 1A, 3A
 [60 MHz max: [5-20 MHz]+[5-20 MHz]+[5-20 MHz]]</t>
  </si>
  <si>
    <t>1A, 3A</t>
  </si>
  <si>
    <t>CA_1A-1A-3A</t>
  </si>
  <si>
    <t>MTR-32470</t>
  </si>
  <si>
    <t>CA_1C-3A  BCS: 0
 UL: 1A, 3A
 [60 MHz max: [5-20 MHz]+[5-20 MHz]+[5-20 MHz]]</t>
  </si>
  <si>
    <t>CA_1C-3A</t>
  </si>
  <si>
    <t>2017-01</t>
  </si>
  <si>
    <t>MTR-32807</t>
  </si>
  <si>
    <t>CA_1A-1A-7A  BCS: 0
 UL: 1A, 7A, CA_1A-7A
 [60 MHz max: [5-20 MHz]+[5-20 MHz]+[5-20 MHz]]</t>
  </si>
  <si>
    <t>CA_1A-1A-7A</t>
  </si>
  <si>
    <t>MTR-38662</t>
  </si>
  <si>
    <t>CA_1C-20A  BCS: 0
 UL: 1A, 20A
 [60 MHz max: [5-20 MHz]+[5-20 MHz]+[5-20 MHz]]</t>
  </si>
  <si>
    <t>1A, 20A</t>
  </si>
  <si>
    <t>CA_1C-20A</t>
  </si>
  <si>
    <t>2022-06</t>
  </si>
  <si>
    <t>MTR-39961</t>
  </si>
  <si>
    <t>CA_1A-1A-20A  BCS: 0
 UL: 1A, 20A, CA_1A-20A
 [60 MHz max: [5-20 MHz]+[5-20 MHz]+[5-20 MHz]]</t>
  </si>
  <si>
    <t>CA_1A-1A-20A</t>
  </si>
  <si>
    <t>2023-12</t>
  </si>
  <si>
    <t>MTR-32752</t>
  </si>
  <si>
    <t>CA_1A-1A-28A  BCS: 0
 UL: 1A, 28A
 [60 MHz max: [5-20 MHz]+[5-20 MHz]+[5-20 MHz]]</t>
  </si>
  <si>
    <t>1A, 28A</t>
  </si>
  <si>
    <t>CA_1A-1A-28A</t>
  </si>
  <si>
    <t>MTR-31977</t>
  </si>
  <si>
    <t>CA_1A-3C  BCS: 0
 UL: 1A, 3A, CA_1A-3A, CA_3C
 [60 MHz max: [5-20 MHz]+[5-20 MHz]+[5-20 MHz]]</t>
  </si>
  <si>
    <t>1A, 3A, CA_1A-3A, CA_3C</t>
  </si>
  <si>
    <t>CA_1A-3C</t>
  </si>
  <si>
    <t>2015-10</t>
  </si>
  <si>
    <t>MTR-32359</t>
  </si>
  <si>
    <t>CA_1A-3A-3A  BCS: 0
 UL: 1A, 3A, CA_1A-3A
 [60 MHz max: [5-20 MHz]+[5-20 MHz]+[5-20 MHz]]</t>
  </si>
  <si>
    <t>CA_1A-3A-3A</t>
  </si>
  <si>
    <t>MTR-32049</t>
  </si>
  <si>
    <t>CA_1A-3A-7A  BCS: 0
 UL: 1A, 3A, 7A, CA_1A-3A, CA_1A-7A, CA_3A-7A
 [60 MHz max: [5-20 MHz]+[5-20 MHz]+[10-20 MHz]]</t>
  </si>
  <si>
    <t>1A, 3A, 7A, CA_1A-3A, CA_1A-7A, CA_3A-7A</t>
  </si>
  <si>
    <t>CA_1A-3A-7A</t>
  </si>
  <si>
    <t>2016-01</t>
  </si>
  <si>
    <t>MTR-32812</t>
  </si>
  <si>
    <t>CA_1A-3A-7A  BCS: 1
 UL: 1A, 3A, 7A, CA_1A-3A, CA_1A-7A, CA_3A-7A
 [60 MHz max: [5-20 MHz]+[5-20 MHz]+[5-20 MHz]]</t>
  </si>
  <si>
    <t>MTR-31534</t>
  </si>
  <si>
    <t>CA_1A-3A-8A  BCS: 0
 UL: 1A, 3A, 8A, CA_1A-3A, CA_1A-8A, CA_3A-8A
 [50 MHz max: [5-20 MHz]+[5-20 MHz]+[3-10 MHz]]</t>
  </si>
  <si>
    <t>1A, 3A, 8A, CA_1A-3A, CA_1A-8A, CA_3A-8A</t>
  </si>
  <si>
    <t>CA_1A-3A-8A</t>
  </si>
  <si>
    <t>MTR-31535</t>
  </si>
  <si>
    <t>CA_1A-3A-8A  BCS: 1
 UL: 1A, 3A, 8A, CA_1A-3A, CA_1A-8A, CA_3A-8A
 [40 MHz max: [5-10 MHz]+[5-20 MHz]+[3-10 MHz]]</t>
  </si>
  <si>
    <t>MTR-31536</t>
  </si>
  <si>
    <t>CA_1A-3A-8A  BCS: 2
 UL: 1A, 3A, 8A, CA_1A-3A, CA_1A-8A, CA_3A-8A
 [40 MHz max: [5-15 MHz]+[5-15 MHz]+[3-10 MHz]]</t>
  </si>
  <si>
    <t>MTR-32872</t>
  </si>
  <si>
    <t>CA_1A-3A-8A  BCS: 3
 UL: 1A, 3A, 8A, CA_1A-3A, CA_1A-8A, CA_3A-8A
 [50 MHz max: [5-20 MHz]+[5-20 MHz]+[5-10 MHz]]</t>
  </si>
  <si>
    <t>MTR-31538</t>
  </si>
  <si>
    <t>CA_1A-3A-20A  BCS: 0
 UL: 1A, 3A, 20A, CA_1A-20A, CA_1A-3A, CA_3A-20A
 [60 MHz max: [5-20 MHz]+[5-20 MHz]+[5-20 MHz]]</t>
  </si>
  <si>
    <t>1A, 3A, 20A, CA_1A-20A, CA_1A-3A, CA_3A-20A</t>
  </si>
  <si>
    <t>CA_1A-3A-20A</t>
  </si>
  <si>
    <t>MTR-31947</t>
  </si>
  <si>
    <t>CA_1A-3A-28A  BCS: 0
 UL: 1A, 3A, 28A, CA_1A-28A, CA_1A-3A, CA_3A-28A
 [60 MHz max: [5-20 MHz]+[5-20 MHz]+[5-20 MHz]]</t>
  </si>
  <si>
    <t>1A, 3A, 28A, CA_1A-28A, CA_1A-3A, CA_3A-28A</t>
  </si>
  <si>
    <t>CA_1A-3A-28A</t>
  </si>
  <si>
    <t>2015-07</t>
  </si>
  <si>
    <t>MTR-33158</t>
  </si>
  <si>
    <t>CA_1A-3A-32A  BCS: 0
 UL: 1A, 3A, CA_1A-3A
 [60 MHz max: [5-20 MHz]+[5-20 MHz]+[5-20 MHz]]</t>
  </si>
  <si>
    <t>CA_1A-3A-32A</t>
  </si>
  <si>
    <t>MTR-32388</t>
  </si>
  <si>
    <t>CA_1A-7A-7A  BCS: 0
 UL: 1A, 7A, CA_1A-7A
 [60 MHz max: [5-20 MHz]+[10-20 MHz]+[10-20 MHz]]</t>
  </si>
  <si>
    <t>CA_1A-7A-7A</t>
  </si>
  <si>
    <t>MTR-33150</t>
  </si>
  <si>
    <t>CA_1A-7A-7A  BCS: 1
 UL: 1A, 7A, CA_1A-7A
 [60 MHz max: [5-20 MHz]+[5-20 MHz]+[5-20 MHz]]</t>
  </si>
  <si>
    <t>MTR-32187</t>
  </si>
  <si>
    <t>CA_1A-7C  BCS: 0
 UL: 1A, 7A, CA_1A-7A, CA_7C
 [60 MHz max: [5-20 MHz]+[10-20 MHz]+[15-20 MHz]]</t>
  </si>
  <si>
    <t>1A, 7A, CA_1A-7A, CA_7C</t>
  </si>
  <si>
    <t>CA_1A-7C</t>
  </si>
  <si>
    <t>2016-03</t>
  </si>
  <si>
    <t>MTR-32519</t>
  </si>
  <si>
    <t>CA_1A-7C  BCS: 1
 UL: 1A, 7A, CA_1A-7A, CA_7C
 [60 MHz max: [5-20 MHz]+[10-20 MHz]+[10-20 MHz]]</t>
  </si>
  <si>
    <t>MTR-32052</t>
  </si>
  <si>
    <t>CA_1A-7A-8A  BCS: 0
 UL: 1A, 7A, 8A, CA_1A-7A, CA_1A-8A, CA_7A-8A
 [50 MHz max: [5-20 MHz]+[10-20 MHz]+[5-10 MHz]]</t>
  </si>
  <si>
    <t>1A, 7A, 8A, CA_1A-7A, CA_1A-8A, CA_7A-8A</t>
  </si>
  <si>
    <t>CA_1A-7A-8A</t>
  </si>
  <si>
    <t>MTR-32814</t>
  </si>
  <si>
    <t>CA_1A-7A-8A  BCS: 1
 UL: 1A, 7A, 8A, CA_1A-7A, CA_1A-8A, CA_7A-8A
 [50 MHz max: [5-20 MHz]+[5-20 MHz]+[5-10 MHz]]</t>
  </si>
  <si>
    <t>MTR-31540</t>
  </si>
  <si>
    <t>CA_1A-7A-20A  BCS: 0
 UL: 1A, 7A, 20A, CA_1A-20A, CA_1A-7A, CA_7A-20A
 [50 MHz max: [5-20 MHz]+[10-20 MHz]+[5-10 MHz]]</t>
  </si>
  <si>
    <t>1A, 7A, 20A, CA_1A-20A, CA_1A-7A, CA_7A-20A</t>
  </si>
  <si>
    <t>CA_1A-7A-20A</t>
  </si>
  <si>
    <t>MTR-32758</t>
  </si>
  <si>
    <t>CA_1A-7A-20A  BCS: 1
 UL: 1A, 7A, 20A, CA_1A-20A, CA_1A-7A, CA_7A-20A
 [60 MHz max: [5-20 MHz]+[10-20 MHz]+[5-20 MHz]]</t>
  </si>
  <si>
    <t>MTR-32816</t>
  </si>
  <si>
    <t>CA_1A-7A-20A  BCS: 2
 UL: 1A, 7A, 20A, CA_1A-20A, CA_1A-7A, CA_7A-20A
 [60 MHz max: [5-20 MHz]+[5-20 MHz]+[5-20 MHz]]</t>
  </si>
  <si>
    <t>MTR-32054</t>
  </si>
  <si>
    <t>CA_1A-7A-28A  BCS: 0
 UL: 1A, 7A, 28A, CA_1A-28A, CA_1A-7A, CA_7A-28A
 [55 MHz max: [5-20 MHz]+[10-20 MHz]+[5-15 MHz]]</t>
  </si>
  <si>
    <t>1A, 7A, 28A, CA_1A-28A, CA_1A-7A, CA_7A-28A</t>
  </si>
  <si>
    <t>CA_1A-7A-28A</t>
  </si>
  <si>
    <t>MTR-32189</t>
  </si>
  <si>
    <t>CA_1A-7A-28A  BCS: 1
 UL: 1A, 7A, 28A, CA_1A-28A, CA_1A-7A, CA_7A-28A
 [60 MHz max: [5-20 MHz]+[10-20 MHz]+[10-20 MHz]]</t>
  </si>
  <si>
    <t>MTR-32760</t>
  </si>
  <si>
    <t>CA_1A-7A-28A  BCS: 2
 UL: 1A, 7A, 28A, CA_1A-28A, CA_1A-7A, CA_7A-28A
 [60 MHz max: [5-20 MHz]+[10-20 MHz]+[5-20 MHz]]</t>
  </si>
  <si>
    <t>MTR-32976</t>
  </si>
  <si>
    <t>CA_1A-7A-32A  BCS: 0
 UL: 1A, 7A, CA_1A-7A
 [60 MHz max: [10-20 MHz]+[5-20 MHz]+[10-20 MHz]]</t>
  </si>
  <si>
    <t>CA_1A-7A-32A</t>
  </si>
  <si>
    <t>MTR-32761</t>
  </si>
  <si>
    <t>CA_1A-8A-20A  BCS: 0
 UL: 1A, 8A, 20A, CA_1A-8A
 [60 MHz max: [5-20 MHz]+[5-10 MHz]+[5-20 MHz]]</t>
  </si>
  <si>
    <t>1A, 8A, 20A, CA_1A-8A</t>
  </si>
  <si>
    <t>CA_1A-8A-20A</t>
  </si>
  <si>
    <t>MTR-32403</t>
  </si>
  <si>
    <t>CA_1A-8A-28A  BCS: 0
 UL: 1A, 8A, 28A
 [60 MHz max: [5-20 MHz]+[3-10 MHz]+[5-20 MHz]]</t>
  </si>
  <si>
    <t>1A, 8A, 28A</t>
  </si>
  <si>
    <t>CA_1A-8A-28A</t>
  </si>
  <si>
    <t>MTR-36405</t>
  </si>
  <si>
    <t>CA_1A-8A-32A  BCS: 0
 UL: 1A, 8A
 [50 MHz max: [5-20 MHz]+[1.4-10 MHz]+[5-20 MHz]]</t>
  </si>
  <si>
    <t>1A, 8A</t>
  </si>
  <si>
    <t>CA_1A-8A-32A</t>
  </si>
  <si>
    <t>2021-03</t>
  </si>
  <si>
    <t>MTR-32762</t>
  </si>
  <si>
    <t>CA_1A-20A-28A  BCS: 0
 UL: 1A, 20A, 28A
 [60 MHz max: [5-20 MHz]+[5-10 MHz]+[5-20 MHz]]</t>
  </si>
  <si>
    <t>1A, 20A, 28A</t>
  </si>
  <si>
    <t>CA_1A-20A-28A</t>
  </si>
  <si>
    <t>2019-03</t>
  </si>
  <si>
    <t>MTR-32978</t>
  </si>
  <si>
    <t>CA_1A-20A-32A  BCS: 0
 UL: 1A, 20A
 [50 MHz max: [10-20 MHz]+[5-10 MHz]+[5-20 MHz]]</t>
  </si>
  <si>
    <t>CA_1A-20A-32A</t>
  </si>
  <si>
    <t>MTR-36406</t>
  </si>
  <si>
    <t>CA_1A-28A-32A  BCS: 0
 UL: 1A, 28A, CA_1A-28A
 [60 MHz max: [5-20 MHz]+[5-20 MHz]+[5-20 MHz]]</t>
  </si>
  <si>
    <t>CA_1A-28A-32A</t>
  </si>
  <si>
    <t>MTR-32194</t>
  </si>
  <si>
    <t>CA_3A-3A-7A  BCS: 0
 UL: 3A, 7A, CA_3A-7A
 [60 MHz max: [5-20 MHz]+[5-20 MHz]+[5-20 MHz]]</t>
  </si>
  <si>
    <t>CA_3A-3A-7A</t>
  </si>
  <si>
    <t>MTR-32195</t>
  </si>
  <si>
    <t>CA_3A-3A-7A  BCS: 1
 UL: 3A, 7A, CA_3A-7A
 [50 MHz max: [5-10 MHz]+[5-20 MHz]+[5-20 MHz]]</t>
  </si>
  <si>
    <t>MTR-31697</t>
  </si>
  <si>
    <t>CA_3C-7A  BCS: 0
 UL: 3A, 7A, CA_3A-7A, CA_3C
 [60 MHz max: [5-20 MHz]+[5-20 MHz]+[5-20 MHz]]</t>
  </si>
  <si>
    <t>3A, 7A, CA_3A-7A, CA_3C</t>
  </si>
  <si>
    <t>CA_3C-7A</t>
  </si>
  <si>
    <t>MTR-31949</t>
  </si>
  <si>
    <t>CA_3A-3A-8A  BCS: 0
 UL: 3A, 8A, CA_3A-8A
 [50 MHz max: [5-20 MHz]+[5-20 MHz]+[5-10 MHz]]</t>
  </si>
  <si>
    <t>CA_3A-3A-8A</t>
  </si>
  <si>
    <t>MTR-32871</t>
  </si>
  <si>
    <t>CA_3A-3A-8A  BCS: 1
 UL: 3A, 8A, CA_3A-8A
 [40 MHz max: [5-10 MHz]+[5-20 MHz]+[5-10 MHz]]</t>
  </si>
  <si>
    <t>MTR-32196</t>
  </si>
  <si>
    <t>CA_3C-8A  BCS: 0
 UL: 3A, 8A, CA_3A-8A, CA_3C
 [50 MHz max: [5-20 MHz]+[5-20 MHz]+[5-15 MHz]]</t>
  </si>
  <si>
    <t>3A, 8A, CA_3A-8A, CA_3C</t>
  </si>
  <si>
    <t>CA_3C-8A</t>
  </si>
  <si>
    <t>MTR-31933</t>
  </si>
  <si>
    <t>CA_3A-3A-20A  BCS: 0
 UL: 3A, 20A
 [60 MHz max: [5-20 MHz]+[5-20 MHz]+[5-20 MHz]]</t>
  </si>
  <si>
    <t>3A, 20A</t>
  </si>
  <si>
    <t>CA_3A-3A-20A</t>
  </si>
  <si>
    <t>MTR-31980</t>
  </si>
  <si>
    <t>CA_3C-20A  BCS: 0
 UL: 3A, 20A, CA_3A-20A, CA_3C
 [60 MHz max: [5-20 MHz]+[5-20 MHz]+[5-20 MHz]]</t>
  </si>
  <si>
    <t>3A, 20A, CA_3A-20A, CA_3C</t>
  </si>
  <si>
    <t>CA_3C-20A</t>
  </si>
  <si>
    <t>MTR-33173</t>
  </si>
  <si>
    <t>CA_3A-3A-28A  BCS: 0
 UL: 3A, 28A
 [60 MHz max: [5-20 MHz]+[5-20 MHz]+[5-20 MHz]]</t>
  </si>
  <si>
    <t>3A, 28A</t>
  </si>
  <si>
    <t>CA_3A-3A-28A</t>
  </si>
  <si>
    <t>2018-06</t>
  </si>
  <si>
    <t>MTR-32203</t>
  </si>
  <si>
    <t>CA_3C-28A  BCS: 0
 UL: 3A, 28A, CA_3C
 [60 MHz max: [5-20 MHz]+[5-20 MHz]+[5-20 MHz]]</t>
  </si>
  <si>
    <t>3A, 28A, CA_3C</t>
  </si>
  <si>
    <t>CA_3C-28A</t>
  </si>
  <si>
    <t>MTR-32844</t>
  </si>
  <si>
    <t>CA_3C-32A  BCS: 0
 UL: 3A
 [60 MHz max: [5-20 MHz]+[5-20 MHz]+[5-20 MHz]]</t>
  </si>
  <si>
    <t>CA_3C-32A</t>
  </si>
  <si>
    <t>MTR-32198</t>
  </si>
  <si>
    <t>CA_3A-7A-7A  BCS: 0
 UL: 3A, 7A, CA_3A-7A
 [60 MHz max: [5-20 MHz]+[5-20 MHz]+[5-20 MHz]]</t>
  </si>
  <si>
    <t>CA_3A-7A-7A</t>
  </si>
  <si>
    <t>MTR-32199</t>
  </si>
  <si>
    <t>CA_3A-7A-7A  BCS: 1
 UL: 3A, 7A, CA_3A-7A
 [50 MHz max: [5-20 MHz]+[5-20 MHz]+[5-10 MHz]]</t>
  </si>
  <si>
    <t>MTR-31544</t>
  </si>
  <si>
    <t>CA_3A-7C  BCS: 0
 UL: 3A, 7A, CA_3A-7A, CA_7C
 [60 MHz max: [5-20 MHz]+([10+20] or[15+15] or [15+20] or [20+20] MHz])]</t>
  </si>
  <si>
    <t>3A, 7A, CA_3A-7A, CA_7C</t>
  </si>
  <si>
    <t>CA_3A-7C</t>
  </si>
  <si>
    <t>MTR-32870</t>
  </si>
  <si>
    <t>CA_3A-7C  BCS: 1
 UL: 3A, 7A, CA_3A-7A, CA_7C
 [60 MHz max: [5-20 MHz]+([10+15] or [15+15] or [15+20] or [20+20] MHz)]</t>
  </si>
  <si>
    <t>MTR-31735</t>
  </si>
  <si>
    <t>CA_3A-7A-8A  BCS: 0
 UL: 3A, 7A, 8A, CA_3A-7A, CA_3A-8A, CA_7A-8A
 [40 MHz max: [5-15 MHz]+[10-15 MHz]+[5-10 MHz]]</t>
  </si>
  <si>
    <t>3A, 7A, 8A, CA_3A-7A, CA_3A-8A, CA_7A-8A</t>
  </si>
  <si>
    <t>CA_3A-7A-8A</t>
  </si>
  <si>
    <t>MTR-31736</t>
  </si>
  <si>
    <t>CA_3A-7A-8A  BCS: 1
 UL: 3A, 7A, 8A, CA_3A-7A, CA_3A-8A, CA_7A-8A
 [50 MHz max: [5-20 MHz]+[10-20 MHz]+[5-10 MHz]]</t>
  </si>
  <si>
    <t>MTR-32197</t>
  </si>
  <si>
    <t>CA_3A-7A-8A  BCS: 2
 UL: 3A, 7A, 8A, CA_3A-7A, CA_3A-8A, CA_7A-8A
 [50 MHz max: [5-20 MHz]+[5-20 MHz]+[5-10 MHz]]</t>
  </si>
  <si>
    <t>MTR-31251</t>
  </si>
  <si>
    <t>CA_3A-7A-20A  BCS: 0
 UL: 3A, 7A, 20A, CA_3A-20A, CA_3A-7A, CA_7A-20A
 [60 MHz max: [5-20 MHz]+[10-20 MHz]+[5-20 MHz]]</t>
  </si>
  <si>
    <t>3A, 7A, 20A, CA_3A-20A, CA_3A-7A, CA_7A-20A</t>
  </si>
  <si>
    <t>CA_3A-7A-20A</t>
  </si>
  <si>
    <t>MTR-32821</t>
  </si>
  <si>
    <t>CA_3A-7A-20A  BCS: 1
 UL: 3A, 7A, 20A, CA_3A-20A, CA_3A-7A, CA_7A-20A
 [60 MHz max: [5-20 MHz]+[5-20 MHz]+[5-20 MHz]]</t>
  </si>
  <si>
    <t>MTR-31950</t>
  </si>
  <si>
    <t>CA_3A-7A-28A  BCS: 0
 UL: 3A, 7A, 28A, CA_3A-28A, CA_3A-7A, CA_7A-28A
 [60 MHz max: [5-20 MHz]+[5-20 MHz]+[5-20 MHz]]</t>
  </si>
  <si>
    <t>3A, 7A, 28A, CA_3A-28A, CA_3A-7A, CA_7A-28A</t>
  </si>
  <si>
    <t>CA_3A-7A-28A</t>
  </si>
  <si>
    <t>MTR-32166</t>
  </si>
  <si>
    <t>CA_3A-7A-32A  BCS: 0
 UL: 3A, 7A, CA_3A-7A
 [60 MHz max: [5-20 MHz]+[10-20 MHz]+[5-20 MHz]]</t>
  </si>
  <si>
    <t>CA_3A-7A-32A</t>
  </si>
  <si>
    <t>MTR-32768</t>
  </si>
  <si>
    <t>CA_3A-8A-20A  BCS: 0
 UL: 3A, 8A, 20A, CA_3A-8A
 [40 MHz max: [5-20 MHz]+[5-10 MHz]+[5-10 MHz]]</t>
  </si>
  <si>
    <t>3A, 8A, 20A, CA_3A-8A</t>
  </si>
  <si>
    <t>CA_3A-8A-20A</t>
  </si>
  <si>
    <t>MTR-32408</t>
  </si>
  <si>
    <t>CA_3A-8A-28A  BCS: 0
 UL: 3A, 8A, 28A
 [50 MHz max: [5-20 MHz]+[3-10 MHz]+[5-20 MHz]]</t>
  </si>
  <si>
    <t>3A, 8A, 28A</t>
  </si>
  <si>
    <t>CA_3A-8A-28A</t>
  </si>
  <si>
    <t>MTR-32822</t>
  </si>
  <si>
    <t>CA_3A-8A-32A  BCS: 0
 UL: 3A, 8A
 [50 MHz max: [5-20 MHz]+[3-10 MHz]+[5-20 MHz]]</t>
  </si>
  <si>
    <t>3A, 8A</t>
  </si>
  <si>
    <t>CA_3A-8A-32A</t>
  </si>
  <si>
    <t>MTR-32769</t>
  </si>
  <si>
    <t>CA_3A-20A-28A  BCS: 0
 UL: 3A, 20A, 28A
 [60 MHz max: [5-20 MHz]+[10-20 MHz]+[5-20 MHz]]</t>
  </si>
  <si>
    <t>3A, 20A, 28A</t>
  </si>
  <si>
    <t>CA_3A-20A-28A</t>
  </si>
  <si>
    <t>MTR-32167</t>
  </si>
  <si>
    <t>CA_3A-20A-32A  BCS: 0
 UL: 3A, 20A, CA_3A-20A
 [60 MHz max: [5-20 MHz]+[5-20 MHz]+[5-20 MHz]]</t>
  </si>
  <si>
    <t>CA_3A-20A-32A</t>
  </si>
  <si>
    <t>MTR-37486</t>
  </si>
  <si>
    <t>CA_3A-28A-32A  BCS: 0
 UL: 3A, 28A
 [60 MHz max: [5-20 MHz]+[5-20 MHz]+[5-20 MHz]]</t>
  </si>
  <si>
    <t>CA_3A-28A-32A</t>
  </si>
  <si>
    <t>2021-12</t>
  </si>
  <si>
    <t>MTR-32207</t>
  </si>
  <si>
    <t>CA_7A-7A-8A  BCS: 0
 UL: 7A, 8A, CA_7A-8A
 [50 MHz max: [5-20 MHz]+[5-20 MHz]+[5-10 MHz]]</t>
  </si>
  <si>
    <t>CA_7A-7A-8A</t>
  </si>
  <si>
    <t>MTR-32208</t>
  </si>
  <si>
    <t>CA_7A-7A-8A  BCS: 1
 UL: 7A, 8A, CA_7A-8A
 [40 MHz max: [5-20 MHz]+[5-10 MHz]+[5-10 MHz]]</t>
  </si>
  <si>
    <t>MTR-32415</t>
  </si>
  <si>
    <t>CA_7C-20A  BCS: 0
 UL: 7A, 20A, CA_7A-20A, CA_7C
 [60 MHz max: [10-20 MHz]+[10-20 MHz]+[5-20 MHz]]</t>
  </si>
  <si>
    <t>7A, 20A, CA_7A-20A, CA_7C</t>
  </si>
  <si>
    <t>CA_7C-20A</t>
  </si>
  <si>
    <t>MTR-34731</t>
  </si>
  <si>
    <t>CA_7A-7A-20A  BCS: 0
 UL: 7A, 20A
 [60 MHz max: [5-20 MHz]+[5-20 MHz]+[5-20 MHz]]</t>
  </si>
  <si>
    <t>7A, 20A</t>
  </si>
  <si>
    <t>CA_7A-7A-20A</t>
  </si>
  <si>
    <t>2019-12</t>
  </si>
  <si>
    <t>MTR-33688</t>
  </si>
  <si>
    <t>CA_7A-7A-28A  BCS: 0
 UL: 7A, 28A
 [60 MHz max: [50-20 MHz]+[50-20 MHz]+[10-20 MHz]]</t>
  </si>
  <si>
    <t>7A, 28A</t>
  </si>
  <si>
    <t>CA_7A-7A-28A</t>
  </si>
  <si>
    <t>MTR-31952</t>
  </si>
  <si>
    <t>CA_7C-28A  BCS: 0
 UL: 7A, 28A, CA_7A-28A, CA_7C
 [60 MHz max: [15-20 MHz]+[10-20 MHz]+[5-20 MHz]]</t>
  </si>
  <si>
    <t>7A, 28A, CA_7A-28A, CA_7C</t>
  </si>
  <si>
    <t>CA_7C-28A</t>
  </si>
  <si>
    <t>MTR-32823</t>
  </si>
  <si>
    <t>CA_7C-28A  BCS: 1
 UL: 7A, 28A, CA_7A-28A, CA_7C
 [60 MHz max: [10-20 MHz]+[10-20 MHz]+[5-20 MHz]]</t>
  </si>
  <si>
    <t>MTR-38865</t>
  </si>
  <si>
    <t>CA_7C-32A  BCS: 0
 UL: 7A, CA_7C
 [60 MHz max: [10-20 MHz]+[10-20 MHz]+[5-20 MHz]]</t>
  </si>
  <si>
    <t>CA_7C-32A</t>
  </si>
  <si>
    <t>2022-09</t>
  </si>
  <si>
    <t>MTR-31542</t>
  </si>
  <si>
    <t>CA_7A-8A-20A  BCS: 0
 UL: 7A, 8A, 20A
 [40 MHz max: [10-20 MHz]+[3-10 MHz]+[5-10 MHz]]</t>
  </si>
  <si>
    <t>7A, 8A, 20A</t>
  </si>
  <si>
    <t>CA_7A-8A-20A</t>
  </si>
  <si>
    <t>MTR-36407</t>
  </si>
  <si>
    <t>CA_7A-8A-28A  BCS: 0
 UL: 7A, 8A, 28A
 [50 MHz max: [5-20 MHz]+[1.4-10 MHz]+[3-20 MHz]]</t>
  </si>
  <si>
    <t>7A, 8A, 28A</t>
  </si>
  <si>
    <t>CA_7A-8A-28A</t>
  </si>
  <si>
    <t>MTR-36408</t>
  </si>
  <si>
    <t>CA_7A-8A-32A  BCS: 0
 UL: 7A, 8A
 [50 MHz max: [5-20 MHz]+[1.4-10 MHz]+[5-20 MHz]]</t>
  </si>
  <si>
    <t>7A, 8A</t>
  </si>
  <si>
    <t>CA_7A-8A-32A</t>
  </si>
  <si>
    <t>MTR-32773</t>
  </si>
  <si>
    <t>CA_7A-20A-28A  BCS: 0
 UL: 7A, 20A, 28A
 [60 MHz max: [5-20 MHz]+[10-20 MHz]+[5-20 MHz]]</t>
  </si>
  <si>
    <t>7A, 20A, 28A</t>
  </si>
  <si>
    <t>CA_7A-20A-28A</t>
  </si>
  <si>
    <t>MTR-32774</t>
  </si>
  <si>
    <t>CA_7A-20A-32A  BCS: 0
 UL: 7A, 20A, CA_7A-20A
 [60 MHz max: [10-20 MHz]+[5-20 MHz]+[5-20 MHz]]</t>
  </si>
  <si>
    <t>CA_7A-20A-32A</t>
  </si>
  <si>
    <t>MTR-36409</t>
  </si>
  <si>
    <t>CA_7A-28A-32A  BCS: 0
 UL: 7A, 28A
 [60 MHz max: [5-20 MHz]+[3-20 MHz]+[5-20 MHz]]</t>
  </si>
  <si>
    <t>CA_7A-28A-32A</t>
  </si>
  <si>
    <t>MTR-36412</t>
  </si>
  <si>
    <t>CA_20A-28A-32A  BCS: 0
 UL: 20A, 28A
 [60 MHz max: [5-20 MHz]+[3-20 MHz]+[5-20 MHz]]</t>
  </si>
  <si>
    <t>CA_20A-28A-32A</t>
  </si>
  <si>
    <t>MTR-32375</t>
  </si>
  <si>
    <t>CA_8A-20A-28A  BCS: 0
 UL: 8A, 20A, 28A
 [50 MHz max: [5-10 MHz]+[10-20 MHz]+[5-20 MHz]]</t>
  </si>
  <si>
    <t>8A, 20A, 28A</t>
  </si>
  <si>
    <t>CA_8A-20A-28A</t>
  </si>
  <si>
    <t>MTR-36410</t>
  </si>
  <si>
    <t>CA_8A-20A-32A  BCS: 0
 UL: 8A, 20A
 [50 MHz max: [1.4-10 MHz]+[5-20 MHz]+[5-20 MHz]]</t>
  </si>
  <si>
    <t>8A, 20A</t>
  </si>
  <si>
    <t>CA_8A-20A-32A</t>
  </si>
  <si>
    <t>MTR-36411</t>
  </si>
  <si>
    <t>CA_8A-28A-32A  BCS: 0
 UL: 8A, 28A
 [50 MHz max: [1.4-10 MHz]+[3-20 MHz]+[5-20 MHz]]</t>
  </si>
  <si>
    <t>8A, 28A</t>
  </si>
  <si>
    <t>CA_8A-28A-32A</t>
  </si>
  <si>
    <t>MTR-33274</t>
  </si>
  <si>
    <r>
      <rPr>
        <rFont val="Arial"/>
        <b/>
        <color theme="1"/>
        <sz val="10.0"/>
      </rPr>
      <t>2.4.1.4.3</t>
    </r>
    <r>
      <rPr>
        <rFont val="Arial"/>
        <b val="0"/>
        <color theme="1"/>
        <sz val="10.0"/>
      </rPr>
      <t xml:space="preserve"> </t>
    </r>
    <r>
      <rPr>
        <rFont val="Arial"/>
        <b/>
        <color theme="1"/>
        <sz val="10.0"/>
      </rPr>
      <t>LTE DL 4 Carrier Aggregation Combinations</t>
    </r>
  </si>
  <si>
    <t>MTR-32750</t>
  </si>
  <si>
    <t>CA_1A-1A-3C  BCS: 0
 UL: 1A, 3A, CA_3C
 [80 MHz max: [5-20 MHz]+[5-20 MHz]+[5-20 MHz]+[5-20 MHz]]</t>
  </si>
  <si>
    <t>1A, 3A, CA_3C</t>
  </si>
  <si>
    <t>CA_1A-1A-3C</t>
  </si>
  <si>
    <t>MTR-34733</t>
  </si>
  <si>
    <t>CA_1A-1A-3A-3A  BCS: 0
 UL: 1A, 3A
 [80 MHz max: [5-20 MHz]+[5-20 MHz]+[5-20 MHz]+[5-20 MHz]]</t>
  </si>
  <si>
    <t>CA_1A-1A-3A-3A</t>
  </si>
  <si>
    <t>MTR-32808</t>
  </si>
  <si>
    <t>CA_1A-1A-3A-7A  BCS: 0
 UL: 1A, 3A, 7A
 [80 MHz max: [5-20 MHz]+[5-20 MHz]+[5-20 MHz]+[5-20 MHz]]</t>
  </si>
  <si>
    <t>1A, 3A, 7A</t>
  </si>
  <si>
    <t>CA_1A-1A-3A-7A</t>
  </si>
  <si>
    <t>MTR-39962</t>
  </si>
  <si>
    <t>CA_1A-1A-3A-20A  BCS: 0
 UL: 1A, 3A, 20A, CA_1A-3A, CA_1A-20A, CA_3A-20A
 [80 MHz max: [5-20 MHz]+[5-20 MHz]+[5-20 MHz]+[5-20 MHz]]</t>
  </si>
  <si>
    <t>1A, 3A, 20A, CA_1A-3A, CA_1A-20A, CA_3A-20A</t>
  </si>
  <si>
    <t>CA_1A-1A-3A-20A</t>
  </si>
  <si>
    <t>MTR-32751</t>
  </si>
  <si>
    <t>CA_1A-1A-3A-28A  BCS: 0
 UL: 1A, 3A, 28A
 [80 MHz max: [5-20 MHz]+[5-20 MHz]+[5-20 MHz]+[5-20 MHz]]</t>
  </si>
  <si>
    <t>1A, 3A, 28A</t>
  </si>
  <si>
    <t>CA_1A-1A-3A-28A</t>
  </si>
  <si>
    <t>MTR-34735</t>
  </si>
  <si>
    <t>CA_1A-1A-7C  BCS: 0
 UL: 1A, 7A, CA_7C
 [80 MHz max: [5-20 MHz]+[5-20 MHz]+[15-20 MHz]+[10-20 MHz]]</t>
  </si>
  <si>
    <t>1A, 7A, CA_7C</t>
  </si>
  <si>
    <t>CA_1A-1A-7C</t>
  </si>
  <si>
    <t>MTR-40170</t>
  </si>
  <si>
    <t>CA_1A-1A-7A-7A  BCS: 0
 UL: 1A, 7A, CA_1A-7A
 [80 MHz max: [5-20 MHz]+[5-20 MHz]+[5-20 MHz]+[5-20 MHz]]</t>
  </si>
  <si>
    <t>CA_1A-1A-7A-7A</t>
  </si>
  <si>
    <t>2024-03</t>
  </si>
  <si>
    <t>MTR-40171</t>
  </si>
  <si>
    <t>CA_1A-1A-7A-20A  BCS: 0
 UL: 1A, 7A, 20A, CA_1A-7A, CA_1A-20A, CA_7A-20A
 [80 MHz max: [5-20 MHz]+[5-20 MHz]+[5-20 MHz]+[5-20 MHz]]</t>
  </si>
  <si>
    <t>1A, 7A, 20A, CA_1A-7A, CA_1A-20A, CA_7A-20A</t>
  </si>
  <si>
    <t>CA_1A-1A-7A-20A</t>
  </si>
  <si>
    <t>MTR-40172</t>
  </si>
  <si>
    <t>CA_1A-1A-20A-28A  BCS: 0
 UL: 1A, 20A, 28A
 [80 MHz max: [5-20 MHz]+[5-20 MHz]+[5-20 MHz]+[3-20 MHz]]</t>
  </si>
  <si>
    <t>CA_1A-1A-20A-28A</t>
  </si>
  <si>
    <t>MTR-34734</t>
  </si>
  <si>
    <t>CA_1A-1A-7A-28A  BCS: 0
 UL: 1A, 7A, 28A
 [80 MHz max: [5-20 MHz]+[5-20 MHz]+[5-20 MHz]+[5-20 MHz]]</t>
  </si>
  <si>
    <t>1A, 7A, 28A</t>
  </si>
  <si>
    <t>CA_1A-1A-7A-28A</t>
  </si>
  <si>
    <t>2019-09</t>
  </si>
  <si>
    <t>MTR-33156</t>
  </si>
  <si>
    <t>CA_1A-3A-3A-7A  BCS: 0
 UL: 1A, 3A, 7A, CA_1A-3A, CA_1A-7A, CA_3A-7A
 [80 MHz max: [5-20 MHz]+[5-20 MHz]+[5-20 MHz]+[5-20 MHz]]</t>
  </si>
  <si>
    <t>CA_1A-3A-3A-7A</t>
  </si>
  <si>
    <t>MTR-32471</t>
  </si>
  <si>
    <t>CA_1A-3C-7A  BCS: 0
 UL: 1A, 3A, 7A, CA_1A-3A, CA_1A-7A, CA_3A-7A, CA_3C
 [80 MHz max: [5-20 MHz]+[5-20 MHz]+[5-20 MHz]+[10-20 MHz]]</t>
  </si>
  <si>
    <t>1A, 3A, 7A, CA_1A-3A, CA_1A-7A, CA_3A-7A, CA_3C</t>
  </si>
  <si>
    <t>CA_1A-3C-7A</t>
  </si>
  <si>
    <t>MTR-32810</t>
  </si>
  <si>
    <t>CA_1A-3C-7A  BCS: 1
 UL: 1A, 3A, 7A, CA_1A-3A, CA_1A-7A, CA_3A-7A, CA_3C
 [80 MHz max: [5-20 MHz]+[5-20 MHz]+[5-20 MHz]+[5-20 MHz]]</t>
  </si>
  <si>
    <t>MTR-32753</t>
  </si>
  <si>
    <t>CA_1A-3A-3A-8A  BCS: 0
 UL: 1A, 3A, 8A, CA_1A-3A, CA_1A-8A, CA_3A-8A
 [70 MHz max: [5-20 MHz]+[5-20 MHz]+[5-20 MHz]+[3-10 MHz]]</t>
  </si>
  <si>
    <t>CA_1A-3A-3A-8A</t>
  </si>
  <si>
    <t>MTR-32184</t>
  </si>
  <si>
    <t>CA_1A-3C-8A  BCS: 0
 UL: 1A, 3A, 8A, CA_1A-3A, CA_1A-8A, CA_3A-8A, CA_3C
 [70 MHz max: [5-20 MHz]+[5-20 MHz]+[5-20 MHz]+[3-10 MHz]]</t>
  </si>
  <si>
    <t>1A, 3A, 8A, CA_1A-3A, CA_1A-8A, CA_3A-8A, CA_3C</t>
  </si>
  <si>
    <t>CA_1A-3C-8A</t>
  </si>
  <si>
    <t>MTR-33177</t>
  </si>
  <si>
    <t>CA_1A-3A-3A-20A  BCS: 0
 UL: 1A, 3A, 20A
 [80 MHz max: [5-20 MHz]+[5-20 MHz]+[5-20 MHz]+[5-20 MHz]]</t>
  </si>
  <si>
    <t>1A, 3A, 20A</t>
  </si>
  <si>
    <t>CA_1A-3A-3A-20A</t>
  </si>
  <si>
    <t>MTR-32367</t>
  </si>
  <si>
    <t>CA_1A-3C-20A  BCS: 0
 UL: 1A, 3A, 20A, CA_1A-3A, CA_3C
 [80 MHz max: [5-20 MHz]+[5-20 MHz]+[5-20 MHz]+[5-20 MHz]]</t>
  </si>
  <si>
    <t>1A, 3A, 20A, CA_1A-3A, CA_3C</t>
  </si>
  <si>
    <t>CA_1A-3C-20A</t>
  </si>
  <si>
    <t>MTR-33178</t>
  </si>
  <si>
    <t>CA_1A-3A-3A-28A  BCS: 0
 UL: 1A, 3A, 28A
 [80 MHz max: [5-20 MHz]+[5-20 MHz]+[5-20 MHz]+[5-20 MHz]]</t>
  </si>
  <si>
    <t>CA_1A-3A-3A-28A</t>
  </si>
  <si>
    <t>MTR-32754</t>
  </si>
  <si>
    <t>CA_1A-3C-28A  BCS: 0
 UL: 1A, 3A, 28A, CA_3C
 [80 MHz max: [5-20 MHz]+[5-20 MHz]+[5-20 MHz]+[5-20 MHz]]</t>
  </si>
  <si>
    <t>1A, 3A, 28A, CA_3C</t>
  </si>
  <si>
    <t>CA_1A-3C-28A</t>
  </si>
  <si>
    <t>MTR-37487</t>
  </si>
  <si>
    <t>CA_1A-3C-32A  BCS: 0
 UL: 1A, 3A
 [80 MHz max: [5-20 MHz]+[5-20 MHz]+[5-20 MHz]+[5-20 MHz]]</t>
  </si>
  <si>
    <t>CA_1A-3C-32A</t>
  </si>
  <si>
    <t>MTR-32398</t>
  </si>
  <si>
    <t>CA_1A-3A-7A-7A  BCS: 0
 UL: 1A, 3A, 7A, CA_1A-3A, CA_1A-7A, CA_3A-7A
 [80 MHz max: [5-20 MHz]+[5-20 MHz]+[10-20 MHz]+[10-20 MHz]]</t>
  </si>
  <si>
    <t>CA_1A-3A-7A-7A</t>
  </si>
  <si>
    <t>MTR-33157</t>
  </si>
  <si>
    <t>CA_1A-3A-7A-7A  BCS: 1
 UL: 1A, 3A, 7A, CA_1A-3A, CA_1A-7A, CA_3A-7A
 [80 MHz max: [5-20 MHz]+[5-20 MHz]+[5-20 MHz]+[5-20 MHz]]</t>
  </si>
  <si>
    <t>MTR-32181</t>
  </si>
  <si>
    <t>CA_1A-3A-7C  BCS: 0
 UL: 1A, 3A, 7A, CA_1A-3A, CA_1A-7A, CA_3A-7A, CA_7C
 [80 MHz max: [5-20 MHz]+[10-20 MHz]+[10-20 MHz]+[15-20 MHz]]</t>
  </si>
  <si>
    <t>1A, 3A, 7A, CA_1A-3A, CA_1A-7A, CA_3A-7A, CA_7C</t>
  </si>
  <si>
    <t>CA_1A-3A-7C</t>
  </si>
  <si>
    <t>MTR-32473</t>
  </si>
  <si>
    <t>CA_1A-3A-7C  BCS: 1
 UL: 1A, 3A, 7A, CA_1A-3A, CA_1A-7A, CA_3A-7A, CA_7C
 [80 MHz max: [5-20 MHz]+[5-20 MHz]+[10-20 MHz]+[15-20 MHz]]</t>
  </si>
  <si>
    <t>MTR-32050</t>
  </si>
  <si>
    <t>CA_1A-3A-7A-8A  BCS: 0
 UL: 1A, 3A, 7A, 8A, CA_1A-3A, CA_1A-7A, CA_1A-8A, CA_3A-7A, CA_3A-8A, CA_7A-8A
 [70 MHz max: [5-20 MHz]+[5-20 MHz]+[10-20 MHz]+[5-10 MHz]]</t>
  </si>
  <si>
    <t>1A, 3A, 7A, 8A, CA_1A-3A, CA_1A-7A, CA_1A-8A, CA_3A-7A, CA_3A-8A, CA_7A-8A</t>
  </si>
  <si>
    <t>CA_1A-3A-7A-8A</t>
  </si>
  <si>
    <t>MTR-32873</t>
  </si>
  <si>
    <t>CA_1A-3A-7A-8A  BCS: 1
 UL: 1A, 3A, 7A, 8A, CA_1A-3A, CA_1A-7A, CA_1A-8A, CA_3A-7A, CA_3A-8A, CA_7A-8A
 [70 MHz max: [5-20 MHz]+[5-20 MHz]+[5-20 MHz]+[5-10 MHz]]</t>
  </si>
  <si>
    <t>MTR-32376</t>
  </si>
  <si>
    <t>CA_1A-3A-7A-20A  BCS: 0
 UL: 1A, 3A, 7A, 20A, CA_1A-20A, CA_1A-3A, CA_1A-7A, CA_3A-20A, CA_3A-7A, CA_7A-20A
 [80 MHz max: [5-20 MHz]+[5-20 MHz]+[10-20 MHz]+[5-20 MHz]]</t>
  </si>
  <si>
    <t>1A, 3A, 7A, 20A, CA_1A-20A, CA_1A-3A, CA_1A-7A, CA_3A-20A, CA_3A-7A, CA_7A-20A</t>
  </si>
  <si>
    <t>CA_1A-3A-7A-20A</t>
  </si>
  <si>
    <t>MTR-32874</t>
  </si>
  <si>
    <t>CA_1A-3A-7A-20A  BCS: 1
 UL: 1A, 3A, 7A, 20A, CA_1A-20A, CA_1A-3A, CA_1A-7A, CA_3A-20A, CA_3A-7A, CA_7A-20A
 [80 MHz max: [5-20 MHz]+[5-20 MHz]+[5-20 MHz]+[5-20 MHz]]</t>
  </si>
  <si>
    <t>MTR-32183</t>
  </si>
  <si>
    <t>CA_1A-3A-7A-28A  BCS: 0
 UL: 1A, 3A, 7A, 28A, CA_1A-28A, CA_1A-3A, CA_1A-7A, CA_3A-28A, CA_3A-7A, CA_7A-28A
 [80 MHz max: [5-20 MHz]+[10-20 MHz]+[10-20 MHz]+[10-20 MHz]]</t>
  </si>
  <si>
    <t>1A, 3A, 7A, 28A, CA_1A-28A, CA_1A-3A, CA_1A-7A, CA_3A-28A, CA_3A-7A, CA_7A-28A</t>
  </si>
  <si>
    <t>CA_1A-3A-7A-28A</t>
  </si>
  <si>
    <t>MTR-32756</t>
  </si>
  <si>
    <t>CA_1A-3A-7A-28A  BCS: 1
 UL: 1A, 3A, 7A, 28A, CA_1A-28A, CA_1A-3A, CA_1A-7A, CA_3A-28A, CA_3A-7A, CA_7A-28A
 [80 MHz max: [5-20 MHz]+[5-20 MHz]+[10-20 MHz]+[5-20 MHz]]</t>
  </si>
  <si>
    <t>MTR-33185</t>
  </si>
  <si>
    <t>CA_1A-3A-7A-32A  BCS: 0
 UL: 1A, 3A, 7A, CA_1A-3A, CA_1A-7A, CA_3A-7A
 [80 MHz max: [5-20 MHz]+[5-20 MHz]+[10-20 MHz]+[5-20 MHz]]</t>
  </si>
  <si>
    <t>CA_1A-3A-7A-32A</t>
  </si>
  <si>
    <t>MTR-33186</t>
  </si>
  <si>
    <t>CA_1A-3A-8A-20A  BCS: 0
 UL: 1A, 3A, 8A, 20A, CA_1A-3A, CA_1A-8A, CA_3A-8A
 [70 MHz max: [5-20 MHz]+[5-20 MHz]+[5-10 MHz]+[5-20 MHz]]</t>
  </si>
  <si>
    <t>1A, 3A, 8A, 20A, CA_1A-3A, CA_1A-8A, CA_3A-8A</t>
  </si>
  <si>
    <t>CA_1A-3A-8A-20A</t>
  </si>
  <si>
    <t>MTR-32813</t>
  </si>
  <si>
    <t>CA_1A-3A-8A-28A  BCS: 0
 UL: 1A, 3A, 8A, 28A
 [70 MHz max: [5-20 MHz]+[5-20 MHz]+[5-10 MHz]+[5-20 MHz]]</t>
  </si>
  <si>
    <t>1A, 3A, 8A, 28A</t>
  </si>
  <si>
    <t>CA_1A-3A-8A-28A</t>
  </si>
  <si>
    <t>MTR-38667</t>
  </si>
  <si>
    <t>CA_1A-3A-8A-32A  BCS: 0
 UL: 1A, 3A, 8A
 [70 MHz max: [5-20 MHz]+[5-20 MHz]+[5-10 MHz]+[5-20 MHz]]</t>
  </si>
  <si>
    <t>1A, 3A, 8A</t>
  </si>
  <si>
    <t>CA_1A-3A-8A-32A</t>
  </si>
  <si>
    <t>MTR-32757</t>
  </si>
  <si>
    <t>CA_1A-3A-20A-28A  BCS: 0
 UL: 1A, 3A, 20A, 28A
 [80 MHz max: [5-20 MHz]+[5-20 MHz]+[10-20 MHz]+[5-20 MHz]]</t>
  </si>
  <si>
    <t>1A, 3A, 20A, 28A</t>
  </si>
  <si>
    <t>CA_1A-3A-20A-28A</t>
  </si>
  <si>
    <t>MTR-33165</t>
  </si>
  <si>
    <t>CA_1A-3A-20A-32A  BCS: 0
 UL: 1A, 3A, 20A
 [70 MHz max: [5-20 MHz]+[5-20 MHz]+[10 MHz]+[5-20 MHz]]</t>
  </si>
  <si>
    <t>CA_1A-3A-20A-32A</t>
  </si>
  <si>
    <t>MTR-39693</t>
  </si>
  <si>
    <t>CA_1A-3A-20A-32A  BCS: 1
 UL: 1A, 3A, 20A
 [55 MHz max: [5-15 MHz]+[5-15 MHz]+[5 MHz]+[5-20 MHz]]</t>
  </si>
  <si>
    <t>MTR-37489</t>
  </si>
  <si>
    <t>CA_1A-3A-28A-32A  BCS: 0
 UL: 1A, 3A, 28A, CA_1A-28A, CA_1A-3A, CA_3A-28A
 [80 MHz max: [5-20 MHz]+[5-20 MHz]+[5-20 MHz]+[5-20 MHz]]</t>
  </si>
  <si>
    <t>CA_1A-3A-28A-32A</t>
  </si>
  <si>
    <t>MTR-33179</t>
  </si>
  <si>
    <t>CA_1A-7A-7A-8A  BCS: 0
 UL: 1A, 7A, 8A, CA_1A-7A, CA_1A-8A, CA_7A-8A
 [70 MHz max: [5-20 MHz]+[5-20 MHz]+[5-20 MHz]+[5-10 MHz]]</t>
  </si>
  <si>
    <t>CA_1A-7A-7A-8A</t>
  </si>
  <si>
    <t>MTR-33159</t>
  </si>
  <si>
    <t>CA_1A-7C-20A  BCS: 0
 UL: 1A, 7A, 20A
 [80 MHz max: [5-20 MHz]+[10-20 MHz]+[15-20 MHz]+[10-20 MHz]]</t>
  </si>
  <si>
    <t>1A, 7A, 20A</t>
  </si>
  <si>
    <t>CA_1A-7C-20A</t>
  </si>
  <si>
    <t>MTR-34737</t>
  </si>
  <si>
    <t>CA_1A-7A-7A-20A  BCS: 0
 UL: 1A, 7A, 20A
 [80 MHz max: [5-20 MHz]+[10-20 MHz]+[10-20 MHz]+[5-20 MHz]]</t>
  </si>
  <si>
    <t>CA_1A-7A-7A-20A</t>
  </si>
  <si>
    <t>MTR-33689</t>
  </si>
  <si>
    <t>CA_1A-7A-7A-28A  BCS: 0
 UL: 1A, 7A, 28A
 [80 MHz max: [5-20 MHz]+[5-20 MHz]+[5-20 MHz]+[10-20 MHz]]</t>
  </si>
  <si>
    <t>CA_1A-7A-7A-28A</t>
  </si>
  <si>
    <t>MTR-32188</t>
  </si>
  <si>
    <t>CA_1A-7C-28A  BCS: 0
 UL: 1A, 7A, 28A, CA_1A-28A, CA_1A-7A, CA_7A-28A, CA_7C
 [80 MHz max: [5-20 MHz]+[10-20 MHz]+[15-20 MHz]+[10-20 MHz]]</t>
  </si>
  <si>
    <t>1A, 7A, 28A, CA_1A-28A, CA_1A-7A, CA_7A-28A, CA_7C</t>
  </si>
  <si>
    <t>CA_1A-7C-28A</t>
  </si>
  <si>
    <t>MTR-38866</t>
  </si>
  <si>
    <t>CA_1A-7C-32A  BCS: 0
 UL: 1A, 7A, CA_1A-7A, CA_7C
 [80 MHz max: [5-20 MHz]+[10-20 MHz]+[10-20 MHz]+[5-20 MHz]]</t>
  </si>
  <si>
    <t>CA_1A-7C-32A</t>
  </si>
  <si>
    <t>MTR-32815</t>
  </si>
  <si>
    <t>CA_1A-7A-8A-20A  BCS: 0
 UL: 1A, 7A, 8A, 20A
 [70 MHz max: [5-20 MHz]+[10-20 MHz]+[5-10 MHz]+[10-20 MHz]]</t>
  </si>
  <si>
    <t>1A, 7A, 8A, 20A</t>
  </si>
  <si>
    <t>CA_1A-7A-8A-20A</t>
  </si>
  <si>
    <t>MTR-36413</t>
  </si>
  <si>
    <t>CA_1A-7A-8A-28A  BCS: 0
 UL: 1A, 7A, 8A, 28A
 [70 MHz max: [5-20 MHz]+[5-20 MHz]+[1.4-10 MHz]+[5-20 MHz]]</t>
  </si>
  <si>
    <t>1A, 7A, 8A, 28A</t>
  </si>
  <si>
    <t>CA_1A-7A-8A-28A</t>
  </si>
  <si>
    <t>MTR-36414</t>
  </si>
  <si>
    <t>CA_1A-7A-8A-32A  BCS: 0
 UL: 1A, 7A, 8A
 [70 MHz max: [5-20 MHz]+[5-20 MHz]+[1.4-10 MHz]+[5-20 MHz]]</t>
  </si>
  <si>
    <t>1A, 7A, 8A</t>
  </si>
  <si>
    <t>CA_1A-7A-8A-32A</t>
  </si>
  <si>
    <t>MTR-32759</t>
  </si>
  <si>
    <t>CA_1A-7A-20A-28A  BCS: 0
 UL: 1A, 7A, 20A, 28A
 [80 MHz max: [5-20 MHz]+[10-20 MHz]+[10-20 MHz]+[5-20 MHz]]</t>
  </si>
  <si>
    <t>1A, 7A, 20A, 28A</t>
  </si>
  <si>
    <t>CA_1A-7A-20A-28A</t>
  </si>
  <si>
    <t>MTR-33697</t>
  </si>
  <si>
    <t>CA_1A-7A-20A-32A  BCS: 0
 UL: 1A, 7A, 20A
 [70 MHz max: [5-20 MHz]+[10-20 MHz]+[5-10 MHz]+[5-20 MHz]]</t>
  </si>
  <si>
    <t>CA_1A-7A-20A-32A</t>
  </si>
  <si>
    <t>MTR-36415</t>
  </si>
  <si>
    <t>CA_1A-7A-28A-32A  BCS: 0
 UL: 1A, 7A, 28A, CA_1A-28A, CA_1A-7A, CA_7A-28A
 [80 MHz max: [5-20 MHz]+[5-20 MHz]+[3-20 MHz]+[5-20 MHz]]</t>
  </si>
  <si>
    <t>CA_1A-7A-28A-32A</t>
  </si>
  <si>
    <t>MTR-33166</t>
  </si>
  <si>
    <t>CA_1A-8A-20A-28A  BCS: 0
 UL: 1A, 8A, 20A, 28A
 [70 MHz max: [5-20 MHz]+[5-10 MHz]+[10-20 MHz]+[5-20 MHz]]</t>
  </si>
  <si>
    <t>1A, 8A, 20A, 28A</t>
  </si>
  <si>
    <t>CA_1A-8A-20A-28A</t>
  </si>
  <si>
    <t>MTR-36416</t>
  </si>
  <si>
    <t>CA_1A-8A-20A-32A  BCS: 0
 UL: 1A, 8A, 20A
 [70 MHz max: [5-20 MHz]+[1.4-10 MHz]+[5-20 MHz]+[5-20 MHz]]</t>
  </si>
  <si>
    <t>1A, 8A, 20A</t>
  </si>
  <si>
    <t>CA_1A-8A-20A-32A</t>
  </si>
  <si>
    <t>MTR-36417</t>
  </si>
  <si>
    <t>CA_1A-8A-28A-32A  BCS: 0
 UL: 1A, 8A, 28A
 [70 MHz max: [5-20 MHz]+[1.4-10 MHz]+[3-20 MHz]+[5-20 MHz]]</t>
  </si>
  <si>
    <t>CA_1A-8A-28A-32A</t>
  </si>
  <si>
    <t>MTR-36418</t>
  </si>
  <si>
    <t>CA_1A-20A-28A-32A  BCS: 0
 UL: 1A, 20A, 28A
 [80 MHz max: [5-20 MHz]+[5-20 MHz]+[3-20 MHz]+[5-20 MHz]]</t>
  </si>
  <si>
    <t>CA_1A-20A-28A-32A</t>
  </si>
  <si>
    <t>MTR-32389</t>
  </si>
  <si>
    <t>CA_3A-3A-7A-7A  BCS: 0
 UL: 3A, 7A, CA_3A-7A
 [80 MHz max: [5-20 MHz]+[5-20 MHz]+[5-20 MHz]+[5-20 MHz]]</t>
  </si>
  <si>
    <t>CA_3A-3A-7A-7A</t>
  </si>
  <si>
    <t>MTR-32390</t>
  </si>
  <si>
    <t>CA_3A-3A-7A-7A  BCS: 1
 UL: 3A, 7A, CA_3A-7A
 [60 MHz max: [5-10 MHz]+[5-20 MHz]+[5-20 MHz]+[5-10 MHz]]</t>
  </si>
  <si>
    <t>MTR-34738</t>
  </si>
  <si>
    <t>CA_3A-3A-7C  BCS: 0
 UL: 3A, 7A, CA_7C
 [80 MHz max: [5-20 MHz]+[5-20 MHz]+[15-20 MHz]+[15-20 MHz]]</t>
  </si>
  <si>
    <t>3A, 7A, CA_7C</t>
  </si>
  <si>
    <t>CA_3A-3A-7C</t>
  </si>
  <si>
    <t>MTR-32201</t>
  </si>
  <si>
    <t>CA_3C-7C  BCS: 0
 UL: 3A, 7A, CA_3A-7A, CA_3C, CA_7C
 [80 MHz max: [5-20 MHz]+([10+15] or [15+15] or [15+20] or [20+20] MHz)]</t>
  </si>
  <si>
    <t>3A, 7A, CA_3A-7A, CA_3C, CA_7C</t>
  </si>
  <si>
    <t>CA_3C-7C</t>
  </si>
  <si>
    <t>MTR-32875</t>
  </si>
  <si>
    <t>CA_3C-7C  BCS: 1
 UL: 3A, 7A, CA_3A-7A, CA_3C, CA_7C
 [80 MHz max: [5-20 MHz]+([10+20] or [15+15] or [15+20] or [20+20] MHz)]</t>
  </si>
  <si>
    <t>MTR-32478</t>
  </si>
  <si>
    <t>CA_3A-3A-7A-8A  BCS: 0
 UL: 3A, 7A, 8A, CA_3A-7A, CA_3A-8A, CA_7A-8A
 [70 MHz max: [5-20 MHz]+[5-20 MHz]+[5-20 MHz]+[5-10 MHz]]</t>
  </si>
  <si>
    <t>CA_3A-3A-7A-8A</t>
  </si>
  <si>
    <t>MTR-32479</t>
  </si>
  <si>
    <t>CA_3A-3A-7A-8A  BCS: 1
 UL: 3A, 7A, 8A, CA_3A-7A, CA_3A-8A, CA_7A-8A
 [60 MHz max: [3-10 MHz]+[5-20 MHz]+[5-20 MHz]+[5-10 MHz]]</t>
  </si>
  <si>
    <t>MTR-32979</t>
  </si>
  <si>
    <t>CA_3C-7A-8A  BCS: 0
 UL: 3A, 7A, 8A, CA_3A-8A, CA_3C
 [70 MHz max: [5-20 MHz]+[5-20 MHz]+[5-20 MHz]+[5-10 MHz]]</t>
  </si>
  <si>
    <t>3A, 7A, 8A, CA_3A-8A, CA_3C</t>
  </si>
  <si>
    <t>CA_3C-7A-8A</t>
  </si>
  <si>
    <t>MTR-33180</t>
  </si>
  <si>
    <t>CA_3A-3A-7A-20A  BCS: 0
 UL: 3A, 7A, 20A
 [80 MHz max: [5-20 MHz]+[5-20 MHz]+[10-20 MHz]+[10-20 MHz]]</t>
  </si>
  <si>
    <t>3A, 7A, 20A</t>
  </si>
  <si>
    <t>CA_3A-3A-7A-20A</t>
  </si>
  <si>
    <t>MTR-32384</t>
  </si>
  <si>
    <t>CA_3C-7A-20A  BCS: 0
 UL: 3A, 7A, 20A
 [80 MHz max: [5-20 MHz]+[5-20 MHz]+[10-20 MHz]+[5-20 MHz]]</t>
  </si>
  <si>
    <t>CA_3C-7A-20A</t>
  </si>
  <si>
    <t>MTR-32817</t>
  </si>
  <si>
    <t>CA_3C-7A-20A  BCS: 1
 UL: 3A, 7A, 20A
 [80 MHz max: [5-20 MHz]+[5-20 MHz]+[5-20 MHz]+[5-20 MHz]]</t>
  </si>
  <si>
    <t>MTR-33181</t>
  </si>
  <si>
    <t>CA_3A-3A-7A-28A  BCS: 0
 UL: 3A, 7A, 28A
 [80 MHz max: [5-20 MHz]+[5-20 MHz]+[5-20 MHz]+[10-20 MHz]]</t>
  </si>
  <si>
    <t>3A, 7A, 28A</t>
  </si>
  <si>
    <t>CA_3A-3A-7A-28A</t>
  </si>
  <si>
    <t>MTR-32200</t>
  </si>
  <si>
    <t>CA_3C-7A-28A  BCS: 0
 UL: 3A, 7A, 28A, CA_3C
 [80 MHz max: [5-20 MHz]+[5-20 MHz]+[10-20 MHz]+[10-20 MHz]]</t>
  </si>
  <si>
    <t>3A, 7A, 28A, CA_3C</t>
  </si>
  <si>
    <t>CA_3C-7A-28A</t>
  </si>
  <si>
    <t>MTR-32373</t>
  </si>
  <si>
    <t>CA_3C-7A-32A  BCS: 0
 UL: 3A, 7A
 [80 MHz max: [5-20 MHz]+[5-20 MHz]+[10-20 MHz]+[5-20 MHz]]</t>
  </si>
  <si>
    <t>3A, 7A</t>
  </si>
  <si>
    <t>CA_3C-7A-32A</t>
  </si>
  <si>
    <t>MTR-35770</t>
  </si>
  <si>
    <t>CA_3C-8A-20A  BCS: 0
 UL: 3A, 8A, 20A, CA_3A-8A, CA_3C
 [60 MHz max: [5-20 MHz]+[5-20 MHz]+[5-10 MHz]+[5-10 MHz]]</t>
  </si>
  <si>
    <t>3A, 8A, 20A, CA_3A-8A, CA_3C</t>
  </si>
  <si>
    <t>CA_3C-8A-20A</t>
  </si>
  <si>
    <t>2020-12</t>
  </si>
  <si>
    <t>MTR-38867</t>
  </si>
  <si>
    <t>CA_3C-8A-32A  BCS: 0
 UL: 3A, 8A
 [70 MHz max: [5-20 MHz]+[5-20 MHz]+[3-15 MHz]+[5-20 MHz]]</t>
  </si>
  <si>
    <t>CA_3C-8A-32A</t>
  </si>
  <si>
    <t>MTR-33182</t>
  </si>
  <si>
    <t>CA_3A-3A-20A-28A  BCS: 0
 UL: 3A, 20A, 28A
 [80 MHz max: [5-20 MHz]+[5-20 MHz]+[10-20 MHz]+[5-20 MHz]]</t>
  </si>
  <si>
    <t>CA_3A-3A-20A-28A</t>
  </si>
  <si>
    <t>MTR-32818</t>
  </si>
  <si>
    <t>CA_3C-20A-28A  BCS: 0
 UL: 3A, 20A, 28A
 [80 MHz max: [20 MHz]+[5-20 MHz]+[10-20 MHz]+[5-20 MHz]]</t>
  </si>
  <si>
    <t>CA_3C-20A-28A</t>
  </si>
  <si>
    <t>MTR-37488</t>
  </si>
  <si>
    <t>CA_3C-20A-32A  BCS: 0
 UL: 3A, 20A
 [80 MHz max: [20 MHz]+[5-20 MHz]+[5-20 MHz]+[5-20 MHz]]</t>
  </si>
  <si>
    <t>CA_3C-20A-32A</t>
  </si>
  <si>
    <t>MTR-32405</t>
  </si>
  <si>
    <t>CA_3A-7A-7A-8A  BCS: 0
 UL: 3A, 7A, 8A, CA_3A-7A, CA_3A-8A, CA_7A-8A
 [70 MHz max: [5-20 MHz]+[5-20 MHz]+[5-20 MHz]+[5-10 MHz]]</t>
  </si>
  <si>
    <t>CA_3A-7A-7A-8A</t>
  </si>
  <si>
    <t>MTR-32406</t>
  </si>
  <si>
    <t>CA_3A-7A-7A-8A  BCS: 1
 UL: 3A, 7A, 8A, CA_3A-7A, CA_3A-8A, CA_7A-8A
 [60 MHz max: [5-20 MHz]+[5-20 MHz]+[5-10 MHz]+[5-10 MHz]]</t>
  </si>
  <si>
    <t>MTR-32369</t>
  </si>
  <si>
    <t>CA_3A-7C-20A  BCS: 0
 UL: 3A, 7A, 20A
 [80 MHz max: [15-20 MHz]+[15-20 MHz]+[5-20 MHz]+[5-20 MHz]]</t>
  </si>
  <si>
    <t>CA_3A-7C-20A</t>
  </si>
  <si>
    <t>MTR-34739</t>
  </si>
  <si>
    <t>CA_3A-7A-7A-20A  BCS: 0
 UL: 3A, 7A, 20A
 [80 MHz max: [5-20 MHz]+[10-20 MHz]+[10-20 MHz]+[5-20 MHz]]</t>
  </si>
  <si>
    <t>CA_3A-7A-7A-20A</t>
  </si>
  <si>
    <t>MTR-33690</t>
  </si>
  <si>
    <t>CA_3A-7A-7A-28A  BCS: 0
 UL: 3A, 7A, 28A
 [80 MHz max: [5-20 MHz]+[5-20 MHz]+[5-20 MHz]+[10-20 MHz]]</t>
  </si>
  <si>
    <t>CA_3A-7A-7A-28A</t>
  </si>
  <si>
    <t>MTR-32371</t>
  </si>
  <si>
    <t>CA_3A-7C-28A  BCS: 0
 UL: 3A, 7A, 28A, CA_3A-7A, CA_7A-28A, CA_7C
 [80 MHz max: [10-20 MHz]+[15-20 MHz]+[10-20 MHz]+[10-20 MHz] - not all combinations possible]</t>
  </si>
  <si>
    <t>3A, 7A, 28A, CA_3A-7A, CA_7A-28A, CA_7C</t>
  </si>
  <si>
    <t>CA_3A-7C-28A</t>
  </si>
  <si>
    <t>MTR-32820</t>
  </si>
  <si>
    <t>CA_3A-7C-28A  BCS: 1
 UL: 3A, 7A, 28A, CA_3A-7A, CA_7A-28A, CA_7C
 [80 MHz max: [10-20 MHz]+[10-20 MHz]+[10-20 MHz]+[10-20 MHz]]</t>
  </si>
  <si>
    <t>MTR-39243</t>
  </si>
  <si>
    <t>CA_3A-7C-32A  BCS: 0
 UL: 3A, 7A
 [80 MHz max: [5-20 MHz]+[10-20 MHz]+[10-20 MHz]+[5-20 MHz]]</t>
  </si>
  <si>
    <t>2022-12</t>
  </si>
  <si>
    <t>MTR-32379</t>
  </si>
  <si>
    <t>CA_3A-7A-8A-20A  BCS: 0
 UL: 3A, 7A, 8A, 20A
 [70 MHz max: [5-20 MHz]+[10-20 MHz]+[5-10 MHz]+[5-20 MHz]]</t>
  </si>
  <si>
    <t>3A, 7A, 8A, 20A</t>
  </si>
  <si>
    <t>CA_3A-7A-8A-20A</t>
  </si>
  <si>
    <t>MTR-36419</t>
  </si>
  <si>
    <t>CA_3A-7A-8A-28A  BCS: 0
 UL: 3A, 7A, 8A, 28A
 [70 MHz max: [1.4-20 MHz]+[5-20 MHz]+[1.4-10 MHz]+[5-20 MHz]]</t>
  </si>
  <si>
    <t>3A, 7A, 8A, 28A</t>
  </si>
  <si>
    <t>CA_3A-7A-8A-28A</t>
  </si>
  <si>
    <t>MTR-38670</t>
  </si>
  <si>
    <t>CA_3A-7A-8A-32A  BCS: 0
 UL: 3A, 7A, 8A
 [70 MHz max: [1.4-20 MHz]+[5-20 MHz]+[1.4-10 MHz]+[5-20 MHz]]</t>
  </si>
  <si>
    <t>3A, 7A, 8A</t>
  </si>
  <si>
    <t>CA_3A-7A-8A-32A</t>
  </si>
  <si>
    <t>MTR-32766</t>
  </si>
  <si>
    <t>CA_3A-7A-20A-28A  BCS: 0
 UL: 3A, 7A, 20A, 28A
 [80 MHz max: [5-20 MHz]+[10-20 MHz]+[10-20 MHz]+[5-20 MHz]]</t>
  </si>
  <si>
    <t>3A, 7A, 20A, 28A</t>
  </si>
  <si>
    <t>CA_3A-7A-20A-28A</t>
  </si>
  <si>
    <t>MTR-32165</t>
  </si>
  <si>
    <t>CA_3A-7A-20A-32A  BCS: 0
 UL: 3A, 7A, 20A, CA_3A-20A, CA_3A-7A, CA_7A-20A
 [80 MHz max: [5-20 MHz]+[10-20 MHz]+[5-20 MHz]+[5-20 MHz]]</t>
  </si>
  <si>
    <t>CA_3A-7A-20A-32A</t>
  </si>
  <si>
    <t>MTR-39245</t>
  </si>
  <si>
    <t>CA_3A-7A-28A-32A  BCS: 0
 UL: 3A, 7A, 28A, CA_3A-28A, CA_3A-7A, CA_7A-28A
 [80 MHz max: [5-20 MHz]+[5-20 MHz]+[3-20 MHz]+[5-20 MHz]]</t>
  </si>
  <si>
    <t>CA_3A-7A-28A-32A</t>
  </si>
  <si>
    <t>MTR-33700</t>
  </si>
  <si>
    <t>CA_3A-8A-20A-28A  BCS: 0
 UL: 3A, 8A, 20A, 28A
 [70 MHz max: [5-20 MHz]+[5-10 MHz]+[10-20 MHz]+[5-20 MHz]]</t>
  </si>
  <si>
    <t>3A, 8A, 20A, 28A</t>
  </si>
  <si>
    <t>CA_3A-8A-20A-28A</t>
  </si>
  <si>
    <t>MTR-39244</t>
  </si>
  <si>
    <t>CA_7C-20A-28A  BCS: 0
 UL: 7A, 20A, 28A
 [80 MHz max: [10-20 MHz]+[10-20 MHz]+[10-20 MHz]+[5-20 MHz]]</t>
  </si>
  <si>
    <t>CA_7C-20A-28A</t>
  </si>
  <si>
    <t>MTR-38868</t>
  </si>
  <si>
    <t>CA_7C-20A-32A  BCS: 0
 UL: 7A, 20A, CA_7A-20A, CA_7C
 [80 MHz max: [10-20 MHz]+[10-20 MHz]+[5-20 MHz]+[5-20 MHz]]</t>
  </si>
  <si>
    <t>CA_7C-20A-32A</t>
  </si>
  <si>
    <t>MTR-38869</t>
  </si>
  <si>
    <t>CA_7C-28A-32A  BCS: 0
 UL: 7A, 28A
 [80 MHz max: [10-20 MHz]+[10-20 MHz]+[3-20 MHz]+[5-20 MHz]]</t>
  </si>
  <si>
    <t>CA_7C-28A-32A</t>
  </si>
  <si>
    <t>MTR-36420</t>
  </si>
  <si>
    <t>CA_7A-8A-20A-28A  BCS: 0
 UL: 7A, 8A, 20A, 28A
 [70 MHz max: [5-20 MHz]+[1.4-10 MHz]+[5-20 MHz]+[5-20 MHz]]</t>
  </si>
  <si>
    <t>7A, 8A, 20A, 28A</t>
  </si>
  <si>
    <t>CA_7A-8A-20A-28A</t>
  </si>
  <si>
    <t>MTR-36421</t>
  </si>
  <si>
    <t>CA_7A-8A-20A-32A  BCS: 0
 UL: 7A, 8A, 20A
 [70 MHz max: [5-20 MHz]+[1.4-10 MHz]+[5-20 MHz]+[5-20 MHz]]</t>
  </si>
  <si>
    <t>CA_7A-8A-20A-32A</t>
  </si>
  <si>
    <t>MTR-36422</t>
  </si>
  <si>
    <t>CA_7A-8A-28A-32A  BCS: 0
 UL: 7A, 8A, 28A
 [70 MHz max: [5-20 MHz]+[1.4-10 MHz]+[3-20 MHz]+[5-20 MHz]]</t>
  </si>
  <si>
    <t>CA_7A-8A-28A-32A</t>
  </si>
  <si>
    <t>MTR-36423</t>
  </si>
  <si>
    <t>CA_7A-20A-28A-32A  BCS: 0
 UL: 7A, 20A, 28A
 [80 MHz max: [5-20 MHz]+[5-20 MHz]+[3-20 MHz]+[5-20 MHz]]</t>
  </si>
  <si>
    <t>CA_7A-20A-28A-32A</t>
  </si>
  <si>
    <t>MTR-36424</t>
  </si>
  <si>
    <t>CA_8A-20A-28A-32A  BCS: 0
 UL: 8A, 20A, 28A
 [70 MHz max: [1.4-10 MHz]+[5-20 MHz]+[3-20 MHz]+[5-20 MHz]]</t>
  </si>
  <si>
    <t>CA_8A-20A-28A-32A</t>
  </si>
  <si>
    <t>MTR-33275</t>
  </si>
  <si>
    <r>
      <rPr>
        <rFont val="Arial"/>
        <b/>
        <color theme="1"/>
        <sz val="10.0"/>
      </rPr>
      <t>2.4.1.4.4</t>
    </r>
    <r>
      <rPr>
        <rFont val="Arial"/>
        <b val="0"/>
        <color theme="1"/>
        <sz val="10.0"/>
      </rPr>
      <t xml:space="preserve"> </t>
    </r>
    <r>
      <rPr>
        <rFont val="Arial"/>
        <b/>
        <color theme="1"/>
        <sz val="10.0"/>
      </rPr>
      <t>LTE DL 5 Carrier Aggregation Combinations</t>
    </r>
  </si>
  <si>
    <t>MTR-32809</t>
  </si>
  <si>
    <t>CA_1A-1A-3C-7A  BCS: 0
 UL: 1A, 3A, 7A, CA_3C
 [100 MHz max: [5-20 MHz]+[5-20 MHz]+[5-20 MHz]+[5-20 MHz]+[5-20 MHz]]</t>
  </si>
  <si>
    <t>1A, 3A, 7A, CA_3C</t>
  </si>
  <si>
    <t>CA_1A-1A-3C-7A</t>
  </si>
  <si>
    <t>MTR-34740</t>
  </si>
  <si>
    <t>CA_1A-1A-3C-28A  BCS: 0
 UL: 1A, 3A, 28A, CA_1A-28A, CA_1A-3A, CA_3A-28A, CA_3C
 [100 MHz max: [5-20 MHz]+[5-20 MHz]+[5-20 MHz]+[5-20 MHz]+[5-20 MHz]]</t>
  </si>
  <si>
    <t>1A, 3A, 28A, CA_1A-28A, CA_1A-3A, CA_3A-28A, CA_3C</t>
  </si>
  <si>
    <t>CA_1A-1A-3C-28A</t>
  </si>
  <si>
    <t>2019-06</t>
  </si>
  <si>
    <t>MTR-35646</t>
  </si>
  <si>
    <t>CA_1A-1A-3A-3A-7A  BCS: 0
 UL: 1A, 3A, 7A, CA_1A-3A, CA_1A-7A, CA_3A-7A
 [100 MHz max: [5-20 MHz]+[5-20 MHz]+[5-20 MHz]+[5-20 MHz]+[5-20 MHz]]</t>
  </si>
  <si>
    <t>CA_1A-1A-3A-3A-7A</t>
  </si>
  <si>
    <t>2020-06</t>
  </si>
  <si>
    <t>MTR-39963</t>
  </si>
  <si>
    <t>CA_1A-1A-3A-3A-20A  BCS: 0
 UL: 1A, 3A, 20A, CA_1A-3A, CA_1A-20A, CA_3A-20A
 [100 MHz max: [5-20 MHz]+[5-20 MHz]+[5-20 MHz]+[5-20 MHz]+[5-20 MHz]]</t>
  </si>
  <si>
    <t>CA_1A-1A-3A-3A-20A</t>
  </si>
  <si>
    <t>MTR-34742</t>
  </si>
  <si>
    <t>CA_1A-1A-3A-3A-28A  BCS: 0
 UL: 1A, 3A, 28A
 [100 MHz max: [5-20 MHz]+[5-20 MHz]+[5-20 MHz]+[5-20 MHz]+[5-20 MHz]]</t>
  </si>
  <si>
    <t>CA_1A-1A-3A-3A-28A</t>
  </si>
  <si>
    <t>MTR-34741</t>
  </si>
  <si>
    <t>CA_1A-1A-3A-7C  BCS: 0
 UL: 1A, 3A, 7A, CA_7C
 [100 MHz max: [5-20 MHz]+[5-20 MHz]+[5-20 MHz]+[15-20 MHz]+[10-20 MHz]]</t>
  </si>
  <si>
    <t>1A, 3A, 7A, CA_7C</t>
  </si>
  <si>
    <t>CA_1A-1A-3A-7C</t>
  </si>
  <si>
    <t>MTR-39964</t>
  </si>
  <si>
    <t>CA_1A-1A-3A-7A-7A  BCS: 0
 UL: 1A, 3A, 7A, CA_1A-3A, CA_1A-7A, CA_3A-7A
 [100 MHz max: [5-20 MHz]+[5-20 MHz]+[5-20 MHz]+[15-20 MHz]+[10-20 MHz]]</t>
  </si>
  <si>
    <t>CA_1A-1A-3A-7A-7A</t>
  </si>
  <si>
    <t>MTR-40173</t>
  </si>
  <si>
    <t>CA_1A-1A-3A-7A-20A  BCS: 0
 UL: 1A, 3A, 7A, 20A, CA_1A-3A, CA_1A-7A, CA_1A-20A, CA_3A-7A, CA_3A-20A, CA_7A-20A
 [100 MHz max: [5-20 MHz]+[5-20 MHz]+[5-20 MHz]+[5-20 MHz]+[5-20 MHz]]</t>
  </si>
  <si>
    <t>1A, 3A, 7A, 20A, CA_1A-3A, CA_1A-7A, CA_1A-20A, CA_3A-7A, CA_3A-20A, CA_7A-20A</t>
  </si>
  <si>
    <t>CA_1A-1A-3A-7A-20A</t>
  </si>
  <si>
    <t>MTR-34743</t>
  </si>
  <si>
    <t>CA_1A-1A-3A-7A-28A  BCS: 0
 UL: 1A, 3A, 7A, 28A
 [100 MHz max: [5-20 MHz]+[5-20 MHz]+[5-20 MHz]+[10-20 MHz]+[5-20 MHz]]</t>
  </si>
  <si>
    <t>1A, 3A, 7A, 28A</t>
  </si>
  <si>
    <t>CA_1A-1A-3A-7A-28A</t>
  </si>
  <si>
    <t>MTR-40174</t>
  </si>
  <si>
    <t>CA_1A-1A-3A-20A-28A  BCS: 0
 UL: 1A, 3A, 20A, 28A
 [100 MHz max: [5-20 MHz]+[5-20 MHz]+[5-20 MHz]+[10-20 MHz]+[5-20 MHz]]</t>
  </si>
  <si>
    <t>CA_1A-1A-3A-20A-28A</t>
  </si>
  <si>
    <t>MTR-40175</t>
  </si>
  <si>
    <t>CA_1A-1A-7A-7A-20A  BCS: 0
 UL: 1A, 7A, 20A, CA_1A-7A, CA_1A-20A, CA_7A-20A
 [100 MHz max: [5-20 MHz]+[5-20 MHz]+[5-20 MHz]+[5-20 MHz]+[5-20 MHz]]</t>
  </si>
  <si>
    <t>CA_1A-1A-7A-7A-20A</t>
  </si>
  <si>
    <t>MTR-34744</t>
  </si>
  <si>
    <t>CA_1A-1A-7C-28A  BCS: 0
 UL: 1A, 7A, 28A, CA_7C
 [100 MHz max: [5-20 MHz]+[5-20 MHz]+[10-20 MHz]+[10-20 MHz]+[5-20 MHz]]</t>
  </si>
  <si>
    <t>1A, 7A, 28A, CA_7C</t>
  </si>
  <si>
    <t>CA_1A-1A-7C-28A</t>
  </si>
  <si>
    <t>MTR-33155</t>
  </si>
  <si>
    <t>CA_1A-3A-3A-7A-7A  BCS: 0
 UL: 1A, 3A, 7A, CA_1A-3A, CA_1A-7A, CA_3A-7A
 [100 MHz max: [5-20 MHz]+[5-20 MHz]+[5-20 MHz]+[5-20 MHz]+[10-20 MHz]]</t>
  </si>
  <si>
    <t>CA_1A-3A-3A-7A-7A</t>
  </si>
  <si>
    <t>MTR-34745</t>
  </si>
  <si>
    <t>CA_1A-3A-3A-7C  BCS: 0
 UL: 1A, 3A, 7A, CA_7C
 [100 MHz max: [5-20 MHz]+[5-20 MHz]+[5-20 MHz]+[5-20 MHz]+[10-20 MHz]]</t>
  </si>
  <si>
    <t>CA_1A-3A-3A-7C</t>
  </si>
  <si>
    <t>MTR-32472</t>
  </si>
  <si>
    <t>CA_1A-3C-7C  BCS: 0
 UL: 1A, 3A, 7A, CA_1A-3A, CA_1A-7A, CA_3A-7A, CA_3C, CA_7C
 [100 MHz max: [5-20 MHz]+[5-20 MHz]+[5-20 MHz]+[10-20 MHz]+[10-20 MHz]]</t>
  </si>
  <si>
    <t>1A, 3A, 7A, CA_1A-3A, CA_1A-7A, CA_3A-7A, CA_3C, CA_7C</t>
  </si>
  <si>
    <t>CA_1A-3C-7C</t>
  </si>
  <si>
    <t>MTR-33691</t>
  </si>
  <si>
    <t>CA_1A-3A-3A-7A-8A  BCS: 0
 UL: 1A, 3A, 7A, 8A, CA_1A-3A, CA_1A-7A, CA_1A-8A, CA_3A-7A, CA_3A-8A, CA_7A-8A
 [90 MHz max: [5-20 MHz]+[5-20 MHz]+[5-20 MHz]+[5-20 MHz]+[5-10 MHz]]</t>
  </si>
  <si>
    <t>CA_1A-3A-3A-7A-8A</t>
  </si>
  <si>
    <t>MTR-32811</t>
  </si>
  <si>
    <t>CA_1A-3C-7A-8A  BCS: 0
 UL: 1A, 3A, 7A, 8A, CA_1A-3A, CA_1A-8A, CA_3A-8A, CA_3C
 [90 MHz max: [5-20 MHz]+[5-20 MHz]+[5-20 MHz]+[5-20 MHz]+[5-10 MHz]]</t>
  </si>
  <si>
    <t>1A, 3A, 7A, 8A, CA_1A-3A, CA_1A-8A, CA_3A-8A, CA_3C</t>
  </si>
  <si>
    <t>CA_1A-3C-7A-8A</t>
  </si>
  <si>
    <t>MTR-33183</t>
  </si>
  <si>
    <t>CA_1A-3A-3A-7A-20A  BCS: 0
 UL: 1A, 3A, 7A, 20A
 [100 MHz max: [5-20 MHz]+[5-20 MHz]+[5-20 MHz]+[5-20 MHz]+[5-20 MHz]]</t>
  </si>
  <si>
    <t>1A, 3A, 7A, 20A</t>
  </si>
  <si>
    <t>CA_1A-3A-3A-7A-20A</t>
  </si>
  <si>
    <t>MTR-32385</t>
  </si>
  <si>
    <t>CA_1A-3C-7A-20A  BCS: 0
 UL: 1A, 3A, 7A, 20A
 [100 MHz max: [5-20 MHz]+[5-20 MHz]+[5-20 MHz]+[5-20 MHz]+[5-20 MHz]]</t>
  </si>
  <si>
    <t>CA_1A-3C-7A-20A</t>
  </si>
  <si>
    <t>MTR-33184</t>
  </si>
  <si>
    <t>CA_1A-3A-3A-7A-28A  BCS: 0
 UL: 1A, 3A, 7A, 28A
 [100 MHz max: [5-20 MHz]+[5-20 MHz]+[5-20 MHz]+[10-20 MHz]+[5-20 MHz]]</t>
  </si>
  <si>
    <t>CA_1A-3A-3A-7A-28A</t>
  </si>
  <si>
    <t>MTR-33693</t>
  </si>
  <si>
    <t>CA_1A-3C-7A-28A  BCS: 0
 UL: 1A, 3A, 7A, 28A, CA_3C
 [100 MHz max: [5-20 MHz]+[5-20 MHz]+[5-20 MHz]+[5-20 MHz]+[5-20 MHz]]</t>
  </si>
  <si>
    <t>1A, 3A, 7A, 28A, CA_3C</t>
  </si>
  <si>
    <t>CA_1A-3C-7A-28A</t>
  </si>
  <si>
    <t>MTR-37490</t>
  </si>
  <si>
    <t>CA_1A-3C-7A-32A  BCS: 0
 UL: 1A, 3A, 7A, CA_1A-3A, CA_1A-7A, CA_3A-7A, CA_3C
 [100 MHz max: [5-20 MHz]+[20 MHz]+[5-20 MHz]+[5-20 MHz]+[5-20 MHz]]</t>
  </si>
  <si>
    <t>CA_1A-3C-7A-32A</t>
  </si>
  <si>
    <t>MTR-35776</t>
  </si>
  <si>
    <t>CA_1A-3C-8A-20A  BCS: 0
 UL: 1A, 3A, 8A, 20A, CA_1A-3A, CA_1A-8A, CA_3A-8A, CA_3C
 [90 MHz max: [5-20 MHz]+[20 MHz]+[5-20 MHz]+[5-10 MHz]+[5-20 MHz]]</t>
  </si>
  <si>
    <t>1A, 3A, 8A, 20A, CA_1A-3A, CA_1A-8A, CA_3A-8A, CA_3C</t>
  </si>
  <si>
    <t>CA_1A-3C-8A-20A</t>
  </si>
  <si>
    <t>MTR-36425</t>
  </si>
  <si>
    <t>CA_1A-3A-3A-20A-28A  BCS: 0
 UL: 1A, 3A, 20A, 28A
 [100 MHz max: [5-20 MHz]+[5-20 MHz]+[5-20 MHz]+[10-20 MHz]+[10-20 MHz]]</t>
  </si>
  <si>
    <t>CA_1A-3A-3A-20A-28A</t>
  </si>
  <si>
    <t>MTR-37491</t>
  </si>
  <si>
    <t>CA_1A-3C-20A-32A  BCS: 0
 UL: 1A, 3A, 20A
 [100 MHz max: [5-20 MHz]+[20 MHz]+[5-20 MHz]+[5-20 MHz]+[5-20 MHz]]</t>
  </si>
  <si>
    <t>CA_1A-3C-20A-32A</t>
  </si>
  <si>
    <t>MTR-33692</t>
  </si>
  <si>
    <t>CA_1A-3A-7A-7A-8A  BCS: 0
 UL: 1A, 3A, 7A, 8A, CA_1A-3A, CA_1A-7A, CA_1A-8A, CA_3A-7A, CA_3A-8A, CA_7A-8A
 [90 MHz max: [5-20 MHz]+[5-20 MHz]+[5-20 MHz]+[10-20 MHz]+[5-10 MHz]]</t>
  </si>
  <si>
    <t>CA_1A-3A-7A-7A-8A</t>
  </si>
  <si>
    <t>MTR-32377</t>
  </si>
  <si>
    <t>CA_1A-3A-7C-20A  BCS: 0
 UL: 1A, 3A, 7A, 20A, CA_7C
 [100 MHz max: [5-20 MHz]+[5-20 MHz]+[10-20 MHz]+[10-20 MHz]+[5-20 MHz]]</t>
  </si>
  <si>
    <t>1A, 3A, 7A, 20A, CA_7C</t>
  </si>
  <si>
    <t>CA_1A-3A-7C-20A</t>
  </si>
  <si>
    <t>MTR-34747</t>
  </si>
  <si>
    <t>CA_1A-3A-7A-7A-20A  BCS: 0
 UL: 1A, 3A, 7A, 20A
 [100 MHz max: [5-20 MHz]+[5-20 MHz]+[10-20 MHz]+[10-20 MHz]+[5-20 MHz]]</t>
  </si>
  <si>
    <t>CA_1A-3A-7A-7A-20A</t>
  </si>
  <si>
    <t>MTR-33694</t>
  </si>
  <si>
    <t>CA_1A-3A-7A-7A-28A  BCS: 0
 UL: 1A, 3A, 7A, 28A
 [100 MHz max: [5-20 MHz]+[5-20 MHz]+[5-20 MHz]+[5-20 MHz]+[10-20 MHz]]</t>
  </si>
  <si>
    <t>CA_1A-3A-7A-7A-28A</t>
  </si>
  <si>
    <t>MTR-32182</t>
  </si>
  <si>
    <t>CA_1A-3A-7C-28A  BCS: 0
 UL: 1A, 3A, 7A, 28A, CA_1A-28A, CA_1A-3A, CA_1A-7A, CA_3A-28A, CA_3A-7A, CA_7A-28A, CA_7C
 [100 MHz max: [5-20 MHz]+[10-20 MHz]+[10-20 MHz]+[15-20 MHz]+[10-20 MHz]]</t>
  </si>
  <si>
    <t>1A, 3A, 7A, 28A, CA_1A-28A, CA_1A-3A, CA_1A-7A, CA_3A-28A, CA_3A-7A, CA_7A-28A, CA_7C</t>
  </si>
  <si>
    <t>CA_1A-3A-7C-28A</t>
  </si>
  <si>
    <t>MTR-33695</t>
  </si>
  <si>
    <t>CA_1A-3A-7A-8A-20A  BCS: 0
 UL: 1A, 3A, 7A, 8A, 20A
 [90 MHz max: [5-20 MHz]+[5-20 MHz]+[10-20 MHz]+[5-10 MHz]+[10-20 MHz]]</t>
  </si>
  <si>
    <t>1A, 3A, 7A, 8A, 20A</t>
  </si>
  <si>
    <t>CA_1A-3A-7A-8A-20A</t>
  </si>
  <si>
    <t>MTR-36426</t>
  </si>
  <si>
    <t>CA_1A-3A-7A-8A-28A  BCS: 0
 UL: 1A, 3A, 7A, 8A, 28A
 [90 MHz max: [5-20 MHz]+[1.4-20 MHz]+[5-20 MHz]+[1.4-10 MHz]+[5-20 MHz]]</t>
  </si>
  <si>
    <t>1A, 3A, 7A, 8A, 28A</t>
  </si>
  <si>
    <t>CA_1A-3A-7A-8A-28A</t>
  </si>
  <si>
    <t>MTR-38675</t>
  </si>
  <si>
    <t>CA_1A-3A-7A-8A-32A  BCS: 0
 UL: 1A, 3A, 7A, 8A
 [90 MHz max: [5-20 MHz]+[1.4-20 MHz]+[5-20 MHz]+[1.4-10 MHz]+[5-20 MHz]]</t>
  </si>
  <si>
    <t>1A, 3A, 7A, 8A</t>
  </si>
  <si>
    <t>CA_1A-3A-7A-8A-32A</t>
  </si>
  <si>
    <t>MTR-32755</t>
  </si>
  <si>
    <t>CA_1A-3A-7A-20A-28A  BCS: 0
 UL: 1A, 3A, 7A, 20A, 28A
 [100 MHz max: [5-20 MHz]+[5-20 MHz]+[10-20 MHz]+[10-20 MHz]+[5-20 MHz]]</t>
  </si>
  <si>
    <t>1A, 3A, 7A, 20A, 28A</t>
  </si>
  <si>
    <t>CA_1A-3A-7A-20A-28A</t>
  </si>
  <si>
    <t>MTR-33696</t>
  </si>
  <si>
    <t>CA_1A-3A-7A-20A-32A  BCS: 0
 UL: 1A, 3A, 7A, 20A
 [100 MHz max: [5-20 MHz]+[5-20 MHz]+[10-20 MHz]+[5-20 MHz]+[5-20 MHz]]</t>
  </si>
  <si>
    <t>CA_1A-3A-7A-20A-32A</t>
  </si>
  <si>
    <t>MTR-39246</t>
  </si>
  <si>
    <t>CA_1A-3A-7A-28A-32A  BCS: 0
 UL: 1A, 3A, 7A, 28A, CA_7A-28A
 [100 MHz max: [5-20 MHz]+[5-20 MHz]+[10-20 MHz]+[3-20 MHz]+[5-20 MHz]]</t>
  </si>
  <si>
    <t>1A, 3A, 7A, 28A, CA_7A-28A</t>
  </si>
  <si>
    <t>CA_1A-3A-7A-28A-32A</t>
  </si>
  <si>
    <t>MTR-36428</t>
  </si>
  <si>
    <t>CA_1A-3A-8A-20A-28A  BCS: 0
 UL: 1A, 3A, 8A, 20A, 28A
 [90 MHz max: [5-20 MHz]+[1.4-20 MHz]+[1.4-10 MHz]+[5-20 MHz]+[5-20 MHz]]</t>
  </si>
  <si>
    <t>1A, 3A, 8A, 20A, 28A</t>
  </si>
  <si>
    <t>CA_1A-3A-8A-20A-28A</t>
  </si>
  <si>
    <t>MTR-38870</t>
  </si>
  <si>
    <t>CA_1A-7C-20A-28A  BCS: 0
 UL: 1A, 7A, 20A, 28A
 [100 MHz max: [5-20 MHz]+[10-20 MHz]+[10-20 MHz]+[10-20 MHz]+[5-20 MHz]]</t>
  </si>
  <si>
    <t>CA_1A-7C-20A-28A</t>
  </si>
  <si>
    <t>MTR-39692</t>
  </si>
  <si>
    <t>CA_1A-7C-20A-32A  BCS: 0
 UL: 1A, 7A, 20A
 [100 MHz max: [5-20 MHz]+[10-20 MHz]+[10-20 MHz]+[5-20 MHz]+[5-20 MHz]]</t>
  </si>
  <si>
    <t>CA_1A-7C-20A-32A</t>
  </si>
  <si>
    <t>2023-09</t>
  </si>
  <si>
    <t>MTR-38871</t>
  </si>
  <si>
    <t>CA_1A-7C-28A-32A  BCS: 0
 UL: 1A, 7A, 28A
 [100 MHz max: [5-20 MHz]+[10-20 MHz]+[10-20 MHz]+[3-20 MHz]+[5-20 MHz]]</t>
  </si>
  <si>
    <t>CA_1A-7C-28A-32A</t>
  </si>
  <si>
    <t>MTR-36430</t>
  </si>
  <si>
    <t>CA_1A-7A-8A-20A-28A  BCS: 0
 UL: 1A, 7A, 8A, 20A, 28A
 [90 MHz max: [5-20 MHz]+[5-20 MHz]+[5-10 MHz]+[5-20 MHz]+[5-20 MHz]]</t>
  </si>
  <si>
    <t>1A, 7A, 8A, 20A, 28A</t>
  </si>
  <si>
    <t>CA_1A-7A-8A-20A-28A</t>
  </si>
  <si>
    <t>MTR-36431</t>
  </si>
  <si>
    <t>CA_1A-7A-8A-20A-32A  BCS: 0
 UL: 1A, 7A, 8A, 20A
 [90 MHz max: [5-20 MHz]+[5-20 MHz]+[5-10 MHz]+[5-20 MHz]+[5-20 MHz]]</t>
  </si>
  <si>
    <t>CA_1A-7A-8A-20A-32A</t>
  </si>
  <si>
    <t>MTR-36432</t>
  </si>
  <si>
    <t>CA_1A-7A-8A-28A-32A  BCS: 0
 UL: 1A, 7A, 8A, 28A
 [90 MHz max: [5-20 MHz]+[5-20 MHz]+[5-10 MHz]+[3-20 MHz]+[5-20 MHz]]</t>
  </si>
  <si>
    <t>CA_1A-7A-8A-28A-32A</t>
  </si>
  <si>
    <t>MTR-36433</t>
  </si>
  <si>
    <t>CA_1A-7A-20A-28A-32A  BCS: 0
 UL: 1A, 7A, 20A, 28A
 [100 MHz max: [5-20 MHz]+[5-20 MHz]+[5-20 MHz]+[3-20 MHz]+[5-20 MHz]]</t>
  </si>
  <si>
    <t>CA_1A-7A-20A-28A-32A</t>
  </si>
  <si>
    <t>MTR-38874</t>
  </si>
  <si>
    <t>CA_1A-8A-20A-28A-32A  BCS: 0
 UL: 1A, 8A, 20A, 28A
 [90 MHz max: [5-20 MHz]+[5-10 MHz]+[5-20 MHz]+[5-20 MHz]+[5-20 MHz]]</t>
  </si>
  <si>
    <t>CA_1A-8A-20A-28A-32A</t>
  </si>
  <si>
    <t>MTR-32763</t>
  </si>
  <si>
    <t>CA_3A-3A-7A-7A-8A  BCS: 0
 UL: 3A, 7A, 8A, CA_3A-7A, CA_3A-8A, CA_7A-8A
 [90 MHz max: [5-20 MHz]+[5-20 MHz]+[5-20 MHz]+[5-20 MHz]+[5-10 MHz])]</t>
  </si>
  <si>
    <t>CA_3A-3A-7A-7A-8A</t>
  </si>
  <si>
    <t>MTR-32764</t>
  </si>
  <si>
    <t>CA_3A-3A-7A-7A-8A  BCS: 1
 UL: 3A, 7A, 8A, CA_3A-7A, CA_3A-8A, CA_7A-8A
 [70 MHz max: [5-10 MHz]+[5-20 MHz]+[5-20 MHz]+[5-10 MHz]+[5-10 MHz])]</t>
  </si>
  <si>
    <t>MTR-32370</t>
  </si>
  <si>
    <t>CA_3C-7C-20A  BCS: 0
 UL: 3A, 7A, 20A
 [100 MHz max: [5-20 MHz]+[50-20 MHz]+[10-20 MHz]+[10-20 MHz]+[5-20 MHz]]</t>
  </si>
  <si>
    <t>CA_3C-7C-20A</t>
  </si>
  <si>
    <t>MTR-40176</t>
  </si>
  <si>
    <t>CA_3A-3A-7A-7A-20A  BCS: 0
 UL: 3A, 7A, 20A, CA_3A-7A, CA_3A-20A, CA_7A-20A
 [100 MHz max: [5-20 MHz]+[5-20 MHz]+[5-20 MHz]+[5-20 MHz]+[5-20 MHz]]</t>
  </si>
  <si>
    <t>3A, 7A, 20A, CA_3A-7A, CA_3A-20A, CA_7A-20A</t>
  </si>
  <si>
    <t>CA_3A-3A-7A-7A-20A</t>
  </si>
  <si>
    <t>MTR-32202</t>
  </si>
  <si>
    <t>CA_3C-7C-28A  BCS: 0
 UL: 3A, 7A, 28A, CA_3C, CA_7C
 [100 MHz max: [5-20 MHz]+[5-20 MHz]+[10-20 MHz]+[15-20 MHz]+[10-20 MHz]]</t>
  </si>
  <si>
    <t>3A, 7A, 28A, CA_3C, CA_7C</t>
  </si>
  <si>
    <t>CA_3C-7C-28A</t>
  </si>
  <si>
    <t>MTR-34748</t>
  </si>
  <si>
    <t>CA_3A-3A-7C-28A  BCS: 0
 UL: 3A, 7A, 28A, CA_7C
 [100 MHz max: [5-20 MHz]+[5-20 MHz]+[15-20 MHz]+[10-20 MHz]+[5-20 MHz]]</t>
  </si>
  <si>
    <t>3A, 7A, 28A, CA_7C</t>
  </si>
  <si>
    <t>CA_3A-3A-7C-28A</t>
  </si>
  <si>
    <t>MTR-33720</t>
  </si>
  <si>
    <t>CA_3C-7A-20A-28A  BCS: 0
 UL: 3A, 7A, 20A, 28A
 [100 MHz max: [5-20 MHz]+[5-20 MHz]+[5-20 MHz]+[5-10 MHz]+[5-20 MHz]]</t>
  </si>
  <si>
    <t>CA_3C-7A-20A-28A</t>
  </si>
  <si>
    <t>MTR-38872</t>
  </si>
  <si>
    <t>CA_3A-7C-20A-28A  BCS: 0
 UL: 3A, 7A, 20A, 28A
 [100 MHz max: [5-20 MHz]+[10-20 MHz]+[10-20 MHz]+[10-20 MHz]+[5-20 MHz]]</t>
  </si>
  <si>
    <t>CA_3A-7C-20A-28A</t>
  </si>
  <si>
    <t>MTR-36434</t>
  </si>
  <si>
    <t>CA_3A-7A-8A-20A-28A  BCS: 0
 UL: 3A, 7A, 8A, 20A, 28A
 [90 MHz max: [5-20 MHz]+[5-20 MHz]+[1.4-10 MHz]+[5-20 MHz]+[3-20 MHz]]</t>
  </si>
  <si>
    <t>3A, 7A, 8A, 20A, 28A</t>
  </si>
  <si>
    <t>CA_3A-7A-8A-20A-28A</t>
  </si>
  <si>
    <t>MTR-38873</t>
  </si>
  <si>
    <t>CA_7C-20A-28A-32A  BCS: 0
 UL: 7A, 20A, 28A
 [100 MHz max: [10-20 MHz]+[10-20 MHz]+[5-20 MHz]+[3-20 MHz]+[5-20 MHz]]</t>
  </si>
  <si>
    <t>CA_7C-20A-28A-32A</t>
  </si>
  <si>
    <t>MTR-36435</t>
  </si>
  <si>
    <t>CA_7A-8A-20A-28A-32A  BCS: 0
 UL: 7A, 8A, 20A, 28A
 [90 MHz max: [5-20 MHz]+[1.4-10 MHz]+[1.4-10 MHz]+[3-20 MHz]+[5-20 MHz]]</t>
  </si>
  <si>
    <t>CA_7A-8A-20A-28A-32A</t>
  </si>
  <si>
    <t>MTR-35314</t>
  </si>
  <si>
    <r>
      <rPr>
        <rFont val="Arial"/>
        <b/>
        <color theme="1"/>
        <sz val="10.0"/>
      </rPr>
      <t>2.4.1.4.6</t>
    </r>
    <r>
      <rPr>
        <rFont val="Arial"/>
        <b val="0"/>
        <color theme="1"/>
        <sz val="10.0"/>
      </rPr>
      <t xml:space="preserve"> </t>
    </r>
    <r>
      <rPr>
        <rFont val="Arial"/>
        <b/>
        <color theme="1"/>
        <sz val="10.0"/>
      </rPr>
      <t>LTE DL Carrier Aggregation Combinations with roaming bands</t>
    </r>
  </si>
  <si>
    <t>MTR-35315</t>
  </si>
  <si>
    <t>CA_2A-4A  BCS: 0
 UL: 2A, 4A, CA_2A-4A
 [40 MHz max: [5-20 MHz]+[5-20 MHz]]</t>
  </si>
  <si>
    <t>2A, 4A, CA_2A-4A</t>
  </si>
  <si>
    <t>CA_2A-4A</t>
  </si>
  <si>
    <t>MTR-39413</t>
  </si>
  <si>
    <t>CA_2A-5A  BCS: 0
 UL: 2A, 5A, CA_2A-5A
 [30 MHz max: [5-20 MHz]+[5-10 MHz]]</t>
  </si>
  <si>
    <t>2A, 5A, CA_2A-5A</t>
  </si>
  <si>
    <t>CA_2A-5A</t>
  </si>
  <si>
    <t>2013-09</t>
  </si>
  <si>
    <t>Platform support. Request TAM to create FR to verify feasiblity of enablement for DTAG</t>
  </si>
  <si>
    <t>MTR-35316</t>
  </si>
  <si>
    <t>CA_2A-12A  BCS: 0
 UL: 2A, 12A, CA_2A-12A
 [30 MHz max: [5-20 MHz]+[5-10 MHz]]</t>
  </si>
  <si>
    <t>2A, 12A, CA_2A-12A</t>
  </si>
  <si>
    <t>CA_2A-12A</t>
  </si>
  <si>
    <t>MTR-40232</t>
  </si>
  <si>
    <t>CA_2A-66A  BCS: 2
 UL: 2A, 66A CA_2A-66A
 [40 MHz max: [5-20 MHz]+[5-20 MHz]]</t>
  </si>
  <si>
    <t>2A, 66ACA_2A-66A</t>
  </si>
  <si>
    <t>CA_2A-66A</t>
  </si>
  <si>
    <t>2016-07</t>
  </si>
  <si>
    <t>MTR-39414</t>
  </si>
  <si>
    <t>CA_4A-5A  BCS: 0
 UL: 4A, 5A, CA_4A-5A
 [30 MHz max: [5-20 MHz]+[5-10 MHz]]</t>
  </si>
  <si>
    <t>4A, 5A, CA_4A-5A</t>
  </si>
  <si>
    <t>CA_4A-5A</t>
  </si>
  <si>
    <t>MTR-35318</t>
  </si>
  <si>
    <t>CA_4A-12A  BCS: 0
 UL: 4A, 12A, CA_4A-12A
 [30 MHz max: [5-20 MHz]+[5-10 MHz]]</t>
  </si>
  <si>
    <t>4A, 12A, CA_4A-12A</t>
  </si>
  <si>
    <t>CA_4A-12A</t>
  </si>
  <si>
    <t>MTR-39415</t>
  </si>
  <si>
    <t>CA_5A-12A  BCS: 0
 UL: 5A, 12A, CA_5A-12A
 [20 MHz max: [5-10 MHz]+[5-10 MHz]]</t>
  </si>
  <si>
    <t>5A, 12A, CA_5A-12A</t>
  </si>
  <si>
    <t>CA_5A-12A</t>
  </si>
  <si>
    <t>MTR-40233</t>
  </si>
  <si>
    <t>CA_5A-66A  BCS: 0
 UL: 5A, 66A, CA_5A-66A
 [30 MHz max: [5-10 MHz]+[5-20 MHz]]</t>
  </si>
  <si>
    <t>5A, 66A, CA_5A-66A</t>
  </si>
  <si>
    <t>CA_5A-66A</t>
  </si>
  <si>
    <t>MTR-40234</t>
  </si>
  <si>
    <t>CA_12A-66A  BCS: 4
 UL: 12A, 66A, CA_12A-66A
 [30 MHz max: [5-10 MHz]+[5-20 MHz]]</t>
  </si>
  <si>
    <t>12A, 66A, CA_12A-66A</t>
  </si>
  <si>
    <t>CA_12A-66A</t>
  </si>
  <si>
    <t>EN-DC UL Configuration</t>
  </si>
  <si>
    <t>EN-DC DL Configuration</t>
  </si>
  <si>
    <t>NR DL Configuration</t>
  </si>
  <si>
    <r>
      <rPr>
        <rFont val="Arial"/>
        <b/>
        <color theme="1"/>
        <sz val="10.0"/>
      </rPr>
      <t>2.5.2</t>
    </r>
    <r>
      <rPr>
        <rFont val="Arial"/>
        <b val="0"/>
        <color theme="1"/>
        <sz val="10.0"/>
      </rPr>
      <t xml:space="preserve"> </t>
    </r>
    <r>
      <rPr>
        <rFont val="Arial"/>
        <b/>
        <color theme="1"/>
        <sz val="10.0"/>
      </rPr>
      <t>EN-DC combinations</t>
    </r>
  </si>
  <si>
    <t>MTR-35224</t>
  </si>
  <si>
    <r>
      <rPr>
        <rFont val="Arial"/>
        <b/>
        <color theme="1"/>
        <sz val="10.0"/>
      </rPr>
      <t>4x4 MIMO support in EN-DC</t>
    </r>
    <r>
      <rPr>
        <rFont val="Arial"/>
        <b val="0"/>
        <color theme="1"/>
        <sz val="10.0"/>
      </rPr>
      <t xml:space="preserve">
For the support of specific MIMO modes in EN-DC the following assumptions apply:
- If 4x4 MIMO is supported on a single LTE or NR band, it is in general also supported on this band within an EN-DC combination.
- MIMO in general is expected to be supported as follows:
 - Low bands (e.g. 8/20/28): 2x2 MIMO
 - Mid/high bands (e.g. 1/3/7/75/78): 4x4 MIMO
(see also MTR-33651, MTR-33652, MTR-33732)</t>
    </r>
  </si>
  <si>
    <t>MTR-35125</t>
  </si>
  <si>
    <r>
      <rPr>
        <rFont val="Arial"/>
        <b/>
        <color theme="1"/>
        <sz val="10.0"/>
      </rPr>
      <t>The OEM confirms that the compliance statements for the EN-DC band combinations are answered according to the following rules.</t>
    </r>
    <r>
      <rPr>
        <rFont val="Arial"/>
        <b val="0"/>
        <color theme="1"/>
        <sz val="10.0"/>
      </rPr>
      <t xml:space="preserve">
The compliance statements for all EN-DC combinations are aligned and consistent with the answers in the chapter "EN-DC Combination Overview" regarding layer and MIMO support!
</t>
    </r>
    <r>
      <rPr>
        <rFont val="Arial"/>
        <b/>
        <color theme="1"/>
        <sz val="10.0"/>
      </rPr>
      <t>Complies:</t>
    </r>
    <r>
      <rPr>
        <rFont val="Arial"/>
        <b val="0"/>
        <color theme="1"/>
        <sz val="10.0"/>
      </rPr>
      <t xml:space="preserve"> The EN-DC combination is fully supported as defined (incl. all stated bands/layers/bandwidth/MIMO modes for LTE and NR).
</t>
    </r>
    <r>
      <rPr>
        <rFont val="Arial"/>
        <b/>
        <color theme="1"/>
        <sz val="10.0"/>
      </rPr>
      <t>Partially complies:</t>
    </r>
    <r>
      <rPr>
        <rFont val="Arial"/>
        <b val="0"/>
        <color theme="1"/>
        <sz val="10.0"/>
      </rPr>
      <t xml:space="preserve"> The EN-DC combination is supported in principle (bands) but not with the full layer, bandwidth or MIMO support as defined in the requirement.
In case of only partial compliance please list in "Comments vendor" the supported options regarding bandwidth and MIMO layers (multiple entries possible).
Example e.g. in case of limited support of DC_1A(4x4)-3A(4x4)-n78A(4x4):
 1A/30MHz/4x4-3A/20MHz/2x2-n78A/100MHz/4x4
 1A/40MHz/2x2-3A/20MHz/2x2-n78A/100MHz/4x4
If full support is not possible, the supported variants should cover at least as much of the Telekom essential requirements as possible and match the overall required bandwidths of the targeted concept class/datarate class as closely as possible.
The band individual essential requirements are:
 - LTE: 20 MHz
 - n1, n3, n28, n75: 30 MHz
 - n7: 40 MHz
 - n8, n20: 20 MHz
 - n78: 100 MHz
 - n78C/(2A): 140MHz(4x4)
</t>
    </r>
    <r>
      <rPr>
        <rFont val="Arial"/>
        <b/>
        <color theme="1"/>
        <sz val="10.0"/>
      </rPr>
      <t>Does not comply:</t>
    </r>
    <r>
      <rPr>
        <rFont val="Arial"/>
        <b val="0"/>
        <color theme="1"/>
        <sz val="10.0"/>
      </rPr>
      <t xml:space="preserve"> The EN-DC combination as such (regarding the bands) is not supported at all. Please indicate the reason for the limitation in the "Comments vendor" field.</t>
    </r>
  </si>
  <si>
    <t>1000/200 Mbps, 1200/225 Mbps, 1600/225 Mbps, 2000/225 Mbps, NR (5G)</t>
  </si>
  <si>
    <t>MTR-34210</t>
  </si>
  <si>
    <r>
      <rPr>
        <rFont val="Arial"/>
        <b/>
        <color theme="1"/>
        <sz val="10.0"/>
      </rPr>
      <t>2.5.2.2</t>
    </r>
    <r>
      <rPr>
        <rFont val="Arial"/>
        <b val="0"/>
        <color theme="1"/>
        <sz val="10.0"/>
      </rPr>
      <t xml:space="preserve"> </t>
    </r>
    <r>
      <rPr>
        <rFont val="Arial"/>
        <b/>
        <color theme="1"/>
        <sz val="10.0"/>
      </rPr>
      <t>EN-DC LTE CA + n1A</t>
    </r>
  </si>
  <si>
    <t>MTR-34479</t>
  </si>
  <si>
    <r>
      <rPr>
        <rFont val="Arial"/>
        <b/>
        <color theme="1"/>
        <sz val="10.0"/>
      </rPr>
      <t>2.5.2.2.1</t>
    </r>
    <r>
      <rPr>
        <rFont val="Arial"/>
        <b val="0"/>
        <color theme="1"/>
        <sz val="10.0"/>
      </rPr>
      <t xml:space="preserve"> </t>
    </r>
    <r>
      <rPr>
        <rFont val="Arial"/>
        <b/>
        <color theme="1"/>
        <sz val="10.0"/>
      </rPr>
      <t>EN-DC 1 Carrier LTE + 1 Carrier n1A</t>
    </r>
  </si>
  <si>
    <t>MTR-39251</t>
  </si>
  <si>
    <t>DC_1A(4x4)_n1A(4x4)
 UL: DC_1A_n1A
 [4 LTE &amp; 4 NR layers]</t>
  </si>
  <si>
    <t>DC_1A_n1A</t>
  </si>
  <si>
    <t>n1A</t>
  </si>
  <si>
    <t>MTR-33667</t>
  </si>
  <si>
    <t>DC_3A(4x4)_n1A(4x4)
 UL: DC_3A_n1A
 [4 LTE &amp; 4 NR layers]</t>
  </si>
  <si>
    <t>DC_3A_n1A</t>
  </si>
  <si>
    <t>ul, mimo complies</t>
  </si>
  <si>
    <t>MTR-33669</t>
  </si>
  <si>
    <t>DC_7A(4x4)_n1A(4x4)
 UL: DC_7A_n1A
 [4 LTE &amp; 4 NR layers]</t>
  </si>
  <si>
    <t>DC_7A_n1A</t>
  </si>
  <si>
    <t>Hardware Design Limitation</t>
  </si>
  <si>
    <t>MTR-34135</t>
  </si>
  <si>
    <t>DC_8A(2x2)_n1A(4x4)
 UL: DC_8A_n1A
 [2 LTE &amp; 4 NR layers]</t>
  </si>
  <si>
    <t>DC_8A_n1A</t>
  </si>
  <si>
    <t>MTR-33670</t>
  </si>
  <si>
    <t>DC_20A(2x2)_n1A(4x4)
 UL: DC_20A_n1A
 [2 LTE &amp; 4 NR layers]</t>
  </si>
  <si>
    <t>DC_20A_n1A</t>
  </si>
  <si>
    <t>MTR-35926</t>
  </si>
  <si>
    <t>DC_28A(2x2)_n1A(4x4)
 UL: DC_28A_n1A
 [2 LTE &amp; 4 NR layers]</t>
  </si>
  <si>
    <t>DC_28A_n1A</t>
  </si>
  <si>
    <t>MTR-34480</t>
  </si>
  <si>
    <r>
      <rPr>
        <rFont val="Arial"/>
        <b/>
        <color theme="1"/>
        <sz val="10.0"/>
      </rPr>
      <t>2.5.2.2.2</t>
    </r>
    <r>
      <rPr>
        <rFont val="Arial"/>
        <b val="0"/>
        <color theme="1"/>
        <sz val="10.0"/>
      </rPr>
      <t xml:space="preserve"> </t>
    </r>
    <r>
      <rPr>
        <rFont val="Arial"/>
        <b/>
        <color theme="1"/>
        <sz val="10.0"/>
      </rPr>
      <t>EN-DC 2 Carriers LTE + 1 Carrier n1A</t>
    </r>
  </si>
  <si>
    <t>MTR-39253</t>
  </si>
  <si>
    <t>DC_1A(4x4)-3A(4x4)_n1A(4x4)
 UL: DC_1A_n1A
 [8 (4+4) LTE &amp; 4 NR layers]</t>
  </si>
  <si>
    <t>DC_1A-3A_n1A</t>
  </si>
  <si>
    <t>1A-3A</t>
  </si>
  <si>
    <t>MTR-39254</t>
  </si>
  <si>
    <t>DC_1A(4x4)-3A(4x4)_n1A(4x4)
 UL: DC_3A_n1A
 [8 (4+4) LTE &amp; 4 NR layers]</t>
  </si>
  <si>
    <t>MTR-39255</t>
  </si>
  <si>
    <t>DC_1A(4x4)-7A(4x4)_n1A(4x4)
 UL: DC_1A_n1A
 [8 (4+4) LTE &amp; 4 NR layers]</t>
  </si>
  <si>
    <t>DC_1A-7A_n1A</t>
  </si>
  <si>
    <t>1A-7A</t>
  </si>
  <si>
    <t>MTR-39256</t>
  </si>
  <si>
    <t>DC_1A(4x4)-7A(4x4)_n1A(4x4)
 UL: DC_7A_n1A
 [8 (4+4) LTE &amp; 4 NR layers]</t>
  </si>
  <si>
    <t>MTR-39257</t>
  </si>
  <si>
    <t>DC_1A(4x4)-20A(2x2)_n1A(4x4)
 UL: DC_1A_n1A
 [6 (4+2) LTE &amp; 4 NR layers]</t>
  </si>
  <si>
    <t>DC_1A-20A_n1A</t>
  </si>
  <si>
    <t>1A-20A</t>
  </si>
  <si>
    <t>MTR-39258</t>
  </si>
  <si>
    <t>DC_1A(4x4)-20A(2x2)_n1A(4x4)
 UL: DC_20A_n1A
 [6 (4+2) LTE &amp; 4 NR layers]</t>
  </si>
  <si>
    <t>MTR-34168</t>
  </si>
  <si>
    <t>DC_3C(4x4)_n1A(4x4)
 UL: DC_3A_n1A
 [8 (4+4) LTE &amp; 4 NR layers]</t>
  </si>
  <si>
    <t>DC_3C_n1A</t>
  </si>
  <si>
    <t>3C</t>
  </si>
  <si>
    <t>MTR-33668</t>
  </si>
  <si>
    <t>DC_3C(4x4)_n1A(4x4)
 UL: DC_3C_n1A
 [8 (4+4) LTE &amp; 4 NR layers]</t>
  </si>
  <si>
    <t>MTR-34337</t>
  </si>
  <si>
    <t>DC_3A(4x4)-3A(4x4)_n1A(4x4)
 UL: DC_3A_n1A
 [8 (4+4) LTE &amp; 4 NR layers]</t>
  </si>
  <si>
    <t>DC_3A-3A_n1A</t>
  </si>
  <si>
    <t>3A-3A</t>
  </si>
  <si>
    <t>MTR-34151</t>
  </si>
  <si>
    <t>DC_3A(4x4)-7A(4x4)_n1A(4x4)
 UL: DC_3A_n1A
 [8 (4+4) LTE &amp; 4 NR layers]</t>
  </si>
  <si>
    <t>DC_3A-7A_n1A</t>
  </si>
  <si>
    <t>3A-7A</t>
  </si>
  <si>
    <t>MTR-34152</t>
  </si>
  <si>
    <t>DC_3A(4x4)-7A(4x4)_n1A(4x4)
 UL: DC_7A_n1A
 [8 (4+4) LTE &amp; 4 NR layers]</t>
  </si>
  <si>
    <t>Uplink support: ['DC_3A_n1A']</t>
  </si>
  <si>
    <t>MTR-34145</t>
  </si>
  <si>
    <t>DC_3A(4x4)-8A(2x2)_n1A(4x4)
 UL: DC_3A_n1A
 [6 (4+2) LTE &amp; 4 NR layers]</t>
  </si>
  <si>
    <t>DC_3A-8A_n1A</t>
  </si>
  <si>
    <t>3A-8A</t>
  </si>
  <si>
    <t>MTR-34146</t>
  </si>
  <si>
    <t>DC_3A(4x4)-8A(2x2)_n1A(4x4)
 UL: DC_8A_n1A
 [6 (4+2) LTE &amp; 4 NR layers]</t>
  </si>
  <si>
    <t>MTR-34147</t>
  </si>
  <si>
    <t>DC_3A(4x4)-20A(2x2)_n1A(4x4)
 UL: DC_3A_n1A
 [6 (4+2) LTE &amp; 4 NR layers]</t>
  </si>
  <si>
    <t>DC_3A-20A_n1A</t>
  </si>
  <si>
    <t>3A-20A</t>
  </si>
  <si>
    <t>MTR-34148</t>
  </si>
  <si>
    <t>DC_3A(4x4)-20A(2x2)_n1A(4x4)
 UL: DC_20A_n1A
 [6 (4+2) LTE &amp; 4 NR layers]</t>
  </si>
  <si>
    <t>MTR-35929</t>
  </si>
  <si>
    <t>DC_3A(4x4)-28A(2x2)_n1A(4x4)
 UL: DC_3A_n1A
 [6 (4+2) LTE &amp; 4 NR layers]</t>
  </si>
  <si>
    <t>DC_3A-28A_n1A</t>
  </si>
  <si>
    <t>3A-28A</t>
  </si>
  <si>
    <t>MTR-35928</t>
  </si>
  <si>
    <t>DC_3A(4x4)-28A(2x2)_n1A(4x4)
 UL: DC_28A_n1A
 [6 (4+2) LTE &amp; 4 NR layers]</t>
  </si>
  <si>
    <t>MTR-35930</t>
  </si>
  <si>
    <t>DC_3A(4x4)-32A(2x2)_n1A(4x4)
 UL: DC_3A_n1A
 [6 (4+2) LTE &amp; 4 NR layers]</t>
  </si>
  <si>
    <t>DC_3A-32A_n1A</t>
  </si>
  <si>
    <t>3A-32A</t>
  </si>
  <si>
    <t>MTR-34758</t>
  </si>
  <si>
    <t>DC_7C(4x4)_n1A(4x4)
 UL: DC_7A_n1A
 [8 (4+4) LTE &amp; 4 NR layers]</t>
  </si>
  <si>
    <t>DC_7C_n1A</t>
  </si>
  <si>
    <t>7C</t>
  </si>
  <si>
    <t>MTR-34757</t>
  </si>
  <si>
    <t>DC_7C(4x4)_n1A(4x4)
 UL: DC_7C_n1A
 [8 (4+4) LTE &amp; 4 NR layers]</t>
  </si>
  <si>
    <t>MTR-34338</t>
  </si>
  <si>
    <t>DC_7A(4x4)-7A(4x4)_n1A(4x4)
 UL: DC_7A_n1A
 [8 (4+4) LTE &amp; 4 NR layers]</t>
  </si>
  <si>
    <t>DC_7A-7A_n1A</t>
  </si>
  <si>
    <t>7A-7A</t>
  </si>
  <si>
    <t>MTR-34149</t>
  </si>
  <si>
    <t>DC_7A(4x4)-8A(2x2)_n1A(4x4)
 UL: DC_7A_n1A
 [6 (4+2) LTE &amp; 4 NR layers]</t>
  </si>
  <si>
    <t>DC_7A-8A_n1A</t>
  </si>
  <si>
    <t>7A-8A</t>
  </si>
  <si>
    <t>Uplink support: ['DC_8A_n1A']</t>
  </si>
  <si>
    <t>MTR-34150</t>
  </si>
  <si>
    <t>DC_7A(4x4)-8A(2x2)_n1A(4x4)
 UL: DC_8A_n1A
 [6 (4+2) LTE &amp; 4 NR layers]</t>
  </si>
  <si>
    <t>MTR-34759</t>
  </si>
  <si>
    <t>DC_7A(4x4)-20A(2x2)_n1A(4x4)
 UL: DC_7A_n1A
 [6 (4+2) LTE &amp; 4 NR layers]</t>
  </si>
  <si>
    <t>DC_7A-20A_n1A</t>
  </si>
  <si>
    <t>7A-20A</t>
  </si>
  <si>
    <t>Uplink support: ['DC_20A_n1A']</t>
  </si>
  <si>
    <t>MTR-34760</t>
  </si>
  <si>
    <t>DC_7A(4x4)-20A(2x2)_n1A(4x4)
 UL: DC_20A_n1A
 [6 (4+2) LTE &amp; 4 NR layers]</t>
  </si>
  <si>
    <t>MTR-35932</t>
  </si>
  <si>
    <t>DC_7A(4x4)-28A(2x2)_n1A(4x4)
 UL: DC_7A_n1A
 [6 (4+2) LTE &amp; 4 NR layers]</t>
  </si>
  <si>
    <t>DC_7A-28A_n1A</t>
  </si>
  <si>
    <t>7A-28A</t>
  </si>
  <si>
    <t>Uplink support: ['DC_28A_n1A']</t>
  </si>
  <si>
    <t>MTR-35931</t>
  </si>
  <si>
    <t>DC_7A(4x4)-28A(2x2)_n1A(4x4)
 UL: DC_28A_n1A
 [6 (4+2) LTE &amp; 4 NR layers]</t>
  </si>
  <si>
    <t>MTR-35933</t>
  </si>
  <si>
    <t>DC_7A(4x4)-32A(2x2)_n1A(4x4)
 UL: DC_7A_n1A
 [6 (4+2) LTE &amp; 4 NR layers]</t>
  </si>
  <si>
    <t>DC_7A-32A_n1A</t>
  </si>
  <si>
    <t>7A-32A</t>
  </si>
  <si>
    <t>MTR-36438</t>
  </si>
  <si>
    <t>DC_8A(2x2)-20A(2x2)_n1A(4x4)
 UL: DC_8A_n1A
 [4 (2+2) LTE &amp; 4 NR layers]</t>
  </si>
  <si>
    <t>DC_8A-20A_n1A</t>
  </si>
  <si>
    <t>8A-20A</t>
  </si>
  <si>
    <t>2021-06</t>
  </si>
  <si>
    <t>MTR-36439</t>
  </si>
  <si>
    <t>DC_8A(2x2)-20A(2x2)_n1A(4x4)
 UL: DC_20A_n1A
 [4 (2+2) LTE &amp; 4 NR layers]</t>
  </si>
  <si>
    <t>MTR-36440</t>
  </si>
  <si>
    <t>DC_8A(2x2)-32A(2x2)_n1A(4x4)
 UL: DC_8A_n1A
 [4 (2+2) LTE &amp; 4 NR layers]</t>
  </si>
  <si>
    <t>DC_8A-32A_n1A</t>
  </si>
  <si>
    <t>8A-32A</t>
  </si>
  <si>
    <t>MTR-36436</t>
  </si>
  <si>
    <t>DC_20A(2x2)-28A(2x2)_n1A(4x4)
 UL: DC_20A_n1A
 [4 (2+2) LTE &amp; 4 NR layers]</t>
  </si>
  <si>
    <t>DC_20A-28A_n1A</t>
  </si>
  <si>
    <t>20A-28A</t>
  </si>
  <si>
    <t>MTR-36437</t>
  </si>
  <si>
    <t>DC_20A(2x2)-28A(2x2)_n1A(4x4)
 UL: DC_28A_n1A
 [4 (2+2) LTE &amp; 4 NR layers]</t>
  </si>
  <si>
    <t>MTR-35927</t>
  </si>
  <si>
    <t>DC_20A(2x2)-32A(2x2)_n1A(4x4)
 UL: DC_20A_n1A
 [4 (2+2) LTE &amp; 4 NR layers]</t>
  </si>
  <si>
    <t>DC_20A-32A_n1A</t>
  </si>
  <si>
    <t>20A-32A</t>
  </si>
  <si>
    <t>MTR-36879</t>
  </si>
  <si>
    <t>DC_28A(2x2)-32A(2x2)_n1A(4x4)
 UL: DC_28A_n1A
 [4 (2+2) LTE &amp; 4 NR layers]</t>
  </si>
  <si>
    <t>DC_28A-32A_n1A</t>
  </si>
  <si>
    <t>28A-32A</t>
  </si>
  <si>
    <t>2021-09</t>
  </si>
  <si>
    <t>MTR-34481</t>
  </si>
  <si>
    <r>
      <rPr>
        <rFont val="Arial"/>
        <b/>
        <color theme="1"/>
        <sz val="10.0"/>
      </rPr>
      <t>2.5.2.2.3</t>
    </r>
    <r>
      <rPr>
        <rFont val="Arial"/>
        <b val="0"/>
        <color theme="1"/>
        <sz val="10.0"/>
      </rPr>
      <t xml:space="preserve"> </t>
    </r>
    <r>
      <rPr>
        <rFont val="Arial"/>
        <b/>
        <color theme="1"/>
        <sz val="10.0"/>
      </rPr>
      <t>EN-DC 3 Carriers LTE + 1 Carrier n1A</t>
    </r>
  </si>
  <si>
    <t>MTR-39259</t>
  </si>
  <si>
    <t>DC_1A(4x4)-3A(4x4)-7A(4x4)_n1A(4x4)
 UL: DC_1A_n1A
 [12 (4+4+4) LTE &amp; 4 NR layers]</t>
  </si>
  <si>
    <t>DC_1A-3A-7A_n1A</t>
  </si>
  <si>
    <t>1A-3A-7A</t>
  </si>
  <si>
    <t>MTR-39260</t>
  </si>
  <si>
    <t>DC_1A(4x4)-3A(4x4)-7A(4x4)_n1A(4x4)
 UL: DC_3A_n1A
 [12 (4+4+4) LTE &amp; 4 NR layers]</t>
  </si>
  <si>
    <t>MTR-39261</t>
  </si>
  <si>
    <t>DC_1A(4x4)-3A(4x4)-7A(4x4)_n1A(4x4)
 UL: DC_7A_n1A
 [12 (4+4+4) LTE &amp; 4 NR layers]</t>
  </si>
  <si>
    <t>MTR-39262</t>
  </si>
  <si>
    <t>DC_1A(4x4)-3A(4x4)-20A(2x2)_n1A(4x4)
 UL: DC_1A_n1A
 [10 (4+4+2) LTE &amp; 4 NR layers]</t>
  </si>
  <si>
    <t>DC_1A-3A-20A_n1A</t>
  </si>
  <si>
    <t>1A-3A-20A</t>
  </si>
  <si>
    <t>MTR-39263</t>
  </si>
  <si>
    <t>DC_1A(4x4)-3A(4x4)-20A(2x2)_n1A(4x4)
 UL: DC_3A_n1A
 [10 (4+4+2) LTE &amp; 4 NR layers]</t>
  </si>
  <si>
    <t>MTR-39264</t>
  </si>
  <si>
    <t>DC_1A(4x4)-3A(4x4)-20A(2x2)_n1A(4x4)
 UL: DC_20A_n1A
 [10 (4+4+2) LTE &amp; 4 NR layers]</t>
  </si>
  <si>
    <t>MTR-34165</t>
  </si>
  <si>
    <t>DC_3C(4x4)-7A(4x4)_n1A(4x4)
 UL: DC_3A_n1A
 [12 (4+4+4) LTE &amp; 4 NR layers]</t>
  </si>
  <si>
    <t>DC_3C-7A_n1A</t>
  </si>
  <si>
    <t>3C-7A</t>
  </si>
  <si>
    <t>MTR-34166</t>
  </si>
  <si>
    <t>DC_3C(4x4)-7A(4x4)_n1A(4x4)
 UL: DC_3C_n1A
 [12 (4+4+4) LTE &amp; 4 NR layers]</t>
  </si>
  <si>
    <t>MTR-34167</t>
  </si>
  <si>
    <t>DC_3C(4x4)-7A(4x4)_n1A(4x4)
 UL: DC_7A_n1A
 [12 (4+4+4) LTE &amp; 4 NR layers]</t>
  </si>
  <si>
    <t>MTR-34339</t>
  </si>
  <si>
    <t>DC_3A(4x4)-3A(4x4)-7A(4x4)_n1A(4x4)
 UL: DC_3A_n1A
 [12 (4+4+4) LTE &amp; 4 NR layers]</t>
  </si>
  <si>
    <t>DC_3A-3A-7A_n1A</t>
  </si>
  <si>
    <t>3A-3A-7A</t>
  </si>
  <si>
    <t>MTR-34340</t>
  </si>
  <si>
    <t>DC_3A(4x4)-3A(4x4)-7A(4x4)_n1A(4x4)
 UL: DC_7A_n1A
 [12 (4+4+4) LTE &amp; 4 NR layers]</t>
  </si>
  <si>
    <t>MTR-34169</t>
  </si>
  <si>
    <t>DC_3C(4x4)-8A(2x2)_n1A(4x4)
 UL: DC_3A_n1A
 [10 (4+4+2) LTE &amp; 4 NR layers]</t>
  </si>
  <si>
    <t>DC_3C-8A_n1A</t>
  </si>
  <si>
    <t>3C-8A</t>
  </si>
  <si>
    <t>2020-03</t>
  </si>
  <si>
    <t>MTR-34170</t>
  </si>
  <si>
    <t>DC_3C(4x4)-8A(2x2)_n1A(4x4)
 UL: DC_3C_n1A
 [10 (4+4+2) LTE &amp; 4 NR layers]</t>
  </si>
  <si>
    <t>MTR-34177</t>
  </si>
  <si>
    <t>DC_3C(4x4)-8A(2x2)_n1A(4x4)
 UL: DC_8A_n1A
 [10 (4+4+2) LTE &amp; 4 NR layers]</t>
  </si>
  <si>
    <t>MTR-34765</t>
  </si>
  <si>
    <t>DC_3A(4x4)-3A(4x4)-8A(2x2)_n1A(4x4)
 UL: DC_3A_n1A
 [10 (4+4+2) LTE &amp; 4 NR layers]</t>
  </si>
  <si>
    <t>DC_3A-3A-8A_n1A</t>
  </si>
  <si>
    <t>3A-3A-8A</t>
  </si>
  <si>
    <t>MTR-34766</t>
  </si>
  <si>
    <t>DC_3A(4x4)-3A(4x4)-8A(2x2)_n1A(4x4)
 UL: DC_8A_n1A
 [10 (4+4+2) LTE &amp; 4 NR layers]</t>
  </si>
  <si>
    <t>MTR-34171</t>
  </si>
  <si>
    <t>DC_3C(4x4)-20A(2x2)_n1A(4x4)
 UL: DC_3A_n1A
 [10 (4+4+2) LTE &amp; 4 NR layers]</t>
  </si>
  <si>
    <t>DC_3C-20A_n1A</t>
  </si>
  <si>
    <t>3C-20A</t>
  </si>
  <si>
    <t>MTR-34172</t>
  </si>
  <si>
    <t>DC_3C(4x4)-20A(2x2)_n1A(4x4)
 UL: DC_3C_n1A
 [10 (4+4+2) LTE &amp; 4 NR layers]</t>
  </si>
  <si>
    <t>MTR-34173</t>
  </si>
  <si>
    <t>DC_3C(4x4)-20A(2x2)_n1A(4x4)
 UL: DC_20A_n1A
 [10 (4+4+2) LTE &amp; 4 NR layers]</t>
  </si>
  <si>
    <t>MTR-39265</t>
  </si>
  <si>
    <t>DC_3A(4x4)-3A(4x4)-20A(2x2)_n1A(4x4)
 UL: DC_3A_n1A
 [10 (4+4+2) LTE &amp; 4 NR layers]</t>
  </si>
  <si>
    <t>DC_3A-3A-20A_n1A</t>
  </si>
  <si>
    <t>3A-3A-20A</t>
  </si>
  <si>
    <t>MTR-39266</t>
  </si>
  <si>
    <t>DC_3A(4x4)-3A(4x4)-20A(2x2)_n1A(4x4)
 UL: DC_20A_n1A
 [10 (4+4+2) LTE &amp; 4 NR layers]</t>
  </si>
  <si>
    <t>MTR-38682</t>
  </si>
  <si>
    <t>DC_3C(4x4)-28A(2x2)_n1A(4x4)
 UL: DC_3A_n1A
 [10 (4+4+2) LTE &amp; 4 NR layers]</t>
  </si>
  <si>
    <t>DC_3C-28A_n1A</t>
  </si>
  <si>
    <t>3C-28A</t>
  </si>
  <si>
    <t>MTR-39966</t>
  </si>
  <si>
    <t>DC_3C(4x4)-28A(2x2)_n1A(4x4)
 UL: DC_3C_n1A
 [10 (4+4+2) LTE &amp; 4 NR layers]</t>
  </si>
  <si>
    <t>MTR-38683</t>
  </si>
  <si>
    <t>DC_3C(4x4)-28A(2x2)_n1A(4x4)
 UL: DC_28A_n1A
 [10 (4+4+2) LTE &amp; 4 NR layers]</t>
  </si>
  <si>
    <t>MTR-36888</t>
  </si>
  <si>
    <t>DC_3C(4x4)-32A(2x2)_n1A(4x4)
 UL: DC_3A_n1A
 [10 (4+4+2) LTE &amp; 4 NR layers]</t>
  </si>
  <si>
    <t>DC_3C-32A_n1A</t>
  </si>
  <si>
    <t>3C-32A</t>
  </si>
  <si>
    <t>MTR-36889</t>
  </si>
  <si>
    <t>DC_3C(4x4)-32A(2x2)_n1A(4x4)
 UL: DC_3C_n1A
 [10 (4+4+2) LTE &amp; 4 NR layers]</t>
  </si>
  <si>
    <t>MTR-34761</t>
  </si>
  <si>
    <t>DC_3A(4x4)-7C(4x4)_n1A(4x4)
 UL: DC_3A_n1A
 [12 (4+4+4) LTE &amp; 4 NR layers]</t>
  </si>
  <si>
    <t>DC_3A-7C_n1A</t>
  </si>
  <si>
    <t>3A-7C</t>
  </si>
  <si>
    <t>MTR-34762</t>
  </si>
  <si>
    <t>DC_3A(4x4)-7C(4x4)_n1A(4x4)
 UL: DC_7A_n1A
 [12 (4+4+4) LTE &amp; 4 NR layers]</t>
  </si>
  <si>
    <t>MTR-34763</t>
  </si>
  <si>
    <t>DC_3A(4x4)-7C(4x4)_n1A(4x4)
 UL: DC_7C_n1A
 [12 (4+4+4) LTE &amp; 4 NR layers]</t>
  </si>
  <si>
    <t>MTR-34341</t>
  </si>
  <si>
    <t>DC_3A(4x4)-7A(4x4)-7A(4x4)_n1A(4x4)
 UL: DC_3A_n1A
 [12 (4+4+4) LTE &amp; 4 NR layers]</t>
  </si>
  <si>
    <t>DC_3A-7A-7A_n1A</t>
  </si>
  <si>
    <t>3A-7A-7A</t>
  </si>
  <si>
    <t>MTR-34342</t>
  </si>
  <si>
    <t>DC_3A(4x4)-7A(4x4)-7A(4x4)_n1A(4x4)
 UL: DC_7A_n1A
 [12 (4+4+4) LTE &amp; 4 NR layers]</t>
  </si>
  <si>
    <t>MTR-34174</t>
  </si>
  <si>
    <t>DC_3A(4x4)-7A(4x4)-8A(2x2)_n1A(4x4)
 UL: DC_3A_n1A
 [10 (4+4+2) LTE &amp; 4 NR layers]</t>
  </si>
  <si>
    <t>DC_3A-7A-8A_n1A</t>
  </si>
  <si>
    <t>3A-7A-8A</t>
  </si>
  <si>
    <t>MTR-34175</t>
  </si>
  <si>
    <t>DC_3A(4x4)-7A(4x4)-8A(2x2)_n1A(4x4)
 UL: DC_7A_n1A
 [10 (4+4+2) LTE &amp; 4 NR layers]</t>
  </si>
  <si>
    <t>MTR-34176</t>
  </si>
  <si>
    <t>DC_3A(4x4)-7A(4x4)-8A(2x2)_n1A(4x4)
 UL: DC_8A_n1A
 [10 (4+4+2) LTE &amp; 4 NR layers]</t>
  </si>
  <si>
    <t>MTR-34178</t>
  </si>
  <si>
    <t>DC_3A(4x4)-7A(4x4)-20A(2x2)_n1A(4x4)
 UL: DC_3A_n1A
 [10 (4+4+2) LTE &amp; 4 NR layers]</t>
  </si>
  <si>
    <t>DC_3A-7A-20A_n1A</t>
  </si>
  <si>
    <t>3A-7A-20A</t>
  </si>
  <si>
    <t>MTR-34179</t>
  </si>
  <si>
    <t>DC_3A(4x4)-7A(4x4)-20A(2x2)_n1A(4x4)
 UL: DC_7A_n1A
 [10 (4+4+2) LTE &amp; 4 NR layers]</t>
  </si>
  <si>
    <t>MTR-34180</t>
  </si>
  <si>
    <t>DC_3A(4x4)-7A(4x4)-20A(2x2)_n1A(4x4)
 UL: DC_20A_n1A
 [10 (4+4+2) LTE &amp; 4 NR layers]</t>
  </si>
  <si>
    <t>MTR-35936</t>
  </si>
  <si>
    <t>DC_3A(4x4)-7A(4x4)-28A(2x2)_n1A(4x4)
 UL: DC_28A_n1A
 [10 (4+4+2) LTE &amp; 4 NR layers]</t>
  </si>
  <si>
    <t>DC_3A-7A-28A_n1A</t>
  </si>
  <si>
    <t>3A-7A-28A</t>
  </si>
  <si>
    <t>MTR-35937</t>
  </si>
  <si>
    <t>DC_3A(4x4)-7A(4x4)-28A(2x2)_n1A(4x4)
 UL: DC_3A_n1A
 [10 (4+4+2) LTE &amp; 4 NR layers]</t>
  </si>
  <si>
    <t>MTR-35938</t>
  </si>
  <si>
    <t>DC_3A(4x4)-7A(4x4)-28A(2x2)_n1A(4x4)
 UL: DC_7A_n1A
 [10 (4+4+2) LTE &amp; 4 NR layers]</t>
  </si>
  <si>
    <t>MTR-36883</t>
  </si>
  <si>
    <t>DC_3A(4x4)-7A(4x4)-32A(2x2)_n1A(4x4)
 UL: DC_3A_n1A
 [10 (4+4+2) LTE &amp; 4 NR layers]</t>
  </si>
  <si>
    <t>DC_3A-7A-32A_n1A</t>
  </si>
  <si>
    <t>3A-7A-32A</t>
  </si>
  <si>
    <t>MTR-36884</t>
  </si>
  <si>
    <t>DC_3A(4x4)-7A(4x4)-32A(2x2)_n1A(4x4)
 UL: DC_7A_n1A
 [10 (4+4+2) LTE &amp; 4 NR layers]</t>
  </si>
  <si>
    <t>MTR-36885</t>
  </si>
  <si>
    <t>DC_3A(4x4)-8A(2x2)-20A(2x2)_n1A(4x4)
 UL: DC_3A_n1A
 [8 (4+2+2) LTE &amp; 4 NR layers]</t>
  </si>
  <si>
    <t>DC_3A-8A-20A_n1A</t>
  </si>
  <si>
    <t>3A-8A-20A</t>
  </si>
  <si>
    <t>MTR-36886</t>
  </si>
  <si>
    <t>DC_3A(4x4)-8A(2x2)-20A(2x2)_n1A(4x4)
 UL: DC_8A_n1A
 [8 (4+2+2) LTE &amp; 4 NR layers]</t>
  </si>
  <si>
    <t>MTR-36887</t>
  </si>
  <si>
    <t>DC_3A(4x4)-8A(2x2)-20A(2x2)_n1A(4x4)
 UL: DC_20A_n1A
 [8 (4+2+2) LTE &amp; 4 NR layers]</t>
  </si>
  <si>
    <t>MTR-38680</t>
  </si>
  <si>
    <t>DC_3A(4x4)-8A(2x2)-32A(2x2)_n1A(4x4)
 UL: DC_3A_n1A
 [8 (4+2+2) LTE &amp; 4 NR layers]</t>
  </si>
  <si>
    <t>DC_3A-8A-32A_n1A</t>
  </si>
  <si>
    <t>3A-8A-32A</t>
  </si>
  <si>
    <t>MTR-38681</t>
  </si>
  <si>
    <t>DC_3A(4x4)-8A(2x2)-32A(2x2)_n1A(4x4)
 UL: DC_8A_n1A
 [8 (4+2+2) LTE &amp; 4 NR layers]</t>
  </si>
  <si>
    <t>MTR-36441</t>
  </si>
  <si>
    <t>DC_3A(4x4)-20A(2x2)-28A(2x2)_n1A(4x4)
 UL: DC_3A_n1A
 [8 (4+2+2) LTE &amp; 4 NR layers]</t>
  </si>
  <si>
    <t>DC_3A-20A-28A_n1A</t>
  </si>
  <si>
    <t>3A-20A-28A</t>
  </si>
  <si>
    <t>MTR-36442</t>
  </si>
  <si>
    <t>DC_3A(4x4)-20A(2x2)-28A(2x2)_n1A(4x4)
 UL: DC_20A_n1A
 [8 (4+2+2) LTE &amp; 4 NR layers]</t>
  </si>
  <si>
    <t>MTR-36443</t>
  </si>
  <si>
    <t>DC_3A(4x4)-20A(2x2)-28A(2x2)_n1A(4x4)
 UL: DC_28A_n1A
 [8 (4+2+2) LTE &amp; 4 NR layers]</t>
  </si>
  <si>
    <t>MTR-35934</t>
  </si>
  <si>
    <t>DC_3A(4x4)-20A(2x2)-32A(2x2)_n1A(4x4)
 UL: DC_20A_n1A
 [8 (4+2+2) LTE &amp; 4 NR layers]</t>
  </si>
  <si>
    <t>DC_3A-20A-32A_n1A</t>
  </si>
  <si>
    <t>3A-20A-32A</t>
  </si>
  <si>
    <t>MTR-35935</t>
  </si>
  <si>
    <t>DC_3A(4x4)-20A(2x2)-32A(2x2)_n1A(4x4)
 UL: DC_3A_n1A
 [8 (4+2+2) LTE &amp; 4 NR layers]</t>
  </si>
  <si>
    <t>MTR-37806</t>
  </si>
  <si>
    <t>DC_3A(4x4)-28A(2x2)-32A(2x2)_n1A(4x4)
 UL: DC_3A_n1A
 [8 (4+2+2) LTE &amp; 4 NR layers]</t>
  </si>
  <si>
    <t>DC_3A-28A-32A_n1A</t>
  </si>
  <si>
    <t>3A-28A-32A</t>
  </si>
  <si>
    <t>MTR-37807</t>
  </si>
  <si>
    <t>DC_3A(4x4)-28A(2x2)-32A(2x2)_n1A(4x4)
 UL: DC_28A_n1A
 [8 (4+2+2) LTE &amp; 4 NR layers]</t>
  </si>
  <si>
    <t>MTR-34767</t>
  </si>
  <si>
    <t>DC_7A(4x4)-7A(4x4)-8A(2x2)_n1A(4x4)
 UL: DC_7A_n1A
 [10 (4+4+2) LTE &amp; 4 NR layers]</t>
  </si>
  <si>
    <t>DC_7A-7A-8A_n1A</t>
  </si>
  <si>
    <t>7A-7A-8A</t>
  </si>
  <si>
    <t>MTR-34768</t>
  </si>
  <si>
    <t>DC_7A(4x4)-7A(4x4)-8A(2x2)_n1A(4x4)
 UL: DC_8A_n1A
 [10 (4+4+2) LTE &amp; 4 NR layers]</t>
  </si>
  <si>
    <t>MTR-35370</t>
  </si>
  <si>
    <t>DC_7C(4x4)-20A(2x2)_n1A(4x4)
 UL: DC_7A_n1A
 [10 (4+4+2) LTE &amp; 4 NR layers]</t>
  </si>
  <si>
    <t>DC_7C-20A_n1A</t>
  </si>
  <si>
    <t>7C-20A</t>
  </si>
  <si>
    <t>MTR-35371</t>
  </si>
  <si>
    <t>DC_7C(4x4)-20A(2x2)_n1A(4x4)
 UL: DC_7C_n1A
 [10 (4+4+2) LTE &amp; 4 NR layers]</t>
  </si>
  <si>
    <t>MTR-35372</t>
  </si>
  <si>
    <t>DC_7C(4x4)-20A(2x2)_n1A(4x4)
 UL: DC_20A_n1A
 [10 (4+4+2) LTE &amp; 4 NR layers]</t>
  </si>
  <si>
    <t>MTR-36893</t>
  </si>
  <si>
    <t>DC_7A(4x4)-7A(4x4)-28A(2x2)_n1A(4x4)
 UL: DC_28A_n1A
 [10 (4+4+2) LTE &amp; 4 NR layers]</t>
  </si>
  <si>
    <t>DC_7A-7A-28A_n1A</t>
  </si>
  <si>
    <t>7A-7A-28A</t>
  </si>
  <si>
    <t>MTR-36894</t>
  </si>
  <si>
    <t>DC_7A(4x4)-7A(4x4)-28A(2x2)_n1A(4x4)
 UL: DC_7A_n1A
 [10 (4+4+2) LTE &amp; 4 NR layers]</t>
  </si>
  <si>
    <t>MTR-36895</t>
  </si>
  <si>
    <t>DC_7A(4x4)-8A(2x2)-20A(2x2)_n1A(4x4)
 UL: DC_7A_n1A
 [8 (4+2+2) LTE &amp; 4 NR layers]</t>
  </si>
  <si>
    <t>DC_7A-8A-20A_n1A</t>
  </si>
  <si>
    <t>7A-8A-20A</t>
  </si>
  <si>
    <t>MTR-36896</t>
  </si>
  <si>
    <t>DC_7A(4x4)-8A(2x2)-20A(2x2)_n1A(4x4)
 UL: DC_8A_n1A
 [8 (4+2+2) LTE &amp; 4 NR layers]</t>
  </si>
  <si>
    <t>MTR-36897</t>
  </si>
  <si>
    <t>DC_7A(4x4)-8A(2x2)-20A(2x2)_n1A(4x4)
 UL: DC_20A_n1A
 [8 (4+2+2) LTE &amp; 4 NR layers]</t>
  </si>
  <si>
    <t>MTR-36449</t>
  </si>
  <si>
    <t>DC_7A(4x4)-8A(2x2)-32A(2x2)_n1A(4x4)
 UL: DC_7A_n1A
 [8 (4+2+2) LTE &amp; 4 NR layers]</t>
  </si>
  <si>
    <t>DC_7A-8A-32A_n1A</t>
  </si>
  <si>
    <t>7A-8A-32A</t>
  </si>
  <si>
    <t>MTR-36450</t>
  </si>
  <si>
    <t>DC_7A(4x4)-8A(2x2)-32A(2x2)_n1A(4x4)
 UL: DC_8A_n1A
 [8 (4+2+2) LTE &amp; 4 NR layers]</t>
  </si>
  <si>
    <t>MTR-36444</t>
  </si>
  <si>
    <t>DC_7A(4x4)-20A(2x2)-28A(2x2)_n1A(4x4)
 UL: DC_7A_n1A
 [8 (4+2+2) LTE &amp; 4 NR layers]</t>
  </si>
  <si>
    <t>DC_7A-20A-28A_n1A</t>
  </si>
  <si>
    <t>7A-20A-28A</t>
  </si>
  <si>
    <t>MTR-36445</t>
  </si>
  <si>
    <t>DC_7A(4x4)-20A(2x2)-28A(2x2)_n1A(4x4)
 UL: DC_20A_n1A
 [8 (4+2+2) LTE &amp; 4 NR layers]</t>
  </si>
  <si>
    <t>MTR-36446</t>
  </si>
  <si>
    <t>DC_7A(4x4)-20A(2x2)-28A(2x2)_n1A(4x4)
 UL: DC_28A_n1A
 [8 (4+2+2) LTE &amp; 4 NR layers]</t>
  </si>
  <si>
    <t>MTR-36447</t>
  </si>
  <si>
    <t>DC_7A(4x4)-20A(2x2)-32A(2x2)_n1A(4x4)
 UL: DC_7A_n1A
 [8 (4+2+2) LTE &amp; 4 NR layers]</t>
  </si>
  <si>
    <t>DC_7A-20A-32A_n1A</t>
  </si>
  <si>
    <t>7A-20A-32A</t>
  </si>
  <si>
    <t>MTR-36448</t>
  </si>
  <si>
    <t>DC_7A(4x4)-20A(2x2)-32A(2x2)_n1A(4x4)
 UL: DC_20A_n1A
 [8 (4+2+2) LTE &amp; 4 NR layers]</t>
  </si>
  <si>
    <t>MTR-36891</t>
  </si>
  <si>
    <t>DC_7A(4x4)-28A(2x2)-32A(2x2)_n1A(4x4)
 UL: DC_7A_n1A
 [8 (4+2+2) LTE &amp; 4 NR layers]</t>
  </si>
  <si>
    <t>DC_7A-28A-32A_n1A</t>
  </si>
  <si>
    <t>7A-28A-32A</t>
  </si>
  <si>
    <t>MTR-36892</t>
  </si>
  <si>
    <t>DC_7A(4x4)-28A(2x2)-32A(2x2)_n1A(4x4)
 UL: DC_28A_n1A
 [8 (4+2+2) LTE &amp; 4 NR layers]</t>
  </si>
  <si>
    <t>MTR-36898</t>
  </si>
  <si>
    <t>DC_8A(2x2)-20A(2x2)-32A(2x2)_n1A(4x4)
 UL: DC_8A_n1A
 [6 (2+2+2) LTE &amp; 4 NR layers]</t>
  </si>
  <si>
    <t>DC_8A-20A-32A_n1A</t>
  </si>
  <si>
    <t>8A-20A-32A</t>
  </si>
  <si>
    <t>MTR-36899</t>
  </si>
  <si>
    <t>DC_8A(2x2)-20A(2x2)-32A(2x2)_n1A(4x4)
 UL: DC_20A_n1A
 [6 (2+2+2) LTE &amp; 4 NR layers]</t>
  </si>
  <si>
    <t>MTR-36881</t>
  </si>
  <si>
    <t>DC_20A(2x2)-28A(2x2)-32A(2x2)_n1A(4x4)
 UL: DC_20A_n1A
 [6 (2+2+2) LTE &amp; 4 NR layers]</t>
  </si>
  <si>
    <t>DC_20A-28A-32A_n1A</t>
  </si>
  <si>
    <t>20A-28A-32A</t>
  </si>
  <si>
    <t>MTR-36882</t>
  </si>
  <si>
    <t>DC_20A(2x2)-28A(2x2)-32A(2x2)_n1A(4x4)
 UL: DC_28A_n1A
 [6 (2+2+2) LTE &amp; 4 NR layers]</t>
  </si>
  <si>
    <t>MTR-34482</t>
  </si>
  <si>
    <r>
      <rPr>
        <rFont val="Arial"/>
        <b/>
        <color theme="1"/>
        <sz val="10.0"/>
      </rPr>
      <t>2.5.2.2.4</t>
    </r>
    <r>
      <rPr>
        <rFont val="Arial"/>
        <b val="0"/>
        <color theme="1"/>
        <sz val="10.0"/>
      </rPr>
      <t xml:space="preserve"> </t>
    </r>
    <r>
      <rPr>
        <rFont val="Arial"/>
        <b/>
        <color theme="1"/>
        <sz val="10.0"/>
      </rPr>
      <t>EN-DC 4 Carriers LTE + 1 Carrier n1A</t>
    </r>
  </si>
  <si>
    <t>MTR-34343</t>
  </si>
  <si>
    <t>DC_3A(4x4)-3A(4x4)-7A(4x4)-7A(4x4)_n1A(4x4)
 UL: DC_3A_n1A
 [16 (4+4+4+4) LTE &amp; 4 NR layers]</t>
  </si>
  <si>
    <t>DC_3A-3A-7A-7A_n1A</t>
  </si>
  <si>
    <t>3A-3A-7A-7A</t>
  </si>
  <si>
    <t>MTR-34344</t>
  </si>
  <si>
    <t>DC_3A(4x4)-3A(4x4)-7A(4x4)-7A(4x4)_n1A(4x4)
 UL: DC_7A_n1A
 [16 (4+4+4+4) LTE &amp; 4 NR layers]</t>
  </si>
  <si>
    <t>MTR-34772</t>
  </si>
  <si>
    <t>DC_3C(4x4)-7C(4x4)_n1A(4x4)
 UL: DC_3A_n1A
 [16 (4+4+4+4) LTE &amp; 4 NR layers]</t>
  </si>
  <si>
    <t>DC_3C-7C_n1A</t>
  </si>
  <si>
    <t>3C-7C</t>
  </si>
  <si>
    <t>MTR-34773</t>
  </si>
  <si>
    <t>DC_3C(4x4)-7C(4x4)_n1A(4x4)
 UL: DC_3C_n1A
 [16 (4+4+4+4) LTE &amp; 4 NR layers]</t>
  </si>
  <si>
    <t>MTR-34774</t>
  </si>
  <si>
    <t>DC_3C(4x4)-7C(4x4)_n1A(4x4)
 UL: DC_7A_n1A
 [16 (4+4+4+4) LTE &amp; 4 NR layers]</t>
  </si>
  <si>
    <t>MTR-34775</t>
  </si>
  <si>
    <t>DC_3C(4x4)-7C(4x4)_n1A(4x4)
 UL: DC_7C_n1A
 [16 (4+4+4+4) LTE &amp; 4 NR layers]</t>
  </si>
  <si>
    <t>MTR-34181</t>
  </si>
  <si>
    <t>DC_3C(4x4)-7A(4x4)-8A(2x2)_n1A(4x4)
 UL: DC_3A_n1A
 [14 (4+4+4+2) LTE &amp; 4 NR layers]</t>
  </si>
  <si>
    <t>DC_3C-7A-8A_n1A</t>
  </si>
  <si>
    <t>3C-7A-8A</t>
  </si>
  <si>
    <t>MTR-34182</t>
  </si>
  <si>
    <t>DC_3C(4x4)-7A(4x4)-8A(2x2)_n1A(4x4)
 UL: DC_3C_n1A
 [14 (4+4+4+2) LTE &amp; 4 NR layers]</t>
  </si>
  <si>
    <t>MTR-34183</t>
  </si>
  <si>
    <t>DC_3C(4x4)-7A(4x4)-8A(2x2)_n1A(4x4)
 UL: DC_7A_n1A
 [14 (4+4+4+2) LTE &amp; 4 NR layers]</t>
  </si>
  <si>
    <t>MTR-34184</t>
  </si>
  <si>
    <t>DC_3C(4x4)-7A(4x4)-8A(2x2)_n1A(4x4)
 UL: DC_8A_n1A
 [14 (4+4+4+2) LTE &amp; 4 NR layers]</t>
  </si>
  <si>
    <t>MTR-34769</t>
  </si>
  <si>
    <t>DC_3A(4x4)-3A(4x4)-7A(4x4)-8A(2x2)_n1A(4x4)
 UL: DC_3A_n1A
 [14 (4+4+4+2) LTE &amp; 4 NR layers]</t>
  </si>
  <si>
    <t>DC_3A-3A-7A-8A_n1A</t>
  </si>
  <si>
    <t>3A-3A-7A-8A</t>
  </si>
  <si>
    <t>MTR-34770</t>
  </si>
  <si>
    <t>DC_3A(4x4)-3A(4x4)-7A(4x4)-8A(2x2)_n1A(4x4)
 UL: DC_7A_n1A
 [14 (4+4+4+2) LTE &amp; 4 NR layers]</t>
  </si>
  <si>
    <t>MTR-34771</t>
  </si>
  <si>
    <t>DC_3A(4x4)-3A(4x4)-7A(4x4)-8A(2x2)_n1A(4x4)
 UL: DC_8A_n1A
 [14 (4+4+4+2) LTE &amp; 4 NR layers]</t>
  </si>
  <si>
    <t>MTR-34185</t>
  </si>
  <si>
    <t>DC_3C(4x4)-7A(4x4)-20A(2x2)_n1A(4x4)
 UL: DC_3A_n1A
 [14 (4+4+4+2) LTE &amp; 4 NR layers]</t>
  </si>
  <si>
    <t>DC_3C-7A-20A_n1A</t>
  </si>
  <si>
    <t>3C-7A-20A</t>
  </si>
  <si>
    <t>MTR-34186</t>
  </si>
  <si>
    <t>DC_3C(4x4)-7A(4x4)-20A(2x2)_n1A(4x4)
 UL: DC_3C_n1A
 [14 (4+4+4+2) LTE &amp; 4 NR layers]</t>
  </si>
  <si>
    <t>MTR-34187</t>
  </si>
  <si>
    <t>DC_3C(4x4)-7A(4x4)-20A(2x2)_n1A(4x4)
 UL: DC_7A_n1A
 [14 (4+4+4+2) LTE &amp; 4 NR layers]</t>
  </si>
  <si>
    <t>MTR-34188</t>
  </si>
  <si>
    <t>DC_3C(4x4)-7A(4x4)-20A(2x2)_n1A(4x4)
 UL: DC_20A_n1A
 [14 (4+4+4+2) LTE &amp; 4 NR layers]</t>
  </si>
  <si>
    <t>MTR-38260</t>
  </si>
  <si>
    <t>DC_3C(4x4)-7A(4x4)-28A(2x2)_n1A(4x4)
 UL: DC_3A_n1A
 [14 (4+4+4+2) LTE &amp; 4 NR layers]</t>
  </si>
  <si>
    <t>DC_3C-7A-28A_n1A</t>
  </si>
  <si>
    <t>3C-7A-28A</t>
  </si>
  <si>
    <t>2022-03</t>
  </si>
  <si>
    <t>MTR-38261</t>
  </si>
  <si>
    <t>DC_3C(4x4)-7A(4x4)-28A(2x2)_n1A(4x4)
 UL: DC_3C_n1A
 [14 (4+4+4+2) LTE &amp; 4 NR layers]</t>
  </si>
  <si>
    <t>MTR-38262</t>
  </si>
  <si>
    <t>DC_3C(4x4)-7A(4x4)-28A(2x2)_n1A(4x4)
 UL: DC_7A_n1A
 [14 (4+4+4+2) LTE &amp; 4 NR layers]</t>
  </si>
  <si>
    <t>MTR-38263</t>
  </si>
  <si>
    <t>DC_3C(4x4)-7A(4x4)-28A(2x2)_n1A(4x4)
 UL: DC_28A_n1A
 [14 (4+4+4+2) LTE &amp; 4 NR layers]</t>
  </si>
  <si>
    <t>MTR-39840</t>
  </si>
  <si>
    <t>DC_3C(4x4)-7A(4x4)-32A(2x2)_n1A(4x4)
 UL: DC_3A_n1A
 [14 (4+4+4+2) LTE &amp; 4 NR layers]</t>
  </si>
  <si>
    <t>DC_3C-7A-32A_n1A</t>
  </si>
  <si>
    <t>3C-7A-32A</t>
  </si>
  <si>
    <t>MTR-39967</t>
  </si>
  <si>
    <t>DC_3C(4x4)-7A(4x4)-32A(2x2)_n1A(4x4)
 UL: DC_3C_n1A
 [16 (4+4+4+4) LTE &amp; 4 NR layers]</t>
  </si>
  <si>
    <t>MTR-39841</t>
  </si>
  <si>
    <t>DC_3C(4x4)-7A(4x4)-32A(2x2)_n1A(4x4)
 UL: DC_7A_n1A
 [14 (4+4+4+2) LTE &amp; 4 NR layers]</t>
  </si>
  <si>
    <t>MTR-38264</t>
  </si>
  <si>
    <t>DC_3C(4x4)-20A(2x2)-32A(2x2)_n1A(4x4)
 UL: DC_3A_n1A
 [12 (4+4+2+2) LTE &amp; 4 NR layers]</t>
  </si>
  <si>
    <t>DC_3C-20A-32A_n1A</t>
  </si>
  <si>
    <t>3C-20A-32A</t>
  </si>
  <si>
    <t>MTR-38265</t>
  </si>
  <si>
    <t>DC_3C(4x4)-20A(2x2)-32A(2x2)_n1A(4x4)
 UL: DC_3C_n1A
 [12 (4+4+2+2) LTE &amp; 4 NR layers]</t>
  </si>
  <si>
    <t>MTR-38266</t>
  </si>
  <si>
    <t>DC_3C(4x4)-20A(2x2)-32A(2x2)_n1A(4x4)
 UL: DC_20A_n1A
 [12 (4+4+2+2) LTE &amp; 4 NR layers]</t>
  </si>
  <si>
    <t>MTR-34776</t>
  </si>
  <si>
    <t>DC_3A(4x4)-7A(4x4)-7A(4x4)-8A(2x2)_n1A(4x4)
 UL: DC_3A_n1A
 [14 (4+4+4+2) LTE &amp; 4 NR layers]</t>
  </si>
  <si>
    <t>DC_3A-7A-7A-8A_n1A</t>
  </si>
  <si>
    <t>3A-7A-7A-8A</t>
  </si>
  <si>
    <t>MTR-34777</t>
  </si>
  <si>
    <t>DC_3A(4x4)-7A(4x4)-7A(4x4)-8A(2x2)_n1A(4x4)
 UL: DC_7A_n1A
 [14 (4+4+4+2) LTE &amp; 4 NR layers]</t>
  </si>
  <si>
    <t>MTR-34778</t>
  </si>
  <si>
    <t>DC_3A(4x4)-7A(4x4)-7A(4x4)-8A(2x2)_n1A(4x4)
 UL: DC_8A_n1A
 [14 (4+4+4+2) LTE &amp; 4 NR layers]</t>
  </si>
  <si>
    <t>MTR-35345</t>
  </si>
  <si>
    <t>DC_3A(4x4)-7C(4x4)-20A(2x2)_n1A(4x4)
 UL: DC_3A_n1A
 [14 (4+4+4+2) LTE &amp; 4 NR layers]</t>
  </si>
  <si>
    <t>DC_3A-7C-20A_n1A</t>
  </si>
  <si>
    <t>3A-7C-20A</t>
  </si>
  <si>
    <t>MTR-35347</t>
  </si>
  <si>
    <t>DC_3A(4x4)-7C(4x4)-20A(2x2)_n1A(4x4)
 UL: DC_7A_n1A
 [14 (4+4+4+2) LTE &amp; 4 NR layers]</t>
  </si>
  <si>
    <t>MTR-35348</t>
  </si>
  <si>
    <t>DC_3A(4x4)-7C(4x4)-20A(2x2)_n1A(4x4)
 UL: DC_7C_n1A
 [14 (4+4+4+2) LTE &amp; 4 NR layers]</t>
  </si>
  <si>
    <t>MTR-35346</t>
  </si>
  <si>
    <t>DC_3A(4x4)-7C(4x4)-20A(2x2)_n1A(4x4)
 UL: DC_20A_n1A
 [14 (4+4+4+2) LTE &amp; 4 NR layers]</t>
  </si>
  <si>
    <t>MTR-36903</t>
  </si>
  <si>
    <t>DC_3A(4x4)-7A(4x4)-7A(4x4)-28A(2x2)_n1A(4x4)
 UL: DC_3A_n1A
 [14 (4+4+4+2) LTE &amp; 4 NR layers]</t>
  </si>
  <si>
    <t>DC_3A-7A-7A-28A_n1A</t>
  </si>
  <si>
    <t>3A-7A-7A-28A</t>
  </si>
  <si>
    <t>MTR-36904</t>
  </si>
  <si>
    <t>DC_3A(4x4)-7A(4x4)-7A(4x4)-28A(2x2)_n1A(4x4)
 UL: DC_7A_n1A
 [14 (4+4+4+2) LTE &amp; 4 NR layers]</t>
  </si>
  <si>
    <t>MTR-36905</t>
  </si>
  <si>
    <t>DC_3A(4x4)-7A(4x4)-7A(4x4)-28A(2x2)_n1A(4x4)
 UL: DC_28A_n1A
 [14 (4+4+4+2) LTE &amp; 4 NR layers]</t>
  </si>
  <si>
    <t>MTR-36906</t>
  </si>
  <si>
    <t>DC_3A(4x4)-7A(4x4)-8A(2x2)-20A(2x2)_n1A(4x4)
 UL: DC_3A_n1A
 [12 (4+4+2+2) LTE &amp; 4 NR layers]</t>
  </si>
  <si>
    <t>DC_3A-7A-8A-20A_n1A</t>
  </si>
  <si>
    <t>3A-7A-8A-20A</t>
  </si>
  <si>
    <t>MTR-36907</t>
  </si>
  <si>
    <t>DC_3A(4x4)-7A(4x4)-8A(2x2)-20A(2x2)_n1A(4x4)
 UL: DC_7A_n1A
 [12 (4+4+2+2) LTE &amp; 4 NR layers]</t>
  </si>
  <si>
    <t>MTR-36908</t>
  </si>
  <si>
    <t>DC_3A(4x4)-7A(4x4)-8A(2x2)-20A(2x2)_n1A(4x4)
 UL: DC_8A_n1A
 [12 (4+4+2+2) LTE &amp; 4 NR layers]</t>
  </si>
  <si>
    <t>MTR-36909</t>
  </si>
  <si>
    <t>DC_3A(4x4)-7A(4x4)-8A(2x2)-20A(2x2)_n1A(4x4)
 UL: DC_20A_n1A
 [12 (4+4+2+2) LTE &amp; 4 NR layers]</t>
  </si>
  <si>
    <t>MTR-38267</t>
  </si>
  <si>
    <t>DC_3A(4x4)-7A(4x4)-8A(2x2)-32A(2x2)_n1A(4x4)
 UL: DC_3A_n1A
 [12 (4+4+2+2) LTE &amp; 4 NR layers]</t>
  </si>
  <si>
    <t>DC_3A-7A-8A-32A_n1A</t>
  </si>
  <si>
    <t>3A-7A-8A-32A</t>
  </si>
  <si>
    <t>MTR-38268</t>
  </si>
  <si>
    <t>DC_3A(4x4)-7A(4x4)-8A(2x2)-32A(2x2)_n1A(4x4)
 UL: DC_7A_n1A
 [12 (4+4+2+2) LTE &amp; 4 NR layers]</t>
  </si>
  <si>
    <t>MTR-38269</t>
  </si>
  <si>
    <t>DC_3A(4x4)-7A(4x4)-8A(2x2)-32A(2x2)_n1A(4x4)
 UL: DC_8A_n1A
 [12 (4+4+2+2) LTE &amp; 4 NR layers]</t>
  </si>
  <si>
    <t>MTR-36451</t>
  </si>
  <si>
    <t>DC_3A(4x4)-7A(4x4)-20A(2x2)-28A(2x2)_n1A(4x4)
 UL: DC_3A_n1A
 [12 (4+4+2+2) LTE &amp; 4 NR layers]</t>
  </si>
  <si>
    <t>DC_3A-7A-20A-28A_n1A</t>
  </si>
  <si>
    <t>3A-7A-20A-28A</t>
  </si>
  <si>
    <t>MTR-36452</t>
  </si>
  <si>
    <t>DC_3A(4x4)-7A(4x4)-20A(2x2)-28A(2x2)_n1A(4x4)
 UL: DC_7A_n1A
 [12 (4+4+2+2) LTE &amp; 4 NR layers]</t>
  </si>
  <si>
    <t>MTR-36453</t>
  </si>
  <si>
    <t>DC_3A(4x4)-7A(4x4)-20A(2x2)-28A(2x2)_n1A(4x4)
 UL: DC_20A_n1A
 [12 (4+4+2+2) LTE &amp; 4 NR layers]</t>
  </si>
  <si>
    <t>MTR-36454</t>
  </si>
  <si>
    <t>DC_3A(4x4)-7A(4x4)-20A(2x2)-28A(2x2)_n1A(4x4)
 UL: DC_28A_n1A
 [12 (4+4+2+2) LTE &amp; 4 NR layers]</t>
  </si>
  <si>
    <t>MTR-36900</t>
  </si>
  <si>
    <t>DC_3A(4x4)-7A(4x4)-20A(2x2)-32A(2x2)_n1A(4x4)
 UL: DC_3A_n1A
 [12 (4+4+2+2) LTE &amp; 4 NR layers]</t>
  </si>
  <si>
    <t>DC_3A-7A-20A-32A_n1A</t>
  </si>
  <si>
    <t>3A-7A-20A-32A</t>
  </si>
  <si>
    <t>MTR-36901</t>
  </si>
  <si>
    <t>DC_3A(4x4)-7A(4x4)-20A(2x2)-32A(2x2)_n1A(4x4)
 UL: DC_7A_n1A
 [12 (4+4+2+2) LTE &amp; 4 NR layers]</t>
  </si>
  <si>
    <t>MTR-36902</t>
  </si>
  <si>
    <t>DC_3A(4x4)-7A(4x4)-20A(2x2)-32A(2x2)_n1A(4x4)
 UL: DC_20A_n1A
 [12 (4+4+2+2) LTE &amp; 4 NR layers]</t>
  </si>
  <si>
    <t>MTR-36914</t>
  </si>
  <si>
    <t>DC_7A(4x4)-8A(2x2)-20A(2x2)-32A(2x2)_n1A(4x4)
 UL: DC_7A_n1A
 [10 (4+2+2+2) LTE &amp; 4 NR layers]</t>
  </si>
  <si>
    <t>DC_7A-8A-20A-32A_n1A</t>
  </si>
  <si>
    <t>7A-8A-20A-32A</t>
  </si>
  <si>
    <t>MTR-36915</t>
  </si>
  <si>
    <t>DC_7A(4x4)-8A(2x2)-20A(2x2)-32A(2x2)_n1A(4x4)
 UL: DC_8A_n1A
 [10 (4+2+2+2) LTE &amp; 4 NR layers]</t>
  </si>
  <si>
    <t>MTR-36916</t>
  </si>
  <si>
    <t>DC_7A(4x4)-8A(2x2)-20A(2x2)-32A(2x2)_n1A(4x4)
 UL: DC_20A_n1A
 [10 (4+2+2+2) LTE &amp; 4 NR layers]</t>
  </si>
  <si>
    <t>MTR-36910</t>
  </si>
  <si>
    <t>DC_7A(4x4)-20A(2x2)-28A(2x2)-32A(2x2)_n1A(4x4)
 UL: DC_7A_n1A
 [10 (4+2+2+2) LTE &amp; 4 NR layers]</t>
  </si>
  <si>
    <t>DC_7A-20A-28A-32A_n1A</t>
  </si>
  <si>
    <t>7A-20A-28A-32A</t>
  </si>
  <si>
    <t>MTR-36911</t>
  </si>
  <si>
    <t>DC_7A(4x4)-20A(2x2)-28A(2x2)-32A(2x2)_n1A(4x4)
 UL: DC_20A_n1A
 [10 (4+2+2+2) LTE &amp; 4 NR layers]</t>
  </si>
  <si>
    <t>MTR-36912</t>
  </si>
  <si>
    <t>DC_7A(4x4)-20A(2x2)-28A(2x2)-32A(2x2)_n1A(4x4)
 UL: DC_28A_n1A
 [10 (4+2+2+2) LTE &amp; 4 NR layers]</t>
  </si>
  <si>
    <t>MTR-34779</t>
  </si>
  <si>
    <r>
      <rPr>
        <rFont val="Arial"/>
        <b/>
        <color theme="1"/>
        <sz val="10.0"/>
      </rPr>
      <t>2.5.2.2.5</t>
    </r>
    <r>
      <rPr>
        <rFont val="Arial"/>
        <b val="0"/>
        <color theme="1"/>
        <sz val="10.0"/>
      </rPr>
      <t xml:space="preserve"> </t>
    </r>
    <r>
      <rPr>
        <rFont val="Arial"/>
        <b/>
        <color theme="1"/>
        <sz val="10.0"/>
      </rPr>
      <t>EN-DC 5 Carriers LTE + 1 Carrier n1A</t>
    </r>
  </si>
  <si>
    <t>MTR-34780</t>
  </si>
  <si>
    <t>DC_3A(4x4)-3A(4x4)-7A(4x4)-7A(4x4)-8A(2x2)_n1A(4x4)
 UL: DC_3A_n1A
 [18 (4+4+4+4+2) LTE &amp; 4 NR layers]</t>
  </si>
  <si>
    <t>DC_3A-3A-7A-7A-8A_n1A</t>
  </si>
  <si>
    <t>3A-3A-7A-7A-8A</t>
  </si>
  <si>
    <t>MTR-34781</t>
  </si>
  <si>
    <t>DC_3A(4x4)-3A(4x4)-7A(4x4)-7A(4x4)-8A(2x2)_n1A(4x4)
 UL: DC_7A_n1A
 [18 (4+4+4+4+2) LTE &amp; 4 NR layers]</t>
  </si>
  <si>
    <t>MTR-34782</t>
  </si>
  <si>
    <t>DC_3A(4x4)-3A(4x4)-7A(4x4)-7A(4x4)-8A(2x2)_n1A(4x4)
 UL: DC_8A_n1A
 [18 (4+4+4+4+2) LTE &amp; 4 NR layers]</t>
  </si>
  <si>
    <t>MTR-35454</t>
  </si>
  <si>
    <t>DC_3C(4x4)-7C(4x4)-20A(2x2)_n1A(4x4)
 UL: DC_3A_n1A
 [18 (4+4+4+4+2) LTE &amp; 4 NR layers]</t>
  </si>
  <si>
    <t>DC_3C-7C-20A_n1A</t>
  </si>
  <si>
    <t>3C-7C-20A</t>
  </si>
  <si>
    <t>MTR-35455</t>
  </si>
  <si>
    <t>DC_3C(4x4)-7C(4x4)-20A(2x2)_n1A(4x4)
 UL: DC_3C_n1A
 [18 (4+4+4+4+2) LTE &amp; 4 NR layers]</t>
  </si>
  <si>
    <t>MTR-35456</t>
  </si>
  <si>
    <t>DC_3C(4x4)-7C(4x4)-20A(2x2)_n1A(4x4)
 UL: DC_7A_n1A
 [18 (4+4+4+4+2) LTE &amp; 4 NR layers]</t>
  </si>
  <si>
    <t>MTR-35457</t>
  </si>
  <si>
    <t>DC_3C(4x4)-7C(4x4)-20A(2x2)_n1A(4x4)
 UL: DC_7C_n1A
 [18 (4+4+4+4+2) LTE &amp; 4 NR layers]</t>
  </si>
  <si>
    <t>MTR-35458</t>
  </si>
  <si>
    <t>DC_3C(4x4)-7C(4x4)-20A(2x2)_n1A(4x4)
 UL: DC_20A_n1A
 [18 (4+4+4+4+2) LTE &amp; 4 NR layers]</t>
  </si>
  <si>
    <t>MTR-34211</t>
  </si>
  <si>
    <r>
      <rPr>
        <rFont val="Arial"/>
        <b/>
        <color theme="1"/>
        <sz val="10.0"/>
      </rPr>
      <t>2.5.2.3</t>
    </r>
    <r>
      <rPr>
        <rFont val="Arial"/>
        <b val="0"/>
        <color theme="1"/>
        <sz val="10.0"/>
      </rPr>
      <t xml:space="preserve"> </t>
    </r>
    <r>
      <rPr>
        <rFont val="Arial"/>
        <b/>
        <color theme="1"/>
        <sz val="10.0"/>
      </rPr>
      <t>EN-DC LTE CA + n3A</t>
    </r>
  </si>
  <si>
    <t>MTR-34483</t>
  </si>
  <si>
    <r>
      <rPr>
        <rFont val="Arial"/>
        <b/>
        <color theme="1"/>
        <sz val="10.0"/>
      </rPr>
      <t>2.5.2.3.1</t>
    </r>
    <r>
      <rPr>
        <rFont val="Arial"/>
        <b val="0"/>
        <color theme="1"/>
        <sz val="10.0"/>
      </rPr>
      <t xml:space="preserve"> </t>
    </r>
    <r>
      <rPr>
        <rFont val="Arial"/>
        <b/>
        <color theme="1"/>
        <sz val="10.0"/>
      </rPr>
      <t>EN-DC 1 Carrier LTE + 1 Carrier n3A</t>
    </r>
  </si>
  <si>
    <t>MTR-33671</t>
  </si>
  <si>
    <t>DC_1A(4x4)_n3A(4x4)
 UL: DC_1A_n3A
 [4 LTE &amp; 4 NR layers]</t>
  </si>
  <si>
    <t>DC_1A_n3A</t>
  </si>
  <si>
    <t>n3A</t>
  </si>
  <si>
    <t>MTR-38677</t>
  </si>
  <si>
    <t>DC_(n)3AA(4x4)
 UL: DC_(n)3AA
 [4 LTE &amp; 4 NR layers]</t>
  </si>
  <si>
    <t>DC_(n)3AA</t>
  </si>
  <si>
    <t>MTR-33663</t>
  </si>
  <si>
    <t>DC_3A(4x4)_n3A(4x4)
 UL: DC_3A_n3A
 [4 LTE &amp; 4 NR layers]</t>
  </si>
  <si>
    <t>DC_3A_n3A</t>
  </si>
  <si>
    <t>MTR-33673</t>
  </si>
  <si>
    <t>DC_7A(4x4)_n3A(4x4)
 UL: DC_7A_n3A
 [4 LTE &amp; 4 NR layers]</t>
  </si>
  <si>
    <t>DC_7A_n3A</t>
  </si>
  <si>
    <t>MTR-34136</t>
  </si>
  <si>
    <t>DC_8A(2x2)_n3A(4x4)
 UL: DC_8A_n3A
 [2 LTE &amp; 4 NR layers]</t>
  </si>
  <si>
    <t>DC_8A_n3A</t>
  </si>
  <si>
    <t>MTR-33674</t>
  </si>
  <si>
    <t>DC_20A(2x2)_n3A(4x4)
 UL: DC_20A_n3A
 [2 LTE &amp; 4 NR layers]</t>
  </si>
  <si>
    <t>DC_20A_n3A</t>
  </si>
  <si>
    <t>MTR-34783</t>
  </si>
  <si>
    <t>DC_28A(2x2)_n3A(4x4)
 UL: DC_28A_n3A
 [2 LTE &amp; 4 NR layers]</t>
  </si>
  <si>
    <t>DC_28A_n3A</t>
  </si>
  <si>
    <t>MTR-34484</t>
  </si>
  <si>
    <r>
      <rPr>
        <rFont val="Arial"/>
        <b/>
        <color theme="1"/>
        <sz val="10.0"/>
      </rPr>
      <t>2.5.2.3.2</t>
    </r>
    <r>
      <rPr>
        <rFont val="Arial"/>
        <b val="0"/>
        <color theme="1"/>
        <sz val="10.0"/>
      </rPr>
      <t xml:space="preserve"> </t>
    </r>
    <r>
      <rPr>
        <rFont val="Arial"/>
        <b/>
        <color theme="1"/>
        <sz val="10.0"/>
      </rPr>
      <t>EN-DC 2 Carriers LTE + 1 Carrier n3A</t>
    </r>
  </si>
  <si>
    <t>MTR-34345</t>
  </si>
  <si>
    <t>DC_1C(4x4)_n3A(4x4)
 UL: DC_1A_n3A
 [8 (4+4) LTE &amp; 4 NR layers]</t>
  </si>
  <si>
    <t>DC_1C_n3A</t>
  </si>
  <si>
    <t>1C</t>
  </si>
  <si>
    <t>MTR-34346</t>
  </si>
  <si>
    <t>DC_1C(4x4)_n3A(4x4)
 UL: DC_1C_n3A
 [8 (4+4) LTE &amp; 4 NR layers]</t>
  </si>
  <si>
    <t>MTR-38678</t>
  </si>
  <si>
    <t>DC_1A(4x4)_(n)3AA(4x4)
 UL: DC_1A_n3A
 [8 (4+4) LTE &amp; 4 NR layers]</t>
  </si>
  <si>
    <t>DC_1A_(n)3AA</t>
  </si>
  <si>
    <t>MTR-35940</t>
  </si>
  <si>
    <t>DC_1A(4x4)-3A(4x4)_n3A(4x4)
 UL: DC_1A_n3A
 [8 (4+4) LTE &amp; 4 NR layers]</t>
  </si>
  <si>
    <t>DC_1A-3A_n3A</t>
  </si>
  <si>
    <t>MTR-35941</t>
  </si>
  <si>
    <t>DC_1A(4x4)-3A(4x4)_n3A(4x4)
 UL: DC_3A_n3A
 [8 (4+4) LTE &amp; 4 NR layers]</t>
  </si>
  <si>
    <t>MTR-34189</t>
  </si>
  <si>
    <t>DC_1A(4x4)-7A(4x4)_n3A(4x4)
 UL: DC_1A_n3A
 [8 (4+4) LTE &amp; 4 NR layers]</t>
  </si>
  <si>
    <t>DC_1A-7A_n3A</t>
  </si>
  <si>
    <t>MTR-34190</t>
  </si>
  <si>
    <t>DC_1A(4x4)-7A(4x4)_n3A(4x4)
 UL: DC_7A_n3A
 [8 (4+4) LTE &amp; 4 NR layers]</t>
  </si>
  <si>
    <t>Uplink support: ['DC_1A_n3A']</t>
  </si>
  <si>
    <t>MTR-34153</t>
  </si>
  <si>
    <t>DC_1A(4x4)-8A(2x2)_n3A(4x4)
 UL: DC_1A_n3A
 [6 (4+2) LTE &amp; 4 NR layers]</t>
  </si>
  <si>
    <t>DC_1A-8A_n3A</t>
  </si>
  <si>
    <t>1A-8A</t>
  </si>
  <si>
    <t>MTR-34154</t>
  </si>
  <si>
    <t>DC_1A(4x4)-8A(2x2)_n3A(4x4)
 UL: DC_8A_n3A
 [6 (4+2) LTE &amp; 4 NR layers]</t>
  </si>
  <si>
    <t>MTR-34155</t>
  </si>
  <si>
    <t>DC_1A(4x4)-20A(2x2)_n3A(4x4)
 UL: DC_1A_n3A
 [6 (4+2) LTE &amp; 4 NR layers]</t>
  </si>
  <si>
    <t>DC_1A-20A_n3A</t>
  </si>
  <si>
    <t>MTR-34156</t>
  </si>
  <si>
    <t>DC_1A(4x4)-20A(2x2)_n3A(4x4)
 UL: DC_20A_n3A
 [6 (4+2) LTE &amp; 4 NR layers]</t>
  </si>
  <si>
    <t>MTR-35359</t>
  </si>
  <si>
    <t>DC_1A(4x4)-28A(2x2)_n3A(4x4)
 UL: DC_1A_n3A
 [6 (4+2) LTE &amp; 4 NR layers]</t>
  </si>
  <si>
    <t>DC_1A-28A_n3A</t>
  </si>
  <si>
    <t>1A-28A</t>
  </si>
  <si>
    <t>MTR-35360</t>
  </si>
  <si>
    <t>DC_1A(4x4)-28A(2x2)_n3A(4x4)
 UL: DC_28A_n3A
 [6 (4+2) LTE &amp; 4 NR layers]</t>
  </si>
  <si>
    <t>MTR-35939</t>
  </si>
  <si>
    <t>DC_1A(4x4)-32A(2x2)_n3A(4x4)
 UL: DC_1A_n3A
 [6 (4+2) LTE &amp; 4 NR layers]</t>
  </si>
  <si>
    <t>DC_1A-32A_n3A</t>
  </si>
  <si>
    <t>1A-32A</t>
  </si>
  <si>
    <t>MTR-36457</t>
  </si>
  <si>
    <t>DC_3A(4x4)-7A(4x4)_n3A(4x4)
 UL: DC_3A_n3A
 [8 (4+4) LTE &amp; 4 NR layers]</t>
  </si>
  <si>
    <t>DC_3A-7A_n3A</t>
  </si>
  <si>
    <t>MTR-36458</t>
  </si>
  <si>
    <t>DC_3A(4x4)-7A(4x4)_n3A(4x4)
 UL: DC_7A_n3A
 [8 (4+4) LTE &amp; 4 NR layers]</t>
  </si>
  <si>
    <t>Uplink support: ['DC_3A_n3A']</t>
  </si>
  <si>
    <t>MTR-37865</t>
  </si>
  <si>
    <t>DC_8A(2x2)_(n)3AA(4x4)
 UL: DC_(n)3AA
 [6 (2+4) LTE &amp; 4 NR layers]</t>
  </si>
  <si>
    <t>DC_8A_(n)3AA</t>
  </si>
  <si>
    <t>MTR-37866</t>
  </si>
  <si>
    <t>DC_8A(2x2)_(n)3AA(4x4)
 UL: DC_8A_n3A
 [6 (2+4) LTE &amp; 4 NR layers]</t>
  </si>
  <si>
    <t>MTR-39267</t>
  </si>
  <si>
    <t>DC_3A(4x4)-20A(2x2)_n3A(4x4)
 UL: DC_3A_n3A
 [6 (4+2) LTE &amp; 4 NR layers]</t>
  </si>
  <si>
    <t>DC_3A-20A_n3A</t>
  </si>
  <si>
    <t>MTR-39268</t>
  </si>
  <si>
    <t>DC_3A(4x4)-20A(2x2)_n3A(4x4)
 UL: DC_20A_n3A
 [6 (4+2) LTE &amp; 4 NR layers]</t>
  </si>
  <si>
    <t>MTR-36455</t>
  </si>
  <si>
    <t>DC_3A(4x4)-28A(2x2)_n3A(4x4)
 UL: DC_3A_n3A
 [6 (4+2) LTE &amp; 4 NR layers]</t>
  </si>
  <si>
    <t>DC_3A-28A_n3A</t>
  </si>
  <si>
    <t>MTR-36456</t>
  </si>
  <si>
    <t>DC_3A(4x4)-28A(2x2)_n3A(4x4)
 UL: DC_28A_n3A
 [6 (4+2) LTE &amp; 4 NR layers]</t>
  </si>
  <si>
    <t>MTR-34786</t>
  </si>
  <si>
    <t>DC_7C(4x4)_n3A(4x4)
 UL: DC_7A_n3A
 [8 (4+4) LTE &amp; 4 NR layers]</t>
  </si>
  <si>
    <t>DC_7C_n3A</t>
  </si>
  <si>
    <t>MTR-34787</t>
  </si>
  <si>
    <t>DC_7C(4x4)_n3A(4x4)
 UL: DC_7C_n3A
 [8 (4+4) LTE &amp; 4 NR layers]</t>
  </si>
  <si>
    <t>MTR-35459</t>
  </si>
  <si>
    <t>DC_7A(4x4)-8A(2x2)_n3A(4x4)
 UL: DC_7A_n3A
 [6 (4+2) LTE &amp; 4 NR layers]</t>
  </si>
  <si>
    <t>DC_7A-8A_n3A</t>
  </si>
  <si>
    <t>Uplink support: ['DC_8A_n3A']</t>
  </si>
  <si>
    <t>MTR-35460</t>
  </si>
  <si>
    <t>DC_7A(4x4)-8A(2x2)_n3A(4x4)
 UL: DC_8A_n3A
 [6 (4+2) LTE &amp; 4 NR layers]</t>
  </si>
  <si>
    <t>MTR-34193</t>
  </si>
  <si>
    <t>DC_7A(4x4)-20A(2x2)_n3A(4x4)
 UL: DC_7A_n3A
 [6 (4+2) LTE &amp; 4 NR layers]</t>
  </si>
  <si>
    <t>DC_7A-20A_n3A</t>
  </si>
  <si>
    <t>Uplink support: ['DC_20A_n3A']</t>
  </si>
  <si>
    <t>MTR-34194</t>
  </si>
  <si>
    <t>DC_7A(4x4)-20A(2x2)_n3A(4x4)
 UL: DC_20A_n3A
 [6 (4+2) LTE &amp; 4 NR layers]</t>
  </si>
  <si>
    <t>MTR-35378</t>
  </si>
  <si>
    <t>DC_7A(4x4)-28A(2x2)_n3A(4x4)
 UL: DC_7A_n3A
 [6 (4+2) LTE &amp; 4 NR layers]</t>
  </si>
  <si>
    <t>DC_7A-28A_n3A</t>
  </si>
  <si>
    <t>Uplink support: ['DC_28A_n3A']</t>
  </si>
  <si>
    <t>MTR-35379</t>
  </si>
  <si>
    <t>DC_7A(4x4)-28A(2x2)_n3A(4x4)
 UL: DC_28A_n3A
 [6 (4+2) LTE &amp; 4 NR layers]</t>
  </si>
  <si>
    <t>MTR-36921</t>
  </si>
  <si>
    <t>DC_7A(4x4)-32A(2x2)_n3A(4x4)
 UL: DC_7A_n3A
 [6 (4+2) LTE &amp; 4 NR layers]</t>
  </si>
  <si>
    <t>DC_7A-32A_n3A</t>
  </si>
  <si>
    <t>MTR-36459</t>
  </si>
  <si>
    <t>DC_8A(2x2)-20A(2x2)_n3A(4x4)
 UL: DC_8A_n3A
 [4 (2+2) LTE &amp; 4 NR layers]</t>
  </si>
  <si>
    <t>DC_8A-20A_n3A</t>
  </si>
  <si>
    <t>MTR-36460</t>
  </si>
  <si>
    <t>DC_8A(2x2)-20A(2x2)_n3A(4x4)
 UL: DC_20A_n3A
 [4 (2+2) LTE &amp; 4 NR layers]</t>
  </si>
  <si>
    <t>MTR-38878</t>
  </si>
  <si>
    <t>DC_8A(2x2)-28A(2x2)_n3A(4x4)
 UL: DC_8A_n3A
 [4 (2+2) LTE &amp; 4 NR layers]</t>
  </si>
  <si>
    <t>DC_8A-28A_n3A</t>
  </si>
  <si>
    <t>8A-28A</t>
  </si>
  <si>
    <t>MTR-38879</t>
  </si>
  <si>
    <t>DC_8A(2x2)-28A(2x2)_n3A(4x4)
 UL: DC_28A_n3A
 [4 (2+2) LTE &amp; 4 NR layers]</t>
  </si>
  <si>
    <t>MTR-38286</t>
  </si>
  <si>
    <t>DC_8A(2x2)-32A(2x2)_n3A(4x4)
 UL: DC_8A_n3A
 [4 (2+2) LTE &amp; 4 NR layers]</t>
  </si>
  <si>
    <t>DC_8A-32A_n3A</t>
  </si>
  <si>
    <t>MTR-39447</t>
  </si>
  <si>
    <t>DC_20A(2x2)_(n)3AA(4x4)
 UL: DC_(n)3AA
 [6 (4+2) LTE &amp; 4 NR layers]</t>
  </si>
  <si>
    <t>DC_20A_(n)3AA</t>
  </si>
  <si>
    <t>2023-03</t>
  </si>
  <si>
    <t>MTR-39448</t>
  </si>
  <si>
    <t>DC_20A(2x2)_(n)3AA(4x4)
 UL: DC_20A_n3A
 [6 (4+2) LTE &amp; 4 NR layers]</t>
  </si>
  <si>
    <t>MTR-35942</t>
  </si>
  <si>
    <t>DC_20A(2x2)-28A(2x2)_n3A(4x4)
 UL: DC_20A_n3A
 [4 (2+2) LTE &amp; 4 NR layers]</t>
  </si>
  <si>
    <t>DC_20A-28A_n3A</t>
  </si>
  <si>
    <t>MTR-35943</t>
  </si>
  <si>
    <t>DC_20A(2x2)-28A(2x2)_n3A(4x4)
 UL: DC_28A_n3A
 [4 (2+2) LTE &amp; 4 NR layers]</t>
  </si>
  <si>
    <t>MTR-35944</t>
  </si>
  <si>
    <t>DC_20A(2x2)-32A(2x2)_n3A(4x4)
 UL: DC_20A_n3A
 [4 (2+2) LTE &amp; 4 NR layers]</t>
  </si>
  <si>
    <t>DC_20A-32A_n3A</t>
  </si>
  <si>
    <t>MTR-36920</t>
  </si>
  <si>
    <t>DC_28A(2x2)-32A(2x2)_n3A(4x4)
 UL: DC_28A_n3A
 [4 (2+2) LTE &amp; 4 NR layers]</t>
  </si>
  <si>
    <t>DC_28A-32A_n3A</t>
  </si>
  <si>
    <t>MTR-34790</t>
  </si>
  <si>
    <r>
      <rPr>
        <rFont val="Arial"/>
        <b/>
        <color theme="1"/>
        <sz val="10.0"/>
      </rPr>
      <t>2.5.2.3.3</t>
    </r>
    <r>
      <rPr>
        <rFont val="Arial"/>
        <b val="0"/>
        <color theme="1"/>
        <sz val="10.0"/>
      </rPr>
      <t xml:space="preserve"> </t>
    </r>
    <r>
      <rPr>
        <rFont val="Arial"/>
        <b/>
        <color theme="1"/>
        <sz val="10.0"/>
      </rPr>
      <t>EN-DC 3 Carriers LTE + 1 Carrier n3A</t>
    </r>
  </si>
  <si>
    <t>MTR-34791</t>
  </si>
  <si>
    <t>DC_1C(4x4)-20A(2x2)_n3A(4x4)
 UL: DC_1A_n3A
 [10 (4+4+2) LTE &amp; 4 NR layers]</t>
  </si>
  <si>
    <t>DC_1C-20A_n3A</t>
  </si>
  <si>
    <t>1C-20A</t>
  </si>
  <si>
    <t>MTR-34793</t>
  </si>
  <si>
    <t>DC_1C(4x4)-20A(2x2)_n3A(4x4)
 UL: DC_20A_n3A
 [10 (4+4+2) LTE &amp; 4 NR layers]</t>
  </si>
  <si>
    <t>MTR-36464</t>
  </si>
  <si>
    <t>DC_1A(4x4)-3A(4x4)-7A(4x4)_n3A(4x4)
 UL: DC_1A_n3A
 [12 (4+4+4) LTE &amp; 4 NR layers]</t>
  </si>
  <si>
    <t>DC_1A-3A-7A_n3A</t>
  </si>
  <si>
    <t>MTR-36465</t>
  </si>
  <si>
    <t>DC_1A(4x4)-3A(4x4)-7A(4x4)_n3A(4x4)
 UL: DC_3A_n3A
 [12 (4+4+4) LTE &amp; 4 NR layers]</t>
  </si>
  <si>
    <t>MTR-36466</t>
  </si>
  <si>
    <t>DC_1A(4x4)-3A(4x4)-7A(4x4)_n3A(4x4)
 UL: DC_7A_n3A
 [12 (4+4+4) LTE &amp; 4 NR layers]</t>
  </si>
  <si>
    <t>MTR-39449</t>
  </si>
  <si>
    <t>DC_1A(4x4)-8A(2x2)_(n)3AA(4x4)
 UL: DC_1A_n3A
 [10 (4+4+2) LTE &amp; 4 NR layers]</t>
  </si>
  <si>
    <t>DC_1A-8A_(n)3AA</t>
  </si>
  <si>
    <t>1A-3A-8A</t>
  </si>
  <si>
    <t>MTR-39450</t>
  </si>
  <si>
    <t>DC_1A(4x4)-8A(2x2)_(n)3AA(4x4)
 UL: DC_(n)3AA
 [10 (4+4+2) LTE &amp; 4 NR layers]</t>
  </si>
  <si>
    <t>MTR-39451</t>
  </si>
  <si>
    <t>DC_1A(4x4)-8A(2x2)_(n)3AA(4x4)
 UL: DC_8A_n3A
 [10 (4+4+2) LTE &amp; 4 NR layers]</t>
  </si>
  <si>
    <t>MTR-39269</t>
  </si>
  <si>
    <t>DC_1A(4x4)-3A(4x4)-20A(2x2)_n3A(4x4)
 UL: DC_1A_n3A
 [10 (4+4+2) LTE &amp; 4 NR layers]</t>
  </si>
  <si>
    <t>DC_1A-3A-20A_n3A</t>
  </si>
  <si>
    <t>MTR-39270</t>
  </si>
  <si>
    <t>DC_1A(4x4)-3A(4x4)-20A(2x2)_n3A(4x4)
 UL: DC_3A_n3A
 [10 (4+4+2) LTE &amp; 4 NR layers]</t>
  </si>
  <si>
    <t>MTR-39271</t>
  </si>
  <si>
    <t>DC_1A(4x4)-3A(4x4)-20A(2x2)_n3A(4x4)
 UL: DC_20A_n3A
 [10 (4+4+2) LTE &amp; 4 NR layers]</t>
  </si>
  <si>
    <t>MTR-36461</t>
  </si>
  <si>
    <t>DC_1A(4x4)-3A(4x4)-28A(2x2)_n3A(4x4)
 UL: DC_1A_n3A
 [10 (4+4+2) LTE &amp; 4 NR layers]</t>
  </si>
  <si>
    <t>DC_1A-3A-28A_n3A</t>
  </si>
  <si>
    <t>1A-3A-28A</t>
  </si>
  <si>
    <t>MTR-36462</t>
  </si>
  <si>
    <t>DC_1A(4x4)-3A(4x4)-28A(2x2)_n3A(4x4)
 UL: DC_3A_n3A
 [10 (4+4+2) LTE &amp; 4 NR layers]</t>
  </si>
  <si>
    <t>MTR-36463</t>
  </si>
  <si>
    <t>DC_1A(4x4)-3A(4x4)-28A(2x2)_n3A(4x4)
 UL: DC_28A_n3A
 [10 (4+4+2) LTE &amp; 4 NR layers]</t>
  </si>
  <si>
    <t>MTR-35354</t>
  </si>
  <si>
    <t>DC_1A(4x4)-7C(4x4)_n3A(4x4)
 UL: DC_1A_n3A
 [12 (4+4+4) LTE &amp; 4 NR layers]</t>
  </si>
  <si>
    <t>DC_1A-7C_n3A</t>
  </si>
  <si>
    <t>1A-7C</t>
  </si>
  <si>
    <t>MTR-35355</t>
  </si>
  <si>
    <t>DC_1A(4x4)-7C(4x4)_n3A(4x4)
 UL: DC_7A_n3A
 [12 (4+4+4) LTE &amp; 4 NR layers]</t>
  </si>
  <si>
    <t>MTR-35356</t>
  </si>
  <si>
    <t>DC_1A(4x4)-7C(4x4)_n3A(4x4)
 UL: DC_7C_n3A
 [12 (4+4+4) LTE &amp; 4 NR layers]</t>
  </si>
  <si>
    <t>MTR-35461</t>
  </si>
  <si>
    <t>DC_1A(4x4)-7A(4x4)-8A(2x2)_n3A(4x4)
 UL: DC_1A_n3A
 [10 (4+4+2) LTE &amp; 4 NR layers]</t>
  </si>
  <si>
    <t>DC_1A-7A-8A_n3A</t>
  </si>
  <si>
    <t>1A-7A-8A</t>
  </si>
  <si>
    <t>MTR-35462</t>
  </si>
  <si>
    <t>DC_1A(4x4)-7A(4x4)-8A(2x2)_n3A(4x4)
 UL: DC_7A_n3A
 [10 (4+4+2) LTE &amp; 4 NR layers]</t>
  </si>
  <si>
    <t>MTR-35463</t>
  </si>
  <si>
    <t>DC_1A(4x4)-7A(4x4)-8A(2x2)_n3A(4x4)
 UL: DC_8A_n3A
 [10 (4+4+2) LTE &amp; 4 NR layers]</t>
  </si>
  <si>
    <t>MTR-34198</t>
  </si>
  <si>
    <t>DC_1A(4x4)-7A(4x4)-20A(2x2)_n3A(4x4)
 UL: DC_1A_n3A
 [10 (4+4+2) LTE &amp; 4 NR layers]</t>
  </si>
  <si>
    <t>DC_1A-7A-20A_n3A</t>
  </si>
  <si>
    <t>1A-7A-20A</t>
  </si>
  <si>
    <t>MTR-34199</t>
  </si>
  <si>
    <t>DC_1A(4x4)-7A(4x4)-20A(2x2)_n3A(4x4)
 UL: DC_7A_n3A
 [10 (4+4+2) LTE &amp; 4 NR layers]</t>
  </si>
  <si>
    <t>MTR-34200</t>
  </si>
  <si>
    <t>DC_1A(4x4)-7A(4x4)-20A(2x2)_n3A(4x4)
 UL: DC_20A_n3A
 [10 (4+4+2) LTE &amp; 4 NR layers]</t>
  </si>
  <si>
    <t>MTR-35947</t>
  </si>
  <si>
    <t>DC_1A(4x4)-7A(4x4)-28A(2x2)_n3A(4x4)
 UL: DC_1A_n3A
 [10 (4+4+2) LTE &amp; 4 NR layers]</t>
  </si>
  <si>
    <t>DC_1A-7A-28A_n3A</t>
  </si>
  <si>
    <t>1A-7A-28A</t>
  </si>
  <si>
    <t>MTR-35949</t>
  </si>
  <si>
    <t>DC_1A(4x4)-7A(4x4)-28A(2x2)_n3A(4x4)
 UL: DC_7A_n3A
 [10 (4+4+2) LTE &amp; 4 NR layers]</t>
  </si>
  <si>
    <t>MTR-35948</t>
  </si>
  <si>
    <t>DC_1A(4x4)-7A(4x4)-28A(2x2)_n3A(4x4)
 UL: DC_28A_n3A
 [10 (4+4+2) LTE &amp; 4 NR layers]</t>
  </si>
  <si>
    <t>MTR-36929</t>
  </si>
  <si>
    <t>DC_1A(4x4)-7A(4x4)-32A(2x2)_n3A(4x4)
 UL: DC_1A_n3A
 [10 (4+4+2) LTE &amp; 4 NR layers]</t>
  </si>
  <si>
    <t>DC_1A-7A-32A_n3A</t>
  </si>
  <si>
    <t>1A-7A-32A</t>
  </si>
  <si>
    <t>MTR-36930</t>
  </si>
  <si>
    <t>DC_1A(4x4)-7A(4x4)-32A(2x2)_n3A(4x4)
 UL: DC_7A_n3A
 [10 (4+4+2) LTE &amp; 4 NR layers]</t>
  </si>
  <si>
    <t>MTR-38287</t>
  </si>
  <si>
    <t>DC_1A(4x4)-8A(2x2)-20A(2x2)_n3A(4x4)
 UL: DC_1A_n3A
 [8 (4+2+2) LTE &amp; 4 NR layers]</t>
  </si>
  <si>
    <t>DC_1A-8A-20A_n3A</t>
  </si>
  <si>
    <t>1A-8A-20A</t>
  </si>
  <si>
    <t>MTR-38288</t>
  </si>
  <si>
    <t>DC_1A(4x4)-8A(2x2)-20A(2x2)_n3A(4x4)
 UL: DC_8A_n3A
 [8 (4+2+2) LTE &amp; 4 NR layers]</t>
  </si>
  <si>
    <t>MTR-38289</t>
  </si>
  <si>
    <t>DC_1A(4x4)-8A(2x2)-20A(2x2)_n3A(4x4)
 UL: DC_20A_n3A
 [8 (4+2+2) LTE &amp; 4 NR layers]</t>
  </si>
  <si>
    <t>MTR-38290</t>
  </si>
  <si>
    <t>DC_1A(4x4)-8A(2x2)-28A(2x2)_n3A(4x4)
 UL: DC_1A_n3A
 [8 (4+2+2) LTE &amp; 4 NR layers]</t>
  </si>
  <si>
    <t>DC_1A-8A-28A_n3A</t>
  </si>
  <si>
    <t>1A-8A-28A</t>
  </si>
  <si>
    <t>MTR-38291</t>
  </si>
  <si>
    <t>DC_1A(4x4)-8A(2x2)-28A(2x2)_n3A(4x4)
 UL: DC_8A_n3A
 [8 (4+2+2) LTE &amp; 4 NR layers]</t>
  </si>
  <si>
    <t>MTR-38292</t>
  </si>
  <si>
    <t>DC_1A(4x4)-8A(2x2)-28A(2x2)_n3A(4x4)
 UL: DC_28A_n3A
 [8 (4+2+2) LTE &amp; 4 NR layers]</t>
  </si>
  <si>
    <t>MTR-38293</t>
  </si>
  <si>
    <t>DC_1A(4x4)-8A(2x2)-32A(2x2)_n3A(4x4)
 UL: DC_1A_n3A
 [8 (4+2+2) LTE &amp; 4 NR layers]</t>
  </si>
  <si>
    <t>DC_1A-8A-32A_n3A</t>
  </si>
  <si>
    <t>1A-8A-32A</t>
  </si>
  <si>
    <t>MTR-38294</t>
  </si>
  <si>
    <t>DC_1A(4x4)-8A(2x2)-32A(2x2)_n3A(4x4)
 UL: DC_8A_n3A
 [8 (4+2+2) LTE &amp; 4 NR layers]</t>
  </si>
  <si>
    <t>MTR-36922</t>
  </si>
  <si>
    <t>DC_1A(4x4)-20A(2x2)-28A(2x2)_n3A(4x4)
 UL: DC_1A_n3A
 [8 (4+2+2) LTE &amp; 4 NR layers]</t>
  </si>
  <si>
    <t>DC_1A-20A-28A_n3A</t>
  </si>
  <si>
    <t>1A-20A-28A</t>
  </si>
  <si>
    <t>MTR-36923</t>
  </si>
  <si>
    <t>DC_1A(4x4)-20A(2x2)-28A(2x2)_n3A(4x4)
 UL: DC_20A_n3A
 [8 (4+2+2) LTE &amp; 4 NR layers]</t>
  </si>
  <si>
    <t>MTR-36924</t>
  </si>
  <si>
    <t>DC_1A(4x4)-20A(2x2)-28A(2x2)_n3A(4x4)
 UL: DC_28A_n3A
 [8 (4+2+2) LTE &amp; 4 NR layers]</t>
  </si>
  <si>
    <t>MTR-35945</t>
  </si>
  <si>
    <t>DC_1A(4x4)-20A(2x2)-32A(2x2)_n3A(4x4)
 UL: DC_1A_n3A
 [8 (4+2+2) LTE &amp; 4 NR layers]</t>
  </si>
  <si>
    <t>DC_1A-20A-32A_n3A</t>
  </si>
  <si>
    <t>1A-20A-32A</t>
  </si>
  <si>
    <t>MTR-35946</t>
  </si>
  <si>
    <t>DC_1A(4x4)-20A(2x2)-32A(2x2)_n3A(4x4)
 UL: DC_20A_n3A
 [8 (4+2+2) LTE &amp; 4 NR layers]</t>
  </si>
  <si>
    <t>MTR-36927</t>
  </si>
  <si>
    <t>DC_1A(4x4)-28A(2x2)-32A(2x2)_n3A(4x4)
 UL: DC_1A_n3A
 [8 (4+2+2) LTE &amp; 4 NR layers]</t>
  </si>
  <si>
    <t>DC_1A-28A-32A_n3A</t>
  </si>
  <si>
    <t>1A-28A-32A</t>
  </si>
  <si>
    <t>MTR-36928</t>
  </si>
  <si>
    <t>DC_1A(4x4)-28A(2x2)-32A(2x2)_n3A(4x4)
 UL: DC_28A_n3A
 [8 (4+2+2) LTE &amp; 4 NR layers]</t>
  </si>
  <si>
    <t>MTR-36470</t>
  </si>
  <si>
    <t>DC_3A(4x4)-7C(4x4)_n3A(4x4)
 UL: DC_3A_n3A
 [12 (4+4+4) LTE &amp; 4 NR layers]</t>
  </si>
  <si>
    <t>DC_3A-7C_n3A</t>
  </si>
  <si>
    <t>MTR-36471</t>
  </si>
  <si>
    <t>DC_3A(4x4)-7C(4x4)_n3A(4x4)
 UL: DC_7A_n3A
 [12 (4+4+4) LTE &amp; 4 NR layers]</t>
  </si>
  <si>
    <t>MTR-39272</t>
  </si>
  <si>
    <t>DC_3A(4x4)-7A(4x4)-20A(2x2)_n3A(4x4)
 UL: DC_3A_n3A
 [10 (4+4+2) LTE &amp; 4 NR layers]</t>
  </si>
  <si>
    <t>DC_3A-7A-20A_n3A</t>
  </si>
  <si>
    <t>MTR-39273</t>
  </si>
  <si>
    <t>DC_3A(4x4)-7A(4x4)-20A(2x2)_n3A(4x4)
 UL: DC_7A_n3A
 [10 (4+4+2) LTE &amp; 4 NR layers]</t>
  </si>
  <si>
    <t>MTR-39274</t>
  </si>
  <si>
    <t>DC_3A(4x4)-7A(4x4)-20A(2x2)_n3A(4x4)
 UL: DC_20A_n3A
 [10 (4+4+2) LTE &amp; 4 NR layers]</t>
  </si>
  <si>
    <t>MTR-36467</t>
  </si>
  <si>
    <t>DC_3A(4x4)-7A(4x4)-28A(2x2)_n3A(4x4)
 UL: DC_3A_n3A
 [10 (4+4+2) LTE &amp; 4 NR layers]</t>
  </si>
  <si>
    <t>DC_3A-7A-28A_n3A</t>
  </si>
  <si>
    <t>MTR-36468</t>
  </si>
  <si>
    <t>DC_3A(4x4)-7A(4x4)-28A(2x2)_n3A(4x4)
 UL: DC_7A_n3A
 [10 (4+4+2) LTE &amp; 4 NR layers]</t>
  </si>
  <si>
    <t>MTR-36469</t>
  </si>
  <si>
    <t>DC_3A(4x4)-7A(4x4)-28A(2x2)_n3A(4x4)
 UL: DC_28A_n3A
 [10 (4+4+2) LTE &amp; 4 NR layers]</t>
  </si>
  <si>
    <t>MTR-35373</t>
  </si>
  <si>
    <t>DC_7C(4x4)-20A(2x2)_n3A(4x4)
 UL: DC_7A_n3A
 [10 (4+4+2) LTE &amp; 4 NR layers]</t>
  </si>
  <si>
    <t>DC_7C-20A_n3A</t>
  </si>
  <si>
    <t>MTR-35374</t>
  </si>
  <si>
    <t>DC_7C(4x4)-20A(2x2)_n3A(4x4)
 UL: DC_7C_n3A
 [10 (4+4+2) LTE &amp; 4 NR layers]</t>
  </si>
  <si>
    <t>MTR-35375</t>
  </si>
  <si>
    <t>DC_7C(4x4)-20A(2x2)_n3A(4x4)
 UL: DC_20A_n3A
 [10 (4+4+2) LTE &amp; 4 NR layers]</t>
  </si>
  <si>
    <t>MTR-35380</t>
  </si>
  <si>
    <t>DC_7C(4x4)-28A(2x2)_n3A(4x4)
 UL: DC_7A_n3A
 [10 (4+4+2) LTE &amp; 4 NR layers]</t>
  </si>
  <si>
    <t>DC_7C-28A_n3A</t>
  </si>
  <si>
    <t>7C-28A</t>
  </si>
  <si>
    <t>MTR-35381</t>
  </si>
  <si>
    <t>DC_7C(4x4)-28A(2x2)_n3A(4x4)
 UL: DC_7C_n3A
 [10 (4+4+2) LTE &amp; 4 NR layers]</t>
  </si>
  <si>
    <t>MTR-35382</t>
  </si>
  <si>
    <t>DC_7C(4x4)-28A(2x2)_n3A(4x4)
 UL: DC_28A_n3A
 [10 (4+4+2) LTE &amp; 4 NR layers]</t>
  </si>
  <si>
    <t>MTR-38880</t>
  </si>
  <si>
    <t>DC_7C(4x4)-32A(2x2)_n3A(4x4)
 UL: DC_7A_n3A
 [10 (4+4+2) LTE &amp; 4 NR layers]</t>
  </si>
  <si>
    <t>DC_7C-32A_n3A</t>
  </si>
  <si>
    <t>7C-32A</t>
  </si>
  <si>
    <t>MTR-36942</t>
  </si>
  <si>
    <t>DC_7A(4x4)-8A(2x2)-20A(2x2)_n3A(4x4)
 UL: DC_7A_n3A
 [8 (4+2+2) LTE &amp; 4 NR layers]</t>
  </si>
  <si>
    <t>DC_7A-8A-20A_n3A</t>
  </si>
  <si>
    <t>MTR-36943</t>
  </si>
  <si>
    <t>DC_7A(4x4)-8A(2x2)-20A(2x2)_n3A(4x4)
 UL: DC_8A_n3A
 [8 (4+2+2) LTE &amp; 4 NR layers]</t>
  </si>
  <si>
    <t>MTR-36944</t>
  </si>
  <si>
    <t>DC_7A(4x4)-8A(2x2)-20A(2x2)_n3A(4x4)
 UL: DC_20A_n3A
 [8 (4+2+2) LTE &amp; 4 NR layers]</t>
  </si>
  <si>
    <t>MTR-36934</t>
  </si>
  <si>
    <t>DC_7A(4x4)-20A(2x2)-28A(2x2)_n3A(4x4)
 UL: DC_7A_n3A
 [8 (4+2+2) LTE &amp; 4 NR layers]</t>
  </si>
  <si>
    <t>DC_7A-20A-28A_n3A</t>
  </si>
  <si>
    <t>MTR-36935</t>
  </si>
  <si>
    <t>DC_7A(4x4)-20A(2x2)-28A(2x2)_n3A(4x4)
 UL: DC_20A_n3A
 [8 (4+2+2) LTE &amp; 4 NR layers]</t>
  </si>
  <si>
    <t>MTR-36936</t>
  </si>
  <si>
    <t>DC_7A(4x4)-20A(2x2)-28A(2x2)_n3A(4x4)
 UL: DC_28A_n3A
 [8 (4+2+2) LTE &amp; 4 NR layers]</t>
  </si>
  <si>
    <t>MTR-36937</t>
  </si>
  <si>
    <t>DC_7A(4x4)-20A(2x2)-32A(2x2)_n3A(4x4)
 UL: DC_7A_n3A
 [8 (4+2+2) LTE &amp; 4 NR layers]</t>
  </si>
  <si>
    <t>DC_7A-20A-32A_n3A</t>
  </si>
  <si>
    <t>MTR-36938</t>
  </si>
  <si>
    <t>DC_7A(4x4)-20A(2x2)-32A(2x2)_n3A(4x4)
 UL: DC_20A_n3A
 [8 (4+2+2) LTE &amp; 4 NR layers]</t>
  </si>
  <si>
    <t>MTR-36940</t>
  </si>
  <si>
    <t>DC_7A(4x4)-28A(2x2)-32A(2x2)_n3A(4x4)
 UL: DC_7A_n3A
 [8 (4+2+2) LTE &amp; 4 NR layers]</t>
  </si>
  <si>
    <t>DC_7A-28A-32A_n3A</t>
  </si>
  <si>
    <t>MTR-36941</t>
  </si>
  <si>
    <t>DC_7A(4x4)-28A(2x2)-32A(2x2)_n3A(4x4)
 UL: DC_28A_n3A
 [8 (4+2+2) LTE &amp; 4 NR layers]</t>
  </si>
  <si>
    <t>MTR-39275</t>
  </si>
  <si>
    <t>DC_8A(2x2)-20A(2x2)-28A(2x2)_n3A(4x4)
 UL: DC_8A_n3A
 [6 (2+2+2) LTE &amp; 4 NR layers]</t>
  </si>
  <si>
    <t>DC_8A-20A-28A_n3A</t>
  </si>
  <si>
    <t>8A-20A-28A</t>
  </si>
  <si>
    <t>MTR-39276</t>
  </si>
  <si>
    <t>DC_8A(2x2)-20A(2x2)-28A(2x2)_n3A(4x4)
 UL: DC_20A_n3A
 [6 (2+2+2) LTE &amp; 4 NR layers]</t>
  </si>
  <si>
    <t>MTR-39277</t>
  </si>
  <si>
    <t>DC_8A(2x2)-20A(2x2)-28A(2x2)_n3A(4x4)
 UL: DC_28A_n3A
 [6 (2+2+2) LTE &amp; 4 NR layers]</t>
  </si>
  <si>
    <t>MTR-39278</t>
  </si>
  <si>
    <t>DC_8A(2x2)-20A(2x2)-32A(2x2)_n3A(4x4)
 UL: DC_8A_n3A
 [6 (2+2+2) LTE &amp; 4 NR layers]</t>
  </si>
  <si>
    <t>DC_8A-20A-32A_n3A</t>
  </si>
  <si>
    <t>MTR-39279</t>
  </si>
  <si>
    <t>DC_8A(2x2)-20A(2x2)-32A(2x2)_n3A(4x4)
 UL: DC_20A_n3A
 [6 (2+2+2) LTE &amp; 4 NR layers]</t>
  </si>
  <si>
    <t>MTR-36932</t>
  </si>
  <si>
    <t>DC_20A(2x2)-28A(2x2)-32A(2x2)_n3A(4x4)
 UL: DC_20A_n3A
 [6 (2+2+2) LTE &amp; 4 NR layers]</t>
  </si>
  <si>
    <t>DC_20A-28A-32A_n3A</t>
  </si>
  <si>
    <t>MTR-36933</t>
  </si>
  <si>
    <t>DC_20A(2x2)-28A(2x2)-32A(2x2)_n3A(4x4)
 UL: DC_28A_n3A
 [6 (2+2+2) LTE &amp; 4 NR layers]</t>
  </si>
  <si>
    <t>MTR-35335</t>
  </si>
  <si>
    <r>
      <rPr>
        <rFont val="Arial"/>
        <b/>
        <color theme="1"/>
        <sz val="10.0"/>
      </rPr>
      <t>2.5.2.3.4</t>
    </r>
    <r>
      <rPr>
        <rFont val="Arial"/>
        <b val="0"/>
        <color theme="1"/>
        <sz val="10.0"/>
      </rPr>
      <t xml:space="preserve"> </t>
    </r>
    <r>
      <rPr>
        <rFont val="Arial"/>
        <b/>
        <color theme="1"/>
        <sz val="10.0"/>
      </rPr>
      <t>EN-DC 4 Carriers LTE + 1 Carrier n3A</t>
    </r>
  </si>
  <si>
    <t>MTR-36476</t>
  </si>
  <si>
    <t>DC_1A(4x4)-3A(4x4)-7C(4x4)_n3A(4x4)
 UL: DC_1A_n3A
 [16 (4+4+4+4) LTE &amp; 4 NR layers]</t>
  </si>
  <si>
    <t>DC_1A-3A-7C_n3A</t>
  </si>
  <si>
    <t>1A-3A-7C</t>
  </si>
  <si>
    <t>MTR-36477</t>
  </si>
  <si>
    <t>DC_1A(4x4)-3A(4x4)-7C(4x4)_n3A(4x4)
 UL: DC_3A_n3A
 [16 (4+4+4+4) LTE &amp; 4 NR layers]</t>
  </si>
  <si>
    <t>MTR-36478</t>
  </si>
  <si>
    <t>DC_1A(4x4)-3A(4x4)-7C(4x4)_n3A(4x4)
 UL: DC_7A_n3A
 [16 (4+4+4+4) LTE &amp; 4 NR layers]</t>
  </si>
  <si>
    <t>MTR-36472</t>
  </si>
  <si>
    <t>DC_1A(4x4)-3A(4x4)-7A(4x4)-28A(2x2)_n3A(4x4)
 UL: DC_1A_n3A
 [14 (4+4+4+2) LTE &amp; 4 NR layers]</t>
  </si>
  <si>
    <t>DC_1A-3A-7A-28A_n3A</t>
  </si>
  <si>
    <t>1A-3A-7A-28A</t>
  </si>
  <si>
    <t>MTR-36473</t>
  </si>
  <si>
    <t>DC_1A(4x4)-3A(4x4)-7A(4x4)-28A(2x2)_n3A(4x4)
 UL: DC_3A_n3A
 [14 (4+4+4+2) LTE &amp; 4 NR layers]</t>
  </si>
  <si>
    <t>MTR-36474</t>
  </si>
  <si>
    <t>DC_1A(4x4)-3A(4x4)-7A(4x4)-28A(2x2)_n3A(4x4)
 UL: DC_7A_n3A
 [14 (4+4+4+2) LTE &amp; 4 NR layers]</t>
  </si>
  <si>
    <t>MTR-36475</t>
  </si>
  <si>
    <t>DC_1A(4x4)-3A(4x4)-7A(4x4)-28A(2x2)_n3A(4x4)
 UL: DC_28A_n3A
 [14 (4+4+4+2) LTE &amp; 4 NR layers]</t>
  </si>
  <si>
    <t>MTR-35336</t>
  </si>
  <si>
    <t>DC_1A(4x4)-7C(4x4)-20A(2x2)_n3A(4x4)
 UL: DC_1A_n3A
 [14 (4+8+2) LTE &amp; 4 NR layers]</t>
  </si>
  <si>
    <t>DC_1A-7C-20A_n3A</t>
  </si>
  <si>
    <t>1A-7C-20A</t>
  </si>
  <si>
    <t>MTR-35337</t>
  </si>
  <si>
    <t>DC_1A(4x4)-7C(4x4)-20A(2x2)_n3A(4x4)
 UL: DC_7A_n3A
 [14 (4+8+2) LTE &amp; 4 NR layers]</t>
  </si>
  <si>
    <t>MTR-35338</t>
  </si>
  <si>
    <t>DC_1A(4x4)-7C(4x4)-20A(2x2)_n3A(4x4)
 UL: DC_7C_n3A
 [14 (4+8+2) LTE &amp; 4 NR layers]</t>
  </si>
  <si>
    <t>MTR-35339</t>
  </si>
  <si>
    <t>DC_1A(4x4)-7C(4x4)-20A(2x2)_n3A(4x4)
 UL: DC_20A_n3A
 [14 (4+8+2) LTE &amp; 4 NR layers]</t>
  </si>
  <si>
    <t>MTR-36479</t>
  </si>
  <si>
    <t>DC_1A(4x4)-7C(4x4)-28A(2x2)_n3A(4x4)
 UL: DC_1A_n3A
 [14 (4+4+4+2) LTE &amp; 4 NR layers]</t>
  </si>
  <si>
    <t>DC_1A-7C-28A_n3A</t>
  </si>
  <si>
    <t>1A-7C-28A</t>
  </si>
  <si>
    <t>MTR-36480</t>
  </si>
  <si>
    <t>DC_1A(4x4)-7C(4x4)-28A(2x2)_n3A(4x4)
 UL: DC_7A_n3A
 [14 (4+4+4+2) LTE &amp; 4 NR layers]</t>
  </si>
  <si>
    <t>MTR-36481</t>
  </si>
  <si>
    <t>DC_1A(4x4)-7C(4x4)-28A(2x2)_n3A(4x4)
 UL: DC_7C_n3A
 [14 (4+4+4+2) LTE &amp; 4 NR layers]</t>
  </si>
  <si>
    <t>MTR-36482</t>
  </si>
  <si>
    <t>DC_1A(4x4)-7C(4x4)-28A(2x2)_n3A(4x4)
 UL: DC_28A_n3A
 [14 (4+4+4+2) LTE &amp; 4 NR layers]</t>
  </si>
  <si>
    <t>MTR-38881</t>
  </si>
  <si>
    <t>DC_1A(4x4)-7C(4x4)-32A(2x2)_n3A(4x4)
 UL: DC_1A_n3A
 [14 (4+4+4+2) LTE &amp; 4 NR layers]</t>
  </si>
  <si>
    <t>DC_1A-7C-32A_n3A</t>
  </si>
  <si>
    <t>1A-7C-32A</t>
  </si>
  <si>
    <t>MTR-38882</t>
  </si>
  <si>
    <t>DC_1A(4x4)-7C(4x4)-32A(2x2)_n3A(4x4)
 UL: DC_7A_n3A
 [14 (4+4+4+2) LTE &amp; 4 NR layers]</t>
  </si>
  <si>
    <t>MTR-36960</t>
  </si>
  <si>
    <t>DC_1A(4x4)-7A(4x4)-8A(2x2)-20A(2x2)_n3A(4x4)
 UL: DC_1A_n3A
 [12 (4+4+2+2) LTE &amp; 4 NR layers]</t>
  </si>
  <si>
    <t>DC_1A-7A-8A-20A_n3A</t>
  </si>
  <si>
    <t>1A-7A-8A-20A</t>
  </si>
  <si>
    <t>MTR-36961</t>
  </si>
  <si>
    <t>DC_1A(4x4)-7A(4x4)-8A(2x2)-20A(2x2)_n3A(4x4)
 UL: DC_7A_n3A
 [12 (4+4+2+2) LTE &amp; 4 NR layers]</t>
  </si>
  <si>
    <t>MTR-36962</t>
  </si>
  <si>
    <t>DC_1A(4x4)-7A(4x4)-8A(2x2)-20A(2x2)_n3A(4x4)
 UL: DC_8A_n3A
 [12 (4+4+2+2) LTE &amp; 4 NR layers]</t>
  </si>
  <si>
    <t>MTR-36963</t>
  </si>
  <si>
    <t>DC_1A(4x4)-7A(4x4)-8A(2x2)-20A(2x2)_n3A(4x4)
 UL: DC_20A_n3A
 [12 (4+4+2+2) LTE &amp; 4 NR layers]</t>
  </si>
  <si>
    <t>MTR-36948</t>
  </si>
  <si>
    <t>DC_1A(4x4)-7A(4x4)-20A(2x2)-28A(2x2)_n3A(4x4)
 UL: DC_1A_n3A
 [12 (4+4+2+2) LTE &amp; 4 NR layers]</t>
  </si>
  <si>
    <t>DC_1A-7A-20A-28A_n3A</t>
  </si>
  <si>
    <t>1A-7A-20A-28A</t>
  </si>
  <si>
    <t>MTR-36949</t>
  </si>
  <si>
    <t>DC_1A(4x4)-7A(4x4)-20A(2x2)-28A(2x2)_n3A(4x4)
 UL: DC_7A_n3A
 [12 (4+4+2+2) LTE &amp; 4 NR layers]</t>
  </si>
  <si>
    <t>MTR-36950</t>
  </si>
  <si>
    <t>DC_1A(4x4)-7A(4x4)-20A(2x2)-28A(2x2)_n3A(4x4)
 UL: DC_20A_n3A
 [12 (4+4+2+2) LTE &amp; 4 NR layers]</t>
  </si>
  <si>
    <t>MTR-36951</t>
  </si>
  <si>
    <t>DC_1A(4x4)-7A(4x4)-20A(2x2)-28A(2x2)_n3A(4x4)
 UL: DC_28A_n3A
 [12 (4+4+2+2) LTE &amp; 4 NR layers]</t>
  </si>
  <si>
    <t>MTR-36952</t>
  </si>
  <si>
    <t>DC_1A(4x4)-7A(4x4)-20A(2x2)-32A(2x2)_n3A(4x4)
 UL: DC_1A_n3A
 [12 (4+4+2+2) LTE &amp; 4 NR layers]</t>
  </si>
  <si>
    <t>DC_1A-7A-20A-32A_n3A</t>
  </si>
  <si>
    <t>1A-7A-20A-32A</t>
  </si>
  <si>
    <t>MTR-36953</t>
  </si>
  <si>
    <t>DC_1A(4x4)-7A(4x4)-20A(2x2)-32A(2x2)_n3A(4x4)
 UL: DC_7A_n3A
 [12 (4+4+2+2) LTE &amp; 4 NR layers]</t>
  </si>
  <si>
    <t>MTR-36954</t>
  </si>
  <si>
    <t>DC_1A(4x4)-7A(4x4)-20A(2x2)-32A(2x2)_n3A(4x4)
 UL: DC_20A_n3A
 [12 (4+4+2+2) LTE &amp; 4 NR layers]</t>
  </si>
  <si>
    <t>MTR-36957</t>
  </si>
  <si>
    <t>DC_1A(4x4)-7A(4x4)-28A(2x2)-32A(2x2)_n3A(4x4)
 UL: DC_1A_n3A
 [12 (4+4+2+2) LTE &amp; 4 NR layers]</t>
  </si>
  <si>
    <t>DC_1A-7A-28A-32A_n3A</t>
  </si>
  <si>
    <t>1A-7A-28A-32A</t>
  </si>
  <si>
    <t>MTR-36958</t>
  </si>
  <si>
    <t>DC_1A(4x4)-7A(4x4)-28A(2x2)-32A(2x2)_n3A(4x4)
 UL: DC_7A_n3A
 [12 (4+4+2+2) LTE &amp; 4 NR layers]</t>
  </si>
  <si>
    <t>MTR-36959</t>
  </si>
  <si>
    <t>DC_1A(4x4)-7A(4x4)-28A(2x2)-32A(2x2)_n3A(4x4)
 UL: DC_28A_n3A
 [12 (4+4+2+2) LTE &amp; 4 NR layers]</t>
  </si>
  <si>
    <t>MTR-36945</t>
  </si>
  <si>
    <t>DC_1A(4x4)-20A(2x2)-28A(2x2)-32A(2x2)_n3A(4x4)
 UL: DC_1A_n3A
 [10 (4+2+2+2) LTE &amp; 4 NR layers]</t>
  </si>
  <si>
    <t>DC_1A-20A-28A-32A_n3A</t>
  </si>
  <si>
    <t>1A-20A-28A-32A</t>
  </si>
  <si>
    <t>MTR-36946</t>
  </si>
  <si>
    <t>DC_1A(4x4)-20A(2x2)-28A(2x2)-32A(2x2)_n3A(4x4)
 UL: DC_20A_n3A
 [10 (4+2+2+2) LTE &amp; 4 NR layers]</t>
  </si>
  <si>
    <t>MTR-36947</t>
  </si>
  <si>
    <t>DC_1A(4x4)-20A(2x2)-28A(2x2)-32A(2x2)_n3A(4x4)
 UL: DC_28A_n3A
 [10 (4+2+2+2) LTE &amp; 4 NR layers]</t>
  </si>
  <si>
    <t>MTR-36483</t>
  </si>
  <si>
    <t>DC_3A(4x4)-7C(4x4)-28A(2x2)_n3A(4x4)
 UL: DC_3A_n3A
 [14 (4+4+4+2) LTE &amp; 4 NR layers]</t>
  </si>
  <si>
    <t>DC_3A-7C-28A_n3A</t>
  </si>
  <si>
    <t>3A-7C-28A</t>
  </si>
  <si>
    <t>MTR-36484</t>
  </si>
  <si>
    <t>DC_3A(4x4)-7C(4x4)-28A(2x2)_n3A(4x4)
 UL: DC_7A_n3A
 [14 (4+4+4+2) LTE &amp; 4 NR layers]</t>
  </si>
  <si>
    <t>MTR-36485</t>
  </si>
  <si>
    <t>DC_3A(4x4)-7C(4x4)-28A(2x2)_n3A(4x4)
 UL: DC_7C_n3A
 [14 (4+4+4+2) LTE &amp; 4 NR layers]</t>
  </si>
  <si>
    <t>MTR-36486</t>
  </si>
  <si>
    <t>DC_3A(4x4)-7C(4x4)-28A(2x2)_n3A(4x4)
 UL: DC_28A_n3A
 [14 (4+4+4+2) LTE &amp; 4 NR layers]</t>
  </si>
  <si>
    <t>MTR-38883</t>
  </si>
  <si>
    <t>DC_7C(4x4)-20A(2x2)-28A(2x2)_n3A(4x4)
 UL: DC_7A_n3A
 [12 (4+4+2+2) LTE &amp; 4 NR layers]</t>
  </si>
  <si>
    <t>DC_7C-20A-28A_n3A</t>
  </si>
  <si>
    <t>7C-20A-28A</t>
  </si>
  <si>
    <t>MTR-38884</t>
  </si>
  <si>
    <t>DC_7C(4x4)-20A(2x2)-28A(2x2)_n3A(4x4)
 UL: DC_20A_n3A
 [12 (4+4+2+2) LTE &amp; 4 NR layers]</t>
  </si>
  <si>
    <t>MTR-38885</t>
  </si>
  <si>
    <t>DC_7C(4x4)-20A(2x2)-28A(2x2)_n3A(4x4)
 UL: DC_28A_n3A
 [12 (4+4+2+2) LTE &amp; 4 NR layers]</t>
  </si>
  <si>
    <t>MTR-38886</t>
  </si>
  <si>
    <t>DC_7C(4x4)-20A(2x2)-32A(2x2)_n3A(4x4)
 UL: DC_7A_n3A
 [12 (4+4+2+2) LTE &amp; 4 NR layers]</t>
  </si>
  <si>
    <t>DC_7C-20A-32A_n3A</t>
  </si>
  <si>
    <t>7C-20A-32A</t>
  </si>
  <si>
    <t>MTR-38887</t>
  </si>
  <si>
    <t>DC_7C(4x4)-20A(2x2)-32A(2x2)_n3A(4x4)
 UL: DC_20A_n3A
 [12 (4+4+2+2) LTE &amp; 4 NR layers]</t>
  </si>
  <si>
    <t>MTR-38888</t>
  </si>
  <si>
    <t>DC_7C(4x4)-28A(2x2)-32A(2x2)_n3A(4x4)
 UL: DC_7A_n3A
 [12 (4+4+2+2) LTE &amp; 4 NR layers]</t>
  </si>
  <si>
    <t>DC_7C-28A-32A_n3A</t>
  </si>
  <si>
    <t>7C-28A-32A</t>
  </si>
  <si>
    <t>MTR-38889</t>
  </si>
  <si>
    <t>DC_7C(4x4)-28A(2x2)-32A(2x2)_n3A(4x4)
 UL: DC_28A_n3A
 [12 (4+4+2+2) LTE &amp; 4 NR layers]</t>
  </si>
  <si>
    <t>MTR-36964</t>
  </si>
  <si>
    <t>DC_7A(4x4)-20A(2x2)-28A(2x2)-32A(2x2)_n3A(4x4)
 UL: DC_7A_n3A
 [10 (4+2+2+2) LTE &amp; 4 NR layers]</t>
  </si>
  <si>
    <t>DC_7A-20A-28A-32A_n3A</t>
  </si>
  <si>
    <t>MTR-36965</t>
  </si>
  <si>
    <t>DC_7A(4x4)-20A(2x2)-28A(2x2)-32A(2x2)_n3A(4x4)
 UL: DC_20A_n3A
 [10 (4+2+2+2) LTE &amp; 4 NR layers]</t>
  </si>
  <si>
    <t>MTR-36966</t>
  </si>
  <si>
    <t>DC_7A(4x4)-20A(2x2)-28A(2x2)-32A(2x2)_n3A(4x4)
 UL: DC_28A_n3A
 [10 (4+2+2+2) LTE &amp; 4 NR layers]</t>
  </si>
  <si>
    <t>MTR-36730</t>
  </si>
  <si>
    <r>
      <rPr>
        <rFont val="Arial"/>
        <b/>
        <color theme="1"/>
        <sz val="10.0"/>
      </rPr>
      <t>2.5.2.3.5</t>
    </r>
    <r>
      <rPr>
        <rFont val="Arial"/>
        <b val="0"/>
        <color theme="1"/>
        <sz val="10.0"/>
      </rPr>
      <t xml:space="preserve"> </t>
    </r>
    <r>
      <rPr>
        <rFont val="Arial"/>
        <b/>
        <color theme="1"/>
        <sz val="10.0"/>
      </rPr>
      <t>EN-DC 5 Carriers LTE + 1 Carrier n3A</t>
    </r>
  </si>
  <si>
    <t>MTR-36487</t>
  </si>
  <si>
    <t>DC_1A(4x4)-3A(4x4)-7C(4x4)-28A(2x2)_n3A(4x4)
 UL: DC_1A_n3A
 [18 (4+4+4+4+2) LTE &amp; 4 NR layers]</t>
  </si>
  <si>
    <t>DC_1A-3A-7C-28A_n3A</t>
  </si>
  <si>
    <t>1A-3A-7C-28A</t>
  </si>
  <si>
    <t>MTR-36488</t>
  </si>
  <si>
    <t>DC_1A(4x4)-3A(4x4)-7C(4x4)-28A(2x2)_n3A(4x4)
 UL: DC_3A_n3A
 [18 (4+4+4+4+2) LTE &amp; 4 NR layers]</t>
  </si>
  <si>
    <t>MTR-36489</t>
  </si>
  <si>
    <t>DC_1A(4x4)-3A(4x4)-7C(4x4)-28A(2x2)_n3A(4x4)
 UL: DC_7A_n3A
 [18 (4+4+4+4+2) LTE &amp; 4 NR layers]</t>
  </si>
  <si>
    <t>MTR-36490</t>
  </si>
  <si>
    <t>DC_1A(4x4)-3A(4x4)-7C(4x4)-28A(2x2)_n3A(4x4)
 UL: DC_7C_n3A
 [18 (4+4+4+4+2) LTE &amp; 4 NR layers]</t>
  </si>
  <si>
    <t>MTR-36491</t>
  </si>
  <si>
    <t>DC_1A(4x4)-3A(4x4)-7C(4x4)-28A(2x2)_n3A(4x4)
 UL: DC_28A_n3A
 [18 (4+4+4+4+2) LTE &amp; 4 NR layers]</t>
  </si>
  <si>
    <t>MTR-38890</t>
  </si>
  <si>
    <t>DC_1A(4x4)-7C(4x4)-20A(2x2)-28A(2x2)_n3A(4x4)
 UL: DC_1A_n3A
 [16 (4+4+4+2+2) LTE &amp; 4 NR layers]</t>
  </si>
  <si>
    <t>DC_1A-7C-20A-28A_n3A</t>
  </si>
  <si>
    <t>1A-7C-20A-28A</t>
  </si>
  <si>
    <t>MTR-38891</t>
  </si>
  <si>
    <t>DC_1A(4x4)-7C(4x4)-20A(2x2)-28A(2x2)_n3A(4x4)
 UL: DC_7A_n3A
 [16 (4+4+4+2+2) LTE &amp; 4 NR layers]</t>
  </si>
  <si>
    <t>MTR-38892</t>
  </si>
  <si>
    <t>DC_1A(4x4)-7C(4x4)-20A(2x2)-28A(2x2)_n3A(4x4)
 UL: DC_20A_n3A
 [16 (4+4+4+2+2) LTE &amp; 4 NR layers]</t>
  </si>
  <si>
    <t>MTR-38893</t>
  </si>
  <si>
    <t>DC_1A(4x4)-7C(4x4)-20A(2x2)-28A(2x2)_n3A(4x4)
 UL: DC_28A_n3A
 [16 (4+4+4+2+2) LTE &amp; 4 NR layers]</t>
  </si>
  <si>
    <t>MTR-38894</t>
  </si>
  <si>
    <t>DC_1A(4x4)-7C(4x4)-20A(2x2)-32A(2x2)_n3A(4x4)
 UL: DC_1A_n3A
 [16 (4+4+4+2+2) LTE &amp; 4 NR layers]</t>
  </si>
  <si>
    <t>DC_1A-7C-20A-32A_n3A</t>
  </si>
  <si>
    <t>1A-7C-20A-32A</t>
  </si>
  <si>
    <t>MTR-38895</t>
  </si>
  <si>
    <t>DC_1A(4x4)-7C(4x4)-20A(2x2)-32A(2x2)_n3A(4x4)
 UL: DC_7A_n3A
 [16 (4+4+4+2+2) LTE &amp; 4 NR layers]</t>
  </si>
  <si>
    <t>MTR-38896</t>
  </si>
  <si>
    <t>DC_1A(4x4)-7C(4x4)-20A(2x2)-32A(2x2)_n3A(4x4)
 UL: DC_20A_n3A
 [16 (4+4+4+2+2) LTE &amp; 4 NR layers]</t>
  </si>
  <si>
    <t>MTR-38897</t>
  </si>
  <si>
    <t>DC_1A(4x4)-7C(4x4)-28A(2x2)-32A(2x2)_n3A(4x4)
 UL: DC_1A_n3A
 [16 (4+4+4+2+2) LTE &amp; 4 NR layers]</t>
  </si>
  <si>
    <t>DC_1A-7C-28A-32A_n3A</t>
  </si>
  <si>
    <t>1A-7C-28A-32A</t>
  </si>
  <si>
    <t>MTR-38898</t>
  </si>
  <si>
    <t>DC_1A(4x4)-7C(4x4)-28A(2x2)-32A(2x2)_n3A(4x4)
 UL: DC_7A_n3A
 [16 (4+4+4+2+2) LTE &amp; 4 NR layers]</t>
  </si>
  <si>
    <t>MTR-38899</t>
  </si>
  <si>
    <t>DC_1A(4x4)-7C(4x4)-28A(2x2)-32A(2x2)_n3A(4x4)
 UL: DC_28A_n3A
 [16 (4+4+4+2+2) LTE &amp; 4 NR layers]</t>
  </si>
  <si>
    <t>MTR-37811</t>
  </si>
  <si>
    <t>DC_1A(4x4)-7A(4x4)-20A(2x2)-28A(2x2)-32A(2x2)_n3A(4x4)
 UL: DC_1A_n3A
 [14 (4+4+2+2+2) LTE &amp; 4 NR layers]</t>
  </si>
  <si>
    <t>DC_1A-7A-20A-28A-32A_n3A</t>
  </si>
  <si>
    <t>1A-7A-20A-28A-32A</t>
  </si>
  <si>
    <t>MTR-37812</t>
  </si>
  <si>
    <t>DC_1A(4x4)-7A(4x4)-20A(2x2)-28A(2x2)-32A(2x2)_n3A(4x4)
 UL: DC_7A_n3A
 [14 (4+4+2+2+2) LTE &amp; 4 NR layers]</t>
  </si>
  <si>
    <t>MTR-37813</t>
  </si>
  <si>
    <t>DC_1A(4x4)-7A(4x4)-20A(2x2)-28A(2x2)-32A(2x2)_n3A(4x4)
 UL: DC_20A_n3A
 [14 (4+4+2+2+2) LTE &amp; 4 NR layers]</t>
  </si>
  <si>
    <t>MTR-37814</t>
  </si>
  <si>
    <t>DC_1A(4x4)-7A(4x4)-20A(2x2)-28A(2x2)-32A(2x2)_n3A(4x4)
 UL: DC_28A_n3A
 [14 (4+4+2+2+2) LTE &amp; 4 NR layers]</t>
  </si>
  <si>
    <t>MTR-38900</t>
  </si>
  <si>
    <t>DC_7C(4x4)-20A(2x2)-28A(2x2)-32A(2x2)_n3A(4x4)
 UL: DC_7A_n3A
 [14 (4+4+2+2+2) LTE &amp; 4 NR layers]</t>
  </si>
  <si>
    <t>DC_7C-20A-28A-32A_n3A</t>
  </si>
  <si>
    <t>7C-20A-28A-32A</t>
  </si>
  <si>
    <t>MTR-38901</t>
  </si>
  <si>
    <t>DC_7C(4x4)-20A(2x2)-28A(2x2)-32A(2x2)_n3A(4x4)
 UL: DC_20A_n3A
 [14 (4+4+2+2+2) LTE &amp; 4 NR layers]</t>
  </si>
  <si>
    <t>MTR-38902</t>
  </si>
  <si>
    <t>DC_7C(4x4)-20A(2x2)-28A(2x2)-32A(2x2)_n3A(4x4)
 UL: DC_28A_n3A
 [14 (4+4+2+2+2) LTE &amp; 4 NR layers]</t>
  </si>
  <si>
    <t>MTR-34212</t>
  </si>
  <si>
    <r>
      <rPr>
        <rFont val="Arial"/>
        <b/>
        <color theme="1"/>
        <sz val="10.0"/>
      </rPr>
      <t>2.5.2.4</t>
    </r>
    <r>
      <rPr>
        <rFont val="Arial"/>
        <b val="0"/>
        <color theme="1"/>
        <sz val="10.0"/>
      </rPr>
      <t xml:space="preserve"> </t>
    </r>
    <r>
      <rPr>
        <rFont val="Arial"/>
        <b/>
        <color theme="1"/>
        <sz val="10.0"/>
      </rPr>
      <t>EN-DC LTE CA + n7A</t>
    </r>
  </si>
  <si>
    <t>MTR-34485</t>
  </si>
  <si>
    <r>
      <rPr>
        <rFont val="Arial"/>
        <b/>
        <color theme="1"/>
        <sz val="10.0"/>
      </rPr>
      <t>2.5.2.4.1</t>
    </r>
    <r>
      <rPr>
        <rFont val="Arial"/>
        <b val="0"/>
        <color theme="1"/>
        <sz val="10.0"/>
      </rPr>
      <t xml:space="preserve"> </t>
    </r>
    <r>
      <rPr>
        <rFont val="Arial"/>
        <b/>
        <color theme="1"/>
        <sz val="10.0"/>
      </rPr>
      <t>EN-DC 1 Carrier LTE + 1 Carrier n7A</t>
    </r>
  </si>
  <si>
    <t>MTR-33675</t>
  </si>
  <si>
    <t>DC_1A(4x4)_n7A(4x4)
 UL: DC_1A_n7A
 [4 LTE &amp; 4 NR layers]</t>
  </si>
  <si>
    <t>DC_1A_n7A</t>
  </si>
  <si>
    <t>n7A</t>
  </si>
  <si>
    <t>MTR-33317</t>
  </si>
  <si>
    <t>DC_3A(4x4)_n7A(4x4)
 UL: DC_3A_n7A
 [4 LTE &amp; 4 NR layers]</t>
  </si>
  <si>
    <t>DC_3A_n7A</t>
  </si>
  <si>
    <t>MTR-38679</t>
  </si>
  <si>
    <t>DC_(n)7AA(4x4)
 UL: DC_(n)7AA
 [4 LTE &amp; 4 NR layers]</t>
  </si>
  <si>
    <t>DC_(n)7AA</t>
  </si>
  <si>
    <t>MTR-33677</t>
  </si>
  <si>
    <t>DC_7A(4x4)_n7A(4x4)
 UL: DC_7A_n7A
 [4 LTE &amp; 4 NR layers]</t>
  </si>
  <si>
    <t>DC_7A_n7A</t>
  </si>
  <si>
    <t>MTR-35950</t>
  </si>
  <si>
    <t>DC_8A(2x2)_n7A(4x4)
 UL: DC_8A_n7A
 [2 LTE &amp; 4 NR layers]</t>
  </si>
  <si>
    <t>DC_8A_n7A</t>
  </si>
  <si>
    <t>MTR-33678</t>
  </si>
  <si>
    <t>DC_20A(2x2)_n7A(4x4)
 UL: DC_20A_n7A
 [2 LTE &amp; 4 NR layers]</t>
  </si>
  <si>
    <t>DC_20A_n7A</t>
  </si>
  <si>
    <t>MTR-34824</t>
  </si>
  <si>
    <t>DC_28A(2x2)_n7A(4x4)
 UL: DC_28A_n7A
 [2 LTE &amp; 4 NR layers]</t>
  </si>
  <si>
    <t>DC_28A_n7A</t>
  </si>
  <si>
    <t>MTR-34486</t>
  </si>
  <si>
    <r>
      <rPr>
        <rFont val="Arial"/>
        <b/>
        <color theme="1"/>
        <sz val="10.0"/>
      </rPr>
      <t>2.5.2.4.2</t>
    </r>
    <r>
      <rPr>
        <rFont val="Arial"/>
        <b val="0"/>
        <color theme="1"/>
        <sz val="10.0"/>
      </rPr>
      <t xml:space="preserve"> </t>
    </r>
    <r>
      <rPr>
        <rFont val="Arial"/>
        <b/>
        <color theme="1"/>
        <sz val="10.0"/>
      </rPr>
      <t>EN-DC 2 Carriers LTE + 1 Carrier n7A</t>
    </r>
  </si>
  <si>
    <t>MTR-34825</t>
  </si>
  <si>
    <t>DC_1A(4x4)-1A(4x4)_n7A(4x4)
 UL: DC_1A_n7A
 [8 (4+4) LTE &amp; 4 NR layers]</t>
  </si>
  <si>
    <t>DC_1A-1A_n7A</t>
  </si>
  <si>
    <t>1A-1A</t>
  </si>
  <si>
    <t>MTR-34347</t>
  </si>
  <si>
    <t>DC_1A(4x4)-3A(4x4)_n7A(4x4)
 UL: DC_1A_n7A
 [8 (4+4) LTE &amp; 4 NR layers]</t>
  </si>
  <si>
    <t>DC_1A-3A_n7A</t>
  </si>
  <si>
    <t>MTR-34348</t>
  </si>
  <si>
    <t>DC_1A(4x4)-3A(4x4)_n7A(4x4)
 UL: DC_3A_n7A
 [8 (4+4) LTE &amp; 4 NR layers]</t>
  </si>
  <si>
    <t>MTR-34827</t>
  </si>
  <si>
    <t>DC_1A(4x4)-7A(4x4)_n7A(4x4)
 UL: DC_1A_n7A
 [8 (4+4) LTE &amp; 4 NR layers]</t>
  </si>
  <si>
    <t>DC_1A-7A_n7A</t>
  </si>
  <si>
    <t>MTR-34828</t>
  </si>
  <si>
    <t>DC_1A(4x4)-7A(4x4)_n7A(4x4)
 UL: DC_7A_n7A
 [8 (4+4) LTE &amp; 4 NR layers]</t>
  </si>
  <si>
    <t>MTR-39288</t>
  </si>
  <si>
    <t>DC_1A(4x4)_(n)7AA(4x4)
 UL: DC_1A_n7A
 [4 LTE &amp; 4 NR layers]</t>
  </si>
  <si>
    <t>DC_1A_(n)7AA</t>
  </si>
  <si>
    <t>MTR-39280</t>
  </si>
  <si>
    <t>DC_1A(4x4)-8A(2x2)_n7A(4x4)
 UL: DC_8A_n7A
 [6 (4+2) LTE &amp; 4 NR layers]</t>
  </si>
  <si>
    <t>DC_1A-8A_n7A</t>
  </si>
  <si>
    <t>MTR-39281</t>
  </si>
  <si>
    <t>DC_1A(4x4)-8A(2x2)_n7A(4x4)
 UL: DC_1A_n7A
 [6 (4+2) LTE &amp; 4 NR layers]</t>
  </si>
  <si>
    <t>MTR-38688</t>
  </si>
  <si>
    <t>DC_1A(4x4)-20A(2x2)_n7A(4x4)
 UL: DC_1A_n7A
 [6 (4+2) LTE &amp; 4 NR layers]</t>
  </si>
  <si>
    <t>DC_1A-20A_n7A</t>
  </si>
  <si>
    <t>Uplink support: ['DC_20A_n7A']</t>
  </si>
  <si>
    <t>MTR-38689</t>
  </si>
  <si>
    <t>DC_1A(4x4)-20A(2x2)_n7A(4x4)
 UL: DC_20A_n7A
 [6 (4+2) LTE &amp; 4 NR layers]</t>
  </si>
  <si>
    <t>MTR-34829</t>
  </si>
  <si>
    <t>DC_1A(4x4)-28A(2x2)_n7A(4x4)
 UL: DC_1A_n7A
 [6 (4+2) LTE &amp; 4 NR layers]</t>
  </si>
  <si>
    <t>DC_1A-28A_n7A</t>
  </si>
  <si>
    <t>Uplink support: ['DC_28A_n7A']</t>
  </si>
  <si>
    <t>MTR-34830</t>
  </si>
  <si>
    <t>DC_1A(4x4)-28A(2x2)_n7A(4x4)
 UL: DC_28A_n7A
 [6 (4+2) LTE &amp; 4 NR layers]</t>
  </si>
  <si>
    <t>MTR-34349</t>
  </si>
  <si>
    <t>DC_3C(4x4)_n7A(4x4)
 UL: DC_3A_n7A
 [8 (4+4) LTE &amp; 4 NR layers]</t>
  </si>
  <si>
    <t>DC_3C_n7A</t>
  </si>
  <si>
    <t>MTR-33676</t>
  </si>
  <si>
    <t>DC_3C(4x4)_n7A(4x4)
 UL: DC_3C_n7A
 [8 (4+4) LTE &amp; 4 NR layers]</t>
  </si>
  <si>
    <t>MTR-34826</t>
  </si>
  <si>
    <t>DC_3A(4x4)-3A(4x4)_n7A(4x4)
 UL: DC_3A_n7A
 [8 (4+4) LTE &amp; 4 NR layers]</t>
  </si>
  <si>
    <t>DC_3A-3A_n7A</t>
  </si>
  <si>
    <t>MTR-34831</t>
  </si>
  <si>
    <t>DC_3A(4x4)-7A(4x4)_n7A(4x4)
 UL: DC_3A_n7A
 [8 (4+4) LTE &amp; 4 NR layers]</t>
  </si>
  <si>
    <t>DC_3A-7A_n7A</t>
  </si>
  <si>
    <t>MTR-34832</t>
  </si>
  <si>
    <t>DC_3A(4x4)-7A(4x4)_n7A(4x4)
 UL: DC_7A_n7A
 [8 (4+4) LTE &amp; 4 NR layers]</t>
  </si>
  <si>
    <t>MTR-39289</t>
  </si>
  <si>
    <t>DC_3A(4x4)_(n)7AA(4x4)
 UL: DC_3A_n7A
 [4 LTE &amp; 4 NR layers]</t>
  </si>
  <si>
    <t>DC_3A_(n)7AA</t>
  </si>
  <si>
    <t>MTR-39452</t>
  </si>
  <si>
    <t>DC_3A(4x4)-8A(2x2)_n7A(4x4)
 UL: DC_3A_n7A
 [6 (4+2) LTE &amp; 4 NR layers]</t>
  </si>
  <si>
    <t>DC_3A-8A_n7A</t>
  </si>
  <si>
    <t>MTR-39453</t>
  </si>
  <si>
    <t>DC_3A(4x4)-8A(2x2)_n7A(4x4)
 UL: DC_8A_n7A
 [6 (4+2) LTE &amp; 4 NR layers]</t>
  </si>
  <si>
    <t>MTR-35363</t>
  </si>
  <si>
    <t>DC_3A(4x4)-20A(2x2)_n7A(4x4)
 UL: DC_3A_n7A
 [6 (4+2) LTE &amp; 4 NR layers]</t>
  </si>
  <si>
    <t>DC_3A-20A_n7A</t>
  </si>
  <si>
    <t>MTR-35364</t>
  </si>
  <si>
    <t>DC_3A(4x4)-20A(2x2)_n7A(4x4)
 UL: DC_20A_n7A
 [6 (4+2) LTE &amp; 4 NR layers]</t>
  </si>
  <si>
    <t>MTR-34833</t>
  </si>
  <si>
    <t>DC_3A(4x4)-28A(2x2)_n7A(4x4)
 UL: DC_3A_n7A
 [6 (4+2) LTE &amp; 4 NR layers]</t>
  </si>
  <si>
    <t>DC_3A-28A_n7A</t>
  </si>
  <si>
    <t>MTR-34834</t>
  </si>
  <si>
    <t>DC_3A(4x4)-28A(2x2)_n7A(4x4)
 UL: DC_28A_n7A
 [6 (4+2) LTE &amp; 4 NR layers]</t>
  </si>
  <si>
    <t>MTR-39282</t>
  </si>
  <si>
    <t>DC_3A(4x4)-32A(2x2)_n7A(4x4)
 UL: DC_3A_n7A
 [6 (4+2) LTE &amp; 4 NR layers]</t>
  </si>
  <si>
    <t>DC_3A-32A_n7A</t>
  </si>
  <si>
    <t>MTR-39283</t>
  </si>
  <si>
    <t>DC_7A(4x4)-8A(2x2)_n7A(4x4)
 UL: DC_7A_n7A
 [6 (4+2) LTE &amp; 4 NR layers]</t>
  </si>
  <si>
    <t>DC_7A-8A_n7A</t>
  </si>
  <si>
    <t>MTR-39284</t>
  </si>
  <si>
    <t>DC_7A(4x4)-8A(2x2)_n7A(4x4)
 UL: DC_8A_n7A
 [6 (4+2) LTE &amp; 4 NR layers]</t>
  </si>
  <si>
    <t>MTR-34835</t>
  </si>
  <si>
    <t>DC_7A(4x4)-28A(2x2)_n7A(4x4)
 UL: DC_7A_n7A
 [6 (4+2) LTE &amp; 4 NR layers]</t>
  </si>
  <si>
    <t>DC_7A-28A_n7A</t>
  </si>
  <si>
    <t>MTR-34836</t>
  </si>
  <si>
    <t>DC_7A(4x4)-28A(2x2)_n7A(4x4)
 UL: DC_28A_n7A
 [6 (4+2) LTE &amp; 4 NR layers]</t>
  </si>
  <si>
    <t>MTR-39290</t>
  </si>
  <si>
    <t>DC_28A(2x2)_(n)7AA(4x4)
 UL: DC_28A_n7A
 [2 LTE &amp; 4 NR layers]</t>
  </si>
  <si>
    <t>DC_28A_(n)7AA</t>
  </si>
  <si>
    <t>MTR-39285</t>
  </si>
  <si>
    <t>DC_20A(2x2)-32A(2x2)_n7A(4x4)
 UL: DC_20A_n7A
 [4 (2+2) LTE &amp; 4 NR layers]</t>
  </si>
  <si>
    <t>DC_20A-32A_n7A</t>
  </si>
  <si>
    <t>MTR-34487</t>
  </si>
  <si>
    <r>
      <rPr>
        <rFont val="Arial"/>
        <b/>
        <color theme="1"/>
        <sz val="10.0"/>
      </rPr>
      <t>2.5.2.4.3</t>
    </r>
    <r>
      <rPr>
        <rFont val="Arial"/>
        <b val="0"/>
        <color theme="1"/>
        <sz val="10.0"/>
      </rPr>
      <t xml:space="preserve"> </t>
    </r>
    <r>
      <rPr>
        <rFont val="Arial"/>
        <b/>
        <color theme="1"/>
        <sz val="10.0"/>
      </rPr>
      <t>EN-DC 3 Carriers LTE + 1 Carrier n7A</t>
    </r>
  </si>
  <si>
    <t>MTR-34839</t>
  </si>
  <si>
    <t>DC_1A(4x4)-1A(4x4)-3A(4x4)_n7A(4x4)
 UL: DC_1A_n7A
 [12 (4+4+4) LTE &amp; 4 NR layers]</t>
  </si>
  <si>
    <t>DC_1A-1A-3A_n7A</t>
  </si>
  <si>
    <t>1A-1A-3A</t>
  </si>
  <si>
    <t>MTR-34840</t>
  </si>
  <si>
    <t>DC_1A(4x4)-1A(4x4)-3A(4x4)_n7A(4x4)
 UL: DC_3A_n7A
 [12 (4+4+4) LTE &amp; 4 NR layers]</t>
  </si>
  <si>
    <t>MTR-34841</t>
  </si>
  <si>
    <t>DC_1A(4x4)-1A(4x4)-7A(4x4)_n7A(4x4)
 UL: DC_1A_n7A
 [12 (4+4+4) LTE &amp; 4 NR layers]</t>
  </si>
  <si>
    <t>DC_1A-1A-7A_n7A</t>
  </si>
  <si>
    <t>1A-1A-7A</t>
  </si>
  <si>
    <t>MTR-34842</t>
  </si>
  <si>
    <t>DC_1A(4x4)-1A(4x4)-7A(4x4)_n7A(4x4)
 UL: DC_7A_n7A
 [12 (4+4+4) LTE &amp; 4 NR layers]</t>
  </si>
  <si>
    <t>MTR-34843</t>
  </si>
  <si>
    <t>DC_1A(4x4)-1A(4x4)-28A(2x2)_n7A(4x4)
 UL: DC_1A_n7A
 [10 (4+4+2) LTE &amp; 4 NR layers]</t>
  </si>
  <si>
    <t>DC_1A-1A-28A_n7A</t>
  </si>
  <si>
    <t>1A-1A-28A</t>
  </si>
  <si>
    <t>MTR-34844</t>
  </si>
  <si>
    <t>DC_1A(4x4)-1A(4x4)-28A(2x2)_n7A(4x4)
 UL: DC_28A_n7A
 [10 (4+4+2) LTE &amp; 4 NR layers]</t>
  </si>
  <si>
    <t>MTR-34350</t>
  </si>
  <si>
    <t>DC_1A(4x4)-3C(4x4)_n7A(4x4)
 UL: DC_1A_n7A
 [12 (4+4+4) LTE &amp; 4 NR layers]</t>
  </si>
  <si>
    <t>DC_1A-3C_n7A</t>
  </si>
  <si>
    <t>1A-3C</t>
  </si>
  <si>
    <t>MTR-34352</t>
  </si>
  <si>
    <t>DC_1A(4x4)-3C(4x4)_n7A(4x4)
 UL: DC_3A_n7A
 [12 (4+4+4) LTE &amp; 4 NR layers]</t>
  </si>
  <si>
    <t>MTR-34353</t>
  </si>
  <si>
    <t>DC_1A(4x4)-3C(4x4)_n7A(4x4)
 UL: DC_3C_n7A
 [12 (4+4+4) LTE &amp; 4 NR layers]</t>
  </si>
  <si>
    <t>MTR-34837</t>
  </si>
  <si>
    <t>DC_1A(4x4)-3A(4x4)-3A(4x4)_n7A(4x4)
 UL: DC_1A_n7A
 [12 (4+4+4) LTE &amp; 4 NR layers]</t>
  </si>
  <si>
    <t>DC_1A-3A-3A_n7A</t>
  </si>
  <si>
    <t>1A-3A-3A</t>
  </si>
  <si>
    <t>MTR-34838</t>
  </si>
  <si>
    <t>DC_1A(4x4)-3A(4x4)-3A(4x4)_n7A(4x4)
 UL: DC_3A_n7A
 [12 (4+4+4) LTE &amp; 4 NR layers]</t>
  </si>
  <si>
    <t>MTR-34845</t>
  </si>
  <si>
    <t>DC_1A(4x4)-3A(4x4)-7A(4x4)_n7A(4x4)
 UL: DC_1A_n7A
 [12 (4+4+4) LTE &amp; 4 NR layers]</t>
  </si>
  <si>
    <t>DC_1A-3A-7A_n7A</t>
  </si>
  <si>
    <t>MTR-34846</t>
  </si>
  <si>
    <t>DC_1A(4x4)-3A(4x4)-7A(4x4)_n7A(4x4)
 UL: DC_3A_n7A
 [12 (4+4+4) LTE &amp; 4 NR layers]</t>
  </si>
  <si>
    <t>MTR-34847</t>
  </si>
  <si>
    <t>DC_1A(4x4)-3A(4x4)-7A(4x4)_n7A(4x4)
 UL: DC_7A_n7A
 [12 (4+4+4) LTE &amp; 4 NR layers]</t>
  </si>
  <si>
    <t>MTR-39291</t>
  </si>
  <si>
    <t>DC_1A(4x4)-3A(4x4)_(n)7AA(4x4)
 UL: DC_1A_n7A
 [8 (4+4) LTE &amp; 4 NR layers]</t>
  </si>
  <si>
    <t>DC_1A-3A_(n)7AA</t>
  </si>
  <si>
    <t>MTR-39292</t>
  </si>
  <si>
    <t>DC_1A(4x4)-3A(4x4)_(n)7AA(4x4)
 UL: DC_3A_n7A
 [8 (4+4) LTE &amp; 4 NR layers]</t>
  </si>
  <si>
    <t>MTR-39968</t>
  </si>
  <si>
    <t>DC_1A(4x4)-3A(4x4)-8A(2x2)_n7A(4x4)
 UL: DC_1A_n7A
 [10 (4+4+2) LTE &amp; 4 NR layers]</t>
  </si>
  <si>
    <t>DC_1A-3A-8A_n7A</t>
  </si>
  <si>
    <t>MTR-39969</t>
  </si>
  <si>
    <t>DC_1A(4x4)-3A(4x4)-8A(2x2)_n7A(4x4)
 UL: DC_3A_n7A
 [10 (4+4+2) LTE &amp; 4 NR layers]</t>
  </si>
  <si>
    <t>MTR-39970</t>
  </si>
  <si>
    <t>DC_1A(4x4)-3A(4x4)-8A(2x2)_n7A(4x4)
 UL: DC_8A_n7A
 [10 (4+4+2) LTE &amp; 4 NR layers]</t>
  </si>
  <si>
    <t>MTR-36492</t>
  </si>
  <si>
    <t>DC_1A(4x4)-3A(4x4)-20A(2x2)_n7A(4x4)
 UL: DC_1A_n7A
 [10 (4+4+2) LTE &amp; 4 NR layers]</t>
  </si>
  <si>
    <t>DC_1A-3A-20A_n7A</t>
  </si>
  <si>
    <t>MTR-36493</t>
  </si>
  <si>
    <t>DC_1A(4x4)-3A(4x4)-20A(2x2)_n7A(4x4)
 UL: DC_3A_n7A
 [10 (4+4+2) LTE &amp; 4 NR layers]</t>
  </si>
  <si>
    <t>MTR-36494</t>
  </si>
  <si>
    <t>DC_1A(4x4)-3A(4x4)-20A(2x2)_n7A(4x4)
 UL: DC_20A_n7A
 [10 (4+4+2) LTE &amp; 4 NR layers]</t>
  </si>
  <si>
    <t>MTR-34848</t>
  </si>
  <si>
    <t>DC_1A(4x4)-3A(4x4)-28A(2x2)_n7A(4x4)
 UL: DC_1A_n7A
 [10 (4+4+2) LTE &amp; 4 NR layers]</t>
  </si>
  <si>
    <t>DC_1A-3A-28A_n7A</t>
  </si>
  <si>
    <t>MTR-34849</t>
  </si>
  <si>
    <t>DC_1A(4x4)-3A(4x4)-28A(2x2)_n7A(4x4)
 UL: DC_3A_n7A
 [10 (4+4+2) LTE &amp; 4 NR layers]</t>
  </si>
  <si>
    <t>MTR-34850</t>
  </si>
  <si>
    <t>DC_1A(4x4)-3A(4x4)-28A(2x2)_n7A(4x4)
 UL: DC_28A_n7A
 [10 (4+4+2) LTE &amp; 4 NR layers]</t>
  </si>
  <si>
    <t>MTR-39454</t>
  </si>
  <si>
    <t>DC_1A(4x4)-7A(4x4)-8A(2x2)_n7A(4x4)
 UL: DC_1A_n7A
 [10 (4+4+2) LTE &amp; 4 NR layers]</t>
  </si>
  <si>
    <t>DC_1A-7A-8A_n7A</t>
  </si>
  <si>
    <t>MTR-39455</t>
  </si>
  <si>
    <t>DC_1A(4x4)-7A(4x4)-8A(2x2)_n7A(4x4)
 UL: DC_7A_n7A
 [10 (4+4+2) LTE &amp; 4 NR layers]</t>
  </si>
  <si>
    <t>MTR-39456</t>
  </si>
  <si>
    <t>DC_1A(4x4)-7A(4x4)-8A(2x2)_n7A(4x4)
 UL: DC_8A_n7A
 [10 (4+4+2) LTE &amp; 4 NR layers]</t>
  </si>
  <si>
    <t>MTR-34851</t>
  </si>
  <si>
    <t>DC_1A(4x4)-7A(4x4)-28A(2x2)_n7A(4x4)
 UL: DC_1A_n7A
 [10 (4+4+2) LTE &amp; 4 NR layers]</t>
  </si>
  <si>
    <t>DC_1A-7A-28A_n7A</t>
  </si>
  <si>
    <t>MTR-34852</t>
  </si>
  <si>
    <t>DC_1A(4x4)-7A(4x4)-28A(2x2)_n7A(4x4)
 UL: DC_7A_n7A
 [10 (4+4+2) LTE &amp; 4 NR layers]</t>
  </si>
  <si>
    <t>MTR-34853</t>
  </si>
  <si>
    <t>DC_1A(4x4)-7A(4x4)-28A(2x2)_n7A(4x4)
 UL: DC_28A_n7A
 [10 (4+4+2) LTE &amp; 4 NR layers]</t>
  </si>
  <si>
    <t>MTR-39293</t>
  </si>
  <si>
    <t>DC_1A(4x4)-28A(2x2)_(n)7AA(4x4)
 UL: DC_1A_n7A
 [6 (4+2) LTE &amp; 4 NR layers]</t>
  </si>
  <si>
    <t>DC_1A-28A_(n)7AA</t>
  </si>
  <si>
    <t>MTR-39294</t>
  </si>
  <si>
    <t>DC_1A(4x4)-28A(2x2)_(n)7AA(4x4)
 UL: DC_28A_n7A
 [6 (4+2) LTE &amp; 4 NR layers]</t>
  </si>
  <si>
    <t>MTR-34854</t>
  </si>
  <si>
    <t>DC_3C(4x4)-7A(4x4)_n7A(4x4)
 UL: DC_3A_n7A
 [12 (4+4+4) LTE &amp; 4 NR layers]</t>
  </si>
  <si>
    <t>DC_3C-7A_n7A</t>
  </si>
  <si>
    <t>MTR-34855</t>
  </si>
  <si>
    <t>DC_3C(4x4)-7A(4x4)_n7A(4x4)
 UL: DC_3C_n7A
 [12 (4+4+4) LTE &amp; 4 NR layers]</t>
  </si>
  <si>
    <t>MTR-34856</t>
  </si>
  <si>
    <t>DC_3C(4x4)-7A(4x4)_n7A(4x4)
 UL: DC_7A_n7A
 [12 (4+4+4) LTE &amp; 4 NR layers]</t>
  </si>
  <si>
    <t>MTR-39295</t>
  </si>
  <si>
    <t>DC_3C(4x4)_(n)7AA(4x4)
 UL: DC_3A_n7A
 [8 (4+4) LTE &amp; 4 NR layers]</t>
  </si>
  <si>
    <t>DC_3C_(n)7AA</t>
  </si>
  <si>
    <t>MTR-34857</t>
  </si>
  <si>
    <t>DC_3A(4x4)-3A(4x4)-7A(4x4)_n7A(4x4)
 UL: DC_3A_n7A
 [12 (4+4+4) LTE &amp; 4 NR layers]</t>
  </si>
  <si>
    <t>DC_3A-3A-7A_n7A</t>
  </si>
  <si>
    <t>MTR-34858</t>
  </si>
  <si>
    <t>DC_3A(4x4)-3A(4x4)-7A(4x4)_n7A(4x4)
 UL: DC_7A_n7A
 [12 (4+4+4) LTE &amp; 4 NR layers]</t>
  </si>
  <si>
    <t>MTR-35365</t>
  </si>
  <si>
    <t>DC_3C(4x4)-20A(2x2)_n7A(4x4)
 UL: DC_3A_n7A
 [10 (4+4+2) LTE &amp; 4 NR layers]</t>
  </si>
  <si>
    <t>DC_3C-20A_n7A</t>
  </si>
  <si>
    <t>MTR-35366</t>
  </si>
  <si>
    <t>DC_3C(4x4)-20A(2x2)_n7A(4x4)
 UL: DC_3C_n7A
 [10 (4+4+2) LTE &amp; 4 NR layers]</t>
  </si>
  <si>
    <t>MTR-35367</t>
  </si>
  <si>
    <t>DC_3C(4x4)-20A(2x2)_n7A(4x4)
 UL: DC_20A_n7A
 [10 (4+4+2) LTE &amp; 4 NR layers]</t>
  </si>
  <si>
    <t>MTR-34859</t>
  </si>
  <si>
    <t>DC_3C(4x4)-28A(2x2)_n7A(4x4)
 UL: DC_3A_n7A
 [10 (4+4+2) LTE &amp; 4 NR layers]</t>
  </si>
  <si>
    <t>DC_3C-28A_n7A</t>
  </si>
  <si>
    <t>MTR-34860</t>
  </si>
  <si>
    <t>DC_3C(4x4)-28A(2x2)_n7A(4x4)
 UL: DC_3C_n7A
 [10 (4+4+2) LTE &amp; 4 NR layers]</t>
  </si>
  <si>
    <t>MTR-34861</t>
  </si>
  <si>
    <t>DC_3C(4x4)-28A(2x2)_n7A(4x4)
 UL: DC_28A_n7A
 [10 (4+4+2) LTE &amp; 4 NR layers]</t>
  </si>
  <si>
    <t>MTR-34862</t>
  </si>
  <si>
    <t>DC_3A(4x4)-3A(4x4)-28A(2x2)_n7A(4x4)
 UL: DC_3A_n7A
 [10 (4+4+2) LTE &amp; 4 NR layers]</t>
  </si>
  <si>
    <t>DC_3A-3A-28A_n7A</t>
  </si>
  <si>
    <t>3A-3A-28A</t>
  </si>
  <si>
    <t>MTR-34863</t>
  </si>
  <si>
    <t>DC_3A(4x4)-3A(4x4)-28A(2x2)_n7A(4x4)
 UL: DC_28A_n7A
 [10 (4+4+2) LTE &amp; 4 NR layers]</t>
  </si>
  <si>
    <t>MTR-39971</t>
  </si>
  <si>
    <t>DC_3A(4x4)-7A(4x4)-8A(2x2)_n7A(4x4)
 UL: DC_3A_n7A
 [10 (4+4+2) LTE &amp; 4 NR layers]</t>
  </si>
  <si>
    <t>DC_3A-7A-8A_n7A</t>
  </si>
  <si>
    <t>MTR-39972</t>
  </si>
  <si>
    <t>DC_3A(4x4)-7A(4x4)-8A(2x2)_n7A(4x4)
 UL: DC_7A_n7A
 [10 (4+4+2) LTE &amp; 4 NR layers]</t>
  </si>
  <si>
    <t>MTR-39973</t>
  </si>
  <si>
    <t>DC_3A(4x4)-7A(4x4)-8A(2x2)_n7A(4x4)
 UL: DC_8A_n7A
 [10 (4+4+2) LTE &amp; 4 NR layers]</t>
  </si>
  <si>
    <t>MTR-34864</t>
  </si>
  <si>
    <t>DC_3A(4x4)-7A(4x4)-28A(2x2)_n7A(4x4)
 UL: DC_3A_n7A
 [10 (4+4+2) LTE &amp; 4 NR layers]</t>
  </si>
  <si>
    <t>DC_3A-7A-28A_n7A</t>
  </si>
  <si>
    <t>MTR-34865</t>
  </si>
  <si>
    <t>DC_3A(4x4)-7A(4x4)-28A(2x2)_n7A(4x4)
 UL: DC_7A_n7A
 [10 (4+4+2) LTE &amp; 4 NR layers]</t>
  </si>
  <si>
    <t>MTR-34866</t>
  </si>
  <si>
    <t>DC_3A(4x4)-7A(4x4)-28A(2x2)_n7A(4x4)
 UL: DC_28A_n7A
 [10 (4+4+2) LTE &amp; 4 NR layers]</t>
  </si>
  <si>
    <t>MTR-39296</t>
  </si>
  <si>
    <t>DC_3A(4x4)-28A(2x2)_(n)7AA(4x4)
 UL: DC_3A_n7A
 [6 (4+2) LTE &amp; 4 NR layers]</t>
  </si>
  <si>
    <t>DC_3A-28A_(n)7AA</t>
  </si>
  <si>
    <t>MTR-39297</t>
  </si>
  <si>
    <t>DC_3A(4x4)-28A(2x2)_(n)7AA(4x4)
 UL: DC_28A_n7A
 [6 (4+2) LTE &amp; 4 NR layers]</t>
  </si>
  <si>
    <t>MTR-39286</t>
  </si>
  <si>
    <t>DC_3A(4x4)-20A(2x2)-32A(2x2)_n7A(4x4)
 UL: DC_3A_n7A
 [8 (4+2+2) LTE &amp; 4 NR layers]</t>
  </si>
  <si>
    <t>DC_3A-20A-32A_n7A</t>
  </si>
  <si>
    <t>MTR-39287</t>
  </si>
  <si>
    <t>DC_3A(4x4)-20A(2x2)-32A(2x2)_n7A(4x4)
 UL: DC_20A_n7A
 [8 (4+2+2) LTE &amp; 4 NR layers]</t>
  </si>
  <si>
    <t>MTR-34867</t>
  </si>
  <si>
    <r>
      <rPr>
        <rFont val="Arial"/>
        <b/>
        <color theme="1"/>
        <sz val="10.0"/>
      </rPr>
      <t>2.5.2.4.4</t>
    </r>
    <r>
      <rPr>
        <rFont val="Arial"/>
        <b val="0"/>
        <color theme="1"/>
        <sz val="10.0"/>
      </rPr>
      <t xml:space="preserve"> </t>
    </r>
    <r>
      <rPr>
        <rFont val="Arial"/>
        <b/>
        <color theme="1"/>
        <sz val="10.0"/>
      </rPr>
      <t>EN-DC 4 Carriers LTE + 1 Carrier n7A</t>
    </r>
  </si>
  <si>
    <t>MTR-34868</t>
  </si>
  <si>
    <t>DC_1A(4x4)-1A(4x4)-3C(4x4)_n7A(4x4)
 UL: DC_1A_n7A
 [16 (4+4+4+4) LTE &amp; 4 NR layers]</t>
  </si>
  <si>
    <t>DC_1A-1A-3C_n7A</t>
  </si>
  <si>
    <t>1A-1A-3C</t>
  </si>
  <si>
    <t>MTR-34869</t>
  </si>
  <si>
    <t>DC_1A(4x4)-1A(4x4)-3C(4x4)_n7A(4x4)
 UL: DC_3A_n7A
 [16 (4+4+4+4) LTE &amp; 4 NR layers]</t>
  </si>
  <si>
    <t>MTR-34870</t>
  </si>
  <si>
    <t>DC_1A(4x4)-1A(4x4)-3C(4x4)_n7A(4x4)
 UL: DC_3C_n7A
 [16 (4+4+4+4) LTE &amp; 4 NR layers]</t>
  </si>
  <si>
    <t>MTR-34871</t>
  </si>
  <si>
    <t>DC_1A(4x4)-1A(4x4)-3A(4x4)-3A(4x4)_n7A(4x4)
 UL: DC_1A_n7A
 [16 (4+4+4+4) LTE &amp; 4 NR layers]</t>
  </si>
  <si>
    <t>DC_1A-1A-3A-3A_n7A</t>
  </si>
  <si>
    <t>1A-1A-3A-3A</t>
  </si>
  <si>
    <t>MTR-34872</t>
  </si>
  <si>
    <t>DC_1A(4x4)-1A(4x4)-3A(4x4)-3A(4x4)_n7A(4x4)
 UL: DC_3A_n7A
 [16 (4+4+4+4) LTE &amp; 4 NR layers]</t>
  </si>
  <si>
    <t>MTR-34873</t>
  </si>
  <si>
    <t>DC_1A(4x4)-1A(4x4)-3A(4x4)-7A(4x4)_n7A(4x4)
 UL: DC_1A_n7A
 [16 (4+4+4+4) LTE &amp; 4 NR layers]</t>
  </si>
  <si>
    <t>DC_1A-1A-3A-7A_n7A</t>
  </si>
  <si>
    <t>1A-1A-3A-7A</t>
  </si>
  <si>
    <t>MTR-34874</t>
  </si>
  <si>
    <t>DC_1A(4x4)-1A(4x4)-3A(4x4)-7A(4x4)_n7A(4x4)
 UL: DC_3A_n7A
 [16 (4+4+4+4) LTE &amp; 4 NR layers]</t>
  </si>
  <si>
    <t>MTR-34875</t>
  </si>
  <si>
    <t>DC_1A(4x4)-1A(4x4)-3A(4x4)-7A(4x4)_n7A(4x4)
 UL: DC_7A_n7A
 [16 (4+4+4+4) LTE &amp; 4 NR layers]</t>
  </si>
  <si>
    <t>MTR-34876</t>
  </si>
  <si>
    <t>DC_1A(4x4)-1A(4x4)-3A(4x4)-28A(2x2)_n7A(4x4)
 UL: DC_1A_n7A
 [14 (4+4+4+2) LTE &amp; 4 NR layers]</t>
  </si>
  <si>
    <t>DC_1A-1A-3A-28A_n7A</t>
  </si>
  <si>
    <t>1A-1A-3A-28A</t>
  </si>
  <si>
    <t>MTR-34877</t>
  </si>
  <si>
    <t>DC_1A(4x4)-1A(4x4)-3A(4x4)-28A(2x2)_n7A(4x4)
 UL: DC_3A_n7A
 [14 (4+4+4+2) LTE &amp; 4 NR layers]</t>
  </si>
  <si>
    <t>MTR-34878</t>
  </si>
  <si>
    <t>DC_1A(4x4)-1A(4x4)-3A(4x4)-28A(2x2)_n7A(4x4)
 UL: DC_28A_n7A
 [14 (4+4+4+2) LTE &amp; 4 NR layers]</t>
  </si>
  <si>
    <t>MTR-34879</t>
  </si>
  <si>
    <t>DC_1A(4x4)-1A(4x4)-7A(4x4)-28A(2x2)_n7A(4x4)
 UL: DC_1A_n7A
 [14 (4+4+4+2) LTE &amp; 4 NR layers]</t>
  </si>
  <si>
    <t>DC_1A-1A-7A-28A_n7A</t>
  </si>
  <si>
    <t>1A-1A-7A-28A</t>
  </si>
  <si>
    <t>MTR-34880</t>
  </si>
  <si>
    <t>DC_1A(4x4)-1A(4x4)-7A(4x4)-28A(2x2)_n7A(4x4)
 UL: DC_7A_n7A
 [14 (4+4+4+2) LTE &amp; 4 NR layers]</t>
  </si>
  <si>
    <t>MTR-34881</t>
  </si>
  <si>
    <t>DC_1A(4x4)-1A(4x4)-7A(4x4)-28A(2x2)_n7A(4x4)
 UL: DC_28A_n7A
 [14 (4+4+4+2) LTE &amp; 4 NR layers]</t>
  </si>
  <si>
    <t>MTR-34882</t>
  </si>
  <si>
    <t>DC_1A(4x4)-3C(4x4)-7A(4x4)_n7A(4x4)
 UL: DC_1A_n7A
 [16 (4+4+4+4) LTE &amp; 4 NR layers]</t>
  </si>
  <si>
    <t>DC_1A-3C-7A_n7A</t>
  </si>
  <si>
    <t>1A-3C-7A</t>
  </si>
  <si>
    <t>MTR-34883</t>
  </si>
  <si>
    <t>DC_1A(4x4)-3C(4x4)-7A(4x4)_n7A(4x4)
 UL: DC_3A_n7A
 [16 (4+4+4+4) LTE &amp; 4 NR layers]</t>
  </si>
  <si>
    <t>MTR-34884</t>
  </si>
  <si>
    <t>DC_1A(4x4)-3C(4x4)-7A(4x4)_n7A(4x4)
 UL: DC_7A_n7A
 [16 (4+4+4+4) LTE &amp; 4 NR layers]</t>
  </si>
  <si>
    <t>MTR-39298</t>
  </si>
  <si>
    <t>DC_1A(4x4)-3C(4x4)_(n)7AA(4x4)
 UL: DC_1A_n7A
 [12 (4+4+4) LTE &amp; 4 NR layers]</t>
  </si>
  <si>
    <t>DC_1A-3C_(n)7AA</t>
  </si>
  <si>
    <t>MTR-39299</t>
  </si>
  <si>
    <t>DC_1A(4x4)-3C(4x4)_(n)7AA(4x4)
 UL: DC_3A_n7A
 [12 (4+4+4) LTE &amp; 4 NR layers]</t>
  </si>
  <si>
    <t>MTR-34885</t>
  </si>
  <si>
    <t>DC_1A(4x4)-3A(4x4)-3A(4x4)-7A(4x4)_n7A(4x4)
 UL: DC_1A_n7A
 [16 (4+4+4+4) LTE &amp; 4 NR layers]</t>
  </si>
  <si>
    <t>DC_1A-3A-3A-7A_n7A</t>
  </si>
  <si>
    <t>1A-3A-3A-7A</t>
  </si>
  <si>
    <t>MTR-34886</t>
  </si>
  <si>
    <t>DC_1A(4x4)-3A(4x4)-3A(4x4)-7A(4x4)_n7A(4x4)
 UL: DC_3A_n7A
 [16 (4+4+4+4) LTE &amp; 4 NR layers]</t>
  </si>
  <si>
    <t>MTR-34887</t>
  </si>
  <si>
    <t>DC_1A(4x4)-3A(4x4)-3A(4x4)-7A(4x4)_n7A(4x4)
 UL: DC_7A_n7A
 [16 (4+4+4+4) LTE &amp; 4 NR layers]</t>
  </si>
  <si>
    <t>MTR-34888</t>
  </si>
  <si>
    <t>DC_1A(4x4)-3C(4x4)-28A(2x2)_n7A(4x4)
 UL: DC_1A_n7A
 [14 (4+4+4+2) LTE &amp; 4 NR layers]</t>
  </si>
  <si>
    <t>DC_1A-3C-28A_n7A</t>
  </si>
  <si>
    <t>1A-3C-28A</t>
  </si>
  <si>
    <t>MTR-34889</t>
  </si>
  <si>
    <t>DC_1A(4x4)-3C(4x4)-28A(2x2)_n7A(4x4)
 UL: DC_3A_n7A
 [14 (4+4+4+2) LTE &amp; 4 NR layers]</t>
  </si>
  <si>
    <t>MTR-34890</t>
  </si>
  <si>
    <t>DC_1A(4x4)-3C(4x4)-28A(2x2)_n7A(4x4)
 UL: DC_3C_n7A
 [14 (4+4+4+2) LTE &amp; 4 NR layers]</t>
  </si>
  <si>
    <t>MTR-34891</t>
  </si>
  <si>
    <t>DC_1A(4x4)-3C(4x4)-28A(2x2)_n7A(4x4)
 UL: DC_28A_n7A
 [14 (4+4+4+2) LTE &amp; 4 NR layers]</t>
  </si>
  <si>
    <t>MTR-39974</t>
  </si>
  <si>
    <t>DC_1A(4x4)-3A(4x4)-7A(4x4)-8A(2x2)_n7A(4x4)
 UL: DC_1A_n7A
 [14 (4+4+4+2) LTE &amp; 4 NR layers]</t>
  </si>
  <si>
    <t>DC_1A-3A-7A-8A_n7A</t>
  </si>
  <si>
    <t>1A-3A-7A-8A</t>
  </si>
  <si>
    <t>MTR-39975</t>
  </si>
  <si>
    <t>DC_1A(4x4)-3A(4x4)-7A(4x4)-8A(2x2)_n7A(4x4)
 UL: DC_3A_n7A
 [14 (4+4+4+2) LTE &amp; 4 NR layers]</t>
  </si>
  <si>
    <t>MTR-39976</t>
  </si>
  <si>
    <t>DC_1A(4x4)-3A(4x4)-7A(4x4)-8A(2x2)_n7A(4x4)
 UL: DC_7A_n7A
 [14 (4+4+4+2) LTE &amp; 4 NR layers]</t>
  </si>
  <si>
    <t>MTR-39977</t>
  </si>
  <si>
    <t>DC_1A(4x4)-3A(4x4)-7A(4x4)-8A(2x2)_n7A(4x4)
 UL: DC_8A_n7A
 [14 (4+4+4+2) LTE &amp; 4 NR layers]</t>
  </si>
  <si>
    <t>MTR-34892</t>
  </si>
  <si>
    <t>DC_1A(4x4)-3A(4x4)-3A(4x4)-28A(2x2)_n7A(4x4)
 UL: DC_1A_n7A
 [14 (4+4+4+2) LTE &amp; 4 NR layers]</t>
  </si>
  <si>
    <t>DC_1A-3A-3A-28A_n7A</t>
  </si>
  <si>
    <t>1A-3A-3A-28A</t>
  </si>
  <si>
    <t>MTR-34893</t>
  </si>
  <si>
    <t>DC_1A(4x4)-3A(4x4)-3A(4x4)-28A(2x2)_n7A(4x4)
 UL: DC_3A_n7A
 [14 (4+4+4+2) LTE &amp; 4 NR layers]</t>
  </si>
  <si>
    <t>MTR-34894</t>
  </si>
  <si>
    <t>DC_1A(4x4)-3A(4x4)-3A(4x4)-28A(2x2)_n7A(4x4)
 UL: DC_28A_n7A
 [14 (4+4+4+2) LTE &amp; 4 NR layers]</t>
  </si>
  <si>
    <t>MTR-34895</t>
  </si>
  <si>
    <t>DC_1A(4x4)-3A(4x4)-7A(4x4)-28A(2x2)_n7A(4x4)
 UL: DC_1A_n7A
 [14 (4+4+4+2) LTE &amp; 4 NR layers]</t>
  </si>
  <si>
    <t>DC_1A-3A-7A-28A_n7A</t>
  </si>
  <si>
    <t>MTR-34896</t>
  </si>
  <si>
    <t>DC_1A(4x4)-3A(4x4)-7A(4x4)-28A(2x2)_n7A(4x4)
 UL: DC_3A_n7A
 [14 (4+4+4+2) LTE &amp; 4 NR layers]</t>
  </si>
  <si>
    <t>MTR-34897</t>
  </si>
  <si>
    <t>DC_1A(4x4)-3A(4x4)-7A(4x4)-28A(2x2)_n7A(4x4)
 UL: DC_7A_n7A
 [14 (4+4+4+2) LTE &amp; 4 NR layers]</t>
  </si>
  <si>
    <t>MTR-34898</t>
  </si>
  <si>
    <t>DC_1A(4x4)-3A(4x4)-7A(4x4)-28A(2x2)_n7A(4x4)
 UL: DC_28A_n7A
 [14 (4+4+4+2) LTE &amp; 4 NR layers]</t>
  </si>
  <si>
    <t>MTR-39300</t>
  </si>
  <si>
    <t>DC_1A(4x4)-3A(4x4)-28A(2x2)_(n)7AA(4x4)
 UL: DC_1A_n7A
 [10 (4+4+2) LTE &amp; 4 NR layers]</t>
  </si>
  <si>
    <t>DC_1A-3A-28A_(n)7AA</t>
  </si>
  <si>
    <t>MTR-39301</t>
  </si>
  <si>
    <t>DC_1A(4x4)-3A(4x4)-28A(2x2)_(n)7AA(4x4)
 UL: DC_3A_n7A
 [10 (4+4+2) LTE &amp; 4 NR layers]</t>
  </si>
  <si>
    <t>MTR-39302</t>
  </si>
  <si>
    <t>DC_1A(4x4)-3A(4x4)-28A(2x2)_(n)7AA(4x4)
 UL: DC_28A_n7A
 [10 (4+4+2) LTE &amp; 4 NR layers]</t>
  </si>
  <si>
    <t>MTR-34899</t>
  </si>
  <si>
    <t>DC_3C(4x4)-7A(4x4)-28A(2x2)_n7A(4x4)
 UL: DC_3A_n7A
 [14 (4+4+4+2) LTE &amp; 4 NR layers]</t>
  </si>
  <si>
    <t>DC_3C-7A-28A_n7A</t>
  </si>
  <si>
    <t>MTR-34900</t>
  </si>
  <si>
    <t>DC_3C(4x4)-7A(4x4)-28A(2x2)_n7A(4x4)
 UL: DC_3C_n7A
 [14 (4+4+4+2) LTE &amp; 4 NR layers]</t>
  </si>
  <si>
    <t>MTR-34901</t>
  </si>
  <si>
    <t>DC_3C(4x4)-7A(4x4)-28A(2x2)_n7A(4x4)
 UL: DC_7A_n7A
 [14 (4+4+4+2) LTE &amp; 4 NR layers]</t>
  </si>
  <si>
    <t>MTR-34902</t>
  </si>
  <si>
    <t>DC_3C(4x4)-7A(4x4)-28A(2x2)_n7A(4x4)
 UL: DC_28A_n7A
 [14 (4+4+4+2) LTE &amp; 4 NR layers]</t>
  </si>
  <si>
    <t>MTR-39303</t>
  </si>
  <si>
    <t>DC_3C(4x4)-28A(2x2)_(n)7AA(4x4)
 UL: DC_3A_n7A
 [10 (4+4+2) LTE &amp; 4 NR layers]</t>
  </si>
  <si>
    <t>DC_3C-28A_(n)7AA</t>
  </si>
  <si>
    <t>MTR-39304</t>
  </si>
  <si>
    <t>DC_3C(4x4)-28A(2x2)_(n)7AA(4x4)
 UL: DC_28A_n7A
 [10 (4+4+2) LTE &amp; 4 NR layers]</t>
  </si>
  <si>
    <t>MTR-34903</t>
  </si>
  <si>
    <t>DC_3A(4x4)-3A(4x4)-7A(4x4)-28A(2x2)_n7A(4x4)
 UL: DC_3A_n7A
 [14 (4+4+4+2) LTE &amp; 4 NR layers]</t>
  </si>
  <si>
    <t>DC_3A-3A-7A-28A_n7A</t>
  </si>
  <si>
    <t>3A-3A-7A-28A</t>
  </si>
  <si>
    <t>MTR-34904</t>
  </si>
  <si>
    <t>DC_3A(4x4)-3A(4x4)-7A(4x4)-28A(2x2)_n7A(4x4)
 UL: DC_7A_n7A
 [14 (4+4+4+2) LTE &amp; 4 NR layers]</t>
  </si>
  <si>
    <t>MTR-34905</t>
  </si>
  <si>
    <t>DC_3A(4x4)-3A(4x4)-7A(4x4)-28A(2x2)_n7A(4x4)
 UL: DC_28A_n7A
 [14 (4+4+4+2) LTE &amp; 4 NR layers]</t>
  </si>
  <si>
    <t>MTR-34906</t>
  </si>
  <si>
    <r>
      <rPr>
        <rFont val="Arial"/>
        <b/>
        <color theme="1"/>
        <sz val="10.0"/>
      </rPr>
      <t>2.5.2.4.5</t>
    </r>
    <r>
      <rPr>
        <rFont val="Arial"/>
        <b val="0"/>
        <color theme="1"/>
        <sz val="10.0"/>
      </rPr>
      <t xml:space="preserve"> </t>
    </r>
    <r>
      <rPr>
        <rFont val="Arial"/>
        <b/>
        <color theme="1"/>
        <sz val="10.0"/>
      </rPr>
      <t>EN-DC 5 Carriers LTE + 1 Carrier n7A</t>
    </r>
  </si>
  <si>
    <t>MTR-34908</t>
  </si>
  <si>
    <t>DC_1A(4x4)-1A(4x4)-3C(4x4)-7A(4x4)_n7A(4x4)
 UL: DC_1A_n7A
 [20 (4+4+4+4+4) LTE &amp; 4 NR layers]</t>
  </si>
  <si>
    <t>DC_1A-1A-3C-7A_n7A</t>
  </si>
  <si>
    <t>1A-1A-3C-7A</t>
  </si>
  <si>
    <t>MTR-34909</t>
  </si>
  <si>
    <t>DC_1A(4x4)-1A(4x4)-3C(4x4)-7A(4x4)_n7A(4x4)
 UL: DC_3A_n7A
 [20 (4+4+4+4+4) LTE &amp; 4 NR layers]</t>
  </si>
  <si>
    <t>MTR-34910</t>
  </si>
  <si>
    <t>DC_1A(4x4)-1A(4x4)-3C(4x4)-7A(4x4)_n7A(4x4)
 UL: DC_3C_n7A
 [20 (4+4+4+4+4) LTE &amp; 4 NR layers]</t>
  </si>
  <si>
    <t>MTR-34911</t>
  </si>
  <si>
    <t>DC_1A(4x4)-1A(4x4)-3C(4x4)-7A(4x4)_n7A(4x4)
 UL: DC_7A_n7A
 [20 (4+4+4+4+4) LTE &amp; 4 NR layers]</t>
  </si>
  <si>
    <t>MTR-38690</t>
  </si>
  <si>
    <t>DC_1A(4x4)-1A(4x4)-3A(4x4)-3A(4x4)-7A(4x4)_n7A(4x4)
 UL: DC_1A_n7A
 [20 (4+4+4+4+4) LTE &amp; 4 NR layers]</t>
  </si>
  <si>
    <t>DC_1A-1A-3A-3A-7A_n7A</t>
  </si>
  <si>
    <t>1A-1A-3A-3A-7A</t>
  </si>
  <si>
    <t>MTR-38691</t>
  </si>
  <si>
    <t>DC_1A(4x4)-1A(4x4)-3A(4x4)-3A(4x4)-7A(4x4)_n7A(4x4)
 UL: DC_3A_n7A
 [20 (4+4+4+4+4) LTE &amp; 4 NR layers]</t>
  </si>
  <si>
    <t>MTR-38692</t>
  </si>
  <si>
    <t>DC_1A(4x4)-1A(4x4)-3A(4x4)-3A(4x4)-7A(4x4)_n7A(4x4)
 UL: DC_7A_n7A
 [20 (4+4+4+4+4) LTE &amp; 4 NR layers]</t>
  </si>
  <si>
    <t>MTR-34912</t>
  </si>
  <si>
    <t>DC_1A(4x4)-1A(4x4)-3C(4x4)-28A(2x2)_n7A(4x4)
 UL: DC_1A_n7A
 [18 (4+4+4+4+2) LTE &amp; 4 NR layers]</t>
  </si>
  <si>
    <t>DC_1A-1A-3C-28A_n7A</t>
  </si>
  <si>
    <t>1A-1A-3C-28A</t>
  </si>
  <si>
    <t>MTR-34913</t>
  </si>
  <si>
    <t>DC_1A(4x4)-1A(4x4)-3C(4x4)-28A(2x2)_n7A(4x4)
 UL: DC_3A_n7A
 [18 (4+4+4+4+2) LTE &amp; 4 NR layers]</t>
  </si>
  <si>
    <t>MTR-34914</t>
  </si>
  <si>
    <t>DC_1A(4x4)-1A(4x4)-3C(4x4)-28A(2x2)_n7A(4x4)
 UL: DC_3C_n7A
 [18 (4+4+4+4+2) LTE &amp; 4 NR layers]</t>
  </si>
  <si>
    <t>MTR-34915</t>
  </si>
  <si>
    <t>DC_1A(4x4)-1A(4x4)-3C(4x4)-28A(2x2)_n7A(4x4)
 UL: DC_28A_n7A
 [18 (4+4+4+4+2) LTE &amp; 4 NR layers]</t>
  </si>
  <si>
    <t>MTR-34916</t>
  </si>
  <si>
    <t>DC_1A(4x4)-1A(4x4)-3A(4x4)-3A(4x4)-28A(2x2)_n7A(4x4)
 UL: DC_1A_n7A
 [18 (4+4+4+4+2) LTE &amp; 4 NR layers]</t>
  </si>
  <si>
    <t>DC_1A-1A-3A-3A-28A_n7A</t>
  </si>
  <si>
    <t>1A-1A-3A-3A-28A</t>
  </si>
  <si>
    <t>MTR-34917</t>
  </si>
  <si>
    <t>DC_1A(4x4)-1A(4x4)-3A(4x4)-3A(4x4)-28A(2x2)_n7A(4x4)
 UL: DC_3A_n7A
 [18 (4+4+4+4+2) LTE &amp; 4 NR layers]</t>
  </si>
  <si>
    <t>MTR-34918</t>
  </si>
  <si>
    <t>DC_1A(4x4)-1A(4x4)-3A(4x4)-3A(4x4)-28A(2x2)_n7A(4x4)
 UL: DC_28A_n7A
 [18 (4+4+4+4+2) LTE &amp; 4 NR layers]</t>
  </si>
  <si>
    <t>MTR-34919</t>
  </si>
  <si>
    <t>DC_1A(4x4)-1A(4x4)-3A(4x4)-7A(4x4)-28A(2x2)_n7A(4x4)
 UL: DC_1A_n7A
 [18 (4+4+4+4+2) LTE &amp; 4 NR layers]</t>
  </si>
  <si>
    <t>DC_1A-1A-3A-7A-28A_n7A</t>
  </si>
  <si>
    <t>1A-1A-3A-7A-28A</t>
  </si>
  <si>
    <t>MTR-34920</t>
  </si>
  <si>
    <t>DC_1A(4x4)-1A(4x4)-3A(4x4)-7A(4x4)-28A(2x2)_n7A(4x4)
 UL: DC_3A_n7A
 [18 (4+4+4+4+2) LTE &amp; 4 NR layers]</t>
  </si>
  <si>
    <t>MTR-34921</t>
  </si>
  <si>
    <t>DC_1A(4x4)-1A(4x4)-3A(4x4)-7A(4x4)-28A(2x2)_n7A(4x4)
 UL: DC_7A_n7A
 [18 (4+4+4+4+2) LTE &amp; 4 NR layers]</t>
  </si>
  <si>
    <t>MTR-34922</t>
  </si>
  <si>
    <t>DC_1A(4x4)-1A(4x4)-3A(4x4)-7A(4x4)-28A(2x2)_n7A(4x4)
 UL: DC_28A_n7A
 [18 (4+4+4+4+2) LTE &amp; 4 NR layers]</t>
  </si>
  <si>
    <t>MTR-34923</t>
  </si>
  <si>
    <t>DC_1A(4x4)-3C(4x4)-7A(4x4)-28A(2x2)_n7A(4x4)
 UL: DC_1A_n7A
 [18 (4+4+4+4+2) LTE &amp; 4 NR layers]</t>
  </si>
  <si>
    <t>DC_1A-3C-7A-28A_n7A</t>
  </si>
  <si>
    <t>1A-3C-7A-28A</t>
  </si>
  <si>
    <t>MTR-34924</t>
  </si>
  <si>
    <t>DC_1A(4x4)-3C(4x4)-7A(4x4)-28A(2x2)_n7A(4x4)
 UL: DC_3A_n7A
 [18 (4+4+4+4+2) LTE &amp; 4 NR layers]</t>
  </si>
  <si>
    <t>MTR-34925</t>
  </si>
  <si>
    <t>DC_1A(4x4)-3C(4x4)-7A(4x4)-28A(2x2)_n7A(4x4)
 UL: DC_3C_n7A
 [18 (4+4+4+4+2) LTE &amp; 4 NR layers]</t>
  </si>
  <si>
    <t>MTR-34926</t>
  </si>
  <si>
    <t>DC_1A(4x4)-3C(4x4)-7A(4x4)-28A(2x2)_n7A(4x4)
 UL: DC_7A_n7A
 [18 (4+4+4+4+2) LTE &amp; 4 NR layers]</t>
  </si>
  <si>
    <t>MTR-34927</t>
  </si>
  <si>
    <t>DC_1A(4x4)-3C(4x4)-7A(4x4)-28A(2x2)_n7A(4x4)
 UL: DC_28A_n7A
 [18 (4+4+4+4+2) LTE &amp; 4 NR layers]</t>
  </si>
  <si>
    <t>MTR-39305</t>
  </si>
  <si>
    <t>DC_1A(4x4)-3C(4x4)-28A(2x2)_(n)7AA(4x4)
 UL: DC_1A_n7A
 [14 (4+4+4+2) LTE &amp; 4 NR layers]</t>
  </si>
  <si>
    <t>DC_1A-3C-28A_(n)7AA</t>
  </si>
  <si>
    <t>MTR-39306</t>
  </si>
  <si>
    <t>DC_1A(4x4)-3C(4x4)-28A(2x2)_(n)7AA(4x4)
 UL: DC_3A_n7A
 [14 (4+4+4+2) LTE &amp; 4 NR layers]</t>
  </si>
  <si>
    <t>MTR-39307</t>
  </si>
  <si>
    <t>DC_1A(4x4)-3C(4x4)-28A(2x2)_(n)7AA(4x4)
 UL: DC_28A_n7A
 [14 (4+4+4+2) LTE &amp; 4 NR layers]</t>
  </si>
  <si>
    <t>MTR-34928</t>
  </si>
  <si>
    <t>DC_1A(4x4)-3A(4x4)-3A(4x4)-7A(4x4)-28A(2x2)_n7A(4x4)
 UL: DC_1A_n7A
 [18 (4+4+4+4+2) LTE &amp; 4 NR layers]</t>
  </si>
  <si>
    <t>DC_1A-3A-3A-7A-28A_n7A</t>
  </si>
  <si>
    <t>1A-3A-3A-7A-28A</t>
  </si>
  <si>
    <t>MTR-34929</t>
  </si>
  <si>
    <t>DC_1A(4x4)-3A(4x4)-3A(4x4)-7A(4x4)-28A(2x2)_n7A(4x4)
 UL: DC_3A_n7A
 [18 (4+4+4+4+2) LTE &amp; 4 NR layers]</t>
  </si>
  <si>
    <t>MTR-34930</t>
  </si>
  <si>
    <t>DC_1A(4x4)-3A(4x4)-3A(4x4)-7A(4x4)-28A(2x2)_n7A(4x4)
 UL: DC_7A_n7A
 [18 (4+4+4+4+2) LTE &amp; 4 NR layers]</t>
  </si>
  <si>
    <t>MTR-34931</t>
  </si>
  <si>
    <t>DC_1A(4x4)-3A(4x4)-3A(4x4)-7A(4x4)-28A(2x2)_n7A(4x4)
 UL: DC_28A_n7A
 [18 (4+4+4+4+2) LTE &amp; 4 NR layers]</t>
  </si>
  <si>
    <t>MTR-33307</t>
  </si>
  <si>
    <r>
      <rPr>
        <rFont val="Arial"/>
        <b/>
        <color theme="1"/>
        <sz val="10.0"/>
      </rPr>
      <t>2.5.2.5</t>
    </r>
    <r>
      <rPr>
        <rFont val="Arial"/>
        <b val="0"/>
        <color theme="1"/>
        <sz val="10.0"/>
      </rPr>
      <t xml:space="preserve"> </t>
    </r>
    <r>
      <rPr>
        <rFont val="Arial"/>
        <b/>
        <color theme="1"/>
        <sz val="10.0"/>
      </rPr>
      <t>EN-DC LTE CA + n8A</t>
    </r>
  </si>
  <si>
    <t>MTR-35352</t>
  </si>
  <si>
    <r>
      <rPr>
        <rFont val="Arial"/>
        <b/>
        <color theme="1"/>
        <sz val="10.0"/>
      </rPr>
      <t>2.5.2.5.1</t>
    </r>
    <r>
      <rPr>
        <rFont val="Arial"/>
        <b val="0"/>
        <color theme="1"/>
        <sz val="10.0"/>
      </rPr>
      <t xml:space="preserve"> </t>
    </r>
    <r>
      <rPr>
        <rFont val="Arial"/>
        <b/>
        <color theme="1"/>
        <sz val="10.0"/>
      </rPr>
      <t>EN-DC 1 Carrier LTE + 1 Carrier n8A</t>
    </r>
  </si>
  <si>
    <t>MTR-34945</t>
  </si>
  <si>
    <t>DC_1A(4x4)_n8A(2x2)
 UL: DC_1A_n8A
 [4 LTE &amp; 2 NR layers]</t>
  </si>
  <si>
    <t>DC_1A_n8A</t>
  </si>
  <si>
    <t>n8A</t>
  </si>
  <si>
    <t>MTR-35383</t>
  </si>
  <si>
    <t>DC_3A(4x4)_n8A(2x2)
 UL: DC_3A_n8A
 [4 LTE &amp; 2 NR layers]</t>
  </si>
  <si>
    <t>DC_3A_n8A</t>
  </si>
  <si>
    <t>MTR-35384</t>
  </si>
  <si>
    <t>DC_7A(4x4)_n8A(2x2)
 UL: DC_7A_n8A
 [4 LTE &amp; 2 NR layers]</t>
  </si>
  <si>
    <t>DC_7A_n8A</t>
  </si>
  <si>
    <t>MTR-33318</t>
  </si>
  <si>
    <t>DC_20A(2x2)_n8A(2x2)
 UL: DC_20A_n8A
 [2 LTE &amp; 2 NR layers]</t>
  </si>
  <si>
    <t>DC_20A_n8A</t>
  </si>
  <si>
    <t>MTR-34673</t>
  </si>
  <si>
    <t>DC_28A(2x2)_n8A(2x2)
 UL: DC_28A_n8A
 [2 LTE &amp; 2 NR layers]</t>
  </si>
  <si>
    <t>DC_28A_n8A</t>
  </si>
  <si>
    <t>MTR-35353</t>
  </si>
  <si>
    <r>
      <rPr>
        <rFont val="Arial"/>
        <b/>
        <color theme="1"/>
        <sz val="10.0"/>
      </rPr>
      <t>2.5.2.5.2</t>
    </r>
    <r>
      <rPr>
        <rFont val="Arial"/>
        <b val="0"/>
        <color theme="1"/>
        <sz val="10.0"/>
      </rPr>
      <t xml:space="preserve"> </t>
    </r>
    <r>
      <rPr>
        <rFont val="Arial"/>
        <b/>
        <color theme="1"/>
        <sz val="10.0"/>
      </rPr>
      <t>EN-DC 2 Carrier LTE + 1 Carrier n8A</t>
    </r>
  </si>
  <si>
    <t>MTR-35349</t>
  </si>
  <si>
    <t>DC_1A(4x4)-3A(4x4)_n8A(2x2)
 UL: DC_1A_n8A
 [8 (4+4) LTE &amp; 2 NR layers]</t>
  </si>
  <si>
    <t>DC_1A-3A_n8A</t>
  </si>
  <si>
    <t>MTR-35350</t>
  </si>
  <si>
    <t>DC_1A(4x4)-3A(4x4)_n8A(2x2)
 UL: DC_3A_n8A
 [8 (4+4) LTE &amp; 2 NR layers]</t>
  </si>
  <si>
    <t>MTR-35466</t>
  </si>
  <si>
    <t>DC_1A(4x4)-7A(4x4)_n8A(2x2)
 UL: DC_1A_n8A
 [8 (4+4) LTE &amp; 2 NR layers]</t>
  </si>
  <si>
    <t>DC_1A-7A_n8A</t>
  </si>
  <si>
    <t>MTR-35467</t>
  </si>
  <si>
    <t>DC_1A(4x4)-7A(4x4)_n8A(2x2)
 UL: DC_7A_n8A
 [8 (4+4) LTE &amp; 2 NR layers]</t>
  </si>
  <si>
    <t>MTR-35357</t>
  </si>
  <si>
    <t>DC_1A(4x4)-20A(2x2)_n8A(2x2)
 UL: DC_1A_n8A
 [6 (2+2) LTE &amp; 2 NR layers]</t>
  </si>
  <si>
    <t>DC_1A-20A_n8A</t>
  </si>
  <si>
    <t>MTR-35358</t>
  </si>
  <si>
    <t>DC_1A(4x4)-20A(2x2)_n8A(2x2)
 UL: DC_20A_n8A
 [6 (2+2) LTE &amp; 2 NR layers]</t>
  </si>
  <si>
    <t>MTR-36968</t>
  </si>
  <si>
    <t>DC_1A(4x4)-32A(2x2)_n8A(2x2)
 UL: DC_1A_n8A
 [6 (4+2) LTE &amp; 2 NR layers]</t>
  </si>
  <si>
    <t>DC_1A-32A_n8A</t>
  </si>
  <si>
    <t>MTR-36495</t>
  </si>
  <si>
    <t>DC_3A(4x4)-3A(4x4)_n8A(2x2)
 UL: DC_3A_n8A
 [8 (4+4) LTE &amp; 2 NR layers]</t>
  </si>
  <si>
    <t>DC_3A-3A_n8A</t>
  </si>
  <si>
    <t>MTR-35361</t>
  </si>
  <si>
    <t>DC_3A(4x4)-7A(4x4)_n8A(2x2)
 UL: DC_3A_n8A
 [8 (4+4) LTE &amp; 2 NR layers]</t>
  </si>
  <si>
    <t>DC_3A-7A_n8A</t>
  </si>
  <si>
    <t>MTR-35362</t>
  </si>
  <si>
    <t>DC_3A(4x4)-7A(4x4)_n8A(2x2)
 UL: DC_7A_n8A
 [8 (4+4) LTE &amp; 2 NR layers]</t>
  </si>
  <si>
    <t>MTR-35368</t>
  </si>
  <si>
    <t>DC_3A(4x4)-20A(2x2)_n8A(2x2)
 UL: DC_3A_n8A
 [6 (4+2) LTE &amp; 2 NR layers]</t>
  </si>
  <si>
    <t>DC_3A-20A_n8A</t>
  </si>
  <si>
    <t>MTR-35369</t>
  </si>
  <si>
    <t>DC_3A(4x4)-20A(2x2)_n8A(2x2)
 UL: DC_20A_n8A
 [6 (4+2) LTE &amp; 2 NR layers]</t>
  </si>
  <si>
    <t>MTR-36496</t>
  </si>
  <si>
    <t>DC_7A(4x4)-7A(4x4)_n8A(2x2)
 UL: DC_7A_n8A
 [8 (4+4) LTE &amp; 2 NR layers]</t>
  </si>
  <si>
    <t>DC_7A-7A_n8A</t>
  </si>
  <si>
    <t>MTR-35376</t>
  </si>
  <si>
    <t>DC_7A(4x4)-20A(2x2)_n8A(2x2)
 UL: DC_7A_n8A
 [6 (4+2) LTE &amp; 2 NR layers]</t>
  </si>
  <si>
    <t>DC_7A-20A_n8A</t>
  </si>
  <si>
    <t>MTR-35377</t>
  </si>
  <si>
    <t>DC_7A(4x4)-20A(2x2)_n8A(2x2)
 UL: DC_20A_n8A
 [6 (4+2) LTE &amp; 2 NR layers]</t>
  </si>
  <si>
    <t>MTR-36972</t>
  </si>
  <si>
    <t>DC_7A(4x4)-32A(2x2)_n8A(2x2)
 UL: DC_7A_n8A
 [6 (4+2) LTE &amp; 2 NR layers]</t>
  </si>
  <si>
    <t>DC_7A-32A_n8A</t>
  </si>
  <si>
    <t>MTR-36971</t>
  </si>
  <si>
    <t>DC_20A(2x2)-32A(2x2)_n8A(2x2)
 UL: DC_20A_n8A
 [4 (2+2) LTE &amp; 2 NR layers]</t>
  </si>
  <si>
    <t>DC_20A-32A_n8A</t>
  </si>
  <si>
    <t>MTR-35502</t>
  </si>
  <si>
    <r>
      <rPr>
        <rFont val="Arial"/>
        <b/>
        <color theme="1"/>
        <sz val="10.0"/>
      </rPr>
      <t>2.5.2.5.3</t>
    </r>
    <r>
      <rPr>
        <rFont val="Arial"/>
        <b val="0"/>
        <color theme="1"/>
        <sz val="10.0"/>
      </rPr>
      <t xml:space="preserve"> </t>
    </r>
    <r>
      <rPr>
        <rFont val="Arial"/>
        <b/>
        <color theme="1"/>
        <sz val="10.0"/>
      </rPr>
      <t>EN-DC 3 Carrier LTE + 1 Carrier n8A</t>
    </r>
  </si>
  <si>
    <t>MTR-35468</t>
  </si>
  <si>
    <t>DC_1A(4x4)-3A(4x4)-7A(4x4)_n8A(2x2)
 UL: DC_1A_n8A
 [12 (4+4+4) LTE &amp; 2 NR layers]</t>
  </si>
  <si>
    <t>DC_1A-3A-7A_n8A</t>
  </si>
  <si>
    <t>MTR-35469</t>
  </si>
  <si>
    <t>DC_1A(4x4)-3A(4x4)-7A(4x4)_n8A(2x2)
 UL: DC_3A_n8A
 [12 (4+4+4) LTE &amp; 2 NR layers]</t>
  </si>
  <si>
    <t>MTR-35470</t>
  </si>
  <si>
    <t>DC_1A(4x4)-3A(4x4)-7A(4x4)_n8A(2x2)
 UL: DC_7A_n8A
 [12 (4+4+4) LTE &amp; 2 NR layers]</t>
  </si>
  <si>
    <t>MTR-35471</t>
  </si>
  <si>
    <t>DC_1A(4x4)-3A(4x4)-20A(2x2)_n8A(2x2)
 UL: DC_1A_n8A
 [10 (4+4+2) LTE &amp; 2 NR layers]</t>
  </si>
  <si>
    <t>DC_1A-3A-20A_n8A</t>
  </si>
  <si>
    <t>MTR-35472</t>
  </si>
  <si>
    <t>DC_1A(4x4)-3A(4x4)-20A(2x2)_n8A(2x2)
 UL: DC_3A_n8A
 [10 (4+4+2) LTE &amp; 2 NR layers]</t>
  </si>
  <si>
    <t>MTR-35473</t>
  </si>
  <si>
    <t>DC_1A(4x4)-3A(4x4)-20A(2x2)_n8A(2x2)
 UL: DC_20A_n8A
 [10 (4+4+2) LTE &amp; 2 NR layers]</t>
  </si>
  <si>
    <t>MTR-35474</t>
  </si>
  <si>
    <t>DC_1A(4x4)-7A(4x4)-20A(2x2)_n8A(2x2)
 UL: DC_1A_n8A
 [10 (4+4+2) LTE &amp; 2 NR layers]</t>
  </si>
  <si>
    <t>DC_1A-7A-20A_n8A</t>
  </si>
  <si>
    <t>MTR-35475</t>
  </si>
  <si>
    <t>DC_1A(4x4)-7A(4x4)-20A(2x2)_n8A(2x2)
 UL: DC_7A_n8A
 [10 (4+4+2) LTE &amp; 2 NR layers]</t>
  </si>
  <si>
    <t>MTR-35476</t>
  </si>
  <si>
    <t>DC_1A(4x4)-7A(4x4)-20A(2x2)_n8A(2x2)
 UL: DC_20A_n8A
 [10 (4+4+2) LTE &amp; 2 NR layers]</t>
  </si>
  <si>
    <t>MTR-36975</t>
  </si>
  <si>
    <t>DC_1A(4x4)-7A(4x4)-32A(2x2)_n8A(2x2)
 UL: DC_1A_n8A
 [10 (4+4+2) LTE &amp; 2 NR layers]</t>
  </si>
  <si>
    <t>DC_1A-7A-32A_n8A</t>
  </si>
  <si>
    <t>MTR-36976</t>
  </si>
  <si>
    <t>DC_1A(4x4)-7A(4x4)-32A(2x2)_n8A(2x2)
 UL: DC_7A_n8A
 [10 (4+4+2) LTE &amp; 2 NR layers]</t>
  </si>
  <si>
    <t>MTR-36973</t>
  </si>
  <si>
    <t>DC_1A(4x4)-20A(2x2)-32A(2x2)_n8A(2x2)
 UL: DC_1A_n8A
 [8 (4+2+2) LTE &amp; 2 NR layers]</t>
  </si>
  <si>
    <t>DC_1A-20A-32A_n8A</t>
  </si>
  <si>
    <t>MTR-36974</t>
  </si>
  <si>
    <t>DC_1A(4x4)-20A(2x2)-32A(2x2)_n8A(2x2)
 UL: DC_20A_n8A
 [8 (4+2+2) LTE &amp; 2 NR layers]</t>
  </si>
  <si>
    <t>MTR-36497</t>
  </si>
  <si>
    <t>DC_3A(4x4)-3A(4x4)-7A(4x4)_n8A(2x2)
 UL: DC_3A_n8A
 [12 (4+4+4) LTE &amp; 2 NR layers]</t>
  </si>
  <si>
    <t>DC_3A-3A-7A_n8A</t>
  </si>
  <si>
    <t>MTR-36498</t>
  </si>
  <si>
    <t>DC_3A(4x4)-3A(4x4)-7A(4x4)_n8A(2x2)
 UL: DC_7A_n8A
 [12 (4+4+4) LTE &amp; 2 NR layers]</t>
  </si>
  <si>
    <t>MTR-36499</t>
  </si>
  <si>
    <t>DC_3A(4x4)-7A(4x4)-7A(4x4)_n8A(2x2)
 UL: DC_3A_n8A
 [12 (4+4+4) LTE &amp; 2 NR layers]</t>
  </si>
  <si>
    <t>DC_3A-7A-7A_n8A</t>
  </si>
  <si>
    <t>MTR-36500</t>
  </si>
  <si>
    <t>DC_3A(4x4)-7A(4x4)-7A(4x4)_n8A(2x2)
 UL: DC_7A_n8A
 [12 (4+4+4) LTE &amp; 2 NR layers]</t>
  </si>
  <si>
    <t>MTR-35477</t>
  </si>
  <si>
    <t>DC_3A(4x4)-7A(4x4)-20A(2x2)_n8A(2x2)
 UL: DC_3A_n8A
 [10 (4+4+2) LTE &amp; 2 NR layers]</t>
  </si>
  <si>
    <t>DC_3A-7A-20A_n8A</t>
  </si>
  <si>
    <t>MTR-35478</t>
  </si>
  <si>
    <t>DC_3A(4x4)-7A(4x4)-20A(2x2)_n8A(2x2)
 UL: DC_7A_n8A
 [10 (4+4+2) LTE &amp; 2 NR layers]</t>
  </si>
  <si>
    <t>MTR-35479</t>
  </si>
  <si>
    <t>DC_3A(4x4)-7A(4x4)-20A(2x2)_n8A(2x2)
 UL: DC_20A_n8A
 [10 (4+4+2) LTE &amp; 2 NR layers]</t>
  </si>
  <si>
    <t>MTR-36978</t>
  </si>
  <si>
    <t>DC_7A(4x4)-20A(2x2)-32A(2x2)_n8A(2x2)
 UL: DC_7A_n8A
 [8 (4+2+2) LTE &amp; 2 NR layers]</t>
  </si>
  <si>
    <t>DC_7A-20A-32A_n8A</t>
  </si>
  <si>
    <t>MTR-36979</t>
  </si>
  <si>
    <t>DC_7A(4x4)-20A(2x2)-32A(2x2)_n8A(2x2)
 UL: DC_20A_n8A
 [8 (4+2+2) LTE &amp; 2 NR layers]</t>
  </si>
  <si>
    <t>MTR-35503</t>
  </si>
  <si>
    <r>
      <rPr>
        <rFont val="Arial"/>
        <b/>
        <color theme="1"/>
        <sz val="10.0"/>
      </rPr>
      <t>2.5.2.5.4</t>
    </r>
    <r>
      <rPr>
        <rFont val="Arial"/>
        <b val="0"/>
        <color theme="1"/>
        <sz val="10.0"/>
      </rPr>
      <t xml:space="preserve"> </t>
    </r>
    <r>
      <rPr>
        <rFont val="Arial"/>
        <b/>
        <color theme="1"/>
        <sz val="10.0"/>
      </rPr>
      <t>EN-DC 4 Carrier LTE + 1 Carrier n8A</t>
    </r>
  </si>
  <si>
    <t>MTR-35480</t>
  </si>
  <si>
    <t>DC_1A(4x4)-3A(4x4)-7A(4x4)-20A(2x2)_n8A(2x2)
 UL: DC_1A_n8A
 [14 (4+4+4+2) LTE &amp; 2 NR layers]</t>
  </si>
  <si>
    <t>DC_1A-3A-7A-20A_n8A</t>
  </si>
  <si>
    <t>1A-3A-7A-20A</t>
  </si>
  <si>
    <t>MTR-35481</t>
  </si>
  <si>
    <t>DC_1A(4x4)-3A(4x4)-7A(4x4)-20A(2x2)_n8A(2x2)
 UL: DC_3A_n8A
 [14 (4+4+4+2) LTE &amp; 2 NR layers]</t>
  </si>
  <si>
    <t>MTR-35482</t>
  </si>
  <si>
    <t>DC_1A(4x4)-3A(4x4)-7A(4x4)-20A(2x2)_n8A(2x2)
 UL: DC_7A_n8A
 [14 (4+4+4+2) LTE &amp; 2 NR layers]</t>
  </si>
  <si>
    <t>MTR-35483</t>
  </si>
  <si>
    <t>DC_1A(4x4)-3A(4x4)-7A(4x4)-20A(2x2)_n8A(2x2)
 UL: DC_20A_n8A
 [14 (4+4+4+2) LTE &amp; 2 NR layers]</t>
  </si>
  <si>
    <t>MTR-36982</t>
  </si>
  <si>
    <t>DC_1A(4x4)-7A(4x4)-20A(2x2)-32A(2x2)_n8A(2x2)
 UL: DC_1A_n8A
 [12 (4+4+2+2) LTE &amp; 2 NR layers]</t>
  </si>
  <si>
    <t>DC_1A-7A-20A-32A_n8A</t>
  </si>
  <si>
    <t>MTR-36983</t>
  </si>
  <si>
    <t>DC_1A(4x4)-7A(4x4)-20A(2x2)-32A(2x2)_n8A(2x2)
 UL: DC_7A_n8A
 [12 (4+4+2+2) LTE &amp; 2 NR layers]</t>
  </si>
  <si>
    <t>MTR-36984</t>
  </si>
  <si>
    <t>DC_1A(4x4)-7A(4x4)-20A(2x2)-32A(2x2)_n8A(2x2)
 UL: DC_20A_n8A
 [12 (4+4+2+2) LTE &amp; 2 NR layers]</t>
  </si>
  <si>
    <t>MTR-36501</t>
  </si>
  <si>
    <t>DC_3A(4x4)-3A(4x4)-7A(4x4)-7A(4x4)_n8A(2x2)
 UL: DC_3A_n8A
 [16 (4+4+4+4) LTE &amp; 2 NR layers]</t>
  </si>
  <si>
    <t>DC_3A-3A-7A-7A_n8A</t>
  </si>
  <si>
    <t>MTR-36502</t>
  </si>
  <si>
    <t>DC_3A(4x4)-3A(4x4)-7A(4x4)-7A(4x4)_n8A(2x2)
 UL: DC_7A_n8A
 [16 (4+4+4+4) LTE &amp; 2 NR layers]</t>
  </si>
  <si>
    <t>MTR-34946</t>
  </si>
  <si>
    <r>
      <rPr>
        <rFont val="Arial"/>
        <b/>
        <color theme="1"/>
        <sz val="10.0"/>
      </rPr>
      <t>2.5.2.6</t>
    </r>
    <r>
      <rPr>
        <rFont val="Arial"/>
        <b val="0"/>
        <color theme="1"/>
        <sz val="10.0"/>
      </rPr>
      <t xml:space="preserve"> </t>
    </r>
    <r>
      <rPr>
        <rFont val="Arial"/>
        <b/>
        <color theme="1"/>
        <sz val="10.0"/>
      </rPr>
      <t>EN-DC LTE CA + n20A</t>
    </r>
  </si>
  <si>
    <t>MTR-35453</t>
  </si>
  <si>
    <r>
      <rPr>
        <rFont val="Arial"/>
        <b/>
        <color theme="1"/>
        <sz val="10.0"/>
      </rPr>
      <t>2.5.2.6.1</t>
    </r>
    <r>
      <rPr>
        <rFont val="Arial"/>
        <b val="0"/>
        <color theme="1"/>
        <sz val="10.0"/>
      </rPr>
      <t xml:space="preserve"> </t>
    </r>
    <r>
      <rPr>
        <rFont val="Arial"/>
        <b/>
        <color theme="1"/>
        <sz val="10.0"/>
      </rPr>
      <t>EN-DC 1 Carrier LTE + 1 Carrier n20A</t>
    </r>
  </si>
  <si>
    <t>MTR-35484</t>
  </si>
  <si>
    <t>DC_1A(4x4)_n20A(2x2)
 UL: DC_1A_n20A
 [4 LTE &amp; 2 NR layers]</t>
  </si>
  <si>
    <t>DC_1A_n20A</t>
  </si>
  <si>
    <t>n20A</t>
  </si>
  <si>
    <t>MTR-34947</t>
  </si>
  <si>
    <t>DC_3A(4x4)_n20A(2x2)
 UL: DC_3A_n20A
 [4 LTE &amp; 2 NR layers]</t>
  </si>
  <si>
    <t>DC_3A_n20A</t>
  </si>
  <si>
    <t>MTR-35485</t>
  </si>
  <si>
    <t>DC_7A(4x4)_n20A(2x2)
 UL: DC_7A_n20A
 [4 LTE &amp; 2 NR layers]</t>
  </si>
  <si>
    <t>DC_7A_n20A</t>
  </si>
  <si>
    <t>MTR-35486</t>
  </si>
  <si>
    <t>DC_8A(2x2)_n20A(2x2)
 UL: DC_8A_n20A
 [2 LTE &amp; 2 NR layers]</t>
  </si>
  <si>
    <t>DC_8A_n20A</t>
  </si>
  <si>
    <t>MTR-39308</t>
  </si>
  <si>
    <t>DC_28A(2x2)_n20A(2x2)
 UL: DC_28A_n20A
 [2 LTE &amp; 2 NR layers]</t>
  </si>
  <si>
    <t>DC_28A_n20A</t>
  </si>
  <si>
    <t>MTR-38522</t>
  </si>
  <si>
    <r>
      <rPr>
        <rFont val="Arial"/>
        <b/>
        <color theme="1"/>
        <sz val="10.0"/>
      </rPr>
      <t>2.5.2.6.2</t>
    </r>
    <r>
      <rPr>
        <rFont val="Arial"/>
        <b val="0"/>
        <color theme="1"/>
        <sz val="10.0"/>
      </rPr>
      <t xml:space="preserve"> </t>
    </r>
    <r>
      <rPr>
        <rFont val="Arial"/>
        <b/>
        <color theme="1"/>
        <sz val="10.0"/>
      </rPr>
      <t>EN-DC 2 Carrier LTE + 1 Carrier n20A</t>
    </r>
  </si>
  <si>
    <t>MTR-39309</t>
  </si>
  <si>
    <t>DC_1A(4x4)-7A(4x4)_n20A(2x2)
 UL: DC_1A_n20A
 [8 (4+4) LTE &amp; 2 NR layers]</t>
  </si>
  <si>
    <t>DC_1A-7A_n20A</t>
  </si>
  <si>
    <t>MTR-39310</t>
  </si>
  <si>
    <t>DC_1A(4x4)-7A(4x4)_n20A(2x2)
 UL: DC_7A_n20A
 [8 (4+4) LTE &amp; 2 NR layers]</t>
  </si>
  <si>
    <t>MTR-39311</t>
  </si>
  <si>
    <t>DC_1A(4x4)-8A(2x2)_n20A(2x2)
 UL: DC_1A_n20A
 [6 (4+2) LTE &amp; 2 NR layers]</t>
  </si>
  <si>
    <t>DC_1A-8A_n20A</t>
  </si>
  <si>
    <t>MTR-39312</t>
  </si>
  <si>
    <t>DC_1A(4x4)-8A(2x2)_n20A(2x2)
 UL: DC_8A_n20A
 [6 (4+2) LTE &amp; 2 NR layers]</t>
  </si>
  <si>
    <t>MTR-39313</t>
  </si>
  <si>
    <t>DC_1A(4x4)-28A(2x2)_n20A(2x2)
 UL: DC_1A_n20A
 [6 (4+2) LTE &amp; 2 NR layers]</t>
  </si>
  <si>
    <t>DC_1A-28A_n20A</t>
  </si>
  <si>
    <t>MTR-39314</t>
  </si>
  <si>
    <t>DC_1A(4x4)-28A(2x2)_n20A(2x2)
 UL: DC_28A_n20A
 [6 (4+2) LTE &amp; 2 NR layers]</t>
  </si>
  <si>
    <t>MTR-38301</t>
  </si>
  <si>
    <t>DC_3C(4x4)_n20A(2x2)
 UL: DC_3A_n20A
 [8 (4+4) LTE &amp; 2 NR layers]</t>
  </si>
  <si>
    <t>DC_3C_n20A</t>
  </si>
  <si>
    <t>MTR-39315</t>
  </si>
  <si>
    <t>DC_7A(4x4)-8A(2x2)_n20A(2x2)
 UL: DC_8A_n20A
 [6 (4+2) LTE &amp; 2 NR layers]</t>
  </si>
  <si>
    <t>DC_7A-8A_n20A</t>
  </si>
  <si>
    <t>MTR-39316</t>
  </si>
  <si>
    <t>DC_7A(4x4)-8A(2x2)_n20A(2x2)
 UL: DC_7A_n20A
 [6 (4+2) LTE &amp; 2 NR layers]</t>
  </si>
  <si>
    <t>MTR-39317</t>
  </si>
  <si>
    <t>DC_7A(4x4)-28A(2x2)_n20A(2x2)
 UL: DC_7A_n20A
 [6 (4+2) LTE &amp; 2 NR layers]</t>
  </si>
  <si>
    <t>DC_7A-28A_n20A</t>
  </si>
  <si>
    <t>MTR-39318</t>
  </si>
  <si>
    <t>DC_7A(4x4)-28A(2x2)_n20A(2x2)
 UL: DC_28A_n20A
 [6 (4+2) LTE &amp; 2 NR layers]</t>
  </si>
  <si>
    <t>MTR-39411</t>
  </si>
  <si>
    <r>
      <rPr>
        <rFont val="Arial"/>
        <b/>
        <color theme="1"/>
        <sz val="10.0"/>
      </rPr>
      <t>2.5.2.6.3</t>
    </r>
    <r>
      <rPr>
        <rFont val="Arial"/>
        <b val="0"/>
        <color theme="1"/>
        <sz val="10.0"/>
      </rPr>
      <t xml:space="preserve"> </t>
    </r>
    <r>
      <rPr>
        <rFont val="Arial"/>
        <b/>
        <color theme="1"/>
        <sz val="10.0"/>
      </rPr>
      <t>EN-DC 3 Carrier LTE + 1 Carrier n20A</t>
    </r>
  </si>
  <si>
    <t>MTR-39319</t>
  </si>
  <si>
    <t>DC_1A(4x4)-7A(4x4)-8A(2x2)_n20A(2x2)
 UL: DC_1A_n20A
 [10 (4+4+2) LTE &amp; 2 NR layers]</t>
  </si>
  <si>
    <t>DC_1A-7A-8A_n20A</t>
  </si>
  <si>
    <t>MTR-39320</t>
  </si>
  <si>
    <t>DC_1A(4x4)-7A(4x4)-8A(2x2)_n20A(2x2)
 UL: DC_7A_n20A
 [10 (4+4+2) LTE &amp; 2 NR layers]</t>
  </si>
  <si>
    <t>MTR-39321</t>
  </si>
  <si>
    <t>DC_1A(4x4)-7A(4x4)-8A(2x2)_n20A(2x2)
 UL: DC_8A_n20A
 [10 (4+4+2) LTE &amp; 2 NR layers]</t>
  </si>
  <si>
    <t>MTR-39322</t>
  </si>
  <si>
    <t>DC_1A(4x4)-7A(4x4)-28A(2x2)_n20A(2x2)
 UL: DC_1A_n20A
 [10 (4+4+2) LTE &amp; 2 NR layers]</t>
  </si>
  <si>
    <t>DC_1A-7A-28A_n20A</t>
  </si>
  <si>
    <t>MTR-39323</t>
  </si>
  <si>
    <t>DC_1A(4x4)-7A(4x4)-28A(2x2)_n20A(2x2)
 UL: DC_7A_n20A
 [10 (4+4+2) LTE &amp; 2 NR layers]</t>
  </si>
  <si>
    <t>MTR-39324</t>
  </si>
  <si>
    <t>DC_1A(4x4)-7A(4x4)-28A(2x2)_n20A(2x2)
 UL: DC_28A_n20A
 [10 (4+4+2) LTE &amp; 2 NR layers]</t>
  </si>
  <si>
    <t>MTR-34213</t>
  </si>
  <si>
    <r>
      <rPr>
        <rFont val="Arial"/>
        <b/>
        <color theme="1"/>
        <sz val="10.0"/>
      </rPr>
      <t>2.5.2.7</t>
    </r>
    <r>
      <rPr>
        <rFont val="Arial"/>
        <b val="0"/>
        <color theme="1"/>
        <sz val="10.0"/>
      </rPr>
      <t xml:space="preserve"> </t>
    </r>
    <r>
      <rPr>
        <rFont val="Arial"/>
        <b/>
        <color theme="1"/>
        <sz val="10.0"/>
      </rPr>
      <t>EN-DC LTE CA + n28A</t>
    </r>
  </si>
  <si>
    <t>MTR-34488</t>
  </si>
  <si>
    <r>
      <rPr>
        <rFont val="Arial"/>
        <b/>
        <color theme="1"/>
        <sz val="10.0"/>
      </rPr>
      <t>2.5.2.7.1</t>
    </r>
    <r>
      <rPr>
        <rFont val="Arial"/>
        <b val="0"/>
        <color theme="1"/>
        <sz val="10.0"/>
      </rPr>
      <t xml:space="preserve"> </t>
    </r>
    <r>
      <rPr>
        <rFont val="Arial"/>
        <b/>
        <color theme="1"/>
        <sz val="10.0"/>
      </rPr>
      <t>EN-DC 1 Carrier LTE + 1 Carrier n28A</t>
    </r>
  </si>
  <si>
    <t>MTR-33319</t>
  </si>
  <si>
    <t>DC_1A(4x4)_n28A(2x2)
 UL: DC_1A_n28A
 [4 LTE &amp; 2 NR layers]</t>
  </si>
  <si>
    <t>DC_1A_n28A</t>
  </si>
  <si>
    <t>n28A</t>
  </si>
  <si>
    <t>MTR-33320</t>
  </si>
  <si>
    <t>DC_3A(4x4)_n28A(2x2)
 UL: DC_3A_n28A
 [4 LTE &amp; 2 NR layers]</t>
  </si>
  <si>
    <t>MTR-33321</t>
  </si>
  <si>
    <t>DC_7A(4x4)_n28A(2x2)
 UL: DC_7A_n28A
 [4 LTE &amp; 2 NR layers]</t>
  </si>
  <si>
    <t>DC_7A_n28A</t>
  </si>
  <si>
    <t>MTR-34137</t>
  </si>
  <si>
    <t>DC_8A(2x2)_n28A(2x2)
 UL: DC_8A_n28A
 [2 LTE &amp; 2 NR layers]</t>
  </si>
  <si>
    <t>DC_8A_n28A</t>
  </si>
  <si>
    <t>MTR-33322</t>
  </si>
  <si>
    <t>DC_20A(2x2)_n28A(2x2)
 UL: DC_20A_n28A
 [2 LTE &amp; 2 NR layers]</t>
  </si>
  <si>
    <t>DC_20A_n28A</t>
  </si>
  <si>
    <t>MTR-34489</t>
  </si>
  <si>
    <r>
      <rPr>
        <rFont val="Arial"/>
        <b/>
        <color theme="1"/>
        <sz val="10.0"/>
      </rPr>
      <t>2.5.2.7.2</t>
    </r>
    <r>
      <rPr>
        <rFont val="Arial"/>
        <b val="0"/>
        <color theme="1"/>
        <sz val="10.0"/>
      </rPr>
      <t xml:space="preserve"> </t>
    </r>
    <r>
      <rPr>
        <rFont val="Arial"/>
        <b/>
        <color theme="1"/>
        <sz val="10.0"/>
      </rPr>
      <t>EN-DC 2 Carriers LTE + 1 Carrier n28A</t>
    </r>
  </si>
  <si>
    <t>MTR-35951</t>
  </si>
  <si>
    <t>DC_1A(4x4)-1A(4x4)_n28A(2x2)
 UL: DC_1A_n28A
 [8 (4+4) LTE &amp; 2 NR layers]</t>
  </si>
  <si>
    <t>DC_1A-1A_n28A</t>
  </si>
  <si>
    <t>MTR-33358</t>
  </si>
  <si>
    <t>DC_1A(4x4)-3A(4x4)_n28A(2x2)
 UL: DC_1A_n28A
 [8 (4+4) LTE &amp; 2 NR layers]</t>
  </si>
  <si>
    <t>DC_1A-3A_n28A</t>
  </si>
  <si>
    <t>MTR-33359</t>
  </si>
  <si>
    <t>DC_1A(4x4)-3A(4x4)_n28A(2x2)
 UL: DC_3A_n28A
 [8 (4+4) LTE &amp; 2 NR layers]</t>
  </si>
  <si>
    <t>MTR-33326</t>
  </si>
  <si>
    <t>DC_1A(4x4)-7A(4x4)_n28A(2x2)
 UL: DC_1A_n28A
 [8 (4+4) LTE &amp; 2 NR layers]</t>
  </si>
  <si>
    <t>DC_1A-7A_n28A</t>
  </si>
  <si>
    <t>MTR-33327</t>
  </si>
  <si>
    <t>DC_1A(4x4)-7A(4x4)_n28A(2x2)
 UL: DC_7A_n28A
 [8 (4+4) LTE &amp; 2 NR layers]</t>
  </si>
  <si>
    <t>MTR-34796</t>
  </si>
  <si>
    <t>DC_1A(4x4)-8A(2x2)_n28A(2x2)
 UL: DC_1A_n28A
 [6 (4+2) LTE &amp; 2 NR layers]</t>
  </si>
  <si>
    <t>DC_1A-8A_n28A</t>
  </si>
  <si>
    <t>MTR-34797</t>
  </si>
  <si>
    <t>DC_1A(4x4)-8A(2x2)_n28A(2x2)
 UL: DC_8A_n28A
 [6 (4+2) LTE &amp; 2 NR layers]</t>
  </si>
  <si>
    <t>MTR-33801</t>
  </si>
  <si>
    <t>DC_1A(4x4)-20A(2x2)_n28A(2x2)
 UL: DC_1A_n28A
 [6 (4+2) LTE &amp; 2 NR layers]</t>
  </si>
  <si>
    <t>DC_1A-20A_n28A</t>
  </si>
  <si>
    <t>MTR-33802</t>
  </si>
  <si>
    <t>DC_1A(4x4)-20A(2x2)_n28A(2x2)
 UL: DC_20A_n28A
 [6 (4+2) LTE &amp; 2 NR layers]</t>
  </si>
  <si>
    <t>MTR-35952</t>
  </si>
  <si>
    <t>DC_1A(4x4)-32A(2x2)_n28A(2x2)
 UL: DC_1A_n28A
 [6 (4+2) LTE &amp; 2 NR layers]</t>
  </si>
  <si>
    <t>DC_1A-32A_n28A</t>
  </si>
  <si>
    <t>MTR-34355</t>
  </si>
  <si>
    <t>DC_3C(4x4)_n28A(2x2)
 UL: DC_3A_n28A
 [8 (4+4) LTE &amp; 2 NR layers]</t>
  </si>
  <si>
    <t>DC_3C_n28A</t>
  </si>
  <si>
    <t>MTR-34356</t>
  </si>
  <si>
    <t>DC_3C(4x4)_n28A(2x2)
 UL: DC_3C_n28A
 [8 (4+4) LTE &amp; 2 NR layers]</t>
  </si>
  <si>
    <t>MTR-33360</t>
  </si>
  <si>
    <t>DC_3A(4x4)-7A(4x4)_n28A(2x2)
 UL: DC_3A_n28A
 [8 (4+4) LTE &amp; 2 NR layers]</t>
  </si>
  <si>
    <t>DC_3A-7A_n28A</t>
  </si>
  <si>
    <t>MTR-33361</t>
  </si>
  <si>
    <t>DC_3A(4x4)-7A(4x4)_n28A(2x2)
 UL: DC_7A_n28A
 [8 (4+4) LTE &amp; 2 NR layers]</t>
  </si>
  <si>
    <t>MTR-35487</t>
  </si>
  <si>
    <t>DC_3A(4x4)-8A(2x2)_n28A(2x2)
 UL: DC_3A_n28A
 [6 (4+2) LTE &amp; 2 NR layers]</t>
  </si>
  <si>
    <t>DC_3A-8A_n28A</t>
  </si>
  <si>
    <t>MTR-35488</t>
  </si>
  <si>
    <t>DC_3A(4x4)-8A(2x2)_n28A(2x2)
 UL: DC_8A_n28A
 [6 (4+2) LTE &amp; 2 NR layers]</t>
  </si>
  <si>
    <t>MTR-33341</t>
  </si>
  <si>
    <t>DC_3A(4x4)-20A(2x2)_n28A(2x2)
 UL: DC_3A_n28A
 [6 (4+2) LTE &amp; 2 NR layers]</t>
  </si>
  <si>
    <t>DC_3A-20A_n28A</t>
  </si>
  <si>
    <t>MTR-33342</t>
  </si>
  <si>
    <t>DC_3A(4x4)-20A(2x2)_n28A(2x2)
 UL: DC_20A_n28A
 [6 (4+2) LTE &amp; 2 NR layers]</t>
  </si>
  <si>
    <t>MTR-36985</t>
  </si>
  <si>
    <t>DC_3A(4x4)-32A(2x2)_n28A(2x2)
 UL: DC_3A_n28A
 [6 (4+2) LTE &amp; 2 NR layers]</t>
  </si>
  <si>
    <t>DC_3A-32A_n28A</t>
  </si>
  <si>
    <t>MTR-34357</t>
  </si>
  <si>
    <t>DC_7C(4x4)_n28A(2x2)
 UL: DC_7A_n28A
 [8 (4+4) LTE &amp; 2 NR layers]</t>
  </si>
  <si>
    <t>DC_7C_n28A</t>
  </si>
  <si>
    <t>MTR-34360</t>
  </si>
  <si>
    <t>DC_7C(4x4)_n28A(2x2)
 UL: DC_7C_n28A
 [8 (4+4) LTE &amp; 2 NR layers]</t>
  </si>
  <si>
    <t>MTR-39326</t>
  </si>
  <si>
    <t>DC_7A(4x4)-7A(4x4)_n28A(2x2)
 UL: DC_7A_n28A
 [8 (4+4) LTE &amp; 2 NR layers]</t>
  </si>
  <si>
    <t>DC_7A-7A_n28A</t>
  </si>
  <si>
    <t>MTR-35955</t>
  </si>
  <si>
    <t>DC_7A(4x4)-8A(2x2)_n28A(2x2)
 UL: DC_7A_n28A
 [6 (4+2) LTE &amp; 2 NR layers]</t>
  </si>
  <si>
    <t>DC_7A-8A_n28A</t>
  </si>
  <si>
    <t>MTR-35956</t>
  </si>
  <si>
    <t>DC_7A(4x4)-8A(2x2)_n28A(2x2)
 UL: DC_8A_n28A
 [6 (4+2) LTE &amp; 2 NR layers]</t>
  </si>
  <si>
    <t>MTR-33362</t>
  </si>
  <si>
    <t>DC_7A(4x4)-20A(2x2)_n28A(2x2)
 UL: DC_7A_n28A
 [6 (4+2) LTE &amp; 2 NR layers]</t>
  </si>
  <si>
    <t>DC_7A-20A_n28A</t>
  </si>
  <si>
    <t>MTR-33363</t>
  </si>
  <si>
    <t>DC_7A(4x4)-20A(2x2)_n28A(2x2)
 UL: DC_20A_n28A
 [6 (4+2) LTE &amp; 2 NR layers]</t>
  </si>
  <si>
    <t>MTR-35954</t>
  </si>
  <si>
    <t>DC_7A(4x4)-32A(2x2)_n28A(2x2)
 UL: DC_7A_n28A
 [6 (4+2) LTE &amp; 2 NR layers]</t>
  </si>
  <si>
    <t>DC_7A-32A_n28A</t>
  </si>
  <si>
    <t>MTR-36986</t>
  </si>
  <si>
    <t>DC_8A(2x2)-20A(2x2)_n28A(2x2)
 UL: DC_8A_n28A
 [4 (2+2) LTE &amp; 2 NR layers]</t>
  </si>
  <si>
    <t>DC_8A-20A_n28A</t>
  </si>
  <si>
    <t>MTR-36987</t>
  </si>
  <si>
    <t>DC_8A(2x2)-20A(2x2)_n28A(2x2)
 UL: DC_20A_n28A
 [4 (2+2) LTE &amp; 2 NR layers]</t>
  </si>
  <si>
    <t>MTR-38693</t>
  </si>
  <si>
    <t>DC_8A(2x2)-32A(2x2)_n28A(2x2)
 UL: DC_8A_n28A
 [4 (2+2) LTE &amp; 2 NR layers]</t>
  </si>
  <si>
    <t>DC_8A-32A_n28A</t>
  </si>
  <si>
    <t>MTR-35953</t>
  </si>
  <si>
    <t>DC_20A(2x2)-32A(2x2)_n28A(2x2)
 UL: DC_20A_n28A
 [4 (2+2) LTE &amp; 2 NR layers]</t>
  </si>
  <si>
    <t>DC_20A-32A_n28A</t>
  </si>
  <si>
    <t>MTR-34490</t>
  </si>
  <si>
    <r>
      <rPr>
        <rFont val="Arial"/>
        <b/>
        <color theme="1"/>
        <sz val="10.0"/>
      </rPr>
      <t>2.5.2.7.3</t>
    </r>
    <r>
      <rPr>
        <rFont val="Arial"/>
        <b val="0"/>
        <color theme="1"/>
        <sz val="10.0"/>
      </rPr>
      <t xml:space="preserve"> </t>
    </r>
    <r>
      <rPr>
        <rFont val="Arial"/>
        <b/>
        <color theme="1"/>
        <sz val="10.0"/>
      </rPr>
      <t>EN-DC 3 Carriers LTE + 1 Carrier n28A</t>
    </r>
  </si>
  <si>
    <t>MTR-35957</t>
  </si>
  <si>
    <t>DC_1A(4x4)-1A(4x4)-3A(4x4)_n28A(2x2)
 UL: DC_1A_n28A
 [12 (4+4+4) LTE &amp; 2 NR layers]</t>
  </si>
  <si>
    <t>DC_1A-1A-3A_n28A</t>
  </si>
  <si>
    <t>MTR-35958</t>
  </si>
  <si>
    <t>DC_1A(4x4)-1A(4x4)-3A(4x4)_n28A(2x2)
 UL: DC_3A_n28A
 [12 (4+4+4) LTE &amp; 2 NR layers]</t>
  </si>
  <si>
    <t>MTR-35962</t>
  </si>
  <si>
    <t>DC_1A(4x4)-1A(4x4)-7A(4x4)_n28A(2x2)
 UL: DC_1A_n28A
 [12 (4+4+4) LTE &amp; 2 NR layers]</t>
  </si>
  <si>
    <t>DC_1A-1A-7A_n28A</t>
  </si>
  <si>
    <t>MTR-35963</t>
  </si>
  <si>
    <t>DC_1A(4x4)-1A(4x4)-7A(4x4)_n28A(2x2)
 UL: DC_7A_n28A
 [12 (4+4+4) LTE &amp; 2 NR layers]</t>
  </si>
  <si>
    <t>MTR-34365</t>
  </si>
  <si>
    <t>DC_1A(4x4)-3C(4x4)_n28A(2x2)
 UL: DC_1A_n28A
 [12 (4+4+4) LTE &amp; 2 NR layers]</t>
  </si>
  <si>
    <t>DC_1A-3C_n28A</t>
  </si>
  <si>
    <t>MTR-34366</t>
  </si>
  <si>
    <t>DC_1A(4x4)-3C(4x4)_n28A(2x2)
 UL: DC_3A_n28A
 [12 (4+4+4) LTE &amp; 2 NR layers]</t>
  </si>
  <si>
    <t>MTR-34367</t>
  </si>
  <si>
    <t>DC_1A(4x4)-3C(4x4)_n28A(2x2)
 UL: DC_3C_n28A
 [12 (4+4+4) LTE &amp; 2 NR layers]</t>
  </si>
  <si>
    <t>MTR-33418</t>
  </si>
  <si>
    <t>DC_1A(4x4)-3A(4x4)-7A(4x4)_n28A(2x2)
 UL: DC_1A_n28A
 [12 (4+4+4) LTE &amp; 2 NR layers]</t>
  </si>
  <si>
    <t>DC_1A-3A-7A_n28A</t>
  </si>
  <si>
    <t>MTR-33419</t>
  </si>
  <si>
    <t>DC_1A(4x4)-3A(4x4)-7A(4x4)_n28A(2x2)
 UL: DC_3A_n28A
 [12 (4+4+4) LTE &amp; 2 NR layers]</t>
  </si>
  <si>
    <t>MTR-33420</t>
  </si>
  <si>
    <t>DC_1A(4x4)-3A(4x4)-7A(4x4)_n28A(2x2)
 UL: DC_7A_n28A
 [12 (4+4+4) LTE &amp; 2 NR layers]</t>
  </si>
  <si>
    <t>MTR-35489</t>
  </si>
  <si>
    <t>DC_1A(4x4)-3A(4x4)-8A(2x2)_n28A(2x2)
 UL: DC_1A_n28A
 [10 (4+4+2) LTE &amp; 2 NR layers]</t>
  </si>
  <si>
    <t>DC_1A-3A-8A_n28A</t>
  </si>
  <si>
    <t>MTR-35490</t>
  </si>
  <si>
    <t>DC_1A(4x4)-3A(4x4)-8A(2x2)_n28A(2x2)
 UL: DC_3A_n28A
 [10 (4+4+2) LTE &amp; 2 NR layers]</t>
  </si>
  <si>
    <t>MTR-35491</t>
  </si>
  <si>
    <t>DC_1A(4x4)-3A(4x4)-8A(2x2)_n28A(2x2)
 UL: DC_8A_n28A
 [10 (4+4+2) LTE &amp; 2 NR layers]</t>
  </si>
  <si>
    <t>MTR-33384</t>
  </si>
  <si>
    <t>DC_1A(4x4)-3A(4x4)-20A(2x2)_n28A(2x2)
 UL: DC_1A_n28A
 [10 (4+4+2) LTE &amp; 2 NR layers]</t>
  </si>
  <si>
    <t>DC_1A-3A-20A_n28A</t>
  </si>
  <si>
    <t>MTR-33385</t>
  </si>
  <si>
    <t>DC_1A(4x4)-3A(4x4)-20A(2x2)_n28A(2x2)
 UL: DC_3A_n28A
 [10 (4+4+2) LTE &amp; 2 NR layers]</t>
  </si>
  <si>
    <t>MTR-33386</t>
  </si>
  <si>
    <t>DC_1A(4x4)-3A(4x4)-20A(2x2)_n28A(2x2)
 UL: DC_20A_n28A
 [10 (4+4+2) LTE &amp; 2 NR layers]</t>
  </si>
  <si>
    <t>MTR-37822</t>
  </si>
  <si>
    <t>DC_1A(4x4)-3A(4x4)-32A(2x2)_n28A(2x2)
 UL: DC_1A_n28A
 [10 (4+4+2) LTE &amp; 2 NR layers]</t>
  </si>
  <si>
    <t>DC_1A-3A-32A_n28A</t>
  </si>
  <si>
    <t>1A-3A-32A</t>
  </si>
  <si>
    <t>MTR-37823</t>
  </si>
  <si>
    <t>DC_1A(4x4)-3A(4x4)-32A(2x2)_n28A(2x2)
 UL: DC_3A_n28A
 [10 (4+4+2) LTE &amp; 2 NR layers]</t>
  </si>
  <si>
    <t>MTR-37824</t>
  </si>
  <si>
    <t>DC_1A(4x4)-8A(2x2)-20A(2x2)_n28A(2x2)
 UL: DC_1A_n28A
 [8 (4+2+2) LTE &amp; 2 NR layers]</t>
  </si>
  <si>
    <t>DC_1A-8A-20A_n28A</t>
  </si>
  <si>
    <t>MTR-34368</t>
  </si>
  <si>
    <t>DC_1A(4x4)-7C(4x4)_n28A(2x2)
 UL: DC_1A_n28A
 [12 (4+4+4) LTE &amp; 2 NR layers]</t>
  </si>
  <si>
    <t>DC_1A-7C_n28A</t>
  </si>
  <si>
    <t>MTR-34372</t>
  </si>
  <si>
    <t>DC_1A(4x4)-7C(4x4)_n28A(2x2)
 UL: DC_7A_n28A
 [12 (4+4+4) LTE &amp; 2 NR layers]</t>
  </si>
  <si>
    <t>MTR-34373</t>
  </si>
  <si>
    <t>DC_1A(4x4)-7C(4x4)_n28A(2x2)
 UL: DC_7C_n28A
 [12 (4+4+4) LTE &amp; 2 NR layers]</t>
  </si>
  <si>
    <t>MTR-39327</t>
  </si>
  <si>
    <t>DC_1A(4x4)-7A(4x4)-7A(4x4)_n28A(2x2)
 UL: DC_1A_n28A
 [12 (4+4+4) LTE &amp; 2 NR layers]</t>
  </si>
  <si>
    <t>DC_1A-7A-7A_n28A</t>
  </si>
  <si>
    <t>1A-7A-7A</t>
  </si>
  <si>
    <t>MTR-39328</t>
  </si>
  <si>
    <t>DC_1A(4x4)-7A(4x4)-7A(4x4)_n28A(2x2)
 UL: DC_7A_n28A
 [12 (4+4+4) LTE &amp; 2 NR layers]</t>
  </si>
  <si>
    <t>MTR-35966</t>
  </si>
  <si>
    <t>DC_1A(4x4)-7A(4x4)-8A(2x2)_n28A(2x2)
 UL: DC_1A_n28A
 [10 (4+4+2) LTE &amp; 2 NR layers]</t>
  </si>
  <si>
    <t>DC_1A-7A-8A_n28A</t>
  </si>
  <si>
    <t>MTR-35967</t>
  </si>
  <si>
    <t>DC_1A(4x4)-7A(4x4)-8A(2x2)_n28A(2x2)
 UL: DC_7A_n28A
 [10 (4+4+2) LTE &amp; 2 NR layers]</t>
  </si>
  <si>
    <t>MTR-35968</t>
  </si>
  <si>
    <t>DC_1A(4x4)-7A(4x4)-8A(2x2)_n28A(2x2)
 UL: DC_8A_n28A
 [10 (4+4+2) LTE &amp; 2 NR layers]</t>
  </si>
  <si>
    <t>MTR-33393</t>
  </si>
  <si>
    <t>DC_1A(4x4)-7A(4x4)-20A(2x2)_n28A(2x2)
 UL: DC_1A_n28A
 [10 (4+4+2) LTE &amp; 2 NR layers]</t>
  </si>
  <si>
    <t>DC_1A-7A-20A_n28A</t>
  </si>
  <si>
    <t>MTR-33394</t>
  </si>
  <si>
    <t>DC_1A(4x4)-7A(4x4)-20A(2x2)_n28A(2x2)
 UL: DC_7A_n28A
 [10 (4+4+2) LTE &amp; 2 NR layers]</t>
  </si>
  <si>
    <t>MTR-33395</t>
  </si>
  <si>
    <t>DC_1A(4x4)-7A(4x4)-20A(2x2)_n28A(2x2)
 UL: DC_20A_n28A
 [10 (4+4+2) LTE &amp; 2 NR layers]</t>
  </si>
  <si>
    <t>MTR-35964</t>
  </si>
  <si>
    <t>DC_1A(4x4)-7A(4x4)-32A(2x2)_n28A(2x2)
 UL: DC_1A_n28A
 [10 (4+4+2) LTE &amp; 2 NR layers]</t>
  </si>
  <si>
    <t>DC_1A-7A-32A_n28A</t>
  </si>
  <si>
    <t>MTR-35965</t>
  </si>
  <si>
    <t>DC_1A(4x4)-7A(4x4)-32A(2x2)_n28A(2x2)
 UL: DC_7A_n28A
 [10 (4+4+2) LTE &amp; 2 NR layers]</t>
  </si>
  <si>
    <t>MTR-37825</t>
  </si>
  <si>
    <t>DC_1A(4x4)-8A(2x2)-20A(2x2)_n28A(2x2)
 UL: DC_8A_n28A
 [8 (4+2+2) LTE &amp; 2 NR layers]</t>
  </si>
  <si>
    <t>MTR-37826</t>
  </si>
  <si>
    <t>DC_1A(4x4)-8A(2x2)-20A(2x2)_n28A(2x2)
 UL: DC_20A_n28A
 [8 (4+2+2) LTE &amp; 2 NR layers]</t>
  </si>
  <si>
    <t>MTR-36508</t>
  </si>
  <si>
    <t>DC_1A(4x4)-20A(2x2)-32A(2x2)_n28A(2x2)
 UL: DC_1A_n28A
 [8 (4+2+2) LTE &amp; 2 NR layers]</t>
  </si>
  <si>
    <t>DC_1A-20A-32A_n28A</t>
  </si>
  <si>
    <t>MTR-36509</t>
  </si>
  <si>
    <t>DC_1A(4x4)-20A(2x2)-32A(2x2)_n28A(2x2)
 UL: DC_20A_n28A
 [8 (4+2+2) LTE &amp; 2 NR layers]</t>
  </si>
  <si>
    <t>MTR-34378</t>
  </si>
  <si>
    <t>DC_3C(4x4)-7A(4x4)_n28A(2x2)
 UL: DC_3A_n28A
 [12 (4+4+4) LTE &amp; 2 NR layers]</t>
  </si>
  <si>
    <t>DC_3C-7A_n28A</t>
  </si>
  <si>
    <t>MTR-34380</t>
  </si>
  <si>
    <t>DC_3C(4x4)-7A(4x4)_n28A(2x2)
 UL: DC_3C_n28A
 [12 (4+4+4) LTE &amp; 2 NR layers]</t>
  </si>
  <si>
    <t>MTR-34381</t>
  </si>
  <si>
    <t>DC_3C(4x4)-7A(4x4)_n28A(2x2)
 UL: DC_7A_n28A
 [12 (4+4+4) LTE &amp; 2 NR layers]</t>
  </si>
  <si>
    <t>MTR-38903</t>
  </si>
  <si>
    <t>DC_3C(4x4)-8A(2x2)_n28A(2x2)
 UL: DC_3A_n28A
 [10 (4+4+2) LTE &amp; 2 NR layers]</t>
  </si>
  <si>
    <t>DC_3C-8A_n28A</t>
  </si>
  <si>
    <t>MTR-39842</t>
  </si>
  <si>
    <t>DC_3C(4x4)-8A(2x2)_n28A(2x2)
 UL: DC_3C_n28A
 [10 (4+4+2) LTE &amp; 2 NR layers]</t>
  </si>
  <si>
    <t>MTR-38904</t>
  </si>
  <si>
    <t>DC_3C(4x4)-8A(2x2)_n28A(2x2)
 UL: DC_8A_n28A
 [10 (4+4+2) LTE &amp; 2 NR layers]</t>
  </si>
  <si>
    <t>MTR-34383</t>
  </si>
  <si>
    <t>DC_3C(4x4)-20A(2x2)_n28A(2x2)
 UL: DC_3A_n28A
 [10 (4+4+2) LTE &amp; 2 NR layers]</t>
  </si>
  <si>
    <t>DC_3C-20A_n28A</t>
  </si>
  <si>
    <t>MTR-34384</t>
  </si>
  <si>
    <t>DC_3C(4x4)-20A(2x2)_n28A(2x2)
 UL: DC_3C_n28A
 [10 (4+4+2) LTE &amp; 2 NR layers]</t>
  </si>
  <si>
    <t>MTR-34385</t>
  </si>
  <si>
    <t>DC_3C(4x4)-20A(2x2)_n28A(2x2)
 UL: DC_20A_n28A
 [10 (4+4+2) LTE &amp; 2 NR layers]</t>
  </si>
  <si>
    <t>MTR-36988</t>
  </si>
  <si>
    <t>DC_3C(4x4)-32A(2x2)_n28A(2x2)
 UL: DC_3A_n28A
 [10 (4+4+2) LTE &amp; 2 NR layers]</t>
  </si>
  <si>
    <t>DC_3C-32A_n28A</t>
  </si>
  <si>
    <t>MTR-36989</t>
  </si>
  <si>
    <t>DC_3C(4x4)-32A(2x2)_n28A(2x2)
 UL: DC_3C_n28A
 [10 (4+4+2) LTE &amp; 2 NR layers]</t>
  </si>
  <si>
    <t>MTR-34375</t>
  </si>
  <si>
    <t>DC_3A(4x4)-7C(4x4)_n28A(2x2)
 UL: DC_3A_n28A
 [12 (4+4+4) LTE &amp; 2 NR layers]</t>
  </si>
  <si>
    <t>DC_3A-7C_n28A</t>
  </si>
  <si>
    <t>MTR-34376</t>
  </si>
  <si>
    <t>DC_3A(4x4)-7C(4x4)_n28A(2x2)
 UL: DC_7A_n28A
 [12 (4+4+4) LTE &amp; 2 NR layers]</t>
  </si>
  <si>
    <t>MTR-34377</t>
  </si>
  <si>
    <t>DC_3A(4x4)-7C(4x4)_n28A(2x2)
 UL: DC_7C_n28A
 [12 (4+4+4) LTE &amp; 2 NR layers]</t>
  </si>
  <si>
    <t>MTR-39329</t>
  </si>
  <si>
    <t>DC_3A(4x4)-7A(4x4)-7A(4x4)_n28A(2x2)
 UL: DC_3A_n28A
 [12 (4+4+4) LTE &amp; 2 NR layers]</t>
  </si>
  <si>
    <t>DC_3A-7A-7A_n28A</t>
  </si>
  <si>
    <t>MTR-39330</t>
  </si>
  <si>
    <t>DC_3A(4x4)-7A(4x4)-7A(4x4)_n28A(2x2)
 UL: DC_7A_n28A
 [12 (4+4+4) LTE &amp; 2 NR layers]</t>
  </si>
  <si>
    <t>MTR-35969</t>
  </si>
  <si>
    <t>DC_3A(4x4)-7A(4x4)-8A(2x2)_n28A(2x2)
 UL: DC_3A_n28A
 [10 (4+4+2) LTE &amp; 2 NR layers]</t>
  </si>
  <si>
    <t>DC_3A-7A-8A_n28A</t>
  </si>
  <si>
    <t>MTR-35970</t>
  </si>
  <si>
    <t>DC_3A(4x4)-7A(4x4)-8A(2x2)_n28A(2x2)
 UL: DC_7A_n28A
 [10 (4+4+2) LTE &amp; 2 NR layers]</t>
  </si>
  <si>
    <t>MTR-35971</t>
  </si>
  <si>
    <t>DC_3A(4x4)-7A(4x4)-8A(2x2)_n28A(2x2)
 UL: DC_8A_n28A
 [10 (4+4+2) LTE &amp; 2 NR layers]</t>
  </si>
  <si>
    <t>MTR-33421</t>
  </si>
  <si>
    <t>DC_3A(4x4)-7A(4x4)-20A(2x2)_n28A(2x2)
 UL: DC_3A_n28A
 [10 (4+4+2) LTE &amp; 2 NR layers]</t>
  </si>
  <si>
    <t>DC_3A-7A-20A_n28A</t>
  </si>
  <si>
    <t>MTR-33422</t>
  </si>
  <si>
    <t>DC_3A(4x4)-7A(4x4)-20A(2x2)_n28A(2x2)
 UL: DC_7A_n28A
 [10 (4+4+2) LTE &amp; 2 NR layers]</t>
  </si>
  <si>
    <t>MTR-33423</t>
  </si>
  <si>
    <t>DC_3A(4x4)-7A(4x4)-20A(2x2)_n28A(2x2)
 UL: DC_20A_n28A
 [10 (4+4+2) LTE &amp; 2 NR layers]</t>
  </si>
  <si>
    <t>MTR-37829</t>
  </si>
  <si>
    <t>DC_3A(4x4)-7A(4x4)-32A(2x2)_n28A(2x2)
 UL: DC_3A_n28A
 [10 (4+4+2) LTE &amp; 2 NR layers]</t>
  </si>
  <si>
    <t>DC_3A-7A-32A_n28A</t>
  </si>
  <si>
    <t>MTR-37830</t>
  </si>
  <si>
    <t>DC_3A(4x4)-7A(4x4)-32A(2x2)_n28A(2x2)
 UL: DC_7A_n28A
 [10 (4+4+2) LTE &amp; 2 NR layers]</t>
  </si>
  <si>
    <t>MTR-39457</t>
  </si>
  <si>
    <t>DC_3A(4x4)-8A(2x2)-20A(2x2)_n28A(2x2)
 UL: DC_3A_n28A
 [8 (4+2+2) LTE &amp; 2 NR layers]</t>
  </si>
  <si>
    <t>DC_3A-8A-20A_n28A</t>
  </si>
  <si>
    <t>MTR-39458</t>
  </si>
  <si>
    <t>DC_3A(4x4)-8A(2x2)-20A(2x2)_n28A(2x2)
 UL: DC_8A_n28A
 [8 (4+2+2) LTE &amp; 2 NR layers]</t>
  </si>
  <si>
    <t>MTR-39459</t>
  </si>
  <si>
    <t>DC_3A(4x4)-8A(2x2)-20A(2x2)_n28A(2x2)
 UL: DC_20A_n28A
 [8 (4+2+2) LTE &amp; 2 NR layers]</t>
  </si>
  <si>
    <t>MTR-38695</t>
  </si>
  <si>
    <t>DC_3A(4x4)-8A(2x2)-32A(2x2)_n28A(2x2)
 UL: DC_3A_n28A
 [8 (4+2+2) LTE &amp; 2 NR layers]</t>
  </si>
  <si>
    <t>DC_3A-8A-32A_n28A</t>
  </si>
  <si>
    <t>MTR-38696</t>
  </si>
  <si>
    <t>DC_3A(4x4)-8A(2x2)-32A(2x2)_n28A(2x2)
 UL: DC_8A_n28A
 [8 (4+2+2) LTE &amp; 2 NR layers]</t>
  </si>
  <si>
    <t>MTR-37827</t>
  </si>
  <si>
    <t>DC_3A(4x4)-20A(2x2)-32A(2x2)_n28A(2x2)
 UL: DC_3A_n28A
 [8 (4+2+2) LTE &amp; 2 NR layers]</t>
  </si>
  <si>
    <t>DC_3A-20A-32A_n28A</t>
  </si>
  <si>
    <t>MTR-37828</t>
  </si>
  <si>
    <t>DC_3A(4x4)-20A(2x2)-32A(2x2)_n28A(2x2)
 UL: DC_20A_n28A
 [8 (4+2+2) LTE &amp; 2 NR layers]</t>
  </si>
  <si>
    <t>MTR-39331</t>
  </si>
  <si>
    <t>DC_7A(4x4)-7A(4x4)-8A(2x2)_n28A(2x2)
 UL: DC_7A_n28A
 [10 (4+4+2) LTE &amp; 2 NR layers]</t>
  </si>
  <si>
    <t>DC_7A-7A-8A_n28A</t>
  </si>
  <si>
    <t>MTR-39332</t>
  </si>
  <si>
    <t>DC_7A(4x4)-7A(4x4)-8A(2x2)_n28A(2x2)
 UL: DC_8A_n28A
 [10 (4+4+2) LTE &amp; 2 NR layers]</t>
  </si>
  <si>
    <t>MTR-38905</t>
  </si>
  <si>
    <t>DC_7A(4x4)-8A(2x2)-20A(2x2)_n28A(2x2)
 UL: DC_7A_n28A
 [8 (4+2+2) LTE &amp; 2 NR layers]</t>
  </si>
  <si>
    <t>DC_7A-8A-20A_n28A</t>
  </si>
  <si>
    <t>MTR-35973</t>
  </si>
  <si>
    <t>DC_7A(4x4)-20A(2x2)-32A(2x2)_n28A(2x2)
 UL: DC_7A_n28A
 [8 (4+2+2) LTE &amp; 2 NR layers]</t>
  </si>
  <si>
    <t>DC_7A-20A-32A_n28A</t>
  </si>
  <si>
    <t>MTR-35972</t>
  </si>
  <si>
    <t>DC_7A(4x4)-20A(2x2)-32A(2x2)_n28A(2x2)
 UL: DC_20A_n28A
 [8 (4+2+2) LTE &amp; 2 NR layers]</t>
  </si>
  <si>
    <t>MTR-34491</t>
  </si>
  <si>
    <r>
      <rPr>
        <rFont val="Arial"/>
        <b/>
        <color theme="1"/>
        <sz val="10.0"/>
      </rPr>
      <t>2.5.2.7.4</t>
    </r>
    <r>
      <rPr>
        <rFont val="Arial"/>
        <b val="0"/>
        <color theme="1"/>
        <sz val="10.0"/>
      </rPr>
      <t xml:space="preserve"> </t>
    </r>
    <r>
      <rPr>
        <rFont val="Arial"/>
        <b/>
        <color theme="1"/>
        <sz val="10.0"/>
      </rPr>
      <t>EN-DC 4 Carriers LTE + 1 Carrier n28A</t>
    </r>
  </si>
  <si>
    <t>MTR-35959</t>
  </si>
  <si>
    <t>DC_1A(4x4)-1A(4x4)-3C(4x4)_n28A(2x2)
 UL: DC_1A_n28A
 [16 (4+4+4+4) LTE &amp; 2 NR layers]</t>
  </si>
  <si>
    <t>DC_1A-1A-3C_n28A</t>
  </si>
  <si>
    <t>MTR-35960</t>
  </si>
  <si>
    <t>DC_1A(4x4)-1A(4x4)-3C(4x4)_n28A(2x2)
 UL: DC_3A_n28A
 [16 (4+4+4+4) LTE &amp; 2 NR layers]</t>
  </si>
  <si>
    <t>MTR-35961</t>
  </si>
  <si>
    <t>DC_1A(4x4)-1A(4x4)-3C(4x4)_n28A(2x2)
 UL: DC_3C_n28A
 [16 (4+4+4+4) LTE &amp; 2 NR layers]</t>
  </si>
  <si>
    <t>MTR-38699</t>
  </si>
  <si>
    <t>DC_1A(4x4)-1A(4x4)-3A(4x4)-7A(4x4)_n28A(2x2)
 UL: DC_1A_n28A
 [16 (4+4+4+4) LTE &amp; 2 NR layers]</t>
  </si>
  <si>
    <t>DC_1A-1A-3A-7A_n28A</t>
  </si>
  <si>
    <t>MTR-38700</t>
  </si>
  <si>
    <t>DC_1A(4x4)-1A(4x4)-3A(4x4)-7A(4x4)_n28A(2x2)
 UL: DC_3A_n28A
 [16 (4+4+4+4) LTE &amp; 2 NR layers]</t>
  </si>
  <si>
    <t>MTR-38701</t>
  </si>
  <si>
    <t>DC_1A(4x4)-1A(4x4)-3A(4x4)-7A(4x4)_n28A(2x2)
 UL: DC_7A_n28A
 [16 (4+4+4+4) LTE &amp; 2 NR layers]</t>
  </si>
  <si>
    <t>MTR-34405</t>
  </si>
  <si>
    <t>DC_1A(4x4)-3C(4x4)-7A(4x4)_n28A(2x2)
 UL: DC_1A_n28A
 [16 (4+4+4+4) LTE &amp; 2 NR layers]</t>
  </si>
  <si>
    <t>DC_1A-3C-7A_n28A</t>
  </si>
  <si>
    <t>MTR-34406</t>
  </si>
  <si>
    <t>DC_1A(4x4)-3C(4x4)-7A(4x4)_n28A(2x2)
 UL: DC_3A_n28A
 [16 (4+4+4+4) LTE &amp; 2 NR layers]</t>
  </si>
  <si>
    <t>MTR-34407</t>
  </si>
  <si>
    <t>DC_1A(4x4)-3C(4x4)-7A(4x4)_n28A(2x2)
 UL: DC_3C_n28A
 [16 (4+4+4+4) LTE &amp; 2 NR layers]</t>
  </si>
  <si>
    <t>MTR-34408</t>
  </si>
  <si>
    <t>DC_1A(4x4)-3C(4x4)-7A(4x4)_n28A(2x2)
 UL: DC_7A_n28A
 [16 (4+4+4+4) LTE &amp; 2 NR layers]</t>
  </si>
  <si>
    <t>MTR-37838</t>
  </si>
  <si>
    <t>DC_1A(4x4)-3C(4x4)-20A(2x2)_n28A(2x2)
 UL: DC_1A_n28A
 [14 (4+4+4+2) LTE &amp; 2 NR layers]</t>
  </si>
  <si>
    <t>DC_1A-3C-20A_n28A</t>
  </si>
  <si>
    <t>1A-3C-20A</t>
  </si>
  <si>
    <t>MTR-37839</t>
  </si>
  <si>
    <t>DC_1A(4x4)-3C(4x4)-20A(2x2)_n28A(2x2)
 UL: DC_3A_n28A
 [14 (4+4+4+2) LTE &amp; 2 NR layers]</t>
  </si>
  <si>
    <t>MTR-38302</t>
  </si>
  <si>
    <t>DC_1A(4x4)-3C(4x4)-20A(2x2)_n28A(2x2)
 UL: DC_3C_n28A
 [14 (4+4+4+2) LTE &amp; 2 NR layers]</t>
  </si>
  <si>
    <t>MTR-37840</t>
  </si>
  <si>
    <t>DC_1A(4x4)-3C(4x4)-20A(2x2)_n28A(2x2)
 UL: DC_20A_n28A
 [14 (4+4+4+2) LTE &amp; 2 NR layers]</t>
  </si>
  <si>
    <t>MTR-37841</t>
  </si>
  <si>
    <t>DC_1A(4x4)-3C(4x4)-32A(2x2)_n28A(2x2)
 UL: DC_1A_n28A
 [14 (4+4+4+2) LTE &amp; 2 NR layers]</t>
  </si>
  <si>
    <t>DC_1A-3C-32A_n28A</t>
  </si>
  <si>
    <t>1A-3C-32A</t>
  </si>
  <si>
    <t>MTR-37842</t>
  </si>
  <si>
    <t>DC_1A(4x4)-3C(4x4)-32A(2x2)_n28A(2x2)
 UL: DC_3A_n28A
 [14 (4+4+4+2) LTE &amp; 2 NR layers]</t>
  </si>
  <si>
    <t>MTR-37843</t>
  </si>
  <si>
    <t>DC_1A(4x4)-3C(4x4)-32A(2x2)_n28A(2x2)
 UL: DC_3C_n28A
 [14 (4+4+4+2) LTE &amp; 2 NR layers]</t>
  </si>
  <si>
    <t>MTR-34395</t>
  </si>
  <si>
    <t>DC_1A(4x4)-3A(4x4)-7C(4x4)_n28A(2x2)
 UL: DC_1A_n28A
 [16 (4+4+4+4) LTE &amp; 2 NR layers]</t>
  </si>
  <si>
    <t>DC_1A-3A-7C_n28A</t>
  </si>
  <si>
    <t>MTR-34397</t>
  </si>
  <si>
    <t>DC_1A(4x4)-3A(4x4)-7C(4x4)_n28A(2x2)
 UL: DC_3A_n28A
 [16 (4+4+4+4) LTE &amp; 2 NR layers]</t>
  </si>
  <si>
    <t>MTR-34398</t>
  </si>
  <si>
    <t>DC_1A(4x4)-3A(4x4)-7C(4x4)_n28A(2x2)
 UL: DC_7A_n28A
 [16 (4+4+4+4) LTE &amp; 2 NR layers]</t>
  </si>
  <si>
    <t>MTR-34399</t>
  </si>
  <si>
    <t>DC_1A(4x4)-3A(4x4)-7C(4x4)_n28A(2x2)
 UL: DC_7C_n28A
 [16 (4+4+4+4) LTE &amp; 2 NR layers]</t>
  </si>
  <si>
    <t>MTR-39978</t>
  </si>
  <si>
    <t>DC_1A(4x4)-3A(4x4)-7A(4x4)-7A(4x4)_n28A(2x2)
 UL: DC_1A_n28A
 [16 (4+4+4+4) LTE &amp; 2 NR layers]</t>
  </si>
  <si>
    <t>DC_1A-3A-7A-7A_n28A</t>
  </si>
  <si>
    <t>1A-3A-7A-7A</t>
  </si>
  <si>
    <t>MTR-39979</t>
  </si>
  <si>
    <t>DC_1A(4x4)-3A(4x4)-7A(4x4)-7A(4x4)_n28A(2x2)
 UL: DC_3A_n28A
 [16 (4+4+4+4) LTE &amp; 2 NR layers]</t>
  </si>
  <si>
    <t>MTR-39980</t>
  </si>
  <si>
    <t>DC_1A(4x4)-3A(4x4)-7A(4x4)-7A(4x4)_n28A(2x2)
 UL: DC_7A_n28A
 [16 (4+4+4+4) LTE &amp; 2 NR layers]</t>
  </si>
  <si>
    <t>MTR-35978</t>
  </si>
  <si>
    <t>DC_1A(4x4)-3A(4x4)-7A(4x4)-8A(2x2)_n28A(2x2)
 UL: DC_1A_n28A
 [14 (4+4+4+2) LTE &amp; 2 NR layers]</t>
  </si>
  <si>
    <t>DC_1A-3A-7A-8A_n28A</t>
  </si>
  <si>
    <t>MTR-35979</t>
  </si>
  <si>
    <t>DC_1A(4x4)-3A(4x4)-7A(4x4)-8A(2x2)_n28A(2x2)
 UL: DC_3A_n28A
 [14 (4+4+4+2) LTE &amp; 2 NR layers]</t>
  </si>
  <si>
    <t>MTR-35980</t>
  </si>
  <si>
    <t>DC_1A(4x4)-3A(4x4)-7A(4x4)-8A(2x2)_n28A(2x2)
 UL: DC_7A_n28A
 [14 (4+4+4+2) LTE &amp; 2 NR layers]</t>
  </si>
  <si>
    <t>MTR-35981</t>
  </si>
  <si>
    <t>DC_1A(4x4)-3A(4x4)-7A(4x4)-8A(2x2)_n28A(2x2)
 UL: DC_8A_n28A
 [14 (4+4+4+2) LTE &amp; 2 NR layers]</t>
  </si>
  <si>
    <t>MTR-33454</t>
  </si>
  <si>
    <t>DC_1A(4x4)-3A(4x4)-7A(4x4)-20A(2x2)_n28A(2x2)
 UL: DC_1A_n28A
 [14 (4+4+4+2) LTE &amp; 2 NR layers]</t>
  </si>
  <si>
    <t>DC_1A-3A-7A-20A_n28A</t>
  </si>
  <si>
    <t>MTR-33455</t>
  </si>
  <si>
    <t>DC_1A(4x4)-3A(4x4)-7A(4x4)-20A(2x2)_n28A(2x2)
 UL: DC_3A_n28A
 [14 (4+4+4+2) LTE &amp; 2 NR layers]</t>
  </si>
  <si>
    <t>MTR-33456</t>
  </si>
  <si>
    <t>DC_1A(4x4)-3A(4x4)-7A(4x4)-20A(2x2)_n28A(2x2)
 UL: DC_7A_n28A
 [14 (4+4+4+2) LTE &amp; 2 NR layers]</t>
  </si>
  <si>
    <t>MTR-33457</t>
  </si>
  <si>
    <t>DC_1A(4x4)-3A(4x4)-7A(4x4)-20A(2x2)_n28A(2x2)
 UL: DC_20A_n28A
 [14 (4+4+4+2) LTE &amp; 2 NR layers]</t>
  </si>
  <si>
    <t>MTR-37835</t>
  </si>
  <si>
    <t>DC_1A(4x4)-3A(4x4)-7A(4x4)-32A(2x2)_n28A(2x2)
 UL: DC_1A_n28A
 [14 (4+4+4+2) LTE &amp; 2 NR layers]</t>
  </si>
  <si>
    <t>DC_1A-3A-7A-32A_n28A</t>
  </si>
  <si>
    <t>1A-3A-7A-32A</t>
  </si>
  <si>
    <t>MTR-37836</t>
  </si>
  <si>
    <t>DC_1A(4x4)-3A(4x4)-7A(4x4)-32A(2x2)_n28A(2x2)
 UL: DC_3A_n28A
 [14 (4+4+4+2) LTE &amp; 2 NR layers]</t>
  </si>
  <si>
    <t>MTR-37837</t>
  </si>
  <si>
    <t>DC_1A(4x4)-3A(4x4)-7A(4x4)-32A(2x2)_n28A(2x2)
 UL: DC_7A_n28A
 [14 (4+4+4+2) LTE &amp; 2 NR layers]</t>
  </si>
  <si>
    <t>MTR-37832</t>
  </si>
  <si>
    <t>DC_1A(4x4)-3A(4x4)-20A(2x2)-32A(2x2)_n28A(2x2)
 UL: DC_1A_n28A
 [12 (4+4+2+2) LTE &amp; 2 NR layers]</t>
  </si>
  <si>
    <t>DC_1A-3A-20A-32A_n28A</t>
  </si>
  <si>
    <t>1A-3A-20A-32A</t>
  </si>
  <si>
    <t>MTR-37833</t>
  </si>
  <si>
    <t>DC_1A(4x4)-3A(4x4)-20A(2x2)-32A(2x2)_n28A(2x2)
 UL: DC_3A_n28A
 [12 (4+4+2+2) LTE &amp; 2 NR layers]</t>
  </si>
  <si>
    <t>MTR-37834</t>
  </si>
  <si>
    <t>DC_1A(4x4)-3A(4x4)-20A(2x2)-32A(2x2)_n28A(2x2)
 UL: DC_20A_n28A
 [12 (4+4+2+2) LTE &amp; 2 NR layers]</t>
  </si>
  <si>
    <t>MTR-39981</t>
  </si>
  <si>
    <t>DC_1A(4x4)-7A(4x4)-7A(4x4)-8A(2x2)_n28A(2x2)
 UL: DC_1A_n28A
 [14 (4+4+4+2) LTE &amp; 2 NR layers]</t>
  </si>
  <si>
    <t>DC_1A-7A-7A-8A_n28A</t>
  </si>
  <si>
    <t>1A-7A-7A-8A</t>
  </si>
  <si>
    <t>MTR-39982</t>
  </si>
  <si>
    <t>DC_1A(4x4)-7A(4x4)-7A(4x4)-8A(2x2)_n28A(2x2)
 UL: DC_7A_n28A
 [14 (4+4+4+2) LTE &amp; 2 NR layers]</t>
  </si>
  <si>
    <t>MTR-39983</t>
  </si>
  <si>
    <t>DC_1A(4x4)-7A(4x4)-7A(4x4)-8A(2x2)_n28A(2x2)
 UL: DC_8A_n28A
 [14 (4+4+4+2) LTE &amp; 2 NR layers]</t>
  </si>
  <si>
    <t>MTR-37845</t>
  </si>
  <si>
    <t>DC_1A(4x4)-7A(4x4)-8A(2x2)-20A(2x2)_n28A(2x2)
 UL: DC_1A_n28A
 [12 (4+4+2+2) LTE &amp; 2 NR layers]</t>
  </si>
  <si>
    <t>DC_1A-7A-8A-20A_n28A</t>
  </si>
  <si>
    <t>MTR-37846</t>
  </si>
  <si>
    <t>DC_1A(4x4)-7A(4x4)-8A(2x2)-20A(2x2)_n28A(2x2)
 UL: DC_7A_n28A
 [12 (4+4+2+2) LTE &amp; 2 NR layers]</t>
  </si>
  <si>
    <t>MTR-37847</t>
  </si>
  <si>
    <t>DC_1A(4x4)-7A(4x4)-8A(2x2)-20A(2x2)_n28A(2x2)
 UL: DC_8A_n28A
 [12 (4+4+2+2) LTE &amp; 2 NR layers]</t>
  </si>
  <si>
    <t>MTR-37848</t>
  </si>
  <si>
    <t>DC_1A(4x4)-7A(4x4)-8A(2x2)-20A(2x2)_n28A(2x2)
 UL: DC_20A_n28A
 [12 (4+4+2+2) LTE &amp; 2 NR layers]</t>
  </si>
  <si>
    <t>MTR-35982</t>
  </si>
  <si>
    <t>DC_1A(4x4)-7A(4x4)-20A(2x2)-32A(2x2)_n28A(2x2)
 UL: DC_1A_n28A
 [12 (4+4+2+2) LTE &amp; 2 NR layers]</t>
  </si>
  <si>
    <t>DC_1A-7A-20A-32A_n28A</t>
  </si>
  <si>
    <t>MTR-35984</t>
  </si>
  <si>
    <t>DC_1A(4x4)-7A(4x4)-20A(2x2)-32A(2x2)_n28A(2x2)
 UL: DC_7A_n28A
 [12 (4+4+2+2) LTE &amp; 2 NR layers]</t>
  </si>
  <si>
    <t>MTR-35983</t>
  </si>
  <si>
    <t>DC_1A(4x4)-7A(4x4)-20A(2x2)-32A(2x2)_n28A(2x2)
 UL: DC_20A_n28A
 [12 (4+4+2+2) LTE &amp; 2 NR layers]</t>
  </si>
  <si>
    <t>MTR-34389</t>
  </si>
  <si>
    <t>DC_3C(4x4)-7C(4x4)_n28A(2x2)
 UL: DC_3A_n28A
 [16 (4+4+4+4) LTE &amp; 2 NR layers]</t>
  </si>
  <si>
    <t>DC_3C-7C_n28A</t>
  </si>
  <si>
    <t>MTR-34392</t>
  </si>
  <si>
    <t>DC_3C(4x4)-7C(4x4)_n28A(2x2)
 UL: DC_3C_n28A
 [16 (4+4+4+4) LTE &amp; 2 NR layers]</t>
  </si>
  <si>
    <t>MTR-34393</t>
  </si>
  <si>
    <t>DC_3C(4x4)-7C(4x4)_n28A(2x2)
 UL: DC_7A_n28A
 [16 (4+4+4+4) LTE &amp; 2 NR layers]</t>
  </si>
  <si>
    <t>MTR-34394</t>
  </si>
  <si>
    <t>DC_3C(4x4)-7C(4x4)_n28A(2x2)
 UL: DC_7C_n28A
 [16 (4+4+4+4) LTE &amp; 2 NR layers]</t>
  </si>
  <si>
    <t>MTR-38303</t>
  </si>
  <si>
    <t>DC_3C(4x4)-7A(4x4)-20A(2x2)_n28A(2x2)
 UL: DC_3A_n28A
 [14 (4+4+4+2) LTE &amp; 2 NR layers]</t>
  </si>
  <si>
    <t>DC_3C-7A-20A_n28A</t>
  </si>
  <si>
    <t>MTR-38304</t>
  </si>
  <si>
    <t>DC_3C(4x4)-7A(4x4)-20A(2x2)_n28A(2x2)
 UL: DC_3C_n28A
 [14 (4+4+4+2) LTE &amp; 2 NR layers]</t>
  </si>
  <si>
    <t>MTR-38305</t>
  </si>
  <si>
    <t>DC_3C(4x4)-7A(4x4)-20A(2x2)_n28A(2x2)
 UL: DC_7A_n28A
 [14 (4+4+4+2) LTE &amp; 2 NR layers]</t>
  </si>
  <si>
    <t>MTR-38306</t>
  </si>
  <si>
    <t>DC_3C(4x4)-7A(4x4)-20A(2x2)_n28A(2x2)
 UL: DC_20A_n28A
 [14 (4+4+4+2) LTE &amp; 2 NR layers]</t>
  </si>
  <si>
    <t>MTR-37852</t>
  </si>
  <si>
    <t>DC_3C(4x4)-7A(4x4)-32A(2x2)_n28A(2x2)
 UL: DC_3A_n28A
 [14 (4+4+4+2) LTE &amp; 2 NR layers]</t>
  </si>
  <si>
    <t>DC_3C-7A-32A_n28A</t>
  </si>
  <si>
    <t>MTR-37853</t>
  </si>
  <si>
    <t>DC_3C(4x4)-7A(4x4)-32A(2x2)_n28A(2x2)
 UL: DC_3C_n28A
 [14 (4+4+4+2) LTE &amp; 2 NR layers]</t>
  </si>
  <si>
    <t>MTR-37854</t>
  </si>
  <si>
    <t>DC_3C(4x4)-7A(4x4)-32A(2x2)_n28A(2x2)
 UL: DC_7A_n28A
 [14 (4+4+4+2) LTE &amp; 2 NR layers]</t>
  </si>
  <si>
    <t>MTR-39460</t>
  </si>
  <si>
    <t>DC_3C(4x4)-8A(2x2)-20A(2x2)_n28A(2x2)
 UL: DC_3A_n28A
 [12 (4+4+2+2) LTE &amp; 2 NR layers]</t>
  </si>
  <si>
    <t>DC_3C-8A-20A_n28A</t>
  </si>
  <si>
    <t>3C-8A-20A</t>
  </si>
  <si>
    <t>MTR-39461</t>
  </si>
  <si>
    <t>DC_3C(4x4)-8A(2x2)-20A(2x2)_n28A(2x2)
 UL: DC_3C_n28A
 [12 (4+4+2+2) LTE &amp; 2 NR layers]</t>
  </si>
  <si>
    <t>MTR-39462</t>
  </si>
  <si>
    <t>DC_3C(4x4)-8A(2x2)-20A(2x2)_n28A(2x2)
 UL: DC_8A_n28A
 [12 (4+4+2+2) LTE &amp; 2 NR layers]</t>
  </si>
  <si>
    <t>MTR-39463</t>
  </si>
  <si>
    <t>DC_3C(4x4)-8A(2x2)-20A(2x2)_n28A(2x2)
 UL: DC_20A_n28A
 [12 (4+4+2+2) LTE &amp; 2 NR layers]</t>
  </si>
  <si>
    <t>MTR-38702</t>
  </si>
  <si>
    <t>DC_3C(4x4)-8A(2x2)-32A(2x2)_n28A(2x2)
 UL: DC_3A_n28A
 [12 (4+4+2+2) LTE &amp; 2 NR layers]</t>
  </si>
  <si>
    <t>DC_3C-8A-32A_n28A</t>
  </si>
  <si>
    <t>3C-8A-32A</t>
  </si>
  <si>
    <t>MTR-38703</t>
  </si>
  <si>
    <t>DC_3C(4x4)-8A(2x2)-32A(2x2)_n28A(2x2)
 UL: DC_8A_n28A
 [12 (4+4+2+2) LTE &amp; 2 NR layers]</t>
  </si>
  <si>
    <t>MTR-37849</t>
  </si>
  <si>
    <t>DC_3C(4x4)-20A(2x2)-32A(2x2)_n28A(2x2)
 UL: DC_3A_n28A
 [12 (4+4+2+2) LTE &amp; 2 NR layers]</t>
  </si>
  <si>
    <t>DC_3C-20A-32A_n28A</t>
  </si>
  <si>
    <t>MTR-37850</t>
  </si>
  <si>
    <t>DC_3C(4x4)-20A(2x2)-32A(2x2)_n28A(2x2)
 UL: DC_3C_n28A
 [12 (4+4+2+2) LTE &amp; 2 NR layers]</t>
  </si>
  <si>
    <t>MTR-37851</t>
  </si>
  <si>
    <t>DC_3C(4x4)-20A(2x2)-32A(2x2)_n28A(2x2)
 UL: DC_20A_n28A
 [12 (4+4+2+2) LTE &amp; 2 NR layers]</t>
  </si>
  <si>
    <t>MTR-39984</t>
  </si>
  <si>
    <t>DC_3A(4x4)-7A(4x4)-7A(4x4)-8A(2x2)_n28A(2x2)
 UL: DC_3A_n28A
 [14 (4+4+4+2) LTE &amp; 2 NR layers]</t>
  </si>
  <si>
    <t>DC_3A-7A-7A-8A_n28A</t>
  </si>
  <si>
    <t>MTR-39985</t>
  </si>
  <si>
    <t>DC_3A(4x4)-7A(4x4)-7A(4x4)-8A(2x2)_n28A(2x2)
 UL: DC_7A_n28A
 [14 (4+4+4+2) LTE &amp; 2 NR layers]</t>
  </si>
  <si>
    <t>MTR-39986</t>
  </si>
  <si>
    <t>DC_3A(4x4)-7A(4x4)-7A(4x4)-8A(2x2)_n28A(2x2)
 UL: DC_8A_n28A
 [14 (4+4+4+2) LTE &amp; 2 NR layers]</t>
  </si>
  <si>
    <t>MTR-34492</t>
  </si>
  <si>
    <r>
      <rPr>
        <rFont val="Arial"/>
        <b/>
        <color theme="1"/>
        <sz val="10.0"/>
      </rPr>
      <t>2.5.2.7.5</t>
    </r>
    <r>
      <rPr>
        <rFont val="Arial"/>
        <b val="0"/>
        <color theme="1"/>
        <sz val="10.0"/>
      </rPr>
      <t xml:space="preserve"> </t>
    </r>
    <r>
      <rPr>
        <rFont val="Arial"/>
        <b/>
        <color theme="1"/>
        <sz val="10.0"/>
      </rPr>
      <t>EN-DC 5 Carriers LTE + 1 Carrier n28A</t>
    </r>
  </si>
  <si>
    <t>MTR-35974</t>
  </si>
  <si>
    <t>DC_1A(4x4)-1A(4x4)-3C(4x4)-7A(4x4)_n28A(2x2)
 UL: DC_1A_n28A
 [20 (4+4+4+4+4) LTE &amp; 2 NR layers]</t>
  </si>
  <si>
    <t>DC_1A-1A-3C-7A_n28A</t>
  </si>
  <si>
    <t>MTR-35975</t>
  </si>
  <si>
    <t>DC_1A(4x4)-1A(4x4)-3C(4x4)-7A(4x4)_n28A(2x2)
 UL: DC_3A_n28A
 [20 (4+4+4+4+4) LTE &amp; 2 NR layers]</t>
  </si>
  <si>
    <t>MTR-35976</t>
  </si>
  <si>
    <t>DC_1A(4x4)-1A(4x4)-3C(4x4)-7A(4x4)_n28A(2x2)
 UL: DC_3C_n28A
 [20 (4+4+4+4+4) LTE &amp; 2 NR layers]</t>
  </si>
  <si>
    <t>MTR-35977</t>
  </si>
  <si>
    <t>DC_1A(4x4)-1A(4x4)-3C(4x4)-7A(4x4)_n28A(2x2)
 UL: DC_7A_n28A
 [20 (4+4+4+4+4) LTE &amp; 2 NR layers]</t>
  </si>
  <si>
    <t>MTR-34409</t>
  </si>
  <si>
    <t>DC_1A(4x4)-3C(4x4)-7C(4x4)_n28A(2x2)
 UL: DC_1A_n28A
 [20 (4+4+4+4+4) LTE &amp; 2 NR layers]</t>
  </si>
  <si>
    <t>DC_1A-3C-7C_n28A</t>
  </si>
  <si>
    <t>1A-3C-7C</t>
  </si>
  <si>
    <t>MTR-34410</t>
  </si>
  <si>
    <t>DC_1A(4x4)-3C(4x4)-7C(4x4)_n28A(2x2)
 UL: DC_3A_n28A
 [20 (4+4+4+4+4) LTE &amp; 2 NR layers]</t>
  </si>
  <si>
    <t>MTR-34411</t>
  </si>
  <si>
    <t>DC_1A(4x4)-3C(4x4)-7C(4x4)_n28A(2x2)
 UL: DC_3C_n28A
 [20 (4+4+4+4+4) LTE &amp; 2 NR layers]</t>
  </si>
  <si>
    <t>MTR-34412</t>
  </si>
  <si>
    <t>DC_1A(4x4)-3C(4x4)-7C(4x4)_n28A(2x2)
 UL: DC_7A_n28A
 [20 (4+4+4+4+4) LTE &amp; 2 NR layers]</t>
  </si>
  <si>
    <t>MTR-34413</t>
  </si>
  <si>
    <t>DC_1A(4x4)-3C(4x4)-7C(4x4)_n28A(2x2)
 UL: DC_7C_n28A
 [20 (4+4+4+4+4) LTE &amp; 2 NR layers]</t>
  </si>
  <si>
    <t>MTR-37860</t>
  </si>
  <si>
    <t>DC_1A(4x4)-3C(4x4)-7A(4x4)-32A(2x2)_n28A(2x2)
 UL: DC_1A_n28A
 [18 (4+4+4+4+2) LTE &amp; 2 NR layers]</t>
  </si>
  <si>
    <t>DC_1A-3C-7A-32A_n28A</t>
  </si>
  <si>
    <t>1A-3C-7A-32A</t>
  </si>
  <si>
    <t>MTR-37861</t>
  </si>
  <si>
    <t>DC_1A(4x4)-3C(4x4)-7A(4x4)-32A(2x2)_n28A(2x2)
 UL: DC_3A_n28A
 [18 (4+4+4+4+2) LTE &amp; 2 NR layers]</t>
  </si>
  <si>
    <t>MTR-37862</t>
  </si>
  <si>
    <t>DC_1A(4x4)-3C(4x4)-7A(4x4)-32A(2x2)_n28A(2x2)
 UL: DC_3C_n28A
 [18 (4+4+4+4+2) LTE &amp; 2 NR layers]</t>
  </si>
  <si>
    <t>MTR-37863</t>
  </si>
  <si>
    <t>DC_1A(4x4)-3C(4x4)-7A(4x4)-32A(2x2)_n28A(2x2)
 UL: DC_7A_n28A
 [18 (4+4+4+4+2) LTE &amp; 2 NR layers]</t>
  </si>
  <si>
    <t>MTR-37856</t>
  </si>
  <si>
    <t>DC_1A(4x4)-3C(4x4)-20A(2x2)-32A(2x2)_n28A(2x2)
 UL: DC_1A_n28A
 [16 (4+4+4+2+2) LTE &amp; 2 NR layers]</t>
  </si>
  <si>
    <t>DC_1A-3C-20A-32A_n28A</t>
  </si>
  <si>
    <t>1A-3C-20A-32A</t>
  </si>
  <si>
    <t>MTR-37857</t>
  </si>
  <si>
    <t>DC_1A(4x4)-3C(4x4)-20A(2x2)-32A(2x2)_n28A(2x2)
 UL: DC_3A_n28A
 [16 (4+4+4+2+2) LTE &amp; 2 NR layers]</t>
  </si>
  <si>
    <t>MTR-37858</t>
  </si>
  <si>
    <t>DC_1A(4x4)-3C(4x4)-20A(2x2)-32A(2x2)_n28A(2x2)
 UL: DC_3C_n28A
 [16 (4+4+4+2+2) LTE &amp; 2 NR layers]</t>
  </si>
  <si>
    <t>MTR-37859</t>
  </si>
  <si>
    <t>DC_1A(4x4)-3C(4x4)-20A(2x2)-32A(2x2)_n28A(2x2)
 UL: DC_20A_n28A
 [16 (4+4+4+2+2) LTE &amp; 2 NR layers]</t>
  </si>
  <si>
    <t>MTR-34227</t>
  </si>
  <si>
    <r>
      <rPr>
        <rFont val="Arial"/>
        <b/>
        <color theme="1"/>
        <sz val="10.0"/>
      </rPr>
      <t>2.5.2.8</t>
    </r>
    <r>
      <rPr>
        <rFont val="Arial"/>
        <b val="0"/>
        <color theme="1"/>
        <sz val="10.0"/>
      </rPr>
      <t xml:space="preserve"> </t>
    </r>
    <r>
      <rPr>
        <rFont val="Arial"/>
        <b/>
        <color theme="1"/>
        <sz val="10.0"/>
      </rPr>
      <t>EN-DC LTE CA + n78A</t>
    </r>
  </si>
  <si>
    <t>MTR-34493</t>
  </si>
  <si>
    <r>
      <rPr>
        <rFont val="Arial"/>
        <b/>
        <color theme="1"/>
        <sz val="10.0"/>
      </rPr>
      <t>2.5.2.8.1</t>
    </r>
    <r>
      <rPr>
        <rFont val="Arial"/>
        <b val="0"/>
        <color theme="1"/>
        <sz val="10.0"/>
      </rPr>
      <t xml:space="preserve"> </t>
    </r>
    <r>
      <rPr>
        <rFont val="Arial"/>
        <b/>
        <color theme="1"/>
        <sz val="10.0"/>
      </rPr>
      <t>EN-DC 1 Carrier LTE + 1 Carrier n78A</t>
    </r>
  </si>
  <si>
    <t>MTR-33308</t>
  </si>
  <si>
    <t>DC_1A(4x4)_n78A(4x4)
 UL: DC_1A_n78A
 [4 LTE &amp; 4 NR layers]</t>
  </si>
  <si>
    <t>DC_1A_n78A</t>
  </si>
  <si>
    <t>n78A</t>
  </si>
  <si>
    <t>MTR-33309</t>
  </si>
  <si>
    <t>DC_3A(4x4)_n78A(4x4)
 UL: DC_3A_n78A
 [4 LTE &amp; 4 NR layers]</t>
  </si>
  <si>
    <t>DC_3A_n78A</t>
  </si>
  <si>
    <t>MTR-33310</t>
  </si>
  <si>
    <t>DC_7A(4x4)_n78A(4x4)
 UL: DC_7A_n78A
 [4 LTE &amp; 4 NR layers]</t>
  </si>
  <si>
    <t>DC_7A_n78A</t>
  </si>
  <si>
    <t>MTR-33312</t>
  </si>
  <si>
    <t>DC_8A(2x2)_n78A(4x4)
 UL: DC_8A_n78A
 [2 LTE &amp; 4 NR layers]</t>
  </si>
  <si>
    <t>DC_8A_n78A</t>
  </si>
  <si>
    <t>MTR-33313</t>
  </si>
  <si>
    <t>DC_20A(2x2)_n78A(4x4)
 UL: DC_20A_n78A
 [2 LTE &amp; 4 NR layers]</t>
  </si>
  <si>
    <t>DC_20A_n78A</t>
  </si>
  <si>
    <t>MTR-33314</t>
  </si>
  <si>
    <t>DC_28A(2x2)_n78A(4x4)
 UL: DC_28A_n78A
 [2 LTE &amp; 4 NR layers]</t>
  </si>
  <si>
    <t>MTR-34494</t>
  </si>
  <si>
    <r>
      <rPr>
        <rFont val="Arial"/>
        <b/>
        <color theme="1"/>
        <sz val="10.0"/>
      </rPr>
      <t>2.5.2.8.2</t>
    </r>
    <r>
      <rPr>
        <rFont val="Arial"/>
        <b val="0"/>
        <color theme="1"/>
        <sz val="10.0"/>
      </rPr>
      <t xml:space="preserve"> </t>
    </r>
    <r>
      <rPr>
        <rFont val="Arial"/>
        <b/>
        <color theme="1"/>
        <sz val="10.0"/>
      </rPr>
      <t>EN-DC 2 Carriers LTE + 1 Carrier n78A</t>
    </r>
  </si>
  <si>
    <t>MTR-35986</t>
  </si>
  <si>
    <t>DC_1A(4x4)-1A(4x4)_n78A(4x4)
 UL: DC_1A_n78A
 [8 (4+4) LTE &amp; 4 NR layers]</t>
  </si>
  <si>
    <t>DC_1A-1A_n78A</t>
  </si>
  <si>
    <t>MTR-33324</t>
  </si>
  <si>
    <t>DC_1A(4x4)-3A(4x4)_n78A(4x4)
 UL: DC_1A_n78A
 [8 (4+4) LTE &amp; 4 NR layers]</t>
  </si>
  <si>
    <t>DC_1A-3A_n78A</t>
  </si>
  <si>
    <t>MTR-33325</t>
  </si>
  <si>
    <t>DC_1A(4x4)-3A(4x4)_n78A(4x4)
 UL: DC_3A_n78A
 [8 (4+4) LTE &amp; 4 NR layers]</t>
  </si>
  <si>
    <t>MTR-33328</t>
  </si>
  <si>
    <t>DC_1A(4x4)-7A(4x4)_n78A(4x4)
 UL: DC_1A_n78A
 [8 (4+4) LTE &amp; 4 NR layers]</t>
  </si>
  <si>
    <t>DC_1A-7A_n78A</t>
  </si>
  <si>
    <t>MTR-33329</t>
  </si>
  <si>
    <t>DC_1A(4x4)-7A(4x4)_n78A(4x4)
 UL: DC_7A_n78A
 [8 (4+4) LTE &amp; 4 NR layers]</t>
  </si>
  <si>
    <t>MTR-33330</t>
  </si>
  <si>
    <t>DC_1A(4x4)-8A(2x2)_n78A(4x4)
 UL: DC_1A_n78A
 [6 (4+2) LTE &amp; 4 NR layers]</t>
  </si>
  <si>
    <t>DC_1A-8A_n78A</t>
  </si>
  <si>
    <t>MTR-33331</t>
  </si>
  <si>
    <t>DC_1A(4x4)-8A(2x2)_n78A(4x4)
 UL: DC_8A_n78A
 [6 (4+2) LTE &amp; 4 NR layers]</t>
  </si>
  <si>
    <t>MTR-33332</t>
  </si>
  <si>
    <t>DC_1A(4x4)-20A(2x2)_n78A(4x4)
 UL: DC_1A_n78A
 [6 (4+2) LTE &amp; 4 NR layers]</t>
  </si>
  <si>
    <t>DC_1A-20A_n78A</t>
  </si>
  <si>
    <t>MTR-33333</t>
  </si>
  <si>
    <t>DC_1A(4x4)-20A(2x2)_n78A(4x4)
 UL: DC_20A_n78A
 [6 (4+2) LTE &amp; 4 NR layers]</t>
  </si>
  <si>
    <t>MTR-33334</t>
  </si>
  <si>
    <t>DC_1A(4x4)-28A(2x2)_n78A(4x4)
 UL: DC_1A_n78A
 [6 (4+2) LTE &amp; 4 NR layers]</t>
  </si>
  <si>
    <t>DC_1A-28A_n78A</t>
  </si>
  <si>
    <t>MTR-34422</t>
  </si>
  <si>
    <t>DC_1A(4x4)-28A(2x2)_n78A(4x4)
 UL: DC_28A_n78A
 [6 (4+2) LTE &amp; 4 NR layers]</t>
  </si>
  <si>
    <t>MTR-35494</t>
  </si>
  <si>
    <t>DC_1A(4x4)-32A(2x2)_n78A(4x4)
 UL: DC_1A_n78A
 [6 (4+2) LTE &amp; 4 NR layers]</t>
  </si>
  <si>
    <t>DC_1A-32A_n78A</t>
  </si>
  <si>
    <t>MTR-33336</t>
  </si>
  <si>
    <t>DC_3C(4x4)_n78A(4x4)
 UL: DC_3A_n78A
 [8 (4+4) LTE &amp; 4 NR layers]</t>
  </si>
  <si>
    <t>DC_3C_n78A</t>
  </si>
  <si>
    <t>MTR-35985</t>
  </si>
  <si>
    <t>DC_3C(4x4)_n78A(4x4)
 UL: DC_3C_n78A
 [8 (4+4) LTE &amp; 4 NR layers]</t>
  </si>
  <si>
    <t>MTR-34419</t>
  </si>
  <si>
    <t>DC_3A(4x4)-3A(4x4)_n78A(4x4)
 UL: DC_3A_n78A
 [8 (4+4) LTE &amp; 4 NR layers]</t>
  </si>
  <si>
    <t>DC_3A-3A_n78A</t>
  </si>
  <si>
    <t>MTR-33337</t>
  </si>
  <si>
    <t>DC_3A(4x4)-7A(4x4)_n78A(4x4)
 UL: DC_3A_n78A
 [8 (4+4) LTE &amp; 4 NR layers]</t>
  </si>
  <si>
    <t>DC_3A-7A_n78A</t>
  </si>
  <si>
    <t>MTR-33338</t>
  </si>
  <si>
    <t>DC_3A(4x4)-7A(4x4)_n78A(4x4)
 UL: DC_7A_n78A
 [8 (4+4) LTE &amp; 4 NR layers]</t>
  </si>
  <si>
    <t>MTR-33339</t>
  </si>
  <si>
    <t>DC_3A(4x4)-8A(2x2)_n78A(4x4)
 UL: DC_3A_n78A
 [6 (4+2) LTE &amp; 4 NR layers]</t>
  </si>
  <si>
    <t>DC_3A-8A_n78A</t>
  </si>
  <si>
    <t>MTR-33340</t>
  </si>
  <si>
    <t>DC_3A(4x4)-8A(2x2)_n78A(4x4)
 UL: DC_8A_n78A
 [6 (4+2) LTE &amp; 4 NR layers]</t>
  </si>
  <si>
    <t>MTR-33343</t>
  </si>
  <si>
    <t>DC_3A(4x4)-20A(2x2)_n78A(4x4)
 UL: DC_3A_n78A
 [6 (4+2) LTE &amp; 4 NR layers]</t>
  </si>
  <si>
    <t>DC_3A-20A_n78A</t>
  </si>
  <si>
    <t>MTR-33344</t>
  </si>
  <si>
    <t>DC_3A(4x4)-20A(2x2)_n78A(4x4)
 UL: DC_20A_n78A
 [6 (4+2) LTE &amp; 4 NR layers]</t>
  </si>
  <si>
    <t>MTR-33345</t>
  </si>
  <si>
    <t>DC_3A(4x4)-28A(2x2)_n78A(4x4)
 UL: DC_3A_n78A
 [6 (4+2) LTE &amp; 4 NR layers]</t>
  </si>
  <si>
    <t>DC_3A-28A_n78A</t>
  </si>
  <si>
    <t>MTR-34477</t>
  </si>
  <si>
    <t>DC_3A(4x4)-28A(2x2)_n78A(4x4)
 UL: DC_28A_n78A
 [6 (4+2) LTE &amp; 4 NR layers]</t>
  </si>
  <si>
    <t>MTR-35495</t>
  </si>
  <si>
    <t>DC_3A(4x4)-32A(2x2)_n78A(4x4)
 UL: DC_3A_n78A
 [6 (4+2) LTE &amp; 4 NR layers]</t>
  </si>
  <si>
    <t>DC_3A-32A_n78A</t>
  </si>
  <si>
    <t>MTR-33350</t>
  </si>
  <si>
    <t>DC_7C(4x4)_n78A(4x4)
 UL: DC_7A_n78A
 [8 (4+4) LTE &amp; 4 NR layers]</t>
  </si>
  <si>
    <t>DC_7C_n78A</t>
  </si>
  <si>
    <t>MTR-33351</t>
  </si>
  <si>
    <t>DC_7C(4x4)_n78A(4x4)
 UL: DC_7C_n78A
 [8 (4+4) LTE &amp; 4 NR layers]</t>
  </si>
  <si>
    <t>MTR-33349</t>
  </si>
  <si>
    <t>DC_7A(4x4)-7A(4x4)_n78A(4x4)
 UL: DC_7A_n78A
 [8 (4+4) LTE &amp; 4 NR layers]</t>
  </si>
  <si>
    <t>DC_7A-7A_n78A</t>
  </si>
  <si>
    <t>MTR-34432</t>
  </si>
  <si>
    <t>DC_7A(4x4)-8A(2x2)_n78A(4x4)
 UL: DC_7A_n78A
 [6 (4+2) LTE &amp; 4 NR layers]</t>
  </si>
  <si>
    <t>DC_7A-8A_n78A</t>
  </si>
  <si>
    <t>MTR-34433</t>
  </si>
  <si>
    <t>DC_7A(4x4)-8A(2x2)_n78A(4x4)
 UL: DC_8A_n78A
 [6 (4+2) LTE &amp; 4 NR layers]</t>
  </si>
  <si>
    <t>MTR-33352</t>
  </si>
  <si>
    <t>DC_7A(4x4)-20A(2x2)_n78A(4x4)
 UL: DC_7A_n78A
 [6 (4+2) LTE &amp; 4 NR layers]</t>
  </si>
  <si>
    <t>DC_7A-20A_n78A</t>
  </si>
  <si>
    <t>MTR-33353</t>
  </si>
  <si>
    <t>DC_7A(4x4)-20A(2x2)_n78A(4x4)
 UL: DC_20A_n78A
 [6 (4+2) LTE &amp; 4 NR layers]</t>
  </si>
  <si>
    <t>MTR-33354</t>
  </si>
  <si>
    <t>DC_7A(4x4)-28A(2x2)_n78A(4x4)
 UL: DC_7A_n78A
 [6 (4+2) LTE &amp; 4 NR layers]</t>
  </si>
  <si>
    <t>DC_7A-28A_n78A</t>
  </si>
  <si>
    <t>MTR-33355</t>
  </si>
  <si>
    <t>DC_7A(4x4)-28A(2x2)_n78A(4x4)
 UL: DC_28A_n78A
 [6 (4+2) LTE &amp; 4 NR layers]</t>
  </si>
  <si>
    <t>MTR-35988</t>
  </si>
  <si>
    <t>DC_7A(4x4)-32A(2x2)_n78A(4x4)
 UL: DC_7A_n78A
 [6 (4+2) LTE &amp; 4 NR layers]</t>
  </si>
  <si>
    <t>DC_7A-32A_n78A</t>
  </si>
  <si>
    <t>MTR-34435</t>
  </si>
  <si>
    <t>DC_8A(2x2)-20A(2x2)_n78A(4x4)
 UL: DC_8A_n78A
 [4 (2+2) LTE &amp; 4 NR layers]</t>
  </si>
  <si>
    <t>DC_8A-20A_n78A</t>
  </si>
  <si>
    <t>MTR-34436</t>
  </si>
  <si>
    <t>DC_8A(2x2)-20A(2x2)_n78A(4x4)
 UL: DC_20A_n78A
 [4 (2+2) LTE &amp; 4 NR layers]</t>
  </si>
  <si>
    <t>MTR-38908</t>
  </si>
  <si>
    <t>DC_8A(2x2)-28A(2x2)_n78A(4x4)
 UL: DC_8A_n78A
 [4 (2+2) LTE &amp; 4 NR layers]</t>
  </si>
  <si>
    <t>DC_8A-28A_n78A</t>
  </si>
  <si>
    <t>MTR-38909</t>
  </si>
  <si>
    <t>DC_8A(2x2)-28A(2x2)_n78A(4x4)
 UL: DC_28A_n78A
 [4 (2+2) LTE &amp; 4 NR layers]</t>
  </si>
  <si>
    <t>MTR-38706</t>
  </si>
  <si>
    <t>DC_8A(2x2)-32A(2x2)_n78A(4x4)
 UL: DC_8A_n78A
 [4 (2+2) LTE &amp; 4 NR layers]</t>
  </si>
  <si>
    <t>DC_8A-32A_n78A</t>
  </si>
  <si>
    <t>MTR-38906</t>
  </si>
  <si>
    <t>DC_20A(2x2)-28A(2x2)_n78A(4x4)
 UL: DC_20A_n78A
 [4 (2+2) LTE &amp; 4 NR layers]</t>
  </si>
  <si>
    <t>DC_20A-28A_n78A</t>
  </si>
  <si>
    <t>MTR-38907</t>
  </si>
  <si>
    <t>DC_20A(2x2)-28A(2x2)_n78A(4x4)
 UL: DC_28A_n78A
 [4 (2+2) LTE &amp; 4 NR layers]</t>
  </si>
  <si>
    <t>MTR-35496</t>
  </si>
  <si>
    <t>DC_20A(2x2)-32A(2x2)_n78A(4x4)
 UL: DC_20A_n78A
 [4 (2+2) LTE &amp; 4 NR layers]</t>
  </si>
  <si>
    <t>DC_20A-32A_n78A</t>
  </si>
  <si>
    <t>MTR-34495</t>
  </si>
  <si>
    <r>
      <rPr>
        <rFont val="Arial"/>
        <b/>
        <color theme="1"/>
        <sz val="10.0"/>
      </rPr>
      <t>2.5.2.8.3</t>
    </r>
    <r>
      <rPr>
        <rFont val="Arial"/>
        <b val="0"/>
        <color theme="1"/>
        <sz val="10.0"/>
      </rPr>
      <t xml:space="preserve"> </t>
    </r>
    <r>
      <rPr>
        <rFont val="Arial"/>
        <b/>
        <color theme="1"/>
        <sz val="10.0"/>
      </rPr>
      <t>EN-DC 3 Carriers LTE + 1 Carrier n78A</t>
    </r>
  </si>
  <si>
    <t>MTR-35991</t>
  </si>
  <si>
    <t>DC_1A(4x4)-1A(4x4)-3A(4x4)_n78A(4x4)
 UL: DC_1A_n78A
 [12 (4+4+4) LTE &amp; 4 NR layers]</t>
  </si>
  <si>
    <t>DC_1A-1A-3A_n78A</t>
  </si>
  <si>
    <t>MTR-35992</t>
  </si>
  <si>
    <t>DC_1A(4x4)-1A(4x4)-3A(4x4)_n78A(4x4)
 UL: DC_3A_n78A
 [12 (4+4+4) LTE &amp; 4 NR layers]</t>
  </si>
  <si>
    <t>MTR-38707</t>
  </si>
  <si>
    <t>DC_1A(4x4)-1A(4x4)-7A(4x4)_n78A(4x4)
 UL: DC_1A_n78A
 [12 (4+4+4) LTE &amp; 4 NR layers]</t>
  </si>
  <si>
    <t>DC_1A-1A-7A_n78A</t>
  </si>
  <si>
    <t>MTR-38708</t>
  </si>
  <si>
    <t>DC_1A(4x4)-1A(4x4)-7A(4x4)_n78A(4x4)
 UL: DC_7A_n78A
 [12 (4+4+4) LTE &amp; 4 NR layers]</t>
  </si>
  <si>
    <t>MTR-39843</t>
  </si>
  <si>
    <t>DC_1A(4x4)-1A(4x4)-20A(2x2)_n78A(4x4)
 UL: DC_1A_n78A
 [10 (4+4+2) LTE &amp; 4 NR layers]</t>
  </si>
  <si>
    <t>DC_1A-1A-20A_n78A</t>
  </si>
  <si>
    <t>1A-1A-20A</t>
  </si>
  <si>
    <t>MTR-39844</t>
  </si>
  <si>
    <t>DC_1A(4x4)-1A(4x4)-20A(2x2)_n78A(4x4)
 UL: DC_20A_n78A
 [10 (4+4+2) LTE &amp; 4 NR layers]</t>
  </si>
  <si>
    <t>MTR-35989</t>
  </si>
  <si>
    <t>DC_1A(4x4)-1A(4x4)-28A(2x2)_n78A(4x4)
 UL: DC_1A_n78A
 [10 (4+4+2) LTE &amp; 4 NR layers]</t>
  </si>
  <si>
    <t>DC_1A-1A-28A_n78A</t>
  </si>
  <si>
    <t>MTR-35990</t>
  </si>
  <si>
    <t>DC_1A(4x4)-1A(4x4)-28A(2x2)_n78A(4x4)
 UL: DC_28A_n78A
 [10 (4+4+2) LTE &amp; 4 NR layers]</t>
  </si>
  <si>
    <t>MTR-33373</t>
  </si>
  <si>
    <t>DC_1A(4x4)-3C(4x4)_n78A(4x4)
 UL: DC_1A_n78A
 [12 (4+4+4) LTE &amp; 4 NR layers]</t>
  </si>
  <si>
    <t>DC_1A-3C_n78A</t>
  </si>
  <si>
    <t>MTR-33374</t>
  </si>
  <si>
    <t>DC_1A(4x4)-3C(4x4)_n78A(4x4)
 UL: DC_3A_n78A
 [12 (4+4+4) LTE &amp; 4 NR layers]</t>
  </si>
  <si>
    <t>MTR-36990</t>
  </si>
  <si>
    <t>DC_1A(4x4)-3C(4x4)_n78A(4x4)
 UL: DC_3C_n78A
 [12 (4+4+4) LTE &amp; 4 NR layers]</t>
  </si>
  <si>
    <t>MTR-39845</t>
  </si>
  <si>
    <t>DC_1A(4x4)-3A(4x4)-3A(4x4)_n78A(4x4)
 UL: DC_1A_n78A
 [12 (4+4+4) LTE &amp; 4 NR layers]</t>
  </si>
  <si>
    <t>DC_1A-3A-3A_n78A</t>
  </si>
  <si>
    <t>MTR-39846</t>
  </si>
  <si>
    <t>DC_1A(4x4)-3A(4x4)-3A(4x4)_n78A(4x4)
 UL: DC_3A_n78A
 [12 (4+4+4) LTE &amp; 4 NR layers]</t>
  </si>
  <si>
    <t>MTR-33375</t>
  </si>
  <si>
    <t>DC_1A(4x4)-3A(4x4)-7A(4x4)_n78A(4x4)
 UL: DC_1A_n78A
 [12 (4+4+4) LTE &amp; 4 NR layers]</t>
  </si>
  <si>
    <t>DC_1A-3A-7A_n78A</t>
  </si>
  <si>
    <t>MTR-33376</t>
  </si>
  <si>
    <t>DC_1A(4x4)-3A(4x4)-7A(4x4)_n78A(4x4)
 UL: DC_3A_n78A
 [12 (4+4+4) LTE &amp; 4 NR layers]</t>
  </si>
  <si>
    <t>MTR-33377</t>
  </si>
  <si>
    <t>DC_1A(4x4)-3A(4x4)-7A(4x4)_n78A(4x4)
 UL: DC_7A_n78A
 [12 (4+4+4) LTE &amp; 4 NR layers]</t>
  </si>
  <si>
    <t>MTR-33381</t>
  </si>
  <si>
    <t>DC_1A(4x4)-3A(4x4)-8A(2x2)_n78A(4x4)
 UL: DC_1A_n78A
 [10 (4+4+2) LTE &amp; 4 NR layers]</t>
  </si>
  <si>
    <t>DC_1A-3A-8A_n78A</t>
  </si>
  <si>
    <t>MTR-33382</t>
  </si>
  <si>
    <t>DC_1A(4x4)-3A(4x4)-8A(2x2)_n78A(4x4)
 UL: DC_3A_n78A
 [10 (4+4+2) LTE &amp; 4 NR layers]</t>
  </si>
  <si>
    <t>MTR-33383</t>
  </si>
  <si>
    <t>DC_1A(4x4)-3A(4x4)-8A(2x2)_n78A(4x4)
 UL: DC_8A_n78A
 [10 (4+4+2) LTE &amp; 4 NR layers]</t>
  </si>
  <si>
    <t>MTR-33387</t>
  </si>
  <si>
    <t>DC_1A(4x4)-3A(4x4)-20A(2x2)_n78A(4x4)
 UL: DC_1A_n78A
 [10 (4+4+2) LTE &amp; 4 NR layers]</t>
  </si>
  <si>
    <t>DC_1A-3A-20A_n78A</t>
  </si>
  <si>
    <t>MTR-33388</t>
  </si>
  <si>
    <t>DC_1A(4x4)-3A(4x4)-20A(2x2)_n78A(4x4)
 UL: DC_3A_n78A
 [10 (4+4+2) LTE &amp; 4 NR layers]</t>
  </si>
  <si>
    <t>MTR-33389</t>
  </si>
  <si>
    <t>DC_1A(4x4)-3A(4x4)-20A(2x2)_n78A(4x4)
 UL: DC_20A_n78A
 [10 (4+4+2) LTE &amp; 4 NR layers]</t>
  </si>
  <si>
    <t>MTR-33390</t>
  </si>
  <si>
    <t>DC_1A(4x4)-3A(4x4)-28A(2x2)_n78A(4x4)
 UL: DC_1A_n78A
 [10 (4+4+2) LTE &amp; 4 NR layers]</t>
  </si>
  <si>
    <t>DC_1A-3A-28A_n78A</t>
  </si>
  <si>
    <t>MTR-33391</t>
  </si>
  <si>
    <t>DC_1A(4x4)-3A(4x4)-28A(2x2)_n78A(4x4)
 UL: DC_3A_n78A
 [10 (4+4+2) LTE &amp; 4 NR layers]</t>
  </si>
  <si>
    <t>MTR-33392</t>
  </si>
  <si>
    <t>DC_1A(4x4)-3A(4x4)-28A(2x2)_n78A(4x4)
 UL: DC_28A_n78A
 [10 (4+4+2) LTE &amp; 4 NR layers]</t>
  </si>
  <si>
    <t>MTR-35497</t>
  </si>
  <si>
    <t>DC_1A(4x4)-3A(4x4)-32A(2x2)_n78A(4x4)
 UL: DC_1A_n78A
 [10 (4+4+2) LTE &amp; 4 NR layers]</t>
  </si>
  <si>
    <t>DC_1A-3A-32A_n78A</t>
  </si>
  <si>
    <t>MTR-35498</t>
  </si>
  <si>
    <t>DC_1A(4x4)-3A(4x4)-32A(2x2)_n78A(4x4)
 UL: DC_3A_n78A
 [10 (4+4+2) LTE &amp; 4 NR layers]</t>
  </si>
  <si>
    <t>MTR-34420</t>
  </si>
  <si>
    <t>DC_1A(4x4)-7C(4x4)_n78A(4x4)
 UL: DC_1A_n78A
 [12 (4+4+4) LTE &amp; 4 NR layers]</t>
  </si>
  <si>
    <t>DC_1A-7C_n78A</t>
  </si>
  <si>
    <t>MTR-34421</t>
  </si>
  <si>
    <t>DC_1A(4x4)-7C(4x4)_n78A(4x4)
 UL: DC_7A_n78A
 [12 (4+4+4) LTE &amp; 4 NR layers]</t>
  </si>
  <si>
    <t>MTR-34948</t>
  </si>
  <si>
    <t>DC_1A(4x4)-7C(4x4)_n78A(4x4)
 UL: DC_7C_n78A
 [12 (4+4+4) LTE &amp; 4 NR layers]</t>
  </si>
  <si>
    <t>MTR-33396</t>
  </si>
  <si>
    <t>DC_1A(4x4)-7A(4x4)-7A(4x4)_n78A(4x4)
 UL: DC_1A_n78A
 [12 (4+4+4) LTE &amp; 4 NR layers]</t>
  </si>
  <si>
    <t>DC_1A-7A-7A_n78A</t>
  </si>
  <si>
    <t>MTR-33397</t>
  </si>
  <si>
    <t>DC_1A(4x4)-7A(4x4)-7A(4x4)_n78A(4x4)
 UL: DC_7A_n78A
 [12 (4+4+4) LTE &amp; 4 NR layers]</t>
  </si>
  <si>
    <t>MTR-34810</t>
  </si>
  <si>
    <t>DC_1A(4x4)-7A(4x4)-8A(2x2)_n78A(4x4)
 UL: DC_1A_n78A
 [10 (4+4+2) LTE &amp; 4 NR layers]</t>
  </si>
  <si>
    <t>DC_1A-7A-8A_n78A</t>
  </si>
  <si>
    <t>MTR-34811</t>
  </si>
  <si>
    <t>DC_1A(4x4)-7A(4x4)-8A(2x2)_n78A(4x4)
 UL: DC_7A_n78A
 [10 (4+4+2) LTE &amp; 4 NR layers]</t>
  </si>
  <si>
    <t>MTR-34812</t>
  </si>
  <si>
    <t>DC_1A(4x4)-7A(4x4)-8A(2x2)_n78A(4x4)
 UL: DC_8A_n78A
 [10 (4+4+2) LTE &amp; 4 NR layers]</t>
  </si>
  <si>
    <t>MTR-33398</t>
  </si>
  <si>
    <t>DC_1A(4x4)-7A(4x4)-20A(2x2)_n78A(4x4)
 UL: DC_1A_n78A
 [10 (4+4+2) LTE &amp; 4 NR layers]</t>
  </si>
  <si>
    <t>DC_1A-7A-20A_n78A</t>
  </si>
  <si>
    <t>MTR-33399</t>
  </si>
  <si>
    <t>DC_1A(4x4)-7A(4x4)-20A(2x2)_n78A(4x4)
 UL: DC_7A_n78A
 [10 (4+4+2) LTE &amp; 4 NR layers]</t>
  </si>
  <si>
    <t>MTR-33400</t>
  </si>
  <si>
    <t>DC_1A(4x4)-7A(4x4)-20A(2x2)_n78A(4x4)
 UL: DC_20A_n78A
 [10 (4+4+2) LTE &amp; 4 NR layers]</t>
  </si>
  <si>
    <t>MTR-34453</t>
  </si>
  <si>
    <t>DC_1A(4x4)-7A(4x4)-28A(2x2)_n78A(4x4)
 UL: DC_1A_n78A
 [10 (4+4+2) LTE &amp; 4 NR layers]</t>
  </si>
  <si>
    <t>DC_1A-7A-28A_n78A</t>
  </si>
  <si>
    <t>MTR-34454</t>
  </si>
  <si>
    <t>DC_1A(4x4)-7A(4x4)-28A(2x2)_n78A(4x4)
 UL: DC_7A_n78A
 [10 (4+4+2) LTE &amp; 4 NR layers]</t>
  </si>
  <si>
    <t>MTR-34455</t>
  </si>
  <si>
    <t>DC_1A(4x4)-7A(4x4)-28A(2x2)_n78A(4x4)
 UL: DC_28A_n78A
 [10 (4+4+2) LTE &amp; 4 NR layers]</t>
  </si>
  <si>
    <t>MTR-36527</t>
  </si>
  <si>
    <t>DC_1A(4x4)-7A(4x4)-32A(2x2)_n78A(4x4)
 UL: DC_1A_n78A
 [10 (4+4+2) LTE &amp; 4 NR layers]</t>
  </si>
  <si>
    <t>DC_1A-7A-32A_n78A</t>
  </si>
  <si>
    <t>MTR-36528</t>
  </si>
  <si>
    <t>DC_1A(4x4)-7A(4x4)-32A(2x2)_n78A(4x4)
 UL: DC_7A_n78A
 [10 (4+4+2) LTE &amp; 4 NR layers]</t>
  </si>
  <si>
    <t>MTR-34459</t>
  </si>
  <si>
    <t>DC_1A(4x4)-8A(2x2)-20A(2x2)_n78A(4x4)
 UL: DC_1A_n78A
 [8 (4+2+2) LTE &amp; 4 NR layers]</t>
  </si>
  <si>
    <t>DC_1A-8A-20A_n78A</t>
  </si>
  <si>
    <t>MTR-34460</t>
  </si>
  <si>
    <t>DC_1A(4x4)-8A(2x2)-20A(2x2)_n78A(4x4)
 UL: DC_8A_n78A
 [8 (4+2+2) LTE &amp; 4 NR layers]</t>
  </si>
  <si>
    <t>MTR-34461</t>
  </si>
  <si>
    <t>DC_1A(4x4)-8A(2x2)-20A(2x2)_n78A(4x4)
 UL: DC_20A_n78A
 [8 (4+2+2) LTE &amp; 4 NR layers]</t>
  </si>
  <si>
    <t>MTR-38311</t>
  </si>
  <si>
    <t>DC_1A(4x4)-8A(2x2)-28A(2x2)_n78A(4x4)
 UL: DC_1A_n78A
 [8 (4+2+2) LTE &amp; 4 NR layers]</t>
  </si>
  <si>
    <t>DC_1A-8A-28A_n78A</t>
  </si>
  <si>
    <t>MTR-38312</t>
  </si>
  <si>
    <t>DC_1A(4x4)-8A(2x2)-28A(2x2)_n78A(4x4)
 UL: DC_8A_n78A
 [8 (4+2+2) LTE &amp; 4 NR layers]</t>
  </si>
  <si>
    <t>MTR-38313</t>
  </si>
  <si>
    <t>DC_1A(4x4)-8A(2x2)-28A(2x2)_n78A(4x4)
 UL: DC_28A_n78A
 [8 (4+2+2) LTE &amp; 4 NR layers]</t>
  </si>
  <si>
    <t>MTR-38314</t>
  </si>
  <si>
    <t>DC_1A(4x4)-8A(2x2)-32A(2x2)_n78A(4x4)
 UL: DC_1A_n78A
 [8 (4+2+2) LTE &amp; 4 NR layers]</t>
  </si>
  <si>
    <t>DC_1A-8A-32A_n78A</t>
  </si>
  <si>
    <t>MTR-38315</t>
  </si>
  <si>
    <t>DC_1A(4x4)-8A(2x2)-32A(2x2)_n78A(4x4)
 UL: DC_8A_n78A
 [8 (4+2+2) LTE &amp; 4 NR layers]</t>
  </si>
  <si>
    <t>MTR-38316</t>
  </si>
  <si>
    <t>DC_1A(4x4)-20A(2x2)-28A(2x2)_n78A(4x4)
 UL: DC_1A_n78A
 [8 (4+2+2) LTE &amp; 4 NR layers]</t>
  </si>
  <si>
    <t>DC_1A-20A-28A_n78A</t>
  </si>
  <si>
    <t>MTR-38317</t>
  </si>
  <si>
    <t>DC_1A(4x4)-20A(2x2)-28A(2x2)_n78A(4x4)
 UL: DC_20A_n78A
 [8 (4+2+2) LTE &amp; 4 NR layers]</t>
  </si>
  <si>
    <t>MTR-38318</t>
  </si>
  <si>
    <t>DC_1A(4x4)-20A(2x2)-28A(2x2)_n78A(4x4)
 UL: DC_28A_n78A
 [8 (4+2+2) LTE &amp; 4 NR layers]</t>
  </si>
  <si>
    <t>MTR-36525</t>
  </si>
  <si>
    <t>DC_1A(4x4)-20A(2x2)-32A(2x2)_n78A(4x4)
 UL: DC_1A_n78A
 [8 (4+2+2) LTE &amp; 4 NR layers]</t>
  </si>
  <si>
    <t>DC_1A-20A-32A_n78A</t>
  </si>
  <si>
    <t>MTR-36526</t>
  </si>
  <si>
    <t>DC_1A(4x4)-20A(2x2)-32A(2x2)_n78A(4x4)
 UL: DC_20A_n78A
 [8 (4+2+2) LTE &amp; 4 NR layers]</t>
  </si>
  <si>
    <t>MTR-33404</t>
  </si>
  <si>
    <t>DC_3C(4x4)-7A(4x4)_n78A(4x4)
 UL: DC_3A_n78A
 [12 (4+4+4) LTE &amp; 4 NR layers]</t>
  </si>
  <si>
    <t>DC_3C-7A_n78A</t>
  </si>
  <si>
    <t>MTR-35500</t>
  </si>
  <si>
    <t>DC_3C(4x4)-7A(4x4)_n78A(4x4)
 UL: DC_3C_n78A
 [12 (4+4+4) LTE &amp; 4 NR layers]</t>
  </si>
  <si>
    <t>MTR-33405</t>
  </si>
  <si>
    <t>DC_3C(4x4)-7A(4x4)_n78A(4x4)
 UL: DC_7A_n78A
 [12 (4+4+4) LTE &amp; 4 NR layers]</t>
  </si>
  <si>
    <t>MTR-34423</t>
  </si>
  <si>
    <t>DC_3A(4x4)-3A(4x4)-7A(4x4)_n78A(4x4)
 UL: DC_3A_n78A
 [12 (4+4+4) LTE &amp; 4 NR layers]</t>
  </si>
  <si>
    <t>DC_3A-3A-7A_n78A</t>
  </si>
  <si>
    <t>MTR-34424</t>
  </si>
  <si>
    <t>DC_3A(4x4)-3A(4x4)-7A(4x4)_n78A(4x4)
 UL: DC_7A_n78A
 [12 (4+4+4) LTE &amp; 4 NR layers]</t>
  </si>
  <si>
    <t>MTR-34427</t>
  </si>
  <si>
    <t>DC_3C(4x4)-8A(2x2)_n78A(4x4)
 UL: DC_3A_n78A
 [10 (4+4+2) LTE &amp; 4 NR layers]</t>
  </si>
  <si>
    <t>DC_3C-8A_n78A</t>
  </si>
  <si>
    <t>MTR-34428</t>
  </si>
  <si>
    <t>DC_3C(4x4)-8A(2x2)_n78A(4x4)
 UL: DC_8A_n78A
 [10 (4+4+2) LTE &amp; 4 NR layers]</t>
  </si>
  <si>
    <t>MTR-34806</t>
  </si>
  <si>
    <t>DC_3A(4x4)-3A(4x4)-8A(2x2)_n78A(4x4)
 UL: DC_3A_n78A
 [10 (4+4+2) LTE &amp; 4 NR layers]</t>
  </si>
  <si>
    <t>DC_3A-3A-8A_n78A</t>
  </si>
  <si>
    <t>MTR-34807</t>
  </si>
  <si>
    <t>DC_3A(4x4)-3A(4x4)-8A(2x2)_n78A(4x4)
 UL: DC_8A_n78A
 [10 (4+4+2) LTE &amp; 4 NR layers]</t>
  </si>
  <si>
    <t>MTR-33406</t>
  </si>
  <si>
    <t>DC_3C(4x4)-20A(2x2)_n78A(4x4)
 UL: DC_3A_n78A
 [10 (4+4+2) LTE &amp; 4 NR layers]</t>
  </si>
  <si>
    <t>DC_3C-20A_n78A</t>
  </si>
  <si>
    <t>MTR-35987</t>
  </si>
  <si>
    <t>DC_3C(4x4)-20A(2x2)_n78A(4x4)
 UL: DC_3C_n78A
 [10 (4+4+2) LTE &amp; 4 NR layers]</t>
  </si>
  <si>
    <t>MTR-33407</t>
  </si>
  <si>
    <t>DC_3C(4x4)-20A(2x2)_n78A(4x4)
 UL: DC_20A_n78A
 [10 (4+4+2) LTE &amp; 4 NR layers]</t>
  </si>
  <si>
    <t>MTR-39333</t>
  </si>
  <si>
    <t>DC_3A(4x4)-3A(4x4)-20A(2x2)_n78A(4x4)
 UL: DC_3A_n78A
 [10 (4+4+2) LTE &amp; 4 NR layers]</t>
  </si>
  <si>
    <t>DC_3A-3A-20A_n78A</t>
  </si>
  <si>
    <t>MTR-39334</t>
  </si>
  <si>
    <t>DC_3A(4x4)-3A(4x4)-20A(2x2)_n78A(4x4)
 UL: DC_20A_n78A
 [10 (4+4+2) LTE &amp; 4 NR layers]</t>
  </si>
  <si>
    <t>MTR-34429</t>
  </si>
  <si>
    <t>DC_3C(4x4)-28A(2x2)_n78A(4x4)
 UL: DC_3A_n78A
 [10 (4+4+2) LTE &amp; 4 NR layers]</t>
  </si>
  <si>
    <t>DC_3C-28A_n78A</t>
  </si>
  <si>
    <t>MTR-38320</t>
  </si>
  <si>
    <t>DC_3C(4x4)-28A(2x2)_n78A(4x4)
 UL: DC_3C_n78A
 [10 (4+4+2) LTE &amp; 4 NR layers]</t>
  </si>
  <si>
    <t>MTR-34672</t>
  </si>
  <si>
    <t>DC_3C(4x4)-28A(2x2)_n78A(4x4)
 UL: DC_28A_n78A
 [10 (4+4+2) LTE &amp; 4 NR layers]</t>
  </si>
  <si>
    <t>MTR-34430</t>
  </si>
  <si>
    <t>DC_3A(4x4)-3A(4x4)-28A(2x2)_n78A(4x4)
 UL: DC_3A_n78A
 [10 (4+4+2) LTE &amp; 4 NR layers]</t>
  </si>
  <si>
    <t>DC_3A-3A-28A_n78A</t>
  </si>
  <si>
    <t>MTR-34431</t>
  </si>
  <si>
    <t>DC_3A(4x4)-3A(4x4)-28A(2x2)_n78A(4x4)
 UL: DC_28A_n78A
 [10 (4+4+2) LTE &amp; 4 NR layers]</t>
  </si>
  <si>
    <t>MTR-36991</t>
  </si>
  <si>
    <t>DC_3C(4x4)-32A(2x2)_n78A(4x4)
 UL: DC_3A_n78A
 [10 (4+4+2) LTE &amp; 4 NR layers]</t>
  </si>
  <si>
    <t>DC_3C-32A_n78A</t>
  </si>
  <si>
    <t>MTR-36992</t>
  </si>
  <si>
    <t>DC_3C(4x4)-32A(2x2)_n78A(4x4)
 UL: DC_3C_n78A
 [10 (4+4+2) LTE &amp; 4 NR layers]</t>
  </si>
  <si>
    <t>MTR-33410</t>
  </si>
  <si>
    <t>DC_3A(4x4)-7C(4x4)_n78A(4x4)
 UL: DC_3A_n78A
 [12 (4+4+4) LTE &amp; 4 NR layers]</t>
  </si>
  <si>
    <t>DC_3A-7C_n78A</t>
  </si>
  <si>
    <t>MTR-33411</t>
  </si>
  <si>
    <t>DC_3A(4x4)-7C(4x4)_n78A(4x4)
 UL: DC_7A_n78A
 [12 (4+4+4) LTE &amp; 4 NR layers]</t>
  </si>
  <si>
    <t>MTR-33412</t>
  </si>
  <si>
    <t>DC_3A(4x4)-7C(4x4)_n78A(4x4)
 UL: DC_7C_n78A
 [12 (4+4+4) LTE &amp; 4 NR layers]</t>
  </si>
  <si>
    <t>MTR-33408</t>
  </si>
  <si>
    <t>DC_3A(4x4)-7A(4x4)-7A(4x4)_n78A(4x4)
 UL: DC_3A_n78A
 [12 (4+4+4) LTE &amp; 4 NR layers]</t>
  </si>
  <si>
    <t>DC_3A-7A-7A_n78A</t>
  </si>
  <si>
    <t>MTR-33409</t>
  </si>
  <si>
    <t>DC_3A(4x4)-7A(4x4)-7A(4x4)_n78A(4x4)
 UL: DC_7A_n78A
 [12 (4+4+4) LTE &amp; 4 NR layers]</t>
  </si>
  <si>
    <t>MTR-34462</t>
  </si>
  <si>
    <t>DC_3A(4x4)-7A(4x4)-8A(2x2)_n78A(4x4)
 UL: DC_3A_n78A
 [10 (4+4+2) LTE &amp; 4 NR layers]</t>
  </si>
  <si>
    <t>DC_3A-7A-8A_n78A</t>
  </si>
  <si>
    <t>MTR-34463</t>
  </si>
  <si>
    <t>DC_3A(4x4)-7A(4x4)-8A(2x2)_n78A(4x4)
 UL: DC_7A_n78A
 [10 (4+4+2) LTE &amp; 4 NR layers]</t>
  </si>
  <si>
    <t>MTR-34464</t>
  </si>
  <si>
    <t>DC_3A(4x4)-7A(4x4)-8A(2x2)_n78A(4x4)
 UL: DC_8A_n78A
 [10 (4+4+2) LTE &amp; 4 NR layers]</t>
  </si>
  <si>
    <t>MTR-33365</t>
  </si>
  <si>
    <t>DC_3A(4x4)-7A(4x4)-20A(2x2)_n78A(4x4)
 UL: DC_3A_n78A
 [10 (4+4+2) LTE &amp; 4 NR layers]</t>
  </si>
  <si>
    <t>DC_3A-7A-20A_n78A</t>
  </si>
  <si>
    <t>MTR-33366</t>
  </si>
  <si>
    <t>DC_3A(4x4)-7A(4x4)-20A(2x2)_n78A(4x4)
 UL: DC_20A_n78A
 [10 (4+4+2) LTE &amp; 4 NR layers]</t>
  </si>
  <si>
    <t>MTR-33367</t>
  </si>
  <si>
    <t>DC_3A(4x4)-7A(4x4)-20A(2x2)_n78A(4x4)
 UL: DC_7A_n78A
 [10 (4+4+2) LTE &amp; 4 NR layers]</t>
  </si>
  <si>
    <t>MTR-33741</t>
  </si>
  <si>
    <t>DC_3A(4x4)-7A(4x4)-28A(2x2)_n78A(4x4)
 UL: DC_3A_n78A
 [10 (4+4+2) LTE &amp; 4 NR layers]</t>
  </si>
  <si>
    <t>DC_3A-7A-28A_n78A</t>
  </si>
  <si>
    <t>MTR-33742</t>
  </si>
  <si>
    <t>DC_3A(4x4)-7A(4x4)-28A(2x2)_n78A(4x4)
 UL: DC_7A_n78A
 [10 (4+4+2) LTE &amp; 4 NR layers]</t>
  </si>
  <si>
    <t>MTR-33743</t>
  </si>
  <si>
    <t>DC_3A(4x4)-7A(4x4)-28A(2x2)_n78A(4x4)
 UL: DC_28A_n78A
 [10 (4+4+2) LTE &amp; 4 NR layers]</t>
  </si>
  <si>
    <t>MTR-36531</t>
  </si>
  <si>
    <t>DC_3A(4x4)-7A(4x4)-32A(2x2)_n78A(4x4)
 UL: DC_3A_n78A
 [10 (4+4+2) LTE &amp; 4 NR layers]</t>
  </si>
  <si>
    <t>DC_3A-7A-32A_n78A</t>
  </si>
  <si>
    <t>MTR-36532</t>
  </si>
  <si>
    <t>DC_3A(4x4)-7A(4x4)-32A(2x2)_n78A(4x4)
 UL: DC_7A_n78A
 [10 (4+4+2) LTE &amp; 4 NR layers]</t>
  </si>
  <si>
    <t>MTR-34474</t>
  </si>
  <si>
    <t>DC_3A(4x4)-8A(2x2)-20A(2x2)_n78A(4x4)
 UL: DC_3A_n78A
 [8 (4+2+2) LTE &amp; 4 NR layers]</t>
  </si>
  <si>
    <t>DC_3A-8A-20A_n78A</t>
  </si>
  <si>
    <t>MTR-34475</t>
  </si>
  <si>
    <t>DC_3A(4x4)-8A(2x2)-20A(2x2)_n78A(4x4)
 UL: DC_8A_n78A
 [8 (4+2+2) LTE &amp; 4 NR layers]</t>
  </si>
  <si>
    <t>MTR-34476</t>
  </si>
  <si>
    <t>DC_3A(4x4)-8A(2x2)-20A(2x2)_n78A(4x4)
 UL: DC_20A_n78A
 [8 (4+2+2) LTE &amp; 4 NR layers]</t>
  </si>
  <si>
    <t>MTR-38321</t>
  </si>
  <si>
    <t>DC_3A(4x4)-8A(2x2)-28A(2x2)_n78A(4x4)
 UL: DC_3A_n78A
 [8 (4+2+2) LTE &amp; 4 NR layers]</t>
  </si>
  <si>
    <t>DC_3A-8A-28A_n78A</t>
  </si>
  <si>
    <t>3A-8A-28A</t>
  </si>
  <si>
    <t>MTR-38322</t>
  </si>
  <si>
    <t>DC_3A(4x4)-8A(2x2)-28A(2x2)_n78A(4x4)
 UL: DC_8A_n78A
 [8 (4+2+2) LTE &amp; 4 NR layers]</t>
  </si>
  <si>
    <t>MTR-38323</t>
  </si>
  <si>
    <t>DC_3A(4x4)-8A(2x2)-28A(2x2)_n78A(4x4)
 UL: DC_28A_n78A
 [8 (4+2+2) LTE &amp; 4 NR layers]</t>
  </si>
  <si>
    <t>MTR-38712</t>
  </si>
  <si>
    <t>DC_3A(4x4)-8A(2x2)-32A(2x2)_n78A(4x4)
 UL: DC_3A_n78A
 [8 (4+2+2) LTE &amp; 4 NR layers]</t>
  </si>
  <si>
    <t>DC_3A-8A-32A_n78A</t>
  </si>
  <si>
    <t>MTR-38713</t>
  </si>
  <si>
    <t>DC_3A(4x4)-8A(2x2)-32A(2x2)_n78A(4x4)
 UL: DC_8A_n78A
 [8 (4+2+2) LTE &amp; 4 NR layers]</t>
  </si>
  <si>
    <t>MTR-38324</t>
  </si>
  <si>
    <t>DC_3A(4x4)-20A(2x2)-28A(2x2)_n78A(4x4)
 UL: DC_3A_n78A
 [8 (4+2+2) LTE &amp; 4 NR layers]</t>
  </si>
  <si>
    <t>DC_3A-20A-28A_n78A</t>
  </si>
  <si>
    <t>MTR-38325</t>
  </si>
  <si>
    <t>DC_3A(4x4)-20A(2x2)-28A(2x2)_n78A(4x4)
 UL: DC_20A_n78A
 [8 (4+2+2) LTE &amp; 4 NR layers]</t>
  </si>
  <si>
    <t>MTR-38326</t>
  </si>
  <si>
    <t>DC_3A(4x4)-20A(2x2)-28A(2x2)_n78A(4x4)
 UL: DC_28A_n78A
 [8 (4+2+2) LTE &amp; 4 NR layers]</t>
  </si>
  <si>
    <t>MTR-36529</t>
  </si>
  <si>
    <t>DC_3A(4x4)-20A(2x2)-32A(2x2)_n78A(4x4)
 UL: DC_3A_n78A
 [8 (4+2+2) LTE &amp; 4 NR layers]</t>
  </si>
  <si>
    <t>DC_3A-20A-32A_n78A</t>
  </si>
  <si>
    <t>MTR-36530</t>
  </si>
  <si>
    <t>DC_3A(4x4)-20A(2x2)-32A(2x2)_n78A(4x4)
 UL: DC_20A_n78A
 [8 (4+2+2) LTE &amp; 4 NR layers]</t>
  </si>
  <si>
    <t>MTR-34808</t>
  </si>
  <si>
    <t>DC_7A(4x4)-7A(4x4)-8A(2x2)_n78A(4x4)
 UL: DC_7A_n78A
 [10 (4+4+2) LTE &amp; 4 NR layers]</t>
  </si>
  <si>
    <t>DC_7A-7A-8A_n78A</t>
  </si>
  <si>
    <t>MTR-34809</t>
  </si>
  <si>
    <t>DC_7A(4x4)-7A(4x4)-8A(2x2)_n78A(4x4)
 UL: DC_8A_n78A
 [10 (4+4+2) LTE &amp; 4 NR layers]</t>
  </si>
  <si>
    <t>MTR-39847</t>
  </si>
  <si>
    <t>DC_7A(4x4)-7A(4x4)-20A(2x2)_n78A(4x4)
 UL: DC_7A_n78A
 [10 (4+4+2) LTE &amp; 4 NR layers]</t>
  </si>
  <si>
    <t>DC_7A-7A-20A_n78A</t>
  </si>
  <si>
    <t>7A-7A-20A</t>
  </si>
  <si>
    <t>MTR-39848</t>
  </si>
  <si>
    <t>DC_7A(4x4)-7A(4x4)-20A(2x2)_n78A(4x4)
 UL: DC_20A_n78A
 [10 (4+4+2) LTE &amp; 4 NR layers]</t>
  </si>
  <si>
    <t>MTR-34434</t>
  </si>
  <si>
    <t>DC_7C(4x4)-28A(2x2)_n78A(4x4)
 UL: DC_7A_n78A
 [10 (4+4+2) LTE &amp; 4 NR layers]</t>
  </si>
  <si>
    <t>DC_7C-28A_n78A</t>
  </si>
  <si>
    <t>MTR-33414</t>
  </si>
  <si>
    <t>DC_7C(4x4)-28A(2x2)_n78A(4x4)
 UL: DC_7C_n78A
 [10 (4+4+2) LTE &amp; 4 NR layers]</t>
  </si>
  <si>
    <t>MTR-33415</t>
  </si>
  <si>
    <t>DC_7C(4x4)-28A(2x2)_n78A(4x4)
 UL: DC_28A_n78A
 [10 (4+4+2) LTE &amp; 4 NR layers]</t>
  </si>
  <si>
    <t>MTR-38910</t>
  </si>
  <si>
    <t>DC_7A(4x4)-8A(2x2)-20A(2x2)_n78A(4x4)
 UL: DC_7A_n78A
 [8 (4+2+2) LTE &amp; 4 NR layers]</t>
  </si>
  <si>
    <t>DC_7A-8A-20A_n78A</t>
  </si>
  <si>
    <t>MTR-38911</t>
  </si>
  <si>
    <t>DC_7A(4x4)-8A(2x2)-20A(2x2)_n78A(4x4)
 UL: DC_8A_n78A
 [8 (4+2+2) LTE &amp; 4 NR layers]</t>
  </si>
  <si>
    <t>MTR-38912</t>
  </si>
  <si>
    <t>DC_7A(4x4)-8A(2x2)-20A(2x2)_n78A(4x4)
 UL: DC_20A_n78A
 [8 (4+2+2) LTE &amp; 4 NR layers]</t>
  </si>
  <si>
    <t>MTR-38328</t>
  </si>
  <si>
    <t>DC_7A(4x4)-8A(2x2)-32A(2x2)_n78A(4x4)
 UL: DC_7A_n78A
 [8 (4+2+2) LTE &amp; 4 NR layers]</t>
  </si>
  <si>
    <t>DC_7A-8A-32A_n78A</t>
  </si>
  <si>
    <t>MTR-38329</t>
  </si>
  <si>
    <t>DC_7A(4x4)-8A(2x2)-32A(2x2)_n78A(4x4)
 UL: DC_8A_n78A
 [8 (4+2+2) LTE &amp; 4 NR layers]</t>
  </si>
  <si>
    <t>MTR-39989</t>
  </si>
  <si>
    <t>DC_7A(4x4)-20A(2x2)-28A(2x2)_n78A(4x4)
 UL: DC_7A_n78A
 [8 (4+2+2) LTE &amp; 4 NR layers]</t>
  </si>
  <si>
    <t>DC_7A-20A-28A_n78A</t>
  </si>
  <si>
    <t>MTR-39990</t>
  </si>
  <si>
    <t>DC_7A(4x4)-20A(2x2)-28A(2x2)_n78A(4x4)
 UL: DC_20A_n78A
 [8 (4+2+2) LTE &amp; 4 NR layers]</t>
  </si>
  <si>
    <t>MTR-39991</t>
  </si>
  <si>
    <t>DC_7A(4x4)-20A(2x2)-28A(2x2)_n78A(4x4)
 UL: DC_28A_n78A
 [8 (4+2+2) LTE &amp; 4 NR layers]</t>
  </si>
  <si>
    <t>MTR-36533</t>
  </si>
  <si>
    <t>DC_7A(4x4)-20A(2x2)-32A(2x2)_n78A(4x4)
 UL: DC_7A_n78A
 [8 (4+2+2) LTE &amp; 4 NR layers]</t>
  </si>
  <si>
    <t>DC_7A-20A-32A_n78A</t>
  </si>
  <si>
    <t>MTR-36534</t>
  </si>
  <si>
    <t>DC_7A(4x4)-20A(2x2)-32A(2x2)_n78A(4x4)
 UL: DC_20A_n78A
 [8 (4+2+2) LTE &amp; 4 NR layers]</t>
  </si>
  <si>
    <t>MTR-38331</t>
  </si>
  <si>
    <t>DC_8A(2x2)-20A(2x2)-28A(2x2)_n78A(4x4)
 UL: DC_8A_n78A
 [6 (2+2+2) LTE &amp; 4 NR layers]</t>
  </si>
  <si>
    <t>DC_8A-20A-28A_n78A</t>
  </si>
  <si>
    <t>MTR-38332</t>
  </si>
  <si>
    <t>DC_8A(2x2)-20A(2x2)-28A(2x2)_n78A(4x4)
 UL: DC_20A_n78A
 [6 (2+2+2) LTE &amp; 4 NR layers]</t>
  </si>
  <si>
    <t>MTR-38333</t>
  </si>
  <si>
    <t>DC_8A(2x2)-20A(2x2)-28A(2x2)_n78A(4x4)
 UL: DC_28A_n78A
 [6 (2+2+2) LTE &amp; 4 NR layers]</t>
  </si>
  <si>
    <t>MTR-34496</t>
  </si>
  <si>
    <r>
      <rPr>
        <rFont val="Arial"/>
        <b/>
        <color theme="1"/>
        <sz val="10.0"/>
      </rPr>
      <t>2.5.2.8.4</t>
    </r>
    <r>
      <rPr>
        <rFont val="Arial"/>
        <b val="0"/>
        <color theme="1"/>
        <sz val="10.0"/>
      </rPr>
      <t xml:space="preserve"> </t>
    </r>
    <r>
      <rPr>
        <rFont val="Arial"/>
        <b/>
        <color theme="1"/>
        <sz val="10.0"/>
      </rPr>
      <t>EN-DC 4 Carriers LTE + 1 Carrier n78A</t>
    </r>
  </si>
  <si>
    <t>MTR-35993</t>
  </si>
  <si>
    <t>DC_1A(4x4)-1A(4x4)-3C(4x4)_n78A(4x4)
 UL: DC_1A_n78A
 [16 (4+4+4+4) LTE &amp; 4 NR layers]</t>
  </si>
  <si>
    <t>DC_1A-1A-3C_n78A</t>
  </si>
  <si>
    <t>MTR-35994</t>
  </si>
  <si>
    <t>DC_1A(4x4)-1A(4x4)-3C(4x4)_n78A(4x4)
 UL: DC_3A_n78A
 [16 (4+4+4+4) LTE &amp; 4 NR layers]</t>
  </si>
  <si>
    <t>MTR-35995</t>
  </si>
  <si>
    <t>DC_1A(4x4)-1A(4x4)-3C(4x4)_n78A(4x4)
 UL: DC_3C_n78A
 [16 (4+4+4+4) LTE &amp; 4 NR layers]</t>
  </si>
  <si>
    <t>MTR-39992</t>
  </si>
  <si>
    <t>DC_1A(4x4)-1A(4x4)-3A(4x4)-3A(4x4)_n78A(4x4)
 UL: DC_1A_n78A
 [16 (4+4+4+4) LTE &amp; 4 NR layers]</t>
  </si>
  <si>
    <t>DC_1A-1A-3A-3A_n78A</t>
  </si>
  <si>
    <t>MTR-39993</t>
  </si>
  <si>
    <t>DC_1A(4x4)-1A(4x4)-3A(4x4)-3A(4x4)_n78A(4x4)
 UL: DC_3A_n78A
 [16 (4+4+4+4) LTE &amp; 4 NR layers]</t>
  </si>
  <si>
    <t>MTR-35999</t>
  </si>
  <si>
    <t>DC_1A(4x4)-1A(4x4)-3A(4x4)-7A(4x4)_n78A(4x4)
 UL: DC_1A_n78A
 [16 (4+4+4+4) LTE &amp; 4 NR layers]</t>
  </si>
  <si>
    <t>DC_1A-1A-3A-7A_n78A</t>
  </si>
  <si>
    <t>MTR-36000</t>
  </si>
  <si>
    <t>DC_1A(4x4)-1A(4x4)-3A(4x4)-7A(4x4)_n78A(4x4)
 UL: DC_3A_n78A
 [16 (4+4+4+4) LTE &amp; 4 NR layers]</t>
  </si>
  <si>
    <t>MTR-36001</t>
  </si>
  <si>
    <t>DC_1A(4x4)-1A(4x4)-3A(4x4)-7A(4x4)_n78A(4x4)
 UL: DC_7A_n78A
 [16 (4+4+4+4) LTE &amp; 4 NR layers]</t>
  </si>
  <si>
    <t>MTR-39849</t>
  </si>
  <si>
    <t>DC_1A(4x4)-1A(4x4)-3A(4x4)-20A(2x2)_n78A(4x4)
 UL: DC_1A_n78A
 [14 (4+4+4+2) LTE &amp; 4 NR layers]</t>
  </si>
  <si>
    <t>DC_1A-1A-3A-20A_n78A</t>
  </si>
  <si>
    <t>1A-1A-3A-20A</t>
  </si>
  <si>
    <t>MTR-39850</t>
  </si>
  <si>
    <t>DC_1A(4x4)-1A(4x4)-3A(4x4)-20A(2x2)_n78A(4x4)
 UL: DC_3A_n78A
 [14 (4+4+4+2) LTE &amp; 4 NR layers]</t>
  </si>
  <si>
    <t>MTR-39851</t>
  </si>
  <si>
    <t>DC_1A(4x4)-1A(4x4)-3A(4x4)-20A(2x2)_n78A(4x4)
 UL: DC_20A_n78A
 [14 (4+4+4+2) LTE &amp; 4 NR layers]</t>
  </si>
  <si>
    <t>MTR-35996</t>
  </si>
  <si>
    <t>DC_1A(4x4)-1A(4x4)-3A(4x4)-28A(2x2)_n78A(4x4)
 UL: DC_1A_n78A
 [14 (4+4+4+2) LTE &amp; 4 NR layers]</t>
  </si>
  <si>
    <t>DC_1A-1A-3A-28A_n78A</t>
  </si>
  <si>
    <t>MTR-35997</t>
  </si>
  <si>
    <t>DC_1A(4x4)-1A(4x4)-3A(4x4)-28A(2x2)_n78A(4x4)
 UL: DC_28A_n78A
 [14 (4+4+4+2) LTE &amp; 4 NR layers]</t>
  </si>
  <si>
    <t>MTR-35998</t>
  </si>
  <si>
    <t>DC_1A(4x4)-1A(4x4)-3A(4x4)-28A(2x2)_n78A(4x4)
 UL: DC_3A_n78A
 [14 (4+4+4+2) LTE &amp; 4 NR layers]</t>
  </si>
  <si>
    <t>MTR-39852</t>
  </si>
  <si>
    <t>DC_1A(4x4)-1A(4x4)-7A(4x4)-20A(2x2)_n78A(4x4)
 UL: DC_1A_n78A
 [14 (4+4+4+2) LTE &amp; 4 NR layers]</t>
  </si>
  <si>
    <t>DC_1A-1A-7A-20A_n78A</t>
  </si>
  <si>
    <t>1A-1A-7A-20A</t>
  </si>
  <si>
    <t>MTR-39853</t>
  </si>
  <si>
    <t>DC_1A(4x4)-1A(4x4)-7A(4x4)-20A(2x2)_n78A(4x4)
 UL: DC_7A_n78A
 [14 (4+4+4+2) LTE &amp; 4 NR layers]</t>
  </si>
  <si>
    <t>MTR-39854</t>
  </si>
  <si>
    <t>DC_1A(4x4)-1A(4x4)-7A(4x4)-20A(2x2)_n78A(4x4)
 UL: DC_20A_n78A
 [14 (4+4+4+2) LTE &amp; 4 NR layers]</t>
  </si>
  <si>
    <t>MTR-38714</t>
  </si>
  <si>
    <t>DC_1A(4x4)-1A(4x4)-7A(4x4)-28A(2x2)_n78A(4x4)
 UL: DC_1A_n78A
 [14 (4+4+4+2) LTE &amp; 4 NR layers]</t>
  </si>
  <si>
    <t>DC_1A-1A-7A-28A_n78A</t>
  </si>
  <si>
    <t>MTR-38715</t>
  </si>
  <si>
    <t>DC_1A(4x4)-1A(4x4)-7A(4x4)-28A(2x2)_n78A(4x4)
 UL: DC_7A_n78A
 [14 (4+4+4+2) LTE &amp; 4 NR layers]</t>
  </si>
  <si>
    <t>MTR-38716</t>
  </si>
  <si>
    <t>DC_1A(4x4)-1A(4x4)-7A(4x4)-28A(2x2)_n78A(4x4)
 UL: DC_28A_n78A
 [14 (4+4+4+2) LTE &amp; 4 NR layers]</t>
  </si>
  <si>
    <t>MTR-33425</t>
  </si>
  <si>
    <t>DC_1A(4x4)-3C(4x4)-7A(4x4)_n78A(4x4)
 UL: DC_1A_n78A
 [16 (4+4+4+4) LTE &amp; 4 NR layers]</t>
  </si>
  <si>
    <t>DC_1A-3C-7A_n78A</t>
  </si>
  <si>
    <t>MTR-33426</t>
  </si>
  <si>
    <t>DC_1A(4x4)-3C(4x4)-7A(4x4)_n78A(4x4)
 UL: DC_3A_n78A
 [16 (4+4+4+4) LTE &amp; 4 NR layers]</t>
  </si>
  <si>
    <t>MTR-34949</t>
  </si>
  <si>
    <t>DC_1A(4x4)-3C(4x4)-7A(4x4)_n78A(4x4)
 UL: DC_3C_n78A
 [16 (4+4+4+4) LTE &amp; 4 NR layers]</t>
  </si>
  <si>
    <t>MTR-33427</t>
  </si>
  <si>
    <t>DC_1A(4x4)-3C(4x4)-7A(4x4)_n78A(4x4)
 UL: DC_7A_n78A
 [16 (4+4+4+4) LTE &amp; 4 NR layers]</t>
  </si>
  <si>
    <t>MTR-39855</t>
  </si>
  <si>
    <t>DC_1A(4x4)-3A(4x4)-3A(4x4)-7A(4x4)_n78A(4x4)
 UL: DC_1A_n78A
 [16 (4+4+4+4) LTE &amp; 4 NR layers]</t>
  </si>
  <si>
    <t>DC_1A-3A-3A-7A_n78A</t>
  </si>
  <si>
    <t>MTR-39856</t>
  </si>
  <si>
    <t>DC_1A(4x4)-3A(4x4)-3A(4x4)-7A(4x4)_n78A(4x4)
 UL: DC_3A_n78A
 [16 (4+4+4+4) LTE &amp; 4 NR layers]</t>
  </si>
  <si>
    <t>MTR-39857</t>
  </si>
  <si>
    <t>DC_1A(4x4)-3A(4x4)-3A(4x4)-7A(4x4)_n78A(4x4)
 UL: DC_7A_n78A
 [16 (4+4+4+4) LTE &amp; 4 NR layers]</t>
  </si>
  <si>
    <t>MTR-34447</t>
  </si>
  <si>
    <t>DC_1A(4x4)-3C(4x4)-8A(2x2)_n78A(4x4)
 UL: DC_1A_n78A
 [14 (4+4+4+2) LTE &amp; 4 NR layers]</t>
  </si>
  <si>
    <t>DC_1A-3C-8A_n78A</t>
  </si>
  <si>
    <t>1A-3C-8A</t>
  </si>
  <si>
    <t>MTR-34448</t>
  </si>
  <si>
    <t>DC_1A(4x4)-3C(4x4)-8A(2x2)_n78A(4x4)
 UL: DC_3A_n78A
 [14 (4+4+4+2) LTE &amp; 4 NR layers]</t>
  </si>
  <si>
    <t>MTR-34449</t>
  </si>
  <si>
    <t>DC_1A(4x4)-3C(4x4)-8A(2x2)_n78A(4x4)
 UL: DC_8A_n78A
 [14 (4+4+4+2) LTE &amp; 4 NR layers]</t>
  </si>
  <si>
    <t>MTR-39858</t>
  </si>
  <si>
    <t>DC_1A(4x4)-3A(4x4)-3A(4x4)-20A(2x2)_n78A(4x4)
 UL: DC_1A_n78A
 [14 (4+4+4+2) LTE &amp; 4 NR layers]</t>
  </si>
  <si>
    <t>DC_1A-3A-3A-20A_n78A</t>
  </si>
  <si>
    <t>1A-3A-3A-20A</t>
  </si>
  <si>
    <t>MTR-39859</t>
  </si>
  <si>
    <t>DC_1A(4x4)-3A(4x4)-3A(4x4)-20A(2x2)_n78A(4x4)
 UL: DC_3A_n78A
 [14 (4+4+4+2) LTE &amp; 4 NR layers]</t>
  </si>
  <si>
    <t>MTR-39860</t>
  </si>
  <si>
    <t>DC_1A(4x4)-3A(4x4)-3A(4x4)-20A(2x2)_n78A(4x4)
 UL: DC_20A_n78A
 [14 (4+4+4+2) LTE &amp; 4 NR layers]</t>
  </si>
  <si>
    <t>MTR-39861</t>
  </si>
  <si>
    <t>DC_1A(4x4)-3A(4x4)-3A(4x4)-28A(2x2)_n78A(4x4)
 UL: DC_1A_n78A
 [14 (4+4+4+2) LTE &amp; 4 NR layers]</t>
  </si>
  <si>
    <t>DC_1A-3A-3A-28A_n78A</t>
  </si>
  <si>
    <t>MTR-39862</t>
  </si>
  <si>
    <t>DC_1A(4x4)-3A(4x4)-3A(4x4)-28A(2x2)_n78A(4x4)
 UL: DC_3A_n78A
 [14 (4+4+4+2) LTE &amp; 4 NR layers]</t>
  </si>
  <si>
    <t>MTR-39863</t>
  </si>
  <si>
    <t>DC_1A(4x4)-3A(4x4)-3A(4x4)-28A(2x2)_n78A(4x4)
 UL: DC_28A_n78A
 [14 (4+4+4+2) LTE &amp; 4 NR layers]</t>
  </si>
  <si>
    <t>MTR-34450</t>
  </si>
  <si>
    <t xml:space="preserve">2020 V2
</t>
  </si>
  <si>
    <t>DC_1A(4x4)-3C(4x4)-28A(2x2)_n78A(4x4)
 UL: DC_1A_n78A
 [14 (4+4+4+2) LTE &amp; 4 NR layers]</t>
  </si>
  <si>
    <t>DC_1A-3C-28A_n78A</t>
  </si>
  <si>
    <t>MTR-34451</t>
  </si>
  <si>
    <t>DC_1A(4x4)-3C(4x4)-28A(2x2)_n78A(4x4)
 UL: DC_3A_n78A
 [14 (4+4+4+2) LTE &amp; 4 NR layers]</t>
  </si>
  <si>
    <t>MTR-34452</t>
  </si>
  <si>
    <t>DC_1A(4x4)-3C(4x4)-28A(2x2)_n78A(4x4)
 UL: DC_28A_n78A
 [14 (4+4+4+2) LTE &amp; 4 NR layers]</t>
  </si>
  <si>
    <t>MTR-38334</t>
  </si>
  <si>
    <t>DC_1A(4x4)-3C(4x4)-32A(2x2)_n78A(4x4)
 UL: DC_1A_n78A
 [14 (4+4+4+2) LTE &amp; 4 NR layers]</t>
  </si>
  <si>
    <t>DC_1A-3C-32A_n78A</t>
  </si>
  <si>
    <t>MTR-38335</t>
  </si>
  <si>
    <t>DC_1A(4x4)-3C(4x4)-32A(2x2)_n78A(4x4)
 UL: DC_3A_n78A
 [14 (4+4+4+2) LTE &amp; 4 NR layers]</t>
  </si>
  <si>
    <t>MTR-38336</t>
  </si>
  <si>
    <t>DC_1A(4x4)-3C(4x4)-32A(2x2)_n78A(4x4)
 UL: DC_3C_n78A
 [14 (4+4+4+2) LTE &amp; 4 NR layers]</t>
  </si>
  <si>
    <t>MTR-34439</t>
  </si>
  <si>
    <t>DC_1A(4x4)-3A(4x4)-7C(4x4)_n78A(4x4)
 UL: DC_1A_n78A
 [16 (4+4+4+4) LTE &amp; 4 NR layers]</t>
  </si>
  <si>
    <t>DC_1A-3A-7C_n78A</t>
  </si>
  <si>
    <t>MTR-34440</t>
  </si>
  <si>
    <t>DC_1A(4x4)-3A(4x4)-7C(4x4)_n78A(4x4)
 UL: DC_3A_n78A
 [16 (4+4+4+4) LTE &amp; 4 NR layers]</t>
  </si>
  <si>
    <t>MTR-34441</t>
  </si>
  <si>
    <t>DC_1A(4x4)-3A(4x4)-7C(4x4)_n78A(4x4)
 UL: DC_7A_n78A
 [16 (4+4+4+4) LTE &amp; 4 NR layers]</t>
  </si>
  <si>
    <t>MTR-34442</t>
  </si>
  <si>
    <t>DC_1A(4x4)-3A(4x4)-7C(4x4)_n78A(4x4)
 UL: DC_7C_n78A
 [16 (4+4+4+4) LTE &amp; 4 NR layers]</t>
  </si>
  <si>
    <t>MTR-33428</t>
  </si>
  <si>
    <t>DC_1A(4x4)-3A(4x4)-7A(4x4)-7A(4x4)_n78A(4x4)
 UL: DC_1A_n78A
 [16 (4+4+4+4) LTE &amp; 4 NR layers]</t>
  </si>
  <si>
    <t>DC_1A-3A-7A-7A_n78A</t>
  </si>
  <si>
    <t>MTR-33429</t>
  </si>
  <si>
    <t>DC_1A(4x4)-3A(4x4)-7A(4x4)-7A(4x4)_n78A(4x4)
 UL: DC_3A_n78A
 [16 (4+4+4+4) LTE &amp; 4 NR layers]</t>
  </si>
  <si>
    <t>MTR-33430</t>
  </si>
  <si>
    <t>DC_1A(4x4)-3A(4x4)-7A(4x4)-7A(4x4)_n78A(4x4)
 UL: DC_7A_n78A
 [16 (4+4+4+4) LTE &amp; 4 NR layers]</t>
  </si>
  <si>
    <t>MTR-34951</t>
  </si>
  <si>
    <t>DC_1A(4x4)-3A(4x4)-7A(4x4)-8A(2x2)_n78A(4x4)
 UL: DC_1A_n78A
 [14 (4+4+4+2) LTE &amp; 4 NR layers]</t>
  </si>
  <si>
    <t>DC_1A-3A-7A-8A_n78A</t>
  </si>
  <si>
    <t>MTR-34952</t>
  </si>
  <si>
    <t>DC_1A(4x4)-3A(4x4)-7A(4x4)-8A(2x2)_n78A(4x4)
 UL: DC_3A_n78A
 [14 (4+4+4+2) LTE &amp; 4 NR layers]</t>
  </si>
  <si>
    <t>MTR-34953</t>
  </si>
  <si>
    <t>DC_1A(4x4)-3A(4x4)-7A(4x4)-8A(2x2)_n78A(4x4)
 UL: DC_7A_n78A
 [14 (4+4+4+2) LTE &amp; 4 NR layers]</t>
  </si>
  <si>
    <t>MTR-34954</t>
  </si>
  <si>
    <t>DC_1A(4x4)-3A(4x4)-7A(4x4)-8A(2x2)_n78A(4x4)
 UL: DC_8A_n78A
 [14 (4+4+4+2) LTE &amp; 4 NR layers]</t>
  </si>
  <si>
    <t>MTR-33431</t>
  </si>
  <si>
    <t>DC_1A(4x4)-3A(4x4)-7A(4x4)-20A(2x2)_n78A(4x4)
 UL: DC_1A_n78A
 [14 (4+4+4+2) LTE &amp; 4 NR layers]</t>
  </si>
  <si>
    <t>DC_1A-3A-7A-20A_n78A</t>
  </si>
  <si>
    <t>MTR-33432</t>
  </si>
  <si>
    <t>DC_1A(4x4)-3A(4x4)-7A(4x4)-20A(2x2)_n78A(4x4)
 UL: DC_3A_n78A
 [14 (4+4+4+2) LTE &amp; 4 NR layers]</t>
  </si>
  <si>
    <t>MTR-33433</t>
  </si>
  <si>
    <t>DC_1A(4x4)-3A(4x4)-7A(4x4)-20A(2x2)_n78A(4x4)
 UL: DC_7A_n78A
 [14 (4+4+4+2) LTE &amp; 4 NR layers]</t>
  </si>
  <si>
    <t>MTR-33434</t>
  </si>
  <si>
    <t>DC_1A(4x4)-3A(4x4)-7A(4x4)-20A(2x2)_n78A(4x4)
 UL: DC_20A_n78A
 [14 (4+4+4+2) LTE &amp; 4 NR layers]</t>
  </si>
  <si>
    <t>MTR-34955</t>
  </si>
  <si>
    <t>DC_1A(4x4)-3A(4x4)-7A(4x4)-28A(2x2)_n78A(4x4)
 UL: DC_1A_n78A
 [14 (4+4+4+2) LTE &amp; 4 NR layers]</t>
  </si>
  <si>
    <t>DC_1A-3A-7A-28A_n78A</t>
  </si>
  <si>
    <t>MTR-34956</t>
  </si>
  <si>
    <t>DC_1A(4x4)-3A(4x4)-7A(4x4)-28A(2x2)_n78A(4x4)
 UL: DC_3A_n78A
 [14 (4+4+4+2) LTE &amp; 4 NR layers]</t>
  </si>
  <si>
    <t>MTR-34957</t>
  </si>
  <si>
    <t>DC_1A(4x4)-3A(4x4)-7A(4x4)-28A(2x2)_n78A(4x4)
 UL: DC_7A_n78A
 [14 (4+4+4+2) LTE &amp; 4 NR layers]</t>
  </si>
  <si>
    <t>MTR-34958</t>
  </si>
  <si>
    <t>DC_1A(4x4)-3A(4x4)-7A(4x4)-28A(2x2)_n78A(4x4)
 UL: DC_28A_n78A
 [14 (4+4+4+2) LTE &amp; 4 NR layers]</t>
  </si>
  <si>
    <t>MTR-38337</t>
  </si>
  <si>
    <t>DC_1A(4x4)-3A(4x4)-7A(4x4)-32A(2x2)_n78A(4x4)
 UL: DC_1A_n78A
 [14 (4+4+4+2) LTE &amp; 4 NR layers]</t>
  </si>
  <si>
    <t>DC_1A-3A-7A-32A_n78A</t>
  </si>
  <si>
    <t>MTR-38338</t>
  </si>
  <si>
    <t>DC_1A(4x4)-3A(4x4)-7A(4x4)-32A(2x2)_n78A(4x4)
 UL: DC_3A_n78A
 [14 (4+4+4+2) LTE &amp; 4 NR layers]</t>
  </si>
  <si>
    <t>MTR-38339</t>
  </si>
  <si>
    <t>DC_1A(4x4)-3A(4x4)-7A(4x4)-32A(2x2)_n78A(4x4)
 UL: DC_7A_n78A
 [14 (4+4+4+2) LTE &amp; 4 NR layers]</t>
  </si>
  <si>
    <t>MTR-38340</t>
  </si>
  <si>
    <t>DC_1A(4x4)-3A(4x4)-8A(2x2)-20A(2x2)_n78A(4x4)
 UL: DC_1A_n78A
 [12 (4+4+2+2) LTE &amp; 4 NR layers]</t>
  </si>
  <si>
    <t>DC_1A-3A-8A-20A_n78A</t>
  </si>
  <si>
    <t>1A-3A-8A-20A</t>
  </si>
  <si>
    <t>MTR-38341</t>
  </si>
  <si>
    <t>DC_1A(4x4)-3A(4x4)-8A(2x2)-20A(2x2)_n78A(4x4)
 UL: DC_3A_n78A
 [12 (4+4+2+2) LTE &amp; 4 NR layers]</t>
  </si>
  <si>
    <t>MTR-38342</t>
  </si>
  <si>
    <t>DC_1A(4x4)-3A(4x4)-8A(2x2)-20A(2x2)_n78A(4x4)
 UL: DC_8A_n78A
 [12 (4+4+2+2) LTE &amp; 4 NR layers]</t>
  </si>
  <si>
    <t>MTR-38343</t>
  </si>
  <si>
    <t>DC_1A(4x4)-3A(4x4)-8A(2x2)-20A(2x2)_n78A(4x4)
 UL: DC_20A_n78A
 [12 (4+4+2+2) LTE &amp; 4 NR layers]</t>
  </si>
  <si>
    <t>MTR-38344</t>
  </si>
  <si>
    <t>DC_1A(4x4)-3A(4x4)-8A(2x2)-28A(2x2)_n78A(4x4)
 UL: DC_1A_n78A
 [12 (4+4+2+2) LTE &amp; 4 NR layers]</t>
  </si>
  <si>
    <t>DC_1A-3A-8A-28A_n78A</t>
  </si>
  <si>
    <t>1A-3A-8A-28A</t>
  </si>
  <si>
    <t>MTR-38345</t>
  </si>
  <si>
    <t>DC_1A(4x4)-3A(4x4)-8A(2x2)-28A(2x2)_n78A(4x4)
 UL: DC_3A_n78A
 [12 (4+4+2+2) LTE &amp; 4 NR layers]</t>
  </si>
  <si>
    <t>MTR-38346</t>
  </si>
  <si>
    <t>DC_1A(4x4)-3A(4x4)-8A(2x2)-28A(2x2)_n78A(4x4)
 UL: DC_8A_n78A
 [12 (4+4+2+2) LTE &amp; 4 NR layers]</t>
  </si>
  <si>
    <t>MTR-38347</t>
  </si>
  <si>
    <t>DC_1A(4x4)-3A(4x4)-8A(2x2)-28A(2x2)_n78A(4x4)
 UL: DC_28A_n78A
 [12 (4+4+2+2) LTE &amp; 4 NR layers]</t>
  </si>
  <si>
    <t>MTR-38348</t>
  </si>
  <si>
    <t>DC_1A(4x4)-3A(4x4)-8A(2x2)-32A(2x2)_n78A(4x4)
 UL: DC_1A_n78A
 [12 (4+4+2+2) LTE &amp; 4 NR layers]</t>
  </si>
  <si>
    <t>DC_1A-3A-8A-32A_n78A</t>
  </si>
  <si>
    <t>1A-3A-8A-32A</t>
  </si>
  <si>
    <t>MTR-38349</t>
  </si>
  <si>
    <t>DC_1A(4x4)-3A(4x4)-8A(2x2)-32A(2x2)_n78A(4x4)
 UL: DC_3A_n78A
 [12 (4+4+2+2) LTE &amp; 4 NR layers]</t>
  </si>
  <si>
    <t>MTR-38350</t>
  </si>
  <si>
    <t>DC_1A(4x4)-3A(4x4)-8A(2x2)-32A(2x2)_n78A(4x4)
 UL: DC_8A_n78A
 [12 (4+4+2+2) LTE &amp; 4 NR layers]</t>
  </si>
  <si>
    <t>MTR-38351</t>
  </si>
  <si>
    <t>DC_1A(4x4)-3A(4x4)-20A(2x2)-28A(2x2)_n78A(4x4)
 UL: DC_1A_n78A
 [12 (4+4+2+2) LTE &amp; 4 NR layers]</t>
  </si>
  <si>
    <t>DC_1A-3A-20A-28A_n78A</t>
  </si>
  <si>
    <t>1A-3A-20A-28A</t>
  </si>
  <si>
    <t>MTR-38352</t>
  </si>
  <si>
    <t>DC_1A(4x4)-3A(4x4)-20A(2x2)-28A(2x2)_n78A(4x4)
 UL: DC_3A_n78A
 [12 (4+4+2+2) LTE &amp; 4 NR layers]</t>
  </si>
  <si>
    <t>MTR-38353</t>
  </si>
  <si>
    <t>DC_1A(4x4)-3A(4x4)-20A(2x2)-28A(2x2)_n78A(4x4)
 UL: DC_20A_n78A
 [12 (4+4+2+2) LTE &amp; 4 NR layers]</t>
  </si>
  <si>
    <t>MTR-38354</t>
  </si>
  <si>
    <t>DC_1A(4x4)-3A(4x4)-20A(2x2)-28A(2x2)_n78A(4x4)
 UL: DC_28A_n78A
 [12 (4+4+2+2) LTE &amp; 4 NR layers]</t>
  </si>
  <si>
    <t>MTR-38355</t>
  </si>
  <si>
    <t>DC_1A(4x4)-3A(4x4)-20A(2x2)-32A(2x2)_n78A(4x4)
 UL: DC_1A_n78A
 [12 (4+4+2+2) LTE &amp; 4 NR layers]</t>
  </si>
  <si>
    <t>DC_1A-3A-20A-32A_n78A</t>
  </si>
  <si>
    <t>MTR-38356</t>
  </si>
  <si>
    <t>DC_1A(4x4)-3A(4x4)-20A(2x2)-32A(2x2)_n78A(4x4)
 UL: DC_3A_n78A
 [12 (4+4+2+2) LTE &amp; 4 NR layers]</t>
  </si>
  <si>
    <t>MTR-38357</t>
  </si>
  <si>
    <t>DC_1A(4x4)-3A(4x4)-20A(2x2)-32A(2x2)_n78A(4x4)
 UL: DC_20A_n78A
 [12 (4+4+2+2) LTE &amp; 4 NR layers]</t>
  </si>
  <si>
    <t>MTR-39464</t>
  </si>
  <si>
    <t>DC_1A(4x4)-7A(4x4)-7A(4x4)-8A(2x2)_n78A(4x4)
 UL: DC_1A_n78A
 [14 (4+4+4+2) LTE &amp; 4 NR layers]</t>
  </si>
  <si>
    <t>DC_1A-7A-7A-8A_n78A</t>
  </si>
  <si>
    <t>MTR-39465</t>
  </si>
  <si>
    <t>DC_1A(4x4)-7A(4x4)-7A(4x4)-8A(2x2)_n78A(4x4)
 UL: DC_7A_n78A
 [14 (4+4+4+2) LTE &amp; 4 NR layers]</t>
  </si>
  <si>
    <t>MTR-39466</t>
  </si>
  <si>
    <t>DC_1A(4x4)-7A(4x4)-7A(4x4)-8A(2x2)_n78A(4x4)
 UL: DC_8A_n78A
 [14 (4+4+4+2) LTE &amp; 4 NR layers]</t>
  </si>
  <si>
    <t>MTR-39864</t>
  </si>
  <si>
    <t>DC_1A(4x4)-7A(4x4)-7A(4x4)-20A(2x2)_n78A(4x4)
 UL: DC_1A_n78A
 [14 (4+4+4+2) LTE &amp; 4 NR layers]</t>
  </si>
  <si>
    <t>DC_1A-7A-7A-20A_n78A</t>
  </si>
  <si>
    <t>1A-7A-7A-20A</t>
  </si>
  <si>
    <t>MTR-39865</t>
  </si>
  <si>
    <t>DC_1A(4x4)-7A(4x4)-7A(4x4)-20A(2x2)_n78A(4x4)
 UL: DC_7A_n78A
 [14 (4+4+4+2) LTE &amp; 4 NR layers]</t>
  </si>
  <si>
    <t>MTR-39866</t>
  </si>
  <si>
    <t>DC_1A(4x4)-7A(4x4)-7A(4x4)-20A(2x2)_n78A(4x4)
 UL: DC_20A_n78A
 [14 (4+4+4+2) LTE &amp; 4 NR layers]</t>
  </si>
  <si>
    <t>MTR-34456</t>
  </si>
  <si>
    <t>DC_1A(4x4)-7C(4x4)-28A(2x2)_n78A(4x4)
 UL: DC_1A_n78A
 [14 (4+4+4+2) LTE &amp; 4 NR layers]</t>
  </si>
  <si>
    <t>DC_1A-7C-28A_n78A</t>
  </si>
  <si>
    <t>MTR-34457</t>
  </si>
  <si>
    <t>DC_1A(4x4)-7C(4x4)-28A(2x2)_n78A(4x4)
 UL: DC_7A_n78A
 [14 (4+4+4+2) LTE &amp; 4 NR layers]</t>
  </si>
  <si>
    <t>MTR-35499</t>
  </si>
  <si>
    <t>DC_1A(4x4)-7C(4x4)-28A(2x2)_n78A(4x4)
 UL: DC_7C_n78A
 [16 (4+4+4+4) LTE &amp; 4 NR layers]</t>
  </si>
  <si>
    <t>MTR-34458</t>
  </si>
  <si>
    <t>DC_1A(4x4)-7C(4x4)-28A(2x2)_n78A(4x4)
 UL: DC_28A_n78A
 [14 (4+4+4+2) LTE &amp; 4 NR layers]</t>
  </si>
  <si>
    <t>MTR-36535</t>
  </si>
  <si>
    <t>DC_1A(4x4)-7A(4x4)-8A(2x2)-20A(2x2)_n78A(4x4)
 UL: DC_1A_n78A
 [12 (4+4+2+2) LTE &amp; 4 NR layers]</t>
  </si>
  <si>
    <t>DC_1A-7A-8A-20A_n78A</t>
  </si>
  <si>
    <t>MTR-36536</t>
  </si>
  <si>
    <t>DC_1A(4x4)-7A(4x4)-8A(2x2)-20A(2x2)_n78A(4x4)
 UL: DC_7A_n78A
 [12 (4+4+2+2) LTE &amp; 4 NR layers]</t>
  </si>
  <si>
    <t>MTR-36537</t>
  </si>
  <si>
    <t>DC_1A(4x4)-7A(4x4)-8A(2x2)-20A(2x2)_n78A(4x4)
 UL: DC_8A_n78A
 [12 (4+4+2+2) LTE &amp; 4 NR layers]</t>
  </si>
  <si>
    <t>MTR-36538</t>
  </si>
  <si>
    <t>DC_1A(4x4)-7A(4x4)-8A(2x2)-20A(2x2)_n78A(4x4)
 UL: DC_20A_n78A
 [12 (4+4+2+2) LTE &amp; 4 NR layers]</t>
  </si>
  <si>
    <t>MTR-38359</t>
  </si>
  <si>
    <t>DC_1A(4x4)-7A(4x4)-8A(2x2)-32A(2x2)_n78A(4x4)
 UL: DC_1A_n78A
 [12 (4+4+2+2) LTE &amp; 4 NR layers]</t>
  </si>
  <si>
    <t>DC_1A-7A-8A-32A_n78A</t>
  </si>
  <si>
    <t>1A-7A-8A-32A</t>
  </si>
  <si>
    <t>MTR-38360</t>
  </si>
  <si>
    <t>DC_1A(4x4)-7A(4x4)-8A(2x2)-32A(2x2)_n78A(4x4)
 UL: DC_7A_n78A
 [12 (4+4+2+2) LTE &amp; 4 NR layers]</t>
  </si>
  <si>
    <t>MTR-38361</t>
  </si>
  <si>
    <t>DC_1A(4x4)-7A(4x4)-8A(2x2)-32A(2x2)_n78A(4x4)
 UL: DC_8A_n78A
 [12 (4+4+2+2) LTE &amp; 4 NR layers]</t>
  </si>
  <si>
    <t>MTR-36008</t>
  </si>
  <si>
    <t>DC_1A(4x4)-7A(4x4)-20A(2x2)-32A(2x2)_n78A(4x4)
 UL: DC_1A_n78A
 [12 (4+4+2+2) LTE &amp; 4 NR layers]</t>
  </si>
  <si>
    <t>DC_1A-7A-20A-32A_n78A</t>
  </si>
  <si>
    <t>MTR-36010</t>
  </si>
  <si>
    <t>DC_1A(4x4)-7A(4x4)-20A(2x2)-32A(2x2)_n78A(4x4)
 UL: DC_7A_n78A
 [12 (4+4+2+2) LTE &amp; 4 NR layers]</t>
  </si>
  <si>
    <t>MTR-36009</t>
  </si>
  <si>
    <t>DC_1A(4x4)-7A(4x4)-20A(2x2)-32A(2x2)_n78A(4x4)
 UL: DC_20A_n78A
 [12 (4+4+2+2) LTE &amp; 4 NR layers]</t>
  </si>
  <si>
    <t>MTR-38364</t>
  </si>
  <si>
    <t>DC_1A(4x4)-8A(2x2)-20A(2x2)-28A(2x2)_n78A(4x4)
 UL: DC_1A_n78A
 [10 (4+2+2+2) LTE &amp; 4 NR layers]</t>
  </si>
  <si>
    <t>DC_1A-8A-20A-28A_n78A</t>
  </si>
  <si>
    <t>1A-8A-20A-28A</t>
  </si>
  <si>
    <t>MTR-38365</t>
  </si>
  <si>
    <t>DC_1A(4x4)-8A(2x2)-20A(2x2)-28A(2x2)_n78A(4x4)
 UL: DC_8A_n78A
 [10 (4+2+2+2) LTE &amp; 4 NR layers]</t>
  </si>
  <si>
    <t>MTR-38366</t>
  </si>
  <si>
    <t>DC_1A(4x4)-8A(2x2)-20A(2x2)-28A(2x2)_n78A(4x4)
 UL: DC_20A_n78A
 [10 (4+2+2+2) LTE &amp; 4 NR layers]</t>
  </si>
  <si>
    <t>MTR-38367</t>
  </si>
  <si>
    <t>DC_1A(4x4)-8A(2x2)-20A(2x2)-28A(2x2)_n78A(4x4)
 UL: DC_28A_n78A
 [10 (4+2+2+2) LTE &amp; 4 NR layers]</t>
  </si>
  <si>
    <t>MTR-33443</t>
  </si>
  <si>
    <t>DC_3C(4x4)-7C(4x4)_n78A(4x4)
 UL: DC_3A_n78A
 [16 (4+4+4+4) LTE &amp; 4 NR layers]</t>
  </si>
  <si>
    <t>DC_3C-7C_n78A</t>
  </si>
  <si>
    <t>MTR-35501</t>
  </si>
  <si>
    <t>DC_3C(4x4)-7C(4x4)_n78A(4x4)
 UL: DC_3C_n78A
 [16 (4+4+4+4) LTE &amp; 4 NR layers]</t>
  </si>
  <si>
    <t>MTR-33444</t>
  </si>
  <si>
    <t>DC_3C(4x4)-7C(4x4)_n78A(4x4)
 UL: DC_7A_n78A
 [16 (4+4+4+4) LTE &amp; 4 NR layers]</t>
  </si>
  <si>
    <t>MTR-33445</t>
  </si>
  <si>
    <t>DC_3C(4x4)-7C(4x4)_n78A(4x4)
 UL: DC_7C_n78A
 [16 (4+4+4+4) LTE &amp; 4 NR layers]</t>
  </si>
  <si>
    <t>MTR-34425</t>
  </si>
  <si>
    <t>DC_3A(4x4)-3A(4x4)-7A(4x4)-7A(4x4)_n78A(4x4)
 UL: DC_3A_n78A
 [16 (4+4+4+4) LTE &amp; 4 NR layers]</t>
  </si>
  <si>
    <t>DC_3A-3A-7A-7A_n78A</t>
  </si>
  <si>
    <t>MTR-34426</t>
  </si>
  <si>
    <t>DC_3A(4x4)-3A(4x4)-7A(4x4)-7A(4x4)_n78A(4x4)
 UL: DC_7A_n78A
 [16 (4+4+4+4) LTE &amp; 4 NR layers]</t>
  </si>
  <si>
    <t>MTR-39335</t>
  </si>
  <si>
    <t>DC_3C(4x4)-7A(4x4)-8A(2x2)_n78A(4x4)
 UL: DC_3A_n78A
 [14 (4+4+4+2) LTE &amp; 4 NR layers]</t>
  </si>
  <si>
    <t>DC_3C-7A-8A_n78A</t>
  </si>
  <si>
    <t>MTR-39336</t>
  </si>
  <si>
    <t>DC_3C(4x4)-7A(4x4)-8A(2x2)_n78A(4x4)
 UL: DC_3C_n78A
 [14 (4+4+4+2) LTE &amp; 4 NR layers]</t>
  </si>
  <si>
    <t>MTR-39337</t>
  </si>
  <si>
    <t>DC_3C(4x4)-7A(4x4)-8A(2x2)_n78A(4x4)
 UL: DC_7A_n78A
 [14 (4+4+4+2) LTE &amp; 4 NR layers]</t>
  </si>
  <si>
    <t>MTR-39338</t>
  </si>
  <si>
    <t>DC_3C(4x4)-7A(4x4)-8A(2x2)_n78A(4x4)
 UL: DC_8A_n78A
 [14 (4+4+4+2) LTE &amp; 4 NR layers]</t>
  </si>
  <si>
    <t>MTR-34815</t>
  </si>
  <si>
    <t>DC_3A(4x4)-3A(4x4)-7A(4x4)-8A(2x2)_n78A(4x4)
 UL: DC_3A_n78A
 [14 (4+4+4+2) LTE &amp; 4 NR layers]</t>
  </si>
  <si>
    <t>DC_3A-3A-7A-8A_n78A</t>
  </si>
  <si>
    <t>MTR-34816</t>
  </si>
  <si>
    <t>DC_3A(4x4)-3A(4x4)-7A(4x4)-8A(2x2)_n78A(4x4)
 UL: DC_7A_n78A
 [14 (4+4+4+2) LTE &amp; 4 NR layers]</t>
  </si>
  <si>
    <t>MTR-34817</t>
  </si>
  <si>
    <t>DC_3A(4x4)-3A(4x4)-7A(4x4)-8A(2x2)_n78A(4x4)
 UL: DC_8A_n78A
 [14 (4+4+4+2) LTE &amp; 4 NR layers]</t>
  </si>
  <si>
    <t>MTR-34942</t>
  </si>
  <si>
    <t>DC_3C(4x4)-7A(4x4)-20A(2x2)_n78A(4x4)
 UL: DC_3A_n78A
 [14 (4+4+4+2) LTE &amp; 4 NR layers]</t>
  </si>
  <si>
    <t>DC_3C-7A-20A_n78A</t>
  </si>
  <si>
    <t>MTR-38368</t>
  </si>
  <si>
    <t>DC_3C(4x4)-7A(4x4)-20A(2x2)_n78A(4x4)
 UL: DC_3C_n78A
 [14 (4+4+4+2) LTE &amp; 4 NR layers]</t>
  </si>
  <si>
    <t>MTR-34943</t>
  </si>
  <si>
    <t>DC_3C(4x4)-7A(4x4)-20A(2x2)_n78A(4x4)
 UL: DC_7A_n78A
 [14 (4+4+4+2) LTE &amp; 4 NR layers]</t>
  </si>
  <si>
    <t>MTR-34944</t>
  </si>
  <si>
    <t>DC_3C(4x4)-7A(4x4)-20A(2x2)_n78A(4x4)
 UL: DC_20A_n78A
 [14 (4+4+4+2) LTE &amp; 4 NR layers]</t>
  </si>
  <si>
    <t>MTR-39870</t>
  </si>
  <si>
    <t>DC_3A(4x4)-3A(4x4)-7A(4x4)-20A(2x2)_n78A(4x4)
 UL: DC_3A_n78A
 [14 (4+4+4+2) LTE &amp; 4 NR layers]</t>
  </si>
  <si>
    <t>DC_3A-3A-7A-20A_n78A</t>
  </si>
  <si>
    <t>3A-3A-7A-20A</t>
  </si>
  <si>
    <t>MTR-39871</t>
  </si>
  <si>
    <t>DC_3A(4x4)-3A(4x4)-7A(4x4)-20A(2x2)_n78A(4x4)
 UL: DC_7A_n78A
 [14 (4+4+4+2) LTE &amp; 4 NR layers]</t>
  </si>
  <si>
    <t>MTR-39872</t>
  </si>
  <si>
    <t>DC_3A(4x4)-3A(4x4)-7A(4x4)-20A(2x2)_n78A(4x4)
 UL: DC_20A_n78A
 [14 (4+4+4+2) LTE &amp; 4 NR layers]</t>
  </si>
  <si>
    <t>MTR-34465</t>
  </si>
  <si>
    <t>DC_3C(4x4)-7A(4x4)-28A(2x2)_n78A(4x4)
 UL: DC_3A_n78A
 [14 (4+4+4+2) LTE &amp; 4 NR layers]</t>
  </si>
  <si>
    <t>DC_3C-7A-28A_n78A</t>
  </si>
  <si>
    <t>MTR-34466</t>
  </si>
  <si>
    <t>DC_3C(4x4)-7A(4x4)-28A(2x2)_n78A(4x4)
 UL: DC_3C_n78A
 [14 (4+4+4+2) LTE &amp; 4 NR layers]</t>
  </si>
  <si>
    <t>MTR-34467</t>
  </si>
  <si>
    <t>DC_3C(4x4)-7A(4x4)-28A(2x2)_n78A(4x4)
 UL: DC_7A_n78A
 [14 (4+4+4+2) LTE &amp; 4 NR layers]</t>
  </si>
  <si>
    <t>MTR-34468</t>
  </si>
  <si>
    <t>DC_3C(4x4)-7A(4x4)-28A(2x2)_n78A(4x4)
 UL: DC_28A_n78A
 [14 (4+4+4+2) LTE &amp; 4 NR layers]</t>
  </si>
  <si>
    <t>MTR-38369</t>
  </si>
  <si>
    <t>DC_3C(4x4)-7A(4x4)-32A(2x2)_n78A(4x4)
 UL: DC_3A_n78A
 [14 (4+4+4+2) LTE &amp; 4 NR layers]</t>
  </si>
  <si>
    <t>DC_3C-7A-32A_n78A</t>
  </si>
  <si>
    <t>MTR-38370</t>
  </si>
  <si>
    <t>DC_3C(4x4)-7A(4x4)-32A(2x2)_n78A(4x4)
 UL: DC_3C_n78A
 [14 (4+4+4+2) LTE &amp; 4 NR layers]</t>
  </si>
  <si>
    <t>MTR-38371</t>
  </si>
  <si>
    <t>DC_3C(4x4)-7A(4x4)-32A(2x2)_n78A(4x4)
 UL: DC_7A_n78A
 [14 (4+4+4+2) LTE &amp; 4 NR layers]</t>
  </si>
  <si>
    <t>MTR-39867</t>
  </si>
  <si>
    <t>DC_3A(4x4)-3A(4x4)-20A(2x2)-28A(2x2)_n78A(4x4)
 UL: DC_3A_n78A
 [12 (4+4+2+2) LTE &amp; 4 NR layers]</t>
  </si>
  <si>
    <t>DC_3A-3A-20A-28A_n78A</t>
  </si>
  <si>
    <t>3A-3A-20A-28A</t>
  </si>
  <si>
    <t>MTR-39868</t>
  </si>
  <si>
    <t>DC_3A(4x4)-3A(4x4)-20A(2x2)-28A(2x2)_n78A(4x4)
 UL: DC_20A_n78A
 [12 (4+4+2+2) LTE &amp; 4 NR layers]</t>
  </si>
  <si>
    <t>MTR-39869</t>
  </si>
  <si>
    <t>DC_3A(4x4)-3A(4x4)-20A(2x2)-28A(2x2)_n78A(4x4)
 UL: DC_28A_n78A
 [12 (4+4+2+2) LTE &amp; 4 NR layers]</t>
  </si>
  <si>
    <t>MTR-34818</t>
  </si>
  <si>
    <t>DC_3A(4x4)-7A(4x4)-7A(4x4)-8A(2x2)_n78A(4x4)
 UL: DC_3A_n78A
 [14 (4+4+4+2) LTE &amp; 4 NR layers]</t>
  </si>
  <si>
    <t>DC_3A-7A-7A-8A_n78A</t>
  </si>
  <si>
    <t>MTR-34819</t>
  </si>
  <si>
    <t>DC_3A(4x4)-7A(4x4)-7A(4x4)-8A(2x2)_n78A(4x4)
 UL: DC_7A_n78A
 [14 (4+4+4+2) LTE &amp; 4 NR layers]</t>
  </si>
  <si>
    <t>MTR-34820</t>
  </si>
  <si>
    <t>DC_3A(4x4)-7A(4x4)-7A(4x4)-8A(2x2)_n78A(4x4)
 UL: DC_8A_n78A
 [14 (4+4+4+2) LTE &amp; 4 NR layers]</t>
  </si>
  <si>
    <t>MTR-39873</t>
  </si>
  <si>
    <t>DC_3A(4x4)-7A(4x4)-7A(4x4)-20A(2x2)_n78A(4x4)
 UL: DC_3A_n78A
 [14 (4+4+4+2) LTE &amp; 4 NR layers]</t>
  </si>
  <si>
    <t>DC_3A-7A-7A-20A_n78A</t>
  </si>
  <si>
    <t>3A-7A-7A-20A</t>
  </si>
  <si>
    <t>MTR-39874</t>
  </si>
  <si>
    <t>DC_3A(4x4)-7A(4x4)-7A(4x4)-20A(2x2)_n78A(4x4)
 UL: DC_7A_n78A
 [14 (4+4+4+2) LTE &amp; 4 NR layers]</t>
  </si>
  <si>
    <t>MTR-39875</t>
  </si>
  <si>
    <t>DC_3A(4x4)-7A(4x4)-7A(4x4)-20A(2x2)_n78A(4x4)
 UL: DC_20A_n78A
 [14 (4+4+4+2) LTE &amp; 4 NR layers]</t>
  </si>
  <si>
    <t>MTR-33446</t>
  </si>
  <si>
    <t>DC_3A(4x4)-7C(4x4)-28A(2x2)_n78A(4x4)
 UL: DC_3A_n78A
 [14 (4+4+4+2) LTE &amp; 4 NR layers]</t>
  </si>
  <si>
    <t>DC_3A-7C-28A_n78A</t>
  </si>
  <si>
    <t>MTR-33447</t>
  </si>
  <si>
    <t>DC_3A(4x4)-7C(4x4)-28A(2x2)_n78A(4x4)
 UL: DC_7A_n78A
 [14 (4+4+4+2) LTE &amp; 4 NR layers]</t>
  </si>
  <si>
    <t>MTR-34950</t>
  </si>
  <si>
    <t>DC_3A(4x4)-7C(4x4)-28A(2x2)_n78A(4x4)
 UL: DC_7C_n78A
 [14 (4+4+4+2) LTE &amp; 4 NR layers]</t>
  </si>
  <si>
    <t>MTR-33448</t>
  </si>
  <si>
    <t>DC_3A(4x4)-7C(4x4)-28A(2x2)_n78A(4x4)
 UL: DC_28A_n78A
 [14 (4+4+4+2) LTE &amp; 4 NR layers]</t>
  </si>
  <si>
    <t>MTR-38372</t>
  </si>
  <si>
    <t>DC_3A(4x4)-7A(4x4)-8A(2x2)-32A(2x2)_n78A(4x4)
 UL: DC_3A_n78A
 [12 (4+4+2+2) LTE &amp; 4 NR layers]</t>
  </si>
  <si>
    <t>DC_3A-7A-8A-32A_n78A</t>
  </si>
  <si>
    <t>MTR-38373</t>
  </si>
  <si>
    <t>DC_3A(4x4)-7A(4x4)-8A(2x2)-32A(2x2)_n78A(4x4)
 UL: DC_7A_n78A
 [12 (4+4+2+2) LTE &amp; 4 NR layers]</t>
  </si>
  <si>
    <t>MTR-38374</t>
  </si>
  <si>
    <t>DC_3A(4x4)-7A(4x4)-8A(2x2)-32A(2x2)_n78A(4x4)
 UL: DC_8A_n78A
 [12 (4+4+2+2) LTE &amp; 4 NR layers]</t>
  </si>
  <si>
    <t>MTR-39994</t>
  </si>
  <si>
    <t>DC_3A(4x4)-7A(4x4)-20A(2x2)-28A(2x2)_n78A(4x4)
 UL: DC_3A_n78A
 [12 (4+4+2+2) LTE &amp; 4 NR layers]</t>
  </si>
  <si>
    <t>DC_3A-7A-20A-28A_n78A</t>
  </si>
  <si>
    <t>MTR-39995</t>
  </si>
  <si>
    <t>DC_3A(4x4)-7A(4x4)-20A(2x2)-28A(2x2)_n78A(4x4)
 UL: DC_7A_n78A
 [12 (4+4+2+2) LTE &amp; 4 NR layers]</t>
  </si>
  <si>
    <t>MTR-39996</t>
  </si>
  <si>
    <t>DC_3A(4x4)-7A(4x4)-20A(2x2)-28A(2x2)_n78A(4x4)
 UL: DC_20A_n78A
 [12 (4+4+2+2) LTE &amp; 4 NR layers]</t>
  </si>
  <si>
    <t>MTR-39997</t>
  </si>
  <si>
    <t>DC_3A(4x4)-7A(4x4)-20A(2x2)-28A(2x2)_n78A(4x4)
 UL: DC_28A_n78A
 [12 (4+4+2+2) LTE &amp; 4 NR layers]</t>
  </si>
  <si>
    <t>MTR-36012</t>
  </si>
  <si>
    <t>DC_3A(4x4)-7A(4x4)-20A(2x2)-32A(2x2)_n78A(4x4)
 UL: DC_3A_n78A
 [12 (4+4+2+2) LTE &amp; 4 NR layers]</t>
  </si>
  <si>
    <t>DC_3A-7A-20A-32A_n78A</t>
  </si>
  <si>
    <t>MTR-36013</t>
  </si>
  <si>
    <t>DC_3A(4x4)-7A(4x4)-20A(2x2)-32A(2x2)_n78A(4x4)
 UL: DC_7A_n78A
 [12 (4+4+2+2) LTE &amp; 4 NR layers]</t>
  </si>
  <si>
    <t>MTR-36011</t>
  </si>
  <si>
    <t>DC_3A(4x4)-7A(4x4)-20A(2x2)-32A(2x2)_n78A(4x4)
 UL: DC_20A_n78A
 [12 (4+4+2+2) LTE &amp; 4 NR layers]</t>
  </si>
  <si>
    <t>MTR-38375</t>
  </si>
  <si>
    <t>DC_3A(4x4)-8A(2x2)-20A(2x2)-28A(2x2)_n78A(4x4)
 UL: DC_3A_n78A
 [10 (4+2+2+2) LTE &amp; 4 NR layers]</t>
  </si>
  <si>
    <t>DC_3A-8A-20A-28A_n78A</t>
  </si>
  <si>
    <t>3A-8A-20A-28A</t>
  </si>
  <si>
    <t>MTR-38376</t>
  </si>
  <si>
    <t>DC_3A(4x4)-8A(2x2)-20A(2x2)-28A(2x2)_n78A(4x4)
 UL: DC_8A_n78A
 [10 (4+2+2+2) LTE &amp; 4 NR layers]</t>
  </si>
  <si>
    <t>MTR-38377</t>
  </si>
  <si>
    <t>DC_3A(4x4)-8A(2x2)-20A(2x2)-28A(2x2)_n78A(4x4)
 UL: DC_20A_n78A
 [10 (4+2+2+2) LTE &amp; 4 NR layers]</t>
  </si>
  <si>
    <t>MTR-38378</t>
  </si>
  <si>
    <t>DC_3A(4x4)-8A(2x2)-20A(2x2)-28A(2x2)_n78A(4x4)
 UL: DC_28A_n78A
 [10 (4+2+2+2) LTE &amp; 4 NR layers]</t>
  </si>
  <si>
    <t>MTR-34497</t>
  </si>
  <si>
    <r>
      <rPr>
        <rFont val="Arial"/>
        <b/>
        <color theme="1"/>
        <sz val="10.0"/>
      </rPr>
      <t>2.5.2.8.5</t>
    </r>
    <r>
      <rPr>
        <rFont val="Arial"/>
        <b val="0"/>
        <color theme="1"/>
        <sz val="10.0"/>
      </rPr>
      <t xml:space="preserve"> </t>
    </r>
    <r>
      <rPr>
        <rFont val="Arial"/>
        <b/>
        <color theme="1"/>
        <sz val="10.0"/>
      </rPr>
      <t>EN-DC 5 Carriers LTE + 1 Carrier n78A</t>
    </r>
  </si>
  <si>
    <t>MTR-36005</t>
  </si>
  <si>
    <t>DC_1A(4x4)-1A(4x4)-3C(4x4)-7A(4x4)_n78A(4x4)
 UL: DC_1A_n78A
 [20 (4+4+4+4+4) LTE &amp; 4 NR layers]</t>
  </si>
  <si>
    <t>DC_1A-1A-3C-7A_n78A</t>
  </si>
  <si>
    <t>MTR-36006</t>
  </si>
  <si>
    <t>DC_1A(4x4)-1A(4x4)-3C(4x4)-7A(4x4)_n78A(4x4)
 UL: DC_3A_n78A
 [20 (4+4+4+4+4) LTE &amp; 4 NR layers]</t>
  </si>
  <si>
    <t>MTR-36007</t>
  </si>
  <si>
    <t>DC_1A(4x4)-1A(4x4)-3C(4x4)-7A(4x4)_n78A(4x4)
 UL: DC_7A_n78A
 [20 (4+4+4+4+4) LTE &amp; 4 NR layers]</t>
  </si>
  <si>
    <t>MTR-39998</t>
  </si>
  <si>
    <t>DC_1A(4x4)-1A(4x4)-3A(4x4)-3A(4x4)-7A(4x4)_n78A(4x4)
 UL: DC_1A_n78A
 [20 (4+4+4+4+4) LTE &amp; 4 NR layers]</t>
  </si>
  <si>
    <t>DC_1A-1A-3A-3A-7A_n78A</t>
  </si>
  <si>
    <t>MTR-39999</t>
  </si>
  <si>
    <t>DC_1A(4x4)-1A(4x4)-3A(4x4)-3A(4x4)-7A(4x4)_n78A(4x4)
 UL: DC_3A_n78A
 [20 (4+4+4+4+4) LTE &amp; 4 NR layers]</t>
  </si>
  <si>
    <t>MTR-40000</t>
  </si>
  <si>
    <t>DC_1A(4x4)-1A(4x4)-3A(4x4)-3A(4x4)-7A(4x4)_n78A(4x4)
 UL: DC_7A_n78A
 [20 (4+4+4+4+4) LTE &amp; 4 NR layers]</t>
  </si>
  <si>
    <t>MTR-36002</t>
  </si>
  <si>
    <t>DC_1A(4x4)-1A(4x4)-3C(4x4)-28A(2x2)_n78A(4x4)
 UL: DC_1A_n78A
 [18 (4+4+4+4+2) LTE &amp; 4 NR layers]</t>
  </si>
  <si>
    <t>DC_1A-1A-3C-28A_n78A</t>
  </si>
  <si>
    <t>MTR-36004</t>
  </si>
  <si>
    <t>DC_1A(4x4)-1A(4x4)-3C(4x4)-28A(2x2)_n78A(4x4)
 UL: DC_3A_n78A
 [18 (4+4+4+4+2) LTE &amp; 4 NR layers]</t>
  </si>
  <si>
    <t>MTR-36003</t>
  </si>
  <si>
    <t>DC_1A(4x4)-1A(4x4)-3C(4x4)-28A(2x2)_n78A(4x4)
 UL: DC_28A_n78A
 [18 (4+4+4+4+2) LTE &amp; 4 NR layers]</t>
  </si>
  <si>
    <t>MTR-40001</t>
  </si>
  <si>
    <t>DC_1A(4x4)-1A(4x4)-3A(4x4)-7A(4x4)-20A(2x2)_n78A(4x4)
 UL: DC_1A_n78A
 [18 (4+4+4+4+2) LTE &amp; 4 NR layers]</t>
  </si>
  <si>
    <t>DC_1A-1A-3A-7A-20A_n78A</t>
  </si>
  <si>
    <t>1A-1A-3A-7A-20A</t>
  </si>
  <si>
    <t>MTR-40002</t>
  </si>
  <si>
    <t>DC_1A(4x4)-1A(4x4)-3A(4x4)-7A(4x4)-20A(2x2)_n78A(4x4)
 UL: DC_3A_n78A
 [18 (4+4+4+4+2) LTE &amp; 4 NR layers]</t>
  </si>
  <si>
    <t>MTR-40003</t>
  </si>
  <si>
    <t>DC_1A(4x4)-1A(4x4)-3A(4x4)-7A(4x4)-20A(2x2)_n78A(4x4)
 UL: DC_7A_n78A
 [18 (4+4+4+4+2) LTE &amp; 4 NR layers]</t>
  </si>
  <si>
    <t>MTR-40004</t>
  </si>
  <si>
    <t>DC_1A(4x4)-1A(4x4)-3A(4x4)-7A(4x4)-20A(2x2)_n78A(4x4)
 UL: DC_20A_n78A
 [18 (4+4+4+4+2) LTE &amp; 4 NR layers]</t>
  </si>
  <si>
    <t>MTR-36014</t>
  </si>
  <si>
    <t>DC_1A(4x4)-1A(4x4)-3A(4x4)-7A(4x4)-28A(2x2)_n78A(4x4)
 UL: DC_1A_n78A
 [18 (4+4+4+4+2) LTE &amp; 4 NR layers]</t>
  </si>
  <si>
    <t>DC_1A-1A-3A-7A-28A_n78A</t>
  </si>
  <si>
    <t>MTR-36016</t>
  </si>
  <si>
    <t>DC_1A(4x4)-1A(4x4)-3A(4x4)-7A(4x4)-28A(2x2)_n78A(4x4)
 UL: DC_3A_n78A
 [18 (4+4+4+4+2) LTE &amp; 4 NR layers]</t>
  </si>
  <si>
    <t>MTR-36017</t>
  </si>
  <si>
    <t>DC_1A(4x4)-1A(4x4)-3A(4x4)-7A(4x4)-28A(2x2)_n78A(4x4)
 UL: DC_7A_n78A
 [18 (4+4+4+4+2) LTE &amp; 4 NR layers]</t>
  </si>
  <si>
    <t>MTR-36015</t>
  </si>
  <si>
    <t>DC_1A(4x4)-1A(4x4)-3A(4x4)-7A(4x4)-28A(2x2)_n78A(4x4)
 UL: DC_28A_n78A
 [18 (4+4+4+4+2) LTE &amp; 4 NR layers]</t>
  </si>
  <si>
    <t>MTR-34443</t>
  </si>
  <si>
    <t>DC_1A(4x4)-3C(4x4)-7C(4x4)_n78A(4x4)
 UL: DC_1A_n78A
 [20 (4+4+4+4+4) LTE &amp; 4 NR layers]</t>
  </si>
  <si>
    <t>DC_1A-3C-7C_n78A</t>
  </si>
  <si>
    <t>MTR-34444</t>
  </si>
  <si>
    <t>DC_1A(4x4)-3C(4x4)-7C(4x4)_n78A(4x4)
 UL: DC_3A_n78A
 [20 (4+4+4+4+4) LTE &amp; 4 NR layers]</t>
  </si>
  <si>
    <t>MTR-34445</t>
  </si>
  <si>
    <t>DC_1A(4x4)-3C(4x4)-7C(4x4)_n78A(4x4)
 UL: DC_3C_n78A
 [20 (4+4+4+4+4) LTE &amp; 4 NR layers]</t>
  </si>
  <si>
    <t>MTR-34446</t>
  </si>
  <si>
    <t>DC_1A(4x4)-3C(4x4)-7C(4x4)_n78A(4x4)
 UL: DC_7A_n78A
 [20 (4+4+4+4+4) LTE &amp; 4 NR layers]</t>
  </si>
  <si>
    <t>MTR-34478</t>
  </si>
  <si>
    <t>DC_1A(4x4)-3C(4x4)-7C(4x4)_n78A(4x4)
 UL: DC_7C_n78A
 [20 (4+4+4+4+4) LTE &amp; 4 NR layers]</t>
  </si>
  <si>
    <t>MTR-39876</t>
  </si>
  <si>
    <t>DC_1A(4x4)-3A(4x4)-3A(4x4)-7A(4x4)-7A(4x4)_n78A(4x4)
 UL: DC_1A_n78A
 [20 (4+4+4+4+4) LTE &amp; 4 NR layers]</t>
  </si>
  <si>
    <t>DC_1A-3A-3A-7A-7A_n78A</t>
  </si>
  <si>
    <t>1A-3A-3A-7A-7A</t>
  </si>
  <si>
    <t>MTR-39877</t>
  </si>
  <si>
    <t>DC_1A(4x4)-3A(4x4)-3A(4x4)-7A(4x4)-7A(4x4)_n78A(4x4)
 UL: DC_3A_n78A
 [20 (4+4+4+4+4) LTE &amp; 4 NR layers]</t>
  </si>
  <si>
    <t>MTR-39878</t>
  </si>
  <si>
    <t>DC_1A(4x4)-3A(4x4)-3A(4x4)-7A(4x4)-7A(4x4)_n78A(4x4)
 UL: DC_7A_n78A
 [20 (4+4+4+4+4) LTE &amp; 4 NR layers]</t>
  </si>
  <si>
    <t>MTR-39339</t>
  </si>
  <si>
    <t>DC_1A(4x4)-3C(4x4)-7A(4x4)-8A(2x2)_n78A(4x4)
 UL: DC_1A_n78A
 [18 (4+4+4+4+2) LTE &amp; 4 NR layers]</t>
  </si>
  <si>
    <t>DC_1A-3C-7A-8A_n78A</t>
  </si>
  <si>
    <t>1A-3C-7A-8A</t>
  </si>
  <si>
    <t>MTR-39340</t>
  </si>
  <si>
    <t>DC_1A(4x4)-3C(4x4)-7A(4x4)-8A(2x2)_n78A(4x4)
 UL: DC_3A_n78A
 [18 (4+4+4+4+2) LTE &amp; 4 NR layers]</t>
  </si>
  <si>
    <t>MTR-39341</t>
  </si>
  <si>
    <t>DC_1A(4x4)-3C(4x4)-7A(4x4)-8A(2x2)_n78A(4x4)
 UL: DC_3C_n78A
 [18 (4+4+4+4+2) LTE &amp; 4 NR layers]</t>
  </si>
  <si>
    <t>MTR-39342</t>
  </si>
  <si>
    <t>DC_1A(4x4)-3C(4x4)-7A(4x4)-8A(2x2)_n78A(4x4)
 UL: DC_7A_n78A
 [18 (4+4+4+4+2) LTE &amp; 4 NR layers]</t>
  </si>
  <si>
    <t>MTR-39343</t>
  </si>
  <si>
    <t>DC_1A(4x4)-3C(4x4)-7A(4x4)-8A(2x2)_n78A(4x4)
 UL: DC_8A_n78A
 [18 (4+4+4+4+2) LTE &amp; 4 NR layers]</t>
  </si>
  <si>
    <t>MTR-40005</t>
  </si>
  <si>
    <t>DC_1A(4x4)-3A(4x4)-3A(4x4)-7A(4x4)-20A(2x2)_n78A(4x4)
 UL: DC_1A_n78A
 [18 (4+4+4+4+2) LTE &amp; 4 NR layers]</t>
  </si>
  <si>
    <t>DC_1A-3A-3A-7A-20A_n78A</t>
  </si>
  <si>
    <t>1A-3A-3A-7A-20A</t>
  </si>
  <si>
    <t>MTR-40006</t>
  </si>
  <si>
    <t>DC_1A(4x4)-3A(4x4)-3A(4x4)-7A(4x4)-20A(2x2)_n78A(4x4)
 UL: DC_3A_n78A
 [18 (4+4+4+4+2) LTE &amp; 4 NR layers]</t>
  </si>
  <si>
    <t>MTR-40007</t>
  </si>
  <si>
    <t>DC_1A(4x4)-3A(4x4)-3A(4x4)-7A(4x4)-20A(2x2)_n78A(4x4)
 UL: DC_7A_n78A
 [18 (4+4+4+4+2) LTE &amp; 4 NR layers]</t>
  </si>
  <si>
    <t>MTR-40008</t>
  </si>
  <si>
    <t>DC_1A(4x4)-3A(4x4)-3A(4x4)-7A(4x4)-20A(2x2)_n78A(4x4)
 UL: DC_20A_n78A
 [18 (4+4+4+4+2) LTE &amp; 4 NR layers]</t>
  </si>
  <si>
    <t>MTR-34964</t>
  </si>
  <si>
    <t>DC_1A(4x4)-3C(4x4)-7A(4x4)-28A(2x2)_n78A(4x4)
 UL: DC_1A_n78A
 [18 (4+4+4+4+4) LTE &amp; 4 NR layers]</t>
  </si>
  <si>
    <t>DC_1A-3C-7A-28A_n78A</t>
  </si>
  <si>
    <t>MTR-34965</t>
  </si>
  <si>
    <t>DC_1A(4x4)-3C(4x4)-7A(4x4)-28A(2x2)_n78A(4x4)
 UL: DC_3A_n78A
 [18 (4+4+4+4+4) LTE &amp; 4 NR layers]</t>
  </si>
  <si>
    <t>MTR-34966</t>
  </si>
  <si>
    <t>DC_1A(4x4)-3C(4x4)-7A(4x4)-28A(2x2)_n78A(4x4)
 UL: DC_3C_n78A
 [18 (4+4+4+4+4) LTE &amp; 4 NR layers]</t>
  </si>
  <si>
    <t>MTR-34967</t>
  </si>
  <si>
    <t>DC_1A(4x4)-3C(4x4)-7A(4x4)-28A(2x2)_n78A(4x4)
 UL: DC_7A_n78A
 [18 (4+4+4+4+4) LTE &amp; 4 NR layers]</t>
  </si>
  <si>
    <t>MTR-34968</t>
  </si>
  <si>
    <t>DC_1A(4x4)-3C(4x4)-7A(4x4)-28A(2x2)_n78A(4x4)
 UL: DC_28A_n78A
 [18 (4+4+4+4+4) LTE &amp; 4 NR layers]</t>
  </si>
  <si>
    <t>MTR-38379</t>
  </si>
  <si>
    <t>DC_1A(4x4)-3C(4x4)-7A(4x4)-32A(2x2)_n78A(4x4)
 UL: DC_1A_n78A
 [18 (4+4+4+4+2) LTE &amp; 4 NR layers]</t>
  </si>
  <si>
    <t>DC_1A-3C-7A-32A_n78A</t>
  </si>
  <si>
    <t>MTR-38380</t>
  </si>
  <si>
    <t>DC_1A(4x4)-3C(4x4)-7A(4x4)-32A(2x2)_n78A(4x4)
 UL: DC_3A_n78A
 [18 (4+4+4+4+2) LTE &amp; 4 NR layers]</t>
  </si>
  <si>
    <t>MTR-38381</t>
  </si>
  <si>
    <t>DC_1A(4x4)-3C(4x4)-7A(4x4)-32A(2x2)_n78A(4x4)
 UL: DC_3C_n78A
 [18 (4+4+4+4+2) LTE &amp; 4 NR layers]</t>
  </si>
  <si>
    <t>MTR-38382</t>
  </si>
  <si>
    <t>DC_1A(4x4)-3C(4x4)-7A(4x4)-32A(2x2)_n78A(4x4)
 UL: DC_7A_n78A
 [18 (4+4+4+4+2) LTE &amp; 4 NR layers]</t>
  </si>
  <si>
    <t>MTR-40177</t>
  </si>
  <si>
    <t>DC_1A(4x4)-3A(4x4)-3A(4x4)-20A(2x2)-28A(2x2)_n78A(4x4)
 UL: DC_1A_n78A
 [16 (4+4+4+2+2) LTE &amp; 4 NR layers]</t>
  </si>
  <si>
    <t>DC_1A-3A-3A-20A-28A_n78A</t>
  </si>
  <si>
    <t>1A-3A-3A-20A-28A</t>
  </si>
  <si>
    <t>MTR-40178</t>
  </si>
  <si>
    <t>DC_1A(4x4)-3A(4x4)-3A(4x4)-20A(2x2)-28A(2x2)_n78A(4x4)
 UL: DC_3A_n78A
 [16 (4+4+4+2+2) LTE &amp; 4 NR layers]</t>
  </si>
  <si>
    <t>MTR-40179</t>
  </si>
  <si>
    <t>DC_1A(4x4)-3A(4x4)-3A(4x4)-20A(2x2)-28A(2x2)_n78A(4x4)
 UL: DC_20A_n78A
 [16 (4+4+4+2+2) LTE &amp; 4 NR layers]</t>
  </si>
  <si>
    <t>MTR-40180</t>
  </si>
  <si>
    <t>DC_1A(4x4)-3A(4x4)-3A(4x4)-20A(2x2)-28A(2x2)_n78A(4x4)
 UL: DC_28A_n78A
 [16 (4+4+4+2+2) LTE &amp; 4 NR layers]</t>
  </si>
  <si>
    <t>MTR-40009</t>
  </si>
  <si>
    <t>DC_1A(4x4)-3A(4x4)-7A(4x4)-7A(4x4)-20A(2x2)_n78A(4x4)
 UL: DC_1A_n78A
 [18 (4+4+4+4+2) LTE &amp; 4 NR layers]</t>
  </si>
  <si>
    <t>DC_1A-3A-7A-7A-20A_n78A</t>
  </si>
  <si>
    <t>1A-3A-7A-7A-20A</t>
  </si>
  <si>
    <t>MTR-40010</t>
  </si>
  <si>
    <t>DC_1A(4x4)-3A(4x4)-7A(4x4)-7A(4x4)-20A(2x2)_n78A(4x4)
 UL: DC_3A_n78A
 [18 (4+4+4+4+2) LTE &amp; 4 NR layers]</t>
  </si>
  <si>
    <t>MTR-40011</t>
  </si>
  <si>
    <t>DC_1A(4x4)-3A(4x4)-7A(4x4)-7A(4x4)-20A(2x2)_n78A(4x4)
 UL: DC_7A_n78A
 [18 (4+4+4+4+2) LTE &amp; 4 NR layers]</t>
  </si>
  <si>
    <t>MTR-40012</t>
  </si>
  <si>
    <t>DC_1A(4x4)-3A(4x4)-7A(4x4)-7A(4x4)-20A(2x2)_n78A(4x4)
 UL: DC_20A_n78A
 [18 (4+4+4+4+2) LTE &amp; 4 NR layers]</t>
  </si>
  <si>
    <t>MTR-34959</t>
  </si>
  <si>
    <t>DC_1A(4x4)-3A(4x4)-7C(4x4)-28A(2x2)_n78A(4x4)
 UL: DC_1A_n78A
 [18 (4+4+4+4+4) LTE &amp; 4 NR layers]</t>
  </si>
  <si>
    <t>DC_1A-3A-7C-28A_n78A</t>
  </si>
  <si>
    <t>MTR-34960</t>
  </si>
  <si>
    <t>DC_1A(4x4)-3A(4x4)-7C(4x4)-28A(2x2)_n78A(4x4)
 UL: DC_3A_n78A
 [18 (4+4+4+4+4) LTE &amp; 4 NR layers]</t>
  </si>
  <si>
    <t>MTR-34961</t>
  </si>
  <si>
    <t>DC_1A(4x4)-3A(4x4)-7C(4x4)-28A(2x2)_n78A(4x4)
 UL: DC_7A_n78A
 [18 (4+4+4+4+4) LTE &amp; 4 NR layers]</t>
  </si>
  <si>
    <t>MTR-34962</t>
  </si>
  <si>
    <t>DC_1A(4x4)-3A(4x4)-7C(4x4)-28A(2x2)_n78A(4x4)
 UL: DC_7C_n78A
 [18 (4+4+4+4+4) LTE &amp; 4 NR layers]</t>
  </si>
  <si>
    <t>MTR-34963</t>
  </si>
  <si>
    <t>DC_1A(4x4)-3A(4x4)-7C(4x4)-28A(2x2)_n78A(4x4)
 UL: DC_28A_n78A
 [18 (4+4+4+4+4) LTE &amp; 4 NR layers]</t>
  </si>
  <si>
    <t>MTR-38383</t>
  </si>
  <si>
    <t>DC_1A(4x4)-3A(4x4)-7A(4x4)-8A(2x2)-32A(2x2)_n78A(4x4)
 UL: DC_1A_n78A
 [16 (4+4+4+2+2) LTE &amp; 4 NR layers]</t>
  </si>
  <si>
    <t>DC_1A-3A-7A-8A-32A_n78A</t>
  </si>
  <si>
    <t>1A-3A-7A-8A-32A</t>
  </si>
  <si>
    <t>MTR-38384</t>
  </si>
  <si>
    <t>DC_1A(4x4)-3A(4x4)-7A(4x4)-8A(2x2)-32A(2x2)_n78A(4x4)
 UL: DC_3A_n78A
 [16 (4+4+4+2+2) LTE &amp; 4 NR layers]</t>
  </si>
  <si>
    <t>MTR-38385</t>
  </si>
  <si>
    <t>DC_1A(4x4)-3A(4x4)-7A(4x4)-8A(2x2)-32A(2x2)_n78A(4x4)
 UL: DC_7A_n78A
 [16 (4+4+4+2+2) LTE &amp; 4 NR layers]</t>
  </si>
  <si>
    <t>MTR-38386</t>
  </si>
  <si>
    <t>DC_1A(4x4)-3A(4x4)-7A(4x4)-8A(2x2)-32A(2x2)_n78A(4x4)
 UL: DC_8A_n78A
 [16 (4+4+4+2+2) LTE &amp; 4 NR layers]</t>
  </si>
  <si>
    <t>MTR-38387</t>
  </si>
  <si>
    <t>DC_1A(4x4)-3A(4x4)-7A(4x4)-20A(2x2)-32A(2x2)_n78A(4x4)
 UL: DC_1A_n78A
 [16 (4+4+4+2+2) LTE &amp; 4 NR layers]</t>
  </si>
  <si>
    <t>DC_1A-3A-7A-20A-32A_n78A</t>
  </si>
  <si>
    <t>1A-3A-7A-20A-32A</t>
  </si>
  <si>
    <t>MTR-38388</t>
  </si>
  <si>
    <t>DC_1A(4x4)-3A(4x4)-7A(4x4)-20A(2x2)-32A(2x2)_n78A(4x4)
 UL: DC_3A_n78A
 [16 (4+4+4+2+2) LTE &amp; 4 NR layers]</t>
  </si>
  <si>
    <t>MTR-38389</t>
  </si>
  <si>
    <t>DC_1A(4x4)-3A(4x4)-7A(4x4)-20A(2x2)-32A(2x2)_n78A(4x4)
 UL: DC_7A_n78A
 [16 (4+4+4+2+2) LTE &amp; 4 NR layers]</t>
  </si>
  <si>
    <t>MTR-38390</t>
  </si>
  <si>
    <t>DC_1A(4x4)-3A(4x4)-7A(4x4)-20A(2x2)-32A(2x2)_n78A(4x4)
 UL: DC_20A_n78A
 [16 (4+4+4+2+2) LTE &amp; 4 NR layers]</t>
  </si>
  <si>
    <t>MTR-38391</t>
  </si>
  <si>
    <t>DC_1A(4x4)-3A(4x4)-8A(2x2)-20A(2x2)-28A(2x2)_n78A(4x4)
 UL: DC_1A_n78A
 [14 (4+4+2+2+2) LTE &amp; 4 NR layers]</t>
  </si>
  <si>
    <t>DC_1A-3A-8A-20A-28A_n78A</t>
  </si>
  <si>
    <t>1A-3A-8A-20A-28A</t>
  </si>
  <si>
    <t>MTR-38392</t>
  </si>
  <si>
    <t>DC_1A(4x4)-3A(4x4)-8A(2x2)-20A(2x2)-28A(2x2)_n78A(4x4)
 UL: DC_3A_n78A
 [14 (4+4+2+2+2) LTE &amp; 4 NR layers]</t>
  </si>
  <si>
    <t>MTR-38393</t>
  </si>
  <si>
    <t>DC_1A(4x4)-3A(4x4)-8A(2x2)-20A(2x2)-28A(2x2)_n78A(4x4)
 UL: DC_8A_n78A
 [14 (4+4+2+2+2) LTE &amp; 4 NR layers]</t>
  </si>
  <si>
    <t>MTR-38394</t>
  </si>
  <si>
    <t>DC_1A(4x4)-3A(4x4)-8A(2x2)-20A(2x2)-28A(2x2)_n78A(4x4)
 UL: DC_20A_n78A
 [14 (4+4+2+2+2) LTE &amp; 4 NR layers]</t>
  </si>
  <si>
    <t>MTR-38395</t>
  </si>
  <si>
    <t>DC_1A(4x4)-3A(4x4)-8A(2x2)-20A(2x2)-28A(2x2)_n78A(4x4)
 UL: DC_28A_n78A
 [14 (4+4+2+2+2) LTE &amp; 4 NR layers]</t>
  </si>
  <si>
    <t>MTR-34821</t>
  </si>
  <si>
    <t>DC_3A(4x4)-3A(4x4)-7A(4x4)-7A(4x4)-8A(2x2)_n78A(4x4)
 UL: DC_3A_n78A
 [18 (4+4+4+4+4) LTE &amp; 4 NR layers]</t>
  </si>
  <si>
    <t>DC_3A-3A-7A-7A-8A_n78A</t>
  </si>
  <si>
    <t>MTR-34822</t>
  </si>
  <si>
    <t>DC_3A(4x4)-3A(4x4)-7A(4x4)-7A(4x4)-8A(2x2)_n78A(4x4)
 UL: DC_7A_n78A
 [18 (4+4+4+4+4) LTE &amp; 4 NR layers]</t>
  </si>
  <si>
    <t>MTR-34823</t>
  </si>
  <si>
    <t>DC_3A(4x4)-3A(4x4)-7A(4x4)-7A(4x4)-8A(2x2)_n78A(4x4)
 UL: DC_8A_n78A
 [18 (4+4+4+4+4) LTE &amp; 4 NR layers]</t>
  </si>
  <si>
    <t>MTR-34469</t>
  </si>
  <si>
    <t>DC_3C(4x4)-7C(4x4)-28A(2x2)_n78A(4x4)
 UL: DC_3A_n78A
 [18 (4+4+4+4+4) LTE &amp; 4 NR layers]</t>
  </si>
  <si>
    <t>DC_3C-7C-28A_n78A</t>
  </si>
  <si>
    <t>3C-7C-28A</t>
  </si>
  <si>
    <t>MTR-34470</t>
  </si>
  <si>
    <t>DC_3C(4x4)-7C(4x4)-28A(2x2)_n78A(4x4)
 UL: DC_3C_n78A
 [18 (4+4+4+4+4) LTE &amp; 4 NR layers]</t>
  </si>
  <si>
    <t>MTR-34471</t>
  </si>
  <si>
    <t>DC_3C(4x4)-7C(4x4)-28A(2x2)_n78A(4x4)
 UL: DC_7A_n78A
 [18 (4+4+4+4+4) LTE &amp; 4 NR layers]</t>
  </si>
  <si>
    <t>MTR-34472</t>
  </si>
  <si>
    <t>DC_3C(4x4)-7C(4x4)-28A(2x2)_n78A(4x4)
 UL: DC_7C_n78A
 [18 (4+4+4+4+4) LTE &amp; 4 NR layers]</t>
  </si>
  <si>
    <t>MTR-34473</t>
  </si>
  <si>
    <t>DC_3C(4x4)-7C(4x4)-28A(2x2)_n78A(4x4)
 UL: DC_28A_n78A
 [18 (4+4+4+4+4) LTE &amp; 4 NR layers]</t>
  </si>
  <si>
    <t>MTR-33493</t>
  </si>
  <si>
    <r>
      <rPr>
        <rFont val="Arial"/>
        <b/>
        <color theme="1"/>
        <sz val="10.0"/>
      </rPr>
      <t>2.5.2.9</t>
    </r>
    <r>
      <rPr>
        <rFont val="Arial"/>
        <b val="0"/>
        <color theme="1"/>
        <sz val="10.0"/>
      </rPr>
      <t xml:space="preserve"> </t>
    </r>
    <r>
      <rPr>
        <rFont val="Arial"/>
        <b/>
        <color theme="1"/>
        <sz val="10.0"/>
      </rPr>
      <t>EN-DC LTE CA + NR 2CA</t>
    </r>
  </si>
  <si>
    <t>MTR-38526</t>
  </si>
  <si>
    <r>
      <rPr>
        <rFont val="Arial"/>
        <b/>
        <color theme="1"/>
        <sz val="10.0"/>
      </rPr>
      <t>2.5.2.9.1</t>
    </r>
    <r>
      <rPr>
        <rFont val="Arial"/>
        <b val="0"/>
        <color theme="1"/>
        <sz val="10.0"/>
      </rPr>
      <t xml:space="preserve"> </t>
    </r>
    <r>
      <rPr>
        <rFont val="Arial"/>
        <b/>
        <color theme="1"/>
        <sz val="10.0"/>
      </rPr>
      <t>EN-DC with NR CA n1A-n3A</t>
    </r>
  </si>
  <si>
    <t>MTR-38396</t>
  </si>
  <si>
    <t>DC_8A(2x2)_n1A(4x4)-n3A(4x4)
 UL: DC_8A_n1A
 [2 LTE &amp; 8 (4+4) NR layers]</t>
  </si>
  <si>
    <t>DC_8A_n1A-n3A</t>
  </si>
  <si>
    <t>n1A-n3A</t>
  </si>
  <si>
    <t>MTR-38397</t>
  </si>
  <si>
    <t>DC_8A(2x2)_n1A(4x4)-n3A(4x4)
 UL: DC_8A_n3A
 [2 LTE &amp; 8 (4+4) NR layers]</t>
  </si>
  <si>
    <t>MTR-34985</t>
  </si>
  <si>
    <r>
      <rPr>
        <rFont val="Arial"/>
        <b/>
        <color theme="1"/>
        <sz val="10.0"/>
      </rPr>
      <t>2.5.2.9.2</t>
    </r>
    <r>
      <rPr>
        <rFont val="Arial"/>
        <b val="0"/>
        <color theme="1"/>
        <sz val="10.0"/>
      </rPr>
      <t xml:space="preserve"> </t>
    </r>
    <r>
      <rPr>
        <rFont val="Arial"/>
        <b/>
        <color theme="1"/>
        <sz val="10.0"/>
      </rPr>
      <t>EN-DC with NR CA n1A-n7A</t>
    </r>
  </si>
  <si>
    <t>MTR-34986</t>
  </si>
  <si>
    <t>DC_3A(4x4)_n1A(4x4)-n7A(4x4)
 UL: DC_3A_n1A
 [4 LTE &amp; 8 (4+4) NR layers]</t>
  </si>
  <si>
    <t>DC_3A_n1A-n7A</t>
  </si>
  <si>
    <t>n1A-n7A</t>
  </si>
  <si>
    <t>MTR-34987</t>
  </si>
  <si>
    <t>DC_3A(4x4)_n1A(4x4)-n7A(4x4)
 UL: DC_3A_n7A
 [4 LTE &amp; 8 (4+4) NR layers]</t>
  </si>
  <si>
    <t>MTR-35598</t>
  </si>
  <si>
    <t>DC_20A(2x2)_n1A(4x4)-n7A(4x4)
 UL: DC_20A_n1A
 [2 LTE &amp; 8 (4+4) NR layers]</t>
  </si>
  <si>
    <t>DC_20A_n1A-n7A</t>
  </si>
  <si>
    <t>MTR-35599</t>
  </si>
  <si>
    <t>DC_20A(2x2)_n1A(4x4)-n7A(4x4)
 UL: DC_20A_n7A
 [2 LTE &amp; 8 (4+4) NR layers]</t>
  </si>
  <si>
    <t>MTR-34988</t>
  </si>
  <si>
    <t>DC_3C(4x4)_n1A(4x4)-n7A(4x4)
 UL: DC_3A_n1A
 [8 (4+4) LTE &amp; 8 (4+4) NR layers]</t>
  </si>
  <si>
    <t>DC_3C_n1A-n7A</t>
  </si>
  <si>
    <t>MTR-34989</t>
  </si>
  <si>
    <t>DC_3C(4x4)_n1A(4x4)-n7A(4x4)
 UL: DC_3A_n7A
 [8 (4+4) LTE &amp; 8 (4+4) NR layers]</t>
  </si>
  <si>
    <t>MTR-34990</t>
  </si>
  <si>
    <t>DC_3C(4x4)_n1A(4x4)-n7A(4x4)
 UL: DC_3C_n1A
 [8 (4+4) LTE &amp; 8 (4+4) NR layers]</t>
  </si>
  <si>
    <t>MTR-34991</t>
  </si>
  <si>
    <t>DC_3C(4x4)_n1A(4x4)-n7A(4x4)
 UL: DC_3C_n7A
 [8 (4+4) LTE &amp; 8 (4+4) NR layers]</t>
  </si>
  <si>
    <t>MTR-35600</t>
  </si>
  <si>
    <t>DC_3A(4x4)-20A(2x2)_n1A(4x4)-n7A(4x4)
 UL: DC_3A_n1A
 [6 (4+2) LTE &amp; 8 (4+4) NR layers]</t>
  </si>
  <si>
    <t>DC_3A-20A_n1A-n7A</t>
  </si>
  <si>
    <t>MTR-35601</t>
  </si>
  <si>
    <t>DC_3A(4x4)-20A(2x2)_n1A(4x4)-n7A(4x4)
 UL: DC_3A_n7A
 [6 (4+2) LTE &amp; 8 (4+4) NR layers]</t>
  </si>
  <si>
    <t>MTR-35602</t>
  </si>
  <si>
    <t>DC_3A(4x4)-20A(2x2)_n1A(4x4)-n7A(4x4)
 UL: DC_20A_n1A
 [6 (4+2) LTE &amp; 8 (4+4) NR layers]</t>
  </si>
  <si>
    <t>MTR-35603</t>
  </si>
  <si>
    <t>DC_3A(4x4)-20A(2x2)_n1A(4x4)-n7A(4x4)
 UL: DC_20A_n7A
 [6 (4+2) LTE &amp; 8 (4+4) NR layers]</t>
  </si>
  <si>
    <t>MTR-35604</t>
  </si>
  <si>
    <t>DC_3C(4x4)-20A(2x2)_n1A(4x4)-n7A(4x4)
 UL: DC_3A_n1A
 [10 (4+4+2) LTE &amp; 8 (4+4) NR layers]</t>
  </si>
  <si>
    <t>DC_3C-20A_n1A-n7A</t>
  </si>
  <si>
    <t>MTR-35605</t>
  </si>
  <si>
    <t>DC_3C(4x4)-20A(2x2)_n1A(4x4)-n7A(4x4)
 UL: DC_3C_n1A
 [10 (4+4+2) LTE &amp; 8 (4+4) NR layers]</t>
  </si>
  <si>
    <t>MTR-35606</t>
  </si>
  <si>
    <t>DC_3C(4x4)-20A(2x2)_n1A(4x4)-n7A(4x4)
 UL: DC_3A_n7A
 [10 (4+4+2) LTE &amp; 8 (4+4) NR layers]</t>
  </si>
  <si>
    <t>MTR-35607</t>
  </si>
  <si>
    <t>DC_3C(4x4)-20A(2x2)_n1A(4x4)-n7A(4x4)
 UL: DC_3C_n7A
 [10 (4+4+2) LTE &amp; 8 (4+4) NR layers]</t>
  </si>
  <si>
    <t>MTR-35608</t>
  </si>
  <si>
    <t>DC_3C(4x4)-20A(2x2)_n1A(4x4)-n7A(4x4)
 UL: DC_20A_n1A
 [10 (4+4+2) LTE &amp; 8 (4+4) NR layers]</t>
  </si>
  <si>
    <t>MTR-35609</t>
  </si>
  <si>
    <t>DC_3C(4x4)-20A(2x2)_n1A(4x4)-n7A(4x4)
 UL: DC_20A_n7A
 [10 (4+4+2) LTE &amp; 8 (4+4) NR layers]</t>
  </si>
  <si>
    <t>MTR-36731</t>
  </si>
  <si>
    <r>
      <rPr>
        <rFont val="Arial"/>
        <b/>
        <color theme="1"/>
        <sz val="10.0"/>
      </rPr>
      <t>2.5.2.9.3</t>
    </r>
    <r>
      <rPr>
        <rFont val="Arial"/>
        <b val="0"/>
        <color theme="1"/>
        <sz val="10.0"/>
      </rPr>
      <t xml:space="preserve"> </t>
    </r>
    <r>
      <rPr>
        <rFont val="Arial"/>
        <b/>
        <color theme="1"/>
        <sz val="10.0"/>
      </rPr>
      <t>EN-DC with NR CA n1A-n8A</t>
    </r>
  </si>
  <si>
    <t>MTR-36539</t>
  </si>
  <si>
    <t>DC_3A(4x4)_n1A(4x4)-n8A(2x2)
 UL: DC_3A_n1A
 [4 LTE &amp; 6 (4+2) NR layers]</t>
  </si>
  <si>
    <t>DC_3A_n1A-n8A</t>
  </si>
  <si>
    <t>n1A-n8A</t>
  </si>
  <si>
    <t>MTR-36540</t>
  </si>
  <si>
    <t>DC_3A(4x4)_n1A(4x4)-n8A(2x2)
 UL: DC_3A_n8A
 [4 LTE &amp; 6 (4+2) NR layers]</t>
  </si>
  <si>
    <t>MTR-36541</t>
  </si>
  <si>
    <t>DC_7A(4x4)_n1A(4x4)-n8A(2x2)
 UL: DC_7A_n1A
 [4 LTE &amp; 6 (4+2) NR layers]</t>
  </si>
  <si>
    <t>DC_7A_n1A-n8A</t>
  </si>
  <si>
    <t>MTR-36542</t>
  </si>
  <si>
    <t>DC_7A(4x4)_n1A(4x4)-n8A(2x2)
 UL: DC_7A_n8A
 [4 LTE &amp; 6 (4+2) NR layers]</t>
  </si>
  <si>
    <t>MTR-36543</t>
  </si>
  <si>
    <t>DC_3A(4x4)-3A(4x4)_n1A(4x4)-n8A(2x2)
 UL: DC_3A_n1A
 [8 (4+4) LTE &amp; 6 (4+2) NR layers]</t>
  </si>
  <si>
    <t>DC_3A-3A_n1A-n8A</t>
  </si>
  <si>
    <t>MTR-36544</t>
  </si>
  <si>
    <t>DC_3A(4x4)-3A(4x4)_n1A(4x4)-n8A(2x2)
 UL: DC_3A_n8A
 [8 (4+4) LTE &amp; 6 (4+2) NR layers]</t>
  </si>
  <si>
    <t>MTR-36545</t>
  </si>
  <si>
    <t>DC_3A(4x4)-7A(4x4)_n1A(4x4)-n8A(2x2)
 UL: DC_3A_n1A
 [8 (4+4) LTE &amp; 6 (4+2) NR layers]</t>
  </si>
  <si>
    <t>DC_3A-7A_n1A-n8A</t>
  </si>
  <si>
    <t>MTR-36546</t>
  </si>
  <si>
    <t>DC_3A(4x4)-7A(4x4)_n1A(4x4)-n8A(2x2)
 UL: DC_3A_n8A
 [8 (4+4) LTE &amp; 6 (4+2) NR layers]</t>
  </si>
  <si>
    <t>MTR-36547</t>
  </si>
  <si>
    <t>DC_3A(4x4)-7A(4x4)_n1A(4x4)-n8A(2x2)
 UL: DC_7A_n1A
 [8 (4+4) LTE &amp; 6 (4+2) NR layers]</t>
  </si>
  <si>
    <t>MTR-36548</t>
  </si>
  <si>
    <t>DC_3A(4x4)-7A(4x4)_n1A(4x4)-n8A(2x2)
 UL: DC_7A_n8A
 [8 (4+4) LTE &amp; 6 (4+2) NR layers]</t>
  </si>
  <si>
    <t>MTR-36549</t>
  </si>
  <si>
    <t>DC_7A(4x4)-7A(4x4)_n1A(4x4)-n8A(2x2)
 UL: DC_7A_n1A
 [8 (4+4) LTE &amp; 6 (4+2) NR layers]</t>
  </si>
  <si>
    <t>DC_7A-7A_n1A-n8A</t>
  </si>
  <si>
    <t>MTR-36550</t>
  </si>
  <si>
    <t>DC_7A(4x4)-7A(4x4)_n1A(4x4)-n8A(2x2)
 UL: DC_7A_n8A
 [8 (4+4) LTE &amp; 6 (4+2) NR layers]</t>
  </si>
  <si>
    <t>MTR-36551</t>
  </si>
  <si>
    <t>DC_3A(4x4)-3A(4x4)-7A(4x4)_n1A(4x4)-n8A(2x2)
 UL: DC_3A_n1A
 [12 (4+4+4) LTE &amp; 6 (4+2) NR layers]</t>
  </si>
  <si>
    <t>DC_3A-3A-7A_n1A-n8A</t>
  </si>
  <si>
    <t>MTR-36552</t>
  </si>
  <si>
    <t>DC_3A(4x4)-3A(4x4)-7A(4x4)_n1A(4x4)-n8A(2x2)
 UL: DC_3A_n8A
 [12 (4+4+4) LTE &amp; 6 (4+2) NR layers]</t>
  </si>
  <si>
    <t>MTR-36553</t>
  </si>
  <si>
    <t>DC_3A(4x4)-3A(4x4)-7A(4x4)_n1A(4x4)-n8A(2x2)
 UL: DC_7A_n1A
 [12 (4+4+4) LTE &amp; 6 (4+2) NR layers]</t>
  </si>
  <si>
    <t>MTR-36554</t>
  </si>
  <si>
    <t>DC_3A(4x4)-3A(4x4)-7A(4x4)_n1A(4x4)-n8A(2x2)
 UL: DC_7A_n8A
 [12 (4+4+4) LTE &amp; 6 (4+2) NR layers]</t>
  </si>
  <si>
    <t>MTR-36555</t>
  </si>
  <si>
    <t>DC_3A(4x4)-7A(4x4)-7A(4x4)_n1A(4x4)-n8A(2x2)
 UL: DC_3A_n1A
 [12 (4+4+4) LTE &amp; 6 (4+2) NR layers]</t>
  </si>
  <si>
    <t>DC_3A-7A-7A_n1A-n8A</t>
  </si>
  <si>
    <t>MTR-36556</t>
  </si>
  <si>
    <t>DC_3A(4x4)-7A(4x4)-7A(4x4)_n1A(4x4)-n8A(2x2)
 UL: DC_3A_n8A
 [12 (4+4+4) LTE &amp; 6 (4+2) NR layers]</t>
  </si>
  <si>
    <t>MTR-36557</t>
  </si>
  <si>
    <t>DC_3A(4x4)-7A(4x4)-7A(4x4)_n1A(4x4)-n8A(2x2)
 UL: DC_7A_n1A
 [12 (4+4+4) LTE &amp; 6 (4+2) NR layers]</t>
  </si>
  <si>
    <t>MTR-36558</t>
  </si>
  <si>
    <t>DC_3A(4x4)-7A(4x4)-7A(4x4)_n1A(4x4)-n8A(2x2)
 UL: DC_7A_n8A
 [12 (4+4+4) LTE &amp; 6 (4+2) NR layers]</t>
  </si>
  <si>
    <t>MTR-36559</t>
  </si>
  <si>
    <t>DC_3A(4x4)-3A(4x4)-7A(4x4)-7A(4x4)_n1A(4x4)-n8A(2x2)
 UL: DC_3A_n1A
 [16 (4+4+4+4) LTE &amp; 6 (4+2) NR layers]</t>
  </si>
  <si>
    <t>DC_3A-3A-7A-7A_n1A-n8A</t>
  </si>
  <si>
    <t>MTR-36560</t>
  </si>
  <si>
    <t>DC_3A(4x4)-3A(4x4)-7A(4x4)-7A(4x4)_n1A(4x4)-n8A(2x2)
 UL: DC_3A_n8A
 [16 (4+4+4+4) LTE &amp; 6 (4+2) NR layers]</t>
  </si>
  <si>
    <t>MTR-36561</t>
  </si>
  <si>
    <t>DC_3A(4x4)-3A(4x4)-7A(4x4)-7A(4x4)_n1A(4x4)-n8A(2x2)
 UL: DC_7A_n1A
 [16 (4+4+4+4) LTE &amp; 6 (4+2) NR layers]</t>
  </si>
  <si>
    <t>MTR-36562</t>
  </si>
  <si>
    <t>DC_3A(4x4)-3A(4x4)-7A(4x4)-7A(4x4)_n1A(4x4)-n8A(2x2)
 UL: DC_7A_n8A
 [16 (4+4+4+4) LTE &amp; 6 (4+2) NR layers]</t>
  </si>
  <si>
    <t>MTR-34992</t>
  </si>
  <si>
    <r>
      <rPr>
        <rFont val="Arial"/>
        <b/>
        <color theme="1"/>
        <sz val="10.0"/>
      </rPr>
      <t>2.5.2.9.4</t>
    </r>
    <r>
      <rPr>
        <rFont val="Arial"/>
        <b val="0"/>
        <color theme="1"/>
        <sz val="10.0"/>
      </rPr>
      <t xml:space="preserve"> </t>
    </r>
    <r>
      <rPr>
        <rFont val="Arial"/>
        <b/>
        <color theme="1"/>
        <sz val="10.0"/>
      </rPr>
      <t>EN-DC with NR CA n1A-n28A</t>
    </r>
  </si>
  <si>
    <t>MTR-34993</t>
  </si>
  <si>
    <t>DC_3A(4x4)_n1A(4x4)-n28A(2x2)
 UL: DC_3A_n1A
 [4 LTE &amp; 6 (4+2) NR layers]</t>
  </si>
  <si>
    <t>DC_3A_n1A-n28A</t>
  </si>
  <si>
    <t>n1A-n28A</t>
  </si>
  <si>
    <t>MTR-34994</t>
  </si>
  <si>
    <t>DC_3A(4x4)_n1A(4x4)-n28A(2x2)
 UL: DC_3A_n28A
 [4 LTE &amp; 6 (4+2) NR layers]</t>
  </si>
  <si>
    <t>MTR-39469</t>
  </si>
  <si>
    <t>DC_7A(4x4)_n1A(4x4)-n28A(2x2)
 UL: DC_7A_n1A
 [4 LTE &amp; 6 (4+2) NR layers]</t>
  </si>
  <si>
    <t>DC_7A_n1A-n28A</t>
  </si>
  <si>
    <t>MTR-39470</t>
  </si>
  <si>
    <t>DC_7A(4x4)_n1A(4x4)-n28A(2x2)
 UL: DC_7A_n28A
 [4 LTE &amp; 6 (4+2) NR layers]</t>
  </si>
  <si>
    <t>MTR-37867</t>
  </si>
  <si>
    <t>DC_8A(2x2)_n1A(4x4)-n28A(2x2)
 UL: DC_8A_n1A
 [2 LTE &amp; 6 (4+2) NR layers]</t>
  </si>
  <si>
    <t>DC_8A_n1A-n28A</t>
  </si>
  <si>
    <t>MTR-37868</t>
  </si>
  <si>
    <t>DC_8A(2x2)_n1A(4x4)-n28A(2x2)
 UL: DC_8A_n28A
 [2 LTE &amp; 6 (4+2) NR layers]</t>
  </si>
  <si>
    <t>MTR-34999</t>
  </si>
  <si>
    <t>DC_20A(2x2)_n1A(4x4)-n28A(2x2)
 UL: DC_20A_n1A
 [2 LTE &amp; 6 (4+2) NR layers]</t>
  </si>
  <si>
    <t>DC_20A_n1A-n28A</t>
  </si>
  <si>
    <t>MTR-35000</t>
  </si>
  <si>
    <t>DC_20A(2x2)_n1A(4x4)-n28A(2x2)
 UL: DC_20A_n28A
 [2 LTE &amp; 6 (4+2) NR layers]</t>
  </si>
  <si>
    <t>MTR-34995</t>
  </si>
  <si>
    <t>DC_3C(4x4)_n1A(4x4)-n28A(2x2)
 UL: DC_3A_n1A
 [8 (4+4) LTE &amp; 6 (4+2) NR layers]</t>
  </si>
  <si>
    <t>DC_3C_n1A-n28A</t>
  </si>
  <si>
    <t>MTR-34996</t>
  </si>
  <si>
    <t>DC_3C(4x4)_n1A(4x4)-n28A(2x2)
 UL: DC_3A_n28A
 [8 (4+4) LTE &amp; 6 (4+2) NR layers]</t>
  </si>
  <si>
    <t>MTR-34997</t>
  </si>
  <si>
    <t>DC_3C(4x4)_n1A(4x4)-n28A(2x2)
 UL: DC_3C_n1A
 [8 (4+4) LTE &amp; 6 (4+2) NR layers]</t>
  </si>
  <si>
    <t>MTR-34998</t>
  </si>
  <si>
    <t>DC_3C(4x4)_n1A(4x4)-n28A(2x2)
 UL: DC_3C_n28A
 [8 (4+4) LTE &amp; 6 (4+2) NR layers]</t>
  </si>
  <si>
    <t>MTR-39471</t>
  </si>
  <si>
    <t>DC_3A(4x4)-7A(4x4)_n1A(4x4)-n28A(2x2)
 UL: DC_3A_n1A
 [8 (4+4) LTE &amp; 6 (4+2) NR layers]</t>
  </si>
  <si>
    <t>DC_3A-7A_n1A-n28A</t>
  </si>
  <si>
    <t>MTR-39472</t>
  </si>
  <si>
    <t>DC_3A(4x4)-7A(4x4)_n1A(4x4)-n28A(2x2)
 UL: DC_3A_n28A
 [8 (4+4) LTE &amp; 6 (4+2) NR layers]</t>
  </si>
  <si>
    <t>MTR-39473</t>
  </si>
  <si>
    <t>DC_3A(4x4)-7A(4x4)_n1A(4x4)-n28A(2x2)
 UL: DC_7A_n1A
 [8 (4+4) LTE &amp; 6 (4+2) NR layers]</t>
  </si>
  <si>
    <t>MTR-39474</t>
  </si>
  <si>
    <t>DC_3A(4x4)-7A(4x4)_n1A(4x4)-n28A(2x2)
 UL: DC_7A_n28A
 [8 (4+4) LTE &amp; 6 (4+2) NR layers]</t>
  </si>
  <si>
    <t>MTR-37869</t>
  </si>
  <si>
    <t>DC_3A(4x4)-8A(2x2)_n1A(4x4)-n28A(2x2)
 UL: DC_3A_n1A
 [6 (4+2) LTE &amp; 6 (4+2) NR layers]</t>
  </si>
  <si>
    <t>DC_3A-8A_n1A-n28A</t>
  </si>
  <si>
    <t>MTR-37870</t>
  </si>
  <si>
    <t>DC_3A(4x4)-8A(2x2)_n1A(4x4)-n28A(2x2)
 UL: DC_8A_n1A
 [6 (4+2) LTE &amp; 6 (4+2) NR layers]</t>
  </si>
  <si>
    <t>MTR-37871</t>
  </si>
  <si>
    <t>DC_3A(4x4)-8A(2x2)_n1A(4x4)-n28A(2x2)
 UL: DC_3A_n28A
 [6 (4+2) LTE &amp; 6 (4+2) NR layers]</t>
  </si>
  <si>
    <t>MTR-37872</t>
  </si>
  <si>
    <t>DC_3A(4x4)-8A(2x2)_n1A(4x4)-n28A(2x2)
 UL: DC_8A_n28A
 [6 (4+2) LTE &amp; 6 (4+2) NR layers]</t>
  </si>
  <si>
    <t>MTR-35001</t>
  </si>
  <si>
    <t>DC_3A(4x4)-20A(2x2)_n1A(4x4)-n28A(2x2)
 UL: DC_3A_n1A
 [6 (4+2) LTE &amp; 6 (4+2) NR layers]</t>
  </si>
  <si>
    <t>DC_3A-20A_n1A-n28A</t>
  </si>
  <si>
    <t>MTR-35002</t>
  </si>
  <si>
    <t>DC_3A(4x4)-20A(2x2)_n1A(4x4)-n28A(2x2)
 UL: DC_3A_n28A
 [6 (4+2) LTE &amp; 6 (4+2) NR layers]</t>
  </si>
  <si>
    <t>MTR-35003</t>
  </si>
  <si>
    <t>DC_3A(4x4)-20A(2x2)_n1A(4x4)-n28A(2x2)
 UL: DC_20A_n1A
 [6 (4+2) LTE &amp; 6 (4+2) NR layers]</t>
  </si>
  <si>
    <t>MTR-35004</t>
  </si>
  <si>
    <t>DC_3A(4x4)-20A(2x2)_n1A(4x4)-n28A(2x2)
 UL: DC_20A_n28A
 [6 (4+2) LTE &amp; 6 (4+2) NR layers]</t>
  </si>
  <si>
    <t>MTR-38402</t>
  </si>
  <si>
    <t>DC_3A(4x4)-32A(2x2)_n1A(4x4)-n28A(2x2)
 UL: DC_3A_n1A
 [6 (4+2) LTE &amp; 6 (4+2) NR layers]</t>
  </si>
  <si>
    <t>DC_3A-32A_n1A-n28A</t>
  </si>
  <si>
    <t>MTR-38403</t>
  </si>
  <si>
    <t>DC_3A(4x4)-32A(2x2)_n1A(4x4)-n28A(2x2)
 UL: DC_3A_n28A
 [6 (4+2) LTE &amp; 6 (4+2) NR layers]</t>
  </si>
  <si>
    <t>MTR-39475</t>
  </si>
  <si>
    <t>DC_7C(4x4)_n1A(4x4)-n28A(2x2)
 UL: DC_7A_n1A
 [8 (4+4) LTE &amp; 6 (4+2) NR layers]</t>
  </si>
  <si>
    <t>DC_7C_n1A-n28A</t>
  </si>
  <si>
    <t>MTR-39476</t>
  </si>
  <si>
    <t>DC_7C(4x4)_n1A(4x4)-n28A(2x2)
 UL: DC_7A_n28A
 [8 (4+4) LTE &amp; 6 (4+2) NR layers]</t>
  </si>
  <si>
    <t>MTR-39477</t>
  </si>
  <si>
    <t>DC_7C(4x4)_n1A(4x4)-n28A(2x2)
 UL: DC_7C_n1A
 [8 (4+4) LTE &amp; 6 (4+2) NR layers]</t>
  </si>
  <si>
    <t>MTR-39478</t>
  </si>
  <si>
    <t>DC_7C(4x4)_n1A(4x4)-n28A(2x2)
 UL: DC_7C_n28A
 [8 (4+4) LTE &amp; 6 (4+2) NR layers]</t>
  </si>
  <si>
    <t>MTR-38404</t>
  </si>
  <si>
    <t>DC_20A(2x2)-32A(2x2)_n1A(4x4)-n28A(2x2)
 UL: DC_20A_n1A
 [4 (2+2) LTE &amp; 6 (4+2) NR layers]</t>
  </si>
  <si>
    <t>DC_20A-32A_n1A-n28A</t>
  </si>
  <si>
    <t>MTR-38405</t>
  </si>
  <si>
    <t>DC_20A(2x2)-32A(2x2)_n1A(4x4)-n28A(2x2)
 UL: DC_20A_n28A
 [4 (2+2) LTE &amp; 6 (4+2) NR layers]</t>
  </si>
  <si>
    <t>MTR-39479</t>
  </si>
  <si>
    <t>DC_3C(4x4)-7A(4x4)_n1A(4x4)-n28A(2x2)
 UL: DC_3A_n1A
 [12 (4+4+4) LTE &amp; 6 (4+2) NR layers]</t>
  </si>
  <si>
    <t>DC_3C-7A_n1A-n28A</t>
  </si>
  <si>
    <t>MTR-39480</t>
  </si>
  <si>
    <t>DC_3C(4x4)-7A(4x4)_n1A(4x4)-n28A(2x2)
 UL: DC_3A_n28A
 [12 (4+4+4) LTE &amp; 6 (4+2) NR layers]</t>
  </si>
  <si>
    <t>MTR-39481</t>
  </si>
  <si>
    <t>DC_3C(4x4)-7A(4x4)_n1A(4x4)-n28A(2x2)
 UL: DC_3C_n1A
 [12 (4+4+4) LTE &amp; 6 (4+2) NR layers]</t>
  </si>
  <si>
    <t>MTR-39482</t>
  </si>
  <si>
    <t>DC_3C(4x4)-7A(4x4)_n1A(4x4)-n28A(2x2)
 UL: DC_7A_n1A
 [12 (4+4+4) LTE &amp; 6 (4+2) NR layers]</t>
  </si>
  <si>
    <t>MTR-39483</t>
  </si>
  <si>
    <t>DC_3C(4x4)-7A(4x4)_n1A(4x4)-n28A(2x2)
 UL: DC_7A_n28A
 [12 (4+4+4) LTE &amp; 6 (4+2) NR layers]</t>
  </si>
  <si>
    <t>MTR-35005</t>
  </si>
  <si>
    <t>DC_3C(4x4)-20A(2x2)_n1A(4x4)-n28A(2x2)
 UL: DC_3A_n1A
 [10 (8+2) LTE &amp; 6 (4+2) NR layers]</t>
  </si>
  <si>
    <t>DC_3C-20A_n1A-n28A</t>
  </si>
  <si>
    <t>MTR-35006</t>
  </si>
  <si>
    <t>DC_3C(4x4)-20A(2x2)_n1A(4x4)-n28A(2x2)
 UL: DC_3A_n28A
 [10 (8+2) LTE &amp; 6 (4+2) NR layers]</t>
  </si>
  <si>
    <t>MTR-35007</t>
  </si>
  <si>
    <t>DC_3C(4x4)-20A(2x2)_n1A(4x4)-n28A(2x2)
 UL: DC_3C_n1A
 [10 (8+2) LTE &amp; 6 (4+2) NR layers]</t>
  </si>
  <si>
    <t>MTR-35008</t>
  </si>
  <si>
    <t>DC_3C(4x4)-20A(2x2)_n1A(4x4)-n28A(2x2)
 UL: DC_3C_n28A
 [10 (8+2) LTE &amp; 6 (4+2) NR layers]</t>
  </si>
  <si>
    <t>MTR-35009</t>
  </si>
  <si>
    <t>DC_3C(4x4)-20A(2x2)_n1A(4x4)-n28A(2x2)
 UL: DC_20A_n1A
 [10 (8+2) LTE &amp; 6 (4+2) NR layers]</t>
  </si>
  <si>
    <t>MTR-35010</t>
  </si>
  <si>
    <t>DC_3C(4x4)-20A(2x2)_n1A(4x4)-n28A(2x2)
 UL: DC_20A_n28A
 [10 (8+2) LTE &amp; 6 (4+2) NR layers]</t>
  </si>
  <si>
    <t>MTR-38406</t>
  </si>
  <si>
    <t>DC_3C(4x4)-32A(2x2)_n1A(4x4)-n28A(2x2)
 UL: DC_3A_n1A
 [10 (4+4+2) LTE &amp; 6 (4+2) NR layers]</t>
  </si>
  <si>
    <t>DC_3C-32A_n1A-n28A</t>
  </si>
  <si>
    <t>MTR-38407</t>
  </si>
  <si>
    <t>DC_3C(4x4)-32A(2x2)_n1A(4x4)-n28A(2x2)
 UL: DC_3A_n28A
 [10 (4+4+2) LTE &amp; 6 (4+2) NR layers]</t>
  </si>
  <si>
    <t>MTR-38408</t>
  </si>
  <si>
    <t>DC_3C(4x4)-32A(2x2)_n1A(4x4)-n28A(2x2)
 UL: DC_3C_n1A
 [10 (4+4+2) LTE &amp; 6 (4+2) NR layers]</t>
  </si>
  <si>
    <t>MTR-38409</t>
  </si>
  <si>
    <t>DC_3C(4x4)-32A(2x2)_n1A(4x4)-n28A(2x2)
 UL: DC_3C_n28A
 [10 (4+4+2) LTE &amp; 6 (4+2) NR layers]</t>
  </si>
  <si>
    <t>MTR-39484</t>
  </si>
  <si>
    <t>DC_3A(4x4)-7C(4x4)_n1A(4x4)-n28A(2x2)
 UL: DC_3A_n1A
 [12 (4+4+4) LTE &amp; 6 (4+2) NR layers]</t>
  </si>
  <si>
    <t>DC_3A-7C_n1A-n28A</t>
  </si>
  <si>
    <t>MTR-39485</t>
  </si>
  <si>
    <t>DC_3A(4x4)-7C(4x4)_n1A(4x4)-n28A(2x2)
 UL: DC_3A_n28A
 [12 (4+4+4) LTE &amp; 6 (4+2) NR layers]</t>
  </si>
  <si>
    <t>MTR-39486</t>
  </si>
  <si>
    <t>DC_3A(4x4)-7C(4x4)_n1A(4x4)-n28A(2x2)
 UL: DC_7A_n1A
 [12 (4+4+4) LTE &amp; 6 (4+2) NR layers]</t>
  </si>
  <si>
    <t>MTR-39487</t>
  </si>
  <si>
    <t>DC_3A(4x4)-7C(4x4)_n1A(4x4)-n28A(2x2)
 UL: DC_7A_n28A
 [12 (4+4+4) LTE &amp; 6 (4+2) NR layers]</t>
  </si>
  <si>
    <t>MTR-39488</t>
  </si>
  <si>
    <t>DC_3A(4x4)-7C(4x4)_n1A(4x4)-n28A(2x2)
 UL: DC_7C_n1A
 [12 (4+4+4) LTE &amp; 6 (4+2) NR layers]</t>
  </si>
  <si>
    <t>MTR-39489</t>
  </si>
  <si>
    <t>DC_3A(4x4)-7C(4x4)_n1A(4x4)-n28A(2x2)
 UL: DC_7C_n28A
 [12 (4+4+4) LTE &amp; 6 (4+2) NR layers]</t>
  </si>
  <si>
    <t>MTR-38410</t>
  </si>
  <si>
    <t>DC_3A(4x4)-20A(2x2)-32A(2x2)_n1A(4x4)-n28A(2x2)
 UL: DC_3A_n1A
 [8 (4+2+2) LTE &amp; 6 (4+2) NR layers]</t>
  </si>
  <si>
    <t>DC_3A-20A-32A_n1A-n28A</t>
  </si>
  <si>
    <t>MTR-38411</t>
  </si>
  <si>
    <t>DC_3A(4x4)-20A(2x2)-32A(2x2)_n1A(4x4)-n28A(2x2)
 UL: DC_20A_n1A
 [8 (4+2+2) LTE &amp; 6 (4+2) NR layers]</t>
  </si>
  <si>
    <t>MTR-38412</t>
  </si>
  <si>
    <t>DC_3A(4x4)-20A(2x2)-32A(2x2)_n1A(4x4)-n28A(2x2)
 UL: DC_3A_n28A
 [8 (4+2+2) LTE &amp; 6 (4+2) NR layers]</t>
  </si>
  <si>
    <t>MTR-38413</t>
  </si>
  <si>
    <t>DC_3A(4x4)-20A(2x2)-32A(2x2)_n1A(4x4)-n28A(2x2)
 UL: DC_20A_n28A
 [8 (4+2+2) LTE &amp; 6 (4+2) NR layers]</t>
  </si>
  <si>
    <t>MTR-39490</t>
  </si>
  <si>
    <t>DC_3C(4x4)-7C(4x4)_n1A(4x4)-n28A(2x2)
 UL: DC_3A_n1A
 [16 (4+4+4+4) LTE &amp; 6 (4+2) NR layers]</t>
  </si>
  <si>
    <t>DC_3C-7C_n1A-n28A</t>
  </si>
  <si>
    <t>MTR-39491</t>
  </si>
  <si>
    <t>DC_3C(4x4)-7C(4x4)_n1A(4x4)-n28A(2x2)
 UL: DC_3A_n28A
 [16 (4+4+4+4) LTE &amp; 6 (4+2) NR layers]</t>
  </si>
  <si>
    <t>MTR-39492</t>
  </si>
  <si>
    <t>DC_3C(4x4)-7C(4x4)_n1A(4x4)-n28A(2x2)
 UL: DC_3C_n1A
 [16 (4+4+4+4) LTE &amp; 6 (4+2) NR layers]</t>
  </si>
  <si>
    <t>MTR-39493</t>
  </si>
  <si>
    <t>DC_3C(4x4)-7C(4x4)_n1A(4x4)-n28A(2x2)
 UL: DC_7A_n1A
 [16 (4+4+4+4) LTE &amp; 6 (4+2) NR layers]</t>
  </si>
  <si>
    <t>MTR-39494</t>
  </si>
  <si>
    <t>DC_3C(4x4)-7C(4x4)_n1A(4x4)-n28A(2x2)
 UL: DC_7A_n28A
 [16 (4+4+4+4) LTE &amp; 6 (4+2) NR layers]</t>
  </si>
  <si>
    <t>MTR-39495</t>
  </si>
  <si>
    <t>DC_3C(4x4)-7C(4x4)_n1A(4x4)-n28A(2x2)
 UL: DC_7C_n1A
 [16 (4+4+4+4) LTE &amp; 6 (4+2) NR layers]</t>
  </si>
  <si>
    <t>MTR-39496</t>
  </si>
  <si>
    <t>DC_3C(4x4)-7C(4x4)_n1A(4x4)-n28A(2x2)
 UL: DC_7C_n28A
 [16 (4+4+4+4) LTE &amp; 6 (4+2) NR layers]</t>
  </si>
  <si>
    <t>MTR-38416</t>
  </si>
  <si>
    <t>DC_3C(4x4)-20A(2x2)-32A(2x2)_n1A(4x4)-n28A(2x2)
 UL: DC_3A_n1A
 [12 (4+4+2+2) LTE &amp; 6 (4+2) NR layers]</t>
  </si>
  <si>
    <t>DC_3C-20A-32A_n1A-n28A</t>
  </si>
  <si>
    <t>MTR-38417</t>
  </si>
  <si>
    <t>DC_3C(4x4)-20A(2x2)-32A(2x2)_n1A(4x4)-n28A(2x2)
 UL: DC_3C_n1A
 [12 (4+4+2+2) LTE &amp; 6 (4+2) NR layers]</t>
  </si>
  <si>
    <t>MTR-38418</t>
  </si>
  <si>
    <t>DC_3C(4x4)-20A(2x2)-32A(2x2)_n1A(4x4)-n28A(2x2)
 UL: DC_20A_n1A
 [12 (4+4+2+2) LTE &amp; 6 (4+2) NR layers]</t>
  </si>
  <si>
    <t>MTR-38419</t>
  </si>
  <si>
    <t>DC_3C(4x4)-20A(2x2)-32A(2x2)_n1A(4x4)-n28A(2x2)
 UL: DC_3A_n28A
 [12 (4+4+2+2) LTE &amp; 6 (4+2) NR layers]</t>
  </si>
  <si>
    <t>MTR-38420</t>
  </si>
  <si>
    <t>DC_3C(4x4)-20A(2x2)-32A(2x2)_n1A(4x4)-n28A(2x2)
 UL: DC_3C_n28A
 [12 (4+4+2+2) LTE &amp; 6 (4+2) NR layers]</t>
  </si>
  <si>
    <t>MTR-38421</t>
  </si>
  <si>
    <t>DC_3C(4x4)-20A(2x2)-32A(2x2)_n1A(4x4)-n28A(2x2)
 UL: DC_20A_n28A
 [12 (4+4+2+2) LTE &amp; 6 (4+2) NR layers]</t>
  </si>
  <si>
    <t>MTR-39412</t>
  </si>
  <si>
    <r>
      <rPr>
        <rFont val="Arial"/>
        <b/>
        <color theme="1"/>
        <sz val="10.0"/>
      </rPr>
      <t>2.5.2.9.5</t>
    </r>
    <r>
      <rPr>
        <rFont val="Arial"/>
        <b val="0"/>
        <color theme="1"/>
        <sz val="10.0"/>
      </rPr>
      <t xml:space="preserve"> </t>
    </r>
    <r>
      <rPr>
        <rFont val="Arial"/>
        <b/>
        <color theme="1"/>
        <sz val="10.0"/>
      </rPr>
      <t>EN-DC with NR CA n1A-n75A</t>
    </r>
  </si>
  <si>
    <t>MTR-39344</t>
  </si>
  <si>
    <t>DC_3A(4x4)_n1A(4x4)-n75A(4x4)
 UL: DC_3A_n1A
 [4 LTE &amp; 8 (4+4) NR layers]</t>
  </si>
  <si>
    <t>DC_3A_n1A-n75A</t>
  </si>
  <si>
    <t>n1A-n75A</t>
  </si>
  <si>
    <t>MTR-39345</t>
  </si>
  <si>
    <t>DC_7A(4x4)_n1A(4x4)-n75A(4x4)
 UL: DC_7A_n1A
 [4 LTE &amp; 8 (4+4) NR layers]</t>
  </si>
  <si>
    <t>DC_7A_n1A-n75A</t>
  </si>
  <si>
    <t>MTR-39346</t>
  </si>
  <si>
    <t>DC_20A(2x2)_n1A(4x4)-n75A(4x4)
 UL: DC_20A_n1A
 [2 LTE &amp; 8 (4+4) NR layers]</t>
  </si>
  <si>
    <t>DC_20A_n1A-n75A</t>
  </si>
  <si>
    <t>MTR-39347</t>
  </si>
  <si>
    <t>DC_3C(4x4)_n1A(4x4)-n75A(4x4)
 UL: DC_3C_n1A
 [8 (4+4) LTE &amp; 8 (4+4) NR layers]</t>
  </si>
  <si>
    <t>DC_3C_n1A-n75A</t>
  </si>
  <si>
    <t>MTR-39348</t>
  </si>
  <si>
    <t>DC_3A(4x4)-7A(4x4)_n1A(4x4)-n75A(4x4)
 UL: DC_3A_n1A
 [8 (4+4) LTE &amp; 8 (4+4) NR layers]</t>
  </si>
  <si>
    <t>DC_3A-7A_n1A-n75A</t>
  </si>
  <si>
    <t>MTR-39349</t>
  </si>
  <si>
    <t>DC_3A(4x4)-7A(4x4)_n1A(4x4)-n75A(4x4)
 UL: DC_7A_n1A
 [8 (4+4) LTE &amp; 8 (4+4) NR layers]</t>
  </si>
  <si>
    <t>MTR-39350</t>
  </si>
  <si>
    <t>DC_3A(4x4)-20A(2x2)_n1A(4x4)-n75A(4x4)
 UL: DC_3A_n1A
 [6 (4+2) LTE &amp; 8 (4+4) NR layers]</t>
  </si>
  <si>
    <t>DC_3A-20A_n1A-n75A</t>
  </si>
  <si>
    <t>MTR-39351</t>
  </si>
  <si>
    <t>DC_3A(4x4)-20A(2x2)_n1A(4x4)-n75A(4x4)
 UL: DC_20A_n1A
 [6 (4+2) LTE &amp; 8 (4+4) NR layers]</t>
  </si>
  <si>
    <t>MTR-39352</t>
  </si>
  <si>
    <t>DC_7A(4x4)-20A(2x2)_n1A(4x4)-n75A(4x4)
 UL: DC_3A_n1A
 [6 (4+2) LTE &amp; 8 (4+4) NR layers]</t>
  </si>
  <si>
    <t>DC_7A-20A_n1A-n75A</t>
  </si>
  <si>
    <t>MTR-39353</t>
  </si>
  <si>
    <t>DC_7A(4x4)-20A(2x2)_n1A(4x4)-n75A(4x4)
 UL: DC_7A_n1A
 [6 (4+2) LTE &amp; 8 (4+4) NR layers]</t>
  </si>
  <si>
    <t>MTR-39354</t>
  </si>
  <si>
    <t>DC_3C(4x4)-7A(4x4)_n1A(4x4)-n75A(4x4)
 UL: DC_3C_n1A
 [12 (4+4+4) LTE &amp; 8 (4+4) NR layers]</t>
  </si>
  <si>
    <t>DC_3C-7A_n1A-n75A</t>
  </si>
  <si>
    <t>MTR-39355</t>
  </si>
  <si>
    <t>DC_3C(4x4)-7A(4x4)_n1A(4x4)-n75A(4x4)
 UL: DC_3A_n1A
 [12 (4+4+4) LTE &amp; 8 (4+4) NR layers]</t>
  </si>
  <si>
    <t>MTR-39356</t>
  </si>
  <si>
    <t>DC_3C(4x4)-7A(4x4)_n1A(4x4)-n75A(4x4)
 UL: DC_7A_n1A
 [12 (4+4+4) LTE &amp; 8 (4+4) NR layers]</t>
  </si>
  <si>
    <t>MTR-39357</t>
  </si>
  <si>
    <t>DC_3C(4x4)-20A(2x2)_n1A(4x4)-n75A(4x4)
 UL: DC_3A_n1A
 [10 (4+4+2) LTE &amp; 8 (4+4) NR layers]</t>
  </si>
  <si>
    <t>DC_3C-20A_n1A-n75A</t>
  </si>
  <si>
    <t>MTR-39358</t>
  </si>
  <si>
    <t>DC_3C(4x4)-20A(2x2)_n1A(4x4)-n75A(4x4)
 UL: DC_3C_n1A
 [10 (4+4+2) LTE &amp; 8 (4+4) NR layers]</t>
  </si>
  <si>
    <t>MTR-39359</t>
  </si>
  <si>
    <t>DC_3C(4x4)-20A(2x2)_n1A(4x4)-n75A(4x4)
 UL: DC_20A_n1A
 [10 (4+4+2) LTE &amp; 8 (4+4) NR layers]</t>
  </si>
  <si>
    <t>MTR-39360</t>
  </si>
  <si>
    <t>DC_3A(4x4)-7A(4x4)-20A(2x2)_n1A(4x4)-n75A(4x4)
 UL: DC_3A_n1A
 [10 (4+4+2) LTE &amp; 8 (4+4) NR layers]</t>
  </si>
  <si>
    <t>DC_3A-7A-20A_n1A-n75A</t>
  </si>
  <si>
    <t>MTR-39361</t>
  </si>
  <si>
    <t>DC_3A(4x4)-7A(4x4)-20A(2x2)_n1A(4x4)-n75A(4x4)
 UL: DC_7A_n1A
 [10 (4+4+2) LTE &amp; 8 (4+4) NR layers]</t>
  </si>
  <si>
    <t>MTR-39362</t>
  </si>
  <si>
    <t>DC_3A(4x4)-7A(4x4)-20A(2x2)_n1A(4x4)-n75A(4x4)
 UL: DC_20A_n1A
 [10 (4+4+2) LTE &amp; 8 (4+4) NR layers]</t>
  </si>
  <si>
    <t>MTR-40013</t>
  </si>
  <si>
    <t>DC_3C(4x4)-7A(4x4)-20A(2x2)_n1A(4x4)-n75A(4x4)
 UL: DC_3A_n1A
 [14 (4+4+4+2) LTE &amp; 8 (4+4) NR layers]</t>
  </si>
  <si>
    <t>DC_3C-7A-20A_n1A-n75A</t>
  </si>
  <si>
    <t>MTR-40014</t>
  </si>
  <si>
    <t>DC_3C(4x4)-7A(4x4)-20A(2x2)_n1A(4x4)-n75A(4x4)
 UL: DC_3C_n1A
 [14 (4+4+4+2) LTE &amp; 8 (4+4) NR layers]</t>
  </si>
  <si>
    <t>MTR-40015</t>
  </si>
  <si>
    <t>DC_3C(4x4)-7A(4x4)-20A(2x2)_n1A(4x4)-n75A(4x4)
 UL: DC_7A_n1A
 [14 (4+4+4+2) LTE &amp; 8 (4+4) NR layers]</t>
  </si>
  <si>
    <t>MTR-40016</t>
  </si>
  <si>
    <t>DC_3C(4x4)-7A(4x4)-20A(2x2)_n1A(4x4)-n75A(4x4)
 UL: DC_20A_n1A
 [14 (4+4+4+2) LTE &amp; 8 (4+4) NR layers]</t>
  </si>
  <si>
    <t>MTR-34585</t>
  </si>
  <si>
    <r>
      <rPr>
        <rFont val="Arial"/>
        <b/>
        <color theme="1"/>
        <sz val="10.0"/>
      </rPr>
      <t>2.5.2.9.6</t>
    </r>
    <r>
      <rPr>
        <rFont val="Arial"/>
        <b val="0"/>
        <color theme="1"/>
        <sz val="10.0"/>
      </rPr>
      <t xml:space="preserve"> </t>
    </r>
    <r>
      <rPr>
        <rFont val="Arial"/>
        <b/>
        <color theme="1"/>
        <sz val="10.0"/>
      </rPr>
      <t>EN-DC with NR CA n1A-n78A</t>
    </r>
  </si>
  <si>
    <t>MTR-34587</t>
  </si>
  <si>
    <t>DC_3A(4x4)_n1A(4x4)-n78A(4x4)
 UL: DC_3A_n1A
 [4 LTE &amp; 8 (4+4) NR layers]</t>
  </si>
  <si>
    <t>DC_3A_n1A-n78A</t>
  </si>
  <si>
    <t>n1A-n78A</t>
  </si>
  <si>
    <t>MTR-34586</t>
  </si>
  <si>
    <t>DC_3A(4x4)_n1A(4x4)-n78A(4x4)
 UL: DC_3A_n78A
 [4 LTE &amp; 8 (4+4) NR layers]</t>
  </si>
  <si>
    <t>MTR-34589</t>
  </si>
  <si>
    <t>DC_7A(4x4)_n1A(4x4)-n78A(4x4)
 UL: DC_7A_n1A
 [4 LTE &amp; 8 (4+4) NR layers]</t>
  </si>
  <si>
    <t>DC_7A_n1A-n78A</t>
  </si>
  <si>
    <t>Uplink support: ['DC_7A_n78A']</t>
  </si>
  <si>
    <t>MTR-34588</t>
  </si>
  <si>
    <t>DC_7A(4x4)_n1A(4x4)-n78A(4x4)
 UL: DC_7A_n78A
 [4 LTE &amp; 8 (4+4) NR layers]</t>
  </si>
  <si>
    <t>MTR-35013</t>
  </si>
  <si>
    <t>DC_8A(2x2)_n1A(4x4)-n78A(4x4)
 UL: DC_8A_n1A
 [2 LTE &amp; 8 (4+4) NR layers]</t>
  </si>
  <si>
    <t>DC_8A_n1A-n78A</t>
  </si>
  <si>
    <t>MTR-35014</t>
  </si>
  <si>
    <t>DC_8A(2x2)_n1A(4x4)-n78A(4x4)
 UL: DC_8A_n78A
 [2 LTE &amp; 8 (4+4) NR layers]</t>
  </si>
  <si>
    <t>MTR-34591</t>
  </si>
  <si>
    <t>DC_20A(2x2)_n1A(4x4)-n78A(4x4)
 UL: DC_20A_n1A
 [2 LTE &amp; 8 (4+4) NR layers]</t>
  </si>
  <si>
    <t>DC_20A_n1A-n78A</t>
  </si>
  <si>
    <t>MTR-34590</t>
  </si>
  <si>
    <t>DC_20A(2x2)_n1A(4x4)-n78A(4x4)
 UL: DC_20A_n78A
 [2 LTE &amp; 8 (4+4) NR layers]</t>
  </si>
  <si>
    <t>MTR-36018</t>
  </si>
  <si>
    <t>DC_28A(2x2)_n1A(4x4)-n78A(4x4)
 UL: DC_28A_n1A
 [2 LTE &amp; 8 (4+4) NR layers]</t>
  </si>
  <si>
    <t>DC_28A_n1A-n78A</t>
  </si>
  <si>
    <t>MTR-36019</t>
  </si>
  <si>
    <t>DC_28A(2x2)_n1A(4x4)-n78A(4x4)
 UL: DC_28A_n78A
 [2 LTE &amp; 8 (4+4) NR layers]</t>
  </si>
  <si>
    <t>MTR-35011</t>
  </si>
  <si>
    <t>DC_3C(4x4)_n1A(4x4)-n78A(4x4)
 UL: DC_3A_n1A
 [8 (4+4) LTE &amp; 8 (4+4) NR layers]</t>
  </si>
  <si>
    <t>DC_3C_n1A-n78A</t>
  </si>
  <si>
    <t>MTR-35012</t>
  </si>
  <si>
    <t>DC_3C(4x4)_n1A(4x4)-n78A(4x4)
 UL: DC_3A_n78A
 [8 (4+4) LTE &amp; 8 (4+4) NR layers]</t>
  </si>
  <si>
    <t>MTR-36020</t>
  </si>
  <si>
    <t>DC_3C(4x4)_n1A(4x4)-n78A(4x4)
 UL: DC_3C_n1A
 [8 (4+4) LTE &amp; 8 (4+4) NR layers]</t>
  </si>
  <si>
    <t>MTR-36021</t>
  </si>
  <si>
    <t>DC_3C(4x4)_n1A(4x4)-n78A(4x4)
 UL: DC_3C_n78A
 [8 (4+4) LTE &amp; 8 (4+4) NR layers]</t>
  </si>
  <si>
    <t>MTR-34638</t>
  </si>
  <si>
    <t>DC_3A(4x4)-3A(4x4)_n1A(4x4)-n78A(4x4)
 UL: DC_3A_n1A
 [8 (4+4) LTE &amp; 8 (4+4) NR layers]</t>
  </si>
  <si>
    <t>DC_3A-3A_n1A-n78A</t>
  </si>
  <si>
    <t>MTR-34637</t>
  </si>
  <si>
    <t>DC_3A(4x4)-3A(4x4)_n1A(4x4)-n78A(4x4)
 UL: DC_3A_n78A
 [8 (4+4) LTE &amp; 8 (4+4) NR layers]</t>
  </si>
  <si>
    <t>MTR-34593</t>
  </si>
  <si>
    <t>DC_3A(4x4)-7A(4x4)_n1A(4x4)-n78A(4x4)
 UL: DC_3A_n1A
 [8 (4+4) LTE &amp; 8 (4+4) NR layers]</t>
  </si>
  <si>
    <t>DC_3A-7A_n1A-n78A</t>
  </si>
  <si>
    <t>MTR-34592</t>
  </si>
  <si>
    <t>DC_3A(4x4)-7A(4x4)_n1A(4x4)-n78A(4x4)
 UL: DC_3A_n78A
 [8 (4+4) LTE &amp; 8 (4+4) NR layers]</t>
  </si>
  <si>
    <t>MTR-34595</t>
  </si>
  <si>
    <t>DC_3A(4x4)-7A(4x4)_n1A(4x4)-n78A(4x4)
 UL: DC_7A_n1A
 [8 (4+4) LTE &amp; 8 (4+4) NR layers]</t>
  </si>
  <si>
    <t>MTR-34594</t>
  </si>
  <si>
    <t>DC_3A(4x4)-7A(4x4)_n1A(4x4)-n78A(4x4)
 UL: DC_7A_n78A
 [8 (4+4) LTE &amp; 8 (4+4) NR layers]</t>
  </si>
  <si>
    <t>MTR-35031</t>
  </si>
  <si>
    <t>DC_3A(4x4)-8A(2x2)_n1A(4x4)-n78A(4x4)
 UL: DC_3A_n1A
 [6 (4+2) LTE &amp; 8 (4+4) NR layers]</t>
  </si>
  <si>
    <t>DC_3A-8A_n1A-n78A</t>
  </si>
  <si>
    <t>MTR-35032</t>
  </si>
  <si>
    <t>DC_3A(4x4)-8A(2x2)_n1A(4x4)-n78A(4x4)
 UL: DC_3A_n78A
 [6 (4+2) LTE &amp; 8 (4+4) NR layers]</t>
  </si>
  <si>
    <t>MTR-35033</t>
  </si>
  <si>
    <t>DC_3A(4x4)-8A(2x2)_n1A(4x4)-n78A(4x4)
 UL: DC_8A_n1A
 [6 (4+2) LTE &amp; 8 (4+4) NR layers]</t>
  </si>
  <si>
    <t>MTR-35034</t>
  </si>
  <si>
    <t>DC_3A(4x4)-8A(2x2)_n1A(4x4)-n78A(4x4)
 UL: DC_8A_n78A
 [6 (4+2) LTE &amp; 8 (4+4) NR layers]</t>
  </si>
  <si>
    <t>MTR-36024</t>
  </si>
  <si>
    <t>DC_3A(4x4)-20A(2x2)_n1A(4x4)-n78A(4x4)
 UL: DC_3A_n1A
 [6 (4+2) LTE &amp; 8 (4+4) NR layers]</t>
  </si>
  <si>
    <t>DC_3A-20A_n1A-n78A</t>
  </si>
  <si>
    <t>MTR-36025</t>
  </si>
  <si>
    <t>DC_3A(4x4)-20A(2x2)_n1A(4x4)-n78A(4x4)
 UL: DC_3A_n78A
 [6 (4+2) LTE &amp; 8 (4+4) NR layers]</t>
  </si>
  <si>
    <t>MTR-36022</t>
  </si>
  <si>
    <t>DC_3A(4x4)-20A(2x2)_n1A(4x4)-n78A(4x4)
 UL: DC_20A_n1A
 [6 (4+2) LTE &amp; 8 (4+4) NR layers]</t>
  </si>
  <si>
    <t>MTR-36023</t>
  </si>
  <si>
    <t>DC_3A(4x4)-20A(2x2)_n1A(4x4)-n78A(4x4)
 UL: DC_20A_n78A
 [6 (4+2) LTE &amp; 8 (4+4) NR layers]</t>
  </si>
  <si>
    <t>MTR-36563</t>
  </si>
  <si>
    <t>DC_3A(4x4)-28A(2x2)_n1A(4x4)-n78A(4x4)
 UL: DC_3A_n1A
 [6 (4+2) LTE &amp; 8 (4+4) NR layers]</t>
  </si>
  <si>
    <t>DC_3A-28A_n1A-n78A</t>
  </si>
  <si>
    <t>MTR-36564</t>
  </si>
  <si>
    <t>DC_3A(4x4)-28A(2x2)_n1A(4x4)-n78A(4x4)
 UL: DC_28A_n1A
 [6 (4+2) LTE &amp; 8 (4+4) NR layers]</t>
  </si>
  <si>
    <t>MTR-36565</t>
  </si>
  <si>
    <t>DC_3A(4x4)-28A(2x2)_n1A(4x4)-n78A(4x4)
 UL: DC_3A_n78A
 [6 (4+2) LTE &amp; 8 (4+4) NR layers]</t>
  </si>
  <si>
    <t>MTR-36566</t>
  </si>
  <si>
    <t>DC_3A(4x4)-28A(2x2)_n1A(4x4)-n78A(4x4)
 UL: DC_28A_n78A
 [6 (4+2) LTE &amp; 8 (4+4) NR layers]</t>
  </si>
  <si>
    <t>MTR-39363</t>
  </si>
  <si>
    <t>DC_3A(4x4)-32A(2x2)_n1A(4x4)-n78A(4x4)
 UL: DC_3A_n1A
 [6 (4+2) LTE &amp; 8 (4+4) NR layers]</t>
  </si>
  <si>
    <t>DC_3A-32A_n1A-n78A</t>
  </si>
  <si>
    <t>MTR-39364</t>
  </si>
  <si>
    <t>DC_3A(4x4)-32A(2x2)_n1A(4x4)-n78A(4x4)
 UL: DC_3A_n78A
 [6 (4+2) LTE &amp; 8 (4+4) NR layers]</t>
  </si>
  <si>
    <t>MTR-34624</t>
  </si>
  <si>
    <t>DC_7A(4x4)-7A(4x4)_n1A(4x4)-n78A(4x4)
 UL: DC_7A_n1A
 [8 (4+4) LTE &amp; 8 (4+4) NR layers]</t>
  </si>
  <si>
    <t>DC_7A-7A_n1A-n78A</t>
  </si>
  <si>
    <t>MTR-34623</t>
  </si>
  <si>
    <t>DC_7A(4x4)-7A(4x4)_n1A(4x4)-n78A(4x4)
 UL: DC_7A_n78A
 [8 (4+4) LTE &amp; 8 (4+4) NR layers]</t>
  </si>
  <si>
    <t>MTR-34597</t>
  </si>
  <si>
    <t>DC_7C(4x4)_n1A(4x4)-n78A(4x4)
 UL: DC_7A_n1A
 [8 (4+4) LTE &amp; 8 (4+4) NR layers]</t>
  </si>
  <si>
    <t>DC_7C_n1A-n78A</t>
  </si>
  <si>
    <t>MTR-34596</t>
  </si>
  <si>
    <t>DC_7C(4x4)_n1A(4x4)-n78A(4x4)
 UL: DC_7A_n78A
 [8 (4+4) LTE &amp; 8 (4+4) NR layers]</t>
  </si>
  <si>
    <t>MTR-34599</t>
  </si>
  <si>
    <t>DC_7C(4x4)_n1A(4x4)-n78A(4x4)
 UL: DC_7C_n1A
 [8 (4+4) LTE &amp; 8 (4+4) NR layers]</t>
  </si>
  <si>
    <t>MTR-34598</t>
  </si>
  <si>
    <t>DC_7C(4x4)_n1A(4x4)-n78A(4x4)
 UL: DC_7C_n78A
 [8 (4+4) LTE &amp; 8 (4+4) NR layers]</t>
  </si>
  <si>
    <t>MTR-35035</t>
  </si>
  <si>
    <t>DC_7A(4x4)-8A(2x2)_n1A(4x4)-n78A(4x4)
 UL: DC_7A_n1A
 [6 (4+2) LTE &amp; 8 (4+4) NR layers]</t>
  </si>
  <si>
    <t>DC_7A-8A_n1A-n78A</t>
  </si>
  <si>
    <t>MTR-35036</t>
  </si>
  <si>
    <t>DC_7A(4x4)-8A(2x2)_n1A(4x4)-n78A(4x4)
 UL: DC_7A_n78A
 [6 (4+2) LTE &amp; 8 (4+4) NR layers]</t>
  </si>
  <si>
    <t>MTR-35037</t>
  </si>
  <si>
    <t>DC_7A(4x4)-8A(2x2)_n1A(4x4)-n78A(4x4)
 UL: DC_8A_n1A
 [6 (4+2) LTE &amp; 8 (4+4) NR layers]</t>
  </si>
  <si>
    <t>MTR-35038</t>
  </si>
  <si>
    <t>DC_7A(4x4)-8A(2x2)_n1A(4x4)-n78A(4x4)
 UL: DC_8A_n78A
 [6 (4+2) LTE &amp; 8 (4+4) NR layers]</t>
  </si>
  <si>
    <t>MTR-36034</t>
  </si>
  <si>
    <t>DC_7A(4x4)-20A(2x2)_n1A(4x4)-n78A(4x4)
 UL: DC_7A_n1A
 [6 (4+2) LTE &amp; 8 (4+4) NR layers]</t>
  </si>
  <si>
    <t>DC_7A-20A_n1A-n78A</t>
  </si>
  <si>
    <t>MTR-36035</t>
  </si>
  <si>
    <t>DC_7A(4x4)-20A(2x2)_n1A(4x4)-n78A(4x4)
 UL: DC_7A_n78A
 [6 (4+2) LTE &amp; 8 (4+4) NR layers]</t>
  </si>
  <si>
    <t>MTR-36032</t>
  </si>
  <si>
    <t>DC_7A(4x4)-20A(2x2)_n1A(4x4)-n78A(4x4)
 UL: DC_20A_n1A
 [6 (4+2) LTE &amp; 8 (4+4) NR layers]</t>
  </si>
  <si>
    <t>MTR-36033</t>
  </si>
  <si>
    <t>DC_7A(4x4)-20A(2x2)_n1A(4x4)-n78A(4x4)
 UL: DC_20A_n78A
 [6 (4+2) LTE &amp; 8 (4+4) NR layers]</t>
  </si>
  <si>
    <t>MTR-36567</t>
  </si>
  <si>
    <t>DC_7A(4x4)-28A(2x2)_n1A(4x4)-n78A(4x4)
 UL: DC_7A_n1A
 [6 (4+2) LTE &amp; 8 (4+4) NR layers]</t>
  </si>
  <si>
    <t>DC_7A-28A_n1A-n78A</t>
  </si>
  <si>
    <t>MTR-36568</t>
  </si>
  <si>
    <t>DC_7A(4x4)-28A(2x2)_n1A(4x4)-n78A(4x4)
 UL: DC_28A_n1A
 [6 (4+2) LTE &amp; 8 (4+4) NR layers]</t>
  </si>
  <si>
    <t>MTR-36569</t>
  </si>
  <si>
    <t>DC_7A(4x4)-28A(2x2)_n1A(4x4)-n78A(4x4)
 UL: DC_7A_n78A
 [6 (4+2) LTE &amp; 8 (4+4) NR layers]</t>
  </si>
  <si>
    <t>MTR-36570</t>
  </si>
  <si>
    <t>DC_7A(4x4)-28A(2x2)_n1A(4x4)-n78A(4x4)
 UL: DC_28A_n78A
 [6 (4+2) LTE &amp; 8 (4+4) NR layers]</t>
  </si>
  <si>
    <t>MTR-39365</t>
  </si>
  <si>
    <t>DC_7A(4x4)-32A(2x2)_n1A(4x4)-n78A(4x4)
 UL: DC_7A_n1A
 [6 (4+2) LTE &amp; 8 (4+4) NR layers]</t>
  </si>
  <si>
    <t>DC_7A-32A_n1A-n78A</t>
  </si>
  <si>
    <t>MTR-39366</t>
  </si>
  <si>
    <t>DC_7A(4x4)-32A(2x2)_n1A(4x4)-n78A(4x4)
 UL: DC_7A_n78A
 [6 (4+2) LTE &amp; 8 (4+4) NR layers]</t>
  </si>
  <si>
    <t>MTR-35015</t>
  </si>
  <si>
    <t>DC_3C(4x4)-7A(4x4)_n1A(4x4)-n78A(4x4)
 UL: DC_3A_n1A
 [12 (8+4) LTE &amp; 8 (4+4) NR layers]</t>
  </si>
  <si>
    <t>DC_3C-7A_n1A-n78A</t>
  </si>
  <si>
    <t>MTR-35016</t>
  </si>
  <si>
    <t>DC_3C(4x4)-7A(4x4)_n1A(4x4)-n78A(4x4)
 UL: DC_3A_n78A
 [12 (8+4) LTE &amp; 8 (4+4) NR layers]</t>
  </si>
  <si>
    <t>MTR-36030</t>
  </si>
  <si>
    <t>DC_3C(4x4)-7A(4x4)_n1A(4x4)-n78A(4x4)
 UL: DC_3C_n1A
 [12 (4+4+4) LTE &amp; 8 (4+4) NR layers]</t>
  </si>
  <si>
    <t>MTR-36031</t>
  </si>
  <si>
    <t>DC_3C(4x4)-7A(4x4)_n1A(4x4)-n78A(4x4)
 UL: DC_3C_n78A
 [12 (4+4+4) LTE &amp; 8 (4+4) NR layers]</t>
  </si>
  <si>
    <t>MTR-35017</t>
  </si>
  <si>
    <t>DC_3C(4x4)-7A(4x4)_n1A(4x4)-n78A(4x4)
 UL: DC_7A_n1A
 [12 (8+4) LTE &amp; 8 (4+4) NR layers]</t>
  </si>
  <si>
    <t>MTR-35018</t>
  </si>
  <si>
    <t>DC_3C(4x4)-7A(4x4)_n1A(4x4)-n78A(4x4)
 UL: DC_7A_n78A
 [12 (8+4) LTE &amp; 8 (4+4) NR layers]</t>
  </si>
  <si>
    <t>MTR-34626</t>
  </si>
  <si>
    <t>DC_3A(4x4)-3A(4x4)-7A(4x4)_n1A(4x4)-n78A(4x4)
 UL: DC_3A_n1A
 [12 (8+4) LTE &amp; 8 (4+4) NR layers]</t>
  </si>
  <si>
    <t>DC_3A-3A-7A_n1A-n78A</t>
  </si>
  <si>
    <t>MTR-34625</t>
  </si>
  <si>
    <t>DC_3A(4x4)-3A(4x4)-7A(4x4)_n1A(4x4)-n78A(4x4)
 UL: DC_3A_n78A
 [12 (8+4) LTE &amp; 8 (4+4) NR layers]</t>
  </si>
  <si>
    <t>MTR-34628</t>
  </si>
  <si>
    <t>DC_3A(4x4)-3A(4x4)-7A(4x4)_n1A(4x4)-n78A(4x4)
 UL: DC_7A_n1A
 [12 (8+4) LTE &amp; 8 (4+4) NR layers]</t>
  </si>
  <si>
    <t>MTR-34627</t>
  </si>
  <si>
    <t>DC_3A(4x4)-3A(4x4)-7A(4x4)_n1A(4x4)-n78A(4x4)
 UL: DC_7A_n78A
 [12 (8+4) LTE &amp; 8 (4+4) NR layers]</t>
  </si>
  <si>
    <t>MTR-35413</t>
  </si>
  <si>
    <t>DC_3A(4x4)-3A(4x4)-8A(2x2)_n1A(4x4)-n78A(4x4)
 UL: DC_3A_n1A
 [10 (4+4+2) LTE &amp; 8 (4+4) NR layers]</t>
  </si>
  <si>
    <t>DC_3A-3A-8A_n1A-n78A</t>
  </si>
  <si>
    <t>MTR-35414</t>
  </si>
  <si>
    <t>DC_3A(4x4)-3A(4x4)-8A(2x2)_n1A(4x4)-n78A(4x4)
 UL: DC_8A_n1A
 [10 (4+4+2) LTE &amp; 8 (4+4) NR layers]</t>
  </si>
  <si>
    <t>MTR-35415</t>
  </si>
  <si>
    <t>DC_3A(4x4)-3A(4x4)-8A(2x2)_n1A(4x4)-n78A(4x4)
 UL: DC_3A_n78A
 [10 (4+4+2) LTE &amp; 8 (4+4) NR layers]</t>
  </si>
  <si>
    <t>MTR-35416</t>
  </si>
  <si>
    <t>DC_3A(4x4)-3A(4x4)-8A(2x2)_n1A(4x4)-n78A(4x4)
 UL: DC_8A_n78A
 [10 (4+4+2) LTE &amp; 8 (4+4) NR layers]</t>
  </si>
  <si>
    <t>MTR-36028</t>
  </si>
  <si>
    <t>DC_3C(4x4)-20A(2x2)_n1A(4x4)-n78A(4x4)
 UL: DC_3A_n1A
 [10 (4+4+2) LTE &amp; 8 (4+4) NR layers]</t>
  </si>
  <si>
    <t>DC_3C-20A_n1A-n78A</t>
  </si>
  <si>
    <t>MTR-36577</t>
  </si>
  <si>
    <t>DC_3C(4x4)-20A(2x2)_n1A(4x4)-n78A(4x4)
 UL: DC_3C_n1A
 [10 (4+4+2) LTE &amp; 8 (4+4) NR layers]</t>
  </si>
  <si>
    <t>MTR-36029</t>
  </si>
  <si>
    <t>DC_3C(4x4)-20A(2x2)_n1A(4x4)-n78A(4x4)
 UL: DC_3A_n78A
 [10 (4+4+2) LTE &amp; 8 (4+4) NR layers]</t>
  </si>
  <si>
    <t>MTR-36578</t>
  </si>
  <si>
    <t>DC_3C(4x4)-20A(2x2)_n1A(4x4)-n78A(4x4)
 UL: DC_3C_n78A
 [10 (4+4+2) LTE &amp; 8 (4+4) NR layers]</t>
  </si>
  <si>
    <t>MTR-36026</t>
  </si>
  <si>
    <t>DC_3C(4x4)-20A(2x2)_n1A(4x4)-n78A(4x4)
 UL: DC_20A_n1A
 [10 (4+4+2) LTE &amp; 8 (4+4) NR layers]</t>
  </si>
  <si>
    <t>MTR-36027</t>
  </si>
  <si>
    <t>DC_3C(4x4)-20A(2x2)_n1A(4x4)-n78A(4x4)
 UL: DC_20A_n78A
 [10 (4+4+2) LTE &amp; 8 (4+4) NR layers]</t>
  </si>
  <si>
    <t>MTR-39499</t>
  </si>
  <si>
    <t>DC_3A(4x4)-3A(4x4)-20A(2x2)_n1A(4x4)-n78A(4x4)
 UL: DC_3A_n1A
 [10 (4+4+2) LTE &amp; 8 (4+4) NR layers]</t>
  </si>
  <si>
    <t>DC_3A-3A-20A_n1A-n78A</t>
  </si>
  <si>
    <t>MTR-39500</t>
  </si>
  <si>
    <t>DC_3A(4x4)-3A(4x4)-20A(2x2)_n1A(4x4)-n78A(4x4)
 UL: DC_3A_n78A
 [10 (4+4+2) LTE &amp; 8 (4+4) NR layers]</t>
  </si>
  <si>
    <t>MTR-39501</t>
  </si>
  <si>
    <t>DC_3A(4x4)-3A(4x4)-20A(2x2)_n1A(4x4)-n78A(4x4)
 UL: DC_20A_n1A
 [10 (4+4+2) LTE &amp; 8 (4+4) NR layers]</t>
  </si>
  <si>
    <t>MTR-39502</t>
  </si>
  <si>
    <t>DC_3A(4x4)-3A(4x4)-20A(2x2)_n1A(4x4)-n78A(4x4)
 UL: DC_20A_n78A
 [10 (4+4+2) LTE &amp; 8 (4+4) NR layers]</t>
  </si>
  <si>
    <t>MTR-39367</t>
  </si>
  <si>
    <t>DC_3C(4x4)-32A(2x2)_n1A(4x4)-n78A(4x4)
 UL: DC_3A_n1A
 [10 (4+4+2) LTE &amp; 8 (4+4) NR layers]</t>
  </si>
  <si>
    <t>DC_3C-32A_n1A-n78A</t>
  </si>
  <si>
    <t>MTR-39368</t>
  </si>
  <si>
    <t>DC_3C(4x4)-32A(2x2)_n1A(4x4)-n78A(4x4)
 UL: DC_3A_n78A
 [10 (4+4+2) LTE &amp; 8 (4+4) NR layers]</t>
  </si>
  <si>
    <t>MTR-39369</t>
  </si>
  <si>
    <t>DC_3C(4x4)-32A(2x2)_n1A(4x4)-n78A(4x4)
 UL: DC_3C_n1A
 [10 (4+4+2) LTE &amp; 8 (4+4) NR layers]</t>
  </si>
  <si>
    <t>MTR-39370</t>
  </si>
  <si>
    <t>DC_3C(4x4)-32A(2x2)_n1A(4x4)-n78A(4x4)
 UL: DC_3C_n78A
 [10 (4+4+2) LTE &amp; 8 (4+4) NR layers]</t>
  </si>
  <si>
    <t>MTR-35019</t>
  </si>
  <si>
    <t>DC_3A(4x4)-7C(4x4)_n1A(4x4)-n78A(4x4)
 UL: DC_3A_n1A
 [12 (8+4) LTE &amp; 8 (4+4) NR layers]</t>
  </si>
  <si>
    <t>DC_3A-7C_n1A-n78A</t>
  </si>
  <si>
    <t>MTR-35020</t>
  </si>
  <si>
    <t>DC_3A(4x4)-7C(4x4)_n1A(4x4)-n78A(4x4)
 UL: DC_3A_n78A
 [12 (8+4) LTE &amp; 8 (4+4) NR layers]</t>
  </si>
  <si>
    <t>MTR-35021</t>
  </si>
  <si>
    <t>DC_3A(4x4)-7C(4x4)_n1A(4x4)-n78A(4x4)
 UL: DC_7A_n1A
 [12 (8+4) LTE &amp; 8 (4+4) NR layers]</t>
  </si>
  <si>
    <t>MTR-35022</t>
  </si>
  <si>
    <t>DC_3A(4x4)-7C(4x4)_n1A(4x4)-n78A(4x4)
 UL: DC_7A_n78A
 [12 (8+4) LTE &amp; 8 (4+4) NR layers]</t>
  </si>
  <si>
    <t>MTR-35023</t>
  </si>
  <si>
    <t>DC_3A(4x4)-7C(4x4)_n1A(4x4)-n78A(4x4)
 UL: DC_7C_n1A
 [12 (8+4) LTE &amp; 8 (4+4) NR layers]</t>
  </si>
  <si>
    <t>MTR-35024</t>
  </si>
  <si>
    <t>DC_3A(4x4)-7C(4x4)_n1A(4x4)-n78A(4x4)
 UL: DC_7C_n78A
 [12 (8+4) LTE &amp; 8 (4+4) NR layers]</t>
  </si>
  <si>
    <t>MTR-34630</t>
  </si>
  <si>
    <t>DC_3A(4x4)-7A(4x4)-7A(4x4)_n1A(4x4)-n78A(4x4)
 UL: DC_3A_n1A
 [12 (8+4) LTE &amp; 8 (4+4) NR layers]</t>
  </si>
  <si>
    <t>DC_3A-7A-7A_n1A-n78A</t>
  </si>
  <si>
    <t>MTR-34629</t>
  </si>
  <si>
    <t>DC_3A(4x4)-7A(4x4)-7A(4x4)_n1A(4x4)-n78A(4x4)
 UL: DC_3A_n78A
 [12 (8+4) LTE &amp; 8 (4+4) NR layers]</t>
  </si>
  <si>
    <t>MTR-34632</t>
  </si>
  <si>
    <t>DC_3A(4x4)-7A(4x4)-7A(4x4)_n1A(4x4)-n78A(4x4)
 UL: DC_7A_n1A
 [12 (8+4) LTE &amp; 8 (4+4) NR layers]</t>
  </si>
  <si>
    <t>MTR-34631</t>
  </si>
  <si>
    <t>DC_3A(4x4)-7A(4x4)-7A(4x4)_n1A(4x4)-n78A(4x4)
 UL: DC_7A_n78A
 [12 (8+4) LTE &amp; 8 (4+4) NR layers]</t>
  </si>
  <si>
    <t>MTR-35039</t>
  </si>
  <si>
    <t>DC_3A(4x4)-7A(4x4)-8A(2x2)_n1A(4x4)-n78A(4x4)
 UL: DC_3A_n1A
 [10 (4+4+2) LTE &amp; 8 (4+4) NR layers]</t>
  </si>
  <si>
    <t>DC_3A-7A-8A_n1A-n78A</t>
  </si>
  <si>
    <t>MTR-35040</t>
  </si>
  <si>
    <t>DC_3A(4x4)-7A(4x4)-8A(2x2)_n1A(4x4)-n78A(4x4)
 UL: DC_3A_n78A
 [10 (4+4+2) LTE &amp; 8 (4+4) NR layers]</t>
  </si>
  <si>
    <t>MTR-35041</t>
  </si>
  <si>
    <t>DC_3A(4x4)-7A(4x4)-8A(2x2)_n1A(4x4)-n78A(4x4)
 UL: DC_7A_n1A
 [10 (4+4+2) LTE &amp; 8 (4+4) NR layers]</t>
  </si>
  <si>
    <t>MTR-35042</t>
  </si>
  <si>
    <t>DC_3A(4x4)-7A(4x4)-8A(2x2)_n1A(4x4)-n78A(4x4)
 UL: DC_7A_n78A
 [10 (4+4+2) LTE &amp; 8 (4+4) NR layers]</t>
  </si>
  <si>
    <t>MTR-35043</t>
  </si>
  <si>
    <t>DC_3A(4x4)-7A(4x4)-8A(2x2)_n1A(4x4)-n78A(4x4)
 UL: DC_8A_n1A
 [10 (4+4+2) LTE &amp; 8 (4+4) NR layers]</t>
  </si>
  <si>
    <t>MTR-35044</t>
  </si>
  <si>
    <t>DC_3A(4x4)-7A(4x4)-8A(2x2)_n1A(4x4)-n78A(4x4)
 UL: DC_8A_n78A
 [10 (4+4+2) LTE &amp; 8 (4+4) NR layers]</t>
  </si>
  <si>
    <t>MTR-36038</t>
  </si>
  <si>
    <t>DC_3A(4x4)-7A(4x4)-20A(2x2)_n1A(4x4)-n78A(4x4)
 UL: DC_3A_n1A
 [10 (4+4+2) LTE &amp; 8 (4+4) NR layers]</t>
  </si>
  <si>
    <t>DC_3A-7A-20A_n1A-n78A</t>
  </si>
  <si>
    <t>MTR-36039</t>
  </si>
  <si>
    <t>DC_3A(4x4)-7A(4x4)-20A(2x2)_n1A(4x4)-n78A(4x4)
 UL: DC_3A_n78A
 [10 (4+4+2) LTE &amp; 8 (4+4) NR layers]</t>
  </si>
  <si>
    <t>MTR-36040</t>
  </si>
  <si>
    <t>DC_3A(4x4)-7A(4x4)-20A(2x2)_n1A(4x4)-n78A(4x4)
 UL: DC_7A_n1A
 [10 (4+4+2) LTE &amp; 8 (4+4) NR layers]</t>
  </si>
  <si>
    <t>MTR-36041</t>
  </si>
  <si>
    <t>DC_3A(4x4)-7A(4x4)-20A(2x2)_n1A(4x4)-n78A(4x4)
 UL: DC_7A_n78A
 [10 (4+4+2) LTE &amp; 8 (4+4) NR layers]</t>
  </si>
  <si>
    <t>MTR-36036</t>
  </si>
  <si>
    <t>DC_3A(4x4)-7A(4x4)-20A(2x2)_n1A(4x4)-n78A(4x4)
 UL: DC_20A_n1A
 [10 (4+4+2) LTE &amp; 8 (4+4) NR layers]</t>
  </si>
  <si>
    <t>MTR-36037</t>
  </si>
  <si>
    <t>DC_3A(4x4)-7A(4x4)-20A(2x2)_n1A(4x4)-n78A(4x4)
 UL: DC_20A_n78A
 [10 (4+4+2) LTE &amp; 8 (4+4) NR layers]</t>
  </si>
  <si>
    <t>MTR-36571</t>
  </si>
  <si>
    <t>DC_3A(4x4)-7A(4x4)-28A(2x2)_n1A(4x4)-n78A(4x4)
 UL: DC_3A_n1A
 [10 (4+4+2) LTE &amp; 8 (4+4) NR layers]</t>
  </si>
  <si>
    <t>DC_3A-7A-28A_n1A-n78A</t>
  </si>
  <si>
    <t>MTR-36572</t>
  </si>
  <si>
    <t>DC_3A(4x4)-7A(4x4)-28A(2x2)_n1A(4x4)-n78A(4x4)
 UL: DC_7A_n1A
 [10 (4+4+2) LTE &amp; 8 (4+4) NR layers]</t>
  </si>
  <si>
    <t>MTR-36573</t>
  </si>
  <si>
    <t>DC_3A(4x4)-7A(4x4)-28A(2x2)_n1A(4x4)-n78A(4x4)
 UL: DC_28A_n1A
 [10 (4+4+2) LTE &amp; 8 (4+4) NR layers]</t>
  </si>
  <si>
    <t>MTR-36574</t>
  </si>
  <si>
    <t>DC_3A(4x4)-7A(4x4)-28A(2x2)_n1A(4x4)-n78A(4x4)
 UL: DC_3A_n78A
 [10 (4+4+2) LTE &amp; 8 (4+4) NR layers]</t>
  </si>
  <si>
    <t>MTR-36575</t>
  </si>
  <si>
    <t>DC_3A(4x4)-7A(4x4)-28A(2x2)_n1A(4x4)-n78A(4x4)
 UL: DC_7A_n78A
 [10 (4+4+2) LTE &amp; 8 (4+4) NR layers]</t>
  </si>
  <si>
    <t>MTR-36576</t>
  </si>
  <si>
    <t>DC_3A(4x4)-7A(4x4)-28A(2x2)_n1A(4x4)-n78A(4x4)
 UL: DC_28A_n78A
 [10 (4+4+2) LTE &amp; 8 (4+4) NR layers]</t>
  </si>
  <si>
    <t>MTR-39371</t>
  </si>
  <si>
    <t>DC_3A(4x4)-7A(4x4)-32A(2x2)_n1A(4x4)-n78A(4x4)
 UL: DC_3A_n1A
 [10 (4+4+2) LTE &amp; 8 (4+4) NR layers]</t>
  </si>
  <si>
    <t>DC_3A-7A-32A_n1A-n78A</t>
  </si>
  <si>
    <t>MTR-39372</t>
  </si>
  <si>
    <t>DC_3A(4x4)-7A(4x4)-32A(2x2)_n1A(4x4)-n78A(4x4)
 UL: DC_7A_n1A
 [10 (4+4+2) LTE &amp; 8 (4+4) NR layers]</t>
  </si>
  <si>
    <t>MTR-39373</t>
  </si>
  <si>
    <t>DC_3A(4x4)-7A(4x4)-32A(2x2)_n1A(4x4)-n78A(4x4)
 UL: DC_3A_n78A
 [10 (4+4+2) LTE &amp; 8 (4+4) NR layers]</t>
  </si>
  <si>
    <t>MTR-39374</t>
  </si>
  <si>
    <t>DC_3A(4x4)-7A(4x4)-32A(2x2)_n1A(4x4)-n78A(4x4)
 UL: DC_7A_n78A
 [10 (4+4+2) LTE &amp; 8 (4+4) NR layers]</t>
  </si>
  <si>
    <t>MTR-35417</t>
  </si>
  <si>
    <t>DC_7A(4x4)-7A(4x4)-8A(2x2)_n1A(4x4)-n78A(4x4)
 UL: DC_7A_n1A
 [10 (4+4+2) LTE &amp; 8 (4+4) NR layers]</t>
  </si>
  <si>
    <t>DC_7A-7A-8A_n1A-n78A</t>
  </si>
  <si>
    <t>MTR-35418</t>
  </si>
  <si>
    <t>DC_7A(4x4)-7A(4x4)-8A(2x2)_n1A(4x4)-n78A(4x4)
 UL: DC_8A_n1A
 [10 (4+4+2) LTE &amp; 8 (4+4) NR layers]</t>
  </si>
  <si>
    <t>MTR-35419</t>
  </si>
  <si>
    <t>DC_7A(4x4)-7A(4x4)-8A(2x2)_n1A(4x4)-n78A(4x4)
 UL: DC_7A_n78A
 [10 (4+4+2) LTE &amp; 8 (4+4) NR layers]</t>
  </si>
  <si>
    <t>MTR-35420</t>
  </si>
  <si>
    <t>DC_7A(4x4)-7A(4x4)-8A(2x2)_n1A(4x4)-n78A(4x4)
 UL: DC_8A_n78A
 [10 (4+4+2) LTE &amp; 8 (4+4) NR layers]</t>
  </si>
  <si>
    <t>MTR-35025</t>
  </si>
  <si>
    <t>DC_3C(4x4)-7C(4x4)_n1A(4x4)-n78A(4x4)
 UL: DC_3A_n1A
 [16 (4+4+4+4) LTE &amp; 8 (4+4) NR layers]</t>
  </si>
  <si>
    <t>DC_3C-7C_n1A-n78A</t>
  </si>
  <si>
    <t>MTR-35026</t>
  </si>
  <si>
    <t>DC_3C(4x4)-7C(4x4)_n1A(4x4)-n78A(4x4)
 UL: DC_3A_n78A
 [16 (4+4+4+4) LTE &amp; 8 (4+4) NR layers]</t>
  </si>
  <si>
    <t>MTR-38414</t>
  </si>
  <si>
    <t>DC_3C(4x4)-7C(4x4)_n1A(4x4)-n78A(4x4)
 UL: DC_3C_n1A
 [16 (4+4+4+4) LTE &amp; 8 (4+4) NR layers]</t>
  </si>
  <si>
    <t>MTR-38415</t>
  </si>
  <si>
    <t>DC_3C(4x4)-7C(4x4)_n1A(4x4)-n78A(4x4)
 UL: DC_3C_n78A
 [16 (4+4+4+4) LTE &amp; 8 (4+4) NR layers]</t>
  </si>
  <si>
    <t>MTR-35027</t>
  </si>
  <si>
    <t>DC_3C(4x4)-7C(4x4)_n1A(4x4)-n78A(4x4)
 UL: DC_7A_n1A
 [16 (4+4+4+4) LTE &amp; 8 (4+4) NR layers]</t>
  </si>
  <si>
    <t>MTR-35028</t>
  </si>
  <si>
    <t>DC_3C(4x4)-7C(4x4)_n1A(4x4)-n78A(4x4)
 UL: DC_7A_n78A
 [16 (4+4+4+4) LTE &amp; 8 (4+4) NR layers]</t>
  </si>
  <si>
    <t>MTR-35029</t>
  </si>
  <si>
    <t>DC_3C(4x4)-7C(4x4)_n1A(4x4)-n78A(4x4)
 UL: DC_7C_n1A
 [16 (4+4+4+4) LTE &amp; 8 (4+4) NR layers]</t>
  </si>
  <si>
    <t>MTR-35030</t>
  </si>
  <si>
    <t>DC_3C(4x4)-7C(4x4)_n1A(4x4)-n78A(4x4)
 UL: DC_7C_n78A
 [16 (4+4+4+4) LTE &amp; 8 (4+4) NR layers]</t>
  </si>
  <si>
    <t>MTR-34634</t>
  </si>
  <si>
    <t>DC_3A(4x4)-3A(4x4)-7A(4x4)-7A(4x4)_n1A(4x4)-n78A(4x4)
 UL: DC_3A_n1A
 [16 (4+4+4+4) LTE &amp; 8 (4+4) NR layers]</t>
  </si>
  <si>
    <t>DC_3A-3A-7A-7A_n1A-n78A</t>
  </si>
  <si>
    <t>MTR-34633</t>
  </si>
  <si>
    <t>DC_3A(4x4)-3A(4x4)-7A(4x4)-7A(4x4)_n1A(4x4)-n78A(4x4)
 UL: DC_3A_n78A
 [16 (4+4+4+4) LTE &amp; 8 (4+4) NR layers]</t>
  </si>
  <si>
    <t>MTR-34636</t>
  </si>
  <si>
    <t>DC_3A(4x4)-3A(4x4)-7A(4x4)-7A(4x4)_n1A(4x4)-n78A(4x4)
 UL: DC_7A_n1A
 [16 (4+4+4+4) LTE &amp; 8 (4+4) NR layers]</t>
  </si>
  <si>
    <t>MTR-34635</t>
  </si>
  <si>
    <t>DC_3A(4x4)-3A(4x4)-7A(4x4)-7A(4x4)_n1A(4x4)-n78A(4x4)
 UL: DC_7A_n78A
 [16 (4+4+4+4) LTE &amp; 8 (4+4) NR layers]</t>
  </si>
  <si>
    <t>MTR-35421</t>
  </si>
  <si>
    <t>DC_3A(4x4)-3A(4x4)-7A(4x4)-8A(2x2)_n1A(4x4)-n78A(4x4)
 UL: DC_3A_n1A
 [14 (4+4+4+2) LTE &amp; 8 (4+4) NR layers]</t>
  </si>
  <si>
    <t>DC_3A-3A-7A-8A_n1A-n78A</t>
  </si>
  <si>
    <t>MTR-35424</t>
  </si>
  <si>
    <t>DC_3A(4x4)-3A(4x4)-7A(4x4)-8A(2x2)_n1A(4x4)-n78A(4x4)
 UL: DC_3A_n78A
 [14 (4+4+4+2) LTE &amp; 8 (4+4) NR layers]</t>
  </si>
  <si>
    <t>MTR-35425</t>
  </si>
  <si>
    <t>DC_3A(4x4)-3A(4x4)-7A(4x4)-8A(2x2)_n1A(4x4)-n78A(4x4)
 UL: DC_7A_n1A
 [14 (4+4+4+2) LTE &amp; 8 (4+4) NR layers]</t>
  </si>
  <si>
    <t>MTR-35426</t>
  </si>
  <si>
    <t>DC_3A(4x4)-3A(4x4)-7A(4x4)-8A(2x2)_n1A(4x4)-n78A(4x4)
 UL: DC_7A_n78A
 [14 (4+4+4+2) LTE &amp; 8 (4+4) NR layers]</t>
  </si>
  <si>
    <t>MTR-35422</t>
  </si>
  <si>
    <t>DC_3A(4x4)-3A(4x4)-7A(4x4)-8A(2x2)_n1A(4x4)-n78A(4x4)
 UL: DC_8A_n1A
 [14 (4+4+4+2) LTE &amp; 8 (4+4) NR layers]</t>
  </si>
  <si>
    <t>MTR-35423</t>
  </si>
  <si>
    <t>DC_3A(4x4)-3A(4x4)-7A(4x4)-8A(2x2)_n1A(4x4)-n78A(4x4)
 UL: DC_8A_n78A
 [14 (4+4+4+2) LTE &amp; 8 (4+4) NR layers]</t>
  </si>
  <si>
    <t>MTR-36044</t>
  </si>
  <si>
    <t>DC_3C(4x4)-7A(4x4)-20A(2x2)_n1A(4x4)-n78A(4x4)
 UL: DC_3A_n1A
 [14 (4+4+4+2) LTE &amp; 8 (4+4) NR layers]</t>
  </si>
  <si>
    <t>DC_3C-7A-20A_n1A-n78A</t>
  </si>
  <si>
    <t>MTR-36580</t>
  </si>
  <si>
    <t>DC_3C(4x4)-7A(4x4)-20A(2x2)_n1A(4x4)-n78A(4x4)
 UL: DC_3C_n1A
 [14 (4+4+4+2) LTE &amp; 8 (4+4) NR layers]</t>
  </si>
  <si>
    <t>MTR-36045</t>
  </si>
  <si>
    <t>DC_3C(4x4)-7A(4x4)-20A(2x2)_n1A(4x4)-n78A(4x4)
 UL: DC_3A_n78A
 [14 (4+4+4+2) LTE &amp; 8 (4+4) NR layers]</t>
  </si>
  <si>
    <t>MTR-36582</t>
  </si>
  <si>
    <t>DC_3C(4x4)-7A(4x4)-20A(2x2)_n1A(4x4)-n78A(4x4)
 UL: DC_3C_n78A
 [14 (4+4+4+2) LTE &amp; 8 (4+4) NR layers]</t>
  </si>
  <si>
    <t>MTR-36046</t>
  </si>
  <si>
    <t>DC_3C(4x4)-7A(4x4)-20A(2x2)_n1A(4x4)-n78A(4x4)
 UL: DC_7A_n1A
 [14 (4+4+4+2) LTE &amp; 8 (4+4) NR layers]</t>
  </si>
  <si>
    <t>MTR-36047</t>
  </si>
  <si>
    <t>DC_3C(4x4)-7A(4x4)-20A(2x2)_n1A(4x4)-n78A(4x4)
 UL: DC_7A_n78A
 [14 (4+4+4+2) LTE &amp; 8 (4+4) NR layers]</t>
  </si>
  <si>
    <t>MTR-36042</t>
  </si>
  <si>
    <t>DC_3C(4x4)-7A(4x4)-20A(2x2)_n1A(4x4)-n78A(4x4)
 UL: DC_20A_n1A
 [14 (4+4+4+2) LTE &amp; 8 (4+4) NR layers]</t>
  </si>
  <si>
    <t>MTR-36043</t>
  </si>
  <si>
    <t>DC_3C(4x4)-7A(4x4)-20A(2x2)_n1A(4x4)-n78A(4x4)
 UL: DC_20A_n78A
 [14 (4+4+4+2) LTE &amp; 8 (4+4) NR layers]</t>
  </si>
  <si>
    <t>MTR-39503</t>
  </si>
  <si>
    <t>DC_3C(4x4)-7A(4x4)-32A(2x2)_n1A(4x4)-n78A(4x4)
 UL: DC_3A_n1A
 [14 (4+4+4+2) LTE &amp; 8 (4+4) NR layers]</t>
  </si>
  <si>
    <t>DC_3C-7A-32A_n1A-n78A</t>
  </si>
  <si>
    <t>MTR-39504</t>
  </si>
  <si>
    <t>DC_3C(4x4)-7A(4x4)-32A(2x2)_n1A(4x4)-n78A(4x4)
 UL: DC_3C_n1A
 [14 (4+4+4+2) LTE &amp; 8 (4+4) NR layers]</t>
  </si>
  <si>
    <t>MTR-39505</t>
  </si>
  <si>
    <t>DC_3C(4x4)-7A(4x4)-32A(2x2)_n1A(4x4)-n78A(4x4)
 UL: DC_7A_n1A
 [14 (4+4+4+2) LTE &amp; 8 (4+4) NR layers]</t>
  </si>
  <si>
    <t>MTR-39506</t>
  </si>
  <si>
    <t>DC_3C(4x4)-7A(4x4)-32A(2x2)_n1A(4x4)-n78A(4x4)
 UL: DC_3A_n78A
 [14 (4+4+4+2) LTE &amp; 8 (4+4) NR layers]</t>
  </si>
  <si>
    <t>MTR-39507</t>
  </si>
  <si>
    <t>DC_3C(4x4)-7A(4x4)-32A(2x2)_n1A(4x4)-n78A(4x4)
 UL: DC_3C_n78A
 [14 (4+4+4+2) LTE &amp; 8 (4+4) NR layers]</t>
  </si>
  <si>
    <t>MTR-39508</t>
  </si>
  <si>
    <t>DC_3C(4x4)-7A(4x4)-32A(2x2)_n1A(4x4)-n78A(4x4)
 UL: DC_7A_n78A
 [14 (4+4+4+2) LTE &amp; 8 (4+4) NR layers]</t>
  </si>
  <si>
    <t>MTR-35433</t>
  </si>
  <si>
    <t>DC_3A(4x4)-7A(4x4)-7A(4x4)-8A(2x2)_n1A(4x4)-n78A(4x4)
 UL: DC_3A_n1A
 [14 (4+4+4+2) LTE &amp; 8 (4+4) NR layers]</t>
  </si>
  <si>
    <t>DC_3A-7A-7A-8A_n1A-n78A</t>
  </si>
  <si>
    <t>MTR-35434</t>
  </si>
  <si>
    <t>DC_3A(4x4)-7A(4x4)-7A(4x4)-8A(2x2)_n1A(4x4)-n78A(4x4)
 UL: DC_3A_n78A
 [14 (4+4+4+2) LTE &amp; 8 (4+4) NR layers]</t>
  </si>
  <si>
    <t>MTR-35435</t>
  </si>
  <si>
    <t>DC_3A(4x4)-7A(4x4)-7A(4x4)-8A(2x2)_n1A(4x4)-n78A(4x4)
 UL: DC_7A_n1A
 [14 (4+4+4+2) LTE &amp; 8 (4+4) NR layers]</t>
  </si>
  <si>
    <t>MTR-35436</t>
  </si>
  <si>
    <t>DC_3A(4x4)-7A(4x4)-7A(4x4)-8A(2x2)_n1A(4x4)-n78A(4x4)
 UL: DC_7A_n78A
 [14 (4+4+4+2) LTE &amp; 8 (4+4) NR layers]</t>
  </si>
  <si>
    <t>MTR-35437</t>
  </si>
  <si>
    <t>DC_3A(4x4)-7A(4x4)-7A(4x4)-8A(2x2)_n1A(4x4)-n78A(4x4)
 UL: DC_8A_n1A
 [14 (4+4+4+2) LTE &amp; 8 (4+4) NR layers]</t>
  </si>
  <si>
    <t>MTR-35438</t>
  </si>
  <si>
    <t>DC_3A(4x4)-7A(4x4)-7A(4x4)-8A(2x2)_n1A(4x4)-n78A(4x4)
 UL: DC_8A_n78A
 [14 (4+4+4+2) LTE &amp; 8 (4+4) NR layers]</t>
  </si>
  <si>
    <t>MTR-35439</t>
  </si>
  <si>
    <t>DC_3A(4x4)-3A(4x4)-7A(4x4)-7A(4x4)-8A(2x2)_n1A(4x4)-n78A(4x4)
 UL: DC_3A_n1A
 [18 (4+4+4+4+2) LTE &amp; 8 (4+4) NR layers]</t>
  </si>
  <si>
    <t>DC_3A-3A-7A-7A-8A_n1A-n78A</t>
  </si>
  <si>
    <t>MTR-35440</t>
  </si>
  <si>
    <t>DC_3A(4x4)-3A(4x4)-7A(4x4)-7A(4x4)-8A(2x2)_n1A(4x4)-n78A(4x4)
 UL: DC_3A_n78A
 [18 (4+4+4+4+2) LTE &amp; 8 (4+4) NR layers]</t>
  </si>
  <si>
    <t>MTR-35441</t>
  </si>
  <si>
    <t>DC_3A(4x4)-3A(4x4)-7A(4x4)-7A(4x4)-8A(2x2)_n1A(4x4)-n78A(4x4)
 UL: DC_7A_n1A
 [18 (4+4+4+4+2) LTE &amp; 8 (4+4) NR layers]</t>
  </si>
  <si>
    <t>MTR-35442</t>
  </si>
  <si>
    <t>DC_3A(4x4)-3A(4x4)-7A(4x4)-7A(4x4)-8A(2x2)_n1A(4x4)-n78A(4x4)
 UL: DC_7A_n78A
 [18 (4+4+4+2) LTE &amp; 8 (4+4) NR layers]</t>
  </si>
  <si>
    <t>MTR-35443</t>
  </si>
  <si>
    <t>DC_3A(4x4)-3A(4x4)-7A(4x4)-7A(4x4)-8A(2x2)_n1A(4x4)-n78A(4x4)
 UL: DC_8A_n1A
 [18 (4+4+4+4+2) LTE &amp; 8 (4+4) NR layers]</t>
  </si>
  <si>
    <t>MTR-35444</t>
  </si>
  <si>
    <t>DC_3A(4x4)-3A(4x4)-7A(4x4)-7A(4x4)-8A(2x2)_n1A(4x4)-n78A(4x4)
 UL: DC_8A_n78A
 [18 (4+4+4+4+2) LTE &amp; 8 (4+4) NR layers]</t>
  </si>
  <si>
    <t>MTR-39606</t>
  </si>
  <si>
    <r>
      <rPr>
        <rFont val="Arial"/>
        <b/>
        <color theme="1"/>
        <sz val="10.0"/>
      </rPr>
      <t>2.5.2.9.7</t>
    </r>
    <r>
      <rPr>
        <rFont val="Arial"/>
        <b val="0"/>
        <color theme="1"/>
        <sz val="10.0"/>
      </rPr>
      <t xml:space="preserve"> </t>
    </r>
    <r>
      <rPr>
        <rFont val="Arial"/>
        <b/>
        <color theme="1"/>
        <sz val="10.0"/>
      </rPr>
      <t>EN-DC with NR CA n3A-n7A</t>
    </r>
  </si>
  <si>
    <t>MTR-39467</t>
  </si>
  <si>
    <t>DC_(n)3AA(4x4)-n7A(4x4)
 UL: DC_(n)3AA
 [4 LTE &amp; 8 (4+4) NR layers]</t>
  </si>
  <si>
    <t>DC_(n)3AA-n7A</t>
  </si>
  <si>
    <t>n3A-n7A</t>
  </si>
  <si>
    <t>MTR-39468</t>
  </si>
  <si>
    <t>DC_(n)3AA(4x4)-n7A(4x4)
 UL: DC_3A_n7A
 [4 LTE &amp; 8 (4+4) NR layers]</t>
  </si>
  <si>
    <t>MTR-39694</t>
  </si>
  <si>
    <t>DC_3A(4x4)_n3A(4x4)-n7A(4x4)
 UL: DC_3A_n3A
 [4 LTE &amp; 8 (4+4) NR layers]</t>
  </si>
  <si>
    <t>DC_3A_n3A-n7A</t>
  </si>
  <si>
    <t>2023-06</t>
  </si>
  <si>
    <t>MTR-39695</t>
  </si>
  <si>
    <t>DC_3A(4x4)_n3A(4x4)-n7A(4x4)
 UL: DC_3A_n7A
 [4 LTE &amp; 8 (4+4) NR layers]</t>
  </si>
  <si>
    <t>MTR-37923</t>
  </si>
  <si>
    <r>
      <rPr>
        <rFont val="Arial"/>
        <b/>
        <color theme="1"/>
        <sz val="10.0"/>
      </rPr>
      <t>2.5.2.9.8</t>
    </r>
    <r>
      <rPr>
        <rFont val="Arial"/>
        <b val="0"/>
        <color theme="1"/>
        <sz val="10.0"/>
      </rPr>
      <t xml:space="preserve"> </t>
    </r>
    <r>
      <rPr>
        <rFont val="Arial"/>
        <b/>
        <color theme="1"/>
        <sz val="10.0"/>
      </rPr>
      <t>EN-DC with NR CA n3A-n8A</t>
    </r>
  </si>
  <si>
    <t>MTR-37873</t>
  </si>
  <si>
    <t>DC_1A(4x4)_n3A(4x4)-n8A(2x2)
 UL: DC_1A_n3A
 [4 LTE &amp; 6 (4+2) NR layers]</t>
  </si>
  <si>
    <t>DC_1A_n3A-n8A</t>
  </si>
  <si>
    <t>n3A-n8A</t>
  </si>
  <si>
    <t>MTR-37874</t>
  </si>
  <si>
    <t>DC_1A(4x4)_n3A(4x4)-n8A(2x2)
 UL: DC_1A_n8A
 [4 LTE &amp; 6 (4+2) NR layers]</t>
  </si>
  <si>
    <t>MTR-39380</t>
  </si>
  <si>
    <t>DC_(n)3AA(4x4)-n8A(2x2)
 UL: DC_(n)3AA
 [4 LTE &amp; 6 (4+2) NR layers]</t>
  </si>
  <si>
    <t>DC_(n)3AA-n8A</t>
  </si>
  <si>
    <t>MTR-39381</t>
  </si>
  <si>
    <t>DC_(n)3AA(4x4)-n8A(2x2)
 UL: DC_3A_n8A
 [4 LTE &amp; 6 (4+2) NR layers]</t>
  </si>
  <si>
    <t>MTR-40017</t>
  </si>
  <si>
    <t>DC_1A(4x4)_(n)3AA(4x4)-n8A(2x2)
 UL: DC_1A_n3A
 [4 LTE &amp; 6 (4+2) NR layers]</t>
  </si>
  <si>
    <t>DC_1A_(n)3AA-n8A</t>
  </si>
  <si>
    <t>MTR-40018</t>
  </si>
  <si>
    <t>DC_1A(4x4)_(n)3AA(4x4)-n8A(2x2)
 UL: DC_1A_n8A
 [4 LTE &amp; 6 (4+2) NR layers]</t>
  </si>
  <si>
    <t>MTR-40019</t>
  </si>
  <si>
    <t>DC_1A(4x4)_(n)3AA(4x4)-n8A(2x2)
 UL: DC_(n)3AA
 [4 LTE &amp; 6 (4+2) NR layers]</t>
  </si>
  <si>
    <t>MTR-40020</t>
  </si>
  <si>
    <t>DC_1A(4x4)_(n)3AA(4x4)-n8A(2x2)
 UL: DC_3A_n8A
 [4 LTE &amp; 6 (4+2) NR layers]</t>
  </si>
  <si>
    <t>MTR-35045</t>
  </si>
  <si>
    <r>
      <rPr>
        <rFont val="Arial"/>
        <b/>
        <color theme="1"/>
        <sz val="10.0"/>
      </rPr>
      <t>2.5.2.9.9</t>
    </r>
    <r>
      <rPr>
        <rFont val="Arial"/>
        <b val="0"/>
        <color theme="1"/>
        <sz val="10.0"/>
      </rPr>
      <t xml:space="preserve"> </t>
    </r>
    <r>
      <rPr>
        <rFont val="Arial"/>
        <b/>
        <color theme="1"/>
        <sz val="10.0"/>
      </rPr>
      <t>EN-DC with NR CA n3A-n28A</t>
    </r>
  </si>
  <si>
    <t>MTR-35046</t>
  </si>
  <si>
    <t>DC_1A(4x4)_n3A(4x4)-n28A(2x2)
 UL: DC_1A_n3A
 [4 LTE &amp; 6 (4+2) NR layers]</t>
  </si>
  <si>
    <t>DC_1A_n3A-n28A</t>
  </si>
  <si>
    <t>n3A-n28A</t>
  </si>
  <si>
    <t>MTR-35047</t>
  </si>
  <si>
    <t>DC_1A(4x4)_n3A(4x4)-n28A(2x2)
 UL: DC_1A_n28A
 [4 LTE &amp; 6 (4+2) NR layers]</t>
  </si>
  <si>
    <t>MTR-39497</t>
  </si>
  <si>
    <t>DC_(n)3AA(4x4)-n28A(2x2)
 UL: DC_(n)3AA
 [4 LTE &amp; 6 (4+2) NR layers]</t>
  </si>
  <si>
    <t>DC_(n)3AA-n28A</t>
  </si>
  <si>
    <t>MTR-39498</t>
  </si>
  <si>
    <t>DC_(n)3AA(4x4)-n28A(2x2)
 UL: DC_3A_n28A
 [4 LTE &amp; 6 (4+2) NR layers]</t>
  </si>
  <si>
    <t>MTR-39696</t>
  </si>
  <si>
    <t>DC_3A(4x4)_n3A(4x4)-n28A(2x2)
 UL: DC_3A_n3A
 [4 LTE &amp; 6 (4+2) NR layers]</t>
  </si>
  <si>
    <t>DC_3A_n3A-n28A</t>
  </si>
  <si>
    <t>MTR-39697</t>
  </si>
  <si>
    <t>DC_3A(4x4)_n3A(4x4)-n28A(2x2)
 UL: DC_3A_n28A
 [4 LTE &amp; 6 (4+2) NR layers]</t>
  </si>
  <si>
    <t>MTR-35048</t>
  </si>
  <si>
    <t>DC_8A(2x2)_n3A(4x4)-n28A(2x2)
 UL: DC_8A_n3A
 [2 LTE &amp; 6 (4+2) NR layers]</t>
  </si>
  <si>
    <t>DC_8A_n3A-n28A</t>
  </si>
  <si>
    <t>MTR-35049</t>
  </si>
  <si>
    <t>DC_8A(2x2)_n3A(4x4)-n28A(2x2)
 UL: DC_8A_n28A
 [2 LTE &amp; 6 (4+2) NR layers]</t>
  </si>
  <si>
    <t>MTR-35050</t>
  </si>
  <si>
    <t>DC_1A(4x4)-8A(2x2)_n3A(4x4)-n28A(2x2)
 UL: DC_1A_n3A
 [6 (4+2) LTE &amp; 6 (4+2) NR layers]</t>
  </si>
  <si>
    <t>DC_1A-8A_n3A-n28A</t>
  </si>
  <si>
    <t>MTR-35051</t>
  </si>
  <si>
    <t>DC_1A(4x4)-8A(2x2)_n3A(4x4)-n28A(2x2)
 UL: DC_1A_n28A
 [6 (4+2) LTE &amp; 6 (4+2) NR layers]</t>
  </si>
  <si>
    <t>MTR-35052</t>
  </si>
  <si>
    <t>DC_1A(4x4)-8A(2x2)_n3A(4x4)-n28A(2x2)
 UL: DC_8A_n3A
 [6 (4+2) LTE &amp; 6 (4+2) NR layers]</t>
  </si>
  <si>
    <t>MTR-35053</t>
  </si>
  <si>
    <t>DC_1A(4x4)-8A(2x2)_n3A(4x4)-n28A(2x2)
 UL: DC_8A_n28A
 [6 (4+2) LTE &amp; 6 (4+2) NR layers]</t>
  </si>
  <si>
    <t>MTR-38800</t>
  </si>
  <si>
    <r>
      <rPr>
        <rFont val="Arial"/>
        <b/>
        <color theme="1"/>
        <sz val="10.0"/>
      </rPr>
      <t>2.5.2.9.10</t>
    </r>
    <r>
      <rPr>
        <rFont val="Arial"/>
        <b val="0"/>
        <color theme="1"/>
        <sz val="10.0"/>
      </rPr>
      <t xml:space="preserve"> </t>
    </r>
    <r>
      <rPr>
        <rFont val="Arial"/>
        <b/>
        <color theme="1"/>
        <sz val="10.0"/>
      </rPr>
      <t>EN-DC with NR CA n3A-n75A</t>
    </r>
  </si>
  <si>
    <t>MTR-38725</t>
  </si>
  <si>
    <t>DC_1A(4x4)_n3A(4x4)-n75A(4x4)
 UL: DC_1A_n3A
 [4 LTE &amp; 8 (4+4) NR layers]</t>
  </si>
  <si>
    <t>DC_1A_n3A-n75A</t>
  </si>
  <si>
    <t>n3A-n75A</t>
  </si>
  <si>
    <t>MTR-34537</t>
  </si>
  <si>
    <r>
      <rPr>
        <rFont val="Arial"/>
        <b/>
        <color theme="1"/>
        <sz val="10.0"/>
      </rPr>
      <t>2.5.2.9.11</t>
    </r>
    <r>
      <rPr>
        <rFont val="Arial"/>
        <b val="0"/>
        <color theme="1"/>
        <sz val="10.0"/>
      </rPr>
      <t xml:space="preserve"> </t>
    </r>
    <r>
      <rPr>
        <rFont val="Arial"/>
        <b/>
        <color theme="1"/>
        <sz val="10.0"/>
      </rPr>
      <t>EN-DC with NR CA n3A-n78A</t>
    </r>
  </si>
  <si>
    <t>MTR-34575</t>
  </si>
  <si>
    <t>DC_1A(4x4)_n3A(4x4)-n78A(4x4)
 UL: DC_1A_n3A
 [4 LTE &amp; 8 (4+4) NR layers]</t>
  </si>
  <si>
    <t>DC_1A_n3A-n78A</t>
  </si>
  <si>
    <t>n3A-n78A</t>
  </si>
  <si>
    <t>MTR-34574</t>
  </si>
  <si>
    <t>DC_1A(4x4)_n3A(4x4)-n78A(4x4)
 UL: DC_1A_n78A
 [4 LTE &amp; 8 (4+4) NR layers]</t>
  </si>
  <si>
    <t>MTR-33506</t>
  </si>
  <si>
    <t>DC_3A(4x4)_n3A(4x4)-n78A(4x4)
 UL: DC_3A_n3A
 [4 LTE &amp; 8 (4+4) NR layers]</t>
  </si>
  <si>
    <t>DC_3A_n3A-n78A</t>
  </si>
  <si>
    <t>MTR-33505</t>
  </si>
  <si>
    <t>DC_3A(4x4)_n3A(4x4)-n78A(4x4)
 UL: DC_3A_n78A
 [4 LTE &amp; 8 (4+4) NR layers]</t>
  </si>
  <si>
    <t>MTR-39509</t>
  </si>
  <si>
    <t>DC_(n)3AA(4x4)-n78A(4x4)
 UL: DC_(n)3AA
 [4 LTE &amp; 8 (4+4) NR layers]</t>
  </si>
  <si>
    <t>DC_(n)3AA-n78A</t>
  </si>
  <si>
    <t>MTR-39510</t>
  </si>
  <si>
    <t>DC_(n)3AA(4x4)-n78A(4x4)
 UL: DC_3A_n78A
 [4 LTE &amp; 8 (4+4) NR layers]</t>
  </si>
  <si>
    <t>MTR-34577</t>
  </si>
  <si>
    <t>DC_7A(4x4)_n3A(4x4)-n78A(4x4)
 UL: DC_7A_n3A
 [4 LTE &amp; 8 (4+4) NR layers]</t>
  </si>
  <si>
    <t>DC_7A_n3A-n78A</t>
  </si>
  <si>
    <t>MTR-34576</t>
  </si>
  <si>
    <t>DC_7A(4x4)_n3A(4x4)-n78A(4x4)
 UL: DC_7A_n78A
 [4 LTE &amp; 8 (4+4) NR layers]</t>
  </si>
  <si>
    <t>MTR-38726</t>
  </si>
  <si>
    <t>DC_8A(2x2)_n3A(4x4)-n78A(4x4)
 UL: DC_8A_n3A
 [2 LTE &amp; 8 (4+4) NR layers]</t>
  </si>
  <si>
    <t>DC_8A_n3A-n78A</t>
  </si>
  <si>
    <t>MTR-38727</t>
  </si>
  <si>
    <t>DC_8A(2x2)_n3A(4x4)-n78A(4x4)
 UL: DC_8A_n78A
 [2 LTE &amp; 8 (4+4) NR layers]</t>
  </si>
  <si>
    <t>MTR-34579</t>
  </si>
  <si>
    <t>DC_20A(2x2)_n3A(4x4)-n78A(4x4)
 UL: DC_20A_n3A
 [2 LTE &amp; 8 (4+4) NR layers]</t>
  </si>
  <si>
    <t>DC_20A_n3A-n78A</t>
  </si>
  <si>
    <t>MTR-34578</t>
  </si>
  <si>
    <t>DC_20A(2x2)_n3A(4x4)-n78A(4x4)
 UL: DC_20A_n78A
 [2 LTE &amp; 8 (4+4) NR layers]</t>
  </si>
  <si>
    <t>MTR-35054</t>
  </si>
  <si>
    <t>DC_28A(2x2)_n3A(4x4)-n78A(4x4)
 UL: DC_28A_n3A
 [2 LTE &amp; 8 (4+4) NR layers]</t>
  </si>
  <si>
    <t>DC_28A_n3A-n78A</t>
  </si>
  <si>
    <t>MTR-35055</t>
  </si>
  <si>
    <t>DC_28A(2x2)_n3A(4x4)-n78A(4x4)
 UL: DC_28A_n78A
 [2 LTE &amp; 8 (4+4) NR layers]</t>
  </si>
  <si>
    <t>MTR-36048</t>
  </si>
  <si>
    <t>DC_1A(4x4)-3A(4x4)_n3A(4x4)-n78A(4x4)
 UL: DC_1A_n3A
 [8 (4+4) LTE &amp; 8 (4+4) NR layers]</t>
  </si>
  <si>
    <t>DC_1A-3A_n3A-n78A</t>
  </si>
  <si>
    <t>MTR-36049</t>
  </si>
  <si>
    <t>DC_1A(4x4)-3A(4x4)_n3A(4x4)-n78A(4x4)
 UL: DC_1A_n78A
 [8 (4+4) LTE &amp; 8 (4+4) NR layers]</t>
  </si>
  <si>
    <t>MTR-36050</t>
  </si>
  <si>
    <t>DC_1A(4x4)-3A(4x4)_n3A(4x4)-n78A(4x4)
 UL: DC_3A_n3A
 [8 (4+4) LTE &amp; 8 (4+4) NR layers]</t>
  </si>
  <si>
    <t>MTR-36051</t>
  </si>
  <si>
    <t>DC_1A(4x4)-3A(4x4)_n3A(4x4)-n78A(4x4)
 UL: DC_3A_n78A
 [8 (4+4) LTE &amp; 8 (4+4) NR layers]</t>
  </si>
  <si>
    <t>MTR-35610</t>
  </si>
  <si>
    <t>DC_1A(4x4)-7A(4x4)_n3A(4x4)-n78A(4x4)
 UL: DC_1A_n3A
 [8 (4+4) LTE &amp; 8 (4+4) NR layers]</t>
  </si>
  <si>
    <t>DC_1A-7A_n3A-n78A</t>
  </si>
  <si>
    <t>MTR-35611</t>
  </si>
  <si>
    <t>DC_1A(4x4)-7A(4x4)_n3A(4x4)-n78A(4x4)
 UL: DC_1A_n78A
 [8 (4+4) LTE &amp; 8 (4+4) NR layers]</t>
  </si>
  <si>
    <t>MTR-35612</t>
  </si>
  <si>
    <t>DC_1A(4x4)-7A(4x4)_n3A(4x4)-n78A(4x4)
 UL: DC_7A_n3A
 [8 (4+4) LTE &amp; 8 (4+4) NR layers]</t>
  </si>
  <si>
    <t>MTR-35613</t>
  </si>
  <si>
    <t>DC_1A(4x4)-7A(4x4)_n3A(4x4)-n78A(4x4)
 UL: DC_7A_n78A
 [8 (4+4) LTE &amp; 8 (4+4) NR layers]</t>
  </si>
  <si>
    <t>MTR-35397</t>
  </si>
  <si>
    <t>DC_1A(4x4)-20A(2x2)_n3A(4x4)-n78A(4x4)
 UL: DC_1A_n3A
 [6 (4+2) LTE &amp; 8 (4+4) NR layers]</t>
  </si>
  <si>
    <t>DC_1A-20A_n3A-n78A</t>
  </si>
  <si>
    <t>MTR-35398</t>
  </si>
  <si>
    <t>DC_1A(4x4)-20A(2x2)_n3A(4x4)-n78A(4x4)
 UL: DC_20A_n3A
 [6 (4+2) LTE &amp; 8 (4+4) NR layers]</t>
  </si>
  <si>
    <t>MTR-35399</t>
  </si>
  <si>
    <t>DC_1A(4x4)-20A(2x2)_n3A(4x4)-n78A(4x4)
 UL: DC_1A_n78A
 [6 (4+2) LTE &amp; 8 (4+4) NR layers]</t>
  </si>
  <si>
    <t>MTR-35400</t>
  </si>
  <si>
    <t>DC_1A(4x4)-20A(2x2)_n3A(4x4)-n78A(4x4)
 UL: DC_20A_n78A
 [6 (4+2) LTE &amp; 8 (4+4) NR layers]</t>
  </si>
  <si>
    <t>MTR-35056</t>
  </si>
  <si>
    <t>DC_1A(4x4)-28A(2x2)_n3A(4x4)-n78A(4x4)
 UL: DC_1A_n3A
 [6 (4+2) LTE &amp; 8 (4+4) NR layers]</t>
  </si>
  <si>
    <t>DC_1A-28A_n3A-n78A</t>
  </si>
  <si>
    <t>MTR-35057</t>
  </si>
  <si>
    <t>DC_1A(4x4)-28A(2x2)_n3A(4x4)-n78A(4x4)
 UL: DC_1A_n78A
 [6 (4+2) LTE &amp; 8 (4+4) NR layers]</t>
  </si>
  <si>
    <t>MTR-35058</t>
  </si>
  <si>
    <t>DC_1A(4x4)-28A(2x2)_n3A(4x4)-n78A(4x4)
 UL: DC_28A_n3A
 [6 (4+2) LTE &amp; 8 (4+4) NR layers]</t>
  </si>
  <si>
    <t>MTR-35059</t>
  </si>
  <si>
    <t>DC_1A(4x4)-28A(2x2)_n3A(4x4)-n78A(4x4)
 UL: DC_28A_n78A
 [6 (4+2) LTE &amp; 8 (4+4) NR layers]</t>
  </si>
  <si>
    <t>MTR-34581</t>
  </si>
  <si>
    <t>DC_7C(4x4)_n3A(4x4)-n78A(4x4)
 UL: DC_7A_n3A
 [8 (4+4) LTE &amp; 8 (4+4) NR layers]</t>
  </si>
  <si>
    <t>DC_7C_n3A-n78A</t>
  </si>
  <si>
    <t>MTR-34580</t>
  </si>
  <si>
    <t>DC_7C(4x4)_n3A(4x4)-n78A(4x4)
 UL: DC_7A_n78A
 [8 (4+4) LTE &amp; 8 (4+4) NR layers]</t>
  </si>
  <si>
    <t>MTR-34583</t>
  </si>
  <si>
    <t>DC_7C(4x4)_n3A(4x4)-n78A(4x4)
 UL: DC_7C_n3A
 [8 (4+4) LTE &amp; 8 (4+4) NR layers]</t>
  </si>
  <si>
    <t>MTR-34582</t>
  </si>
  <si>
    <t>DC_7C(4x4)_n3A(4x4)-n78A(4x4)
 UL: DC_7C_n78A
 [8 (4+4) LTE &amp; 8 (4+4) NR layers]</t>
  </si>
  <si>
    <t>MTR-35389</t>
  </si>
  <si>
    <t>DC_7A(4x4)-20A(2x2)_n3A(4x4)-n78A(4x4)
 UL: DC_7A_n3A
 [6 (4+2) LTE &amp; 8 (4+4) NR layers]</t>
  </si>
  <si>
    <t>DC_7A-20A_n3A-n78A</t>
  </si>
  <si>
    <t>MTR-35390</t>
  </si>
  <si>
    <t>DC_7A(4x4)-20A(2x2)_n3A(4x4)-n78A(4x4)
 UL: DC_20A_n3A
 [6 (4+2) LTE &amp; 8 (4+4) NR layers]</t>
  </si>
  <si>
    <t>MTR-35391</t>
  </si>
  <si>
    <t>DC_7A(4x4)-20A(2x2)_n3A(4x4)-n78A(4x4)
 UL: DC_7A_n78A
 [6 (4+2) LTE &amp; 8 (4+4) NR layers]</t>
  </si>
  <si>
    <t>MTR-35392</t>
  </si>
  <si>
    <t>DC_7A(4x4)-20A(2x2)_n3A(4x4)-n78A(4x4)
 UL: DC_20A_n78A
 [6 (4+2) LTE &amp; 8 (4+4) NR layers]</t>
  </si>
  <si>
    <t>MTR-35393</t>
  </si>
  <si>
    <t>DC_7A(4x4)-28A(2x2)_n3A(4x4)-n78A(4x4)
 UL: DC_7A_n3A
 [6 (4+2) LTE &amp; 8 (4+4) NR layers]</t>
  </si>
  <si>
    <t>DC_7A-28A_n3A-n78A</t>
  </si>
  <si>
    <t>MTR-35395</t>
  </si>
  <si>
    <t>DC_7A(4x4)-28A(2x2)_n3A(4x4)-n78A(4x4)
 UL: DC_7A_n78A
 [6 (4+2) LTE &amp; 8 (4+4) NR layers]</t>
  </si>
  <si>
    <t>MTR-35394</t>
  </si>
  <si>
    <t>DC_7A(4x4)-28A(2x2)_n3A(4x4)-n78A(4x4)
 UL: DC_28A_n3A
 [6 (4+2) LTE &amp; 8 (4+4) NR layers]</t>
  </si>
  <si>
    <t>MTR-35396</t>
  </si>
  <si>
    <t>DC_7A(4x4)-28A(2x2)_n3A(4x4)-n78A(4x4)
 UL: DC_28A_n78A
 [6 (4+2) LTE &amp; 8 (4+4) NR layers]</t>
  </si>
  <si>
    <t>MTR-36593</t>
  </si>
  <si>
    <t>DC_1A(4x4)-3A(4x4)-7A(4x4)_n3A(4x4)-n78A(4x4)
 UL: DC_1A_n3A
 [12 (4+4+4) LTE &amp; 8 (4+4) NR layers]</t>
  </si>
  <si>
    <t>DC_1A-3A-7A_n3A-n78A</t>
  </si>
  <si>
    <t>MTR-36594</t>
  </si>
  <si>
    <t>DC_1A(4x4)-3A(4x4)-7A(4x4)_n3A(4x4)-n78A(4x4)
 UL: DC_3A_n3A
 [12 (4+4+4) LTE &amp; 8 (4+4) NR layers]</t>
  </si>
  <si>
    <t>MTR-36595</t>
  </si>
  <si>
    <t>DC_1A(4x4)-3A(4x4)-7A(4x4)_n3A(4x4)-n78A(4x4)
 UL: DC_7A_n3A
 [12 (4+4+4) LTE &amp; 8 (4+4) NR layers]</t>
  </si>
  <si>
    <t>MTR-36596</t>
  </si>
  <si>
    <t>DC_1A(4x4)-3A(4x4)-7A(4x4)_n3A(4x4)-n78A(4x4)
 UL: DC_1A_n78A
 [12 (4+4+4) LTE &amp; 8 (4+4) NR layers]</t>
  </si>
  <si>
    <t>MTR-36597</t>
  </si>
  <si>
    <t>DC_1A(4x4)-3A(4x4)-7A(4x4)_n3A(4x4)-n78A(4x4)
 UL: DC_3A_n78A
 [12 (4+4+4) LTE &amp; 8 (4+4) NR layers]</t>
  </si>
  <si>
    <t>MTR-36598</t>
  </si>
  <si>
    <t>DC_1A(4x4)-3A(4x4)-7A(4x4)_n3A(4x4)-n78A(4x4)
 UL: DC_7A_n78A
 [12 (4+4+4) LTE &amp; 8 (4+4) NR layers]</t>
  </si>
  <si>
    <t>MTR-36587</t>
  </si>
  <si>
    <t>DC_1A(4x4)-3A(4x4)-28A(2x2)_n3A(4x4)-n78A(4x4)
 UL: DC_1A_n3A
 [10 (4+4+2) LTE &amp; 8 (4+4) NR layers]</t>
  </si>
  <si>
    <t>DC_1A-3A-28A_n3A-n78A</t>
  </si>
  <si>
    <t>MTR-36588</t>
  </si>
  <si>
    <t>DC_1A(4x4)-3A(4x4)-28A(2x2)_n3A(4x4)-n78A(4x4)
 UL: DC_3A_n3A
 [10 (4+4+2) LTE &amp; 8 (4+4) NR layers]</t>
  </si>
  <si>
    <t>MTR-36589</t>
  </si>
  <si>
    <t>DC_1A(4x4)-3A(4x4)-28A(2x2)_n3A(4x4)-n78A(4x4)
 UL: DC_28A_n3A
 [10 (4+4+2) LTE &amp; 8 (4+4) NR layers]</t>
  </si>
  <si>
    <t>MTR-36590</t>
  </si>
  <si>
    <t>DC_1A(4x4)-3A(4x4)-28A(2x2)_n3A(4x4)-n78A(4x4)
 UL: DC_1A_n78A
 [10 (4+4+2) LTE &amp; 8 (4+4) NR layers]</t>
  </si>
  <si>
    <t>MTR-36591</t>
  </si>
  <si>
    <t>DC_1A(4x4)-3A(4x4)-28A(2x2)_n3A(4x4)-n78A(4x4)
 UL: DC_3A_n78A
 [10 (4+4+2) LTE &amp; 8 (4+4) NR layers]</t>
  </si>
  <si>
    <t>MTR-36592</t>
  </si>
  <si>
    <t>DC_1A(4x4)-3A(4x4)-28A(2x2)_n3A(4x4)-n78A(4x4)
 UL: DC_28A_n78A
 [10 (4+4+2) LTE &amp; 8 (4+4) NR layers]</t>
  </si>
  <si>
    <t>MTR-36605</t>
  </si>
  <si>
    <t>DC_1A(4x4)-7C(4x4)_n3A(4x4)-n78A(4x4)
 UL: DC_1A_n3A
 [12 (4+4+4) LTE &amp; 8 (4+4) NR layers]</t>
  </si>
  <si>
    <t>DC_1A-7C_n3A-n78A</t>
  </si>
  <si>
    <t>MTR-36606</t>
  </si>
  <si>
    <t>DC_1A(4x4)-7C(4x4)_n3A(4x4)-n78A(4x4)
 UL: DC_1A_n78A
 [12 (4+4+4) LTE &amp; 8 (4+4) NR layers]</t>
  </si>
  <si>
    <t>MTR-36607</t>
  </si>
  <si>
    <t>DC_1A(4x4)-7C(4x4)_n3A(4x4)-n78A(4x4)
 UL: DC_7A_n3A
 [12 (4+4+4) LTE &amp; 8 (4+4) NR layers]</t>
  </si>
  <si>
    <t>MTR-36608</t>
  </si>
  <si>
    <t>DC_1A(4x4)-7C(4x4)_n3A(4x4)-n78A(4x4)
 UL: DC_7C_n3A
 [12 (4+4+4) LTE &amp; 8 (4+4) NR layers]</t>
  </si>
  <si>
    <t>MTR-36609</t>
  </si>
  <si>
    <t>DC_1A(4x4)-7C(4x4)_n3A(4x4)-n78A(4x4)
 UL: DC_7A_n78A
 [12 (4+4+4) LTE &amp; 8 (4+4) NR layers]</t>
  </si>
  <si>
    <t>MTR-36610</t>
  </si>
  <si>
    <t>DC_1A(4x4)-7C(4x4)_n3A(4x4)-n78A(4x4)
 UL: DC_7C_n78A
 [12 (4+4+4) LTE &amp; 8 (4+4) NR layers]</t>
  </si>
  <si>
    <t>MTR-35060</t>
  </si>
  <si>
    <t>DC_1A(4x4)-7A(4x4)-20A(2x2)_n3A(4x4)-n78A(4x4)
 UL: DC_1A_n3A
 [10 (4+4+2) LTE &amp; 8 (4+4) NR layers]</t>
  </si>
  <si>
    <t>DC_1A-7A-20A_n3A-n78A</t>
  </si>
  <si>
    <t>MTR-38436</t>
  </si>
  <si>
    <t>DC_1A(4x4)-7A(4x4)-20A(2x2)_n3A(4x4)-n78A(4x4)
 UL: DC_1A_n78A
 [10 (4+4+2) LTE &amp; 8 (4+4) NR layers]</t>
  </si>
  <si>
    <t>MTR-38437</t>
  </si>
  <si>
    <t>DC_1A(4x4)-7A(4x4)-20A(2x2)_n3A(4x4)-n78A(4x4)
 UL: DC_20A_n3A
 [10 (4+4+2) LTE &amp; 8 (4+4) NR layers]</t>
  </si>
  <si>
    <t>MTR-38438</t>
  </si>
  <si>
    <t>DC_1A(4x4)-7A(4x4)-20A(2x2)_n3A(4x4)-n78A(4x4)
 UL: DC_20A_n78A
 [10 (4+4+2) LTE &amp; 8 (4+4) NR layers]</t>
  </si>
  <si>
    <t>MTR-36599</t>
  </si>
  <si>
    <t>DC_1A(4x4)-7A(4x4)-28A(2x2)_n3A(4x4)-n78A(4x4)
 UL: DC_1A_n3A
 [10 (4+4+2) LTE &amp; 8 (4+4) NR layers]</t>
  </si>
  <si>
    <t>DC_1A-7A-28A_n3A-n78A</t>
  </si>
  <si>
    <t>MTR-36600</t>
  </si>
  <si>
    <t>DC_1A(4x4)-7A(4x4)-28A(2x2)_n3A(4x4)-n78A(4x4)
 UL: DC_7A_n3A
 [10 (4+4+2) LTE &amp; 8 (4+4) NR layers]</t>
  </si>
  <si>
    <t>MTR-36601</t>
  </si>
  <si>
    <t>DC_1A(4x4)-7A(4x4)-28A(2x2)_n3A(4x4)-n78A(4x4)
 UL: DC_28A_n3A
 [10 (4+4+2) LTE &amp; 8 (4+4) NR layers]</t>
  </si>
  <si>
    <t>MTR-36602</t>
  </si>
  <si>
    <t>DC_1A(4x4)-7A(4x4)-28A(2x2)_n3A(4x4)-n78A(4x4)
 UL: DC_1A_n78A
 [10 (4+4+2) LTE &amp; 8 (4+4) NR layers]</t>
  </si>
  <si>
    <t>MTR-36603</t>
  </si>
  <si>
    <t>DC_1A(4x4)-7A(4x4)-28A(2x2)_n3A(4x4)-n78A(4x4)
 UL: DC_7A_n78A
 [10 (4+4+2) LTE &amp; 8 (4+4) NR layers]</t>
  </si>
  <si>
    <t>MTR-36604</t>
  </si>
  <si>
    <t>DC_1A(4x4)-7A(4x4)-28A(2x2)_n3A(4x4)-n78A(4x4)
 UL: DC_28A_n78A
 [10 (4+4+2) LTE &amp; 8 (4+4) NR layers]</t>
  </si>
  <si>
    <t>MTR-36617</t>
  </si>
  <si>
    <t>DC_3A(4x4)-7C(4x4)_n3A(4x4)-n78A(4x4)
 UL: DC_3A_n3A
 [12 (4+4+4) LTE &amp; 8 (4+4) NR layers]</t>
  </si>
  <si>
    <t>DC_3A-7C_n3A-n78A</t>
  </si>
  <si>
    <t>MTR-36618</t>
  </si>
  <si>
    <t>DC_3A(4x4)-7C(4x4)_n3A(4x4)-n78A(4x4)
 UL: DC_7A_n3A
 [12 (4+4+4) LTE &amp; 8 (4+4) NR layers]</t>
  </si>
  <si>
    <t>MTR-36619</t>
  </si>
  <si>
    <t>DC_3A(4x4)-7C(4x4)_n3A(4x4)-n78A(4x4)
 UL: DC_7C_n3A
 [12 (4+4+4) LTE &amp; 8 (4+4) NR layers]</t>
  </si>
  <si>
    <t>MTR-36620</t>
  </si>
  <si>
    <t>DC_3A(4x4)-7C(4x4)_n3A(4x4)-n78A(4x4)
 UL: DC_3A_n78A
 [12 (4+4+4) LTE &amp; 8 (4+4) NR layers]</t>
  </si>
  <si>
    <t>MTR-36621</t>
  </si>
  <si>
    <t>DC_3A(4x4)-7C(4x4)_n3A(4x4)-n78A(4x4)
 UL: DC_7C_n78A
 [12 (4+4+4) LTE &amp; 8 (4+4) NR layers]</t>
  </si>
  <si>
    <t>MTR-36622</t>
  </si>
  <si>
    <t>DC_3A(4x4)-7C(4x4)_n3A(4x4)-n78A(4x4)
 UL: DC_7A_n78A
 [12 (4+4+4) LTE &amp; 8 (4+4) NR layers]</t>
  </si>
  <si>
    <t>MTR-36611</t>
  </si>
  <si>
    <t>DC_3A(4x4)-7A(4x4)-28A(2x2)_n3A(4x4)-n78A(4x4)
 UL: DC_3A_n3A
 [10 (4+4+2) LTE &amp; 8 (4+4) NR layers]</t>
  </si>
  <si>
    <t>DC_3A-7A-28A_n3A-n78A</t>
  </si>
  <si>
    <t>MTR-36612</t>
  </si>
  <si>
    <t>DC_3A(4x4)-7A(4x4)-28A(2x2)_n3A(4x4)-n78A(4x4)
 UL: DC_7A_n3A
 [10 (4+4+2) LTE &amp; 8 (4+4) NR layers]</t>
  </si>
  <si>
    <t>MTR-36613</t>
  </si>
  <si>
    <t>DC_3A(4x4)-7A(4x4)-28A(2x2)_n3A(4x4)-n78A(4x4)
 UL: DC_28A_n3A
 [10 (4+4+2) LTE &amp; 8 (4+4) NR layers]</t>
  </si>
  <si>
    <t>MTR-36614</t>
  </si>
  <si>
    <t>DC_3A(4x4)-7A(4x4)-28A(2x2)_n3A(4x4)-n78A(4x4)
 UL: DC_3A_n78A
 [10 (4+4+2) LTE &amp; 8 (4+4) NR layers]</t>
  </si>
  <si>
    <t>MTR-36615</t>
  </si>
  <si>
    <t>DC_3A(4x4)-7A(4x4)-28A(2x2)_n3A(4x4)-n78A(4x4)
 UL: DC_7A_n78A
 [10 (4+4+2) LTE &amp; 8 (4+4) NR layers]</t>
  </si>
  <si>
    <t>MTR-36616</t>
  </si>
  <si>
    <t>DC_3A(4x4)-7A(4x4)-28A(2x2)_n3A(4x4)-n78A(4x4)
 UL: DC_28A_n78A
 [10 (4+4+2) LTE &amp; 8 (4+4) NR layers]</t>
  </si>
  <si>
    <t>MTR-35401</t>
  </si>
  <si>
    <t>DC_7C(4x4)-28A(2x2)_n3A(4x4)-n78A(4x4)
 UL: DC_7A_n3A
 [10 (4+4+2) LTE &amp; 8 (4+4) NR layers]</t>
  </si>
  <si>
    <t>DC_7C-28A_n3A-n78A</t>
  </si>
  <si>
    <t>MTR-35402</t>
  </si>
  <si>
    <t>DC_7C(4x4)-28A(2x2)_n3A(4x4)-n78A(4x4)
 UL: DC_7C_n3A
 [10 (4+4+2) LTE &amp; 8 (4+4) NR layers]</t>
  </si>
  <si>
    <t>MTR-35403</t>
  </si>
  <si>
    <t>DC_7C(4x4)-28A(2x2)_n3A(4x4)-n78A(4x4)
 UL: DC_28A_n3A
 [10 (4+4+2) LTE &amp; 8 (4+4) NR layers]</t>
  </si>
  <si>
    <t>MTR-35404</t>
  </si>
  <si>
    <t>DC_7C(4x4)-28A(2x2)_n3A(4x4)-n78A(4x4)
 UL: DC_7A_n78A
 [10 (4+4+2) LTE &amp; 8 (4+4) NR layers]</t>
  </si>
  <si>
    <t>MTR-35405</t>
  </si>
  <si>
    <t>DC_7C(4x4)-28A(2x2)_n3A(4x4)-n78A(4x4)
 UL: DC_7C_n78A
 [10 (4+4+2) LTE &amp; 8 (4+4) NR layers]</t>
  </si>
  <si>
    <t>MTR-35406</t>
  </si>
  <si>
    <t>DC_7C(4x4)-28A(2x2)_n3A(4x4)-n78A(4x4)
 UL: DC_28A_n78A
 [10 (4+4+2) LTE &amp; 8 (4+4) NR layers]</t>
  </si>
  <si>
    <t>MTR-36623</t>
  </si>
  <si>
    <t>DC_1A(4x4)-3A(4x4)-7C(4x4)_n3A(4x4)-n78A(4x4)
 UL: DC_1A_n3A
 [16 (4+4+4+4) LTE &amp; 8 (4+4) NR layers]</t>
  </si>
  <si>
    <t>DC_1A-3A-7C_n3A-n78A</t>
  </si>
  <si>
    <t>MTR-36624</t>
  </si>
  <si>
    <t>DC_1A(4x4)-3A(4x4)-7C(4x4)_n3A(4x4)-n78A(4x4)
 UL: DC_3A_n3A
 [16 (4+4+4+4) LTE &amp; 8 (4+4) NR layers]</t>
  </si>
  <si>
    <t>MTR-36625</t>
  </si>
  <si>
    <t>DC_1A(4x4)-3A(4x4)-7C(4x4)_n3A(4x4)-n78A(4x4)
 UL: DC_7A_n3A
 [16 (4+4+4+4) LTE &amp; 8 (4+4) NR layers]</t>
  </si>
  <si>
    <t>MTR-36626</t>
  </si>
  <si>
    <t>DC_1A(4x4)-3A(4x4)-7C(4x4)_n3A(4x4)-n78A(4x4)
 UL: DC_7C_n3A
 [16 (4+4+4+4) LTE &amp; 8 (4+4) NR layers]</t>
  </si>
  <si>
    <t>MTR-36627</t>
  </si>
  <si>
    <t>DC_1A(4x4)-3A(4x4)-7C(4x4)_n3A(4x4)-n78A(4x4)
 UL: DC_1A_n78A
 [16 (4+4+4+4) LTE &amp; 8 (4+4) NR layers]</t>
  </si>
  <si>
    <t>MTR-36628</t>
  </si>
  <si>
    <t>DC_1A(4x4)-3A(4x4)-7C(4x4)_n3A(4x4)-n78A(4x4)
 UL: DC_3A_n78A
 [16 (4+4+4+4) LTE &amp; 8 (4+4) NR layers]</t>
  </si>
  <si>
    <t>MTR-36629</t>
  </si>
  <si>
    <t>DC_1A(4x4)-3A(4x4)-7C(4x4)_n3A(4x4)-n78A(4x4)
 UL: DC_7A_n78A
 [16 (4+4+4+4) LTE &amp; 8 (4+4) NR layers]</t>
  </si>
  <si>
    <t>MTR-36630</t>
  </si>
  <si>
    <t>DC_1A(4x4)-3A(4x4)-7C(4x4)_n3A(4x4)-n78A(4x4)
 UL: DC_7C_n78A
 [16 (4+4+4+4) LTE &amp; 8 (4+4) NR layers]</t>
  </si>
  <si>
    <t>MTR-38729</t>
  </si>
  <si>
    <t>DC_1A(4x4)-7C(4x4)-28A(2x2)_n3A(4x4)-n78A(4x4)
 UL: DC_1A_n3A
 [14 (4+4+4+2) LTE &amp; 8 (4+4) NR layers]</t>
  </si>
  <si>
    <t>DC_1A-7C-28A_n3A-n78A</t>
  </si>
  <si>
    <t>MTR-38730</t>
  </si>
  <si>
    <t>DC_1A(4x4)-7C(4x4)-28A(2x2)_n3A(4x4)-n78A(4x4)
 UL: DC_7A_n3A
 [14 (4+4+4+2) LTE &amp; 8 (4+4) NR layers]</t>
  </si>
  <si>
    <t>MTR-38731</t>
  </si>
  <si>
    <t>DC_1A(4x4)-7C(4x4)-28A(2x2)_n3A(4x4)-n78A(4x4)
 UL: DC_28A_n3A
 [14 (4+4+4+2) LTE &amp; 8 (4+4) NR layers]</t>
  </si>
  <si>
    <t>MTR-38732</t>
  </si>
  <si>
    <t>DC_1A(4x4)-7C(4x4)-28A(2x2)_n3A(4x4)-n78A(4x4)
 UL: DC_1A_n78A
 [14 (4+4+4+2) LTE &amp; 8 (4+4) NR layers]</t>
  </si>
  <si>
    <t>MTR-38733</t>
  </si>
  <si>
    <t>DC_1A(4x4)-7C(4x4)-28A(2x2)_n3A(4x4)-n78A(4x4)
 UL: DC_7A_n78A
 [14 (4+4+4+2) LTE &amp; 8 (4+4) NR layers]</t>
  </si>
  <si>
    <t>MTR-38734</t>
  </si>
  <si>
    <t>DC_1A(4x4)-7C(4x4)-28A(2x2)_n3A(4x4)-n78A(4x4)
 UL: DC_28A_n78A
 [14 (4+4+4+2) LTE &amp; 8 (4+4) NR layers]</t>
  </si>
  <si>
    <t>MTR-36631</t>
  </si>
  <si>
    <t>DC_3A(4x4)-7C(4x4)-28A(2x2)_n3A(4x4)-n78A(4x4)
 UL: DC_3A_n3A
 [14 (4+4+4+2) LTE &amp; 8 (4+4) NR layers]</t>
  </si>
  <si>
    <t>DC_3A-7C-28A_n3A-n78A</t>
  </si>
  <si>
    <t>MTR-36632</t>
  </si>
  <si>
    <t>DC_3A(4x4)-7C(4x4)-28A(2x2)_n3A(4x4)-n78A(4x4)
 UL: DC_7A_n3A
 [14 (4+4+4+2) LTE &amp; 8 (4+4) NR layers]</t>
  </si>
  <si>
    <t>MTR-36633</t>
  </si>
  <si>
    <t>DC_3A(4x4)-7C(4x4)-28A(2x2)_n3A(4x4)-n78A(4x4)
 UL: DC_7C_n3A
 [14 (4+4+4+2) LTE &amp; 8 (4+4) NR layers]</t>
  </si>
  <si>
    <t>MTR-36634</t>
  </si>
  <si>
    <t>DC_3A(4x4)-7C(4x4)-28A(2x2)_n3A(4x4)-n78A(4x4)
 UL: DC_28A_n3A
 [14 (4+4+4+2) LTE &amp; 8 (4+4) NR layers]</t>
  </si>
  <si>
    <t>MTR-36635</t>
  </si>
  <si>
    <t>DC_3A(4x4)-7C(4x4)-28A(2x2)_n3A(4x4)-n78A(4x4)
 UL: DC_3A_n78A
 [14 (4+4+4+2) LTE &amp; 8 (4+4) NR layers]</t>
  </si>
  <si>
    <t>MTR-36636</t>
  </si>
  <si>
    <t>DC_3A(4x4)-7C(4x4)-28A(2x2)_n3A(4x4)-n78A(4x4)
 UL: DC_7A_n78A
 [14 (4+4+4+2) LTE &amp; 8 (4+4) NR layers]</t>
  </si>
  <si>
    <t>MTR-36637</t>
  </si>
  <si>
    <t>DC_3A(4x4)-7C(4x4)-28A(2x2)_n3A(4x4)-n78A(4x4)
 UL: DC_7C_n78A
 [14 (4+4+4+2) LTE &amp; 8 (4+4) NR layers]</t>
  </si>
  <si>
    <t>MTR-36638</t>
  </si>
  <si>
    <t>DC_3A(4x4)-7C(4x4)-28A(2x2)_n3A(4x4)-n78A(4x4)
 UL: DC_28A_n78A
 [14 (4+4+4+2) LTE &amp; 8 (4+4) NR layers]</t>
  </si>
  <si>
    <t>MTR-35644</t>
  </si>
  <si>
    <r>
      <rPr>
        <rFont val="Arial"/>
        <b/>
        <color theme="1"/>
        <sz val="10.0"/>
      </rPr>
      <t>2.5.2.9.12</t>
    </r>
    <r>
      <rPr>
        <rFont val="Arial"/>
        <b val="0"/>
        <color theme="1"/>
        <sz val="10.0"/>
      </rPr>
      <t xml:space="preserve"> </t>
    </r>
    <r>
      <rPr>
        <rFont val="Arial"/>
        <b/>
        <color theme="1"/>
        <sz val="10.0"/>
      </rPr>
      <t>EN-DC with NR CA n7A-n28A</t>
    </r>
  </si>
  <si>
    <t>MTR-37875</t>
  </si>
  <si>
    <t>DC_3A(4x4)_n7A(4x4)-n28A(2x2)
 UL: DC_3A_n7A
 [4 LTE &amp; 6 (4+2) NR layers]</t>
  </si>
  <si>
    <t>DC_3A_n7A-n28A</t>
  </si>
  <si>
    <t>n7A-n28A</t>
  </si>
  <si>
    <t>Uplink support: ['DC_3A_n28A']</t>
  </si>
  <si>
    <t>MTR-37876</t>
  </si>
  <si>
    <t>DC_3A(4x4)_n7A(4x4)-n28A(2x2)
 UL: DC_3A_n28A
 [4 LTE &amp; 6 (4+2) NR layers]</t>
  </si>
  <si>
    <t>MTR-35614</t>
  </si>
  <si>
    <t>DC_20A(2x2)_n7A(4x4)-n28A(2x2)
 UL: DC_20A_n7A
 [2 LTE &amp; 6 (4+2) NR layers]</t>
  </si>
  <si>
    <t>DC_20A_n7A-n28A</t>
  </si>
  <si>
    <t>MTR-35615</t>
  </si>
  <si>
    <t>DC_20A(2x2)_n7A(4x4)-n28A(2x2)
 UL: DC_20A_n28A
 [2 LTE &amp; 6 (4+2) NR layers]</t>
  </si>
  <si>
    <t>MTR-37877</t>
  </si>
  <si>
    <t>DC_3C(4x4)_n7A(4x4)-n28A(2x2)
 UL: DC_3A_n7A
 [8 (4+4) LTE &amp; 6 (4+2) NR layers]</t>
  </si>
  <si>
    <t>DC_3C_n7A-n28A</t>
  </si>
  <si>
    <t>MTR-37878</t>
  </si>
  <si>
    <t>DC_3C(4x4)_n7A(4x4)-n28A(2x2)
 UL: DC_3A_n28A
 [8 (4+4) LTE &amp; 6 (4+2) NR layers]</t>
  </si>
  <si>
    <t>MTR-37879</t>
  </si>
  <si>
    <t>DC_3C(4x4)_n7A(4x4)-n28A(2x2)
 UL: DC_3C_n7A
 [8 (4+4) LTE &amp; 6 (4+2) NR layers]</t>
  </si>
  <si>
    <t>MTR-37880</t>
  </si>
  <si>
    <t>DC_3C(4x4)_n7A(4x4)-n28A(2x2)
 UL: DC_3C_n28A
 [8 (4+4) LTE &amp; 6 (4+2) NR layers]</t>
  </si>
  <si>
    <t>MTR-35616</t>
  </si>
  <si>
    <t>DC_3A(4x4)-20A(2x2)_n7A(4x4)-n28A(2x2)
 UL: DC_3A_n7A
 [6 (4+2) LTE &amp; 6 (4+2) NR layers]</t>
  </si>
  <si>
    <t>DC_3A-20A_n7A-n28A</t>
  </si>
  <si>
    <t>MTR-35617</t>
  </si>
  <si>
    <t>DC_3A(4x4)-20A(2x2)_n7A(4x4)-n28A(2x2)
 UL: DC_3A_n28A
 [6 (4+2) LTE &amp; 6 (4+2) NR layers]</t>
  </si>
  <si>
    <t>MTR-35618</t>
  </si>
  <si>
    <t>DC_3A(4x4)-20A(2x2)_n7A(4x4)-n28A(2x2)
 UL: DC_20A_n7A
 [6 (4+2) LTE &amp; 6 (4+2) NR layers]</t>
  </si>
  <si>
    <t>MTR-35619</t>
  </si>
  <si>
    <t>DC_3A(4x4)-20A(2x2)_n7A(4x4)-n28A(2x2)
 UL: DC_20A_n28A
 [6 (4+2) LTE &amp; 6 (4+2) NR layers]</t>
  </si>
  <si>
    <t>MTR-35620</t>
  </si>
  <si>
    <t>DC_3C(4x4)-20A(2x2)_n7A(4x4)-n28A(2x2)
 UL: DC_3A_n7A
 [10 (4+4+2) LTE &amp; 6 (4+2) NR layers]</t>
  </si>
  <si>
    <t>DC_3C-20A_n7A-n28A</t>
  </si>
  <si>
    <t>MTR-35621</t>
  </si>
  <si>
    <t>DC_3C(4x4)-20A(2x2)_n7A(4x4)-n28A(2x2)
 UL: DC_3A_n28A
 [10 (4+4+2) LTE &amp; 6 (4+2) NR layers]</t>
  </si>
  <si>
    <t>MTR-35622</t>
  </si>
  <si>
    <t>DC_3C(4x4)-20A(2x2)_n7A(4x4)-n28A(2x2)
 UL: DC_3C_n7A
 [10 (4+4+2) LTE &amp; 6 (4+2) NR layers]</t>
  </si>
  <si>
    <t>MTR-35623</t>
  </si>
  <si>
    <t>DC_3C(4x4)-20A(2x2)_n7A(4x4)-n28A(2x2)
 UL: DC_3C_n28A
 [10 (4+4+2) LTE &amp; 6 (4+2) NR layers]
Note: This combination with UL: DC_3C_n28A has been temporarily removed by 3GPP in the June 2022 release of TS38.101-3 due to missing MSD analysis and has not been added again until creation of this MTR release.</t>
  </si>
  <si>
    <t>MTR-35624</t>
  </si>
  <si>
    <t>DC_3C(4x4)-20A(2x2)_n7A(4x4)-n28A(2x2)
 UL: DC_20A_n7A
 [10 (4+4+2) LTE &amp; 6 (4+2) NR layers]</t>
  </si>
  <si>
    <t>MTR-35625</t>
  </si>
  <si>
    <t>DC_3C(4x4)-20A(2x2)_n7A(4x4)-n28A(2x2)
 UL: DC_20A_n28A
 [10 (4+4+2) LTE &amp; 6 (4+2) NR layers]</t>
  </si>
  <si>
    <t>MTR-34600</t>
  </si>
  <si>
    <r>
      <rPr>
        <rFont val="Arial"/>
        <b/>
        <color theme="1"/>
        <sz val="10.0"/>
      </rPr>
      <t>2.5.2.9.13</t>
    </r>
    <r>
      <rPr>
        <rFont val="Arial"/>
        <b val="0"/>
        <color theme="1"/>
        <sz val="10.0"/>
      </rPr>
      <t xml:space="preserve"> </t>
    </r>
    <r>
      <rPr>
        <rFont val="Arial"/>
        <b/>
        <color theme="1"/>
        <sz val="10.0"/>
      </rPr>
      <t>EN-DC with NR CA n7A-n78A</t>
    </r>
  </si>
  <si>
    <t>MTR-34601</t>
  </si>
  <si>
    <t>DC_1A(4x4)_n7A(4x4)-n78A(4x4)
 UL: DC_1A_n7A
 [4 LTE &amp; 8 (4+4) NR layers]</t>
  </si>
  <si>
    <t>DC_1A_n7A-n78A</t>
  </si>
  <si>
    <t>n7A-n78A</t>
  </si>
  <si>
    <t>Uplink support: ['DC_1A_n78A']</t>
  </si>
  <si>
    <t>MTR-34602</t>
  </si>
  <si>
    <t>DC_1A(4x4)_n7A(4x4)-n78A(4x4)
 UL: DC_1A_n78A
 [4 LTE &amp; 8 (4+4) NR layers]</t>
  </si>
  <si>
    <t>MTR-34603</t>
  </si>
  <si>
    <t>DC_3A(4x4)_n7A(4x4)-n78A(4x4)
 UL: DC_3A_n7A
 [4 LTE &amp; 8 (4+4) NR layers]</t>
  </si>
  <si>
    <t>DC_3A_n7A-n78A</t>
  </si>
  <si>
    <t>Uplink support: ['DC_3A_n78A']</t>
  </si>
  <si>
    <t>MTR-34604</t>
  </si>
  <si>
    <t>DC_3A(4x4)_n7A(4x4)-n78A(4x4)
 UL: DC_3A_n78A
 [4 LTE &amp; 8 (4+4) NR layers]</t>
  </si>
  <si>
    <t>MTR-35061</t>
  </si>
  <si>
    <t>DC_7A(4x4)_n7A(4x4)-n78A(4x4)
 UL: DC_7A_n7A
 [4 LTE &amp; 8 (4+4) NR layers]</t>
  </si>
  <si>
    <t>DC_7A_n7A-n78A</t>
  </si>
  <si>
    <t>MTR-35062</t>
  </si>
  <si>
    <t>DC_7A(4x4)_n7A(4x4)-n78A(4x4)
 UL: DC_7A_n78A
 [4 LTE &amp; 8 (4+4) NR layers]</t>
  </si>
  <si>
    <t>MTR-38735</t>
  </si>
  <si>
    <t>DC_20A(2x2)_n7A(4x4)-n78A(4x4)
 UL: DC_20A_n7A
 [2 LTE &amp; 8 (4+4) NR layers]</t>
  </si>
  <si>
    <t>DC_20A_n7A-n78A</t>
  </si>
  <si>
    <t>MTR-38736</t>
  </si>
  <si>
    <t>DC_20A(2x2)_n7A(4x4)-n78A(4x4)
 UL: DC_20A_n78A
 [2 LTE &amp; 8 (4+4) NR layers]</t>
  </si>
  <si>
    <t>MTR-35387</t>
  </si>
  <si>
    <t>DC_28A(2x2)_n7A(4x4)-n78A(4x4)
 UL: DC_28A_n7A
 [2 LTE &amp; 8 (4+4) NR layers]</t>
  </si>
  <si>
    <t>DC_28A_n7A-n78A</t>
  </si>
  <si>
    <t>MTR-35388</t>
  </si>
  <si>
    <t>DC_28A(2x2)_n7A(4x4)-n78A(4x4)
 UL: DC_28A_n78A
 [2 LTE &amp; 8 (4+4) NR layers]</t>
  </si>
  <si>
    <t>MTR-34605</t>
  </si>
  <si>
    <t>DC_1A(4x4)-3A(4x4)_n7A(4x4)-n78A(4x4)
 UL: DC_1A_n7A
 [8 (4+4) LTE &amp; 8 (4+4) NR layers]</t>
  </si>
  <si>
    <t>DC_1A-3A_n7A-n78A</t>
  </si>
  <si>
    <t>MTR-34606</t>
  </si>
  <si>
    <t>DC_1A(4x4)-3A(4x4)_n7A(4x4)-n78A(4x4)
 UL: DC_1A_n78A
 [8 (4+4) LTE &amp; 8 (4+4) NR layers]</t>
  </si>
  <si>
    <t>MTR-34607</t>
  </si>
  <si>
    <t>DC_1A(4x4)-3A(4x4)_n7A(4x4)-n78A(4x4)
 UL: DC_3A_n7A
 [8 (4+4) LTE &amp; 8 (4+4) NR layers]</t>
  </si>
  <si>
    <t>MTR-34608</t>
  </si>
  <si>
    <t>DC_1A(4x4)-3A(4x4)_n7A(4x4)-n78A(4x4)
 UL: DC_3A_n78A
 [8 (4+4) LTE &amp; 8 (4+4) NR layers]</t>
  </si>
  <si>
    <t>MTR-35505</t>
  </si>
  <si>
    <t>DC_1A(4x4)-7A(4x4)_n7A(4x4)-n78A(4x4)
 UL: DC_1A_n7A
 [8 (4+4) LTE &amp; 8 (4+4) NR layers]</t>
  </si>
  <si>
    <t>DC_1A-7A_n7A-n78A</t>
  </si>
  <si>
    <t>MTR-35506</t>
  </si>
  <si>
    <t>DC_1A(4x4)-7A(4x4)_n7A(4x4)-n78A(4x4)
 UL: DC_1A_n78A
 [8 (4+4) LTE &amp; 8 (4+4) NR layers]</t>
  </si>
  <si>
    <t>MTR-35507</t>
  </si>
  <si>
    <t>DC_1A(4x4)-7A(4x4)_n7A(4x4)-n78A(4x4)
 UL: DC_7A_n7A
 [8 (4+4) LTE &amp; 8 (4+4) NR layers]</t>
  </si>
  <si>
    <t>MTR-35508</t>
  </si>
  <si>
    <t>DC_1A(4x4)-7A(4x4)_n7A(4x4)-n78A(4x4)
 UL: DC_7A_n78A
 [8 (4+4) LTE &amp; 8 (4+4) NR layers]</t>
  </si>
  <si>
    <t>MTR-38737</t>
  </si>
  <si>
    <t>DC_1A(4x4)-20A(2x2)_n7A(4x4)-n78A(4x4)
 UL: DC_1A_n7A
 [6 (4+2) LTE &amp; 8 (4+4) NR layers]</t>
  </si>
  <si>
    <t>DC_1A-20A_n7A-n78A</t>
  </si>
  <si>
    <t>MTR-38738</t>
  </si>
  <si>
    <t>DC_1A(4x4)-20A(2x2)_n7A(4x4)-n78A(4x4)
 UL: DC_20A_n7A
 [6 (4+2) LTE &amp; 8 (4+4) NR layers]</t>
  </si>
  <si>
    <t>MTR-38739</t>
  </si>
  <si>
    <t>DC_1A(4x4)-20A(2x2)_n7A(4x4)-n78A(4x4)
 UL: DC_1A_n78A
 [6 (4+2) LTE &amp; 8 (4+4) NR layers]</t>
  </si>
  <si>
    <t>MTR-38740</t>
  </si>
  <si>
    <t>DC_1A(4x4)-20A(2x2)_n7A(4x4)-n78A(4x4)
 UL: DC_20A_n78A
 [6 (4+2) LTE &amp; 8 (4+4) NR layers]</t>
  </si>
  <si>
    <t>MTR-35739</t>
  </si>
  <si>
    <t>DC_1A(4x4)-28A(2x2)_n7A(4x4)-n78A(4x4)
 UL: DC_1A_n7A
 [6 (4+2) LTE &amp; 8 (4+4) NR layers]</t>
  </si>
  <si>
    <t>DC_1A-28A_n7A-n78A</t>
  </si>
  <si>
    <t>MTR-35509</t>
  </si>
  <si>
    <t>DC_1A(4x4)-28A(2x2)_n7A(4x4)-n78A(4x4)
 UL: DC_1A_n78A
 [6 (4+2) LTE &amp; 8 (4+4) NR layers]</t>
  </si>
  <si>
    <t>MTR-35510</t>
  </si>
  <si>
    <t>DC_1A(4x4)-28A(2x2)_n7A(4x4)-n78A(4x4)
 UL: DC_28A_n7A
 [6 (4+2) LTE &amp; 8 (4+4) NR layers]</t>
  </si>
  <si>
    <t>MTR-35511</t>
  </si>
  <si>
    <t>DC_1A(4x4)-28A(2x2)_n7A(4x4)-n78A(4x4)
 UL: DC_28A_n78A
 [6 (4+2) LTE &amp; 8 (4+4) NR layers]</t>
  </si>
  <si>
    <t>MTR-35512</t>
  </si>
  <si>
    <t>DC_3A(4x4)-3A(4x4)_n7A(4x4)-n78A(4x4)
 UL: DC_3A_n7A
 [8 (4+4) LTE &amp; 8 (4+4) NR layers]</t>
  </si>
  <si>
    <t>DC_3A-3A_n7A-n78A</t>
  </si>
  <si>
    <t>MTR-35513</t>
  </si>
  <si>
    <t>DC_3A(4x4)-3A(4x4)_n7A(4x4)-n78A(4x4)
 UL: DC_3A_n78A
 [8 (4+4) LTE &amp; 8 (4+4) NR layers]</t>
  </si>
  <si>
    <t>MTR-34609</t>
  </si>
  <si>
    <t>DC_3C(4x4)_n7A(4x4)-n78A(4x4)
 UL: DC_3A_n7A
 [8 (4+4) LTE &amp; 8 (4+4) NR layers]</t>
  </si>
  <si>
    <t>DC_3C_n7A-n78A</t>
  </si>
  <si>
    <t>MTR-34610</t>
  </si>
  <si>
    <t>DC_3C(4x4)_n7A(4x4)-n78A(4x4)
 UL: DC_3A_n78A
 [8 (4+4) LTE &amp; 8 (4+4) NR layers]</t>
  </si>
  <si>
    <t>MTR-34611</t>
  </si>
  <si>
    <t>DC_3C(4x4)_n7A(4x4)-n78A(4x4)
 UL: DC_3C_n7A
 [8 (4+4) LTE &amp; 8 (4+4) NR layers]</t>
  </si>
  <si>
    <t>MTR-36995</t>
  </si>
  <si>
    <t>DC_3C(4x4)_n7A(4x4)-n78A(4x4)
 UL: DC_3C_n78A
 [8 (4+4) LTE &amp; 8 (4+4) NR layers]</t>
  </si>
  <si>
    <t>MTR-35735</t>
  </si>
  <si>
    <t>DC_3A(4x4)-7A(4x4)_n7A(4x4)-n78A(4x4)
 UL: DC_3A_n7A
 [8 (4+4) LTE &amp; 8 (4+4) NR layers]</t>
  </si>
  <si>
    <t>DC_3A-7A_n7A-n78A</t>
  </si>
  <si>
    <t>MTR-35736</t>
  </si>
  <si>
    <t>DC_3A(4x4)-7A(4x4)_n7A(4x4)-n78A(4x4)
 UL: DC_3A_n78A
 [8 (4+4) LTE &amp; 8 (4+4) NR layers]</t>
  </si>
  <si>
    <t>MTR-35516</t>
  </si>
  <si>
    <t>DC_3A(4x4)-7A(4x4)_n7A(4x4)-n78A(4x4)
 UL: DC_7A_n7A
 [8 (4+4) LTE &amp; 8 (4+4) NR layers]</t>
  </si>
  <si>
    <t>MTR-35517</t>
  </si>
  <si>
    <t>DC_3A(4x4)-7A(4x4)_n7A(4x4)-n78A(4x4)
 UL: DC_7A_n78A
 [8 (4+4) LTE &amp; 8 (4+4) NR layers]</t>
  </si>
  <si>
    <t>MTR-38741</t>
  </si>
  <si>
    <t>DC_3A(4x4)-20A(2x2)_n7A(4x4)-n78A(4x4)
 UL: DC_3A_n7A
 [6 (4+2) LTE &amp; 8 (4+4) NR layers]</t>
  </si>
  <si>
    <t>DC_3A-20A_n7A-n78A</t>
  </si>
  <si>
    <t>MTR-38742</t>
  </si>
  <si>
    <t>DC_3A(4x4)-20A(2x2)_n7A(4x4)-n78A(4x4)
 UL: DC_20A_n7A
 [6 (4+2) LTE &amp; 8 (4+4) NR layers]</t>
  </si>
  <si>
    <t>MTR-38743</t>
  </si>
  <si>
    <t>DC_3A(4x4)-20A(2x2)_n7A(4x4)-n78A(4x4)
 UL: DC_20A_n78A
 [6 (4+2) LTE &amp; 8 (4+4) NR layers]</t>
  </si>
  <si>
    <t>MTR-38744</t>
  </si>
  <si>
    <t>DC_3A(4x4)-20A(2x2)_n7A(4x4)-n78A(4x4)
 UL: DC_3A_n78A
 [6 (4+2) LTE &amp; 8 (4+4) NR layers]</t>
  </si>
  <si>
    <t>MTR-35740</t>
  </si>
  <si>
    <t>DC_3A(4x4)-28A(2x2)_n7A(4x4)-n78A(4x4)
 UL: DC_3A_n7A
 [6 (4+2) LTE &amp; 8 (4+4) NR layers]</t>
  </si>
  <si>
    <t>DC_3A-28A_n7A-n78A</t>
  </si>
  <si>
    <t>MTR-35518</t>
  </si>
  <si>
    <t>DC_3A(4x4)-28A(2x2)_n7A(4x4)-n78A(4x4)
 UL: DC_3A_n78A
 [6 (4+2) LTE &amp; 8 (4+4) NR layers]</t>
  </si>
  <si>
    <t>MTR-35519</t>
  </si>
  <si>
    <t>DC_3A(4x4)-28A(2x2)_n7A(4x4)-n78A(4x4)
 UL: DC_28A_n7A
 [6 (4+2) LTE &amp; 8 (4+4) NR layers]</t>
  </si>
  <si>
    <t>MTR-35520</t>
  </si>
  <si>
    <t>DC_3A(4x4)-28A(2x2)_n7A(4x4)-n78A(4x4)
 UL: DC_28A_n78A
 [6 (4+2) LTE &amp; 8 (4+4) NR layers]</t>
  </si>
  <si>
    <t>MTR-35521</t>
  </si>
  <si>
    <t>DC_7A(4x4)-28A(2x2)_n7A(4x4)-n78A(4x4)
 UL: DC_7A_n7A
 [6 (4+2) LTE &amp; 8 (4+4) NR layers]</t>
  </si>
  <si>
    <t>DC_7A-28A_n7A-n78A</t>
  </si>
  <si>
    <t>MTR-35522</t>
  </si>
  <si>
    <t>DC_7A(4x4)-28A(2x2)_n7A(4x4)-n78A(4x4)
 UL: DC_7A_n78A
 [6 (4+2) LTE &amp; 8 (4+4) NR layers]</t>
  </si>
  <si>
    <t>MTR-35523</t>
  </si>
  <si>
    <t>DC_7A(4x4)-28A(2x2)_n7A(4x4)-n78A(4x4)
 UL: DC_28A_n7A
 [6 (4+2) LTE &amp; 8 (4+4) NR layers]</t>
  </si>
  <si>
    <t>MTR-35524</t>
  </si>
  <si>
    <t>DC_7A(4x4)-28A(2x2)_n7A(4x4)-n78A(4x4)
 UL: DC_28A_n78A
 [6 (4+2) LTE &amp; 8 (4+4) NR layers]</t>
  </si>
  <si>
    <t>MTR-34612</t>
  </si>
  <si>
    <t>DC_1A(4x4)-3C(4x4)_n7A(4x4)-n78A(4x4)
 UL: DC_1A_n7A
 [12 (4+4+4) LTE &amp; 8 (4+4) NR layers]</t>
  </si>
  <si>
    <t>DC_1A-3C_n7A-n78A</t>
  </si>
  <si>
    <t>MTR-34613</t>
  </si>
  <si>
    <t>DC_1A(4x4)-3C(4x4)_n7A(4x4)-n78A(4x4)
 UL: DC_1A_n78A
 [12 (4+4+4) LTE &amp; 8 (4+4) NR layers]</t>
  </si>
  <si>
    <t>MTR-34614</t>
  </si>
  <si>
    <t>DC_1A(4x4)-3C(4x4)_n7A(4x4)-n78A(4x4)
 UL: DC_3A_n7A
 [12 (4+4+4) LTE &amp; 8 (4+4) NR layers]</t>
  </si>
  <si>
    <t>MTR-34615</t>
  </si>
  <si>
    <t>DC_1A(4x4)-3C(4x4)_n7A(4x4)-n78A(4x4)
 UL: DC_3A_n78A
 [12 (4+4+4) LTE &amp; 8 (4+4) NR layers]</t>
  </si>
  <si>
    <t>MTR-34616</t>
  </si>
  <si>
    <t>DC_1A(4x4)-3C(4x4)_n7A(4x4)-n78A(4x4)
 UL: DC_3C_n7A
 [12 (4+4+4) LTE &amp; 8 (4+4) NR layers]</t>
  </si>
  <si>
    <t>MTR-38745</t>
  </si>
  <si>
    <t>DC_1A(4x4)-3C(4x4)_n7A(4x4)-n78A(4x4)
 UL: DC_3C_n78A
 [12 (4+4+4) LTE &amp; 8 (4+4) NR layers]</t>
  </si>
  <si>
    <t>MTR-35529</t>
  </si>
  <si>
    <t>DC_1A(4x4)-3A(4x4)-7A(4x4)_n7A(4x4)-n78A(4x4)
 UL: DC_1A_n7A
 [12 (4+4+4) LTE &amp; 8 (4+4) NR layers]</t>
  </si>
  <si>
    <t>DC_1A-3A-7A_n7A-n78A</t>
  </si>
  <si>
    <t>MTR-35525</t>
  </si>
  <si>
    <t>DC_1A(4x4)-3A(4x4)-7A(4x4)_n7A(4x4)-n78A(4x4)
 UL: DC_1A_n78A
 [12 (4+4+4) LTE &amp; 8 (4+4) NR layers]</t>
  </si>
  <si>
    <t>MTR-35747</t>
  </si>
  <si>
    <t>DC_1A(4x4)-3A(4x4)-7A(4x4)_n7A(4x4)-n78A(4x4)
 UL: DC_3A_n7A
 [12 (4+4+4) LTE &amp; 8 (4+4) NR layers]</t>
  </si>
  <si>
    <t>MTR-35526</t>
  </si>
  <si>
    <t>DC_1A(4x4)-3A(4x4)-7A(4x4)_n7A(4x4)-n78A(4x4)
 UL: DC_3A_n78A
 [12 (4+4+4) LTE &amp; 8 (4+4) NR layers]</t>
  </si>
  <si>
    <t>MTR-35527</t>
  </si>
  <si>
    <t>DC_1A(4x4)-3A(4x4)-7A(4x4)_n7A(4x4)-n78A(4x4)
 UL: DC_7A_n7A
 [12 (4+4+4) LTE &amp; 8 (4+4) NR layers]</t>
  </si>
  <si>
    <t>MTR-35528</t>
  </si>
  <si>
    <t>DC_1A(4x4)-3A(4x4)-7A(4x4)_n7A(4x4)-n78A(4x4)
 UL: DC_7A_n78A
 [12 (4+4+4) LTE &amp; 8 (4+4) NR layers]</t>
  </si>
  <si>
    <t>MTR-36639</t>
  </si>
  <si>
    <t>DC_1A(4x4)-3A(4x4)-20A(2x2)_n7A(4x4)-n78A(4x4)
 UL: DC_1A_n7A
 [10 (4+4+2) LTE &amp; 8 (4+4) NR layers]</t>
  </si>
  <si>
    <t>DC_1A-3A-20A_n7A-n78A</t>
  </si>
  <si>
    <t>MTR-36640</t>
  </si>
  <si>
    <t>DC_1A(4x4)-3A(4x4)-20A(2x2)_n7A(4x4)-n78A(4x4)
 UL: DC_3A_n7A
 [10 (4+4+2) LTE &amp; 8 (4+4) NR layers]</t>
  </si>
  <si>
    <t>MTR-36641</t>
  </si>
  <si>
    <t>DC_1A(4x4)-3A(4x4)-20A(2x2)_n7A(4x4)-n78A(4x4)
 UL: DC_20A_n7A
 [10 (4+4+2) LTE &amp; 8 (4+4) NR layers]</t>
  </si>
  <si>
    <t>MTR-36642</t>
  </si>
  <si>
    <t>DC_1A(4x4)-3A(4x4)-20A(2x2)_n7A(4x4)-n78A(4x4)
 UL: DC_1A_n78A
 [10 (4+4+2) LTE &amp; 8 (4+4) NR layers]</t>
  </si>
  <si>
    <t>MTR-36643</t>
  </si>
  <si>
    <t>DC_1A(4x4)-3A(4x4)-20A(2x2)_n7A(4x4)-n78A(4x4)
 UL: DC_3A_n78A
 [10 (4+4+2) LTE &amp; 8 (4+4) NR layers]</t>
  </si>
  <si>
    <t>MTR-36644</t>
  </si>
  <si>
    <t>DC_1A(4x4)-3A(4x4)-20A(2x2)_n7A(4x4)-n78A(4x4)
 UL: DC_20A_n78A
 [10 (4+4+2) LTE &amp; 8 (4+4) NR layers]</t>
  </si>
  <si>
    <t>MTR-35744</t>
  </si>
  <si>
    <t>DC_1A(4x4)-3A(4x4)-28A(2x2)_n7A(4x4)-n78A(4x4)
 UL: DC_1A_n7A
 [10 (4+4+2) LTE &amp; 8 (4+4) NR layers]</t>
  </si>
  <si>
    <t>DC_1A-3A-28A_n7A-n78A</t>
  </si>
  <si>
    <t>MTR-35530</t>
  </si>
  <si>
    <t>DC_1A(4x4)-3A(4x4)-28A(2x2)_n7A(4x4)-n78A(4x4)
 UL: DC_1A_n78A
 [10 (4+4+2) LTE &amp; 8 (4+4) NR layers]</t>
  </si>
  <si>
    <t>MTR-35745</t>
  </si>
  <si>
    <t>DC_1A(4x4)-3A(4x4)-28A(2x2)_n7A(4x4)-n78A(4x4)
 UL: DC_3A_n7A
 [10 (4+4+2) LTE &amp; 8 (4+4) NR layers]</t>
  </si>
  <si>
    <t>MTR-35531</t>
  </si>
  <si>
    <t>DC_1A(4x4)-3A(4x4)-28A(2x2)_n7A(4x4)-n78A(4x4)
 UL: DC_3A_n78A
 [10 (4+4+2) LTE &amp; 8 (4+4) NR layers]</t>
  </si>
  <si>
    <t>MTR-35746</t>
  </si>
  <si>
    <t>DC_1A(4x4)-3A(4x4)-28A(2x2)_n7A(4x4)-n78A(4x4)
 UL: DC_28A_n7A
 [10 (4+4+2) LTE &amp; 8 (4+4) NR layers]</t>
  </si>
  <si>
    <t>MTR-35532</t>
  </si>
  <si>
    <t>DC_1A(4x4)-3A(4x4)-28A(2x2)_n7A(4x4)-n78A(4x4)
 UL: DC_28A_n78A
 [10 (4+4+2) LTE &amp; 8 (4+4) NR layers]</t>
  </si>
  <si>
    <t>MTR-35748</t>
  </si>
  <si>
    <t>DC_1A(4x4)-7A(4x4)-28A(2x2)_n7A(4x4)-n78A(4x4)
 UL: DC_1A_n7A
 [10 (4+4+2) LTE &amp; 8 (4+4) NR layers]</t>
  </si>
  <si>
    <t>DC_1A-7A-28A_n7A-n78A</t>
  </si>
  <si>
    <t>MTR-35533</t>
  </si>
  <si>
    <t>DC_1A(4x4)-7A(4x4)-28A(2x2)_n7A(4x4)-n78A(4x4)
 UL: DC_1A_n78A
 [10 (4+4+2) LTE &amp; 8 (4+4) NR layers]</t>
  </si>
  <si>
    <t>MTR-35749</t>
  </si>
  <si>
    <t>DC_1A(4x4)-7A(4x4)-28A(2x2)_n7A(4x4)-n78A(4x4)
 UL: DC_7A_n7A
 [10 (4+4+2) LTE &amp; 8 (4+4) NR layers]</t>
  </si>
  <si>
    <t>MTR-35534</t>
  </si>
  <si>
    <t>DC_1A(4x4)-7A(4x4)-28A(2x2)_n7A(4x4)-n78A(4x4)
 UL: DC_7A_n78A
 [10 (4+4+2) LTE &amp; 8 (4+4) NR layers]</t>
  </si>
  <si>
    <t>MTR-35535</t>
  </si>
  <si>
    <t>DC_1A(4x4)-7A(4x4)-28A(2x2)_n7A(4x4)-n78A(4x4)
 UL: DC_28A_n7A
 [10 (4+4+2) LTE &amp; 8 (4+4) NR layers]</t>
  </si>
  <si>
    <t>MTR-35536</t>
  </si>
  <si>
    <t>DC_1A(4x4)-7A(4x4)-28A(2x2)_n7A(4x4)-n78A(4x4)
 UL: DC_28A_n78A
 [10 (4+4+2) LTE &amp; 8 (4+4) NR layers]</t>
  </si>
  <si>
    <t>MTR-35537</t>
  </si>
  <si>
    <t>DC_3A(4x4)-3A(4x4)-7A(4x4)_n7A(4x4)-n78A(4x4)
 UL: DC_3A_n7A
 [12 (4+4+4) LTE &amp; 8 (4+4) NR layers]</t>
  </si>
  <si>
    <t>DC_3A-3A-7A_n7A-n78A</t>
  </si>
  <si>
    <t>MTR-35538</t>
  </si>
  <si>
    <t>DC_3A(4x4)-3A(4x4)-7A(4x4)_n7A(4x4)-n78A(4x4)
 UL: DC_3A_n78A
 [12 (4+4+4) LTE &amp; 8 (4+4) NR layers]</t>
  </si>
  <si>
    <t>MTR-35539</t>
  </si>
  <si>
    <t>DC_3A(4x4)-3A(4x4)-7A(4x4)_n7A(4x4)-n78A(4x4)
 UL: DC_7A_n7A
 [12 (4+4+4) LTE &amp; 8 (4+4) NR layers]</t>
  </si>
  <si>
    <t>MTR-35540</t>
  </si>
  <si>
    <t>DC_3A(4x4)-3A(4x4)-7A(4x4)_n7A(4x4)-n78A(4x4)
 UL: DC_7A_n78A
 [12 (4+4+4) LTE &amp; 8 (4+4) NR layers]</t>
  </si>
  <si>
    <t>MTR-35541</t>
  </si>
  <si>
    <t>DC_3C(4x4)-7A(4x4)_n7A(4x4)-n78A(4x4)
 UL: DC_3A_n7A
 [12 (4+4+4) LTE &amp; 8 (4+4) NR layers]</t>
  </si>
  <si>
    <t>DC_3C-7A_n7A-n78A</t>
  </si>
  <si>
    <t>MTR-35542</t>
  </si>
  <si>
    <t>DC_3C(4x4)-7A(4x4)_n7A(4x4)-n78A(4x4)
 UL: DC_3A_n78A
 [12 (4+4+4) LTE &amp; 8 (4+4) NR layers]</t>
  </si>
  <si>
    <t>MTR-35543</t>
  </si>
  <si>
    <t>DC_3C(4x4)-7A(4x4)_n7A(4x4)-n78A(4x4)
 UL: DC_3C_n7A
 [12 (4+4+4) LTE &amp; 8 (4+4) NR layers]</t>
  </si>
  <si>
    <t>MTR-35544</t>
  </si>
  <si>
    <t>DC_3C(4x4)-7A(4x4)_n7A(4x4)-n78A(4x4)
 UL: DC_3C_n78A
 [12 (4+4+4) LTE &amp; 8 (4+4) NR layers]</t>
  </si>
  <si>
    <t>MTR-35545</t>
  </si>
  <si>
    <t>DC_3C(4x4)-7A(4x4)_n7A(4x4)-n78A(4x4)
 UL: DC_7A_n7A
 [12 (4+4+4) LTE &amp; 8 (4+4) NR layers]</t>
  </si>
  <si>
    <t>MTR-35546</t>
  </si>
  <si>
    <t>DC_3C(4x4)-7A(4x4)_n7A(4x4)-n78A(4x4)
 UL: DC_7A_n78A
 [12 (4+4+4) LTE &amp; 8 (4+4) NR layers]</t>
  </si>
  <si>
    <t>MTR-38746</t>
  </si>
  <si>
    <t>MTR-38747</t>
  </si>
  <si>
    <t>MTR-38748</t>
  </si>
  <si>
    <t>MTR-38749</t>
  </si>
  <si>
    <t>MTR-38750</t>
  </si>
  <si>
    <t>MTR-35741</t>
  </si>
  <si>
    <t>DC_3A(4x4)-3A(4x4)-28A(2x2)_n7A(4x4)-n78A(4x4)
 UL: DC_3A_n7A
 [10 (4+4+2) LTE &amp; 8 (4+4) NR layers]</t>
  </si>
  <si>
    <t>DC_3A-3A-28A_n7A-n78A</t>
  </si>
  <si>
    <t>MTR-35547</t>
  </si>
  <si>
    <t>DC_3A(4x4)-3A(4x4)-28A(2x2)_n7A(4x4)-n78A(4x4)
 UL: DC_3A_n78A
 [10 (4+4+2) LTE &amp; 8 (4+4) NR layers]</t>
  </si>
  <si>
    <t>MTR-35548</t>
  </si>
  <si>
    <t>DC_3A(4x4)-3A(4x4)-28A(2x2)_n7A(4x4)-n78A(4x4)
 UL: DC_28A_n7A
 [10 (4+4+2) LTE &amp; 8 (4+4) NR layers]</t>
  </si>
  <si>
    <t>MTR-35549</t>
  </si>
  <si>
    <t>DC_3A(4x4)-3A(4x4)-28A(2x2)_n7A(4x4)-n78A(4x4)
 UL: DC_28A_n78A
 [10 (4+4+2) LTE &amp; 8 (4+4) NR layers]</t>
  </si>
  <si>
    <t>MTR-35742</t>
  </si>
  <si>
    <t>DC_3C(4x4)-28A(2x2)_n7A(4x4)-n78A(4x4)
 UL: DC_3A_n7A
 [10 (4+4+2) LTE &amp; 8 (4+4) NR layers]</t>
  </si>
  <si>
    <t>DC_3C-28A_n7A-n78A</t>
  </si>
  <si>
    <t>MTR-35550</t>
  </si>
  <si>
    <t>DC_3C(4x4)-28A(2x2)_n7A(4x4)-n78A(4x4)
 UL: DC_3A_n78A
 [10 (4+4+2) LTE &amp; 8 (4+4) NR layers]</t>
  </si>
  <si>
    <t>MTR-35743</t>
  </si>
  <si>
    <t>DC_3C(4x4)-28A(2x2)_n7A(4x4)-n78A(4x4)
 UL: DC_3C_n7A
 [10 (4+4+2) LTE &amp; 8 (4+4) NR layers]</t>
  </si>
  <si>
    <t>MTR-35551</t>
  </si>
  <si>
    <t>DC_3C(4x4)-28A(2x2)_n7A(4x4)-n78A(4x4)
 UL: DC_3C_n78A
 [10 (4+4+2) LTE &amp; 8 (4+4) NR layers]</t>
  </si>
  <si>
    <t>MTR-35552</t>
  </si>
  <si>
    <t>DC_3C(4x4)-28A(2x2)_n7A(4x4)-n78A(4x4)
 UL: DC_28A_n7A
 [10 (4+4+2) LTE &amp; 8 (4+4) NR layers]</t>
  </si>
  <si>
    <t>MTR-35553</t>
  </si>
  <si>
    <t>DC_3C(4x4)-28A(2x2)_n7A(4x4)-n78A(4x4)
 UL: DC_28A_n78A
 [10 (4+4+2) LTE &amp; 8 (4+4) NR layers]</t>
  </si>
  <si>
    <t>MTR-35750</t>
  </si>
  <si>
    <t>DC_3A(4x4)-7A(4x4)-28A(2x2)_n7A(4x4)-n78A(4x4)
 UL: DC_3A_n7A
 [10 (4+4+2) LTE &amp; 8 (4+4) NR layers]</t>
  </si>
  <si>
    <t>DC_3A-7A-28A_n7A-n78A</t>
  </si>
  <si>
    <t>MTR-35554</t>
  </si>
  <si>
    <t>DC_3A(4x4)-7A(4x4)-28A(2x2)_n7A(4x4)-n78A(4x4)
 UL: DC_3A_n78A
 [10 (4+4+2) LTE &amp; 8 (4+4) NR layers]</t>
  </si>
  <si>
    <t>MTR-35751</t>
  </si>
  <si>
    <t>DC_3A(4x4)-7A(4x4)-28A(2x2)_n7A(4x4)-n78A(4x4)
 UL: DC_7A_n7A
 [10 (4+4+2) LTE &amp; 8 (4+4) NR layers]</t>
  </si>
  <si>
    <t>MTR-35555</t>
  </si>
  <si>
    <t>DC_3A(4x4)-7A(4x4)-28A(2x2)_n7A(4x4)-n78A(4x4)
 UL: DC_7A_n78A
 [10 (4+4+2) LTE &amp; 8 (4+4) NR layers]</t>
  </si>
  <si>
    <t>MTR-35556</t>
  </si>
  <si>
    <t>DC_3A(4x4)-7A(4x4)-28A(2x2)_n7A(4x4)-n78A(4x4)
 UL: DC_28A_n7A
 [10 (4+4+2) LTE &amp; 8 (4+4) NR layers]</t>
  </si>
  <si>
    <t>MTR-35557</t>
  </si>
  <si>
    <t>DC_3A(4x4)-7A(4x4)-28A(2x2)_n7A(4x4)-n78A(4x4)
 UL: DC_28A_n78A
 [10 (4+4+2) LTE &amp; 8 (4+4) NR layers]</t>
  </si>
  <si>
    <t>MTR-35752</t>
  </si>
  <si>
    <t>DC_1A(4x4)-3C(4x4)-7A(4x4)_n7A(4x4)-n78A(4x4)
 UL: DC_1A_n7A
 [16 (4+4+4+4) LTE &amp; 8 (4+4) NR layers]</t>
  </si>
  <si>
    <t>DC_1A-3C-7A_n7A-n78A</t>
  </si>
  <si>
    <t>MTR-35558</t>
  </si>
  <si>
    <t>DC_1A(4x4)-3C(4x4)-7A(4x4)_n7A(4x4)-n78A(4x4)
 UL: DC_1A_n78A
 [16 (4+4+4+4) LTE &amp; 8 (4+4) NR layers]</t>
  </si>
  <si>
    <t>MTR-35753</t>
  </si>
  <si>
    <t>DC_1A(4x4)-3C(4x4)-7A(4x4)_n7A(4x4)-n78A(4x4)
 UL: DC_3A_n7A
 [16 (4+4+4+4) LTE &amp; 8 (4+4) NR layers]</t>
  </si>
  <si>
    <t>MTR-35559</t>
  </si>
  <si>
    <t>DC_1A(4x4)-3C(4x4)-7A(4x4)_n7A(4x4)-n78A(4x4)
 UL: DC_3A_n78A
 [16 (4+4+4+4) LTE &amp; 8 (4+4) NR layers]</t>
  </si>
  <si>
    <t>MTR-35754</t>
  </si>
  <si>
    <t>DC_1A(4x4)-3C(4x4)-7A(4x4)_n7A(4x4)-n78A(4x4)
 UL: DC_3C_n7A
 [16 (4+4+4+4) LTE &amp; 8 (4+4) NR layers]</t>
  </si>
  <si>
    <t>MTR-35560</t>
  </si>
  <si>
    <t>DC_1A(4x4)-3C(4x4)-7A(4x4)_n7A(4x4)-n78A(4x4)
 UL: DC_3C_n78A
 [16 (4+4+4+4) LTE &amp; 8 (4+4) NR layers]</t>
  </si>
  <si>
    <t>MTR-35561</t>
  </si>
  <si>
    <t>DC_1A(4x4)-3C(4x4)-7A(4x4)_n7A(4x4)-n78A(4x4)
 UL: DC_7A_n7A
 [16 (4+4+4+4) LTE &amp; 8 (4+4) NR layers]</t>
  </si>
  <si>
    <t>MTR-35755</t>
  </si>
  <si>
    <t>DC_1A(4x4)-3C(4x4)-7A(4x4)_n7A(4x4)-n78A(4x4)
 UL: DC_7A_n78A
 [16 (4+4+4+4) LTE &amp; 8 (4+4) NR layers]</t>
  </si>
  <si>
    <t>MTR-35562</t>
  </si>
  <si>
    <t>DC_1A(4x4)-3C(4x4)-28A(2x2)_n7A(4x4)-n78A(4x4)
 UL: DC_1A_n7A
 [14 (4+4+4+2) LTE &amp; 8 (4+4) NR layers]</t>
  </si>
  <si>
    <t>DC_1A-3C-28A_n7A-n78A</t>
  </si>
  <si>
    <t>MTR-35563</t>
  </si>
  <si>
    <t>DC_1A(4x4)-3C(4x4)-28A(2x2)_n7A(4x4)-n78A(4x4)
 UL: DC_1A_n78A
 [14 (4+4+4+2) LTE &amp; 8 (4+4) NR layers]</t>
  </si>
  <si>
    <t>MTR-35564</t>
  </si>
  <si>
    <t>DC_1A(4x4)-3C(4x4)-28A(2x2)_n7A(4x4)-n78A(4x4)
 UL: DC_3A_n7A
 [14 (4+4+4+2) LTE &amp; 8 (4+4) NR layers]</t>
  </si>
  <si>
    <t>MTR-35565</t>
  </si>
  <si>
    <t>DC_1A(4x4)-3C(4x4)-28A(2x2)_n7A(4x4)-n78A(4x4)
 UL: DC_3A_n78A
 [14 (4+4+4+2) LTE &amp; 8 (4+4) NR layers]</t>
  </si>
  <si>
    <t>MTR-35566</t>
  </si>
  <si>
    <t>DC_1A(4x4)-3C(4x4)-28A(2x2)_n7A(4x4)-n78A(4x4)
 UL: DC_3C_n7A
 [14 (4+4+4+2) LTE &amp; 8 (4+4) NR layers]</t>
  </si>
  <si>
    <t>MTR-35567</t>
  </si>
  <si>
    <t>DC_1A(4x4)-3C(4x4)-28A(2x2)_n7A(4x4)-n78A(4x4)
 UL: DC_3C_n78A
 [14 (4+4+4+2) LTE &amp; 8 (4+4) NR layers]</t>
  </si>
  <si>
    <t>MTR-35737</t>
  </si>
  <si>
    <t>DC_1A(4x4)-3C(4x4)-28A(2x2)_n7A(4x4)-n78A(4x4)
 UL: DC_28A_n7A
 [14 (4+4+4+2) LTE &amp; 8 (4+4) NR layers]</t>
  </si>
  <si>
    <t>MTR-35738</t>
  </si>
  <si>
    <t>DC_1A(4x4)-3C(4x4)-28A(2x2)_n7A(4x4)-n78A(4x4)
 UL: DC_28A_n78A
 [14 (4+4+4+2) LTE &amp; 8 (4+4) NR layers]</t>
  </si>
  <si>
    <t>MTR-35756</t>
  </si>
  <si>
    <t>DC_1A(4x4)-3A(4x4)-7A(4x4)-28A(2x2)_n7A(4x4)-n78A(4x4)
 UL: DC_1A_n7A
 [14 (4+4+4+2) LTE &amp; 8 (4+4) NR layers]</t>
  </si>
  <si>
    <t>DC_1A-3A-7A-28A_n7A-n78A</t>
  </si>
  <si>
    <t>MTR-35568</t>
  </si>
  <si>
    <t>DC_1A(4x4)-3A(4x4)-7A(4x4)-28A(2x2)_n7A(4x4)-n78A(4x4)
 UL: DC_1A_n78A
 [14 (4+4+4+2) LTE &amp; 8 (4+4) NR layers]</t>
  </si>
  <si>
    <t>MTR-35757</t>
  </si>
  <si>
    <t>DC_1A(4x4)-3A(4x4)-7A(4x4)-28A(2x2)_n7A(4x4)-n78A(4x4)
 UL: DC_3A_n7A
 [14 (4+4+4+2) LTE &amp; 8 (4+4) NR layers]</t>
  </si>
  <si>
    <t>MTR-35569</t>
  </si>
  <si>
    <t>DC_1A(4x4)-3A(4x4)-7A(4x4)-28A(2x2)_n7A(4x4)-n78A(4x4)
 UL: DC_3A_n78A
 [14 (4+4+4+2) LTE &amp; 8 (4+4) NR layers]</t>
  </si>
  <si>
    <t>MTR-35758</t>
  </si>
  <si>
    <t>DC_1A(4x4)-3A(4x4)-7A(4x4)-28A(2x2)_n7A(4x4)-n78A(4x4)
 UL: DC_7A_n7A
 [14 (4+4+4+2) LTE &amp; 8 (4+4) NR layers]</t>
  </si>
  <si>
    <t>MTR-35570</t>
  </si>
  <si>
    <t>DC_1A(4x4)-3A(4x4)-7A(4x4)-28A(2x2)_n7A(4x4)-n78A(4x4)
 UL: DC_7A_n78A
 [14 (4+4+4+2) LTE &amp; 8 (4+4) NR layers]</t>
  </si>
  <si>
    <t>MTR-35571</t>
  </si>
  <si>
    <t>DC_1A(4x4)-3A(4x4)-7A(4x4)-28A(2x2)_n7A(4x4)-n78A(4x4)
 UL: DC_28A_n7A
 [14 (4+4+4+2) LTE &amp; 8 (4+4) NR layers]</t>
  </si>
  <si>
    <t>MTR-35572</t>
  </si>
  <si>
    <t>DC_1A(4x4)-3A(4x4)-7A(4x4)-28A(2x2)_n7A(4x4)-n78A(4x4)
 UL: DC_28A_n78A
 [14 (4+4+4+2) LTE &amp; 8 (4+4) NR layers]</t>
  </si>
  <si>
    <t>MTR-35759</t>
  </si>
  <si>
    <t>DC_3C(4x4)-7A(4x4)-28A(2x2)_n7A(4x4)-n78A(4x4)
 UL: DC_3A_n7A
 [14 (4+4+4+2) LTE &amp; 8 (4+4) NR layers]</t>
  </si>
  <si>
    <t>DC_3C-7A-28A_n7A-n78A</t>
  </si>
  <si>
    <t>MTR-35573</t>
  </si>
  <si>
    <t>DC_3C(4x4)-7A(4x4)-28A(2x2)_n7A(4x4)-n78A(4x4)
 UL: DC_3A_n78A
 [14 (4+4+4+2) LTE &amp; 8 (4+4) NR layers]</t>
  </si>
  <si>
    <t>MTR-35760</t>
  </si>
  <si>
    <t>DC_3C(4x4)-7A(4x4)-28A(2x2)_n7A(4x4)-n78A(4x4)
 UL: DC_3C_n7A
 [14 (4+4+4+2) LTE &amp; 8 (4+4) NR layers]</t>
  </si>
  <si>
    <t>MTR-35574</t>
  </si>
  <si>
    <t>DC_3C(4x4)-7A(4x4)-28A(2x2)_n7A(4x4)-n78A(4x4)
 UL: DC_3C_n78A
 [14 (4+4+4+2) LTE &amp; 8 (4+4) NR layers]</t>
  </si>
  <si>
    <t>MTR-35761</t>
  </si>
  <si>
    <t>DC_3C(4x4)-7A(4x4)-28A(2x2)_n7A(4x4)-n78A(4x4)
 UL: DC_7A_n7A
 [14 (4+4+4+2) LTE &amp; 8 (4+4) NR layers]</t>
  </si>
  <si>
    <t>MTR-35575</t>
  </si>
  <si>
    <t>DC_3C(4x4)-7A(4x4)-28A(2x2)_n7A(4x4)-n78A(4x4)
 UL: DC_7A_n78A
 [14 (4+4+4+2) LTE &amp; 8 (4+4) NR layers]</t>
  </si>
  <si>
    <t>MTR-35576</t>
  </si>
  <si>
    <t>DC_3C(4x4)-7A(4x4)-28A(2x2)_n7A(4x4)-n78A(4x4)
 UL: DC_28A_n7A
 [14 (4+4+4+2) LTE &amp; 8 (4+4) NR layers]</t>
  </si>
  <si>
    <t>MTR-35577</t>
  </si>
  <si>
    <t>DC_3C(4x4)-7A(4x4)-28A(2x2)_n7A(4x4)-n78A(4x4)
 UL: DC_28A_n78A
 [14 (4+4+4+2) LTE &amp; 8 (4+4) NR layers]</t>
  </si>
  <si>
    <t>MTR-35762</t>
  </si>
  <si>
    <t>DC_1A(4x4)-3C(4x4)-7A(4x4)-28A(2x2)_n7A(4x4)-n78A(4x4)
 UL: DC_1A_n7A
 [18 (4+4+4+4+2) LTE &amp; 8 (4+4) NR layers]</t>
  </si>
  <si>
    <t>DC_1A-3C-7A-28A_n7A-n78A</t>
  </si>
  <si>
    <t>MTR-35578</t>
  </si>
  <si>
    <t>DC_1A(4x4)-3C(4x4)-7A(4x4)-28A(2x2)_n7A(4x4)-n78A(4x4)
 UL: DC_1A_n78A
 [18 (4+4+4+4+2) LTE &amp; 8 (4+4) NR layers]</t>
  </si>
  <si>
    <t>MTR-35763</t>
  </si>
  <si>
    <t>DC_1A(4x4)-3C(4x4)-7A(4x4)-28A(2x2)_n7A(4x4)-n78A(4x4)
 UL: DC_3A_n7A
 [18 (4+4+4+4+2) LTE &amp; 8 (4+4) NR layers]</t>
  </si>
  <si>
    <t>MTR-35579</t>
  </si>
  <si>
    <t>DC_1A(4x4)-3C(4x4)-7A(4x4)-28A(2x2)_n7A(4x4)-n78A(4x4)
 UL: DC_3A_n78A
 [18 (4+4+4+4+2) LTE &amp; 8 (4+4) NR layers]</t>
  </si>
  <si>
    <t>MTR-35764</t>
  </si>
  <si>
    <t>DC_1A(4x4)-3C(4x4)-7A(4x4)-28A(2x2)_n7A(4x4)-n78A(4x4)
 UL: DC_3C_n7A
 [18 (4+4+4+4+2) LTE &amp; 8 (4+4) NR layers]</t>
  </si>
  <si>
    <t>MTR-35580</t>
  </si>
  <si>
    <t>DC_1A(4x4)-3C(4x4)-7A(4x4)-28A(2x2)_n7A(4x4)-n78A(4x4)
 UL: DC_3C_n78A
 [18 (4+4+4+4+2) LTE &amp; 8 (4+4) NR layers]</t>
  </si>
  <si>
    <t>MTR-35765</t>
  </si>
  <si>
    <t>DC_1A(4x4)-3C(4x4)-7A(4x4)-28A(2x2)_n7A(4x4)-n78A(4x4)
 UL: DC_7A_n7A
 [18 (4+4+4+4+2) LTE &amp; 8 (4+4) NR layers]</t>
  </si>
  <si>
    <t>MTR-35581</t>
  </si>
  <si>
    <t>DC_1A(4x4)-3C(4x4)-7A(4x4)-28A(2x2)_n7A(4x4)-n78A(4x4)
 UL: DC_7A_n78A
 [18 (4+4+4+4+2) LTE &amp; 8 (4+4) NR layers]</t>
  </si>
  <si>
    <t>MTR-35582</t>
  </si>
  <si>
    <t>DC_1A(4x4)-3C(4x4)-7A(4x4)-28A(2x2)_n7A(4x4)-n78A(4x4)
 UL: DC_28A_n7A
 [18 (4+4+4+4+2) LTE &amp; 8 (4+4) NR layers]</t>
  </si>
  <si>
    <t>MTR-35583</t>
  </si>
  <si>
    <t>DC_1A(4x4)-3C(4x4)-7A(4x4)-28A(2x2)_n7A(4x4)-n78A(4x4)
 UL: DC_28A_n78A
 [18 (4+4+4+4+2) LTE &amp; 8 (4+4) NR layers]</t>
  </si>
  <si>
    <t>MTR-38614</t>
  </si>
  <si>
    <r>
      <rPr>
        <rFont val="Arial"/>
        <b/>
        <color theme="1"/>
        <sz val="10.0"/>
      </rPr>
      <t>2.5.2.9.14</t>
    </r>
    <r>
      <rPr>
        <rFont val="Arial"/>
        <b val="0"/>
        <color theme="1"/>
        <sz val="10.0"/>
      </rPr>
      <t xml:space="preserve"> </t>
    </r>
    <r>
      <rPr>
        <rFont val="Arial"/>
        <b/>
        <color theme="1"/>
        <sz val="10.0"/>
      </rPr>
      <t>EN-DC with NR CA n8A-n75A</t>
    </r>
  </si>
  <si>
    <t>MTR-33513</t>
  </si>
  <si>
    <t>DC_20A(2x2)_n8A(2x2)-n75A(4x4)
 UL: DC_20A_n8A
 [2 LTE &amp; 6 (2+4) NR layers]</t>
  </si>
  <si>
    <t>DC_20A_n8A-n75A</t>
  </si>
  <si>
    <t>n8A-n75A</t>
  </si>
  <si>
    <t>MTR-34617</t>
  </si>
  <si>
    <r>
      <rPr>
        <rFont val="Arial"/>
        <b/>
        <color theme="1"/>
        <sz val="10.0"/>
      </rPr>
      <t>2.5.2.9.15</t>
    </r>
    <r>
      <rPr>
        <rFont val="Arial"/>
        <b val="0"/>
        <color theme="1"/>
        <sz val="10.0"/>
      </rPr>
      <t xml:space="preserve"> </t>
    </r>
    <r>
      <rPr>
        <rFont val="Arial"/>
        <b/>
        <color theme="1"/>
        <sz val="10.0"/>
      </rPr>
      <t>EN-DC with NR CA n8A-n78A</t>
    </r>
  </si>
  <si>
    <t>MTR-35385</t>
  </si>
  <si>
    <t>DC_1A(4x4)_n8A(2x2)-n78A(4x4)
 UL: DC_1A_n8A
 [4 LTE &amp; 6 (2+4) NR layers]</t>
  </si>
  <si>
    <t>DC_1A_n8A-n78A</t>
  </si>
  <si>
    <t>n8A-n78A</t>
  </si>
  <si>
    <t>MTR-35386</t>
  </si>
  <si>
    <t>DC_1A(4x4)_n8A(2x2)-n78A(4x4)
 UL: DC_1A_n78A
 [4 LTE &amp; 6 (2+4) NR layers]</t>
  </si>
  <si>
    <t>MTR-35626</t>
  </si>
  <si>
    <t>DC_3A(4x4)_n8A(2x2)-n78A(4x4)
 UL: DC_3A_n8A
 [4 LTE &amp; 6 (2+4) NR layers]</t>
  </si>
  <si>
    <t>DC_3A_n8A-n78A</t>
  </si>
  <si>
    <t>MTR-35627</t>
  </si>
  <si>
    <t>DC_3A(4x4)_n8A(2x2)-n78A(4x4)
 UL: DC_3A_n78A
 [4 LTE &amp; 6 (2+4) NR layers]</t>
  </si>
  <si>
    <t>MTR-35628</t>
  </si>
  <si>
    <t>DC_7A(4x4)_n8A(2x2)-n78A(4x4)
 UL: DC_7A_n8A
 [4 LTE &amp; 6 (2+4) NR layers]</t>
  </si>
  <si>
    <t>DC_7A_n8A-n78A</t>
  </si>
  <si>
    <t>MTR-35629</t>
  </si>
  <si>
    <t>DC_7A(4x4)_n8A(2x2)-n78A(4x4)
 UL: DC_7A_n78A
 [4 LTE &amp; 6 (2+4) NR layers]</t>
  </si>
  <si>
    <t>MTR-36996</t>
  </si>
  <si>
    <t>DC_20A(2x2)_n8A(2x2)-n78A(4x4)
 UL: DC_20A_n78A
 [2 LTE &amp; 6 (2+4) NR layers]</t>
  </si>
  <si>
    <t>DC_20A_n8A-n78A</t>
  </si>
  <si>
    <t>MTR-36997</t>
  </si>
  <si>
    <t>DC_20A(2x2)_n8A(2x2)-n78A(4x4)
 UL: DC_20A_n8A
 [2 LTE &amp; 6 (2+4) NR layers]</t>
  </si>
  <si>
    <t>MTR-34619</t>
  </si>
  <si>
    <t>DC_28A(2x2)_n8A(2x2)-n78A(4x4)
 UL: DC_28A_n8A
 [2 LTE &amp; 6 (2+4) NR layers]</t>
  </si>
  <si>
    <t>DC_28A_n8A-n78A</t>
  </si>
  <si>
    <t>MTR-34618</t>
  </si>
  <si>
    <t>DC_28A(2x2)_n8A(2x2)-n78A(4x4)
 UL: DC_28A_n78A
 [2 LTE &amp; 6 (2+4) NR layers]</t>
  </si>
  <si>
    <t>MTR-37002</t>
  </si>
  <si>
    <t>DC_1A(4x4)-3A(4x4)_n8A(2x2)-n78A(4x4)
 UL: DC_1A_n8A
 [8 (4+4) LTE &amp; 6 (2+4) NR layers]</t>
  </si>
  <si>
    <t>DC_1A-3A_n8A-n78A</t>
  </si>
  <si>
    <t>MTR-37003</t>
  </si>
  <si>
    <t>DC_1A(4x4)-3A(4x4)_n8A(2x2)-n78A(4x4)
 UL: DC_1A_n78A
 [8 (4+4) LTE &amp; 6 (2+4) NR layers]</t>
  </si>
  <si>
    <t>MTR-37004</t>
  </si>
  <si>
    <t>DC_1A(4x4)-3A(4x4)_n8A(2x2)-n78A(4x4)
 UL: DC_3A_n8A
 [8 (4+4) LTE &amp; 6 (2+4) NR layers]</t>
  </si>
  <si>
    <t>MTR-37005</t>
  </si>
  <si>
    <t>DC_1A(4x4)-3A(4x4)_n8A(2x2)-n78A(4x4)
 UL: DC_3A_n78A
 [8 (4+4) LTE &amp; 6 (2+4) NR layers]</t>
  </si>
  <si>
    <t>MTR-37006</t>
  </si>
  <si>
    <t>DC_1A(4x4)-7A(4x4)_n8A(2x2)-n78A(4x4)
 UL: DC_1A_n8A
 [8 (4+4) LTE &amp; 6 (2+4) NR layers]</t>
  </si>
  <si>
    <t>DC_1A-7A_n8A-n78A</t>
  </si>
  <si>
    <t>MTR-37007</t>
  </si>
  <si>
    <t>DC_1A(4x4)-7A(4x4)_n8A(2x2)-n78A(4x4)
 UL: DC_1A_n78A
 [8 (4+4) LTE &amp; 6 (2+4) NR layers]</t>
  </si>
  <si>
    <t>MTR-37008</t>
  </si>
  <si>
    <t>DC_1A(4x4)-7A(4x4)_n8A(2x2)-n78A(4x4)
 UL: DC_7A_n8A
 [8 (4+4) LTE &amp; 6 (2+4) NR layers]</t>
  </si>
  <si>
    <t>MTR-37009</t>
  </si>
  <si>
    <t>DC_1A(4x4)-7A(4x4)_n8A(2x2)-n78A(4x4)
 UL: DC_7A_n78A
 [8 (4+4) LTE &amp; 6 (2+4) NR layers]</t>
  </si>
  <si>
    <t>MTR-36998</t>
  </si>
  <si>
    <t>DC_1A(4x4)-20A(2x2)_n8A(2x2)-n78A(4x4)
 UL: DC_1A_n8A
 [6 (4+2) LTE &amp; 6 (2+4) NR layers]</t>
  </si>
  <si>
    <t>DC_1A-20A_n8A-n78A</t>
  </si>
  <si>
    <t>MTR-36999</t>
  </si>
  <si>
    <t>DC_1A(4x4)-20A(2x2)_n8A(2x2)-n78A(4x4)
 UL: DC_1A_n78A
 [6 (4+2) LTE &amp; 6 (2+4) NR layers]</t>
  </si>
  <si>
    <t>MTR-37000</t>
  </si>
  <si>
    <t>DC_1A(4x4)-20A(2x2)_n8A(2x2)-n78A(4x4)
 UL: DC_20A_n8A
 [6 (4+2) LTE &amp; 6 (2+4) NR layers]</t>
  </si>
  <si>
    <t>MTR-37001</t>
  </si>
  <si>
    <t>DC_1A(4x4)-20A(2x2)_n8A(2x2)-n78A(4x4)
 UL: DC_20A_n78A
 [6 (4+2) LTE &amp; 6 (2+4) NR layers]</t>
  </si>
  <si>
    <t>MTR-37014</t>
  </si>
  <si>
    <t>DC_3A(4x4)-3A(4x4)_n8A(2x2)-n78A(4x4)
 UL: DC_3A_n8A
 [8 (4+4) LTE &amp; 6 (2+4) NR layers]</t>
  </si>
  <si>
    <t>DC_3A-3A_n8A-n78A</t>
  </si>
  <si>
    <t>MTR-37015</t>
  </si>
  <si>
    <t>DC_3A(4x4)-3A(4x4)_n8A(2x2)-n78A(4x4)
 UL: DC_3A_n78A
 [8 (4+4) LTE &amp; 6 (2+4) NR layers]</t>
  </si>
  <si>
    <t>MTR-37016</t>
  </si>
  <si>
    <t>DC_3A(4x4)-7A(4x4)_n8A(2x2)-n78A(4x4)
 UL: DC_3A_n8A
 [8 (4+4) LTE &amp; 6 (2+4) NR layers]</t>
  </si>
  <si>
    <t>DC_3A-7A_n8A-n78A</t>
  </si>
  <si>
    <t>MTR-37017</t>
  </si>
  <si>
    <t>DC_3A(4x4)-7A(4x4)_n8A(2x2)-n78A(4x4)
 UL: DC_3A_n78A
 [8 (4+4) LTE &amp; 6 (2+4) NR layers]</t>
  </si>
  <si>
    <t>MTR-37018</t>
  </si>
  <si>
    <t>DC_3A(4x4)-7A(4x4)_n8A(2x2)-n78A(4x4)
 UL: DC_7A_n8A
 [8 (4+4) LTE &amp; 6 (2+4) NR layers]</t>
  </si>
  <si>
    <t>MTR-37019</t>
  </si>
  <si>
    <t>DC_3A(4x4)-7A(4x4)_n8A(2x2)-n78A(4x4)
 UL: DC_7A_n78A
 [8 (4+4) LTE &amp; 6 (2+4) NR layers]</t>
  </si>
  <si>
    <t>MTR-37010</t>
  </si>
  <si>
    <t>DC_3A(4x4)-20A(2x2)_n8A(2x2)-n78A(4x4)
 UL: DC_3A_n8A
 [6 (4+2) LTE &amp; 6 (2+4) NR layers]</t>
  </si>
  <si>
    <t>DC_3A-20A_n8A-n78A</t>
  </si>
  <si>
    <t>MTR-37011</t>
  </si>
  <si>
    <t>DC_3A(4x4)-20A(2x2)_n8A(2x2)-n78A(4x4)
 UL: DC_3A_n78A
 [6 (4+2) LTE &amp; 6 (2+4) NR layers]</t>
  </si>
  <si>
    <t>MTR-37012</t>
  </si>
  <si>
    <t>DC_3A(4x4)-20A(2x2)_n8A(2x2)-n78A(4x4)
 UL: DC_20A_n8A
 [6 (4+2) LTE &amp; 6 (2+4) NR layers]</t>
  </si>
  <si>
    <t>MTR-37013</t>
  </si>
  <si>
    <t>DC_3A(4x4)-20A(2x2)_n8A(2x2)-n78A(4x4)
 UL: DC_20A_n78A
 [6 (4+2) LTE &amp; 6 (2+4) NR layers]</t>
  </si>
  <si>
    <t>MTR-37024</t>
  </si>
  <si>
    <t>DC_7A(4x4)-7A(4x4)_n8A(2x2)-n78A(4x4)
 UL: DC_7A_n8A
 [8 (4+4) LTE &amp; 6 (2+4) NR layers]</t>
  </si>
  <si>
    <t>DC_7A-7A_n8A-n78A</t>
  </si>
  <si>
    <t>MTR-37025</t>
  </si>
  <si>
    <t>DC_7A(4x4)-7A(4x4)_n8A(2x2)-n78A(4x4)
 UL: DC_7A_n78A
 [8 (4+4) LTE &amp; 6 (2+4) NR layers]</t>
  </si>
  <si>
    <t>MTR-37020</t>
  </si>
  <si>
    <t>DC_7A(4x4)-20A(2x2)_n8A(2x2)-n78A(4x4)
 UL: DC_7A_n8A
 [6 (4+2) LTE &amp; 6 (2+4) NR layers]</t>
  </si>
  <si>
    <t>DC_7A-20A_n8A-n78A</t>
  </si>
  <si>
    <t>MTR-37021</t>
  </si>
  <si>
    <t>DC_7A(4x4)-20A(2x2)_n8A(2x2)-n78A(4x4)
 UL: DC_7A_n78A
 [6 (4+2) LTE &amp; 6 (2+4) NR layers]</t>
  </si>
  <si>
    <t>MTR-37022</t>
  </si>
  <si>
    <t>DC_7A(4x4)-20A(2x2)_n8A(2x2)-n78A(4x4)
 UL: DC_20A_n8A
 [6 (4+2) LTE &amp; 6 (2+4) NR layers]</t>
  </si>
  <si>
    <t>MTR-37023</t>
  </si>
  <si>
    <t>DC_7A(4x4)-20A(2x2)_n8A(2x2)-n78A(4x4)
 UL: DC_20A_n78A
 [6 (4+2) LTE &amp; 6 (2+4) NR layers]</t>
  </si>
  <si>
    <t>MTR-37032</t>
  </si>
  <si>
    <t>DC_1A(4x4)-3A(4x4)-7A(4x4)_n8A(2x2)-n78A(4x4)
 UL: DC_1A_n8A
 [12 (4+4+4) LTE &amp; 6 (2+4) NR layers]</t>
  </si>
  <si>
    <t>DC_1A-3A-7A_n8A-n78A</t>
  </si>
  <si>
    <t>MTR-37033</t>
  </si>
  <si>
    <t>DC_1A(4x4)-3A(4x4)-7A(4x4)_n8A(2x2)-n78A(4x4)
 UL: DC_1A_n78A
 [12 (4+4+4) LTE &amp; 6 (2+4) NR layers]</t>
  </si>
  <si>
    <t>MTR-37034</t>
  </si>
  <si>
    <t>DC_1A(4x4)-3A(4x4)-7A(4x4)_n8A(2x2)-n78A(4x4)
 UL: DC_3A_n8A
 [12 (4+4+4) LTE &amp; 6 (2+4) NR layers]</t>
  </si>
  <si>
    <t>MTR-37035</t>
  </si>
  <si>
    <t>DC_1A(4x4)-3A(4x4)-7A(4x4)_n8A(2x2)-n78A(4x4)
 UL: DC_3A_n78A
 [12 (4+4+4) LTE &amp; 6 (2+4) NR layers]</t>
  </si>
  <si>
    <t>MTR-37036</t>
  </si>
  <si>
    <t>DC_1A(4x4)-3A(4x4)-7A(4x4)_n8A(2x2)-n78A(4x4)
 UL: DC_7A_n8A
 [12 (4+4+4) LTE &amp; 6 (2+4) NR layers]</t>
  </si>
  <si>
    <t>MTR-37037</t>
  </si>
  <si>
    <t>DC_1A(4x4)-3A(4x4)-7A(4x4)_n8A(2x2)-n78A(4x4)
 UL: DC_7A_n78A
 [12 (4+4+4) LTE &amp; 6 (2+4) NR layers]</t>
  </si>
  <si>
    <t>MTR-37026</t>
  </si>
  <si>
    <t>DC_1A(4x4)-3A(4x4)-20A(2x2)_n8A(2x2)-n78A(4x4)
 UL: DC_1A_n8A
 [10 (4+4+2) LTE &amp; 6 (2+4) NR layers]</t>
  </si>
  <si>
    <t>DC_1A-3A-20A_n8A-n78A</t>
  </si>
  <si>
    <t>MTR-37027</t>
  </si>
  <si>
    <t>DC_1A(4x4)-3A(4x4)-20A(2x2)_n8A(2x2)-n78A(4x4)
 UL: DC_1A_n78A
 [10 (4+4+2) LTE &amp; 6 (2+4) NR layers]</t>
  </si>
  <si>
    <t>MTR-37028</t>
  </si>
  <si>
    <t>DC_1A(4x4)-3A(4x4)-20A(2x2)_n8A(2x2)-n78A(4x4)
 UL: DC_3A_n8A
 [10 (4+4+2) LTE &amp; 6 (2+4) NR layers]</t>
  </si>
  <si>
    <t>MTR-37029</t>
  </si>
  <si>
    <t>DC_1A(4x4)-3A(4x4)-20A(2x2)_n8A(2x2)-n78A(4x4)
 UL: DC_3A_n78A
 [10 (4+4+2) LTE &amp; 6 (2+4) NR layers]</t>
  </si>
  <si>
    <t>MTR-37030</t>
  </si>
  <si>
    <t>DC_1A(4x4)-3A(4x4)-20A(2x2)_n8A(2x2)-n78A(4x4)
 UL: DC_20A_n8A
 [10 (4+4+2) LTE &amp; 6 (2+4) NR layers]</t>
  </si>
  <si>
    <t>MTR-37031</t>
  </si>
  <si>
    <t>DC_1A(4x4)-3A(4x4)-20A(2x2)_n8A(2x2)-n78A(4x4)
 UL: DC_20A_n78A
 [10 (4+4+2) LTE &amp; 6 (2+4) NR layers]</t>
  </si>
  <si>
    <t>MTR-37038</t>
  </si>
  <si>
    <t>DC_1A(4x4)-7A(4x4)-20A(2x2)_n8A(2x2)-n78A(4x4)
 UL: DC_1A_n8A
 [10 (4+4+2) LTE &amp; 6 (2+4) NR layers]</t>
  </si>
  <si>
    <t>DC_1A-7A-20A_n8A-n78A</t>
  </si>
  <si>
    <t>MTR-37039</t>
  </si>
  <si>
    <t>DC_1A(4x4)-7A(4x4)-20A(2x2)_n8A(2x2)-n78A(4x4)
 UL: DC_1A_n78A
 [10 (4+4+2) LTE &amp; 6 (2+4) NR layers]</t>
  </si>
  <si>
    <t>MTR-37040</t>
  </si>
  <si>
    <t>DC_1A(4x4)-7A(4x4)-20A(2x2)_n8A(2x2)-n78A(4x4)
 UL: DC_7A_n8A
 [10 (4+4+2) LTE &amp; 6 (2+4) NR layers]</t>
  </si>
  <si>
    <t>MTR-37041</t>
  </si>
  <si>
    <t>DC_1A(4x4)-7A(4x4)-20A(2x2)_n8A(2x2)-n78A(4x4)
 UL: DC_7A_n78A
 [10 (4+4+2) LTE &amp; 6 (2+4) NR layers]</t>
  </si>
  <si>
    <t>MTR-37042</t>
  </si>
  <si>
    <t>DC_1A(4x4)-7A(4x4)-20A(2x2)_n8A(2x2)-n78A(4x4)
 UL: DC_20A_n8A
 [10 (4+4+2) LTE &amp; 6 (2+4) NR layers]</t>
  </si>
  <si>
    <t>MTR-37043</t>
  </si>
  <si>
    <t>DC_1A(4x4)-7A(4x4)-20A(2x2)_n8A(2x2)-n78A(4x4)
 UL: DC_20A_n78A
 [10 (4+4+2) LTE &amp; 6 (2+4) NR layers]</t>
  </si>
  <si>
    <t>MTR-37044</t>
  </si>
  <si>
    <t>DC_3A(4x4)-3A(4x4)-7A(4x4)_n8A(2x2)-n78A(4x4)
 UL: DC_3A_n8A
 [12 (4+4+4) LTE &amp; 6 (2+4) NR layers]</t>
  </si>
  <si>
    <t>DC_3A-3A-7A_n8A-n78A</t>
  </si>
  <si>
    <t>MTR-37045</t>
  </si>
  <si>
    <t>DC_3A(4x4)-3A(4x4)-7A(4x4)_n8A(2x2)-n78A(4x4)
 UL: DC_3A_n78A
 [12 (4+4+4) LTE &amp; 6 (2+4) NR layers]</t>
  </si>
  <si>
    <t>MTR-37046</t>
  </si>
  <si>
    <t>DC_3A(4x4)-3A(4x4)-7A(4x4)_n8A(2x2)-n78A(4x4)
 UL: DC_7A_n8A
 [12 (4+4+4) LTE &amp; 6 (2+4) NR layers]</t>
  </si>
  <si>
    <t>MTR-37047</t>
  </si>
  <si>
    <t>DC_3A(4x4)-3A(4x4)-7A(4x4)_n8A(2x2)-n78A(4x4)
 UL: DC_7A_n78A
 [12 (4+4+4) LTE &amp; 6 (2+4) NR layers]</t>
  </si>
  <si>
    <t>MTR-37054</t>
  </si>
  <si>
    <t>DC_3A(4x4)-7A(4x4)-7A(4x4)_n8A(2x2)-n78A(4x4)
 UL: DC_3A_n8A
 [12 (4+4+4) LTE &amp; 6 (2+4) NR layers]</t>
  </si>
  <si>
    <t>DC_3A-7A-7A_n8A-n78A</t>
  </si>
  <si>
    <t>MTR-37055</t>
  </si>
  <si>
    <t>DC_3A(4x4)-7A(4x4)-7A(4x4)_n8A(2x2)-n78A(4x4)
 UL: DC_3A_n78A
 [12 (4+4+4) LTE &amp; 6 (2+4) NR layers]</t>
  </si>
  <si>
    <t>MTR-37056</t>
  </si>
  <si>
    <t>DC_3A(4x4)-7A(4x4)-7A(4x4)_n8A(2x2)-n78A(4x4)
 UL: DC_7A_n8A
 [12 (4+4+4) LTE &amp; 6 (2+4) NR layers]</t>
  </si>
  <si>
    <t>MTR-37057</t>
  </si>
  <si>
    <t>DC_3A(4x4)-7A(4x4)-7A(4x4)_n8A(2x2)-n78A(4x4)
 UL: DC_7A_n78A
 [12 (4+4+4) LTE &amp; 6 (2+4) NR layers]</t>
  </si>
  <si>
    <t>MTR-37048</t>
  </si>
  <si>
    <t>DC_3A(4x4)-7A(4x4)-20A(2x2)_n8A(2x2)-n78A(4x4)
 UL: DC_3A_n8A
 [10 (4+4+2) LTE &amp; 6 (2+4) NR layers]</t>
  </si>
  <si>
    <t>DC_3A-7A-20A_n8A-n78A</t>
  </si>
  <si>
    <t>MTR-37049</t>
  </si>
  <si>
    <t>DC_3A(4x4)-7A(4x4)-20A(2x2)_n8A(2x2)-n78A(4x4)
 UL: DC_3A_n78A
 [10 (4+4+2) LTE &amp; 6 (2+4) NR layers]</t>
  </si>
  <si>
    <t>MTR-37050</t>
  </si>
  <si>
    <t>DC_3A(4x4)-7A(4x4)-20A(2x2)_n8A(2x2)-n78A(4x4)
 UL: DC_7A_n8A
 [10 (4+4+2) LTE &amp; 6 (2+4) NR layers]</t>
  </si>
  <si>
    <t>MTR-37051</t>
  </si>
  <si>
    <t>DC_3A(4x4)-7A(4x4)-20A(2x2)_n8A(2x2)-n78A(4x4)
 UL: DC_7A_n78A
 [10 (4+4+2) LTE &amp; 6 (2+4) NR layers]</t>
  </si>
  <si>
    <t>MTR-37052</t>
  </si>
  <si>
    <t>DC_3A(4x4)-7A(4x4)-20A(2x2)_n8A(2x2)-n78A(4x4)
 UL: DC_20A_n8A
 [10 (4+4+2) LTE &amp; 6 (2+4) NR layers]</t>
  </si>
  <si>
    <t>MTR-37053</t>
  </si>
  <si>
    <t>DC_3A(4x4)-7A(4x4)-20A(2x2)_n8A(2x2)-n78A(4x4)
 UL: DC_20A_n78A
 [10 (4+4+2) LTE &amp; 6 (2+4) NR layers]</t>
  </si>
  <si>
    <t>MTR-37058</t>
  </si>
  <si>
    <t>DC_1A(4x4)-3A(4x4)-7A(4x4)-20A(2x2)_n8A(2x2)-n78A(4x4)
 UL: DC_1A_n8A
 [14 (4+4+4+2) LTE &amp; 6 (2+4) NR layers]</t>
  </si>
  <si>
    <t>DC_1A-3A-7A-20A_n8A-n78A</t>
  </si>
  <si>
    <t>MTR-37059</t>
  </si>
  <si>
    <t>DC_1A(4x4)-3A(4x4)-7A(4x4)-20A(2x2)_n8A(2x2)-n78A(4x4)
 UL: DC_1A_n78A
 [14 (4+4+4+2) LTE &amp; 6 (2+4) NR layers]</t>
  </si>
  <si>
    <t>MTR-37060</t>
  </si>
  <si>
    <t>DC_1A(4x4)-3A(4x4)-7A(4x4)-20A(2x2)_n8A(2x2)-n78A(4x4)
 UL: DC_3A_n8A
 [14 (4+4+4+2) LTE &amp; 6 (2+4) NR layers]</t>
  </si>
  <si>
    <t>MTR-37061</t>
  </si>
  <si>
    <t>DC_1A(4x4)-3A(4x4)-7A(4x4)-20A(2x2)_n8A(2x2)-n78A(4x4)
 UL: DC_3A_n78A
 [14 (4+4+4+2) LTE &amp; 6 (2+4) NR layers]</t>
  </si>
  <si>
    <t>MTR-37062</t>
  </si>
  <si>
    <t>DC_1A(4x4)-3A(4x4)-7A(4x4)-20A(2x2)_n8A(2x2)-n78A(4x4)
 UL: DC_7A_n8A
 [14 (4+4+4+2) LTE &amp; 6 (2+4) NR layers]</t>
  </si>
  <si>
    <t>MTR-37063</t>
  </si>
  <si>
    <t>DC_1A(4x4)-3A(4x4)-7A(4x4)-20A(2x2)_n8A(2x2)-n78A(4x4)
 UL: DC_7A_n78A
 [14 (4+4+4+2) LTE &amp; 6 (2+4) NR layers]</t>
  </si>
  <si>
    <t>MTR-37064</t>
  </si>
  <si>
    <t>DC_1A(4x4)-3A(4x4)-7A(4x4)-20A(2x2)_n8A(2x2)-n78A(4x4)
 UL: DC_20A_n8A
 [14 (4+4+4+2) LTE &amp; 6 (2+4) NR layers]</t>
  </si>
  <si>
    <t>MTR-37065</t>
  </si>
  <si>
    <t>DC_1A(4x4)-3A(4x4)-7A(4x4)-20A(2x2)_n8A(2x2)-n78A(4x4)
 UL: DC_20A_n78A
 [14 (4+4+4+2) LTE &amp; 6 (2+4) NR layers]</t>
  </si>
  <si>
    <t>MTR-37066</t>
  </si>
  <si>
    <t>DC_3A(4x4)-3A(4x4)-7A(4x4)-7A(4x4)_n8A(2x2)-n78A(4x4)
 UL: DC_3A_n8A
 [16 (4+4+4+4) LTE &amp; 6 (2+4) NR layers]</t>
  </si>
  <si>
    <t>DC_3A-3A-7A-7A_n8A-n78A</t>
  </si>
  <si>
    <t>MTR-37067</t>
  </si>
  <si>
    <t>DC_3A(4x4)-3A(4x4)-7A(4x4)-7A(4x4)_n8A(2x2)-n78A(4x4)
 UL: DC_3A_n78A
 [16 (4+4+4+4) LTE &amp; 6 (2+4) NR layers]</t>
  </si>
  <si>
    <t>MTR-37068</t>
  </si>
  <si>
    <t>DC_3A(4x4)-3A(4x4)-7A(4x4)-7A(4x4)_n8A(2x2)-n78A(4x4)
 UL: DC_7A_n8A
 [16 (4+4+4+4) LTE &amp; 6 (2+4) NR layers]</t>
  </si>
  <si>
    <t>MTR-37069</t>
  </si>
  <si>
    <t>DC_3A(4x4)-3A(4x4)-7A(4x4)-7A(4x4)_n8A(2x2)-n78A(4x4)
 UL: DC_7A_n78A
 [16 (4+4+4+4) LTE &amp; 6 (2+4) NR layers]</t>
  </si>
  <si>
    <t>MTR-34620</t>
  </si>
  <si>
    <r>
      <rPr>
        <rFont val="Arial"/>
        <b/>
        <color theme="1"/>
        <sz val="10.0"/>
      </rPr>
      <t>2.5.2.9.16</t>
    </r>
    <r>
      <rPr>
        <rFont val="Arial"/>
        <b val="0"/>
        <color theme="1"/>
        <sz val="10.0"/>
      </rPr>
      <t xml:space="preserve"> </t>
    </r>
    <r>
      <rPr>
        <rFont val="Arial"/>
        <b/>
        <color theme="1"/>
        <sz val="10.0"/>
      </rPr>
      <t>EN-DC with NR CA n20A-n78A</t>
    </r>
  </si>
  <si>
    <t>MTR-35584</t>
  </si>
  <si>
    <t>DC_3A(4x4)_n20A(2x2)-n78A(4x4)
 UL: DC_3A_n20A
 [4 LTE &amp; 6 (2+4) NR layers]</t>
  </si>
  <si>
    <t>DC_3A_n20A-n78A</t>
  </si>
  <si>
    <t>n20A-n78A</t>
  </si>
  <si>
    <t>MTR-35585</t>
  </si>
  <si>
    <t>DC_3A(4x4)_n20A(2x2)-n78A(4x4)
 UL: DC_3A_n78A
 [4 LTE &amp; 6 (2+4) NR layers]</t>
  </si>
  <si>
    <t>MTR-38527</t>
  </si>
  <si>
    <r>
      <rPr>
        <rFont val="Arial"/>
        <b/>
        <color theme="1"/>
        <sz val="10.0"/>
      </rPr>
      <t>2.5.2.9.17</t>
    </r>
    <r>
      <rPr>
        <rFont val="Arial"/>
        <b val="0"/>
        <color theme="1"/>
        <sz val="10.0"/>
      </rPr>
      <t xml:space="preserve"> </t>
    </r>
    <r>
      <rPr>
        <rFont val="Arial"/>
        <b/>
        <color theme="1"/>
        <sz val="10.0"/>
      </rPr>
      <t>EN-DC with NR CA n28A-n75A</t>
    </r>
  </si>
  <si>
    <t>MTR-38448</t>
  </si>
  <si>
    <t>DC_1A(4x4)_n28A(2x2)-n75A(4x4)
 UL: DC_1A_n28A
 [4 LTE &amp; 6 (2+4) NR layers]</t>
  </si>
  <si>
    <t>DC_1A_n28A-n75A</t>
  </si>
  <si>
    <t>n28A-n75A</t>
  </si>
  <si>
    <t>MTR-38449</t>
  </si>
  <si>
    <t>DC_3A(4x4)_n28A(2x2)-n75A(4x4)
 UL: DC_3A_n28A
 [4 LTE &amp; 6 (2+4) NR layers]</t>
  </si>
  <si>
    <t>DC_3A_n28A-n75A</t>
  </si>
  <si>
    <t>MTR-33514</t>
  </si>
  <si>
    <t>DC_20A(2x2)_n28A(2x2)-n75A(4x4)
 UL: DC_20A_n28A
 [2 LTE &amp; 6 (2+4) NR layers]</t>
  </si>
  <si>
    <t>DC_20A_n28A-n75A</t>
  </si>
  <si>
    <t>MTR-38450</t>
  </si>
  <si>
    <t>DC_1A(4x4)-3A(4x4)_n28A(2x2)-n75A(4x4)
 UL: DC_1A_n28A
 [8 (4+4) LTE &amp; 6 (2+4) NR layers]</t>
  </si>
  <si>
    <t>DC_1A-3A_n28A-n75A</t>
  </si>
  <si>
    <t>MTR-38451</t>
  </si>
  <si>
    <t>DC_1A(4x4)-3A(4x4)_n28A(2x2)-n75A(4x4)
 UL: DC_3A_n28A
 [8 (4+4) LTE &amp; 6 (2+4) NR layers]</t>
  </si>
  <si>
    <t>MTR-38452</t>
  </si>
  <si>
    <t>DC_1A(4x4)-20A(2x2)_n28A(2x2)-n75A(4x4)
 UL: DC_1A_n28A
 [6 (4+2) LTE &amp; 6 (2+4) NR layers]</t>
  </si>
  <si>
    <t>DC_1A-20A_n28A-n75A</t>
  </si>
  <si>
    <t>MTR-38453</t>
  </si>
  <si>
    <t>DC_1A(4x4)-20A(2x2)_n28A(2x2)-n75A(4x4)
 UL: DC_20A_n28A
 [6 (4+2) LTE &amp; 6 (2+4) NR layers]</t>
  </si>
  <si>
    <t>MTR-38454</t>
  </si>
  <si>
    <t>DC_3C(4x4)_n28A(2x2)-n75A(4x4)
 UL: DC_3A_n28A
 [8 (4+4) LTE &amp; 6 (2+4) NR layers]</t>
  </si>
  <si>
    <t>DC_3C_n28A-n75A</t>
  </si>
  <si>
    <t>MTR-38455</t>
  </si>
  <si>
    <t>DC_3C(4x4)_n28A(2x2)-n75A(4x4)
 UL: DC_3C_n28A
 [8 (4+4) LTE &amp; 6 (2+4) NR layers]</t>
  </si>
  <si>
    <t>MTR-38456</t>
  </si>
  <si>
    <t>DC_3A(4x4)-20A(2x2)_n28A(2x2)-n75A(4x4)
 UL: DC_3A_n28A
 [6 (4+2) LTE &amp; 6 (2+4) NR layers]</t>
  </si>
  <si>
    <t>DC_3A-20A_n28A-n75A</t>
  </si>
  <si>
    <t>MTR-38457</t>
  </si>
  <si>
    <t>DC_3A(4x4)-20A(2x2)_n28A(2x2)-n75A(4x4)
 UL: DC_20A_n28A
 [6 (4+2) LTE &amp; 6 (2+4) NR layers]</t>
  </si>
  <si>
    <t>MTR-38458</t>
  </si>
  <si>
    <t>DC_1A(4x4)-3C(4x4)_n28A(2x2)-n75A(4x4)
 UL: DC_1A_n28A
 [12 (4+4+4) LTE &amp; 6 (2+4) NR layers]</t>
  </si>
  <si>
    <t>DC_1A-3C_n28A-n75A</t>
  </si>
  <si>
    <t>MTR-38459</t>
  </si>
  <si>
    <t>DC_1A(4x4)-3C(4x4)_n28A(2x2)-n75A(4x4)
 UL: DC_3A_n28A
 [12 (4+4+4) LTE &amp; 6 (2+4) NR layers]</t>
  </si>
  <si>
    <t>MTR-38460</t>
  </si>
  <si>
    <t>DC_1A(4x4)-3C(4x4)_n28A(2x2)-n75A(4x4)
 UL: DC_3C_n28A
 [12 (4+4+4) LTE &amp; 6 (2+4) NR layers]</t>
  </si>
  <si>
    <t>MTR-38461</t>
  </si>
  <si>
    <t>DC_1A(4x4)-3A(4x4)-20A(2x2)_n28A(2x2)-n75A(4x4)
 UL: DC_1A_n28A
 [10 (4+4+2) LTE &amp; 6 (2+4) NR layers]</t>
  </si>
  <si>
    <t>DC_1A-3A-20A_n28A-n75A</t>
  </si>
  <si>
    <t>MTR-38462</t>
  </si>
  <si>
    <t>DC_1A(4x4)-3A(4x4)-20A(2x2)_n28A(2x2)-n75A(4x4)
 UL: DC_3A_n28A
 [10 (4+4+2) LTE &amp; 6 (2+4) NR layers]</t>
  </si>
  <si>
    <t>MTR-38463</t>
  </si>
  <si>
    <t>DC_1A(4x4)-3A(4x4)-20A(2x2)_n28A(2x2)-n75A(4x4)
 UL: DC_20A_n28A
 [10 (4+4+2) LTE &amp; 6 (2+4) NR layers]</t>
  </si>
  <si>
    <t>MTR-38464</t>
  </si>
  <si>
    <t>DC_3C(4x4)-20A(2x2)_n28A(2x2)-n75A(4x4)
 UL: DC_20A_n28A
 [10 (4+4+2) LTE &amp; 6 (2+4) NR layers]</t>
  </si>
  <si>
    <t>DC_3C-20A_n28A-n75A</t>
  </si>
  <si>
    <t>MTR-38465</t>
  </si>
  <si>
    <t>DC_3C(4x4)-20A(2x2)_n28A(2x2)-n75A(4x4)
 UL: DC_3A_n28A
 [10 (4+4+2) LTE &amp; 6 (2+4) NR layers]</t>
  </si>
  <si>
    <t>MTR-38466</t>
  </si>
  <si>
    <t>DC_3C(4x4)-20A(2x2)_n28A(2x2)-n75A(4x4)
 UL: DC_3C_n28A
 [10 (4+4+2) LTE &amp; 6 (2+4) NR layers]</t>
  </si>
  <si>
    <t>MTR-38467</t>
  </si>
  <si>
    <t>DC_1A(4x4)-3C(4x4)-20A(2x2)_n28A(2x2)-n75A(4x4)
 UL: DC_1A_n28A
 [14 (4+4+4+2) LTE &amp; 6 (2+4) NR layers]</t>
  </si>
  <si>
    <t>DC_1A-3C-20A_n28A-n75A</t>
  </si>
  <si>
    <t>MTR-38468</t>
  </si>
  <si>
    <t>DC_1A(4x4)-3C(4x4)-20A(2x2)_n28A(2x2)-n75A(4x4)
 UL: DC_3A_n28A
 [14 (4+4+4+2) LTE &amp; 6 (2+4) NR layers]</t>
  </si>
  <si>
    <t>MTR-38469</t>
  </si>
  <si>
    <t>DC_1A(4x4)-3C(4x4)-20A(2x2)_n28A(2x2)-n75A(4x4)
 UL: DC_3C_n28A
 [14 (4+4+4+2) LTE &amp; 6 (2+4) NR layers]</t>
  </si>
  <si>
    <t>MTR-38470</t>
  </si>
  <si>
    <t>DC_1A(4x4)-3C(4x4)-20A(2x2)_n28A(2x2)-n75A(4x4)
 UL: DC_20A_n28A
 [14 (4+4+4+2) LTE &amp; 6 (2+4) NR layers]</t>
  </si>
  <si>
    <t>MTR-34536</t>
  </si>
  <si>
    <r>
      <rPr>
        <rFont val="Arial"/>
        <b/>
        <color theme="1"/>
        <sz val="10.0"/>
      </rPr>
      <t>2.5.2.9.18</t>
    </r>
    <r>
      <rPr>
        <rFont val="Arial"/>
        <b val="0"/>
        <color theme="1"/>
        <sz val="10.0"/>
      </rPr>
      <t xml:space="preserve"> </t>
    </r>
    <r>
      <rPr>
        <rFont val="Arial"/>
        <b/>
        <color theme="1"/>
        <sz val="10.0"/>
      </rPr>
      <t>EN-DC with NR CA n28A-n78A</t>
    </r>
  </si>
  <si>
    <t>MTR-33502</t>
  </si>
  <si>
    <t>DC_1A(4x4)_n28A(2x2)-n78A(4x4)
 UL: DC_1A_n28A
 [4 LTE &amp; 6 (2+4) NR layers]</t>
  </si>
  <si>
    <t>DC_1A_n28A-n78A</t>
  </si>
  <si>
    <t>n28A-n78A</t>
  </si>
  <si>
    <t>MTR-33503</t>
  </si>
  <si>
    <t>DC_1A(4x4)_n28A(2x2)-n78A(4x4)
 UL: DC_1A_n78A
 [4 LTE &amp; 6 (2+4) NR layers]</t>
  </si>
  <si>
    <t>MTR-33508</t>
  </si>
  <si>
    <t>DC_3A(4x4)_n28A(2x2)-n78A(4x4)
 UL: DC_3A_n28A
 [4 LTE &amp; 6 (2+4) NR layers]</t>
  </si>
  <si>
    <t>DC_3A_n28A-n78A</t>
  </si>
  <si>
    <t>MTR-33509</t>
  </si>
  <si>
    <t>DC_3A(4x4)_n28A(2x2)-n78A(4x4)
 UL: DC_3A_n78A
 [4 LTE &amp; 6 (2+4) NR layers]</t>
  </si>
  <si>
    <t>MTR-33511</t>
  </si>
  <si>
    <t>DC_7A(4x4)_n28A(2x2)-n78A(4x4)
 UL: DC_7A_n28A
 [4 LTE &amp; 6 (2+4) NR layers]</t>
  </si>
  <si>
    <t>DC_7A_n28A-n78A</t>
  </si>
  <si>
    <t>MTR-33512</t>
  </si>
  <si>
    <t>DC_7A(4x4)_n28A(2x2)-n78A(4x4)
 UL: DC_7A_n78A
 [4 LTE &amp; 6 (2+4) NR layers]</t>
  </si>
  <si>
    <t>MTR-36645</t>
  </si>
  <si>
    <t>DC_8A(2x2)_n28A(2x2)-n78A(4x4)
 UL: DC_8A_n28A
 [2 LTE &amp; 6 (2+4) NR layers]</t>
  </si>
  <si>
    <t>DC_8A_n28A-n78A</t>
  </si>
  <si>
    <t>MTR-36646</t>
  </si>
  <si>
    <t>DC_8A(2x2)_n28A(2x2)-n78A(4x4)
 UL: DC_8A_n78A
 [2 LTE &amp; 6 (2+4) NR layers]</t>
  </si>
  <si>
    <t>MTR-33515</t>
  </si>
  <si>
    <t>DC_20A(2x2)_n28A(2x2)-n78A(4x4)
 UL: DC_20A_n28A
 [2 LTE &amp; 6 (2+4) NR layers]</t>
  </si>
  <si>
    <t>DC_20A_n28A-n78A</t>
  </si>
  <si>
    <t>MTR-33516</t>
  </si>
  <si>
    <t>DC_20A(2x2)_n28A(2x2)-n78A(4x4)
 UL: DC_20A_n78A
 [2 LTE &amp; 6 (2+4) NR layers]</t>
  </si>
  <si>
    <t>MTR-33519</t>
  </si>
  <si>
    <t>DC_1A(4x4)-3A(4x4)_n28A(2x2)-n78A(4x4)
 UL: DC_1A_n28A
 [8 (4+4) LTE &amp; 6 (2+4) NR layers]</t>
  </si>
  <si>
    <t>DC_1A-3A_n28A-n78A</t>
  </si>
  <si>
    <t>MTR-33520</t>
  </si>
  <si>
    <t>DC_1A(4x4)-3A(4x4)_n28A(2x2)-n78A(4x4)
 UL: DC_1A_n78A
 [8 (4+4) LTE &amp; 6 (2+4) NR layers]</t>
  </si>
  <si>
    <t>MTR-33521</t>
  </si>
  <si>
    <t>DC_1A(4x4)-3A(4x4)_n28A(2x2)-n78A(4x4)
 UL: DC_3A_n28A
 [8 (4+4) LTE &amp; 6 (2+4) NR layers]</t>
  </si>
  <si>
    <t>MTR-33522</t>
  </si>
  <si>
    <t>DC_1A(4x4)-3A(4x4)_n28A(2x2)-n78A(4x4)
 UL: DC_3A_n78A
 [8 (4+4) LTE &amp; 6 (2+4) NR layers]</t>
  </si>
  <si>
    <t>MTR-33525</t>
  </si>
  <si>
    <t>DC_1A(4x4)-7A(4x4)_n28A(2x2)-n78A(4x4)
 UL: DC_1A_n28A
 [8 (4+4) LTE &amp; 6 (2+4) NR layers]</t>
  </si>
  <si>
    <t>DC_1A-7A_n28A-n78A</t>
  </si>
  <si>
    <t>MTR-33526</t>
  </si>
  <si>
    <t>DC_1A(4x4)-7A(4x4)_n28A(2x2)-n78A(4x4)
 UL: DC_1A_n78A
 [8 (4+4) LTE &amp; 6 (2+4) NR layers]</t>
  </si>
  <si>
    <t>MTR-33527</t>
  </si>
  <si>
    <t>DC_1A(4x4)-7A(4x4)_n28A(2x2)-n78A(4x4)
 UL: DC_7A_n28A
 [8 (4+4) LTE &amp; 6 (2+4) NR layers]</t>
  </si>
  <si>
    <t>MTR-33528</t>
  </si>
  <si>
    <t>DC_1A(4x4)-7A(4x4)_n28A(2x2)-n78A(4x4)
 UL: DC_7A_n78A
 [8 (4+4) LTE &amp; 6 (2+4) NR layers]</t>
  </si>
  <si>
    <t>MTR-36647</t>
  </si>
  <si>
    <t>DC_1A(4x4)-8A(2x2)_n28A(2x2)-n78A(4x4)
 UL: DC_1A_n28A
 [6 (4+2) LTE &amp; 6 (2+4) NR layers]</t>
  </si>
  <si>
    <t>DC_1A-8A_n28A-n78A</t>
  </si>
  <si>
    <t>MTR-36648</t>
  </si>
  <si>
    <t>DC_1A(4x4)-8A(2x2)_n28A(2x2)-n78A(4x4)
 UL: DC_1A_n78A
 [6 (4+2) LTE &amp; 6 (2+4) NR layers]</t>
  </si>
  <si>
    <t>MTR-36649</t>
  </si>
  <si>
    <t>DC_1A(4x4)-8A(2x2)_n28A(2x2)-n78A(4x4)
 UL: DC_8A_n28A
 [6 (4+2) LTE &amp; 6 (2+4) NR layers]</t>
  </si>
  <si>
    <t>MTR-36650</t>
  </si>
  <si>
    <t>DC_1A(4x4)-8A(2x2)_n28A(2x2)-n78A(4x4)
 UL: DC_8A_n78A
 [6 (4+2) LTE &amp; 6 (2+4) NR layers]</t>
  </si>
  <si>
    <t>MTR-33529</t>
  </si>
  <si>
    <t>DC_1A(4x4)-20A(2x2)_n28A(2x2)-n78A(4x4)
 UL: DC_1A_n28A
 [6 (4+2) LTE &amp; 6 (2+4) NR layers]</t>
  </si>
  <si>
    <t>DC_1A-20A_n28A-n78A</t>
  </si>
  <si>
    <t>MTR-33530</t>
  </si>
  <si>
    <t>DC_1A(4x4)-20A(2x2)_n28A(2x2)-n78A(4x4)
 UL: DC_1A_n78A
 [6 (4+2) LTE &amp; 6 (2+4) NR layers]</t>
  </si>
  <si>
    <t>MTR-33531</t>
  </si>
  <si>
    <t>DC_1A(4x4)-20A(2x2)_n28A(2x2)-n78A(4x4)
 UL: DC_20A_n28A
 [6 (4+2) LTE &amp; 6 (2+4) NR layers]</t>
  </si>
  <si>
    <t>MTR-33532</t>
  </si>
  <si>
    <t>DC_1A(4x4)-20A(2x2)_n28A(2x2)-n78A(4x4)
 UL: DC_20A_n78A
 [6 (4+2) LTE &amp; 6 (2+4) NR layers]</t>
  </si>
  <si>
    <t>MTR-34541</t>
  </si>
  <si>
    <t>DC_3C(4x4)_n28A(2x2)-n78A(4x4)
 UL: DC_3A_n28A
 [8 (4+4) LTE &amp; 6 (2+4) NR layers]</t>
  </si>
  <si>
    <t>DC_3C_n28A-n78A</t>
  </si>
  <si>
    <t>MTR-35121</t>
  </si>
  <si>
    <t>DC_3C(4x4)_n28A(2x2)-n78A(4x4)
 UL: DC_3A_n78A
 [8 (4+4) LTE &amp; 6 (2+4) NR layers]</t>
  </si>
  <si>
    <t>MTR-34542</t>
  </si>
  <si>
    <t>DC_3C(4x4)_n28A(2x2)-n78A(4x4)
 UL: DC_3C_n28A
 [8 (4+4) LTE &amp; 6 (2+4) NR layers]</t>
  </si>
  <si>
    <t>MTR-37070</t>
  </si>
  <si>
    <t>DC_3C(4x4)_n28A(2x2)-n78A(4x4)
 UL: DC_3C_n78A
 [8 (4+4) LTE &amp; 6 (2+4) NR layers]</t>
  </si>
  <si>
    <t>MTR-33533</t>
  </si>
  <si>
    <t>DC_3A(4x4)-7A(4x4)_n28A(2x2)-n78A(4x4)
 UL: DC_3A_n28A
 [8 (4+4) LTE &amp; 6 (2+4) NR layers]</t>
  </si>
  <si>
    <t>DC_3A-7A_n28A-n78A</t>
  </si>
  <si>
    <t>MTR-33534</t>
  </si>
  <si>
    <t>DC_3A(4x4)-7A(4x4)_n28A(2x2)-n78A(4x4)
 UL: DC_3A_n78A
 [8 (4+4) LTE &amp; 6 (2+4) NR layers]</t>
  </si>
  <si>
    <t>MTR-33535</t>
  </si>
  <si>
    <t>DC_3A(4x4)-7A(4x4)_n28A(2x2)-n78A(4x4)
 UL: DC_7A_n28A
 [8 (4+4) LTE &amp; 6 (2+4) NR layers]</t>
  </si>
  <si>
    <t>MTR-33536</t>
  </si>
  <si>
    <t>DC_3A(4x4)-7A(4x4)_n28A(2x2)-n78A(4x4)
 UL: DC_7A_n78A
 [8 (4+4) LTE &amp; 6 (2+4) NR layers]</t>
  </si>
  <si>
    <t>MTR-36651</t>
  </si>
  <si>
    <t>DC_3A(4x4)-8A(2x2)_n28A(2x2)-n78A(4x4)
 UL: DC_3A_n28A
 [6 (4+2) LTE &amp; 6 (2+4) NR layers]</t>
  </si>
  <si>
    <t>DC_3A-8A_n28A-n78A</t>
  </si>
  <si>
    <t>MTR-36652</t>
  </si>
  <si>
    <t>DC_3A(4x4)-8A(2x2)_n28A(2x2)-n78A(4x4)
 UL: DC_3A_n78A
 [6 (4+2) LTE &amp; 6 (2+4) NR layers]</t>
  </si>
  <si>
    <t>MTR-36653</t>
  </si>
  <si>
    <t>DC_3A(4x4)-8A(2x2)_n28A(2x2)-n78A(4x4)
 UL: DC_8A_n28A
 [6 (4+2) LTE &amp; 6 (2+4) NR layers]</t>
  </si>
  <si>
    <t>MTR-33537</t>
  </si>
  <si>
    <t>DC_3A(4x4)-20A(2x2)_n28A(2x2)-n78A(4x4)
 UL: DC_3A_n28A
 [6 (4+2) LTE &amp; 6 (2+4) NR layers]</t>
  </si>
  <si>
    <t>DC_3A-20A_n28A-n78A</t>
  </si>
  <si>
    <t>MTR-33538</t>
  </si>
  <si>
    <t>DC_3A(4x4)-20A(2x2)_n28A(2x2)-n78A(4x4)
 UL: DC_3A_n78A
 [6 (4+2) LTE &amp; 6 (2+4) NR layers]</t>
  </si>
  <si>
    <t>MTR-33539</t>
  </si>
  <si>
    <t>DC_3A(4x4)-20A(2x2)_n28A(2x2)-n78A(4x4)
 UL: DC_20A_n28A
 [6 (4+2) LTE &amp; 6 (2+4) NR layers]</t>
  </si>
  <si>
    <t>MTR-33540</t>
  </si>
  <si>
    <t>DC_3A(4x4)-20A(2x2)_n28A(2x2)-n78A(4x4)
 UL: DC_20A_n78A
 [6 (4+2) LTE &amp; 6 (2+4) NR layers]</t>
  </si>
  <si>
    <t>MTR-34543</t>
  </si>
  <si>
    <t>DC_7C(4x4)_n28A(2x2)-n78A(4x4)
 UL: DC_7A_n28A
 [8 (4+4) LTE &amp; 6 (2+4) NR layers]</t>
  </si>
  <si>
    <t>DC_7C_n28A-n78A</t>
  </si>
  <si>
    <t>MTR-35122</t>
  </si>
  <si>
    <t>DC_7C(4x4)_n28A(2x2)-n78A(4x4)
 UL: DC_7A_n78A
 [8 (4+4) LTE &amp; 6 (2+4) NR layers]</t>
  </si>
  <si>
    <t>MTR-34544</t>
  </si>
  <si>
    <t>DC_7C(4x4)_n28A(2x2)-n78A(4x4)
 UL: DC_7C_n28A
 [8 (4+4) LTE &amp; 6 (2+4) NR layers]</t>
  </si>
  <si>
    <t>MTR-35123</t>
  </si>
  <si>
    <t>DC_7C(4x4)_n28A(2x2)-n78A(4x4)
 UL: DC_7C_n78A
 [8 (4+4) LTE &amp; 6 (2+4) NR layers]</t>
  </si>
  <si>
    <t>MTR-36655</t>
  </si>
  <si>
    <t>DC_7A(4x4)-8A(2x2)_n28A(2x2)-n78A(4x4)
 UL: DC_7A_n28A
 [6 (4+2) LTE &amp; 6 (2+4) NR layers]</t>
  </si>
  <si>
    <t>DC_7A-8A_n28A-n78A</t>
  </si>
  <si>
    <t>MTR-36656</t>
  </si>
  <si>
    <t>DC_7A(4x4)-8A(2x2)_n28A(2x2)-n78A(4x4)
 UL: DC_7A_n78A
 [6 (4+2) LTE &amp; 6 (2+4) NR layers]</t>
  </si>
  <si>
    <t>MTR-36657</t>
  </si>
  <si>
    <t>DC_7A(4x4)-8A(2x2)_n28A(2x2)-n78A(4x4)
 UL: DC_8A_n28A
 [6 (4+2) LTE &amp; 6 (2+4) NR layers]</t>
  </si>
  <si>
    <t>MTR-36658</t>
  </si>
  <si>
    <t>DC_7A(4x4)-8A(2x2)_n28A(2x2)-n78A(4x4)
 UL: DC_8A_n78A
 [6 (4+2) LTE &amp; 6 (2+4) NR layers]</t>
  </si>
  <si>
    <t>MTR-33541</t>
  </si>
  <si>
    <t>DC_7A(4x4)-20A(2x2)_n28A(2x2)-n78A(4x4)
 UL: DC_7A_n28A
 [6 (4+2) LTE &amp; 6 (2+4) NR layers]</t>
  </si>
  <si>
    <t>DC_7A-20A_n28A-n78A</t>
  </si>
  <si>
    <t>MTR-33542</t>
  </si>
  <si>
    <t>DC_7A(4x4)-20A(2x2)_n28A(2x2)-n78A(4x4)
 UL: DC_7A_n78A
 [6 (4+2) LTE &amp; 6 (2+4) NR layers]</t>
  </si>
  <si>
    <t>MTR-33543</t>
  </si>
  <si>
    <t>DC_7A(4x4)-20A(2x2)_n28A(2x2)-n78A(4x4)
 UL: DC_20A_n28A
 [6 (4+2) LTE &amp; 6 (2+4) NR layers]</t>
  </si>
  <si>
    <t>MTR-33544</t>
  </si>
  <si>
    <t>DC_7A(4x4)-20A(2x2)_n28A(2x2)-n78A(4x4)
 UL: DC_20A_n78A
 [6 (4+2) LTE &amp; 6 (2+4) NR layers]</t>
  </si>
  <si>
    <t>MTR-34545</t>
  </si>
  <si>
    <t>DC_1A(4x4)-3C(4x4)_n28A(2x2)-n78A(4x4)
 UL: DC_1A_n28A
 [12 (4+4+4) LTE &amp; 6 (2+4) NR layers]</t>
  </si>
  <si>
    <t>DC_1A-3C_n28A-n78A</t>
  </si>
  <si>
    <t>MTR-34546</t>
  </si>
  <si>
    <t>DC_1A(4x4)-3C(4x4)_n28A(2x2)-n78A(4x4)
 UL: DC_1A_n78A
 [12 (4+4+4) LTE &amp; 6 (2+4) NR layers]</t>
  </si>
  <si>
    <t>MTR-34547</t>
  </si>
  <si>
    <t>DC_1A(4x4)-3C(4x4)_n28A(2x2)-n78A(4x4)
 UL: DC_3A_n28A
 [12 (4+4+4) LTE &amp; 6 (2+4) NR layers]</t>
  </si>
  <si>
    <t>MTR-34548</t>
  </si>
  <si>
    <t>DC_1A(4x4)-3C(4x4)_n28A(2x2)-n78A(4x4)
 UL: DC_3A_n78A
 [12 (4+4+4) LTE &amp; 6 (2+4) NR layers]</t>
  </si>
  <si>
    <t>MTR-34549</t>
  </si>
  <si>
    <t>DC_1A(4x4)-3C(4x4)_n28A(2x2)-n78A(4x4)
 UL: DC_3C_n28A
 [12 (4+4+4) LTE &amp; 6 (2+4) NR layers]</t>
  </si>
  <si>
    <t>MTR-38751</t>
  </si>
  <si>
    <t>DC_1A(4x4)-3C(4x4)_n28A(2x2)-n78A(4x4)
 UL: DC_3C_n78A
 [12 (4+4+4) LTE &amp; 6 (2+4) NR layers]</t>
  </si>
  <si>
    <t>MTR-33545</t>
  </si>
  <si>
    <t>DC_1A(4x4)-3A(4x4)-7A(4x4)_n28A(2x2)-n78A(4x4)
 UL: DC_1A_n28A
 [12 (4+4+4) LTE &amp; 6 (2+4) NR layers]</t>
  </si>
  <si>
    <t>DC_1A-3A-7A_n28A-n78A</t>
  </si>
  <si>
    <t>MTR-33546</t>
  </si>
  <si>
    <t>DC_1A(4x4)-3A(4x4)-7A(4x4)_n28A(2x2)-n78A(4x4)
 UL: DC_1A_n78A
 [12 (4+4+4) LTE &amp; 6 (2+4) NR layers]</t>
  </si>
  <si>
    <t>MTR-33547</t>
  </si>
  <si>
    <t>DC_1A(4x4)-3A(4x4)-7A(4x4)_n28A(2x2)-n78A(4x4)
 UL: DC_3A_n28A
 [12 (4+4+4) LTE &amp; 6 (2+4) NR layers]</t>
  </si>
  <si>
    <t>MTR-33548</t>
  </si>
  <si>
    <t>DC_1A(4x4)-3A(4x4)-7A(4x4)_n28A(2x2)-n78A(4x4)
 UL: DC_3A_n78A
 [12 (4+4+4) LTE &amp; 6 (2+4) NR layers]</t>
  </si>
  <si>
    <t>MTR-33549</t>
  </si>
  <si>
    <t>DC_1A(4x4)-3A(4x4)-7A(4x4)_n28A(2x2)-n78A(4x4)
 UL: DC_7A_n28A
 [12 (4+4+4) LTE &amp; 6 (2+4) NR layers]</t>
  </si>
  <si>
    <t>MTR-33550</t>
  </si>
  <si>
    <t>DC_1A(4x4)-3A(4x4)-7A(4x4)_n28A(2x2)-n78A(4x4)
 UL: DC_7A_n78A
 [12 (4+4+4) LTE &amp; 6 (2+4) NR layers]</t>
  </si>
  <si>
    <t>MTR-36659</t>
  </si>
  <si>
    <t>DC_1A(4x4)-3A(4x4)-8A(2x2)_n28A(2x2)-n78A(4x4)
 UL: DC_1A_n28A
 [10 (4+4+2) LTE &amp; 6 (2+4) NR layers]</t>
  </si>
  <si>
    <t>DC_1A-3A-8A_n28A-n78A</t>
  </si>
  <si>
    <t>MTR-36660</t>
  </si>
  <si>
    <t>DC_1A(4x4)-3A(4x4)-8A(2x2)_n28A(2x2)-n78A(4x4)
 UL: DC_1A_n78A
 [10 (4+4+2) LTE &amp; 6 (2+4) NR layers]</t>
  </si>
  <si>
    <t>MTR-36661</t>
  </si>
  <si>
    <t>DC_1A(4x4)-3A(4x4)-8A(2x2)_n28A(2x2)-n78A(4x4)
 UL: DC_3A_n28A
 [10 (4+4+2) LTE &amp; 6 (2+4) NR layers]</t>
  </si>
  <si>
    <t>MTR-36662</t>
  </si>
  <si>
    <t>DC_1A(4x4)-3A(4x4)-8A(2x2)_n28A(2x2)-n78A(4x4)
 UL: DC_3A_n78A
 [10 (4+4+2) LTE &amp; 6 (2+4) NR layers]</t>
  </si>
  <si>
    <t>MTR-36663</t>
  </si>
  <si>
    <t>DC_1A(4x4)-3A(4x4)-8A(2x2)_n28A(2x2)-n78A(4x4)
 UL: DC_8A_n28A
 [10 (4+4+2) LTE &amp; 6 (2+4) NR layers]</t>
  </si>
  <si>
    <t>MTR-36664</t>
  </si>
  <si>
    <t>DC_1A(4x4)-3A(4x4)-8A(2x2)_n28A(2x2)-n78A(4x4)
 UL: DC_8A_n78A
 [10 (4+4+2) LTE &amp; 6 (2+4) NR layers]</t>
  </si>
  <si>
    <t>MTR-33551</t>
  </si>
  <si>
    <t>DC_1A(4x4)-3A(4x4)-20A(2x2)_n28A(2x2)-n78A(4x4)
 UL: DC_1A_n28A
 [10 (4+4+2) LTE &amp; 6 (2+4) NR layers]</t>
  </si>
  <si>
    <t>DC_1A-3A-20A_n28A-n78A</t>
  </si>
  <si>
    <t>MTR-33552</t>
  </si>
  <si>
    <t>DC_1A(4x4)-3A(4x4)-20A(2x2)_n28A(2x2)-n78A(4x4)
 UL: DC_1A_n78A
 [10 (4+4+2) LTE &amp; 6 (2+4) NR layers]</t>
  </si>
  <si>
    <t>MTR-33553</t>
  </si>
  <si>
    <t>DC_1A(4x4)-3A(4x4)-20A(2x2)_n28A(2x2)-n78A(4x4)
 UL: DC_3A_n28A
 [10 (4+4+2) LTE &amp; 6 (2+4) NR layers]</t>
  </si>
  <si>
    <t>MTR-33554</t>
  </si>
  <si>
    <t>DC_1A(4x4)-3A(4x4)-20A(2x2)_n28A(2x2)-n78A(4x4)
 UL: DC_3A_n78A
 [10 (4+4+2) LTE &amp; 6 (2+4) NR layers]</t>
  </si>
  <si>
    <t>MTR-33555</t>
  </si>
  <si>
    <t>DC_1A(4x4)-3A(4x4)-20A(2x2)_n28A(2x2)-n78A(4x4)
 UL: DC_20A_n28A
 [10 (4+4+2) LTE &amp; 6 (2+4) NR layers]</t>
  </si>
  <si>
    <t>MTR-33556</t>
  </si>
  <si>
    <t>DC_1A(4x4)-3A(4x4)-20A(2x2)_n28A(2x2)-n78A(4x4)
 UL: DC_20A_n78A
 [10 (4+4+2) LTE &amp; 6 (2+4) NR layers]</t>
  </si>
  <si>
    <t>MTR-34550</t>
  </si>
  <si>
    <t>DC_1A(4x4)-7C(4x4)_n28A(2x2)-n78A(4x4)
 UL: DC_1A_n28A
 [12 (4+4+4) LTE &amp; 6 (2+4) NR layers]</t>
  </si>
  <si>
    <t>DC_1A-7C_n28A-n78A</t>
  </si>
  <si>
    <t>MTR-34551</t>
  </si>
  <si>
    <t>DC_1A(4x4)-7C(4x4)_n28A(2x2)-n78A(4x4)
 UL: DC_1A_n78A
 [12 (4+4+4) LTE &amp; 6 (2+4) NR layers]</t>
  </si>
  <si>
    <t>MTR-34552</t>
  </si>
  <si>
    <t>DC_1A(4x4)-7C(4x4)_n28A(2x2)-n78A(4x4)
 UL: DC_7A_n28A
 [12 (4+4+4) LTE &amp; 6 (2+4) NR layers]</t>
  </si>
  <si>
    <t>MTR-34553</t>
  </si>
  <si>
    <t>DC_1A(4x4)-7C(4x4)_n28A(2x2)-n78A(4x4)
 UL: DC_7A_n78A
 [12 (4+4+4) LTE &amp; 6 (2+4) NR layers]</t>
  </si>
  <si>
    <t>MTR-34554</t>
  </si>
  <si>
    <t>DC_1A(4x4)-7C(4x4)_n28A(2x2)-n78A(4x4)
 UL: DC_7C_n28A
 [12 (4+4+4) LTE &amp; 6 (2+4) NR layers]</t>
  </si>
  <si>
    <t>MTR-34555</t>
  </si>
  <si>
    <t>DC_1A(4x4)-7C(4x4)_n28A(2x2)-n78A(4x4)
 UL: DC_7C_n78A
 [12 (4+4+4) LTE &amp; 6 (2+4) NR layers]</t>
  </si>
  <si>
    <t>MTR-36665</t>
  </si>
  <si>
    <t>DC_1A(4x4)-7A(4x4)-8A(2x2)_n28A(2x2)-n78A(4x4)
 UL: DC_1A_n28A
 [10 (4+4+2) LTE &amp; 6 (2+4) NR layers]</t>
  </si>
  <si>
    <t>DC_1A-7A-8A_n28A-n78A</t>
  </si>
  <si>
    <t>MTR-36666</t>
  </si>
  <si>
    <t>DC_1A(4x4)-7A(4x4)-8A(2x2)_n28A(2x2)-n78A(4x4)
 UL: DC_1A_n78A
 [10 (4+4+2) LTE &amp; 6 (2+4) NR layers]</t>
  </si>
  <si>
    <t>MTR-36667</t>
  </si>
  <si>
    <t>DC_1A(4x4)-7A(4x4)-8A(2x2)_n28A(2x2)-n78A(4x4)
 UL: DC_7A_n28A
 [10 (4+4+2) LTE &amp; 6 (2+4) NR layers]</t>
  </si>
  <si>
    <t>MTR-36668</t>
  </si>
  <si>
    <t>DC_1A(4x4)-7A(4x4)-8A(2x2)_n28A(2x2)-n78A(4x4)
 UL: DC_7A_n78A
 [10 (4+4+2) LTE &amp; 6 (2+4) NR layers]</t>
  </si>
  <si>
    <t>MTR-36669</t>
  </si>
  <si>
    <t>DC_1A(4x4)-7A(4x4)-8A(2x2)_n28A(2x2)-n78A(4x4)
 UL: DC_8A_n28A
 [10 (4+4+2) LTE &amp; 6 (2+4) NR layers]</t>
  </si>
  <si>
    <t>MTR-36670</t>
  </si>
  <si>
    <t>DC_1A(4x4)-7A(4x4)-8A(2x2)_n28A(2x2)-n78A(4x4)
 UL: DC_8A_n78A
 [10 (4+4+2) LTE &amp; 6 (2+4) NR layers]</t>
  </si>
  <si>
    <t>MTR-33557</t>
  </si>
  <si>
    <t>DC_1A(4x4)-7A(4x4)-20A(2x2)_n28A(2x2)-n78A(4x4)
 UL: DC_1A_n28A
 [10 (4+4+2) LTE &amp; 6 (2+4) NR layers]</t>
  </si>
  <si>
    <t>DC_1A-7A-20A_n28A-n78A</t>
  </si>
  <si>
    <t>MTR-33558</t>
  </si>
  <si>
    <t>DC_1A(4x4)-7A(4x4)-20A(2x2)_n28A(2x2)-n78A(4x4)
 UL: DC_1A_n78A
 [10 (4+4+2) LTE &amp; 6 (2+4) NR layers]</t>
  </si>
  <si>
    <t>MTR-33559</t>
  </si>
  <si>
    <t>DC_1A(4x4)-7A(4x4)-20A(2x2)_n28A(2x2)-n78A(4x4)
 UL: DC_7A_n28A
 [10 (4+4+2) LTE &amp; 6 (2+4) NR layers]</t>
  </si>
  <si>
    <t>MTR-33560</t>
  </si>
  <si>
    <t>DC_1A(4x4)-7A(4x4)-20A(2x2)_n28A(2x2)-n78A(4x4)
 UL: DC_7A_n78A
 [10 (4+4+2) LTE &amp; 6 (2+4) NR layers]</t>
  </si>
  <si>
    <t>MTR-33561</t>
  </si>
  <si>
    <t>DC_1A(4x4)-7A(4x4)-20A(2x2)_n28A(2x2)-n78A(4x4)
 UL: DC_20A_n28A
 [10 (4+4+2) LTE &amp; 6 (2+4) NR layers]</t>
  </si>
  <si>
    <t>MTR-33562</t>
  </si>
  <si>
    <t>DC_1A(4x4)-7A(4x4)-20A(2x2)_n28A(2x2)-n78A(4x4)
 UL: DC_20A_n78A
 [10 (4+4+2) LTE &amp; 6 (2+4) NR layers]</t>
  </si>
  <si>
    <t>MTR-34562</t>
  </si>
  <si>
    <t>DC_3C(4x4)-7A(4x4)_n28A(2x2)-n78A(4x4)
 UL: DC_3A_n28A
 [12 (4+4+4) LTE &amp; 6 (2+4) NR layers]</t>
  </si>
  <si>
    <t>DC_3C-7A_n28A-n78A</t>
  </si>
  <si>
    <t>MTR-34563</t>
  </si>
  <si>
    <t>DC_3C(4x4)-7A(4x4)_n28A(2x2)-n78A(4x4)
 UL: DC_3A_n78A
 [12 (4+4+4) LTE &amp; 6 (2+4) NR layers]</t>
  </si>
  <si>
    <t>MTR-34564</t>
  </si>
  <si>
    <t>DC_3C(4x4)-7A(4x4)_n28A(2x2)-n78A(4x4)
 UL: DC_7A_n28A
 [12 (4+4+4) LTE &amp; 6 (2+4) NR layers]</t>
  </si>
  <si>
    <t>MTR-34565</t>
  </si>
  <si>
    <t>DC_3C(4x4)-7A(4x4)_n28A(2x2)-n78A(4x4)
 UL: DC_7A_n78A
 [12 (4+4+4) LTE &amp; 6 (2+4) NR layers]</t>
  </si>
  <si>
    <t>MTR-34566</t>
  </si>
  <si>
    <t>DC_3C(4x4)-7A(4x4)_n28A(2x2)-n78A(4x4)
 UL: DC_3C_n28A
 [12 (4+4+4) LTE &amp; 6 (2+4) NR layers]</t>
  </si>
  <si>
    <t>MTR-38752</t>
  </si>
  <si>
    <t>DC_3C(4x4)-7A(4x4)_n28A(2x2)-n78A(4x4)
 UL: DC_3C_n78A
 [12 (4+4+4) LTE &amp; 6 (2+4) NR layers]</t>
  </si>
  <si>
    <t>MTR-35586</t>
  </si>
  <si>
    <t>DC_3C(4x4)-20A(2x2)_n28A(2x2)-n78A(4x4)
 UL: DC_3A_n28A
 [10 (4+4+2) LTE &amp; 6 (2+4) NR layers]</t>
  </si>
  <si>
    <t>DC_3C-20A_n28A-n78A</t>
  </si>
  <si>
    <t>MTR-35587</t>
  </si>
  <si>
    <t>DC_3C(4x4)-20A(2x2)_n28A(2x2)-n78A(4x4)
 UL: DC_3A_n78A
 [10 (4+4+2) LTE &amp; 6 (2+4) NR layers]</t>
  </si>
  <si>
    <t>MTR-39805</t>
  </si>
  <si>
    <t>DC_3C(4x4)-20A(2x2)_n28A(2x2)-n78A(4x4)
 UL: DC_3C_n28A
 [10 (4+4+2) LTE &amp; 6 (2+4) NR layers]</t>
  </si>
  <si>
    <t>MTR-38753</t>
  </si>
  <si>
    <t>DC_3C(4x4)-20A(2x2)_n28A(2x2)-n78A(4x4)
 UL: DC_3C_n78A
 [10 (4+4+2) LTE &amp; 6 (2+4) NR layers]</t>
  </si>
  <si>
    <t>MTR-35588</t>
  </si>
  <si>
    <t>DC_3C(4x4)-20A(2x2)_n28A(2x2)-n78A(4x4)
 UL: DC_20A_n28A
 [10 (4+4+2) LTE &amp; 6 (2+4) NR layers]</t>
  </si>
  <si>
    <t>MTR-35589</t>
  </si>
  <si>
    <t>DC_3C(4x4)-20A(2x2)_n28A(2x2)-n78A(4x4)
 UL: DC_20A_n78A
 [10 (4+4+2) LTE &amp; 6 (2+4) NR layers]</t>
  </si>
  <si>
    <t>MTR-34556</t>
  </si>
  <si>
    <t>DC_3A(4x4)-7C(4x4)_n28A(2x2)-n78A(4x4)
 UL: DC_3A_n28A
 [12 (4+4+4) LTE &amp; 6 (2+4) NR layers]</t>
  </si>
  <si>
    <t>DC_3A-7C_n28A-n78A</t>
  </si>
  <si>
    <t>MTR-34557</t>
  </si>
  <si>
    <t>DC_3A(4x4)-7C(4x4)_n28A(2x2)-n78A(4x4)
 UL: DC_3A_n78A
 [12 (4+4+4) LTE &amp; 6 (2+4) NR layers]</t>
  </si>
  <si>
    <t>MTR-34558</t>
  </si>
  <si>
    <t>DC_3A(4x4)-7C(4x4)_n28A(2x2)-n78A(4x4)
 UL: DC_7A_n28A
 [12 (4+4+4) LTE &amp; 6 (2+4) NR layers]</t>
  </si>
  <si>
    <t>MTR-34559</t>
  </si>
  <si>
    <t>DC_3A(4x4)-7C(4x4)_n28A(2x2)-n78A(4x4)
 UL: DC_7A_n78A
 [12 (4+4+4) LTE &amp; 6 (2+4) NR layers]</t>
  </si>
  <si>
    <t>MTR-34560</t>
  </si>
  <si>
    <t>DC_3A(4x4)-7C(4x4)_n28A(2x2)-n78A(4x4)
 UL: DC_7C_n28A
 [12 (4+4+4) LTE &amp; 6 (2+4) NR layers]</t>
  </si>
  <si>
    <t>MTR-34561</t>
  </si>
  <si>
    <t>DC_3A(4x4)-7C(4x4)_n28A(2x2)-n78A(4x4)
 UL: DC_7C_n78A
 [12 (4+4+4) LTE &amp; 6 (2+4) NR layers]</t>
  </si>
  <si>
    <t>MTR-36677</t>
  </si>
  <si>
    <t>DC_3A(4x4)-7A(4x4)-8A(2x2)_n28A(2x2)-n78A(4x4)
 UL: DC_3A_n28A
 [10 (4+4+2) LTE &amp; 6 (2+4) NR layers]</t>
  </si>
  <si>
    <t>DC_3A-7A-8A_n28A-n78A</t>
  </si>
  <si>
    <t>MTR-36678</t>
  </si>
  <si>
    <t>DC_3A(4x4)-7A(4x4)-8A(2x2)_n28A(2x2)-n78A(4x4)
 UL: DC_3A_n78A
 [10 (4+4+2) LTE &amp; 6 (2+4) NR layers]</t>
  </si>
  <si>
    <t>MTR-36679</t>
  </si>
  <si>
    <t>DC_3A(4x4)-7A(4x4)-8A(2x2)_n28A(2x2)-n78A(4x4)
 UL: DC_7A_n28A
 [10 (4+4+2) LTE &amp; 6 (2+4) NR layers]</t>
  </si>
  <si>
    <t>MTR-36680</t>
  </si>
  <si>
    <t>DC_3A(4x4)-7A(4x4)-8A(2x2)_n28A(2x2)-n78A(4x4)
 UL: DC_7A_n78A
 [10 (4+4+2) LTE &amp; 6 (2+4) NR layers]</t>
  </si>
  <si>
    <t>MTR-36681</t>
  </si>
  <si>
    <t>DC_3A(4x4)-7A(4x4)-8A(2x2)_n28A(2x2)-n78A(4x4)
 UL: DC_8A_n28A
 [10 (4+4+2) LTE &amp; 6 (2+4) NR layers]</t>
  </si>
  <si>
    <t>MTR-36682</t>
  </si>
  <si>
    <t>DC_3A(4x4)-7A(4x4)-8A(2x2)_n28A(2x2)-n78A(4x4)
 UL: DC_8A_n78A
 [10 (4+4+2) LTE &amp; 6 (2+4) NR layers]</t>
  </si>
  <si>
    <t>MTR-33563</t>
  </si>
  <si>
    <t>DC_3A(4x4)-7A(4x4)-20A(2x2)_n28A(2x2)-n78A(4x4)
 UL: DC_3A_n28A
 [10 (4+4+2) LTE &amp; 6 (2+4) NR layers]</t>
  </si>
  <si>
    <t>DC_3A-7A-20A_n28A-n78A</t>
  </si>
  <si>
    <t>MTR-33564</t>
  </si>
  <si>
    <t>DC_3A(4x4)-7A(4x4)-20A(2x2)_n28A(2x2)-n78A(4x4)
 UL: DC_3A_n78A
 [10 (4+4+2) LTE &amp; 6 (2+4) NR layers]</t>
  </si>
  <si>
    <t>MTR-33565</t>
  </si>
  <si>
    <t>DC_3A(4x4)-7A(4x4)-20A(2x2)_n28A(2x2)-n78A(4x4)
 UL: DC_7A_n28A
 [10 (4+4+2) LTE &amp; 6 (2+4) NR layers]</t>
  </si>
  <si>
    <t>MTR-33566</t>
  </si>
  <si>
    <t>DC_3A(4x4)-7A(4x4)-20A(2x2)_n28A(2x2)-n78A(4x4)
 UL: DC_7A_n78A
 [10 (4+4+2) LTE &amp; 6 (2+4) NR layers]</t>
  </si>
  <si>
    <t>MTR-33567</t>
  </si>
  <si>
    <t>DC_3A(4x4)-7A(4x4)-20A(2x2)_n28A(2x2)-n78A(4x4)
 UL: DC_20A_n28A
 [10 (4+4+2) LTE &amp; 6 (2+4) NR layers]</t>
  </si>
  <si>
    <t>MTR-33568</t>
  </si>
  <si>
    <t>DC_3A(4x4)-7A(4x4)-20A(2x2)_n28A(2x2)-n78A(4x4)
 UL: DC_20A_n78A
 [10 (4+4+2) LTE &amp; 6 (2+4) NR layers]</t>
  </si>
  <si>
    <t>MTR-36654</t>
  </si>
  <si>
    <t>DC_3A(4x4)-8A(2x2)_n28A(2x2)-n78A(4x4)
 UL: DC_8A_n78A
 [6 (4+2) LTE &amp; 6 (2+4) NR layers]</t>
  </si>
  <si>
    <t>MTR-34647</t>
  </si>
  <si>
    <t>DC_1A(4x4)-3C(4x4)-7A(4x4)_n28A(2x2)-n78A(4x4)
 UL: DC_1A_n28A
 [16 (4+4+4+4) LTE &amp; 6 (2+4) NR layers]</t>
  </si>
  <si>
    <t>DC_1A-3C-7A_n28A-n78A</t>
  </si>
  <si>
    <t>MTR-34648</t>
  </si>
  <si>
    <t>DC_1A(4x4)-3C(4x4)-7A(4x4)_n28A(2x2)-n78A(4x4)
 UL: DC_1A_n78A
 [16 (4+4+4+4) LTE &amp; 6 (2+4) NR layers]</t>
  </si>
  <si>
    <t>MTR-34649</t>
  </si>
  <si>
    <t>DC_1A(4x4)-3C(4x4)-7A(4x4)_n28A(2x2)-n78A(4x4)
 UL: DC_3A_n28A
 [16 (4+4+4+4) LTE &amp; 6 (2+4) NR layers]</t>
  </si>
  <si>
    <t>MTR-34650</t>
  </si>
  <si>
    <t>DC_1A(4x4)-3C(4x4)-7A(4x4)_n28A(2x2)-n78A(4x4)
 UL: DC_3A_n78A
 [16 (4+4+4+4) LTE &amp; 6 (2+4) NR layers]</t>
  </si>
  <si>
    <t>MTR-34651</t>
  </si>
  <si>
    <t>DC_1A(4x4)-3C(4x4)-7A(4x4)_n28A(2x2)-n78A(4x4)
 UL: DC_7A_n28A
 [16 (4+4+4+4) LTE &amp; 6 (2+4) NR layers]</t>
  </si>
  <si>
    <t>MTR-34652</t>
  </si>
  <si>
    <t>DC_1A(4x4)-3C(4x4)-7A(4x4)_n28A(2x2)-n78A(4x4)
 UL: DC_7A_n78A
 [16 (4+4+4+4) LTE &amp; 6 (2+4) NR layers]</t>
  </si>
  <si>
    <t>MTR-34653</t>
  </si>
  <si>
    <t>DC_1A(4x4)-3C(4x4)-7A(4x4)_n28A(2x2)-n78A(4x4)
 UL: DC_3C_n28A
 [16 (4+4+4+4) LTE &amp; 6 (2+4) NR layers]</t>
  </si>
  <si>
    <t>MTR-38754</t>
  </si>
  <si>
    <t>DC_1A(4x4)-3C(4x4)-7A(4x4)_n28A(2x2)-n78A(4x4)
 UL: DC_3C_n78A
 [16 (4+4+4+4) LTE &amp; 6 (2+4) NR layers]</t>
  </si>
  <si>
    <t>MTR-34639</t>
  </si>
  <si>
    <t>DC_1A(4x4)-3A(4x4)-7C(4x4)_n28A(2x2)-n78A(4x4)
 UL: DC_1A_n28A
 [16 (4+4+4+4) LTE &amp; 6 (2+4) NR layers]</t>
  </si>
  <si>
    <t>DC_1A-3A-7C_n28A-n78A</t>
  </si>
  <si>
    <t>MTR-34640</t>
  </si>
  <si>
    <t>DC_1A(4x4)-3A(4x4)-7C(4x4)_n28A(2x2)-n78A(4x4)
 UL: DC_1A_n78A
 [16 (4+4+4+4) LTE &amp; 6 (2+4) NR layers]</t>
  </si>
  <si>
    <t>MTR-34641</t>
  </si>
  <si>
    <t>DC_1A(4x4)-3A(4x4)-7C(4x4)_n28A(2x2)-n78A(4x4)
 UL: DC_3A_n28A
 [16 (4+4+4+4) LTE &amp; 6 (2+4) NR layers]</t>
  </si>
  <si>
    <t>MTR-34642</t>
  </si>
  <si>
    <t>DC_1A(4x4)-3A(4x4)-7C(4x4)_n28A(2x2)-n78A(4x4)
 UL: DC_3A_n78A
 [16 (4+4+4+4) LTE &amp; 6 (2+4) NR layers]</t>
  </si>
  <si>
    <t>MTR-34643</t>
  </si>
  <si>
    <t>DC_1A(4x4)-3A(4x4)-7C(4x4)_n28A(2x2)-n78A(4x4)
 UL: DC_7A_n28A
 [16 (4+4+4+4) LTE &amp; 6 (2+4) NR layers]</t>
  </si>
  <si>
    <t>MTR-34644</t>
  </si>
  <si>
    <t>DC_1A(4x4)-3A(4x4)-7C(4x4)_n28A(2x2)-n78A(4x4)
 UL: DC_7A_n78A
 [16 (4+4+4+4) LTE &amp; 6 (2+4) NR layers]</t>
  </si>
  <si>
    <t>MTR-34645</t>
  </si>
  <si>
    <t>DC_1A(4x4)-3A(4x4)-7C(4x4)_n28A(2x2)-n78A(4x4)
 UL: DC_7C_n28A
 [16 (4+4+4+4) LTE &amp; 6 (2+4) NR layers]</t>
  </si>
  <si>
    <t>MTR-34646</t>
  </si>
  <si>
    <t>DC_1A(4x4)-3A(4x4)-7C(4x4)_n28A(2x2)-n78A(4x4)
 UL: DC_7C_n78A
 [16 (4+4+4+4) LTE &amp; 6 (2+4) NR layers]</t>
  </si>
  <si>
    <t>MTR-36683</t>
  </si>
  <si>
    <t>DC_1A(4x4)-3A(4x4)-7A(4x4)-8A(2x2)_n28A(2x2)-n78A(4x4)
 UL: DC_1A_n28A
 [14 (4+4+4+2) LTE &amp; 6 (2+4) NR layers]</t>
  </si>
  <si>
    <t>DC_1A-3A-7A-8A_n28A-n78A</t>
  </si>
  <si>
    <t>MTR-36684</t>
  </si>
  <si>
    <t>DC_1A(4x4)-3A(4x4)-7A(4x4)-8A(2x2)_n28A(2x2)-n78A(4x4)
 UL: DC_1A_n78A
 [14 (4+4+4+2) LTE &amp; 6 (2+4) NR layers]</t>
  </si>
  <si>
    <t>MTR-36685</t>
  </si>
  <si>
    <t>DC_1A(4x4)-3A(4x4)-7A(4x4)-8A(2x2)_n28A(2x2)-n78A(4x4)
 UL: DC_3A_n28A
 [14 (4+4+4+2) LTE &amp; 6 (2+4) NR layers]</t>
  </si>
  <si>
    <t>MTR-36686</t>
  </si>
  <si>
    <t>DC_1A(4x4)-3A(4x4)-7A(4x4)-8A(2x2)_n28A(2x2)-n78A(4x4)
 UL: DC_3A_n78A
 [14 (4+4+4+2) LTE &amp; 6 (2+4) NR layers]</t>
  </si>
  <si>
    <t>MTR-36687</t>
  </si>
  <si>
    <t>DC_1A(4x4)-3A(4x4)-7A(4x4)-8A(2x2)_n28A(2x2)-n78A(4x4)
 UL: DC_7A_n28A
 [14 (4+4+4+2) LTE &amp; 6 (2+4) NR layers]</t>
  </si>
  <si>
    <t>MTR-36688</t>
  </si>
  <si>
    <t>DC_1A(4x4)-3A(4x4)-7A(4x4)-8A(2x2)_n28A(2x2)-n78A(4x4)
 UL: DC_7A_n78A
 [14 (4+4+4+2) LTE &amp; 6 (2+4) NR layers]</t>
  </si>
  <si>
    <t>MTR-36689</t>
  </si>
  <si>
    <t>DC_1A(4x4)-3A(4x4)-7A(4x4)-8A(2x2)_n28A(2x2)-n78A(4x4)
 UL: DC_8A_n28A
 [14 (4+4+4+2) LTE &amp; 6 (2+4) NR layers]</t>
  </si>
  <si>
    <t>MTR-36690</t>
  </si>
  <si>
    <t>DC_1A(4x4)-3A(4x4)-7A(4x4)-8A(2x2)_n28A(2x2)-n78A(4x4)
 UL: DC_8A_n78A
 [14 (4+4+4+2) LTE &amp; 6 (2+4) NR layers]</t>
  </si>
  <si>
    <t>MTR-33569</t>
  </si>
  <si>
    <t>DC_1A(4x4)-3A(4x4)-7A(4x4)-20A(2x2)_n28A(2x2)-n78A(4x4)
 UL: DC_1A_n28A
 [14 (4+4+4+2) LTE &amp; 6 (2+4) NR layers]</t>
  </si>
  <si>
    <t>DC_1A-3A-7A-20A_n28A-n78A</t>
  </si>
  <si>
    <t>MTR-33570</t>
  </si>
  <si>
    <t>DC_1A(4x4)-3A(4x4)-7A(4x4)-20A(2x2)_n28A(2x2)-n78A(4x4)
 UL: DC_1A_n78A
 [14 (4+4+4+2) LTE &amp; 6 (2+4) NR layers]</t>
  </si>
  <si>
    <t>MTR-33571</t>
  </si>
  <si>
    <t>DC_1A(4x4)-3A(4x4)-7A(4x4)-20A(2x2)_n28A(2x2)-n78A(4x4)
 UL: DC_3A_n28A
 [14 (4+4+4+2) LTE &amp; 6 (2+4) NR layers]</t>
  </si>
  <si>
    <t>MTR-33572</t>
  </si>
  <si>
    <t>DC_1A(4x4)-3A(4x4)-7A(4x4)-20A(2x2)_n28A(2x2)-n78A(4x4)
 UL: DC_3A_n78A
 [14 (4+4+4+2) LTE &amp; 6 (2+4) NR layers]</t>
  </si>
  <si>
    <t>MTR-33573</t>
  </si>
  <si>
    <t>DC_1A(4x4)-3A(4x4)-7A(4x4)-20A(2x2)_n28A(2x2)-n78A(4x4)
 UL: DC_7A_n28A
 [14 (4+4+4+2) LTE &amp; 6 (2+4) NR layers]</t>
  </si>
  <si>
    <t>MTR-33574</t>
  </si>
  <si>
    <t>DC_1A(4x4)-3A(4x4)-7A(4x4)-20A(2x2)_n28A(2x2)-n78A(4x4)
 UL: DC_7A_n78A
 [14 (4+4+4+2) LTE &amp; 6 (2+4) NR layers]</t>
  </si>
  <si>
    <t>MTR-33575</t>
  </si>
  <si>
    <t>DC_1A(4x4)-3A(4x4)-7A(4x4)-20A(2x2)_n28A(2x2)-n78A(4x4)
 UL: DC_20A_n28A
 [14 (4+4+4+2) LTE &amp; 6 (2+4) NR layers]</t>
  </si>
  <si>
    <t>MTR-33576</t>
  </si>
  <si>
    <t>DC_1A(4x4)-3A(4x4)-7A(4x4)-20A(2x2)_n28A(2x2)-n78A(4x4)
 UL: DC_20A_n78A
 [14 (4+4+4+2) LTE &amp; 6 (2+4) NR layers]</t>
  </si>
  <si>
    <t>MTR-34567</t>
  </si>
  <si>
    <t>DC_3C(4x4)-7C(4x4)_n28A(2x2)-n78A(4x4)
 UL: DC_3A_n28A
 [16 (4+4+4+6) LTE &amp; 6 (2+4) NR layers]</t>
  </si>
  <si>
    <t>DC_3C-7C_n28A-n78A</t>
  </si>
  <si>
    <t>MTR-34568</t>
  </si>
  <si>
    <t>DC_3C(4x4)-7C(4x4)_n28A(2x2)-n78A(4x4)
 UL: DC_3A_n78A
 [16 (4+4+4+6) LTE &amp; 6 (2+4) NR layers]</t>
  </si>
  <si>
    <t>MTR-34569</t>
  </si>
  <si>
    <t>DC_3C(4x4)-7C(4x4)_n28A(2x2)-n78A(4x4)
 UL: DC_7A_n28A
 [16 (4+4+4+6) LTE &amp; 6 (2+4) NR layers]</t>
  </si>
  <si>
    <t>MTR-34570</t>
  </si>
  <si>
    <t>DC_3C(4x4)-7C(4x4)_n28A(2x2)-n78A(4x4)
 UL: DC_7A_n78A
 [16 (4+4+4+6) LTE &amp; 6 (2+4) NR layers]</t>
  </si>
  <si>
    <t>MTR-34573</t>
  </si>
  <si>
    <t>DC_3C(4x4)-7C(4x4)_n28A(2x2)-n78A(4x4)
 UL: DC_3C_n28A
 [16 (4+4+4+6) LTE &amp; 6 (2+4) NR layers]</t>
  </si>
  <si>
    <t>MTR-38755</t>
  </si>
  <si>
    <t>DC_3C(4x4)-7C(4x4)_n28A(2x2)-n78A(4x4)
 UL: DC_3C_n78A
 [16 (4+4+4+4) LTE &amp; 6 (2+4) NR layers]</t>
  </si>
  <si>
    <t>MTR-34571</t>
  </si>
  <si>
    <t>DC_3C(4x4)-7C(4x4)_n28A(2x2)-n78A(4x4)
 UL: DC_7C_n28A
 [16 (4+4+4+6) LTE &amp; 6 (2+4) NR layers]</t>
  </si>
  <si>
    <t>MTR-34572</t>
  </si>
  <si>
    <t>DC_3C(4x4)-7C(4x4)_n28A(2x2)-n78A(4x4)
 UL: DC_7C_n78A
 [16 (4+4+4+6) LTE &amp; 6 (2+4) NR layers]</t>
  </si>
  <si>
    <t>MTR-36692</t>
  </si>
  <si>
    <t>DC_3C(4x4)-7A(4x4)-20A(2x2)_n28A(2x2)-n78A(4x4)
 UL: DC_3A_n28A
 [14 (4+4+4+2) LTE &amp; 6 (2+4) NR layers]</t>
  </si>
  <si>
    <t>DC_3C-7A-20A_n28A-n78A</t>
  </si>
  <si>
    <t>MTR-36693</t>
  </si>
  <si>
    <t>DC_3C(4x4)-7A(4x4)-20A(2x2)_n28A(2x2)-n78A(4x4)
 UL: DC_3A_n78A
 [14 (4+4+4+2) LTE &amp; 6 (2+4) NR layers]</t>
  </si>
  <si>
    <t>MTR-36694</t>
  </si>
  <si>
    <t>DC_3C(4x4)-7A(4x4)-20A(2x2)_n28A(2x2)-n78A(4x4)
 UL: DC_3C_n28A
 [14 (4+4+4+2) LTE &amp; 6 (2+4) NR layers]</t>
  </si>
  <si>
    <t>MTR-36695</t>
  </si>
  <si>
    <t>DC_3C(4x4)-7A(4x4)-20A(2x2)_n28A(2x2)-n78A(4x4)
 UL: DC_3C_n78A
 [14 (4+4+4+2) LTE &amp; 6 (2+4) NR layers]</t>
  </si>
  <si>
    <t>MTR-36696</t>
  </si>
  <si>
    <t>DC_3C(4x4)-7A(4x4)-20A(2x2)_n28A(2x2)-n78A(4x4)
 UL: DC_7A_n28A
 [14 (4+4+4+2) LTE &amp; 6 (2+4) NR layers]</t>
  </si>
  <si>
    <t>MTR-36697</t>
  </si>
  <si>
    <t>DC_3C(4x4)-7A(4x4)-20A(2x2)_n28A(2x2)-n78A(4x4)
 UL: DC_7A_n78A
 [14 (4+4+4+2) LTE &amp; 6 (2+4) NR layers]</t>
  </si>
  <si>
    <t>MTR-36698</t>
  </si>
  <si>
    <t>DC_3C(4x4)-7A(4x4)-20A(2x2)_n28A(2x2)-n78A(4x4)
 UL: DC_20A_n28A
 [14 (4+4+4+2) LTE &amp; 6 (2+4) NR layers]</t>
  </si>
  <si>
    <t>MTR-36699</t>
  </si>
  <si>
    <t>DC_3C(4x4)-7A(4x4)-20A(2x2)_n28A(2x2)-n78A(4x4)
 UL: DC_20A_n78A
 [14 (4+4+4+2) LTE &amp; 6 (2+4) NR layers]</t>
  </si>
  <si>
    <t>MTR-34655</t>
  </si>
  <si>
    <t>DC_1A(4x4)-3C(4x4)-7C(4x4)_n28A(2x2)-n78A(4x4)
 UL: DC_1A_n28A
 [20 (4+4+4+4+4) LTE &amp; 6 (2+4) NR layers]</t>
  </si>
  <si>
    <t>DC_1A-3C-7C_n28A-n78A</t>
  </si>
  <si>
    <t>MTR-34656</t>
  </si>
  <si>
    <t>DC_1A(4x4)-3C(4x4)-7C(4x4)_n28A(2x2)-n78A(4x4)
 UL: DC_1A_n78A
 [20 (4+4+4+4+4) LTE &amp; 6 (2+4) NR layers]</t>
  </si>
  <si>
    <t>MTR-34657</t>
  </si>
  <si>
    <t>DC_1A(4x4)-3C(4x4)-7C(4x4)_n28A(2x2)-n78A(4x4)
 UL: DC_3A_n28A
 [20 (4+4+4+4+4) LTE &amp; 6 (2+4) NR layers]</t>
  </si>
  <si>
    <t>MTR-34658</t>
  </si>
  <si>
    <t>DC_1A(4x4)-3C(4x4)-7C(4x4)_n28A(2x2)-n78A(4x4)
 UL: DC_3A_n78A
 [20 (4+4+4+4+4) LTE &amp; 6 (2+4) NR layers]</t>
  </si>
  <si>
    <t>MTR-34659</t>
  </si>
  <si>
    <t>DC_1A(4x4)-3C(4x4)-7C(4x4)_n28A(2x2)-n78A(4x4)
 UL: DC_7A_n28A
 [20 (4+4+4+4+4) LTE &amp; 6 (2+4) NR layers]</t>
  </si>
  <si>
    <t>MTR-34660</t>
  </si>
  <si>
    <t>DC_1A(4x4)-3C(4x4)-7C(4x4)_n28A(2x2)-n78A(4x4)
 UL: DC_7A_n78A
 [20 (4+4+4+4+4) LTE &amp; 6 (2+4) NR layers]</t>
  </si>
  <si>
    <t>MTR-34661</t>
  </si>
  <si>
    <t>DC_1A(4x4)-3C(4x4)-7C(4x4)_n28A(2x2)-n78A(4x4)
 UL: DC_3C_n28A
 [20 (4+4+4+4+4) LTE &amp; 6 (2+4) NR layers]</t>
  </si>
  <si>
    <t>MTR-38756</t>
  </si>
  <si>
    <t>DC_1A(4x4)-3C(4x4)-7C(4x4)_n28A(2x2)-n78A(4x4)
 UL: DC_3C_n78A
 [20 (4+4+4+4+4) LTE &amp; 6 (2+4) NR layers]</t>
  </si>
  <si>
    <t>MTR-34662</t>
  </si>
  <si>
    <t>DC_1A(4x4)-3C(4x4)-7C(4x4)_n28A(2x2)-n78A(4x4)
 UL: DC_7C_n28A
 [20 (4+4+4+4+4) LTE &amp; 6 (2+4) NR layers]</t>
  </si>
  <si>
    <t>MTR-34663</t>
  </si>
  <si>
    <t>DC_1A(4x4)-3C(4x4)-7C(4x4)_n28A(2x2)-n78A(4x4)
 UL: DC_7C_n78A
 [20 (4+4+4+4+4) LTE &amp; 6 (2+4) NR layers]</t>
  </si>
  <si>
    <t>MTR-37269</t>
  </si>
  <si>
    <r>
      <rPr>
        <rFont val="Arial"/>
        <b/>
        <color theme="1"/>
        <sz val="10.0"/>
      </rPr>
      <t>2.5.2.9.19</t>
    </r>
    <r>
      <rPr>
        <rFont val="Arial"/>
        <b val="0"/>
        <color theme="1"/>
        <sz val="10.0"/>
      </rPr>
      <t xml:space="preserve"> </t>
    </r>
    <r>
      <rPr>
        <rFont val="Arial"/>
        <b/>
        <color theme="1"/>
        <sz val="10.0"/>
      </rPr>
      <t>EN-DC with NR CA n75A-n78A</t>
    </r>
  </si>
  <si>
    <t>MTR-36052</t>
  </si>
  <si>
    <t>DC_1A(4x4)_n75A(4x4)-n78A(4x4)
 UL: DC_1A_n78A
 [4 LTE &amp; 8 (4+4) NR layers]</t>
  </si>
  <si>
    <t>DC_1A_n75A-n78A</t>
  </si>
  <si>
    <t>n75A-n78A</t>
  </si>
  <si>
    <t>MTR-36053</t>
  </si>
  <si>
    <t>DC_3A(4x4)_n75A(4x4)-n78A(4x4)
 UL: DC_3A_n78A
 [4 LTE &amp; 8 (4+4) NR layers]</t>
  </si>
  <si>
    <t>DC_3A_n75A-n78A</t>
  </si>
  <si>
    <t>MTR-39879</t>
  </si>
  <si>
    <t>DC_7A(4x4)_n75A(4x4)-n78A(4x4)
 UL: DC_7A_n78A
 [4 LTE &amp; 8 (4+4) NR layers]</t>
  </si>
  <si>
    <t>DC_7A_n75A-n78A</t>
  </si>
  <si>
    <t>MTR-33517</t>
  </si>
  <si>
    <t>DC_20A(2x2)_n75A(4x4)-n78A(4x4)
 UL: DC_20A_n78A
 [2 LTE &amp; 8 (4+4) NR layers]</t>
  </si>
  <si>
    <t>DC_20A_n75A-n78A</t>
  </si>
  <si>
    <t>MTR-39382</t>
  </si>
  <si>
    <t>DC_1A(4x4)-3A(4x4)_n75A(4x4)-n78A(4x4)
 UL: DC_1A_n78A
 [8 (4+4) LTE &amp; 8 (4+4) NR layers]</t>
  </si>
  <si>
    <t>DC_1A-3A_n75A-n78A</t>
  </si>
  <si>
    <t>MTR-39383</t>
  </si>
  <si>
    <t>DC_1A(4x4)-3A(4x4)_n75A(4x4)-n78A(4x4)
 UL: DC_3A_n78A
 [8 (4+4) LTE &amp; 8 (4+4) NR layers]</t>
  </si>
  <si>
    <t>MTR-39384</t>
  </si>
  <si>
    <t>DC_1A(4x4)-7A(4x4)_n75A(4x4)-n78A(4x4)
 UL: DC_1A_n78A
 [8 (4+4) LTE &amp; 8 (4+4) NR layers]</t>
  </si>
  <si>
    <t>DC_1A-7A_n75A-n78A</t>
  </si>
  <si>
    <t>MTR-39385</t>
  </si>
  <si>
    <t>DC_1A(4x4)-7A(4x4)_n75A(4x4)-n78A(4x4)
 UL: DC_7A_n78A
 [8 (4+4) LTE &amp; 8 (4+4) NR layers]</t>
  </si>
  <si>
    <t>MTR-40022</t>
  </si>
  <si>
    <t>DC_3C(4x4)_n75A(4x4)-n78A(4x4)
 UL: DC_3A_n78A
 [8 (4+4) LTE &amp; 8 (4+4) NR layers]</t>
  </si>
  <si>
    <t>DC_3C_n75A-n78A</t>
  </si>
  <si>
    <t>MTR-40023</t>
  </si>
  <si>
    <t>DC_3C(4x4)_n75A(4x4)-n78A(4x4)
 UL: DC_3C_n78A
 [8 (4+4) LTE &amp; 8 (4+4) NR layers]</t>
  </si>
  <si>
    <t>MTR-39386</t>
  </si>
  <si>
    <t>DC_3A(4x4)-7A(4x4)_n75A(4x4)-n78A(4x4)
 UL: DC_3A_n78A
 [8 (4+4) LTE &amp; 8 (4+4) NR layers]</t>
  </si>
  <si>
    <t>DC_3A-7A_n75A-n78A</t>
  </si>
  <si>
    <t>MTR-39387</t>
  </si>
  <si>
    <t>DC_3A(4x4)-7A(4x4)_n75A(4x4)-n78A(4x4)
 UL: DC_7A_n78A
 [8 (4+4) LTE &amp; 8 (4+4) NR layers]</t>
  </si>
  <si>
    <t>MTR-40024</t>
  </si>
  <si>
    <t>DC_1A(4x4)-3C(4x4)_n75A(4x4)-n78A(4x4)
 UL: DC_1A_n78A
 [12 (4+4+4) LTE &amp; 8 (4+4) NR layers]</t>
  </si>
  <si>
    <t>DC_1A-3C_n75A-n78A</t>
  </si>
  <si>
    <t>MTR-40025</t>
  </si>
  <si>
    <t>DC_1A(4x4)-3C(4x4)_n75A(4x4)-n78A(4x4)
 UL: DC_3A_n78A
 [12 (4+4+4) LTE &amp; 8 (4+4) NR layers]</t>
  </si>
  <si>
    <t>MTR-40026</t>
  </si>
  <si>
    <t>DC_1A(4x4)-3C(4x4)_n75A(4x4)-n78A(4x4)
 UL: DC_3C_n78A
 [12 (4+4+4) LTE &amp; 8 (4+4) NR layers]</t>
  </si>
  <si>
    <t>MTR-39388</t>
  </si>
  <si>
    <t>DC_1A(4x4)-3A(4x4)-7A(4x4)_n75A(4x4)-n78A(4x4)
 UL: DC_1A_n78A
 [12 (4+4+4) LTE &amp; 8 (4+4) NR layers]</t>
  </si>
  <si>
    <t>DC_1A-3A-7A_n75A-n78A</t>
  </si>
  <si>
    <t>MTR-39389</t>
  </si>
  <si>
    <t>DC_1A(4x4)-3A(4x4)-7A(4x4)_n75A(4x4)-n78A(4x4)
 UL: DC_3A_n78A
 [12 (4+4+4) LTE &amp; 8 (4+4) NR layers]</t>
  </si>
  <si>
    <t>MTR-39390</t>
  </si>
  <si>
    <t>DC_1A(4x4)-3A(4x4)-7A(4x4)_n75A(4x4)-n78A(4x4)
 UL: DC_7A_n78A
 [12 (4+4+4) LTE &amp; 8 (4+4) NR layers]</t>
  </si>
  <si>
    <t>MTR-40027</t>
  </si>
  <si>
    <t>DC_3C(4x4)-7A(4x4)_n75A(4x4)-n78A(4x4)
 UL: DC_3A_n78A
 [12 (4+4+4) LTE &amp; 8 (4+4) NR layers]</t>
  </si>
  <si>
    <t>DC_3C-7A_n75A-n78A</t>
  </si>
  <si>
    <t>MTR-40028</t>
  </si>
  <si>
    <t>DC_3C(4x4)-7A(4x4)_n75A(4x4)-n78A(4x4)
 UL: DC_3C_n78A
 [12 (4+4+4) LTE &amp; 8 (4+4) NR layers]</t>
  </si>
  <si>
    <t>MTR-40029</t>
  </si>
  <si>
    <t>DC_3C(4x4)-7A(4x4)_n75A(4x4)-n78A(4x4)
 UL: DC_7A_n78A
 [12 (4+4+4) LTE &amp; 8 (4+4) NR layers]</t>
  </si>
  <si>
    <t>MTR-40030</t>
  </si>
  <si>
    <t>DC_1A(4x4)-3C(4x4)-7A(4x4)_n75A(4x4)-n78A(4x4)
 UL: DC_1A_n78A
 [16 (4+4+4+4) LTE &amp; 8 (4+4) NR layers]</t>
  </si>
  <si>
    <t>DC_1A-3C-7A_n75A-n78A</t>
  </si>
  <si>
    <t>MTR-40031</t>
  </si>
  <si>
    <t>DC_1A(4x4)-3C(4x4)-7A(4x4)_n75A(4x4)-n78A(4x4)
 UL: DC_3A_n78A
 [16 (4+4+4+4) LTE &amp; 8 (4+4) NR layers]</t>
  </si>
  <si>
    <t>MTR-40032</t>
  </si>
  <si>
    <t>DC_1A(4x4)-3C(4x4)-7A(4x4)_n75A(4x4)-n78A(4x4)
 UL: DC_3C_n78A
 [16 (4+4+4+4) LTE &amp; 8 (4+4) NR layers]</t>
  </si>
  <si>
    <t>MTR-40033</t>
  </si>
  <si>
    <t>DC_1A(4x4)-3C(4x4)-7A(4x4)_n75A(4x4)-n78A(4x4)
 UL: DC_7A_n78A
 [16 (4+4+4+4) LTE &amp; 8 (4+4) NR layers]</t>
  </si>
  <si>
    <t>MTR-34535</t>
  </si>
  <si>
    <r>
      <rPr>
        <rFont val="Arial"/>
        <b/>
        <color theme="1"/>
        <sz val="10.0"/>
      </rPr>
      <t>2.5.2.9.20</t>
    </r>
    <r>
      <rPr>
        <rFont val="Arial"/>
        <b val="0"/>
        <color theme="1"/>
        <sz val="10.0"/>
      </rPr>
      <t xml:space="preserve"> </t>
    </r>
    <r>
      <rPr>
        <rFont val="Arial"/>
        <b/>
        <color theme="1"/>
        <sz val="10.0"/>
      </rPr>
      <t>EN-DC with NR CA n78C</t>
    </r>
  </si>
  <si>
    <t>MTR-33494</t>
  </si>
  <si>
    <t>DC_1A(4x4)_n78C(4x4)
 UL: DC_1A_n78A
 [4 LTE &amp; 8 (4+4) NR layers]</t>
  </si>
  <si>
    <t>DC_1A_n78C</t>
  </si>
  <si>
    <t>n78C</t>
  </si>
  <si>
    <t>MTR-33495</t>
  </si>
  <si>
    <t>DC_3A(4x4)_n78C(4x4)
 UL: DC_3A_n78A
 [4 LTE &amp; 8 (4+4) NR layers]</t>
  </si>
  <si>
    <t>DC_3A_n78C</t>
  </si>
  <si>
    <t>MTR-36056</t>
  </si>
  <si>
    <t>DC_7A(4x4)_n78C(4x4)
 UL: DC_7A_n78A
 [4 LTE &amp; 8 (4+4) NR layers]</t>
  </si>
  <si>
    <t>DC_7A_n78C</t>
  </si>
  <si>
    <t>MTR-36722</t>
  </si>
  <si>
    <t>DC_20A(2x2)_n78C(4x4)
 UL: DC_20A_n78A
 [2 LTE &amp; 8 (4+4) NR layers]</t>
  </si>
  <si>
    <t>DC_20A_n78C</t>
  </si>
  <si>
    <t>MTR-33496</t>
  </si>
  <si>
    <t>DC_28A(2x2)_n78C(4x4)
 UL: DC_28A_n78A
 [2 LTE &amp; 8 (4+4) NR layers]</t>
  </si>
  <si>
    <t>DC_28A_n78C</t>
  </si>
  <si>
    <t>MTR-33499</t>
  </si>
  <si>
    <t>DC_1A(4x4)-3A(4x4)_n78C(4x4)
 UL: DC_1A_n78A
 [8 (4+4) LTE &amp; 8 (4+4) NR layers]</t>
  </si>
  <si>
    <t>DC_1A-3A_n78C</t>
  </si>
  <si>
    <t>MTR-33500</t>
  </si>
  <si>
    <t>DC_1A(4x4)-3A(4x4)_n78C(4x4)
 UL: DC_3A_n78A
 [8 (4+4) LTE &amp; 8 (4+4) NR layers]</t>
  </si>
  <si>
    <t>MTR-36057</t>
  </si>
  <si>
    <t>DC_1A(4x4)-7A(4x4)_n78C(4x4)
 UL: DC_1A_n78A
 [8 (4+4) LTE &amp; 8 (4+4) NR layers]</t>
  </si>
  <si>
    <t>DC_1A-7A_n78C</t>
  </si>
  <si>
    <t>MTR-36058</t>
  </si>
  <si>
    <t>DC_1A(4x4)-7A(4x4)_n78C(4x4)
 UL: DC_7A_n78A
 [8 (4+4) LTE &amp; 8 (4+4) NR layers]</t>
  </si>
  <si>
    <t>MTR-39529</t>
  </si>
  <si>
    <t>DC_1A(4x4)-20A(2x2)_n78C(4x4)
 UL: DC_1A_n78A
 [6 (4+2) LTE &amp; 8 (4+4) NR layers]</t>
  </si>
  <si>
    <t>DC_1A-20A_n78C</t>
  </si>
  <si>
    <t>MTR-39530</t>
  </si>
  <si>
    <t>DC_1A(4x4)-20A(2x2)_n78C(4x4)
 UL: DC_20A_n78A
 [6 (4+2) LTE &amp; 8 (4+4) NR layers]</t>
  </si>
  <si>
    <t>MTR-34664</t>
  </si>
  <si>
    <t>DC_1A(4x4)-28A(2x2)_n78C(4x4)
 UL: DC_1A_n78A
 [6 (4+2) LTE &amp; 8 (4+4) NR layers]</t>
  </si>
  <si>
    <t>DC_1A-28A_n78C</t>
  </si>
  <si>
    <t>MTR-33501</t>
  </si>
  <si>
    <t>DC_1A(4x4)-28A(2x2)_n78C(4x4)
 UL: DC_28A_n78A
 [6 (4+2) LTE &amp; 8 (4+4) NR layers]</t>
  </si>
  <si>
    <t>MTR-36723</t>
  </si>
  <si>
    <t>DC_1A(4x4)-32A(2x2)_n78C(4x4)
 UL: DC_1A_n78A
 [6 (4+2) LTE &amp; 8 (4+4) NR layers]</t>
  </si>
  <si>
    <t>DC_1A-32A_n78C</t>
  </si>
  <si>
    <t>MTR-36059</t>
  </si>
  <si>
    <t>DC_3A(4x4)-7A(4x4)_n78C(4x4)
 UL: DC_3A_n78A
 [8 (4+4) LTE &amp; 8 (4+4) NR layers]</t>
  </si>
  <si>
    <t>DC_3A-7A_n78C</t>
  </si>
  <si>
    <t>MTR-36060</t>
  </si>
  <si>
    <t>DC_3A(4x4)-7A(4x4)_n78C(4x4)
 UL: DC_7A_n78A
 [8 (4+4) LTE &amp; 8 (4+4) NR layers]</t>
  </si>
  <si>
    <t>MTR-39531</t>
  </si>
  <si>
    <t>DC_3A(4x4)-20A(2x2)_n78C(4x4)
 UL: DC_3A_n78A
 [6 (4+2) LTE &amp; 8 (4+4) NR layers]</t>
  </si>
  <si>
    <t>DC_3A-20A_n78C</t>
  </si>
  <si>
    <t>MTR-39532</t>
  </si>
  <si>
    <t>DC_3A(4x4)-20A(2x2)_n78C(4x4)
 UL: DC_20A_n78A
 [6 (4+2) LTE &amp; 8 (4+4) NR layers]</t>
  </si>
  <si>
    <t>MTR-34532</t>
  </si>
  <si>
    <t>DC_3A(4x4)-28A(2x2)_n78C(4x4)
 UL: DC_3A_n78A
 [6 (4+2) LTE &amp; 8 (4+4) NR layers]</t>
  </si>
  <si>
    <t>DC_3A-28A_n78C</t>
  </si>
  <si>
    <t>MTR-33507</t>
  </si>
  <si>
    <t>DC_3A(4x4)-28A(2x2)_n78C(4x4)
 UL: DC_28A_n78A
 [6 (4+2) LTE &amp; 8 (4+4) NR layers]</t>
  </si>
  <si>
    <t>MTR-36725</t>
  </si>
  <si>
    <t>DC_3A(4x4)-32A(2x2)_n78C(4x4)
 UL: DC_3A_n78A
 [6 (4+2) LTE &amp; 8 (4+4) NR layers]</t>
  </si>
  <si>
    <t>DC_3A-32A_n78C</t>
  </si>
  <si>
    <t>MTR-36061</t>
  </si>
  <si>
    <t>DC_7A(4x4)-7A(4x4)_n78C(4x4)
 UL: DC_7A_n78A
 [8 (4+4) LTE &amp; 8 (4+4) NR layers]</t>
  </si>
  <si>
    <t>DC_7A-7A_n78C</t>
  </si>
  <si>
    <t>MTR-39533</t>
  </si>
  <si>
    <t>DC_7A(4x4)-20A(2x2)_n78C(4x4)
 UL: DC_7A_n78A
 [6 (4+2) LTE &amp; 8 (4+4) NR layers]</t>
  </si>
  <si>
    <t>DC_7A-20A_n78C</t>
  </si>
  <si>
    <t>MTR-39534</t>
  </si>
  <si>
    <t>DC_7A(4x4)-20A(2x2)_n78C(4x4)
 UL: DC_20A_n78A
 [6 (4+2) LTE &amp; 8 (4+4) NR layers]</t>
  </si>
  <si>
    <t>MTR-36724</t>
  </si>
  <si>
    <t>DC_20A(2x2)-32A(2x2)_n78C(4x4)
 UL: DC_20A_n78A
 [4 (2+2) LTE &amp; 8 (4+4) NR layers]</t>
  </si>
  <si>
    <t>DC_20A-32A_n78C</t>
  </si>
  <si>
    <t>MTR-36062</t>
  </si>
  <si>
    <t>DC_1A(4x4)-3A(4x4)-7A(4x4)_n78C(4x4)
 UL: DC_1A_n78A
 [12 (4+4+4) LTE &amp; 8 (4+4) NR layers]</t>
  </si>
  <si>
    <t>DC_1A-3A-7A_n78C</t>
  </si>
  <si>
    <t>MTR-36063</t>
  </si>
  <si>
    <t>DC_1A(4x4)-3A(4x4)-7A(4x4)_n78C(4x4)
 UL: DC_3A_n78A
 [12 (4+4+4) LTE &amp; 8 (4+4) NR layers]</t>
  </si>
  <si>
    <t>MTR-36064</t>
  </si>
  <si>
    <t>DC_1A(4x4)-3A(4x4)-7A(4x4)_n78C(4x4)
 UL: DC_7A_n78A
 [12 (4+4+4) LTE &amp; 8 (4+4) NR layers]</t>
  </si>
  <si>
    <t>MTR-39535</t>
  </si>
  <si>
    <t>DC_1A(4x4)-3A(4x4)-20A(2x2)_n78C(4x4)
 UL: DC_1A_n78A
 [10 (4+4+2) LTE &amp; 8 (4+4) NR layers]</t>
  </si>
  <si>
    <t>DC_1A-3A-20A_n78C</t>
  </si>
  <si>
    <t>MTR-39536</t>
  </si>
  <si>
    <t>DC_1A(4x4)-3A(4x4)-20A(2x2)_n78C(4x4)
 UL: DC_3A_n78A
 [10 (4+4+2) LTE &amp; 8 (4+4) NR layers]</t>
  </si>
  <si>
    <t>MTR-39537</t>
  </si>
  <si>
    <t>DC_1A(4x4)-3A(4x4)-20A(2x2)_n78C(4x4)
 UL: DC_20A_n78A
 [10 (4+4+2) LTE &amp; 8 (4+4) NR layers]</t>
  </si>
  <si>
    <t>MTR-36065</t>
  </si>
  <si>
    <t>DC_1A(4x4)-7A(4x4)-7A(4x4)_n78C(4x4)
 UL: DC_1A_n78A
 [12 (4+4+4) LTE &amp; 8 (4+4) NR layers]</t>
  </si>
  <si>
    <t>DC_1A-7A-7A_n78C</t>
  </si>
  <si>
    <t>MTR-36066</t>
  </si>
  <si>
    <t>DC_1A(4x4)-7A(4x4)-7A(4x4)_n78C(4x4)
 UL: DC_7A_n78A
 [12 (4+4+4) LTE &amp; 8 (4+4) NR layers]</t>
  </si>
  <si>
    <t>MTR-39538</t>
  </si>
  <si>
    <t>DC_1A(4x4)-7A(4x4)-20A(2x2)_n78C(4x4)
 UL: DC_1A_n78A
 [10 (4+4+2) LTE &amp; 8 (4+4) NR layers]</t>
  </si>
  <si>
    <t>DC_1A-7A-20A_n78C</t>
  </si>
  <si>
    <t>MTR-39539</t>
  </si>
  <si>
    <t>DC_1A(4x4)-7A(4x4)-20A(2x2)_n78C(4x4)
 UL: DC_7A_n78A
 [10 (4+4+2) LTE &amp; 8 (4+4) NR layers]</t>
  </si>
  <si>
    <t>MTR-39540</t>
  </si>
  <si>
    <t>DC_1A(4x4)-7A(4x4)-20A(2x2)_n78C(4x4)
 UL: DC_20A_n78A
 [10 (4+4+2) LTE &amp; 8 (4+4) NR layers]</t>
  </si>
  <si>
    <t>MTR-34538</t>
  </si>
  <si>
    <t>DC_1A(4x4)-3A(4x4)-28A(2x2)_n78C(4x4)
 UL: DC_1A_n78A
 [10 (4+4+2) LTE &amp; 8 (4+4) NR layers]</t>
  </si>
  <si>
    <t>DC_1A-3A-28A_n78C</t>
  </si>
  <si>
    <t>MTR-34539</t>
  </si>
  <si>
    <t>DC_1A(4x4)-3A(4x4)-28A(2x2)_n78C(4x4)
 UL: DC_3A_n78A
 [10 (4+4+2) LTE &amp; 8 (4+4) NR layers]</t>
  </si>
  <si>
    <t>MTR-34540</t>
  </si>
  <si>
    <t>DC_1A(4x4)-3A(4x4)-28A(2x2)_n78C(4x4)
 UL: DC_28A_n78A
 [10 (4+4+2) LTE &amp; 8 (4+4) NR layers]</t>
  </si>
  <si>
    <t>MTR-36726</t>
  </si>
  <si>
    <t>DC_1A(4x4)-3A(4x4)-32A(2x2)_n78C(4x4)
 UL: DC_1A_n78A
 [10 (4+4+2) LTE &amp; 8 (4+4) NR layers]</t>
  </si>
  <si>
    <t>DC_1A-3A-32A_n78C</t>
  </si>
  <si>
    <t>MTR-36727</t>
  </si>
  <si>
    <t>DC_1A(4x4)-3A(4x4)-32A(2x2)_n78C(4x4)
 UL: DC_3A_n78A
 [10 (4+4+2) LTE &amp; 8 (4+4) NR layers]</t>
  </si>
  <si>
    <t>MTR-36067</t>
  </si>
  <si>
    <t>DC_3A(4x4)-7A(4x4)-7A(4x4)_n78C(4x4)
 UL: DC_3A_n78A
 [12 (4+4+4) LTE &amp; 8 (4+4) NR layers]</t>
  </si>
  <si>
    <t>DC_3A-7A-7A_n78C</t>
  </si>
  <si>
    <t>MTR-36068</t>
  </si>
  <si>
    <t>DC_3A(4x4)-7A(4x4)-7A(4x4)_n78C(4x4)
 UL: DC_7A_n78A
 [12 (4+4+4) LTE &amp; 8 (4+4) NR layers]</t>
  </si>
  <si>
    <t>MTR-39541</t>
  </si>
  <si>
    <t>DC_3A(4x4)-7A(4x4)-20A(2x2)_n78C(4x4)
 UL: DC_3A_n78A
 [10 (4+4+2) LTE &amp; 8 (4+4) NR layers]</t>
  </si>
  <si>
    <t>DC_3A-7A-20A_n78C</t>
  </si>
  <si>
    <t>MTR-39542</t>
  </si>
  <si>
    <t>DC_3A(4x4)-7A(4x4)-20A(2x2)_n78C(4x4)
 UL: DC_20A_n78A
 [10 (4+4+2) LTE &amp; 8 (4+4) NR layers]</t>
  </si>
  <si>
    <t>MTR-39543</t>
  </si>
  <si>
    <t>DC_3A(4x4)-7A(4x4)-20A(2x2)_n78C(4x4)
 UL: DC_7A_n78A
 [10 (4+4+2) LTE &amp; 8 (4+4) NR layers]</t>
  </si>
  <si>
    <t>MTR-36069</t>
  </si>
  <si>
    <t>DC_1A(4x4)-3A(4x4)-7A(4x4)-7A(4x4)_n78C(4x4)
 UL: DC_1A_n78A
 [16 (4+4+4+4) LTE &amp; 8 (4+4) NR layers]</t>
  </si>
  <si>
    <t>DC_1A-3A-7A-7A_n78C</t>
  </si>
  <si>
    <t>MTR-36070</t>
  </si>
  <si>
    <t>DC_1A(4x4)-3A(4x4)-7A(4x4)-7A(4x4)_n78C(4x4)
 UL: DC_3A_n78A
 [16 (4+4+4+4) LTE &amp; 8 (4+4) NR layers]</t>
  </si>
  <si>
    <t>MTR-36071</t>
  </si>
  <si>
    <t>DC_1A(4x4)-3A(4x4)-7A(4x4)-7A(4x4)_n78C(4x4)
 UL: DC_7A_n78A
 [16 (4+4+4+4) LTE &amp; 8 (4+4) NR layers]</t>
  </si>
  <si>
    <t>MTR-39544</t>
  </si>
  <si>
    <t>DC_1A(4x4)-3A(4x4)-7A(4x4)-20A(2x2)_n78C(4x4)
 UL: DC_1A_n78A
 [14 (4+4+4+2) LTE &amp; 8 (4+4) NR layers]</t>
  </si>
  <si>
    <t>DC_1A-3A-7A-20A_n78C</t>
  </si>
  <si>
    <t>MTR-39545</t>
  </si>
  <si>
    <t>DC_1A(4x4)-3A(4x4)-7A(4x4)-20A(2x2)_n78C(4x4)
 UL: DC_3A_n78A
 [14 (4+4+4+2) LTE &amp; 8 (4+4) NR layers]</t>
  </si>
  <si>
    <t>MTR-39546</t>
  </si>
  <si>
    <t>DC_1A(4x4)-3A(4x4)-7A(4x4)-20A(2x2)_n78C(4x4)
 UL: DC_7A_n78A
 [14 (4+4+4+2) LTE &amp; 8 (4+4) NR layers]</t>
  </si>
  <si>
    <t>MTR-39547</t>
  </si>
  <si>
    <t>DC_1A(4x4)-3A(4x4)-7A(4x4)-20A(2x2)_n78C(4x4)
 UL: DC_20A_n78A
 [14 (4+4+4+2) LTE &amp; 8 (4+4) NR layers]</t>
  </si>
  <si>
    <t>MTR-35076</t>
  </si>
  <si>
    <r>
      <rPr>
        <rFont val="Arial"/>
        <b/>
        <color theme="1"/>
        <sz val="10.0"/>
      </rPr>
      <t>2.5.2.9.21</t>
    </r>
    <r>
      <rPr>
        <rFont val="Arial"/>
        <b val="0"/>
        <color theme="1"/>
        <sz val="10.0"/>
      </rPr>
      <t xml:space="preserve"> </t>
    </r>
    <r>
      <rPr>
        <rFont val="Arial"/>
        <b/>
        <color theme="1"/>
        <sz val="10.0"/>
      </rPr>
      <t>EN-DC with NR CA n78(2A)</t>
    </r>
  </si>
  <si>
    <t>MTR-35077</t>
  </si>
  <si>
    <t>DC_1A(4x4)_n78(2A)(4x4)
 UL: DC_1A_n78A
 [4 LTE &amp; 8 (4+4) NR layers]</t>
  </si>
  <si>
    <t>DC_1A_n78(2A)</t>
  </si>
  <si>
    <t>n78(2A)</t>
  </si>
  <si>
    <t>MTR-35078</t>
  </si>
  <si>
    <t>DC_3A(4x4)_n78(2A)(4x4)
 UL: DC_3A_n78A
 [4 LTE &amp; 8 (4+4) NR layers]</t>
  </si>
  <si>
    <t>DC_3A_n78(2A)</t>
  </si>
  <si>
    <t>MTR-35079</t>
  </si>
  <si>
    <t>DC_7A(4x4)_n78(2A)(4x4)
 UL: DC_7A_n78A
 [4 LTE &amp; 8 (4+4) NR layers]</t>
  </si>
  <si>
    <t>DC_7A_n78(2A)</t>
  </si>
  <si>
    <t>MTR-36700</t>
  </si>
  <si>
    <t>DC_8A(2x2)_n78(2A)(4x4)
 UL: DC_8A_n78A
 [2 LTE &amp; 8 (4+4) NR layers]</t>
  </si>
  <si>
    <t>DC_8A_n78(2A)</t>
  </si>
  <si>
    <t>MTR-35590</t>
  </si>
  <si>
    <t>DC_20A(2x2)_n78(2A)(4x4)
 UL: DC_20A_n78A
 [2 LTE &amp; 8 (4+4) NR layers]</t>
  </si>
  <si>
    <t>DC_20A_n78(2A)</t>
  </si>
  <si>
    <t>MTR-35591</t>
  </si>
  <si>
    <t>DC_28A(2x2)_n78(2A)(4x4)
 UL: DC_28A_n78A
 [2 LTE &amp; 8 (4+4) NR layers]</t>
  </si>
  <si>
    <t>DC_28A_n78(2A)</t>
  </si>
  <si>
    <t>MTR-35080</t>
  </si>
  <si>
    <t>DC_1A(4x4)-3A(4x4)_n78(2A)(4x4)
 UL: DC_1A_n78A
 [8 (4+4) LTE &amp; 8 (4+4) NR layers]</t>
  </si>
  <si>
    <t>DC_1A-3A_n78(2A)</t>
  </si>
  <si>
    <t>MTR-35081</t>
  </si>
  <si>
    <t>DC_1A(4x4)-3A(4x4)_n78(2A)(4x4)
 UL: DC_3A_n78A
 [8 (4+4) LTE &amp; 8 (4+4) NR layers]</t>
  </si>
  <si>
    <t>MTR-35082</t>
  </si>
  <si>
    <t>DC_1A(4x4)-7A(4x4)_n78(2A)(4x4)
 UL: DC_1A_n78A
 [8 (4+4) LTE &amp; 8 (4+4) NR layers]</t>
  </si>
  <si>
    <t>DC_1A-7A_n78(2A)</t>
  </si>
  <si>
    <t>MTR-35083</t>
  </si>
  <si>
    <t>DC_1A(4x4)-7A(4x4)_n78(2A)(4x4)
 UL: DC_7A_n78A
 [8 (4+4) LTE &amp; 8 (4+4) NR layers]</t>
  </si>
  <si>
    <t>MTR-36701</t>
  </si>
  <si>
    <t>DC_1A(4x4)-8A(2x2)_n78(2A)(4x4)
 UL: DC_1A_n78A
 [6 (4+2) LTE &amp; 8 (4+4) NR layers]</t>
  </si>
  <si>
    <t>DC_1A-8A_n78(2A)</t>
  </si>
  <si>
    <t>MTR-36702</t>
  </si>
  <si>
    <t>DC_1A(4x4)-8A(2x2)_n78(2A)(4x4)
 UL: DC_8A_n78A
 [6 (4+2) LTE &amp; 8 (4+4) NR layers]</t>
  </si>
  <si>
    <t>MTR-38770</t>
  </si>
  <si>
    <t>DC_1A(4x4)-20A(2x2)_n78(2A)(4x4)
 UL: DC_1A_n78A
 [6 (4+2) LTE &amp; 8 (4+4) NR layers]</t>
  </si>
  <si>
    <t>DC_1A-20A_n78(2A)</t>
  </si>
  <si>
    <t>MTR-38771</t>
  </si>
  <si>
    <t>DC_1A(4x4)-20A(2x2)_n78(2A)(4x4)
 UL: DC_20A_n78A
 [6 (4+2) LTE &amp; 8 (4+4) NR layers]</t>
  </si>
  <si>
    <t>MTR-39511</t>
  </si>
  <si>
    <t>DC_1A(4x4)-28A(2x2)_n78(2A)(4x4)
 UL: DC_1A_n78A
 [6 (4+2) LTE &amp; 8 (4+4) NR layers]</t>
  </si>
  <si>
    <t>DC_1A-28A_n78(2A)</t>
  </si>
  <si>
    <t>MTR-39512</t>
  </si>
  <si>
    <t>DC_1A(4x4)-28A(2x2)_n78(2A)(4x4)
 UL: DC_28A_n78A
 [6 (4+2) LTE &amp; 8 (4+4) NR layers]</t>
  </si>
  <si>
    <t>MTR-39513</t>
  </si>
  <si>
    <t>MTR-39514</t>
  </si>
  <si>
    <t>MTR-35593</t>
  </si>
  <si>
    <t>DC_1A(4x4)-32A(2x2)_n78(2A)(4x4)
 UL: DC_1A_n78A
 [6 (4+2) LTE &amp; 8 (4+4) NR layers]</t>
  </si>
  <si>
    <t>DC_1A-32A_n78(2A)</t>
  </si>
  <si>
    <t>MTR-35084</t>
  </si>
  <si>
    <t>DC_3C(4x4)_n78(2A)(4x4)
 UL: DC_3A_n78A
 [8 (4+4) LTE &amp; 8 (4+4) NR layers]</t>
  </si>
  <si>
    <t>DC_3C_n78(2A)</t>
  </si>
  <si>
    <t>MTR-38774</t>
  </si>
  <si>
    <t>DC_3C(4x4)_n78(2A)(4x4)
 UL: DC_3C_n78A
 [8 (4+4) LTE &amp; 8 (4+4) NR layers]</t>
  </si>
  <si>
    <t>MTR-35085</t>
  </si>
  <si>
    <t>DC_3A(4x4)-7A(4x4)_n78(2A)(4x4)
 UL: DC_3A_n78A
 [8 (4+4) LTE &amp; 8 (4+4) NR layers]</t>
  </si>
  <si>
    <t>DC_3A-7A_n78(2A)</t>
  </si>
  <si>
    <t>MTR-35086</t>
  </si>
  <si>
    <t>DC_3A(4x4)-7A(4x4)_n78(2A)(4x4)
 UL: DC_7A_n78A
 [8 (4+4) LTE &amp; 8 (4+4) NR layers]</t>
  </si>
  <si>
    <t>MTR-36705</t>
  </si>
  <si>
    <t>DC_3A(4x4)-8A(2x2)_n78(2A)(4x4)
 UL: DC_3A_n78A
 [6 (4+2) LTE &amp; 8 (4+4) NR layers]</t>
  </si>
  <si>
    <t>DC_3A-8A_n78(2A)</t>
  </si>
  <si>
    <t>MTR-36706</t>
  </si>
  <si>
    <t>DC_3A(4x4)-8A(2x2)_n78(2A)(4x4)
 UL: DC_8A_n78A
 [6 (4+2) LTE &amp; 8 (4+4) NR layers]</t>
  </si>
  <si>
    <t>MTR-36703</t>
  </si>
  <si>
    <t>DC_3A(4x4)-20A(2x2)_n78(2A)(4x4)
 UL: DC_3A_n78A
 [6 (4+2) LTE &amp; 8 (4+4) NR layers]</t>
  </si>
  <si>
    <t>DC_3A-20A_n78(2A)</t>
  </si>
  <si>
    <t>MTR-36704</t>
  </si>
  <si>
    <t>DC_3A(4x4)-20A(2x2)_n78(2A)(4x4)
 UL: DC_20A_n78A
 [6 (4+2) LTE &amp; 8 (4+4) NR layers]</t>
  </si>
  <si>
    <t>MTR-39515</t>
  </si>
  <si>
    <t>DC_3A(4x4)-28A(2x2)_n78(2A)(4x4)
 UL: DC_3A_n78A
 [6 (4+2) LTE &amp; 8 (4+4) NR layers]</t>
  </si>
  <si>
    <t>DC_3A-28A_n78(2A)</t>
  </si>
  <si>
    <t>MTR-39516</t>
  </si>
  <si>
    <t>DC_3A(4x4)-28A(2x2)_n78(2A)(4x4)
 UL: DC_28A_n78A
 [6 (4+2) LTE &amp; 8 (4+4) NR layers]</t>
  </si>
  <si>
    <t>MTR-35594</t>
  </si>
  <si>
    <t>DC_3A(4x4)-32A(2x2)_n78(2A)(4x4)
 UL: DC_3A_n78A
 [6 (4+2) LTE &amp; 8 (4+4) NR layers]</t>
  </si>
  <si>
    <t>DC_3A-32A_n78(2A)</t>
  </si>
  <si>
    <t>MTR-35592</t>
  </si>
  <si>
    <t>DC_7A(4x4)-7A(4x4)_n78(2A)(4x4)
 UL: DC_7A_n78A
 [8 (4+4) LTE &amp; 8 (4+4) NR layers]</t>
  </si>
  <si>
    <t>DC_7A-7A_n78(2A)</t>
  </si>
  <si>
    <t>MTR-35087</t>
  </si>
  <si>
    <t>DC_7C(4x4)_n78(2A)(4x4)
 UL: DC_7A_n78A
 [8 (4+4) LTE &amp; 8 (4+4) NR layers]</t>
  </si>
  <si>
    <t>DC_7C_n78(2A)</t>
  </si>
  <si>
    <t>MTR-35088</t>
  </si>
  <si>
    <t>DC_7C(4x4)_n78(2A)(4x4)
 UL: DC_7C_n78A
 [8 (4+4) LTE &amp; 8 (4+4) NR layers]</t>
  </si>
  <si>
    <t>MTR-36707</t>
  </si>
  <si>
    <t>DC_7A(4x4)-8A(2x2)_n78(2A)(4x4)
 UL: DC_7A_n78A
 [6 (4+2) LTE &amp; 8 (4+4) NR layers]</t>
  </si>
  <si>
    <t>DC_7A-8A_n78(2A)</t>
  </si>
  <si>
    <t>MTR-36708</t>
  </si>
  <si>
    <t>DC_7A(4x4)-8A(2x2)_n78(2A)(4x4)
 UL: DC_8A_n78A
 [6 (4+2) LTE &amp; 8 (4+4) NR layers]</t>
  </si>
  <si>
    <t>MTR-38775</t>
  </si>
  <si>
    <t>DC_7A(4x4)-20A(2x2)_n78(2A)(4x4)
 UL: DC_7A_n78A
 [6 (4+2) LTE &amp; 8 (4+4) NR layers]</t>
  </si>
  <si>
    <t>DC_7A-20A_n78(2A)</t>
  </si>
  <si>
    <t>MTR-38776</t>
  </si>
  <si>
    <t>DC_7A(4x4)-20A(2x2)_n78(2A)(4x4)
 UL: DC_20A_n78A
 [6 (4+2) LTE &amp; 8 (4+4) NR layers]</t>
  </si>
  <si>
    <t>MTR-39517</t>
  </si>
  <si>
    <t>DC_7A(4x4)-28A(2x2)_n78(2A)(4x4)
 UL: DC_7A_n78A
 [6 (4+2) LTE &amp; 8 (4+4) NR layers]</t>
  </si>
  <si>
    <t>DC_7A-28A_n78(2A)</t>
  </si>
  <si>
    <t>MTR-39518</t>
  </si>
  <si>
    <t>DC_7A(4x4)-28A(2x2)_n78(2A)(4x4)
 UL: DC_28A_n78A
 [6 (4+2) LTE &amp; 8 (4+4) NR layers]</t>
  </si>
  <si>
    <t>MTR-35595</t>
  </si>
  <si>
    <t>DC_20A(2x2)-32A(2x2)_n78(2A)(4x4)
 UL: DC_20A_n78A
 [4 (2+2) LTE &amp; 8 (4+4) NR layers]</t>
  </si>
  <si>
    <t>DC_20A-32A_n78(2A)</t>
  </si>
  <si>
    <t>MTR-35089</t>
  </si>
  <si>
    <t>DC_1A(4x4)-3C(4x4)_n78(2A)(4x4)
 UL: DC_1A_n78A
 [12 (4+4+4) LTE &amp; 8 (4+4) NR layers]</t>
  </si>
  <si>
    <t>DC_1A-3C_n78(2A)</t>
  </si>
  <si>
    <t>MTR-35090</t>
  </si>
  <si>
    <t>DC_1A(4x4)-3C(4x4)_n78(2A)(4x4)
 UL: DC_3A_n78A
 [12 (4+4+4) LTE &amp; 8 (4+4) NR layers]</t>
  </si>
  <si>
    <t>MTR-35091</t>
  </si>
  <si>
    <t>DC_1A(4x4)-3C(4x4)_n78(2A)(4x4)
 UL: DC_3C_n78A
 [12 (4+4+4) LTE &amp; 8 (4+4) NR layers]</t>
  </si>
  <si>
    <t>MTR-35092</t>
  </si>
  <si>
    <t>DC_1A(4x4)-3A(4x4)-7A(4x4)_n78(2A)(4x4)
 UL: DC_1A_n78A
 [12 (4+4+4) LTE &amp; 8 (4+4) NR layers]</t>
  </si>
  <si>
    <t>DC_1A-3A-7A_n78(2A)</t>
  </si>
  <si>
    <t>MTR-35093</t>
  </si>
  <si>
    <t>DC_1A(4x4)-3A(4x4)-7A(4x4)_n78(2A)(4x4)
 UL: DC_3A_n78A
 [12 (4+4+4) LTE &amp; 8 (4+4) NR layers]</t>
  </si>
  <si>
    <t>MTR-35094</t>
  </si>
  <si>
    <t>DC_1A(4x4)-3A(4x4)-7A(4x4)_n78(2A)(4x4)
 UL: DC_7A_n78A
 [12 (4+4+4) LTE &amp; 8 (4+4) NR layers]</t>
  </si>
  <si>
    <t>MTR-36709</t>
  </si>
  <si>
    <t>DC_1A(4x4)-3A(4x4)-8A(2x2)_n78(2A)(4x4)
 UL: DC_1A_n78A
 [10 (4+4+2) LTE &amp; 8 (4+4) NR layers]</t>
  </si>
  <si>
    <t>DC_1A-3A-8A_n78(2A)</t>
  </si>
  <si>
    <t>MTR-36710</t>
  </si>
  <si>
    <t>DC_1A(4x4)-3A(4x4)-8A(2x2)_n78(2A)(4x4)
 UL: DC_3A_n78A
 [10 (4+4+2) LTE &amp; 8 (4+4) NR layers]</t>
  </si>
  <si>
    <t>MTR-36711</t>
  </si>
  <si>
    <t>DC_1A(4x4)-3A(4x4)-8A(2x2)_n78(2A)(4x4)
 UL: DC_8A_n78A
 [10 (4+4+2) LTE &amp; 8 (4+4) NR layers]</t>
  </si>
  <si>
    <t>MTR-38778</t>
  </si>
  <si>
    <t>DC_1A(4x4)-3A(4x4)-20A(2x2)_n78(2A)(4x4)
 UL: DC_1A_n78A
 [10 (4+4+2) LTE &amp; 8 (4+4) NR layers]</t>
  </si>
  <si>
    <t>DC_1A-3A-20A_n78(2A)</t>
  </si>
  <si>
    <t>MTR-38779</t>
  </si>
  <si>
    <t>DC_1A(4x4)-3A(4x4)-20A(2x2)_n78(2A)(4x4)
 UL: DC_3A_n78A
 [10 (4+4+2) LTE &amp; 8 (4+4) NR layers]</t>
  </si>
  <si>
    <t>MTR-38780</t>
  </si>
  <si>
    <t>DC_1A(4x4)-3A(4x4)-20A(2x2)_n78(2A)(4x4)
 UL: DC_20A_n78A
 [10 (4+4+2) LTE &amp; 8 (4+4) NR layers]</t>
  </si>
  <si>
    <t>MTR-39521</t>
  </si>
  <si>
    <t>DC_1A(4x4)-3A(4x4)-28A(2x2)_n78(2A)(4x4)
 UL: DC_1A_n78A
 [10 (4+4+2) LTE &amp; 8 (4+4) NR layers]</t>
  </si>
  <si>
    <t>DC_1A-3A-28A_n78(2A)</t>
  </si>
  <si>
    <t>MTR-39522</t>
  </si>
  <si>
    <t>DC_1A(4x4)-3A(4x4)-28A(2x2)_n78(2A)(4x4)
 UL: DC_3A_n78A
 [10 (4+4+2) LTE &amp; 8 (4+4) NR layers]</t>
  </si>
  <si>
    <t>MTR-39523</t>
  </si>
  <si>
    <t>DC_1A(4x4)-3A(4x4)-28A(2x2)_n78(2A)(4x4)
 UL: DC_28A_n78A
 [10 (4+4+2) LTE &amp; 8 (4+4) NR layers]</t>
  </si>
  <si>
    <t>MTR-35596</t>
  </si>
  <si>
    <t>DC_1A(4x4)-3A(4x4)-32A(2x2)_n78(2A)(4x4)
 UL: DC_1A_n78A
 [10 (4+4+2) LTE &amp; 8 (4+4) NR layers]</t>
  </si>
  <si>
    <t>DC_1A-3A-32A_n78(2A)</t>
  </si>
  <si>
    <t>MTR-35597</t>
  </si>
  <si>
    <t>DC_1A(4x4)-3A(4x4)-32A(2x2)_n78(2A)(4x4)
 UL: DC_3A_n78A
 [10 (4+4+2) LTE &amp; 8 (4+4) NR layers]</t>
  </si>
  <si>
    <t>MTR-37071</t>
  </si>
  <si>
    <t>DC_1A(4x4)-7A(4x4)-7A(4x4)_n78(2A)(4x4)
 UL: DC_1A_n78A
 [12 (4+4+4) LTE &amp; 8 (4+4) NR layers]</t>
  </si>
  <si>
    <t>DC_1A-7A-7A_n78(2A)</t>
  </si>
  <si>
    <t>MTR-37072</t>
  </si>
  <si>
    <t>DC_1A(4x4)-7A(4x4)-7A(4x4)_n78(2A)(4x4)
 UL: DC_7A_n78A
 [12 (4+4+4) LTE &amp; 8 (4+4) NR layers]</t>
  </si>
  <si>
    <t>MTR-35095</t>
  </si>
  <si>
    <t>DC_1A(4x4)-7C(4x4)_n78(2A)(4x4)
 UL: DC_1A_n78A
 [12 (4+4+4) LTE &amp; 8 (4+4) NR layers]</t>
  </si>
  <si>
    <t>DC_1A-7C_n78(2A)</t>
  </si>
  <si>
    <t>MTR-35096</t>
  </si>
  <si>
    <t>DC_1A(4x4)-7C(4x4)_n78(2A)(4x4)
 UL: DC_7A_n78A
 [12 (4+4+4) LTE &amp; 8 (4+4) NR layers]</t>
  </si>
  <si>
    <t>MTR-35097</t>
  </si>
  <si>
    <t>DC_1A(4x4)-7C(4x4)_n78(2A)(4x4)
 UL: DC_7C_n78A
 [12 (4+4+4) LTE &amp; 8 (4+4) NR layers]</t>
  </si>
  <si>
    <t>MTR-36712</t>
  </si>
  <si>
    <t>DC_1A(4x4)-7A(4x4)-8A(2x2)_n78(2A)(4x4)
 UL: DC_1A_n78A
 [10 (4+4+2) LTE &amp; 8 (4+4) NR layers]</t>
  </si>
  <si>
    <t>DC_1A-7A-8A_n78(2A)</t>
  </si>
  <si>
    <t>MTR-36713</t>
  </si>
  <si>
    <t>DC_1A(4x4)-7A(4x4)-8A(2x2)_n78(2A)(4x4)
 UL: DC_7A_n78A
 [10 (4+4+2) LTE &amp; 8 (4+4) NR layers]</t>
  </si>
  <si>
    <t>MTR-36714</t>
  </si>
  <si>
    <t>DC_1A(4x4)-7A(4x4)-8A(2x2)_n78(2A)(4x4)
 UL: DC_8A_n78A
 [10 (4+4+2) LTE &amp; 8 (4+4) NR layers]</t>
  </si>
  <si>
    <t>MTR-38783</t>
  </si>
  <si>
    <t>DC_1A(4x4)-7A(4x4)-20A(2x2)_n78(2A)(4x4)
 UL: DC_1A_n78A
 [10 (4+4+2) LTE &amp; 8 (4+4) NR layers]</t>
  </si>
  <si>
    <t>DC_1A-7A-20A_n78(2A)</t>
  </si>
  <si>
    <t>MTR-38784</t>
  </si>
  <si>
    <t>DC_1A(4x4)-7A(4x4)-20A(2x2)_n78(2A)(4x4)
 UL: DC_7A_n78A
 [10 (4+4+2) LTE &amp; 8 (4+4) NR layers]</t>
  </si>
  <si>
    <t>MTR-38785</t>
  </si>
  <si>
    <t>DC_1A(4x4)-7A(4x4)-20A(2x2)_n78(2A)(4x4)
 UL: DC_20A_n78A
 [10 (4+4+2) LTE &amp; 8 (4+4) NR layers]</t>
  </si>
  <si>
    <t>MTR-39391</t>
  </si>
  <si>
    <t>DC_1A(4x4)-7A(4x4)-28A(2x2)_n78(2A)(4x4)
 UL: DC_1A_n78A
 [10 (4+4+2) LTE &amp; 8 (4+4) NR layers]</t>
  </si>
  <si>
    <t>DC_1A-7A-28A_n78(2A)</t>
  </si>
  <si>
    <t>MTR-39392</t>
  </si>
  <si>
    <t>DC_1A(4x4)-7A(4x4)-28A(2x2)_n78(2A)(4x4)
 UL: DC_7A_n78A
 [10 (4+4+2) LTE &amp; 8 (4+4) NR layers]</t>
  </si>
  <si>
    <t>MTR-39393</t>
  </si>
  <si>
    <t>DC_1A(4x4)-7A(4x4)-28A(2x2)_n78(2A)(4x4)
 UL: DC_28A_n78A
 [10 (4+4+2) LTE &amp; 8 (4+4) NR layers]</t>
  </si>
  <si>
    <t>MTR-35098</t>
  </si>
  <si>
    <t>DC_3C(4x4)-7A(4x4)_n78(2A)(4x4)
 UL: DC_3A_n78A
 [12 (4+4+4) LTE &amp; 8 (4+4) NR layers]</t>
  </si>
  <si>
    <t>DC_3C-7A_n78(2A)</t>
  </si>
  <si>
    <t>MTR-35099</t>
  </si>
  <si>
    <t>DC_3C(4x4)-7A(4x4)_n78(2A)(4x4)
 UL: DC_3C_n78A
 [12 (4+4+4) LTE &amp; 8 (4+4) NR layers]</t>
  </si>
  <si>
    <t>MTR-35100</t>
  </si>
  <si>
    <t>DC_3C(4x4)-7A(4x4)_n78(2A)(4x4)
 UL: DC_7A_n78A
 [12 (4+4+4) LTE &amp; 8 (4+4) NR layers]</t>
  </si>
  <si>
    <t>MTR-39880</t>
  </si>
  <si>
    <t>DC_3C(4x4)-8A(2x2)_n78(2A)(4x4)
 UL: DC_3A_n78A
 [10 (4+4+2) LTE &amp; 8 (4+4) NR layers]</t>
  </si>
  <si>
    <t>DC_3C-8A_n78(2A)</t>
  </si>
  <si>
    <t>MTR-39881</t>
  </si>
  <si>
    <t>DC_3C(4x4)-8A(2x2)_n78(2A)(4x4)
 UL: DC_8A_n78A
 [10 (4+4+2) LTE &amp; 8 (4+4) NR layers]</t>
  </si>
  <si>
    <t>MTR-39702</t>
  </si>
  <si>
    <t>DC_3C(4x4)-28A(2x2)_n78(2A)(4x4)
 UL: DC_3A_n78A
 [10 (4+4+2) LTE &amp; 8 (4+4) NR layers]</t>
  </si>
  <si>
    <t>DC_3C-28A_n78(2A)</t>
  </si>
  <si>
    <t>MTR-39703</t>
  </si>
  <si>
    <t>DC_3C(4x4)-28A(2x2)_n78(2A)(4x4)
 UL: DC_28A_n78A
 [10 (4+4+2) LTE &amp; 8 (4+4) NR layers]</t>
  </si>
  <si>
    <t>MTR-37073</t>
  </si>
  <si>
    <t>DC_3A(4x4)-7A(4x4)-7A(4x4)_n78(2A)(4x4)
 UL: DC_3A_n78A
 [12 (4+4+4) LTE &amp; 8 (4+4) NR layers]</t>
  </si>
  <si>
    <t>DC_3A-7A-7A_n78(2A)</t>
  </si>
  <si>
    <t>MTR-37074</t>
  </si>
  <si>
    <t>DC_3A(4x4)-7A(4x4)-7A(4x4)_n78(2A)(4x4)
 UL: DC_7A_n78A
 [12 (4+4+4) LTE &amp; 8 (4+4) NR layers]</t>
  </si>
  <si>
    <t>MTR-35101</t>
  </si>
  <si>
    <t>DC_3A(4x4)-7C(4x4)_n78(2A)(4x4)
 UL: DC_3A_n78A
 [12 (4+4+4) LTE &amp; 8 (4+4) NR layers]</t>
  </si>
  <si>
    <t>DC_3A-7C_n78(2A)</t>
  </si>
  <si>
    <t>MTR-35102</t>
  </si>
  <si>
    <t>DC_3A(4x4)-7C(4x4)_n78(2A)(4x4)
 UL: DC_7A_n78A
 [12 (4+4+4) LTE &amp; 8 (4+4) NR layers]</t>
  </si>
  <si>
    <t>MTR-35103</t>
  </si>
  <si>
    <t>DC_3A(4x4)-7C(4x4)_n78(2A)(4x4)
 UL: DC_7C_n78A
 [12 (4+4+4) LTE &amp; 8 (4+4) NR layers]</t>
  </si>
  <si>
    <t>MTR-36715</t>
  </si>
  <si>
    <t>DC_3A(4x4)-7A(4x4)-8A(2x2)_n78(2A)(4x4)
 UL: DC_3A_n78A
 [10 (4+4+2) LTE &amp; 8 (4+4) NR layers]</t>
  </si>
  <si>
    <t>DC_3A-7A-8A_n78(2A)</t>
  </si>
  <si>
    <t>MTR-36716</t>
  </si>
  <si>
    <t>DC_3A(4x4)-7A(4x4)-8A(2x2)_n78(2A)(4x4)
 UL: DC_7A_n78A
 [10 (4+4+2) LTE &amp; 8 (4+4) NR layers]</t>
  </si>
  <si>
    <t>MTR-36717</t>
  </si>
  <si>
    <t>DC_3A(4x4)-7A(4x4)-8A(2x2)_n78(2A)(4x4)
 UL: DC_8A_n78A
 [10 (4+4+2) LTE &amp; 8 (4+4) NR layers]</t>
  </si>
  <si>
    <t>MTR-38788</t>
  </si>
  <si>
    <t>DC_3A(4x4)-7A(4x4)-20A(2x2)_n78(2A)(4x4)
 UL: DC_3A_n78A
 [10 (4+4+2) LTE &amp; 8 (4+4) NR layers]</t>
  </si>
  <si>
    <t>DC_3A-7A-20A_n78(2A)</t>
  </si>
  <si>
    <t>MTR-38789</t>
  </si>
  <si>
    <t>DC_3A(4x4)-7A(4x4)-20A(2x2)_n78(2A)(4x4)
 UL: DC_7A_n78A
 [10 (4+4+2) LTE &amp; 8 (4+4) NR layers]</t>
  </si>
  <si>
    <t>MTR-38790</t>
  </si>
  <si>
    <t>DC_3A(4x4)-7A(4x4)-20A(2x2)_n78(2A)(4x4)
 UL: DC_20A_n78A
 [10 (4+4+2) LTE &amp; 8 (4+4) NR layers]</t>
  </si>
  <si>
    <t>MTR-39394</t>
  </si>
  <si>
    <t>DC_3A(4x4)-7A(4x4)-28A(2x2)_n78(2A)(4x4)
 UL: DC_3A_n78A
 [10 (4+4+2) LTE &amp; 8 (4+4) NR layers]</t>
  </si>
  <si>
    <t>DC_3A-7A-28A_n78(2A)</t>
  </si>
  <si>
    <t>MTR-39395</t>
  </si>
  <si>
    <t>DC_3A(4x4)-7A(4x4)-28A(2x2)_n78(2A)(4x4)
 UL: DC_7A_n78A
 [10 (4+4+2) LTE &amp; 8 (4+4) NR layers]</t>
  </si>
  <si>
    <t>MTR-39396</t>
  </si>
  <si>
    <t>DC_3A(4x4)-7A(4x4)-28A(2x2)_n78(2A)(4x4)
 UL: DC_28A_n78A
 [10 (4+4+2) LTE &amp; 8 (4+4) NR layers]</t>
  </si>
  <si>
    <t>MTR-39524</t>
  </si>
  <si>
    <t>DC_7C(4x4)-28A(2x2)_n78(2A)(4x4)
 UL: DC_7A_n78A
 [10 (4+4+2) LTE &amp; 8 (4+4) NR layers]</t>
  </si>
  <si>
    <t>DC_7C-28A_n78(2A)</t>
  </si>
  <si>
    <t>MTR-39525</t>
  </si>
  <si>
    <t>DC_7C(4x4)-28A(2x2)_n78(2A)(4x4)
 UL: DC_7C_n78A
 [10 (4+4+2) LTE &amp; 8 (4+4) NR layers]</t>
  </si>
  <si>
    <t>MTR-39526</t>
  </si>
  <si>
    <t>DC_7C(4x4)-28A(2x2)_n78(2A)(4x4)
 UL: DC_28A_n78A
 [10 (4+4+2) LTE &amp; 8 (4+4) NR layers]</t>
  </si>
  <si>
    <t>MTR-39527</t>
  </si>
  <si>
    <t>MTR-39528</t>
  </si>
  <si>
    <t>MTR-35104</t>
  </si>
  <si>
    <t>DC_1A(4x4)-3C(4x4)-7A(4x4)_n78(2A)(4x4)
 UL: DC_1A_n78A
 [16 (4+4+4+4) LTE &amp; 8 (4+4) NR layers]</t>
  </si>
  <si>
    <t>DC_1A-3C-7A_n78(2A)</t>
  </si>
  <si>
    <t>MTR-35105</t>
  </si>
  <si>
    <t>DC_1A(4x4)-3C(4x4)-7A(4x4)_n78(2A)(4x4)
 UL: DC_3A_n78A
 [16 (4+4+4+4) LTE &amp; 8 (4+4) NR layers]</t>
  </si>
  <si>
    <t>MTR-35106</t>
  </si>
  <si>
    <t>DC_1A(4x4)-3C(4x4)-7A(4x4)_n78(2A)(4x4)
 UL: DC_3C_n78A
 [16 (4+4+4+4) LTE &amp; 8 (4+4) NR layers]</t>
  </si>
  <si>
    <t>MTR-35107</t>
  </si>
  <si>
    <t>DC_1A(4x4)-3C(4x4)-7A(4x4)_n78(2A)(4x4)
 UL: DC_7A_n78A
 [16 (4+4+4+4) LTE &amp; 8 (4+4) NR layers]</t>
  </si>
  <si>
    <t>MTR-39882</t>
  </si>
  <si>
    <t>DC_1A(4x4)-3C(4x4)-8A(2x2)_n78(2A)(4x4)
 UL: DC_1A_n78A
 [14 (4+4+4+2) LTE &amp; 8 (4+4) NR layers]</t>
  </si>
  <si>
    <t>DC_1A-3C-8A_n78(2A)</t>
  </si>
  <si>
    <t>MTR-39883</t>
  </si>
  <si>
    <t>DC_1A(4x4)-3C(4x4)-8A(2x2)_n78(2A)(4x4)
 UL: DC_3A_n78A
 [14 (4+4+4+2) LTE &amp; 8 (4+4) NR layers]</t>
  </si>
  <si>
    <t>MTR-39884</t>
  </si>
  <si>
    <t>DC_1A(4x4)-3C(4x4)-8A(2x2)_n78(2A)(4x4)
 UL: DC_8A_n78A
 [14 (4+4+4+2) LTE &amp; 8 (4+4) NR layers]</t>
  </si>
  <si>
    <t>MTR-39706</t>
  </si>
  <si>
    <t>DC_1A(4x4)-3C(4x4)-28A(2x2)_n78(2A)(4x4)
 UL: DC_1A_n78A
 [14 (4+4+4+2) LTE &amp; 8 (4+4) NR layers]</t>
  </si>
  <si>
    <t>DC_1A-3C-28A_n78(2A)</t>
  </si>
  <si>
    <t>MTR-39707</t>
  </si>
  <si>
    <t>DC_1A(4x4)-3C(4x4)-28A(2x2)_n78(2A)(4x4)
 UL: DC_3A_n78A
 [14 (4+4+4+2) LTE &amp; 8 (4+4) NR layers]</t>
  </si>
  <si>
    <t>MTR-39708</t>
  </si>
  <si>
    <t>DC_1A(4x4)-3C(4x4)-28A(2x2)_n78(2A)(4x4)
 UL: DC_28A_n78A
 [14 (4+4+4+2) LTE &amp; 8 (4+4) NR layers]</t>
  </si>
  <si>
    <t>MTR-37079</t>
  </si>
  <si>
    <t>DC_1A(4x4)-3A(4x4)-7A(4x4)-7A(4x4)_n78(2A)(4x4)
 UL: DC_1A_n78A
 [16 (4+4+4+4) LTE &amp; 8 (4+4) NR layers]</t>
  </si>
  <si>
    <t>DC_1A-3A-7A-7A_n78(2A)</t>
  </si>
  <si>
    <t>MTR-37080</t>
  </si>
  <si>
    <t>DC_1A(4x4)-3A(4x4)-7A(4x4)-7A(4x4)_n78(2A)(4x4)
 UL: DC_3A_n78A
 [16 (4+4+4+4) LTE &amp; 8 (4+4) NR layers]</t>
  </si>
  <si>
    <t>MTR-37081</t>
  </si>
  <si>
    <t>DC_1A(4x4)-3A(4x4)-7A(4x4)-7A(4x4)_n78(2A)(4x4)
 UL: DC_7A_n78A
 [16 (4+4+4+4) LTE &amp; 8 (4+4) NR layers]</t>
  </si>
  <si>
    <t>MTR-35112</t>
  </si>
  <si>
    <t>DC_1A(4x4)-3A(4x4)-7C(4x4)_n78(2A)(4x4)
 UL: DC_1A_n78A
 [16 (4+4+4+4) LTE &amp; 8 (4+4) NR layers]</t>
  </si>
  <si>
    <t>DC_1A-3A-7C_n78(2A)</t>
  </si>
  <si>
    <t>MTR-35113</t>
  </si>
  <si>
    <t>DC_1A(4x4)-3A(4x4)-7C(4x4)_n78(2A)(4x4)
 UL: DC_3A_n78A
 [16 (4+4+4+4) LTE &amp; 8 (4+4) NR layers]</t>
  </si>
  <si>
    <t>MTR-35114</t>
  </si>
  <si>
    <t>DC_1A(4x4)-3A(4x4)-7C(4x4)_n78(2A)(4x4)
 UL: DC_7A_n78A
 [16 (4+4+4+4) LTE &amp; 8 (4+4) NR layers]</t>
  </si>
  <si>
    <t>MTR-35115</t>
  </si>
  <si>
    <t>DC_1A(4x4)-3A(4x4)-7C(4x4)_n78(2A)(4x4)
 UL: DC_7C_n78A
 [16 (4+4+4+4) LTE &amp; 8 (4+4) NR layers]</t>
  </si>
  <si>
    <t>MTR-36718</t>
  </si>
  <si>
    <t>DC_1A(4x4)-3A(4x4)-7A(4x4)-8A(2x2)_n78(2A)(4x4)
 UL: DC_1A_n78A
 [14 (4+4+4+2) LTE &amp; 8 (4+4) NR layers]</t>
  </si>
  <si>
    <t>DC_1A-3A-7A-8A_n78(2A)</t>
  </si>
  <si>
    <t>MTR-36719</t>
  </si>
  <si>
    <t>DC_1A(4x4)-3A(4x4)-7A(4x4)-8A(2x2)_n78(2A)(4x4)
 UL: DC_3A_n78A
 [14 (4+4+4+2) LTE &amp; 8 (4+4) NR layers]</t>
  </si>
  <si>
    <t>MTR-36720</t>
  </si>
  <si>
    <t>DC_1A(4x4)-3A(4x4)-7A(4x4)-8A(2x2)_n78(2A)(4x4)
 UL: DC_7A_n78A
 [14 (4+4+4+2) LTE &amp; 8 (4+4) NR layers]</t>
  </si>
  <si>
    <t>MTR-36721</t>
  </si>
  <si>
    <t>DC_1A(4x4)-3A(4x4)-7A(4x4)-8A(2x2)_n78(2A)(4x4)
 UL: DC_8A_n78A
 [14 (4+4+4+2) LTE &amp; 8 (4+4) NR layers]</t>
  </si>
  <si>
    <t>MTR-37075</t>
  </si>
  <si>
    <t>DC_1A(4x4)-3A(4x4)-7A(4x4)-20A(2x2)_n78(2A)(4x4)
 UL: DC_1A_n78A
 [14 (4+4+4+2) LTE &amp; 8 (4+4) NR layers]</t>
  </si>
  <si>
    <t>DC_1A-3A-7A-20A_n78(2A)</t>
  </si>
  <si>
    <t>MTR-37076</t>
  </si>
  <si>
    <t>DC_1A(4x4)-3A(4x4)-7A(4x4)-20A(2x2)_n78(2A)(4x4)
 UL: DC_3A_n78A
 [14 (4+4+4+2) LTE &amp; 8 (4+4) NR layers]</t>
  </si>
  <si>
    <t>MTR-37077</t>
  </si>
  <si>
    <t>DC_1A(4x4)-3A(4x4)-7A(4x4)-20A(2x2)_n78(2A)(4x4)
 UL: DC_7A_n78A
 [14 (4+4+4+2) LTE &amp; 8 (4+4) NR layers]</t>
  </si>
  <si>
    <t>MTR-37078</t>
  </si>
  <si>
    <t>DC_1A(4x4)-3A(4x4)-7A(4x4)-20A(2x2)_n78(2A)(4x4)
 UL: DC_20A_n78A
 [14 (4+4+4+2) LTE &amp; 8 (4+4) NR layers]</t>
  </si>
  <si>
    <t>MTR-39397</t>
  </si>
  <si>
    <t>DC_1A(4x4)-3A(4x4)-7A(4x4)-28A(2x2)_n78(2A)(4x4)
 UL: DC_1A_n78A
 [14 (4+4+4+2) LTE &amp; 8 (4+4) NR layers]</t>
  </si>
  <si>
    <t>DC_1A-3A-7A-28A_n78(2A)</t>
  </si>
  <si>
    <t>MTR-39398</t>
  </si>
  <si>
    <t>DC_1A(4x4)-3A(4x4)-7A(4x4)-28A(2x2)_n78(2A)(4x4)
 UL: DC_3A_n78A
 [14 (4+4+4+2) LTE &amp; 8 (4+4) NR layers]</t>
  </si>
  <si>
    <t>MTR-39399</t>
  </si>
  <si>
    <t>DC_1A(4x4)-3A(4x4)-7A(4x4)-28A(2x2)_n78(2A)(4x4)
 UL: DC_7A_n78A
 [14 (4+4+4+2) LTE &amp; 8 (4+4) NR layers]</t>
  </si>
  <si>
    <t>MTR-39400</t>
  </si>
  <si>
    <t>DC_1A(4x4)-3A(4x4)-7A(4x4)-28A(2x2)_n78(2A)(4x4)
 UL: DC_28A_n78A
 [14 (4+4+4+2) LTE &amp; 8 (4+4) NR layers]</t>
  </si>
  <si>
    <t>MTR-39401</t>
  </si>
  <si>
    <t>DC_1A(4x4)-7C(4x4)-28A(2x2)_n78(2A)(4x4)
 UL: DC_1A_n78A
 [14 (4+4+4+2) LTE &amp; 8 (4+4) NR layers]</t>
  </si>
  <si>
    <t>DC_1A-7C-28A_n78(2A)</t>
  </si>
  <si>
    <t>MTR-39402</t>
  </si>
  <si>
    <t>DC_1A(4x4)-7C(4x4)-28A(2x2)_n78(2A)(4x4)
 UL: DC_7A_n78A
 [14 (4+4+4+2) LTE &amp; 8 (4+4) NR layers]</t>
  </si>
  <si>
    <t>MTR-39403</t>
  </si>
  <si>
    <t>DC_1A(4x4)-7C(4x4)-28A(2x2)_n78(2A)(4x4)
 UL: DC_28A_n78A
 [14 (4+4+4+2) LTE &amp; 8 (4+4) NR layers]</t>
  </si>
  <si>
    <t>MTR-35108</t>
  </si>
  <si>
    <t>DC_3C(4x4)-7C(4x4)_n78(2A)(4x4)
 UL: DC_3A_n78A
 [16 (4+4+4+4) LTE &amp; 8 (4+4) NR layers]</t>
  </si>
  <si>
    <t>DC_3C-7C_n78(2A)</t>
  </si>
  <si>
    <t>MTR-35109</t>
  </si>
  <si>
    <t>DC_3C(4x4)-7C(4x4)_n78(2A)(4x4)
 UL: DC_3C_n78A
 [16 (4+4+4+4) LTE &amp; 8 (4+4) NR layers]</t>
  </si>
  <si>
    <t>MTR-35110</t>
  </si>
  <si>
    <t>DC_3C(4x4)-7C(4x4)_n78(2A)(4x4)
 UL: DC_7A_n78A
 [16 (4+4+4+4) LTE &amp; 8 (4+4) NR layers]</t>
  </si>
  <si>
    <t>MTR-35111</t>
  </si>
  <si>
    <t>DC_3C(4x4)-7C(4x4)_n78(2A)(4x4)
 UL: DC_7C_n78A
 [16 (4+4+4+4) LTE &amp; 8 (4+4) NR layers]</t>
  </si>
  <si>
    <t>MTR-39709</t>
  </si>
  <si>
    <t>DC_3C(4x4)-7A(4x4)-28A(2x2)_n78(2A)(4x4)
 UL: DC_3A_n78A
 [14 (4+4+4+2) LTE &amp; 8 (4+4) NR layers]</t>
  </si>
  <si>
    <t>DC_3C-7A-28A_n78(2A)</t>
  </si>
  <si>
    <t>MTR-39710</t>
  </si>
  <si>
    <t>DC_3C(4x4)-7A(4x4)-28A(2x2)_n78(2A)(4x4)
 UL: DC_7A_n78A
 [14 (4+4+4+2) LTE &amp; 8 (4+4) NR layers]</t>
  </si>
  <si>
    <t>MTR-39711</t>
  </si>
  <si>
    <t>DC_3C(4x4)-7A(4x4)-28A(2x2)_n78(2A)(4x4)
 UL: DC_28A_n78A
 [14 (4+4+4+2) LTE &amp; 8 (4+4) NR layers]</t>
  </si>
  <si>
    <t>MTR-39404</t>
  </si>
  <si>
    <t>DC_3A(4x4)-7C(4x4)-28A(2x2)_n78(2A)(4x4)
 UL: DC_3A_n78A
 [14 (4+4+4+2) LTE &amp; 8 (4+4) NR layers]</t>
  </si>
  <si>
    <t>DC_3A-7C-28A_n78(2A)</t>
  </si>
  <si>
    <t>MTR-39405</t>
  </si>
  <si>
    <t>DC_3A(4x4)-7C(4x4)-28A(2x2)_n78(2A)(4x4)
 UL: DC_7A_n78A
 [14 (4+4+4+2) LTE &amp; 8 (4+4) NR layers]</t>
  </si>
  <si>
    <t>MTR-39406</t>
  </si>
  <si>
    <t>DC_3A(4x4)-7C(4x4)-28A(2x2)_n78(2A)(4x4)
 UL: DC_28A_n78A
 [14 (4+4+4+2) LTE &amp; 8 (4+4) NR layers]</t>
  </si>
  <si>
    <t>MTR-35116</t>
  </si>
  <si>
    <t>DC_1A(4x4)-3C(4x4)-7C(4x4)_n78(2A)(4x4)
 UL: DC_1A_n78A
 [20 (4+4+4+4+4) LTE &amp; 8 (4+4) NR layers]</t>
  </si>
  <si>
    <t>DC_1A-3C-7C_n78(2A)</t>
  </si>
  <si>
    <t>MTR-35117</t>
  </si>
  <si>
    <t>DC_1A(4x4)-3C(4x4)-7C(4x4)_n78(2A)(4x4)
 UL: DC_3A_n78A
 [20 (4+4+4+4+4) LTE &amp; 8 (4+4) NR layers]</t>
  </si>
  <si>
    <t>MTR-35118</t>
  </si>
  <si>
    <t>DC_1A(4x4)-3C(4x4)-7C(4x4)_n78(2A)(4x4)
 UL: DC_3C_n78A
 [20 (4+4+4+4+4) LTE &amp; 8 (4+4) NR layers]</t>
  </si>
  <si>
    <t>MTR-35119</t>
  </si>
  <si>
    <t>DC_1A(4x4)-3C(4x4)-7C(4x4)_n78(2A)(4x4)
 UL: DC_7A_n78A
 [20 (4+4+4+4+4) LTE &amp; 8 (4+4) NR layers]</t>
  </si>
  <si>
    <t>MTR-35120</t>
  </si>
  <si>
    <t>DC_1A(4x4)-3C(4x4)-7C(4x4)_n78(2A)(4x4)
 UL: DC_7C_n78A
 [20 (4+4+4+4+4) LTE &amp; 8 (4+4) NR layers]</t>
  </si>
  <si>
    <t>MTR-39712</t>
  </si>
  <si>
    <t>DC_1A(4x4)-3C(4x4)-7A(4x4)-28A(2x2)_n78(2A)(4x4)
 UL: DC_1A_n78A
 [18 (4+4+4+4+2) LTE &amp; 8 (4+4) NR layers]</t>
  </si>
  <si>
    <t>DC_1A-3C-7A-28A_n78(2A)</t>
  </si>
  <si>
    <t>MTR-39713</t>
  </si>
  <si>
    <t>DC_1A(4x4)-3C(4x4)-7A(4x4)-28A(2x2)_n78(2A)(4x4)
 UL: DC_3A_n78A
 [18 (4+4+4+4+2) LTE &amp; 8 (4+4) NR layers]</t>
  </si>
  <si>
    <t>MTR-39714</t>
  </si>
  <si>
    <t>DC_1A(4x4)-3C(4x4)-7A(4x4)-28A(2x2)_n78(2A)(4x4)
 UL: DC_7A_n78A
 [18 (4+4+4+4+2) LTE &amp; 8 (4+4) NR layers]</t>
  </si>
  <si>
    <t>MTR-39715</t>
  </si>
  <si>
    <t>DC_1A(4x4)-3C(4x4)-7A(4x4)-28A(2x2)_n78(2A)(4x4)
 UL: DC_28A_n78A
 [18 (4+4+4+4+2) LTE &amp; 8 (4+4) NR layers]</t>
  </si>
  <si>
    <t>MTR-39407</t>
  </si>
  <si>
    <t>DC_1A(4x4)-3A(4x4)-7C(4x4)-28A(2x2)_n78(2A)(4x4)
 UL: DC_1A_n78A
 [18 (4+4+4+4+2) LTE &amp; 8 (4+4) NR layers]</t>
  </si>
  <si>
    <t>DC_1A-3A-7C-28A_n78(2A)</t>
  </si>
  <si>
    <t>MTR-39408</t>
  </si>
  <si>
    <t>DC_1A(4x4)-3A(4x4)-7C(4x4)-28A(2x2)_n78(2A)(4x4)
 UL: DC_3A_n78A
 [18 (4+4+4+4+2) LTE &amp; 8 (4+4) NR layers]</t>
  </si>
  <si>
    <t>MTR-39409</t>
  </si>
  <si>
    <t>DC_1A(4x4)-3A(4x4)-7C(4x4)-28A(2x2)_n78(2A)(4x4)
 UL: DC_7A_n78A
 [18 (4+4+4+4+2) LTE &amp; 8 (4+4) NR layers]</t>
  </si>
  <si>
    <t>MTR-39410</t>
  </si>
  <si>
    <t>DC_1A(4x4)-3A(4x4)-7C(4x4)-28A(2x2)_n78(2A)(4x4)
 UL: DC_28A_n78A
 [18 (4+4+4+4+2) LTE &amp; 8 (4+4) NR layers]</t>
  </si>
  <si>
    <t>MTR-39716</t>
  </si>
  <si>
    <t>DC_3C(4x4)-7C(4x4)-28A(2x2)_n78(2A)(4x4)
 UL: DC_3A_n78A
 [18 (4+4+4+4+2) LTE &amp; 8 (4+4) NR layers]</t>
  </si>
  <si>
    <t>DC_3C-7C-28A_n78(2A)</t>
  </si>
  <si>
    <t>MTR-39717</t>
  </si>
  <si>
    <t>DC_3C(4x4)-7C(4x4)-28A(2x2)_n78(2A)(4x4)
 UL: DC_7A_n78A
 [18 (4+4+4+4+2) LTE &amp; 8 (4+4) NR layers]</t>
  </si>
  <si>
    <t>MTR-39718</t>
  </si>
  <si>
    <t>DC_3C(4x4)-7C(4x4)-28A(2x2)_n78(2A)(4x4)
 UL: DC_28A_n78A
 [18 (4+4+4+4+2) LTE &amp; 8 (4+4) NR layers]</t>
  </si>
  <si>
    <t>MTR-37268</t>
  </si>
  <si>
    <r>
      <rPr>
        <rFont val="Arial"/>
        <b/>
        <color theme="1"/>
        <sz val="10.0"/>
      </rPr>
      <t>2.5.2.10</t>
    </r>
    <r>
      <rPr>
        <rFont val="Arial"/>
        <b val="0"/>
        <color theme="1"/>
        <sz val="10.0"/>
      </rPr>
      <t xml:space="preserve"> </t>
    </r>
    <r>
      <rPr>
        <rFont val="Arial"/>
        <b/>
        <color theme="1"/>
        <sz val="10.0"/>
      </rPr>
      <t>EN-DC LTE CA + NR 3CA</t>
    </r>
  </si>
  <si>
    <t>Chipset</t>
  </si>
  <si>
    <t>MTR-39607</t>
  </si>
  <si>
    <r>
      <rPr>
        <rFont val="Arial"/>
        <b/>
        <color theme="1"/>
        <sz val="10.0"/>
      </rPr>
      <t>2.5.2.10.2</t>
    </r>
    <r>
      <rPr>
        <rFont val="Arial"/>
        <b val="0"/>
        <color theme="1"/>
        <sz val="10.0"/>
      </rPr>
      <t xml:space="preserve"> </t>
    </r>
    <r>
      <rPr>
        <rFont val="Arial"/>
        <b/>
        <color theme="1"/>
        <sz val="10.0"/>
      </rPr>
      <t>EN-DC with NR CA n1A-n28A-n75A</t>
    </r>
  </si>
  <si>
    <t>MTR-39885</t>
  </si>
  <si>
    <t>DC_20A(2x2)_n1A(4x4)-n28A(2x2)-n75A(4x4)
 UL: DC_20A_n1A
 [2 LTE &amp; 10 (4+2+4) NR layers]</t>
  </si>
  <si>
    <t>DC_20A_n1A-n28A-n75A</t>
  </si>
  <si>
    <t>n1A-n28A-n75A</t>
  </si>
  <si>
    <t>MTR-39886</t>
  </si>
  <si>
    <t>DC_20A(2x2)_n1A(4x4)-n28A(2x2)-n75A(4x4)
 UL: DC_20A_n28A
 [2 LTE &amp; 10 (4+2+4) NR layers]</t>
  </si>
  <si>
    <t>MTR-40034</t>
  </si>
  <si>
    <t>DC_3C(4x4)_n1A(4x4)-n28A(2x2)-n75A(4x4)
 UL: DC_3A_n1A
 [8 (4+4) LTE &amp; 10 (4+2+4) NR layers]</t>
  </si>
  <si>
    <t>DC_3C_n1A-n28A-n75A</t>
  </si>
  <si>
    <t>MTR-40035</t>
  </si>
  <si>
    <t>DC_3C(4x4)_n1A(4x4)-n28A(2x2)-n75A(4x4)
 UL: DC_3C_n1A
 [8 (4+4) LTE &amp; 10 (4+2+4) NR layers]</t>
  </si>
  <si>
    <t>MTR-40036</t>
  </si>
  <si>
    <t>DC_3C(4x4)_n1A(4x4)-n28A(2x2)-n75A(4x4)
 UL: DC_3A_n28A
 [8 (4+4) LTE &amp; 10 (4+2+4) NR layers]</t>
  </si>
  <si>
    <t>MTR-40037</t>
  </si>
  <si>
    <t>DC_3C(4x4)_n1A(4x4)-n28A(2x2)-n75A(4x4)
 UL: DC_3C_n28A
 [8 (4+4) LTE &amp; 10 (4+2+4) NR layers]</t>
  </si>
  <si>
    <t>MTR-40038</t>
  </si>
  <si>
    <t>DC_3C(4x4)-20A(2x2)_n1A(4x4)-n28A(2x2)-n75A(4x4)
 UL: DC_3A_n1A
 [10 (4+4+2) LTE &amp; 10 (4+2+4) NR layers]</t>
  </si>
  <si>
    <t>DC_3C-20A_n1A-n28A-n75A</t>
  </si>
  <si>
    <t>MTR-40039</t>
  </si>
  <si>
    <t>DC_3C(4x4)-20A(2x2)_n1A(4x4)-n28A(2x2)-n75A(4x4)
 UL: DC_3C_n1A
 [10 (4+4+2) LTE &amp; 10 (4+2+4) NR layers]</t>
  </si>
  <si>
    <t>MTR-40040</t>
  </si>
  <si>
    <t>DC_3C(4x4)-20A(2x2)_n1A(4x4)-n28A(2x2)-n75A(4x4)
 UL: DC_20A_n1A
 [10 (4+4+2) LTE &amp; 10 (4+2+4) NR layers]</t>
  </si>
  <si>
    <t>MTR-40041</t>
  </si>
  <si>
    <t>DC_3C(4x4)-20A(2x2)_n1A(4x4)-n28A(2x2)-n75A(4x4)
 UL: DC_3A_n28A
 [10 (4+4+2) LTE &amp; 10 (4+2+4) NR layers]</t>
  </si>
  <si>
    <t>MTR-40042</t>
  </si>
  <si>
    <t>DC_3C(4x4)-20A(2x2)_n1A(4x4)-n28A(2x2)-n75A(4x4)
 UL: DC_3C_n28A
 [10 (4+4+2) LTE &amp; 10 (4+2+4) NR layers]</t>
  </si>
  <si>
    <t>MTR-40043</t>
  </si>
  <si>
    <t>DC_3C(4x4)-20A(2x2)_n1A(4x4)-n28A(2x2)-n75A(4x4)
 UL: DC_20A_n28A
 [10 (4+4+2) LTE &amp; 10 (4+2+4) NR layers]</t>
  </si>
  <si>
    <t>MTR-39608</t>
  </si>
  <si>
    <r>
      <rPr>
        <rFont val="Arial"/>
        <b/>
        <color theme="1"/>
        <sz val="10.0"/>
      </rPr>
      <t>2.5.2.10.3</t>
    </r>
    <r>
      <rPr>
        <rFont val="Arial"/>
        <b val="0"/>
        <color theme="1"/>
        <sz val="10.0"/>
      </rPr>
      <t xml:space="preserve"> </t>
    </r>
    <r>
      <rPr>
        <rFont val="Arial"/>
        <b/>
        <color theme="1"/>
        <sz val="10.0"/>
      </rPr>
      <t>EN-DC with NR CA n1A-n75A-n78A</t>
    </r>
  </si>
  <si>
    <t>MTR-40044</t>
  </si>
  <si>
    <t>DC_7A(4x4)_n1A(4x4)-n75A(4x4)-n78A(4x4)
 UL: DC_7A_n1A
 [4 LTE &amp; 12 (4+4+4) NR layers]</t>
  </si>
  <si>
    <t>DC_7A_n1A-n75A-n78A</t>
  </si>
  <si>
    <t>n1A-n75A-n78A</t>
  </si>
  <si>
    <t>MTR-40045</t>
  </si>
  <si>
    <t>DC_7A(4x4)_n1A(4x4)-n75A(4x4)-n78A(4x4)
 UL: DC_7A_n78A
 [4 LTE &amp; 12 (4+4+4) NR layers]</t>
  </si>
  <si>
    <t>MTR-40050</t>
  </si>
  <si>
    <t>DC_3C(4x4)_n1A(4x4)-n75A(4x4)-n78A(4x4)
 UL: DC_3A_n1A
 [8 (4+4) LTE &amp; 12 (4+4+4) NR layers]</t>
  </si>
  <si>
    <t>DC_3C_n1A-n75A-n78A</t>
  </si>
  <si>
    <t>MTR-40051</t>
  </si>
  <si>
    <t>DC_3C(4x4)_n1A(4x4)-n75A(4x4)-n78A(4x4)
 UL: DC_3C_n1A
 [8 (4+4) LTE &amp; 12 (4+4+4) NR layers]</t>
  </si>
  <si>
    <t>MTR-40052</t>
  </si>
  <si>
    <t>DC_3C(4x4)_n1A(4x4)-n75A(4x4)-n78A(4x4)
 UL: DC_3A_n78A
 [8 (4+4) LTE &amp; 12 (4+4+4) NR layers]</t>
  </si>
  <si>
    <t>MTR-40053</t>
  </si>
  <si>
    <t>DC_3C(4x4)_n1A(4x4)-n75A(4x4)-n78A(4x4)
 UL: DC_3C_n78A
 [8 (4+4) LTE &amp; 12 (4+4+4) NR layers]</t>
  </si>
  <si>
    <t>MTR-40046</t>
  </si>
  <si>
    <t>DC_3A(4x4)-7A(4x4)_n1A(4x4)-n75A(4x4)-n78A(4x4)
 UL: DC_3A_n1A
 [8 (4+4) LTE &amp; 12 (4+4+4) NR layers]</t>
  </si>
  <si>
    <t>DC_3A-7A_n1A-n75A-n78A</t>
  </si>
  <si>
    <t>MTR-40047</t>
  </si>
  <si>
    <t>DC_3A(4x4)-7A(4x4)_n1A(4x4)-n75A(4x4)-n78A(4x4)
 UL: DC_7A_n1A
 [8 (4+4) LTE &amp; 12 (4+4+4) NR layers]</t>
  </si>
  <si>
    <t>MTR-40048</t>
  </si>
  <si>
    <t>DC_3A(4x4)-7A(4x4)_n1A(4x4)-n75A(4x4)-n78A(4x4)
 UL: DC_3A_n78A
 [8 (4+4) LTE &amp; 12 (4+4+4) NR layers]</t>
  </si>
  <si>
    <t>MTR-40049</t>
  </si>
  <si>
    <t>DC_3A(4x4)-7A(4x4)_n1A(4x4)-n75A(4x4)-n78A(4x4)
 UL: DC_7A_n78A
 [8 (4+4) LTE &amp; 12 (4+4+4) NR layers]</t>
  </si>
  <si>
    <t>MTR-40054</t>
  </si>
  <si>
    <t>DC_3C(4x4)-7A(4x4)_n1A(4x4)-n75A(4x4)-n78A(4x4)
 UL: DC_3A_n1A
 [12 (4+4+4) LTE &amp; 12 (4+4+4) NR layers]</t>
  </si>
  <si>
    <t>DC_3C-7A_n1A-n75A-n78A</t>
  </si>
  <si>
    <t>MTR-40055</t>
  </si>
  <si>
    <t>DC_3C(4x4)-7A(4x4)_n1A(4x4)-n75A(4x4)-n78A(4x4)
 UL: DC_3C_n1A
 [12 (4+4+4) LTE &amp; 12 (4+4+4) NR layers]</t>
  </si>
  <si>
    <t>MTR-40056</t>
  </si>
  <si>
    <t>DC_3C(4x4)-7A(4x4)_n1A(4x4)-n75A(4x4)-n78A(4x4)
 UL: DC_7A_n1A
 [12 (4+4+4) LTE &amp; 12 (4+4+4) NR layers]</t>
  </si>
  <si>
    <t>MTR-40057</t>
  </si>
  <si>
    <t>DC_3C(4x4)-7A(4x4)_n1A(4x4)-n75A(4x4)-n78A(4x4)
 UL: DC_3A_n78A
 [12 (4+4+4) LTE &amp; 12 (4+4+4) NR layers]</t>
  </si>
  <si>
    <t>MTR-40058</t>
  </si>
  <si>
    <t>DC_3C(4x4)-7A(4x4)_n1A(4x4)-n75A(4x4)-n78A(4x4)
 UL: DC_3C_n78A
 [12 (4+4+4) LTE &amp; 12 (4+4+4) NR layers]</t>
  </si>
  <si>
    <t>MTR-40059</t>
  </si>
  <si>
    <t>DC_3C(4x4)-7A(4x4)_n1A(4x4)-n75A(4x4)-n78A(4x4)
 UL: DC_7A_n78A
 [12 (4+4+4) LTE &amp; 12 (4+4+4) NR layers]</t>
  </si>
  <si>
    <t>NR-CA UL Configuration</t>
  </si>
  <si>
    <r>
      <rPr>
        <rFont val="Arial"/>
        <b/>
        <color theme="1"/>
        <sz val="10.0"/>
      </rPr>
      <t>2.5.3</t>
    </r>
    <r>
      <rPr>
        <rFont val="Arial"/>
        <b val="0"/>
        <color theme="1"/>
        <sz val="10.0"/>
      </rPr>
      <t xml:space="preserve"> </t>
    </r>
    <r>
      <rPr>
        <rFont val="Arial"/>
        <b/>
        <color theme="1"/>
        <sz val="10.0"/>
      </rPr>
      <t>NR-CA Combinations (SA)</t>
    </r>
  </si>
  <si>
    <r>
      <rPr>
        <rFont val="Arial"/>
        <b/>
        <color theme="1"/>
        <sz val="10.0"/>
      </rPr>
      <t>2.5.3.1</t>
    </r>
    <r>
      <rPr>
        <rFont val="Arial"/>
        <b val="0"/>
        <color theme="1"/>
        <sz val="10.0"/>
      </rPr>
      <t xml:space="preserve"> </t>
    </r>
    <r>
      <rPr>
        <rFont val="Arial"/>
        <b/>
        <color theme="1"/>
        <sz val="10.0"/>
      </rPr>
      <t>NR-CA Combination Overview</t>
    </r>
  </si>
  <si>
    <t>NR-CA</t>
  </si>
  <si>
    <t>MTR-39954</t>
  </si>
  <si>
    <r>
      <rPr>
        <rFont val="Arial"/>
        <b/>
        <color theme="1"/>
        <sz val="10.0"/>
      </rPr>
      <t>The OEM confirms that the compliance statements for the NR-CA band combinations are answered according to the following rules.</t>
    </r>
    <r>
      <rPr>
        <rFont val="Arial"/>
        <b val="0"/>
        <color theme="1"/>
        <sz val="10.0"/>
      </rPr>
      <t xml:space="preserve">
</t>
    </r>
    <r>
      <rPr>
        <rFont val="Arial"/>
        <b/>
        <color theme="1"/>
        <sz val="10.0"/>
      </rPr>
      <t>Complies:</t>
    </r>
    <r>
      <rPr>
        <rFont val="Arial"/>
        <b val="0"/>
        <color theme="1"/>
        <sz val="10.0"/>
      </rPr>
      <t xml:space="preserve"> The NR-CA combination is fully supported as defined (incl. all stated bands/layers/bandwidth/MIMO modes).
</t>
    </r>
    <r>
      <rPr>
        <rFont val="Arial"/>
        <b/>
        <color theme="1"/>
        <sz val="10.0"/>
      </rPr>
      <t>Partially complies:</t>
    </r>
    <r>
      <rPr>
        <rFont val="Arial"/>
        <b val="0"/>
        <color theme="1"/>
        <sz val="10.0"/>
      </rPr>
      <t xml:space="preserve"> The NR-CA combination is supported in principle (bands) but not with the full layer, bandwidth or MIMO support as defined in the requirement.
In case of only partial compliance please list in "Comments vendor" the supported options regarding bandwidth and MIMO layers (multiple entries possible).
Example e.g. in case of limited support of CA_n1A(4x4)-n3A(4x4)-n78A(4x4):
 n1A/20MHz/4x4-n3A/20MHz/2x2-n78A/100MHz/4x4
 n1A/40MHz/2x2-n3A/20MHz/2x2-n78A/100MHz/4x4
If full support is not possible, the supported variants should cover at least as much of the Telekom essential requirements as possible and match the overall required bandwidths of the targeted concept class/datarate class as closely as possible.
The band individual essential requirements are:
 - n1, n3, n75: 30MHz(4x4)
 - n7: 40MHz(4x4)
 - n28: 30MHz(2x2)
 - n78: 100MHz(4x4)
 - n78C/(2A): 140MHz(4x4)
</t>
    </r>
    <r>
      <rPr>
        <rFont val="Arial"/>
        <b/>
        <color theme="1"/>
        <sz val="10.0"/>
      </rPr>
      <t>Does not comply:</t>
    </r>
    <r>
      <rPr>
        <rFont val="Arial"/>
        <b val="0"/>
        <color theme="1"/>
        <sz val="10.0"/>
      </rPr>
      <t xml:space="preserve"> The EN-DC combination as such (regarding the bands) is not supported at all. Please indicate the reason for the limitation in the "Comments vendor" field.</t>
    </r>
  </si>
  <si>
    <t>1000/200 Mbps, 1200/225 Mbps, 1600/225 Mbps, 2000/225 Mbps, 5G SA</t>
  </si>
  <si>
    <t>FR Created to enable all the BCS</t>
  </si>
  <si>
    <t>MTR-37271</t>
  </si>
  <si>
    <r>
      <rPr>
        <rFont val="Arial"/>
        <b/>
        <color theme="1"/>
        <sz val="10.0"/>
      </rPr>
      <t>2.5.3.2</t>
    </r>
    <r>
      <rPr>
        <rFont val="Arial"/>
        <b val="0"/>
        <color theme="1"/>
        <sz val="10.0"/>
      </rPr>
      <t xml:space="preserve"> </t>
    </r>
    <r>
      <rPr>
        <rFont val="Arial"/>
        <b/>
        <color theme="1"/>
        <sz val="10.0"/>
      </rPr>
      <t>NR-CA with 2 carriers</t>
    </r>
  </si>
  <si>
    <t>MTR-39914</t>
  </si>
  <si>
    <t>CA_n1(2A)(4x4)  BCS: 0
 UL: n1A
 [8 layers, 1 band, 2 DL carriers, 1 UL carrier, 40 MHz max.]</t>
  </si>
  <si>
    <t>CA_n1(2A)</t>
  </si>
  <si>
    <t>Combo not supported</t>
  </si>
  <si>
    <t>MTR-39915</t>
  </si>
  <si>
    <t>CA_n1(2A)(4x4)  BCS: 4 and 5
 UL: n1A
 [8 layers, 1 band, 2 DL carriers, 1 UL carrier, 55 MHz max.]</t>
  </si>
  <si>
    <t>MTR-37272</t>
  </si>
  <si>
    <t>CA_n1A(4x4)-n3A(4x4)  BCS: 0
 UL: n1A, n3A
 [8 layers, 2 bands, 2 DL carriers, 1 UL carrier, 20+30=50 MHz max.]</t>
  </si>
  <si>
    <t>n1A, n3A</t>
  </si>
  <si>
    <t>CA_n1A-n3A</t>
  </si>
  <si>
    <t xml:space="preserve">SA disabled.
</t>
  </si>
  <si>
    <t>MTR-37273</t>
  </si>
  <si>
    <t>CA_n1A(4x4)-n3A(4x4)  BCS: 0
 UL: CA_n1A-n3A
 [8 layers, 2 bands, 2 DL carriers, 2 UL carriers, 20+30=50 MHz max.]</t>
  </si>
  <si>
    <t xml:space="preserve">SA disabled.
UL CA: Support for inter-band UL-CA FDD + TDD only 
</t>
  </si>
  <si>
    <t>MTR-37274</t>
  </si>
  <si>
    <t>CA_n1A(4x4)-n3A(4x4)  BCS: 1
 UL: n1A, n3A
 [8 layers, 2 bands, 2 DL carriers, 1 UL carrier, 50+40=90 MHz max.]</t>
  </si>
  <si>
    <t>MTR-37275</t>
  </si>
  <si>
    <t>CA_n1A(4x4)-n3A(4x4)  BCS: 1
 UL: CA_n1A-n3A
 [8 layers, 2 bands, 2 DL carriers, 2 UL carriers, 50+40=90 MHz max.]</t>
  </si>
  <si>
    <t>MTR-39635</t>
  </si>
  <si>
    <t>CA_n1A(4x4)-n3A(4x4)  BCS: 2
 UL: n1A, n3A
 [8 layers, 2 bands, 2 DL carriers, 1 UL carrier, 20+40=60 MHz max.]</t>
  </si>
  <si>
    <t xml:space="preserve">SA disabled.
BSC not matching, BSC (0:1) 
</t>
  </si>
  <si>
    <t>MTR-39636</t>
  </si>
  <si>
    <t>CA_n1A(4x4)-n3A(4x4)  BCS: 2
 UL: CA_n1A-n3A
 [8 layers, 2 bands, 2 DL carriers, 2 UL carriers, 20+40=60 MHz max.]</t>
  </si>
  <si>
    <t xml:space="preserve">SA disabled.
UL CA: Support for inter-band UL-CA FDD + TDD only 
BSC not matching, BSC (0:1) 
</t>
  </si>
  <si>
    <t>MTR-39637</t>
  </si>
  <si>
    <t>CA_n1A(4x4)-n3A(4x4)  BCS: 4 and 5
 UL: n1A, n3A
 [8 layers, 2 bands, 2 DL carriers, 1 UL carrier, 50+50=100 MHz max.]</t>
  </si>
  <si>
    <t>MTR-39638</t>
  </si>
  <si>
    <t>CA_n1A(4x4)-n3A(4x4)  BCS: 4 and 5
 UL: CA_n1A-n3A
 [8 layers, 2 bands, 2 DL carriers, 2 UL carriers, 50+50=100 MHz max.]</t>
  </si>
  <si>
    <t>MTR-37276</t>
  </si>
  <si>
    <t>CA_n1A(4x4)-n7A(4x4)  BCS: 0
 UL: n1A, n7A
 [8 layers, 2 bands, 2 DL carriers, 1 UL carrier, 20+50=70 MHz max.]</t>
  </si>
  <si>
    <t>n1A, n7A</t>
  </si>
  <si>
    <t>CA_n1A-n7A</t>
  </si>
  <si>
    <t xml:space="preserve">SA disabled.
MIMO not matching ['(4-2)'] 
</t>
  </si>
  <si>
    <t>MTR-37277</t>
  </si>
  <si>
    <t>CA_n1A(4x4)-n7A(4x4)  BCS: 0
 UL: CA_n1A-n7A
 [8 layers, 2 bands, 2 DL carriers, 2 UL carriers, 20+50=70 MHz max.]</t>
  </si>
  <si>
    <t xml:space="preserve">SA disabled.
UL CA: Support for inter-band UL-CA FDD + TDD only 
MIMO not matching ['(4-2)'] 
</t>
  </si>
  <si>
    <t>MTR-37278</t>
  </si>
  <si>
    <t>CA_n1A(4x4)-n7A(4x4)  BCS: 1
 UL: n1A, n7A
 [8 layers, 2 bands, 2 DL carriers, 1 UL carrier, 50+50=100 MHz max.]</t>
  </si>
  <si>
    <t>MTR-37279</t>
  </si>
  <si>
    <t>CA_n1A(4x4)-n7A(4x4)  BCS: 1
 UL: CA_n1A-n7A
 [8 layers, 2 bands, 2 DL carriers, 2 UL carriers, 50+50=100 MHz max.]</t>
  </si>
  <si>
    <t>MTR-39639</t>
  </si>
  <si>
    <t>CA_n1A(4x4)-n7A(4x4)  BCS: 4 and 5
 UL: n1A, n7A
 [8 layers, 2 bands, 2 DL carriers, 1 UL carrier, 50+50=100 MHz max.]</t>
  </si>
  <si>
    <t xml:space="preserve">SA disabled.
MIMO not matching ['(4-2)'] 
BSC not matching, BSC (0:1) 
</t>
  </si>
  <si>
    <t>MTR-39640</t>
  </si>
  <si>
    <t>CA_n1A(4x4)-n7A(4x4)  BCS: 4 and 5
 UL: CA_n1A-n7A
 [8 layers, 2 bands, 2 DL carriers, 2 UL carriers, 50+50=100 MHz max.]</t>
  </si>
  <si>
    <t xml:space="preserve">SA disabled.
UL CA: Support for inter-band UL-CA FDD + TDD only 
MIMO not matching ['(4-2)'] 
BSC not matching, BSC (0:1) 
</t>
  </si>
  <si>
    <t>MTR-37280</t>
  </si>
  <si>
    <t>CA_n1A(4x4)-n8A(2x2)  BCS: 0
 UL: n1A, n8A
 [6 layers, 2 bands, 2 DL carriers, 1 UL carrier, 20+20=40 MHz max.]</t>
  </si>
  <si>
    <t>n1A, n8A</t>
  </si>
  <si>
    <t>CA_n1A-n8A</t>
  </si>
  <si>
    <t>MTR-37281</t>
  </si>
  <si>
    <t>CA_n1A(4x4)-n8A(2x2)  BCS: 0
 UL: CA_n1A-n8A
 [6 layers, 2 bands, 2 DL carriers, 2 UL carriers, 20+20=40 MHz max.]</t>
  </si>
  <si>
    <t>MTR-38572</t>
  </si>
  <si>
    <t>CA_n1A(4x4)-n8A(2x2)  BCS: 1
 UL: n1A, n8A
 [6 layers, 2 bands, 2 DL carriers, 1 UL carrier, 40+20=60 MHz max.]</t>
  </si>
  <si>
    <t>MTR-38573</t>
  </si>
  <si>
    <t>CA_n1A(4x4)-n8A(2x2)  BCS: 1
 UL: CA_n1A-n8A
 [6 layers, 2 bands, 2 DL carriers, 2 UL carriers, 40+20=60 MHz max.]</t>
  </si>
  <si>
    <t>MTR-37282</t>
  </si>
  <si>
    <t>CA_n1A(4x4)-n20A(2x2)  BCS: 0
 UL: n1A, n20A
 [6 layers, 2 bands, 2 DL carriers, 1 UL carrier, 50+20=70 MHz max.]</t>
  </si>
  <si>
    <t>n1A, n20A</t>
  </si>
  <si>
    <t>CA_n1A-n20A</t>
  </si>
  <si>
    <t>MTR-38574</t>
  </si>
  <si>
    <t>CA_n1A(4x4)-n20A(2x2)  BCS: 0
 UL: CA_n1A-n20A
 [6 layers, 2 bands, 2 DL carriers, 2 UL carriers, 50+20=70 MHz max.]</t>
  </si>
  <si>
    <t>MTR-40068</t>
  </si>
  <si>
    <t>CA_n1A(4x4)-n20A(2x2)  BCS: 4 and 5
 UL: n1A, n20A
 [6 layers, 2 bands, 2 DL carriers, 1 UL carrier, 50+20=70 MHz max.]</t>
  </si>
  <si>
    <t xml:space="preserve">SA disabled.
BSC not matching, BSC (0) 
</t>
  </si>
  <si>
    <t>MTR-40069</t>
  </si>
  <si>
    <t>CA_n1A(4x4)-n20A(2x2)  BCS: 4 and 5
 UL: CA_n1A-n20A
 [6 layers, 2 bands, 2 DL carriers, 2 UL carriers, 50+20=70 MHz max.]</t>
  </si>
  <si>
    <t xml:space="preserve">SA disabled.
UL CA: Support for inter-band UL-CA FDD + TDD only 
BSC not matching, BSC (0) 
</t>
  </si>
  <si>
    <t>MTR-37283</t>
  </si>
  <si>
    <t>CA_n1A(4x4)-n28A(2x2)  BCS: 0
 UL: n1A, n28A
 [6 layers, 2 bands, 2 DL carriers, 1 UL carrier, 20+20=40 MHz max.]</t>
  </si>
  <si>
    <t>n1A, n28A</t>
  </si>
  <si>
    <t>CA_n1A-n28A</t>
  </si>
  <si>
    <t>MTR-37284</t>
  </si>
  <si>
    <t>CA_n1A(4x4)-n28A(2x2)  BCS: 0
 UL: CA_n1A-n28A
 [6 layers, 2 bands, 2 DL carriers, 2 UL carriers, 20+20=40 MHz max.]</t>
  </si>
  <si>
    <t>MTR-38575</t>
  </si>
  <si>
    <t>CA_n1A(4x4)-n28A(2x2)  BCS: 1
 UL: n1A, n28A
 [6 layers, 2 bands, 2 DL carriers, 1 UL carrier, 50+30=80 MHz max.]</t>
  </si>
  <si>
    <t>MTR-38576</t>
  </si>
  <si>
    <t>CA_n1A(4x4)-n28A(2x2)  BCS: 1
 UL: CA_n1A-n28A
 [6 layers, 2 bands, 2 DL carriers, 2 UL carriers, 50+30=80 MHz max.]</t>
  </si>
  <si>
    <t>MTR-39641</t>
  </si>
  <si>
    <t>CA_n1A(4x4)-n75A(4x4)  BCS: 0
 UL: n1A
 [8 layers, 2 bands, 2 DL carriers, 1 UL carrier, 50+50=100 MHz max.]</t>
  </si>
  <si>
    <t>CA_n1A-n75A</t>
  </si>
  <si>
    <t>MTR-39642</t>
  </si>
  <si>
    <t>CA_n1A(4x4)-n75A(4x4)  BCS: 4 and 5
 UL: n1A
 [8 layers, 2 bands, 2 DL carriers, 1 UL carrier, 50+50=100 MHz max.]</t>
  </si>
  <si>
    <t>MTR-37285</t>
  </si>
  <si>
    <t>CA_n1A(4x4)-n78A(4x4)  BCS: 0
 UL: n1A, n78A
 [8 layers, 2 bands, 2 DL carriers, 1 UL carrier, 20+100=120 MHz max.]</t>
  </si>
  <si>
    <t>n1A, n78A</t>
  </si>
  <si>
    <t>CA_n1A-n78A</t>
  </si>
  <si>
    <t>MTR-37286</t>
  </si>
  <si>
    <t>CA_n1A(4x4)-n78A(4x4)  BCS: 0
 UL: CA_n1A-n78A
 [8 layers, 2 bands, 2 DL carriers, 2 UL carriers, 20+100=120 MHz max.]</t>
  </si>
  <si>
    <t>MTR-37287</t>
  </si>
  <si>
    <t>CA_n1A(4x4)-n78A(4x4)  BCS: 1
 UL: n1A, n78A
 [8 layers, 2 bands, 2 DL carriers, 1 UL carrier, 50+100=150 MHz max.]</t>
  </si>
  <si>
    <t>MTR-37288</t>
  </si>
  <si>
    <t>CA_n1A(4x4)-n78A(4x4)  BCS: 1
 UL: CA_n1A-n78A
 [8 layers, 2 bands, 2 DL carriers, 2 UL carriers, 50+100=150 MHz max.]</t>
  </si>
  <si>
    <t>MTR-37289</t>
  </si>
  <si>
    <t>CA_n1A(4x4)-n78A(4x4)  BCS: 2
 UL: n1A, n78A
 [8 layers, 2 bands, 2 DL carriers, 1 UL carrier, 40+100=140 MHz max.]</t>
  </si>
  <si>
    <t>MTR-37290</t>
  </si>
  <si>
    <t>CA_n1A(4x4)-n78A(4x4)  BCS: 2
 UL: CA_n1A-n78A
 [8 layers, 2 bands, 2 DL carriers, 2 UL carriers, 40+100=140 MHz max.]</t>
  </si>
  <si>
    <t>MTR-37291</t>
  </si>
  <si>
    <t>CA_n1A(4x4)-n78A(4x4)  BCS: 3
 UL: n1A, n78A
 [8 layers, 2 bands, 2 DL carriers, 1 UL carrier, 20+100=120 MHz max.]</t>
  </si>
  <si>
    <t>MTR-37292</t>
  </si>
  <si>
    <t>CA_n1A(4x4)-n78A(4x4)  BCS: 3
 UL: CA_n1A-n78A
 [8 layers, 2 bands, 2 DL carriers, 2 UL carriers, 20+100=120 MHz max.]</t>
  </si>
  <si>
    <t>MTR-39643</t>
  </si>
  <si>
    <t>CA_n1A(4x4)-n78A(4x4)  BCS: 4 and 5
 UL: n1A, n78A
 [8 layers, 2 bands, 2 DL carriers, 1 UL carrier, 50+100=150 MHz max.]</t>
  </si>
  <si>
    <t xml:space="preserve">SA disabled.
BSC not matching, BSC (0:1:2:3) 
</t>
  </si>
  <si>
    <t>MTR-39644</t>
  </si>
  <si>
    <t>CA_n1A(4x4)-n78A(4x4)  BCS: 4 and 5
 UL: CA_n1A-n78A
 [8 layers, 2 bands, 2 DL carriers, 2 UL carriers, 50+100=150 MHz max.]</t>
  </si>
  <si>
    <t xml:space="preserve">SA disabled.
UL CA: Support for inter-band UL-CA FDD + TDD only 
BSC not matching, BSC (0:1:2:3) 
</t>
  </si>
  <si>
    <t>MTR-39916</t>
  </si>
  <si>
    <t>CA_n3(2A)(4x4)  BCS: 0
 UL: n3A
 [8 layers, 1 band, 2 DL carriers, 1 UL carrier, 40 MHz max.]</t>
  </si>
  <si>
    <t>CA_n3(2A)</t>
  </si>
  <si>
    <t>MTR-39918</t>
  </si>
  <si>
    <t>CA_n3(2A)(4x4)  BCS: 1
 UL: n3A
 [8 layers, 1 band, 2 DL carriers, 1 UL carrier, 60 MHz max.]</t>
  </si>
  <si>
    <t>MTR-39917</t>
  </si>
  <si>
    <t>CA_n3(2A)(4x4)  BCS: 4 and 5
 UL: n3A
 [8 layers, 1 band, 2 DL carriers, 1 UL carrier, 70 MHz max.]</t>
  </si>
  <si>
    <t>MTR-37293</t>
  </si>
  <si>
    <t>CA_n3A(4x4)-n7A(4x4)  BCS: 0
 UL: n3A, n7A
 [8 layers, 2 bands, 2 DL carriers, 1 UL carrier, 30+50=80 MHz max.]</t>
  </si>
  <si>
    <t>n3A, n7A</t>
  </si>
  <si>
    <t>CA_n3A-n7A</t>
  </si>
  <si>
    <t>MTR-37294</t>
  </si>
  <si>
    <t>CA_n3A(4x4)-n7A(4x4)  BCS: 0
 UL: CA_n3A-n7A
 [8 layers, 2 bands, 2 DL carriers, 2 UL carriers, 30+50=80 MHz max.]</t>
  </si>
  <si>
    <t>MTR-37295</t>
  </si>
  <si>
    <t>CA_n3A(4x4)-n7A(4x4)  BCS: 1
 UL: n3A, n7A
 [8 layers, 2 bands, 2 DL carriers, 1 UL carrier, 40+50=90 MHz max.]</t>
  </si>
  <si>
    <t>MTR-37296</t>
  </si>
  <si>
    <t>CA_n3A(4x4)-n7A(4x4)  BCS: 1
 UL: CA_n3A-n7A
 [8 layers, 2 bands, 2 DL carriers, 2 UL carriers, 40+50=90 MHz max.]</t>
  </si>
  <si>
    <t>MTR-40070</t>
  </si>
  <si>
    <t>CA_n3A(4x4)-n7A(4x4)  BCS: 4 and 5
 UL: n3A, n7A
 [8 layers, 2 bands, 2 DL carriers, 1 UL carrier, 40+50=90 MHz max.]</t>
  </si>
  <si>
    <t>MTR-40071</t>
  </si>
  <si>
    <t>CA_n3A(4x4)-n7A(4x4)  BCS: 4 and 5
 UL: CA_n3A-n7A
 [8 layers, 2 bands, 2 DL carriers, 2 UL carriers, 40+50=90 MHz max.]</t>
  </si>
  <si>
    <t>MTR-37297</t>
  </si>
  <si>
    <t>CA_n3A(4x4)-n8A(2x2)  BCS: 0
 UL: n3A, n8A
 [6 layers, 2 bands, 2 DL carriers, 1 UL carrier, 30+20=50 MHz max.]</t>
  </si>
  <si>
    <t>n3A, n8A</t>
  </si>
  <si>
    <t>CA_n3A-n8A</t>
  </si>
  <si>
    <t>MTR-37298</t>
  </si>
  <si>
    <t>CA_n3A(4x4)-n8A(2x2)  BCS: 0
 UL: CA_n3A-n8A
 [6 layers, 2 bands, 2 DL carriers, 2 UL carriers, 30+20=50 MHz max.]</t>
  </si>
  <si>
    <t>MTR-38578</t>
  </si>
  <si>
    <t>CA_n3A(4x4)-n8A(2x2)  BCS: 1
 UL: n3A, n8A
 [6 layers, 2 bands, 2 DL carriers, 1 UL carrier, 50+20=70 MHz max.]</t>
  </si>
  <si>
    <t>MTR-38579</t>
  </si>
  <si>
    <t>CA_n3A(4x4)-n8A(2x2)  BCS: 1
 UL: CA_n3A-n8A
 [6 layers, 2 bands, 2 DL carriers, 2 UL carriers, 50+20=70 MHz max.]</t>
  </si>
  <si>
    <t>MTR-39834</t>
  </si>
  <si>
    <t>CA_n3A(4x4)-n8A(2x2)  BCS: 4 and 5
 UL: n3A, n8A
 [6 layers, 2 bands, 2 DL carriers, 1 UL carrier, 50+35=85 MHz max.]</t>
  </si>
  <si>
    <t>MTR-39835</t>
  </si>
  <si>
    <t>CA_n3A(4x4)-n8A(2x2)  BCS: 4 and 5
 UL: CA_n3A-n8A
 [6 layers, 2 bands, 2 DL carriers, 2 UL carriers, 50+35=85 MHz max.]</t>
  </si>
  <si>
    <t>MTR-37299</t>
  </si>
  <si>
    <t>CA_n3A(4x4)-n20A(2x2)  BCS: 0
 UL: n3A, n20A
 [6 layers, 2 bands, 2 DL carriers, 1 UL carrier, 40+20=60 MHz max.]</t>
  </si>
  <si>
    <t>n3A, n20A</t>
  </si>
  <si>
    <t>CA_n3A-n20A</t>
  </si>
  <si>
    <t>MTR-38580</t>
  </si>
  <si>
    <t>CA_n3A(4x4)-n20A(2x2)  BCS: 0
 UL: CA_n3A-n20A
 [6 layers, 2 bands, 2 DL carriers, 2 UL carriers, 40+20=60 MHz max.]</t>
  </si>
  <si>
    <t>MTR-37300</t>
  </si>
  <si>
    <t>CA_n3A(4x4)-n28A(2x2)  BCS: 0
 UL: n3A, n28A
 [6 layers, 2 bands, 2 DL carriers, 1 UL carrier, 30+20=50 MHz max.]</t>
  </si>
  <si>
    <t>n3A, n28A</t>
  </si>
  <si>
    <t>CA_n3A-n28A</t>
  </si>
  <si>
    <t>MTR-37301</t>
  </si>
  <si>
    <t>CA_n3A(4x4)-n28A(2x2)  BCS: 0
 UL: CA_n3A-n28A
 [6 layers, 2 bands, 2 DL carriers, 2 UL carriers, 30+20=50 MHz max.]</t>
  </si>
  <si>
    <t>MTR-37302</t>
  </si>
  <si>
    <t>CA_n3A(4x4)-n28A(2x2)  BCS: 1
 UL: n3A, n28A
 [6 layers, 2 bands, 2 DL carriers, 1 UL carrier, 40+20=60 MHz max.]</t>
  </si>
  <si>
    <t>MTR-37303</t>
  </si>
  <si>
    <t>CA_n3A(4x4)-n28A(2x2)  BCS: 1
 UL: CA_n3A-n28A
 [6 layers, 2 bands, 2 DL carriers, 2 UL carriers, 40+20=60 MHz max.]</t>
  </si>
  <si>
    <t>MTR-38581</t>
  </si>
  <si>
    <t>CA_n3A(4x4)-n28A(2x2)  BCS: 2
 UL: n3A, n28A
 [6 layers, 2 bands, 2 DL carriers, 1 UL carrier, 50+30=80 MHz max.]</t>
  </si>
  <si>
    <t>MTR-38582</t>
  </si>
  <si>
    <t>CA_n3A(4x4)-n28A(2x2)  BCS: 2
 UL: CA_n3A-n28A
 [6 layers, 2 bands, 2 DL carriers, 2 UL carriers, 50+30=80 MHz max.]</t>
  </si>
  <si>
    <t>MTR-39645</t>
  </si>
  <si>
    <t>CA_n3A(4x4)-n28A(2x2)  BCS: 3
 UL: n3A, n28A
 [6 layers, 2 bands, 2 DL carriers, 1 UL carrier, 40+30=70 MHz max.]</t>
  </si>
  <si>
    <t xml:space="preserve">SA disabled.
BSC not matching, BSC (0:1:2) 
</t>
  </si>
  <si>
    <t>MTR-39646</t>
  </si>
  <si>
    <t>CA_n3A(4x4)-n28A(2x2)  BCS: 3
 UL: CA_n3A-n28A
 [6 layers, 2 bands, 2 DL carriers, 2 UL carriers, 40+30=70 MHz max.]</t>
  </si>
  <si>
    <t xml:space="preserve">SA disabled.
UL CA: Support for inter-band UL-CA FDD + TDD only 
BSC not matching, BSC (0:1:2) 
</t>
  </si>
  <si>
    <t>MTR-40072</t>
  </si>
  <si>
    <t>CA_n3A(4x4)-n28A(2x2)  BCS: 4 and 5
 UL: n3A, n28A
 [6 layers, 2 bands, 2 DL carriers, 1 UL carrier, 40+30=70 MHz max.]</t>
  </si>
  <si>
    <t>MTR-40073</t>
  </si>
  <si>
    <t>CA_n3A(4x4)-n28A(2x2)  BCS: 4 and 5
 UL: CA_n3A-n28A
 [6 layers, 2 bands, 2 DL carriers, 2 UL carriers, 40+30=70 MHz max.]</t>
  </si>
  <si>
    <t>MTR-38921</t>
  </si>
  <si>
    <t>CA_n3A(4x4)-n75A(4x4)  BCS: 0
 UL: n3A
 [8 layers, 2 bands, 2 DL carriers, 1 UL carrier, 40+50=90 MHz max.]</t>
  </si>
  <si>
    <t>CA_n3A-n75A</t>
  </si>
  <si>
    <t>MTR-39769</t>
  </si>
  <si>
    <t>CA_n3A(4x4)-n75A(4x4)  BCS: 4 and 5
 UL: n3A
 [8 layers, 2 bands, 2 DL carriers, 1 UL carrier, 50+50=100 MHz max.]</t>
  </si>
  <si>
    <t xml:space="preserve">SA disabled.
MIMO not matching ['(4-2)'] 
BSC not matching, BSC (0) 
</t>
  </si>
  <si>
    <t>MTR-37306</t>
  </si>
  <si>
    <t>CA_n3A(4x4)-n78A(4x4)  BCS: 0
 UL: n3A, n78A
 [8 layers, 2 bands, 2 DL carriers, 1 UL carrier, 30+100=130 MHz max.]</t>
  </si>
  <si>
    <t>n3A, n78A</t>
  </si>
  <si>
    <t>CA_n3A-n78A</t>
  </si>
  <si>
    <t>MTR-37307</t>
  </si>
  <si>
    <t>CA_n3A(4x4)-n78A(4x4)  BCS: 0
 UL: CA_n3A-n78A
 [8 layers, 2 bands, 2 DL carriers, 2 UL carriers, 30+100=130 MHz max.]</t>
  </si>
  <si>
    <t>MTR-37308</t>
  </si>
  <si>
    <t>CA_n3A(4x4)-n78A(4x4)  BCS: 1
 UL: n3A, n78A
 [8 layers, 2 bands, 2 DL carriers, 1 UL carrier, 40+100=140 MHz max.]</t>
  </si>
  <si>
    <t>MTR-37309</t>
  </si>
  <si>
    <t>CA_n3A(4x4)-n78A(4x4)  BCS: 1
 UL: CA_n3A-n78A
 [8 layers, 2 bands, 2 DL carriers, 2 UL carriers, 40+100=140 MHz max.]</t>
  </si>
  <si>
    <t>MTR-39647</t>
  </si>
  <si>
    <t>CA_n3A(4x4)-n78A(4x4)  BCS: 4 and 5
 UL: n3A, n78A
 [8 layers, 2 bands, 2 DL carriers, 1 UL carrier, 50+100=150 MHz max.]</t>
  </si>
  <si>
    <t>MTR-39648</t>
  </si>
  <si>
    <t>CA_n3A(4x4)-n78A(4x4)  BCS: 4 and 5
 UL: CA_n3A-n78A
 [8 layers, 2 bands, 2 DL carriers, 2 UL carriers, 50+100=150 MHz max.]</t>
  </si>
  <si>
    <t>MTR-39919</t>
  </si>
  <si>
    <t>CA_n7(2A)(4x4)  BCS: 0
 UL: n7A
 [8 layers, 1 band, 2 DL carriers, 1 UL carrier, 40 MHz max.]</t>
  </si>
  <si>
    <t>CA_n7(2A)</t>
  </si>
  <si>
    <t>MTR-39920</t>
  </si>
  <si>
    <t>CA_n7(2A)(4x4)  BCS: 4 and 5
 UL: n7A
 [8 layers, 1 band, 2 DL carriers, 1 UL carrier, 65 MHz max.]</t>
  </si>
  <si>
    <t>MTR-37924</t>
  </si>
  <si>
    <t>CA_n7A(4x4)-n8A(2x2)  BCS: 0
 UL: n7A, n8A
 [6 layers, 2 bands, 2 DL carriers, 1 UL carrier, 50+20=70 MHz max.]</t>
  </si>
  <si>
    <t>n7A, n8A</t>
  </si>
  <si>
    <t>CA_n7A-n8A</t>
  </si>
  <si>
    <t>MTR-39649</t>
  </si>
  <si>
    <t>CA_n7A(4x4)-n8A(2x2)  BCS: 0
 UL: CA_n7A-n8A
 [6 layers, 2 bands, 2 DL carriers, 2 UL carriers, 50+20=70 MHz max.]</t>
  </si>
  <si>
    <t>MTR-40074</t>
  </si>
  <si>
    <t>CA_n7A(4x4)-n20A(2x2)  BCS: 4 and 5
 UL: n7A, n20A
 [6 layers, 2 bands, 2 DL carriers, 1 UL carrier, 50+20=70 MHz max.]</t>
  </si>
  <si>
    <t>n7A, n20A</t>
  </si>
  <si>
    <t>CA_n7A-n20A</t>
  </si>
  <si>
    <t>MTR-40075</t>
  </si>
  <si>
    <t>CA_n7A(4x4)-n20A(2x2)  BCS: 4 and 5
 UL: CA_n7A-n20A
 [6 layers, 2 bands, 2 DL carriers, 2 UL carriers, 50+20=70 MHz max.]</t>
  </si>
  <si>
    <t>MTR-37310</t>
  </si>
  <si>
    <t>CA_n7A(4x4)-n28A(2x2)  BCS: 0
 UL: n7A, n28A
 [6 layers, 2 bands, 2 DL carriers, 1 UL carrier, 50+20=70 MHz max.]</t>
  </si>
  <si>
    <t>n7A, n28A</t>
  </si>
  <si>
    <t>CA_n7A-n28A</t>
  </si>
  <si>
    <t>MTR-37311</t>
  </si>
  <si>
    <t>CA_n7A(4x4)-n28A(2x2)  BCS: 0
 UL: CA_n7A-n28A
 [6 layers, 2 bands, 2 DL carriers, 2 UL carriers, 50+20=70 MHz max.]</t>
  </si>
  <si>
    <t>MTR-39650</t>
  </si>
  <si>
    <t>CA_n7A(4x4)-n75A(4x4)  BCS: 0
 UL: n7A
 [8 layers, 2 bands, 2 DL carriers, 1 UL carrier, 20+20=40 MHz max.]</t>
  </si>
  <si>
    <t>CA_n7A-n75A</t>
  </si>
  <si>
    <t>MTR-39651</t>
  </si>
  <si>
    <t>CA_n7A(4x4)-n75A(4x4)  BCS: 4 and 5
 UL: n7A
 [8 layers, 2 bands, 2 DL carriers, 1 UL carrier, 50+50=100 MHz max.]</t>
  </si>
  <si>
    <t>MTR-37312</t>
  </si>
  <si>
    <t>CA_n7A(4x4)-n78A(4x4)  BCS: 0
 UL: n7A, n78A
 [8 layers, 2 bands, 2 DL carriers, 1 UL carrier, 20+100=120 MHz max.]</t>
  </si>
  <si>
    <t>n7A, n78A</t>
  </si>
  <si>
    <t>CA_n7A-n78A</t>
  </si>
  <si>
    <t>MTR-37313</t>
  </si>
  <si>
    <t>CA_n7A(4x4)-n78A(4x4)  BCS: 0
 UL: CA_n7A-n78A
 [8 layers, 2 bands, 2 DL carriers, 2 UL carriers, 20+100=120 MHz max.]</t>
  </si>
  <si>
    <t>MTR-37314</t>
  </si>
  <si>
    <t>CA_n7A(4x4)-n78A(4x4)  BCS: 1
 UL: n7A, n78A
 [8 layers, 2 bands, 2 DL carriers, 1 UL carrier, 50+100=150 MHz max.]</t>
  </si>
  <si>
    <t>MTR-37315</t>
  </si>
  <si>
    <t>CA_n7A(4x4)-n78A(4x4)  BCS: 1
 UL: CA_n7A-n78A
 [8 layers, 2 bands, 2 DL carriers, 2 UL carriers, 50+100=150 MHz max.]</t>
  </si>
  <si>
    <t>MTR-39652</t>
  </si>
  <si>
    <t>CA_n7A(4x4)-n78A(4x4)  BCS: 4 and 5
 UL: n7A, n78A
 [8 layers, 2 bands, 2 DL carriers, 1 UL carrier, 50+100=150 MHz max.]</t>
  </si>
  <si>
    <t>MTR-39653</t>
  </si>
  <si>
    <t>CA_n7A(4x4)-n78A(4x4)  BCS: 4 and 5
 UL: CA_n7A-n78A
 [8 layers, 2 bands, 2 DL carriers, 2 UL carriers, 50+100=150 MHz max.]</t>
  </si>
  <si>
    <t>MTR-37316</t>
  </si>
  <si>
    <t>CA_n8A(2x2)-n20A(2x2)  BCS: 0
 UL: n8A, n20A
 [4 layers, 2 bands, 2 DL carriers, 1 UL carrier, 20+20=40 MHz max.]</t>
  </si>
  <si>
    <t>n8A, n20A</t>
  </si>
  <si>
    <t>CA_n8A-n20A</t>
  </si>
  <si>
    <t>MTR-40076</t>
  </si>
  <si>
    <t>CA_n8A(2x2)-n20A(2x2)  BCS: 0
 UL: CA_n8A-n20A
 [4 layers, 2 bands, 2 DL carriers, 1 UL carrier, 20+20=40 MHz max.]</t>
  </si>
  <si>
    <t>MTR-37317</t>
  </si>
  <si>
    <t>CA_n8A(2x2)-n28A(2x2)  BCS: 0
 UL: n8A, n28A
 [4 layers, 2 bands, 2 DL carriers, 1 UL carrier, 20+30=50 MHz max.]</t>
  </si>
  <si>
    <t>n8A, n28A</t>
  </si>
  <si>
    <t>CA_n8A-n28A</t>
  </si>
  <si>
    <t>MTR-40077</t>
  </si>
  <si>
    <t>CA_n8A(2x2)-n28A(2x2)  BCS: 0
 UL: CA_n8A-n28A
 [4 layers, 2 bands, 2 DL carriers, 1 UL carrier, 20+30=50 MHz max.]</t>
  </si>
  <si>
    <t>MTR-40078</t>
  </si>
  <si>
    <t>CA_n8A(2x2)-n28A(2x2)  BCS: 1
 UL: n8A, n28A
 [4 layers, 2 bands, 2 DL carriers, 1 UL carrier, 20+30=50 MHz max.]</t>
  </si>
  <si>
    <t>MTR-40079</t>
  </si>
  <si>
    <t>CA_n8A(2x2)-n28A(2x2)  BCS: 1
 UL: CA_n8A-n28A
 [4 layers, 2 bands, 2 DL carriers, 1 UL carrier, 20+30=50 MHz max.]</t>
  </si>
  <si>
    <t>MTR-37318</t>
  </si>
  <si>
    <t>CA_n8A(2x2)-n75A(4x4)  BCS: 0
 UL: n8A
 [6 layers, 2 bands, 2 DL carriers, 1 UL carrier, 20+20=40 MHz max.]</t>
  </si>
  <si>
    <t>CA_n8A-n75A</t>
  </si>
  <si>
    <t>2018-09</t>
  </si>
  <si>
    <t xml:space="preserve">SA disabled.
MIMO not matching ['(2-2)'] 
</t>
  </si>
  <si>
    <t>MTR-39654</t>
  </si>
  <si>
    <t>CA_n8A(2x2)-n75A(4x4)  BCS: 1
 UL: n8A
 [6 layers, 2 bands, 2 DL carriers, 1 UL carrier, 20+50=70 MHz max.]</t>
  </si>
  <si>
    <t xml:space="preserve">SA disabled.
MIMO not matching ['(2-2)'] 
BSC not matching, BSC (0) 
</t>
  </si>
  <si>
    <t>MTR-37319</t>
  </si>
  <si>
    <t>CA_n8A(2x2)-n78A(4x4)  BCS: 0
 UL: n8A, n78A
 [6 layers, 2 bands, 2 DL carriers, 1 UL carrier, 20+100=120 MHz max.]</t>
  </si>
  <si>
    <t>n8A, n78A</t>
  </si>
  <si>
    <t>CA_n8A-n78A</t>
  </si>
  <si>
    <t>MTR-37320</t>
  </si>
  <si>
    <t>CA_n8A(2x2)-n78A(4x4)  BCS: 0
 UL: CA_n8A-n78A
 [6 layers, 2 bands, 2 DL carriers, 2 UL carriers, 20+100=120 MHz max.]</t>
  </si>
  <si>
    <t>MTR-37321</t>
  </si>
  <si>
    <t>CA_n8A(2x2)-n78A(4x4)  BCS: 1
 UL: n8A, n78A
 [6 layers, 2 bands, 2 DL carriers, 1 UL carrier, 20+100=120 MHz max.]</t>
  </si>
  <si>
    <t>MTR-37322</t>
  </si>
  <si>
    <t>CA_n8A(2x2)-n78A(4x4)  BCS: 1
 UL: CA_n8A-n78A
 [6 layers, 2 bands, 2 DL carriers, 2 UL carriers, 20+100=120 MHz max.]</t>
  </si>
  <si>
    <t>MTR-39767</t>
  </si>
  <si>
    <t>CA_n8A(2x2)-n78A(4x4)  BCS: 4 and 5
 UL: n8A, n78A
 [6 layers, 2 bands, 2 DL carriers, 1 UL carrier, 35+100=135 MHz max.]</t>
  </si>
  <si>
    <t>MTR-39768</t>
  </si>
  <si>
    <t>CA_n8A(2x2)-n78A(4x4)  BCS: 4 and 5
 UL: CA_n8A-n78A
 [6 layers, 2 bands, 2 DL carriers, 2 UL carriers, 35+100=135 MHz max.]</t>
  </si>
  <si>
    <t>MTR-37323</t>
  </si>
  <si>
    <t>CA_n20A(2x2)-n28A(2x2)  BCS: 0
 UL: n20A, n28A
 [4 layers, 2 bands, 2 DL carriers, 1 UL carrier, 20+20=40 MHz max.]</t>
  </si>
  <si>
    <t>n20A, n28A</t>
  </si>
  <si>
    <t>CA_n20A-n28A</t>
  </si>
  <si>
    <t>MTR-37324</t>
  </si>
  <si>
    <t>CA_n20A(2x2)-n28A(2x2)  BCS: 0
 UL: CA_n20A-n28A
 [4 layers, 2 bands, 2 DL carriers, 2 UL carriers, 20+20=40 MHz max.]</t>
  </si>
  <si>
    <t>MTR-37325</t>
  </si>
  <si>
    <t>CA_n20A(2x2)-n28A(2x2)  BCS: 1
 UL: n20A, n28A
 [4 layers, 2 bands, 2 DL carriers, 1 UL carrier, 20+30=50 MHz max.]</t>
  </si>
  <si>
    <t>MTR-37326</t>
  </si>
  <si>
    <t>CA_n20A(2x2)-n28A(2x2)  BCS: 1
 UL: CA_n20A-n28A
 [4 layers, 2 bands, 2 DL carriers, 2 UL carriers, 20+30=50 MHz max.]</t>
  </si>
  <si>
    <t>MTR-40080</t>
  </si>
  <si>
    <t>CA_n20A(2x2)-n28A(2x2)  BCS: 4 and 5
 UL: n20A, n28A
 [4 layers, 2 bands, 2 DL carriers, 1 UL carrier, 20+30=50 MHz max.]</t>
  </si>
  <si>
    <t>MTR-40081</t>
  </si>
  <si>
    <t>CA_n20A(2x2)-n28A(2x2)  BCS: 4 and 5
 UL: CA_n20A-n28A
 [4 layers, 2 bands, 2 DL carriers, 2 UL carriers, 20+30=50 MHz max.]</t>
  </si>
  <si>
    <t>MTR-37327</t>
  </si>
  <si>
    <t>CA_n20A(2x2)-n75A(4x4)  BCS: 0
 UL: n20A
 [6 layers, 2 bands, 2 DL carriers, 1 UL carrier, 20+20=40 MHz max.]</t>
  </si>
  <si>
    <t>CA_n20A-n75A</t>
  </si>
  <si>
    <t>MTR-39655</t>
  </si>
  <si>
    <t>CA_n20A(2x2)-n75A(4x4)  BCS: 1
 UL: n20A
 [6 layers, 2 bands, 2 DL carriers, 1 UL carrier, 20+50=70 MHz max.]</t>
  </si>
  <si>
    <t>MTR-37328</t>
  </si>
  <si>
    <t>CA_n20A(2x2)-n78A(4x4)  BCS: 0
 UL: n20A, n78A
 [6 layers, 2 bands, 2 DL carriers, 1 UL carrier, 20+100=120 MHz max.]</t>
  </si>
  <si>
    <t>n20A, n78A</t>
  </si>
  <si>
    <t>CA_n20A-n78A</t>
  </si>
  <si>
    <t>MTR-37329</t>
  </si>
  <si>
    <t>CA_n20A(2x2)-n78A(4x4)  BCS: 0
 UL: CA_n20A-n78A
 [6 layers, 2 bands, 2 DL carriers, 2 UL carriers, 20+100=120 MHz max.]</t>
  </si>
  <si>
    <t>MTR-39836</t>
  </si>
  <si>
    <t>CA_n20A(2x2)-n78A(4x4)  BCS: 4 and 5
 UL: n20A, n78A
 [6 layers, 2 bands, 2 DL carriers, 1 UL carrier, 20+100=120 MHz max.]</t>
  </si>
  <si>
    <t>MTR-39837</t>
  </si>
  <si>
    <t>CA_n20A(2x2)-n78A(4x4)  BCS: 4 and 5
 UL: CA_n20A-n78A
 [6 layers, 2 bands, 2 DL carriers, 2 UL carriers, 20+100=120 MHz max.]</t>
  </si>
  <si>
    <t>MTR-37330</t>
  </si>
  <si>
    <t>CA_n28A(2x2)-n75A(4x4)  BCS: 0
 UL: n28A
 [6 layers, 2 bands, 2 DL carriers, 1 UL carrier, 20+20=40 MHz max.]</t>
  </si>
  <si>
    <t>CA_n28A-n75A</t>
  </si>
  <si>
    <t>MTR-37331</t>
  </si>
  <si>
    <t>CA_n28A(2x2)-n75A(4x4)  BCS: 1
 UL: n28A
 [6 layers, 2 bands, 2 DL carriers, 1 UL carrier, 20+50=70 MHz max.]</t>
  </si>
  <si>
    <t>2020-09</t>
  </si>
  <si>
    <t>MTR-39656</t>
  </si>
  <si>
    <t>CA_n28A(2x2)-n75A(4x4)  BCS: 2
 UL: n28A
 [6 layers, 2 bands, 2 DL carriers, 1 UL carrier, 30+50=80 MHz max.]</t>
  </si>
  <si>
    <t xml:space="preserve">SA disabled.
MIMO not matching ['(2-2)'] 
BSC not matching, BSC (0:1) 
</t>
  </si>
  <si>
    <t>MTR-37332</t>
  </si>
  <si>
    <t>CA_n28A(2x2)-n78A(4x4)  BCS: 0
 UL: n28A, n78A
 [6 layers, 2 bands, 2 DL carriers, 1 UL carrier, 20+100=120 MHz max.]</t>
  </si>
  <si>
    <t>n28A, n78A</t>
  </si>
  <si>
    <t>CA_n28A-n78A</t>
  </si>
  <si>
    <t>MTR-37333</t>
  </si>
  <si>
    <t>CA_n28A(2x2)-n78A(4x4)  BCS: 0
 UL: CA_n28A-n78A
 [6 layers, 2 bands, 2 DL carriers, 2 UL carriers, 20+100=120 MHz max.]</t>
  </si>
  <si>
    <t>MTR-37334</t>
  </si>
  <si>
    <t>CA_n28A(2x2)-n78A(4x4)  BCS: 1
 UL: n28A, n78A
 [6 layers, 2 bands, 2 DL carriers, 1 UL carrier, 30+100=130 MHz max.]</t>
  </si>
  <si>
    <t>MTR-37335</t>
  </si>
  <si>
    <t>CA_n28A(2x2)-n78A(4x4)  BCS: 1
 UL: CA_n28A-n78A
 [6 layers, 2 bands, 2 DL carriers, 2 UL carriers, 30+100=130 MHz max.]</t>
  </si>
  <si>
    <t>MTR-39765</t>
  </si>
  <si>
    <t>CA_n28A(2x2)-n78A(4x4)  BCS: 4 and 5
 UL: n28A, n78A
 [6 layers, 2 bands, 2 DL carriers, 1 UL carrier, 30+100=130 MHz max.]</t>
  </si>
  <si>
    <t>MTR-39766</t>
  </si>
  <si>
    <t>CA_n28A(2x2)-n78A(4x4)  BCS: 4 and 5
 UL: CA_n28A-n78A
 [6 layers, 2 bands, 2 DL carriers, 2 UL carriers, 30+100=130 MHz max.]</t>
  </si>
  <si>
    <t>MTR-39657</t>
  </si>
  <si>
    <t>CA_n28A(2x2)-n94A(4x4)  BCS: 0
 UL: n28A, n94A
 [6 layers, 2 bands, 2 DL carriers, 1 UL carrier, 20+20=40 MHz max.]</t>
  </si>
  <si>
    <t>n28A, n94A</t>
  </si>
  <si>
    <t>CA_n28A-n94A</t>
  </si>
  <si>
    <t>MTR-37340</t>
  </si>
  <si>
    <t>CA_n75A(4x4)-n78A(4x4)  BCS: 0
 UL: n78A
 [8 layers, 2 bands, 2 DL carriers, 1 UL carrier, 20+100=120 MHz max.]</t>
  </si>
  <si>
    <t>CA_n75A-n78A</t>
  </si>
  <si>
    <t xml:space="preserve">SA disabled.
MIMO not matching ['(2-4)'] 
</t>
  </si>
  <si>
    <t>MTR-39658</t>
  </si>
  <si>
    <t>CA_n75A(4x4)-n78A(4x4)  BCS: 4 and 5
 UL: n78A
 [8 layers, 2 bands, 2 DL carriers, 1 UL carrier, 50+100=150 MHz max.]</t>
  </si>
  <si>
    <t xml:space="preserve">SA disabled.
MIMO not matching ['(2-4)'] 
BSC not matching, BSC (0) 
</t>
  </si>
  <si>
    <t>MTR-37479</t>
  </si>
  <si>
    <t>CA_n78C(4x4)  BCS: 0
 UL: n78A
 [8 layers, 1 band, 2 DL carriers, 1 UL carrier, 200 MHz max.]</t>
  </si>
  <si>
    <t>CA_n78C</t>
  </si>
  <si>
    <t>MTR-38584</t>
  </si>
  <si>
    <t>CA_n78C(4x4)  BCS: 0
 UL: CA_n78C
 [8 layers, 1 band, 2 DL carriers, 2 UL carrier, 200 MHz max.]</t>
  </si>
  <si>
    <t>MTR-37480</t>
  </si>
  <si>
    <t>CA_n78C(4x4)  BCS: 1
 UL: n78A
 [8 layers, 1 band, 2 DL carriers, 1 UL carrier, 200 MHz max.]</t>
  </si>
  <si>
    <t>MTR-38585</t>
  </si>
  <si>
    <t>CA_n78C(4x4)  BCS: 1
 UL: CA_n78C
 [8 layers, 1 band, 2 DL carriers, 2 UL carrier, 200 MHz max.]</t>
  </si>
  <si>
    <t>MTR-39772</t>
  </si>
  <si>
    <t>CA_n78C(4x4)  BCS: 4 and 5
 UL: n78A
 [8 layers, 1 band, 2 DL carriers, 1 UL carrier, 200 MHz max.]</t>
  </si>
  <si>
    <t>MTR-39773</t>
  </si>
  <si>
    <t>CA_n78C(4x4)  BCS: 4 and 5
 UL: CA_n78C
 [8 layers, 1 band, 2 DL carriers, 2 UL carrier, 200 MHz max.]</t>
  </si>
  <si>
    <t>MTR-37482</t>
  </si>
  <si>
    <t>CA_n78(2A)(4x4)  BCS: 0
 UL: n78A
 [8 layers, 1 band, 2 DL carriers, 1 UL carrier, 200 MHz max.]</t>
  </si>
  <si>
    <t>CA_n78(2A)</t>
  </si>
  <si>
    <t>MTR-38611</t>
  </si>
  <si>
    <t>CA_n78(2A)(4x4)  BCS: 0
 UL: CA_n78(2A)
 [8 layers, 1 band, 2 DL carriers, 2 UL carrier, 200 MHz max.]</t>
  </si>
  <si>
    <t>MTR-37483</t>
  </si>
  <si>
    <t>CA_n78(2A)(4x4)  BCS: 1
 UL: n78A
 [8 layers, 1 band, 2 DL carriers, 1 UL carrier, 200 MHz max.]</t>
  </si>
  <si>
    <t>MTR-38612</t>
  </si>
  <si>
    <t>CA_n78(2A)(4x4)  BCS: 1
 UL: CA_n78(2A)
 [8 layers, 1 band, 2 DL carriers, 2 UL carrier, 200 MHz max.]</t>
  </si>
  <si>
    <t>MTR-38610</t>
  </si>
  <si>
    <t>CA_n78(2A)(4x4)  BCS: 2
 UL: n78A
 [8 layers, 1 band, 2 DL carriers, 1 UL carrier, 200 MHz max.]</t>
  </si>
  <si>
    <t>MTR-38613</t>
  </si>
  <si>
    <t>CA_n78(2A)(4x4)  BCS: 2
 UL: CA_n78(2A)
 [8 layers, 1 band, 2 DL carriers, 2 UL carrier, 200 MHz max.]</t>
  </si>
  <si>
    <t>MTR-39770</t>
  </si>
  <si>
    <t>CA_n78(2A)(4x4)  BCS: 4 and 5
 UL: n78A
 [8 layers, 1 band, 2 DL carriers, 1 UL carrier, 200 MHz max.]</t>
  </si>
  <si>
    <t>MTR-39771</t>
  </si>
  <si>
    <t>CA_n78(2A)(4x4)  BCS: 4 and 5
 UL: CA_n78(2A)
 [8 layers, 1 band, 2 DL carriers, 2 UL carrier, 200 MHz max.]</t>
  </si>
  <si>
    <t>MTR-37341</t>
  </si>
  <si>
    <t>CA_n78A(4x4)-n92A(4x4)  BCS: 0
 UL: n78A, n92A
 [8 layers, 2 bands, 2 DL carriers, 1 UL carrier, 100+20=120 MHz max.]</t>
  </si>
  <si>
    <t>n78A, n92A</t>
  </si>
  <si>
    <t>CA_n78A-n92A</t>
  </si>
  <si>
    <t>MTR-37342</t>
  </si>
  <si>
    <t>CA_n78A(4x4)-n92A(4x4)  BCS: 0
 UL: CA_n78A-n92A
 [8 layers, 2 bands, 2 DL carriers, 2 UL carriers, 100+20=120 MHz max.]</t>
  </si>
  <si>
    <t>MTR-39763</t>
  </si>
  <si>
    <t>CA_n78A(4x4)-n92A(4x4)  BCS: 4 and 5
 UL: n78A, n92A
 [8 layers, 2 bands, 2 DL carriers, 1 UL carrier, 100+20=120 MHz max.]</t>
  </si>
  <si>
    <t>MTR-39764</t>
  </si>
  <si>
    <t>CA_n78A(4x4)-n92A(4x4)  BCS: 4 and 5
 UL: CA_n78A-n92A
 [8 layers, 2 bands, 2 DL carriers, 2 UL carriers, 100+20=120 MHz max.]</t>
  </si>
  <si>
    <t>MTR-39659</t>
  </si>
  <si>
    <t>CA_n78A(4x4)-n94A(4x4)  BCS: 0
 UL: n78A, n94A
 [8 layers, 2 bands, 2 DL carriers, 1 UL carrier, 100+20=120 MHz max.]</t>
  </si>
  <si>
    <t>n78A, n94A</t>
  </si>
  <si>
    <t>CA_n78A-n94A</t>
  </si>
  <si>
    <t>MTR-37343</t>
  </si>
  <si>
    <r>
      <rPr>
        <rFont val="Arial"/>
        <b/>
        <color theme="1"/>
        <sz val="10.0"/>
      </rPr>
      <t>2.5.3.3</t>
    </r>
    <r>
      <rPr>
        <rFont val="Arial"/>
        <b val="0"/>
        <color theme="1"/>
        <sz val="10.0"/>
      </rPr>
      <t xml:space="preserve"> </t>
    </r>
    <r>
      <rPr>
        <rFont val="Arial"/>
        <b/>
        <color theme="1"/>
        <sz val="10.0"/>
      </rPr>
      <t>NR-CA with 3 carriers</t>
    </r>
  </si>
  <si>
    <t>MTR-39891</t>
  </si>
  <si>
    <t>CA_n1(2A)(4x4)-n3A(4x4)  BCS: 0
 UL: n1A, n3A
 [12 layers, 2 bands, 3 DL carriers, 1 UL carrier, 40+40=80 MHz max.]</t>
  </si>
  <si>
    <t>CA_n1(2A)-n3A</t>
  </si>
  <si>
    <t>MTR-39898</t>
  </si>
  <si>
    <t>CA_n1(2A)(4x4)-n7A(4x4)  BCS: 0
 UL: n1A, n7A
 [12 layers, 2 bands, 3 DL carriers, 1 UL carrier, 40+50=90 MHz max.]</t>
  </si>
  <si>
    <t>CA_n1(2A)-n7A</t>
  </si>
  <si>
    <t>MTR-39897</t>
  </si>
  <si>
    <t>CA_n1(2A)(4x4)-n8A(2x2)  BCS: 0
 UL: n1A, n8A
 [10 layers, 2 bands, 3 DL carriers, 1 UL carrier, 40+20=60 MHz max.]</t>
  </si>
  <si>
    <t>CA_n1(2A)-n8A</t>
  </si>
  <si>
    <t>MTR-39896</t>
  </si>
  <si>
    <t>CA_n1(2A)(4x4)-n28A(2x2)  BCS: 0
 UL: n1A, n28A
 [10 layers, 2 bands, 3 DL carriers, 1 UL carrier, 40+20=60 MHz max.]</t>
  </si>
  <si>
    <t>CA_n1(2A)-n28A</t>
  </si>
  <si>
    <t>MTR-39895</t>
  </si>
  <si>
    <t>CA_n1(2A)(4x4)-n78A(4x4)  BCS: 0
 UL: n1A, n78A
 [12 layers, 2 bands, 3 DL carriers, 1 UL carrier, 40+100=140 MHz max.]</t>
  </si>
  <si>
    <t>CA_n1(2A)-n78A</t>
  </si>
  <si>
    <t>MTR-39894</t>
  </si>
  <si>
    <t>CA_n1A(4x4)-n3(2A)(4x4)  BCS: 0
 UL: n1A, n3A
 [12 layers, 2 bands, 3 DL carriers, 1 UL carrier, 20+40=60 MHz max.]</t>
  </si>
  <si>
    <t>CA_n1A-n3(2A)</t>
  </si>
  <si>
    <t>MTR-39893</t>
  </si>
  <si>
    <t>CA_n1A(4x4)-n3(2A)(4x4)  BCS: 0
 UL: CA_n1A-n3A
 [12 layers, 2 bands, 3 DL carriers, 2 UL carriers, 20+40=60 MHz max.]</t>
  </si>
  <si>
    <t>MTR-39892</t>
  </si>
  <si>
    <t>CA_n1A(4x4)-n3(2A)(4x4)  BCS: 1
 UL: n1A, n3A
 [12 layers, 2 bands, 3 DL carriers, 1 UL carrier, 50+40=90 MHz max.]</t>
  </si>
  <si>
    <t>MTR-39901</t>
  </si>
  <si>
    <t>CA_n1A(4x4)-n3(2A)(4x4)  BCS: 1
 UL: CA_n1A-n3A
 [12 layers, 2 bands, 3 DL carriers, 2 UL carriers, 50+40=90 MHz max.]</t>
  </si>
  <si>
    <t>MTR-39900</t>
  </si>
  <si>
    <t>CA_n1A(4x4)-n3(2A)(4x4)  BCS: 2
 UL: n1A, n3A
 [12 layers, 2 bands, 3 DL carriers, 1 UL carrier, 20+60=80 MHz max.]</t>
  </si>
  <si>
    <t>MTR-39899</t>
  </si>
  <si>
    <t>CA_n1A(4x4)-n3(2A)(4x4)  BCS: 2
 UL: CA_n1A-n3A
 [12 layers, 2 bands, 3 DL carriers, 2 UL carriers, 20+60=80 MHz max.]</t>
  </si>
  <si>
    <t>MTR-37344</t>
  </si>
  <si>
    <t>CA_n1A(4x4)-n3A(4x4)-n7A(4x4)  BCS: 0
 UL: n1A, n3A, n7A
 [12 layers, 3 bands, 3 DL carriers, 1 UL carrier, 20+30+50=100 MHz max.]</t>
  </si>
  <si>
    <t>n1A, n3A, n7A</t>
  </si>
  <si>
    <t>CA_n1A-n3A-n7A</t>
  </si>
  <si>
    <t xml:space="preserve">SA disabled.
MIMO not matching ['(4-4-2)'] 
</t>
  </si>
  <si>
    <t>MTR-39660</t>
  </si>
  <si>
    <t>CA_n1A(4x4)-n3A(4x4)-n7A(4x4)  BCS: 0
 UL: CA_n1A-n3A, CA_n1A-n7A, CA_n3A-n7A
 [12 layers, 3 bands, 3 DL carriers, 2 UL carriers, 20+30+50=100 MHz max.]</t>
  </si>
  <si>
    <t>CA_n1A-n3A, CA_n1A-n7A, CA_n3A-n7A</t>
  </si>
  <si>
    <t xml:space="preserve">SA disabled.
UL CA: Support for inter-band UL-CA FDD + TDD only 
MIMO not matching ['(4-4-2)'] 
</t>
  </si>
  <si>
    <t>MTR-37345</t>
  </si>
  <si>
    <t>CA_n1A(4x4)-n3A(4x4)-n7A(4x4)  BCS: 1
 UL: n1A, n3A, n7A
 [12 layers, 3 bands, 3 DL carriers, 1 UL carrier, 50+40+50=140 MHz max.]</t>
  </si>
  <si>
    <t>MTR-37346</t>
  </si>
  <si>
    <t>CA_n1A(4x4)-n3A(4x4)-n7A(4x4)  BCS: 1
 UL: CA_n1A-n3A, CA_n1A-n7A, CA_n3A-n7A
 [12 layers, 3 bands, 3 DL carriers, 2 UL carriers, 50+40+50=140 MHz max.]</t>
  </si>
  <si>
    <t>MTR-37347</t>
  </si>
  <si>
    <t>CA_n1A(4x4)-n3A(4x4)-n7A(4x4)  BCS: 2
 UL: n1A, n3A, n7A
 [12 layers, 3 bands, 3 DL carriers, 1 UL carrier, 20+40+50=110 MHz max.]</t>
  </si>
  <si>
    <t>MTR-37348</t>
  </si>
  <si>
    <t>CA_n1A(4x4)-n3A(4x4)-n7A(4x4)  BCS: 2
 UL: CA_n1A-n3A, CA_n1A-n7A, CA_n3A-n7A
 [12 layers, 3 bands, 3 DL carriers, 2 UL carriers, 20+40+50=110 MHz max.]</t>
  </si>
  <si>
    <t>MTR-39762</t>
  </si>
  <si>
    <t>CA_n1A(4x4)-n3A(4x4)-n7A(4x4)  BCS: 4 and 5
 UL: n1A, n3A, n7A
 [12 layers, 3 bands, 3 DL carriers, 1 UL carrier, 50+50+50=150 MHz max.]</t>
  </si>
  <si>
    <t xml:space="preserve">SA disabled.
MIMO not matching ['(4-4-2)'] 
BSC not matching, BSC (0:1:2) 
</t>
  </si>
  <si>
    <t>MTR-37349</t>
  </si>
  <si>
    <t>CA_n1A(4x4)-n3A(4x4)-n8A(2x2)  BCS: 0
 UL: n1A, n3A, n8A
 [10 layers, 3 bands, 3 DL carriers, 1 UL carrier, 20+30+20=70 MHz max.]</t>
  </si>
  <si>
    <t>n1A, n3A, n8A</t>
  </si>
  <si>
    <t>CA_n1A-n3A-n8A</t>
  </si>
  <si>
    <t>MTR-37350</t>
  </si>
  <si>
    <t>CA_n1A(4x4)-n3A(4x4)-n20A(2x2)  BCS: 0
 UL: n1A, n3A, n20A
 [10 layers, 3 bands, 3 DL carriers, 1 UL carrier, 50+40+20=110 MHz max.]</t>
  </si>
  <si>
    <t>n1A, n3A, n20A</t>
  </si>
  <si>
    <t>CA_n1A-n3A-n20A</t>
  </si>
  <si>
    <t>MTR-38586</t>
  </si>
  <si>
    <t>CA_n1A(4x4)-n3A(4x4)-n20A(2x2)  BCS: 0
 UL: CA_n1A-n3A, CA_n1A-n20A, CA_n3A-n20A
 [10 layers, 3 bands, 3 DL carriers, 2 UL carriers, 50+40+20=110 MHz max.]</t>
  </si>
  <si>
    <t>CA_n1A-n3A, CA_n1A-n20A, CA_n3A-n20A</t>
  </si>
  <si>
    <t>MTR-40082</t>
  </si>
  <si>
    <t>CA_n1A(4x4)-n3A(4x4)-n20A(2x2)  BCS: 4 and 5
 UL: n1A, n3A, n20A
 [10 layers, 3 bands, 3 DL carriers, 1 UL carrier, 50+50+20=120 MHz max.]</t>
  </si>
  <si>
    <t>MTR-40083</t>
  </si>
  <si>
    <t>CA_n1A(4x4)-n3A(4x4)-n20A(2x2)  BCS: 4 and 5
 UL: CA_n1A-n3A, CA_n1A-n20A, CA_n3A-n20A
 [10 layers, 3 bands, 3 DL carriers, 2 UL carriers, 50+50+20=120 MHz max.]</t>
  </si>
  <si>
    <t>MTR-37351</t>
  </si>
  <si>
    <t>CA_n1A(4x4)-n3A(4x4)-n28A(2x2)  BCS: 0
 UL: n1A, n3A, n28A
 [10 layers, 3 bands, 3 DL carriers, 1 UL carrier, 20+30+20=70 MHz max.]</t>
  </si>
  <si>
    <t>n1A, n3A, n28A</t>
  </si>
  <si>
    <t>CA_n1A-n3A-n28A</t>
  </si>
  <si>
    <t>MTR-37352</t>
  </si>
  <si>
    <t>CA_n1A(4x4)-n3A(4x4)-n28A(2x2)  BCS: 1
 UL: n1A, n3A, n28A
 [10 layers, 3 bands, 3 DL carriers, 1 UL carrier, 20+40+20=80 MHz max.]</t>
  </si>
  <si>
    <t>MTR-37353</t>
  </si>
  <si>
    <t>CA_n1A(4x4)-n3A(4x4)-n28A(2x2)  BCS: 1
 UL: CA_n1A-n3A, CA_n1A-n28A, CA_n3A-n28A
 [10 layers, 3 bands, 3 DL carriers, 2 UL carriers, 20+40+20=80 MHz max.]</t>
  </si>
  <si>
    <t>CA_n1A-n3A, CA_n1A-n28A, CA_n3A-n28A</t>
  </si>
  <si>
    <t>MTR-37354</t>
  </si>
  <si>
    <t>CA_n1A(4x4)-n3A(4x4)-n28A(2x2)  BCS: 2
 UL: n1A, n3A, n28A
 [10 layers, 3 bands, 3 DL carriers, 1 UL carrier, 50+50+30=130 MHz max.]</t>
  </si>
  <si>
    <t>MTR-37355</t>
  </si>
  <si>
    <t>CA_n1A(4x4)-n3A(4x4)-n28A(2x2)  BCS: 2
 UL: CA_n1A-n3A, CA_n1A-n28A, CA_n3A-n28A
 [10 layers, 3 bands, 3 DL carriers, 2 UL carriers, 50+50+30=130 MHz max.]</t>
  </si>
  <si>
    <t>MTR-39760</t>
  </si>
  <si>
    <t>CA_n1A(4x4)-n3A(4x4)-n75A(4x4)  BCS: 4 and 5
 UL: n1A, n3A
 [12 layers, 3 bands, 3 DL carriers, 1 UL carrier, 50+50+50=150 MHz max.]</t>
  </si>
  <si>
    <t>CA_n1A-n3A-n75A</t>
  </si>
  <si>
    <t>MTR-37356</t>
  </si>
  <si>
    <t>CA_n1A(4x4)-n3A(4x4)-n78A(4x4)  BCS: 0
 UL: n1A, n3A, n78A
 [12 layers, 3 bands, 3 DL carriers, 1 UL carrier, 20+30+100=150 MHz max.]</t>
  </si>
  <si>
    <t>n1A, n3A, n78A</t>
  </si>
  <si>
    <t>CA_n1A-n3A-n78A</t>
  </si>
  <si>
    <t>MTR-37357</t>
  </si>
  <si>
    <t>CA_n1A(4x4)-n3A(4x4)-n78A(4x4)  BCS: 0
 UL: CA_n1A-n3A, CA_n1A-n78A, CA_n3A-n78A
 [12 layers, 3 bands, 3 DL carriers, 2 UL carriers, 20+30+100=150 MHz max.]</t>
  </si>
  <si>
    <t>CA_n1A-n3A, CA_n1A-n78A, CA_n3A-n78A</t>
  </si>
  <si>
    <t>MTR-37358</t>
  </si>
  <si>
    <t>CA_n1A(4x4)-n3A(4x4)-n78A(4x4)  BCS: 1
 UL: n1A, n3A, n78A
 [12 layers, 3 bands, 3 DL carriers, 1 UL carrier, 50+40+100=190 MHz max.]</t>
  </si>
  <si>
    <t>MTR-37359</t>
  </si>
  <si>
    <t>CA_n1A(4x4)-n3A(4x4)-n78A(4x4)  BCS: 1
 UL: CA_n1A-n3A, CA_n1A-n78A, CA_n3A-n78A
 [12 layers, 3 bands, 3 DL carriers, 2 UL carriers, 50+40+100=190 MHz max.]</t>
  </si>
  <si>
    <t>MTR-37360</t>
  </si>
  <si>
    <t>CA_n1A(4x4)-n3A(4x4)-n78A(4x4)  BCS: 2
 UL: n1A, n3A, n78A
 [12 layers, 3 bands, 3 DL carriers, 1 UL carrier, 20+40+100=160 MHz max.]</t>
  </si>
  <si>
    <t>MTR-37361</t>
  </si>
  <si>
    <t>CA_n1A(4x4)-n3A(4x4)-n78A(4x4)  BCS: 2
 UL: CA_n1A-n3A, CA_n1A-n78A, CA_n3A-n78A
 [12 layers, 3 bands, 3 DL carriers, 2 UL carriers, 20+40+100=160 MHz max.]</t>
  </si>
  <si>
    <t>MTR-39761</t>
  </si>
  <si>
    <t>CA_n1A(4x4)-n3A(4x4)-n78A(4x4)  BCS: 4 and 5
 UL: n1A, n3A, n78A
 [12 layers, 3 bands, 3 DL carriers, 1 UL carrier, 50+50+100=200 MHz max.]]</t>
  </si>
  <si>
    <t>MTR-39838</t>
  </si>
  <si>
    <t>CA_n1A(4x4)-n3A(4x4)-n78A(4x4)  BCS: 4 and 5
 UL: CA_n1A-n3A, CA_n1A-n78A, CA_n3A-n78A
 [12 layers, 3 bands, 3 DL carriers, 2 UL carriers, 50+50+100=200 MHz max.]</t>
  </si>
  <si>
    <t>MTR-37925</t>
  </si>
  <si>
    <t>CA_n1A(4x4)-n7A(4x4)-n8A(2x2)  BCS: 0
 UL: n1A, n7A, n8A
 [10 layers, 3 bands, 3 DL carriers, 1 UL carrier, 40+50+20=110 MHz max.]</t>
  </si>
  <si>
    <t>n1A, n7A, n8A</t>
  </si>
  <si>
    <t>CA_n1A-n7A-n8A</t>
  </si>
  <si>
    <t>MTR-38922</t>
  </si>
  <si>
    <t>CA_n1A(4x4)-n7A(4x4)-n8A(2x2)  BCS: 0
 UL: CA_n1A-n7A, CA_n1A-n8A, CA_n7A-n8A
 [10 layers, 3 bands, 3 DL carriers, 2 UL carriers, 40+50+20=110 MHz max.]</t>
  </si>
  <si>
    <t>CA_n1A-n7A, CA_n1A-n8A, CA_n7A-n8A</t>
  </si>
  <si>
    <t>MTR-37362</t>
  </si>
  <si>
    <t>CA_n1A(4x4)-n7A(4x4)-n28A(2x2)  BCS: 0
 UL: n1A, n7A, n28A
 [10 layers, 3 bands, 3 DL carriers, 1 UL carrier, 20+50+20=90 MHz max.]</t>
  </si>
  <si>
    <t>n1A, n7A, n28A</t>
  </si>
  <si>
    <t>CA_n1A-n7A-n28A</t>
  </si>
  <si>
    <t xml:space="preserve">SA disabled.
MIMO not matching ['(4-2-2)'] 
</t>
  </si>
  <si>
    <t>MTR-37363</t>
  </si>
  <si>
    <t>CA_n1A(4x4)-n7A(4x4)-n28A(2x2)  BCS: 0
 UL: CA_n1A-n7A, CA_n1A-n28A, CA_n7A-n28A
 [10 layers, 3 bands, 3 DL carriers, 2 UL carriers, 20+50+20=90 MHz max.]</t>
  </si>
  <si>
    <t>CA_n1A-n7A, CA_n1A-n28A, CA_n7A-n28A</t>
  </si>
  <si>
    <t xml:space="preserve">SA disabled.
UL CA: Support for inter-band UL-CA FDD + TDD only 
MIMO not matching ['(4-2-2)'] 
</t>
  </si>
  <si>
    <t>MTR-39759</t>
  </si>
  <si>
    <t>CA_n1A(4x4)-n7A(4x4)-n75A(4x4)  BCS: 4 and 5
 UL: n1A, n7A
 [12 layers, 3 bands, 3 DL carriers, 1 UL carrier, 50+50+50=150 MHz max.]</t>
  </si>
  <si>
    <t>CA_n1A-n7A-n75A</t>
  </si>
  <si>
    <t>MTR-37364</t>
  </si>
  <si>
    <t>CA_n1A(4x4)-n7A(4x4)-n78A(4x4)  BCS: 0
 UL: n1A, n7A, n78A
 [12 layers, 3 bands, 3 DL carriers, 1 UL carrier, 20+50+100=170 MHz max.]</t>
  </si>
  <si>
    <t>n1A, n7A, n78A</t>
  </si>
  <si>
    <t>CA_n1A-n7A-n78A</t>
  </si>
  <si>
    <t xml:space="preserve">SA disabled.
MIMO not matching ['(4-2-4)'] 
</t>
  </si>
  <si>
    <t>MTR-37365</t>
  </si>
  <si>
    <t>CA_n1A(4x4)-n7A(4x4)-n78A(4x4)  BCS: 0
 UL: CA_n1A-n7A, CA_n1A-n78A, CA_n7A-n78A
 [12 layers, 3 bands, 3 DL carriers, 2 UL carriers, 20+50+100=170 MHz max.]</t>
  </si>
  <si>
    <t>CA_n1A-n7A, CA_n1A-n78A, CA_n7A-n78A</t>
  </si>
  <si>
    <t xml:space="preserve">SA disabled.
UL CA: Support for inter-band UL-CA FDD + TDD only 
MIMO not matching ['(4-2-4)'] 
</t>
  </si>
  <si>
    <t>MTR-37366</t>
  </si>
  <si>
    <t>CA_n1A(4x4)-n7A(4x4)-n78A(4x4)  BCS: 1
 UL: n1A, n7A, n78A
 [12 layers, 3 bands, 3 DL carriers, 1 UL carrier, 20+50+100=170 MHz max.]</t>
  </si>
  <si>
    <t>MTR-37367</t>
  </si>
  <si>
    <t>CA_n1A(4x4)-n7A(4x4)-n78A(4x4)  BCS: 1
 UL: CA_n1A-n7A, CA_n1A-n78A, CA_n7A-n78A
 [12 layers, 3 bands, 3 DL carriers, 2 UL carriers, 20+50+100=170 MHz max.]</t>
  </si>
  <si>
    <t>MTR-39758</t>
  </si>
  <si>
    <t>CA_n1A(4x4)-n7A(4x4)-n78A(4x4)  BCS: 4 and 5
 UL: n1A, n7A, n78A
 [12 layers, 3 bands, 3 DL carriers, 1 UL carrier, 50+50+100=200 MHz max.]</t>
  </si>
  <si>
    <t xml:space="preserve">SA disabled.
MIMO not matching ['(4-2-4)'] 
BSC not matching, BSC (0:1) 
</t>
  </si>
  <si>
    <t>MTR-37926</t>
  </si>
  <si>
    <t>CA_n1A(4x4)-n8A(2x2)-n28A(2x2)  BCS: 0
 UL: n1A, n8A, n28A
 [8 layers, 3 bands, 3 DL carriers, 1 UL carrier, 50+20+20=90 MHz max.]</t>
  </si>
  <si>
    <t>n1A, n8A, n28A</t>
  </si>
  <si>
    <t>CA_n1A-n8A-n28A</t>
  </si>
  <si>
    <t>MTR-37368</t>
  </si>
  <si>
    <t>CA_n1A(4x4)-n8A(2x2)-n78A(4x4)  BCS: 0
 UL: n1A, n8A, n78A
 [10 layers, 3 bands, 3 DL carriers, 1 UL carrier, 20+20+100=140 MHz max.]</t>
  </si>
  <si>
    <t>n1A, n8A, n78A</t>
  </si>
  <si>
    <t>CA_n1A-n8A-n78A</t>
  </si>
  <si>
    <t>MTR-39156</t>
  </si>
  <si>
    <t>CA_n1A(4x4)-n8A(2x2)-n78A(4x4)  BCS: 0
 UL: CA_n1A-n8A, CA_n1A-n78A, CA_n8A-n78A
 [10 layers, 3 bands, 3 DL carriers, 2 UL carriers, 20+20+100=140 MHz max.]</t>
  </si>
  <si>
    <t>CA_n1A-n8A, CA_n1A-n78A, CA_n8A-n78A</t>
  </si>
  <si>
    <t>MTR-37369</t>
  </si>
  <si>
    <t>CA_n1A(4x4)-n8A(2x2)-n78A(4x4)  BCS: 1
 UL: n1A, n8A, n78A
 [10 layers, 3 bands, 3 DL carriers, 1 UL carrier, 20+20+100=140 MHz max.]</t>
  </si>
  <si>
    <t>MTR-40225</t>
  </si>
  <si>
    <t>CA_n1A(4x4)-n8A(2x2)-n78A(4x4)  BCS: 4 and 5
 UL: n1A, n8A, n78A
 [10 layers, 3 bands, 3 DL carriers, 1 UL carrier, 50+35+100=185 MHz max.]</t>
  </si>
  <si>
    <t>MTR-40226</t>
  </si>
  <si>
    <t>CA_n1A(4x4)-n8A(2x2)-n78A(4x4)  BCS: 4 and 5
 UL: CA_n1A-n8A, CA_n1A-n78A, CA_n8A-n78A
 [10 layers, 3 bands, 3 DL carriers, 2 UL carriers, 50+35+100=185 MHz max.]</t>
  </si>
  <si>
    <t>MTR-37370</t>
  </si>
  <si>
    <t>CA_n1A(4x4)-n20A(2x2)-n78A(4x4)  BCS: 0
 UL: n1A, n20A, n78A
 [10 layers, 3 bands, 3 DL carriers, 1 UL carrier, 50+20+100=170 MHz max.]</t>
  </si>
  <si>
    <t>n1A, n20A, n78A</t>
  </si>
  <si>
    <t>CA_n1A-n20A-n78A</t>
  </si>
  <si>
    <t>MTR-39757</t>
  </si>
  <si>
    <t>CA_n1A(4x4)-n28A(2x2)-n75A(4x4)  BCS: 0
 UL: n1A, n28A
 [10 layers, 3 bands, 3 DL carriers, 1 UL carrier, 20+20+50=90 MHz max.]</t>
  </si>
  <si>
    <t>CA_n1A-n28A-n75A</t>
  </si>
  <si>
    <t>MTR-37371</t>
  </si>
  <si>
    <t>CA_n1A(4x4)-n28A(2x2)-n78A(4x4)  BCS: 0
 UL: n1A, n28A, n78A
 [10 layers, 3 bands, 3 DL carriers, 1 UL carrier, 20+20+100=140 MHz max.]</t>
  </si>
  <si>
    <t>n1A, n28A, n78A</t>
  </si>
  <si>
    <t>CA_n1A-n28A-n78A</t>
  </si>
  <si>
    <t>MTR-37372</t>
  </si>
  <si>
    <t>CA_n1A(4x4)-n28A(2x2)-n78A(4x4)  BCS: 0
 UL: CA_n1A-n28A, CA_n1A-n78A, CA_n28A-n78A
 [10 layers, 3 bands, 3 DL carriers, 2 UL carriers, 20+20+100=140 MHz max.]</t>
  </si>
  <si>
    <t>CA_n1A-n28A, CA_n1A-n78A, CA_n28A-n78A</t>
  </si>
  <si>
    <t>MTR-37373</t>
  </si>
  <si>
    <t>CA_n1A(4x4)-n28A(2x2)-n78A(4x4)  BCS: 1
 UL: n1A, n28A, n78A
 [10 layers, 3 bands, 3 DL carriers, 1 UL carrier, 20+20+100=140 MHz max.]</t>
  </si>
  <si>
    <t>MTR-37374</t>
  </si>
  <si>
    <t>CA_n1A(4x4)-n28A(2x2)-n78A(4x4)  BCS: 1
 UL: CA_n1A-n28A, CA_n1A-n78A, CA_n28A-n78A
 [10 layers, 3 bands, 3 DL carriers, 2 UL carriers, 20+20+100=140 MHz max.]</t>
  </si>
  <si>
    <t>MTR-39153</t>
  </si>
  <si>
    <t>CA_n1A(4x4)-n28A(2x2)-n78A(4x4)  BCS: 2
 UL: n1A, n28A, n78A
 [10 layers, 3 bands, 3 DL carriers, 1 UL carrier, 50+30+100=180 MHz max.]</t>
  </si>
  <si>
    <t>MTR-39154</t>
  </si>
  <si>
    <t>CA_n1A(4x4)-n28A(2x2)-n78A(4x4)  BCS: 2
 UL: CA_n1A-n28A, CA_n1A-n78A, CA_n28A-n78A
 [10 layers, 3 bands, 3 DL carriers, 2 UL carriers, 50+30+100=180 MHz max.]</t>
  </si>
  <si>
    <t>MTR-39756</t>
  </si>
  <si>
    <t>CA_n1A(4x4)-n75A(4x4)-n78A(4x4)  BCS: 4 and 5
 UL: n1A, n78A
 [12 layers, 3 bands, 3 DL carriers, 1 UL carrier, 50+50+100=200 MHz max.]</t>
  </si>
  <si>
    <t>CA_n1A-n75A-n78A</t>
  </si>
  <si>
    <t>MTR-37401</t>
  </si>
  <si>
    <t>CA_n1A(4x4)-n78C(4x4)  BCS: 0
 UL: n1A, n78A
 [12 layers, 2 bands, 3 DL carriers, 1 UL carrier, 20+200=220 MHz max.]</t>
  </si>
  <si>
    <t>CA_n1A-n78C</t>
  </si>
  <si>
    <t>MTR-37402</t>
  </si>
  <si>
    <t>CA_n1A(4x4)-n78C(4x4)  BCS: 0
 UL: CA_n78C, CA_n1A-n78A
 [12 layers, 2 bands, 3 DL carriers, 2 UL carriers, 20+200=220 MHz max.]</t>
  </si>
  <si>
    <t>CA_n78C, CA_n1A-n78A</t>
  </si>
  <si>
    <t>MTR-37403</t>
  </si>
  <si>
    <t>CA_n1A(4x4)-n78C(4x4)  BCS: 1
 UL: n1A, n78A
 [12 layers, 2 bands, 3 DL carriers, 1 UL carrier, 50+200=250 MHz max.]</t>
  </si>
  <si>
    <t>MTR-37404</t>
  </si>
  <si>
    <t>CA_n1A(4x4)-n78C(4x4)  BCS: 1
 UL: CA_n78C, CA_n1A-n78A
 [12 layers, 2 bands, 3 DL carriers, 2 UL carriers, 50+200=250 MHz max.]</t>
  </si>
  <si>
    <t>MTR-37405</t>
  </si>
  <si>
    <t>CA_n1A(4x4)-n78C(4x4)  BCS: 2
 UL: n1A, n78A
 [12 layers, 2 bands, 3 DL carriers, 1 UL carrier, 40+200=240 MHz max.]</t>
  </si>
  <si>
    <t>MTR-37406</t>
  </si>
  <si>
    <t>CA_n1A(4x4)-n78C(4x4)  BCS: 2
 UL: CA_n78C, CA_n1A-n78A
 [12 layers, 2 bands, 3 DL carriers, 2 UL carriers, 40+200=240 MHz max.]</t>
  </si>
  <si>
    <t>MTR-39661</t>
  </si>
  <si>
    <t>CA_n1A(4x4)-n78C(4x4)  BCS: 3
 UL: n1A, n78A
 [12 layers, 2 bands, 3 DL carriers, 1 UL carrier, 50+200=250 MHz max.]</t>
  </si>
  <si>
    <t>MTR-39662</t>
  </si>
  <si>
    <t>CA_n1A(4x4)-n78C(4x4)  BCS: 3
 UL: CA_n78C, CA_n1A-n78A
 [12 layers, 2 bands, 3 DL carriers, 2 UL carriers, 50+200=250 MHz max.]</t>
  </si>
  <si>
    <t>MTR-39754</t>
  </si>
  <si>
    <t>CA_n1A(4x4)-n78C(4x4)  BCS: 4 and 5
 UL: n1A, n78A
 [12 layers, 2 bands, 3 DL carriers, 1 UL carrier, 50+200=250 MHz max.]</t>
  </si>
  <si>
    <t>MTR-39755</t>
  </si>
  <si>
    <t>CA_n1A(4x4)-n78C(4x4)  BCS: 4 and 5
 UL: CA_n78C, CA_n1A-n78A, CA_n1A-n78C
 [12 layers, 2 bands, 3 DL carriers, 2 UL carriers, 50+200=250 MHz max.]</t>
  </si>
  <si>
    <t>CA_n78C, CA_n1A-n78A, CA_n1A-n78C</t>
  </si>
  <si>
    <t>MTR-37395</t>
  </si>
  <si>
    <t>CA_n1A(4x4)-n78(2A)(4x4)  BCS: 0
 UL: n1A, n78A
 [12 layers, 2 bands, 3 DL carriers, 1 UL carrier, 20+200=220 MHz max.]</t>
  </si>
  <si>
    <t>CA_n1A-n78(2A)</t>
  </si>
  <si>
    <t>MTR-37396</t>
  </si>
  <si>
    <t>CA_n1A(4x4)-n78(2A)(4x4)  BCS: 0
 UL: CA_n1A-n78A
 [12 layers, 2 bands, 3 DL carriers, 2 UL carriers, 20+200=220 MHz max.]</t>
  </si>
  <si>
    <t>MTR-37397</t>
  </si>
  <si>
    <t>CA_n1A(4x4)-n78(2A)(4x4)  BCS: 1
 UL: n1A, n78A
 [12 layers, 2 bands, 3 DL carriers, 1 UL carrier, 50+200=250 MHz max.]</t>
  </si>
  <si>
    <t>MTR-37398</t>
  </si>
  <si>
    <t>CA_n1A(4x4)-n78(2A)(4x4)  BCS: 1
 UL: CA_n1A-n78A
 [12 layers, 2 bands, 3 DL carriers, 2 UL carriers, 50+200=250 MHz max.]</t>
  </si>
  <si>
    <t>MTR-37399</t>
  </si>
  <si>
    <t>CA_n1A(4x4)-n78(2A)(4x4)  BCS: 2
 UL: n1A, n78A
 [12 layers, 2 bands, 3 DL carriers, 1 UL carrier, 20+200=220 MHz max.]</t>
  </si>
  <si>
    <t>MTR-37400</t>
  </si>
  <si>
    <t>CA_n1A(4x4)-n78(2A)(4x4)  BCS: 2
 UL: CA_n78(2A), CA_n1A-n78A
 [12 layers, 2 bands, 3 DL carriers, 2 UL carriers, 20+200=220 MHz max.]</t>
  </si>
  <si>
    <t>CA_n78(2A), CA_n1A-n78A</t>
  </si>
  <si>
    <t>MTR-39752</t>
  </si>
  <si>
    <t>CA_n1A(4x4)-n78(2A)(4x4)  BCS: 4 and 5
 UL: n1A, n78A
 [12 layers, 2 bands, 3 DL carriers, 1 UL carrier, 50+200=250 MHz max.]</t>
  </si>
  <si>
    <t>MTR-39753</t>
  </si>
  <si>
    <t>CA_n1A(4x4)-n78(2A)(4x4)  BCS: 4 and 5
 UL: CA_n78(2A), CA_n1A-n78A
 [12 layers, 2 bands, 3 DL carriers, 2 UL carriers, 50+200=250 MHz max.]</t>
  </si>
  <si>
    <t>MTR-39902</t>
  </si>
  <si>
    <t>CA_n3(2A)(4x4)-n7A(4x4)  BCS: 0
 UL: n3A, n7A
 [12 layers, 2 bands, 3 DL carriers, 1 UL carrier, 40+50=90 MHz max.]</t>
  </si>
  <si>
    <t>CA_n3(2A)-n7A</t>
  </si>
  <si>
    <t>MTR-39907</t>
  </si>
  <si>
    <t>CA_n3(2A)(4x4)-n7A(4x4)  BCS: 1
 UL: n3A, n7A
 [12 layers, 2 bands, 3 DL carriers, 1 UL carrier, 60+50=110 MHz max.]</t>
  </si>
  <si>
    <t>MTR-39906</t>
  </si>
  <si>
    <t>CA_n3(2A)(4x4)-n8A(2x2)  BCS: 0
 UL: n3A, n8A
 [10 layers, 2 bands, 3 DL carriers, 1 UL carrier, 40+20=60 MHz max.]</t>
  </si>
  <si>
    <t>CA_n3(2A)-n8A</t>
  </si>
  <si>
    <t>MTR-39905</t>
  </si>
  <si>
    <t>CA_n3(2A)(4x4)-n28A(2x2)  BCS: 0
 UL: n3A, n28A
 [10 layers, 2 bands, 3 DL carriers, 1 UL carrier, 40+20=60 MHz max.]</t>
  </si>
  <si>
    <t>CA_n3(2A)-n28A</t>
  </si>
  <si>
    <t>MTR-39904</t>
  </si>
  <si>
    <t>CA_n3(2A)(4x4)-n78A(4x4)  BCS: 0
 UL: n3A, n78A
 [12 layers, 2 bands, 3 DL carriers, 1 UL carrier, 40+100=140 MHz max.]</t>
  </si>
  <si>
    <t>CA_n3(2A)-n78A</t>
  </si>
  <si>
    <t>MTR-39903</t>
  </si>
  <si>
    <t>CA_n3(2A)(4x4)-n78A(4x4)  BCS: 1
 UL: n3A, n78A
 [12 layers, 2 bands, 3 DL carriers, 1 UL carrier, 60+100=160 MHz max.]</t>
  </si>
  <si>
    <t>MTR-37927</t>
  </si>
  <si>
    <t>CA_n3A(4x4)-n7A(4x4)-n8A(2x2)  BCS: 0
 UL: n3A, n7A, n8A
 [10 layers, 3 bands, 3 DL carriers, 1 UL carrier, 50+50+35=135 MHz max.]</t>
  </si>
  <si>
    <t>n3A, n7A, n8A</t>
  </si>
  <si>
    <t>CA_n3A-n7A-n8A</t>
  </si>
  <si>
    <t>MTR-39751</t>
  </si>
  <si>
    <t>CA_n3A(4x4)-n7A(4x4)-n8A(2x2)  BCS: 0
 UL: CA_n3A-n7A, CA_n3A-n8A, CA_n7A-n8A
 [10 layers, 3 bands, 3 DL carriers, 2 UL carriers, 50+50+35=135 MHz max.]</t>
  </si>
  <si>
    <t>CA_n3A-n7A, CA_n3A-n8A, CA_n7A-n8A</t>
  </si>
  <si>
    <t>MTR-40084</t>
  </si>
  <si>
    <t>CA_n3A(4x4)-n7A(4x4)-n20A(2x2)  BCS: 4 and 5
 UL: n3A, n7A, n20A
 [10 layers, 3 bands, 3 DL carriers, 1 UL carrier, 50+50+20=120 MHz max.]</t>
  </si>
  <si>
    <t>n3A, n7A, n20A</t>
  </si>
  <si>
    <t>CA_n3A-n7A-n20A</t>
  </si>
  <si>
    <t>MTR-40085</t>
  </si>
  <si>
    <t>CA_n3A(4x4)-n7A(4x4)-n20A(2x2)  BCS: 4 and 5
 UL: CA_n3A-n7A, CA_n3A-n20A, CA_n7A-n20A
 [10 layers, 3 bands, 3 DL carriers, 2 UL carriers, 50+50+20=120 MHz max.]</t>
  </si>
  <si>
    <t>CA_n3A-n7A, CA_n3A-n20A, CA_n7A-n20A</t>
  </si>
  <si>
    <t>MTR-37375</t>
  </si>
  <si>
    <t>CA_n3A(4x4)-n7A(4x4)-n28A(2x2)  BCS: 0
 UL: n3A, n7A, n28A
 [10 layers, 3 bands, 3 DL carriers, 1 UL carrier, 30+50+20=100 MHz max.]</t>
  </si>
  <si>
    <t>n3A, n7A, n28A</t>
  </si>
  <si>
    <t>CA_n3A-n7A-n28A</t>
  </si>
  <si>
    <t>MTR-37376</t>
  </si>
  <si>
    <t>CA_n3A(4x4)-n7A(4x4)-n28A(2x2)  BCS: 1
 UL: n3A, n7A, n28A
 [10 layers, 3 bands, 3 DL carriers, 1 UL carrier, 40+50+20=110 MHz max.]</t>
  </si>
  <si>
    <t>MTR-37377</t>
  </si>
  <si>
    <t>CA_n3A(4x4)-n7A(4x4)-n28A(2x2)  BCS: 1
 UL: CA_n3A-n7A, CA_n3A-n28A, CA_n7A-n28A
 [10 layers, 3 bands, 3 DL carriers, 2 UL carriers, 40+50+20=110 MHz max.]</t>
  </si>
  <si>
    <t>CA_n3A-n7A, CA_n3A-n28A, CA_n7A-n28A</t>
  </si>
  <si>
    <t>MTR-37378</t>
  </si>
  <si>
    <t>CA_n3A(4x4)-n7A(4x4)-n28A(2x2)  BCS: 2
 UL: n3A, n7A, n28A
 [10 layers, 3 bands, 3 DL carriers, 1 UL carrier, 50+50+20=120 MHz max.]</t>
  </si>
  <si>
    <t>MTR-37379</t>
  </si>
  <si>
    <t>CA_n3A(4x4)-n7A(4x4)-n28A(2x2)  BCS: 2
 UL: CA_n3A-n7A, CA_n3A-n28A, CA_n7A-n28A
 [10 layers, 3 bands, 3 DL carriers, 2 UL carriers, 50+50+20=120 MHz max.]</t>
  </si>
  <si>
    <t>MTR-39750</t>
  </si>
  <si>
    <t>CA_n3A(4x4)-n7A(4x4)-n75A(4x4)  BCS: 4 and 5
 UL: n3A, n7A
 [12 layers, 3 bands, 3 DL carriers, 1 UL carrier, 50+50+50=150 MHz max.]</t>
  </si>
  <si>
    <t>CA_n3A-n7A-n75A</t>
  </si>
  <si>
    <t>MTR-37380</t>
  </si>
  <si>
    <t>CA_n3A(4x4)-n7A(4x4)-n78A(4x4)  BCS: 0
 UL: n3A, n7A, n78A
 [12 layers, 3 bands, 3 DL carriers, 1 UL carrier, 30+50+100=180 MHz max.]</t>
  </si>
  <si>
    <t>n3A, n7A, n78A</t>
  </si>
  <si>
    <t>CA_n3A-n7A-n78A</t>
  </si>
  <si>
    <t>MTR-39663</t>
  </si>
  <si>
    <t>CA_n3A(4x4)-n7A(4x4)-n78A(4x4)  BCS: 0
 UL: CA_n3A-n7A, CA_n3A-n78A, CA_n7A-n78A
 [12 layers, 3 bands, 3 DL carriers, 2 UL carriers, 30+50+100=180 MHz max.]</t>
  </si>
  <si>
    <t>CA_n3A-n7A, CA_n3A-n78A, CA_n7A-n78A</t>
  </si>
  <si>
    <t>MTR-38587</t>
  </si>
  <si>
    <t>CA_n3A(4x4)-n7A(4x4)-n78A(4x4)  BCS: 1
 UL: n3A, n7A, n78A
 [12 layers, 3 bands, 3 DL carriers, 1 UL carrier, 40+50+100=190 MHz max.]</t>
  </si>
  <si>
    <t>MTR-38588</t>
  </si>
  <si>
    <t>CA_n3A(4x4)-n7A(4x4)-n78A(4x4)  BCS: 1
 UL: CA_n3A-n7A, CA_n3A-n78A, CA_n7A-n78A
 [12 layers, 3 bands, 3 DL carriers, 2 UL carriers, 40+50+100=190 MHz max.]</t>
  </si>
  <si>
    <t>MTR-39749</t>
  </si>
  <si>
    <t>CA_n3A(4x4)-n7A(4x4)-n78A(4x4)  BCS: 4 and 5
 UL: n3A, n7A, n78A
 [12 layers, 3 bands, 3 DL carriers, 1 UL carrier, 50+50+100=200 MHz max.]</t>
  </si>
  <si>
    <t>MTR-39839</t>
  </si>
  <si>
    <t>CA_n3A(4x4)-n7A(4x4)-n78A(4x4)  BCS: 4 and 5
 UL: CA_n3A-n7A, CA_n3A-n78A, CA_n7A-n78A
 [12 layers, 3 bands, 3 DL carriers, 2 UL carriers, 50+50+100=200 MHz max.]</t>
  </si>
  <si>
    <t xml:space="preserve">SA disabled.
UL CA: Support for inter-band UL-CA FDD + TDD only 
MIMO not matching ['(4-2-4)'] 
BSC not matching, BSC (0:1) 
</t>
  </si>
  <si>
    <t>MTR-37928</t>
  </si>
  <si>
    <t>CA_n3A(4x4)-n8A(2x2)-n28A(2x2)  BCS: 0
 UL: n3A, n8A, n28A
 [8 layers, 3 bands, 3 DL carriers, 1 UL carrier, 50+35+30=115 MHz max.]</t>
  </si>
  <si>
    <t>n3A, n8A, n28A</t>
  </si>
  <si>
    <t>CA_n3A-n8A-n28A</t>
  </si>
  <si>
    <t>MTR-37381</t>
  </si>
  <si>
    <t>CA_n3A(4x4)-n8A(2x2)-n78A(4x4)  BCS: 0
 UL: n3A, n8A, n78A
 [10 layers, 3 bands, 3 DL carriers, 1 UL carrier, 30+20+100=150 MHz max.]</t>
  </si>
  <si>
    <t>n3A, n8A, n78A</t>
  </si>
  <si>
    <t>CA_n3A-n8A-n78A</t>
  </si>
  <si>
    <t>MTR-37382</t>
  </si>
  <si>
    <t>CA_n3A(4x4)-n8A(2x2)-n78A(4x4)  BCS: 0
 UL: CA_n3A-n8A, CA_n3A-n78A, CA_n8A-n78A
 [10 layers, 3 bands, 3 DL carriers, 2 UL carriers, 30+20+100=150 MHz max.]</t>
  </si>
  <si>
    <t>CA_n3A-n8A, CA_n3A-n78A, CA_n8A-n78A</t>
  </si>
  <si>
    <t>MTR-39664</t>
  </si>
  <si>
    <t>CA_n3A(4x4)-n20A(2x2)-n28A(2x2)  BCS: 0
 UL: n3A, n20A, n28A
 [8 layers, 3 bands, 3 DL carriers, 1 UL carrier, 40+20+30=90 MHz max.]</t>
  </si>
  <si>
    <t>n3A, n20A, n28A</t>
  </si>
  <si>
    <t>CA_n3A-n20A-n28A</t>
  </si>
  <si>
    <t>MTR-39665</t>
  </si>
  <si>
    <t>CA_n3A(4x4)-n20A(2x2)-n28A(2x2)  BCS: 0
 UL: CA_n3A-n20A, CA_n3A-n28A, CA_n20A-n28A
 [8 layers, 3 bands, 3 DL carriers, 2 UL carriers, 40+20+30=90 MHz max.]</t>
  </si>
  <si>
    <t>CA_n3A-n20A, CA_n3A-n28A, CA_n20A-n28A</t>
  </si>
  <si>
    <t>MTR-37383</t>
  </si>
  <si>
    <t>CA_n3A(4x4)-n20A(2x2)-n78A(4x4)  BCS: 0
 UL: n3A, n20A, n78A
 [10 layers, 3 bands, 3 DL carriers, 1 UL carrier, 40+20+100=160 MHz max.]</t>
  </si>
  <si>
    <t>n3A, n20A, n78A</t>
  </si>
  <si>
    <t>CA_n3A-n20A-n78A</t>
  </si>
  <si>
    <t>MTR-40086</t>
  </si>
  <si>
    <t>CA_n3A(4x4)-n20A(2x2)-n78A(4x4)  BCS: 0
 UL: CA_n3A-n20A, CA_n3A-n78A, CA_n20A-n78A
 [10 layers, 3 bands, 3 DL carriers, 2 UL carriers, 40+20+100=160 MHz max.]</t>
  </si>
  <si>
    <t>CA_n3A-n20A, CA_n3A-n78A, CA_n20A-n78A</t>
  </si>
  <si>
    <t>MTR-40087</t>
  </si>
  <si>
    <t>CA_n3A(4x4)-n20A(2x2)-n78A(4x4)  BCS: 4 and 5
 UL: n3A, n20A, n78A
 [10 layers, 3 bands, 3 DL carriers, 1 UL carrier, 50+20+100=170 MHz max.]</t>
  </si>
  <si>
    <t>MTR-40088</t>
  </si>
  <si>
    <t>CA_n3A(4x4)-n20A(2x2)-n78A(4x4)  BCS: 4 and 5
 UL: CA_n3A-n20A, CA_n3A-n78A, CA_n20A-n78A
 [10 layers, 3 bands, 3 DL carriers, 2 UL carriers, 50+20+100=170 MHz max.]</t>
  </si>
  <si>
    <t>MTR-37384</t>
  </si>
  <si>
    <t>CA_n3A(4x4)-n28A(2x2)-n78A(4x4)  BCS: 0
 UL: n3A, n28A, n78A
 [10 layers, 3 bands, 3 DL carriers, 1 UL carrier, 20+20+100=140 MHz max.]</t>
  </si>
  <si>
    <t>n3A, n28A, n78A</t>
  </si>
  <si>
    <t>CA_n3A-n28A-n78A</t>
  </si>
  <si>
    <t>MTR-37385</t>
  </si>
  <si>
    <t>CA_n3A(4x4)-n28A(2x2)-n78A(4x4)  BCS: 0
 UL: CA_n3A-n28A, CA_n3A-n78A, CA_n28A-n78A
 [10 layers, 3 bands, 3 DL carriers, 2 UL carriers, 20+20+100=140 MHz max.]</t>
  </si>
  <si>
    <t>CA_n3A-n28A, CA_n3A-n78A, CA_n28A-n78A</t>
  </si>
  <si>
    <t>MTR-37386</t>
  </si>
  <si>
    <t>CA_n3A(4x4)-n28A(2x2)-n78A(4x4)  BCS: 1
 UL: n3A, n28A, n78A
 [10 layers, 3 bands, 3 DL carriers, 1 UL carrier, 40+20+100=160 MHz max.]</t>
  </si>
  <si>
    <t>MTR-37387</t>
  </si>
  <si>
    <t>CA_n3A(4x4)-n28A(2x2)-n78A(4x4)  BCS: 1
 UL: CA_n3A-n28A, CA_n3A-n78A, CA_n28A-n78A
 [10 layers, 3 bands, 3 DL carriers, 2 UL carriers, 40+20+100=160 MHz max.]</t>
  </si>
  <si>
    <t>MTR-37388</t>
  </si>
  <si>
    <t>CA_n3A(4x4)-n28A(2x2)-n78A(4x4)  BCS: 2
 UL: n3A, n28A, n78A
 [10 layers, 3 bands, 3 DL carriers, 1 UL carrier, 40+10+100=150 MHz max.]</t>
  </si>
  <si>
    <t>MTR-37389</t>
  </si>
  <si>
    <t>CA_n3A(4x4)-n28A(2x2)-n78A(4x4)  BCS: 2
 UL: CA_n3A-n28A, CA_n3A-n78A, CA_n28A-n78A
 [10 layers, 3 bands, 3 DL carriers, 2 UL carriers, 40+10+100=150 MHz max.]</t>
  </si>
  <si>
    <t>MTR-39748</t>
  </si>
  <si>
    <t>CA_n3A(4x4)-n75A(4x4)-n78A(4x4)  BCS: 4 and 5
 UL: n3A, n78A
 [12 layers, 3 bands, 3 DL carriers, 1 UL carrier, 50+50+100=200 MHz max.]</t>
  </si>
  <si>
    <t>CA_n3A-n75A-n78A</t>
  </si>
  <si>
    <t>MTR-37407</t>
  </si>
  <si>
    <t>CA_n3A(4x4)-n78C(4x4)  BCS: 0
 UL: n3A, n78A
 [12 layers, 2 bands, 3 DL carriers, 1 UL carrier, 30+200=230 MHz max.]</t>
  </si>
  <si>
    <t>CA_n3A-n78C</t>
  </si>
  <si>
    <t>MTR-37408</t>
  </si>
  <si>
    <t>CA_n3A(4x4)-n78C(4x4)  BCS: 0
 UL: CA_n78C, CA_n3A-n78A
 [12 layers, 2 bands, 3 DL carriers, 2 UL carriers, 30+200=230 MHz max.]</t>
  </si>
  <si>
    <t>CA_n78C, CA_n3A-n78A</t>
  </si>
  <si>
    <t>MTR-37409</t>
  </si>
  <si>
    <t>CA_n3A(4x4)-n78C(4x4)  BCS: 1
 UL: n3A, n78A
 [12 layers, 2 bands, 3 DL carriers, 1 UL carrier, 40+200=240 MHz max.]</t>
  </si>
  <si>
    <t>MTR-37410</t>
  </si>
  <si>
    <t>CA_n3A(4x4)-n78C(4x4)  BCS: 1
 UL: CA_n3A-n78A
 [12 layers, 2 bands, 3 DL carriers, 2 UL carriers, 40+200=240 MHz max.]</t>
  </si>
  <si>
    <t>MTR-39666</t>
  </si>
  <si>
    <t>CA_n3A(4x4)-n78C(4x4)  BCS: 2
 UL: n3A, n78A
 [12 layers, 2 bands, 3 DL carriers, 1 UL carrier, 40+200=240 MHz max.]</t>
  </si>
  <si>
    <t>MTR-39667</t>
  </si>
  <si>
    <t>CA_n3A(4x4)-n78C(4x4)  BCS: 2
 UL: CA_n3A-n78A
 [12 layers, 2 bands, 3 DL carriers, 2 UL carriers, 40+200=240 MHz max.]</t>
  </si>
  <si>
    <t>MTR-39746</t>
  </si>
  <si>
    <t>CA_n3A(4x4)-n78C(4x4)  BCS: 4 and 5
 UL: n3A, n78A
 [12 layers, 2 bands, 3 DL carriers, 1 UL carrier, 50+200=250 MHz max.]</t>
  </si>
  <si>
    <t>MTR-39747</t>
  </si>
  <si>
    <t>CA_n3A(4x4)-n78C(4x4)  BCS: 4 and 5
 UL: CA_n78C, CA_n3A-n78A, CA_n3A-n78C
 [12 layers, 2 bands, 3 DL carriers, 2 UL carriers, 50+200=250 MHz max.]</t>
  </si>
  <si>
    <t>CA_n78C, CA_n3A-n78A, CA_n3A-n78C</t>
  </si>
  <si>
    <t>MTR-37411</t>
  </si>
  <si>
    <t>CA_n3A(4x4)-n78(2A)(4x4)  BCS: 0
 UL: n3A, n78A
 [12 layers, 2 bands, 3 DL carriers, 1 UL carrier, 30+200=230 MHz max.]</t>
  </si>
  <si>
    <t>CA_n3A-n78(2A)</t>
  </si>
  <si>
    <t>MTR-37412</t>
  </si>
  <si>
    <t>CA_n3A(4x4)-n78(2A)(4x4)  BCS: 0
 UL: CA_n3A-n78A, CA_n78(2A)
 [12 layers, 2 bands, 3 DL carriers, 2 UL carriers, 30+200=230 MHz max.]</t>
  </si>
  <si>
    <t>CA_n3A-n78A, CA_n78(2A)</t>
  </si>
  <si>
    <t>MTR-37413</t>
  </si>
  <si>
    <t>CA_n3A(4x4)-n78(2A)(4x4)  BCS: 1
 UL: n3A, n78A
 [12 layers, 2 bands, 3 DL carriers, 1 UL carrier, 40+200=240 MHz max.]</t>
  </si>
  <si>
    <t>MTR-37414</t>
  </si>
  <si>
    <t>CA_n3A(4x4)-n78(2A)(4x4)  BCS: 1
 UL: CA_n3A-n78A, CA_n78(2A)
 [12 layers, 2 bands, 3 DL carriers, 2 UL carriers, 40+200=240 MHz max.]</t>
  </si>
  <si>
    <t>MTR-39744</t>
  </si>
  <si>
    <t>CA_n3A(4x4)-n78(2A)(4x4)  BCS: 4 and 5
 UL: n3A, n78A
 [12 layers, 2 bands, 3 DL carriers, 1 UL carrier, 50+200=250 MHz max.]</t>
  </si>
  <si>
    <t>MTR-39745</t>
  </si>
  <si>
    <t>CA_n3A(4x4)-n78(2A)(4x4)  BCS: 4 and 5
 UL: CA_n3A-n78A, CA_n78(2A)
 [12 layers, 2 bands, 3 DL carriers, 2 UL carriers, 50+200=250 MHz max.]</t>
  </si>
  <si>
    <t>MTR-39908</t>
  </si>
  <si>
    <t>CA_n7(2A)(4x4)-n78A(4x4)  BCS: 0
 UL: n7A, n78A
 [12 layers, 2 bands, 3 DL carriers, 1 UL carrier, 40+100=140 MHz max.]</t>
  </si>
  <si>
    <t>CA_n7(2A)-n78A</t>
  </si>
  <si>
    <t>MTR-39913</t>
  </si>
  <si>
    <t>CA_n7(2A)(4x4)-n78A(4x4)  BCS: 0
 UL: CA_n7A-n78A
 [12 layers, 2 bands, 3 DL carriers, 2 UL carriers, 40+100=140 MHz max.]</t>
  </si>
  <si>
    <t>MTR-39912</t>
  </si>
  <si>
    <t>CA_n7(2A)(4x4)-n78A(4x4)  BCS: 1
 UL: n7A, n78A
 [12 layers, 2 bands, 3 DL carriers, 1 UL carrier, 40+100=140 MHz max.]</t>
  </si>
  <si>
    <t>MTR-39911</t>
  </si>
  <si>
    <t>CA_n7(2A)(4x4)-n78A(4x4)  BCS: 1
 UL: CA_n7A-n78A
 [12 layers, 2 bands, 3 DL carriers, 2 UL carriers, 40+100=140 MHz max.]</t>
  </si>
  <si>
    <t>MTR-39910</t>
  </si>
  <si>
    <t>CA_n7(2A)(4x4)-n78A(4x4)  BCS: 4 and 5
 UL: n7A, n78A
 [12 layers, 2 bands, 3 DL carriers, 1 UL carrier, 65+100=165 MHz max.]</t>
  </si>
  <si>
    <t>MTR-39909</t>
  </si>
  <si>
    <t>CA_n7(2A)(4x4)-n78A(4x4)  BCS: 4 and 5
 UL: CA_n7A-n78A
 [12 layers, 2 bands, 3 DL carriers, 2 UL carriers, 65+100=165 MHz max.]</t>
  </si>
  <si>
    <t>MTR-37929</t>
  </si>
  <si>
    <t>CA_n7A(4x4)-n8A(2x2)-n28A(2x2)  BCS: 0
 UL: n7A, n8A, n28A
 [8 layers, 3 bands, 3 DL carriers, 1 UL carrier, 50+20+30=100 MHz max.]</t>
  </si>
  <si>
    <t>n7A, n8A, n28A</t>
  </si>
  <si>
    <t>CA_n7A-n8A-n28A</t>
  </si>
  <si>
    <t>MTR-37930</t>
  </si>
  <si>
    <t>CA_n7A(4x4)-n8A(2x2)-n78A(4x4)  BCS: 0
 UL: n7A, n8A, n78A
 [10 layers, 3 bands, 3 DL carriers, 1 UL carrier, 50+20+100=170 MHz max.]</t>
  </si>
  <si>
    <t>n7A, n8A, n78A</t>
  </si>
  <si>
    <t>CA_n7A-n8A-n78A</t>
  </si>
  <si>
    <t>MTR-39157</t>
  </si>
  <si>
    <t>CA_n7A(4x4)-n8A(2x2)-n78A(4x4)  BCS: 0
 UL: CA_n7A-n8A, CA_n7A-n78A, CA_n8A-n78A
 [10 layers, 3 bands, 3 DL carriers, 2 UL carriers, 50+20+100=170 MHz max.]</t>
  </si>
  <si>
    <t>CA_n7A-n8A, CA_n7A-n78A, CA_n8A-n78A</t>
  </si>
  <si>
    <t>MTR-40090</t>
  </si>
  <si>
    <t>CA_n7A(4x4)-n20A(2x2)-n78A(4x4)  BCS: 4 and 5
 UL: n7A, n20A, n78A
 [10 layers, 3 bands, 3 DL carriers, 1 UL carrier, 50+20+100=170 MHz max.]</t>
  </si>
  <si>
    <t>n7A, n20A, n78A</t>
  </si>
  <si>
    <t>CA_n7A-n20A-n78A</t>
  </si>
  <si>
    <t>MTR-40089</t>
  </si>
  <si>
    <t>CA_n7A(4x4)-n20A(2x2)-n78A(4x4)  BCS: 4 and 5
 UL: CA_n7A-n20A, CA_n7A-n78A, CA_n20A-n78A
 [10 layers, 3 bands, 3 DL carriers, 2 UL carriers, 50+20+100=170 MHz max.]</t>
  </si>
  <si>
    <t>CA_n7A-n20A, CA_n7A-n78A, CA_n20A-n78A</t>
  </si>
  <si>
    <t>MTR-37390</t>
  </si>
  <si>
    <t>CA_n7A(4x4)-n28A(2x2)-n78A(4x4)  BCS: 0
 UL: n7A, n28A, n78A
 [10 layers, 3 bands, 3 DL carriers, 1 UL carrier, 50+20+100=170 MHz max.]</t>
  </si>
  <si>
    <t>n7A, n28A, n78A</t>
  </si>
  <si>
    <t>CA_n7A-n28A-n78A</t>
  </si>
  <si>
    <t>MTR-38589</t>
  </si>
  <si>
    <t>CA_n7A(4x4)-n28A(2x2)-n78A(4x4)  BCS: 0
 UL: CA_n7A-n78A, CA_n28A-n78A
 [10 layers, 3 bands, 3 DL carriers, 2 UL carriers, 50+20+100=170 MHz max.]</t>
  </si>
  <si>
    <t>CA_n7A-n78A, CA_n28A-n78A</t>
  </si>
  <si>
    <t>MTR-37391</t>
  </si>
  <si>
    <t>CA_n7A(4x4)-n28A(2x2)-n78A(4x4)  BCS: 1
 UL: n7A, n28A, n78A
 [10 layers, 3 bands, 3 DL carriers, 1 UL carrier, 50+20+100=170 MHz max.]</t>
  </si>
  <si>
    <t>MTR-37392</t>
  </si>
  <si>
    <t>CA_n7A(4x4)-n28A(2x2)-n78A(4x4)  BCS: 1
 UL: CA_n7A-n28A, CA_n7A-n78A, CA_n28A-n78A
 [10 layers, 3 bands, 3 DL carriers, 2 UL carriers, 50+20+100=170 MHz max.]</t>
  </si>
  <si>
    <t>CA_n7A-n28A, CA_n7A-n78A, CA_n28A-n78A</t>
  </si>
  <si>
    <t>MTR-39743</t>
  </si>
  <si>
    <t>CA_n7A(4x4)-n75A(4x4)-n78A(4x4)  BCS: 4 and 5
 UL: n7A, n78A
 [12 layers, 3 bands, 3 DL carriers, 1 UL carrier, 50+50+100=200 MHz max.]</t>
  </si>
  <si>
    <t>CA_n7A-n75A-n78A</t>
  </si>
  <si>
    <t>MTR-39668</t>
  </si>
  <si>
    <t>CA_n7A(4x4)-n78C(4x4)  BCS: 0
 UL: n7A, n78A
 [12 layers, 2 bands, 3 DL carriers, 1 UL carrier, 50+200=250 MHz max.]</t>
  </si>
  <si>
    <t>CA_n7A-n78C</t>
  </si>
  <si>
    <t>MTR-39669</t>
  </si>
  <si>
    <t>CA_n7A(4x4)-n78C(4x4)  BCS: 0
 UL: CA_n7A-n78A
 [12 layers, 2 bands, 3 DL carriers, 2 UL carriers, 50+200=250 MHz max.]</t>
  </si>
  <si>
    <t>MTR-37415</t>
  </si>
  <si>
    <t>CA_n7A(4x4)-n78(2A)(4x4)  BCS: 0
 UL: n7A, n78A
 [12 layers, 2 bands, 3 DL carriers, 1 UL carrier, 50+200=250 MHz max.]</t>
  </si>
  <si>
    <t>CA_n7A-n78(2A)</t>
  </si>
  <si>
    <t>MTR-37416</t>
  </si>
  <si>
    <t>CA_n7A(4x4)-n78(2A)(4x4)  BCS: 0
 UL: CA_n7A-n78A, CA_n78(2A)
 [12 layers, 2 bands, 3 DL carriers, 2 UL carriers, 50+200=250 MHz max.]</t>
  </si>
  <si>
    <t>CA_n7A-n78A, CA_n78(2A)</t>
  </si>
  <si>
    <t>MTR-37417</t>
  </si>
  <si>
    <t>CA_n7A(4x4)-n78(2A)(4x4)  BCS: 1
 UL: n7A, n78A
 [12 layers, 2 bands, 3 DL carriers, 1 UL carrier, 50+200=250 MHz max.]</t>
  </si>
  <si>
    <t>MTR-37418</t>
  </si>
  <si>
    <t>CA_n7A(4x4)-n78(2A)(4x4)  BCS: 1
 UL: CA_n7A-n78A, CA_n78(2A)
 [12 layers, 2 bands, 3 DL carriers, 2 UL carriers, 50+200=250 MHz max.]</t>
  </si>
  <si>
    <t>MTR-39741</t>
  </si>
  <si>
    <t>CA_n7A(4x4)-n78(2A)(4x4)  BCS: 4 and 5
 UL: n7A, n78A
 [12 layers, 2 bands, 3 DL carriers, 1 UL carrier, 50+200=250 MHz max.]</t>
  </si>
  <si>
    <t>MTR-39742</t>
  </si>
  <si>
    <t>CA_n7A(4x4)-n78(2A)(4x4)  BCS: 4 and 5
 UL: CA_n7A-n78A, CA_n78(2A)
 [12 layers, 2 bands, 3 DL carriers, 2 UL carriers, 50+200=250 MHz max.]</t>
  </si>
  <si>
    <t>MTR-40091</t>
  </si>
  <si>
    <t>CA_n8A(2x2)-n20A(2x2)-n28A(2x2)  BCS: 0
 UL: n8A, n20A, n28A
 [6 layers, 3 bands, 3 DL carriers, 1 UL carrier, 20+20+30=70 MHz max.]</t>
  </si>
  <si>
    <t>n8A, n20A, n28A</t>
  </si>
  <si>
    <t>CA_n8A-n20A-n28A</t>
  </si>
  <si>
    <t>MTR-40092</t>
  </si>
  <si>
    <t>CA_n8A(2x2)-n20A(2x2)-n28A(2x2)  BCS: 0
 UL: CA_n8A-n20A, CA_n8A-n28A, CA_n20A-n28A
 [6 layers, 3 bands, 3 DL carriers, 2 UL carriers, 20+20+30=70 MHz max.]</t>
  </si>
  <si>
    <t>CA_n8A-n20A, CA_n8A-n28A, CA_n20A-n28A</t>
  </si>
  <si>
    <t>MTR-39740</t>
  </si>
  <si>
    <t>CA_n8A(2x2)-n20A(2x2)-n75A(4x4)  BCS: 4 and 5
 UL: n8A, n20A
 [8 layers, 3 bands, 3 DL carriers, 1 UL carrier, 35+20+50=105 MHz max.]</t>
  </si>
  <si>
    <t>CA_n8A-n20A-n75A</t>
  </si>
  <si>
    <t>MTR-39739</t>
  </si>
  <si>
    <t>CA_n8A(2x2)-n28A(2x2)-n75A(4x4)  BCS: 4 and 5
 UL: n8A, n28A
 [8 layers, 3 bands, 3 DL carriers, 1 UL carrier, 35+30+50=115 MHz max.]]</t>
  </si>
  <si>
    <t>CA_n8A-n28A-n75A</t>
  </si>
  <si>
    <t>MTR-37393</t>
  </si>
  <si>
    <t>CA_n8A(2x2)-n28A(2x2)-n78A(4x4)  BCS: 0
 UL: n8A, n28A, n78A
 [8 layers, 3 bands, 3 DL carriers, 1 UL carrier, 20+20+100=140 MHz max.]</t>
  </si>
  <si>
    <t>n8A, n28A, n78A</t>
  </si>
  <si>
    <t>CA_n8A-n28A-n78A</t>
  </si>
  <si>
    <t>MTR-39670</t>
  </si>
  <si>
    <t>CA_n8A(2x2)-n78C(4x4)  BCS: 0
 UL: n8A, n78A
 [10 layers, 2 bands, 3 DL carriers, 1 UL carrier, 20+200=220 MHz max.]</t>
  </si>
  <si>
    <t>CA_n8A-n78C</t>
  </si>
  <si>
    <t>MTR-39671</t>
  </si>
  <si>
    <t>CA_n8A(2x2)-n78C(4x4)  BCS: 0
 UL: CA_n8A-n78A
 [10 layers, 2 bands, 3 DL carriers, 2 UL carriers, 20+200=220 MHz max.]</t>
  </si>
  <si>
    <t>MTR-39737</t>
  </si>
  <si>
    <t>CA_n8A(2x2)-n78C(4x4)  BCS: 4 and 5
 UL: n8A, n78A
 [10 layers, 2 bands, 3 DL carriers, 1 UL carrier, 35+200=235 MHz max.]</t>
  </si>
  <si>
    <t>MTR-39738</t>
  </si>
  <si>
    <t>CA_n8A(2x2)-n78C(4x4)  BCS: 4 and 5
 UL: CA_n78C, CA_n8A-n78A, CA_n8A-n78C
 [10 layers, 2 bands, 3 DL carriers, 2 UL carriers, 35+200=235 MHz max.]</t>
  </si>
  <si>
    <t>CA_n78C, CA_n8A-n78A, CA_n8A-n78C</t>
  </si>
  <si>
    <t>MTR-37419</t>
  </si>
  <si>
    <t>CA_n8A(2x2)-n78(2A)(4x4)  BCS: 0
 UL: n8A, n78A
 [10 layers, 2 bands, 3 DL carriers, 1 UL carrier, 20+200=220 MHz max.]</t>
  </si>
  <si>
    <t>CA_n8A-n78(2A)</t>
  </si>
  <si>
    <t>MTR-37420</t>
  </si>
  <si>
    <t>CA_n8A(2x2)-n78(2A)(4x4)  BCS: 0
 UL: CA_n8A-n78A
 [10 layers, 2 bands, 3 DL carriers, 2 UL carriers, 20+200=220 MHz max.]</t>
  </si>
  <si>
    <t>MTR-39735</t>
  </si>
  <si>
    <t>CA_n8A(2x2)-n78(2A)(4x4)  BCS: 4 and 5
 UL: n8A, n78A
 [10 layers, 2 bands, 3 DL carriers, 1 UL carrier, 35+200=235 MHz max.]</t>
  </si>
  <si>
    <t>MTR-39736</t>
  </si>
  <si>
    <t>CA_n8A(2x2)-n78(2A)(4x4)  BCS: 4 and 5
 UL: CA_n8A-n78A
 [10 layers, 2 bands, 3 DL carriers, 2 UL carriers, 35+200=235 MHz max.]</t>
  </si>
  <si>
    <t>MTR-39734</t>
  </si>
  <si>
    <t>CA_n20A(2x2)-n28A(2x2)-n75A(4x4)  BCS: 0
 UL: n20A, n28A
 [8 layers, 3 bands, 3 DL carriers, 1 UL carrier, 20+20+20=60 MHz max.]</t>
  </si>
  <si>
    <t>CA_n20A-n28A-n75A</t>
  </si>
  <si>
    <t>MTR-37394</t>
  </si>
  <si>
    <t>CA_n20A(2x2)-n28A(2x2)-n78A(4x4)  BCS: 0
 UL: n20A, n28A, n78A
 [8 layers, 3 bands, 3 DL carriers, 1 UL carrier, 20+20+100=140 MHz max.]</t>
  </si>
  <si>
    <t>n20A, n28A, n78A</t>
  </si>
  <si>
    <t>CA_n20A-n28A-n78A</t>
  </si>
  <si>
    <t>MTR-39672</t>
  </si>
  <si>
    <t>CA_n20A(2x2)-n78C(4x4)  BCS: 0
 UL: n20A, n78A
 [10 layers, 2 bands, 3 DL carriers, 1 UL carrier, 20+200=220 MHz max.]</t>
  </si>
  <si>
    <t>CA_n20A-n78C</t>
  </si>
  <si>
    <t>MTR-40093</t>
  </si>
  <si>
    <t>CA_n20A(2x2)-n78(2A)(4x4)  BCS: 4 and 5
 UL: n20A, n78A
 [10 layers, 2 bands, 3 DL carriers, 1 UL carrier, 20+200=220 MHz max.]</t>
  </si>
  <si>
    <t>CA_n20A-n78(2A)</t>
  </si>
  <si>
    <t>MTR-40094</t>
  </si>
  <si>
    <t>CA_n20A(2x2)-n78(2A)(4x4)  BCS: 4 and 5
 UL: CA_n20A-n78A, CA_n78(2A)
 [10 layers, 2 bands, 3 DL carriers, 2 UL carriers, 20+200=220 MHz max.]</t>
  </si>
  <si>
    <t>CA_n20A-n78A, CA_n78(2A)</t>
  </si>
  <si>
    <t>MTR-39733</t>
  </si>
  <si>
    <t>CA_n28A(2x2)-n75A(4x4)-n78A(4x4)  BCS: 0
 UL: n28A, n78A
 [10 layers, 3 bands, 3 DL carriers, 1 UL carrier, 20+20+100=140 MHz max.]</t>
  </si>
  <si>
    <t>CA_n28A-n75A-n78A</t>
  </si>
  <si>
    <t>MTR-39673</t>
  </si>
  <si>
    <t>CA_n28A(2x2)-n78C(4x4)  BCS: 0
 UL: n28A, n78A
 [10 layers, 2 bands, 3 DL carriers, 1 UL carrier, 20+200=220 MHz max.]</t>
  </si>
  <si>
    <t>CA_n28A-n78C</t>
  </si>
  <si>
    <t>MTR-39674</t>
  </si>
  <si>
    <t>CA_n28A(2x2)-n78C(4x4)  BCS: 0
 UL: CA_n28A-n78A
 [10 layers, 2 bands, 3 DL carriers, 2 UL carriers, 20+200=220 MHz max.]</t>
  </si>
  <si>
    <t>MTR-37421</t>
  </si>
  <si>
    <t>CA_n28A(2x2)-n78(2A)(4x4)  BCS: 0
 UL: n28A, n78A
 [10 layers, 2 bands, 3 DL carriers, 1 UL carrier, 20+200=220 MHz max.]</t>
  </si>
  <si>
    <t>CA_n28A-n78(2A)</t>
  </si>
  <si>
    <t>MTR-37422</t>
  </si>
  <si>
    <t>CA_n28A(2x2)-n78(2A)(4x4)  BCS: 0
 UL: CA_n78(2A), CA_n28A-n78A
 [10 layers, 2 bands, 3 DL carriers, 2 UL carriers, 20+200=220 MHz max.]</t>
  </si>
  <si>
    <t>CA_n78(2A), CA_n28A-n78A</t>
  </si>
  <si>
    <t>MTR-37423</t>
  </si>
  <si>
    <t>CA_n28A(2x2)-n78(2A)(4x4)  BCS: 1
 UL: n28A, n78A
 [10 layers, 2 bands, 3 DL carriers, 1 UL carrier, 20+200=220 MHz max.]</t>
  </si>
  <si>
    <t>MTR-37424</t>
  </si>
  <si>
    <t>CA_n28A(2x2)-n78(2A)(4x4)  BCS: 1
 UL: CA_n78(2A), CA_n28A-n78A
 [10 layers, 2 bands, 3 DL carriers, 2 UL carriers, 20+200=220 MHz max.]</t>
  </si>
  <si>
    <t>MTR-39731</t>
  </si>
  <si>
    <t>CA_n28A(2x2)-n78(2A)(4x4)  BCS: 4 and 5
 UL: n28A, n78A
 [10 layers, 2 bands, 3 DL carriers, 1 UL carrier, 30+200=230 MHz max.]</t>
  </si>
  <si>
    <t>MTR-39732</t>
  </si>
  <si>
    <t>CA_n28A(2x2)-n78(2A)(4x4)  BCS: 4 and 5
 UL: CA_n78(2A), CA_n28A-n78A
 [10 layers, 2 bands, 3 DL carriers, 2 UL carriers, 30+200=230 MHz max.]</t>
  </si>
  <si>
    <t>MTR-37429</t>
  </si>
  <si>
    <t>CA_n75A(4x4)-n78(2A)(4x4)  BCS: 0
 UL: n78A
 [12 layers, 2 bands, 3 DL carriers, 1 UL carrier, 20+200=220 MHz max.]</t>
  </si>
  <si>
    <t>CA_n75A-n78(2A)</t>
  </si>
  <si>
    <t>MTR-39730</t>
  </si>
  <si>
    <t>CA_n75A(4x4)-n78(2A)(4x4)  BCS: 4 and 5
 UL: n78A
 [12 layers, 2 bands, 3 DL carriers, 1 UL carrier, 50+200=250 MHz max.]</t>
  </si>
  <si>
    <t>MTR-37430</t>
  </si>
  <si>
    <t>CA_n78(2A)(4x4)-n92A(4x4)  BCS: 0
 UL: n78A, n92A
 [12 layers, 2 bands, 3 DL carriers, 1 UL carrier, 200+20=220 MHz max.]</t>
  </si>
  <si>
    <t>CA_n78(2A)-n92A</t>
  </si>
  <si>
    <t>MTR-37431</t>
  </si>
  <si>
    <t>CA_n78(2A)(4x4)-n92A(4x4)  BCS: 0
 UL: CA_n78A-n92A
 [12 layers, 2 bands, 3 DL carriers, 2 UL carriers, 200+20=220 MHz max.]</t>
  </si>
  <si>
    <t>MTR-39728</t>
  </si>
  <si>
    <t>CA_n78(2A)(4x4)-n92A(4x4)  BCS: 4 and 5
 UL: n78A, n92A
 [12 layers, 2 bands, 3 DL carriers, 1 UL carrier, 200+20=220 MHz max.]</t>
  </si>
  <si>
    <t>MTR-39729</t>
  </si>
  <si>
    <t>CA_n78(2A)(4x4)-n92A(4x4)  BCS: 4 and 5
 UL: CA_n78A-n92A
 [12 layers, 2 bands, 3 DL carriers, 2 UL carriers, 200+20=220 MHz max.]</t>
  </si>
  <si>
    <t>MTR-37432</t>
  </si>
  <si>
    <r>
      <rPr>
        <rFont val="Arial"/>
        <b/>
        <color theme="1"/>
        <sz val="10.0"/>
      </rPr>
      <t>2.5.3.4</t>
    </r>
    <r>
      <rPr>
        <rFont val="Arial"/>
        <b val="0"/>
        <color theme="1"/>
        <sz val="10.0"/>
      </rPr>
      <t xml:space="preserve"> </t>
    </r>
    <r>
      <rPr>
        <rFont val="Arial"/>
        <b/>
        <color theme="1"/>
        <sz val="10.0"/>
      </rPr>
      <t>NR-CA with 4 carriers</t>
    </r>
  </si>
  <si>
    <t>MTR-39921</t>
  </si>
  <si>
    <t>CA_n1(2A)(4x4)-n3(2A)(4x4)  BCS: 0
 UL: n1A, n3A
 [16 layers, 2 bands, 4 DL carriers, 1 UL carrier, 40+60=100 MHz max.]</t>
  </si>
  <si>
    <t>CA_n1(2A)-n3(2A)</t>
  </si>
  <si>
    <t>MTR-39922</t>
  </si>
  <si>
    <t>CA_n1(2A)(4x4)-n3A(4x4)-n7A(4x4)  BCS: 0
 UL: n1A, n3A, n7A
 [16 layers, 3 bands, 4 DL carriers, 1 UL carrier, 40+50+50=140 MHz max.]</t>
  </si>
  <si>
    <t>CA_n1(2A)-n3A-n7A</t>
  </si>
  <si>
    <t>MTR-39923</t>
  </si>
  <si>
    <t>CA_n1A(4x4)-n3(2A)(4x4)-n7A(4x4)  BCS: 0
 UL: n1A, n3A, n7A
 [16 layers, 3 bands, 4 DL carriers, 1 UL carrier, 50+60+50=160 MHz max.]</t>
  </si>
  <si>
    <t>CA_n1A-n3(2A)-n7A</t>
  </si>
  <si>
    <t>MTR-39675</t>
  </si>
  <si>
    <t>CA_n1A(4x4)-n3A(4x4)-n7A(4x4)-n8A(2x2)  BCS: 0
 UL: n1A, n3A, n7A, n8A
 [14 layers, 4 bands, 4 DL carriers, 1 UL carrier, 20+30+50+20=120 MHz max.]</t>
  </si>
  <si>
    <t>n1A, n3A, n7A, n8A</t>
  </si>
  <si>
    <t>CA_n1A-n3A-n7A-n8A</t>
  </si>
  <si>
    <t>MTR-39727</t>
  </si>
  <si>
    <t>CA_n1A(4x4)-n3A(4x4)-n7A(4x4)-n8A(2x2)  BCS: 0
 UL: CA_n1A-n3A, CA_n1A-n7A, CA_n1A-n8A, CA_n3A-n7A, CA_n3A-n8A, CA_n7A-n8A
 [14 layers, 4 bands, 4 DL carriers, 2 UL carriers, 20+30+50+20=120 MHz max.]</t>
  </si>
  <si>
    <t>CA_n1A-n3A, CA_n1A-n7A, CA_n1A-n8A, CA_n3A-n7A, CA_n3A-n8A, CA_n7A-n8A</t>
  </si>
  <si>
    <t>MTR-37433</t>
  </si>
  <si>
    <t>CA_n1A(4x4)-n3A(4x4)-n7A(4x4)-n28A(2x2)  BCS: 0
 UL: n1A, n3A, n7A, n28A
 [14 layers, 4 bands, 4 DL carriers, 1 UL carrier, 20+30+50+20=120 MHz max.]</t>
  </si>
  <si>
    <t>n1A, n3A, n7A, n28A</t>
  </si>
  <si>
    <t>CA_n1A-n3A-n7A-n28A</t>
  </si>
  <si>
    <t>MTR-37434</t>
  </si>
  <si>
    <t>CA_n1A(4x4)-n3A(4x4)-n7A(4x4)-n28A(2x2)  BCS: 1
 UL: n1A, n3A, n7A, n28A
 [14 layers, 4 bands, 4 DL carriers, 1 UL carrier, 20+40+50+20=130 MHz max.]</t>
  </si>
  <si>
    <t>MTR-37435</t>
  </si>
  <si>
    <t>CA_n1A(4x4)-n3A(4x4)-n7A(4x4)-n28A(2x2)  BCS: 1
 UL: CA_n1A-n3A, CA_n1A-n7A, CA_n1A-n28A, CA_n3A-n7A, CA_n3A-n28A, CA_n7A-n28A
 [14 layers, 4 bands, 4 DL carriers, 2 UL carriers, 20+40+50+20=130 MHz max.]</t>
  </si>
  <si>
    <t>CA_n1A-n3A, CA_n1A-n7A, CA_n1A-n28A, CA_n3A-n7A, CA_n3A-n28A, CA_n7A-n28A</t>
  </si>
  <si>
    <t>MTR-40095</t>
  </si>
  <si>
    <t>CA_n1A(4x4)-n3A(4x4)-n7A(4x4)-n75A(4x4)  BCS: 4 and 5
 UL: n1A, n3A, n7A
 [16 layers, 4 bands, 4 DL carriers, 1 UL carrier, 50+50+50+50=200 MHz max.]</t>
  </si>
  <si>
    <t>CA_n1A-n3A-n7A-n75A</t>
  </si>
  <si>
    <t>MTR-37436</t>
  </si>
  <si>
    <t>CA_n1A(4x4)-n3A(4x4)-n7A(4x4)-n78A(4x4)  BCS: 0
 UL: n1A, n3A, n7A, n78A
 [16 layers, 4 bands, 4 DL carriers, 1 UL carrier, 20+30+50+100=200 MHz max.]</t>
  </si>
  <si>
    <t>n1A, n3A, n7A, n78A</t>
  </si>
  <si>
    <t>CA_n1A-n3A-n7A-n78A</t>
  </si>
  <si>
    <t>MTR-39726</t>
  </si>
  <si>
    <t>CA_n1A(4x4)-n3A(4x4)-n7A(4x4)-n78A(4x4)  BCS: 0
 UL: CA_n1A-n3A, CA_n1A-n7A, CA_n1A-n78A, CA_n3A-n7A, CA_n3A-n78A, CA_n7A-n78A
 [16 layers, 4 bands, 4 DL carriers, 2 UL carriers, 20+30+50+100=200 MHz max.]</t>
  </si>
  <si>
    <t>CA_n1A-n3A, CA_n1A-n7A, CA_n1A-n78A, CA_n3A-n7A, CA_n3A-n78A, CA_n7A-n78A</t>
  </si>
  <si>
    <t>MTR-37437</t>
  </si>
  <si>
    <t>CA_n1A(4x4)-n3A(4x4)-n7A(4x4)-n78A(4x4)  BCS: 1
 UL: n1A, n3A, n7A, n78A
 [16 layers, 4 bands, 4 DL carriers, 1 UL carrier, 20+40+50+100=210 MHz max.]</t>
  </si>
  <si>
    <t>MTR-37438</t>
  </si>
  <si>
    <t>CA_n1A(4x4)-n3A(4x4)-n7A(4x4)-n78A(4x4)  BCS: 1
 UL: CA_n1A-n3A, CA_n1A-n7A, CA_n1A-n78A, CA_n3A-n7A, CA_n3A-n78A, CA_n7A-n78A
 [16 layers, 4 bands, 4 DL carriers, 2 UL carriers, 20+40+50+100=210 MHz max.]</t>
  </si>
  <si>
    <t>MTR-37439</t>
  </si>
  <si>
    <t>CA_n1A(4x4)-n3A(4x4)-n7A(4x4)-n78A(4x4)  BCS: 2
 UL: n1A, n3A, n7A, n78A
 [16 layers, 4 bands, 4 DL carriers, 1 UL carrier, 50+50+50+100=250 MHz max.]</t>
  </si>
  <si>
    <t>MTR-37440</t>
  </si>
  <si>
    <t>CA_n1A(4x4)-n3A(4x4)-n7A(4x4)-n78A(4x4)  BCS: 2
 UL: CA_n1A-n3A, CA_n1A-n7A, CA_n1A-n78A, CA_n3A-n7A, CA_n3A-n78A, CA_n7A-n78A
 [16 layers, 4 bands, 4 DL carriers, 2 UL carriers, 50+50+50+100=250 MHz max.]</t>
  </si>
  <si>
    <t>MTR-40096</t>
  </si>
  <si>
    <t>CA_n1A(4x4)-n3A(4x4)-n7A(4x4)-n78A(4x4)  BCS: 4 and 5
 UL: n1A, n3A, n7A, n78A
 [16 layers, 4 bands, 4 DL carriers, 1 UL carrier, 50+50+50+100=250 MHz max.]</t>
  </si>
  <si>
    <t>MTR-40097</t>
  </si>
  <si>
    <t>CA_n1A(4x4)-n3A(4x4)-n7A(4x4)-n78A(4x4)  BCS: 4 and 5
 UL: CA_n1A-n3A, CA_n1A-n7A, CA_n1A-n78A, CA_n3A-n7A, CA_n3A-n78A, CA_n7A-n78A
 [16 layers, 4 bands, 4 DL carriers, 2 UL carriers, 50+50+50+100=250 MHz max.]</t>
  </si>
  <si>
    <t>MTR-37441</t>
  </si>
  <si>
    <t>CA_n1A(4x4)-n3A(4x4)-n8A(2x2)-n78A(4x4)  BCS: 0
 UL: n1A, n3A, n8A, n78A
 [14 layers, 4 bands, 4 DL carriers, 1 UL carrier, 20+30+20+100=170 MHz max.]</t>
  </si>
  <si>
    <t>n1A, n3A, n8A, n78A</t>
  </si>
  <si>
    <t>CA_n1A-n3A-n8A-n78A</t>
  </si>
  <si>
    <t>MTR-39725</t>
  </si>
  <si>
    <t>CA_n1A(4x4)-n3A(4x4)-n8A(2x2)-n78A(4x4)  BCS: 0
 UL: CA_n1A-n3A, CA_n1A-n8A, CA_n1A-n78A, CA_n3A-n8A, CA_n3A-n78A, CA_n8A-n78A
 [14 layers, 4 bands, 4 DL carriers, 2 UL carriers, 20+30+20+100=170 MHz max.]</t>
  </si>
  <si>
    <t>CA_n1A-n3A, CA_n1A-n8A, CA_n1A-n78A, CA_n3A-n8A, CA_n3A-n78A, CA_n8A-n78A</t>
  </si>
  <si>
    <t>MTR-37442</t>
  </si>
  <si>
    <t>CA_n1A(4x4)-n3A(4x4)-n28A(2x2)-n78A(4x4)  BCS: 0
 UL: n1A, n3A, n28A, n78A
 [14 layers, 4 bands, 4 DL carriers, 1 UL carrier, 20+30+20+100=170 MHz max.]</t>
  </si>
  <si>
    <t>n1A, n3A, n28A, n78A</t>
  </si>
  <si>
    <t>CA_n1A-n3A-n28A-n78A</t>
  </si>
  <si>
    <t>MTR-37443</t>
  </si>
  <si>
    <t>CA_n1A(4x4)-n3A(4x4)-n28A(2x2)-n78A(4x4)  BCS: 1
 UL: n1A, n3A, n28A, n78A
 [14 layers, 4 bands, 4 DL carriers, 1 UL carrier, 20+40+20+100=180 MHz max.]</t>
  </si>
  <si>
    <t>MTR-37444</t>
  </si>
  <si>
    <t>CA_n1A(4x4)-n3A(4x4)-n28A(2x2)-n78A(4x4)  BCS: 1
 UL: CA_n1A-n3A, CA_n1A-n28A, CA_n1A-n78A, CA_n3A-n28A, CA_n3A-n78A, CA_n28A-n78A
 [14 layers, 4 bands, 4 DL carriers, 2 UL carriers, 20+40+20+100=180 MHz max.]</t>
  </si>
  <si>
    <t>CA_n1A-n3A, CA_n1A-n28A, CA_n1A-n78A, CA_n3A-n28A, CA_n3A-n78A, CA_n28A-n78A</t>
  </si>
  <si>
    <t>MTR-37445</t>
  </si>
  <si>
    <t>CA_n1A(4x4)-n3A(4x4)-n28A(2x2)-n78A(4x4)  BCS: 2
 UL: n1A, n3A, n28A, n78A
 [14 layers, 4 bands, 4 DL carriers, 1 UL carrier, 50+50+30+100=230 MHz max.]</t>
  </si>
  <si>
    <t>MTR-37446</t>
  </si>
  <si>
    <t>CA_n1A(4x4)-n3A(4x4)-n28A(2x2)-n78A(4x4)  BCS: 2
 UL: CA_n1A-n3A, CA_n1A-n28A, CA_n1A-n78A, CA_n3A-n28A, CA_n3A-n78A, CA_n28A-n78A
 [14 layers, 4 bands, 4 DL carriers, 2 UL carriers, 50+50+30+100=230 MHz max.]</t>
  </si>
  <si>
    <t>MTR-40098</t>
  </si>
  <si>
    <t>CA_n1A(4x4)-n3A(4x4)-n75A(4x4)-n78A(4x4)  BCS: 4 and 5
 UL: n1A, n3A, n78A
 [16 layers, 4 bands, 4 DL carriers, 1 UL carrier, 50+50+50+100=250 MHz max.]</t>
  </si>
  <si>
    <t>CA_n1A-n3A-n75A-n78A</t>
  </si>
  <si>
    <t>MTR-39676</t>
  </si>
  <si>
    <t>CA_n1A(4x4)-n3A(4x4)-n78C(4x4)  BCS: 0
 UL: n1A, n3A, n78A
 [16 layers, 3 bands, 4 DL carriers, 1 UL carrier, 50+40+200=290 MHz max.]</t>
  </si>
  <si>
    <t>CA_n1A-n3A-n78C</t>
  </si>
  <si>
    <t>MTR-39677</t>
  </si>
  <si>
    <t>CA_n1A(4x4)-n3A(4x4)-n78C(4x4)  BCS: 0
 UL: CA_n1A-n3A, CA_n1A-n78A, CA_n3A-n78A
 [16 layers, 3 bands, 4 DL carriers, 2 UL carriers, 50+40+200=290 MHz max.]</t>
  </si>
  <si>
    <t>MTR-37452</t>
  </si>
  <si>
    <t>CA_n1A(4x4)-n3A(4x4)-n78(2A)(4x4)  BCS: 0
 UL: n1A, n3A, n78A
 [16 layers, 3 bands, 4 DL carriers, 1 UL carrier, 20+40+200=260 MHz max.]</t>
  </si>
  <si>
    <t>CA_n1A-n3A-n78(2A)</t>
  </si>
  <si>
    <t>MTR-37453</t>
  </si>
  <si>
    <t>CA_n1A(4x4)-n3A(4x4)-n78(2A)(4x4)  BCS: 0
 UL: CA_n78(2A), CA_n1A-n3A, CA_n1A-n78A, CA_n3A-n78A
 [16 layers, 3 bands, 4 DL carriers, 2 UL carriers, 20+40+200=260 MHz max.]</t>
  </si>
  <si>
    <t>CA_n78(2A), CA_n1A-n3A, CA_n1A-n78A, CA_n3A-n78A</t>
  </si>
  <si>
    <t>MTR-38852</t>
  </si>
  <si>
    <t>CA_n1A(4x4)-n7A(4x4)-n8A(2x2)-n78A(4x4)  BCS: 0
 UL: n1A, n7A, n8A, n78A
 [14 layers, 4 bands, 4 DL carriers, 1 UL carrier, 50+50+20+100=220 MHz max.]</t>
  </si>
  <si>
    <t>n1A, n7A, n8A, n78A</t>
  </si>
  <si>
    <t>CA_n1A-n7A-n8A-n78A</t>
  </si>
  <si>
    <t>MTR-38853</t>
  </si>
  <si>
    <t>CA_n1A(4x4)-n7A(4x4)-n8A(2x2)-n78A(4x4)  BCS: 0
 UL: CA_n1A-n7A, CA_n1A-n8A, CA_n1A-n78A, CA_n7A-n8A, CA_n7A-n78A, CA_n8A-n78A
 [14 layers, 4 bands, 4 DL carriers, 2 UL carriers, 50+50+20+100=220 MHz max.]</t>
  </si>
  <si>
    <t>CA_n1A-n7A, CA_n1A-n8A, CA_n1A-n78A, CA_n7A-n8A, CA_n7A-n78A, CA_n8A-n78A</t>
  </si>
  <si>
    <t>MTR-37447</t>
  </si>
  <si>
    <t>CA_n1A(4x4)-n7A(4x4)-n28A(2x2)-n78A(4x4)  BCS: 0
 UL: n1A, n7A, n28A, n78A
 [14 layers, 4 bands, 4 DL carriers, 1 UL carrier, 20+50+20+100=190 MHz max.]</t>
  </si>
  <si>
    <t>n1A, n7A, n28A, n78A</t>
  </si>
  <si>
    <t>CA_n1A-n7A-n28A-n78A</t>
  </si>
  <si>
    <t>MTR-37448</t>
  </si>
  <si>
    <t>CA_n1A(4x4)-n7A(4x4)-n28A(2x2)-n78A(4x4)  BCS: 0
 UL: CA_n1A-n7A, CA_n1A-n28A, CA_n1A-n78A, CA_n7A-n28A, CA_n7A-n78A, CA_n28A-n78A
 [14 layers, 4 bands, 4 DL carriers, 2 UL carriers, 20+50+20+100=190 MHz max.]</t>
  </si>
  <si>
    <t>CA_n1A-n7A, CA_n1A-n28A, CA_n1A-n78A, CA_n7A-n28A, CA_n7A-n78A, CA_n28A-n78A</t>
  </si>
  <si>
    <t>MTR-40099</t>
  </si>
  <si>
    <t>CA_n1A(4x4)-n7A(4x4)-n75A(4x4)-n78A(4x4)  BCS: 4 and 5
 UL: n1A, n7A, n78A
 [16 layers, 4 bands, 4 DL carriers, 1 UL carrier, 50+50+50+100=250 MHz max.]</t>
  </si>
  <si>
    <t>CA_n1A-n7A-n75A-n78A</t>
  </si>
  <si>
    <t>MTR-39678</t>
  </si>
  <si>
    <t>CA_n1A(4x4)-n7A(4x4)-n78C(4x4)  BCS: 0
 UL: n1A, n7A, n78A
 [16 layers, 3 bands, 4 DL carriers, 1 UL carrier, 50+50+200=300 MHz max.]</t>
  </si>
  <si>
    <t>CA_n1A-n7A-n78C</t>
  </si>
  <si>
    <t>MTR-39679</t>
  </si>
  <si>
    <t>CA_n1A(4x4)-n7A(4x4)-n78C(4x4)  BCS: 0
 UL: CA_n1A-n7A, CA_n1A-n78A, CA_n7A-n78A
 [16 layers, 3 bands, 4 DL carriers, 2 UL carriers, 50+50+200=300 MHz max.]</t>
  </si>
  <si>
    <t>MTR-37454</t>
  </si>
  <si>
    <t>CA_n1A(4x4)-n7A(4x4)-n78(2A)(4x4)  BCS: 0
 UL: n1A, n7A, n78A
 [16 layers, 3 bands, 4 DL carriers, 1 UL carrier, 20+50+200=270 MHz max.]</t>
  </si>
  <si>
    <t>CA_n1A-n7A-n78(2A)</t>
  </si>
  <si>
    <t xml:space="preserve">SA disabled.
MIMO not matching ['(4-2-4-4)'] 
</t>
  </si>
  <si>
    <t>MTR-37455</t>
  </si>
  <si>
    <t>CA_n1A(4x4)-n7A(4x4)-n78(2A)(4x4)  BCS: 0
 UL: CA_n1A-n7A, CA_n1A-n78A, CA_n7A-n78A
 [16 layers, 3 bands, 4 DL carriers, 2 UL carriers, 20+50+200=270 MHz max.]</t>
  </si>
  <si>
    <t xml:space="preserve">SA disabled.
UL CA: Support for inter-band UL-CA FDD + TDD only 
MIMO not matching ['(4-2-4-4)'] 
</t>
  </si>
  <si>
    <t>MTR-37456</t>
  </si>
  <si>
    <t>CA_n1A(4x4)-n7A(4x4)-n78(2A)(4x4)  BCS: 1
 UL: n1A, n7A, n78A
 [16 layers, 3 bands, 4 DL carriers, 1 UL carrier, 20+50+200=270 MHz max.]</t>
  </si>
  <si>
    <t>MTR-37457</t>
  </si>
  <si>
    <t>CA_n1A(4x4)-n7A(4x4)-n78(2A)(4x4)  BCS: 1
 UL: CA_n78(2A), CA_n1A-n7A, CA_n1A-n78A, CA_n7A-n78A
 [16 layers, 3 bands, 4 DL carriers, 2 UL carriers, 20+50+200=270 MHz max.]</t>
  </si>
  <si>
    <t>CA_n78(2A), CA_n1A-n7A, CA_n1A-n78A, CA_n7A-n78A</t>
  </si>
  <si>
    <t>MTR-40227</t>
  </si>
  <si>
    <t>CA_n1A(4x4)-n8A(2x2)-n78C(4x4)  BCS: 4 and 5
 UL: n1A, n8A, n78A
 [14 layers, 3 bands, 4 DL carriers, 1 UL carrier, 50+35+200=285 MHz max.]</t>
  </si>
  <si>
    <t>CA_n1A-n8A-n78C</t>
  </si>
  <si>
    <t>MTR-40228</t>
  </si>
  <si>
    <t>CA_n1A(4x4)-n8A(2x2)-n78C(4x4)  BCS: 4 and 5
 UL: CA_n1A-n8A, CA_n1A-n78A, CA_n8A-n78A
 [14 layers, 3 bands, 4 DL carriers, 2 UL carriers, 50+35+200=285 MHz max.]</t>
  </si>
  <si>
    <t>MTR-37458</t>
  </si>
  <si>
    <t>CA_n1A(4x4)-n8A(2x2)-n78(2A)(4x4)  BCS: 0
 UL: n1A, n8A, n78A
 [14 layers, 3 bands, 4 DL carriers, 1 UL carrier, 20+20+200=240 MHz max.]</t>
  </si>
  <si>
    <t>CA_n1A-n8A-n78(2A)</t>
  </si>
  <si>
    <t>MTR-40100</t>
  </si>
  <si>
    <t>CA_n1A(4x4)-n28A(2x2)-n75A(4x4)-n78A(4x4)  BCS: 0
 UL: n1A, n28A, n78A
 [14 layers, 4 bands, 4 DL carriers, 1 UL carrier, 20+20+50+100=190 MHz max.]</t>
  </si>
  <si>
    <t>CA_n1A-n28A-n75A-n78A</t>
  </si>
  <si>
    <t>MTR-39680</t>
  </si>
  <si>
    <t>CA_n1A(4x4)-n28A(2x2)-n78C(4x4)  BCS: 0
 UL: n1A, n28A, n78A
 [14 layers, 3 bands, 4 DL carriers, 1 UL carrier, 50+20+200=270 MHz max.]</t>
  </si>
  <si>
    <t>CA_n1A-n28A-n78C</t>
  </si>
  <si>
    <t>MTR-39681</t>
  </si>
  <si>
    <t>CA_n1A(4x4)-n28A(2x2)-n78C(4x4)  BCS: 0
 UL: CA_n1A-n28A, CA_n1A-n78A, CA_n28A-n78A
 [14 layers, 3 bands, 4 DL carriers, 2 UL carriers, 50+20+200=270 MHz max.]</t>
  </si>
  <si>
    <t>MTR-37459</t>
  </si>
  <si>
    <t>CA_n1A(4x4)-n28A(2x2)-n78(2A)(4x4)  BCS: 0
 UL: n1A, n28A, n78A
 [14 layers, 3 bands, 4 DL carriers, 1 UL carrier, 20+20+200=240 MHz max.]</t>
  </si>
  <si>
    <t>CA_n1A-n28A-n78(2A)</t>
  </si>
  <si>
    <t>MTR-37460</t>
  </si>
  <si>
    <t>CA_n1A(4x4)-n28A(2x2)-n78(2A)(4x4)  BCS: 0
 UL: CA_n78(2A), CA_n1A-n28A, CA_n1A-n78A, CA_n28A-n78A
 [14 layers, 3 bands, 4 DL carriers, 2 UL carriers, 20+20+200=240 MHz max.]</t>
  </si>
  <si>
    <t>CA_n78(2A), CA_n1A-n28A, CA_n1A-n78A, CA_n28A-n78A</t>
  </si>
  <si>
    <t>MTR-39682</t>
  </si>
  <si>
    <t>CA_n3A(4x4)-n7A(4x4)-n8A(2x2)-n78A(4x4)  BCS: 0
 UL: n3A, n7A, n8A, n78A
 [14 layers, 4 bands, 4 DL carriers, 1 UL carrier, 30+50+20+100=200 MHz max.]</t>
  </si>
  <si>
    <t>n3A, n7A, n8A, n78A</t>
  </si>
  <si>
    <t>CA_n3A-n7A-n8A-n78A</t>
  </si>
  <si>
    <t>MTR-39724</t>
  </si>
  <si>
    <t>CA_n3A(4x4)-n7A(4x4)-n8A(2x2)-n78A(4x4)  BCS: 0
 UL: CA_n3A-n7A, CA_n3A-n8A, CA_n3A-n78A, CA_n7A-n8A, CA_n7A-n78A, CA_n8A-n78A
 [14 layers, 4 bands, 4 DL carriers, 2 UL carriers, 30+50+20+100=200 MHz max.]</t>
  </si>
  <si>
    <t>CA_n3A-n7A, CA_n3A-n8A, CA_n3A-n78A, CA_n7A-n8A, CA_n7A-n78A, CA_n8A-n78A</t>
  </si>
  <si>
    <t>MTR-40101</t>
  </si>
  <si>
    <t>CA_n3A(4x4)-n7A(4x4)-n20A(2x2)-n78A(4x4)  BCS: 4 and 5
 UL: n3A, n7A, n20A, n78A
 [14 layers, 4 bands, 4 DL carriers, 1 UL carrier, 50+50+20+100=220 MHz max.]</t>
  </si>
  <si>
    <t>n3A, n7A, n20A, n78A</t>
  </si>
  <si>
    <t>CA_n3A-n7A-n20A-n78A</t>
  </si>
  <si>
    <t>MTR-40102</t>
  </si>
  <si>
    <t>CA_n3A(4x4)-n7A(4x4)-n20A(2x2)-n78A(4x4)  BCS: 4 and 5
 UL: CA_n3A-n7A, CA_n3A-n20A, CA_n3A-n78A, CA_n7A-n20A, CA_n7A-n78A, CA_n20A-n78A
 [14 layers, 4 bands, 4 DL carriers, 2 UL carriers, 50+50+20+100=220 MHz max.]</t>
  </si>
  <si>
    <t>CA_n3A-n7A, CA_n3A-n20A, CA_n3A-n78A, CA_n7A-n20A, CA_n7A-n78A, CA_n20A-n78A</t>
  </si>
  <si>
    <t>MTR-37449</t>
  </si>
  <si>
    <t>CA_n3A(4x4)-n7A(4x4)-n28A(2x2)-n78A(4x4)  BCS: 0
 UL: n3A, n7A, n28A, n78A
 [14 layers, 4 bands, 4 DL carriers, 1 UL carrier, 30+50+20+100=200 MHz max.]</t>
  </si>
  <si>
    <t>n3A, n7A, n28A, n78A</t>
  </si>
  <si>
    <t>CA_n3A-n7A-n28A-n78A</t>
  </si>
  <si>
    <t>MTR-37450</t>
  </si>
  <si>
    <t>CA_n3A(4x4)-n7A(4x4)-n28A(2x2)-n78A(4x4)  BCS: 1
 UL: n3A, n7A, n28A, n78A
 [14 layers, 4 bands, 4 DL carriers, 1 UL carrier, 40+50+20+100=210 MHz max.]</t>
  </si>
  <si>
    <t>MTR-37451</t>
  </si>
  <si>
    <t>CA_n3A(4x4)-n7A(4x4)-n28A(2x2)-n78A(4x4)  BCS: 1
 UL: CA_n3A-n7A, CA_n3A-n28A, CA_n3A-n78A, CA_n7A-n28A, CA_n7A-n78A, CA_n28A-n78A
 [14 layers, 4 bands, 4 DL carriers, 2 UL carriers, 40+50+20+100=210 MHz max.]</t>
  </si>
  <si>
    <t>CA_n3A-n7A, CA_n3A-n28A, CA_n3A-n78A, CA_n7A-n28A, CA_n7A-n78A, CA_n28A-n78A</t>
  </si>
  <si>
    <t>MTR-39683</t>
  </si>
  <si>
    <t>CA_n3A(4x4)-n7A(4x4)-n78C(4x4)  BCS: 0
 UL: n3A, n7A, n78A
 [16 layers, 3 bands, 4 DL carriers, 1 UL carrier, 40+50+200=290 MHz max.]</t>
  </si>
  <si>
    <t>CA_n3A-n7A-n78C</t>
  </si>
  <si>
    <t>MTR-38594</t>
  </si>
  <si>
    <t>CA_n3A(4x4)-n7A(4x4)-n78(2A)(4x4)  BCS: 0
 UL: n3A, n7A, n78A
 [16 layers, 3 bands, 4 DL carriers, 1 UL carrier, 40+50+200=290 MHz max.]</t>
  </si>
  <si>
    <t>CA_n3A-n7A-n78(2A)</t>
  </si>
  <si>
    <t>MTR-38595</t>
  </si>
  <si>
    <t>CA_n3A(4x4)-n7A(4x4)-n78(2A)(4x4)  BCS: 0
 UL: CA_n78(2A), CA_n3A-n7A, CA_n3A-n78A, CA_n7A-n78A
 [16 layers, 3 bands, 4 DL carriers, 2 UL carriers, 40+50+200=290 MHz max.]</t>
  </si>
  <si>
    <t>CA_n78(2A), CA_n3A-n7A, CA_n3A-n78A, CA_n7A-n78A</t>
  </si>
  <si>
    <t>MTR-40103</t>
  </si>
  <si>
    <t>CA_n3A(4x4)-n20A(2x2)-n78(2A)(4x4)  BCS: 4 and 5
 UL: n3A, n20A, n78A
 [14 layers, 3 bands, 4 DL carriers, 1 UL carrier, 50+20+200=270 MHz max.]</t>
  </si>
  <si>
    <t>CA_n3A-n20A-n78(2A)</t>
  </si>
  <si>
    <t>MTR-40104</t>
  </si>
  <si>
    <t>CA_n3A(4x4)-n20A(2x2)-n78(2A)(4x4)  BCS: 4 and 5
 UL: CA_n3A-n20A, CA_n3A-n78A, CA_n20A-n78A, CA_n78(2A)
 [14 layers, 3 bands, 4 DL carriers, 2 UL carriers, 50+20+200=270 MHz max.]</t>
  </si>
  <si>
    <t>CA_n3A-n20A, CA_n3A-n78A, CA_n20A-n78A, CA_n78(2A)</t>
  </si>
  <si>
    <t>MTR-39684</t>
  </si>
  <si>
    <t>CA_n3A(4x4)-n28A(2x2)-n78C(4x4)  BCS: 0
 UL: n3A, n28A, n78A
 [14 layers, 3 bands, 4 DL carriers, 1 UL carrier, 40+20+200=260 MHz max.]</t>
  </si>
  <si>
    <t>CA_n3A-n28A-n78C</t>
  </si>
  <si>
    <t>MTR-37461</t>
  </si>
  <si>
    <t>CA_n3A(4x4)-n28A(2x2)-n78(2A)(4x4)  BCS: 0
 UL: n3A, n28A, n78A
 [14 layers, 3 bands, 4 DL carriers, 1 UL carrier, 20+20+200=240 MHz max.]</t>
  </si>
  <si>
    <t>CA_n3A-n28A-n78(2A)</t>
  </si>
  <si>
    <t>MTR-37462</t>
  </si>
  <si>
    <t>CA_n3A(4x4)-n28A(2x2)-n78(2A)(4x4)  BCS: 0
 UL: CA_n3A-n28A, CA_n3A-n78A, CA_n28A-n78A
 [14 layers, 3 bands, 4 DL carriers, 2 UL carriers, 20+20+200=240 MHz max.]</t>
  </si>
  <si>
    <t>MTR-37463</t>
  </si>
  <si>
    <t>CA_n3A(4x4)-n28A(2x2)-n78(2A)(4x4)  BCS: 1
 UL: n3A, n28A, n78A
 [14 layers, 3 bands, 4 DL carriers, 1 UL carrier, 40+10+200=250 MHz max.]</t>
  </si>
  <si>
    <t>MTR-37464</t>
  </si>
  <si>
    <t>CA_n3A(4x4)-n28A(2x2)-n78(2A)(4x4)  BCS: 1
 UL: CA_n3A-n28A, CA_n3A-n78A, CA_n28A-n78A
 [14 layers, 3 bands, 4 DL carriers, 2 UL carriers, 40+10+200=250 MHz max.]</t>
  </si>
  <si>
    <t>MTR-38590</t>
  </si>
  <si>
    <t>CA_n3A(4x4)-n28A(2x2)-n78(2A)(4x4)  BCS: 2
 UL: n3A, n28A, n78A
 [14 layers, 3 bands, 4 DL carriers, 1 UL carrier, 40+20+200=260 MHz max.]</t>
  </si>
  <si>
    <t>MTR-38591</t>
  </si>
  <si>
    <t>CA_n3A(4x4)-n28A(2x2)-n78(2A)(4x4)  BCS: 2
 UL: CA_n78(2A), CA_n3A-n28A, CA_n3A-n78A, CA_n28A-n78A
 [14 layers, 3 bands, 4 DL carriers, 2 UL carriers, 40+20+200=260 MHz max.]</t>
  </si>
  <si>
    <t>CA_n78(2A), CA_n3A-n28A, CA_n3A-n78A, CA_n28A-n78A</t>
  </si>
  <si>
    <t>MTR-39924</t>
  </si>
  <si>
    <t>CA_n7(2A)(4x4)-n78(2A)(4x4)  BCS: 0
 UL: n7A, n78A
 [16 layers, 2 bands, 4 DL carriers, 1 UL carrier, 40+200=240 MHz max.]</t>
  </si>
  <si>
    <t>CA_n7(2A)-n78(2A)</t>
  </si>
  <si>
    <t>MTR-39929</t>
  </si>
  <si>
    <t>CA_n7(2A)(4x4)-n78(2A)(4x4)  BCS: 0
 UL: CA_n7A-n78A, CA_n78(2A)
 [16 layers, 2 bands, 4 DL carriers, 2 UL carriers, 40+200=240 MHz max.]</t>
  </si>
  <si>
    <t>MTR-39928</t>
  </si>
  <si>
    <t>CA_n7(2A)(4x4)-n78(2A)(4x4)  BCS: 1
 UL: n7A, n78A
 [16 layers, 2 bands, 4 DL carriers, 1 UL carrier, 40+200=240 MHz max.]</t>
  </si>
  <si>
    <t>CA_n7(2A)-n78(2A</t>
  </si>
  <si>
    <t>MTR-39927</t>
  </si>
  <si>
    <t>CA_n7(2A)(4x4)-n78(2A)(4x4)  BCS: 1
 UL: CA_n7A-n78A, CA_n78(2A)
 [16 layers, 2 bands, 4 DL carriers, 2 UL carriers, 40+200=240 MHz max.]</t>
  </si>
  <si>
    <t>MTR-39926</t>
  </si>
  <si>
    <t>CA_n7(2A)(4x4)-n78(2A)(4x4)  BCS: 4 and 5
 UL: n7A, n78A
 [16 layers, 2 bands, 4 DL carriers, 1 UL carrier, 65+200=265 MHz max.]</t>
  </si>
  <si>
    <t>MTR-39925</t>
  </si>
  <si>
    <t>CA_n7(2A)(4x4)-n78(2A)(4x4)  BCS: 4 and 5
 UL: CA_n7A-n78A, CA_n78(2A)
 [16 layers, 2 bands, 4 DL carriers, 2 UL carriers, 65+200=265 MHz max.]</t>
  </si>
  <si>
    <t>MTR-40105</t>
  </si>
  <si>
    <t>CA_n7A(4x4)-n20A(2x2)-n78(2A)(4x4)  BCS: 4 and 5
 UL: n7A, n20A, n78A
 [14 layers, 3 bands, 4 DL carriers, 1 UL carrier, 50+20+200=270 MHz max.]</t>
  </si>
  <si>
    <t>CA_n7A-n20A-n78(2A)</t>
  </si>
  <si>
    <t>MTR-40106</t>
  </si>
  <si>
    <t>CA_n7A(4x4)-n20A(2x2)-n78(2A)(4x4)  BCS: 4 and 5
 UL: CA_n7A-n20A, CA_n7A-n78A, CA_n20A-n78A, CA_n78(2A)
 [14 layers, 3 bands, 4 DL carriers, 2 UL carriers, 50+20+200=270 MHz max.]</t>
  </si>
  <si>
    <t>CA_n7A-n20A, CA_n7A-n78A, CA_n20A-n78A, CA_n78(2A)</t>
  </si>
  <si>
    <t>MTR-39685</t>
  </si>
  <si>
    <t>CA_n7A(4x4)-n28A(2x2)-n78C(4x4)  BCS: 0
 UL: n7A, n28A, n78A
 [14 layers, 3 bands, 4 DL carriers, 1 UL carrier, 50+20+200=270 MHz max.]</t>
  </si>
  <si>
    <t>CA_n7A-n28A-n78C</t>
  </si>
  <si>
    <t>MTR-38592</t>
  </si>
  <si>
    <t>CA_n7A(4x4)-n28A(2x2)-n78(2A)(4x4)  BCS: 0
 UL: n7A, n28A, n78A
 [14 layers, 3 bands, 4 DL carriers, 1 UL carrier, 50+20+200=270 MHz max.]</t>
  </si>
  <si>
    <t>CA_n7A-n28A-n78(2A)</t>
  </si>
  <si>
    <t>MTR-38593</t>
  </si>
  <si>
    <t>CA_n7A(4x4)-n28A(2x2)-n78(2A)(4x4)  BCS: 0
 UL: CA_n78(2A), CA_n7A-n28A, CA_n7A-n78A, CA_n28A-n78A
 [14 layers, 3 bands, 4 DL carriers, 2 UL carriers, 50+20+200=270 MHz max.]</t>
  </si>
  <si>
    <t>CA_n78(2A), CA_n7A-n28A, CA_n7A-n78A, CA_n28A-n78A</t>
  </si>
  <si>
    <t>MTR-40107</t>
  </si>
  <si>
    <t>CA_n8A(2x2)-n20A(2x2)-n28A(2x2)-n75A(4x4)  BCS: 0
 UL: n8A, n20A, n28A
 [10 layers, 4 bands, 4 DL carriers, 1 UL carrier, 20+20+20+50=110 MHz max.]</t>
  </si>
  <si>
    <t>CA_n8A-n20A-n28A-n75A</t>
  </si>
  <si>
    <t>MTR-39687</t>
  </si>
  <si>
    <t>CA_n20A(2x2)-n28A(2x2)-n78C(4x4)  BCS: 0
 UL: n20A, n28A, n78A
 [12 layers, 3 bands, 4 DL carriers, 1 UL carrier, 20+20+200=240 MHz max.]</t>
  </si>
  <si>
    <t>CA_n20A-n28A-n78C</t>
  </si>
  <si>
    <t>MTR-37465</t>
  </si>
  <si>
    <r>
      <rPr>
        <rFont val="Arial"/>
        <b/>
        <color theme="1"/>
        <sz val="10.0"/>
      </rPr>
      <t>2.5.3.5</t>
    </r>
    <r>
      <rPr>
        <rFont val="Arial"/>
        <b val="0"/>
        <color theme="1"/>
        <sz val="10.0"/>
      </rPr>
      <t xml:space="preserve"> </t>
    </r>
    <r>
      <rPr>
        <rFont val="Arial"/>
        <b/>
        <color theme="1"/>
        <sz val="10.0"/>
      </rPr>
      <t>NR-CA with 5 carriers</t>
    </r>
  </si>
  <si>
    <t>MTR-39930</t>
  </si>
  <si>
    <t>CA_n1(2A)(4x4)-n3(2A)(4x4)-n7A(4x4)  BCS: 0
 UL: n1A, n3A, n7A
 [20 layers, 3 bands, 5 DL carriers, 1 UL carrier, 40+60+50=150 MHz max.]</t>
  </si>
  <si>
    <t>CA_n1(2A)-n3(2A)-n7A</t>
  </si>
  <si>
    <t>MTR-39686</t>
  </si>
  <si>
    <t>CA_n1A(4x4)-n3A(4x4)-n7A(4x4)-n8A(2x2)-n78A(4x4)  BCS: 0
 UL: n1A, n3A, n7A, n8A, n78A
 [18 layers, 5 bands, 5 DL carriers, 1 UL carrier, 20+30+50+20+100=220 MHz max.]</t>
  </si>
  <si>
    <t>n1A, n3A, n7A, n8A, n78A</t>
  </si>
  <si>
    <t>CA_n1A-n3A-n7A-n8A-n78A</t>
  </si>
  <si>
    <t>MTR-39723</t>
  </si>
  <si>
    <t>CA_n1A(4x4)-n3A(4x4)-n7A(4x4)-n8A(2x2)-n78A(4x4)  BCS: 0
 UL: CA_n1A-n3A, CA_n1A-n7A, CA_n1A-n8A, CA_n1A-n78A, CA_n3A-n7A, CA_n3A-n8A, CA_n3A-n78A, CA_n7A-n8A, CA_n7A-n78A, CA_n8A-n78A
 [18 layers, 5 bands, 5 DL carriers, 2 UL carriers, 20+30+50+20+100=220 MHz max.]</t>
  </si>
  <si>
    <t>CA_n1A-n3A, CA_n1A-n7A, CA_n1A-n8A, CA_n1A-n78A, CA_n3A-n7A, CA_n3A-n8A, CA_n3A-n78A, CA_n7A-n8A, CA_n7A-n78A, CA_n8A-n78A</t>
  </si>
  <si>
    <t>MTR-37466</t>
  </si>
  <si>
    <t>CA_n1A(4x4)-n3A(4x4)-n7A(4x4)-n28A(2x2)-n78A(4x4)  BCS: 0
 UL: n1A, n3A, n7A, n28A, n78A
 [18 layers, 5 bands, 5 DL carriers, 1 UL carrier, 50+40+50+30+100=270 MHz max.]</t>
  </si>
  <si>
    <t>n1A, n3A, n7A, n28A, n78A</t>
  </si>
  <si>
    <t>CA_n1A-n3A-n7A-n28A-n78A</t>
  </si>
  <si>
    <t>MTR-37467</t>
  </si>
  <si>
    <t>CA_n1A(4x4)-n3A(4x4)-n7A(4x4)-n28A(2x2)-n78A(4x4)  BCS: 1
 UL: n1A, n3A, n7A, n28A, n78A
 [18 layers, 5 bands, 5 DL carriers, 1 UL carrier, 20+40+50+20+100=230 MHz max.]</t>
  </si>
  <si>
    <t>MTR-37468</t>
  </si>
  <si>
    <t>CA_n1A(4x4)-n3A(4x4)-n7A(4x4)-n28A(2x2)-n78A(4x4)  BCS: 1
 UL: CA_n1A-n3A, CA_n1A-n7A, CA_n1A-n28A, CA_n1A-n78A, CA_n3A-n7A, CA_n3A-n28A, CA_n3A-n78A, CA_n7A-n28A, CA_n7A-n78A, CA_n28A-n78A
 [18 layers, 5 bands, 5 DL carriers, 2 UL carriers, 20+40+50+20+100=230 MHz max.]</t>
  </si>
  <si>
    <t>CA_n1A-n3A, CA_n1A-n7A, CA_n1A-n28A, CA_n1A-n78A, CA_n3A-n7A, CA_n3A-n28A, CA_n3A-n78A, CA_n7A-n28A, CA_n7A-n78A, CA_n28A-n78A</t>
  </si>
  <si>
    <t>MTR-40108</t>
  </si>
  <si>
    <t>CA_n1A(4x4)-n3A(4x4)-n7A(4x4)-n75A(4x4)-n78A(4x4)  BCS: 4 and 5
 UL: n1A, n3A, n7A, n78A
 [20 layers, 5 bands, 5 DL carriers, 1 UL carrier, 50+50+50+50+100=300 MHz max.]</t>
  </si>
  <si>
    <t>CA_n1A-n3A-n7A-n75A-n78A</t>
  </si>
  <si>
    <t>MTR-37475</t>
  </si>
  <si>
    <t>CA_n1A(4x4)-n3A(4x4)-n7A(4x4)-n78(2A)(4x4)  BCS: 0
 UL: n1A, n3A, n7A, n78A
 [20 layers, 4 bands, 5 DL carriers, 1 UL carrier, 20+40+50+200=310 MHz max.]</t>
  </si>
  <si>
    <t>CA_n1A-n3A-n7A-n78(2A)</t>
  </si>
  <si>
    <t>MTR-37476</t>
  </si>
  <si>
    <t>CA_n1A(4x4)-n3A(4x4)-n7A(4x4)-n78(2A)(4x4)  BCS: 0
 UL: CA_n78(2A), CA_n1A-n3A, CA_n1A-n7A, CA_n1A-n78A, CA_n3A-n7A, CA_n3A-n78A, CA_n7A-n78A
 [20 layers, 4 bands, 5 DL carriers, 2 UL carriers, 20+40+50+200=310 MHz max.]</t>
  </si>
  <si>
    <t>CA_n78(2A), CA_n1A-n3A, CA_n1A-n7A, CA_n1A-n78A, CA_n3A-n7A, CA_n3A-n78A, CA_n7A-n78A</t>
  </si>
  <si>
    <t>MTR-38596</t>
  </si>
  <si>
    <t>CA_n1A(4x4)-n3A(4x4)-n28A(2x2)-n78(2A)(4x4)  BCS: 0
 UL: n1A, n3A, n28A, n78A
 [18 layers, 4 bands, 5 DL carriers, 1 UL carrier, 50+50+30+200=330 MHz max.]</t>
  </si>
  <si>
    <t>CA_n1A-n3A-n28A-n78(2A)</t>
  </si>
  <si>
    <t>MTR-38597</t>
  </si>
  <si>
    <t>CA_n1A(4x4)-n3A(4x4)-n28A(2x2)-n78(2A)(4x4)  BCS: 0
 UL: CA_n78(2A), CA_n1A-n3A, CA_n1A-n28A, CA_n1A-n78A, CA_n3A-n28A, CA_n3A-n78A, CA_n28A-n78A
 [18 layers, 4 bands, 5 DL carriers, 2 UL carriers, 50+50+30+200=330 MHz max.]</t>
  </si>
  <si>
    <t>CA_n78(2A), CA_n1A-n3A, CA_n1A-n28A, CA_n1A-n78A, CA_n3A-n28A, CA_n3A-n78A, CA_n28A-n78A</t>
  </si>
  <si>
    <t>MTR-38598</t>
  </si>
  <si>
    <t>CA_n1A(4x4)-n7A(4x4)-n28A(2x2)-n78(2A)(4x4)  BCS: 0
 UL: n1A, n7A, n28A, n78A
 [18 layers, 4 bands, 5 DL carriers, 1 UL carrier, 20+50+20+200=290 MHz max.]</t>
  </si>
  <si>
    <t>CA_n1A-n7A-n28A-n78(2A)</t>
  </si>
  <si>
    <t>MTR-38599</t>
  </si>
  <si>
    <t>CA_n1A(4x4)-n7A(4x4)-n28A(2x2)-n78(2A)(4x4)  BCS: 0
 UL: CA_n78(2A), CA_n1A-n7A, CA_n1A-n28A, CA_n1A-n78A, CA_n7A-n28A, CA_n7A-n78A, CA_n28A-n78A
 [18 layers, 4 bands, 5 DL carriers, 2 UL carriers, 20+50+20+200=290 MHz max.]</t>
  </si>
  <si>
    <t>CA_n78(2A), CA_n1A-n7A, CA_n1A-n28A, CA_n1A-n78A, CA_n7A-n28A, CA_n7A-n78A, CA_n28A-n78A</t>
  </si>
  <si>
    <t>MTR-40109</t>
  </si>
  <si>
    <t>CA_n3A(4x4)-n7A(4x4)-n20A(2x2)-n78(2A)(4x4)  BCS: 4 and 5
 UL: n3A, n7A, n20A, n78A
 [18 layers, 4 bands, 5 DL carriers, 1 UL carrier, 50+50+20+0=120 MHz max.]</t>
  </si>
  <si>
    <t>CA_n3A-n7A-n20A-n78(2A)</t>
  </si>
  <si>
    <t>MTR-40110</t>
  </si>
  <si>
    <t>CA_n3A(4x4)-n7A(4x4)-n20A(2x2)-n78(2A)(4x4)  BCS: 4 and 5
 UL: CA_n3A-n7A, CA_n3A-n20A, CA_n3A-n78A, CA_n7A-n20A, CA_n7A-n78A, CA_n20A-n78A, CA_n78(2A)
 [18 layers, 4 bands, 5 DL carriers, 2 UL carriers, 50+50+20+0=120 MHz max.]</t>
  </si>
  <si>
    <t>CA_n3A-n7A, CA_n3A-n20A, CA_n3A-n78A, CA_n7A-n20A, CA_n7A-n78A, CA_n20A-n78A, CA_n78(2A)</t>
  </si>
  <si>
    <t>MTR-38600</t>
  </si>
  <si>
    <t>CA_n3A(4x4)-n7A(4x4)-n28A(2x2)-n78(2A)(4x4)  BCS: 0
 UL: n3A, n7A, n28A, n78A
 [18 layers, 4 bands, 5 DL carriers, 1 UL carrier, 40+50+20+200=310 MHz max.]</t>
  </si>
  <si>
    <t>CA_n3A-n7A-n28A-n78(2A)</t>
  </si>
  <si>
    <t>MTR-38601</t>
  </si>
  <si>
    <t>CA_n3A(4x4)-n7A(4x4)-n28A(2x2)-n78(2A)(4x4)  BCS: 0
 UL: CA_n78(2A), CA_n3A-n7A, CA_n3A-n28A, CA_n3A-n78A, CA_n7A-n28A, CA_n7A-n78A, CA_n28A-n78A
 [18 layers, 4 bands, 5 DL carriers, 2 UL carriers, 40+50+20+200=310 MHz max.]</t>
  </si>
  <si>
    <t>CA_n78(2A), CA_n3A-n7A, CA_n3A-n28A, CA_n3A-n78A, CA_n7A-n28A, CA_n7A-n78A, CA_n28A-n78A</t>
  </si>
  <si>
    <t>MTR-38603</t>
  </si>
  <si>
    <r>
      <rPr>
        <rFont val="Arial"/>
        <b/>
        <color theme="1"/>
        <sz val="10.0"/>
      </rPr>
      <t>2.5.3.6</t>
    </r>
    <r>
      <rPr>
        <rFont val="Arial"/>
        <b val="0"/>
        <color theme="1"/>
        <sz val="10.0"/>
      </rPr>
      <t xml:space="preserve"> </t>
    </r>
    <r>
      <rPr>
        <rFont val="Arial"/>
        <b/>
        <color theme="1"/>
        <sz val="10.0"/>
      </rPr>
      <t>NR-CA with 6 carriers</t>
    </r>
  </si>
  <si>
    <t>MTR-38604</t>
  </si>
  <si>
    <t>CA_n1A(4x4)-n3A(4x4)-n7A(4x4)-n28A(2x2)-n78(2A)(4x4)  BCS: 0
 UL: n1A, n3A, n7A, n28A, n78A
 [22 layers, 5 bands, 6 DL carriers, 1 UL carrier, 50+50+50+30+200=380 MHz max.]</t>
  </si>
  <si>
    <t>CA_n1A-n3A-n7A-n28A-n78(2A)</t>
  </si>
  <si>
    <t>MTR-38605</t>
  </si>
  <si>
    <t>CA_n1A(4x4)-n3A(4x4)-n7A(4x4)-n28A(2x2)-n78(2A)(4x4)  BCS: 0
 UL: CA_n78(2A), CA_n1A-n3A, CA_n1A-n7A, CA_n1A-n28A, CA_n1A-n78A, CA_n3A-n7A, CA_n3A-n28A, CA_n3A-n78A, CA_n7A-n28A, CA_n7A-n78A, CA_n28A-n78A
 [22 layers, 5 bands, 6 DL carriers, 2 UL carriers, 50+50+50+30+200=380 MHz max.]</t>
  </si>
  <si>
    <t>CA_n78(2A), CA_n1A-n3A, CA_n1A-n7A, CA_n1A-n28A, CA_n1A-n78A, CA_n3A-n7A, CA_n3A-n28A, CA_n3A-n78A, CA_n7A-n28A, CA_n7A-n78A, CA_n28A-n78A</t>
  </si>
</sst>
</file>

<file path=xl/styles.xml><?xml version="1.0" encoding="utf-8"?>
<styleSheet xmlns="http://schemas.openxmlformats.org/spreadsheetml/2006/main" xmlns:x14ac="http://schemas.microsoft.com/office/spreadsheetml/2009/9/ac" xmlns:mc="http://schemas.openxmlformats.org/markup-compatibility/2006">
  <fonts count="43">
    <font>
      <sz val="10.0"/>
      <color rgb="FF000000"/>
      <name val="Calibri"/>
      <scheme val="minor"/>
    </font>
    <font>
      <b/>
      <sz val="20.0"/>
      <color rgb="FFFFFFFF"/>
      <name val="Arial"/>
    </font>
    <font>
      <sz val="10.0"/>
      <color rgb="FFFFFFFF"/>
      <name val="Arial"/>
    </font>
    <font>
      <b/>
      <sz val="20.0"/>
      <color rgb="FFFF00FF"/>
      <name val="Arial"/>
    </font>
    <font>
      <sz val="14.0"/>
      <color theme="1"/>
      <name val="Arial"/>
    </font>
    <font>
      <b/>
      <sz val="24.0"/>
      <color rgb="FFE20074"/>
      <name val="Arial"/>
    </font>
    <font/>
    <font>
      <b/>
      <sz val="20.0"/>
      <color rgb="FFE20074"/>
      <name val="Arial"/>
    </font>
    <font>
      <sz val="10.0"/>
      <color theme="1"/>
      <name val="Arial"/>
    </font>
    <font>
      <b/>
      <sz val="24.0"/>
      <color theme="1"/>
      <name val="Arial"/>
    </font>
    <font>
      <b/>
      <u/>
      <sz val="20.0"/>
      <color rgb="FFFF00FF"/>
      <name val="Arial"/>
    </font>
    <font>
      <b/>
      <sz val="20.0"/>
      <color theme="1"/>
      <name val="Arial"/>
    </font>
    <font>
      <b/>
      <u/>
      <sz val="20.0"/>
      <color rgb="FFFF00FF"/>
      <name val="Arial"/>
    </font>
    <font>
      <b/>
      <u/>
      <sz val="20.0"/>
      <color rgb="FFFF00FF"/>
      <name val="Arial"/>
    </font>
    <font>
      <b/>
      <u/>
      <sz val="20.0"/>
      <color rgb="FFFF00FF"/>
      <name val="Arial"/>
    </font>
    <font>
      <b/>
      <sz val="14.0"/>
      <color rgb="FF0070C0"/>
      <name val="Arial"/>
    </font>
    <font>
      <sz val="12.0"/>
      <color theme="1"/>
      <name val="Arial"/>
    </font>
    <font>
      <sz val="10.0"/>
      <color theme="1"/>
      <name val="Noto Sans Symbols"/>
    </font>
    <font>
      <b/>
      <sz val="10.0"/>
      <color theme="1"/>
      <name val="Arial"/>
    </font>
    <font>
      <b/>
      <sz val="10.0"/>
      <color theme="4"/>
      <name val="Arial"/>
    </font>
    <font>
      <sz val="10.0"/>
      <color theme="1"/>
      <name val="Tahoma"/>
    </font>
    <font>
      <sz val="8.0"/>
      <color theme="1"/>
      <name val="Arial"/>
    </font>
    <font>
      <b/>
      <u/>
      <sz val="10.0"/>
      <color theme="1"/>
      <name val="Arial"/>
    </font>
    <font>
      <b/>
      <u/>
      <sz val="10.0"/>
      <color theme="1"/>
      <name val="Arial"/>
    </font>
    <font>
      <sz val="16.0"/>
      <color theme="1"/>
      <name val="Arial"/>
    </font>
    <font>
      <b/>
      <sz val="18.0"/>
      <color theme="0"/>
      <name val="Arial"/>
    </font>
    <font>
      <b/>
      <sz val="18.0"/>
      <color theme="1"/>
      <name val="Arial"/>
    </font>
    <font>
      <b/>
      <u/>
      <sz val="12.0"/>
      <color rgb="FF0000FF"/>
      <name val="Arial"/>
    </font>
    <font>
      <b/>
      <sz val="10.0"/>
      <color rgb="FF000000"/>
      <name val="Arial"/>
    </font>
    <font>
      <u/>
      <sz val="10.0"/>
      <color rgb="FF0000FF"/>
      <name val="Arial"/>
    </font>
    <font>
      <b/>
      <sz val="12.0"/>
      <color theme="1"/>
      <name val="Arial"/>
    </font>
    <font>
      <b/>
      <color theme="1"/>
      <name val="Arial"/>
    </font>
    <font>
      <color theme="1"/>
      <name val="Calibri"/>
    </font>
    <font>
      <u/>
      <sz val="10.0"/>
      <color theme="1"/>
      <name val="Arial"/>
    </font>
    <font>
      <u/>
      <sz val="10.0"/>
      <color rgb="FF0000FF"/>
      <name val="Arial"/>
    </font>
    <font>
      <sz val="12.0"/>
      <color rgb="FF000000"/>
      <name val="Arial"/>
    </font>
    <font>
      <sz val="8.0"/>
      <color rgb="FF000000"/>
      <name val="&quot;Google Sans&quot;"/>
    </font>
    <font>
      <u/>
      <sz val="10.0"/>
      <color rgb="FF0563C1"/>
      <name val="Arial"/>
    </font>
    <font>
      <u/>
      <color rgb="FF0563C1"/>
      <name val="Calibri"/>
    </font>
    <font>
      <u/>
      <color rgb="FF0563C1"/>
      <name val="Calibri"/>
    </font>
    <font>
      <u/>
      <color rgb="FF0000FF"/>
      <name val="Calibri"/>
    </font>
    <font>
      <u/>
      <color rgb="FF0000FF"/>
      <name val="Calibri"/>
    </font>
    <font>
      <color rgb="FF000000"/>
      <name val="Arial"/>
    </font>
  </fonts>
  <fills count="16">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BFBFBF"/>
        <bgColor rgb="FFBFBFBF"/>
      </patternFill>
    </fill>
    <fill>
      <patternFill patternType="solid">
        <fgColor rgb="FFFFFF00"/>
        <bgColor rgb="FFFFFF00"/>
      </patternFill>
    </fill>
    <fill>
      <patternFill patternType="solid">
        <fgColor rgb="FF00FF00"/>
        <bgColor rgb="FF00FF00"/>
      </patternFill>
    </fill>
    <fill>
      <patternFill patternType="solid">
        <fgColor rgb="FFFFFF99"/>
        <bgColor rgb="FFFFFF99"/>
      </patternFill>
    </fill>
    <fill>
      <patternFill patternType="solid">
        <fgColor rgb="FFE20074"/>
        <bgColor rgb="FFE20074"/>
      </patternFill>
    </fill>
    <fill>
      <patternFill patternType="solid">
        <fgColor rgb="FFC0C0C0"/>
        <bgColor rgb="FFC0C0C0"/>
      </patternFill>
    </fill>
    <fill>
      <patternFill patternType="solid">
        <fgColor rgb="FFFF0000"/>
        <bgColor rgb="FFFF0000"/>
      </patternFill>
    </fill>
    <fill>
      <patternFill patternType="solid">
        <fgColor rgb="FF99CCFF"/>
        <bgColor rgb="FF99CCFF"/>
      </patternFill>
    </fill>
    <fill>
      <patternFill patternType="solid">
        <fgColor rgb="FFD1D1D1"/>
        <bgColor rgb="FFD1D1D1"/>
      </patternFill>
    </fill>
    <fill>
      <patternFill patternType="solid">
        <fgColor rgb="FFD8D8D8"/>
        <bgColor rgb="FFD8D8D8"/>
      </patternFill>
    </fill>
    <fill>
      <patternFill patternType="solid">
        <fgColor rgb="FF92D050"/>
        <bgColor rgb="FF92D050"/>
      </patternFill>
    </fill>
    <fill>
      <patternFill patternType="solid">
        <fgColor rgb="FFFFF2CC"/>
        <bgColor rgb="FFFFF2CC"/>
      </patternFill>
    </fill>
  </fills>
  <borders count="103">
    <border/>
    <border>
      <left/>
      <right/>
      <top/>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top/>
      <bottom style="medium">
        <color rgb="FF000000"/>
      </bottom>
    </border>
    <border>
      <left/>
      <right/>
      <top/>
      <bottom style="medium">
        <color rgb="FF000000"/>
      </bottom>
    </border>
    <border>
      <left/>
      <right style="medium">
        <color rgb="FF000000"/>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right/>
      <top/>
      <bottom/>
    </border>
    <border>
      <left/>
      <right style="medium">
        <color rgb="FF000000"/>
      </right>
      <top/>
      <bottom/>
    </border>
    <border>
      <left/>
      <top/>
      <bottom/>
    </border>
    <border>
      <top/>
      <bottom/>
    </border>
    <border>
      <right/>
      <top/>
      <bottom/>
    </border>
    <border>
      <left style="medium">
        <color rgb="FF000000"/>
      </left>
      <right style="thin">
        <color rgb="FF000000"/>
      </right>
      <top style="medium">
        <color rgb="FF000000"/>
      </top>
      <bottom style="thin">
        <color rgb="FF000000"/>
      </bottom>
    </border>
    <border>
      <left style="thin">
        <color rgb="FF000000"/>
      </left>
      <right/>
      <top style="medium">
        <color rgb="FF000000"/>
      </top>
      <bottom style="thin">
        <color rgb="FF000000"/>
      </bottom>
    </border>
    <border>
      <left/>
      <right/>
      <top style="medium">
        <color rgb="FF000000"/>
      </top>
      <bottom style="thin">
        <color rgb="FF000000"/>
      </bottom>
    </border>
    <border>
      <left/>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bottom style="medium">
        <color rgb="FF000000"/>
      </bottom>
    </border>
    <border>
      <left style="thin">
        <color rgb="FF000000"/>
      </left>
      <top/>
      <bottom style="medium">
        <color rgb="FF000000"/>
      </bottom>
    </border>
    <border>
      <top/>
      <bottom style="medium">
        <color rgb="FF000000"/>
      </bottom>
    </border>
    <border>
      <right style="medium">
        <color rgb="FF000000"/>
      </right>
      <top/>
      <bottom style="medium">
        <color rgb="FF000000"/>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top/>
      <bottom/>
    </border>
    <border>
      <left/>
      <right style="thin">
        <color rgb="FF000000"/>
      </right>
      <top/>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bottom style="thin">
        <color theme="0"/>
      </bottom>
    </border>
    <border>
      <top style="thin">
        <color theme="0"/>
      </top>
      <bottom style="thin">
        <color theme="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top style="thin">
        <color rgb="FF000000"/>
      </top>
      <bottom style="thin">
        <color rgb="FF000000"/>
      </bottom>
    </border>
    <border>
      <right style="thin">
        <color rgb="FF000000"/>
      </right>
      <top style="thin">
        <color rgb="FF000000"/>
      </top>
      <bottom style="thin">
        <color rgb="FF000000"/>
      </bottom>
    </border>
    <border>
      <left style="medium">
        <color rgb="FF000000"/>
      </left>
      <right/>
      <top style="thin">
        <color rgb="FF000000"/>
      </top>
      <bottom style="thin">
        <color rgb="FF000000"/>
      </bottom>
    </border>
    <border>
      <left/>
      <right/>
      <top style="thin">
        <color rgb="FF000000"/>
      </top>
      <bottom style="thin">
        <color rgb="FF000000"/>
      </bottom>
    </border>
    <border>
      <left style="medium">
        <color rgb="FF000000"/>
      </left>
      <top/>
      <bottom/>
    </border>
    <border>
      <right style="medium">
        <color rgb="FF000000"/>
      </right>
      <top/>
      <bottom/>
    </border>
    <border>
      <left style="medium">
        <color rgb="FF000000"/>
      </left>
      <right/>
      <top/>
      <bottom style="thin">
        <color rgb="FF000000"/>
      </bottom>
    </border>
    <border>
      <left/>
      <right style="medium">
        <color rgb="FF000000"/>
      </right>
      <top/>
      <bottom style="thin">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right style="medium">
        <color rgb="FF000000"/>
      </right>
      <top style="thin">
        <color rgb="FF000000"/>
      </top>
      <bottom style="thin">
        <color rgb="FF000000"/>
      </bottom>
    </border>
    <border>
      <left style="medium">
        <color rgb="FF000000"/>
      </left>
      <top/>
      <bottom style="thin">
        <color rgb="FF000000"/>
      </bottom>
    </border>
    <border>
      <top/>
      <bottom style="thin">
        <color rgb="FF000000"/>
      </bottom>
    </border>
    <border>
      <right style="medium">
        <color rgb="FF000000"/>
      </right>
      <top/>
      <bottom style="thin">
        <color rgb="FF000000"/>
      </bottom>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top style="medium">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border>
    <border>
      <left style="medium">
        <color rgb="FF000000"/>
      </left>
      <bottom style="thin">
        <color rgb="FF000000"/>
      </bottom>
    </border>
    <border>
      <bottom style="thin">
        <color rgb="FF000000"/>
      </bottom>
    </border>
    <border>
      <right style="medium">
        <color rgb="FF000000"/>
      </right>
      <bottom style="thin">
        <color rgb="FF000000"/>
      </bottom>
    </border>
    <border>
      <right style="thin">
        <color rgb="FF000000"/>
      </right>
      <bottom style="thin">
        <color rgb="FF000000"/>
      </bottom>
    </border>
    <border>
      <left style="medium">
        <color rgb="FF000000"/>
      </left>
      <right style="medium">
        <color rgb="FF000000"/>
      </right>
      <bottom style="thick">
        <color rgb="FF000000"/>
      </bottom>
    </border>
    <border>
      <left style="medium">
        <color rgb="FF000000"/>
      </left>
      <right style="thin">
        <color rgb="FF000000"/>
      </right>
      <bottom style="thick">
        <color rgb="FF000000"/>
      </bottom>
    </border>
    <border>
      <left style="thin">
        <color rgb="FF000000"/>
      </left>
      <right style="thin">
        <color rgb="FF000000"/>
      </right>
      <bottom style="thick">
        <color rgb="FF000000"/>
      </bottom>
    </border>
    <border>
      <left style="thin">
        <color rgb="FF000000"/>
      </left>
      <right style="medium">
        <color rgb="FF000000"/>
      </right>
      <bottom style="thick">
        <color rgb="FF000000"/>
      </bottom>
    </border>
    <border>
      <right style="thin">
        <color rgb="FF000000"/>
      </right>
      <bottom style="thick">
        <color rgb="FF000000"/>
      </bottom>
    </border>
    <border>
      <left style="thin">
        <color rgb="FF000000"/>
      </left>
      <bottom style="thick">
        <color rgb="FF000000"/>
      </bottom>
    </border>
    <border>
      <left style="medium">
        <color rgb="FF000000"/>
      </left>
      <right style="medium">
        <color rgb="FF000000"/>
      </right>
      <top style="thin">
        <color rgb="FF000000"/>
      </top>
      <bottom style="thick">
        <color rgb="FF000000"/>
      </bottom>
    </border>
    <border>
      <left style="thick">
        <color rgb="FF000000"/>
      </left>
      <right style="medium">
        <color rgb="FF000000"/>
      </right>
      <top style="thick">
        <color rgb="FF000000"/>
      </top>
      <bottom style="thin">
        <color rgb="FF000000"/>
      </bottom>
    </border>
    <border>
      <left style="medium">
        <color rgb="FF000000"/>
      </left>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right style="medium">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n">
        <color rgb="FF000000"/>
      </left>
      <right style="thin">
        <color rgb="FF000000"/>
      </right>
      <bottom style="thin">
        <color rgb="FF000000"/>
      </bottom>
    </border>
    <border>
      <left style="thin">
        <color rgb="FF000000"/>
      </left>
      <bottom style="thin">
        <color rgb="FF000000"/>
      </bottom>
    </border>
    <border>
      <left style="medium">
        <color rgb="FF000000"/>
      </left>
      <right style="thin">
        <color rgb="FF000000"/>
      </right>
      <bottom style="thin">
        <color rgb="FF000000"/>
      </bottom>
    </border>
    <border>
      <left style="medium">
        <color rgb="FF000000"/>
      </left>
      <right style="thick">
        <color rgb="FF000000"/>
      </right>
      <bottom style="thin">
        <color rgb="FF000000"/>
      </bottom>
    </border>
    <border>
      <left style="medium">
        <color rgb="FF000000"/>
      </left>
    </border>
    <border>
      <left style="medium">
        <color rgb="FF000000"/>
      </left>
      <right style="thin">
        <color rgb="FF000000"/>
      </right>
      <top style="thin">
        <color rgb="FF000000"/>
      </top>
    </border>
    <border>
      <left style="medium">
        <color rgb="FF000000"/>
      </left>
      <right style="thin">
        <color rgb="FF000000"/>
      </right>
    </border>
    <border>
      <left style="thin">
        <color rgb="FF000000"/>
      </left>
      <top style="thin">
        <color rgb="FF000000"/>
      </top>
    </border>
    <border>
      <right style="medium">
        <color rgb="FF000000"/>
      </right>
      <top style="thin">
        <color rgb="FF000000"/>
      </top>
    </border>
    <border>
      <left style="thin">
        <color rgb="FF000000"/>
      </left>
    </border>
    <border>
      <right style="medium">
        <color rgb="FF000000"/>
      </right>
    </border>
    <border>
      <right style="thin">
        <color rgb="FF000000"/>
      </right>
      <top style="thin">
        <color rgb="FF000000"/>
      </top>
    </border>
    <border>
      <top style="thin">
        <color rgb="FF000000"/>
      </top>
    </border>
    <border>
      <left style="medium">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thin">
        <color rgb="FF000000"/>
      </left>
      <right style="thin">
        <color rgb="FF000000"/>
      </right>
      <top style="thin">
        <color rgb="FF000000"/>
      </top>
      <bottom/>
    </border>
  </borders>
  <cellStyleXfs count="1">
    <xf borderId="0" fillId="0" fontId="0" numFmtId="0" applyAlignment="1" applyFont="1"/>
  </cellStyleXfs>
  <cellXfs count="292">
    <xf borderId="0" fillId="0" fontId="0" numFmtId="0" xfId="0" applyAlignment="1" applyFont="1">
      <alignment readingOrder="0" shrinkToFit="0" vertical="bottom" wrapText="0"/>
    </xf>
    <xf borderId="1" fillId="2" fontId="1" numFmtId="0" xfId="0" applyBorder="1" applyFill="1" applyFont="1"/>
    <xf borderId="1" fillId="2" fontId="2" numFmtId="0" xfId="0" applyAlignment="1" applyBorder="1" applyFont="1">
      <alignment vertical="center"/>
    </xf>
    <xf borderId="1" fillId="2" fontId="3" numFmtId="0" xfId="0" applyBorder="1" applyFont="1"/>
    <xf borderId="2" fillId="2" fontId="3" numFmtId="0" xfId="0" applyBorder="1" applyFont="1"/>
    <xf borderId="3" fillId="2" fontId="3" numFmtId="0" xfId="0" applyBorder="1" applyFont="1"/>
    <xf borderId="4" fillId="2" fontId="3" numFmtId="0" xfId="0" applyBorder="1" applyFont="1"/>
    <xf borderId="5" fillId="2" fontId="3" numFmtId="0" xfId="0" applyBorder="1" applyFont="1"/>
    <xf borderId="6" fillId="2" fontId="3" numFmtId="0" xfId="0" applyBorder="1" applyFont="1"/>
    <xf borderId="6" fillId="2" fontId="4" numFmtId="49" xfId="0" applyBorder="1" applyFont="1" applyNumberFormat="1"/>
    <xf borderId="7" fillId="2" fontId="3" numFmtId="0" xfId="0" applyBorder="1" applyFont="1"/>
    <xf borderId="8" fillId="2" fontId="5" numFmtId="0" xfId="0" applyAlignment="1" applyBorder="1" applyFont="1">
      <alignment horizontal="center"/>
    </xf>
    <xf borderId="9" fillId="0" fontId="6" numFmtId="0" xfId="0" applyBorder="1" applyFont="1"/>
    <xf borderId="10" fillId="0" fontId="6" numFmtId="0" xfId="0" applyBorder="1" applyFont="1"/>
    <xf borderId="8" fillId="2" fontId="7" numFmtId="0" xfId="0" applyAlignment="1" applyBorder="1" applyFont="1">
      <alignment horizontal="center"/>
    </xf>
    <xf borderId="11" fillId="2" fontId="3" numFmtId="0" xfId="0" applyAlignment="1" applyBorder="1" applyFont="1">
      <alignment horizontal="center"/>
    </xf>
    <xf borderId="0" fillId="0" fontId="7" numFmtId="0" xfId="0" applyAlignment="1" applyFont="1">
      <alignment horizontal="center"/>
    </xf>
    <xf borderId="12" fillId="2" fontId="8" numFmtId="0" xfId="0" applyAlignment="1" applyBorder="1" applyFont="1">
      <alignment horizontal="center"/>
    </xf>
    <xf borderId="13" fillId="2" fontId="9" numFmtId="0" xfId="0" applyAlignment="1" applyBorder="1" applyFont="1">
      <alignment horizontal="center"/>
    </xf>
    <xf borderId="14" fillId="0" fontId="6" numFmtId="0" xfId="0" applyBorder="1" applyFont="1"/>
    <xf borderId="15" fillId="0" fontId="6" numFmtId="0" xfId="0" applyBorder="1" applyFont="1"/>
    <xf borderId="11" fillId="2" fontId="3" numFmtId="0" xfId="0" applyBorder="1" applyFont="1"/>
    <xf borderId="12" fillId="2" fontId="3" numFmtId="0" xfId="0" applyBorder="1" applyFont="1"/>
    <xf borderId="11" fillId="2" fontId="10" numFmtId="0" xfId="0" applyBorder="1" applyFont="1"/>
    <xf borderId="16" fillId="2" fontId="11" numFmtId="0" xfId="0" applyBorder="1" applyFont="1"/>
    <xf borderId="17" fillId="2" fontId="12" numFmtId="0" xfId="0" applyBorder="1" applyFont="1"/>
    <xf borderId="18" fillId="2" fontId="13" numFmtId="0" xfId="0" applyBorder="1" applyFont="1"/>
    <xf borderId="19" fillId="2" fontId="14" numFmtId="0" xfId="0" applyBorder="1" applyFont="1"/>
    <xf borderId="20" fillId="2" fontId="7" numFmtId="0" xfId="0" applyBorder="1" applyFont="1"/>
    <xf borderId="21" fillId="2" fontId="15" numFmtId="0" xfId="0" applyAlignment="1" applyBorder="1" applyFont="1">
      <alignment horizontal="center" readingOrder="0"/>
    </xf>
    <xf borderId="22" fillId="0" fontId="6" numFmtId="0" xfId="0" applyBorder="1" applyFont="1"/>
    <xf borderId="23" fillId="0" fontId="6" numFmtId="0" xfId="0" applyBorder="1" applyFont="1"/>
    <xf borderId="20" fillId="0" fontId="7" numFmtId="0" xfId="0" applyBorder="1" applyFont="1"/>
    <xf borderId="24" fillId="0" fontId="7" numFmtId="0" xfId="0" applyBorder="1" applyFont="1"/>
    <xf borderId="25" fillId="2" fontId="15" numFmtId="0" xfId="0" applyAlignment="1" applyBorder="1" applyFont="1">
      <alignment horizontal="center"/>
    </xf>
    <xf borderId="26" fillId="0" fontId="6" numFmtId="0" xfId="0" applyBorder="1" applyFont="1"/>
    <xf borderId="27" fillId="0" fontId="6" numFmtId="0" xfId="0" applyBorder="1" applyFont="1"/>
    <xf borderId="5" fillId="2" fontId="16" numFmtId="0" xfId="0" applyBorder="1" applyFont="1"/>
    <xf borderId="6" fillId="2" fontId="16" numFmtId="0" xfId="0" applyBorder="1" applyFont="1"/>
    <xf borderId="7" fillId="2" fontId="16" numFmtId="0" xfId="0" applyBorder="1" applyFont="1"/>
    <xf borderId="1" fillId="2" fontId="4" numFmtId="0" xfId="0" applyBorder="1" applyFont="1"/>
    <xf borderId="28" fillId="2" fontId="17" numFmtId="0" xfId="0" applyAlignment="1" applyBorder="1" applyFont="1">
      <alignment horizontal="left" vertical="top"/>
    </xf>
    <xf borderId="29" fillId="2" fontId="3" numFmtId="0" xfId="0" applyBorder="1" applyFont="1"/>
    <xf borderId="30" fillId="2" fontId="3" numFmtId="0" xfId="0" applyBorder="1" applyFont="1"/>
    <xf borderId="31" fillId="2" fontId="8" numFmtId="0" xfId="0" applyAlignment="1" applyBorder="1" applyFont="1">
      <alignment horizontal="left" vertical="top"/>
    </xf>
    <xf borderId="32" fillId="2" fontId="3" numFmtId="0" xfId="0" applyBorder="1" applyFont="1"/>
    <xf borderId="33" fillId="2" fontId="8" numFmtId="0" xfId="0" applyAlignment="1" applyBorder="1" applyFont="1">
      <alignment horizontal="left" vertical="top"/>
    </xf>
    <xf borderId="34" fillId="2" fontId="3" numFmtId="0" xfId="0" applyBorder="1" applyFont="1"/>
    <xf borderId="35" fillId="2" fontId="3" numFmtId="0" xfId="0" applyBorder="1" applyFont="1"/>
    <xf borderId="36" fillId="0" fontId="8" numFmtId="0" xfId="0" applyBorder="1" applyFont="1"/>
    <xf borderId="1" fillId="3" fontId="18" numFmtId="49" xfId="0" applyAlignment="1" applyBorder="1" applyFill="1" applyFont="1" applyNumberFormat="1">
      <alignment horizontal="left" vertical="top"/>
    </xf>
    <xf borderId="0" fillId="0" fontId="19" numFmtId="49" xfId="0" applyAlignment="1" applyFont="1" applyNumberFormat="1">
      <alignment horizontal="left" vertical="top"/>
    </xf>
    <xf borderId="1" fillId="3" fontId="20" numFmtId="49" xfId="0" applyAlignment="1" applyBorder="1" applyFont="1" applyNumberFormat="1">
      <alignment vertical="top"/>
    </xf>
    <xf borderId="37" fillId="0" fontId="8" numFmtId="0" xfId="0" applyBorder="1" applyFont="1"/>
    <xf borderId="38" fillId="3" fontId="18" numFmtId="0" xfId="0" applyAlignment="1" applyBorder="1" applyFont="1">
      <alignment horizontal="left" shrinkToFit="0" vertical="top" wrapText="1"/>
    </xf>
    <xf borderId="39" fillId="0" fontId="6" numFmtId="0" xfId="0" applyBorder="1" applyFont="1"/>
    <xf borderId="40" fillId="0" fontId="6" numFmtId="0" xfId="0" applyBorder="1" applyFont="1"/>
    <xf borderId="11" fillId="3" fontId="18" numFmtId="49" xfId="0" applyAlignment="1" applyBorder="1" applyFont="1" applyNumberFormat="1">
      <alignment horizontal="left" vertical="top"/>
    </xf>
    <xf borderId="1" fillId="3" fontId="8" numFmtId="0" xfId="0" applyBorder="1" applyFont="1"/>
    <xf borderId="12" fillId="3" fontId="8" numFmtId="0" xfId="0" applyBorder="1" applyFont="1"/>
    <xf borderId="41" fillId="3" fontId="21" numFmtId="0" xfId="0" applyAlignment="1" applyBorder="1" applyFont="1">
      <alignment horizontal="left" shrinkToFit="0" vertical="top" wrapText="1"/>
    </xf>
    <xf borderId="42" fillId="0" fontId="6" numFmtId="0" xfId="0" applyBorder="1" applyFont="1"/>
    <xf borderId="21" fillId="3" fontId="21" numFmtId="49" xfId="0" applyAlignment="1" applyBorder="1" applyFont="1" applyNumberFormat="1">
      <alignment horizontal="left" shrinkToFit="0" vertical="top" wrapText="1"/>
    </xf>
    <xf borderId="43" fillId="3" fontId="21" numFmtId="0" xfId="0" applyAlignment="1" applyBorder="1" applyFont="1">
      <alignment horizontal="left" shrinkToFit="0" vertical="top" wrapText="1"/>
    </xf>
    <xf borderId="44" fillId="3" fontId="21" numFmtId="0" xfId="0" applyAlignment="1" applyBorder="1" applyFont="1">
      <alignment horizontal="left" shrinkToFit="0" vertical="top" wrapText="1"/>
    </xf>
    <xf borderId="21" fillId="3" fontId="21" numFmtId="0" xfId="0" applyAlignment="1" applyBorder="1" applyFont="1">
      <alignment horizontal="left" shrinkToFit="0" vertical="top" wrapText="1"/>
    </xf>
    <xf borderId="11" fillId="3" fontId="21" numFmtId="0" xfId="0" applyAlignment="1" applyBorder="1" applyFont="1">
      <alignment horizontal="left" shrinkToFit="0" vertical="top" wrapText="1"/>
    </xf>
    <xf borderId="1" fillId="3" fontId="21" numFmtId="0" xfId="0" applyAlignment="1" applyBorder="1" applyFont="1">
      <alignment horizontal="left" shrinkToFit="0" vertical="top" wrapText="1"/>
    </xf>
    <xf borderId="1" fillId="3" fontId="21" numFmtId="0" xfId="0" applyAlignment="1" applyBorder="1" applyFont="1">
      <alignment horizontal="center" shrinkToFit="0" vertical="top" wrapText="1"/>
    </xf>
    <xf borderId="12" fillId="3" fontId="21" numFmtId="0" xfId="0" applyAlignment="1" applyBorder="1" applyFont="1">
      <alignment horizontal="center" shrinkToFit="0" vertical="top" wrapText="1"/>
    </xf>
    <xf borderId="11" fillId="3" fontId="22" numFmtId="0" xfId="0" applyBorder="1" applyFont="1"/>
    <xf borderId="1" fillId="3" fontId="23" numFmtId="0" xfId="0" applyBorder="1" applyFont="1"/>
    <xf borderId="45" fillId="3" fontId="8" numFmtId="0" xfId="0" applyAlignment="1" applyBorder="1" applyFont="1">
      <alignment horizontal="left" shrinkToFit="0" wrapText="1"/>
    </xf>
    <xf borderId="46" fillId="0" fontId="6" numFmtId="0" xfId="0" applyBorder="1" applyFont="1"/>
    <xf borderId="11" fillId="3" fontId="8" numFmtId="0" xfId="0" applyAlignment="1" applyBorder="1" applyFont="1">
      <alignment horizontal="left" shrinkToFit="0" wrapText="1"/>
    </xf>
    <xf borderId="1" fillId="3" fontId="8" numFmtId="0" xfId="0" applyAlignment="1" applyBorder="1" applyFont="1">
      <alignment horizontal="left" shrinkToFit="0" wrapText="1"/>
    </xf>
    <xf borderId="12" fillId="3" fontId="8" numFmtId="0" xfId="0" applyAlignment="1" applyBorder="1" applyFont="1">
      <alignment horizontal="left" shrinkToFit="0" wrapText="1"/>
    </xf>
    <xf borderId="45" fillId="3" fontId="8" numFmtId="0" xfId="0" applyAlignment="1" applyBorder="1" applyFont="1">
      <alignment horizontal="left"/>
    </xf>
    <xf borderId="47" fillId="3" fontId="8" numFmtId="0" xfId="0" applyAlignment="1" applyBorder="1" applyFont="1">
      <alignment horizontal="left"/>
    </xf>
    <xf borderId="34" fillId="3" fontId="8" numFmtId="0" xfId="0" applyAlignment="1" applyBorder="1" applyFont="1">
      <alignment horizontal="left"/>
    </xf>
    <xf borderId="48" fillId="3" fontId="8" numFmtId="0" xfId="0" applyAlignment="1" applyBorder="1" applyFont="1">
      <alignment horizontal="left"/>
    </xf>
    <xf borderId="20" fillId="4" fontId="18" numFmtId="0" xfId="0" applyAlignment="1" applyBorder="1" applyFill="1" applyFont="1">
      <alignment horizontal="center" vertical="top"/>
    </xf>
    <xf borderId="49" fillId="4" fontId="18" numFmtId="0" xfId="0" applyAlignment="1" applyBorder="1" applyFont="1">
      <alignment horizontal="left" vertical="top"/>
    </xf>
    <xf borderId="50" fillId="4" fontId="8" numFmtId="0" xfId="0" applyAlignment="1" applyBorder="1" applyFont="1">
      <alignment horizontal="left" vertical="top"/>
    </xf>
    <xf borderId="51" fillId="4" fontId="18" numFmtId="0" xfId="0" applyAlignment="1" applyBorder="1" applyFont="1">
      <alignment horizontal="center" vertical="top"/>
    </xf>
    <xf borderId="52" fillId="4" fontId="18" numFmtId="0" xfId="0" applyAlignment="1" applyBorder="1" applyFont="1">
      <alignment horizontal="left" vertical="top"/>
    </xf>
    <xf borderId="20" fillId="0" fontId="8" numFmtId="0" xfId="0" applyAlignment="1" applyBorder="1" applyFont="1">
      <alignment horizontal="center" vertical="top"/>
    </xf>
    <xf borderId="21" fillId="0" fontId="8" numFmtId="0" xfId="0" applyAlignment="1" applyBorder="1" applyFont="1">
      <alignment vertical="top"/>
    </xf>
    <xf borderId="42" fillId="0" fontId="8" numFmtId="0" xfId="0" applyAlignment="1" applyBorder="1" applyFont="1">
      <alignment horizontal="left" vertical="top"/>
    </xf>
    <xf borderId="51" fillId="0" fontId="8" numFmtId="14" xfId="0" applyAlignment="1" applyBorder="1" applyFont="1" applyNumberFormat="1">
      <alignment horizontal="center" vertical="top"/>
    </xf>
    <xf borderId="53" fillId="3" fontId="8" numFmtId="0" xfId="0" applyAlignment="1" applyBorder="1" applyFont="1">
      <alignment horizontal="left" shrinkToFit="0" vertical="top" wrapText="1"/>
    </xf>
    <xf borderId="11" fillId="3" fontId="8" numFmtId="0" xfId="0" applyBorder="1" applyFont="1"/>
    <xf borderId="54" fillId="3" fontId="18" numFmtId="0" xfId="0" applyAlignment="1" applyBorder="1" applyFont="1">
      <alignment horizontal="left"/>
    </xf>
    <xf borderId="55" fillId="0" fontId="6" numFmtId="0" xfId="0" applyBorder="1" applyFont="1"/>
    <xf borderId="56" fillId="0" fontId="6" numFmtId="0" xfId="0" applyBorder="1" applyFont="1"/>
    <xf borderId="41" fillId="5" fontId="8" numFmtId="0" xfId="0" applyAlignment="1" applyBorder="1" applyFill="1" applyFont="1">
      <alignment horizontal="left"/>
    </xf>
    <xf borderId="41" fillId="3" fontId="8" numFmtId="0" xfId="0" applyAlignment="1" applyBorder="1" applyFont="1">
      <alignment horizontal="left"/>
    </xf>
    <xf borderId="41" fillId="6" fontId="8" numFmtId="0" xfId="0" applyAlignment="1" applyBorder="1" applyFill="1" applyFont="1">
      <alignment horizontal="left"/>
    </xf>
    <xf borderId="11" fillId="3" fontId="8" numFmtId="0" xfId="0" applyAlignment="1" applyBorder="1" applyFont="1">
      <alignment horizontal="left"/>
    </xf>
    <xf borderId="1" fillId="3" fontId="8" numFmtId="0" xfId="0" applyAlignment="1" applyBorder="1" applyFont="1">
      <alignment horizontal="left"/>
    </xf>
    <xf borderId="21" fillId="4" fontId="18" numFmtId="0" xfId="0" applyAlignment="1" applyBorder="1" applyFont="1">
      <alignment horizontal="left" vertical="top"/>
    </xf>
    <xf borderId="20" fillId="3" fontId="18" numFmtId="0" xfId="0" applyAlignment="1" applyBorder="1" applyFont="1">
      <alignment horizontal="center" vertical="top"/>
    </xf>
    <xf borderId="21" fillId="3" fontId="8" numFmtId="0" xfId="0" applyAlignment="1" applyBorder="1" applyFont="1">
      <alignment horizontal="left" shrinkToFit="0" vertical="top" wrapText="1"/>
    </xf>
    <xf borderId="20" fillId="3" fontId="18" numFmtId="0" xfId="0" applyAlignment="1" applyBorder="1" applyFont="1">
      <alignment horizontal="center"/>
    </xf>
    <xf borderId="21" fillId="3" fontId="8" numFmtId="0" xfId="0" applyAlignment="1" applyBorder="1" applyFont="1">
      <alignment horizontal="left"/>
    </xf>
    <xf quotePrefix="1" borderId="45" fillId="3" fontId="8" numFmtId="0" xfId="0" applyAlignment="1" applyBorder="1" applyFont="1">
      <alignment horizontal="left" shrinkToFit="0" wrapText="1"/>
    </xf>
    <xf borderId="57" fillId="0" fontId="8" numFmtId="0" xfId="0" applyBorder="1" applyFont="1"/>
    <xf borderId="58" fillId="0" fontId="8" numFmtId="0" xfId="0" applyBorder="1" applyFont="1"/>
    <xf borderId="59" fillId="0" fontId="8" numFmtId="0" xfId="0" applyBorder="1" applyFont="1"/>
    <xf borderId="60" fillId="2" fontId="11" numFmtId="0" xfId="0" applyAlignment="1" applyBorder="1" applyFont="1">
      <alignment horizontal="center"/>
    </xf>
    <xf borderId="61" fillId="0" fontId="6" numFmtId="0" xfId="0" applyBorder="1" applyFont="1"/>
    <xf borderId="62" fillId="0" fontId="6" numFmtId="0" xfId="0" applyBorder="1" applyFont="1"/>
    <xf borderId="60" fillId="0" fontId="24" numFmtId="0" xfId="0" applyAlignment="1" applyBorder="1" applyFont="1">
      <alignment horizontal="center" shrinkToFit="0" vertical="top" wrapText="1"/>
    </xf>
    <xf borderId="63" fillId="2" fontId="25" numFmtId="0" xfId="0" applyBorder="1" applyFont="1"/>
    <xf borderId="64" fillId="2" fontId="26" numFmtId="0" xfId="0" applyBorder="1" applyFont="1"/>
    <xf borderId="65" fillId="2" fontId="26" numFmtId="0" xfId="0" applyBorder="1" applyFont="1"/>
    <xf borderId="66" fillId="2" fontId="26" numFmtId="0" xfId="0" applyBorder="1" applyFont="1"/>
    <xf borderId="66" fillId="2" fontId="25" numFmtId="0" xfId="0" applyBorder="1" applyFont="1"/>
    <xf borderId="67" fillId="0" fontId="8" numFmtId="0" xfId="0" applyAlignment="1" applyBorder="1" applyFont="1">
      <alignment horizontal="right"/>
    </xf>
    <xf borderId="68" fillId="0" fontId="18" numFmtId="0" xfId="0" applyAlignment="1" applyBorder="1" applyFont="1">
      <alignment horizontal="center"/>
    </xf>
    <xf borderId="69" fillId="0" fontId="6" numFmtId="0" xfId="0" applyBorder="1" applyFont="1"/>
    <xf borderId="70" fillId="0" fontId="6" numFmtId="0" xfId="0" applyBorder="1" applyFont="1"/>
    <xf borderId="69" fillId="0" fontId="18" numFmtId="0" xfId="0" applyAlignment="1" applyBorder="1" applyFont="1">
      <alignment horizontal="center"/>
    </xf>
    <xf borderId="71" fillId="0" fontId="6" numFmtId="0" xfId="0" applyBorder="1" applyFont="1"/>
    <xf borderId="70" fillId="0" fontId="18" numFmtId="9" xfId="0" applyAlignment="1" applyBorder="1" applyFont="1" applyNumberFormat="1">
      <alignment horizontal="center" shrinkToFit="0" vertical="center" wrapText="1"/>
    </xf>
    <xf borderId="72" fillId="0" fontId="8" numFmtId="0" xfId="0" applyAlignment="1" applyBorder="1" applyFont="1">
      <alignment horizontal="right"/>
    </xf>
    <xf borderId="73" fillId="0" fontId="18" numFmtId="0" xfId="0" applyAlignment="1" applyBorder="1" applyFont="1">
      <alignment horizontal="center"/>
    </xf>
    <xf borderId="74" fillId="0" fontId="18" numFmtId="0" xfId="0" applyAlignment="1" applyBorder="1" applyFont="1">
      <alignment horizontal="center"/>
    </xf>
    <xf borderId="75" fillId="0" fontId="18" numFmtId="0" xfId="0" applyAlignment="1" applyBorder="1" applyFont="1">
      <alignment horizontal="center"/>
    </xf>
    <xf borderId="76" fillId="0" fontId="18" numFmtId="0" xfId="0" applyAlignment="1" applyBorder="1" applyFont="1">
      <alignment horizontal="center"/>
    </xf>
    <xf borderId="77" fillId="0" fontId="18" numFmtId="0" xfId="0" applyAlignment="1" applyBorder="1" applyFont="1">
      <alignment horizontal="center"/>
    </xf>
    <xf borderId="78" fillId="0" fontId="18" numFmtId="9" xfId="0" applyAlignment="1" applyBorder="1" applyFont="1" applyNumberFormat="1">
      <alignment horizontal="center" shrinkToFit="0" vertical="center" wrapText="1"/>
    </xf>
    <xf borderId="79" fillId="0" fontId="27" numFmtId="0" xfId="0" applyAlignment="1" applyBorder="1" applyFont="1">
      <alignment horizontal="center" vertical="center"/>
    </xf>
    <xf borderId="80" fillId="0" fontId="18" numFmtId="0" xfId="0" applyAlignment="1" applyBorder="1" applyFont="1">
      <alignment horizontal="center" shrinkToFit="0" vertical="center" wrapText="1"/>
    </xf>
    <xf borderId="81" fillId="0" fontId="18" numFmtId="0" xfId="0" applyAlignment="1" applyBorder="1" applyFont="1">
      <alignment horizontal="center" shrinkToFit="0" vertical="center" wrapText="1"/>
    </xf>
    <xf borderId="82" fillId="0" fontId="18" numFmtId="0" xfId="0" applyAlignment="1" applyBorder="1" applyFont="1">
      <alignment horizontal="center" shrinkToFit="0" vertical="center" wrapText="1"/>
    </xf>
    <xf borderId="80" fillId="6" fontId="18" numFmtId="0" xfId="0" applyAlignment="1" applyBorder="1" applyFont="1">
      <alignment horizontal="center" shrinkToFit="0" vertical="center" wrapText="1"/>
    </xf>
    <xf borderId="81" fillId="7" fontId="18" numFmtId="0" xfId="0" applyAlignment="1" applyBorder="1" applyFill="1" applyFont="1">
      <alignment horizontal="center" shrinkToFit="0" vertical="center" wrapText="1"/>
    </xf>
    <xf borderId="81" fillId="8" fontId="18" numFmtId="0" xfId="0" applyAlignment="1" applyBorder="1" applyFill="1" applyFont="1">
      <alignment horizontal="center" shrinkToFit="0" vertical="center" wrapText="1"/>
    </xf>
    <xf borderId="83" fillId="9" fontId="18" numFmtId="0" xfId="0" applyAlignment="1" applyBorder="1" applyFill="1" applyFont="1">
      <alignment horizontal="center" shrinkToFit="0" vertical="center" wrapText="1"/>
    </xf>
    <xf borderId="80" fillId="10" fontId="18" numFmtId="0" xfId="0" applyAlignment="1" applyBorder="1" applyFill="1" applyFont="1">
      <alignment horizontal="center" shrinkToFit="0" vertical="center" wrapText="1"/>
    </xf>
    <xf borderId="81" fillId="10" fontId="28" numFmtId="0" xfId="0" applyAlignment="1" applyBorder="1" applyFont="1">
      <alignment horizontal="center" shrinkToFit="0" vertical="center" wrapText="1"/>
    </xf>
    <xf borderId="81" fillId="10" fontId="18" numFmtId="0" xfId="0" applyAlignment="1" applyBorder="1" applyFont="1">
      <alignment horizontal="center" shrinkToFit="0" vertical="center" wrapText="1"/>
    </xf>
    <xf borderId="84" fillId="0" fontId="18" numFmtId="9" xfId="0" applyAlignment="1" applyBorder="1" applyFont="1" applyNumberFormat="1">
      <alignment horizontal="center" shrinkToFit="0" vertical="center" wrapText="1"/>
    </xf>
    <xf borderId="85" fillId="0" fontId="29" numFmtId="0" xfId="0" applyAlignment="1" applyBorder="1" applyFont="1">
      <alignment shrinkToFit="0" vertical="top" wrapText="1"/>
    </xf>
    <xf borderId="68" fillId="0" fontId="8" numFmtId="0" xfId="0" applyAlignment="1" applyBorder="1" applyFont="1">
      <alignment horizontal="center" shrinkToFit="0" vertical="top" wrapText="1"/>
    </xf>
    <xf borderId="86" fillId="0" fontId="8" numFmtId="0" xfId="0" applyAlignment="1" applyBorder="1" applyFont="1">
      <alignment horizontal="center" shrinkToFit="0" vertical="top" wrapText="1"/>
    </xf>
    <xf borderId="87" fillId="0" fontId="8" numFmtId="0" xfId="0" applyAlignment="1" applyBorder="1" applyFont="1">
      <alignment horizontal="center" shrinkToFit="0" vertical="top" wrapText="1"/>
    </xf>
    <xf borderId="85" fillId="0" fontId="8" numFmtId="0" xfId="0" applyAlignment="1" applyBorder="1" applyFont="1">
      <alignment horizontal="center" shrinkToFit="0" vertical="top" wrapText="1"/>
    </xf>
    <xf borderId="88" fillId="0" fontId="8" numFmtId="9" xfId="0" applyAlignment="1" applyBorder="1" applyFont="1" applyNumberFormat="1">
      <alignment horizontal="center" shrinkToFit="0" vertical="top" wrapText="1"/>
    </xf>
    <xf borderId="0" fillId="0" fontId="8" numFmtId="9" xfId="0" applyAlignment="1" applyFont="1" applyNumberFormat="1">
      <alignment horizontal="center"/>
    </xf>
    <xf borderId="51" fillId="11" fontId="18" numFmtId="0" xfId="0" applyAlignment="1" applyBorder="1" applyFill="1" applyFont="1">
      <alignment horizontal="center" shrinkToFit="0" vertical="center" wrapText="1"/>
    </xf>
    <xf borderId="0" fillId="0" fontId="8" numFmtId="0" xfId="0" applyFont="1"/>
    <xf borderId="51" fillId="0" fontId="18" numFmtId="0" xfId="0" applyAlignment="1" applyBorder="1" applyFont="1">
      <alignment horizontal="left" shrinkToFit="0" vertical="top" wrapText="1"/>
    </xf>
    <xf borderId="51" fillId="0" fontId="8" numFmtId="0" xfId="0" applyAlignment="1" applyBorder="1" applyFont="1">
      <alignment horizontal="left" shrinkToFit="0" vertical="top" wrapText="1"/>
    </xf>
    <xf borderId="51" fillId="5" fontId="8" numFmtId="0" xfId="0" applyAlignment="1" applyBorder="1" applyFont="1">
      <alignment horizontal="left" shrinkToFit="0" vertical="top" wrapText="1"/>
    </xf>
    <xf borderId="0" fillId="0" fontId="8" numFmtId="0" xfId="0" applyAlignment="1" applyFont="1">
      <alignment shrinkToFit="0" wrapText="1"/>
    </xf>
    <xf borderId="51" fillId="0" fontId="8" numFmtId="0" xfId="0" applyAlignment="1" applyBorder="1" applyFont="1">
      <alignment shrinkToFit="0" vertical="top" wrapText="1"/>
    </xf>
    <xf borderId="51" fillId="5" fontId="8" numFmtId="0" xfId="0" applyAlignment="1" applyBorder="1" applyFont="1">
      <alignment shrinkToFit="0" vertical="top" wrapText="1"/>
    </xf>
    <xf borderId="58" fillId="0" fontId="30" numFmtId="0" xfId="0" applyBorder="1" applyFont="1"/>
    <xf borderId="47" fillId="12" fontId="18" numFmtId="0" xfId="0" applyAlignment="1" applyBorder="1" applyFill="1" applyFont="1">
      <alignment vertical="top"/>
    </xf>
    <xf borderId="34" fillId="12" fontId="18" numFmtId="0" xfId="0" applyAlignment="1" applyBorder="1" applyFont="1">
      <alignment vertical="top"/>
    </xf>
    <xf borderId="48" fillId="12" fontId="18" numFmtId="0" xfId="0" applyAlignment="1" applyBorder="1" applyFont="1">
      <alignment vertical="top"/>
    </xf>
    <xf borderId="89" fillId="0" fontId="18" numFmtId="0" xfId="0" applyAlignment="1" applyBorder="1" applyFont="1">
      <alignment vertical="top"/>
    </xf>
    <xf borderId="0" fillId="0" fontId="18" numFmtId="0" xfId="0" applyAlignment="1" applyFont="1">
      <alignment vertical="top"/>
    </xf>
    <xf borderId="20" fillId="3" fontId="18" numFmtId="0" xfId="0" applyAlignment="1" applyBorder="1" applyFont="1">
      <alignment horizontal="right" vertical="top"/>
    </xf>
    <xf borderId="49" fillId="3" fontId="8" numFmtId="0" xfId="0" applyAlignment="1" applyBorder="1" applyFont="1">
      <alignment vertical="top"/>
    </xf>
    <xf borderId="44" fillId="3" fontId="8" numFmtId="0" xfId="0" applyAlignment="1" applyBorder="1" applyFont="1">
      <alignment vertical="top"/>
    </xf>
    <xf borderId="53" fillId="3" fontId="8" numFmtId="0" xfId="0" applyAlignment="1" applyBorder="1" applyFont="1">
      <alignment vertical="top"/>
    </xf>
    <xf borderId="89" fillId="0" fontId="8" numFmtId="0" xfId="0" applyAlignment="1" applyBorder="1" applyFont="1">
      <alignment shrinkToFit="0" vertical="top" wrapText="1"/>
    </xf>
    <xf borderId="0" fillId="0" fontId="8" numFmtId="0" xfId="0" applyAlignment="1" applyFont="1">
      <alignment shrinkToFit="0" vertical="top" wrapText="1"/>
    </xf>
    <xf borderId="20" fillId="3" fontId="8" numFmtId="0" xfId="0" applyAlignment="1" applyBorder="1" applyFont="1">
      <alignment horizontal="right" vertical="top"/>
    </xf>
    <xf borderId="43" fillId="12" fontId="18" numFmtId="0" xfId="0" applyAlignment="1" applyBorder="1" applyFont="1">
      <alignment vertical="top"/>
    </xf>
    <xf borderId="44" fillId="12" fontId="18" numFmtId="0" xfId="0" applyAlignment="1" applyBorder="1" applyFont="1">
      <alignment vertical="top"/>
    </xf>
    <xf borderId="53" fillId="12" fontId="18" numFmtId="0" xfId="0" applyAlignment="1" applyBorder="1" applyFont="1">
      <alignment vertical="top"/>
    </xf>
    <xf borderId="20" fillId="0" fontId="18" numFmtId="0" xfId="0" applyAlignment="1" applyBorder="1" applyFont="1">
      <alignment horizontal="right" vertical="top"/>
    </xf>
    <xf borderId="22" fillId="0" fontId="8" numFmtId="0" xfId="0" applyAlignment="1" applyBorder="1" applyFont="1">
      <alignment vertical="top"/>
    </xf>
    <xf borderId="23" fillId="0" fontId="8" numFmtId="0" xfId="0" applyAlignment="1" applyBorder="1" applyFont="1">
      <alignment vertical="top"/>
    </xf>
    <xf borderId="43" fillId="13" fontId="18" numFmtId="0" xfId="0" applyAlignment="1" applyBorder="1" applyFill="1" applyFont="1">
      <alignment vertical="top"/>
    </xf>
    <xf borderId="44" fillId="13" fontId="18" numFmtId="0" xfId="0" applyAlignment="1" applyBorder="1" applyFont="1">
      <alignment vertical="top"/>
    </xf>
    <xf borderId="53" fillId="13" fontId="18" numFmtId="0" xfId="0" applyAlignment="1" applyBorder="1" applyFont="1">
      <alignment vertical="top"/>
    </xf>
    <xf borderId="49" fillId="5" fontId="8" numFmtId="0" xfId="0" applyAlignment="1" applyBorder="1" applyFont="1">
      <alignment vertical="top"/>
    </xf>
    <xf borderId="44" fillId="5" fontId="8" numFmtId="0" xfId="0" applyAlignment="1" applyBorder="1" applyFont="1">
      <alignment vertical="top"/>
    </xf>
    <xf borderId="53" fillId="5" fontId="8" numFmtId="0" xfId="0" applyAlignment="1" applyBorder="1" applyFont="1">
      <alignment vertical="top"/>
    </xf>
    <xf borderId="90" fillId="0" fontId="18" numFmtId="0" xfId="0" applyAlignment="1" applyBorder="1" applyFont="1">
      <alignment horizontal="right" vertical="center"/>
    </xf>
    <xf borderId="49" fillId="13" fontId="18" numFmtId="0" xfId="0" applyAlignment="1" applyBorder="1" applyFont="1">
      <alignment vertical="top"/>
    </xf>
    <xf borderId="21" fillId="13" fontId="18" numFmtId="0" xfId="0" applyAlignment="1" applyBorder="1" applyFont="1">
      <alignment horizontal="center" vertical="top"/>
    </xf>
    <xf borderId="91" fillId="0" fontId="6" numFmtId="0" xfId="0" applyBorder="1" applyFont="1"/>
    <xf borderId="21" fillId="0" fontId="18" numFmtId="0" xfId="0" applyAlignment="1" applyBorder="1" applyFont="1">
      <alignment horizontal="right" shrinkToFit="0" vertical="top" wrapText="1"/>
    </xf>
    <xf borderId="21" fillId="0" fontId="8" numFmtId="0" xfId="0" applyAlignment="1" applyBorder="1" applyFont="1">
      <alignment shrinkToFit="0" vertical="top" wrapText="1"/>
    </xf>
    <xf borderId="92" fillId="0" fontId="8" numFmtId="0" xfId="0" applyAlignment="1" applyBorder="1" applyFont="1">
      <alignment horizontal="left" shrinkToFit="0" vertical="center" wrapText="1"/>
    </xf>
    <xf borderId="93" fillId="0" fontId="6" numFmtId="0" xfId="0" applyBorder="1" applyFont="1"/>
    <xf borderId="21" fillId="0" fontId="8" numFmtId="0" xfId="0" applyAlignment="1" applyBorder="1" applyFont="1">
      <alignment horizontal="left" shrinkToFit="0" vertical="top" wrapText="1"/>
    </xf>
    <xf borderId="94" fillId="0" fontId="6" numFmtId="0" xfId="0" applyBorder="1" applyFont="1"/>
    <xf borderId="95" fillId="0" fontId="6" numFmtId="0" xfId="0" applyBorder="1" applyFont="1"/>
    <xf borderId="89" fillId="0" fontId="8" numFmtId="0" xfId="0" applyAlignment="1" applyBorder="1" applyFont="1">
      <alignment horizontal="left" shrinkToFit="0" vertical="top" wrapText="1"/>
    </xf>
    <xf borderId="0" fillId="0" fontId="8" numFmtId="0" xfId="0" applyAlignment="1" applyFont="1">
      <alignment horizontal="left" shrinkToFit="0" vertical="top" wrapText="1"/>
    </xf>
    <xf borderId="87" fillId="0" fontId="6" numFmtId="0" xfId="0" applyBorder="1" applyFont="1"/>
    <xf borderId="90" fillId="3" fontId="18" numFmtId="0" xfId="0" applyAlignment="1" applyBorder="1" applyFont="1">
      <alignment horizontal="right" vertical="center"/>
    </xf>
    <xf borderId="49" fillId="13" fontId="18" numFmtId="0" xfId="0" applyAlignment="1" applyBorder="1" applyFont="1">
      <alignment horizontal="right" shrinkToFit="0" vertical="top" wrapText="1"/>
    </xf>
    <xf borderId="21" fillId="13" fontId="18" numFmtId="0" xfId="0" applyAlignment="1" applyBorder="1" applyFont="1">
      <alignment horizontal="center" shrinkToFit="0" vertical="top" wrapText="1"/>
    </xf>
    <xf borderId="20" fillId="3" fontId="8" numFmtId="0" xfId="0" applyAlignment="1" applyBorder="1" applyFont="1">
      <alignment vertical="top"/>
    </xf>
    <xf borderId="22" fillId="0" fontId="8" numFmtId="0" xfId="0" applyAlignment="1" applyBorder="1" applyFont="1">
      <alignment horizontal="left" vertical="top"/>
    </xf>
    <xf borderId="20" fillId="14" fontId="18" numFmtId="0" xfId="0" applyAlignment="1" applyBorder="1" applyFill="1" applyFont="1">
      <alignment horizontal="right" vertical="top"/>
    </xf>
    <xf borderId="49" fillId="14" fontId="8" numFmtId="0" xfId="0" applyAlignment="1" applyBorder="1" applyFont="1">
      <alignment vertical="top"/>
    </xf>
    <xf borderId="44" fillId="14" fontId="8" numFmtId="0" xfId="0" applyAlignment="1" applyBorder="1" applyFont="1">
      <alignment horizontal="left" vertical="top"/>
    </xf>
    <xf borderId="44" fillId="14" fontId="8" numFmtId="0" xfId="0" applyAlignment="1" applyBorder="1" applyFont="1">
      <alignment vertical="top"/>
    </xf>
    <xf borderId="53" fillId="14" fontId="8" numFmtId="0" xfId="0" applyAlignment="1" applyBorder="1" applyFont="1">
      <alignment vertical="top"/>
    </xf>
    <xf borderId="20" fillId="0" fontId="8" numFmtId="0" xfId="0" applyAlignment="1" applyBorder="1" applyFont="1">
      <alignment horizontal="right" vertical="top"/>
    </xf>
    <xf borderId="44" fillId="13" fontId="18" numFmtId="0" xfId="0" applyAlignment="1" applyBorder="1" applyFont="1">
      <alignment horizontal="left" vertical="top"/>
    </xf>
    <xf borderId="51" fillId="0" fontId="18" numFmtId="0" xfId="0" applyAlignment="1" applyBorder="1" applyFont="1">
      <alignment horizontal="right" vertical="top"/>
    </xf>
    <xf borderId="22" fillId="0" fontId="18" numFmtId="0" xfId="0" applyAlignment="1" applyBorder="1" applyFont="1">
      <alignment horizontal="right" vertical="top"/>
    </xf>
    <xf borderId="22" fillId="0" fontId="18" numFmtId="0" xfId="0" applyAlignment="1" applyBorder="1" applyFont="1">
      <alignment horizontal="left" vertical="top"/>
    </xf>
    <xf borderId="22" fillId="0" fontId="18" numFmtId="0" xfId="0" applyAlignment="1" applyBorder="1" applyFont="1">
      <alignment vertical="top"/>
    </xf>
    <xf borderId="23" fillId="0" fontId="18" numFmtId="0" xfId="0" applyAlignment="1" applyBorder="1" applyFont="1">
      <alignment vertical="top"/>
    </xf>
    <xf borderId="96" fillId="0" fontId="18" numFmtId="0" xfId="0" applyAlignment="1" applyBorder="1" applyFont="1">
      <alignment horizontal="right" vertical="top"/>
    </xf>
    <xf borderId="92" fillId="0" fontId="8" numFmtId="0" xfId="0" applyAlignment="1" applyBorder="1" applyFont="1">
      <alignment vertical="top"/>
    </xf>
    <xf borderId="97" fillId="0" fontId="8" numFmtId="0" xfId="0" applyAlignment="1" applyBorder="1" applyFont="1">
      <alignment horizontal="left" vertical="top"/>
    </xf>
    <xf borderId="97" fillId="0" fontId="8" numFmtId="0" xfId="0" applyAlignment="1" applyBorder="1" applyFont="1">
      <alignment vertical="top"/>
    </xf>
    <xf borderId="93" fillId="0" fontId="8" numFmtId="0" xfId="0" applyAlignment="1" applyBorder="1" applyFont="1">
      <alignment vertical="top"/>
    </xf>
    <xf borderId="90" fillId="0" fontId="18" numFmtId="0" xfId="0" applyAlignment="1" applyBorder="1" applyFont="1">
      <alignment horizontal="left" vertical="top"/>
    </xf>
    <xf borderId="92" fillId="0" fontId="18" numFmtId="0" xfId="0" applyAlignment="1" applyBorder="1" applyFont="1">
      <alignment vertical="top"/>
    </xf>
    <xf borderId="97" fillId="0" fontId="18" numFmtId="0" xfId="0" applyAlignment="1" applyBorder="1" applyFont="1">
      <alignment horizontal="left" vertical="top"/>
    </xf>
    <xf borderId="97" fillId="0" fontId="18" numFmtId="0" xfId="0" applyAlignment="1" applyBorder="1" applyFont="1">
      <alignment vertical="top"/>
    </xf>
    <xf borderId="93" fillId="0" fontId="18" numFmtId="0" xfId="0" applyAlignment="1" applyBorder="1" applyFont="1">
      <alignment vertical="top"/>
    </xf>
    <xf borderId="89" fillId="0" fontId="18" numFmtId="0" xfId="0" applyAlignment="1" applyBorder="1" applyFont="1">
      <alignment shrinkToFit="0" vertical="top" wrapText="1"/>
    </xf>
    <xf borderId="0" fillId="0" fontId="18" numFmtId="0" xfId="0" applyAlignment="1" applyFont="1">
      <alignment shrinkToFit="0" vertical="top" wrapText="1"/>
    </xf>
    <xf borderId="98" fillId="0" fontId="18" numFmtId="0" xfId="0" applyAlignment="1" applyBorder="1" applyFont="1">
      <alignment horizontal="left" vertical="top"/>
    </xf>
    <xf borderId="99" fillId="0" fontId="18" numFmtId="0" xfId="0" applyAlignment="1" applyBorder="1" applyFont="1">
      <alignment vertical="top"/>
    </xf>
    <xf borderId="100" fillId="0" fontId="18" numFmtId="0" xfId="0" applyAlignment="1" applyBorder="1" applyFont="1">
      <alignment horizontal="left" vertical="top"/>
    </xf>
    <xf borderId="100" fillId="0" fontId="18" numFmtId="0" xfId="0" applyAlignment="1" applyBorder="1" applyFont="1">
      <alignment vertical="top"/>
    </xf>
    <xf borderId="101" fillId="0" fontId="18" numFmtId="0" xfId="0" applyAlignment="1" applyBorder="1" applyFont="1">
      <alignment vertical="top"/>
    </xf>
    <xf borderId="0" fillId="0" fontId="18" numFmtId="0" xfId="0" applyFont="1"/>
    <xf borderId="51" fillId="11" fontId="18" numFmtId="0" xfId="0" applyAlignment="1" applyBorder="1" applyFont="1">
      <alignment shrinkToFit="0" vertical="top" wrapText="1"/>
    </xf>
    <xf borderId="51" fillId="11" fontId="18" numFmtId="0" xfId="0" applyAlignment="1" applyBorder="1" applyFont="1">
      <alignment horizontal="center" shrinkToFit="0" vertical="top" wrapText="1"/>
    </xf>
    <xf borderId="51" fillId="15" fontId="31" numFmtId="0" xfId="0" applyAlignment="1" applyBorder="1" applyFill="1" applyFont="1">
      <alignment shrinkToFit="0" vertical="top" wrapText="1"/>
    </xf>
    <xf borderId="42" fillId="15" fontId="31" numFmtId="0" xfId="0" applyAlignment="1" applyBorder="1" applyFont="1">
      <alignment shrinkToFit="0" vertical="top" wrapText="1"/>
    </xf>
    <xf borderId="42" fillId="15" fontId="31" numFmtId="0" xfId="0" applyAlignment="1" applyBorder="1" applyFont="1">
      <alignment readingOrder="0" shrinkToFit="0" vertical="top" wrapText="1"/>
    </xf>
    <xf borderId="51" fillId="12" fontId="8" numFmtId="0" xfId="0" applyAlignment="1" applyBorder="1" applyFont="1">
      <alignment horizontal="right" shrinkToFit="0" vertical="top" wrapText="1"/>
    </xf>
    <xf borderId="51" fillId="12" fontId="18" numFmtId="0" xfId="0" applyAlignment="1" applyBorder="1" applyFont="1">
      <alignment horizontal="left" shrinkToFit="0" vertical="top" wrapText="1"/>
    </xf>
    <xf borderId="51" fillId="12" fontId="8" numFmtId="0" xfId="0" applyAlignment="1" applyBorder="1" applyFont="1">
      <alignment horizontal="left" shrinkToFit="0" vertical="top" wrapText="1"/>
    </xf>
    <xf borderId="71" fillId="15" fontId="32" numFmtId="0" xfId="0" applyAlignment="1" applyBorder="1" applyFont="1">
      <alignment vertical="top"/>
    </xf>
    <xf borderId="51" fillId="0" fontId="8" numFmtId="0" xfId="0" applyAlignment="1" applyBorder="1" applyFont="1">
      <alignment vertical="top"/>
    </xf>
    <xf borderId="51" fillId="0" fontId="8" numFmtId="0" xfId="0" applyAlignment="1" applyBorder="1" applyFont="1">
      <alignment horizontal="center" vertical="top"/>
    </xf>
    <xf borderId="51" fillId="0" fontId="8" numFmtId="0" xfId="0" applyAlignment="1" applyBorder="1" applyFont="1">
      <alignment horizontal="right" shrinkToFit="0" vertical="top" wrapText="1"/>
    </xf>
    <xf borderId="51" fillId="5" fontId="8" numFmtId="0" xfId="0" applyAlignment="1" applyBorder="1" applyFont="1">
      <alignment horizontal="right" shrinkToFit="0" vertical="top" wrapText="1"/>
    </xf>
    <xf borderId="51" fillId="5" fontId="8" numFmtId="0" xfId="0" applyAlignment="1" applyBorder="1" applyFont="1">
      <alignment horizontal="center" shrinkToFit="0" vertical="top" wrapText="1"/>
    </xf>
    <xf borderId="51" fillId="0" fontId="8" numFmtId="0" xfId="0" applyAlignment="1" applyBorder="1" applyFont="1">
      <alignment horizontal="left" readingOrder="0" shrinkToFit="0" vertical="top" wrapText="1"/>
    </xf>
    <xf borderId="71" fillId="10" fontId="32" numFmtId="0" xfId="0" applyAlignment="1" applyBorder="1" applyFont="1">
      <alignment vertical="top"/>
    </xf>
    <xf borderId="71" fillId="10" fontId="32" numFmtId="0" xfId="0" applyAlignment="1" applyBorder="1" applyFont="1">
      <alignment readingOrder="0" vertical="top"/>
    </xf>
    <xf borderId="51" fillId="0" fontId="8" numFmtId="0" xfId="0" applyAlignment="1" applyBorder="1" applyFont="1">
      <alignment horizontal="center" shrinkToFit="0" vertical="top" wrapText="1"/>
    </xf>
    <xf borderId="71" fillId="15" fontId="32" numFmtId="0" xfId="0" applyAlignment="1" applyBorder="1" applyFont="1">
      <alignment readingOrder="0" vertical="top"/>
    </xf>
    <xf borderId="51" fillId="12" fontId="8" numFmtId="0" xfId="0" applyAlignment="1" applyBorder="1" applyFont="1">
      <alignment horizontal="center" shrinkToFit="0" vertical="top" wrapText="1"/>
    </xf>
    <xf borderId="71" fillId="15" fontId="32" numFmtId="0" xfId="0" applyAlignment="1" applyBorder="1" applyFont="1">
      <alignment horizontal="center" vertical="top"/>
    </xf>
    <xf borderId="51" fillId="0" fontId="18" numFmtId="0" xfId="0" applyAlignment="1" applyBorder="1" applyFont="1">
      <alignment horizontal="left" readingOrder="0" shrinkToFit="0" vertical="top" wrapText="1"/>
    </xf>
    <xf borderId="51" fillId="6" fontId="8" numFmtId="0" xfId="0" applyAlignment="1" applyBorder="1" applyFont="1">
      <alignment horizontal="right" shrinkToFit="0" vertical="top" wrapText="1"/>
    </xf>
    <xf borderId="51" fillId="6" fontId="8" numFmtId="0" xfId="0" applyAlignment="1" applyBorder="1" applyFont="1">
      <alignment horizontal="left" shrinkToFit="0" vertical="top" wrapText="1"/>
    </xf>
    <xf borderId="51" fillId="6" fontId="8" numFmtId="0" xfId="0" applyAlignment="1" applyBorder="1" applyFont="1">
      <alignment horizontal="center" shrinkToFit="0" vertical="top" wrapText="1"/>
    </xf>
    <xf borderId="51" fillId="0" fontId="33" numFmtId="0" xfId="0" applyAlignment="1" applyBorder="1" applyFont="1">
      <alignment horizontal="left" shrinkToFit="0" vertical="top" wrapText="1"/>
    </xf>
    <xf borderId="71" fillId="15" fontId="32" numFmtId="0" xfId="0" applyAlignment="1" applyBorder="1" applyFont="1">
      <alignment horizontal="center" readingOrder="0" vertical="top"/>
    </xf>
    <xf borderId="51" fillId="0" fontId="34" numFmtId="0" xfId="0" applyAlignment="1" applyBorder="1" applyFont="1">
      <alignment horizontal="left" readingOrder="0" shrinkToFit="0" vertical="top" wrapText="1"/>
    </xf>
    <xf borderId="71" fillId="0" fontId="35" numFmtId="0" xfId="0" applyAlignment="1" applyBorder="1" applyFont="1">
      <alignment horizontal="center" readingOrder="0" shrinkToFit="0" wrapText="1"/>
    </xf>
    <xf borderId="51" fillId="12" fontId="8" numFmtId="0" xfId="0" applyAlignment="1" applyBorder="1" applyFont="1">
      <alignment horizontal="left" readingOrder="0" shrinkToFit="0" vertical="top" wrapText="1"/>
    </xf>
    <xf borderId="71" fillId="10" fontId="32" numFmtId="0" xfId="0" applyAlignment="1" applyBorder="1" applyFont="1">
      <alignment horizontal="right" vertical="top"/>
    </xf>
    <xf borderId="71" fillId="10" fontId="32" numFmtId="0" xfId="0" applyAlignment="1" applyBorder="1" applyFont="1">
      <alignment horizontal="right" readingOrder="0" vertical="top"/>
    </xf>
    <xf borderId="51" fillId="0" fontId="36" numFmtId="0" xfId="0" applyAlignment="1" applyBorder="1" applyFont="1">
      <alignment horizontal="center" readingOrder="0" shrinkToFit="0" wrapText="1"/>
    </xf>
    <xf borderId="51" fillId="0" fontId="37" numFmtId="0" xfId="0" applyAlignment="1" applyBorder="1" applyFont="1">
      <alignment horizontal="left" readingOrder="0" shrinkToFit="0" vertical="top" wrapText="1"/>
    </xf>
    <xf borderId="51" fillId="2" fontId="8" numFmtId="0" xfId="0" applyAlignment="1" applyBorder="1" applyFont="1">
      <alignment horizontal="left" shrinkToFit="0" vertical="top" wrapText="1"/>
    </xf>
    <xf borderId="51" fillId="12" fontId="18" numFmtId="0" xfId="0" applyAlignment="1" applyBorder="1" applyFont="1">
      <alignment horizontal="left" readingOrder="0" shrinkToFit="0" vertical="top" wrapText="1"/>
    </xf>
    <xf borderId="71" fillId="10" fontId="38" numFmtId="0" xfId="0" applyAlignment="1" applyBorder="1" applyFont="1">
      <alignment vertical="top"/>
    </xf>
    <xf borderId="71" fillId="10" fontId="39" numFmtId="0" xfId="0" applyAlignment="1" applyBorder="1" applyFont="1">
      <alignment readingOrder="0" vertical="top"/>
    </xf>
    <xf borderId="71" fillId="15" fontId="40" numFmtId="0" xfId="0" applyAlignment="1" applyBorder="1" applyFont="1">
      <alignment readingOrder="0" vertical="top"/>
    </xf>
    <xf borderId="71" fillId="10" fontId="41" numFmtId="0" xfId="0" applyAlignment="1" applyBorder="1" applyFont="1">
      <alignment readingOrder="0" vertical="top"/>
    </xf>
    <xf borderId="51" fillId="0" fontId="8" numFmtId="0" xfId="0" applyAlignment="1" applyBorder="1" applyFont="1">
      <alignment horizontal="left" readingOrder="0" shrinkToFit="0" vertical="top" wrapText="1"/>
    </xf>
    <xf quotePrefix="1" borderId="51" fillId="0" fontId="8" numFmtId="0" xfId="0" applyAlignment="1" applyBorder="1" applyFont="1">
      <alignment horizontal="left" shrinkToFit="0" vertical="top" wrapText="1"/>
    </xf>
    <xf borderId="0" fillId="0" fontId="8" numFmtId="0" xfId="0" applyAlignment="1" applyFont="1">
      <alignment horizontal="right" shrinkToFit="0" vertical="top" wrapText="1"/>
    </xf>
    <xf borderId="0" fillId="6" fontId="8" numFmtId="0" xfId="0" applyAlignment="1" applyFont="1">
      <alignment horizontal="right" shrinkToFit="0" vertical="top" wrapText="1"/>
    </xf>
    <xf borderId="0" fillId="6" fontId="8" numFmtId="0" xfId="0" applyAlignment="1" applyFont="1">
      <alignment horizontal="left" shrinkToFit="0" vertical="top" wrapText="1"/>
    </xf>
    <xf borderId="0" fillId="6" fontId="8" numFmtId="0" xfId="0" applyAlignment="1" applyFont="1">
      <alignment horizontal="center" shrinkToFit="0" vertical="top" wrapText="1"/>
    </xf>
    <xf borderId="0" fillId="0" fontId="18" numFmtId="0" xfId="0" applyAlignment="1" applyFont="1">
      <alignment horizontal="left" shrinkToFit="0" vertical="top" wrapText="1"/>
    </xf>
    <xf borderId="0" fillId="15" fontId="32" numFmtId="0" xfId="0" applyAlignment="1" applyFont="1">
      <alignment horizontal="center" vertical="top"/>
    </xf>
    <xf borderId="0" fillId="0" fontId="8" numFmtId="0" xfId="0" applyAlignment="1" applyFont="1">
      <alignment vertical="top"/>
    </xf>
    <xf borderId="0" fillId="0" fontId="8" numFmtId="0" xfId="0" applyAlignment="1" applyFont="1">
      <alignment horizontal="center" vertical="top"/>
    </xf>
    <xf borderId="51" fillId="11" fontId="18" numFmtId="0" xfId="0" applyAlignment="1" applyBorder="1" applyFont="1">
      <alignment horizontal="left" shrinkToFit="0" vertical="top" wrapText="1"/>
    </xf>
    <xf borderId="51" fillId="11" fontId="18" numFmtId="0" xfId="0" applyAlignment="1" applyBorder="1" applyFont="1">
      <alignment vertical="top"/>
    </xf>
    <xf borderId="51" fillId="11" fontId="18" numFmtId="0" xfId="0" applyAlignment="1" applyBorder="1" applyFont="1">
      <alignment horizontal="center" vertical="top"/>
    </xf>
    <xf borderId="102" fillId="11" fontId="18" numFmtId="0" xfId="0" applyAlignment="1" applyBorder="1" applyFont="1">
      <alignment horizontal="left" shrinkToFit="0" vertical="top" wrapText="1"/>
    </xf>
    <xf borderId="1" fillId="11" fontId="8" numFmtId="0" xfId="0" applyAlignment="1" applyBorder="1" applyFont="1">
      <alignment vertical="top"/>
    </xf>
    <xf borderId="0" fillId="0" fontId="8" numFmtId="0" xfId="0" applyAlignment="1" applyFont="1">
      <alignment horizontal="left"/>
    </xf>
    <xf borderId="0" fillId="0" fontId="8" numFmtId="0" xfId="0" applyAlignment="1" applyFont="1">
      <alignment horizontal="center"/>
    </xf>
    <xf borderId="51" fillId="11" fontId="18" numFmtId="0" xfId="0" applyAlignment="1" applyBorder="1" applyFont="1">
      <alignment readingOrder="0" shrinkToFit="0" vertical="top" wrapText="1"/>
    </xf>
    <xf borderId="51" fillId="2" fontId="42" numFmtId="0" xfId="0" applyAlignment="1" applyBorder="1" applyFont="1">
      <alignment horizontal="left" readingOrder="0"/>
    </xf>
  </cellXfs>
  <cellStyles count="1">
    <cellStyle xfId="0" name="Normal" builtinId="0"/>
  </cellStyles>
  <dxfs count="7">
    <dxf>
      <font>
        <b/>
      </font>
      <fill>
        <patternFill patternType="solid">
          <fgColor rgb="FFFF0000"/>
          <bgColor rgb="FFFF0000"/>
        </patternFill>
      </fill>
      <border/>
    </dxf>
    <dxf>
      <font>
        <b/>
      </font>
      <fill>
        <patternFill patternType="solid">
          <fgColor rgb="FFFFFF00"/>
          <bgColor rgb="FFFFFF00"/>
        </patternFill>
      </fill>
      <border/>
    </dxf>
    <dxf>
      <font/>
      <fill>
        <patternFill patternType="solid">
          <fgColor rgb="FF00FF00"/>
          <bgColor rgb="FF00FF00"/>
        </patternFill>
      </fill>
      <border/>
    </dxf>
    <dxf>
      <font/>
      <fill>
        <patternFill patternType="solid">
          <fgColor rgb="FFFFFF00"/>
          <bgColor rgb="FFFFFF00"/>
        </patternFill>
      </fill>
      <border/>
    </dxf>
    <dxf>
      <font/>
      <fill>
        <patternFill patternType="solid">
          <fgColor rgb="FFFF0000"/>
          <bgColor rgb="FFFF0000"/>
        </patternFill>
      </fill>
      <border/>
    </dxf>
    <dxf>
      <font/>
      <fill>
        <patternFill patternType="solid">
          <fgColor rgb="FFD1D1D1"/>
          <bgColor rgb="FFD1D1D1"/>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66675</xdr:colOff>
      <xdr:row>1</xdr:row>
      <xdr:rowOff>85725</xdr:rowOff>
    </xdr:from>
    <xdr:ext cx="7677150" cy="485775"/>
    <xdr:pic>
      <xdr:nvPicPr>
        <xdr:cNvPr descr="T3"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0" Type="http://schemas.openxmlformats.org/officeDocument/2006/relationships/hyperlink" Target="http://b/318796066" TargetMode="External"/><Relationship Id="rId11" Type="http://schemas.openxmlformats.org/officeDocument/2006/relationships/hyperlink" Target="https://docs.partner.android.com/partners/guides/adcp" TargetMode="External"/><Relationship Id="rId22" Type="http://schemas.openxmlformats.org/officeDocument/2006/relationships/drawing" Target="../drawings/drawing5.xml"/><Relationship Id="rId10" Type="http://schemas.openxmlformats.org/officeDocument/2006/relationships/hyperlink" Target="http://b/306670992" TargetMode="External"/><Relationship Id="rId21" Type="http://schemas.openxmlformats.org/officeDocument/2006/relationships/hyperlink" Target="http://b/318796066" TargetMode="External"/><Relationship Id="rId13" Type="http://schemas.openxmlformats.org/officeDocument/2006/relationships/hyperlink" Target="https://android.googlesource.com/?format=HTML" TargetMode="External"/><Relationship Id="rId12" Type="http://schemas.openxmlformats.org/officeDocument/2006/relationships/hyperlink" Target="https://android.googlesource.com/?format=HTML" TargetMode="External"/><Relationship Id="rId23" Type="http://schemas.openxmlformats.org/officeDocument/2006/relationships/vmlDrawing" Target="../drawings/vmlDrawing2.vml"/><Relationship Id="rId1" Type="http://schemas.openxmlformats.org/officeDocument/2006/relationships/comments" Target="../comments2.xml"/><Relationship Id="rId2" Type="http://schemas.openxmlformats.org/officeDocument/2006/relationships/hyperlink" Target="http://b/345469004" TargetMode="External"/><Relationship Id="rId3" Type="http://schemas.openxmlformats.org/officeDocument/2006/relationships/hyperlink" Target="https://buganizer.corp.google.com/issues/277144807" TargetMode="External"/><Relationship Id="rId4" Type="http://schemas.openxmlformats.org/officeDocument/2006/relationships/hyperlink" Target="https://buganizer.corp.google.com/issues/277144807" TargetMode="External"/><Relationship Id="rId9" Type="http://schemas.openxmlformats.org/officeDocument/2006/relationships/hyperlink" Target="http://b/322535353" TargetMode="External"/><Relationship Id="rId15" Type="http://schemas.openxmlformats.org/officeDocument/2006/relationships/hyperlink" Target="https://android.googlesource.com/?format=HTML" TargetMode="External"/><Relationship Id="rId14" Type="http://schemas.openxmlformats.org/officeDocument/2006/relationships/hyperlink" Target="https://android.googlesource.com/?format=HTML" TargetMode="External"/><Relationship Id="rId17" Type="http://schemas.openxmlformats.org/officeDocument/2006/relationships/hyperlink" Target="http://b/259361985" TargetMode="External"/><Relationship Id="rId16" Type="http://schemas.openxmlformats.org/officeDocument/2006/relationships/hyperlink" Target="http://b/281955791" TargetMode="External"/><Relationship Id="rId5" Type="http://schemas.openxmlformats.org/officeDocument/2006/relationships/hyperlink" Target="http://b/376209133" TargetMode="External"/><Relationship Id="rId19" Type="http://schemas.openxmlformats.org/officeDocument/2006/relationships/hyperlink" Target="http://b/318796066" TargetMode="External"/><Relationship Id="rId6" Type="http://schemas.openxmlformats.org/officeDocument/2006/relationships/hyperlink" Target="http://b/336927802" TargetMode="External"/><Relationship Id="rId18" Type="http://schemas.openxmlformats.org/officeDocument/2006/relationships/hyperlink" Target="http://b/318796066" TargetMode="External"/><Relationship Id="rId7" Type="http://schemas.openxmlformats.org/officeDocument/2006/relationships/hyperlink" Target="http://b/336927802" TargetMode="External"/><Relationship Id="rId8" Type="http://schemas.openxmlformats.org/officeDocument/2006/relationships/hyperlink" Target="https://sites.google.com/corp/google.com/eaa-resource/faq"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8.57"/>
    <col customWidth="1" min="2" max="2" width="2.86"/>
    <col customWidth="1" min="3" max="3" width="31.86"/>
    <col customWidth="1" min="4" max="4" width="15.0"/>
    <col customWidth="1" min="5" max="5" width="22.57"/>
    <col customWidth="1" min="6" max="6" width="15.29"/>
    <col customWidth="1" min="7" max="7" width="15.71"/>
    <col customWidth="1" min="8" max="8" width="15.43"/>
    <col customWidth="1" min="9" max="9" width="4.29"/>
    <col customWidth="1" min="10" max="26" width="9.14"/>
  </cols>
  <sheetData>
    <row r="1" ht="26.25" customHeight="1">
      <c r="A1" s="1"/>
      <c r="B1" s="2"/>
      <c r="C1" s="2"/>
      <c r="D1" s="2"/>
      <c r="E1" s="2"/>
      <c r="F1" s="2"/>
      <c r="G1" s="2"/>
      <c r="H1" s="2"/>
      <c r="I1" s="2"/>
      <c r="J1" s="2"/>
      <c r="K1" s="2"/>
      <c r="L1" s="2"/>
      <c r="M1" s="2"/>
      <c r="N1" s="2"/>
      <c r="O1" s="2"/>
      <c r="P1" s="2"/>
      <c r="Q1" s="2"/>
      <c r="R1" s="2"/>
      <c r="S1" s="2"/>
      <c r="T1" s="2"/>
      <c r="U1" s="2"/>
      <c r="V1" s="2"/>
    </row>
    <row r="2" ht="26.25" customHeight="1">
      <c r="A2" s="3"/>
      <c r="B2" s="4"/>
      <c r="C2" s="5"/>
      <c r="D2" s="5"/>
      <c r="E2" s="5"/>
      <c r="F2" s="5"/>
      <c r="G2" s="5"/>
      <c r="H2" s="5"/>
      <c r="I2" s="6"/>
    </row>
    <row r="3" ht="26.25" customHeight="1">
      <c r="A3" s="3"/>
      <c r="B3" s="7"/>
      <c r="C3" s="8"/>
      <c r="D3" s="8"/>
      <c r="E3" s="9"/>
      <c r="F3" s="8"/>
      <c r="G3" s="8"/>
      <c r="H3" s="8"/>
      <c r="I3" s="10"/>
    </row>
    <row r="4" ht="26.25" customHeight="1">
      <c r="A4" s="3"/>
      <c r="B4" s="11" t="s">
        <v>0</v>
      </c>
      <c r="C4" s="12"/>
      <c r="D4" s="12"/>
      <c r="E4" s="12"/>
      <c r="F4" s="12"/>
      <c r="G4" s="12"/>
      <c r="H4" s="12"/>
      <c r="I4" s="13"/>
      <c r="J4" s="3"/>
      <c r="K4" s="3"/>
      <c r="L4" s="3"/>
      <c r="M4" s="3"/>
      <c r="N4" s="3"/>
      <c r="O4" s="3"/>
      <c r="P4" s="3"/>
      <c r="Q4" s="3"/>
      <c r="R4" s="3"/>
      <c r="S4" s="3"/>
      <c r="T4" s="3"/>
      <c r="U4" s="3"/>
      <c r="V4" s="3"/>
      <c r="W4" s="3"/>
      <c r="X4" s="3"/>
      <c r="Y4" s="3"/>
      <c r="Z4" s="3"/>
    </row>
    <row r="5" ht="26.25" customHeight="1">
      <c r="A5" s="3"/>
      <c r="B5" s="14" t="s">
        <v>1</v>
      </c>
      <c r="C5" s="12"/>
      <c r="D5" s="12"/>
      <c r="E5" s="12"/>
      <c r="F5" s="12"/>
      <c r="G5" s="12"/>
      <c r="H5" s="12"/>
      <c r="I5" s="13"/>
    </row>
    <row r="6" ht="26.25" customHeight="1">
      <c r="A6" s="3"/>
      <c r="B6" s="15"/>
      <c r="C6" s="16" t="s">
        <v>2</v>
      </c>
      <c r="I6" s="17"/>
    </row>
    <row r="7" ht="26.25" customHeight="1">
      <c r="A7" s="3"/>
      <c r="B7" s="15"/>
      <c r="C7" s="18"/>
      <c r="D7" s="19"/>
      <c r="E7" s="19"/>
      <c r="F7" s="19"/>
      <c r="G7" s="19"/>
      <c r="H7" s="20"/>
      <c r="I7" s="17"/>
    </row>
    <row r="8" ht="26.25" customHeight="1">
      <c r="A8" s="3"/>
      <c r="B8" s="21"/>
      <c r="C8" s="3"/>
      <c r="D8" s="3"/>
      <c r="E8" s="3"/>
      <c r="F8" s="3"/>
      <c r="G8" s="3"/>
      <c r="H8" s="3"/>
      <c r="I8" s="22"/>
    </row>
    <row r="9" ht="26.25" customHeight="1">
      <c r="A9" s="3"/>
      <c r="B9" s="23"/>
      <c r="C9" s="24" t="s">
        <v>3</v>
      </c>
      <c r="D9" s="25"/>
      <c r="E9" s="26"/>
      <c r="F9" s="26"/>
      <c r="G9" s="27"/>
      <c r="H9" s="3"/>
      <c r="I9" s="22"/>
    </row>
    <row r="10" ht="26.25" customHeight="1">
      <c r="A10" s="3"/>
      <c r="B10" s="21"/>
      <c r="C10" s="28" t="s">
        <v>4</v>
      </c>
      <c r="D10" s="29" t="s">
        <v>5</v>
      </c>
      <c r="E10" s="30"/>
      <c r="F10" s="30"/>
      <c r="G10" s="31"/>
      <c r="H10" s="3"/>
      <c r="I10" s="22"/>
    </row>
    <row r="11" ht="26.25" customHeight="1">
      <c r="A11" s="3"/>
      <c r="B11" s="21"/>
      <c r="C11" s="32" t="s">
        <v>6</v>
      </c>
      <c r="D11" s="29" t="s">
        <v>7</v>
      </c>
      <c r="E11" s="30"/>
      <c r="F11" s="30"/>
      <c r="G11" s="31"/>
      <c r="H11" s="3"/>
      <c r="I11" s="22"/>
    </row>
    <row r="12" ht="26.25" customHeight="1">
      <c r="A12" s="3"/>
      <c r="B12" s="21"/>
      <c r="C12" s="33" t="s">
        <v>8</v>
      </c>
      <c r="D12" s="34" t="s">
        <v>9</v>
      </c>
      <c r="E12" s="35"/>
      <c r="F12" s="35"/>
      <c r="G12" s="36"/>
      <c r="H12" s="3"/>
      <c r="I12" s="22"/>
    </row>
    <row r="13" ht="26.25" customHeight="1">
      <c r="A13" s="3"/>
      <c r="B13" s="37"/>
      <c r="C13" s="38" t="s">
        <v>10</v>
      </c>
      <c r="D13" s="38"/>
      <c r="E13" s="38"/>
      <c r="F13" s="38"/>
      <c r="G13" s="38"/>
      <c r="H13" s="38"/>
      <c r="I13" s="39"/>
    </row>
    <row r="14" ht="12.75" customHeight="1">
      <c r="A14" s="3"/>
      <c r="B14" s="40"/>
      <c r="C14" s="3"/>
      <c r="D14" s="3"/>
      <c r="E14" s="3"/>
      <c r="F14" s="3"/>
      <c r="G14" s="3"/>
      <c r="H14" s="3"/>
      <c r="I14" s="3"/>
    </row>
    <row r="15" ht="26.25" customHeight="1">
      <c r="A15" s="3"/>
      <c r="B15" s="41" t="s">
        <v>11</v>
      </c>
      <c r="C15" s="42"/>
      <c r="D15" s="42"/>
      <c r="E15" s="42"/>
      <c r="F15" s="42"/>
      <c r="G15" s="42"/>
      <c r="H15" s="42"/>
      <c r="I15" s="43"/>
      <c r="J15" s="3"/>
      <c r="K15" s="3"/>
      <c r="L15" s="3"/>
      <c r="M15" s="3"/>
      <c r="N15" s="3"/>
      <c r="O15" s="3"/>
      <c r="P15" s="3"/>
      <c r="Q15" s="3"/>
      <c r="R15" s="3"/>
      <c r="S15" s="3"/>
      <c r="T15" s="3"/>
      <c r="U15" s="3"/>
      <c r="V15" s="3"/>
      <c r="W15" s="3"/>
      <c r="X15" s="3"/>
      <c r="Y15" s="3"/>
      <c r="Z15" s="3"/>
    </row>
    <row r="16" ht="18.75" customHeight="1">
      <c r="A16" s="3"/>
      <c r="B16" s="44" t="s">
        <v>12</v>
      </c>
      <c r="C16" s="3"/>
      <c r="D16" s="3"/>
      <c r="E16" s="3"/>
      <c r="F16" s="3"/>
      <c r="G16" s="3"/>
      <c r="H16" s="3"/>
      <c r="I16" s="45"/>
      <c r="J16" s="3"/>
      <c r="K16" s="3"/>
      <c r="L16" s="3"/>
      <c r="M16" s="3"/>
      <c r="N16" s="3"/>
      <c r="O16" s="3"/>
      <c r="P16" s="3"/>
      <c r="Q16" s="3"/>
      <c r="R16" s="3"/>
      <c r="S16" s="3"/>
      <c r="T16" s="3"/>
      <c r="U16" s="3"/>
      <c r="V16" s="3"/>
      <c r="W16" s="3"/>
      <c r="X16" s="3"/>
      <c r="Y16" s="3"/>
      <c r="Z16" s="3"/>
    </row>
    <row r="17" ht="18.0" customHeight="1">
      <c r="A17" s="3"/>
      <c r="B17" s="44" t="s">
        <v>13</v>
      </c>
      <c r="C17" s="3"/>
      <c r="D17" s="3"/>
      <c r="E17" s="3"/>
      <c r="F17" s="3"/>
      <c r="G17" s="3"/>
      <c r="H17" s="3"/>
      <c r="I17" s="45"/>
      <c r="J17" s="3"/>
      <c r="K17" s="3"/>
      <c r="L17" s="3"/>
      <c r="M17" s="3"/>
      <c r="N17" s="3"/>
      <c r="O17" s="3"/>
      <c r="P17" s="3"/>
      <c r="Q17" s="3"/>
      <c r="R17" s="3"/>
      <c r="S17" s="3"/>
      <c r="T17" s="3"/>
      <c r="U17" s="3"/>
      <c r="V17" s="3"/>
      <c r="W17" s="3"/>
      <c r="X17" s="3"/>
      <c r="Y17" s="3"/>
      <c r="Z17" s="3"/>
    </row>
    <row r="18" ht="18.0" customHeight="1">
      <c r="A18" s="3"/>
      <c r="B18" s="44" t="s">
        <v>14</v>
      </c>
      <c r="C18" s="3"/>
      <c r="D18" s="3"/>
      <c r="E18" s="3"/>
      <c r="F18" s="3"/>
      <c r="G18" s="3"/>
      <c r="H18" s="3"/>
      <c r="I18" s="45"/>
      <c r="J18" s="3"/>
      <c r="K18" s="3"/>
      <c r="L18" s="3"/>
      <c r="M18" s="3"/>
      <c r="N18" s="3"/>
      <c r="O18" s="3"/>
      <c r="P18" s="3"/>
      <c r="Q18" s="3"/>
      <c r="R18" s="3"/>
      <c r="S18" s="3"/>
      <c r="T18" s="3"/>
      <c r="U18" s="3"/>
      <c r="V18" s="3"/>
      <c r="W18" s="3"/>
      <c r="X18" s="3"/>
      <c r="Y18" s="3"/>
      <c r="Z18" s="3"/>
    </row>
    <row r="19" ht="26.25" customHeight="1">
      <c r="A19" s="3"/>
      <c r="B19" s="46" t="s">
        <v>15</v>
      </c>
      <c r="C19" s="47"/>
      <c r="D19" s="47"/>
      <c r="E19" s="47"/>
      <c r="F19" s="47"/>
      <c r="G19" s="47"/>
      <c r="H19" s="47"/>
      <c r="I19" s="48"/>
      <c r="J19" s="3"/>
      <c r="K19" s="3"/>
      <c r="L19" s="3"/>
      <c r="M19" s="3"/>
      <c r="N19" s="3"/>
      <c r="O19" s="3"/>
      <c r="P19" s="3"/>
      <c r="Q19" s="3"/>
      <c r="R19" s="3"/>
      <c r="S19" s="3"/>
      <c r="T19" s="3"/>
      <c r="U19" s="3"/>
      <c r="V19" s="3"/>
      <c r="W19" s="3"/>
      <c r="X19" s="3"/>
      <c r="Y19" s="3"/>
      <c r="Z19" s="3"/>
    </row>
    <row r="20" ht="26.25" customHeight="1">
      <c r="A20" s="3"/>
      <c r="B20" s="3"/>
      <c r="C20" s="3"/>
      <c r="D20" s="3"/>
      <c r="E20" s="3"/>
      <c r="F20" s="3"/>
      <c r="G20" s="3"/>
      <c r="H20" s="3"/>
      <c r="I20" s="3"/>
    </row>
    <row r="21" ht="26.25" customHeight="1">
      <c r="A21" s="3"/>
      <c r="B21" s="3"/>
      <c r="C21" s="3"/>
      <c r="D21" s="3"/>
      <c r="E21" s="3"/>
      <c r="F21" s="3"/>
      <c r="G21" s="3"/>
      <c r="H21" s="3"/>
      <c r="I21" s="3"/>
    </row>
    <row r="22" ht="26.25" customHeight="1">
      <c r="A22" s="3"/>
      <c r="B22" s="3"/>
      <c r="C22" s="3"/>
      <c r="D22" s="3"/>
      <c r="E22" s="3"/>
      <c r="F22" s="3"/>
      <c r="G22" s="3"/>
      <c r="H22" s="3"/>
      <c r="I22" s="3"/>
    </row>
    <row r="23" ht="26.25" customHeight="1">
      <c r="A23" s="3"/>
      <c r="B23" s="3"/>
      <c r="C23" s="3"/>
      <c r="D23" s="3"/>
      <c r="E23" s="3"/>
      <c r="F23" s="3"/>
      <c r="G23" s="3"/>
      <c r="H23" s="3"/>
      <c r="I23" s="3"/>
    </row>
    <row r="24" ht="26.25" customHeight="1">
      <c r="A24" s="3"/>
      <c r="B24" s="3"/>
      <c r="C24" s="3"/>
      <c r="D24" s="3"/>
      <c r="E24" s="3"/>
      <c r="F24" s="3"/>
      <c r="G24" s="3"/>
      <c r="H24" s="3"/>
      <c r="I24" s="3"/>
    </row>
    <row r="25" ht="26.25" customHeight="1">
      <c r="A25" s="3"/>
      <c r="B25" s="3"/>
      <c r="C25" s="3"/>
      <c r="D25" s="3"/>
      <c r="E25" s="3"/>
      <c r="F25" s="3"/>
      <c r="G25" s="3"/>
      <c r="H25" s="3"/>
      <c r="I25" s="3"/>
    </row>
    <row r="26" ht="26.25" customHeight="1">
      <c r="A26" s="3"/>
      <c r="B26" s="3"/>
      <c r="C26" s="3"/>
      <c r="D26" s="3"/>
      <c r="E26" s="3"/>
      <c r="F26" s="3"/>
      <c r="G26" s="3"/>
      <c r="H26" s="3"/>
      <c r="I26" s="3"/>
    </row>
    <row r="27" ht="26.25" customHeight="1">
      <c r="A27" s="3"/>
      <c r="B27" s="3"/>
      <c r="C27" s="3"/>
      <c r="D27" s="3"/>
      <c r="E27" s="3"/>
      <c r="F27" s="3"/>
      <c r="G27" s="3"/>
      <c r="H27" s="3"/>
      <c r="I27" s="3"/>
    </row>
    <row r="28" ht="26.25" customHeight="1">
      <c r="A28" s="3"/>
      <c r="B28" s="3"/>
      <c r="C28" s="3"/>
      <c r="D28" s="3"/>
      <c r="E28" s="3"/>
      <c r="F28" s="3"/>
      <c r="G28" s="3"/>
      <c r="H28" s="3"/>
      <c r="I28" s="3"/>
    </row>
    <row r="29" ht="26.25" customHeight="1">
      <c r="A29" s="3"/>
      <c r="B29" s="3"/>
      <c r="C29" s="3"/>
      <c r="D29" s="3"/>
      <c r="E29" s="3"/>
      <c r="F29" s="3"/>
      <c r="G29" s="3"/>
      <c r="H29" s="3"/>
      <c r="I29" s="3"/>
    </row>
    <row r="30" ht="26.25" customHeight="1">
      <c r="A30" s="3"/>
      <c r="B30" s="3"/>
      <c r="C30" s="3"/>
      <c r="D30" s="3"/>
      <c r="E30" s="3"/>
      <c r="F30" s="3"/>
      <c r="G30" s="3"/>
      <c r="H30" s="3"/>
      <c r="I30" s="3"/>
    </row>
    <row r="31" ht="26.25" customHeight="1">
      <c r="A31" s="3"/>
      <c r="B31" s="3"/>
      <c r="C31" s="3"/>
      <c r="D31" s="3"/>
      <c r="E31" s="3"/>
      <c r="F31" s="3"/>
      <c r="G31" s="3"/>
      <c r="H31" s="3"/>
      <c r="I31" s="3"/>
    </row>
    <row r="32" ht="26.25" customHeight="1">
      <c r="A32" s="3"/>
      <c r="B32" s="3"/>
      <c r="C32" s="3"/>
      <c r="D32" s="3"/>
      <c r="E32" s="3"/>
      <c r="F32" s="3"/>
      <c r="G32" s="3"/>
      <c r="H32" s="3"/>
      <c r="I32" s="3"/>
    </row>
    <row r="33" ht="26.25" customHeight="1">
      <c r="A33" s="3"/>
      <c r="B33" s="3"/>
      <c r="C33" s="3"/>
      <c r="D33" s="3"/>
      <c r="E33" s="3"/>
      <c r="F33" s="3"/>
      <c r="G33" s="3"/>
      <c r="H33" s="3"/>
      <c r="I33" s="3"/>
    </row>
    <row r="34" ht="26.25" customHeight="1">
      <c r="A34" s="3"/>
      <c r="B34" s="3"/>
      <c r="C34" s="3"/>
      <c r="D34" s="3"/>
      <c r="E34" s="3"/>
      <c r="F34" s="3"/>
      <c r="G34" s="3"/>
      <c r="H34" s="3"/>
      <c r="I34" s="3"/>
    </row>
    <row r="35" ht="26.25" customHeight="1">
      <c r="A35" s="3"/>
      <c r="B35" s="3"/>
      <c r="C35" s="3"/>
      <c r="D35" s="3"/>
      <c r="E35" s="3"/>
      <c r="F35" s="3"/>
      <c r="G35" s="3"/>
      <c r="H35" s="3"/>
      <c r="I35" s="3"/>
    </row>
    <row r="36" ht="26.25" customHeight="1">
      <c r="A36" s="3"/>
      <c r="B36" s="3"/>
      <c r="C36" s="3"/>
      <c r="D36" s="3"/>
      <c r="E36" s="3"/>
      <c r="F36" s="3"/>
      <c r="G36" s="3"/>
      <c r="H36" s="3"/>
      <c r="I36" s="3"/>
    </row>
    <row r="37" ht="26.25" customHeight="1">
      <c r="A37" s="3"/>
      <c r="B37" s="3"/>
      <c r="C37" s="3"/>
      <c r="D37" s="3"/>
      <c r="E37" s="3"/>
      <c r="F37" s="3"/>
      <c r="G37" s="3"/>
      <c r="H37" s="3"/>
      <c r="I37" s="3"/>
    </row>
    <row r="38" ht="26.25" customHeight="1">
      <c r="A38" s="3"/>
      <c r="B38" s="3"/>
      <c r="C38" s="3"/>
      <c r="D38" s="3"/>
      <c r="E38" s="3"/>
      <c r="F38" s="3"/>
      <c r="G38" s="3"/>
      <c r="H38" s="3"/>
      <c r="I38" s="3"/>
    </row>
    <row r="39" ht="26.25" customHeight="1">
      <c r="A39" s="3"/>
      <c r="B39" s="3"/>
      <c r="C39" s="3"/>
      <c r="D39" s="3"/>
      <c r="E39" s="3"/>
      <c r="F39" s="3"/>
      <c r="G39" s="3"/>
      <c r="H39" s="3"/>
      <c r="I39" s="3"/>
    </row>
    <row r="40" ht="26.25" customHeight="1">
      <c r="A40" s="3"/>
      <c r="B40" s="3"/>
      <c r="C40" s="3"/>
      <c r="D40" s="3"/>
      <c r="E40" s="3"/>
      <c r="F40" s="3"/>
      <c r="G40" s="3"/>
      <c r="H40" s="3"/>
      <c r="I40" s="3"/>
    </row>
    <row r="41" ht="26.25" customHeight="1">
      <c r="A41" s="3"/>
      <c r="B41" s="3"/>
      <c r="C41" s="3"/>
      <c r="D41" s="3"/>
      <c r="E41" s="3"/>
      <c r="F41" s="3"/>
      <c r="G41" s="3"/>
      <c r="H41" s="3"/>
      <c r="I41" s="3"/>
    </row>
    <row r="42" ht="26.25" customHeight="1">
      <c r="A42" s="3"/>
      <c r="B42" s="3"/>
      <c r="C42" s="3"/>
      <c r="D42" s="3"/>
      <c r="E42" s="3"/>
      <c r="F42" s="3"/>
      <c r="G42" s="3"/>
      <c r="H42" s="3"/>
      <c r="I42" s="3"/>
    </row>
    <row r="43" ht="26.25" customHeight="1">
      <c r="A43" s="3"/>
      <c r="B43" s="3"/>
      <c r="C43" s="3"/>
      <c r="D43" s="3"/>
      <c r="E43" s="3"/>
      <c r="F43" s="3"/>
      <c r="G43" s="3"/>
      <c r="H43" s="3"/>
      <c r="I43" s="3"/>
    </row>
    <row r="44" ht="26.25" customHeight="1">
      <c r="A44" s="3"/>
      <c r="B44" s="3"/>
      <c r="C44" s="3"/>
      <c r="D44" s="3"/>
      <c r="E44" s="3"/>
      <c r="F44" s="3"/>
      <c r="G44" s="3"/>
      <c r="H44" s="3"/>
      <c r="I44" s="3"/>
    </row>
    <row r="45" ht="26.25" customHeight="1">
      <c r="A45" s="3"/>
      <c r="B45" s="3"/>
      <c r="C45" s="3"/>
      <c r="D45" s="3"/>
      <c r="E45" s="3"/>
      <c r="F45" s="3"/>
      <c r="G45" s="3"/>
      <c r="H45" s="3"/>
      <c r="I45" s="3"/>
    </row>
    <row r="46" ht="26.25" customHeight="1">
      <c r="A46" s="3"/>
      <c r="B46" s="3"/>
      <c r="C46" s="3"/>
      <c r="D46" s="3"/>
      <c r="E46" s="3"/>
      <c r="F46" s="3"/>
      <c r="G46" s="3"/>
      <c r="H46" s="3"/>
      <c r="I46" s="3"/>
    </row>
    <row r="47" ht="26.25" customHeight="1">
      <c r="A47" s="3"/>
      <c r="B47" s="3"/>
      <c r="C47" s="3"/>
      <c r="D47" s="3"/>
      <c r="E47" s="3"/>
      <c r="F47" s="3"/>
      <c r="G47" s="3"/>
      <c r="H47" s="3"/>
      <c r="I47" s="3"/>
    </row>
    <row r="48" ht="26.25" customHeight="1">
      <c r="A48" s="3"/>
      <c r="B48" s="3"/>
      <c r="C48" s="3"/>
      <c r="D48" s="3"/>
      <c r="E48" s="3"/>
      <c r="F48" s="3"/>
      <c r="G48" s="3"/>
      <c r="H48" s="3"/>
      <c r="I48" s="3"/>
    </row>
    <row r="49" ht="26.25" customHeight="1">
      <c r="A49" s="3"/>
      <c r="B49" s="3"/>
      <c r="C49" s="3"/>
      <c r="D49" s="3"/>
      <c r="E49" s="3"/>
      <c r="F49" s="3"/>
      <c r="G49" s="3"/>
      <c r="H49" s="3"/>
      <c r="I49" s="3"/>
    </row>
    <row r="50" ht="26.25" customHeight="1">
      <c r="A50" s="3"/>
      <c r="B50" s="3"/>
      <c r="C50" s="3"/>
      <c r="D50" s="3"/>
      <c r="E50" s="3"/>
      <c r="F50" s="3"/>
      <c r="G50" s="3"/>
      <c r="H50" s="3"/>
      <c r="I50" s="3"/>
    </row>
    <row r="51" ht="26.25" customHeight="1">
      <c r="A51" s="3"/>
      <c r="B51" s="3"/>
      <c r="C51" s="3"/>
      <c r="D51" s="3"/>
      <c r="E51" s="3"/>
      <c r="F51" s="3"/>
      <c r="G51" s="3"/>
      <c r="H51" s="3"/>
      <c r="I51" s="3"/>
    </row>
    <row r="52" ht="26.25" customHeight="1">
      <c r="A52" s="3"/>
      <c r="B52" s="3"/>
      <c r="C52" s="3"/>
      <c r="D52" s="3"/>
      <c r="E52" s="3"/>
      <c r="F52" s="3"/>
      <c r="G52" s="3"/>
      <c r="H52" s="3"/>
      <c r="I52" s="3"/>
    </row>
    <row r="53" ht="26.25" customHeight="1">
      <c r="A53" s="3"/>
      <c r="B53" s="3"/>
      <c r="C53" s="3"/>
      <c r="D53" s="3"/>
      <c r="E53" s="3"/>
      <c r="F53" s="3"/>
      <c r="G53" s="3"/>
      <c r="H53" s="3"/>
      <c r="I53" s="3"/>
    </row>
    <row r="54" ht="26.25" customHeight="1">
      <c r="A54" s="3"/>
      <c r="B54" s="3"/>
      <c r="C54" s="3"/>
      <c r="D54" s="3"/>
      <c r="E54" s="3"/>
      <c r="F54" s="3"/>
      <c r="G54" s="3"/>
      <c r="H54" s="3"/>
      <c r="I54" s="3"/>
    </row>
    <row r="55" ht="26.25" customHeight="1">
      <c r="A55" s="3"/>
      <c r="B55" s="3"/>
      <c r="C55" s="3"/>
      <c r="D55" s="3"/>
      <c r="E55" s="3"/>
      <c r="F55" s="3"/>
      <c r="G55" s="3"/>
      <c r="H55" s="3"/>
      <c r="I55" s="3"/>
    </row>
    <row r="56" ht="26.25" customHeight="1">
      <c r="A56" s="3"/>
      <c r="B56" s="3"/>
      <c r="C56" s="3"/>
      <c r="D56" s="3"/>
      <c r="E56" s="3"/>
      <c r="F56" s="3"/>
      <c r="G56" s="3"/>
      <c r="H56" s="3"/>
      <c r="I56" s="3"/>
    </row>
    <row r="57" ht="26.25" customHeight="1">
      <c r="A57" s="3"/>
      <c r="B57" s="3"/>
      <c r="C57" s="3"/>
      <c r="D57" s="3"/>
      <c r="E57" s="3"/>
      <c r="F57" s="3"/>
      <c r="G57" s="3"/>
      <c r="H57" s="3"/>
      <c r="I57" s="3"/>
    </row>
    <row r="58" ht="26.25" customHeight="1">
      <c r="A58" s="3"/>
      <c r="B58" s="3"/>
      <c r="C58" s="3"/>
      <c r="D58" s="3"/>
      <c r="E58" s="3"/>
      <c r="F58" s="3"/>
      <c r="G58" s="3"/>
      <c r="H58" s="3"/>
      <c r="I58" s="3"/>
    </row>
    <row r="59" ht="26.25" customHeight="1">
      <c r="A59" s="3"/>
      <c r="B59" s="3"/>
      <c r="C59" s="3"/>
      <c r="D59" s="3"/>
      <c r="E59" s="3"/>
      <c r="F59" s="3"/>
      <c r="G59" s="3"/>
      <c r="H59" s="3"/>
      <c r="I59" s="3"/>
    </row>
    <row r="60" ht="26.25" customHeight="1">
      <c r="A60" s="3"/>
      <c r="B60" s="3"/>
      <c r="C60" s="3"/>
      <c r="D60" s="3"/>
      <c r="E60" s="3"/>
      <c r="F60" s="3"/>
      <c r="G60" s="3"/>
      <c r="H60" s="3"/>
      <c r="I60" s="3"/>
    </row>
    <row r="61" ht="26.25" customHeight="1">
      <c r="A61" s="3"/>
      <c r="B61" s="3"/>
      <c r="C61" s="3"/>
      <c r="D61" s="3"/>
      <c r="E61" s="3"/>
      <c r="F61" s="3"/>
      <c r="G61" s="3"/>
      <c r="H61" s="3"/>
      <c r="I61" s="3"/>
    </row>
    <row r="62" ht="26.25" customHeight="1">
      <c r="A62" s="3"/>
      <c r="B62" s="3"/>
      <c r="C62" s="3"/>
      <c r="D62" s="3"/>
      <c r="E62" s="3"/>
      <c r="F62" s="3"/>
      <c r="G62" s="3"/>
      <c r="H62" s="3"/>
      <c r="I62" s="3"/>
    </row>
    <row r="63" ht="26.25" customHeight="1">
      <c r="A63" s="3"/>
      <c r="B63" s="3"/>
      <c r="C63" s="3"/>
      <c r="D63" s="3"/>
      <c r="E63" s="3"/>
      <c r="F63" s="3"/>
      <c r="G63" s="3"/>
      <c r="H63" s="3"/>
      <c r="I63" s="3"/>
    </row>
    <row r="64" ht="26.25" customHeight="1">
      <c r="A64" s="3"/>
      <c r="B64" s="3"/>
      <c r="C64" s="3"/>
      <c r="D64" s="3"/>
      <c r="E64" s="3"/>
      <c r="F64" s="3"/>
      <c r="G64" s="3"/>
      <c r="H64" s="3"/>
      <c r="I64" s="3"/>
    </row>
    <row r="65" ht="26.25" customHeight="1">
      <c r="A65" s="3"/>
      <c r="B65" s="3"/>
      <c r="C65" s="3"/>
      <c r="D65" s="3"/>
      <c r="E65" s="3"/>
      <c r="F65" s="3"/>
      <c r="G65" s="3"/>
      <c r="H65" s="3"/>
      <c r="I65" s="3"/>
    </row>
    <row r="66" ht="26.25" customHeight="1">
      <c r="A66" s="3"/>
      <c r="B66" s="3"/>
      <c r="C66" s="3"/>
      <c r="D66" s="3"/>
      <c r="E66" s="3"/>
      <c r="F66" s="3"/>
      <c r="G66" s="3"/>
      <c r="H66" s="3"/>
      <c r="I66" s="3"/>
    </row>
    <row r="67" ht="26.25" customHeight="1">
      <c r="A67" s="3"/>
      <c r="B67" s="3"/>
      <c r="C67" s="3"/>
      <c r="D67" s="3"/>
      <c r="E67" s="3"/>
      <c r="F67" s="3"/>
      <c r="G67" s="3"/>
      <c r="H67" s="3"/>
      <c r="I67" s="3"/>
    </row>
    <row r="68" ht="26.25" customHeight="1">
      <c r="A68" s="3"/>
      <c r="B68" s="3"/>
      <c r="C68" s="3"/>
      <c r="D68" s="3"/>
      <c r="E68" s="3"/>
      <c r="F68" s="3"/>
      <c r="G68" s="3"/>
      <c r="H68" s="3"/>
      <c r="I68" s="3"/>
    </row>
    <row r="69" ht="26.25" customHeight="1">
      <c r="A69" s="3"/>
      <c r="B69" s="3"/>
      <c r="C69" s="3"/>
      <c r="D69" s="3"/>
      <c r="E69" s="3"/>
      <c r="F69" s="3"/>
      <c r="G69" s="3"/>
      <c r="H69" s="3"/>
      <c r="I69" s="3"/>
    </row>
    <row r="70" ht="26.25" customHeight="1">
      <c r="A70" s="3"/>
      <c r="B70" s="3"/>
      <c r="C70" s="3"/>
      <c r="D70" s="3"/>
      <c r="E70" s="3"/>
      <c r="F70" s="3"/>
      <c r="G70" s="3"/>
      <c r="H70" s="3"/>
      <c r="I70" s="3"/>
    </row>
    <row r="71" ht="26.25" customHeight="1">
      <c r="A71" s="3"/>
      <c r="B71" s="3"/>
      <c r="C71" s="3"/>
      <c r="D71" s="3"/>
      <c r="E71" s="3"/>
      <c r="F71" s="3"/>
      <c r="G71" s="3"/>
      <c r="H71" s="3"/>
      <c r="I71" s="3"/>
    </row>
    <row r="72" ht="26.25" customHeight="1">
      <c r="A72" s="3"/>
      <c r="B72" s="3"/>
      <c r="C72" s="3"/>
      <c r="D72" s="3"/>
      <c r="E72" s="3"/>
      <c r="F72" s="3"/>
      <c r="G72" s="3"/>
      <c r="H72" s="3"/>
      <c r="I72" s="3"/>
    </row>
    <row r="73" ht="26.25" customHeight="1">
      <c r="A73" s="3"/>
      <c r="B73" s="3"/>
      <c r="C73" s="3"/>
      <c r="D73" s="3"/>
      <c r="E73" s="3"/>
      <c r="F73" s="3"/>
      <c r="G73" s="3"/>
      <c r="H73" s="3"/>
      <c r="I73" s="3"/>
    </row>
    <row r="74" ht="26.25" customHeight="1">
      <c r="A74" s="3"/>
      <c r="B74" s="3"/>
      <c r="C74" s="3"/>
      <c r="D74" s="3"/>
      <c r="E74" s="3"/>
      <c r="F74" s="3"/>
      <c r="G74" s="3"/>
      <c r="H74" s="3"/>
      <c r="I74" s="3"/>
    </row>
    <row r="75" ht="26.25" customHeight="1">
      <c r="A75" s="3"/>
      <c r="B75" s="3"/>
      <c r="C75" s="3"/>
      <c r="D75" s="3"/>
      <c r="E75" s="3"/>
      <c r="F75" s="3"/>
      <c r="G75" s="3"/>
      <c r="H75" s="3"/>
      <c r="I75" s="3"/>
    </row>
    <row r="76" ht="26.25" customHeight="1">
      <c r="A76" s="3"/>
      <c r="B76" s="3"/>
      <c r="C76" s="3"/>
      <c r="D76" s="3"/>
      <c r="E76" s="3"/>
      <c r="F76" s="3"/>
      <c r="G76" s="3"/>
      <c r="H76" s="3"/>
      <c r="I76" s="3"/>
    </row>
    <row r="77" ht="26.25" customHeight="1">
      <c r="A77" s="3"/>
      <c r="B77" s="3"/>
      <c r="C77" s="3"/>
      <c r="D77" s="3"/>
      <c r="E77" s="3"/>
      <c r="F77" s="3"/>
      <c r="G77" s="3"/>
      <c r="H77" s="3"/>
      <c r="I77" s="3"/>
    </row>
    <row r="78" ht="26.25" customHeight="1">
      <c r="A78" s="3"/>
      <c r="B78" s="3"/>
      <c r="C78" s="3"/>
      <c r="D78" s="3"/>
      <c r="E78" s="3"/>
      <c r="F78" s="3"/>
      <c r="G78" s="3"/>
      <c r="H78" s="3"/>
      <c r="I78" s="3"/>
    </row>
    <row r="79" ht="26.25" customHeight="1">
      <c r="A79" s="3"/>
      <c r="B79" s="3"/>
      <c r="C79" s="3"/>
      <c r="D79" s="3"/>
      <c r="E79" s="3"/>
      <c r="F79" s="3"/>
      <c r="G79" s="3"/>
      <c r="H79" s="3"/>
      <c r="I79" s="3"/>
    </row>
    <row r="80" ht="26.25" customHeight="1">
      <c r="A80" s="3"/>
      <c r="B80" s="3"/>
      <c r="C80" s="3"/>
      <c r="D80" s="3"/>
      <c r="E80" s="3"/>
      <c r="F80" s="3"/>
      <c r="G80" s="3"/>
      <c r="H80" s="3"/>
      <c r="I80" s="3"/>
    </row>
    <row r="81" ht="26.25" customHeight="1">
      <c r="A81" s="3"/>
      <c r="B81" s="3"/>
      <c r="C81" s="3"/>
      <c r="D81" s="3"/>
      <c r="E81" s="3"/>
      <c r="F81" s="3"/>
      <c r="G81" s="3"/>
      <c r="H81" s="3"/>
      <c r="I81" s="3"/>
    </row>
    <row r="82" ht="26.25" customHeight="1">
      <c r="A82" s="3"/>
      <c r="B82" s="3"/>
      <c r="C82" s="3"/>
      <c r="D82" s="3"/>
      <c r="E82" s="3"/>
      <c r="F82" s="3"/>
      <c r="G82" s="3"/>
      <c r="H82" s="3"/>
      <c r="I82" s="3"/>
    </row>
    <row r="83" ht="26.25" customHeight="1">
      <c r="A83" s="3"/>
      <c r="B83" s="3"/>
      <c r="C83" s="3"/>
      <c r="D83" s="3"/>
      <c r="E83" s="3"/>
      <c r="F83" s="3"/>
      <c r="G83" s="3"/>
      <c r="H83" s="3"/>
      <c r="I83" s="3"/>
    </row>
    <row r="84" ht="26.25" customHeight="1">
      <c r="A84" s="3"/>
      <c r="B84" s="3"/>
      <c r="C84" s="3"/>
      <c r="D84" s="3"/>
      <c r="E84" s="3"/>
      <c r="F84" s="3"/>
      <c r="G84" s="3"/>
      <c r="H84" s="3"/>
      <c r="I84" s="3"/>
    </row>
    <row r="85" ht="26.25" customHeight="1">
      <c r="A85" s="3"/>
      <c r="B85" s="3"/>
      <c r="C85" s="3"/>
      <c r="D85" s="3"/>
      <c r="E85" s="3"/>
      <c r="F85" s="3"/>
      <c r="G85" s="3"/>
      <c r="H85" s="3"/>
      <c r="I85" s="3"/>
    </row>
    <row r="86" ht="26.25" customHeight="1">
      <c r="A86" s="3"/>
      <c r="B86" s="3"/>
      <c r="C86" s="3"/>
      <c r="D86" s="3"/>
      <c r="E86" s="3"/>
      <c r="F86" s="3"/>
      <c r="G86" s="3"/>
      <c r="H86" s="3"/>
      <c r="I86" s="3"/>
    </row>
    <row r="87" ht="26.25" customHeight="1">
      <c r="A87" s="3"/>
      <c r="B87" s="3"/>
      <c r="C87" s="3"/>
      <c r="D87" s="3"/>
      <c r="E87" s="3"/>
      <c r="F87" s="3"/>
      <c r="G87" s="3"/>
      <c r="H87" s="3"/>
      <c r="I87" s="3"/>
    </row>
    <row r="88" ht="26.25" customHeight="1">
      <c r="A88" s="3"/>
      <c r="B88" s="3"/>
      <c r="C88" s="3"/>
      <c r="D88" s="3"/>
      <c r="E88" s="3"/>
      <c r="F88" s="3"/>
      <c r="G88" s="3"/>
      <c r="H88" s="3"/>
      <c r="I88" s="3"/>
    </row>
    <row r="89" ht="26.25" customHeight="1">
      <c r="A89" s="3"/>
      <c r="B89" s="3"/>
      <c r="C89" s="3"/>
      <c r="D89" s="3"/>
      <c r="E89" s="3"/>
      <c r="F89" s="3"/>
      <c r="G89" s="3"/>
      <c r="H89" s="3"/>
      <c r="I89" s="3"/>
    </row>
    <row r="90" ht="26.25" customHeight="1">
      <c r="A90" s="3"/>
      <c r="B90" s="3"/>
      <c r="C90" s="3"/>
      <c r="D90" s="3"/>
      <c r="E90" s="3"/>
      <c r="F90" s="3"/>
      <c r="G90" s="3"/>
      <c r="H90" s="3"/>
      <c r="I90" s="3"/>
    </row>
    <row r="91" ht="26.25" customHeight="1">
      <c r="A91" s="3"/>
      <c r="B91" s="3"/>
      <c r="C91" s="3"/>
      <c r="D91" s="3"/>
      <c r="E91" s="3"/>
      <c r="F91" s="3"/>
      <c r="G91" s="3"/>
      <c r="H91" s="3"/>
      <c r="I91" s="3"/>
    </row>
    <row r="92" ht="26.25" customHeight="1">
      <c r="A92" s="3"/>
      <c r="B92" s="3"/>
      <c r="C92" s="3"/>
      <c r="D92" s="3"/>
      <c r="E92" s="3"/>
      <c r="F92" s="3"/>
      <c r="G92" s="3"/>
      <c r="H92" s="3"/>
      <c r="I92" s="3"/>
    </row>
    <row r="93" ht="26.25" customHeight="1">
      <c r="A93" s="3"/>
      <c r="B93" s="3"/>
      <c r="C93" s="3"/>
      <c r="D93" s="3"/>
      <c r="E93" s="3"/>
      <c r="F93" s="3"/>
      <c r="G93" s="3"/>
      <c r="H93" s="3"/>
      <c r="I93" s="3"/>
    </row>
    <row r="94" ht="26.25" customHeight="1">
      <c r="A94" s="3"/>
      <c r="B94" s="3"/>
      <c r="C94" s="3"/>
      <c r="D94" s="3"/>
      <c r="E94" s="3"/>
      <c r="F94" s="3"/>
      <c r="G94" s="3"/>
      <c r="H94" s="3"/>
      <c r="I94" s="3"/>
    </row>
    <row r="95" ht="26.25" customHeight="1">
      <c r="A95" s="3"/>
      <c r="B95" s="3"/>
      <c r="C95" s="3"/>
      <c r="D95" s="3"/>
      <c r="E95" s="3"/>
      <c r="F95" s="3"/>
      <c r="G95" s="3"/>
      <c r="H95" s="3"/>
      <c r="I95" s="3"/>
    </row>
    <row r="96" ht="26.25" customHeight="1">
      <c r="A96" s="3"/>
      <c r="B96" s="3"/>
      <c r="C96" s="3"/>
      <c r="D96" s="3"/>
      <c r="E96" s="3"/>
      <c r="F96" s="3"/>
      <c r="G96" s="3"/>
      <c r="H96" s="3"/>
      <c r="I96" s="3"/>
    </row>
    <row r="97" ht="26.25" customHeight="1">
      <c r="A97" s="3"/>
      <c r="B97" s="3"/>
      <c r="C97" s="3"/>
      <c r="D97" s="3"/>
      <c r="E97" s="3"/>
      <c r="F97" s="3"/>
      <c r="G97" s="3"/>
      <c r="H97" s="3"/>
      <c r="I97" s="3"/>
    </row>
    <row r="98" ht="26.25" customHeight="1">
      <c r="A98" s="3"/>
      <c r="B98" s="3"/>
      <c r="C98" s="3"/>
      <c r="D98" s="3"/>
      <c r="E98" s="3"/>
      <c r="F98" s="3"/>
      <c r="G98" s="3"/>
      <c r="H98" s="3"/>
      <c r="I98" s="3"/>
    </row>
    <row r="99" ht="26.25" customHeight="1">
      <c r="A99" s="3"/>
      <c r="B99" s="3"/>
      <c r="C99" s="3"/>
      <c r="D99" s="3"/>
      <c r="E99" s="3"/>
      <c r="F99" s="3"/>
      <c r="G99" s="3"/>
      <c r="H99" s="3"/>
      <c r="I99" s="3"/>
    </row>
    <row r="100" ht="26.25" customHeight="1">
      <c r="A100" s="3"/>
      <c r="B100" s="3"/>
      <c r="C100" s="3"/>
      <c r="D100" s="3"/>
      <c r="E100" s="3"/>
      <c r="F100" s="3"/>
      <c r="G100" s="3"/>
      <c r="H100" s="3"/>
      <c r="I100" s="3"/>
    </row>
    <row r="101" ht="26.25" customHeight="1">
      <c r="A101" s="3"/>
      <c r="B101" s="3"/>
      <c r="C101" s="3"/>
      <c r="D101" s="3"/>
      <c r="E101" s="3"/>
      <c r="F101" s="3"/>
      <c r="G101" s="3"/>
      <c r="H101" s="3"/>
      <c r="I101" s="3"/>
    </row>
    <row r="102" ht="26.25" customHeight="1">
      <c r="A102" s="3"/>
      <c r="B102" s="3"/>
      <c r="C102" s="3"/>
      <c r="D102" s="3"/>
      <c r="E102" s="3"/>
      <c r="F102" s="3"/>
      <c r="G102" s="3"/>
      <c r="H102" s="3"/>
      <c r="I102" s="3"/>
    </row>
    <row r="103" ht="26.25" customHeight="1">
      <c r="A103" s="3"/>
      <c r="B103" s="3"/>
      <c r="C103" s="3"/>
      <c r="D103" s="3"/>
      <c r="E103" s="3"/>
      <c r="F103" s="3"/>
      <c r="G103" s="3"/>
      <c r="H103" s="3"/>
      <c r="I103" s="3"/>
    </row>
    <row r="104" ht="26.25" customHeight="1">
      <c r="A104" s="3"/>
      <c r="B104" s="3"/>
      <c r="C104" s="3"/>
      <c r="D104" s="3"/>
      <c r="E104" s="3"/>
      <c r="F104" s="3"/>
      <c r="G104" s="3"/>
      <c r="H104" s="3"/>
      <c r="I104" s="3"/>
    </row>
    <row r="105" ht="26.25" customHeight="1">
      <c r="A105" s="3"/>
      <c r="B105" s="3"/>
      <c r="C105" s="3"/>
      <c r="D105" s="3"/>
      <c r="E105" s="3"/>
      <c r="F105" s="3"/>
      <c r="G105" s="3"/>
      <c r="H105" s="3"/>
      <c r="I105" s="3"/>
    </row>
    <row r="106" ht="26.25" customHeight="1">
      <c r="A106" s="3"/>
      <c r="B106" s="3"/>
      <c r="C106" s="3"/>
      <c r="D106" s="3"/>
      <c r="E106" s="3"/>
      <c r="F106" s="3"/>
      <c r="G106" s="3"/>
      <c r="H106" s="3"/>
      <c r="I106" s="3"/>
    </row>
    <row r="107" ht="26.25" customHeight="1">
      <c r="A107" s="3"/>
      <c r="B107" s="3"/>
      <c r="C107" s="3"/>
      <c r="D107" s="3"/>
      <c r="E107" s="3"/>
      <c r="F107" s="3"/>
      <c r="G107" s="3"/>
      <c r="H107" s="3"/>
      <c r="I107" s="3"/>
    </row>
    <row r="108" ht="26.25" customHeight="1">
      <c r="A108" s="3"/>
      <c r="B108" s="3"/>
      <c r="C108" s="3"/>
      <c r="D108" s="3"/>
      <c r="E108" s="3"/>
      <c r="F108" s="3"/>
      <c r="G108" s="3"/>
      <c r="H108" s="3"/>
      <c r="I108" s="3"/>
    </row>
    <row r="109" ht="26.25" customHeight="1">
      <c r="A109" s="3"/>
      <c r="B109" s="3"/>
      <c r="C109" s="3"/>
      <c r="D109" s="3"/>
      <c r="E109" s="3"/>
      <c r="F109" s="3"/>
      <c r="G109" s="3"/>
      <c r="H109" s="3"/>
      <c r="I109" s="3"/>
    </row>
    <row r="110" ht="26.25" customHeight="1">
      <c r="A110" s="3"/>
      <c r="B110" s="3"/>
      <c r="C110" s="3"/>
      <c r="D110" s="3"/>
      <c r="E110" s="3"/>
      <c r="F110" s="3"/>
      <c r="G110" s="3"/>
      <c r="H110" s="3"/>
      <c r="I110" s="3"/>
    </row>
    <row r="111" ht="26.25" customHeight="1">
      <c r="A111" s="3"/>
      <c r="B111" s="3"/>
      <c r="C111" s="3"/>
      <c r="D111" s="3"/>
      <c r="E111" s="3"/>
      <c r="F111" s="3"/>
      <c r="G111" s="3"/>
      <c r="H111" s="3"/>
      <c r="I111" s="3"/>
    </row>
    <row r="112" ht="26.25" customHeight="1">
      <c r="A112" s="3"/>
      <c r="B112" s="3"/>
      <c r="C112" s="3"/>
      <c r="D112" s="3"/>
      <c r="E112" s="3"/>
      <c r="F112" s="3"/>
      <c r="G112" s="3"/>
      <c r="H112" s="3"/>
      <c r="I112" s="3"/>
    </row>
    <row r="113" ht="26.25" customHeight="1">
      <c r="A113" s="3"/>
      <c r="B113" s="3"/>
      <c r="C113" s="3"/>
      <c r="D113" s="3"/>
      <c r="E113" s="3"/>
      <c r="F113" s="3"/>
      <c r="G113" s="3"/>
      <c r="H113" s="3"/>
      <c r="I113" s="3"/>
    </row>
    <row r="114" ht="26.25" customHeight="1">
      <c r="A114" s="3"/>
      <c r="B114" s="3"/>
      <c r="C114" s="3"/>
      <c r="D114" s="3"/>
      <c r="E114" s="3"/>
      <c r="F114" s="3"/>
      <c r="G114" s="3"/>
      <c r="H114" s="3"/>
      <c r="I114" s="3"/>
    </row>
    <row r="115" ht="26.25" customHeight="1">
      <c r="A115" s="3"/>
      <c r="B115" s="3"/>
      <c r="C115" s="3"/>
      <c r="D115" s="3"/>
      <c r="E115" s="3"/>
      <c r="F115" s="3"/>
      <c r="G115" s="3"/>
      <c r="H115" s="3"/>
      <c r="I115" s="3"/>
    </row>
    <row r="116" ht="26.25" customHeight="1">
      <c r="A116" s="3"/>
      <c r="B116" s="3"/>
      <c r="C116" s="3"/>
      <c r="D116" s="3"/>
      <c r="E116" s="3"/>
      <c r="F116" s="3"/>
      <c r="G116" s="3"/>
      <c r="H116" s="3"/>
      <c r="I116" s="3"/>
    </row>
    <row r="117" ht="26.25" customHeight="1">
      <c r="A117" s="3"/>
      <c r="B117" s="3"/>
      <c r="C117" s="3"/>
      <c r="D117" s="3"/>
      <c r="E117" s="3"/>
      <c r="F117" s="3"/>
      <c r="G117" s="3"/>
      <c r="H117" s="3"/>
      <c r="I117" s="3"/>
    </row>
    <row r="118" ht="26.25" customHeight="1">
      <c r="A118" s="3"/>
      <c r="B118" s="3"/>
      <c r="C118" s="3"/>
      <c r="D118" s="3"/>
      <c r="E118" s="3"/>
      <c r="F118" s="3"/>
      <c r="G118" s="3"/>
      <c r="H118" s="3"/>
      <c r="I118" s="3"/>
    </row>
    <row r="119" ht="26.25" customHeight="1">
      <c r="A119" s="3"/>
      <c r="B119" s="3"/>
      <c r="C119" s="3"/>
      <c r="D119" s="3"/>
      <c r="E119" s="3"/>
      <c r="F119" s="3"/>
      <c r="G119" s="3"/>
      <c r="H119" s="3"/>
      <c r="I119" s="3"/>
    </row>
    <row r="120" ht="26.25" customHeight="1">
      <c r="A120" s="3"/>
      <c r="B120" s="3"/>
      <c r="C120" s="3"/>
      <c r="D120" s="3"/>
      <c r="E120" s="3"/>
      <c r="F120" s="3"/>
      <c r="G120" s="3"/>
      <c r="H120" s="3"/>
      <c r="I120" s="3"/>
    </row>
    <row r="121" ht="26.25" customHeight="1">
      <c r="A121" s="3"/>
      <c r="B121" s="3"/>
      <c r="C121" s="3"/>
      <c r="D121" s="3"/>
      <c r="E121" s="3"/>
      <c r="F121" s="3"/>
      <c r="G121" s="3"/>
      <c r="H121" s="3"/>
      <c r="I121" s="3"/>
    </row>
    <row r="122" ht="26.25" customHeight="1">
      <c r="A122" s="3"/>
      <c r="B122" s="3"/>
      <c r="C122" s="3"/>
      <c r="D122" s="3"/>
      <c r="E122" s="3"/>
      <c r="F122" s="3"/>
      <c r="G122" s="3"/>
      <c r="H122" s="3"/>
      <c r="I122" s="3"/>
    </row>
    <row r="123" ht="26.25" customHeight="1">
      <c r="A123" s="3"/>
      <c r="B123" s="3"/>
      <c r="C123" s="3"/>
      <c r="D123" s="3"/>
      <c r="E123" s="3"/>
      <c r="F123" s="3"/>
      <c r="G123" s="3"/>
      <c r="H123" s="3"/>
      <c r="I123" s="3"/>
    </row>
    <row r="124" ht="26.25" customHeight="1">
      <c r="A124" s="3"/>
      <c r="B124" s="3"/>
      <c r="C124" s="3"/>
      <c r="D124" s="3"/>
      <c r="E124" s="3"/>
      <c r="F124" s="3"/>
      <c r="G124" s="3"/>
      <c r="H124" s="3"/>
      <c r="I124" s="3"/>
    </row>
    <row r="125" ht="26.25" customHeight="1">
      <c r="A125" s="3"/>
      <c r="B125" s="3"/>
      <c r="C125" s="3"/>
      <c r="D125" s="3"/>
      <c r="E125" s="3"/>
      <c r="F125" s="3"/>
      <c r="G125" s="3"/>
      <c r="H125" s="3"/>
      <c r="I125" s="3"/>
    </row>
    <row r="126" ht="26.25" customHeight="1">
      <c r="A126" s="3"/>
      <c r="B126" s="3"/>
      <c r="C126" s="3"/>
      <c r="D126" s="3"/>
      <c r="E126" s="3"/>
      <c r="F126" s="3"/>
      <c r="G126" s="3"/>
      <c r="H126" s="3"/>
      <c r="I126" s="3"/>
    </row>
    <row r="127" ht="26.25" customHeight="1">
      <c r="A127" s="3"/>
      <c r="B127" s="3"/>
      <c r="C127" s="3"/>
      <c r="D127" s="3"/>
      <c r="E127" s="3"/>
      <c r="F127" s="3"/>
      <c r="G127" s="3"/>
      <c r="H127" s="3"/>
      <c r="I127" s="3"/>
    </row>
    <row r="128" ht="26.25" customHeight="1">
      <c r="A128" s="3"/>
      <c r="B128" s="3"/>
      <c r="C128" s="3"/>
      <c r="D128" s="3"/>
      <c r="E128" s="3"/>
      <c r="F128" s="3"/>
      <c r="G128" s="3"/>
      <c r="H128" s="3"/>
      <c r="I128" s="3"/>
    </row>
    <row r="129" ht="26.25" customHeight="1">
      <c r="A129" s="3"/>
      <c r="B129" s="3"/>
      <c r="C129" s="3"/>
      <c r="D129" s="3"/>
      <c r="E129" s="3"/>
      <c r="F129" s="3"/>
      <c r="G129" s="3"/>
      <c r="H129" s="3"/>
      <c r="I129" s="3"/>
    </row>
    <row r="130" ht="26.25" customHeight="1">
      <c r="A130" s="3"/>
      <c r="B130" s="3"/>
      <c r="C130" s="3"/>
      <c r="D130" s="3"/>
      <c r="E130" s="3"/>
      <c r="F130" s="3"/>
      <c r="G130" s="3"/>
      <c r="H130" s="3"/>
      <c r="I130" s="3"/>
    </row>
    <row r="131" ht="26.25" customHeight="1">
      <c r="A131" s="3"/>
      <c r="B131" s="3"/>
      <c r="C131" s="3"/>
      <c r="D131" s="3"/>
      <c r="E131" s="3"/>
      <c r="F131" s="3"/>
      <c r="G131" s="3"/>
      <c r="H131" s="3"/>
      <c r="I131" s="3"/>
    </row>
    <row r="132" ht="26.25" customHeight="1">
      <c r="A132" s="3"/>
      <c r="B132" s="3"/>
      <c r="C132" s="3"/>
      <c r="D132" s="3"/>
      <c r="E132" s="3"/>
      <c r="F132" s="3"/>
      <c r="G132" s="3"/>
      <c r="H132" s="3"/>
      <c r="I132" s="3"/>
    </row>
    <row r="133" ht="26.25" customHeight="1">
      <c r="A133" s="3"/>
      <c r="B133" s="3"/>
      <c r="C133" s="3"/>
      <c r="D133" s="3"/>
      <c r="E133" s="3"/>
      <c r="F133" s="3"/>
      <c r="G133" s="3"/>
      <c r="H133" s="3"/>
      <c r="I133" s="3"/>
    </row>
    <row r="134" ht="26.25" customHeight="1">
      <c r="A134" s="3"/>
      <c r="B134" s="3"/>
      <c r="C134" s="3"/>
      <c r="D134" s="3"/>
      <c r="E134" s="3"/>
      <c r="F134" s="3"/>
      <c r="G134" s="3"/>
      <c r="H134" s="3"/>
      <c r="I134" s="3"/>
    </row>
    <row r="135" ht="26.25" customHeight="1">
      <c r="A135" s="3"/>
      <c r="B135" s="3"/>
      <c r="C135" s="3"/>
      <c r="D135" s="3"/>
      <c r="E135" s="3"/>
      <c r="F135" s="3"/>
      <c r="G135" s="3"/>
      <c r="H135" s="3"/>
      <c r="I135" s="3"/>
    </row>
    <row r="136" ht="26.25" customHeight="1">
      <c r="A136" s="3"/>
      <c r="B136" s="3"/>
      <c r="C136" s="3"/>
      <c r="D136" s="3"/>
      <c r="E136" s="3"/>
      <c r="F136" s="3"/>
      <c r="G136" s="3"/>
      <c r="H136" s="3"/>
      <c r="I136" s="3"/>
    </row>
    <row r="137" ht="26.25" customHeight="1">
      <c r="A137" s="3"/>
      <c r="B137" s="3"/>
      <c r="C137" s="3"/>
      <c r="D137" s="3"/>
      <c r="E137" s="3"/>
      <c r="F137" s="3"/>
      <c r="G137" s="3"/>
      <c r="H137" s="3"/>
      <c r="I137" s="3"/>
    </row>
    <row r="138" ht="26.25" customHeight="1">
      <c r="A138" s="3"/>
      <c r="B138" s="3"/>
      <c r="C138" s="3"/>
      <c r="D138" s="3"/>
      <c r="E138" s="3"/>
      <c r="F138" s="3"/>
      <c r="G138" s="3"/>
      <c r="H138" s="3"/>
      <c r="I138" s="3"/>
    </row>
    <row r="139" ht="26.25" customHeight="1">
      <c r="A139" s="3"/>
      <c r="B139" s="3"/>
      <c r="C139" s="3"/>
      <c r="D139" s="3"/>
      <c r="E139" s="3"/>
      <c r="F139" s="3"/>
      <c r="G139" s="3"/>
      <c r="H139" s="3"/>
      <c r="I139" s="3"/>
    </row>
    <row r="140" ht="26.25" customHeight="1">
      <c r="A140" s="3"/>
      <c r="B140" s="3"/>
      <c r="C140" s="3"/>
      <c r="D140" s="3"/>
      <c r="E140" s="3"/>
      <c r="F140" s="3"/>
      <c r="G140" s="3"/>
      <c r="H140" s="3"/>
      <c r="I140" s="3"/>
    </row>
    <row r="141" ht="26.25" customHeight="1">
      <c r="A141" s="3"/>
      <c r="B141" s="3"/>
      <c r="C141" s="3"/>
      <c r="D141" s="3"/>
      <c r="E141" s="3"/>
      <c r="F141" s="3"/>
      <c r="G141" s="3"/>
      <c r="H141" s="3"/>
      <c r="I141" s="3"/>
    </row>
    <row r="142" ht="26.25" customHeight="1">
      <c r="A142" s="3"/>
      <c r="B142" s="3"/>
      <c r="C142" s="3"/>
      <c r="D142" s="3"/>
      <c r="E142" s="3"/>
      <c r="F142" s="3"/>
      <c r="G142" s="3"/>
      <c r="H142" s="3"/>
      <c r="I142" s="3"/>
    </row>
    <row r="143" ht="26.25" customHeight="1">
      <c r="A143" s="3"/>
      <c r="B143" s="3"/>
      <c r="C143" s="3"/>
      <c r="D143" s="3"/>
      <c r="E143" s="3"/>
      <c r="F143" s="3"/>
      <c r="G143" s="3"/>
      <c r="H143" s="3"/>
      <c r="I143" s="3"/>
    </row>
    <row r="144" ht="26.25" customHeight="1">
      <c r="A144" s="3"/>
      <c r="B144" s="3"/>
      <c r="C144" s="3"/>
      <c r="D144" s="3"/>
      <c r="E144" s="3"/>
      <c r="F144" s="3"/>
      <c r="G144" s="3"/>
      <c r="H144" s="3"/>
      <c r="I144" s="3"/>
    </row>
    <row r="145" ht="26.25" customHeight="1">
      <c r="A145" s="3"/>
      <c r="B145" s="3"/>
      <c r="C145" s="3"/>
      <c r="D145" s="3"/>
      <c r="E145" s="3"/>
      <c r="F145" s="3"/>
      <c r="G145" s="3"/>
      <c r="H145" s="3"/>
      <c r="I145" s="3"/>
    </row>
    <row r="146" ht="26.25" customHeight="1">
      <c r="A146" s="3"/>
      <c r="B146" s="3"/>
      <c r="C146" s="3"/>
      <c r="D146" s="3"/>
      <c r="E146" s="3"/>
      <c r="F146" s="3"/>
      <c r="G146" s="3"/>
      <c r="H146" s="3"/>
      <c r="I146" s="3"/>
    </row>
    <row r="147" ht="26.25" customHeight="1">
      <c r="A147" s="3"/>
      <c r="B147" s="3"/>
      <c r="C147" s="3"/>
      <c r="D147" s="3"/>
      <c r="E147" s="3"/>
      <c r="F147" s="3"/>
      <c r="G147" s="3"/>
      <c r="H147" s="3"/>
      <c r="I147" s="3"/>
    </row>
    <row r="148" ht="26.25" customHeight="1">
      <c r="A148" s="3"/>
      <c r="B148" s="3"/>
      <c r="C148" s="3"/>
      <c r="D148" s="3"/>
      <c r="E148" s="3"/>
      <c r="F148" s="3"/>
      <c r="G148" s="3"/>
      <c r="H148" s="3"/>
      <c r="I148" s="3"/>
    </row>
    <row r="149" ht="26.25" customHeight="1">
      <c r="A149" s="3"/>
      <c r="B149" s="3"/>
      <c r="C149" s="3"/>
      <c r="D149" s="3"/>
      <c r="E149" s="3"/>
      <c r="F149" s="3"/>
      <c r="G149" s="3"/>
      <c r="H149" s="3"/>
      <c r="I149" s="3"/>
    </row>
    <row r="150" ht="26.25" customHeight="1">
      <c r="A150" s="3"/>
      <c r="B150" s="3"/>
      <c r="C150" s="3"/>
      <c r="D150" s="3"/>
      <c r="E150" s="3"/>
      <c r="F150" s="3"/>
      <c r="G150" s="3"/>
      <c r="H150" s="3"/>
      <c r="I150" s="3"/>
    </row>
    <row r="151" ht="26.25" customHeight="1">
      <c r="A151" s="3"/>
      <c r="B151" s="3"/>
      <c r="C151" s="3"/>
      <c r="D151" s="3"/>
      <c r="E151" s="3"/>
      <c r="F151" s="3"/>
      <c r="G151" s="3"/>
      <c r="H151" s="3"/>
      <c r="I151" s="3"/>
    </row>
    <row r="152" ht="26.25" customHeight="1">
      <c r="A152" s="3"/>
      <c r="B152" s="3"/>
      <c r="C152" s="3"/>
      <c r="D152" s="3"/>
      <c r="E152" s="3"/>
      <c r="F152" s="3"/>
      <c r="G152" s="3"/>
      <c r="H152" s="3"/>
      <c r="I152" s="3"/>
    </row>
    <row r="153" ht="26.25" customHeight="1">
      <c r="A153" s="3"/>
      <c r="B153" s="3"/>
      <c r="C153" s="3"/>
      <c r="D153" s="3"/>
      <c r="E153" s="3"/>
      <c r="F153" s="3"/>
      <c r="G153" s="3"/>
      <c r="H153" s="3"/>
      <c r="I153" s="3"/>
    </row>
    <row r="154" ht="26.25" customHeight="1">
      <c r="A154" s="3"/>
      <c r="B154" s="3"/>
      <c r="C154" s="3"/>
      <c r="D154" s="3"/>
      <c r="E154" s="3"/>
      <c r="F154" s="3"/>
      <c r="G154" s="3"/>
      <c r="H154" s="3"/>
      <c r="I154" s="3"/>
    </row>
    <row r="155" ht="26.25" customHeight="1">
      <c r="A155" s="3"/>
      <c r="B155" s="3"/>
      <c r="C155" s="3"/>
      <c r="D155" s="3"/>
      <c r="E155" s="3"/>
      <c r="F155" s="3"/>
      <c r="G155" s="3"/>
      <c r="H155" s="3"/>
      <c r="I155" s="3"/>
    </row>
    <row r="156" ht="26.25" customHeight="1">
      <c r="A156" s="3"/>
      <c r="B156" s="3"/>
      <c r="C156" s="3"/>
      <c r="D156" s="3"/>
      <c r="E156" s="3"/>
      <c r="F156" s="3"/>
      <c r="G156" s="3"/>
      <c r="H156" s="3"/>
      <c r="I156" s="3"/>
    </row>
    <row r="157" ht="26.25" customHeight="1">
      <c r="A157" s="3"/>
      <c r="B157" s="3"/>
      <c r="C157" s="3"/>
      <c r="D157" s="3"/>
      <c r="E157" s="3"/>
      <c r="F157" s="3"/>
      <c r="G157" s="3"/>
      <c r="H157" s="3"/>
      <c r="I157" s="3"/>
    </row>
    <row r="158" ht="26.25" customHeight="1">
      <c r="A158" s="3"/>
      <c r="B158" s="3"/>
      <c r="C158" s="3"/>
      <c r="D158" s="3"/>
      <c r="E158" s="3"/>
      <c r="F158" s="3"/>
      <c r="G158" s="3"/>
      <c r="H158" s="3"/>
      <c r="I158" s="3"/>
    </row>
    <row r="159" ht="26.25" customHeight="1">
      <c r="A159" s="3"/>
      <c r="B159" s="3"/>
      <c r="C159" s="3"/>
      <c r="D159" s="3"/>
      <c r="E159" s="3"/>
      <c r="F159" s="3"/>
      <c r="G159" s="3"/>
      <c r="H159" s="3"/>
      <c r="I159" s="3"/>
    </row>
    <row r="160" ht="26.25" customHeight="1">
      <c r="A160" s="3"/>
      <c r="B160" s="3"/>
      <c r="C160" s="3"/>
      <c r="D160" s="3"/>
      <c r="E160" s="3"/>
      <c r="F160" s="3"/>
      <c r="G160" s="3"/>
      <c r="H160" s="3"/>
      <c r="I160" s="3"/>
    </row>
    <row r="161" ht="26.25" customHeight="1">
      <c r="A161" s="3"/>
      <c r="B161" s="3"/>
      <c r="C161" s="3"/>
      <c r="D161" s="3"/>
      <c r="E161" s="3"/>
      <c r="F161" s="3"/>
      <c r="G161" s="3"/>
      <c r="H161" s="3"/>
      <c r="I161" s="3"/>
    </row>
    <row r="162" ht="26.25" customHeight="1">
      <c r="A162" s="3"/>
      <c r="B162" s="3"/>
      <c r="C162" s="3"/>
      <c r="D162" s="3"/>
      <c r="E162" s="3"/>
      <c r="F162" s="3"/>
      <c r="G162" s="3"/>
      <c r="H162" s="3"/>
      <c r="I162" s="3"/>
    </row>
    <row r="163" ht="26.25" customHeight="1">
      <c r="A163" s="3"/>
      <c r="B163" s="3"/>
      <c r="C163" s="3"/>
      <c r="D163" s="3"/>
      <c r="E163" s="3"/>
      <c r="F163" s="3"/>
      <c r="G163" s="3"/>
      <c r="H163" s="3"/>
      <c r="I163" s="3"/>
    </row>
    <row r="164" ht="26.25" customHeight="1">
      <c r="A164" s="3"/>
      <c r="B164" s="3"/>
      <c r="C164" s="3"/>
      <c r="D164" s="3"/>
      <c r="E164" s="3"/>
      <c r="F164" s="3"/>
      <c r="G164" s="3"/>
      <c r="H164" s="3"/>
      <c r="I164" s="3"/>
    </row>
    <row r="165" ht="26.25" customHeight="1">
      <c r="A165" s="3"/>
      <c r="B165" s="3"/>
      <c r="C165" s="3"/>
      <c r="D165" s="3"/>
      <c r="E165" s="3"/>
      <c r="F165" s="3"/>
      <c r="G165" s="3"/>
      <c r="H165" s="3"/>
      <c r="I165" s="3"/>
    </row>
    <row r="166" ht="26.25" customHeight="1">
      <c r="A166" s="3"/>
      <c r="B166" s="3"/>
      <c r="C166" s="3"/>
      <c r="D166" s="3"/>
      <c r="E166" s="3"/>
      <c r="F166" s="3"/>
      <c r="G166" s="3"/>
      <c r="H166" s="3"/>
      <c r="I166" s="3"/>
    </row>
    <row r="167" ht="26.25" customHeight="1">
      <c r="A167" s="3"/>
      <c r="B167" s="3"/>
      <c r="C167" s="3"/>
      <c r="D167" s="3"/>
      <c r="E167" s="3"/>
      <c r="F167" s="3"/>
      <c r="G167" s="3"/>
      <c r="H167" s="3"/>
      <c r="I167" s="3"/>
    </row>
    <row r="168" ht="26.25" customHeight="1">
      <c r="A168" s="3"/>
      <c r="B168" s="3"/>
      <c r="C168" s="3"/>
      <c r="D168" s="3"/>
      <c r="E168" s="3"/>
      <c r="F168" s="3"/>
      <c r="G168" s="3"/>
      <c r="H168" s="3"/>
      <c r="I168" s="3"/>
    </row>
    <row r="169" ht="26.25" customHeight="1">
      <c r="A169" s="3"/>
      <c r="B169" s="3"/>
      <c r="C169" s="3"/>
      <c r="D169" s="3"/>
      <c r="E169" s="3"/>
      <c r="F169" s="3"/>
      <c r="G169" s="3"/>
      <c r="H169" s="3"/>
      <c r="I169" s="3"/>
    </row>
    <row r="170" ht="26.25" customHeight="1">
      <c r="A170" s="3"/>
      <c r="B170" s="3"/>
      <c r="C170" s="3"/>
      <c r="D170" s="3"/>
      <c r="E170" s="3"/>
      <c r="F170" s="3"/>
      <c r="G170" s="3"/>
      <c r="H170" s="3"/>
      <c r="I170" s="3"/>
    </row>
    <row r="171" ht="26.25" customHeight="1">
      <c r="A171" s="3"/>
      <c r="B171" s="3"/>
      <c r="C171" s="3"/>
      <c r="D171" s="3"/>
      <c r="E171" s="3"/>
      <c r="F171" s="3"/>
      <c r="G171" s="3"/>
      <c r="H171" s="3"/>
      <c r="I171" s="3"/>
    </row>
    <row r="172" ht="26.25" customHeight="1">
      <c r="A172" s="3"/>
      <c r="B172" s="3"/>
      <c r="C172" s="3"/>
      <c r="D172" s="3"/>
      <c r="E172" s="3"/>
      <c r="F172" s="3"/>
      <c r="G172" s="3"/>
      <c r="H172" s="3"/>
      <c r="I172" s="3"/>
    </row>
    <row r="173" ht="26.25" customHeight="1">
      <c r="A173" s="3"/>
      <c r="B173" s="3"/>
      <c r="C173" s="3"/>
      <c r="D173" s="3"/>
      <c r="E173" s="3"/>
      <c r="F173" s="3"/>
      <c r="G173" s="3"/>
      <c r="H173" s="3"/>
      <c r="I173" s="3"/>
    </row>
    <row r="174" ht="26.25" customHeight="1">
      <c r="A174" s="3"/>
      <c r="B174" s="3"/>
      <c r="C174" s="3"/>
      <c r="D174" s="3"/>
      <c r="E174" s="3"/>
      <c r="F174" s="3"/>
      <c r="G174" s="3"/>
      <c r="H174" s="3"/>
      <c r="I174" s="3"/>
    </row>
    <row r="175" ht="26.25" customHeight="1">
      <c r="A175" s="3"/>
      <c r="B175" s="3"/>
      <c r="C175" s="3"/>
      <c r="D175" s="3"/>
      <c r="E175" s="3"/>
      <c r="F175" s="3"/>
      <c r="G175" s="3"/>
      <c r="H175" s="3"/>
      <c r="I175" s="3"/>
    </row>
    <row r="176" ht="26.25" customHeight="1">
      <c r="A176" s="3"/>
      <c r="B176" s="3"/>
      <c r="C176" s="3"/>
      <c r="D176" s="3"/>
      <c r="E176" s="3"/>
      <c r="F176" s="3"/>
      <c r="G176" s="3"/>
      <c r="H176" s="3"/>
      <c r="I176" s="3"/>
    </row>
    <row r="177" ht="26.25" customHeight="1">
      <c r="A177" s="3"/>
      <c r="B177" s="3"/>
      <c r="C177" s="3"/>
      <c r="D177" s="3"/>
      <c r="E177" s="3"/>
      <c r="F177" s="3"/>
      <c r="G177" s="3"/>
      <c r="H177" s="3"/>
      <c r="I177" s="3"/>
    </row>
    <row r="178" ht="26.25" customHeight="1">
      <c r="A178" s="3"/>
      <c r="B178" s="3"/>
      <c r="C178" s="3"/>
      <c r="D178" s="3"/>
      <c r="E178" s="3"/>
      <c r="F178" s="3"/>
      <c r="G178" s="3"/>
      <c r="H178" s="3"/>
      <c r="I178" s="3"/>
    </row>
    <row r="179" ht="26.25" customHeight="1">
      <c r="A179" s="3"/>
      <c r="B179" s="3"/>
      <c r="C179" s="3"/>
      <c r="D179" s="3"/>
      <c r="E179" s="3"/>
      <c r="F179" s="3"/>
      <c r="G179" s="3"/>
      <c r="H179" s="3"/>
      <c r="I179" s="3"/>
    </row>
    <row r="180" ht="26.25" customHeight="1">
      <c r="A180" s="3"/>
      <c r="B180" s="3"/>
      <c r="C180" s="3"/>
      <c r="D180" s="3"/>
      <c r="E180" s="3"/>
      <c r="F180" s="3"/>
      <c r="G180" s="3"/>
      <c r="H180" s="3"/>
      <c r="I180" s="3"/>
    </row>
    <row r="181" ht="26.25" customHeight="1">
      <c r="A181" s="3"/>
      <c r="B181" s="3"/>
      <c r="C181" s="3"/>
      <c r="D181" s="3"/>
      <c r="E181" s="3"/>
      <c r="F181" s="3"/>
      <c r="G181" s="3"/>
      <c r="H181" s="3"/>
      <c r="I181" s="3"/>
    </row>
    <row r="182" ht="26.25" customHeight="1">
      <c r="A182" s="3"/>
      <c r="B182" s="3"/>
      <c r="C182" s="3"/>
      <c r="D182" s="3"/>
      <c r="E182" s="3"/>
      <c r="F182" s="3"/>
      <c r="G182" s="3"/>
      <c r="H182" s="3"/>
      <c r="I182" s="3"/>
    </row>
    <row r="183" ht="26.25" customHeight="1">
      <c r="A183" s="3"/>
      <c r="B183" s="3"/>
      <c r="C183" s="3"/>
      <c r="D183" s="3"/>
      <c r="E183" s="3"/>
      <c r="F183" s="3"/>
      <c r="G183" s="3"/>
      <c r="H183" s="3"/>
      <c r="I183" s="3"/>
    </row>
    <row r="184" ht="26.25" customHeight="1">
      <c r="A184" s="3"/>
      <c r="B184" s="3"/>
      <c r="C184" s="3"/>
      <c r="D184" s="3"/>
      <c r="E184" s="3"/>
      <c r="F184" s="3"/>
      <c r="G184" s="3"/>
      <c r="H184" s="3"/>
      <c r="I184" s="3"/>
    </row>
    <row r="185" ht="26.25" customHeight="1">
      <c r="A185" s="3"/>
      <c r="B185" s="3"/>
      <c r="C185" s="3"/>
      <c r="D185" s="3"/>
      <c r="E185" s="3"/>
      <c r="F185" s="3"/>
      <c r="G185" s="3"/>
      <c r="H185" s="3"/>
      <c r="I185" s="3"/>
    </row>
    <row r="186" ht="26.25" customHeight="1">
      <c r="A186" s="3"/>
      <c r="B186" s="3"/>
      <c r="C186" s="3"/>
      <c r="D186" s="3"/>
      <c r="E186" s="3"/>
      <c r="F186" s="3"/>
      <c r="G186" s="3"/>
      <c r="H186" s="3"/>
      <c r="I186" s="3"/>
    </row>
    <row r="187" ht="26.25" customHeight="1">
      <c r="A187" s="3"/>
      <c r="B187" s="3"/>
      <c r="C187" s="3"/>
      <c r="D187" s="3"/>
      <c r="E187" s="3"/>
      <c r="F187" s="3"/>
      <c r="G187" s="3"/>
      <c r="H187" s="3"/>
      <c r="I187" s="3"/>
    </row>
    <row r="188" ht="26.25" customHeight="1">
      <c r="A188" s="3"/>
      <c r="B188" s="3"/>
      <c r="C188" s="3"/>
      <c r="D188" s="3"/>
      <c r="E188" s="3"/>
      <c r="F188" s="3"/>
      <c r="G188" s="3"/>
      <c r="H188" s="3"/>
      <c r="I188" s="3"/>
    </row>
    <row r="189" ht="26.25" customHeight="1">
      <c r="A189" s="3"/>
      <c r="B189" s="3"/>
      <c r="C189" s="3"/>
      <c r="D189" s="3"/>
      <c r="E189" s="3"/>
      <c r="F189" s="3"/>
      <c r="G189" s="3"/>
      <c r="H189" s="3"/>
      <c r="I189" s="3"/>
    </row>
    <row r="190" ht="26.25" customHeight="1">
      <c r="A190" s="3"/>
      <c r="B190" s="3"/>
      <c r="C190" s="3"/>
      <c r="D190" s="3"/>
      <c r="E190" s="3"/>
      <c r="F190" s="3"/>
      <c r="G190" s="3"/>
      <c r="H190" s="3"/>
      <c r="I190" s="3"/>
    </row>
    <row r="191" ht="26.25" customHeight="1">
      <c r="A191" s="3"/>
      <c r="B191" s="3"/>
      <c r="C191" s="3"/>
      <c r="D191" s="3"/>
      <c r="E191" s="3"/>
      <c r="F191" s="3"/>
      <c r="G191" s="3"/>
      <c r="H191" s="3"/>
      <c r="I191" s="3"/>
    </row>
    <row r="192" ht="26.25" customHeight="1">
      <c r="A192" s="3"/>
      <c r="B192" s="3"/>
      <c r="C192" s="3"/>
      <c r="D192" s="3"/>
      <c r="E192" s="3"/>
      <c r="F192" s="3"/>
      <c r="G192" s="3"/>
      <c r="H192" s="3"/>
      <c r="I192" s="3"/>
    </row>
    <row r="193" ht="26.25" customHeight="1">
      <c r="A193" s="3"/>
      <c r="B193" s="3"/>
      <c r="C193" s="3"/>
      <c r="D193" s="3"/>
      <c r="E193" s="3"/>
      <c r="F193" s="3"/>
      <c r="G193" s="3"/>
      <c r="H193" s="3"/>
      <c r="I193" s="3"/>
    </row>
    <row r="194" ht="26.25" customHeight="1">
      <c r="A194" s="3"/>
      <c r="B194" s="3"/>
      <c r="C194" s="3"/>
      <c r="D194" s="3"/>
      <c r="E194" s="3"/>
      <c r="F194" s="3"/>
      <c r="G194" s="3"/>
      <c r="H194" s="3"/>
      <c r="I194" s="3"/>
    </row>
    <row r="195" ht="26.25" customHeight="1">
      <c r="A195" s="3"/>
      <c r="B195" s="3"/>
      <c r="C195" s="3"/>
      <c r="D195" s="3"/>
      <c r="E195" s="3"/>
      <c r="F195" s="3"/>
      <c r="G195" s="3"/>
      <c r="H195" s="3"/>
      <c r="I195" s="3"/>
    </row>
    <row r="196" ht="26.25" customHeight="1">
      <c r="A196" s="3"/>
      <c r="B196" s="3"/>
      <c r="C196" s="3"/>
      <c r="D196" s="3"/>
      <c r="E196" s="3"/>
      <c r="F196" s="3"/>
      <c r="G196" s="3"/>
      <c r="H196" s="3"/>
      <c r="I196" s="3"/>
    </row>
    <row r="197" ht="26.25" customHeight="1">
      <c r="A197" s="3"/>
      <c r="B197" s="3"/>
      <c r="C197" s="3"/>
      <c r="D197" s="3"/>
      <c r="E197" s="3"/>
      <c r="F197" s="3"/>
      <c r="G197" s="3"/>
      <c r="H197" s="3"/>
      <c r="I197" s="3"/>
    </row>
    <row r="198" ht="26.25" customHeight="1">
      <c r="A198" s="3"/>
      <c r="B198" s="3"/>
      <c r="C198" s="3"/>
      <c r="D198" s="3"/>
      <c r="E198" s="3"/>
      <c r="F198" s="3"/>
      <c r="G198" s="3"/>
      <c r="H198" s="3"/>
      <c r="I198" s="3"/>
    </row>
    <row r="199" ht="26.25" customHeight="1">
      <c r="A199" s="3"/>
      <c r="B199" s="3"/>
      <c r="C199" s="3"/>
      <c r="D199" s="3"/>
      <c r="E199" s="3"/>
      <c r="F199" s="3"/>
      <c r="G199" s="3"/>
      <c r="H199" s="3"/>
      <c r="I199" s="3"/>
    </row>
    <row r="200" ht="26.25" customHeight="1">
      <c r="A200" s="3"/>
      <c r="B200" s="3"/>
      <c r="C200" s="3"/>
      <c r="D200" s="3"/>
      <c r="E200" s="3"/>
      <c r="F200" s="3"/>
      <c r="G200" s="3"/>
      <c r="H200" s="3"/>
      <c r="I200" s="3"/>
    </row>
    <row r="201" ht="26.25" customHeight="1">
      <c r="A201" s="3"/>
      <c r="B201" s="3"/>
      <c r="C201" s="3"/>
      <c r="D201" s="3"/>
      <c r="E201" s="3"/>
      <c r="F201" s="3"/>
      <c r="G201" s="3"/>
      <c r="H201" s="3"/>
      <c r="I201" s="3"/>
    </row>
    <row r="202" ht="26.25" customHeight="1">
      <c r="A202" s="3"/>
      <c r="B202" s="3"/>
      <c r="C202" s="3"/>
      <c r="D202" s="3"/>
      <c r="E202" s="3"/>
      <c r="F202" s="3"/>
      <c r="G202" s="3"/>
      <c r="H202" s="3"/>
      <c r="I202" s="3"/>
    </row>
    <row r="203" ht="26.25" customHeight="1">
      <c r="A203" s="3"/>
      <c r="B203" s="3"/>
      <c r="C203" s="3"/>
      <c r="D203" s="3"/>
      <c r="E203" s="3"/>
      <c r="F203" s="3"/>
      <c r="G203" s="3"/>
      <c r="H203" s="3"/>
      <c r="I203" s="3"/>
    </row>
    <row r="204" ht="26.25" customHeight="1">
      <c r="A204" s="3"/>
      <c r="B204" s="3"/>
      <c r="C204" s="3"/>
      <c r="D204" s="3"/>
      <c r="E204" s="3"/>
      <c r="F204" s="3"/>
      <c r="G204" s="3"/>
      <c r="H204" s="3"/>
      <c r="I204" s="3"/>
    </row>
    <row r="205" ht="26.25" customHeight="1">
      <c r="A205" s="3"/>
      <c r="B205" s="3"/>
      <c r="C205" s="3"/>
      <c r="D205" s="3"/>
      <c r="E205" s="3"/>
      <c r="F205" s="3"/>
      <c r="G205" s="3"/>
      <c r="H205" s="3"/>
      <c r="I205" s="3"/>
    </row>
    <row r="206" ht="26.25" customHeight="1">
      <c r="A206" s="3"/>
      <c r="B206" s="3"/>
      <c r="C206" s="3"/>
      <c r="D206" s="3"/>
      <c r="E206" s="3"/>
      <c r="F206" s="3"/>
      <c r="G206" s="3"/>
      <c r="H206" s="3"/>
      <c r="I206" s="3"/>
    </row>
    <row r="207" ht="26.25" customHeight="1">
      <c r="A207" s="3"/>
      <c r="B207" s="3"/>
      <c r="C207" s="3"/>
      <c r="D207" s="3"/>
      <c r="E207" s="3"/>
      <c r="F207" s="3"/>
      <c r="G207" s="3"/>
      <c r="H207" s="3"/>
      <c r="I207" s="3"/>
    </row>
    <row r="208" ht="26.25" customHeight="1">
      <c r="A208" s="3"/>
      <c r="B208" s="3"/>
      <c r="C208" s="3"/>
      <c r="D208" s="3"/>
      <c r="E208" s="3"/>
      <c r="F208" s="3"/>
      <c r="G208" s="3"/>
      <c r="H208" s="3"/>
      <c r="I208" s="3"/>
    </row>
    <row r="209" ht="26.25" customHeight="1">
      <c r="A209" s="3"/>
      <c r="B209" s="3"/>
      <c r="C209" s="3"/>
      <c r="D209" s="3"/>
      <c r="E209" s="3"/>
      <c r="F209" s="3"/>
      <c r="G209" s="3"/>
      <c r="H209" s="3"/>
      <c r="I209" s="3"/>
    </row>
    <row r="210" ht="26.25" customHeight="1">
      <c r="A210" s="3"/>
      <c r="B210" s="3"/>
      <c r="C210" s="3"/>
      <c r="D210" s="3"/>
      <c r="E210" s="3"/>
      <c r="F210" s="3"/>
      <c r="G210" s="3"/>
      <c r="H210" s="3"/>
      <c r="I210" s="3"/>
    </row>
    <row r="211" ht="26.25" customHeight="1">
      <c r="A211" s="3"/>
      <c r="B211" s="3"/>
      <c r="C211" s="3"/>
      <c r="D211" s="3"/>
      <c r="E211" s="3"/>
      <c r="F211" s="3"/>
      <c r="G211" s="3"/>
      <c r="H211" s="3"/>
      <c r="I211" s="3"/>
    </row>
    <row r="212" ht="26.25" customHeight="1">
      <c r="A212" s="3"/>
      <c r="B212" s="3"/>
      <c r="C212" s="3"/>
      <c r="D212" s="3"/>
      <c r="E212" s="3"/>
      <c r="F212" s="3"/>
      <c r="G212" s="3"/>
      <c r="H212" s="3"/>
      <c r="I212" s="3"/>
    </row>
    <row r="213" ht="26.25" customHeight="1">
      <c r="A213" s="3"/>
      <c r="B213" s="3"/>
      <c r="C213" s="3"/>
      <c r="D213" s="3"/>
      <c r="E213" s="3"/>
      <c r="F213" s="3"/>
      <c r="G213" s="3"/>
      <c r="H213" s="3"/>
      <c r="I213" s="3"/>
    </row>
    <row r="214" ht="26.25" customHeight="1">
      <c r="A214" s="3"/>
      <c r="B214" s="3"/>
      <c r="C214" s="3"/>
      <c r="D214" s="3"/>
      <c r="E214" s="3"/>
      <c r="F214" s="3"/>
      <c r="G214" s="3"/>
      <c r="H214" s="3"/>
      <c r="I214" s="3"/>
    </row>
    <row r="215" ht="26.25" customHeight="1">
      <c r="A215" s="3"/>
      <c r="B215" s="3"/>
      <c r="C215" s="3"/>
      <c r="D215" s="3"/>
      <c r="E215" s="3"/>
      <c r="F215" s="3"/>
      <c r="G215" s="3"/>
      <c r="H215" s="3"/>
      <c r="I215" s="3"/>
    </row>
    <row r="216" ht="26.25" customHeight="1">
      <c r="A216" s="3"/>
      <c r="B216" s="3"/>
      <c r="C216" s="3"/>
      <c r="D216" s="3"/>
      <c r="E216" s="3"/>
      <c r="F216" s="3"/>
      <c r="G216" s="3"/>
      <c r="H216" s="3"/>
      <c r="I216" s="3"/>
    </row>
    <row r="217" ht="26.25" customHeight="1">
      <c r="A217" s="3"/>
      <c r="B217" s="3"/>
      <c r="C217" s="3"/>
      <c r="D217" s="3"/>
      <c r="E217" s="3"/>
      <c r="F217" s="3"/>
      <c r="G217" s="3"/>
      <c r="H217" s="3"/>
      <c r="I217" s="3"/>
    </row>
    <row r="218" ht="26.25" customHeight="1">
      <c r="A218" s="3"/>
      <c r="B218" s="3"/>
      <c r="C218" s="3"/>
      <c r="D218" s="3"/>
      <c r="E218" s="3"/>
      <c r="F218" s="3"/>
      <c r="G218" s="3"/>
      <c r="H218" s="3"/>
      <c r="I218" s="3"/>
    </row>
    <row r="219" ht="26.25" customHeight="1">
      <c r="A219" s="3"/>
      <c r="B219" s="3"/>
      <c r="C219" s="3"/>
      <c r="D219" s="3"/>
      <c r="E219" s="3"/>
      <c r="F219" s="3"/>
      <c r="G219" s="3"/>
      <c r="H219" s="3"/>
      <c r="I219" s="3"/>
    </row>
    <row r="220" ht="26.25" customHeight="1">
      <c r="A220" s="3"/>
      <c r="B220" s="3"/>
      <c r="C220" s="3"/>
      <c r="D220" s="3"/>
      <c r="E220" s="3"/>
      <c r="F220" s="3"/>
      <c r="G220" s="3"/>
      <c r="H220" s="3"/>
      <c r="I220" s="3"/>
    </row>
    <row r="221" ht="26.25" customHeight="1">
      <c r="A221" s="3"/>
      <c r="B221" s="3"/>
      <c r="C221" s="3"/>
      <c r="D221" s="3"/>
      <c r="E221" s="3"/>
      <c r="F221" s="3"/>
      <c r="G221" s="3"/>
      <c r="H221" s="3"/>
      <c r="I221" s="3"/>
    </row>
    <row r="222" ht="26.25" customHeight="1">
      <c r="A222" s="3"/>
      <c r="B222" s="3"/>
      <c r="C222" s="3"/>
      <c r="D222" s="3"/>
      <c r="E222" s="3"/>
      <c r="F222" s="3"/>
      <c r="G222" s="3"/>
      <c r="H222" s="3"/>
      <c r="I222" s="3"/>
    </row>
    <row r="223" ht="26.25" customHeight="1">
      <c r="A223" s="3"/>
      <c r="B223" s="3"/>
      <c r="C223" s="3"/>
      <c r="D223" s="3"/>
      <c r="E223" s="3"/>
      <c r="F223" s="3"/>
      <c r="G223" s="3"/>
      <c r="H223" s="3"/>
      <c r="I223" s="3"/>
    </row>
    <row r="224" ht="26.25" customHeight="1">
      <c r="A224" s="3"/>
      <c r="B224" s="3"/>
      <c r="C224" s="3"/>
      <c r="D224" s="3"/>
      <c r="E224" s="3"/>
      <c r="F224" s="3"/>
      <c r="G224" s="3"/>
      <c r="H224" s="3"/>
      <c r="I224" s="3"/>
    </row>
    <row r="225" ht="26.25" customHeight="1">
      <c r="A225" s="3"/>
      <c r="B225" s="3"/>
      <c r="C225" s="3"/>
      <c r="D225" s="3"/>
      <c r="E225" s="3"/>
      <c r="F225" s="3"/>
      <c r="G225" s="3"/>
      <c r="H225" s="3"/>
      <c r="I225" s="3"/>
    </row>
    <row r="226" ht="26.25" customHeight="1">
      <c r="A226" s="3"/>
      <c r="B226" s="3"/>
      <c r="C226" s="3"/>
      <c r="D226" s="3"/>
      <c r="E226" s="3"/>
      <c r="F226" s="3"/>
      <c r="G226" s="3"/>
      <c r="H226" s="3"/>
      <c r="I226" s="3"/>
    </row>
    <row r="227" ht="26.25" customHeight="1">
      <c r="A227" s="3"/>
      <c r="B227" s="3"/>
      <c r="C227" s="3"/>
      <c r="D227" s="3"/>
      <c r="E227" s="3"/>
      <c r="F227" s="3"/>
      <c r="G227" s="3"/>
      <c r="H227" s="3"/>
      <c r="I227" s="3"/>
    </row>
    <row r="228" ht="26.25" customHeight="1">
      <c r="A228" s="3"/>
      <c r="B228" s="3"/>
      <c r="C228" s="3"/>
      <c r="D228" s="3"/>
      <c r="E228" s="3"/>
      <c r="F228" s="3"/>
      <c r="G228" s="3"/>
      <c r="H228" s="3"/>
      <c r="I228" s="3"/>
    </row>
    <row r="229" ht="26.25" customHeight="1">
      <c r="A229" s="3"/>
      <c r="B229" s="3"/>
      <c r="C229" s="3"/>
      <c r="D229" s="3"/>
      <c r="E229" s="3"/>
      <c r="F229" s="3"/>
      <c r="G229" s="3"/>
      <c r="H229" s="3"/>
      <c r="I229" s="3"/>
    </row>
    <row r="230" ht="26.25" customHeight="1">
      <c r="A230" s="3"/>
      <c r="B230" s="3"/>
      <c r="C230" s="3"/>
      <c r="D230" s="3"/>
      <c r="E230" s="3"/>
      <c r="F230" s="3"/>
      <c r="G230" s="3"/>
      <c r="H230" s="3"/>
      <c r="I230" s="3"/>
    </row>
    <row r="231" ht="26.25" customHeight="1">
      <c r="A231" s="3"/>
      <c r="B231" s="3"/>
      <c r="C231" s="3"/>
      <c r="D231" s="3"/>
      <c r="E231" s="3"/>
      <c r="F231" s="3"/>
      <c r="G231" s="3"/>
      <c r="H231" s="3"/>
      <c r="I231" s="3"/>
    </row>
    <row r="232" ht="26.25" customHeight="1">
      <c r="A232" s="3"/>
      <c r="B232" s="3"/>
      <c r="C232" s="3"/>
      <c r="D232" s="3"/>
      <c r="E232" s="3"/>
      <c r="F232" s="3"/>
      <c r="G232" s="3"/>
      <c r="H232" s="3"/>
      <c r="I232" s="3"/>
    </row>
    <row r="233" ht="26.25" customHeight="1">
      <c r="A233" s="3"/>
      <c r="B233" s="3"/>
      <c r="C233" s="3"/>
      <c r="D233" s="3"/>
      <c r="E233" s="3"/>
      <c r="F233" s="3"/>
      <c r="G233" s="3"/>
      <c r="H233" s="3"/>
      <c r="I233" s="3"/>
    </row>
    <row r="234" ht="26.25" customHeight="1">
      <c r="A234" s="3"/>
      <c r="B234" s="3"/>
      <c r="C234" s="3"/>
      <c r="D234" s="3"/>
      <c r="E234" s="3"/>
      <c r="F234" s="3"/>
      <c r="G234" s="3"/>
      <c r="H234" s="3"/>
      <c r="I234" s="3"/>
    </row>
    <row r="235" ht="26.25" customHeight="1">
      <c r="A235" s="3"/>
      <c r="B235" s="3"/>
      <c r="C235" s="3"/>
      <c r="D235" s="3"/>
      <c r="E235" s="3"/>
      <c r="F235" s="3"/>
      <c r="G235" s="3"/>
      <c r="H235" s="3"/>
      <c r="I235" s="3"/>
    </row>
    <row r="236" ht="26.25" customHeight="1">
      <c r="A236" s="3"/>
      <c r="B236" s="3"/>
      <c r="C236" s="3"/>
      <c r="D236" s="3"/>
      <c r="E236" s="3"/>
      <c r="F236" s="3"/>
      <c r="G236" s="3"/>
      <c r="H236" s="3"/>
      <c r="I236" s="3"/>
    </row>
    <row r="237" ht="26.25" customHeight="1">
      <c r="A237" s="3"/>
      <c r="B237" s="3"/>
      <c r="C237" s="3"/>
      <c r="D237" s="3"/>
      <c r="E237" s="3"/>
      <c r="F237" s="3"/>
      <c r="G237" s="3"/>
      <c r="H237" s="3"/>
      <c r="I237" s="3"/>
    </row>
    <row r="238" ht="26.25" customHeight="1">
      <c r="A238" s="3"/>
      <c r="B238" s="3"/>
      <c r="C238" s="3"/>
      <c r="D238" s="3"/>
      <c r="E238" s="3"/>
      <c r="F238" s="3"/>
      <c r="G238" s="3"/>
      <c r="H238" s="3"/>
      <c r="I238" s="3"/>
    </row>
    <row r="239" ht="26.25" customHeight="1">
      <c r="A239" s="3"/>
      <c r="B239" s="3"/>
      <c r="C239" s="3"/>
      <c r="D239" s="3"/>
      <c r="E239" s="3"/>
      <c r="F239" s="3"/>
      <c r="G239" s="3"/>
      <c r="H239" s="3"/>
      <c r="I239" s="3"/>
    </row>
    <row r="240" ht="26.25" customHeight="1">
      <c r="A240" s="3"/>
      <c r="B240" s="3"/>
      <c r="C240" s="3"/>
      <c r="D240" s="3"/>
      <c r="E240" s="3"/>
      <c r="F240" s="3"/>
      <c r="G240" s="3"/>
      <c r="H240" s="3"/>
      <c r="I240" s="3"/>
    </row>
    <row r="241" ht="26.25" customHeight="1">
      <c r="A241" s="3"/>
      <c r="B241" s="3"/>
      <c r="C241" s="3"/>
      <c r="D241" s="3"/>
      <c r="E241" s="3"/>
      <c r="F241" s="3"/>
      <c r="G241" s="3"/>
      <c r="H241" s="3"/>
      <c r="I241" s="3"/>
    </row>
    <row r="242" ht="26.25" customHeight="1">
      <c r="A242" s="3"/>
      <c r="B242" s="3"/>
      <c r="C242" s="3"/>
      <c r="D242" s="3"/>
      <c r="E242" s="3"/>
      <c r="F242" s="3"/>
      <c r="G242" s="3"/>
      <c r="H242" s="3"/>
      <c r="I242" s="3"/>
    </row>
    <row r="243" ht="26.25" customHeight="1">
      <c r="A243" s="3"/>
      <c r="B243" s="3"/>
      <c r="C243" s="3"/>
      <c r="D243" s="3"/>
      <c r="E243" s="3"/>
      <c r="F243" s="3"/>
      <c r="G243" s="3"/>
      <c r="H243" s="3"/>
      <c r="I243" s="3"/>
    </row>
    <row r="244" ht="26.25" customHeight="1">
      <c r="A244" s="3"/>
      <c r="B244" s="3"/>
      <c r="C244" s="3"/>
      <c r="D244" s="3"/>
      <c r="E244" s="3"/>
      <c r="F244" s="3"/>
      <c r="G244" s="3"/>
      <c r="H244" s="3"/>
      <c r="I244" s="3"/>
    </row>
    <row r="245" ht="26.25" customHeight="1">
      <c r="A245" s="3"/>
      <c r="B245" s="3"/>
      <c r="C245" s="3"/>
      <c r="D245" s="3"/>
      <c r="E245" s="3"/>
      <c r="F245" s="3"/>
      <c r="G245" s="3"/>
      <c r="H245" s="3"/>
      <c r="I245" s="3"/>
    </row>
    <row r="246" ht="26.25" customHeight="1">
      <c r="A246" s="3"/>
      <c r="B246" s="3"/>
      <c r="C246" s="3"/>
      <c r="D246" s="3"/>
      <c r="E246" s="3"/>
      <c r="F246" s="3"/>
      <c r="G246" s="3"/>
      <c r="H246" s="3"/>
      <c r="I246" s="3"/>
    </row>
    <row r="247" ht="26.25" customHeight="1">
      <c r="A247" s="3"/>
      <c r="B247" s="3"/>
      <c r="C247" s="3"/>
      <c r="D247" s="3"/>
      <c r="E247" s="3"/>
      <c r="F247" s="3"/>
      <c r="G247" s="3"/>
      <c r="H247" s="3"/>
      <c r="I247" s="3"/>
    </row>
    <row r="248" ht="26.25" customHeight="1">
      <c r="A248" s="3"/>
      <c r="B248" s="3"/>
      <c r="C248" s="3"/>
      <c r="D248" s="3"/>
      <c r="E248" s="3"/>
      <c r="F248" s="3"/>
      <c r="G248" s="3"/>
      <c r="H248" s="3"/>
      <c r="I248" s="3"/>
    </row>
    <row r="249" ht="26.25" customHeight="1">
      <c r="A249" s="3"/>
      <c r="B249" s="3"/>
      <c r="C249" s="3"/>
      <c r="D249" s="3"/>
      <c r="E249" s="3"/>
      <c r="F249" s="3"/>
      <c r="G249" s="3"/>
      <c r="H249" s="3"/>
      <c r="I249" s="3"/>
    </row>
    <row r="250" ht="26.25" customHeight="1">
      <c r="A250" s="3"/>
      <c r="B250" s="3"/>
      <c r="C250" s="3"/>
      <c r="D250" s="3"/>
      <c r="E250" s="3"/>
      <c r="F250" s="3"/>
      <c r="G250" s="3"/>
      <c r="H250" s="3"/>
      <c r="I250" s="3"/>
    </row>
    <row r="251" ht="26.25" customHeight="1">
      <c r="A251" s="3"/>
      <c r="B251" s="3"/>
      <c r="C251" s="3"/>
      <c r="D251" s="3"/>
      <c r="E251" s="3"/>
      <c r="F251" s="3"/>
      <c r="G251" s="3"/>
      <c r="H251" s="3"/>
      <c r="I251" s="3"/>
    </row>
    <row r="252" ht="26.25" customHeight="1">
      <c r="A252" s="3"/>
      <c r="B252" s="3"/>
      <c r="C252" s="3"/>
      <c r="D252" s="3"/>
      <c r="E252" s="3"/>
      <c r="F252" s="3"/>
      <c r="G252" s="3"/>
      <c r="H252" s="3"/>
      <c r="I252" s="3"/>
    </row>
    <row r="253" ht="26.25" customHeight="1">
      <c r="A253" s="3"/>
      <c r="B253" s="3"/>
      <c r="C253" s="3"/>
      <c r="D253" s="3"/>
      <c r="E253" s="3"/>
      <c r="F253" s="3"/>
      <c r="G253" s="3"/>
      <c r="H253" s="3"/>
      <c r="I253" s="3"/>
    </row>
    <row r="254" ht="26.25" customHeight="1">
      <c r="A254" s="3"/>
      <c r="B254" s="3"/>
      <c r="C254" s="3"/>
      <c r="D254" s="3"/>
      <c r="E254" s="3"/>
      <c r="F254" s="3"/>
      <c r="G254" s="3"/>
      <c r="H254" s="3"/>
      <c r="I254" s="3"/>
    </row>
    <row r="255" ht="26.25" customHeight="1">
      <c r="A255" s="3"/>
      <c r="B255" s="3"/>
      <c r="C255" s="3"/>
      <c r="D255" s="3"/>
      <c r="E255" s="3"/>
      <c r="F255" s="3"/>
      <c r="G255" s="3"/>
      <c r="H255" s="3"/>
      <c r="I255" s="3"/>
    </row>
    <row r="256" ht="26.25" customHeight="1">
      <c r="A256" s="3"/>
      <c r="B256" s="3"/>
      <c r="C256" s="3"/>
      <c r="D256" s="3"/>
      <c r="E256" s="3"/>
      <c r="F256" s="3"/>
      <c r="G256" s="3"/>
      <c r="H256" s="3"/>
      <c r="I256" s="3"/>
    </row>
    <row r="257" ht="26.25" customHeight="1">
      <c r="A257" s="3"/>
      <c r="B257" s="3"/>
      <c r="C257" s="3"/>
      <c r="D257" s="3"/>
      <c r="E257" s="3"/>
      <c r="F257" s="3"/>
      <c r="G257" s="3"/>
      <c r="H257" s="3"/>
      <c r="I257" s="3"/>
    </row>
    <row r="258" ht="26.25" customHeight="1">
      <c r="A258" s="3"/>
      <c r="B258" s="3"/>
      <c r="C258" s="3"/>
      <c r="D258" s="3"/>
      <c r="E258" s="3"/>
      <c r="F258" s="3"/>
      <c r="G258" s="3"/>
      <c r="H258" s="3"/>
      <c r="I258" s="3"/>
    </row>
    <row r="259" ht="26.25" customHeight="1">
      <c r="A259" s="3"/>
      <c r="B259" s="3"/>
      <c r="C259" s="3"/>
      <c r="D259" s="3"/>
      <c r="E259" s="3"/>
      <c r="F259" s="3"/>
      <c r="G259" s="3"/>
      <c r="H259" s="3"/>
      <c r="I259" s="3"/>
    </row>
    <row r="260" ht="26.25" customHeight="1">
      <c r="A260" s="3"/>
      <c r="B260" s="3"/>
      <c r="C260" s="3"/>
      <c r="D260" s="3"/>
      <c r="E260" s="3"/>
      <c r="F260" s="3"/>
      <c r="G260" s="3"/>
      <c r="H260" s="3"/>
      <c r="I260" s="3"/>
    </row>
    <row r="261" ht="26.25" customHeight="1">
      <c r="A261" s="3"/>
      <c r="B261" s="3"/>
      <c r="C261" s="3"/>
      <c r="D261" s="3"/>
      <c r="E261" s="3"/>
      <c r="F261" s="3"/>
      <c r="G261" s="3"/>
      <c r="H261" s="3"/>
      <c r="I261" s="3"/>
    </row>
    <row r="262" ht="26.25" customHeight="1">
      <c r="A262" s="3"/>
      <c r="B262" s="3"/>
      <c r="C262" s="3"/>
      <c r="D262" s="3"/>
      <c r="E262" s="3"/>
      <c r="F262" s="3"/>
      <c r="G262" s="3"/>
      <c r="H262" s="3"/>
      <c r="I262" s="3"/>
    </row>
    <row r="263" ht="26.25" customHeight="1">
      <c r="A263" s="3"/>
      <c r="B263" s="3"/>
      <c r="C263" s="3"/>
      <c r="D263" s="3"/>
      <c r="E263" s="3"/>
      <c r="F263" s="3"/>
      <c r="G263" s="3"/>
      <c r="H263" s="3"/>
      <c r="I263" s="3"/>
    </row>
    <row r="264" ht="26.25" customHeight="1">
      <c r="A264" s="3"/>
      <c r="B264" s="3"/>
      <c r="C264" s="3"/>
      <c r="D264" s="3"/>
      <c r="E264" s="3"/>
      <c r="F264" s="3"/>
      <c r="G264" s="3"/>
      <c r="H264" s="3"/>
      <c r="I264" s="3"/>
    </row>
    <row r="265" ht="26.25" customHeight="1">
      <c r="A265" s="3"/>
      <c r="B265" s="3"/>
      <c r="C265" s="3"/>
      <c r="D265" s="3"/>
      <c r="E265" s="3"/>
      <c r="F265" s="3"/>
      <c r="G265" s="3"/>
      <c r="H265" s="3"/>
      <c r="I265" s="3"/>
    </row>
    <row r="266" ht="26.25" customHeight="1">
      <c r="A266" s="3"/>
      <c r="B266" s="3"/>
      <c r="C266" s="3"/>
      <c r="D266" s="3"/>
      <c r="E266" s="3"/>
      <c r="F266" s="3"/>
      <c r="G266" s="3"/>
      <c r="H266" s="3"/>
      <c r="I266" s="3"/>
    </row>
    <row r="267" ht="26.25" customHeight="1">
      <c r="A267" s="3"/>
      <c r="B267" s="3"/>
      <c r="C267" s="3"/>
      <c r="D267" s="3"/>
      <c r="E267" s="3"/>
      <c r="F267" s="3"/>
      <c r="G267" s="3"/>
      <c r="H267" s="3"/>
      <c r="I267" s="3"/>
    </row>
    <row r="268" ht="26.25" customHeight="1">
      <c r="A268" s="3"/>
      <c r="B268" s="3"/>
      <c r="C268" s="3"/>
      <c r="D268" s="3"/>
      <c r="E268" s="3"/>
      <c r="F268" s="3"/>
      <c r="G268" s="3"/>
      <c r="H268" s="3"/>
      <c r="I268" s="3"/>
    </row>
    <row r="269" ht="26.25" customHeight="1">
      <c r="A269" s="3"/>
      <c r="B269" s="3"/>
      <c r="C269" s="3"/>
      <c r="D269" s="3"/>
      <c r="E269" s="3"/>
      <c r="F269" s="3"/>
      <c r="G269" s="3"/>
      <c r="H269" s="3"/>
      <c r="I269" s="3"/>
    </row>
    <row r="270" ht="26.25" customHeight="1">
      <c r="A270" s="3"/>
      <c r="B270" s="3"/>
      <c r="C270" s="3"/>
      <c r="D270" s="3"/>
      <c r="E270" s="3"/>
      <c r="F270" s="3"/>
      <c r="G270" s="3"/>
      <c r="H270" s="3"/>
      <c r="I270" s="3"/>
    </row>
    <row r="271" ht="26.25" customHeight="1">
      <c r="A271" s="3"/>
      <c r="B271" s="3"/>
      <c r="C271" s="3"/>
      <c r="D271" s="3"/>
      <c r="E271" s="3"/>
      <c r="F271" s="3"/>
      <c r="G271" s="3"/>
      <c r="H271" s="3"/>
      <c r="I271" s="3"/>
    </row>
    <row r="272" ht="26.25" customHeight="1">
      <c r="A272" s="3"/>
      <c r="B272" s="3"/>
      <c r="C272" s="3"/>
      <c r="D272" s="3"/>
      <c r="E272" s="3"/>
      <c r="F272" s="3"/>
      <c r="G272" s="3"/>
      <c r="H272" s="3"/>
      <c r="I272" s="3"/>
    </row>
    <row r="273" ht="26.25" customHeight="1">
      <c r="A273" s="3"/>
      <c r="B273" s="3"/>
      <c r="C273" s="3"/>
      <c r="D273" s="3"/>
      <c r="E273" s="3"/>
      <c r="F273" s="3"/>
      <c r="G273" s="3"/>
      <c r="H273" s="3"/>
      <c r="I273" s="3"/>
    </row>
    <row r="274" ht="26.25" customHeight="1">
      <c r="A274" s="3"/>
      <c r="B274" s="3"/>
      <c r="C274" s="3"/>
      <c r="D274" s="3"/>
      <c r="E274" s="3"/>
      <c r="F274" s="3"/>
      <c r="G274" s="3"/>
      <c r="H274" s="3"/>
      <c r="I274" s="3"/>
    </row>
    <row r="275" ht="26.25" customHeight="1">
      <c r="A275" s="3"/>
      <c r="B275" s="3"/>
      <c r="C275" s="3"/>
      <c r="D275" s="3"/>
      <c r="E275" s="3"/>
      <c r="F275" s="3"/>
      <c r="G275" s="3"/>
      <c r="H275" s="3"/>
      <c r="I275" s="3"/>
    </row>
    <row r="276" ht="26.25" customHeight="1">
      <c r="A276" s="3"/>
      <c r="B276" s="3"/>
      <c r="C276" s="3"/>
      <c r="D276" s="3"/>
      <c r="E276" s="3"/>
      <c r="F276" s="3"/>
      <c r="G276" s="3"/>
      <c r="H276" s="3"/>
      <c r="I276" s="3"/>
    </row>
    <row r="277" ht="26.25" customHeight="1">
      <c r="A277" s="3"/>
      <c r="B277" s="3"/>
      <c r="C277" s="3"/>
      <c r="D277" s="3"/>
      <c r="E277" s="3"/>
      <c r="F277" s="3"/>
      <c r="G277" s="3"/>
      <c r="H277" s="3"/>
      <c r="I277" s="3"/>
    </row>
    <row r="278" ht="26.25" customHeight="1">
      <c r="A278" s="3"/>
      <c r="B278" s="3"/>
      <c r="C278" s="3"/>
      <c r="D278" s="3"/>
      <c r="E278" s="3"/>
      <c r="F278" s="3"/>
      <c r="G278" s="3"/>
      <c r="H278" s="3"/>
      <c r="I278" s="3"/>
    </row>
    <row r="279" ht="26.25" customHeight="1">
      <c r="A279" s="3"/>
      <c r="B279" s="3"/>
      <c r="C279" s="3"/>
      <c r="D279" s="3"/>
      <c r="E279" s="3"/>
      <c r="F279" s="3"/>
      <c r="G279" s="3"/>
      <c r="H279" s="3"/>
      <c r="I279" s="3"/>
    </row>
    <row r="280" ht="26.25" customHeight="1">
      <c r="A280" s="3"/>
      <c r="B280" s="3"/>
      <c r="C280" s="3"/>
      <c r="D280" s="3"/>
      <c r="E280" s="3"/>
      <c r="F280" s="3"/>
      <c r="G280" s="3"/>
      <c r="H280" s="3"/>
      <c r="I280" s="3"/>
    </row>
    <row r="281" ht="26.25" customHeight="1">
      <c r="A281" s="3"/>
      <c r="B281" s="3"/>
      <c r="C281" s="3"/>
      <c r="D281" s="3"/>
      <c r="E281" s="3"/>
      <c r="F281" s="3"/>
      <c r="G281" s="3"/>
      <c r="H281" s="3"/>
      <c r="I281" s="3"/>
    </row>
    <row r="282" ht="26.25" customHeight="1">
      <c r="A282" s="3"/>
      <c r="B282" s="3"/>
      <c r="C282" s="3"/>
      <c r="D282" s="3"/>
      <c r="E282" s="3"/>
      <c r="F282" s="3"/>
      <c r="G282" s="3"/>
      <c r="H282" s="3"/>
      <c r="I282" s="3"/>
    </row>
    <row r="283" ht="26.25" customHeight="1">
      <c r="A283" s="3"/>
      <c r="B283" s="3"/>
      <c r="C283" s="3"/>
      <c r="D283" s="3"/>
      <c r="E283" s="3"/>
      <c r="F283" s="3"/>
      <c r="G283" s="3"/>
      <c r="H283" s="3"/>
      <c r="I283" s="3"/>
    </row>
    <row r="284" ht="26.25" customHeight="1">
      <c r="A284" s="3"/>
      <c r="B284" s="3"/>
      <c r="C284" s="3"/>
      <c r="D284" s="3"/>
      <c r="E284" s="3"/>
      <c r="F284" s="3"/>
      <c r="G284" s="3"/>
      <c r="H284" s="3"/>
      <c r="I284" s="3"/>
    </row>
    <row r="285" ht="26.25" customHeight="1">
      <c r="A285" s="3"/>
      <c r="B285" s="3"/>
      <c r="C285" s="3"/>
      <c r="D285" s="3"/>
      <c r="E285" s="3"/>
      <c r="F285" s="3"/>
      <c r="G285" s="3"/>
      <c r="H285" s="3"/>
      <c r="I285" s="3"/>
    </row>
    <row r="286" ht="26.25" customHeight="1">
      <c r="A286" s="3"/>
      <c r="B286" s="3"/>
      <c r="C286" s="3"/>
      <c r="D286" s="3"/>
      <c r="E286" s="3"/>
      <c r="F286" s="3"/>
      <c r="G286" s="3"/>
      <c r="H286" s="3"/>
      <c r="I286" s="3"/>
    </row>
    <row r="287" ht="26.25" customHeight="1">
      <c r="A287" s="3"/>
      <c r="B287" s="3"/>
      <c r="C287" s="3"/>
      <c r="D287" s="3"/>
      <c r="E287" s="3"/>
      <c r="F287" s="3"/>
      <c r="G287" s="3"/>
      <c r="H287" s="3"/>
      <c r="I287" s="3"/>
    </row>
    <row r="288" ht="26.25" customHeight="1">
      <c r="A288" s="3"/>
      <c r="B288" s="3"/>
      <c r="C288" s="3"/>
      <c r="D288" s="3"/>
      <c r="E288" s="3"/>
      <c r="F288" s="3"/>
      <c r="G288" s="3"/>
      <c r="H288" s="3"/>
      <c r="I288" s="3"/>
    </row>
    <row r="289" ht="26.25" customHeight="1">
      <c r="A289" s="3"/>
      <c r="B289" s="3"/>
      <c r="C289" s="3"/>
      <c r="D289" s="3"/>
      <c r="E289" s="3"/>
      <c r="F289" s="3"/>
      <c r="G289" s="3"/>
      <c r="H289" s="3"/>
      <c r="I289" s="3"/>
    </row>
    <row r="290" ht="26.25" customHeight="1">
      <c r="A290" s="3"/>
      <c r="B290" s="3"/>
      <c r="C290" s="3"/>
      <c r="D290" s="3"/>
      <c r="E290" s="3"/>
      <c r="F290" s="3"/>
      <c r="G290" s="3"/>
      <c r="H290" s="3"/>
      <c r="I290" s="3"/>
    </row>
    <row r="291" ht="26.25" customHeight="1">
      <c r="A291" s="3"/>
      <c r="B291" s="3"/>
      <c r="C291" s="3"/>
      <c r="D291" s="3"/>
      <c r="E291" s="3"/>
      <c r="F291" s="3"/>
      <c r="G291" s="3"/>
      <c r="H291" s="3"/>
      <c r="I291" s="3"/>
    </row>
    <row r="292" ht="26.25" customHeight="1">
      <c r="A292" s="3"/>
      <c r="B292" s="3"/>
      <c r="C292" s="3"/>
      <c r="D292" s="3"/>
      <c r="E292" s="3"/>
      <c r="F292" s="3"/>
      <c r="G292" s="3"/>
      <c r="H292" s="3"/>
      <c r="I292" s="3"/>
    </row>
    <row r="293" ht="26.25" customHeight="1">
      <c r="A293" s="3"/>
      <c r="B293" s="3"/>
      <c r="C293" s="3"/>
      <c r="D293" s="3"/>
      <c r="E293" s="3"/>
      <c r="F293" s="3"/>
      <c r="G293" s="3"/>
      <c r="H293" s="3"/>
      <c r="I293" s="3"/>
    </row>
    <row r="294" ht="26.25" customHeight="1">
      <c r="A294" s="3"/>
      <c r="B294" s="3"/>
      <c r="C294" s="3"/>
      <c r="D294" s="3"/>
      <c r="E294" s="3"/>
      <c r="F294" s="3"/>
      <c r="G294" s="3"/>
      <c r="H294" s="3"/>
      <c r="I294" s="3"/>
    </row>
    <row r="295" ht="26.25" customHeight="1">
      <c r="A295" s="3"/>
      <c r="B295" s="3"/>
      <c r="C295" s="3"/>
      <c r="D295" s="3"/>
      <c r="E295" s="3"/>
      <c r="F295" s="3"/>
      <c r="G295" s="3"/>
      <c r="H295" s="3"/>
      <c r="I295" s="3"/>
    </row>
    <row r="296" ht="26.25" customHeight="1">
      <c r="A296" s="3"/>
      <c r="B296" s="3"/>
      <c r="C296" s="3"/>
      <c r="D296" s="3"/>
      <c r="E296" s="3"/>
      <c r="F296" s="3"/>
      <c r="G296" s="3"/>
      <c r="H296" s="3"/>
      <c r="I296" s="3"/>
    </row>
    <row r="297" ht="26.25" customHeight="1">
      <c r="A297" s="3"/>
      <c r="B297" s="3"/>
      <c r="C297" s="3"/>
      <c r="D297" s="3"/>
      <c r="E297" s="3"/>
      <c r="F297" s="3"/>
      <c r="G297" s="3"/>
      <c r="H297" s="3"/>
      <c r="I297" s="3"/>
    </row>
    <row r="298" ht="26.25" customHeight="1">
      <c r="A298" s="3"/>
      <c r="B298" s="3"/>
      <c r="C298" s="3"/>
      <c r="D298" s="3"/>
      <c r="E298" s="3"/>
      <c r="F298" s="3"/>
      <c r="G298" s="3"/>
      <c r="H298" s="3"/>
      <c r="I298" s="3"/>
    </row>
    <row r="299" ht="26.25" customHeight="1">
      <c r="A299" s="3"/>
      <c r="B299" s="3"/>
      <c r="C299" s="3"/>
      <c r="D299" s="3"/>
      <c r="E299" s="3"/>
      <c r="F299" s="3"/>
      <c r="G299" s="3"/>
      <c r="H299" s="3"/>
      <c r="I299" s="3"/>
    </row>
    <row r="300" ht="26.25" customHeight="1">
      <c r="A300" s="3"/>
      <c r="B300" s="3"/>
      <c r="C300" s="3"/>
      <c r="D300" s="3"/>
      <c r="E300" s="3"/>
      <c r="F300" s="3"/>
      <c r="G300" s="3"/>
      <c r="H300" s="3"/>
      <c r="I300" s="3"/>
    </row>
    <row r="301" ht="26.25" customHeight="1">
      <c r="A301" s="3"/>
      <c r="B301" s="3"/>
      <c r="C301" s="3"/>
      <c r="D301" s="3"/>
      <c r="E301" s="3"/>
      <c r="F301" s="3"/>
      <c r="G301" s="3"/>
      <c r="H301" s="3"/>
      <c r="I301" s="3"/>
    </row>
    <row r="302" ht="26.25" customHeight="1">
      <c r="A302" s="3"/>
      <c r="B302" s="3"/>
      <c r="C302" s="3"/>
      <c r="D302" s="3"/>
      <c r="E302" s="3"/>
      <c r="F302" s="3"/>
      <c r="G302" s="3"/>
      <c r="H302" s="3"/>
      <c r="I302" s="3"/>
    </row>
    <row r="303" ht="26.25" customHeight="1">
      <c r="A303" s="3"/>
      <c r="B303" s="3"/>
      <c r="C303" s="3"/>
      <c r="D303" s="3"/>
      <c r="E303" s="3"/>
      <c r="F303" s="3"/>
      <c r="G303" s="3"/>
      <c r="H303" s="3"/>
      <c r="I303" s="3"/>
    </row>
    <row r="304" ht="26.25" customHeight="1">
      <c r="A304" s="3"/>
      <c r="B304" s="3"/>
      <c r="C304" s="3"/>
      <c r="D304" s="3"/>
      <c r="E304" s="3"/>
      <c r="F304" s="3"/>
      <c r="G304" s="3"/>
      <c r="H304" s="3"/>
      <c r="I304" s="3"/>
    </row>
    <row r="305" ht="26.25" customHeight="1">
      <c r="A305" s="3"/>
      <c r="B305" s="3"/>
      <c r="C305" s="3"/>
      <c r="D305" s="3"/>
      <c r="E305" s="3"/>
      <c r="F305" s="3"/>
      <c r="G305" s="3"/>
      <c r="H305" s="3"/>
      <c r="I305" s="3"/>
    </row>
    <row r="306" ht="26.25" customHeight="1">
      <c r="A306" s="3"/>
      <c r="B306" s="3"/>
      <c r="C306" s="3"/>
      <c r="D306" s="3"/>
      <c r="E306" s="3"/>
      <c r="F306" s="3"/>
      <c r="G306" s="3"/>
      <c r="H306" s="3"/>
      <c r="I306" s="3"/>
    </row>
    <row r="307" ht="26.25" customHeight="1">
      <c r="A307" s="3"/>
      <c r="B307" s="3"/>
      <c r="C307" s="3"/>
      <c r="D307" s="3"/>
      <c r="E307" s="3"/>
      <c r="F307" s="3"/>
      <c r="G307" s="3"/>
      <c r="H307" s="3"/>
      <c r="I307" s="3"/>
    </row>
    <row r="308" ht="26.25" customHeight="1">
      <c r="A308" s="3"/>
      <c r="B308" s="3"/>
      <c r="C308" s="3"/>
      <c r="D308" s="3"/>
      <c r="E308" s="3"/>
      <c r="F308" s="3"/>
      <c r="G308" s="3"/>
      <c r="H308" s="3"/>
      <c r="I308" s="3"/>
    </row>
    <row r="309" ht="26.25" customHeight="1">
      <c r="A309" s="3"/>
      <c r="B309" s="3"/>
      <c r="C309" s="3"/>
      <c r="D309" s="3"/>
      <c r="E309" s="3"/>
      <c r="F309" s="3"/>
      <c r="G309" s="3"/>
      <c r="H309" s="3"/>
      <c r="I309" s="3"/>
    </row>
    <row r="310" ht="26.25" customHeight="1">
      <c r="A310" s="3"/>
      <c r="B310" s="3"/>
      <c r="C310" s="3"/>
      <c r="D310" s="3"/>
      <c r="E310" s="3"/>
      <c r="F310" s="3"/>
      <c r="G310" s="3"/>
      <c r="H310" s="3"/>
      <c r="I310" s="3"/>
    </row>
    <row r="311" ht="26.25" customHeight="1">
      <c r="A311" s="3"/>
      <c r="B311" s="3"/>
      <c r="C311" s="3"/>
      <c r="D311" s="3"/>
      <c r="E311" s="3"/>
      <c r="F311" s="3"/>
      <c r="G311" s="3"/>
      <c r="H311" s="3"/>
      <c r="I311" s="3"/>
    </row>
    <row r="312" ht="26.25" customHeight="1">
      <c r="A312" s="3"/>
      <c r="B312" s="3"/>
      <c r="C312" s="3"/>
      <c r="D312" s="3"/>
      <c r="E312" s="3"/>
      <c r="F312" s="3"/>
      <c r="G312" s="3"/>
      <c r="H312" s="3"/>
      <c r="I312" s="3"/>
    </row>
    <row r="313" ht="26.25" customHeight="1">
      <c r="A313" s="3"/>
      <c r="B313" s="3"/>
      <c r="C313" s="3"/>
      <c r="D313" s="3"/>
      <c r="E313" s="3"/>
      <c r="F313" s="3"/>
      <c r="G313" s="3"/>
      <c r="H313" s="3"/>
      <c r="I313" s="3"/>
    </row>
    <row r="314" ht="26.25" customHeight="1">
      <c r="A314" s="3"/>
      <c r="B314" s="3"/>
      <c r="C314" s="3"/>
      <c r="D314" s="3"/>
      <c r="E314" s="3"/>
      <c r="F314" s="3"/>
      <c r="G314" s="3"/>
      <c r="H314" s="3"/>
      <c r="I314" s="3"/>
    </row>
    <row r="315" ht="26.25" customHeight="1">
      <c r="A315" s="3"/>
      <c r="B315" s="3"/>
      <c r="C315" s="3"/>
      <c r="D315" s="3"/>
      <c r="E315" s="3"/>
      <c r="F315" s="3"/>
      <c r="G315" s="3"/>
      <c r="H315" s="3"/>
      <c r="I315" s="3"/>
    </row>
    <row r="316" ht="26.25" customHeight="1">
      <c r="A316" s="3"/>
      <c r="B316" s="3"/>
      <c r="C316" s="3"/>
      <c r="D316" s="3"/>
      <c r="E316" s="3"/>
      <c r="F316" s="3"/>
      <c r="G316" s="3"/>
      <c r="H316" s="3"/>
      <c r="I316" s="3"/>
    </row>
    <row r="317" ht="26.25" customHeight="1">
      <c r="A317" s="3"/>
      <c r="B317" s="3"/>
      <c r="C317" s="3"/>
      <c r="D317" s="3"/>
      <c r="E317" s="3"/>
      <c r="F317" s="3"/>
      <c r="G317" s="3"/>
      <c r="H317" s="3"/>
      <c r="I317" s="3"/>
    </row>
    <row r="318" ht="26.25" customHeight="1">
      <c r="A318" s="3"/>
      <c r="B318" s="3"/>
      <c r="C318" s="3"/>
      <c r="D318" s="3"/>
      <c r="E318" s="3"/>
      <c r="F318" s="3"/>
      <c r="G318" s="3"/>
      <c r="H318" s="3"/>
      <c r="I318" s="3"/>
    </row>
    <row r="319" ht="26.25" customHeight="1">
      <c r="A319" s="3"/>
      <c r="B319" s="3"/>
      <c r="C319" s="3"/>
      <c r="D319" s="3"/>
      <c r="E319" s="3"/>
      <c r="F319" s="3"/>
      <c r="G319" s="3"/>
      <c r="H319" s="3"/>
      <c r="I319" s="3"/>
    </row>
    <row r="320" ht="26.25" customHeight="1">
      <c r="A320" s="3"/>
      <c r="B320" s="3"/>
      <c r="C320" s="3"/>
      <c r="D320" s="3"/>
      <c r="E320" s="3"/>
      <c r="F320" s="3"/>
      <c r="G320" s="3"/>
      <c r="H320" s="3"/>
      <c r="I320" s="3"/>
    </row>
    <row r="321" ht="26.25" customHeight="1">
      <c r="A321" s="3"/>
      <c r="B321" s="3"/>
      <c r="C321" s="3"/>
      <c r="D321" s="3"/>
      <c r="E321" s="3"/>
      <c r="F321" s="3"/>
      <c r="G321" s="3"/>
      <c r="H321" s="3"/>
      <c r="I321" s="3"/>
    </row>
    <row r="322" ht="26.25" customHeight="1">
      <c r="A322" s="3"/>
      <c r="B322" s="3"/>
      <c r="C322" s="3"/>
      <c r="D322" s="3"/>
      <c r="E322" s="3"/>
      <c r="F322" s="3"/>
      <c r="G322" s="3"/>
      <c r="H322" s="3"/>
      <c r="I322" s="3"/>
    </row>
    <row r="323" ht="26.25" customHeight="1">
      <c r="A323" s="3"/>
      <c r="B323" s="3"/>
      <c r="C323" s="3"/>
      <c r="D323" s="3"/>
      <c r="E323" s="3"/>
      <c r="F323" s="3"/>
      <c r="G323" s="3"/>
      <c r="H323" s="3"/>
      <c r="I323" s="3"/>
    </row>
    <row r="324" ht="26.25" customHeight="1">
      <c r="A324" s="3"/>
      <c r="B324" s="3"/>
      <c r="C324" s="3"/>
      <c r="D324" s="3"/>
      <c r="E324" s="3"/>
      <c r="F324" s="3"/>
      <c r="G324" s="3"/>
      <c r="H324" s="3"/>
      <c r="I324" s="3"/>
    </row>
    <row r="325" ht="26.25" customHeight="1">
      <c r="A325" s="3"/>
      <c r="B325" s="3"/>
      <c r="C325" s="3"/>
      <c r="D325" s="3"/>
      <c r="E325" s="3"/>
      <c r="F325" s="3"/>
      <c r="G325" s="3"/>
      <c r="H325" s="3"/>
      <c r="I325" s="3"/>
    </row>
    <row r="326" ht="26.25" customHeight="1">
      <c r="A326" s="3"/>
      <c r="B326" s="3"/>
      <c r="C326" s="3"/>
      <c r="D326" s="3"/>
      <c r="E326" s="3"/>
      <c r="F326" s="3"/>
      <c r="G326" s="3"/>
      <c r="H326" s="3"/>
      <c r="I326" s="3"/>
    </row>
    <row r="327" ht="26.25" customHeight="1">
      <c r="A327" s="3"/>
      <c r="B327" s="3"/>
      <c r="C327" s="3"/>
      <c r="D327" s="3"/>
      <c r="E327" s="3"/>
      <c r="F327" s="3"/>
      <c r="G327" s="3"/>
      <c r="H327" s="3"/>
      <c r="I327" s="3"/>
    </row>
    <row r="328" ht="26.25" customHeight="1">
      <c r="A328" s="3"/>
      <c r="B328" s="3"/>
      <c r="C328" s="3"/>
      <c r="D328" s="3"/>
      <c r="E328" s="3"/>
      <c r="F328" s="3"/>
      <c r="G328" s="3"/>
      <c r="H328" s="3"/>
      <c r="I328" s="3"/>
    </row>
    <row r="329" ht="26.25" customHeight="1">
      <c r="A329" s="3"/>
      <c r="B329" s="3"/>
      <c r="C329" s="3"/>
      <c r="D329" s="3"/>
      <c r="E329" s="3"/>
      <c r="F329" s="3"/>
      <c r="G329" s="3"/>
      <c r="H329" s="3"/>
      <c r="I329" s="3"/>
    </row>
    <row r="330" ht="26.25" customHeight="1">
      <c r="A330" s="3"/>
      <c r="B330" s="3"/>
      <c r="C330" s="3"/>
      <c r="D330" s="3"/>
      <c r="E330" s="3"/>
      <c r="F330" s="3"/>
      <c r="G330" s="3"/>
      <c r="H330" s="3"/>
      <c r="I330" s="3"/>
    </row>
    <row r="331" ht="26.25" customHeight="1">
      <c r="A331" s="3"/>
      <c r="B331" s="3"/>
      <c r="C331" s="3"/>
      <c r="D331" s="3"/>
      <c r="E331" s="3"/>
      <c r="F331" s="3"/>
      <c r="G331" s="3"/>
      <c r="H331" s="3"/>
      <c r="I331" s="3"/>
    </row>
    <row r="332" ht="26.25" customHeight="1">
      <c r="A332" s="3"/>
      <c r="B332" s="3"/>
      <c r="C332" s="3"/>
      <c r="D332" s="3"/>
      <c r="E332" s="3"/>
      <c r="F332" s="3"/>
      <c r="G332" s="3"/>
      <c r="H332" s="3"/>
      <c r="I332" s="3"/>
    </row>
    <row r="333" ht="26.25" customHeight="1">
      <c r="A333" s="3"/>
      <c r="B333" s="3"/>
      <c r="C333" s="3"/>
      <c r="D333" s="3"/>
      <c r="E333" s="3"/>
      <c r="F333" s="3"/>
      <c r="G333" s="3"/>
      <c r="H333" s="3"/>
      <c r="I333" s="3"/>
    </row>
    <row r="334" ht="26.25" customHeight="1">
      <c r="A334" s="3"/>
      <c r="B334" s="3"/>
      <c r="C334" s="3"/>
      <c r="D334" s="3"/>
      <c r="E334" s="3"/>
      <c r="F334" s="3"/>
      <c r="G334" s="3"/>
      <c r="H334" s="3"/>
      <c r="I334" s="3"/>
    </row>
    <row r="335" ht="26.25" customHeight="1">
      <c r="A335" s="3"/>
      <c r="B335" s="3"/>
      <c r="C335" s="3"/>
      <c r="D335" s="3"/>
      <c r="E335" s="3"/>
      <c r="F335" s="3"/>
      <c r="G335" s="3"/>
      <c r="H335" s="3"/>
      <c r="I335" s="3"/>
    </row>
    <row r="336" ht="26.25" customHeight="1">
      <c r="A336" s="3"/>
      <c r="B336" s="3"/>
      <c r="C336" s="3"/>
      <c r="D336" s="3"/>
      <c r="E336" s="3"/>
      <c r="F336" s="3"/>
      <c r="G336" s="3"/>
      <c r="H336" s="3"/>
      <c r="I336" s="3"/>
    </row>
    <row r="337" ht="26.25" customHeight="1">
      <c r="A337" s="3"/>
      <c r="B337" s="3"/>
      <c r="C337" s="3"/>
      <c r="D337" s="3"/>
      <c r="E337" s="3"/>
      <c r="F337" s="3"/>
      <c r="G337" s="3"/>
      <c r="H337" s="3"/>
      <c r="I337" s="3"/>
    </row>
    <row r="338" ht="26.25" customHeight="1">
      <c r="A338" s="3"/>
      <c r="B338" s="3"/>
      <c r="C338" s="3"/>
      <c r="D338" s="3"/>
      <c r="E338" s="3"/>
      <c r="F338" s="3"/>
      <c r="G338" s="3"/>
      <c r="H338" s="3"/>
      <c r="I338" s="3"/>
    </row>
    <row r="339" ht="26.25" customHeight="1">
      <c r="A339" s="3"/>
      <c r="B339" s="3"/>
      <c r="C339" s="3"/>
      <c r="D339" s="3"/>
      <c r="E339" s="3"/>
      <c r="F339" s="3"/>
      <c r="G339" s="3"/>
      <c r="H339" s="3"/>
      <c r="I339" s="3"/>
    </row>
    <row r="340" ht="26.25" customHeight="1">
      <c r="A340" s="3"/>
      <c r="B340" s="3"/>
      <c r="C340" s="3"/>
      <c r="D340" s="3"/>
      <c r="E340" s="3"/>
      <c r="F340" s="3"/>
      <c r="G340" s="3"/>
      <c r="H340" s="3"/>
      <c r="I340" s="3"/>
    </row>
    <row r="341" ht="26.25" customHeight="1">
      <c r="A341" s="3"/>
      <c r="B341" s="3"/>
      <c r="C341" s="3"/>
      <c r="D341" s="3"/>
      <c r="E341" s="3"/>
      <c r="F341" s="3"/>
      <c r="G341" s="3"/>
      <c r="H341" s="3"/>
      <c r="I341" s="3"/>
    </row>
    <row r="342" ht="26.25" customHeight="1">
      <c r="A342" s="3"/>
      <c r="B342" s="3"/>
      <c r="C342" s="3"/>
      <c r="D342" s="3"/>
      <c r="E342" s="3"/>
      <c r="F342" s="3"/>
      <c r="G342" s="3"/>
      <c r="H342" s="3"/>
      <c r="I342" s="3"/>
    </row>
    <row r="343" ht="26.25" customHeight="1">
      <c r="A343" s="3"/>
      <c r="B343" s="3"/>
      <c r="C343" s="3"/>
      <c r="D343" s="3"/>
      <c r="E343" s="3"/>
      <c r="F343" s="3"/>
      <c r="G343" s="3"/>
      <c r="H343" s="3"/>
      <c r="I343" s="3"/>
    </row>
    <row r="344" ht="26.25" customHeight="1">
      <c r="A344" s="3"/>
      <c r="B344" s="3"/>
      <c r="C344" s="3"/>
      <c r="D344" s="3"/>
      <c r="E344" s="3"/>
      <c r="F344" s="3"/>
      <c r="G344" s="3"/>
      <c r="H344" s="3"/>
      <c r="I344" s="3"/>
    </row>
    <row r="345" ht="26.25" customHeight="1">
      <c r="A345" s="3"/>
      <c r="B345" s="3"/>
      <c r="C345" s="3"/>
      <c r="D345" s="3"/>
      <c r="E345" s="3"/>
      <c r="F345" s="3"/>
      <c r="G345" s="3"/>
      <c r="H345" s="3"/>
      <c r="I345" s="3"/>
    </row>
    <row r="346" ht="26.25" customHeight="1">
      <c r="A346" s="3"/>
      <c r="B346" s="3"/>
      <c r="C346" s="3"/>
      <c r="D346" s="3"/>
      <c r="E346" s="3"/>
      <c r="F346" s="3"/>
      <c r="G346" s="3"/>
      <c r="H346" s="3"/>
      <c r="I346" s="3"/>
    </row>
    <row r="347" ht="26.25" customHeight="1">
      <c r="A347" s="3"/>
      <c r="B347" s="3"/>
      <c r="C347" s="3"/>
      <c r="D347" s="3"/>
      <c r="E347" s="3"/>
      <c r="F347" s="3"/>
      <c r="G347" s="3"/>
      <c r="H347" s="3"/>
      <c r="I347" s="3"/>
    </row>
    <row r="348" ht="26.25" customHeight="1">
      <c r="A348" s="3"/>
      <c r="B348" s="3"/>
      <c r="C348" s="3"/>
      <c r="D348" s="3"/>
      <c r="E348" s="3"/>
      <c r="F348" s="3"/>
      <c r="G348" s="3"/>
      <c r="H348" s="3"/>
      <c r="I348" s="3"/>
    </row>
    <row r="349" ht="26.25" customHeight="1">
      <c r="A349" s="3"/>
      <c r="B349" s="3"/>
      <c r="C349" s="3"/>
      <c r="D349" s="3"/>
      <c r="E349" s="3"/>
      <c r="F349" s="3"/>
      <c r="G349" s="3"/>
      <c r="H349" s="3"/>
      <c r="I349" s="3"/>
    </row>
    <row r="350" ht="26.25" customHeight="1">
      <c r="A350" s="3"/>
      <c r="B350" s="3"/>
      <c r="C350" s="3"/>
      <c r="D350" s="3"/>
      <c r="E350" s="3"/>
      <c r="F350" s="3"/>
      <c r="G350" s="3"/>
      <c r="H350" s="3"/>
      <c r="I350" s="3"/>
    </row>
    <row r="351" ht="26.25" customHeight="1">
      <c r="A351" s="3"/>
      <c r="B351" s="3"/>
      <c r="C351" s="3"/>
      <c r="D351" s="3"/>
      <c r="E351" s="3"/>
      <c r="F351" s="3"/>
      <c r="G351" s="3"/>
      <c r="H351" s="3"/>
      <c r="I351" s="3"/>
    </row>
    <row r="352" ht="26.25" customHeight="1">
      <c r="A352" s="3"/>
      <c r="B352" s="3"/>
      <c r="C352" s="3"/>
      <c r="D352" s="3"/>
      <c r="E352" s="3"/>
      <c r="F352" s="3"/>
      <c r="G352" s="3"/>
      <c r="H352" s="3"/>
      <c r="I352" s="3"/>
    </row>
    <row r="353" ht="26.25" customHeight="1">
      <c r="A353" s="3"/>
      <c r="B353" s="3"/>
      <c r="C353" s="3"/>
      <c r="D353" s="3"/>
      <c r="E353" s="3"/>
      <c r="F353" s="3"/>
      <c r="G353" s="3"/>
      <c r="H353" s="3"/>
      <c r="I353" s="3"/>
    </row>
    <row r="354" ht="26.25" customHeight="1">
      <c r="A354" s="3"/>
      <c r="B354" s="3"/>
      <c r="C354" s="3"/>
      <c r="D354" s="3"/>
      <c r="E354" s="3"/>
      <c r="F354" s="3"/>
      <c r="G354" s="3"/>
      <c r="H354" s="3"/>
      <c r="I354" s="3"/>
    </row>
    <row r="355" ht="26.25" customHeight="1">
      <c r="A355" s="3"/>
      <c r="B355" s="3"/>
      <c r="C355" s="3"/>
      <c r="D355" s="3"/>
      <c r="E355" s="3"/>
      <c r="F355" s="3"/>
      <c r="G355" s="3"/>
      <c r="H355" s="3"/>
      <c r="I355" s="3"/>
    </row>
    <row r="356" ht="26.25" customHeight="1">
      <c r="A356" s="3"/>
      <c r="B356" s="3"/>
      <c r="C356" s="3"/>
      <c r="D356" s="3"/>
      <c r="E356" s="3"/>
      <c r="F356" s="3"/>
      <c r="G356" s="3"/>
      <c r="H356" s="3"/>
      <c r="I356" s="3"/>
    </row>
    <row r="357" ht="26.25" customHeight="1">
      <c r="A357" s="3"/>
      <c r="B357" s="3"/>
      <c r="C357" s="3"/>
      <c r="D357" s="3"/>
      <c r="E357" s="3"/>
      <c r="F357" s="3"/>
      <c r="G357" s="3"/>
      <c r="H357" s="3"/>
      <c r="I357" s="3"/>
    </row>
    <row r="358" ht="26.25" customHeight="1">
      <c r="A358" s="3"/>
      <c r="B358" s="3"/>
      <c r="C358" s="3"/>
      <c r="D358" s="3"/>
      <c r="E358" s="3"/>
      <c r="F358" s="3"/>
      <c r="G358" s="3"/>
      <c r="H358" s="3"/>
      <c r="I358" s="3"/>
    </row>
    <row r="359" ht="26.25" customHeight="1">
      <c r="A359" s="3"/>
      <c r="B359" s="3"/>
      <c r="C359" s="3"/>
      <c r="D359" s="3"/>
      <c r="E359" s="3"/>
      <c r="F359" s="3"/>
      <c r="G359" s="3"/>
      <c r="H359" s="3"/>
      <c r="I359" s="3"/>
    </row>
    <row r="360" ht="26.25" customHeight="1">
      <c r="A360" s="3"/>
      <c r="B360" s="3"/>
      <c r="C360" s="3"/>
      <c r="D360" s="3"/>
      <c r="E360" s="3"/>
      <c r="F360" s="3"/>
      <c r="G360" s="3"/>
      <c r="H360" s="3"/>
      <c r="I360" s="3"/>
    </row>
    <row r="361" ht="26.25" customHeight="1">
      <c r="A361" s="3"/>
      <c r="B361" s="3"/>
      <c r="C361" s="3"/>
      <c r="D361" s="3"/>
      <c r="E361" s="3"/>
      <c r="F361" s="3"/>
      <c r="G361" s="3"/>
      <c r="H361" s="3"/>
      <c r="I361" s="3"/>
    </row>
    <row r="362" ht="26.25" customHeight="1">
      <c r="A362" s="3"/>
      <c r="B362" s="3"/>
      <c r="C362" s="3"/>
      <c r="D362" s="3"/>
      <c r="E362" s="3"/>
      <c r="F362" s="3"/>
      <c r="G362" s="3"/>
      <c r="H362" s="3"/>
      <c r="I362" s="3"/>
    </row>
    <row r="363" ht="26.25" customHeight="1">
      <c r="A363" s="3"/>
      <c r="B363" s="3"/>
      <c r="C363" s="3"/>
      <c r="D363" s="3"/>
      <c r="E363" s="3"/>
      <c r="F363" s="3"/>
      <c r="G363" s="3"/>
      <c r="H363" s="3"/>
      <c r="I363" s="3"/>
    </row>
    <row r="364" ht="26.25" customHeight="1">
      <c r="A364" s="3"/>
      <c r="B364" s="3"/>
      <c r="C364" s="3"/>
      <c r="D364" s="3"/>
      <c r="E364" s="3"/>
      <c r="F364" s="3"/>
      <c r="G364" s="3"/>
      <c r="H364" s="3"/>
      <c r="I364" s="3"/>
    </row>
    <row r="365" ht="26.25" customHeight="1">
      <c r="A365" s="3"/>
      <c r="B365" s="3"/>
      <c r="C365" s="3"/>
      <c r="D365" s="3"/>
      <c r="E365" s="3"/>
      <c r="F365" s="3"/>
      <c r="G365" s="3"/>
      <c r="H365" s="3"/>
      <c r="I365" s="3"/>
    </row>
    <row r="366" ht="26.25" customHeight="1">
      <c r="A366" s="3"/>
      <c r="B366" s="3"/>
      <c r="C366" s="3"/>
      <c r="D366" s="3"/>
      <c r="E366" s="3"/>
      <c r="F366" s="3"/>
      <c r="G366" s="3"/>
      <c r="H366" s="3"/>
      <c r="I366" s="3"/>
    </row>
    <row r="367" ht="26.25" customHeight="1">
      <c r="A367" s="3"/>
      <c r="B367" s="3"/>
      <c r="C367" s="3"/>
      <c r="D367" s="3"/>
      <c r="E367" s="3"/>
      <c r="F367" s="3"/>
      <c r="G367" s="3"/>
      <c r="H367" s="3"/>
      <c r="I367" s="3"/>
    </row>
    <row r="368" ht="26.25" customHeight="1">
      <c r="A368" s="3"/>
      <c r="B368" s="3"/>
      <c r="C368" s="3"/>
      <c r="D368" s="3"/>
      <c r="E368" s="3"/>
      <c r="F368" s="3"/>
      <c r="G368" s="3"/>
      <c r="H368" s="3"/>
      <c r="I368" s="3"/>
    </row>
    <row r="369" ht="26.25" customHeight="1">
      <c r="A369" s="3"/>
      <c r="B369" s="3"/>
      <c r="C369" s="3"/>
      <c r="D369" s="3"/>
      <c r="E369" s="3"/>
      <c r="F369" s="3"/>
      <c r="G369" s="3"/>
      <c r="H369" s="3"/>
      <c r="I369" s="3"/>
    </row>
    <row r="370" ht="26.25" customHeight="1">
      <c r="A370" s="3"/>
      <c r="B370" s="3"/>
      <c r="C370" s="3"/>
      <c r="D370" s="3"/>
      <c r="E370" s="3"/>
      <c r="F370" s="3"/>
      <c r="G370" s="3"/>
      <c r="H370" s="3"/>
      <c r="I370" s="3"/>
    </row>
    <row r="371" ht="26.25" customHeight="1">
      <c r="A371" s="3"/>
      <c r="B371" s="3"/>
      <c r="C371" s="3"/>
      <c r="D371" s="3"/>
      <c r="E371" s="3"/>
      <c r="F371" s="3"/>
      <c r="G371" s="3"/>
      <c r="H371" s="3"/>
      <c r="I371" s="3"/>
    </row>
    <row r="372" ht="26.25" customHeight="1">
      <c r="A372" s="3"/>
      <c r="B372" s="3"/>
      <c r="C372" s="3"/>
      <c r="D372" s="3"/>
      <c r="E372" s="3"/>
      <c r="F372" s="3"/>
      <c r="G372" s="3"/>
      <c r="H372" s="3"/>
      <c r="I372" s="3"/>
    </row>
    <row r="373" ht="26.25" customHeight="1">
      <c r="A373" s="3"/>
      <c r="B373" s="3"/>
      <c r="C373" s="3"/>
      <c r="D373" s="3"/>
      <c r="E373" s="3"/>
      <c r="F373" s="3"/>
      <c r="G373" s="3"/>
      <c r="H373" s="3"/>
      <c r="I373" s="3"/>
    </row>
    <row r="374" ht="26.25" customHeight="1">
      <c r="A374" s="3"/>
      <c r="B374" s="3"/>
      <c r="C374" s="3"/>
      <c r="D374" s="3"/>
      <c r="E374" s="3"/>
      <c r="F374" s="3"/>
      <c r="G374" s="3"/>
      <c r="H374" s="3"/>
      <c r="I374" s="3"/>
    </row>
    <row r="375" ht="26.25" customHeight="1">
      <c r="A375" s="3"/>
      <c r="B375" s="3"/>
      <c r="C375" s="3"/>
      <c r="D375" s="3"/>
      <c r="E375" s="3"/>
      <c r="F375" s="3"/>
      <c r="G375" s="3"/>
      <c r="H375" s="3"/>
      <c r="I375" s="3"/>
    </row>
    <row r="376" ht="26.25" customHeight="1">
      <c r="A376" s="3"/>
      <c r="B376" s="3"/>
      <c r="C376" s="3"/>
      <c r="D376" s="3"/>
      <c r="E376" s="3"/>
      <c r="F376" s="3"/>
      <c r="G376" s="3"/>
      <c r="H376" s="3"/>
      <c r="I376" s="3"/>
    </row>
    <row r="377" ht="26.25" customHeight="1">
      <c r="A377" s="3"/>
      <c r="B377" s="3"/>
      <c r="C377" s="3"/>
      <c r="D377" s="3"/>
      <c r="E377" s="3"/>
      <c r="F377" s="3"/>
      <c r="G377" s="3"/>
      <c r="H377" s="3"/>
      <c r="I377" s="3"/>
    </row>
    <row r="378" ht="26.25" customHeight="1">
      <c r="A378" s="3"/>
      <c r="B378" s="3"/>
      <c r="C378" s="3"/>
      <c r="D378" s="3"/>
      <c r="E378" s="3"/>
      <c r="F378" s="3"/>
      <c r="G378" s="3"/>
      <c r="H378" s="3"/>
      <c r="I378" s="3"/>
    </row>
    <row r="379" ht="26.25" customHeight="1">
      <c r="A379" s="3"/>
      <c r="B379" s="3"/>
      <c r="C379" s="3"/>
      <c r="D379" s="3"/>
      <c r="E379" s="3"/>
      <c r="F379" s="3"/>
      <c r="G379" s="3"/>
      <c r="H379" s="3"/>
      <c r="I379" s="3"/>
    </row>
    <row r="380" ht="26.25" customHeight="1">
      <c r="A380" s="3"/>
      <c r="B380" s="3"/>
      <c r="C380" s="3"/>
      <c r="D380" s="3"/>
      <c r="E380" s="3"/>
      <c r="F380" s="3"/>
      <c r="G380" s="3"/>
      <c r="H380" s="3"/>
      <c r="I380" s="3"/>
    </row>
    <row r="381" ht="26.25" customHeight="1">
      <c r="A381" s="3"/>
      <c r="B381" s="3"/>
      <c r="C381" s="3"/>
      <c r="D381" s="3"/>
      <c r="E381" s="3"/>
      <c r="F381" s="3"/>
      <c r="G381" s="3"/>
      <c r="H381" s="3"/>
      <c r="I381" s="3"/>
    </row>
    <row r="382" ht="26.25" customHeight="1">
      <c r="A382" s="3"/>
      <c r="B382" s="3"/>
      <c r="C382" s="3"/>
      <c r="D382" s="3"/>
      <c r="E382" s="3"/>
      <c r="F382" s="3"/>
      <c r="G382" s="3"/>
      <c r="H382" s="3"/>
      <c r="I382" s="3"/>
    </row>
    <row r="383" ht="26.25" customHeight="1">
      <c r="A383" s="3"/>
      <c r="B383" s="3"/>
      <c r="C383" s="3"/>
      <c r="D383" s="3"/>
      <c r="E383" s="3"/>
      <c r="F383" s="3"/>
      <c r="G383" s="3"/>
      <c r="H383" s="3"/>
      <c r="I383" s="3"/>
    </row>
    <row r="384" ht="26.25" customHeight="1">
      <c r="A384" s="3"/>
      <c r="B384" s="3"/>
      <c r="C384" s="3"/>
      <c r="D384" s="3"/>
      <c r="E384" s="3"/>
      <c r="F384" s="3"/>
      <c r="G384" s="3"/>
      <c r="H384" s="3"/>
      <c r="I384" s="3"/>
    </row>
    <row r="385" ht="26.25" customHeight="1">
      <c r="A385" s="3"/>
      <c r="B385" s="3"/>
      <c r="C385" s="3"/>
      <c r="D385" s="3"/>
      <c r="E385" s="3"/>
      <c r="F385" s="3"/>
      <c r="G385" s="3"/>
      <c r="H385" s="3"/>
      <c r="I385" s="3"/>
    </row>
    <row r="386" ht="26.25" customHeight="1">
      <c r="A386" s="3"/>
      <c r="B386" s="3"/>
      <c r="C386" s="3"/>
      <c r="D386" s="3"/>
      <c r="E386" s="3"/>
      <c r="F386" s="3"/>
      <c r="G386" s="3"/>
      <c r="H386" s="3"/>
      <c r="I386" s="3"/>
    </row>
    <row r="387" ht="26.25" customHeight="1">
      <c r="A387" s="3"/>
      <c r="B387" s="3"/>
      <c r="C387" s="3"/>
      <c r="D387" s="3"/>
      <c r="E387" s="3"/>
      <c r="F387" s="3"/>
      <c r="G387" s="3"/>
      <c r="H387" s="3"/>
      <c r="I387" s="3"/>
    </row>
    <row r="388" ht="26.25" customHeight="1">
      <c r="A388" s="3"/>
      <c r="B388" s="3"/>
      <c r="C388" s="3"/>
      <c r="D388" s="3"/>
      <c r="E388" s="3"/>
      <c r="F388" s="3"/>
      <c r="G388" s="3"/>
      <c r="H388" s="3"/>
      <c r="I388" s="3"/>
    </row>
    <row r="389" ht="26.25" customHeight="1">
      <c r="A389" s="3"/>
      <c r="B389" s="3"/>
      <c r="C389" s="3"/>
      <c r="D389" s="3"/>
      <c r="E389" s="3"/>
      <c r="F389" s="3"/>
      <c r="G389" s="3"/>
      <c r="H389" s="3"/>
      <c r="I389" s="3"/>
    </row>
    <row r="390" ht="26.25" customHeight="1">
      <c r="A390" s="3"/>
      <c r="B390" s="3"/>
      <c r="C390" s="3"/>
      <c r="D390" s="3"/>
      <c r="E390" s="3"/>
      <c r="F390" s="3"/>
      <c r="G390" s="3"/>
      <c r="H390" s="3"/>
      <c r="I390" s="3"/>
    </row>
    <row r="391" ht="26.25" customHeight="1">
      <c r="A391" s="3"/>
      <c r="B391" s="3"/>
      <c r="C391" s="3"/>
      <c r="D391" s="3"/>
      <c r="E391" s="3"/>
      <c r="F391" s="3"/>
      <c r="G391" s="3"/>
      <c r="H391" s="3"/>
      <c r="I391" s="3"/>
    </row>
    <row r="392" ht="26.25" customHeight="1">
      <c r="A392" s="3"/>
      <c r="B392" s="3"/>
      <c r="C392" s="3"/>
      <c r="D392" s="3"/>
      <c r="E392" s="3"/>
      <c r="F392" s="3"/>
      <c r="G392" s="3"/>
      <c r="H392" s="3"/>
      <c r="I392" s="3"/>
    </row>
    <row r="393" ht="26.25" customHeight="1">
      <c r="A393" s="3"/>
      <c r="B393" s="3"/>
      <c r="C393" s="3"/>
      <c r="D393" s="3"/>
      <c r="E393" s="3"/>
      <c r="F393" s="3"/>
      <c r="G393" s="3"/>
      <c r="H393" s="3"/>
      <c r="I393" s="3"/>
    </row>
    <row r="394" ht="26.25" customHeight="1">
      <c r="A394" s="3"/>
      <c r="B394" s="3"/>
      <c r="C394" s="3"/>
      <c r="D394" s="3"/>
      <c r="E394" s="3"/>
      <c r="F394" s="3"/>
      <c r="G394" s="3"/>
      <c r="H394" s="3"/>
      <c r="I394" s="3"/>
    </row>
    <row r="395" ht="26.25" customHeight="1">
      <c r="A395" s="3"/>
      <c r="B395" s="3"/>
      <c r="C395" s="3"/>
      <c r="D395" s="3"/>
      <c r="E395" s="3"/>
      <c r="F395" s="3"/>
      <c r="G395" s="3"/>
      <c r="H395" s="3"/>
      <c r="I395" s="3"/>
    </row>
    <row r="396" ht="26.25" customHeight="1">
      <c r="A396" s="3"/>
      <c r="B396" s="3"/>
      <c r="C396" s="3"/>
      <c r="D396" s="3"/>
      <c r="E396" s="3"/>
      <c r="F396" s="3"/>
      <c r="G396" s="3"/>
      <c r="H396" s="3"/>
      <c r="I396" s="3"/>
    </row>
    <row r="397" ht="26.25" customHeight="1">
      <c r="A397" s="3"/>
      <c r="B397" s="3"/>
      <c r="C397" s="3"/>
      <c r="D397" s="3"/>
      <c r="E397" s="3"/>
      <c r="F397" s="3"/>
      <c r="G397" s="3"/>
      <c r="H397" s="3"/>
      <c r="I397" s="3"/>
    </row>
    <row r="398" ht="26.25" customHeight="1">
      <c r="A398" s="3"/>
      <c r="B398" s="3"/>
      <c r="C398" s="3"/>
      <c r="D398" s="3"/>
      <c r="E398" s="3"/>
      <c r="F398" s="3"/>
      <c r="G398" s="3"/>
      <c r="H398" s="3"/>
      <c r="I398" s="3"/>
    </row>
    <row r="399" ht="26.25" customHeight="1">
      <c r="A399" s="3"/>
      <c r="B399" s="3"/>
      <c r="C399" s="3"/>
      <c r="D399" s="3"/>
      <c r="E399" s="3"/>
      <c r="F399" s="3"/>
      <c r="G399" s="3"/>
      <c r="H399" s="3"/>
      <c r="I399" s="3"/>
    </row>
    <row r="400" ht="26.25" customHeight="1">
      <c r="A400" s="3"/>
      <c r="B400" s="3"/>
      <c r="C400" s="3"/>
      <c r="D400" s="3"/>
      <c r="E400" s="3"/>
      <c r="F400" s="3"/>
      <c r="G400" s="3"/>
      <c r="H400" s="3"/>
      <c r="I400" s="3"/>
    </row>
    <row r="401" ht="26.25" customHeight="1">
      <c r="A401" s="3"/>
      <c r="B401" s="3"/>
      <c r="C401" s="3"/>
      <c r="D401" s="3"/>
      <c r="E401" s="3"/>
      <c r="F401" s="3"/>
      <c r="G401" s="3"/>
      <c r="H401" s="3"/>
      <c r="I401" s="3"/>
    </row>
    <row r="402" ht="26.25" customHeight="1">
      <c r="A402" s="3"/>
      <c r="B402" s="3"/>
      <c r="C402" s="3"/>
      <c r="D402" s="3"/>
      <c r="E402" s="3"/>
      <c r="F402" s="3"/>
      <c r="G402" s="3"/>
      <c r="H402" s="3"/>
      <c r="I402" s="3"/>
    </row>
    <row r="403" ht="26.25" customHeight="1">
      <c r="A403" s="3"/>
      <c r="B403" s="3"/>
      <c r="C403" s="3"/>
      <c r="D403" s="3"/>
      <c r="E403" s="3"/>
      <c r="F403" s="3"/>
      <c r="G403" s="3"/>
      <c r="H403" s="3"/>
      <c r="I403" s="3"/>
    </row>
    <row r="404" ht="26.25" customHeight="1">
      <c r="A404" s="3"/>
      <c r="B404" s="3"/>
      <c r="C404" s="3"/>
      <c r="D404" s="3"/>
      <c r="E404" s="3"/>
      <c r="F404" s="3"/>
      <c r="G404" s="3"/>
      <c r="H404" s="3"/>
      <c r="I404" s="3"/>
    </row>
    <row r="405" ht="26.25" customHeight="1">
      <c r="A405" s="3"/>
      <c r="B405" s="3"/>
      <c r="C405" s="3"/>
      <c r="D405" s="3"/>
      <c r="E405" s="3"/>
      <c r="F405" s="3"/>
      <c r="G405" s="3"/>
      <c r="H405" s="3"/>
      <c r="I405" s="3"/>
    </row>
    <row r="406" ht="26.25" customHeight="1">
      <c r="A406" s="3"/>
      <c r="B406" s="3"/>
      <c r="C406" s="3"/>
      <c r="D406" s="3"/>
      <c r="E406" s="3"/>
      <c r="F406" s="3"/>
      <c r="G406" s="3"/>
      <c r="H406" s="3"/>
      <c r="I406" s="3"/>
    </row>
    <row r="407" ht="26.25" customHeight="1">
      <c r="A407" s="3"/>
      <c r="B407" s="3"/>
      <c r="C407" s="3"/>
      <c r="D407" s="3"/>
      <c r="E407" s="3"/>
      <c r="F407" s="3"/>
      <c r="G407" s="3"/>
      <c r="H407" s="3"/>
      <c r="I407" s="3"/>
    </row>
    <row r="408" ht="26.25" customHeight="1">
      <c r="A408" s="3"/>
      <c r="B408" s="3"/>
      <c r="C408" s="3"/>
      <c r="D408" s="3"/>
      <c r="E408" s="3"/>
      <c r="F408" s="3"/>
      <c r="G408" s="3"/>
      <c r="H408" s="3"/>
      <c r="I408" s="3"/>
    </row>
    <row r="409" ht="26.25" customHeight="1">
      <c r="A409" s="3"/>
      <c r="B409" s="3"/>
      <c r="C409" s="3"/>
      <c r="D409" s="3"/>
      <c r="E409" s="3"/>
      <c r="F409" s="3"/>
      <c r="G409" s="3"/>
      <c r="H409" s="3"/>
      <c r="I409" s="3"/>
    </row>
    <row r="410" ht="26.25" customHeight="1">
      <c r="A410" s="3"/>
      <c r="B410" s="3"/>
      <c r="C410" s="3"/>
      <c r="D410" s="3"/>
      <c r="E410" s="3"/>
      <c r="F410" s="3"/>
      <c r="G410" s="3"/>
      <c r="H410" s="3"/>
      <c r="I410" s="3"/>
    </row>
    <row r="411" ht="26.25" customHeight="1">
      <c r="A411" s="3"/>
      <c r="B411" s="3"/>
      <c r="C411" s="3"/>
      <c r="D411" s="3"/>
      <c r="E411" s="3"/>
      <c r="F411" s="3"/>
      <c r="G411" s="3"/>
      <c r="H411" s="3"/>
      <c r="I411" s="3"/>
    </row>
    <row r="412" ht="26.25" customHeight="1">
      <c r="A412" s="3"/>
      <c r="B412" s="3"/>
      <c r="C412" s="3"/>
      <c r="D412" s="3"/>
      <c r="E412" s="3"/>
      <c r="F412" s="3"/>
      <c r="G412" s="3"/>
      <c r="H412" s="3"/>
      <c r="I412" s="3"/>
    </row>
    <row r="413" ht="26.25" customHeight="1">
      <c r="A413" s="3"/>
      <c r="B413" s="3"/>
      <c r="C413" s="3"/>
      <c r="D413" s="3"/>
      <c r="E413" s="3"/>
      <c r="F413" s="3"/>
      <c r="G413" s="3"/>
      <c r="H413" s="3"/>
      <c r="I413" s="3"/>
    </row>
    <row r="414" ht="26.25" customHeight="1">
      <c r="A414" s="3"/>
      <c r="B414" s="3"/>
      <c r="C414" s="3"/>
      <c r="D414" s="3"/>
      <c r="E414" s="3"/>
      <c r="F414" s="3"/>
      <c r="G414" s="3"/>
      <c r="H414" s="3"/>
      <c r="I414" s="3"/>
    </row>
    <row r="415" ht="26.25" customHeight="1">
      <c r="A415" s="3"/>
      <c r="B415" s="3"/>
      <c r="C415" s="3"/>
      <c r="D415" s="3"/>
      <c r="E415" s="3"/>
      <c r="F415" s="3"/>
      <c r="G415" s="3"/>
      <c r="H415" s="3"/>
      <c r="I415" s="3"/>
    </row>
    <row r="416" ht="26.25" customHeight="1">
      <c r="A416" s="3"/>
      <c r="B416" s="3"/>
      <c r="C416" s="3"/>
      <c r="D416" s="3"/>
      <c r="E416" s="3"/>
      <c r="F416" s="3"/>
      <c r="G416" s="3"/>
      <c r="H416" s="3"/>
      <c r="I416" s="3"/>
    </row>
    <row r="417" ht="26.25" customHeight="1">
      <c r="A417" s="3"/>
      <c r="B417" s="3"/>
      <c r="C417" s="3"/>
      <c r="D417" s="3"/>
      <c r="E417" s="3"/>
      <c r="F417" s="3"/>
      <c r="G417" s="3"/>
      <c r="H417" s="3"/>
      <c r="I417" s="3"/>
    </row>
    <row r="418" ht="26.25" customHeight="1">
      <c r="A418" s="3"/>
      <c r="B418" s="3"/>
      <c r="C418" s="3"/>
      <c r="D418" s="3"/>
      <c r="E418" s="3"/>
      <c r="F418" s="3"/>
      <c r="G418" s="3"/>
      <c r="H418" s="3"/>
      <c r="I418" s="3"/>
    </row>
    <row r="419" ht="26.25" customHeight="1">
      <c r="A419" s="3"/>
      <c r="B419" s="3"/>
      <c r="C419" s="3"/>
      <c r="D419" s="3"/>
      <c r="E419" s="3"/>
      <c r="F419" s="3"/>
      <c r="G419" s="3"/>
      <c r="H419" s="3"/>
      <c r="I419" s="3"/>
    </row>
    <row r="420" ht="26.25" customHeight="1">
      <c r="A420" s="3"/>
      <c r="B420" s="3"/>
      <c r="C420" s="3"/>
      <c r="D420" s="3"/>
      <c r="E420" s="3"/>
      <c r="F420" s="3"/>
      <c r="G420" s="3"/>
      <c r="H420" s="3"/>
      <c r="I420" s="3"/>
    </row>
    <row r="421" ht="26.25" customHeight="1">
      <c r="A421" s="3"/>
      <c r="B421" s="3"/>
      <c r="C421" s="3"/>
      <c r="D421" s="3"/>
      <c r="E421" s="3"/>
      <c r="F421" s="3"/>
      <c r="G421" s="3"/>
      <c r="H421" s="3"/>
      <c r="I421" s="3"/>
    </row>
    <row r="422" ht="26.25" customHeight="1">
      <c r="A422" s="3"/>
      <c r="B422" s="3"/>
      <c r="C422" s="3"/>
      <c r="D422" s="3"/>
      <c r="E422" s="3"/>
      <c r="F422" s="3"/>
      <c r="G422" s="3"/>
      <c r="H422" s="3"/>
      <c r="I422" s="3"/>
    </row>
    <row r="423" ht="26.25" customHeight="1">
      <c r="A423" s="3"/>
      <c r="B423" s="3"/>
      <c r="C423" s="3"/>
      <c r="D423" s="3"/>
      <c r="E423" s="3"/>
      <c r="F423" s="3"/>
      <c r="G423" s="3"/>
      <c r="H423" s="3"/>
      <c r="I423" s="3"/>
    </row>
    <row r="424" ht="26.25" customHeight="1">
      <c r="A424" s="3"/>
      <c r="B424" s="3"/>
      <c r="C424" s="3"/>
      <c r="D424" s="3"/>
      <c r="E424" s="3"/>
      <c r="F424" s="3"/>
      <c r="G424" s="3"/>
      <c r="H424" s="3"/>
      <c r="I424" s="3"/>
    </row>
    <row r="425" ht="26.25" customHeight="1">
      <c r="A425" s="3"/>
      <c r="B425" s="3"/>
      <c r="C425" s="3"/>
      <c r="D425" s="3"/>
      <c r="E425" s="3"/>
      <c r="F425" s="3"/>
      <c r="G425" s="3"/>
      <c r="H425" s="3"/>
      <c r="I425" s="3"/>
    </row>
    <row r="426" ht="26.25" customHeight="1">
      <c r="A426" s="3"/>
      <c r="B426" s="3"/>
      <c r="C426" s="3"/>
      <c r="D426" s="3"/>
      <c r="E426" s="3"/>
      <c r="F426" s="3"/>
      <c r="G426" s="3"/>
      <c r="H426" s="3"/>
      <c r="I426" s="3"/>
    </row>
    <row r="427" ht="26.25" customHeight="1">
      <c r="A427" s="3"/>
      <c r="B427" s="3"/>
      <c r="C427" s="3"/>
      <c r="D427" s="3"/>
      <c r="E427" s="3"/>
      <c r="F427" s="3"/>
      <c r="G427" s="3"/>
      <c r="H427" s="3"/>
      <c r="I427" s="3"/>
    </row>
    <row r="428" ht="26.25" customHeight="1">
      <c r="A428" s="3"/>
      <c r="B428" s="3"/>
      <c r="C428" s="3"/>
      <c r="D428" s="3"/>
      <c r="E428" s="3"/>
      <c r="F428" s="3"/>
      <c r="G428" s="3"/>
      <c r="H428" s="3"/>
      <c r="I428" s="3"/>
    </row>
    <row r="429" ht="26.25" customHeight="1">
      <c r="A429" s="3"/>
      <c r="B429" s="3"/>
      <c r="C429" s="3"/>
      <c r="D429" s="3"/>
      <c r="E429" s="3"/>
      <c r="F429" s="3"/>
      <c r="G429" s="3"/>
      <c r="H429" s="3"/>
      <c r="I429" s="3"/>
    </row>
    <row r="430" ht="26.25" customHeight="1">
      <c r="A430" s="3"/>
      <c r="B430" s="3"/>
      <c r="C430" s="3"/>
      <c r="D430" s="3"/>
      <c r="E430" s="3"/>
      <c r="F430" s="3"/>
      <c r="G430" s="3"/>
      <c r="H430" s="3"/>
      <c r="I430" s="3"/>
    </row>
    <row r="431" ht="26.25" customHeight="1">
      <c r="A431" s="3"/>
      <c r="B431" s="3"/>
      <c r="C431" s="3"/>
      <c r="D431" s="3"/>
      <c r="E431" s="3"/>
      <c r="F431" s="3"/>
      <c r="G431" s="3"/>
      <c r="H431" s="3"/>
      <c r="I431" s="3"/>
    </row>
    <row r="432" ht="26.25" customHeight="1">
      <c r="A432" s="3"/>
      <c r="B432" s="3"/>
      <c r="C432" s="3"/>
      <c r="D432" s="3"/>
      <c r="E432" s="3"/>
      <c r="F432" s="3"/>
      <c r="G432" s="3"/>
      <c r="H432" s="3"/>
      <c r="I432" s="3"/>
    </row>
    <row r="433" ht="26.25" customHeight="1">
      <c r="A433" s="3"/>
      <c r="B433" s="3"/>
      <c r="C433" s="3"/>
      <c r="D433" s="3"/>
      <c r="E433" s="3"/>
      <c r="F433" s="3"/>
      <c r="G433" s="3"/>
      <c r="H433" s="3"/>
      <c r="I433" s="3"/>
    </row>
    <row r="434" ht="26.25" customHeight="1">
      <c r="A434" s="3"/>
      <c r="B434" s="3"/>
      <c r="C434" s="3"/>
      <c r="D434" s="3"/>
      <c r="E434" s="3"/>
      <c r="F434" s="3"/>
      <c r="G434" s="3"/>
      <c r="H434" s="3"/>
      <c r="I434" s="3"/>
    </row>
    <row r="435" ht="26.25" customHeight="1">
      <c r="A435" s="3"/>
      <c r="B435" s="3"/>
      <c r="C435" s="3"/>
      <c r="D435" s="3"/>
      <c r="E435" s="3"/>
      <c r="F435" s="3"/>
      <c r="G435" s="3"/>
      <c r="H435" s="3"/>
      <c r="I435" s="3"/>
    </row>
    <row r="436" ht="26.25" customHeight="1">
      <c r="A436" s="3"/>
      <c r="B436" s="3"/>
      <c r="C436" s="3"/>
      <c r="D436" s="3"/>
      <c r="E436" s="3"/>
      <c r="F436" s="3"/>
      <c r="G436" s="3"/>
      <c r="H436" s="3"/>
      <c r="I436" s="3"/>
    </row>
    <row r="437" ht="26.25" customHeight="1">
      <c r="A437" s="3"/>
      <c r="B437" s="3"/>
      <c r="C437" s="3"/>
      <c r="D437" s="3"/>
      <c r="E437" s="3"/>
      <c r="F437" s="3"/>
      <c r="G437" s="3"/>
      <c r="H437" s="3"/>
      <c r="I437" s="3"/>
    </row>
    <row r="438" ht="26.25" customHeight="1">
      <c r="A438" s="3"/>
      <c r="B438" s="3"/>
      <c r="C438" s="3"/>
      <c r="D438" s="3"/>
      <c r="E438" s="3"/>
      <c r="F438" s="3"/>
      <c r="G438" s="3"/>
      <c r="H438" s="3"/>
      <c r="I438" s="3"/>
    </row>
    <row r="439" ht="26.25" customHeight="1">
      <c r="A439" s="3"/>
      <c r="B439" s="3"/>
      <c r="C439" s="3"/>
      <c r="D439" s="3"/>
      <c r="E439" s="3"/>
      <c r="F439" s="3"/>
      <c r="G439" s="3"/>
      <c r="H439" s="3"/>
      <c r="I439" s="3"/>
    </row>
    <row r="440" ht="26.25" customHeight="1">
      <c r="A440" s="3"/>
      <c r="B440" s="3"/>
      <c r="C440" s="3"/>
      <c r="D440" s="3"/>
      <c r="E440" s="3"/>
      <c r="F440" s="3"/>
      <c r="G440" s="3"/>
      <c r="H440" s="3"/>
      <c r="I440" s="3"/>
    </row>
    <row r="441" ht="26.25" customHeight="1">
      <c r="A441" s="3"/>
      <c r="B441" s="3"/>
      <c r="C441" s="3"/>
      <c r="D441" s="3"/>
      <c r="E441" s="3"/>
      <c r="F441" s="3"/>
      <c r="G441" s="3"/>
      <c r="H441" s="3"/>
      <c r="I441" s="3"/>
    </row>
    <row r="442" ht="26.25" customHeight="1">
      <c r="A442" s="3"/>
      <c r="B442" s="3"/>
      <c r="C442" s="3"/>
      <c r="D442" s="3"/>
      <c r="E442" s="3"/>
      <c r="F442" s="3"/>
      <c r="G442" s="3"/>
      <c r="H442" s="3"/>
      <c r="I442" s="3"/>
    </row>
    <row r="443" ht="26.25" customHeight="1">
      <c r="A443" s="3"/>
      <c r="B443" s="3"/>
      <c r="C443" s="3"/>
      <c r="D443" s="3"/>
      <c r="E443" s="3"/>
      <c r="F443" s="3"/>
      <c r="G443" s="3"/>
      <c r="H443" s="3"/>
      <c r="I443" s="3"/>
    </row>
    <row r="444" ht="26.25" customHeight="1">
      <c r="A444" s="3"/>
      <c r="B444" s="3"/>
      <c r="C444" s="3"/>
      <c r="D444" s="3"/>
      <c r="E444" s="3"/>
      <c r="F444" s="3"/>
      <c r="G444" s="3"/>
      <c r="H444" s="3"/>
      <c r="I444" s="3"/>
    </row>
    <row r="445" ht="26.25" customHeight="1">
      <c r="A445" s="3"/>
      <c r="B445" s="3"/>
      <c r="C445" s="3"/>
      <c r="D445" s="3"/>
      <c r="E445" s="3"/>
      <c r="F445" s="3"/>
      <c r="G445" s="3"/>
      <c r="H445" s="3"/>
      <c r="I445" s="3"/>
    </row>
    <row r="446" ht="26.25" customHeight="1">
      <c r="A446" s="3"/>
      <c r="B446" s="3"/>
      <c r="C446" s="3"/>
      <c r="D446" s="3"/>
      <c r="E446" s="3"/>
      <c r="F446" s="3"/>
      <c r="G446" s="3"/>
      <c r="H446" s="3"/>
      <c r="I446" s="3"/>
    </row>
    <row r="447" ht="26.25" customHeight="1">
      <c r="A447" s="3"/>
      <c r="B447" s="3"/>
      <c r="C447" s="3"/>
      <c r="D447" s="3"/>
      <c r="E447" s="3"/>
      <c r="F447" s="3"/>
      <c r="G447" s="3"/>
      <c r="H447" s="3"/>
      <c r="I447" s="3"/>
    </row>
    <row r="448" ht="26.25" customHeight="1">
      <c r="A448" s="3"/>
      <c r="B448" s="3"/>
      <c r="C448" s="3"/>
      <c r="D448" s="3"/>
      <c r="E448" s="3"/>
      <c r="F448" s="3"/>
      <c r="G448" s="3"/>
      <c r="H448" s="3"/>
      <c r="I448" s="3"/>
    </row>
    <row r="449" ht="26.25" customHeight="1">
      <c r="A449" s="3"/>
      <c r="B449" s="3"/>
      <c r="C449" s="3"/>
      <c r="D449" s="3"/>
      <c r="E449" s="3"/>
      <c r="F449" s="3"/>
      <c r="G449" s="3"/>
      <c r="H449" s="3"/>
      <c r="I449" s="3"/>
    </row>
    <row r="450" ht="26.25" customHeight="1">
      <c r="A450" s="3"/>
      <c r="B450" s="3"/>
      <c r="C450" s="3"/>
      <c r="D450" s="3"/>
      <c r="E450" s="3"/>
      <c r="F450" s="3"/>
      <c r="G450" s="3"/>
      <c r="H450" s="3"/>
      <c r="I450" s="3"/>
    </row>
    <row r="451" ht="26.25" customHeight="1">
      <c r="A451" s="3"/>
      <c r="B451" s="3"/>
      <c r="C451" s="3"/>
      <c r="D451" s="3"/>
      <c r="E451" s="3"/>
      <c r="F451" s="3"/>
      <c r="G451" s="3"/>
      <c r="H451" s="3"/>
      <c r="I451" s="3"/>
    </row>
    <row r="452" ht="26.25" customHeight="1">
      <c r="A452" s="3"/>
      <c r="B452" s="3"/>
      <c r="C452" s="3"/>
      <c r="D452" s="3"/>
      <c r="E452" s="3"/>
      <c r="F452" s="3"/>
      <c r="G452" s="3"/>
      <c r="H452" s="3"/>
      <c r="I452" s="3"/>
    </row>
    <row r="453" ht="26.25" customHeight="1">
      <c r="A453" s="3"/>
      <c r="B453" s="3"/>
      <c r="C453" s="3"/>
      <c r="D453" s="3"/>
      <c r="E453" s="3"/>
      <c r="F453" s="3"/>
      <c r="G453" s="3"/>
      <c r="H453" s="3"/>
      <c r="I453" s="3"/>
    </row>
    <row r="454" ht="26.25" customHeight="1">
      <c r="A454" s="3"/>
      <c r="B454" s="3"/>
      <c r="C454" s="3"/>
      <c r="D454" s="3"/>
      <c r="E454" s="3"/>
      <c r="F454" s="3"/>
      <c r="G454" s="3"/>
      <c r="H454" s="3"/>
      <c r="I454" s="3"/>
    </row>
    <row r="455" ht="26.25" customHeight="1">
      <c r="A455" s="3"/>
      <c r="B455" s="3"/>
      <c r="C455" s="3"/>
      <c r="D455" s="3"/>
      <c r="E455" s="3"/>
      <c r="F455" s="3"/>
      <c r="G455" s="3"/>
      <c r="H455" s="3"/>
      <c r="I455" s="3"/>
    </row>
    <row r="456" ht="26.25" customHeight="1">
      <c r="A456" s="3"/>
      <c r="B456" s="3"/>
      <c r="C456" s="3"/>
      <c r="D456" s="3"/>
      <c r="E456" s="3"/>
      <c r="F456" s="3"/>
      <c r="G456" s="3"/>
      <c r="H456" s="3"/>
      <c r="I456" s="3"/>
    </row>
    <row r="457" ht="26.25" customHeight="1">
      <c r="A457" s="3"/>
      <c r="B457" s="3"/>
      <c r="C457" s="3"/>
      <c r="D457" s="3"/>
      <c r="E457" s="3"/>
      <c r="F457" s="3"/>
      <c r="G457" s="3"/>
      <c r="H457" s="3"/>
      <c r="I457" s="3"/>
    </row>
    <row r="458" ht="26.25" customHeight="1">
      <c r="A458" s="3"/>
      <c r="B458" s="3"/>
      <c r="C458" s="3"/>
      <c r="D458" s="3"/>
      <c r="E458" s="3"/>
      <c r="F458" s="3"/>
      <c r="G458" s="3"/>
      <c r="H458" s="3"/>
      <c r="I458" s="3"/>
    </row>
    <row r="459" ht="26.25" customHeight="1">
      <c r="A459" s="3"/>
      <c r="B459" s="3"/>
      <c r="C459" s="3"/>
      <c r="D459" s="3"/>
      <c r="E459" s="3"/>
      <c r="F459" s="3"/>
      <c r="G459" s="3"/>
      <c r="H459" s="3"/>
      <c r="I459" s="3"/>
    </row>
    <row r="460" ht="26.25" customHeight="1">
      <c r="A460" s="3"/>
      <c r="B460" s="3"/>
      <c r="C460" s="3"/>
      <c r="D460" s="3"/>
      <c r="E460" s="3"/>
      <c r="F460" s="3"/>
      <c r="G460" s="3"/>
      <c r="H460" s="3"/>
      <c r="I460" s="3"/>
    </row>
    <row r="461" ht="26.25" customHeight="1">
      <c r="A461" s="3"/>
      <c r="B461" s="3"/>
      <c r="C461" s="3"/>
      <c r="D461" s="3"/>
      <c r="E461" s="3"/>
      <c r="F461" s="3"/>
      <c r="G461" s="3"/>
      <c r="H461" s="3"/>
      <c r="I461" s="3"/>
    </row>
    <row r="462" ht="26.25" customHeight="1">
      <c r="A462" s="3"/>
      <c r="B462" s="3"/>
      <c r="C462" s="3"/>
      <c r="D462" s="3"/>
      <c r="E462" s="3"/>
      <c r="F462" s="3"/>
      <c r="G462" s="3"/>
      <c r="H462" s="3"/>
      <c r="I462" s="3"/>
    </row>
    <row r="463" ht="26.25" customHeight="1">
      <c r="A463" s="3"/>
      <c r="B463" s="3"/>
      <c r="C463" s="3"/>
      <c r="D463" s="3"/>
      <c r="E463" s="3"/>
      <c r="F463" s="3"/>
      <c r="G463" s="3"/>
      <c r="H463" s="3"/>
      <c r="I463" s="3"/>
    </row>
    <row r="464" ht="26.25" customHeight="1">
      <c r="A464" s="3"/>
      <c r="B464" s="3"/>
      <c r="C464" s="3"/>
      <c r="D464" s="3"/>
      <c r="E464" s="3"/>
      <c r="F464" s="3"/>
      <c r="G464" s="3"/>
      <c r="H464" s="3"/>
      <c r="I464" s="3"/>
    </row>
    <row r="465" ht="26.25" customHeight="1">
      <c r="A465" s="3"/>
      <c r="B465" s="3"/>
      <c r="C465" s="3"/>
      <c r="D465" s="3"/>
      <c r="E465" s="3"/>
      <c r="F465" s="3"/>
      <c r="G465" s="3"/>
      <c r="H465" s="3"/>
      <c r="I465" s="3"/>
    </row>
    <row r="466" ht="26.25" customHeight="1">
      <c r="A466" s="3"/>
      <c r="B466" s="3"/>
      <c r="C466" s="3"/>
      <c r="D466" s="3"/>
      <c r="E466" s="3"/>
      <c r="F466" s="3"/>
      <c r="G466" s="3"/>
      <c r="H466" s="3"/>
      <c r="I466" s="3"/>
    </row>
    <row r="467" ht="26.25" customHeight="1">
      <c r="A467" s="3"/>
      <c r="B467" s="3"/>
      <c r="C467" s="3"/>
      <c r="D467" s="3"/>
      <c r="E467" s="3"/>
      <c r="F467" s="3"/>
      <c r="G467" s="3"/>
      <c r="H467" s="3"/>
      <c r="I467" s="3"/>
    </row>
    <row r="468" ht="26.25" customHeight="1">
      <c r="A468" s="3"/>
      <c r="B468" s="3"/>
      <c r="C468" s="3"/>
      <c r="D468" s="3"/>
      <c r="E468" s="3"/>
      <c r="F468" s="3"/>
      <c r="G468" s="3"/>
      <c r="H468" s="3"/>
      <c r="I468" s="3"/>
    </row>
    <row r="469" ht="26.25" customHeight="1">
      <c r="A469" s="3"/>
      <c r="B469" s="3"/>
      <c r="C469" s="3"/>
      <c r="D469" s="3"/>
      <c r="E469" s="3"/>
      <c r="F469" s="3"/>
      <c r="G469" s="3"/>
      <c r="H469" s="3"/>
      <c r="I469" s="3"/>
    </row>
    <row r="470" ht="26.25" customHeight="1">
      <c r="A470" s="3"/>
      <c r="B470" s="3"/>
      <c r="C470" s="3"/>
      <c r="D470" s="3"/>
      <c r="E470" s="3"/>
      <c r="F470" s="3"/>
      <c r="G470" s="3"/>
      <c r="H470" s="3"/>
      <c r="I470" s="3"/>
    </row>
    <row r="471" ht="26.25" customHeight="1">
      <c r="A471" s="3"/>
      <c r="B471" s="3"/>
      <c r="C471" s="3"/>
      <c r="D471" s="3"/>
      <c r="E471" s="3"/>
      <c r="F471" s="3"/>
      <c r="G471" s="3"/>
      <c r="H471" s="3"/>
      <c r="I471" s="3"/>
    </row>
    <row r="472" ht="26.25" customHeight="1">
      <c r="A472" s="3"/>
      <c r="B472" s="3"/>
      <c r="C472" s="3"/>
      <c r="D472" s="3"/>
      <c r="E472" s="3"/>
      <c r="F472" s="3"/>
      <c r="G472" s="3"/>
      <c r="H472" s="3"/>
      <c r="I472" s="3"/>
    </row>
    <row r="473" ht="26.25" customHeight="1">
      <c r="A473" s="3"/>
      <c r="B473" s="3"/>
      <c r="C473" s="3"/>
      <c r="D473" s="3"/>
      <c r="E473" s="3"/>
      <c r="F473" s="3"/>
      <c r="G473" s="3"/>
      <c r="H473" s="3"/>
      <c r="I473" s="3"/>
    </row>
    <row r="474" ht="26.25" customHeight="1">
      <c r="A474" s="3"/>
      <c r="B474" s="3"/>
      <c r="C474" s="3"/>
      <c r="D474" s="3"/>
      <c r="E474" s="3"/>
      <c r="F474" s="3"/>
      <c r="G474" s="3"/>
      <c r="H474" s="3"/>
      <c r="I474" s="3"/>
    </row>
    <row r="475" ht="26.25" customHeight="1">
      <c r="A475" s="3"/>
      <c r="B475" s="3"/>
      <c r="C475" s="3"/>
      <c r="D475" s="3"/>
      <c r="E475" s="3"/>
      <c r="F475" s="3"/>
      <c r="G475" s="3"/>
      <c r="H475" s="3"/>
      <c r="I475" s="3"/>
    </row>
    <row r="476" ht="26.25" customHeight="1">
      <c r="A476" s="3"/>
      <c r="B476" s="3"/>
      <c r="C476" s="3"/>
      <c r="D476" s="3"/>
      <c r="E476" s="3"/>
      <c r="F476" s="3"/>
      <c r="G476" s="3"/>
      <c r="H476" s="3"/>
      <c r="I476" s="3"/>
    </row>
    <row r="477" ht="26.25" customHeight="1">
      <c r="A477" s="3"/>
      <c r="B477" s="3"/>
      <c r="C477" s="3"/>
      <c r="D477" s="3"/>
      <c r="E477" s="3"/>
      <c r="F477" s="3"/>
      <c r="G477" s="3"/>
      <c r="H477" s="3"/>
      <c r="I477" s="3"/>
    </row>
    <row r="478" ht="26.25" customHeight="1">
      <c r="A478" s="3"/>
      <c r="B478" s="3"/>
      <c r="C478" s="3"/>
      <c r="D478" s="3"/>
      <c r="E478" s="3"/>
      <c r="F478" s="3"/>
      <c r="G478" s="3"/>
      <c r="H478" s="3"/>
      <c r="I478" s="3"/>
    </row>
    <row r="479" ht="26.25" customHeight="1">
      <c r="A479" s="3"/>
      <c r="B479" s="3"/>
      <c r="C479" s="3"/>
      <c r="D479" s="3"/>
      <c r="E479" s="3"/>
      <c r="F479" s="3"/>
      <c r="G479" s="3"/>
      <c r="H479" s="3"/>
      <c r="I479" s="3"/>
    </row>
    <row r="480" ht="26.25" customHeight="1">
      <c r="A480" s="3"/>
      <c r="B480" s="3"/>
      <c r="C480" s="3"/>
      <c r="D480" s="3"/>
      <c r="E480" s="3"/>
      <c r="F480" s="3"/>
      <c r="G480" s="3"/>
      <c r="H480" s="3"/>
      <c r="I480" s="3"/>
    </row>
    <row r="481" ht="26.25" customHeight="1">
      <c r="A481" s="3"/>
      <c r="B481" s="3"/>
      <c r="C481" s="3"/>
      <c r="D481" s="3"/>
      <c r="E481" s="3"/>
      <c r="F481" s="3"/>
      <c r="G481" s="3"/>
      <c r="H481" s="3"/>
      <c r="I481" s="3"/>
    </row>
    <row r="482" ht="26.25" customHeight="1">
      <c r="A482" s="3"/>
      <c r="B482" s="3"/>
      <c r="C482" s="3"/>
      <c r="D482" s="3"/>
      <c r="E482" s="3"/>
      <c r="F482" s="3"/>
      <c r="G482" s="3"/>
      <c r="H482" s="3"/>
      <c r="I482" s="3"/>
    </row>
    <row r="483" ht="26.25" customHeight="1">
      <c r="A483" s="3"/>
      <c r="B483" s="3"/>
      <c r="C483" s="3"/>
      <c r="D483" s="3"/>
      <c r="E483" s="3"/>
      <c r="F483" s="3"/>
      <c r="G483" s="3"/>
      <c r="H483" s="3"/>
      <c r="I483" s="3"/>
    </row>
    <row r="484" ht="26.25" customHeight="1">
      <c r="A484" s="3"/>
      <c r="B484" s="3"/>
      <c r="C484" s="3"/>
      <c r="D484" s="3"/>
      <c r="E484" s="3"/>
      <c r="F484" s="3"/>
      <c r="G484" s="3"/>
      <c r="H484" s="3"/>
      <c r="I484" s="3"/>
    </row>
    <row r="485" ht="26.25" customHeight="1">
      <c r="A485" s="3"/>
      <c r="B485" s="3"/>
      <c r="C485" s="3"/>
      <c r="D485" s="3"/>
      <c r="E485" s="3"/>
      <c r="F485" s="3"/>
      <c r="G485" s="3"/>
      <c r="H485" s="3"/>
      <c r="I485" s="3"/>
    </row>
    <row r="486" ht="26.25" customHeight="1">
      <c r="A486" s="3"/>
      <c r="B486" s="3"/>
      <c r="C486" s="3"/>
      <c r="D486" s="3"/>
      <c r="E486" s="3"/>
      <c r="F486" s="3"/>
      <c r="G486" s="3"/>
      <c r="H486" s="3"/>
      <c r="I486" s="3"/>
    </row>
    <row r="487" ht="26.25" customHeight="1">
      <c r="A487" s="3"/>
      <c r="B487" s="3"/>
      <c r="C487" s="3"/>
      <c r="D487" s="3"/>
      <c r="E487" s="3"/>
      <c r="F487" s="3"/>
      <c r="G487" s="3"/>
      <c r="H487" s="3"/>
      <c r="I487" s="3"/>
    </row>
    <row r="488" ht="26.25" customHeight="1">
      <c r="A488" s="3"/>
      <c r="B488" s="3"/>
      <c r="C488" s="3"/>
      <c r="D488" s="3"/>
      <c r="E488" s="3"/>
      <c r="F488" s="3"/>
      <c r="G488" s="3"/>
      <c r="H488" s="3"/>
      <c r="I488" s="3"/>
    </row>
    <row r="489" ht="26.25" customHeight="1">
      <c r="A489" s="3"/>
      <c r="B489" s="3"/>
      <c r="C489" s="3"/>
      <c r="D489" s="3"/>
      <c r="E489" s="3"/>
      <c r="F489" s="3"/>
      <c r="G489" s="3"/>
      <c r="H489" s="3"/>
      <c r="I489" s="3"/>
    </row>
    <row r="490" ht="26.25" customHeight="1">
      <c r="A490" s="3"/>
      <c r="B490" s="3"/>
      <c r="C490" s="3"/>
      <c r="D490" s="3"/>
      <c r="E490" s="3"/>
      <c r="F490" s="3"/>
      <c r="G490" s="3"/>
      <c r="H490" s="3"/>
      <c r="I490" s="3"/>
    </row>
    <row r="491" ht="26.25" customHeight="1">
      <c r="A491" s="3"/>
      <c r="B491" s="3"/>
      <c r="C491" s="3"/>
      <c r="D491" s="3"/>
      <c r="E491" s="3"/>
      <c r="F491" s="3"/>
      <c r="G491" s="3"/>
      <c r="H491" s="3"/>
      <c r="I491" s="3"/>
    </row>
    <row r="492" ht="26.25" customHeight="1">
      <c r="A492" s="3"/>
      <c r="B492" s="3"/>
      <c r="C492" s="3"/>
      <c r="D492" s="3"/>
      <c r="E492" s="3"/>
      <c r="F492" s="3"/>
      <c r="G492" s="3"/>
      <c r="H492" s="3"/>
      <c r="I492" s="3"/>
    </row>
    <row r="493" ht="26.25" customHeight="1">
      <c r="A493" s="3"/>
      <c r="B493" s="3"/>
      <c r="C493" s="3"/>
      <c r="D493" s="3"/>
      <c r="E493" s="3"/>
      <c r="F493" s="3"/>
      <c r="G493" s="3"/>
      <c r="H493" s="3"/>
      <c r="I493" s="3"/>
    </row>
    <row r="494" ht="26.25" customHeight="1">
      <c r="A494" s="3"/>
      <c r="B494" s="3"/>
      <c r="C494" s="3"/>
      <c r="D494" s="3"/>
      <c r="E494" s="3"/>
      <c r="F494" s="3"/>
      <c r="G494" s="3"/>
      <c r="H494" s="3"/>
      <c r="I494" s="3"/>
    </row>
    <row r="495" ht="26.25" customHeight="1">
      <c r="A495" s="3"/>
      <c r="B495" s="3"/>
      <c r="C495" s="3"/>
      <c r="D495" s="3"/>
      <c r="E495" s="3"/>
      <c r="F495" s="3"/>
      <c r="G495" s="3"/>
      <c r="H495" s="3"/>
      <c r="I495" s="3"/>
    </row>
    <row r="496" ht="26.25" customHeight="1">
      <c r="A496" s="3"/>
      <c r="B496" s="3"/>
      <c r="C496" s="3"/>
      <c r="D496" s="3"/>
      <c r="E496" s="3"/>
      <c r="F496" s="3"/>
      <c r="G496" s="3"/>
      <c r="H496" s="3"/>
      <c r="I496" s="3"/>
    </row>
    <row r="497" ht="26.25" customHeight="1">
      <c r="A497" s="3"/>
      <c r="B497" s="3"/>
      <c r="C497" s="3"/>
      <c r="D497" s="3"/>
      <c r="E497" s="3"/>
      <c r="F497" s="3"/>
      <c r="G497" s="3"/>
      <c r="H497" s="3"/>
      <c r="I497" s="3"/>
    </row>
    <row r="498" ht="26.25" customHeight="1">
      <c r="A498" s="3"/>
      <c r="B498" s="3"/>
      <c r="C498" s="3"/>
      <c r="D498" s="3"/>
      <c r="E498" s="3"/>
      <c r="F498" s="3"/>
      <c r="G498" s="3"/>
      <c r="H498" s="3"/>
      <c r="I498" s="3"/>
    </row>
    <row r="499" ht="26.25" customHeight="1">
      <c r="A499" s="3"/>
      <c r="B499" s="3"/>
      <c r="C499" s="3"/>
      <c r="D499" s="3"/>
      <c r="E499" s="3"/>
      <c r="F499" s="3"/>
      <c r="G499" s="3"/>
      <c r="H499" s="3"/>
      <c r="I499" s="3"/>
    </row>
    <row r="500" ht="26.25" customHeight="1">
      <c r="A500" s="3"/>
      <c r="B500" s="3"/>
      <c r="C500" s="3"/>
      <c r="D500" s="3"/>
      <c r="E500" s="3"/>
      <c r="F500" s="3"/>
      <c r="G500" s="3"/>
      <c r="H500" s="3"/>
      <c r="I500" s="3"/>
    </row>
    <row r="501" ht="26.25" customHeight="1">
      <c r="A501" s="3"/>
      <c r="B501" s="3"/>
      <c r="C501" s="3"/>
      <c r="D501" s="3"/>
      <c r="E501" s="3"/>
      <c r="F501" s="3"/>
      <c r="G501" s="3"/>
      <c r="H501" s="3"/>
      <c r="I501" s="3"/>
    </row>
    <row r="502" ht="26.25" customHeight="1">
      <c r="A502" s="3"/>
      <c r="B502" s="3"/>
      <c r="C502" s="3"/>
      <c r="D502" s="3"/>
      <c r="E502" s="3"/>
      <c r="F502" s="3"/>
      <c r="G502" s="3"/>
      <c r="H502" s="3"/>
      <c r="I502" s="3"/>
    </row>
    <row r="503" ht="26.25" customHeight="1">
      <c r="A503" s="3"/>
      <c r="B503" s="3"/>
      <c r="C503" s="3"/>
      <c r="D503" s="3"/>
      <c r="E503" s="3"/>
      <c r="F503" s="3"/>
      <c r="G503" s="3"/>
      <c r="H503" s="3"/>
      <c r="I503" s="3"/>
    </row>
    <row r="504" ht="26.25" customHeight="1">
      <c r="A504" s="3"/>
      <c r="B504" s="3"/>
      <c r="C504" s="3"/>
      <c r="D504" s="3"/>
      <c r="E504" s="3"/>
      <c r="F504" s="3"/>
      <c r="G504" s="3"/>
      <c r="H504" s="3"/>
      <c r="I504" s="3"/>
    </row>
    <row r="505" ht="26.25" customHeight="1">
      <c r="A505" s="3"/>
      <c r="B505" s="3"/>
      <c r="C505" s="3"/>
      <c r="D505" s="3"/>
      <c r="E505" s="3"/>
      <c r="F505" s="3"/>
      <c r="G505" s="3"/>
      <c r="H505" s="3"/>
      <c r="I505" s="3"/>
    </row>
    <row r="506" ht="26.25" customHeight="1">
      <c r="A506" s="3"/>
      <c r="B506" s="3"/>
      <c r="C506" s="3"/>
      <c r="D506" s="3"/>
      <c r="E506" s="3"/>
      <c r="F506" s="3"/>
      <c r="G506" s="3"/>
      <c r="H506" s="3"/>
      <c r="I506" s="3"/>
    </row>
    <row r="507" ht="26.25" customHeight="1">
      <c r="A507" s="3"/>
      <c r="B507" s="3"/>
      <c r="C507" s="3"/>
      <c r="D507" s="3"/>
      <c r="E507" s="3"/>
      <c r="F507" s="3"/>
      <c r="G507" s="3"/>
      <c r="H507" s="3"/>
      <c r="I507" s="3"/>
    </row>
    <row r="508" ht="26.25" customHeight="1">
      <c r="A508" s="3"/>
      <c r="B508" s="3"/>
      <c r="C508" s="3"/>
      <c r="D508" s="3"/>
      <c r="E508" s="3"/>
      <c r="F508" s="3"/>
      <c r="G508" s="3"/>
      <c r="H508" s="3"/>
      <c r="I508" s="3"/>
    </row>
    <row r="509" ht="26.25" customHeight="1">
      <c r="A509" s="3"/>
      <c r="B509" s="3"/>
      <c r="C509" s="3"/>
      <c r="D509" s="3"/>
      <c r="E509" s="3"/>
      <c r="F509" s="3"/>
      <c r="G509" s="3"/>
      <c r="H509" s="3"/>
      <c r="I509" s="3"/>
    </row>
    <row r="510" ht="26.25" customHeight="1">
      <c r="A510" s="3"/>
      <c r="B510" s="3"/>
      <c r="C510" s="3"/>
      <c r="D510" s="3"/>
      <c r="E510" s="3"/>
      <c r="F510" s="3"/>
      <c r="G510" s="3"/>
      <c r="H510" s="3"/>
      <c r="I510" s="3"/>
    </row>
    <row r="511" ht="26.25" customHeight="1">
      <c r="A511" s="3"/>
      <c r="B511" s="3"/>
      <c r="C511" s="3"/>
      <c r="D511" s="3"/>
      <c r="E511" s="3"/>
      <c r="F511" s="3"/>
      <c r="G511" s="3"/>
      <c r="H511" s="3"/>
      <c r="I511" s="3"/>
    </row>
    <row r="512" ht="26.25" customHeight="1">
      <c r="A512" s="3"/>
      <c r="B512" s="3"/>
      <c r="C512" s="3"/>
      <c r="D512" s="3"/>
      <c r="E512" s="3"/>
      <c r="F512" s="3"/>
      <c r="G512" s="3"/>
      <c r="H512" s="3"/>
      <c r="I512" s="3"/>
    </row>
    <row r="513" ht="26.25" customHeight="1">
      <c r="A513" s="3"/>
      <c r="B513" s="3"/>
      <c r="C513" s="3"/>
      <c r="D513" s="3"/>
      <c r="E513" s="3"/>
      <c r="F513" s="3"/>
      <c r="G513" s="3"/>
      <c r="H513" s="3"/>
      <c r="I513" s="3"/>
    </row>
    <row r="514" ht="26.25" customHeight="1">
      <c r="A514" s="3"/>
      <c r="B514" s="3"/>
      <c r="C514" s="3"/>
      <c r="D514" s="3"/>
      <c r="E514" s="3"/>
      <c r="F514" s="3"/>
      <c r="G514" s="3"/>
      <c r="H514" s="3"/>
      <c r="I514" s="3"/>
    </row>
    <row r="515" ht="26.25" customHeight="1">
      <c r="A515" s="3"/>
      <c r="B515" s="3"/>
      <c r="C515" s="3"/>
      <c r="D515" s="3"/>
      <c r="E515" s="3"/>
      <c r="F515" s="3"/>
      <c r="G515" s="3"/>
      <c r="H515" s="3"/>
      <c r="I515" s="3"/>
    </row>
    <row r="516" ht="26.25" customHeight="1">
      <c r="A516" s="3"/>
      <c r="B516" s="3"/>
      <c r="C516" s="3"/>
      <c r="D516" s="3"/>
      <c r="E516" s="3"/>
      <c r="F516" s="3"/>
      <c r="G516" s="3"/>
      <c r="H516" s="3"/>
      <c r="I516" s="3"/>
    </row>
    <row r="517" ht="26.25" customHeight="1">
      <c r="A517" s="3"/>
      <c r="B517" s="3"/>
      <c r="C517" s="3"/>
      <c r="D517" s="3"/>
      <c r="E517" s="3"/>
      <c r="F517" s="3"/>
      <c r="G517" s="3"/>
      <c r="H517" s="3"/>
      <c r="I517" s="3"/>
    </row>
    <row r="518" ht="26.25" customHeight="1">
      <c r="A518" s="3"/>
      <c r="B518" s="3"/>
      <c r="C518" s="3"/>
      <c r="D518" s="3"/>
      <c r="E518" s="3"/>
      <c r="F518" s="3"/>
      <c r="G518" s="3"/>
      <c r="H518" s="3"/>
      <c r="I518" s="3"/>
    </row>
    <row r="519" ht="26.25" customHeight="1">
      <c r="A519" s="3"/>
      <c r="B519" s="3"/>
      <c r="C519" s="3"/>
      <c r="D519" s="3"/>
      <c r="E519" s="3"/>
      <c r="F519" s="3"/>
      <c r="G519" s="3"/>
      <c r="H519" s="3"/>
      <c r="I519" s="3"/>
    </row>
    <row r="520" ht="26.25" customHeight="1">
      <c r="A520" s="3"/>
      <c r="B520" s="3"/>
      <c r="C520" s="3"/>
      <c r="D520" s="3"/>
      <c r="E520" s="3"/>
      <c r="F520" s="3"/>
      <c r="G520" s="3"/>
      <c r="H520" s="3"/>
      <c r="I520" s="3"/>
    </row>
    <row r="521" ht="26.25" customHeight="1">
      <c r="A521" s="3"/>
      <c r="B521" s="3"/>
      <c r="C521" s="3"/>
      <c r="D521" s="3"/>
      <c r="E521" s="3"/>
      <c r="F521" s="3"/>
      <c r="G521" s="3"/>
      <c r="H521" s="3"/>
      <c r="I521" s="3"/>
    </row>
    <row r="522" ht="26.25" customHeight="1">
      <c r="A522" s="3"/>
      <c r="B522" s="3"/>
      <c r="C522" s="3"/>
      <c r="D522" s="3"/>
      <c r="E522" s="3"/>
      <c r="F522" s="3"/>
      <c r="G522" s="3"/>
      <c r="H522" s="3"/>
      <c r="I522" s="3"/>
    </row>
    <row r="523" ht="26.25" customHeight="1">
      <c r="A523" s="3"/>
      <c r="B523" s="3"/>
      <c r="C523" s="3"/>
      <c r="D523" s="3"/>
      <c r="E523" s="3"/>
      <c r="F523" s="3"/>
      <c r="G523" s="3"/>
      <c r="H523" s="3"/>
      <c r="I523" s="3"/>
    </row>
    <row r="524" ht="26.25" customHeight="1">
      <c r="A524" s="3"/>
      <c r="B524" s="3"/>
      <c r="C524" s="3"/>
      <c r="D524" s="3"/>
      <c r="E524" s="3"/>
      <c r="F524" s="3"/>
      <c r="G524" s="3"/>
      <c r="H524" s="3"/>
      <c r="I524" s="3"/>
    </row>
    <row r="525" ht="26.25" customHeight="1">
      <c r="A525" s="3"/>
      <c r="B525" s="3"/>
      <c r="C525" s="3"/>
      <c r="D525" s="3"/>
      <c r="E525" s="3"/>
      <c r="F525" s="3"/>
      <c r="G525" s="3"/>
      <c r="H525" s="3"/>
      <c r="I525" s="3"/>
    </row>
    <row r="526" ht="26.25" customHeight="1">
      <c r="A526" s="3"/>
      <c r="B526" s="3"/>
      <c r="C526" s="3"/>
      <c r="D526" s="3"/>
      <c r="E526" s="3"/>
      <c r="F526" s="3"/>
      <c r="G526" s="3"/>
      <c r="H526" s="3"/>
      <c r="I526" s="3"/>
    </row>
    <row r="527" ht="26.25" customHeight="1">
      <c r="A527" s="3"/>
      <c r="B527" s="3"/>
      <c r="C527" s="3"/>
      <c r="D527" s="3"/>
      <c r="E527" s="3"/>
      <c r="F527" s="3"/>
      <c r="G527" s="3"/>
      <c r="H527" s="3"/>
      <c r="I527" s="3"/>
    </row>
    <row r="528" ht="26.25" customHeight="1">
      <c r="A528" s="3"/>
      <c r="B528" s="3"/>
      <c r="C528" s="3"/>
      <c r="D528" s="3"/>
      <c r="E528" s="3"/>
      <c r="F528" s="3"/>
      <c r="G528" s="3"/>
      <c r="H528" s="3"/>
      <c r="I528" s="3"/>
    </row>
    <row r="529" ht="26.25" customHeight="1">
      <c r="A529" s="3"/>
      <c r="B529" s="3"/>
      <c r="C529" s="3"/>
      <c r="D529" s="3"/>
      <c r="E529" s="3"/>
      <c r="F529" s="3"/>
      <c r="G529" s="3"/>
      <c r="H529" s="3"/>
      <c r="I529" s="3"/>
    </row>
    <row r="530" ht="26.25" customHeight="1">
      <c r="A530" s="3"/>
      <c r="B530" s="3"/>
      <c r="C530" s="3"/>
      <c r="D530" s="3"/>
      <c r="E530" s="3"/>
      <c r="F530" s="3"/>
      <c r="G530" s="3"/>
      <c r="H530" s="3"/>
      <c r="I530" s="3"/>
    </row>
    <row r="531" ht="26.25" customHeight="1">
      <c r="A531" s="3"/>
      <c r="B531" s="3"/>
      <c r="C531" s="3"/>
      <c r="D531" s="3"/>
      <c r="E531" s="3"/>
      <c r="F531" s="3"/>
      <c r="G531" s="3"/>
      <c r="H531" s="3"/>
      <c r="I531" s="3"/>
    </row>
    <row r="532" ht="26.25" customHeight="1">
      <c r="A532" s="3"/>
      <c r="B532" s="3"/>
      <c r="C532" s="3"/>
      <c r="D532" s="3"/>
      <c r="E532" s="3"/>
      <c r="F532" s="3"/>
      <c r="G532" s="3"/>
      <c r="H532" s="3"/>
      <c r="I532" s="3"/>
    </row>
    <row r="533" ht="26.25" customHeight="1">
      <c r="A533" s="3"/>
      <c r="B533" s="3"/>
      <c r="C533" s="3"/>
      <c r="D533" s="3"/>
      <c r="E533" s="3"/>
      <c r="F533" s="3"/>
      <c r="G533" s="3"/>
      <c r="H533" s="3"/>
      <c r="I533" s="3"/>
    </row>
    <row r="534" ht="26.25" customHeight="1">
      <c r="A534" s="3"/>
      <c r="B534" s="3"/>
      <c r="C534" s="3"/>
      <c r="D534" s="3"/>
      <c r="E534" s="3"/>
      <c r="F534" s="3"/>
      <c r="G534" s="3"/>
      <c r="H534" s="3"/>
      <c r="I534" s="3"/>
    </row>
    <row r="535" ht="26.25" customHeight="1">
      <c r="A535" s="3"/>
      <c r="B535" s="3"/>
      <c r="C535" s="3"/>
      <c r="D535" s="3"/>
      <c r="E535" s="3"/>
      <c r="F535" s="3"/>
      <c r="G535" s="3"/>
      <c r="H535" s="3"/>
      <c r="I535" s="3"/>
    </row>
    <row r="536" ht="26.25" customHeight="1">
      <c r="A536" s="3"/>
      <c r="B536" s="3"/>
      <c r="C536" s="3"/>
      <c r="D536" s="3"/>
      <c r="E536" s="3"/>
      <c r="F536" s="3"/>
      <c r="G536" s="3"/>
      <c r="H536" s="3"/>
      <c r="I536" s="3"/>
    </row>
    <row r="537" ht="26.25" customHeight="1">
      <c r="A537" s="3"/>
      <c r="B537" s="3"/>
      <c r="C537" s="3"/>
      <c r="D537" s="3"/>
      <c r="E537" s="3"/>
      <c r="F537" s="3"/>
      <c r="G537" s="3"/>
      <c r="H537" s="3"/>
      <c r="I537" s="3"/>
    </row>
    <row r="538" ht="26.25" customHeight="1">
      <c r="A538" s="3"/>
      <c r="B538" s="3"/>
      <c r="C538" s="3"/>
      <c r="D538" s="3"/>
      <c r="E538" s="3"/>
      <c r="F538" s="3"/>
      <c r="G538" s="3"/>
      <c r="H538" s="3"/>
      <c r="I538" s="3"/>
    </row>
    <row r="539" ht="26.25" customHeight="1">
      <c r="A539" s="3"/>
      <c r="B539" s="3"/>
      <c r="C539" s="3"/>
      <c r="D539" s="3"/>
      <c r="E539" s="3"/>
      <c r="F539" s="3"/>
      <c r="G539" s="3"/>
      <c r="H539" s="3"/>
      <c r="I539" s="3"/>
    </row>
    <row r="540" ht="26.25" customHeight="1">
      <c r="A540" s="3"/>
      <c r="B540" s="3"/>
      <c r="C540" s="3"/>
      <c r="D540" s="3"/>
      <c r="E540" s="3"/>
      <c r="F540" s="3"/>
      <c r="G540" s="3"/>
      <c r="H540" s="3"/>
      <c r="I540" s="3"/>
    </row>
    <row r="541" ht="26.25" customHeight="1">
      <c r="A541" s="3"/>
      <c r="B541" s="3"/>
      <c r="C541" s="3"/>
      <c r="D541" s="3"/>
      <c r="E541" s="3"/>
      <c r="F541" s="3"/>
      <c r="G541" s="3"/>
      <c r="H541" s="3"/>
      <c r="I541" s="3"/>
    </row>
    <row r="542" ht="26.25" customHeight="1">
      <c r="A542" s="3"/>
      <c r="B542" s="3"/>
      <c r="C542" s="3"/>
      <c r="D542" s="3"/>
      <c r="E542" s="3"/>
      <c r="F542" s="3"/>
      <c r="G542" s="3"/>
      <c r="H542" s="3"/>
      <c r="I542" s="3"/>
    </row>
    <row r="543" ht="26.25" customHeight="1">
      <c r="A543" s="3"/>
      <c r="B543" s="3"/>
      <c r="C543" s="3"/>
      <c r="D543" s="3"/>
      <c r="E543" s="3"/>
      <c r="F543" s="3"/>
      <c r="G543" s="3"/>
      <c r="H543" s="3"/>
      <c r="I543" s="3"/>
    </row>
    <row r="544" ht="26.25" customHeight="1">
      <c r="A544" s="3"/>
      <c r="B544" s="3"/>
      <c r="C544" s="3"/>
      <c r="D544" s="3"/>
      <c r="E544" s="3"/>
      <c r="F544" s="3"/>
      <c r="G544" s="3"/>
      <c r="H544" s="3"/>
      <c r="I544" s="3"/>
    </row>
    <row r="545" ht="26.25" customHeight="1">
      <c r="A545" s="3"/>
      <c r="B545" s="3"/>
      <c r="C545" s="3"/>
      <c r="D545" s="3"/>
      <c r="E545" s="3"/>
      <c r="F545" s="3"/>
      <c r="G545" s="3"/>
      <c r="H545" s="3"/>
      <c r="I545" s="3"/>
    </row>
    <row r="546" ht="26.25" customHeight="1">
      <c r="A546" s="3"/>
      <c r="B546" s="3"/>
      <c r="C546" s="3"/>
      <c r="D546" s="3"/>
      <c r="E546" s="3"/>
      <c r="F546" s="3"/>
      <c r="G546" s="3"/>
      <c r="H546" s="3"/>
      <c r="I546" s="3"/>
    </row>
    <row r="547" ht="26.25" customHeight="1">
      <c r="A547" s="3"/>
      <c r="B547" s="3"/>
      <c r="C547" s="3"/>
      <c r="D547" s="3"/>
      <c r="E547" s="3"/>
      <c r="F547" s="3"/>
      <c r="G547" s="3"/>
      <c r="H547" s="3"/>
      <c r="I547" s="3"/>
    </row>
    <row r="548" ht="26.25" customHeight="1">
      <c r="A548" s="3"/>
      <c r="B548" s="3"/>
      <c r="C548" s="3"/>
      <c r="D548" s="3"/>
      <c r="E548" s="3"/>
      <c r="F548" s="3"/>
      <c r="G548" s="3"/>
      <c r="H548" s="3"/>
      <c r="I548" s="3"/>
    </row>
    <row r="549" ht="26.25" customHeight="1">
      <c r="A549" s="3"/>
      <c r="B549" s="3"/>
      <c r="C549" s="3"/>
      <c r="D549" s="3"/>
      <c r="E549" s="3"/>
      <c r="F549" s="3"/>
      <c r="G549" s="3"/>
      <c r="H549" s="3"/>
      <c r="I549" s="3"/>
    </row>
    <row r="550" ht="26.25" customHeight="1">
      <c r="A550" s="3"/>
      <c r="B550" s="3"/>
      <c r="C550" s="3"/>
      <c r="D550" s="3"/>
      <c r="E550" s="3"/>
      <c r="F550" s="3"/>
      <c r="G550" s="3"/>
      <c r="H550" s="3"/>
      <c r="I550" s="3"/>
    </row>
    <row r="551" ht="26.25" customHeight="1">
      <c r="A551" s="3"/>
      <c r="B551" s="3"/>
      <c r="C551" s="3"/>
      <c r="D551" s="3"/>
      <c r="E551" s="3"/>
      <c r="F551" s="3"/>
      <c r="G551" s="3"/>
      <c r="H551" s="3"/>
      <c r="I551" s="3"/>
    </row>
    <row r="552" ht="26.25" customHeight="1">
      <c r="A552" s="3"/>
      <c r="B552" s="3"/>
      <c r="C552" s="3"/>
      <c r="D552" s="3"/>
      <c r="E552" s="3"/>
      <c r="F552" s="3"/>
      <c r="G552" s="3"/>
      <c r="H552" s="3"/>
      <c r="I552" s="3"/>
    </row>
    <row r="553" ht="26.25" customHeight="1">
      <c r="A553" s="3"/>
      <c r="B553" s="3"/>
      <c r="C553" s="3"/>
      <c r="D553" s="3"/>
      <c r="E553" s="3"/>
      <c r="F553" s="3"/>
      <c r="G553" s="3"/>
      <c r="H553" s="3"/>
      <c r="I553" s="3"/>
    </row>
    <row r="554" ht="26.25" customHeight="1">
      <c r="A554" s="3"/>
      <c r="B554" s="3"/>
      <c r="C554" s="3"/>
      <c r="D554" s="3"/>
      <c r="E554" s="3"/>
      <c r="F554" s="3"/>
      <c r="G554" s="3"/>
      <c r="H554" s="3"/>
      <c r="I554" s="3"/>
    </row>
    <row r="555" ht="26.25" customHeight="1">
      <c r="A555" s="3"/>
      <c r="B555" s="3"/>
      <c r="C555" s="3"/>
      <c r="D555" s="3"/>
      <c r="E555" s="3"/>
      <c r="F555" s="3"/>
      <c r="G555" s="3"/>
      <c r="H555" s="3"/>
      <c r="I555" s="3"/>
    </row>
    <row r="556" ht="26.25" customHeight="1">
      <c r="A556" s="3"/>
      <c r="B556" s="3"/>
      <c r="C556" s="3"/>
      <c r="D556" s="3"/>
      <c r="E556" s="3"/>
      <c r="F556" s="3"/>
      <c r="G556" s="3"/>
      <c r="H556" s="3"/>
      <c r="I556" s="3"/>
    </row>
    <row r="557" ht="26.25" customHeight="1">
      <c r="A557" s="3"/>
      <c r="B557" s="3"/>
      <c r="C557" s="3"/>
      <c r="D557" s="3"/>
      <c r="E557" s="3"/>
      <c r="F557" s="3"/>
      <c r="G557" s="3"/>
      <c r="H557" s="3"/>
      <c r="I557" s="3"/>
    </row>
    <row r="558" ht="26.25" customHeight="1">
      <c r="A558" s="3"/>
      <c r="B558" s="3"/>
      <c r="C558" s="3"/>
      <c r="D558" s="3"/>
      <c r="E558" s="3"/>
      <c r="F558" s="3"/>
      <c r="G558" s="3"/>
      <c r="H558" s="3"/>
      <c r="I558" s="3"/>
    </row>
    <row r="559" ht="26.25" customHeight="1">
      <c r="A559" s="3"/>
      <c r="B559" s="3"/>
      <c r="C559" s="3"/>
      <c r="D559" s="3"/>
      <c r="E559" s="3"/>
      <c r="F559" s="3"/>
      <c r="G559" s="3"/>
      <c r="H559" s="3"/>
      <c r="I559" s="3"/>
    </row>
    <row r="560" ht="26.25" customHeight="1">
      <c r="A560" s="3"/>
      <c r="B560" s="3"/>
      <c r="C560" s="3"/>
      <c r="D560" s="3"/>
      <c r="E560" s="3"/>
      <c r="F560" s="3"/>
      <c r="G560" s="3"/>
      <c r="H560" s="3"/>
      <c r="I560" s="3"/>
    </row>
    <row r="561" ht="26.25" customHeight="1">
      <c r="A561" s="3"/>
      <c r="B561" s="3"/>
      <c r="C561" s="3"/>
      <c r="D561" s="3"/>
      <c r="E561" s="3"/>
      <c r="F561" s="3"/>
      <c r="G561" s="3"/>
      <c r="H561" s="3"/>
      <c r="I561" s="3"/>
    </row>
    <row r="562" ht="26.25" customHeight="1">
      <c r="A562" s="3"/>
      <c r="B562" s="3"/>
      <c r="C562" s="3"/>
      <c r="D562" s="3"/>
      <c r="E562" s="3"/>
      <c r="F562" s="3"/>
      <c r="G562" s="3"/>
      <c r="H562" s="3"/>
      <c r="I562" s="3"/>
    </row>
    <row r="563" ht="26.25" customHeight="1">
      <c r="A563" s="3"/>
      <c r="B563" s="3"/>
      <c r="C563" s="3"/>
      <c r="D563" s="3"/>
      <c r="E563" s="3"/>
      <c r="F563" s="3"/>
      <c r="G563" s="3"/>
      <c r="H563" s="3"/>
      <c r="I563" s="3"/>
    </row>
    <row r="564" ht="26.25" customHeight="1">
      <c r="A564" s="3"/>
      <c r="B564" s="3"/>
      <c r="C564" s="3"/>
      <c r="D564" s="3"/>
      <c r="E564" s="3"/>
      <c r="F564" s="3"/>
      <c r="G564" s="3"/>
      <c r="H564" s="3"/>
      <c r="I564" s="3"/>
    </row>
    <row r="565" ht="26.25" customHeight="1">
      <c r="A565" s="3"/>
      <c r="B565" s="3"/>
      <c r="C565" s="3"/>
      <c r="D565" s="3"/>
      <c r="E565" s="3"/>
      <c r="F565" s="3"/>
      <c r="G565" s="3"/>
      <c r="H565" s="3"/>
      <c r="I565" s="3"/>
    </row>
    <row r="566" ht="26.25" customHeight="1">
      <c r="A566" s="3"/>
      <c r="B566" s="3"/>
      <c r="C566" s="3"/>
      <c r="D566" s="3"/>
      <c r="E566" s="3"/>
      <c r="F566" s="3"/>
      <c r="G566" s="3"/>
      <c r="H566" s="3"/>
      <c r="I566" s="3"/>
    </row>
    <row r="567" ht="26.25" customHeight="1">
      <c r="A567" s="3"/>
      <c r="B567" s="3"/>
      <c r="C567" s="3"/>
      <c r="D567" s="3"/>
      <c r="E567" s="3"/>
      <c r="F567" s="3"/>
      <c r="G567" s="3"/>
      <c r="H567" s="3"/>
      <c r="I567" s="3"/>
    </row>
    <row r="568" ht="26.25" customHeight="1">
      <c r="A568" s="3"/>
      <c r="B568" s="3"/>
      <c r="C568" s="3"/>
      <c r="D568" s="3"/>
      <c r="E568" s="3"/>
      <c r="F568" s="3"/>
      <c r="G568" s="3"/>
      <c r="H568" s="3"/>
      <c r="I568" s="3"/>
    </row>
    <row r="569" ht="26.25" customHeight="1">
      <c r="A569" s="3"/>
      <c r="B569" s="3"/>
      <c r="C569" s="3"/>
      <c r="D569" s="3"/>
      <c r="E569" s="3"/>
      <c r="F569" s="3"/>
      <c r="G569" s="3"/>
      <c r="H569" s="3"/>
      <c r="I569" s="3"/>
    </row>
    <row r="570" ht="26.25" customHeight="1">
      <c r="A570" s="3"/>
      <c r="B570" s="3"/>
      <c r="C570" s="3"/>
      <c r="D570" s="3"/>
      <c r="E570" s="3"/>
      <c r="F570" s="3"/>
      <c r="G570" s="3"/>
      <c r="H570" s="3"/>
      <c r="I570" s="3"/>
    </row>
    <row r="571" ht="26.25" customHeight="1">
      <c r="A571" s="3"/>
      <c r="B571" s="3"/>
      <c r="C571" s="3"/>
      <c r="D571" s="3"/>
      <c r="E571" s="3"/>
      <c r="F571" s="3"/>
      <c r="G571" s="3"/>
      <c r="H571" s="3"/>
      <c r="I571" s="3"/>
    </row>
    <row r="572" ht="26.25" customHeight="1">
      <c r="A572" s="3"/>
      <c r="B572" s="3"/>
      <c r="C572" s="3"/>
      <c r="D572" s="3"/>
      <c r="E572" s="3"/>
      <c r="F572" s="3"/>
      <c r="G572" s="3"/>
      <c r="H572" s="3"/>
      <c r="I572" s="3"/>
    </row>
    <row r="573" ht="26.25" customHeight="1">
      <c r="A573" s="3"/>
      <c r="B573" s="3"/>
      <c r="C573" s="3"/>
      <c r="D573" s="3"/>
      <c r="E573" s="3"/>
      <c r="F573" s="3"/>
      <c r="G573" s="3"/>
      <c r="H573" s="3"/>
      <c r="I573" s="3"/>
    </row>
    <row r="574" ht="26.25" customHeight="1">
      <c r="A574" s="3"/>
      <c r="B574" s="3"/>
      <c r="C574" s="3"/>
      <c r="D574" s="3"/>
      <c r="E574" s="3"/>
      <c r="F574" s="3"/>
      <c r="G574" s="3"/>
      <c r="H574" s="3"/>
      <c r="I574" s="3"/>
    </row>
    <row r="575" ht="26.25" customHeight="1">
      <c r="A575" s="3"/>
      <c r="B575" s="3"/>
      <c r="C575" s="3"/>
      <c r="D575" s="3"/>
      <c r="E575" s="3"/>
      <c r="F575" s="3"/>
      <c r="G575" s="3"/>
      <c r="H575" s="3"/>
      <c r="I575" s="3"/>
    </row>
    <row r="576" ht="26.25" customHeight="1">
      <c r="A576" s="3"/>
      <c r="B576" s="3"/>
      <c r="C576" s="3"/>
      <c r="D576" s="3"/>
      <c r="E576" s="3"/>
      <c r="F576" s="3"/>
      <c r="G576" s="3"/>
      <c r="H576" s="3"/>
      <c r="I576" s="3"/>
    </row>
    <row r="577" ht="26.25" customHeight="1">
      <c r="A577" s="3"/>
      <c r="B577" s="3"/>
      <c r="C577" s="3"/>
      <c r="D577" s="3"/>
      <c r="E577" s="3"/>
      <c r="F577" s="3"/>
      <c r="G577" s="3"/>
      <c r="H577" s="3"/>
      <c r="I577" s="3"/>
    </row>
    <row r="578" ht="26.25" customHeight="1">
      <c r="A578" s="3"/>
      <c r="B578" s="3"/>
      <c r="C578" s="3"/>
      <c r="D578" s="3"/>
      <c r="E578" s="3"/>
      <c r="F578" s="3"/>
      <c r="G578" s="3"/>
      <c r="H578" s="3"/>
      <c r="I578" s="3"/>
    </row>
    <row r="579" ht="26.25" customHeight="1">
      <c r="A579" s="3"/>
      <c r="B579" s="3"/>
      <c r="C579" s="3"/>
      <c r="D579" s="3"/>
      <c r="E579" s="3"/>
      <c r="F579" s="3"/>
      <c r="G579" s="3"/>
      <c r="H579" s="3"/>
      <c r="I579" s="3"/>
    </row>
    <row r="580" ht="26.25" customHeight="1">
      <c r="A580" s="3"/>
      <c r="B580" s="3"/>
      <c r="C580" s="3"/>
      <c r="D580" s="3"/>
      <c r="E580" s="3"/>
      <c r="F580" s="3"/>
      <c r="G580" s="3"/>
      <c r="H580" s="3"/>
      <c r="I580" s="3"/>
    </row>
    <row r="581" ht="26.25" customHeight="1">
      <c r="A581" s="3"/>
      <c r="B581" s="3"/>
      <c r="C581" s="3"/>
      <c r="D581" s="3"/>
      <c r="E581" s="3"/>
      <c r="F581" s="3"/>
      <c r="G581" s="3"/>
      <c r="H581" s="3"/>
      <c r="I581" s="3"/>
    </row>
    <row r="582" ht="26.25" customHeight="1">
      <c r="A582" s="3"/>
      <c r="B582" s="3"/>
      <c r="C582" s="3"/>
      <c r="D582" s="3"/>
      <c r="E582" s="3"/>
      <c r="F582" s="3"/>
      <c r="G582" s="3"/>
      <c r="H582" s="3"/>
      <c r="I582" s="3"/>
    </row>
    <row r="583" ht="26.25" customHeight="1">
      <c r="A583" s="3"/>
      <c r="B583" s="3"/>
      <c r="C583" s="3"/>
      <c r="D583" s="3"/>
      <c r="E583" s="3"/>
      <c r="F583" s="3"/>
      <c r="G583" s="3"/>
      <c r="H583" s="3"/>
      <c r="I583" s="3"/>
    </row>
    <row r="584" ht="26.25" customHeight="1">
      <c r="A584" s="3"/>
      <c r="B584" s="3"/>
      <c r="C584" s="3"/>
      <c r="D584" s="3"/>
      <c r="E584" s="3"/>
      <c r="F584" s="3"/>
      <c r="G584" s="3"/>
      <c r="H584" s="3"/>
      <c r="I584" s="3"/>
    </row>
    <row r="585" ht="26.25" customHeight="1">
      <c r="A585" s="3"/>
      <c r="B585" s="3"/>
      <c r="C585" s="3"/>
      <c r="D585" s="3"/>
      <c r="E585" s="3"/>
      <c r="F585" s="3"/>
      <c r="G585" s="3"/>
      <c r="H585" s="3"/>
      <c r="I585" s="3"/>
    </row>
    <row r="586" ht="26.25" customHeight="1">
      <c r="A586" s="3"/>
      <c r="B586" s="3"/>
      <c r="C586" s="3"/>
      <c r="D586" s="3"/>
      <c r="E586" s="3"/>
      <c r="F586" s="3"/>
      <c r="G586" s="3"/>
      <c r="H586" s="3"/>
      <c r="I586" s="3"/>
    </row>
    <row r="587" ht="26.25" customHeight="1">
      <c r="A587" s="3"/>
      <c r="B587" s="3"/>
      <c r="C587" s="3"/>
      <c r="D587" s="3"/>
      <c r="E587" s="3"/>
      <c r="F587" s="3"/>
      <c r="G587" s="3"/>
      <c r="H587" s="3"/>
      <c r="I587" s="3"/>
    </row>
    <row r="588" ht="26.25" customHeight="1">
      <c r="A588" s="3"/>
      <c r="B588" s="3"/>
      <c r="C588" s="3"/>
      <c r="D588" s="3"/>
      <c r="E588" s="3"/>
      <c r="F588" s="3"/>
      <c r="G588" s="3"/>
      <c r="H588" s="3"/>
      <c r="I588" s="3"/>
    </row>
    <row r="589" ht="26.25" customHeight="1">
      <c r="A589" s="3"/>
      <c r="B589" s="3"/>
      <c r="C589" s="3"/>
      <c r="D589" s="3"/>
      <c r="E589" s="3"/>
      <c r="F589" s="3"/>
      <c r="G589" s="3"/>
      <c r="H589" s="3"/>
      <c r="I589" s="3"/>
    </row>
    <row r="590" ht="26.25" customHeight="1">
      <c r="A590" s="3"/>
      <c r="B590" s="3"/>
      <c r="C590" s="3"/>
      <c r="D590" s="3"/>
      <c r="E590" s="3"/>
      <c r="F590" s="3"/>
      <c r="G590" s="3"/>
      <c r="H590" s="3"/>
      <c r="I590" s="3"/>
    </row>
    <row r="591" ht="26.25" customHeight="1">
      <c r="A591" s="3"/>
      <c r="B591" s="3"/>
      <c r="C591" s="3"/>
      <c r="D591" s="3"/>
      <c r="E591" s="3"/>
      <c r="F591" s="3"/>
      <c r="G591" s="3"/>
      <c r="H591" s="3"/>
      <c r="I591" s="3"/>
    </row>
    <row r="592" ht="26.25" customHeight="1">
      <c r="A592" s="3"/>
      <c r="B592" s="3"/>
      <c r="C592" s="3"/>
      <c r="D592" s="3"/>
      <c r="E592" s="3"/>
      <c r="F592" s="3"/>
      <c r="G592" s="3"/>
      <c r="H592" s="3"/>
      <c r="I592" s="3"/>
    </row>
    <row r="593" ht="26.25" customHeight="1">
      <c r="A593" s="3"/>
      <c r="B593" s="3"/>
      <c r="C593" s="3"/>
      <c r="D593" s="3"/>
      <c r="E593" s="3"/>
      <c r="F593" s="3"/>
      <c r="G593" s="3"/>
      <c r="H593" s="3"/>
      <c r="I593" s="3"/>
    </row>
    <row r="594" ht="26.25" customHeight="1">
      <c r="A594" s="3"/>
      <c r="B594" s="3"/>
      <c r="C594" s="3"/>
      <c r="D594" s="3"/>
      <c r="E594" s="3"/>
      <c r="F594" s="3"/>
      <c r="G594" s="3"/>
      <c r="H594" s="3"/>
      <c r="I594" s="3"/>
    </row>
    <row r="595" ht="26.25" customHeight="1">
      <c r="A595" s="3"/>
      <c r="B595" s="3"/>
      <c r="C595" s="3"/>
      <c r="D595" s="3"/>
      <c r="E595" s="3"/>
      <c r="F595" s="3"/>
      <c r="G595" s="3"/>
      <c r="H595" s="3"/>
      <c r="I595" s="3"/>
    </row>
    <row r="596" ht="26.25" customHeight="1">
      <c r="A596" s="3"/>
      <c r="B596" s="3"/>
      <c r="C596" s="3"/>
      <c r="D596" s="3"/>
      <c r="E596" s="3"/>
      <c r="F596" s="3"/>
      <c r="G596" s="3"/>
      <c r="H596" s="3"/>
      <c r="I596" s="3"/>
    </row>
    <row r="597" ht="26.25" customHeight="1">
      <c r="A597" s="3"/>
      <c r="B597" s="3"/>
      <c r="C597" s="3"/>
      <c r="D597" s="3"/>
      <c r="E597" s="3"/>
      <c r="F597" s="3"/>
      <c r="G597" s="3"/>
      <c r="H597" s="3"/>
      <c r="I597" s="3"/>
    </row>
    <row r="598" ht="26.25" customHeight="1">
      <c r="A598" s="3"/>
      <c r="B598" s="3"/>
      <c r="C598" s="3"/>
      <c r="D598" s="3"/>
      <c r="E598" s="3"/>
      <c r="F598" s="3"/>
      <c r="G598" s="3"/>
      <c r="H598" s="3"/>
      <c r="I598" s="3"/>
    </row>
    <row r="599" ht="26.25" customHeight="1">
      <c r="A599" s="3"/>
      <c r="B599" s="3"/>
      <c r="C599" s="3"/>
      <c r="D599" s="3"/>
      <c r="E599" s="3"/>
      <c r="F599" s="3"/>
      <c r="G599" s="3"/>
      <c r="H599" s="3"/>
      <c r="I599" s="3"/>
    </row>
    <row r="600" ht="26.25" customHeight="1">
      <c r="A600" s="3"/>
      <c r="B600" s="3"/>
      <c r="C600" s="3"/>
      <c r="D600" s="3"/>
      <c r="E600" s="3"/>
      <c r="F600" s="3"/>
      <c r="G600" s="3"/>
      <c r="H600" s="3"/>
      <c r="I600" s="3"/>
    </row>
    <row r="601" ht="26.25" customHeight="1">
      <c r="A601" s="3"/>
      <c r="B601" s="3"/>
      <c r="C601" s="3"/>
      <c r="D601" s="3"/>
      <c r="E601" s="3"/>
      <c r="F601" s="3"/>
      <c r="G601" s="3"/>
      <c r="H601" s="3"/>
      <c r="I601" s="3"/>
    </row>
    <row r="602" ht="26.25" customHeight="1">
      <c r="A602" s="3"/>
      <c r="B602" s="3"/>
      <c r="C602" s="3"/>
      <c r="D602" s="3"/>
      <c r="E602" s="3"/>
      <c r="F602" s="3"/>
      <c r="G602" s="3"/>
      <c r="H602" s="3"/>
      <c r="I602" s="3"/>
    </row>
    <row r="603" ht="26.25" customHeight="1">
      <c r="A603" s="3"/>
      <c r="B603" s="3"/>
      <c r="C603" s="3"/>
      <c r="D603" s="3"/>
      <c r="E603" s="3"/>
      <c r="F603" s="3"/>
      <c r="G603" s="3"/>
      <c r="H603" s="3"/>
      <c r="I603" s="3"/>
    </row>
    <row r="604" ht="26.25" customHeight="1">
      <c r="A604" s="3"/>
      <c r="B604" s="3"/>
      <c r="C604" s="3"/>
      <c r="D604" s="3"/>
      <c r="E604" s="3"/>
      <c r="F604" s="3"/>
      <c r="G604" s="3"/>
      <c r="H604" s="3"/>
      <c r="I604" s="3"/>
    </row>
    <row r="605" ht="26.25" customHeight="1">
      <c r="A605" s="3"/>
      <c r="B605" s="3"/>
      <c r="C605" s="3"/>
      <c r="D605" s="3"/>
      <c r="E605" s="3"/>
      <c r="F605" s="3"/>
      <c r="G605" s="3"/>
      <c r="H605" s="3"/>
      <c r="I605" s="3"/>
    </row>
    <row r="606" ht="26.25" customHeight="1">
      <c r="A606" s="3"/>
      <c r="B606" s="3"/>
      <c r="C606" s="3"/>
      <c r="D606" s="3"/>
      <c r="E606" s="3"/>
      <c r="F606" s="3"/>
      <c r="G606" s="3"/>
      <c r="H606" s="3"/>
      <c r="I606" s="3"/>
    </row>
    <row r="607" ht="26.25" customHeight="1">
      <c r="A607" s="3"/>
      <c r="B607" s="3"/>
      <c r="C607" s="3"/>
      <c r="D607" s="3"/>
      <c r="E607" s="3"/>
      <c r="F607" s="3"/>
      <c r="G607" s="3"/>
      <c r="H607" s="3"/>
      <c r="I607" s="3"/>
    </row>
    <row r="608" ht="26.25" customHeight="1">
      <c r="A608" s="3"/>
      <c r="B608" s="3"/>
      <c r="C608" s="3"/>
      <c r="D608" s="3"/>
      <c r="E608" s="3"/>
      <c r="F608" s="3"/>
      <c r="G608" s="3"/>
      <c r="H608" s="3"/>
      <c r="I608" s="3"/>
    </row>
    <row r="609" ht="26.25" customHeight="1">
      <c r="A609" s="3"/>
      <c r="B609" s="3"/>
      <c r="C609" s="3"/>
      <c r="D609" s="3"/>
      <c r="E609" s="3"/>
      <c r="F609" s="3"/>
      <c r="G609" s="3"/>
      <c r="H609" s="3"/>
      <c r="I609" s="3"/>
    </row>
    <row r="610" ht="26.25" customHeight="1">
      <c r="A610" s="3"/>
      <c r="B610" s="3"/>
      <c r="C610" s="3"/>
      <c r="D610" s="3"/>
      <c r="E610" s="3"/>
      <c r="F610" s="3"/>
      <c r="G610" s="3"/>
      <c r="H610" s="3"/>
      <c r="I610" s="3"/>
    </row>
    <row r="611" ht="26.25" customHeight="1">
      <c r="A611" s="3"/>
      <c r="B611" s="3"/>
      <c r="C611" s="3"/>
      <c r="D611" s="3"/>
      <c r="E611" s="3"/>
      <c r="F611" s="3"/>
      <c r="G611" s="3"/>
      <c r="H611" s="3"/>
      <c r="I611" s="3"/>
    </row>
    <row r="612" ht="26.25" customHeight="1">
      <c r="A612" s="3"/>
      <c r="B612" s="3"/>
      <c r="C612" s="3"/>
      <c r="D612" s="3"/>
      <c r="E612" s="3"/>
      <c r="F612" s="3"/>
      <c r="G612" s="3"/>
      <c r="H612" s="3"/>
      <c r="I612" s="3"/>
    </row>
    <row r="613" ht="26.25" customHeight="1">
      <c r="A613" s="3"/>
      <c r="B613" s="3"/>
      <c r="C613" s="3"/>
      <c r="D613" s="3"/>
      <c r="E613" s="3"/>
      <c r="F613" s="3"/>
      <c r="G613" s="3"/>
      <c r="H613" s="3"/>
      <c r="I613" s="3"/>
    </row>
    <row r="614" ht="26.25" customHeight="1">
      <c r="A614" s="3"/>
      <c r="B614" s="3"/>
      <c r="C614" s="3"/>
      <c r="D614" s="3"/>
      <c r="E614" s="3"/>
      <c r="F614" s="3"/>
      <c r="G614" s="3"/>
      <c r="H614" s="3"/>
      <c r="I614" s="3"/>
    </row>
    <row r="615" ht="26.25" customHeight="1">
      <c r="A615" s="3"/>
      <c r="B615" s="3"/>
      <c r="C615" s="3"/>
      <c r="D615" s="3"/>
      <c r="E615" s="3"/>
      <c r="F615" s="3"/>
      <c r="G615" s="3"/>
      <c r="H615" s="3"/>
      <c r="I615" s="3"/>
    </row>
    <row r="616" ht="26.25" customHeight="1">
      <c r="A616" s="3"/>
      <c r="B616" s="3"/>
      <c r="C616" s="3"/>
      <c r="D616" s="3"/>
      <c r="E616" s="3"/>
      <c r="F616" s="3"/>
      <c r="G616" s="3"/>
      <c r="H616" s="3"/>
      <c r="I616" s="3"/>
    </row>
    <row r="617" ht="26.25" customHeight="1">
      <c r="A617" s="3"/>
      <c r="B617" s="3"/>
      <c r="C617" s="3"/>
      <c r="D617" s="3"/>
      <c r="E617" s="3"/>
      <c r="F617" s="3"/>
      <c r="G617" s="3"/>
      <c r="H617" s="3"/>
      <c r="I617" s="3"/>
    </row>
    <row r="618" ht="26.25" customHeight="1">
      <c r="A618" s="3"/>
      <c r="B618" s="3"/>
      <c r="C618" s="3"/>
      <c r="D618" s="3"/>
      <c r="E618" s="3"/>
      <c r="F618" s="3"/>
      <c r="G618" s="3"/>
      <c r="H618" s="3"/>
      <c r="I618" s="3"/>
    </row>
    <row r="619" ht="26.25" customHeight="1">
      <c r="A619" s="3"/>
      <c r="B619" s="3"/>
      <c r="C619" s="3"/>
      <c r="D619" s="3"/>
      <c r="E619" s="3"/>
      <c r="F619" s="3"/>
      <c r="G619" s="3"/>
      <c r="H619" s="3"/>
      <c r="I619" s="3"/>
    </row>
    <row r="620" ht="26.25" customHeight="1">
      <c r="A620" s="3"/>
      <c r="B620" s="3"/>
      <c r="C620" s="3"/>
      <c r="D620" s="3"/>
      <c r="E620" s="3"/>
      <c r="F620" s="3"/>
      <c r="G620" s="3"/>
      <c r="H620" s="3"/>
      <c r="I620" s="3"/>
    </row>
    <row r="621" ht="26.25" customHeight="1">
      <c r="A621" s="3"/>
      <c r="B621" s="3"/>
      <c r="C621" s="3"/>
      <c r="D621" s="3"/>
      <c r="E621" s="3"/>
      <c r="F621" s="3"/>
      <c r="G621" s="3"/>
      <c r="H621" s="3"/>
      <c r="I621" s="3"/>
    </row>
    <row r="622" ht="26.25" customHeight="1">
      <c r="A622" s="3"/>
      <c r="B622" s="3"/>
      <c r="C622" s="3"/>
      <c r="D622" s="3"/>
      <c r="E622" s="3"/>
      <c r="F622" s="3"/>
      <c r="G622" s="3"/>
      <c r="H622" s="3"/>
      <c r="I622" s="3"/>
    </row>
    <row r="623" ht="26.25" customHeight="1">
      <c r="A623" s="3"/>
      <c r="B623" s="3"/>
      <c r="C623" s="3"/>
      <c r="D623" s="3"/>
      <c r="E623" s="3"/>
      <c r="F623" s="3"/>
      <c r="G623" s="3"/>
      <c r="H623" s="3"/>
      <c r="I623" s="3"/>
    </row>
    <row r="624" ht="26.25" customHeight="1">
      <c r="A624" s="3"/>
      <c r="B624" s="3"/>
      <c r="C624" s="3"/>
      <c r="D624" s="3"/>
      <c r="E624" s="3"/>
      <c r="F624" s="3"/>
      <c r="G624" s="3"/>
      <c r="H624" s="3"/>
      <c r="I624" s="3"/>
    </row>
    <row r="625" ht="26.25" customHeight="1">
      <c r="A625" s="3"/>
      <c r="B625" s="3"/>
      <c r="C625" s="3"/>
      <c r="D625" s="3"/>
      <c r="E625" s="3"/>
      <c r="F625" s="3"/>
      <c r="G625" s="3"/>
      <c r="H625" s="3"/>
      <c r="I625" s="3"/>
    </row>
    <row r="626" ht="26.25" customHeight="1">
      <c r="A626" s="3"/>
      <c r="B626" s="3"/>
      <c r="C626" s="3"/>
      <c r="D626" s="3"/>
      <c r="E626" s="3"/>
      <c r="F626" s="3"/>
      <c r="G626" s="3"/>
      <c r="H626" s="3"/>
      <c r="I626" s="3"/>
    </row>
    <row r="627" ht="26.25" customHeight="1">
      <c r="A627" s="3"/>
      <c r="B627" s="3"/>
      <c r="C627" s="3"/>
      <c r="D627" s="3"/>
      <c r="E627" s="3"/>
      <c r="F627" s="3"/>
      <c r="G627" s="3"/>
      <c r="H627" s="3"/>
      <c r="I627" s="3"/>
    </row>
    <row r="628" ht="26.25" customHeight="1">
      <c r="A628" s="3"/>
      <c r="B628" s="3"/>
      <c r="C628" s="3"/>
      <c r="D628" s="3"/>
      <c r="E628" s="3"/>
      <c r="F628" s="3"/>
      <c r="G628" s="3"/>
      <c r="H628" s="3"/>
      <c r="I628" s="3"/>
    </row>
    <row r="629" ht="26.25" customHeight="1">
      <c r="A629" s="3"/>
      <c r="B629" s="3"/>
      <c r="C629" s="3"/>
      <c r="D629" s="3"/>
      <c r="E629" s="3"/>
      <c r="F629" s="3"/>
      <c r="G629" s="3"/>
      <c r="H629" s="3"/>
      <c r="I629" s="3"/>
    </row>
    <row r="630" ht="26.25" customHeight="1">
      <c r="A630" s="3"/>
      <c r="B630" s="3"/>
      <c r="C630" s="3"/>
      <c r="D630" s="3"/>
      <c r="E630" s="3"/>
      <c r="F630" s="3"/>
      <c r="G630" s="3"/>
      <c r="H630" s="3"/>
      <c r="I630" s="3"/>
    </row>
    <row r="631" ht="26.25" customHeight="1">
      <c r="A631" s="3"/>
      <c r="B631" s="3"/>
      <c r="C631" s="3"/>
      <c r="D631" s="3"/>
      <c r="E631" s="3"/>
      <c r="F631" s="3"/>
      <c r="G631" s="3"/>
      <c r="H631" s="3"/>
      <c r="I631" s="3"/>
    </row>
    <row r="632" ht="26.25" customHeight="1">
      <c r="A632" s="3"/>
      <c r="B632" s="3"/>
      <c r="C632" s="3"/>
      <c r="D632" s="3"/>
      <c r="E632" s="3"/>
      <c r="F632" s="3"/>
      <c r="G632" s="3"/>
      <c r="H632" s="3"/>
      <c r="I632" s="3"/>
    </row>
    <row r="633" ht="26.25" customHeight="1">
      <c r="A633" s="3"/>
      <c r="B633" s="3"/>
      <c r="C633" s="3"/>
      <c r="D633" s="3"/>
      <c r="E633" s="3"/>
      <c r="F633" s="3"/>
      <c r="G633" s="3"/>
      <c r="H633" s="3"/>
      <c r="I633" s="3"/>
    </row>
    <row r="634" ht="26.25" customHeight="1">
      <c r="A634" s="3"/>
      <c r="B634" s="3"/>
      <c r="C634" s="3"/>
      <c r="D634" s="3"/>
      <c r="E634" s="3"/>
      <c r="F634" s="3"/>
      <c r="G634" s="3"/>
      <c r="H634" s="3"/>
      <c r="I634" s="3"/>
    </row>
    <row r="635" ht="26.25" customHeight="1">
      <c r="A635" s="3"/>
      <c r="B635" s="3"/>
      <c r="C635" s="3"/>
      <c r="D635" s="3"/>
      <c r="E635" s="3"/>
      <c r="F635" s="3"/>
      <c r="G635" s="3"/>
      <c r="H635" s="3"/>
      <c r="I635" s="3"/>
    </row>
    <row r="636" ht="26.25" customHeight="1">
      <c r="A636" s="3"/>
      <c r="B636" s="3"/>
      <c r="C636" s="3"/>
      <c r="D636" s="3"/>
      <c r="E636" s="3"/>
      <c r="F636" s="3"/>
      <c r="G636" s="3"/>
      <c r="H636" s="3"/>
      <c r="I636" s="3"/>
    </row>
    <row r="637" ht="26.25" customHeight="1">
      <c r="A637" s="3"/>
      <c r="B637" s="3"/>
      <c r="C637" s="3"/>
      <c r="D637" s="3"/>
      <c r="E637" s="3"/>
      <c r="F637" s="3"/>
      <c r="G637" s="3"/>
      <c r="H637" s="3"/>
      <c r="I637" s="3"/>
    </row>
    <row r="638" ht="26.25" customHeight="1">
      <c r="A638" s="3"/>
      <c r="B638" s="3"/>
      <c r="C638" s="3"/>
      <c r="D638" s="3"/>
      <c r="E638" s="3"/>
      <c r="F638" s="3"/>
      <c r="G638" s="3"/>
      <c r="H638" s="3"/>
      <c r="I638" s="3"/>
    </row>
    <row r="639" ht="26.25" customHeight="1">
      <c r="A639" s="3"/>
      <c r="B639" s="3"/>
      <c r="C639" s="3"/>
      <c r="D639" s="3"/>
      <c r="E639" s="3"/>
      <c r="F639" s="3"/>
      <c r="G639" s="3"/>
      <c r="H639" s="3"/>
      <c r="I639" s="3"/>
    </row>
    <row r="640" ht="26.25" customHeight="1">
      <c r="A640" s="3"/>
      <c r="B640" s="3"/>
      <c r="C640" s="3"/>
      <c r="D640" s="3"/>
      <c r="E640" s="3"/>
      <c r="F640" s="3"/>
      <c r="G640" s="3"/>
      <c r="H640" s="3"/>
      <c r="I640" s="3"/>
    </row>
    <row r="641" ht="26.25" customHeight="1">
      <c r="A641" s="3"/>
      <c r="B641" s="3"/>
      <c r="C641" s="3"/>
      <c r="D641" s="3"/>
      <c r="E641" s="3"/>
      <c r="F641" s="3"/>
      <c r="G641" s="3"/>
      <c r="H641" s="3"/>
      <c r="I641" s="3"/>
    </row>
    <row r="642" ht="26.25" customHeight="1">
      <c r="A642" s="3"/>
      <c r="B642" s="3"/>
      <c r="C642" s="3"/>
      <c r="D642" s="3"/>
      <c r="E642" s="3"/>
      <c r="F642" s="3"/>
      <c r="G642" s="3"/>
      <c r="H642" s="3"/>
      <c r="I642" s="3"/>
    </row>
    <row r="643" ht="26.25" customHeight="1">
      <c r="A643" s="3"/>
      <c r="B643" s="3"/>
      <c r="C643" s="3"/>
      <c r="D643" s="3"/>
      <c r="E643" s="3"/>
      <c r="F643" s="3"/>
      <c r="G643" s="3"/>
      <c r="H643" s="3"/>
      <c r="I643" s="3"/>
    </row>
    <row r="644" ht="26.25" customHeight="1">
      <c r="A644" s="3"/>
      <c r="B644" s="3"/>
      <c r="C644" s="3"/>
      <c r="D644" s="3"/>
      <c r="E644" s="3"/>
      <c r="F644" s="3"/>
      <c r="G644" s="3"/>
      <c r="H644" s="3"/>
      <c r="I644" s="3"/>
    </row>
    <row r="645" ht="26.25" customHeight="1">
      <c r="A645" s="3"/>
      <c r="B645" s="3"/>
      <c r="C645" s="3"/>
      <c r="D645" s="3"/>
      <c r="E645" s="3"/>
      <c r="F645" s="3"/>
      <c r="G645" s="3"/>
      <c r="H645" s="3"/>
      <c r="I645" s="3"/>
    </row>
    <row r="646" ht="26.25" customHeight="1">
      <c r="A646" s="3"/>
      <c r="B646" s="3"/>
      <c r="C646" s="3"/>
      <c r="D646" s="3"/>
      <c r="E646" s="3"/>
      <c r="F646" s="3"/>
      <c r="G646" s="3"/>
      <c r="H646" s="3"/>
      <c r="I646" s="3"/>
    </row>
    <row r="647" ht="26.25" customHeight="1">
      <c r="A647" s="3"/>
      <c r="B647" s="3"/>
      <c r="C647" s="3"/>
      <c r="D647" s="3"/>
      <c r="E647" s="3"/>
      <c r="F647" s="3"/>
      <c r="G647" s="3"/>
      <c r="H647" s="3"/>
      <c r="I647" s="3"/>
    </row>
    <row r="648" ht="26.25" customHeight="1">
      <c r="A648" s="3"/>
      <c r="B648" s="3"/>
      <c r="C648" s="3"/>
      <c r="D648" s="3"/>
      <c r="E648" s="3"/>
      <c r="F648" s="3"/>
      <c r="G648" s="3"/>
      <c r="H648" s="3"/>
      <c r="I648" s="3"/>
    </row>
    <row r="649" ht="26.25" customHeight="1">
      <c r="A649" s="3"/>
      <c r="B649" s="3"/>
      <c r="C649" s="3"/>
      <c r="D649" s="3"/>
      <c r="E649" s="3"/>
      <c r="F649" s="3"/>
      <c r="G649" s="3"/>
      <c r="H649" s="3"/>
      <c r="I649" s="3"/>
    </row>
    <row r="650" ht="26.25" customHeight="1">
      <c r="A650" s="3"/>
      <c r="B650" s="3"/>
      <c r="C650" s="3"/>
      <c r="D650" s="3"/>
      <c r="E650" s="3"/>
      <c r="F650" s="3"/>
      <c r="G650" s="3"/>
      <c r="H650" s="3"/>
      <c r="I650" s="3"/>
    </row>
    <row r="651" ht="26.25" customHeight="1">
      <c r="A651" s="3"/>
      <c r="B651" s="3"/>
      <c r="C651" s="3"/>
      <c r="D651" s="3"/>
      <c r="E651" s="3"/>
      <c r="F651" s="3"/>
      <c r="G651" s="3"/>
      <c r="H651" s="3"/>
      <c r="I651" s="3"/>
    </row>
    <row r="652" ht="26.25" customHeight="1">
      <c r="A652" s="3"/>
      <c r="B652" s="3"/>
      <c r="C652" s="3"/>
      <c r="D652" s="3"/>
      <c r="E652" s="3"/>
      <c r="F652" s="3"/>
      <c r="G652" s="3"/>
      <c r="H652" s="3"/>
      <c r="I652" s="3"/>
    </row>
    <row r="653" ht="26.25" customHeight="1">
      <c r="A653" s="3"/>
      <c r="B653" s="3"/>
      <c r="C653" s="3"/>
      <c r="D653" s="3"/>
      <c r="E653" s="3"/>
      <c r="F653" s="3"/>
      <c r="G653" s="3"/>
      <c r="H653" s="3"/>
      <c r="I653" s="3"/>
    </row>
    <row r="654" ht="26.25" customHeight="1">
      <c r="A654" s="3"/>
      <c r="B654" s="3"/>
      <c r="C654" s="3"/>
      <c r="D654" s="3"/>
      <c r="E654" s="3"/>
      <c r="F654" s="3"/>
      <c r="G654" s="3"/>
      <c r="H654" s="3"/>
      <c r="I654" s="3"/>
    </row>
    <row r="655" ht="26.25" customHeight="1">
      <c r="A655" s="3"/>
      <c r="B655" s="3"/>
      <c r="C655" s="3"/>
      <c r="D655" s="3"/>
      <c r="E655" s="3"/>
      <c r="F655" s="3"/>
      <c r="G655" s="3"/>
      <c r="H655" s="3"/>
      <c r="I655" s="3"/>
    </row>
    <row r="656" ht="26.25" customHeight="1">
      <c r="A656" s="3"/>
      <c r="B656" s="3"/>
      <c r="C656" s="3"/>
      <c r="D656" s="3"/>
      <c r="E656" s="3"/>
      <c r="F656" s="3"/>
      <c r="G656" s="3"/>
      <c r="H656" s="3"/>
      <c r="I656" s="3"/>
    </row>
    <row r="657" ht="26.25" customHeight="1">
      <c r="A657" s="3"/>
      <c r="B657" s="3"/>
      <c r="C657" s="3"/>
      <c r="D657" s="3"/>
      <c r="E657" s="3"/>
      <c r="F657" s="3"/>
      <c r="G657" s="3"/>
      <c r="H657" s="3"/>
      <c r="I657" s="3"/>
    </row>
    <row r="658" ht="26.25" customHeight="1">
      <c r="A658" s="3"/>
      <c r="B658" s="3"/>
      <c r="C658" s="3"/>
      <c r="D658" s="3"/>
      <c r="E658" s="3"/>
      <c r="F658" s="3"/>
      <c r="G658" s="3"/>
      <c r="H658" s="3"/>
      <c r="I658" s="3"/>
    </row>
    <row r="659" ht="26.25" customHeight="1">
      <c r="A659" s="3"/>
      <c r="B659" s="3"/>
      <c r="C659" s="3"/>
      <c r="D659" s="3"/>
      <c r="E659" s="3"/>
      <c r="F659" s="3"/>
      <c r="G659" s="3"/>
      <c r="H659" s="3"/>
      <c r="I659" s="3"/>
    </row>
    <row r="660" ht="26.25" customHeight="1">
      <c r="A660" s="3"/>
      <c r="B660" s="3"/>
      <c r="C660" s="3"/>
      <c r="D660" s="3"/>
      <c r="E660" s="3"/>
      <c r="F660" s="3"/>
      <c r="G660" s="3"/>
      <c r="H660" s="3"/>
      <c r="I660" s="3"/>
    </row>
    <row r="661" ht="26.25" customHeight="1">
      <c r="A661" s="3"/>
      <c r="B661" s="3"/>
      <c r="C661" s="3"/>
      <c r="D661" s="3"/>
      <c r="E661" s="3"/>
      <c r="F661" s="3"/>
      <c r="G661" s="3"/>
      <c r="H661" s="3"/>
      <c r="I661" s="3"/>
    </row>
    <row r="662" ht="26.25" customHeight="1">
      <c r="A662" s="3"/>
      <c r="B662" s="3"/>
      <c r="C662" s="3"/>
      <c r="D662" s="3"/>
      <c r="E662" s="3"/>
      <c r="F662" s="3"/>
      <c r="G662" s="3"/>
      <c r="H662" s="3"/>
      <c r="I662" s="3"/>
    </row>
    <row r="663" ht="26.25" customHeight="1">
      <c r="A663" s="3"/>
      <c r="B663" s="3"/>
      <c r="C663" s="3"/>
      <c r="D663" s="3"/>
      <c r="E663" s="3"/>
      <c r="F663" s="3"/>
      <c r="G663" s="3"/>
      <c r="H663" s="3"/>
      <c r="I663" s="3"/>
    </row>
    <row r="664" ht="26.25" customHeight="1">
      <c r="A664" s="3"/>
      <c r="B664" s="3"/>
      <c r="C664" s="3"/>
      <c r="D664" s="3"/>
      <c r="E664" s="3"/>
      <c r="F664" s="3"/>
      <c r="G664" s="3"/>
      <c r="H664" s="3"/>
      <c r="I664" s="3"/>
    </row>
    <row r="665" ht="26.25" customHeight="1">
      <c r="A665" s="3"/>
      <c r="B665" s="3"/>
      <c r="C665" s="3"/>
      <c r="D665" s="3"/>
      <c r="E665" s="3"/>
      <c r="F665" s="3"/>
      <c r="G665" s="3"/>
      <c r="H665" s="3"/>
      <c r="I665" s="3"/>
    </row>
    <row r="666" ht="26.25" customHeight="1">
      <c r="A666" s="3"/>
      <c r="B666" s="3"/>
      <c r="C666" s="3"/>
      <c r="D666" s="3"/>
      <c r="E666" s="3"/>
      <c r="F666" s="3"/>
      <c r="G666" s="3"/>
      <c r="H666" s="3"/>
      <c r="I666" s="3"/>
    </row>
    <row r="667" ht="26.25" customHeight="1">
      <c r="A667" s="3"/>
      <c r="B667" s="3"/>
      <c r="C667" s="3"/>
      <c r="D667" s="3"/>
      <c r="E667" s="3"/>
      <c r="F667" s="3"/>
      <c r="G667" s="3"/>
      <c r="H667" s="3"/>
      <c r="I667" s="3"/>
    </row>
    <row r="668" ht="26.25" customHeight="1">
      <c r="A668" s="3"/>
      <c r="B668" s="3"/>
      <c r="C668" s="3"/>
      <c r="D668" s="3"/>
      <c r="E668" s="3"/>
      <c r="F668" s="3"/>
      <c r="G668" s="3"/>
      <c r="H668" s="3"/>
      <c r="I668" s="3"/>
    </row>
    <row r="669" ht="26.25" customHeight="1">
      <c r="A669" s="3"/>
      <c r="B669" s="3"/>
      <c r="C669" s="3"/>
      <c r="D669" s="3"/>
      <c r="E669" s="3"/>
      <c r="F669" s="3"/>
      <c r="G669" s="3"/>
      <c r="H669" s="3"/>
      <c r="I669" s="3"/>
    </row>
    <row r="670" ht="26.25" customHeight="1">
      <c r="A670" s="3"/>
      <c r="B670" s="3"/>
      <c r="C670" s="3"/>
      <c r="D670" s="3"/>
      <c r="E670" s="3"/>
      <c r="F670" s="3"/>
      <c r="G670" s="3"/>
      <c r="H670" s="3"/>
      <c r="I670" s="3"/>
    </row>
    <row r="671" ht="26.25" customHeight="1">
      <c r="A671" s="3"/>
      <c r="B671" s="3"/>
      <c r="C671" s="3"/>
      <c r="D671" s="3"/>
      <c r="E671" s="3"/>
      <c r="F671" s="3"/>
      <c r="G671" s="3"/>
      <c r="H671" s="3"/>
      <c r="I671" s="3"/>
    </row>
    <row r="672" ht="26.25" customHeight="1">
      <c r="A672" s="3"/>
      <c r="B672" s="3"/>
      <c r="C672" s="3"/>
      <c r="D672" s="3"/>
      <c r="E672" s="3"/>
      <c r="F672" s="3"/>
      <c r="G672" s="3"/>
      <c r="H672" s="3"/>
      <c r="I672" s="3"/>
    </row>
    <row r="673" ht="26.25" customHeight="1">
      <c r="A673" s="3"/>
      <c r="B673" s="3"/>
      <c r="C673" s="3"/>
      <c r="D673" s="3"/>
      <c r="E673" s="3"/>
      <c r="F673" s="3"/>
      <c r="G673" s="3"/>
      <c r="H673" s="3"/>
      <c r="I673" s="3"/>
    </row>
    <row r="674" ht="26.25" customHeight="1">
      <c r="A674" s="3"/>
      <c r="B674" s="3"/>
      <c r="C674" s="3"/>
      <c r="D674" s="3"/>
      <c r="E674" s="3"/>
      <c r="F674" s="3"/>
      <c r="G674" s="3"/>
      <c r="H674" s="3"/>
      <c r="I674" s="3"/>
    </row>
    <row r="675" ht="26.25" customHeight="1">
      <c r="A675" s="3"/>
      <c r="B675" s="3"/>
      <c r="C675" s="3"/>
      <c r="D675" s="3"/>
      <c r="E675" s="3"/>
      <c r="F675" s="3"/>
      <c r="G675" s="3"/>
      <c r="H675" s="3"/>
      <c r="I675" s="3"/>
    </row>
    <row r="676" ht="26.25" customHeight="1">
      <c r="A676" s="3"/>
      <c r="B676" s="3"/>
      <c r="C676" s="3"/>
      <c r="D676" s="3"/>
      <c r="E676" s="3"/>
      <c r="F676" s="3"/>
      <c r="G676" s="3"/>
      <c r="H676" s="3"/>
      <c r="I676" s="3"/>
    </row>
    <row r="677" ht="26.25" customHeight="1">
      <c r="A677" s="3"/>
      <c r="B677" s="3"/>
      <c r="C677" s="3"/>
      <c r="D677" s="3"/>
      <c r="E677" s="3"/>
      <c r="F677" s="3"/>
      <c r="G677" s="3"/>
      <c r="H677" s="3"/>
      <c r="I677" s="3"/>
    </row>
    <row r="678" ht="26.25" customHeight="1">
      <c r="A678" s="3"/>
      <c r="B678" s="3"/>
      <c r="C678" s="3"/>
      <c r="D678" s="3"/>
      <c r="E678" s="3"/>
      <c r="F678" s="3"/>
      <c r="G678" s="3"/>
      <c r="H678" s="3"/>
      <c r="I678" s="3"/>
    </row>
    <row r="679" ht="26.25" customHeight="1">
      <c r="A679" s="3"/>
      <c r="B679" s="3"/>
      <c r="C679" s="3"/>
      <c r="D679" s="3"/>
      <c r="E679" s="3"/>
      <c r="F679" s="3"/>
      <c r="G679" s="3"/>
      <c r="H679" s="3"/>
      <c r="I679" s="3"/>
    </row>
    <row r="680" ht="26.25" customHeight="1">
      <c r="A680" s="3"/>
      <c r="B680" s="3"/>
      <c r="C680" s="3"/>
      <c r="D680" s="3"/>
      <c r="E680" s="3"/>
      <c r="F680" s="3"/>
      <c r="G680" s="3"/>
      <c r="H680" s="3"/>
      <c r="I680" s="3"/>
    </row>
    <row r="681" ht="26.25" customHeight="1">
      <c r="A681" s="3"/>
      <c r="B681" s="3"/>
      <c r="C681" s="3"/>
      <c r="D681" s="3"/>
      <c r="E681" s="3"/>
      <c r="F681" s="3"/>
      <c r="G681" s="3"/>
      <c r="H681" s="3"/>
      <c r="I681" s="3"/>
    </row>
    <row r="682" ht="26.25" customHeight="1">
      <c r="A682" s="3"/>
      <c r="B682" s="3"/>
      <c r="C682" s="3"/>
      <c r="D682" s="3"/>
      <c r="E682" s="3"/>
      <c r="F682" s="3"/>
      <c r="G682" s="3"/>
      <c r="H682" s="3"/>
      <c r="I682" s="3"/>
    </row>
    <row r="683" ht="26.25" customHeight="1">
      <c r="A683" s="3"/>
      <c r="B683" s="3"/>
      <c r="C683" s="3"/>
      <c r="D683" s="3"/>
      <c r="E683" s="3"/>
      <c r="F683" s="3"/>
      <c r="G683" s="3"/>
      <c r="H683" s="3"/>
      <c r="I683" s="3"/>
    </row>
    <row r="684" ht="26.25" customHeight="1">
      <c r="A684" s="3"/>
      <c r="B684" s="3"/>
      <c r="C684" s="3"/>
      <c r="D684" s="3"/>
      <c r="E684" s="3"/>
      <c r="F684" s="3"/>
      <c r="G684" s="3"/>
      <c r="H684" s="3"/>
      <c r="I684" s="3"/>
    </row>
    <row r="685" ht="26.25" customHeight="1">
      <c r="A685" s="3"/>
      <c r="B685" s="3"/>
      <c r="C685" s="3"/>
      <c r="D685" s="3"/>
      <c r="E685" s="3"/>
      <c r="F685" s="3"/>
      <c r="G685" s="3"/>
      <c r="H685" s="3"/>
      <c r="I685" s="3"/>
    </row>
    <row r="686" ht="26.25" customHeight="1">
      <c r="A686" s="3"/>
      <c r="B686" s="3"/>
      <c r="C686" s="3"/>
      <c r="D686" s="3"/>
      <c r="E686" s="3"/>
      <c r="F686" s="3"/>
      <c r="G686" s="3"/>
      <c r="H686" s="3"/>
      <c r="I686" s="3"/>
    </row>
    <row r="687" ht="26.25" customHeight="1">
      <c r="A687" s="3"/>
      <c r="B687" s="3"/>
      <c r="C687" s="3"/>
      <c r="D687" s="3"/>
      <c r="E687" s="3"/>
      <c r="F687" s="3"/>
      <c r="G687" s="3"/>
      <c r="H687" s="3"/>
      <c r="I687" s="3"/>
    </row>
    <row r="688" ht="26.25" customHeight="1">
      <c r="A688" s="3"/>
      <c r="B688" s="3"/>
      <c r="C688" s="3"/>
      <c r="D688" s="3"/>
      <c r="E688" s="3"/>
      <c r="F688" s="3"/>
      <c r="G688" s="3"/>
      <c r="H688" s="3"/>
      <c r="I688" s="3"/>
    </row>
    <row r="689" ht="26.25" customHeight="1">
      <c r="A689" s="3"/>
      <c r="B689" s="3"/>
      <c r="C689" s="3"/>
      <c r="D689" s="3"/>
      <c r="E689" s="3"/>
      <c r="F689" s="3"/>
      <c r="G689" s="3"/>
      <c r="H689" s="3"/>
      <c r="I689" s="3"/>
    </row>
    <row r="690" ht="26.25" customHeight="1">
      <c r="A690" s="3"/>
      <c r="B690" s="3"/>
      <c r="C690" s="3"/>
      <c r="D690" s="3"/>
      <c r="E690" s="3"/>
      <c r="F690" s="3"/>
      <c r="G690" s="3"/>
      <c r="H690" s="3"/>
      <c r="I690" s="3"/>
    </row>
    <row r="691" ht="26.25" customHeight="1">
      <c r="A691" s="3"/>
      <c r="B691" s="3"/>
      <c r="C691" s="3"/>
      <c r="D691" s="3"/>
      <c r="E691" s="3"/>
      <c r="F691" s="3"/>
      <c r="G691" s="3"/>
      <c r="H691" s="3"/>
      <c r="I691" s="3"/>
    </row>
    <row r="692" ht="26.25" customHeight="1">
      <c r="A692" s="3"/>
      <c r="B692" s="3"/>
      <c r="C692" s="3"/>
      <c r="D692" s="3"/>
      <c r="E692" s="3"/>
      <c r="F692" s="3"/>
      <c r="G692" s="3"/>
      <c r="H692" s="3"/>
      <c r="I692" s="3"/>
    </row>
    <row r="693" ht="26.25" customHeight="1">
      <c r="A693" s="3"/>
      <c r="B693" s="3"/>
      <c r="C693" s="3"/>
      <c r="D693" s="3"/>
      <c r="E693" s="3"/>
      <c r="F693" s="3"/>
      <c r="G693" s="3"/>
      <c r="H693" s="3"/>
      <c r="I693" s="3"/>
    </row>
    <row r="694" ht="26.25" customHeight="1">
      <c r="A694" s="3"/>
      <c r="B694" s="3"/>
      <c r="C694" s="3"/>
      <c r="D694" s="3"/>
      <c r="E694" s="3"/>
      <c r="F694" s="3"/>
      <c r="G694" s="3"/>
      <c r="H694" s="3"/>
      <c r="I694" s="3"/>
    </row>
    <row r="695" ht="26.25" customHeight="1">
      <c r="A695" s="3"/>
      <c r="B695" s="3"/>
      <c r="C695" s="3"/>
      <c r="D695" s="3"/>
      <c r="E695" s="3"/>
      <c r="F695" s="3"/>
      <c r="G695" s="3"/>
      <c r="H695" s="3"/>
      <c r="I695" s="3"/>
    </row>
    <row r="696" ht="26.25" customHeight="1">
      <c r="A696" s="3"/>
      <c r="B696" s="3"/>
      <c r="C696" s="3"/>
      <c r="D696" s="3"/>
      <c r="E696" s="3"/>
      <c r="F696" s="3"/>
      <c r="G696" s="3"/>
      <c r="H696" s="3"/>
      <c r="I696" s="3"/>
    </row>
    <row r="697" ht="26.25" customHeight="1">
      <c r="A697" s="3"/>
      <c r="B697" s="3"/>
      <c r="C697" s="3"/>
      <c r="D697" s="3"/>
      <c r="E697" s="3"/>
      <c r="F697" s="3"/>
      <c r="G697" s="3"/>
      <c r="H697" s="3"/>
      <c r="I697" s="3"/>
    </row>
    <row r="698" ht="26.25" customHeight="1">
      <c r="A698" s="3"/>
      <c r="B698" s="3"/>
      <c r="C698" s="3"/>
      <c r="D698" s="3"/>
      <c r="E698" s="3"/>
      <c r="F698" s="3"/>
      <c r="G698" s="3"/>
      <c r="H698" s="3"/>
      <c r="I698" s="3"/>
    </row>
    <row r="699" ht="26.25" customHeight="1">
      <c r="A699" s="3"/>
      <c r="B699" s="3"/>
      <c r="C699" s="3"/>
      <c r="D699" s="3"/>
      <c r="E699" s="3"/>
      <c r="F699" s="3"/>
      <c r="G699" s="3"/>
      <c r="H699" s="3"/>
      <c r="I699" s="3"/>
    </row>
    <row r="700" ht="26.25" customHeight="1">
      <c r="A700" s="3"/>
      <c r="B700" s="3"/>
      <c r="C700" s="3"/>
      <c r="D700" s="3"/>
      <c r="E700" s="3"/>
      <c r="F700" s="3"/>
      <c r="G700" s="3"/>
      <c r="H700" s="3"/>
      <c r="I700" s="3"/>
    </row>
    <row r="701" ht="26.25" customHeight="1">
      <c r="A701" s="3"/>
      <c r="B701" s="3"/>
      <c r="C701" s="3"/>
      <c r="D701" s="3"/>
      <c r="E701" s="3"/>
      <c r="F701" s="3"/>
      <c r="G701" s="3"/>
      <c r="H701" s="3"/>
      <c r="I701" s="3"/>
    </row>
    <row r="702" ht="26.25" customHeight="1">
      <c r="A702" s="3"/>
      <c r="B702" s="3"/>
      <c r="C702" s="3"/>
      <c r="D702" s="3"/>
      <c r="E702" s="3"/>
      <c r="F702" s="3"/>
      <c r="G702" s="3"/>
      <c r="H702" s="3"/>
      <c r="I702" s="3"/>
    </row>
    <row r="703" ht="26.25" customHeight="1">
      <c r="A703" s="3"/>
      <c r="B703" s="3"/>
      <c r="C703" s="3"/>
      <c r="D703" s="3"/>
      <c r="E703" s="3"/>
      <c r="F703" s="3"/>
      <c r="G703" s="3"/>
      <c r="H703" s="3"/>
      <c r="I703" s="3"/>
    </row>
    <row r="704" ht="26.25" customHeight="1">
      <c r="A704" s="3"/>
      <c r="B704" s="3"/>
      <c r="C704" s="3"/>
      <c r="D704" s="3"/>
      <c r="E704" s="3"/>
      <c r="F704" s="3"/>
      <c r="G704" s="3"/>
      <c r="H704" s="3"/>
      <c r="I704" s="3"/>
    </row>
    <row r="705" ht="26.25" customHeight="1">
      <c r="A705" s="3"/>
      <c r="B705" s="3"/>
      <c r="C705" s="3"/>
      <c r="D705" s="3"/>
      <c r="E705" s="3"/>
      <c r="F705" s="3"/>
      <c r="G705" s="3"/>
      <c r="H705" s="3"/>
      <c r="I705" s="3"/>
    </row>
    <row r="706" ht="26.25" customHeight="1">
      <c r="A706" s="3"/>
      <c r="B706" s="3"/>
      <c r="C706" s="3"/>
      <c r="D706" s="3"/>
      <c r="E706" s="3"/>
      <c r="F706" s="3"/>
      <c r="G706" s="3"/>
      <c r="H706" s="3"/>
      <c r="I706" s="3"/>
    </row>
    <row r="707" ht="26.25" customHeight="1">
      <c r="A707" s="3"/>
      <c r="B707" s="3"/>
      <c r="C707" s="3"/>
      <c r="D707" s="3"/>
      <c r="E707" s="3"/>
      <c r="F707" s="3"/>
      <c r="G707" s="3"/>
      <c r="H707" s="3"/>
      <c r="I707" s="3"/>
    </row>
    <row r="708" ht="26.25" customHeight="1">
      <c r="A708" s="3"/>
      <c r="B708" s="3"/>
      <c r="C708" s="3"/>
      <c r="D708" s="3"/>
      <c r="E708" s="3"/>
      <c r="F708" s="3"/>
      <c r="G708" s="3"/>
      <c r="H708" s="3"/>
      <c r="I708" s="3"/>
    </row>
    <row r="709" ht="26.25" customHeight="1">
      <c r="A709" s="3"/>
      <c r="B709" s="3"/>
      <c r="C709" s="3"/>
      <c r="D709" s="3"/>
      <c r="E709" s="3"/>
      <c r="F709" s="3"/>
      <c r="G709" s="3"/>
      <c r="H709" s="3"/>
      <c r="I709" s="3"/>
    </row>
    <row r="710" ht="26.25" customHeight="1">
      <c r="A710" s="3"/>
      <c r="B710" s="3"/>
      <c r="C710" s="3"/>
      <c r="D710" s="3"/>
      <c r="E710" s="3"/>
      <c r="F710" s="3"/>
      <c r="G710" s="3"/>
      <c r="H710" s="3"/>
      <c r="I710" s="3"/>
    </row>
    <row r="711" ht="26.25" customHeight="1">
      <c r="A711" s="3"/>
      <c r="B711" s="3"/>
      <c r="C711" s="3"/>
      <c r="D711" s="3"/>
      <c r="E711" s="3"/>
      <c r="F711" s="3"/>
      <c r="G711" s="3"/>
      <c r="H711" s="3"/>
      <c r="I711" s="3"/>
    </row>
    <row r="712" ht="26.25" customHeight="1">
      <c r="A712" s="3"/>
      <c r="B712" s="3"/>
      <c r="C712" s="3"/>
      <c r="D712" s="3"/>
      <c r="E712" s="3"/>
      <c r="F712" s="3"/>
      <c r="G712" s="3"/>
      <c r="H712" s="3"/>
      <c r="I712" s="3"/>
    </row>
    <row r="713" ht="26.25" customHeight="1">
      <c r="A713" s="3"/>
      <c r="B713" s="3"/>
      <c r="C713" s="3"/>
      <c r="D713" s="3"/>
      <c r="E713" s="3"/>
      <c r="F713" s="3"/>
      <c r="G713" s="3"/>
      <c r="H713" s="3"/>
      <c r="I713" s="3"/>
    </row>
    <row r="714" ht="26.25" customHeight="1">
      <c r="A714" s="3"/>
      <c r="B714" s="3"/>
      <c r="C714" s="3"/>
      <c r="D714" s="3"/>
      <c r="E714" s="3"/>
      <c r="F714" s="3"/>
      <c r="G714" s="3"/>
      <c r="H714" s="3"/>
      <c r="I714" s="3"/>
    </row>
    <row r="715" ht="26.25" customHeight="1">
      <c r="A715" s="3"/>
      <c r="B715" s="3"/>
      <c r="C715" s="3"/>
      <c r="D715" s="3"/>
      <c r="E715" s="3"/>
      <c r="F715" s="3"/>
      <c r="G715" s="3"/>
      <c r="H715" s="3"/>
      <c r="I715" s="3"/>
    </row>
    <row r="716" ht="26.25" customHeight="1">
      <c r="A716" s="3"/>
      <c r="B716" s="3"/>
      <c r="C716" s="3"/>
      <c r="D716" s="3"/>
      <c r="E716" s="3"/>
      <c r="F716" s="3"/>
      <c r="G716" s="3"/>
      <c r="H716" s="3"/>
      <c r="I716" s="3"/>
    </row>
    <row r="717" ht="26.25" customHeight="1">
      <c r="A717" s="3"/>
      <c r="B717" s="3"/>
      <c r="C717" s="3"/>
      <c r="D717" s="3"/>
      <c r="E717" s="3"/>
      <c r="F717" s="3"/>
      <c r="G717" s="3"/>
      <c r="H717" s="3"/>
      <c r="I717" s="3"/>
    </row>
    <row r="718" ht="26.25" customHeight="1">
      <c r="A718" s="3"/>
      <c r="B718" s="3"/>
      <c r="C718" s="3"/>
      <c r="D718" s="3"/>
      <c r="E718" s="3"/>
      <c r="F718" s="3"/>
      <c r="G718" s="3"/>
      <c r="H718" s="3"/>
      <c r="I718" s="3"/>
    </row>
    <row r="719" ht="26.25" customHeight="1">
      <c r="A719" s="3"/>
      <c r="B719" s="3"/>
      <c r="C719" s="3"/>
      <c r="D719" s="3"/>
      <c r="E719" s="3"/>
      <c r="F719" s="3"/>
      <c r="G719" s="3"/>
      <c r="H719" s="3"/>
      <c r="I719" s="3"/>
    </row>
    <row r="720" ht="26.25" customHeight="1">
      <c r="A720" s="3"/>
      <c r="B720" s="3"/>
      <c r="C720" s="3"/>
      <c r="D720" s="3"/>
      <c r="E720" s="3"/>
      <c r="F720" s="3"/>
      <c r="G720" s="3"/>
      <c r="H720" s="3"/>
      <c r="I720" s="3"/>
    </row>
    <row r="721" ht="26.25" customHeight="1">
      <c r="A721" s="3"/>
      <c r="B721" s="3"/>
      <c r="C721" s="3"/>
      <c r="D721" s="3"/>
      <c r="E721" s="3"/>
      <c r="F721" s="3"/>
      <c r="G721" s="3"/>
      <c r="H721" s="3"/>
      <c r="I721" s="3"/>
    </row>
    <row r="722" ht="26.25" customHeight="1">
      <c r="A722" s="3"/>
      <c r="B722" s="3"/>
      <c r="C722" s="3"/>
      <c r="D722" s="3"/>
      <c r="E722" s="3"/>
      <c r="F722" s="3"/>
      <c r="G722" s="3"/>
      <c r="H722" s="3"/>
      <c r="I722" s="3"/>
    </row>
    <row r="723" ht="26.25" customHeight="1">
      <c r="A723" s="3"/>
      <c r="B723" s="3"/>
      <c r="C723" s="3"/>
      <c r="D723" s="3"/>
      <c r="E723" s="3"/>
      <c r="F723" s="3"/>
      <c r="G723" s="3"/>
      <c r="H723" s="3"/>
      <c r="I723" s="3"/>
    </row>
    <row r="724" ht="26.25" customHeight="1">
      <c r="A724" s="3"/>
      <c r="B724" s="3"/>
      <c r="C724" s="3"/>
      <c r="D724" s="3"/>
      <c r="E724" s="3"/>
      <c r="F724" s="3"/>
      <c r="G724" s="3"/>
      <c r="H724" s="3"/>
      <c r="I724" s="3"/>
    </row>
    <row r="725" ht="26.25" customHeight="1">
      <c r="A725" s="3"/>
      <c r="B725" s="3"/>
      <c r="C725" s="3"/>
      <c r="D725" s="3"/>
      <c r="E725" s="3"/>
      <c r="F725" s="3"/>
      <c r="G725" s="3"/>
      <c r="H725" s="3"/>
      <c r="I725" s="3"/>
    </row>
    <row r="726" ht="26.25" customHeight="1">
      <c r="A726" s="3"/>
      <c r="B726" s="3"/>
      <c r="C726" s="3"/>
      <c r="D726" s="3"/>
      <c r="E726" s="3"/>
      <c r="F726" s="3"/>
      <c r="G726" s="3"/>
      <c r="H726" s="3"/>
      <c r="I726" s="3"/>
    </row>
    <row r="727" ht="26.25" customHeight="1">
      <c r="A727" s="3"/>
      <c r="B727" s="3"/>
      <c r="C727" s="3"/>
      <c r="D727" s="3"/>
      <c r="E727" s="3"/>
      <c r="F727" s="3"/>
      <c r="G727" s="3"/>
      <c r="H727" s="3"/>
      <c r="I727" s="3"/>
    </row>
    <row r="728" ht="26.25" customHeight="1">
      <c r="A728" s="3"/>
      <c r="B728" s="3"/>
      <c r="C728" s="3"/>
      <c r="D728" s="3"/>
      <c r="E728" s="3"/>
      <c r="F728" s="3"/>
      <c r="G728" s="3"/>
      <c r="H728" s="3"/>
      <c r="I728" s="3"/>
    </row>
    <row r="729" ht="26.25" customHeight="1">
      <c r="A729" s="3"/>
      <c r="B729" s="3"/>
      <c r="C729" s="3"/>
      <c r="D729" s="3"/>
      <c r="E729" s="3"/>
      <c r="F729" s="3"/>
      <c r="G729" s="3"/>
      <c r="H729" s="3"/>
      <c r="I729" s="3"/>
    </row>
    <row r="730" ht="26.25" customHeight="1">
      <c r="A730" s="3"/>
      <c r="B730" s="3"/>
      <c r="C730" s="3"/>
      <c r="D730" s="3"/>
      <c r="E730" s="3"/>
      <c r="F730" s="3"/>
      <c r="G730" s="3"/>
      <c r="H730" s="3"/>
      <c r="I730" s="3"/>
    </row>
    <row r="731" ht="26.25" customHeight="1">
      <c r="A731" s="3"/>
      <c r="B731" s="3"/>
      <c r="C731" s="3"/>
      <c r="D731" s="3"/>
      <c r="E731" s="3"/>
      <c r="F731" s="3"/>
      <c r="G731" s="3"/>
      <c r="H731" s="3"/>
      <c r="I731" s="3"/>
    </row>
    <row r="732" ht="26.25" customHeight="1">
      <c r="A732" s="3"/>
      <c r="B732" s="3"/>
      <c r="C732" s="3"/>
      <c r="D732" s="3"/>
      <c r="E732" s="3"/>
      <c r="F732" s="3"/>
      <c r="G732" s="3"/>
      <c r="H732" s="3"/>
      <c r="I732" s="3"/>
    </row>
    <row r="733" ht="26.25" customHeight="1">
      <c r="A733" s="3"/>
      <c r="B733" s="3"/>
      <c r="C733" s="3"/>
      <c r="D733" s="3"/>
      <c r="E733" s="3"/>
      <c r="F733" s="3"/>
      <c r="G733" s="3"/>
      <c r="H733" s="3"/>
      <c r="I733" s="3"/>
    </row>
    <row r="734" ht="26.25" customHeight="1">
      <c r="A734" s="3"/>
      <c r="B734" s="3"/>
      <c r="C734" s="3"/>
      <c r="D734" s="3"/>
      <c r="E734" s="3"/>
      <c r="F734" s="3"/>
      <c r="G734" s="3"/>
      <c r="H734" s="3"/>
      <c r="I734" s="3"/>
    </row>
    <row r="735" ht="26.25" customHeight="1">
      <c r="A735" s="3"/>
      <c r="B735" s="3"/>
      <c r="C735" s="3"/>
      <c r="D735" s="3"/>
      <c r="E735" s="3"/>
      <c r="F735" s="3"/>
      <c r="G735" s="3"/>
      <c r="H735" s="3"/>
      <c r="I735" s="3"/>
    </row>
    <row r="736" ht="26.25" customHeight="1">
      <c r="A736" s="3"/>
      <c r="B736" s="3"/>
      <c r="C736" s="3"/>
      <c r="D736" s="3"/>
      <c r="E736" s="3"/>
      <c r="F736" s="3"/>
      <c r="G736" s="3"/>
      <c r="H736" s="3"/>
      <c r="I736" s="3"/>
    </row>
    <row r="737" ht="26.25" customHeight="1">
      <c r="A737" s="3"/>
      <c r="B737" s="3"/>
      <c r="C737" s="3"/>
      <c r="D737" s="3"/>
      <c r="E737" s="3"/>
      <c r="F737" s="3"/>
      <c r="G737" s="3"/>
      <c r="H737" s="3"/>
      <c r="I737" s="3"/>
    </row>
    <row r="738" ht="26.25" customHeight="1">
      <c r="A738" s="3"/>
      <c r="B738" s="3"/>
      <c r="C738" s="3"/>
      <c r="D738" s="3"/>
      <c r="E738" s="3"/>
      <c r="F738" s="3"/>
      <c r="G738" s="3"/>
      <c r="H738" s="3"/>
      <c r="I738" s="3"/>
    </row>
    <row r="739" ht="26.25" customHeight="1">
      <c r="A739" s="3"/>
      <c r="B739" s="3"/>
      <c r="C739" s="3"/>
      <c r="D739" s="3"/>
      <c r="E739" s="3"/>
      <c r="F739" s="3"/>
      <c r="G739" s="3"/>
      <c r="H739" s="3"/>
      <c r="I739" s="3"/>
    </row>
    <row r="740" ht="26.25" customHeight="1">
      <c r="A740" s="3"/>
      <c r="B740" s="3"/>
      <c r="C740" s="3"/>
      <c r="D740" s="3"/>
      <c r="E740" s="3"/>
      <c r="F740" s="3"/>
      <c r="G740" s="3"/>
      <c r="H740" s="3"/>
      <c r="I740" s="3"/>
    </row>
    <row r="741" ht="26.25" customHeight="1">
      <c r="A741" s="3"/>
      <c r="B741" s="3"/>
      <c r="C741" s="3"/>
      <c r="D741" s="3"/>
      <c r="E741" s="3"/>
      <c r="F741" s="3"/>
      <c r="G741" s="3"/>
      <c r="H741" s="3"/>
      <c r="I741" s="3"/>
    </row>
    <row r="742" ht="26.25" customHeight="1">
      <c r="A742" s="3"/>
      <c r="B742" s="3"/>
      <c r="C742" s="3"/>
      <c r="D742" s="3"/>
      <c r="E742" s="3"/>
      <c r="F742" s="3"/>
      <c r="G742" s="3"/>
      <c r="H742" s="3"/>
      <c r="I742" s="3"/>
    </row>
    <row r="743" ht="26.25" customHeight="1">
      <c r="A743" s="3"/>
      <c r="B743" s="3"/>
      <c r="C743" s="3"/>
      <c r="D743" s="3"/>
      <c r="E743" s="3"/>
      <c r="F743" s="3"/>
      <c r="G743" s="3"/>
      <c r="H743" s="3"/>
      <c r="I743" s="3"/>
    </row>
    <row r="744" ht="26.25" customHeight="1">
      <c r="A744" s="3"/>
      <c r="B744" s="3"/>
      <c r="C744" s="3"/>
      <c r="D744" s="3"/>
      <c r="E744" s="3"/>
      <c r="F744" s="3"/>
      <c r="G744" s="3"/>
      <c r="H744" s="3"/>
      <c r="I744" s="3"/>
    </row>
    <row r="745" ht="26.25" customHeight="1">
      <c r="A745" s="3"/>
      <c r="B745" s="3"/>
      <c r="C745" s="3"/>
      <c r="D745" s="3"/>
      <c r="E745" s="3"/>
      <c r="F745" s="3"/>
      <c r="G745" s="3"/>
      <c r="H745" s="3"/>
      <c r="I745" s="3"/>
    </row>
    <row r="746" ht="26.25" customHeight="1">
      <c r="A746" s="3"/>
      <c r="B746" s="3"/>
      <c r="C746" s="3"/>
      <c r="D746" s="3"/>
      <c r="E746" s="3"/>
      <c r="F746" s="3"/>
      <c r="G746" s="3"/>
      <c r="H746" s="3"/>
      <c r="I746" s="3"/>
    </row>
    <row r="747" ht="26.25" customHeight="1">
      <c r="A747" s="3"/>
      <c r="B747" s="3"/>
      <c r="C747" s="3"/>
      <c r="D747" s="3"/>
      <c r="E747" s="3"/>
      <c r="F747" s="3"/>
      <c r="G747" s="3"/>
      <c r="H747" s="3"/>
      <c r="I747" s="3"/>
    </row>
    <row r="748" ht="26.25" customHeight="1">
      <c r="A748" s="3"/>
      <c r="B748" s="3"/>
      <c r="C748" s="3"/>
      <c r="D748" s="3"/>
      <c r="E748" s="3"/>
      <c r="F748" s="3"/>
      <c r="G748" s="3"/>
      <c r="H748" s="3"/>
      <c r="I748" s="3"/>
    </row>
    <row r="749" ht="26.25" customHeight="1">
      <c r="A749" s="3"/>
      <c r="B749" s="3"/>
      <c r="C749" s="3"/>
      <c r="D749" s="3"/>
      <c r="E749" s="3"/>
      <c r="F749" s="3"/>
      <c r="G749" s="3"/>
      <c r="H749" s="3"/>
      <c r="I749" s="3"/>
    </row>
    <row r="750" ht="26.25" customHeight="1">
      <c r="A750" s="3"/>
      <c r="B750" s="3"/>
      <c r="C750" s="3"/>
      <c r="D750" s="3"/>
      <c r="E750" s="3"/>
      <c r="F750" s="3"/>
      <c r="G750" s="3"/>
      <c r="H750" s="3"/>
      <c r="I750" s="3"/>
    </row>
    <row r="751" ht="26.25" customHeight="1">
      <c r="A751" s="3"/>
      <c r="B751" s="3"/>
      <c r="C751" s="3"/>
      <c r="D751" s="3"/>
      <c r="E751" s="3"/>
      <c r="F751" s="3"/>
      <c r="G751" s="3"/>
      <c r="H751" s="3"/>
      <c r="I751" s="3"/>
    </row>
    <row r="752" ht="26.25" customHeight="1">
      <c r="A752" s="3"/>
      <c r="B752" s="3"/>
      <c r="C752" s="3"/>
      <c r="D752" s="3"/>
      <c r="E752" s="3"/>
      <c r="F752" s="3"/>
      <c r="G752" s="3"/>
      <c r="H752" s="3"/>
      <c r="I752" s="3"/>
    </row>
    <row r="753" ht="26.25" customHeight="1">
      <c r="A753" s="3"/>
      <c r="B753" s="3"/>
      <c r="C753" s="3"/>
      <c r="D753" s="3"/>
      <c r="E753" s="3"/>
      <c r="F753" s="3"/>
      <c r="G753" s="3"/>
      <c r="H753" s="3"/>
      <c r="I753" s="3"/>
    </row>
    <row r="754" ht="26.25" customHeight="1">
      <c r="A754" s="3"/>
      <c r="B754" s="3"/>
      <c r="C754" s="3"/>
      <c r="D754" s="3"/>
      <c r="E754" s="3"/>
      <c r="F754" s="3"/>
      <c r="G754" s="3"/>
      <c r="H754" s="3"/>
      <c r="I754" s="3"/>
    </row>
    <row r="755" ht="26.25" customHeight="1">
      <c r="A755" s="3"/>
      <c r="B755" s="3"/>
      <c r="C755" s="3"/>
      <c r="D755" s="3"/>
      <c r="E755" s="3"/>
      <c r="F755" s="3"/>
      <c r="G755" s="3"/>
      <c r="H755" s="3"/>
      <c r="I755" s="3"/>
    </row>
    <row r="756" ht="26.25" customHeight="1">
      <c r="A756" s="3"/>
      <c r="B756" s="3"/>
      <c r="C756" s="3"/>
      <c r="D756" s="3"/>
      <c r="E756" s="3"/>
      <c r="F756" s="3"/>
      <c r="G756" s="3"/>
      <c r="H756" s="3"/>
      <c r="I756" s="3"/>
    </row>
    <row r="757" ht="26.25" customHeight="1">
      <c r="A757" s="3"/>
      <c r="B757" s="3"/>
      <c r="C757" s="3"/>
      <c r="D757" s="3"/>
      <c r="E757" s="3"/>
      <c r="F757" s="3"/>
      <c r="G757" s="3"/>
      <c r="H757" s="3"/>
      <c r="I757" s="3"/>
    </row>
    <row r="758" ht="26.25" customHeight="1">
      <c r="A758" s="3"/>
      <c r="B758" s="3"/>
      <c r="C758" s="3"/>
      <c r="D758" s="3"/>
      <c r="E758" s="3"/>
      <c r="F758" s="3"/>
      <c r="G758" s="3"/>
      <c r="H758" s="3"/>
      <c r="I758" s="3"/>
    </row>
    <row r="759" ht="26.25" customHeight="1">
      <c r="A759" s="3"/>
      <c r="B759" s="3"/>
      <c r="C759" s="3"/>
      <c r="D759" s="3"/>
      <c r="E759" s="3"/>
      <c r="F759" s="3"/>
      <c r="G759" s="3"/>
      <c r="H759" s="3"/>
      <c r="I759" s="3"/>
    </row>
    <row r="760" ht="26.25" customHeight="1">
      <c r="A760" s="3"/>
      <c r="B760" s="3"/>
      <c r="C760" s="3"/>
      <c r="D760" s="3"/>
      <c r="E760" s="3"/>
      <c r="F760" s="3"/>
      <c r="G760" s="3"/>
      <c r="H760" s="3"/>
      <c r="I760" s="3"/>
    </row>
    <row r="761" ht="26.25" customHeight="1">
      <c r="A761" s="3"/>
      <c r="B761" s="3"/>
      <c r="C761" s="3"/>
      <c r="D761" s="3"/>
      <c r="E761" s="3"/>
      <c r="F761" s="3"/>
      <c r="G761" s="3"/>
      <c r="H761" s="3"/>
      <c r="I761" s="3"/>
    </row>
    <row r="762" ht="26.25" customHeight="1">
      <c r="A762" s="3"/>
      <c r="B762" s="3"/>
      <c r="C762" s="3"/>
      <c r="D762" s="3"/>
      <c r="E762" s="3"/>
      <c r="F762" s="3"/>
      <c r="G762" s="3"/>
      <c r="H762" s="3"/>
      <c r="I762" s="3"/>
    </row>
    <row r="763" ht="26.25" customHeight="1">
      <c r="A763" s="3"/>
      <c r="B763" s="3"/>
      <c r="C763" s="3"/>
      <c r="D763" s="3"/>
      <c r="E763" s="3"/>
      <c r="F763" s="3"/>
      <c r="G763" s="3"/>
      <c r="H763" s="3"/>
      <c r="I763" s="3"/>
    </row>
    <row r="764" ht="26.25" customHeight="1">
      <c r="A764" s="3"/>
      <c r="B764" s="3"/>
      <c r="C764" s="3"/>
      <c r="D764" s="3"/>
      <c r="E764" s="3"/>
      <c r="F764" s="3"/>
      <c r="G764" s="3"/>
      <c r="H764" s="3"/>
      <c r="I764" s="3"/>
    </row>
    <row r="765" ht="26.25" customHeight="1">
      <c r="A765" s="3"/>
      <c r="B765" s="3"/>
      <c r="C765" s="3"/>
      <c r="D765" s="3"/>
      <c r="E765" s="3"/>
      <c r="F765" s="3"/>
      <c r="G765" s="3"/>
      <c r="H765" s="3"/>
      <c r="I765" s="3"/>
    </row>
    <row r="766" ht="26.25" customHeight="1">
      <c r="A766" s="3"/>
      <c r="B766" s="3"/>
      <c r="C766" s="3"/>
      <c r="D766" s="3"/>
      <c r="E766" s="3"/>
      <c r="F766" s="3"/>
      <c r="G766" s="3"/>
      <c r="H766" s="3"/>
      <c r="I766" s="3"/>
    </row>
    <row r="767" ht="26.25" customHeight="1">
      <c r="A767" s="3"/>
      <c r="B767" s="3"/>
      <c r="C767" s="3"/>
      <c r="D767" s="3"/>
      <c r="E767" s="3"/>
      <c r="F767" s="3"/>
      <c r="G767" s="3"/>
      <c r="H767" s="3"/>
      <c r="I767" s="3"/>
    </row>
    <row r="768" ht="26.25" customHeight="1">
      <c r="A768" s="3"/>
      <c r="B768" s="3"/>
      <c r="C768" s="3"/>
      <c r="D768" s="3"/>
      <c r="E768" s="3"/>
      <c r="F768" s="3"/>
      <c r="G768" s="3"/>
      <c r="H768" s="3"/>
      <c r="I768" s="3"/>
    </row>
    <row r="769" ht="26.25" customHeight="1">
      <c r="A769" s="3"/>
      <c r="B769" s="3"/>
      <c r="C769" s="3"/>
      <c r="D769" s="3"/>
      <c r="E769" s="3"/>
      <c r="F769" s="3"/>
      <c r="G769" s="3"/>
      <c r="H769" s="3"/>
      <c r="I769" s="3"/>
    </row>
    <row r="770" ht="26.25" customHeight="1">
      <c r="A770" s="3"/>
      <c r="B770" s="3"/>
      <c r="C770" s="3"/>
      <c r="D770" s="3"/>
      <c r="E770" s="3"/>
      <c r="F770" s="3"/>
      <c r="G770" s="3"/>
      <c r="H770" s="3"/>
      <c r="I770" s="3"/>
    </row>
    <row r="771" ht="26.25" customHeight="1">
      <c r="A771" s="3"/>
      <c r="B771" s="3"/>
      <c r="C771" s="3"/>
      <c r="D771" s="3"/>
      <c r="E771" s="3"/>
      <c r="F771" s="3"/>
      <c r="G771" s="3"/>
      <c r="H771" s="3"/>
      <c r="I771" s="3"/>
    </row>
    <row r="772" ht="26.25" customHeight="1">
      <c r="A772" s="3"/>
      <c r="B772" s="3"/>
      <c r="C772" s="3"/>
      <c r="D772" s="3"/>
      <c r="E772" s="3"/>
      <c r="F772" s="3"/>
      <c r="G772" s="3"/>
      <c r="H772" s="3"/>
      <c r="I772" s="3"/>
    </row>
    <row r="773" ht="26.25" customHeight="1">
      <c r="A773" s="3"/>
      <c r="B773" s="3"/>
      <c r="C773" s="3"/>
      <c r="D773" s="3"/>
      <c r="E773" s="3"/>
      <c r="F773" s="3"/>
      <c r="G773" s="3"/>
      <c r="H773" s="3"/>
      <c r="I773" s="3"/>
    </row>
    <row r="774" ht="26.25" customHeight="1">
      <c r="A774" s="3"/>
      <c r="B774" s="3"/>
      <c r="C774" s="3"/>
      <c r="D774" s="3"/>
      <c r="E774" s="3"/>
      <c r="F774" s="3"/>
      <c r="G774" s="3"/>
      <c r="H774" s="3"/>
      <c r="I774" s="3"/>
    </row>
    <row r="775" ht="26.25" customHeight="1">
      <c r="A775" s="3"/>
      <c r="B775" s="3"/>
      <c r="C775" s="3"/>
      <c r="D775" s="3"/>
      <c r="E775" s="3"/>
      <c r="F775" s="3"/>
      <c r="G775" s="3"/>
      <c r="H775" s="3"/>
      <c r="I775" s="3"/>
    </row>
    <row r="776" ht="26.25" customHeight="1">
      <c r="A776" s="3"/>
      <c r="B776" s="3"/>
      <c r="C776" s="3"/>
      <c r="D776" s="3"/>
      <c r="E776" s="3"/>
      <c r="F776" s="3"/>
      <c r="G776" s="3"/>
      <c r="H776" s="3"/>
      <c r="I776" s="3"/>
    </row>
    <row r="777" ht="26.25" customHeight="1">
      <c r="A777" s="3"/>
      <c r="B777" s="3"/>
      <c r="C777" s="3"/>
      <c r="D777" s="3"/>
      <c r="E777" s="3"/>
      <c r="F777" s="3"/>
      <c r="G777" s="3"/>
      <c r="H777" s="3"/>
      <c r="I777" s="3"/>
    </row>
    <row r="778" ht="26.25" customHeight="1">
      <c r="A778" s="3"/>
      <c r="B778" s="3"/>
      <c r="C778" s="3"/>
      <c r="D778" s="3"/>
      <c r="E778" s="3"/>
      <c r="F778" s="3"/>
      <c r="G778" s="3"/>
      <c r="H778" s="3"/>
      <c r="I778" s="3"/>
    </row>
    <row r="779" ht="26.25" customHeight="1">
      <c r="A779" s="3"/>
      <c r="B779" s="3"/>
      <c r="C779" s="3"/>
      <c r="D779" s="3"/>
      <c r="E779" s="3"/>
      <c r="F779" s="3"/>
      <c r="G779" s="3"/>
      <c r="H779" s="3"/>
      <c r="I779" s="3"/>
    </row>
    <row r="780" ht="26.25" customHeight="1">
      <c r="A780" s="3"/>
      <c r="B780" s="3"/>
      <c r="C780" s="3"/>
      <c r="D780" s="3"/>
      <c r="E780" s="3"/>
      <c r="F780" s="3"/>
      <c r="G780" s="3"/>
      <c r="H780" s="3"/>
      <c r="I780" s="3"/>
    </row>
    <row r="781" ht="26.25" customHeight="1">
      <c r="A781" s="3"/>
      <c r="B781" s="3"/>
      <c r="C781" s="3"/>
      <c r="D781" s="3"/>
      <c r="E781" s="3"/>
      <c r="F781" s="3"/>
      <c r="G781" s="3"/>
      <c r="H781" s="3"/>
      <c r="I781" s="3"/>
    </row>
    <row r="782" ht="26.25" customHeight="1">
      <c r="A782" s="3"/>
      <c r="B782" s="3"/>
      <c r="C782" s="3"/>
      <c r="D782" s="3"/>
      <c r="E782" s="3"/>
      <c r="F782" s="3"/>
      <c r="G782" s="3"/>
      <c r="H782" s="3"/>
      <c r="I782" s="3"/>
    </row>
    <row r="783" ht="26.25" customHeight="1">
      <c r="A783" s="3"/>
      <c r="B783" s="3"/>
      <c r="C783" s="3"/>
      <c r="D783" s="3"/>
      <c r="E783" s="3"/>
      <c r="F783" s="3"/>
      <c r="G783" s="3"/>
      <c r="H783" s="3"/>
      <c r="I783" s="3"/>
    </row>
    <row r="784" ht="26.25" customHeight="1">
      <c r="A784" s="3"/>
      <c r="B784" s="3"/>
      <c r="C784" s="3"/>
      <c r="D784" s="3"/>
      <c r="E784" s="3"/>
      <c r="F784" s="3"/>
      <c r="G784" s="3"/>
      <c r="H784" s="3"/>
      <c r="I784" s="3"/>
    </row>
    <row r="785" ht="26.25" customHeight="1">
      <c r="A785" s="3"/>
      <c r="B785" s="3"/>
      <c r="C785" s="3"/>
      <c r="D785" s="3"/>
      <c r="E785" s="3"/>
      <c r="F785" s="3"/>
      <c r="G785" s="3"/>
      <c r="H785" s="3"/>
      <c r="I785" s="3"/>
    </row>
    <row r="786" ht="26.25" customHeight="1">
      <c r="A786" s="3"/>
      <c r="B786" s="3"/>
      <c r="C786" s="3"/>
      <c r="D786" s="3"/>
      <c r="E786" s="3"/>
      <c r="F786" s="3"/>
      <c r="G786" s="3"/>
      <c r="H786" s="3"/>
      <c r="I786" s="3"/>
    </row>
    <row r="787" ht="26.25" customHeight="1">
      <c r="A787" s="3"/>
      <c r="B787" s="3"/>
      <c r="C787" s="3"/>
      <c r="D787" s="3"/>
      <c r="E787" s="3"/>
      <c r="F787" s="3"/>
      <c r="G787" s="3"/>
      <c r="H787" s="3"/>
      <c r="I787" s="3"/>
    </row>
    <row r="788" ht="26.25" customHeight="1">
      <c r="A788" s="3"/>
      <c r="B788" s="3"/>
      <c r="C788" s="3"/>
      <c r="D788" s="3"/>
      <c r="E788" s="3"/>
      <c r="F788" s="3"/>
      <c r="G788" s="3"/>
      <c r="H788" s="3"/>
      <c r="I788" s="3"/>
    </row>
    <row r="789" ht="26.25" customHeight="1">
      <c r="A789" s="3"/>
      <c r="B789" s="3"/>
      <c r="C789" s="3"/>
      <c r="D789" s="3"/>
      <c r="E789" s="3"/>
      <c r="F789" s="3"/>
      <c r="G789" s="3"/>
      <c r="H789" s="3"/>
      <c r="I789" s="3"/>
    </row>
    <row r="790" ht="26.25" customHeight="1">
      <c r="A790" s="3"/>
      <c r="B790" s="3"/>
      <c r="C790" s="3"/>
      <c r="D790" s="3"/>
      <c r="E790" s="3"/>
      <c r="F790" s="3"/>
      <c r="G790" s="3"/>
      <c r="H790" s="3"/>
      <c r="I790" s="3"/>
    </row>
    <row r="791" ht="26.25" customHeight="1">
      <c r="A791" s="3"/>
      <c r="B791" s="3"/>
      <c r="C791" s="3"/>
      <c r="D791" s="3"/>
      <c r="E791" s="3"/>
      <c r="F791" s="3"/>
      <c r="G791" s="3"/>
      <c r="H791" s="3"/>
      <c r="I791" s="3"/>
    </row>
    <row r="792" ht="26.25" customHeight="1">
      <c r="A792" s="3"/>
      <c r="B792" s="3"/>
      <c r="C792" s="3"/>
      <c r="D792" s="3"/>
      <c r="E792" s="3"/>
      <c r="F792" s="3"/>
      <c r="G792" s="3"/>
      <c r="H792" s="3"/>
      <c r="I792" s="3"/>
    </row>
    <row r="793" ht="26.25" customHeight="1">
      <c r="A793" s="3"/>
      <c r="B793" s="3"/>
      <c r="C793" s="3"/>
      <c r="D793" s="3"/>
      <c r="E793" s="3"/>
      <c r="F793" s="3"/>
      <c r="G793" s="3"/>
      <c r="H793" s="3"/>
      <c r="I793" s="3"/>
    </row>
    <row r="794" ht="26.25" customHeight="1">
      <c r="A794" s="3"/>
      <c r="B794" s="3"/>
      <c r="C794" s="3"/>
      <c r="D794" s="3"/>
      <c r="E794" s="3"/>
      <c r="F794" s="3"/>
      <c r="G794" s="3"/>
      <c r="H794" s="3"/>
      <c r="I794" s="3"/>
    </row>
    <row r="795" ht="26.25" customHeight="1">
      <c r="A795" s="3"/>
      <c r="B795" s="3"/>
      <c r="C795" s="3"/>
      <c r="D795" s="3"/>
      <c r="E795" s="3"/>
      <c r="F795" s="3"/>
      <c r="G795" s="3"/>
      <c r="H795" s="3"/>
      <c r="I795" s="3"/>
    </row>
    <row r="796" ht="26.25" customHeight="1">
      <c r="A796" s="3"/>
      <c r="B796" s="3"/>
      <c r="C796" s="3"/>
      <c r="D796" s="3"/>
      <c r="E796" s="3"/>
      <c r="F796" s="3"/>
      <c r="G796" s="3"/>
      <c r="H796" s="3"/>
      <c r="I796" s="3"/>
    </row>
    <row r="797" ht="26.25" customHeight="1">
      <c r="A797" s="3"/>
      <c r="B797" s="3"/>
      <c r="C797" s="3"/>
      <c r="D797" s="3"/>
      <c r="E797" s="3"/>
      <c r="F797" s="3"/>
      <c r="G797" s="3"/>
      <c r="H797" s="3"/>
      <c r="I797" s="3"/>
    </row>
    <row r="798" ht="26.25" customHeight="1">
      <c r="A798" s="3"/>
      <c r="B798" s="3"/>
      <c r="C798" s="3"/>
      <c r="D798" s="3"/>
      <c r="E798" s="3"/>
      <c r="F798" s="3"/>
      <c r="G798" s="3"/>
      <c r="H798" s="3"/>
      <c r="I798" s="3"/>
    </row>
    <row r="799" ht="26.25" customHeight="1">
      <c r="A799" s="3"/>
      <c r="B799" s="3"/>
      <c r="C799" s="3"/>
      <c r="D799" s="3"/>
      <c r="E799" s="3"/>
      <c r="F799" s="3"/>
      <c r="G799" s="3"/>
      <c r="H799" s="3"/>
      <c r="I799" s="3"/>
    </row>
    <row r="800" ht="26.25" customHeight="1">
      <c r="A800" s="3"/>
      <c r="B800" s="3"/>
      <c r="C800" s="3"/>
      <c r="D800" s="3"/>
      <c r="E800" s="3"/>
      <c r="F800" s="3"/>
      <c r="G800" s="3"/>
      <c r="H800" s="3"/>
      <c r="I800" s="3"/>
    </row>
    <row r="801" ht="26.25" customHeight="1">
      <c r="A801" s="3"/>
      <c r="B801" s="3"/>
      <c r="C801" s="3"/>
      <c r="D801" s="3"/>
      <c r="E801" s="3"/>
      <c r="F801" s="3"/>
      <c r="G801" s="3"/>
      <c r="H801" s="3"/>
      <c r="I801" s="3"/>
    </row>
    <row r="802" ht="26.25" customHeight="1">
      <c r="A802" s="3"/>
      <c r="B802" s="3"/>
      <c r="C802" s="3"/>
      <c r="D802" s="3"/>
      <c r="E802" s="3"/>
      <c r="F802" s="3"/>
      <c r="G802" s="3"/>
      <c r="H802" s="3"/>
      <c r="I802" s="3"/>
    </row>
    <row r="803" ht="26.25" customHeight="1">
      <c r="A803" s="3"/>
      <c r="B803" s="3"/>
      <c r="C803" s="3"/>
      <c r="D803" s="3"/>
      <c r="E803" s="3"/>
      <c r="F803" s="3"/>
      <c r="G803" s="3"/>
      <c r="H803" s="3"/>
      <c r="I803" s="3"/>
    </row>
    <row r="804" ht="26.25" customHeight="1">
      <c r="A804" s="3"/>
      <c r="B804" s="3"/>
      <c r="C804" s="3"/>
      <c r="D804" s="3"/>
      <c r="E804" s="3"/>
      <c r="F804" s="3"/>
      <c r="G804" s="3"/>
      <c r="H804" s="3"/>
      <c r="I804" s="3"/>
    </row>
    <row r="805" ht="26.25" customHeight="1">
      <c r="A805" s="3"/>
      <c r="B805" s="3"/>
      <c r="C805" s="3"/>
      <c r="D805" s="3"/>
      <c r="E805" s="3"/>
      <c r="F805" s="3"/>
      <c r="G805" s="3"/>
      <c r="H805" s="3"/>
      <c r="I805" s="3"/>
    </row>
    <row r="806" ht="26.25" customHeight="1">
      <c r="A806" s="3"/>
      <c r="B806" s="3"/>
      <c r="C806" s="3"/>
      <c r="D806" s="3"/>
      <c r="E806" s="3"/>
      <c r="F806" s="3"/>
      <c r="G806" s="3"/>
      <c r="H806" s="3"/>
      <c r="I806" s="3"/>
    </row>
    <row r="807" ht="26.25" customHeight="1">
      <c r="A807" s="3"/>
      <c r="B807" s="3"/>
      <c r="C807" s="3"/>
      <c r="D807" s="3"/>
      <c r="E807" s="3"/>
      <c r="F807" s="3"/>
      <c r="G807" s="3"/>
      <c r="H807" s="3"/>
      <c r="I807" s="3"/>
    </row>
    <row r="808" ht="26.25" customHeight="1">
      <c r="A808" s="3"/>
      <c r="B808" s="3"/>
      <c r="C808" s="3"/>
      <c r="D808" s="3"/>
      <c r="E808" s="3"/>
      <c r="F808" s="3"/>
      <c r="G808" s="3"/>
      <c r="H808" s="3"/>
      <c r="I808" s="3"/>
    </row>
    <row r="809" ht="26.25" customHeight="1">
      <c r="A809" s="3"/>
      <c r="B809" s="3"/>
      <c r="C809" s="3"/>
      <c r="D809" s="3"/>
      <c r="E809" s="3"/>
      <c r="F809" s="3"/>
      <c r="G809" s="3"/>
      <c r="H809" s="3"/>
      <c r="I809" s="3"/>
    </row>
    <row r="810" ht="26.25" customHeight="1">
      <c r="A810" s="3"/>
      <c r="B810" s="3"/>
      <c r="C810" s="3"/>
      <c r="D810" s="3"/>
      <c r="E810" s="3"/>
      <c r="F810" s="3"/>
      <c r="G810" s="3"/>
      <c r="H810" s="3"/>
      <c r="I810" s="3"/>
    </row>
    <row r="811" ht="26.25" customHeight="1">
      <c r="A811" s="3"/>
      <c r="B811" s="3"/>
      <c r="C811" s="3"/>
      <c r="D811" s="3"/>
      <c r="E811" s="3"/>
      <c r="F811" s="3"/>
      <c r="G811" s="3"/>
      <c r="H811" s="3"/>
      <c r="I811" s="3"/>
    </row>
    <row r="812" ht="26.25" customHeight="1">
      <c r="A812" s="3"/>
      <c r="B812" s="3"/>
      <c r="C812" s="3"/>
      <c r="D812" s="3"/>
      <c r="E812" s="3"/>
      <c r="F812" s="3"/>
      <c r="G812" s="3"/>
      <c r="H812" s="3"/>
      <c r="I812" s="3"/>
    </row>
    <row r="813" ht="26.25" customHeight="1">
      <c r="A813" s="3"/>
      <c r="B813" s="3"/>
      <c r="C813" s="3"/>
      <c r="D813" s="3"/>
      <c r="E813" s="3"/>
      <c r="F813" s="3"/>
      <c r="G813" s="3"/>
      <c r="H813" s="3"/>
      <c r="I813" s="3"/>
    </row>
    <row r="814" ht="26.25" customHeight="1">
      <c r="A814" s="3"/>
      <c r="B814" s="3"/>
      <c r="C814" s="3"/>
      <c r="D814" s="3"/>
      <c r="E814" s="3"/>
      <c r="F814" s="3"/>
      <c r="G814" s="3"/>
      <c r="H814" s="3"/>
      <c r="I814" s="3"/>
    </row>
    <row r="815" ht="26.25" customHeight="1">
      <c r="A815" s="3"/>
      <c r="B815" s="3"/>
      <c r="C815" s="3"/>
      <c r="D815" s="3"/>
      <c r="E815" s="3"/>
      <c r="F815" s="3"/>
      <c r="G815" s="3"/>
      <c r="H815" s="3"/>
      <c r="I815" s="3"/>
    </row>
    <row r="816" ht="26.25" customHeight="1">
      <c r="A816" s="3"/>
      <c r="B816" s="3"/>
      <c r="C816" s="3"/>
      <c r="D816" s="3"/>
      <c r="E816" s="3"/>
      <c r="F816" s="3"/>
      <c r="G816" s="3"/>
      <c r="H816" s="3"/>
      <c r="I816" s="3"/>
    </row>
    <row r="817" ht="26.25" customHeight="1">
      <c r="A817" s="3"/>
      <c r="B817" s="3"/>
      <c r="C817" s="3"/>
      <c r="D817" s="3"/>
      <c r="E817" s="3"/>
      <c r="F817" s="3"/>
      <c r="G817" s="3"/>
      <c r="H817" s="3"/>
      <c r="I817" s="3"/>
    </row>
    <row r="818" ht="26.25" customHeight="1">
      <c r="A818" s="3"/>
      <c r="B818" s="3"/>
      <c r="C818" s="3"/>
      <c r="D818" s="3"/>
      <c r="E818" s="3"/>
      <c r="F818" s="3"/>
      <c r="G818" s="3"/>
      <c r="H818" s="3"/>
      <c r="I818" s="3"/>
    </row>
    <row r="819" ht="26.25" customHeight="1">
      <c r="A819" s="3"/>
      <c r="B819" s="3"/>
      <c r="C819" s="3"/>
      <c r="D819" s="3"/>
      <c r="E819" s="3"/>
      <c r="F819" s="3"/>
      <c r="G819" s="3"/>
      <c r="H819" s="3"/>
      <c r="I819" s="3"/>
    </row>
    <row r="820" ht="26.25" customHeight="1">
      <c r="A820" s="3"/>
      <c r="B820" s="3"/>
      <c r="C820" s="3"/>
      <c r="D820" s="3"/>
      <c r="E820" s="3"/>
      <c r="F820" s="3"/>
      <c r="G820" s="3"/>
      <c r="H820" s="3"/>
      <c r="I820" s="3"/>
    </row>
    <row r="821" ht="26.25" customHeight="1">
      <c r="A821" s="3"/>
      <c r="B821" s="3"/>
      <c r="C821" s="3"/>
      <c r="D821" s="3"/>
      <c r="E821" s="3"/>
      <c r="F821" s="3"/>
      <c r="G821" s="3"/>
      <c r="H821" s="3"/>
      <c r="I821" s="3"/>
    </row>
    <row r="822" ht="26.25" customHeight="1">
      <c r="A822" s="3"/>
      <c r="B822" s="3"/>
      <c r="C822" s="3"/>
      <c r="D822" s="3"/>
      <c r="E822" s="3"/>
      <c r="F822" s="3"/>
      <c r="G822" s="3"/>
      <c r="H822" s="3"/>
      <c r="I822" s="3"/>
    </row>
    <row r="823" ht="26.25" customHeight="1">
      <c r="A823" s="3"/>
      <c r="B823" s="3"/>
      <c r="C823" s="3"/>
      <c r="D823" s="3"/>
      <c r="E823" s="3"/>
      <c r="F823" s="3"/>
      <c r="G823" s="3"/>
      <c r="H823" s="3"/>
      <c r="I823" s="3"/>
    </row>
    <row r="824" ht="26.25" customHeight="1">
      <c r="A824" s="3"/>
      <c r="B824" s="3"/>
      <c r="C824" s="3"/>
      <c r="D824" s="3"/>
      <c r="E824" s="3"/>
      <c r="F824" s="3"/>
      <c r="G824" s="3"/>
      <c r="H824" s="3"/>
      <c r="I824" s="3"/>
    </row>
    <row r="825" ht="26.25" customHeight="1">
      <c r="A825" s="3"/>
      <c r="B825" s="3"/>
      <c r="C825" s="3"/>
      <c r="D825" s="3"/>
      <c r="E825" s="3"/>
      <c r="F825" s="3"/>
      <c r="G825" s="3"/>
      <c r="H825" s="3"/>
      <c r="I825" s="3"/>
    </row>
    <row r="826" ht="26.25" customHeight="1">
      <c r="A826" s="3"/>
      <c r="B826" s="3"/>
      <c r="C826" s="3"/>
      <c r="D826" s="3"/>
      <c r="E826" s="3"/>
      <c r="F826" s="3"/>
      <c r="G826" s="3"/>
      <c r="H826" s="3"/>
      <c r="I826" s="3"/>
    </row>
    <row r="827" ht="26.25" customHeight="1">
      <c r="A827" s="3"/>
      <c r="B827" s="3"/>
      <c r="C827" s="3"/>
      <c r="D827" s="3"/>
      <c r="E827" s="3"/>
      <c r="F827" s="3"/>
      <c r="G827" s="3"/>
      <c r="H827" s="3"/>
      <c r="I827" s="3"/>
    </row>
    <row r="828" ht="26.25" customHeight="1">
      <c r="A828" s="3"/>
      <c r="B828" s="3"/>
      <c r="C828" s="3"/>
      <c r="D828" s="3"/>
      <c r="E828" s="3"/>
      <c r="F828" s="3"/>
      <c r="G828" s="3"/>
      <c r="H828" s="3"/>
      <c r="I828" s="3"/>
    </row>
    <row r="829" ht="26.25" customHeight="1">
      <c r="A829" s="3"/>
      <c r="B829" s="3"/>
      <c r="C829" s="3"/>
      <c r="D829" s="3"/>
      <c r="E829" s="3"/>
      <c r="F829" s="3"/>
      <c r="G829" s="3"/>
      <c r="H829" s="3"/>
      <c r="I829" s="3"/>
    </row>
    <row r="830" ht="26.25" customHeight="1">
      <c r="A830" s="3"/>
      <c r="B830" s="3"/>
      <c r="C830" s="3"/>
      <c r="D830" s="3"/>
      <c r="E830" s="3"/>
      <c r="F830" s="3"/>
      <c r="G830" s="3"/>
      <c r="H830" s="3"/>
      <c r="I830" s="3"/>
    </row>
    <row r="831" ht="26.25" customHeight="1">
      <c r="A831" s="3"/>
      <c r="B831" s="3"/>
      <c r="C831" s="3"/>
      <c r="D831" s="3"/>
      <c r="E831" s="3"/>
      <c r="F831" s="3"/>
      <c r="G831" s="3"/>
      <c r="H831" s="3"/>
      <c r="I831" s="3"/>
    </row>
    <row r="832" ht="26.25" customHeight="1">
      <c r="A832" s="3"/>
      <c r="B832" s="3"/>
      <c r="C832" s="3"/>
      <c r="D832" s="3"/>
      <c r="E832" s="3"/>
      <c r="F832" s="3"/>
      <c r="G832" s="3"/>
      <c r="H832" s="3"/>
      <c r="I832" s="3"/>
    </row>
    <row r="833" ht="26.25" customHeight="1">
      <c r="A833" s="3"/>
      <c r="B833" s="3"/>
      <c r="C833" s="3"/>
      <c r="D833" s="3"/>
      <c r="E833" s="3"/>
      <c r="F833" s="3"/>
      <c r="G833" s="3"/>
      <c r="H833" s="3"/>
      <c r="I833" s="3"/>
    </row>
    <row r="834" ht="26.25" customHeight="1">
      <c r="A834" s="3"/>
      <c r="B834" s="3"/>
      <c r="C834" s="3"/>
      <c r="D834" s="3"/>
      <c r="E834" s="3"/>
      <c r="F834" s="3"/>
      <c r="G834" s="3"/>
      <c r="H834" s="3"/>
      <c r="I834" s="3"/>
    </row>
    <row r="835" ht="26.25" customHeight="1">
      <c r="A835" s="3"/>
      <c r="B835" s="3"/>
      <c r="C835" s="3"/>
      <c r="D835" s="3"/>
      <c r="E835" s="3"/>
      <c r="F835" s="3"/>
      <c r="G835" s="3"/>
      <c r="H835" s="3"/>
      <c r="I835" s="3"/>
    </row>
    <row r="836" ht="26.25" customHeight="1">
      <c r="A836" s="3"/>
      <c r="B836" s="3"/>
      <c r="C836" s="3"/>
      <c r="D836" s="3"/>
      <c r="E836" s="3"/>
      <c r="F836" s="3"/>
      <c r="G836" s="3"/>
      <c r="H836" s="3"/>
      <c r="I836" s="3"/>
    </row>
    <row r="837" ht="26.25" customHeight="1">
      <c r="A837" s="3"/>
      <c r="B837" s="3"/>
      <c r="C837" s="3"/>
      <c r="D837" s="3"/>
      <c r="E837" s="3"/>
      <c r="F837" s="3"/>
      <c r="G837" s="3"/>
      <c r="H837" s="3"/>
      <c r="I837" s="3"/>
    </row>
    <row r="838" ht="26.25" customHeight="1">
      <c r="A838" s="3"/>
      <c r="B838" s="3"/>
      <c r="C838" s="3"/>
      <c r="D838" s="3"/>
      <c r="E838" s="3"/>
      <c r="F838" s="3"/>
      <c r="G838" s="3"/>
      <c r="H838" s="3"/>
      <c r="I838" s="3"/>
    </row>
    <row r="839" ht="26.25" customHeight="1">
      <c r="A839" s="3"/>
      <c r="B839" s="3"/>
      <c r="C839" s="3"/>
      <c r="D839" s="3"/>
      <c r="E839" s="3"/>
      <c r="F839" s="3"/>
      <c r="G839" s="3"/>
      <c r="H839" s="3"/>
      <c r="I839" s="3"/>
    </row>
    <row r="840" ht="26.25" customHeight="1">
      <c r="A840" s="3"/>
      <c r="B840" s="3"/>
      <c r="C840" s="3"/>
      <c r="D840" s="3"/>
      <c r="E840" s="3"/>
      <c r="F840" s="3"/>
      <c r="G840" s="3"/>
      <c r="H840" s="3"/>
      <c r="I840" s="3"/>
    </row>
    <row r="841" ht="26.25" customHeight="1">
      <c r="A841" s="3"/>
      <c r="B841" s="3"/>
      <c r="C841" s="3"/>
      <c r="D841" s="3"/>
      <c r="E841" s="3"/>
      <c r="F841" s="3"/>
      <c r="G841" s="3"/>
      <c r="H841" s="3"/>
      <c r="I841" s="3"/>
    </row>
    <row r="842" ht="26.25" customHeight="1">
      <c r="A842" s="3"/>
      <c r="B842" s="3"/>
      <c r="C842" s="3"/>
      <c r="D842" s="3"/>
      <c r="E842" s="3"/>
      <c r="F842" s="3"/>
      <c r="G842" s="3"/>
      <c r="H842" s="3"/>
      <c r="I842" s="3"/>
    </row>
    <row r="843" ht="26.25" customHeight="1">
      <c r="A843" s="3"/>
      <c r="B843" s="3"/>
      <c r="C843" s="3"/>
      <c r="D843" s="3"/>
      <c r="E843" s="3"/>
      <c r="F843" s="3"/>
      <c r="G843" s="3"/>
      <c r="H843" s="3"/>
      <c r="I843" s="3"/>
    </row>
    <row r="844" ht="26.25" customHeight="1">
      <c r="A844" s="3"/>
      <c r="B844" s="3"/>
      <c r="C844" s="3"/>
      <c r="D844" s="3"/>
      <c r="E844" s="3"/>
      <c r="F844" s="3"/>
      <c r="G844" s="3"/>
      <c r="H844" s="3"/>
      <c r="I844" s="3"/>
    </row>
    <row r="845" ht="26.25" customHeight="1">
      <c r="A845" s="3"/>
      <c r="B845" s="3"/>
      <c r="C845" s="3"/>
      <c r="D845" s="3"/>
      <c r="E845" s="3"/>
      <c r="F845" s="3"/>
      <c r="G845" s="3"/>
      <c r="H845" s="3"/>
      <c r="I845" s="3"/>
    </row>
    <row r="846" ht="26.25" customHeight="1">
      <c r="A846" s="3"/>
      <c r="B846" s="3"/>
      <c r="C846" s="3"/>
      <c r="D846" s="3"/>
      <c r="E846" s="3"/>
      <c r="F846" s="3"/>
      <c r="G846" s="3"/>
      <c r="H846" s="3"/>
      <c r="I846" s="3"/>
    </row>
    <row r="847" ht="26.25" customHeight="1">
      <c r="A847" s="3"/>
      <c r="B847" s="3"/>
      <c r="C847" s="3"/>
      <c r="D847" s="3"/>
      <c r="E847" s="3"/>
      <c r="F847" s="3"/>
      <c r="G847" s="3"/>
      <c r="H847" s="3"/>
      <c r="I847" s="3"/>
    </row>
    <row r="848" ht="26.25" customHeight="1">
      <c r="A848" s="3"/>
      <c r="B848" s="3"/>
      <c r="C848" s="3"/>
      <c r="D848" s="3"/>
      <c r="E848" s="3"/>
      <c r="F848" s="3"/>
      <c r="G848" s="3"/>
      <c r="H848" s="3"/>
      <c r="I848" s="3"/>
    </row>
    <row r="849" ht="26.25" customHeight="1">
      <c r="A849" s="3"/>
      <c r="B849" s="3"/>
      <c r="C849" s="3"/>
      <c r="D849" s="3"/>
      <c r="E849" s="3"/>
      <c r="F849" s="3"/>
      <c r="G849" s="3"/>
      <c r="H849" s="3"/>
      <c r="I849" s="3"/>
    </row>
    <row r="850" ht="26.25" customHeight="1">
      <c r="A850" s="3"/>
      <c r="B850" s="3"/>
      <c r="C850" s="3"/>
      <c r="D850" s="3"/>
      <c r="E850" s="3"/>
      <c r="F850" s="3"/>
      <c r="G850" s="3"/>
      <c r="H850" s="3"/>
      <c r="I850" s="3"/>
    </row>
    <row r="851" ht="26.25" customHeight="1">
      <c r="A851" s="3"/>
      <c r="B851" s="3"/>
      <c r="C851" s="3"/>
      <c r="D851" s="3"/>
      <c r="E851" s="3"/>
      <c r="F851" s="3"/>
      <c r="G851" s="3"/>
      <c r="H851" s="3"/>
      <c r="I851" s="3"/>
    </row>
    <row r="852" ht="26.25" customHeight="1">
      <c r="A852" s="3"/>
      <c r="B852" s="3"/>
      <c r="C852" s="3"/>
      <c r="D852" s="3"/>
      <c r="E852" s="3"/>
      <c r="F852" s="3"/>
      <c r="G852" s="3"/>
      <c r="H852" s="3"/>
      <c r="I852" s="3"/>
    </row>
    <row r="853" ht="26.25" customHeight="1">
      <c r="A853" s="3"/>
      <c r="B853" s="3"/>
      <c r="C853" s="3"/>
      <c r="D853" s="3"/>
      <c r="E853" s="3"/>
      <c r="F853" s="3"/>
      <c r="G853" s="3"/>
      <c r="H853" s="3"/>
      <c r="I853" s="3"/>
    </row>
    <row r="854" ht="26.25" customHeight="1">
      <c r="A854" s="3"/>
      <c r="B854" s="3"/>
      <c r="C854" s="3"/>
      <c r="D854" s="3"/>
      <c r="E854" s="3"/>
      <c r="F854" s="3"/>
      <c r="G854" s="3"/>
      <c r="H854" s="3"/>
      <c r="I854" s="3"/>
    </row>
    <row r="855" ht="26.25" customHeight="1">
      <c r="A855" s="3"/>
      <c r="B855" s="3"/>
      <c r="C855" s="3"/>
      <c r="D855" s="3"/>
      <c r="E855" s="3"/>
      <c r="F855" s="3"/>
      <c r="G855" s="3"/>
      <c r="H855" s="3"/>
      <c r="I855" s="3"/>
    </row>
    <row r="856" ht="26.25" customHeight="1">
      <c r="A856" s="3"/>
      <c r="B856" s="3"/>
      <c r="C856" s="3"/>
      <c r="D856" s="3"/>
      <c r="E856" s="3"/>
      <c r="F856" s="3"/>
      <c r="G856" s="3"/>
      <c r="H856" s="3"/>
      <c r="I856" s="3"/>
    </row>
    <row r="857" ht="26.25" customHeight="1">
      <c r="A857" s="3"/>
      <c r="B857" s="3"/>
      <c r="C857" s="3"/>
      <c r="D857" s="3"/>
      <c r="E857" s="3"/>
      <c r="F857" s="3"/>
      <c r="G857" s="3"/>
      <c r="H857" s="3"/>
      <c r="I857" s="3"/>
    </row>
    <row r="858" ht="26.25" customHeight="1">
      <c r="A858" s="3"/>
      <c r="B858" s="3"/>
      <c r="C858" s="3"/>
      <c r="D858" s="3"/>
      <c r="E858" s="3"/>
      <c r="F858" s="3"/>
      <c r="G858" s="3"/>
      <c r="H858" s="3"/>
      <c r="I858" s="3"/>
    </row>
    <row r="859" ht="26.25" customHeight="1">
      <c r="A859" s="3"/>
      <c r="B859" s="3"/>
      <c r="C859" s="3"/>
      <c r="D859" s="3"/>
      <c r="E859" s="3"/>
      <c r="F859" s="3"/>
      <c r="G859" s="3"/>
      <c r="H859" s="3"/>
      <c r="I859" s="3"/>
    </row>
    <row r="860" ht="26.25" customHeight="1">
      <c r="A860" s="3"/>
      <c r="B860" s="3"/>
      <c r="C860" s="3"/>
      <c r="D860" s="3"/>
      <c r="E860" s="3"/>
      <c r="F860" s="3"/>
      <c r="G860" s="3"/>
      <c r="H860" s="3"/>
      <c r="I860" s="3"/>
    </row>
    <row r="861" ht="26.25" customHeight="1">
      <c r="A861" s="3"/>
      <c r="B861" s="3"/>
      <c r="C861" s="3"/>
      <c r="D861" s="3"/>
      <c r="E861" s="3"/>
      <c r="F861" s="3"/>
      <c r="G861" s="3"/>
      <c r="H861" s="3"/>
      <c r="I861" s="3"/>
    </row>
    <row r="862" ht="26.25" customHeight="1">
      <c r="A862" s="3"/>
      <c r="B862" s="3"/>
      <c r="C862" s="3"/>
      <c r="D862" s="3"/>
      <c r="E862" s="3"/>
      <c r="F862" s="3"/>
      <c r="G862" s="3"/>
      <c r="H862" s="3"/>
      <c r="I862" s="3"/>
    </row>
    <row r="863" ht="26.25" customHeight="1">
      <c r="A863" s="3"/>
      <c r="B863" s="3"/>
      <c r="C863" s="3"/>
      <c r="D863" s="3"/>
      <c r="E863" s="3"/>
      <c r="F863" s="3"/>
      <c r="G863" s="3"/>
      <c r="H863" s="3"/>
      <c r="I863" s="3"/>
    </row>
    <row r="864" ht="26.25" customHeight="1">
      <c r="A864" s="3"/>
      <c r="B864" s="3"/>
      <c r="C864" s="3"/>
      <c r="D864" s="3"/>
      <c r="E864" s="3"/>
      <c r="F864" s="3"/>
      <c r="G864" s="3"/>
      <c r="H864" s="3"/>
      <c r="I864" s="3"/>
    </row>
    <row r="865" ht="26.25" customHeight="1">
      <c r="A865" s="3"/>
      <c r="B865" s="3"/>
      <c r="C865" s="3"/>
      <c r="D865" s="3"/>
      <c r="E865" s="3"/>
      <c r="F865" s="3"/>
      <c r="G865" s="3"/>
      <c r="H865" s="3"/>
      <c r="I865" s="3"/>
    </row>
    <row r="866" ht="26.25" customHeight="1">
      <c r="A866" s="3"/>
      <c r="B866" s="3"/>
      <c r="C866" s="3"/>
      <c r="D866" s="3"/>
      <c r="E866" s="3"/>
      <c r="F866" s="3"/>
      <c r="G866" s="3"/>
      <c r="H866" s="3"/>
      <c r="I866" s="3"/>
    </row>
    <row r="867" ht="26.25" customHeight="1">
      <c r="A867" s="3"/>
      <c r="B867" s="3"/>
      <c r="C867" s="3"/>
      <c r="D867" s="3"/>
      <c r="E867" s="3"/>
      <c r="F867" s="3"/>
      <c r="G867" s="3"/>
      <c r="H867" s="3"/>
      <c r="I867" s="3"/>
    </row>
    <row r="868" ht="26.25" customHeight="1">
      <c r="A868" s="3"/>
      <c r="B868" s="3"/>
      <c r="C868" s="3"/>
      <c r="D868" s="3"/>
      <c r="E868" s="3"/>
      <c r="F868" s="3"/>
      <c r="G868" s="3"/>
      <c r="H868" s="3"/>
      <c r="I868" s="3"/>
    </row>
    <row r="869" ht="26.25" customHeight="1">
      <c r="A869" s="3"/>
      <c r="B869" s="3"/>
      <c r="C869" s="3"/>
      <c r="D869" s="3"/>
      <c r="E869" s="3"/>
      <c r="F869" s="3"/>
      <c r="G869" s="3"/>
      <c r="H869" s="3"/>
      <c r="I869" s="3"/>
    </row>
    <row r="870" ht="26.25" customHeight="1">
      <c r="A870" s="3"/>
      <c r="B870" s="3"/>
      <c r="C870" s="3"/>
      <c r="D870" s="3"/>
      <c r="E870" s="3"/>
      <c r="F870" s="3"/>
      <c r="G870" s="3"/>
      <c r="H870" s="3"/>
      <c r="I870" s="3"/>
    </row>
    <row r="871" ht="26.25" customHeight="1">
      <c r="A871" s="3"/>
      <c r="B871" s="3"/>
      <c r="C871" s="3"/>
      <c r="D871" s="3"/>
      <c r="E871" s="3"/>
      <c r="F871" s="3"/>
      <c r="G871" s="3"/>
      <c r="H871" s="3"/>
      <c r="I871" s="3"/>
    </row>
    <row r="872" ht="26.25" customHeight="1">
      <c r="A872" s="3"/>
      <c r="B872" s="3"/>
      <c r="C872" s="3"/>
      <c r="D872" s="3"/>
      <c r="E872" s="3"/>
      <c r="F872" s="3"/>
      <c r="G872" s="3"/>
      <c r="H872" s="3"/>
      <c r="I872" s="3"/>
    </row>
    <row r="873" ht="26.25" customHeight="1">
      <c r="A873" s="3"/>
      <c r="B873" s="3"/>
      <c r="C873" s="3"/>
      <c r="D873" s="3"/>
      <c r="E873" s="3"/>
      <c r="F873" s="3"/>
      <c r="G873" s="3"/>
      <c r="H873" s="3"/>
      <c r="I873" s="3"/>
    </row>
    <row r="874" ht="26.25" customHeight="1">
      <c r="A874" s="3"/>
      <c r="B874" s="3"/>
      <c r="C874" s="3"/>
      <c r="D874" s="3"/>
      <c r="E874" s="3"/>
      <c r="F874" s="3"/>
      <c r="G874" s="3"/>
      <c r="H874" s="3"/>
      <c r="I874" s="3"/>
    </row>
    <row r="875" ht="26.25" customHeight="1">
      <c r="A875" s="3"/>
      <c r="B875" s="3"/>
      <c r="C875" s="3"/>
      <c r="D875" s="3"/>
      <c r="E875" s="3"/>
      <c r="F875" s="3"/>
      <c r="G875" s="3"/>
      <c r="H875" s="3"/>
      <c r="I875" s="3"/>
    </row>
    <row r="876" ht="26.25" customHeight="1">
      <c r="A876" s="3"/>
      <c r="B876" s="3"/>
      <c r="C876" s="3"/>
      <c r="D876" s="3"/>
      <c r="E876" s="3"/>
      <c r="F876" s="3"/>
      <c r="G876" s="3"/>
      <c r="H876" s="3"/>
      <c r="I876" s="3"/>
    </row>
    <row r="877" ht="26.25" customHeight="1">
      <c r="A877" s="3"/>
      <c r="B877" s="3"/>
      <c r="C877" s="3"/>
      <c r="D877" s="3"/>
      <c r="E877" s="3"/>
      <c r="F877" s="3"/>
      <c r="G877" s="3"/>
      <c r="H877" s="3"/>
      <c r="I877" s="3"/>
    </row>
    <row r="878" ht="26.25" customHeight="1">
      <c r="A878" s="3"/>
      <c r="B878" s="3"/>
      <c r="C878" s="3"/>
      <c r="D878" s="3"/>
      <c r="E878" s="3"/>
      <c r="F878" s="3"/>
      <c r="G878" s="3"/>
      <c r="H878" s="3"/>
      <c r="I878" s="3"/>
    </row>
    <row r="879" ht="26.25" customHeight="1">
      <c r="A879" s="3"/>
      <c r="B879" s="3"/>
      <c r="C879" s="3"/>
      <c r="D879" s="3"/>
      <c r="E879" s="3"/>
      <c r="F879" s="3"/>
      <c r="G879" s="3"/>
      <c r="H879" s="3"/>
      <c r="I879" s="3"/>
    </row>
    <row r="880" ht="26.25" customHeight="1">
      <c r="A880" s="3"/>
      <c r="B880" s="3"/>
      <c r="C880" s="3"/>
      <c r="D880" s="3"/>
      <c r="E880" s="3"/>
      <c r="F880" s="3"/>
      <c r="G880" s="3"/>
      <c r="H880" s="3"/>
      <c r="I880" s="3"/>
    </row>
    <row r="881" ht="26.25" customHeight="1">
      <c r="A881" s="3"/>
      <c r="B881" s="3"/>
      <c r="C881" s="3"/>
      <c r="D881" s="3"/>
      <c r="E881" s="3"/>
      <c r="F881" s="3"/>
      <c r="G881" s="3"/>
      <c r="H881" s="3"/>
      <c r="I881" s="3"/>
    </row>
    <row r="882" ht="26.25" customHeight="1">
      <c r="A882" s="3"/>
      <c r="B882" s="3"/>
      <c r="C882" s="3"/>
      <c r="D882" s="3"/>
      <c r="E882" s="3"/>
      <c r="F882" s="3"/>
      <c r="G882" s="3"/>
      <c r="H882" s="3"/>
      <c r="I882" s="3"/>
    </row>
    <row r="883" ht="26.25" customHeight="1">
      <c r="A883" s="3"/>
      <c r="B883" s="3"/>
      <c r="C883" s="3"/>
      <c r="D883" s="3"/>
      <c r="E883" s="3"/>
      <c r="F883" s="3"/>
      <c r="G883" s="3"/>
      <c r="H883" s="3"/>
      <c r="I883" s="3"/>
    </row>
    <row r="884" ht="26.25" customHeight="1">
      <c r="A884" s="3"/>
      <c r="B884" s="3"/>
      <c r="C884" s="3"/>
      <c r="D884" s="3"/>
      <c r="E884" s="3"/>
      <c r="F884" s="3"/>
      <c r="G884" s="3"/>
      <c r="H884" s="3"/>
      <c r="I884" s="3"/>
    </row>
    <row r="885" ht="26.25" customHeight="1">
      <c r="A885" s="3"/>
      <c r="B885" s="3"/>
      <c r="C885" s="3"/>
      <c r="D885" s="3"/>
      <c r="E885" s="3"/>
      <c r="F885" s="3"/>
      <c r="G885" s="3"/>
      <c r="H885" s="3"/>
      <c r="I885" s="3"/>
    </row>
    <row r="886" ht="26.25" customHeight="1">
      <c r="A886" s="3"/>
      <c r="B886" s="3"/>
      <c r="C886" s="3"/>
      <c r="D886" s="3"/>
      <c r="E886" s="3"/>
      <c r="F886" s="3"/>
      <c r="G886" s="3"/>
      <c r="H886" s="3"/>
      <c r="I886" s="3"/>
    </row>
    <row r="887" ht="26.25" customHeight="1">
      <c r="A887" s="3"/>
      <c r="B887" s="3"/>
      <c r="C887" s="3"/>
      <c r="D887" s="3"/>
      <c r="E887" s="3"/>
      <c r="F887" s="3"/>
      <c r="G887" s="3"/>
      <c r="H887" s="3"/>
      <c r="I887" s="3"/>
    </row>
    <row r="888" ht="26.25" customHeight="1">
      <c r="A888" s="3"/>
      <c r="B888" s="3"/>
      <c r="C888" s="3"/>
      <c r="D888" s="3"/>
      <c r="E888" s="3"/>
      <c r="F888" s="3"/>
      <c r="G888" s="3"/>
      <c r="H888" s="3"/>
      <c r="I888" s="3"/>
    </row>
    <row r="889" ht="26.25" customHeight="1">
      <c r="A889" s="3"/>
      <c r="B889" s="3"/>
      <c r="C889" s="3"/>
      <c r="D889" s="3"/>
      <c r="E889" s="3"/>
      <c r="F889" s="3"/>
      <c r="G889" s="3"/>
      <c r="H889" s="3"/>
      <c r="I889" s="3"/>
    </row>
    <row r="890" ht="26.25" customHeight="1">
      <c r="A890" s="3"/>
      <c r="B890" s="3"/>
      <c r="C890" s="3"/>
      <c r="D890" s="3"/>
      <c r="E890" s="3"/>
      <c r="F890" s="3"/>
      <c r="G890" s="3"/>
      <c r="H890" s="3"/>
      <c r="I890" s="3"/>
    </row>
    <row r="891" ht="26.25" customHeight="1">
      <c r="A891" s="3"/>
      <c r="B891" s="3"/>
      <c r="C891" s="3"/>
      <c r="D891" s="3"/>
      <c r="E891" s="3"/>
      <c r="F891" s="3"/>
      <c r="G891" s="3"/>
      <c r="H891" s="3"/>
      <c r="I891" s="3"/>
    </row>
    <row r="892" ht="26.25" customHeight="1">
      <c r="A892" s="3"/>
      <c r="B892" s="3"/>
      <c r="C892" s="3"/>
      <c r="D892" s="3"/>
      <c r="E892" s="3"/>
      <c r="F892" s="3"/>
      <c r="G892" s="3"/>
      <c r="H892" s="3"/>
      <c r="I892" s="3"/>
    </row>
    <row r="893" ht="26.25" customHeight="1">
      <c r="A893" s="3"/>
      <c r="B893" s="3"/>
      <c r="C893" s="3"/>
      <c r="D893" s="3"/>
      <c r="E893" s="3"/>
      <c r="F893" s="3"/>
      <c r="G893" s="3"/>
      <c r="H893" s="3"/>
      <c r="I893" s="3"/>
    </row>
    <row r="894" ht="26.25" customHeight="1">
      <c r="A894" s="3"/>
      <c r="B894" s="3"/>
      <c r="C894" s="3"/>
      <c r="D894" s="3"/>
      <c r="E894" s="3"/>
      <c r="F894" s="3"/>
      <c r="G894" s="3"/>
      <c r="H894" s="3"/>
      <c r="I894" s="3"/>
    </row>
    <row r="895" ht="26.25" customHeight="1">
      <c r="A895" s="3"/>
      <c r="B895" s="3"/>
      <c r="C895" s="3"/>
      <c r="D895" s="3"/>
      <c r="E895" s="3"/>
      <c r="F895" s="3"/>
      <c r="G895" s="3"/>
      <c r="H895" s="3"/>
      <c r="I895" s="3"/>
    </row>
    <row r="896" ht="26.25" customHeight="1">
      <c r="A896" s="3"/>
      <c r="B896" s="3"/>
      <c r="C896" s="3"/>
      <c r="D896" s="3"/>
      <c r="E896" s="3"/>
      <c r="F896" s="3"/>
      <c r="G896" s="3"/>
      <c r="H896" s="3"/>
      <c r="I896" s="3"/>
    </row>
    <row r="897" ht="26.25" customHeight="1">
      <c r="A897" s="3"/>
      <c r="B897" s="3"/>
      <c r="C897" s="3"/>
      <c r="D897" s="3"/>
      <c r="E897" s="3"/>
      <c r="F897" s="3"/>
      <c r="G897" s="3"/>
      <c r="H897" s="3"/>
      <c r="I897" s="3"/>
    </row>
    <row r="898" ht="26.25" customHeight="1">
      <c r="A898" s="3"/>
      <c r="B898" s="3"/>
      <c r="C898" s="3"/>
      <c r="D898" s="3"/>
      <c r="E898" s="3"/>
      <c r="F898" s="3"/>
      <c r="G898" s="3"/>
      <c r="H898" s="3"/>
      <c r="I898" s="3"/>
    </row>
    <row r="899" ht="26.25" customHeight="1">
      <c r="A899" s="3"/>
      <c r="B899" s="3"/>
      <c r="C899" s="3"/>
      <c r="D899" s="3"/>
      <c r="E899" s="3"/>
      <c r="F899" s="3"/>
      <c r="G899" s="3"/>
      <c r="H899" s="3"/>
      <c r="I899" s="3"/>
    </row>
    <row r="900" ht="26.25" customHeight="1">
      <c r="A900" s="3"/>
      <c r="B900" s="3"/>
      <c r="C900" s="3"/>
      <c r="D900" s="3"/>
      <c r="E900" s="3"/>
      <c r="F900" s="3"/>
      <c r="G900" s="3"/>
      <c r="H900" s="3"/>
      <c r="I900" s="3"/>
    </row>
    <row r="901" ht="26.25" customHeight="1">
      <c r="A901" s="3"/>
      <c r="B901" s="3"/>
      <c r="C901" s="3"/>
      <c r="D901" s="3"/>
      <c r="E901" s="3"/>
      <c r="F901" s="3"/>
      <c r="G901" s="3"/>
      <c r="H901" s="3"/>
      <c r="I901" s="3"/>
    </row>
    <row r="902" ht="26.25" customHeight="1">
      <c r="A902" s="3"/>
      <c r="B902" s="3"/>
      <c r="C902" s="3"/>
      <c r="D902" s="3"/>
      <c r="E902" s="3"/>
      <c r="F902" s="3"/>
      <c r="G902" s="3"/>
      <c r="H902" s="3"/>
      <c r="I902" s="3"/>
    </row>
    <row r="903" ht="26.25" customHeight="1">
      <c r="A903" s="3"/>
      <c r="B903" s="3"/>
      <c r="C903" s="3"/>
      <c r="D903" s="3"/>
      <c r="E903" s="3"/>
      <c r="F903" s="3"/>
      <c r="G903" s="3"/>
      <c r="H903" s="3"/>
      <c r="I903" s="3"/>
    </row>
    <row r="904" ht="26.25" customHeight="1">
      <c r="A904" s="3"/>
      <c r="B904" s="3"/>
      <c r="C904" s="3"/>
      <c r="D904" s="3"/>
      <c r="E904" s="3"/>
      <c r="F904" s="3"/>
      <c r="G904" s="3"/>
      <c r="H904" s="3"/>
      <c r="I904" s="3"/>
    </row>
    <row r="905" ht="26.25" customHeight="1">
      <c r="A905" s="3"/>
      <c r="B905" s="3"/>
      <c r="C905" s="3"/>
      <c r="D905" s="3"/>
      <c r="E905" s="3"/>
      <c r="F905" s="3"/>
      <c r="G905" s="3"/>
      <c r="H905" s="3"/>
      <c r="I905" s="3"/>
    </row>
    <row r="906" ht="26.25" customHeight="1">
      <c r="A906" s="3"/>
      <c r="B906" s="3"/>
      <c r="C906" s="3"/>
      <c r="D906" s="3"/>
      <c r="E906" s="3"/>
      <c r="F906" s="3"/>
      <c r="G906" s="3"/>
      <c r="H906" s="3"/>
      <c r="I906" s="3"/>
    </row>
    <row r="907" ht="26.25" customHeight="1">
      <c r="A907" s="3"/>
      <c r="B907" s="3"/>
      <c r="C907" s="3"/>
      <c r="D907" s="3"/>
      <c r="E907" s="3"/>
      <c r="F907" s="3"/>
      <c r="G907" s="3"/>
      <c r="H907" s="3"/>
      <c r="I907" s="3"/>
    </row>
    <row r="908" ht="26.25" customHeight="1">
      <c r="A908" s="3"/>
      <c r="B908" s="3"/>
      <c r="C908" s="3"/>
      <c r="D908" s="3"/>
      <c r="E908" s="3"/>
      <c r="F908" s="3"/>
      <c r="G908" s="3"/>
      <c r="H908" s="3"/>
      <c r="I908" s="3"/>
    </row>
    <row r="909" ht="26.25" customHeight="1">
      <c r="A909" s="3"/>
      <c r="B909" s="3"/>
      <c r="C909" s="3"/>
      <c r="D909" s="3"/>
      <c r="E909" s="3"/>
      <c r="F909" s="3"/>
      <c r="G909" s="3"/>
      <c r="H909" s="3"/>
      <c r="I909" s="3"/>
    </row>
    <row r="910" ht="26.25" customHeight="1">
      <c r="A910" s="3"/>
      <c r="B910" s="3"/>
      <c r="C910" s="3"/>
      <c r="D910" s="3"/>
      <c r="E910" s="3"/>
      <c r="F910" s="3"/>
      <c r="G910" s="3"/>
      <c r="H910" s="3"/>
      <c r="I910" s="3"/>
    </row>
    <row r="911" ht="26.25" customHeight="1">
      <c r="A911" s="3"/>
      <c r="B911" s="3"/>
      <c r="C911" s="3"/>
      <c r="D911" s="3"/>
      <c r="E911" s="3"/>
      <c r="F911" s="3"/>
      <c r="G911" s="3"/>
      <c r="H911" s="3"/>
      <c r="I911" s="3"/>
    </row>
    <row r="912" ht="26.25" customHeight="1">
      <c r="A912" s="3"/>
      <c r="B912" s="3"/>
      <c r="C912" s="3"/>
      <c r="D912" s="3"/>
      <c r="E912" s="3"/>
      <c r="F912" s="3"/>
      <c r="G912" s="3"/>
      <c r="H912" s="3"/>
      <c r="I912" s="3"/>
    </row>
    <row r="913" ht="26.25" customHeight="1">
      <c r="A913" s="3"/>
      <c r="B913" s="3"/>
      <c r="C913" s="3"/>
      <c r="D913" s="3"/>
      <c r="E913" s="3"/>
      <c r="F913" s="3"/>
      <c r="G913" s="3"/>
      <c r="H913" s="3"/>
      <c r="I913" s="3"/>
    </row>
    <row r="914" ht="26.25" customHeight="1">
      <c r="A914" s="3"/>
      <c r="B914" s="3"/>
      <c r="C914" s="3"/>
      <c r="D914" s="3"/>
      <c r="E914" s="3"/>
      <c r="F914" s="3"/>
      <c r="G914" s="3"/>
      <c r="H914" s="3"/>
      <c r="I914" s="3"/>
    </row>
    <row r="915" ht="26.25" customHeight="1">
      <c r="A915" s="3"/>
      <c r="B915" s="3"/>
      <c r="C915" s="3"/>
      <c r="D915" s="3"/>
      <c r="E915" s="3"/>
      <c r="F915" s="3"/>
      <c r="G915" s="3"/>
      <c r="H915" s="3"/>
      <c r="I915" s="3"/>
    </row>
    <row r="916" ht="26.25" customHeight="1">
      <c r="A916" s="3"/>
      <c r="B916" s="3"/>
      <c r="C916" s="3"/>
      <c r="D916" s="3"/>
      <c r="E916" s="3"/>
      <c r="F916" s="3"/>
      <c r="G916" s="3"/>
      <c r="H916" s="3"/>
      <c r="I916" s="3"/>
    </row>
    <row r="917" ht="26.25" customHeight="1">
      <c r="A917" s="3"/>
      <c r="B917" s="3"/>
      <c r="C917" s="3"/>
      <c r="D917" s="3"/>
      <c r="E917" s="3"/>
      <c r="F917" s="3"/>
      <c r="G917" s="3"/>
      <c r="H917" s="3"/>
      <c r="I917" s="3"/>
    </row>
    <row r="918" ht="26.25" customHeight="1">
      <c r="A918" s="3"/>
      <c r="B918" s="3"/>
      <c r="C918" s="3"/>
      <c r="D918" s="3"/>
      <c r="E918" s="3"/>
      <c r="F918" s="3"/>
      <c r="G918" s="3"/>
      <c r="H918" s="3"/>
      <c r="I918" s="3"/>
    </row>
    <row r="919" ht="26.25" customHeight="1">
      <c r="A919" s="3"/>
      <c r="B919" s="3"/>
      <c r="C919" s="3"/>
      <c r="D919" s="3"/>
      <c r="E919" s="3"/>
      <c r="F919" s="3"/>
      <c r="G919" s="3"/>
      <c r="H919" s="3"/>
      <c r="I919" s="3"/>
    </row>
    <row r="920" ht="26.25" customHeight="1">
      <c r="A920" s="3"/>
      <c r="B920" s="3"/>
      <c r="C920" s="3"/>
      <c r="D920" s="3"/>
      <c r="E920" s="3"/>
      <c r="F920" s="3"/>
      <c r="G920" s="3"/>
      <c r="H920" s="3"/>
      <c r="I920" s="3"/>
    </row>
    <row r="921" ht="26.25" customHeight="1">
      <c r="A921" s="3"/>
      <c r="B921" s="3"/>
      <c r="C921" s="3"/>
      <c r="D921" s="3"/>
      <c r="E921" s="3"/>
      <c r="F921" s="3"/>
      <c r="G921" s="3"/>
      <c r="H921" s="3"/>
      <c r="I921" s="3"/>
    </row>
    <row r="922" ht="26.25" customHeight="1">
      <c r="A922" s="3"/>
      <c r="B922" s="3"/>
      <c r="C922" s="3"/>
      <c r="D922" s="3"/>
      <c r="E922" s="3"/>
      <c r="F922" s="3"/>
      <c r="G922" s="3"/>
      <c r="H922" s="3"/>
      <c r="I922" s="3"/>
    </row>
    <row r="923" ht="26.25" customHeight="1">
      <c r="A923" s="3"/>
      <c r="B923" s="3"/>
      <c r="C923" s="3"/>
      <c r="D923" s="3"/>
      <c r="E923" s="3"/>
      <c r="F923" s="3"/>
      <c r="G923" s="3"/>
      <c r="H923" s="3"/>
      <c r="I923" s="3"/>
    </row>
    <row r="924" ht="26.25" customHeight="1">
      <c r="A924" s="3"/>
      <c r="B924" s="3"/>
      <c r="C924" s="3"/>
      <c r="D924" s="3"/>
      <c r="E924" s="3"/>
      <c r="F924" s="3"/>
      <c r="G924" s="3"/>
      <c r="H924" s="3"/>
      <c r="I924" s="3"/>
    </row>
    <row r="925" ht="26.25" customHeight="1">
      <c r="A925" s="3"/>
      <c r="B925" s="3"/>
      <c r="C925" s="3"/>
      <c r="D925" s="3"/>
      <c r="E925" s="3"/>
      <c r="F925" s="3"/>
      <c r="G925" s="3"/>
      <c r="H925" s="3"/>
      <c r="I925" s="3"/>
    </row>
    <row r="926" ht="26.25" customHeight="1">
      <c r="A926" s="3"/>
      <c r="B926" s="3"/>
      <c r="C926" s="3"/>
      <c r="D926" s="3"/>
      <c r="E926" s="3"/>
      <c r="F926" s="3"/>
      <c r="G926" s="3"/>
      <c r="H926" s="3"/>
      <c r="I926" s="3"/>
    </row>
    <row r="927" ht="26.25" customHeight="1">
      <c r="A927" s="3"/>
      <c r="B927" s="3"/>
      <c r="C927" s="3"/>
      <c r="D927" s="3"/>
      <c r="E927" s="3"/>
      <c r="F927" s="3"/>
      <c r="G927" s="3"/>
      <c r="H927" s="3"/>
      <c r="I927" s="3"/>
    </row>
    <row r="928" ht="26.25" customHeight="1">
      <c r="A928" s="3"/>
      <c r="B928" s="3"/>
      <c r="C928" s="3"/>
      <c r="D928" s="3"/>
      <c r="E928" s="3"/>
      <c r="F928" s="3"/>
      <c r="G928" s="3"/>
      <c r="H928" s="3"/>
      <c r="I928" s="3"/>
    </row>
    <row r="929" ht="26.25" customHeight="1">
      <c r="A929" s="3"/>
      <c r="B929" s="3"/>
      <c r="C929" s="3"/>
      <c r="D929" s="3"/>
      <c r="E929" s="3"/>
      <c r="F929" s="3"/>
      <c r="G929" s="3"/>
      <c r="H929" s="3"/>
      <c r="I929" s="3"/>
    </row>
    <row r="930" ht="26.25" customHeight="1">
      <c r="A930" s="3"/>
      <c r="B930" s="3"/>
      <c r="C930" s="3"/>
      <c r="D930" s="3"/>
      <c r="E930" s="3"/>
      <c r="F930" s="3"/>
      <c r="G930" s="3"/>
      <c r="H930" s="3"/>
      <c r="I930" s="3"/>
    </row>
    <row r="931" ht="26.25" customHeight="1">
      <c r="A931" s="3"/>
      <c r="B931" s="3"/>
      <c r="C931" s="3"/>
      <c r="D931" s="3"/>
      <c r="E931" s="3"/>
      <c r="F931" s="3"/>
      <c r="G931" s="3"/>
      <c r="H931" s="3"/>
      <c r="I931" s="3"/>
    </row>
    <row r="932" ht="26.25" customHeight="1">
      <c r="A932" s="3"/>
      <c r="B932" s="3"/>
      <c r="C932" s="3"/>
      <c r="D932" s="3"/>
      <c r="E932" s="3"/>
      <c r="F932" s="3"/>
      <c r="G932" s="3"/>
      <c r="H932" s="3"/>
      <c r="I932" s="3"/>
    </row>
    <row r="933" ht="26.25" customHeight="1">
      <c r="A933" s="3"/>
      <c r="B933" s="3"/>
      <c r="C933" s="3"/>
      <c r="D933" s="3"/>
      <c r="E933" s="3"/>
      <c r="F933" s="3"/>
      <c r="G933" s="3"/>
      <c r="H933" s="3"/>
      <c r="I933" s="3"/>
    </row>
    <row r="934" ht="26.25" customHeight="1">
      <c r="A934" s="3"/>
      <c r="B934" s="3"/>
      <c r="C934" s="3"/>
      <c r="D934" s="3"/>
      <c r="E934" s="3"/>
      <c r="F934" s="3"/>
      <c r="G934" s="3"/>
      <c r="H934" s="3"/>
      <c r="I934" s="3"/>
    </row>
    <row r="935" ht="26.25" customHeight="1">
      <c r="A935" s="3"/>
      <c r="B935" s="3"/>
      <c r="C935" s="3"/>
      <c r="D935" s="3"/>
      <c r="E935" s="3"/>
      <c r="F935" s="3"/>
      <c r="G935" s="3"/>
      <c r="H935" s="3"/>
      <c r="I935" s="3"/>
    </row>
    <row r="936" ht="26.25" customHeight="1">
      <c r="A936" s="3"/>
      <c r="B936" s="3"/>
      <c r="C936" s="3"/>
      <c r="D936" s="3"/>
      <c r="E936" s="3"/>
      <c r="F936" s="3"/>
      <c r="G936" s="3"/>
      <c r="H936" s="3"/>
      <c r="I936" s="3"/>
    </row>
    <row r="937" ht="26.25" customHeight="1">
      <c r="A937" s="3"/>
      <c r="B937" s="3"/>
      <c r="C937" s="3"/>
      <c r="D937" s="3"/>
      <c r="E937" s="3"/>
      <c r="F937" s="3"/>
      <c r="G937" s="3"/>
      <c r="H937" s="3"/>
      <c r="I937" s="3"/>
    </row>
    <row r="938" ht="26.25" customHeight="1">
      <c r="A938" s="3"/>
      <c r="B938" s="3"/>
      <c r="C938" s="3"/>
      <c r="D938" s="3"/>
      <c r="E938" s="3"/>
      <c r="F938" s="3"/>
      <c r="G938" s="3"/>
      <c r="H938" s="3"/>
      <c r="I938" s="3"/>
    </row>
    <row r="939" ht="26.25" customHeight="1">
      <c r="A939" s="3"/>
      <c r="B939" s="3"/>
      <c r="C939" s="3"/>
      <c r="D939" s="3"/>
      <c r="E939" s="3"/>
      <c r="F939" s="3"/>
      <c r="G939" s="3"/>
      <c r="H939" s="3"/>
      <c r="I939" s="3"/>
    </row>
    <row r="940" ht="26.25" customHeight="1">
      <c r="A940" s="3"/>
      <c r="B940" s="3"/>
      <c r="C940" s="3"/>
      <c r="D940" s="3"/>
      <c r="E940" s="3"/>
      <c r="F940" s="3"/>
      <c r="G940" s="3"/>
      <c r="H940" s="3"/>
      <c r="I940" s="3"/>
    </row>
    <row r="941" ht="26.25" customHeight="1">
      <c r="A941" s="3"/>
      <c r="B941" s="3"/>
      <c r="C941" s="3"/>
      <c r="D941" s="3"/>
      <c r="E941" s="3"/>
      <c r="F941" s="3"/>
      <c r="G941" s="3"/>
      <c r="H941" s="3"/>
      <c r="I941" s="3"/>
    </row>
    <row r="942" ht="26.25" customHeight="1">
      <c r="A942" s="3"/>
      <c r="B942" s="3"/>
      <c r="C942" s="3"/>
      <c r="D942" s="3"/>
      <c r="E942" s="3"/>
      <c r="F942" s="3"/>
      <c r="G942" s="3"/>
      <c r="H942" s="3"/>
      <c r="I942" s="3"/>
    </row>
    <row r="943" ht="26.25" customHeight="1">
      <c r="A943" s="3"/>
      <c r="B943" s="3"/>
      <c r="C943" s="3"/>
      <c r="D943" s="3"/>
      <c r="E943" s="3"/>
      <c r="F943" s="3"/>
      <c r="G943" s="3"/>
      <c r="H943" s="3"/>
      <c r="I943" s="3"/>
    </row>
    <row r="944" ht="26.25" customHeight="1">
      <c r="A944" s="3"/>
      <c r="B944" s="3"/>
      <c r="C944" s="3"/>
      <c r="D944" s="3"/>
      <c r="E944" s="3"/>
      <c r="F944" s="3"/>
      <c r="G944" s="3"/>
      <c r="H944" s="3"/>
      <c r="I944" s="3"/>
    </row>
    <row r="945" ht="26.25" customHeight="1">
      <c r="A945" s="3"/>
      <c r="B945" s="3"/>
      <c r="C945" s="3"/>
      <c r="D945" s="3"/>
      <c r="E945" s="3"/>
      <c r="F945" s="3"/>
      <c r="G945" s="3"/>
      <c r="H945" s="3"/>
      <c r="I945" s="3"/>
    </row>
    <row r="946" ht="26.25" customHeight="1">
      <c r="A946" s="3"/>
      <c r="B946" s="3"/>
      <c r="C946" s="3"/>
      <c r="D946" s="3"/>
      <c r="E946" s="3"/>
      <c r="F946" s="3"/>
      <c r="G946" s="3"/>
      <c r="H946" s="3"/>
      <c r="I946" s="3"/>
    </row>
    <row r="947" ht="26.25" customHeight="1">
      <c r="A947" s="3"/>
      <c r="B947" s="3"/>
      <c r="C947" s="3"/>
      <c r="D947" s="3"/>
      <c r="E947" s="3"/>
      <c r="F947" s="3"/>
      <c r="G947" s="3"/>
      <c r="H947" s="3"/>
      <c r="I947" s="3"/>
    </row>
    <row r="948" ht="26.25" customHeight="1">
      <c r="A948" s="3"/>
      <c r="B948" s="3"/>
      <c r="C948" s="3"/>
      <c r="D948" s="3"/>
      <c r="E948" s="3"/>
      <c r="F948" s="3"/>
      <c r="G948" s="3"/>
      <c r="H948" s="3"/>
      <c r="I948" s="3"/>
    </row>
    <row r="949" ht="26.25" customHeight="1">
      <c r="A949" s="3"/>
      <c r="B949" s="3"/>
      <c r="C949" s="3"/>
      <c r="D949" s="3"/>
      <c r="E949" s="3"/>
      <c r="F949" s="3"/>
      <c r="G949" s="3"/>
      <c r="H949" s="3"/>
      <c r="I949" s="3"/>
    </row>
    <row r="950" ht="26.25" customHeight="1">
      <c r="A950" s="3"/>
      <c r="B950" s="3"/>
      <c r="C950" s="3"/>
      <c r="D950" s="3"/>
      <c r="E950" s="3"/>
      <c r="F950" s="3"/>
      <c r="G950" s="3"/>
      <c r="H950" s="3"/>
      <c r="I950" s="3"/>
    </row>
    <row r="951" ht="26.25" customHeight="1">
      <c r="A951" s="3"/>
      <c r="B951" s="3"/>
      <c r="C951" s="3"/>
      <c r="D951" s="3"/>
      <c r="E951" s="3"/>
      <c r="F951" s="3"/>
      <c r="G951" s="3"/>
      <c r="H951" s="3"/>
      <c r="I951" s="3"/>
    </row>
    <row r="952" ht="26.25" customHeight="1">
      <c r="A952" s="3"/>
      <c r="B952" s="3"/>
      <c r="C952" s="3"/>
      <c r="D952" s="3"/>
      <c r="E952" s="3"/>
      <c r="F952" s="3"/>
      <c r="G952" s="3"/>
      <c r="H952" s="3"/>
      <c r="I952" s="3"/>
    </row>
    <row r="953" ht="26.25" customHeight="1">
      <c r="A953" s="3"/>
      <c r="B953" s="3"/>
      <c r="C953" s="3"/>
      <c r="D953" s="3"/>
      <c r="E953" s="3"/>
      <c r="F953" s="3"/>
      <c r="G953" s="3"/>
      <c r="H953" s="3"/>
      <c r="I953" s="3"/>
    </row>
    <row r="954" ht="26.25" customHeight="1">
      <c r="A954" s="3"/>
      <c r="B954" s="3"/>
      <c r="C954" s="3"/>
      <c r="D954" s="3"/>
      <c r="E954" s="3"/>
      <c r="F954" s="3"/>
      <c r="G954" s="3"/>
      <c r="H954" s="3"/>
      <c r="I954" s="3"/>
    </row>
    <row r="955" ht="26.25" customHeight="1">
      <c r="A955" s="3"/>
      <c r="B955" s="3"/>
      <c r="C955" s="3"/>
      <c r="D955" s="3"/>
      <c r="E955" s="3"/>
      <c r="F955" s="3"/>
      <c r="G955" s="3"/>
      <c r="H955" s="3"/>
      <c r="I955" s="3"/>
    </row>
    <row r="956" ht="26.25" customHeight="1">
      <c r="A956" s="3"/>
      <c r="B956" s="3"/>
      <c r="C956" s="3"/>
      <c r="D956" s="3"/>
      <c r="E956" s="3"/>
      <c r="F956" s="3"/>
      <c r="G956" s="3"/>
      <c r="H956" s="3"/>
      <c r="I956" s="3"/>
    </row>
    <row r="957" ht="26.25" customHeight="1">
      <c r="A957" s="3"/>
      <c r="B957" s="3"/>
      <c r="C957" s="3"/>
      <c r="D957" s="3"/>
      <c r="E957" s="3"/>
      <c r="F957" s="3"/>
      <c r="G957" s="3"/>
      <c r="H957" s="3"/>
      <c r="I957" s="3"/>
    </row>
    <row r="958" ht="26.25" customHeight="1">
      <c r="A958" s="3"/>
      <c r="B958" s="3"/>
      <c r="C958" s="3"/>
      <c r="D958" s="3"/>
      <c r="E958" s="3"/>
      <c r="F958" s="3"/>
      <c r="G958" s="3"/>
      <c r="H958" s="3"/>
      <c r="I958" s="3"/>
    </row>
    <row r="959" ht="26.25" customHeight="1">
      <c r="A959" s="3"/>
      <c r="B959" s="3"/>
      <c r="C959" s="3"/>
      <c r="D959" s="3"/>
      <c r="E959" s="3"/>
      <c r="F959" s="3"/>
      <c r="G959" s="3"/>
      <c r="H959" s="3"/>
      <c r="I959" s="3"/>
    </row>
    <row r="960" ht="26.25" customHeight="1">
      <c r="A960" s="3"/>
      <c r="B960" s="3"/>
      <c r="C960" s="3"/>
      <c r="D960" s="3"/>
      <c r="E960" s="3"/>
      <c r="F960" s="3"/>
      <c r="G960" s="3"/>
      <c r="H960" s="3"/>
      <c r="I960" s="3"/>
    </row>
    <row r="961" ht="26.25" customHeight="1">
      <c r="A961" s="3"/>
      <c r="B961" s="3"/>
      <c r="C961" s="3"/>
      <c r="D961" s="3"/>
      <c r="E961" s="3"/>
      <c r="F961" s="3"/>
      <c r="G961" s="3"/>
      <c r="H961" s="3"/>
      <c r="I961" s="3"/>
    </row>
    <row r="962" ht="26.25" customHeight="1">
      <c r="A962" s="3"/>
      <c r="B962" s="3"/>
      <c r="C962" s="3"/>
      <c r="D962" s="3"/>
      <c r="E962" s="3"/>
      <c r="F962" s="3"/>
      <c r="G962" s="3"/>
      <c r="H962" s="3"/>
      <c r="I962" s="3"/>
    </row>
    <row r="963" ht="26.25" customHeight="1">
      <c r="A963" s="3"/>
      <c r="B963" s="3"/>
      <c r="C963" s="3"/>
      <c r="D963" s="3"/>
      <c r="E963" s="3"/>
      <c r="F963" s="3"/>
      <c r="G963" s="3"/>
      <c r="H963" s="3"/>
      <c r="I963" s="3"/>
    </row>
    <row r="964" ht="26.25" customHeight="1">
      <c r="A964" s="3"/>
      <c r="B964" s="3"/>
      <c r="C964" s="3"/>
      <c r="D964" s="3"/>
      <c r="E964" s="3"/>
      <c r="F964" s="3"/>
      <c r="G964" s="3"/>
      <c r="H964" s="3"/>
      <c r="I964" s="3"/>
    </row>
    <row r="965" ht="26.25" customHeight="1">
      <c r="A965" s="3"/>
      <c r="B965" s="3"/>
      <c r="C965" s="3"/>
      <c r="D965" s="3"/>
      <c r="E965" s="3"/>
      <c r="F965" s="3"/>
      <c r="G965" s="3"/>
      <c r="H965" s="3"/>
      <c r="I965" s="3"/>
    </row>
    <row r="966" ht="26.25" customHeight="1">
      <c r="A966" s="3"/>
      <c r="B966" s="3"/>
      <c r="C966" s="3"/>
      <c r="D966" s="3"/>
      <c r="E966" s="3"/>
      <c r="F966" s="3"/>
      <c r="G966" s="3"/>
      <c r="H966" s="3"/>
      <c r="I966" s="3"/>
    </row>
    <row r="967" ht="26.25" customHeight="1">
      <c r="A967" s="3"/>
      <c r="B967" s="3"/>
      <c r="C967" s="3"/>
      <c r="D967" s="3"/>
      <c r="E967" s="3"/>
      <c r="F967" s="3"/>
      <c r="G967" s="3"/>
      <c r="H967" s="3"/>
      <c r="I967" s="3"/>
    </row>
    <row r="968" ht="26.25" customHeight="1">
      <c r="A968" s="3"/>
      <c r="B968" s="3"/>
      <c r="C968" s="3"/>
      <c r="D968" s="3"/>
      <c r="E968" s="3"/>
      <c r="F968" s="3"/>
      <c r="G968" s="3"/>
      <c r="H968" s="3"/>
      <c r="I968" s="3"/>
    </row>
    <row r="969" ht="26.25" customHeight="1">
      <c r="A969" s="3"/>
      <c r="B969" s="3"/>
      <c r="C969" s="3"/>
      <c r="D969" s="3"/>
      <c r="E969" s="3"/>
      <c r="F969" s="3"/>
      <c r="G969" s="3"/>
      <c r="H969" s="3"/>
      <c r="I969" s="3"/>
    </row>
    <row r="970" ht="26.25" customHeight="1">
      <c r="A970" s="3"/>
      <c r="B970" s="3"/>
      <c r="C970" s="3"/>
      <c r="D970" s="3"/>
      <c r="E970" s="3"/>
      <c r="F970" s="3"/>
      <c r="G970" s="3"/>
      <c r="H970" s="3"/>
      <c r="I970" s="3"/>
    </row>
    <row r="971" ht="26.25" customHeight="1">
      <c r="A971" s="3"/>
      <c r="B971" s="3"/>
      <c r="C971" s="3"/>
      <c r="D971" s="3"/>
      <c r="E971" s="3"/>
      <c r="F971" s="3"/>
      <c r="G971" s="3"/>
      <c r="H971" s="3"/>
      <c r="I971" s="3"/>
    </row>
    <row r="972" ht="26.25" customHeight="1">
      <c r="A972" s="3"/>
      <c r="B972" s="3"/>
      <c r="C972" s="3"/>
      <c r="D972" s="3"/>
      <c r="E972" s="3"/>
      <c r="F972" s="3"/>
      <c r="G972" s="3"/>
      <c r="H972" s="3"/>
      <c r="I972" s="3"/>
    </row>
    <row r="973" ht="26.25" customHeight="1">
      <c r="A973" s="3"/>
      <c r="B973" s="3"/>
      <c r="C973" s="3"/>
      <c r="D973" s="3"/>
      <c r="E973" s="3"/>
      <c r="F973" s="3"/>
      <c r="G973" s="3"/>
      <c r="H973" s="3"/>
      <c r="I973" s="3"/>
    </row>
    <row r="974" ht="26.25" customHeight="1">
      <c r="A974" s="3"/>
      <c r="B974" s="3"/>
      <c r="C974" s="3"/>
      <c r="D974" s="3"/>
      <c r="E974" s="3"/>
      <c r="F974" s="3"/>
      <c r="G974" s="3"/>
      <c r="H974" s="3"/>
      <c r="I974" s="3"/>
    </row>
    <row r="975" ht="26.25" customHeight="1">
      <c r="A975" s="3"/>
      <c r="B975" s="3"/>
      <c r="C975" s="3"/>
      <c r="D975" s="3"/>
      <c r="E975" s="3"/>
      <c r="F975" s="3"/>
      <c r="G975" s="3"/>
      <c r="H975" s="3"/>
      <c r="I975" s="3"/>
    </row>
    <row r="976" ht="26.25" customHeight="1">
      <c r="A976" s="3"/>
      <c r="B976" s="3"/>
      <c r="C976" s="3"/>
      <c r="D976" s="3"/>
      <c r="E976" s="3"/>
      <c r="F976" s="3"/>
      <c r="G976" s="3"/>
      <c r="H976" s="3"/>
      <c r="I976" s="3"/>
    </row>
    <row r="977" ht="26.25" customHeight="1">
      <c r="A977" s="3"/>
      <c r="B977" s="3"/>
      <c r="C977" s="3"/>
      <c r="D977" s="3"/>
      <c r="E977" s="3"/>
      <c r="F977" s="3"/>
      <c r="G977" s="3"/>
      <c r="H977" s="3"/>
      <c r="I977" s="3"/>
    </row>
    <row r="978" ht="26.25" customHeight="1">
      <c r="A978" s="3"/>
      <c r="B978" s="3"/>
      <c r="C978" s="3"/>
      <c r="D978" s="3"/>
      <c r="E978" s="3"/>
      <c r="F978" s="3"/>
      <c r="G978" s="3"/>
      <c r="H978" s="3"/>
      <c r="I978" s="3"/>
    </row>
    <row r="979" ht="26.25" customHeight="1">
      <c r="A979" s="3"/>
      <c r="B979" s="3"/>
      <c r="C979" s="3"/>
      <c r="D979" s="3"/>
      <c r="E979" s="3"/>
      <c r="F979" s="3"/>
      <c r="G979" s="3"/>
      <c r="H979" s="3"/>
      <c r="I979" s="3"/>
    </row>
    <row r="980" ht="26.25" customHeight="1">
      <c r="A980" s="3"/>
      <c r="B980" s="3"/>
      <c r="C980" s="3"/>
      <c r="D980" s="3"/>
      <c r="E980" s="3"/>
      <c r="F980" s="3"/>
      <c r="G980" s="3"/>
      <c r="H980" s="3"/>
      <c r="I980" s="3"/>
    </row>
    <row r="981" ht="26.25" customHeight="1">
      <c r="A981" s="3"/>
      <c r="B981" s="3"/>
      <c r="C981" s="3"/>
      <c r="D981" s="3"/>
      <c r="E981" s="3"/>
      <c r="F981" s="3"/>
      <c r="G981" s="3"/>
      <c r="H981" s="3"/>
      <c r="I981" s="3"/>
    </row>
    <row r="982" ht="26.25" customHeight="1">
      <c r="A982" s="3"/>
      <c r="B982" s="3"/>
      <c r="C982" s="3"/>
      <c r="D982" s="3"/>
      <c r="E982" s="3"/>
      <c r="F982" s="3"/>
      <c r="G982" s="3"/>
      <c r="H982" s="3"/>
      <c r="I982" s="3"/>
    </row>
    <row r="983" ht="26.25" customHeight="1">
      <c r="A983" s="3"/>
      <c r="B983" s="3"/>
      <c r="C983" s="3"/>
      <c r="D983" s="3"/>
      <c r="E983" s="3"/>
      <c r="F983" s="3"/>
      <c r="G983" s="3"/>
      <c r="H983" s="3"/>
      <c r="I983" s="3"/>
    </row>
    <row r="984" ht="26.25" customHeight="1">
      <c r="A984" s="3"/>
      <c r="B984" s="3"/>
      <c r="C984" s="3"/>
      <c r="D984" s="3"/>
      <c r="E984" s="3"/>
      <c r="F984" s="3"/>
      <c r="G984" s="3"/>
      <c r="H984" s="3"/>
      <c r="I984" s="3"/>
    </row>
    <row r="985" ht="26.25" customHeight="1">
      <c r="A985" s="3"/>
      <c r="B985" s="3"/>
      <c r="C985" s="3"/>
      <c r="D985" s="3"/>
      <c r="E985" s="3"/>
      <c r="F985" s="3"/>
      <c r="G985" s="3"/>
      <c r="H985" s="3"/>
      <c r="I985" s="3"/>
    </row>
    <row r="986" ht="26.25" customHeight="1">
      <c r="A986" s="3"/>
      <c r="B986" s="3"/>
      <c r="C986" s="3"/>
      <c r="D986" s="3"/>
      <c r="E986" s="3"/>
      <c r="F986" s="3"/>
      <c r="G986" s="3"/>
      <c r="H986" s="3"/>
      <c r="I986" s="3"/>
    </row>
    <row r="987" ht="26.25" customHeight="1">
      <c r="A987" s="3"/>
      <c r="B987" s="3"/>
      <c r="C987" s="3"/>
      <c r="D987" s="3"/>
      <c r="E987" s="3"/>
      <c r="F987" s="3"/>
      <c r="G987" s="3"/>
      <c r="H987" s="3"/>
      <c r="I987" s="3"/>
    </row>
    <row r="988" ht="26.25" customHeight="1">
      <c r="A988" s="3"/>
      <c r="B988" s="3"/>
      <c r="C988" s="3"/>
      <c r="D988" s="3"/>
      <c r="E988" s="3"/>
      <c r="F988" s="3"/>
      <c r="G988" s="3"/>
      <c r="H988" s="3"/>
      <c r="I988" s="3"/>
    </row>
    <row r="989" ht="26.25" customHeight="1">
      <c r="A989" s="3"/>
      <c r="B989" s="3"/>
      <c r="C989" s="3"/>
      <c r="D989" s="3"/>
      <c r="E989" s="3"/>
      <c r="F989" s="3"/>
      <c r="G989" s="3"/>
      <c r="H989" s="3"/>
      <c r="I989" s="3"/>
    </row>
    <row r="990" ht="26.25" customHeight="1">
      <c r="A990" s="3"/>
      <c r="B990" s="3"/>
      <c r="C990" s="3"/>
      <c r="D990" s="3"/>
      <c r="E990" s="3"/>
      <c r="F990" s="3"/>
      <c r="G990" s="3"/>
      <c r="H990" s="3"/>
      <c r="I990" s="3"/>
    </row>
    <row r="991" ht="26.25" customHeight="1">
      <c r="A991" s="3"/>
      <c r="B991" s="3"/>
      <c r="C991" s="3"/>
      <c r="D991" s="3"/>
      <c r="E991" s="3"/>
      <c r="F991" s="3"/>
      <c r="G991" s="3"/>
      <c r="H991" s="3"/>
      <c r="I991" s="3"/>
    </row>
    <row r="992" ht="26.25" customHeight="1">
      <c r="A992" s="3"/>
      <c r="B992" s="3"/>
      <c r="C992" s="3"/>
      <c r="D992" s="3"/>
      <c r="E992" s="3"/>
      <c r="F992" s="3"/>
      <c r="G992" s="3"/>
      <c r="H992" s="3"/>
      <c r="I992" s="3"/>
    </row>
    <row r="993" ht="26.25" customHeight="1">
      <c r="A993" s="3"/>
      <c r="B993" s="3"/>
      <c r="C993" s="3"/>
      <c r="D993" s="3"/>
      <c r="E993" s="3"/>
      <c r="F993" s="3"/>
      <c r="G993" s="3"/>
      <c r="H993" s="3"/>
      <c r="I993" s="3"/>
    </row>
    <row r="994" ht="26.25" customHeight="1">
      <c r="A994" s="3"/>
      <c r="B994" s="3"/>
      <c r="C994" s="3"/>
      <c r="D994" s="3"/>
      <c r="E994" s="3"/>
      <c r="F994" s="3"/>
      <c r="G994" s="3"/>
      <c r="H994" s="3"/>
      <c r="I994" s="3"/>
    </row>
    <row r="995" ht="26.25" customHeight="1">
      <c r="A995" s="3"/>
      <c r="B995" s="3"/>
      <c r="C995" s="3"/>
      <c r="D995" s="3"/>
      <c r="E995" s="3"/>
      <c r="F995" s="3"/>
      <c r="G995" s="3"/>
      <c r="H995" s="3"/>
      <c r="I995" s="3"/>
    </row>
    <row r="996" ht="26.25" customHeight="1">
      <c r="A996" s="3"/>
      <c r="B996" s="3"/>
      <c r="C996" s="3"/>
      <c r="D996" s="3"/>
      <c r="E996" s="3"/>
      <c r="F996" s="3"/>
      <c r="G996" s="3"/>
      <c r="H996" s="3"/>
      <c r="I996" s="3"/>
    </row>
    <row r="997" ht="26.25" customHeight="1">
      <c r="A997" s="3"/>
      <c r="B997" s="3"/>
      <c r="C997" s="3"/>
      <c r="D997" s="3"/>
      <c r="E997" s="3"/>
      <c r="F997" s="3"/>
      <c r="G997" s="3"/>
      <c r="H997" s="3"/>
      <c r="I997" s="3"/>
    </row>
    <row r="998" ht="26.25" customHeight="1">
      <c r="A998" s="3"/>
      <c r="B998" s="3"/>
      <c r="C998" s="3"/>
      <c r="D998" s="3"/>
      <c r="E998" s="3"/>
      <c r="F998" s="3"/>
      <c r="G998" s="3"/>
      <c r="H998" s="3"/>
      <c r="I998" s="3"/>
    </row>
    <row r="999" ht="26.25" customHeight="1">
      <c r="A999" s="3"/>
      <c r="B999" s="3"/>
      <c r="C999" s="3"/>
      <c r="D999" s="3"/>
      <c r="E999" s="3"/>
      <c r="F999" s="3"/>
      <c r="G999" s="3"/>
      <c r="H999" s="3"/>
      <c r="I999" s="3"/>
    </row>
    <row r="1000" ht="26.25" customHeight="1">
      <c r="A1000" s="3"/>
      <c r="B1000" s="3"/>
      <c r="C1000" s="3"/>
      <c r="D1000" s="3"/>
      <c r="E1000" s="3"/>
      <c r="F1000" s="3"/>
      <c r="G1000" s="3"/>
      <c r="H1000" s="3"/>
      <c r="I1000" s="3"/>
    </row>
  </sheetData>
  <mergeCells count="7">
    <mergeCell ref="B4:I4"/>
    <mergeCell ref="B5:I5"/>
    <mergeCell ref="C6:H6"/>
    <mergeCell ref="C7:H7"/>
    <mergeCell ref="D10:G10"/>
    <mergeCell ref="D11:G11"/>
    <mergeCell ref="D12:G12"/>
  </mergeCells>
  <dataValidations>
    <dataValidation type="list" allowBlank="1" showErrorMessage="1" sqref="D12">
      <formula1>'Concept Classes'!$B$1:$J$1</formula1>
    </dataValidation>
  </dataValidations>
  <printOptions/>
  <pageMargins bottom="0.984251968503937" footer="0.0" header="0.0" left="0.748031496062992" right="0.748031496062992" top="0.984251968503937"/>
  <pageSetup paperSize="9" orientation="landscape"/>
  <headerFooter>
    <oddHeader>&amp;C&amp;F</oddHeader>
    <oddFooter>&amp;L&amp;A&amp;C(c) T-Mobile International 2008&amp;RPage &amp;P / </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0.71"/>
    <col customWidth="1" min="2" max="2" width="20.86"/>
    <col customWidth="1" min="3" max="3" width="14.86"/>
    <col customWidth="1" min="4" max="4" width="16.14"/>
    <col customWidth="1" min="5" max="5" width="15.0"/>
    <col customWidth="1" min="6" max="6" width="45.43"/>
    <col customWidth="1" min="7" max="26" width="9.14"/>
  </cols>
  <sheetData>
    <row r="1" ht="12.75" customHeight="1">
      <c r="A1" s="49"/>
      <c r="B1" s="50" t="s">
        <v>16</v>
      </c>
      <c r="C1" s="51" t="s">
        <v>17</v>
      </c>
      <c r="D1" s="51" t="s">
        <v>18</v>
      </c>
      <c r="E1" s="52"/>
      <c r="F1" s="52"/>
    </row>
    <row r="2" ht="12.75" customHeight="1">
      <c r="A2" s="53"/>
      <c r="B2" s="54"/>
      <c r="C2" s="55"/>
      <c r="D2" s="55"/>
      <c r="E2" s="55"/>
      <c r="F2" s="56"/>
    </row>
    <row r="3" ht="12.75" customHeight="1">
      <c r="A3" s="53"/>
      <c r="B3" s="57" t="s">
        <v>19</v>
      </c>
      <c r="C3" s="50"/>
      <c r="D3" s="58"/>
      <c r="E3" s="58"/>
      <c r="F3" s="59"/>
    </row>
    <row r="4" ht="12.75" customHeight="1">
      <c r="A4" s="53"/>
      <c r="B4" s="60" t="s">
        <v>20</v>
      </c>
      <c r="C4" s="30"/>
      <c r="D4" s="61"/>
      <c r="E4" s="62" t="s">
        <v>21</v>
      </c>
      <c r="F4" s="31"/>
    </row>
    <row r="5" ht="12.75" customHeight="1">
      <c r="A5" s="53"/>
      <c r="B5" s="63" t="s">
        <v>22</v>
      </c>
      <c r="C5" s="64"/>
      <c r="D5" s="64"/>
      <c r="E5" s="65" t="s">
        <v>23</v>
      </c>
      <c r="F5" s="31"/>
    </row>
    <row r="6" ht="12.75" customHeight="1">
      <c r="A6" s="53"/>
      <c r="B6" s="66"/>
      <c r="C6" s="67"/>
      <c r="D6" s="67"/>
      <c r="E6" s="68"/>
      <c r="F6" s="69"/>
    </row>
    <row r="7" ht="12.75" customHeight="1">
      <c r="A7" s="53"/>
      <c r="B7" s="70" t="s">
        <v>24</v>
      </c>
      <c r="C7" s="71"/>
      <c r="D7" s="58"/>
      <c r="E7" s="58"/>
      <c r="F7" s="59"/>
    </row>
    <row r="8" ht="12.75" customHeight="1">
      <c r="A8" s="53"/>
      <c r="B8" s="70"/>
      <c r="C8" s="71"/>
      <c r="D8" s="58"/>
      <c r="E8" s="58"/>
      <c r="F8" s="59"/>
    </row>
    <row r="9" ht="12.75" customHeight="1">
      <c r="A9" s="53"/>
      <c r="B9" s="70" t="s">
        <v>25</v>
      </c>
      <c r="C9" s="71"/>
      <c r="D9" s="58"/>
      <c r="E9" s="58"/>
      <c r="F9" s="59"/>
    </row>
    <row r="10" ht="24.75" customHeight="1">
      <c r="A10" s="53"/>
      <c r="B10" s="72" t="s">
        <v>26</v>
      </c>
      <c r="C10" s="19"/>
      <c r="D10" s="19"/>
      <c r="E10" s="19"/>
      <c r="F10" s="73"/>
    </row>
    <row r="11" ht="12.75" customHeight="1">
      <c r="A11" s="53"/>
      <c r="B11" s="74"/>
      <c r="C11" s="75"/>
      <c r="D11" s="75"/>
      <c r="E11" s="75"/>
      <c r="F11" s="76"/>
    </row>
    <row r="12" ht="12.75" customHeight="1">
      <c r="A12" s="53"/>
      <c r="B12" s="70" t="s">
        <v>27</v>
      </c>
      <c r="C12" s="71"/>
      <c r="D12" s="58"/>
      <c r="E12" s="58"/>
      <c r="F12" s="59"/>
    </row>
    <row r="13" ht="12.75" customHeight="1">
      <c r="A13" s="53"/>
      <c r="B13" s="72" t="s">
        <v>28</v>
      </c>
      <c r="C13" s="19"/>
      <c r="D13" s="19"/>
      <c r="E13" s="19"/>
      <c r="F13" s="73"/>
    </row>
    <row r="14" ht="12.75" customHeight="1">
      <c r="A14" s="53"/>
      <c r="B14" s="74"/>
      <c r="C14" s="75"/>
      <c r="D14" s="75"/>
      <c r="E14" s="75"/>
      <c r="F14" s="76"/>
    </row>
    <row r="15" ht="12.75" customHeight="1">
      <c r="A15" s="53"/>
      <c r="B15" s="70" t="s">
        <v>29</v>
      </c>
      <c r="C15" s="71"/>
      <c r="D15" s="58"/>
      <c r="E15" s="58"/>
      <c r="F15" s="59"/>
    </row>
    <row r="16" ht="12.75" customHeight="1">
      <c r="A16" s="53"/>
      <c r="B16" s="77" t="s">
        <v>30</v>
      </c>
      <c r="C16" s="19"/>
      <c r="D16" s="19"/>
      <c r="E16" s="19"/>
      <c r="F16" s="73"/>
    </row>
    <row r="17" ht="12.75" customHeight="1">
      <c r="A17" s="53"/>
      <c r="B17" s="78" t="s">
        <v>31</v>
      </c>
      <c r="C17" s="79"/>
      <c r="D17" s="79"/>
      <c r="E17" s="79"/>
      <c r="F17" s="80"/>
    </row>
    <row r="18" ht="12.75" customHeight="1">
      <c r="A18" s="53"/>
      <c r="B18" s="81" t="s">
        <v>32</v>
      </c>
      <c r="C18" s="82" t="s">
        <v>33</v>
      </c>
      <c r="D18" s="83"/>
      <c r="E18" s="84" t="s">
        <v>34</v>
      </c>
      <c r="F18" s="85" t="s">
        <v>35</v>
      </c>
    </row>
    <row r="19" ht="12.75" customHeight="1">
      <c r="A19" s="53"/>
      <c r="B19" s="86" t="s">
        <v>36</v>
      </c>
      <c r="C19" s="87" t="s">
        <v>37</v>
      </c>
      <c r="D19" s="88"/>
      <c r="E19" s="89">
        <v>45525.0</v>
      </c>
      <c r="F19" s="90" t="s">
        <v>38</v>
      </c>
    </row>
    <row r="20" ht="12.75" customHeight="1">
      <c r="A20" s="53"/>
      <c r="B20" s="86" t="s">
        <v>39</v>
      </c>
      <c r="C20" s="87" t="s">
        <v>40</v>
      </c>
      <c r="D20" s="88"/>
      <c r="E20" s="89">
        <v>45517.0</v>
      </c>
      <c r="F20" s="90" t="s">
        <v>41</v>
      </c>
    </row>
    <row r="21" ht="12.75" customHeight="1">
      <c r="A21" s="53"/>
      <c r="B21" s="86" t="s">
        <v>42</v>
      </c>
      <c r="C21" s="87" t="s">
        <v>43</v>
      </c>
      <c r="D21" s="88"/>
      <c r="E21" s="89">
        <v>45443.0</v>
      </c>
      <c r="F21" s="90" t="s">
        <v>44</v>
      </c>
    </row>
    <row r="22" ht="15.0" customHeight="1">
      <c r="A22" s="53"/>
      <c r="B22" s="86" t="s">
        <v>45</v>
      </c>
      <c r="C22" s="87" t="s">
        <v>46</v>
      </c>
      <c r="D22" s="88"/>
      <c r="E22" s="89">
        <v>45245.0</v>
      </c>
      <c r="F22" s="90"/>
    </row>
    <row r="23" ht="12.75" customHeight="1">
      <c r="A23" s="53"/>
      <c r="B23" s="91"/>
      <c r="C23" s="58"/>
      <c r="D23" s="58"/>
      <c r="E23" s="58"/>
      <c r="F23" s="59"/>
    </row>
    <row r="24" ht="12.75" customHeight="1">
      <c r="A24" s="53"/>
      <c r="B24" s="70" t="s">
        <v>47</v>
      </c>
      <c r="C24" s="71"/>
      <c r="D24" s="58"/>
      <c r="E24" s="58"/>
      <c r="F24" s="59"/>
    </row>
    <row r="25" ht="12.75" customHeight="1">
      <c r="A25" s="53"/>
      <c r="B25" s="91" t="s">
        <v>48</v>
      </c>
      <c r="C25" s="58"/>
      <c r="D25" s="58"/>
      <c r="E25" s="58"/>
      <c r="F25" s="59"/>
    </row>
    <row r="26" ht="12.75" customHeight="1">
      <c r="A26" s="53"/>
      <c r="B26" s="91"/>
      <c r="C26" s="58"/>
      <c r="D26" s="58"/>
      <c r="E26" s="58"/>
      <c r="F26" s="59"/>
    </row>
    <row r="27" ht="12.75" customHeight="1">
      <c r="A27" s="53"/>
      <c r="B27" s="92" t="s">
        <v>49</v>
      </c>
      <c r="C27" s="93"/>
      <c r="D27" s="93"/>
      <c r="E27" s="93"/>
      <c r="F27" s="94"/>
    </row>
    <row r="28" ht="12.75" customHeight="1">
      <c r="A28" s="53"/>
      <c r="B28" s="95" t="s">
        <v>50</v>
      </c>
      <c r="C28" s="30"/>
      <c r="D28" s="30"/>
      <c r="E28" s="30"/>
      <c r="F28" s="31"/>
    </row>
    <row r="29" ht="12.75" customHeight="1">
      <c r="A29" s="53"/>
      <c r="B29" s="96" t="s">
        <v>51</v>
      </c>
      <c r="C29" s="30"/>
      <c r="D29" s="30"/>
      <c r="E29" s="30"/>
      <c r="F29" s="31"/>
    </row>
    <row r="30" ht="12.75" customHeight="1">
      <c r="A30" s="53"/>
      <c r="B30" s="95" t="s">
        <v>52</v>
      </c>
      <c r="C30" s="30"/>
      <c r="D30" s="30"/>
      <c r="E30" s="30"/>
      <c r="F30" s="31"/>
    </row>
    <row r="31" ht="12.75" customHeight="1">
      <c r="A31" s="53"/>
      <c r="B31" s="97" t="s">
        <v>53</v>
      </c>
      <c r="C31" s="30"/>
      <c r="D31" s="30"/>
      <c r="E31" s="30"/>
      <c r="F31" s="31"/>
    </row>
    <row r="32" ht="12.75" customHeight="1">
      <c r="A32" s="53"/>
      <c r="B32" s="98"/>
      <c r="C32" s="99"/>
      <c r="D32" s="58"/>
      <c r="E32" s="58"/>
      <c r="F32" s="59"/>
    </row>
    <row r="33" ht="12.75" customHeight="1">
      <c r="A33" s="53"/>
      <c r="B33" s="70" t="s">
        <v>54</v>
      </c>
      <c r="C33" s="71"/>
      <c r="D33" s="58"/>
      <c r="E33" s="58"/>
      <c r="F33" s="59"/>
    </row>
    <row r="34" ht="25.5" customHeight="1">
      <c r="A34" s="53"/>
      <c r="B34" s="77" t="s">
        <v>55</v>
      </c>
      <c r="C34" s="19"/>
      <c r="D34" s="19"/>
      <c r="E34" s="19"/>
      <c r="F34" s="73"/>
    </row>
    <row r="35" ht="12.75" customHeight="1">
      <c r="A35" s="53"/>
      <c r="B35" s="81" t="s">
        <v>56</v>
      </c>
      <c r="C35" s="100" t="s">
        <v>57</v>
      </c>
      <c r="D35" s="30"/>
      <c r="E35" s="30"/>
      <c r="F35" s="31"/>
    </row>
    <row r="36" ht="12.75" customHeight="1">
      <c r="A36" s="53"/>
      <c r="B36" s="101" t="s">
        <v>58</v>
      </c>
      <c r="C36" s="102" t="s">
        <v>59</v>
      </c>
      <c r="D36" s="30"/>
      <c r="E36" s="30"/>
      <c r="F36" s="31"/>
    </row>
    <row r="37" ht="12.75" customHeight="1">
      <c r="A37" s="53"/>
      <c r="B37" s="103" t="s">
        <v>60</v>
      </c>
      <c r="C37" s="104" t="s">
        <v>61</v>
      </c>
      <c r="D37" s="30"/>
      <c r="E37" s="30"/>
      <c r="F37" s="31"/>
    </row>
    <row r="38" ht="12.75" customHeight="1">
      <c r="A38" s="53"/>
      <c r="B38" s="103" t="s">
        <v>62</v>
      </c>
      <c r="C38" s="104" t="s">
        <v>63</v>
      </c>
      <c r="D38" s="30"/>
      <c r="E38" s="30"/>
      <c r="F38" s="31"/>
    </row>
    <row r="39" ht="12.75" customHeight="1">
      <c r="A39" s="53"/>
      <c r="B39" s="103" t="s">
        <v>64</v>
      </c>
      <c r="C39" s="104" t="s">
        <v>65</v>
      </c>
      <c r="D39" s="30"/>
      <c r="E39" s="30"/>
      <c r="F39" s="31"/>
    </row>
    <row r="40" ht="12.75" customHeight="1">
      <c r="A40" s="53"/>
      <c r="B40" s="103" t="s">
        <v>66</v>
      </c>
      <c r="C40" s="104" t="s">
        <v>67</v>
      </c>
      <c r="D40" s="30"/>
      <c r="E40" s="30"/>
      <c r="F40" s="31"/>
    </row>
    <row r="41" ht="12.75" customHeight="1">
      <c r="A41" s="53"/>
      <c r="B41" s="103" t="s">
        <v>68</v>
      </c>
      <c r="C41" s="104" t="s">
        <v>69</v>
      </c>
      <c r="D41" s="30"/>
      <c r="E41" s="30"/>
      <c r="F41" s="31"/>
    </row>
    <row r="42" ht="12.75" customHeight="1">
      <c r="A42" s="53"/>
      <c r="B42" s="91"/>
      <c r="C42" s="58"/>
      <c r="D42" s="58"/>
      <c r="E42" s="58"/>
      <c r="F42" s="59"/>
    </row>
    <row r="43" ht="12.75" customHeight="1">
      <c r="A43" s="53"/>
      <c r="B43" s="70" t="s">
        <v>70</v>
      </c>
      <c r="C43" s="71"/>
      <c r="D43" s="58"/>
      <c r="E43" s="58"/>
      <c r="F43" s="59"/>
    </row>
    <row r="44" ht="12.75" customHeight="1">
      <c r="A44" s="53"/>
      <c r="B44" s="72" t="s">
        <v>71</v>
      </c>
      <c r="C44" s="19"/>
      <c r="D44" s="19"/>
      <c r="E44" s="19"/>
      <c r="F44" s="73"/>
    </row>
    <row r="45" ht="12.75" customHeight="1">
      <c r="A45" s="53"/>
      <c r="B45" s="91"/>
      <c r="C45" s="58"/>
      <c r="D45" s="58"/>
      <c r="E45" s="58"/>
      <c r="F45" s="59"/>
    </row>
    <row r="46" ht="12.75" customHeight="1">
      <c r="A46" s="53"/>
      <c r="B46" s="70" t="s">
        <v>72</v>
      </c>
      <c r="C46" s="71"/>
      <c r="D46" s="58"/>
      <c r="E46" s="58"/>
      <c r="F46" s="59"/>
    </row>
    <row r="47" ht="12.75" customHeight="1">
      <c r="A47" s="53"/>
      <c r="B47" s="72" t="s">
        <v>73</v>
      </c>
      <c r="C47" s="19"/>
      <c r="D47" s="19"/>
      <c r="E47" s="19"/>
      <c r="F47" s="73"/>
    </row>
    <row r="48" ht="12.75" customHeight="1">
      <c r="A48" s="53"/>
      <c r="B48" s="72" t="s">
        <v>74</v>
      </c>
      <c r="C48" s="19"/>
      <c r="D48" s="19"/>
      <c r="E48" s="19"/>
      <c r="F48" s="73"/>
    </row>
    <row r="49" ht="12.75" customHeight="1">
      <c r="A49" s="53"/>
      <c r="B49" s="91"/>
      <c r="C49" s="58"/>
      <c r="D49" s="58"/>
      <c r="E49" s="58"/>
      <c r="F49" s="59"/>
    </row>
    <row r="50" ht="12.75" customHeight="1">
      <c r="A50" s="53"/>
      <c r="B50" s="70" t="s">
        <v>75</v>
      </c>
      <c r="C50" s="71"/>
      <c r="D50" s="58"/>
      <c r="E50" s="58"/>
      <c r="F50" s="59"/>
    </row>
    <row r="51" ht="12.75" customHeight="1">
      <c r="A51" s="53"/>
      <c r="B51" s="72" t="s">
        <v>76</v>
      </c>
      <c r="C51" s="19"/>
      <c r="D51" s="19"/>
      <c r="E51" s="19"/>
      <c r="F51" s="73"/>
    </row>
    <row r="52" ht="12.75" customHeight="1">
      <c r="A52" s="53"/>
      <c r="B52" s="72" t="s">
        <v>77</v>
      </c>
      <c r="C52" s="19"/>
      <c r="D52" s="19"/>
      <c r="E52" s="19"/>
      <c r="F52" s="73"/>
    </row>
    <row r="53" ht="12.75" customHeight="1">
      <c r="A53" s="53"/>
      <c r="B53" s="105" t="s">
        <v>78</v>
      </c>
      <c r="C53" s="19"/>
      <c r="D53" s="19"/>
      <c r="E53" s="19"/>
      <c r="F53" s="73"/>
    </row>
    <row r="54" ht="12.75" customHeight="1">
      <c r="A54" s="53"/>
      <c r="B54" s="105" t="s">
        <v>79</v>
      </c>
      <c r="C54" s="19"/>
      <c r="D54" s="19"/>
      <c r="E54" s="19"/>
      <c r="F54" s="73"/>
    </row>
    <row r="55" ht="12.75" customHeight="1">
      <c r="A55" s="53"/>
      <c r="B55" s="105" t="s">
        <v>80</v>
      </c>
      <c r="C55" s="19"/>
      <c r="D55" s="19"/>
      <c r="E55" s="19"/>
      <c r="F55" s="73"/>
    </row>
    <row r="56" ht="12.75" customHeight="1">
      <c r="A56" s="53"/>
      <c r="B56" s="105" t="s">
        <v>81</v>
      </c>
      <c r="C56" s="19"/>
      <c r="D56" s="19"/>
      <c r="E56" s="19"/>
      <c r="F56" s="73"/>
    </row>
    <row r="57" ht="12.75" customHeight="1">
      <c r="A57" s="53"/>
      <c r="B57" s="106"/>
      <c r="C57" s="107"/>
      <c r="D57" s="107"/>
      <c r="E57" s="107"/>
      <c r="F57" s="108"/>
    </row>
    <row r="58" ht="12.75" customHeight="1">
      <c r="A58" s="53"/>
    </row>
    <row r="59" ht="12.75" customHeight="1">
      <c r="A59" s="53"/>
    </row>
    <row r="60" ht="12.75" customHeight="1">
      <c r="A60" s="53"/>
    </row>
    <row r="61" ht="12.75" customHeight="1">
      <c r="A61" s="53"/>
    </row>
    <row r="62" ht="12.75" customHeight="1">
      <c r="A62" s="53"/>
    </row>
    <row r="63" ht="12.75" customHeight="1">
      <c r="A63" s="53"/>
    </row>
    <row r="64" ht="12.75" customHeight="1">
      <c r="A64" s="53"/>
    </row>
    <row r="65" ht="12.75" customHeight="1">
      <c r="A65" s="53"/>
    </row>
    <row r="66" ht="12.75" customHeight="1">
      <c r="A66" s="53"/>
    </row>
    <row r="67" ht="12.75" customHeight="1">
      <c r="A67" s="53"/>
    </row>
    <row r="68" ht="12.75" customHeight="1">
      <c r="A68" s="53"/>
    </row>
    <row r="69" ht="12.75" customHeight="1">
      <c r="A69" s="53"/>
    </row>
    <row r="70" ht="12.75" customHeight="1">
      <c r="A70" s="53"/>
    </row>
    <row r="71" ht="12.75" customHeight="1">
      <c r="A71" s="53"/>
    </row>
    <row r="72" ht="12.75" customHeight="1">
      <c r="A72" s="53"/>
    </row>
    <row r="73" ht="12.75" customHeight="1">
      <c r="A73" s="53"/>
    </row>
    <row r="74" ht="12.75" customHeight="1">
      <c r="A74" s="53"/>
    </row>
    <row r="75" ht="12.75" customHeight="1">
      <c r="A75" s="53"/>
    </row>
    <row r="76" ht="12.75" customHeight="1">
      <c r="A76" s="53"/>
    </row>
    <row r="77" ht="12.75" customHeight="1">
      <c r="A77" s="53"/>
    </row>
    <row r="78" ht="12.75" customHeight="1">
      <c r="A78" s="53"/>
    </row>
    <row r="79" ht="12.75" customHeight="1">
      <c r="A79" s="53"/>
    </row>
    <row r="80" ht="12.75" customHeight="1">
      <c r="A80" s="53"/>
    </row>
    <row r="81" ht="12.75" customHeight="1">
      <c r="A81" s="53"/>
    </row>
    <row r="82" ht="12.75" customHeight="1">
      <c r="A82" s="53"/>
    </row>
    <row r="83" ht="12.75" customHeight="1">
      <c r="A83" s="53"/>
    </row>
    <row r="84" ht="12.75" customHeight="1">
      <c r="A84" s="53"/>
    </row>
    <row r="85" ht="12.75" customHeight="1">
      <c r="A85" s="53"/>
    </row>
    <row r="86" ht="12.75" customHeight="1">
      <c r="A86" s="53"/>
    </row>
    <row r="87" ht="12.75" customHeight="1">
      <c r="A87" s="53"/>
    </row>
    <row r="88" ht="12.75" customHeight="1">
      <c r="A88" s="53"/>
    </row>
    <row r="89" ht="12.75" customHeight="1">
      <c r="A89" s="53"/>
    </row>
    <row r="90" ht="12.75" customHeight="1">
      <c r="A90" s="53"/>
    </row>
    <row r="91" ht="12.75" customHeight="1">
      <c r="A91" s="53"/>
    </row>
    <row r="92" ht="12.75" customHeight="1">
      <c r="A92" s="53"/>
    </row>
    <row r="93" ht="12.75" customHeight="1">
      <c r="A93" s="53"/>
    </row>
    <row r="94" ht="12.75" customHeight="1">
      <c r="A94" s="53"/>
    </row>
    <row r="95" ht="12.75" customHeight="1">
      <c r="A95" s="53"/>
    </row>
    <row r="96" ht="12.75" customHeight="1">
      <c r="A96" s="53"/>
    </row>
    <row r="97" ht="12.75" customHeight="1">
      <c r="A97" s="53"/>
    </row>
    <row r="98" ht="12.75" customHeight="1">
      <c r="A98" s="53"/>
    </row>
    <row r="99" ht="12.75" customHeight="1">
      <c r="A99" s="53"/>
    </row>
    <row r="100" ht="12.75" customHeight="1">
      <c r="A100" s="53"/>
    </row>
    <row r="101" ht="12.75" customHeight="1">
      <c r="A101" s="53"/>
    </row>
    <row r="102" ht="12.75" customHeight="1">
      <c r="A102" s="53"/>
    </row>
    <row r="103" ht="12.75" customHeight="1">
      <c r="A103" s="53"/>
    </row>
    <row r="104" ht="12.75" customHeight="1">
      <c r="A104" s="53"/>
    </row>
    <row r="105" ht="12.75" customHeight="1">
      <c r="A105" s="53"/>
    </row>
    <row r="106" ht="12.75" customHeight="1">
      <c r="A106" s="53"/>
    </row>
    <row r="107" ht="12.75" customHeight="1">
      <c r="A107" s="53"/>
    </row>
    <row r="108" ht="12.75" customHeight="1">
      <c r="A108" s="53"/>
    </row>
    <row r="109" ht="12.75" customHeight="1">
      <c r="A109" s="53"/>
    </row>
    <row r="110" ht="12.75" customHeight="1">
      <c r="A110" s="53"/>
    </row>
    <row r="111" ht="12.75" customHeight="1">
      <c r="A111" s="53"/>
    </row>
    <row r="112" ht="12.75" customHeight="1">
      <c r="A112" s="53"/>
    </row>
    <row r="113" ht="12.75" customHeight="1">
      <c r="A113" s="53"/>
    </row>
    <row r="114" ht="12.75" customHeight="1">
      <c r="A114" s="53"/>
    </row>
    <row r="115" ht="12.75" customHeight="1">
      <c r="A115" s="53"/>
    </row>
    <row r="116" ht="12.75" customHeight="1">
      <c r="A116" s="53"/>
    </row>
    <row r="117" ht="12.75" customHeight="1">
      <c r="A117" s="53"/>
    </row>
    <row r="118" ht="12.75" customHeight="1">
      <c r="A118" s="53"/>
    </row>
    <row r="119" ht="12.75" customHeight="1">
      <c r="A119" s="53"/>
    </row>
    <row r="120" ht="12.75" customHeight="1">
      <c r="A120" s="53"/>
    </row>
    <row r="121" ht="12.75" customHeight="1">
      <c r="A121" s="53"/>
    </row>
    <row r="122" ht="12.75" customHeight="1">
      <c r="A122" s="53"/>
    </row>
    <row r="123" ht="12.75" customHeight="1">
      <c r="A123" s="53"/>
    </row>
    <row r="124" ht="12.75" customHeight="1">
      <c r="A124" s="53"/>
    </row>
    <row r="125" ht="12.75" customHeight="1">
      <c r="A125" s="53"/>
    </row>
    <row r="126" ht="12.75" customHeight="1">
      <c r="A126" s="53"/>
    </row>
    <row r="127" ht="12.75" customHeight="1">
      <c r="A127" s="53"/>
    </row>
    <row r="128" ht="12.75" customHeight="1">
      <c r="A128" s="53"/>
    </row>
    <row r="129" ht="12.75" customHeight="1">
      <c r="A129" s="53"/>
    </row>
    <row r="130" ht="12.75" customHeight="1">
      <c r="A130" s="53"/>
    </row>
    <row r="131" ht="12.75" customHeight="1">
      <c r="A131" s="53"/>
    </row>
    <row r="132" ht="12.75" customHeight="1">
      <c r="A132" s="53"/>
    </row>
    <row r="133" ht="12.75" customHeight="1">
      <c r="A133" s="53"/>
    </row>
    <row r="134" ht="12.75" customHeight="1">
      <c r="A134" s="53"/>
    </row>
    <row r="135" ht="12.75" customHeight="1">
      <c r="A135" s="53"/>
    </row>
    <row r="136" ht="12.75" customHeight="1">
      <c r="A136" s="53"/>
    </row>
    <row r="137" ht="12.75" customHeight="1">
      <c r="A137" s="53"/>
    </row>
    <row r="138" ht="12.75" customHeight="1">
      <c r="A138" s="53"/>
    </row>
    <row r="139" ht="12.75" customHeight="1">
      <c r="A139" s="53"/>
    </row>
    <row r="140" ht="12.75" customHeight="1">
      <c r="A140" s="53"/>
    </row>
    <row r="141" ht="12.75" customHeight="1">
      <c r="A141" s="53"/>
    </row>
    <row r="142" ht="12.75" customHeight="1">
      <c r="A142" s="53"/>
    </row>
    <row r="143" ht="12.75" customHeight="1">
      <c r="A143" s="53"/>
    </row>
    <row r="144" ht="12.75" customHeight="1">
      <c r="A144" s="53"/>
    </row>
    <row r="145" ht="12.75" customHeight="1">
      <c r="A145" s="53"/>
    </row>
    <row r="146" ht="12.75" customHeight="1">
      <c r="A146" s="53"/>
    </row>
    <row r="147" ht="12.75" customHeight="1">
      <c r="A147" s="53"/>
    </row>
    <row r="148" ht="12.75" customHeight="1">
      <c r="A148" s="53"/>
    </row>
    <row r="149" ht="12.75" customHeight="1">
      <c r="A149" s="53"/>
    </row>
    <row r="150" ht="12.75" customHeight="1">
      <c r="A150" s="53"/>
    </row>
    <row r="151" ht="12.75" customHeight="1">
      <c r="A151" s="53"/>
    </row>
    <row r="152" ht="12.75" customHeight="1">
      <c r="A152" s="53"/>
    </row>
    <row r="153" ht="12.75" customHeight="1">
      <c r="A153" s="53"/>
    </row>
    <row r="154" ht="12.75" customHeight="1">
      <c r="A154" s="53"/>
    </row>
    <row r="155" ht="12.75" customHeight="1">
      <c r="A155" s="53"/>
    </row>
    <row r="156" ht="12.75" customHeight="1">
      <c r="A156" s="53"/>
    </row>
    <row r="157" ht="12.75" customHeight="1">
      <c r="A157" s="53"/>
    </row>
    <row r="158" ht="12.75" customHeight="1">
      <c r="A158" s="53"/>
    </row>
    <row r="159" ht="12.75" customHeight="1">
      <c r="A159" s="53"/>
    </row>
    <row r="160" ht="12.75" customHeight="1">
      <c r="A160" s="53"/>
    </row>
    <row r="161" ht="12.75" customHeight="1">
      <c r="A161" s="53"/>
    </row>
    <row r="162" ht="12.75" customHeight="1">
      <c r="A162" s="53"/>
    </row>
    <row r="163" ht="12.75" customHeight="1">
      <c r="A163" s="53"/>
    </row>
    <row r="164" ht="12.75" customHeight="1">
      <c r="A164" s="53"/>
    </row>
    <row r="165" ht="12.75" customHeight="1">
      <c r="A165" s="53"/>
    </row>
    <row r="166" ht="12.75" customHeight="1">
      <c r="A166" s="53"/>
    </row>
    <row r="167" ht="12.75" customHeight="1">
      <c r="A167" s="53"/>
    </row>
    <row r="168" ht="12.75" customHeight="1">
      <c r="A168" s="53"/>
    </row>
    <row r="169" ht="12.75" customHeight="1">
      <c r="A169" s="53"/>
    </row>
    <row r="170" ht="12.75" customHeight="1">
      <c r="A170" s="53"/>
    </row>
    <row r="171" ht="12.75" customHeight="1">
      <c r="A171" s="53"/>
    </row>
    <row r="172" ht="12.75" customHeight="1">
      <c r="A172" s="53"/>
    </row>
    <row r="173" ht="12.75" customHeight="1">
      <c r="A173" s="53"/>
    </row>
    <row r="174" ht="12.75" customHeight="1">
      <c r="A174" s="53"/>
    </row>
    <row r="175" ht="12.75" customHeight="1">
      <c r="A175" s="53"/>
    </row>
    <row r="176" ht="12.75" customHeight="1">
      <c r="A176" s="53"/>
    </row>
    <row r="177" ht="12.75" customHeight="1">
      <c r="A177" s="53"/>
    </row>
    <row r="178" ht="12.75" customHeight="1">
      <c r="A178" s="53"/>
    </row>
    <row r="179" ht="12.75" customHeight="1">
      <c r="A179" s="53"/>
    </row>
    <row r="180" ht="12.75" customHeight="1">
      <c r="A180" s="53"/>
    </row>
    <row r="181" ht="12.75" customHeight="1">
      <c r="A181" s="53"/>
    </row>
    <row r="182" ht="12.75" customHeight="1">
      <c r="A182" s="53"/>
    </row>
    <row r="183" ht="12.75" customHeight="1">
      <c r="A183" s="53"/>
    </row>
    <row r="184" ht="12.75" customHeight="1">
      <c r="A184" s="53"/>
    </row>
    <row r="185" ht="12.75" customHeight="1">
      <c r="A185" s="53"/>
    </row>
    <row r="186" ht="12.75" customHeight="1">
      <c r="A186" s="53"/>
    </row>
    <row r="187" ht="12.75" customHeight="1">
      <c r="A187" s="53"/>
    </row>
    <row r="188" ht="12.75" customHeight="1">
      <c r="A188" s="53"/>
    </row>
    <row r="189" ht="12.75" customHeight="1">
      <c r="A189" s="53"/>
    </row>
    <row r="190" ht="12.75" customHeight="1">
      <c r="A190" s="53"/>
    </row>
    <row r="191" ht="12.75" customHeight="1">
      <c r="A191" s="53"/>
    </row>
    <row r="192" ht="12.75" customHeight="1">
      <c r="A192" s="53"/>
    </row>
    <row r="193" ht="12.75" customHeight="1">
      <c r="A193" s="53"/>
    </row>
    <row r="194" ht="12.75" customHeight="1">
      <c r="A194" s="53"/>
    </row>
    <row r="195" ht="12.75" customHeight="1">
      <c r="A195" s="53"/>
    </row>
    <row r="196" ht="12.75" customHeight="1">
      <c r="A196" s="53"/>
    </row>
    <row r="197" ht="12.75" customHeight="1">
      <c r="A197" s="53"/>
    </row>
    <row r="198" ht="12.75" customHeight="1">
      <c r="A198" s="53"/>
    </row>
    <row r="199" ht="12.75" customHeight="1">
      <c r="A199" s="53"/>
    </row>
    <row r="200" ht="12.75" customHeight="1">
      <c r="A200" s="53"/>
    </row>
    <row r="201" ht="12.75" customHeight="1">
      <c r="A201" s="53"/>
    </row>
    <row r="202" ht="12.75" customHeight="1">
      <c r="A202" s="53"/>
    </row>
    <row r="203" ht="12.75" customHeight="1">
      <c r="A203" s="53"/>
    </row>
    <row r="204" ht="12.75" customHeight="1">
      <c r="A204" s="53"/>
    </row>
    <row r="205" ht="12.75" customHeight="1">
      <c r="A205" s="53"/>
    </row>
    <row r="206" ht="12.75" customHeight="1">
      <c r="A206" s="53"/>
    </row>
    <row r="207" ht="12.75" customHeight="1">
      <c r="A207" s="53"/>
    </row>
    <row r="208" ht="12.75" customHeight="1">
      <c r="A208" s="53"/>
    </row>
    <row r="209" ht="12.75" customHeight="1">
      <c r="A209" s="53"/>
    </row>
    <row r="210" ht="12.75" customHeight="1">
      <c r="A210" s="53"/>
    </row>
    <row r="211" ht="12.75" customHeight="1">
      <c r="A211" s="53"/>
    </row>
    <row r="212" ht="12.75" customHeight="1">
      <c r="A212" s="53"/>
    </row>
    <row r="213" ht="12.75" customHeight="1">
      <c r="A213" s="53"/>
    </row>
    <row r="214" ht="12.75" customHeight="1">
      <c r="A214" s="53"/>
    </row>
    <row r="215" ht="12.75" customHeight="1">
      <c r="A215" s="53"/>
    </row>
    <row r="216" ht="12.75" customHeight="1">
      <c r="A216" s="53"/>
    </row>
    <row r="217" ht="12.75" customHeight="1">
      <c r="A217" s="53"/>
    </row>
    <row r="218" ht="12.75" customHeight="1">
      <c r="A218" s="53"/>
    </row>
    <row r="219" ht="12.75" customHeight="1">
      <c r="A219" s="53"/>
    </row>
    <row r="220" ht="12.75" customHeight="1">
      <c r="A220" s="53"/>
    </row>
    <row r="221" ht="12.75" customHeight="1">
      <c r="A221" s="53"/>
    </row>
    <row r="222" ht="12.75" customHeight="1">
      <c r="A222" s="53"/>
    </row>
    <row r="223" ht="12.75" customHeight="1">
      <c r="A223" s="53"/>
    </row>
    <row r="224" ht="12.75" customHeight="1">
      <c r="A224" s="53"/>
    </row>
    <row r="225" ht="12.75" customHeight="1">
      <c r="A225" s="53"/>
    </row>
    <row r="226" ht="12.75" customHeight="1">
      <c r="A226" s="53"/>
    </row>
    <row r="227" ht="12.75" customHeight="1">
      <c r="A227" s="53"/>
    </row>
    <row r="228" ht="12.75" customHeight="1">
      <c r="A228" s="53"/>
    </row>
    <row r="229" ht="12.75" customHeight="1">
      <c r="A229" s="53"/>
    </row>
    <row r="230" ht="12.75" customHeight="1">
      <c r="A230" s="53"/>
    </row>
    <row r="231" ht="12.75" customHeight="1">
      <c r="A231" s="53"/>
    </row>
    <row r="232" ht="12.75" customHeight="1">
      <c r="A232" s="53"/>
    </row>
    <row r="233" ht="12.75" customHeight="1">
      <c r="A233" s="53"/>
    </row>
    <row r="234" ht="12.75" customHeight="1">
      <c r="A234" s="53"/>
    </row>
    <row r="235" ht="12.75" customHeight="1">
      <c r="A235" s="53"/>
    </row>
    <row r="236" ht="12.75" customHeight="1">
      <c r="A236" s="53"/>
    </row>
    <row r="237" ht="12.75" customHeight="1">
      <c r="A237" s="53"/>
    </row>
    <row r="238" ht="12.75" customHeight="1">
      <c r="A238" s="53"/>
    </row>
    <row r="239" ht="12.75" customHeight="1">
      <c r="A239" s="53"/>
    </row>
    <row r="240" ht="12.75" customHeight="1">
      <c r="A240" s="53"/>
    </row>
    <row r="241" ht="12.75" customHeight="1">
      <c r="A241" s="53"/>
    </row>
    <row r="242" ht="12.75" customHeight="1">
      <c r="A242" s="53"/>
    </row>
    <row r="243" ht="12.75" customHeight="1">
      <c r="A243" s="53"/>
    </row>
    <row r="244" ht="12.75" customHeight="1">
      <c r="A244" s="53"/>
    </row>
    <row r="245" ht="12.75" customHeight="1">
      <c r="A245" s="53"/>
    </row>
    <row r="246" ht="12.75" customHeight="1">
      <c r="A246" s="53"/>
    </row>
    <row r="247" ht="12.75" customHeight="1">
      <c r="A247" s="53"/>
    </row>
    <row r="248" ht="12.75" customHeight="1">
      <c r="A248" s="53"/>
    </row>
    <row r="249" ht="12.75" customHeight="1">
      <c r="A249" s="53"/>
    </row>
    <row r="250" ht="12.75" customHeight="1">
      <c r="A250" s="53"/>
    </row>
    <row r="251" ht="12.75" customHeight="1">
      <c r="A251" s="53"/>
    </row>
    <row r="252" ht="12.75" customHeight="1">
      <c r="A252" s="53"/>
    </row>
    <row r="253" ht="12.75" customHeight="1">
      <c r="A253" s="53"/>
    </row>
    <row r="254" ht="12.75" customHeight="1">
      <c r="A254" s="53"/>
    </row>
    <row r="255" ht="12.75" customHeight="1">
      <c r="A255" s="53"/>
    </row>
    <row r="256" ht="12.75" customHeight="1">
      <c r="A256" s="53"/>
    </row>
    <row r="257" ht="12.75" customHeight="1">
      <c r="A257" s="53"/>
    </row>
    <row r="258" ht="12.75" customHeight="1">
      <c r="A258" s="53"/>
    </row>
    <row r="259" ht="12.75" customHeight="1">
      <c r="A259" s="53"/>
    </row>
    <row r="260" ht="12.75" customHeight="1">
      <c r="A260" s="53"/>
    </row>
    <row r="261" ht="12.75" customHeight="1">
      <c r="A261" s="53"/>
    </row>
    <row r="262" ht="12.75" customHeight="1">
      <c r="A262" s="53"/>
    </row>
    <row r="263" ht="12.75" customHeight="1">
      <c r="A263" s="53"/>
    </row>
    <row r="264" ht="12.75" customHeight="1">
      <c r="A264" s="53"/>
    </row>
    <row r="265" ht="12.75" customHeight="1">
      <c r="A265" s="53"/>
    </row>
    <row r="266" ht="12.75" customHeight="1">
      <c r="A266" s="53"/>
    </row>
    <row r="267" ht="12.75" customHeight="1">
      <c r="A267" s="53"/>
    </row>
    <row r="268" ht="12.75" customHeight="1">
      <c r="A268" s="53"/>
    </row>
    <row r="269" ht="12.75" customHeight="1">
      <c r="A269" s="53"/>
    </row>
    <row r="270" ht="12.75" customHeight="1">
      <c r="A270" s="53"/>
    </row>
    <row r="271" ht="12.75" customHeight="1">
      <c r="A271" s="53"/>
    </row>
    <row r="272" ht="12.75" customHeight="1">
      <c r="A272" s="53"/>
    </row>
    <row r="273" ht="12.75" customHeight="1">
      <c r="A273" s="53"/>
    </row>
    <row r="274" ht="12.75" customHeight="1">
      <c r="A274" s="53"/>
    </row>
    <row r="275" ht="12.75" customHeight="1">
      <c r="A275" s="53"/>
    </row>
    <row r="276" ht="12.75" customHeight="1">
      <c r="A276" s="53"/>
    </row>
    <row r="277" ht="12.75" customHeight="1">
      <c r="A277" s="53"/>
    </row>
    <row r="278" ht="12.75" customHeight="1">
      <c r="A278" s="53"/>
    </row>
    <row r="279" ht="12.75" customHeight="1">
      <c r="A279" s="53"/>
    </row>
    <row r="280" ht="12.75" customHeight="1">
      <c r="A280" s="53"/>
    </row>
    <row r="281" ht="12.75" customHeight="1">
      <c r="A281" s="53"/>
    </row>
    <row r="282" ht="12.75" customHeight="1">
      <c r="A282" s="53"/>
    </row>
    <row r="283" ht="12.75" customHeight="1">
      <c r="A283" s="53"/>
    </row>
    <row r="284" ht="12.75" customHeight="1">
      <c r="A284" s="53"/>
    </row>
    <row r="285" ht="12.75" customHeight="1">
      <c r="A285" s="53"/>
    </row>
    <row r="286" ht="12.75" customHeight="1">
      <c r="A286" s="53"/>
    </row>
    <row r="287" ht="12.75" customHeight="1">
      <c r="A287" s="53"/>
    </row>
    <row r="288" ht="12.75" customHeight="1">
      <c r="A288" s="53"/>
    </row>
    <row r="289" ht="12.75" customHeight="1">
      <c r="A289" s="53"/>
    </row>
    <row r="290" ht="12.75" customHeight="1">
      <c r="A290" s="53"/>
    </row>
    <row r="291" ht="12.75" customHeight="1">
      <c r="A291" s="53"/>
    </row>
    <row r="292" ht="12.75" customHeight="1">
      <c r="A292" s="53"/>
    </row>
    <row r="293" ht="12.75" customHeight="1">
      <c r="A293" s="53"/>
    </row>
    <row r="294" ht="12.75" customHeight="1">
      <c r="A294" s="53"/>
    </row>
    <row r="295" ht="12.75" customHeight="1">
      <c r="A295" s="53"/>
    </row>
    <row r="296" ht="12.75" customHeight="1">
      <c r="A296" s="53"/>
    </row>
    <row r="297" ht="12.75" customHeight="1">
      <c r="A297" s="53"/>
    </row>
    <row r="298" ht="12.75" customHeight="1">
      <c r="A298" s="53"/>
    </row>
    <row r="299" ht="12.75" customHeight="1">
      <c r="A299" s="53"/>
    </row>
    <row r="300" ht="12.75" customHeight="1">
      <c r="A300" s="53"/>
    </row>
    <row r="301" ht="12.75" customHeight="1">
      <c r="A301" s="53"/>
    </row>
    <row r="302" ht="12.75" customHeight="1">
      <c r="A302" s="53"/>
    </row>
    <row r="303" ht="12.75" customHeight="1">
      <c r="A303" s="53"/>
    </row>
    <row r="304" ht="12.75" customHeight="1">
      <c r="A304" s="53"/>
    </row>
    <row r="305" ht="12.75" customHeight="1">
      <c r="A305" s="53"/>
    </row>
    <row r="306" ht="12.75" customHeight="1">
      <c r="A306" s="53"/>
    </row>
    <row r="307" ht="12.75" customHeight="1">
      <c r="A307" s="53"/>
    </row>
    <row r="308" ht="12.75" customHeight="1">
      <c r="A308" s="53"/>
    </row>
    <row r="309" ht="12.75" customHeight="1">
      <c r="A309" s="53"/>
    </row>
    <row r="310" ht="12.75" customHeight="1">
      <c r="A310" s="53"/>
    </row>
    <row r="311" ht="12.75" customHeight="1">
      <c r="A311" s="53"/>
    </row>
    <row r="312" ht="12.75" customHeight="1">
      <c r="A312" s="53"/>
    </row>
    <row r="313" ht="12.75" customHeight="1">
      <c r="A313" s="53"/>
    </row>
    <row r="314" ht="12.75" customHeight="1">
      <c r="A314" s="53"/>
    </row>
    <row r="315" ht="12.75" customHeight="1">
      <c r="A315" s="53"/>
    </row>
    <row r="316" ht="12.75" customHeight="1">
      <c r="A316" s="53"/>
    </row>
    <row r="317" ht="12.75" customHeight="1">
      <c r="A317" s="53"/>
    </row>
    <row r="318" ht="12.75" customHeight="1">
      <c r="A318" s="53"/>
    </row>
    <row r="319" ht="12.75" customHeight="1">
      <c r="A319" s="53"/>
    </row>
    <row r="320" ht="12.75" customHeight="1">
      <c r="A320" s="53"/>
    </row>
    <row r="321" ht="12.75" customHeight="1">
      <c r="A321" s="53"/>
    </row>
    <row r="322" ht="12.75" customHeight="1">
      <c r="A322" s="53"/>
    </row>
    <row r="323" ht="12.75" customHeight="1">
      <c r="A323" s="53"/>
    </row>
    <row r="324" ht="12.75" customHeight="1">
      <c r="A324" s="53"/>
    </row>
    <row r="325" ht="12.75" customHeight="1">
      <c r="A325" s="53"/>
    </row>
    <row r="326" ht="12.75" customHeight="1">
      <c r="A326" s="53"/>
    </row>
    <row r="327" ht="12.75" customHeight="1">
      <c r="A327" s="53"/>
    </row>
    <row r="328" ht="12.75" customHeight="1">
      <c r="A328" s="53"/>
    </row>
    <row r="329" ht="12.75" customHeight="1">
      <c r="A329" s="53"/>
    </row>
    <row r="330" ht="12.75" customHeight="1">
      <c r="A330" s="53"/>
    </row>
    <row r="331" ht="12.75" customHeight="1">
      <c r="A331" s="53"/>
    </row>
    <row r="332" ht="12.75" customHeight="1">
      <c r="A332" s="53"/>
    </row>
    <row r="333" ht="12.75" customHeight="1">
      <c r="A333" s="53"/>
    </row>
    <row r="334" ht="12.75" customHeight="1">
      <c r="A334" s="53"/>
    </row>
    <row r="335" ht="12.75" customHeight="1">
      <c r="A335" s="53"/>
    </row>
    <row r="336" ht="12.75" customHeight="1">
      <c r="A336" s="53"/>
    </row>
    <row r="337" ht="12.75" customHeight="1">
      <c r="A337" s="53"/>
    </row>
    <row r="338" ht="12.75" customHeight="1">
      <c r="A338" s="53"/>
    </row>
    <row r="339" ht="12.75" customHeight="1">
      <c r="A339" s="53"/>
    </row>
    <row r="340" ht="12.75" customHeight="1">
      <c r="A340" s="53"/>
    </row>
    <row r="341" ht="12.75" customHeight="1">
      <c r="A341" s="53"/>
    </row>
    <row r="342" ht="12.75" customHeight="1">
      <c r="A342" s="53"/>
    </row>
    <row r="343" ht="12.75" customHeight="1">
      <c r="A343" s="53"/>
    </row>
    <row r="344" ht="12.75" customHeight="1">
      <c r="A344" s="53"/>
    </row>
    <row r="345" ht="12.75" customHeight="1">
      <c r="A345" s="53"/>
    </row>
    <row r="346" ht="12.75" customHeight="1">
      <c r="A346" s="53"/>
    </row>
    <row r="347" ht="12.75" customHeight="1">
      <c r="A347" s="53"/>
    </row>
    <row r="348" ht="12.75" customHeight="1">
      <c r="A348" s="53"/>
    </row>
    <row r="349" ht="12.75" customHeight="1">
      <c r="A349" s="53"/>
    </row>
    <row r="350" ht="12.75" customHeight="1">
      <c r="A350" s="53"/>
    </row>
    <row r="351" ht="12.75" customHeight="1">
      <c r="A351" s="53"/>
    </row>
    <row r="352" ht="12.75" customHeight="1">
      <c r="A352" s="53"/>
    </row>
    <row r="353" ht="12.75" customHeight="1">
      <c r="A353" s="53"/>
    </row>
    <row r="354" ht="12.75" customHeight="1">
      <c r="A354" s="53"/>
    </row>
    <row r="355" ht="12.75" customHeight="1">
      <c r="A355" s="53"/>
    </row>
    <row r="356" ht="12.75" customHeight="1">
      <c r="A356" s="53"/>
    </row>
    <row r="357" ht="12.75" customHeight="1">
      <c r="A357" s="53"/>
    </row>
    <row r="358" ht="12.75" customHeight="1">
      <c r="A358" s="53"/>
    </row>
    <row r="359" ht="12.75" customHeight="1">
      <c r="A359" s="53"/>
    </row>
    <row r="360" ht="12.75" customHeight="1">
      <c r="A360" s="53"/>
    </row>
    <row r="361" ht="12.75" customHeight="1">
      <c r="A361" s="53"/>
    </row>
    <row r="362" ht="12.75" customHeight="1">
      <c r="A362" s="53"/>
    </row>
    <row r="363" ht="12.75" customHeight="1">
      <c r="A363" s="53"/>
    </row>
    <row r="364" ht="12.75" customHeight="1">
      <c r="A364" s="53"/>
    </row>
    <row r="365" ht="12.75" customHeight="1">
      <c r="A365" s="53"/>
    </row>
    <row r="366" ht="12.75" customHeight="1">
      <c r="A366" s="53"/>
    </row>
    <row r="367" ht="12.75" customHeight="1">
      <c r="A367" s="53"/>
    </row>
    <row r="368" ht="12.75" customHeight="1">
      <c r="A368" s="53"/>
    </row>
    <row r="369" ht="12.75" customHeight="1">
      <c r="A369" s="53"/>
    </row>
    <row r="370" ht="12.75" customHeight="1">
      <c r="A370" s="53"/>
    </row>
    <row r="371" ht="12.75" customHeight="1">
      <c r="A371" s="53"/>
    </row>
    <row r="372" ht="12.75" customHeight="1">
      <c r="A372" s="53"/>
    </row>
    <row r="373" ht="12.75" customHeight="1">
      <c r="A373" s="53"/>
    </row>
    <row r="374" ht="12.75" customHeight="1">
      <c r="A374" s="53"/>
    </row>
    <row r="375" ht="12.75" customHeight="1">
      <c r="A375" s="53"/>
    </row>
    <row r="376" ht="12.75" customHeight="1">
      <c r="A376" s="53"/>
    </row>
    <row r="377" ht="12.75" customHeight="1">
      <c r="A377" s="53"/>
    </row>
    <row r="378" ht="12.75" customHeight="1">
      <c r="A378" s="53"/>
    </row>
    <row r="379" ht="12.75" customHeight="1">
      <c r="A379" s="53"/>
    </row>
    <row r="380" ht="12.75" customHeight="1">
      <c r="A380" s="53"/>
    </row>
    <row r="381" ht="12.75" customHeight="1">
      <c r="A381" s="53"/>
    </row>
    <row r="382" ht="12.75" customHeight="1">
      <c r="A382" s="53"/>
    </row>
    <row r="383" ht="12.75" customHeight="1">
      <c r="A383" s="53"/>
    </row>
    <row r="384" ht="12.75" customHeight="1">
      <c r="A384" s="53"/>
    </row>
    <row r="385" ht="12.75" customHeight="1">
      <c r="A385" s="53"/>
    </row>
    <row r="386" ht="12.75" customHeight="1">
      <c r="A386" s="53"/>
    </row>
    <row r="387" ht="12.75" customHeight="1">
      <c r="A387" s="53"/>
    </row>
    <row r="388" ht="12.75" customHeight="1">
      <c r="A388" s="53"/>
    </row>
    <row r="389" ht="12.75" customHeight="1">
      <c r="A389" s="53"/>
    </row>
    <row r="390" ht="12.75" customHeight="1">
      <c r="A390" s="53"/>
    </row>
    <row r="391" ht="12.75" customHeight="1">
      <c r="A391" s="53"/>
    </row>
    <row r="392" ht="12.75" customHeight="1">
      <c r="A392" s="53"/>
    </row>
    <row r="393" ht="12.75" customHeight="1">
      <c r="A393" s="53"/>
    </row>
    <row r="394" ht="12.75" customHeight="1">
      <c r="A394" s="53"/>
    </row>
    <row r="395" ht="12.75" customHeight="1">
      <c r="A395" s="53"/>
    </row>
    <row r="396" ht="12.75" customHeight="1">
      <c r="A396" s="53"/>
    </row>
    <row r="397" ht="12.75" customHeight="1">
      <c r="A397" s="53"/>
    </row>
    <row r="398" ht="12.75" customHeight="1">
      <c r="A398" s="53"/>
    </row>
    <row r="399" ht="12.75" customHeight="1">
      <c r="A399" s="53"/>
    </row>
    <row r="400" ht="12.75" customHeight="1">
      <c r="A400" s="53"/>
    </row>
    <row r="401" ht="12.75" customHeight="1">
      <c r="A401" s="53"/>
    </row>
    <row r="402" ht="12.75" customHeight="1">
      <c r="A402" s="53"/>
    </row>
    <row r="403" ht="12.75" customHeight="1">
      <c r="A403" s="53"/>
    </row>
    <row r="404" ht="12.75" customHeight="1">
      <c r="A404" s="53"/>
    </row>
    <row r="405" ht="12.75" customHeight="1">
      <c r="A405" s="53"/>
    </row>
    <row r="406" ht="12.75" customHeight="1">
      <c r="A406" s="53"/>
    </row>
    <row r="407" ht="12.75" customHeight="1">
      <c r="A407" s="53"/>
    </row>
    <row r="408" ht="12.75" customHeight="1">
      <c r="A408" s="53"/>
    </row>
    <row r="409" ht="12.75" customHeight="1">
      <c r="A409" s="53"/>
    </row>
    <row r="410" ht="12.75" customHeight="1">
      <c r="A410" s="53"/>
    </row>
    <row r="411" ht="12.75" customHeight="1">
      <c r="A411" s="53"/>
    </row>
    <row r="412" ht="12.75" customHeight="1">
      <c r="A412" s="53"/>
    </row>
    <row r="413" ht="12.75" customHeight="1">
      <c r="A413" s="53"/>
    </row>
    <row r="414" ht="12.75" customHeight="1">
      <c r="A414" s="53"/>
    </row>
    <row r="415" ht="12.75" customHeight="1">
      <c r="A415" s="53"/>
    </row>
    <row r="416" ht="12.75" customHeight="1">
      <c r="A416" s="53"/>
    </row>
    <row r="417" ht="12.75" customHeight="1">
      <c r="A417" s="53"/>
    </row>
    <row r="418" ht="12.75" customHeight="1">
      <c r="A418" s="53"/>
    </row>
    <row r="419" ht="12.75" customHeight="1">
      <c r="A419" s="53"/>
    </row>
    <row r="420" ht="12.75" customHeight="1">
      <c r="A420" s="53"/>
    </row>
    <row r="421" ht="12.75" customHeight="1">
      <c r="A421" s="53"/>
    </row>
    <row r="422" ht="12.75" customHeight="1">
      <c r="A422" s="53"/>
    </row>
    <row r="423" ht="12.75" customHeight="1">
      <c r="A423" s="53"/>
    </row>
    <row r="424" ht="12.75" customHeight="1">
      <c r="A424" s="53"/>
    </row>
    <row r="425" ht="12.75" customHeight="1">
      <c r="A425" s="53"/>
    </row>
    <row r="426" ht="12.75" customHeight="1">
      <c r="A426" s="53"/>
    </row>
    <row r="427" ht="12.75" customHeight="1">
      <c r="A427" s="53"/>
    </row>
    <row r="428" ht="12.75" customHeight="1">
      <c r="A428" s="53"/>
    </row>
    <row r="429" ht="12.75" customHeight="1">
      <c r="A429" s="53"/>
    </row>
    <row r="430" ht="12.75" customHeight="1">
      <c r="A430" s="53"/>
    </row>
    <row r="431" ht="12.75" customHeight="1">
      <c r="A431" s="53"/>
    </row>
    <row r="432" ht="12.75" customHeight="1">
      <c r="A432" s="53"/>
    </row>
    <row r="433" ht="12.75" customHeight="1">
      <c r="A433" s="53"/>
    </row>
    <row r="434" ht="12.75" customHeight="1">
      <c r="A434" s="53"/>
    </row>
    <row r="435" ht="12.75" customHeight="1">
      <c r="A435" s="53"/>
    </row>
    <row r="436" ht="12.75" customHeight="1">
      <c r="A436" s="53"/>
    </row>
    <row r="437" ht="12.75" customHeight="1">
      <c r="A437" s="53"/>
    </row>
    <row r="438" ht="12.75" customHeight="1">
      <c r="A438" s="53"/>
    </row>
    <row r="439" ht="12.75" customHeight="1">
      <c r="A439" s="53"/>
    </row>
    <row r="440" ht="12.75" customHeight="1">
      <c r="A440" s="53"/>
    </row>
    <row r="441" ht="12.75" customHeight="1">
      <c r="A441" s="53"/>
    </row>
    <row r="442" ht="12.75" customHeight="1">
      <c r="A442" s="53"/>
    </row>
    <row r="443" ht="12.75" customHeight="1">
      <c r="A443" s="53"/>
    </row>
    <row r="444" ht="12.75" customHeight="1">
      <c r="A444" s="53"/>
    </row>
    <row r="445" ht="12.75" customHeight="1">
      <c r="A445" s="53"/>
    </row>
    <row r="446" ht="12.75" customHeight="1">
      <c r="A446" s="53"/>
    </row>
    <row r="447" ht="12.75" customHeight="1">
      <c r="A447" s="53"/>
    </row>
    <row r="448" ht="12.75" customHeight="1">
      <c r="A448" s="53"/>
    </row>
    <row r="449" ht="12.75" customHeight="1">
      <c r="A449" s="53"/>
    </row>
    <row r="450" ht="12.75" customHeight="1">
      <c r="A450" s="53"/>
    </row>
    <row r="451" ht="12.75" customHeight="1">
      <c r="A451" s="53"/>
    </row>
    <row r="452" ht="12.75" customHeight="1">
      <c r="A452" s="53"/>
    </row>
    <row r="453" ht="12.75" customHeight="1">
      <c r="A453" s="53"/>
    </row>
    <row r="454" ht="12.75" customHeight="1">
      <c r="A454" s="53"/>
    </row>
    <row r="455" ht="12.75" customHeight="1">
      <c r="A455" s="53"/>
    </row>
    <row r="456" ht="12.75" customHeight="1">
      <c r="A456" s="53"/>
    </row>
    <row r="457" ht="12.75" customHeight="1">
      <c r="A457" s="53"/>
    </row>
    <row r="458" ht="12.75" customHeight="1">
      <c r="A458" s="53"/>
    </row>
    <row r="459" ht="12.75" customHeight="1">
      <c r="A459" s="53"/>
    </row>
    <row r="460" ht="12.75" customHeight="1">
      <c r="A460" s="53"/>
    </row>
    <row r="461" ht="12.75" customHeight="1">
      <c r="A461" s="53"/>
    </row>
    <row r="462" ht="12.75" customHeight="1">
      <c r="A462" s="53"/>
    </row>
    <row r="463" ht="12.75" customHeight="1">
      <c r="A463" s="53"/>
    </row>
    <row r="464" ht="12.75" customHeight="1">
      <c r="A464" s="53"/>
    </row>
    <row r="465" ht="12.75" customHeight="1">
      <c r="A465" s="53"/>
    </row>
    <row r="466" ht="12.75" customHeight="1">
      <c r="A466" s="53"/>
    </row>
    <row r="467" ht="12.75" customHeight="1">
      <c r="A467" s="53"/>
    </row>
    <row r="468" ht="12.75" customHeight="1">
      <c r="A468" s="53"/>
    </row>
    <row r="469" ht="12.75" customHeight="1">
      <c r="A469" s="53"/>
    </row>
    <row r="470" ht="12.75" customHeight="1">
      <c r="A470" s="53"/>
    </row>
    <row r="471" ht="12.75" customHeight="1">
      <c r="A471" s="53"/>
    </row>
    <row r="472" ht="12.75" customHeight="1">
      <c r="A472" s="53"/>
    </row>
    <row r="473" ht="12.75" customHeight="1">
      <c r="A473" s="53"/>
    </row>
    <row r="474" ht="12.75" customHeight="1">
      <c r="A474" s="53"/>
    </row>
    <row r="475" ht="12.75" customHeight="1">
      <c r="A475" s="53"/>
    </row>
    <row r="476" ht="12.75" customHeight="1">
      <c r="A476" s="53"/>
    </row>
    <row r="477" ht="12.75" customHeight="1">
      <c r="A477" s="53"/>
    </row>
    <row r="478" ht="12.75" customHeight="1">
      <c r="A478" s="53"/>
    </row>
    <row r="479" ht="12.75" customHeight="1">
      <c r="A479" s="53"/>
    </row>
    <row r="480" ht="12.75" customHeight="1">
      <c r="A480" s="53"/>
    </row>
    <row r="481" ht="12.75" customHeight="1">
      <c r="A481" s="53"/>
    </row>
    <row r="482" ht="12.75" customHeight="1">
      <c r="A482" s="53"/>
    </row>
    <row r="483" ht="12.75" customHeight="1">
      <c r="A483" s="53"/>
    </row>
    <row r="484" ht="12.75" customHeight="1">
      <c r="A484" s="53"/>
    </row>
    <row r="485" ht="12.75" customHeight="1">
      <c r="A485" s="53"/>
    </row>
    <row r="486" ht="12.75" customHeight="1">
      <c r="A486" s="53"/>
    </row>
    <row r="487" ht="12.75" customHeight="1">
      <c r="A487" s="53"/>
    </row>
    <row r="488" ht="12.75" customHeight="1">
      <c r="A488" s="53"/>
    </row>
    <row r="489" ht="12.75" customHeight="1">
      <c r="A489" s="53"/>
    </row>
    <row r="490" ht="12.75" customHeight="1">
      <c r="A490" s="53"/>
    </row>
    <row r="491" ht="12.75" customHeight="1">
      <c r="A491" s="53"/>
    </row>
    <row r="492" ht="12.75" customHeight="1">
      <c r="A492" s="53"/>
    </row>
    <row r="493" ht="12.75" customHeight="1">
      <c r="A493" s="53"/>
    </row>
    <row r="494" ht="12.75" customHeight="1">
      <c r="A494" s="53"/>
    </row>
    <row r="495" ht="12.75" customHeight="1">
      <c r="A495" s="53"/>
    </row>
    <row r="496" ht="12.75" customHeight="1">
      <c r="A496" s="53"/>
    </row>
    <row r="497" ht="12.75" customHeight="1">
      <c r="A497" s="53"/>
    </row>
    <row r="498" ht="12.75" customHeight="1">
      <c r="A498" s="53"/>
    </row>
    <row r="499" ht="12.75" customHeight="1">
      <c r="A499" s="53"/>
    </row>
    <row r="500" ht="12.75" customHeight="1">
      <c r="A500" s="53"/>
    </row>
    <row r="501" ht="12.75" customHeight="1">
      <c r="A501" s="53"/>
    </row>
    <row r="502" ht="12.75" customHeight="1">
      <c r="A502" s="53"/>
    </row>
    <row r="503" ht="12.75" customHeight="1">
      <c r="A503" s="53"/>
    </row>
    <row r="504" ht="12.75" customHeight="1">
      <c r="A504" s="53"/>
    </row>
    <row r="505" ht="12.75" customHeight="1">
      <c r="A505" s="53"/>
    </row>
    <row r="506" ht="12.75" customHeight="1">
      <c r="A506" s="53"/>
    </row>
    <row r="507" ht="12.75" customHeight="1">
      <c r="A507" s="53"/>
    </row>
    <row r="508" ht="12.75" customHeight="1">
      <c r="A508" s="53"/>
    </row>
    <row r="509" ht="12.75" customHeight="1">
      <c r="A509" s="53"/>
    </row>
    <row r="510" ht="12.75" customHeight="1">
      <c r="A510" s="53"/>
    </row>
    <row r="511" ht="12.75" customHeight="1">
      <c r="A511" s="53"/>
    </row>
    <row r="512" ht="12.75" customHeight="1">
      <c r="A512" s="53"/>
    </row>
    <row r="513" ht="12.75" customHeight="1">
      <c r="A513" s="53"/>
    </row>
    <row r="514" ht="12.75" customHeight="1">
      <c r="A514" s="53"/>
    </row>
    <row r="515" ht="12.75" customHeight="1">
      <c r="A515" s="53"/>
    </row>
    <row r="516" ht="12.75" customHeight="1">
      <c r="A516" s="53"/>
    </row>
    <row r="517" ht="12.75" customHeight="1">
      <c r="A517" s="53"/>
    </row>
    <row r="518" ht="12.75" customHeight="1">
      <c r="A518" s="53"/>
    </row>
    <row r="519" ht="12.75" customHeight="1">
      <c r="A519" s="53"/>
    </row>
    <row r="520" ht="12.75" customHeight="1">
      <c r="A520" s="53"/>
    </row>
    <row r="521" ht="12.75" customHeight="1">
      <c r="A521" s="53"/>
    </row>
    <row r="522" ht="12.75" customHeight="1">
      <c r="A522" s="53"/>
    </row>
    <row r="523" ht="12.75" customHeight="1">
      <c r="A523" s="53"/>
    </row>
    <row r="524" ht="12.75" customHeight="1">
      <c r="A524" s="53"/>
    </row>
    <row r="525" ht="12.75" customHeight="1">
      <c r="A525" s="53"/>
    </row>
    <row r="526" ht="12.75" customHeight="1">
      <c r="A526" s="53"/>
    </row>
    <row r="527" ht="12.75" customHeight="1">
      <c r="A527" s="53"/>
    </row>
    <row r="528" ht="12.75" customHeight="1">
      <c r="A528" s="53"/>
    </row>
    <row r="529" ht="12.75" customHeight="1">
      <c r="A529" s="53"/>
    </row>
    <row r="530" ht="12.75" customHeight="1">
      <c r="A530" s="53"/>
    </row>
    <row r="531" ht="12.75" customHeight="1">
      <c r="A531" s="53"/>
    </row>
    <row r="532" ht="12.75" customHeight="1">
      <c r="A532" s="53"/>
    </row>
    <row r="533" ht="12.75" customHeight="1">
      <c r="A533" s="53"/>
    </row>
    <row r="534" ht="12.75" customHeight="1">
      <c r="A534" s="53"/>
    </row>
    <row r="535" ht="12.75" customHeight="1">
      <c r="A535" s="53"/>
    </row>
    <row r="536" ht="12.75" customHeight="1">
      <c r="A536" s="53"/>
    </row>
    <row r="537" ht="12.75" customHeight="1">
      <c r="A537" s="53"/>
    </row>
    <row r="538" ht="12.75" customHeight="1">
      <c r="A538" s="53"/>
    </row>
    <row r="539" ht="12.75" customHeight="1">
      <c r="A539" s="53"/>
    </row>
    <row r="540" ht="12.75" customHeight="1">
      <c r="A540" s="53"/>
    </row>
    <row r="541" ht="12.75" customHeight="1">
      <c r="A541" s="53"/>
    </row>
    <row r="542" ht="12.75" customHeight="1">
      <c r="A542" s="53"/>
    </row>
    <row r="543" ht="12.75" customHeight="1">
      <c r="A543" s="53"/>
    </row>
    <row r="544" ht="12.75" customHeight="1">
      <c r="A544" s="53"/>
    </row>
    <row r="545" ht="12.75" customHeight="1">
      <c r="A545" s="53"/>
    </row>
    <row r="546" ht="12.75" customHeight="1">
      <c r="A546" s="53"/>
    </row>
    <row r="547" ht="12.75" customHeight="1">
      <c r="A547" s="53"/>
    </row>
    <row r="548" ht="12.75" customHeight="1">
      <c r="A548" s="53"/>
    </row>
    <row r="549" ht="12.75" customHeight="1">
      <c r="A549" s="53"/>
    </row>
    <row r="550" ht="12.75" customHeight="1">
      <c r="A550" s="53"/>
    </row>
    <row r="551" ht="12.75" customHeight="1">
      <c r="A551" s="53"/>
    </row>
    <row r="552" ht="12.75" customHeight="1">
      <c r="A552" s="53"/>
    </row>
    <row r="553" ht="12.75" customHeight="1">
      <c r="A553" s="53"/>
    </row>
    <row r="554" ht="12.75" customHeight="1">
      <c r="A554" s="53"/>
    </row>
    <row r="555" ht="12.75" customHeight="1">
      <c r="A555" s="53"/>
    </row>
    <row r="556" ht="12.75" customHeight="1">
      <c r="A556" s="53"/>
    </row>
    <row r="557" ht="12.75" customHeight="1">
      <c r="A557" s="53"/>
    </row>
    <row r="558" ht="12.75" customHeight="1">
      <c r="A558" s="53"/>
    </row>
    <row r="559" ht="12.75" customHeight="1">
      <c r="A559" s="53"/>
    </row>
    <row r="560" ht="12.75" customHeight="1">
      <c r="A560" s="53"/>
    </row>
    <row r="561" ht="12.75" customHeight="1">
      <c r="A561" s="53"/>
    </row>
    <row r="562" ht="12.75" customHeight="1">
      <c r="A562" s="53"/>
    </row>
    <row r="563" ht="12.75" customHeight="1">
      <c r="A563" s="53"/>
    </row>
    <row r="564" ht="12.75" customHeight="1">
      <c r="A564" s="53"/>
    </row>
    <row r="565" ht="12.75" customHeight="1">
      <c r="A565" s="53"/>
    </row>
    <row r="566" ht="12.75" customHeight="1">
      <c r="A566" s="53"/>
    </row>
    <row r="567" ht="12.75" customHeight="1">
      <c r="A567" s="53"/>
    </row>
    <row r="568" ht="12.75" customHeight="1">
      <c r="A568" s="53"/>
    </row>
    <row r="569" ht="12.75" customHeight="1">
      <c r="A569" s="53"/>
    </row>
    <row r="570" ht="12.75" customHeight="1">
      <c r="A570" s="53"/>
    </row>
    <row r="571" ht="12.75" customHeight="1">
      <c r="A571" s="53"/>
    </row>
    <row r="572" ht="12.75" customHeight="1">
      <c r="A572" s="53"/>
    </row>
    <row r="573" ht="12.75" customHeight="1">
      <c r="A573" s="53"/>
    </row>
    <row r="574" ht="12.75" customHeight="1">
      <c r="A574" s="53"/>
    </row>
    <row r="575" ht="12.75" customHeight="1">
      <c r="A575" s="53"/>
    </row>
    <row r="576" ht="12.75" customHeight="1">
      <c r="A576" s="53"/>
    </row>
    <row r="577" ht="12.75" customHeight="1">
      <c r="A577" s="53"/>
    </row>
    <row r="578" ht="12.75" customHeight="1">
      <c r="A578" s="53"/>
    </row>
    <row r="579" ht="12.75" customHeight="1">
      <c r="A579" s="53"/>
    </row>
    <row r="580" ht="12.75" customHeight="1">
      <c r="A580" s="53"/>
    </row>
    <row r="581" ht="12.75" customHeight="1">
      <c r="A581" s="53"/>
    </row>
    <row r="582" ht="12.75" customHeight="1">
      <c r="A582" s="53"/>
    </row>
    <row r="583" ht="12.75" customHeight="1">
      <c r="A583" s="53"/>
    </row>
    <row r="584" ht="12.75" customHeight="1">
      <c r="A584" s="53"/>
    </row>
    <row r="585" ht="12.75" customHeight="1">
      <c r="A585" s="53"/>
    </row>
    <row r="586" ht="12.75" customHeight="1">
      <c r="A586" s="53"/>
    </row>
    <row r="587" ht="12.75" customHeight="1">
      <c r="A587" s="53"/>
    </row>
    <row r="588" ht="12.75" customHeight="1">
      <c r="A588" s="53"/>
    </row>
    <row r="589" ht="12.75" customHeight="1">
      <c r="A589" s="53"/>
    </row>
    <row r="590" ht="12.75" customHeight="1">
      <c r="A590" s="53"/>
    </row>
    <row r="591" ht="12.75" customHeight="1">
      <c r="A591" s="53"/>
    </row>
    <row r="592" ht="12.75" customHeight="1">
      <c r="A592" s="53"/>
    </row>
    <row r="593" ht="12.75" customHeight="1">
      <c r="A593" s="53"/>
    </row>
    <row r="594" ht="12.75" customHeight="1">
      <c r="A594" s="53"/>
    </row>
    <row r="595" ht="12.75" customHeight="1">
      <c r="A595" s="53"/>
    </row>
    <row r="596" ht="12.75" customHeight="1">
      <c r="A596" s="53"/>
    </row>
    <row r="597" ht="12.75" customHeight="1">
      <c r="A597" s="53"/>
    </row>
    <row r="598" ht="12.75" customHeight="1">
      <c r="A598" s="53"/>
    </row>
    <row r="599" ht="12.75" customHeight="1">
      <c r="A599" s="53"/>
    </row>
    <row r="600" ht="12.75" customHeight="1">
      <c r="A600" s="53"/>
    </row>
    <row r="601" ht="12.75" customHeight="1">
      <c r="A601" s="53"/>
    </row>
    <row r="602" ht="12.75" customHeight="1">
      <c r="A602" s="53"/>
    </row>
    <row r="603" ht="12.75" customHeight="1">
      <c r="A603" s="53"/>
    </row>
    <row r="604" ht="12.75" customHeight="1">
      <c r="A604" s="53"/>
    </row>
    <row r="605" ht="12.75" customHeight="1">
      <c r="A605" s="53"/>
    </row>
    <row r="606" ht="12.75" customHeight="1">
      <c r="A606" s="53"/>
    </row>
    <row r="607" ht="12.75" customHeight="1">
      <c r="A607" s="53"/>
    </row>
    <row r="608" ht="12.75" customHeight="1">
      <c r="A608" s="53"/>
    </row>
    <row r="609" ht="12.75" customHeight="1">
      <c r="A609" s="53"/>
    </row>
    <row r="610" ht="12.75" customHeight="1">
      <c r="A610" s="53"/>
    </row>
    <row r="611" ht="12.75" customHeight="1">
      <c r="A611" s="53"/>
    </row>
    <row r="612" ht="12.75" customHeight="1">
      <c r="A612" s="53"/>
    </row>
    <row r="613" ht="12.75" customHeight="1">
      <c r="A613" s="53"/>
    </row>
    <row r="614" ht="12.75" customHeight="1">
      <c r="A614" s="53"/>
    </row>
    <row r="615" ht="12.75" customHeight="1">
      <c r="A615" s="53"/>
    </row>
    <row r="616" ht="12.75" customHeight="1">
      <c r="A616" s="53"/>
    </row>
    <row r="617" ht="12.75" customHeight="1">
      <c r="A617" s="53"/>
    </row>
    <row r="618" ht="12.75" customHeight="1">
      <c r="A618" s="53"/>
    </row>
    <row r="619" ht="12.75" customHeight="1">
      <c r="A619" s="53"/>
    </row>
    <row r="620" ht="12.75" customHeight="1">
      <c r="A620" s="53"/>
    </row>
    <row r="621" ht="12.75" customHeight="1">
      <c r="A621" s="53"/>
    </row>
    <row r="622" ht="12.75" customHeight="1">
      <c r="A622" s="53"/>
    </row>
    <row r="623" ht="12.75" customHeight="1">
      <c r="A623" s="53"/>
    </row>
    <row r="624" ht="12.75" customHeight="1">
      <c r="A624" s="53"/>
    </row>
    <row r="625" ht="12.75" customHeight="1">
      <c r="A625" s="53"/>
    </row>
    <row r="626" ht="12.75" customHeight="1">
      <c r="A626" s="53"/>
    </row>
    <row r="627" ht="12.75" customHeight="1">
      <c r="A627" s="53"/>
    </row>
    <row r="628" ht="12.75" customHeight="1">
      <c r="A628" s="53"/>
    </row>
    <row r="629" ht="12.75" customHeight="1">
      <c r="A629" s="53"/>
    </row>
    <row r="630" ht="12.75" customHeight="1">
      <c r="A630" s="53"/>
    </row>
    <row r="631" ht="12.75" customHeight="1">
      <c r="A631" s="53"/>
    </row>
    <row r="632" ht="12.75" customHeight="1">
      <c r="A632" s="53"/>
    </row>
    <row r="633" ht="12.75" customHeight="1">
      <c r="A633" s="53"/>
    </row>
    <row r="634" ht="12.75" customHeight="1">
      <c r="A634" s="53"/>
    </row>
    <row r="635" ht="12.75" customHeight="1">
      <c r="A635" s="53"/>
    </row>
    <row r="636" ht="12.75" customHeight="1">
      <c r="A636" s="53"/>
    </row>
    <row r="637" ht="12.75" customHeight="1">
      <c r="A637" s="53"/>
    </row>
    <row r="638" ht="12.75" customHeight="1">
      <c r="A638" s="53"/>
    </row>
    <row r="639" ht="12.75" customHeight="1">
      <c r="A639" s="53"/>
    </row>
    <row r="640" ht="12.75" customHeight="1">
      <c r="A640" s="53"/>
    </row>
    <row r="641" ht="12.75" customHeight="1">
      <c r="A641" s="53"/>
    </row>
    <row r="642" ht="12.75" customHeight="1">
      <c r="A642" s="53"/>
    </row>
    <row r="643" ht="12.75" customHeight="1">
      <c r="A643" s="53"/>
    </row>
    <row r="644" ht="12.75" customHeight="1">
      <c r="A644" s="53"/>
    </row>
    <row r="645" ht="12.75" customHeight="1">
      <c r="A645" s="53"/>
    </row>
    <row r="646" ht="12.75" customHeight="1">
      <c r="A646" s="53"/>
    </row>
    <row r="647" ht="12.75" customHeight="1">
      <c r="A647" s="53"/>
    </row>
    <row r="648" ht="12.75" customHeight="1">
      <c r="A648" s="53"/>
    </row>
    <row r="649" ht="12.75" customHeight="1">
      <c r="A649" s="53"/>
    </row>
    <row r="650" ht="12.75" customHeight="1">
      <c r="A650" s="53"/>
    </row>
    <row r="651" ht="12.75" customHeight="1">
      <c r="A651" s="53"/>
    </row>
    <row r="652" ht="12.75" customHeight="1">
      <c r="A652" s="53"/>
    </row>
    <row r="653" ht="12.75" customHeight="1">
      <c r="A653" s="53"/>
    </row>
    <row r="654" ht="12.75" customHeight="1">
      <c r="A654" s="53"/>
    </row>
    <row r="655" ht="12.75" customHeight="1">
      <c r="A655" s="53"/>
    </row>
    <row r="656" ht="12.75" customHeight="1">
      <c r="A656" s="53"/>
    </row>
    <row r="657" ht="12.75" customHeight="1">
      <c r="A657" s="53"/>
    </row>
    <row r="658" ht="12.75" customHeight="1">
      <c r="A658" s="53"/>
    </row>
    <row r="659" ht="12.75" customHeight="1">
      <c r="A659" s="53"/>
    </row>
    <row r="660" ht="12.75" customHeight="1">
      <c r="A660" s="53"/>
    </row>
    <row r="661" ht="12.75" customHeight="1">
      <c r="A661" s="53"/>
    </row>
    <row r="662" ht="12.75" customHeight="1">
      <c r="A662" s="53"/>
    </row>
    <row r="663" ht="12.75" customHeight="1">
      <c r="A663" s="53"/>
    </row>
    <row r="664" ht="12.75" customHeight="1">
      <c r="A664" s="53"/>
    </row>
    <row r="665" ht="12.75" customHeight="1">
      <c r="A665" s="53"/>
    </row>
    <row r="666" ht="12.75" customHeight="1">
      <c r="A666" s="53"/>
    </row>
    <row r="667" ht="12.75" customHeight="1">
      <c r="A667" s="53"/>
    </row>
    <row r="668" ht="12.75" customHeight="1">
      <c r="A668" s="53"/>
    </row>
    <row r="669" ht="12.75" customHeight="1">
      <c r="A669" s="53"/>
    </row>
    <row r="670" ht="12.75" customHeight="1">
      <c r="A670" s="53"/>
    </row>
    <row r="671" ht="12.75" customHeight="1">
      <c r="A671" s="53"/>
    </row>
    <row r="672" ht="12.75" customHeight="1">
      <c r="A672" s="53"/>
    </row>
    <row r="673" ht="12.75" customHeight="1">
      <c r="A673" s="53"/>
    </row>
    <row r="674" ht="12.75" customHeight="1">
      <c r="A674" s="53"/>
    </row>
    <row r="675" ht="12.75" customHeight="1">
      <c r="A675" s="53"/>
    </row>
    <row r="676" ht="12.75" customHeight="1">
      <c r="A676" s="53"/>
    </row>
    <row r="677" ht="12.75" customHeight="1">
      <c r="A677" s="53"/>
    </row>
    <row r="678" ht="12.75" customHeight="1">
      <c r="A678" s="53"/>
    </row>
    <row r="679" ht="12.75" customHeight="1">
      <c r="A679" s="53"/>
    </row>
    <row r="680" ht="12.75" customHeight="1">
      <c r="A680" s="53"/>
    </row>
    <row r="681" ht="12.75" customHeight="1">
      <c r="A681" s="53"/>
    </row>
    <row r="682" ht="12.75" customHeight="1">
      <c r="A682" s="53"/>
    </row>
    <row r="683" ht="12.75" customHeight="1">
      <c r="A683" s="53"/>
    </row>
    <row r="684" ht="12.75" customHeight="1">
      <c r="A684" s="53"/>
    </row>
    <row r="685" ht="12.75" customHeight="1">
      <c r="A685" s="53"/>
    </row>
    <row r="686" ht="12.75" customHeight="1">
      <c r="A686" s="53"/>
    </row>
    <row r="687" ht="12.75" customHeight="1">
      <c r="A687" s="53"/>
    </row>
    <row r="688" ht="12.75" customHeight="1">
      <c r="A688" s="53"/>
    </row>
    <row r="689" ht="12.75" customHeight="1">
      <c r="A689" s="53"/>
    </row>
    <row r="690" ht="12.75" customHeight="1">
      <c r="A690" s="53"/>
    </row>
    <row r="691" ht="12.75" customHeight="1">
      <c r="A691" s="53"/>
    </row>
    <row r="692" ht="12.75" customHeight="1">
      <c r="A692" s="53"/>
    </row>
    <row r="693" ht="12.75" customHeight="1">
      <c r="A693" s="53"/>
    </row>
    <row r="694" ht="12.75" customHeight="1">
      <c r="A694" s="53"/>
    </row>
    <row r="695" ht="12.75" customHeight="1">
      <c r="A695" s="53"/>
    </row>
    <row r="696" ht="12.75" customHeight="1">
      <c r="A696" s="53"/>
    </row>
    <row r="697" ht="12.75" customHeight="1">
      <c r="A697" s="53"/>
    </row>
    <row r="698" ht="12.75" customHeight="1">
      <c r="A698" s="53"/>
    </row>
    <row r="699" ht="12.75" customHeight="1">
      <c r="A699" s="53"/>
    </row>
    <row r="700" ht="12.75" customHeight="1">
      <c r="A700" s="53"/>
    </row>
    <row r="701" ht="12.75" customHeight="1">
      <c r="A701" s="53"/>
    </row>
    <row r="702" ht="12.75" customHeight="1">
      <c r="A702" s="53"/>
    </row>
    <row r="703" ht="12.75" customHeight="1">
      <c r="A703" s="53"/>
    </row>
    <row r="704" ht="12.75" customHeight="1">
      <c r="A704" s="53"/>
    </row>
    <row r="705" ht="12.75" customHeight="1">
      <c r="A705" s="53"/>
    </row>
    <row r="706" ht="12.75" customHeight="1">
      <c r="A706" s="53"/>
    </row>
    <row r="707" ht="12.75" customHeight="1">
      <c r="A707" s="53"/>
    </row>
    <row r="708" ht="12.75" customHeight="1">
      <c r="A708" s="53"/>
    </row>
    <row r="709" ht="12.75" customHeight="1">
      <c r="A709" s="53"/>
    </row>
    <row r="710" ht="12.75" customHeight="1">
      <c r="A710" s="53"/>
    </row>
    <row r="711" ht="12.75" customHeight="1">
      <c r="A711" s="53"/>
    </row>
    <row r="712" ht="12.75" customHeight="1">
      <c r="A712" s="53"/>
    </row>
    <row r="713" ht="12.75" customHeight="1">
      <c r="A713" s="53"/>
    </row>
    <row r="714" ht="12.75" customHeight="1">
      <c r="A714" s="53"/>
    </row>
    <row r="715" ht="12.75" customHeight="1">
      <c r="A715" s="53"/>
    </row>
    <row r="716" ht="12.75" customHeight="1">
      <c r="A716" s="53"/>
    </row>
    <row r="717" ht="12.75" customHeight="1">
      <c r="A717" s="53"/>
    </row>
    <row r="718" ht="12.75" customHeight="1">
      <c r="A718" s="53"/>
    </row>
    <row r="719" ht="12.75" customHeight="1">
      <c r="A719" s="53"/>
    </row>
    <row r="720" ht="12.75" customHeight="1">
      <c r="A720" s="53"/>
    </row>
    <row r="721" ht="12.75" customHeight="1">
      <c r="A721" s="53"/>
    </row>
    <row r="722" ht="12.75" customHeight="1">
      <c r="A722" s="53"/>
    </row>
    <row r="723" ht="12.75" customHeight="1">
      <c r="A723" s="53"/>
    </row>
    <row r="724" ht="12.75" customHeight="1">
      <c r="A724" s="53"/>
    </row>
    <row r="725" ht="12.75" customHeight="1">
      <c r="A725" s="53"/>
    </row>
    <row r="726" ht="12.75" customHeight="1">
      <c r="A726" s="53"/>
    </row>
    <row r="727" ht="12.75" customHeight="1">
      <c r="A727" s="53"/>
    </row>
    <row r="728" ht="12.75" customHeight="1">
      <c r="A728" s="53"/>
    </row>
    <row r="729" ht="12.75" customHeight="1">
      <c r="A729" s="53"/>
    </row>
    <row r="730" ht="12.75" customHeight="1">
      <c r="A730" s="53"/>
    </row>
    <row r="731" ht="12.75" customHeight="1">
      <c r="A731" s="53"/>
    </row>
    <row r="732" ht="12.75" customHeight="1">
      <c r="A732" s="53"/>
    </row>
    <row r="733" ht="12.75" customHeight="1">
      <c r="A733" s="53"/>
    </row>
    <row r="734" ht="12.75" customHeight="1">
      <c r="A734" s="53"/>
    </row>
    <row r="735" ht="12.75" customHeight="1">
      <c r="A735" s="53"/>
    </row>
    <row r="736" ht="12.75" customHeight="1">
      <c r="A736" s="53"/>
    </row>
    <row r="737" ht="12.75" customHeight="1">
      <c r="A737" s="53"/>
    </row>
    <row r="738" ht="12.75" customHeight="1">
      <c r="A738" s="53"/>
    </row>
    <row r="739" ht="12.75" customHeight="1">
      <c r="A739" s="53"/>
    </row>
    <row r="740" ht="12.75" customHeight="1">
      <c r="A740" s="53"/>
    </row>
    <row r="741" ht="12.75" customHeight="1">
      <c r="A741" s="53"/>
    </row>
    <row r="742" ht="12.75" customHeight="1">
      <c r="A742" s="53"/>
    </row>
    <row r="743" ht="12.75" customHeight="1">
      <c r="A743" s="53"/>
    </row>
    <row r="744" ht="12.75" customHeight="1">
      <c r="A744" s="53"/>
    </row>
    <row r="745" ht="12.75" customHeight="1">
      <c r="A745" s="53"/>
    </row>
    <row r="746" ht="12.75" customHeight="1">
      <c r="A746" s="53"/>
    </row>
    <row r="747" ht="12.75" customHeight="1">
      <c r="A747" s="53"/>
    </row>
    <row r="748" ht="12.75" customHeight="1">
      <c r="A748" s="53"/>
    </row>
    <row r="749" ht="12.75" customHeight="1">
      <c r="A749" s="53"/>
    </row>
    <row r="750" ht="12.75" customHeight="1">
      <c r="A750" s="53"/>
    </row>
    <row r="751" ht="12.75" customHeight="1">
      <c r="A751" s="53"/>
    </row>
    <row r="752" ht="12.75" customHeight="1">
      <c r="A752" s="53"/>
    </row>
    <row r="753" ht="12.75" customHeight="1">
      <c r="A753" s="53"/>
    </row>
    <row r="754" ht="12.75" customHeight="1">
      <c r="A754" s="53"/>
    </row>
    <row r="755" ht="12.75" customHeight="1">
      <c r="A755" s="53"/>
    </row>
    <row r="756" ht="12.75" customHeight="1">
      <c r="A756" s="53"/>
    </row>
    <row r="757" ht="12.75" customHeight="1">
      <c r="A757" s="53"/>
    </row>
    <row r="758" ht="12.75" customHeight="1">
      <c r="A758" s="53"/>
    </row>
    <row r="759" ht="12.75" customHeight="1">
      <c r="A759" s="53"/>
    </row>
    <row r="760" ht="12.75" customHeight="1">
      <c r="A760" s="53"/>
    </row>
    <row r="761" ht="12.75" customHeight="1">
      <c r="A761" s="53"/>
    </row>
    <row r="762" ht="12.75" customHeight="1">
      <c r="A762" s="53"/>
    </row>
    <row r="763" ht="12.75" customHeight="1">
      <c r="A763" s="53"/>
    </row>
    <row r="764" ht="12.75" customHeight="1">
      <c r="A764" s="53"/>
    </row>
    <row r="765" ht="12.75" customHeight="1">
      <c r="A765" s="53"/>
    </row>
    <row r="766" ht="12.75" customHeight="1">
      <c r="A766" s="53"/>
    </row>
    <row r="767" ht="12.75" customHeight="1">
      <c r="A767" s="53"/>
    </row>
    <row r="768" ht="12.75" customHeight="1">
      <c r="A768" s="53"/>
    </row>
    <row r="769" ht="12.75" customHeight="1">
      <c r="A769" s="53"/>
    </row>
    <row r="770" ht="12.75" customHeight="1">
      <c r="A770" s="53"/>
    </row>
    <row r="771" ht="12.75" customHeight="1">
      <c r="A771" s="53"/>
    </row>
    <row r="772" ht="12.75" customHeight="1">
      <c r="A772" s="53"/>
    </row>
    <row r="773" ht="12.75" customHeight="1">
      <c r="A773" s="53"/>
    </row>
    <row r="774" ht="12.75" customHeight="1">
      <c r="A774" s="53"/>
    </row>
    <row r="775" ht="12.75" customHeight="1">
      <c r="A775" s="53"/>
    </row>
    <row r="776" ht="12.75" customHeight="1">
      <c r="A776" s="53"/>
    </row>
    <row r="777" ht="12.75" customHeight="1">
      <c r="A777" s="53"/>
    </row>
    <row r="778" ht="12.75" customHeight="1">
      <c r="A778" s="53"/>
    </row>
    <row r="779" ht="12.75" customHeight="1">
      <c r="A779" s="53"/>
    </row>
    <row r="780" ht="12.75" customHeight="1">
      <c r="A780" s="53"/>
    </row>
    <row r="781" ht="12.75" customHeight="1">
      <c r="A781" s="53"/>
    </row>
    <row r="782" ht="12.75" customHeight="1">
      <c r="A782" s="53"/>
    </row>
    <row r="783" ht="12.75" customHeight="1">
      <c r="A783" s="53"/>
    </row>
    <row r="784" ht="12.75" customHeight="1">
      <c r="A784" s="53"/>
    </row>
    <row r="785" ht="12.75" customHeight="1">
      <c r="A785" s="53"/>
    </row>
    <row r="786" ht="12.75" customHeight="1">
      <c r="A786" s="53"/>
    </row>
    <row r="787" ht="12.75" customHeight="1">
      <c r="A787" s="53"/>
    </row>
    <row r="788" ht="12.75" customHeight="1">
      <c r="A788" s="53"/>
    </row>
    <row r="789" ht="12.75" customHeight="1">
      <c r="A789" s="53"/>
    </row>
    <row r="790" ht="12.75" customHeight="1">
      <c r="A790" s="53"/>
    </row>
    <row r="791" ht="12.75" customHeight="1">
      <c r="A791" s="53"/>
    </row>
    <row r="792" ht="12.75" customHeight="1">
      <c r="A792" s="53"/>
    </row>
    <row r="793" ht="12.75" customHeight="1">
      <c r="A793" s="53"/>
    </row>
    <row r="794" ht="12.75" customHeight="1">
      <c r="A794" s="53"/>
    </row>
    <row r="795" ht="12.75" customHeight="1">
      <c r="A795" s="53"/>
    </row>
    <row r="796" ht="12.75" customHeight="1">
      <c r="A796" s="53"/>
    </row>
    <row r="797" ht="12.75" customHeight="1">
      <c r="A797" s="53"/>
    </row>
    <row r="798" ht="12.75" customHeight="1">
      <c r="A798" s="53"/>
    </row>
    <row r="799" ht="12.75" customHeight="1">
      <c r="A799" s="53"/>
    </row>
    <row r="800" ht="12.75" customHeight="1">
      <c r="A800" s="53"/>
    </row>
    <row r="801" ht="12.75" customHeight="1">
      <c r="A801" s="53"/>
    </row>
    <row r="802" ht="12.75" customHeight="1">
      <c r="A802" s="53"/>
    </row>
    <row r="803" ht="12.75" customHeight="1">
      <c r="A803" s="53"/>
    </row>
    <row r="804" ht="12.75" customHeight="1">
      <c r="A804" s="53"/>
    </row>
    <row r="805" ht="12.75" customHeight="1">
      <c r="A805" s="53"/>
    </row>
    <row r="806" ht="12.75" customHeight="1">
      <c r="A806" s="53"/>
    </row>
    <row r="807" ht="12.75" customHeight="1">
      <c r="A807" s="53"/>
    </row>
    <row r="808" ht="12.75" customHeight="1">
      <c r="A808" s="53"/>
    </row>
    <row r="809" ht="12.75" customHeight="1">
      <c r="A809" s="53"/>
    </row>
    <row r="810" ht="12.75" customHeight="1">
      <c r="A810" s="53"/>
    </row>
    <row r="811" ht="12.75" customHeight="1">
      <c r="A811" s="53"/>
    </row>
    <row r="812" ht="12.75" customHeight="1">
      <c r="A812" s="53"/>
    </row>
    <row r="813" ht="12.75" customHeight="1">
      <c r="A813" s="53"/>
    </row>
    <row r="814" ht="12.75" customHeight="1">
      <c r="A814" s="53"/>
    </row>
    <row r="815" ht="12.75" customHeight="1">
      <c r="A815" s="53"/>
    </row>
    <row r="816" ht="12.75" customHeight="1">
      <c r="A816" s="53"/>
    </row>
    <row r="817" ht="12.75" customHeight="1">
      <c r="A817" s="53"/>
    </row>
    <row r="818" ht="12.75" customHeight="1">
      <c r="A818" s="53"/>
    </row>
    <row r="819" ht="12.75" customHeight="1">
      <c r="A819" s="53"/>
    </row>
    <row r="820" ht="12.75" customHeight="1">
      <c r="A820" s="53"/>
    </row>
    <row r="821" ht="12.75" customHeight="1">
      <c r="A821" s="53"/>
    </row>
    <row r="822" ht="12.75" customHeight="1">
      <c r="A822" s="53"/>
    </row>
    <row r="823" ht="12.75" customHeight="1">
      <c r="A823" s="53"/>
    </row>
    <row r="824" ht="12.75" customHeight="1">
      <c r="A824" s="53"/>
    </row>
    <row r="825" ht="12.75" customHeight="1">
      <c r="A825" s="53"/>
    </row>
    <row r="826" ht="12.75" customHeight="1">
      <c r="A826" s="53"/>
    </row>
    <row r="827" ht="12.75" customHeight="1">
      <c r="A827" s="53"/>
    </row>
    <row r="828" ht="12.75" customHeight="1">
      <c r="A828" s="53"/>
    </row>
    <row r="829" ht="12.75" customHeight="1">
      <c r="A829" s="53"/>
    </row>
    <row r="830" ht="12.75" customHeight="1">
      <c r="A830" s="53"/>
    </row>
    <row r="831" ht="12.75" customHeight="1">
      <c r="A831" s="53"/>
    </row>
    <row r="832" ht="12.75" customHeight="1">
      <c r="A832" s="53"/>
    </row>
    <row r="833" ht="12.75" customHeight="1">
      <c r="A833" s="53"/>
    </row>
    <row r="834" ht="12.75" customHeight="1">
      <c r="A834" s="53"/>
    </row>
    <row r="835" ht="12.75" customHeight="1">
      <c r="A835" s="53"/>
    </row>
    <row r="836" ht="12.75" customHeight="1">
      <c r="A836" s="53"/>
    </row>
    <row r="837" ht="12.75" customHeight="1">
      <c r="A837" s="53"/>
    </row>
    <row r="838" ht="12.75" customHeight="1">
      <c r="A838" s="53"/>
    </row>
    <row r="839" ht="12.75" customHeight="1">
      <c r="A839" s="53"/>
    </row>
    <row r="840" ht="12.75" customHeight="1">
      <c r="A840" s="53"/>
    </row>
    <row r="841" ht="12.75" customHeight="1">
      <c r="A841" s="53"/>
    </row>
    <row r="842" ht="12.75" customHeight="1">
      <c r="A842" s="53"/>
    </row>
    <row r="843" ht="12.75" customHeight="1">
      <c r="A843" s="53"/>
    </row>
    <row r="844" ht="12.75" customHeight="1">
      <c r="A844" s="53"/>
    </row>
    <row r="845" ht="12.75" customHeight="1">
      <c r="A845" s="53"/>
    </row>
    <row r="846" ht="12.75" customHeight="1">
      <c r="A846" s="53"/>
    </row>
    <row r="847" ht="12.75" customHeight="1">
      <c r="A847" s="53"/>
    </row>
    <row r="848" ht="12.75" customHeight="1">
      <c r="A848" s="53"/>
    </row>
    <row r="849" ht="12.75" customHeight="1">
      <c r="A849" s="53"/>
    </row>
    <row r="850" ht="12.75" customHeight="1">
      <c r="A850" s="53"/>
    </row>
    <row r="851" ht="12.75" customHeight="1">
      <c r="A851" s="53"/>
    </row>
    <row r="852" ht="12.75" customHeight="1">
      <c r="A852" s="53"/>
    </row>
    <row r="853" ht="12.75" customHeight="1">
      <c r="A853" s="53"/>
    </row>
    <row r="854" ht="12.75" customHeight="1">
      <c r="A854" s="53"/>
    </row>
    <row r="855" ht="12.75" customHeight="1">
      <c r="A855" s="53"/>
    </row>
    <row r="856" ht="12.75" customHeight="1">
      <c r="A856" s="53"/>
    </row>
    <row r="857" ht="12.75" customHeight="1">
      <c r="A857" s="53"/>
    </row>
    <row r="858" ht="12.75" customHeight="1">
      <c r="A858" s="53"/>
    </row>
    <row r="859" ht="12.75" customHeight="1">
      <c r="A859" s="53"/>
    </row>
    <row r="860" ht="12.75" customHeight="1">
      <c r="A860" s="53"/>
    </row>
    <row r="861" ht="12.75" customHeight="1">
      <c r="A861" s="53"/>
    </row>
    <row r="862" ht="12.75" customHeight="1">
      <c r="A862" s="53"/>
    </row>
    <row r="863" ht="12.75" customHeight="1">
      <c r="A863" s="53"/>
    </row>
    <row r="864" ht="12.75" customHeight="1">
      <c r="A864" s="53"/>
    </row>
    <row r="865" ht="12.75" customHeight="1">
      <c r="A865" s="53"/>
    </row>
    <row r="866" ht="12.75" customHeight="1">
      <c r="A866" s="53"/>
    </row>
    <row r="867" ht="12.75" customHeight="1">
      <c r="A867" s="53"/>
    </row>
    <row r="868" ht="12.75" customHeight="1">
      <c r="A868" s="53"/>
    </row>
    <row r="869" ht="12.75" customHeight="1">
      <c r="A869" s="53"/>
    </row>
    <row r="870" ht="12.75" customHeight="1">
      <c r="A870" s="53"/>
    </row>
    <row r="871" ht="12.75" customHeight="1">
      <c r="A871" s="53"/>
    </row>
    <row r="872" ht="12.75" customHeight="1">
      <c r="A872" s="53"/>
    </row>
    <row r="873" ht="12.75" customHeight="1">
      <c r="A873" s="53"/>
    </row>
    <row r="874" ht="12.75" customHeight="1">
      <c r="A874" s="53"/>
    </row>
    <row r="875" ht="12.75" customHeight="1">
      <c r="A875" s="53"/>
    </row>
    <row r="876" ht="12.75" customHeight="1">
      <c r="A876" s="53"/>
    </row>
    <row r="877" ht="12.75" customHeight="1">
      <c r="A877" s="53"/>
    </row>
    <row r="878" ht="12.75" customHeight="1">
      <c r="A878" s="53"/>
    </row>
    <row r="879" ht="12.75" customHeight="1">
      <c r="A879" s="53"/>
    </row>
    <row r="880" ht="12.75" customHeight="1">
      <c r="A880" s="53"/>
    </row>
    <row r="881" ht="12.75" customHeight="1">
      <c r="A881" s="53"/>
    </row>
    <row r="882" ht="12.75" customHeight="1">
      <c r="A882" s="53"/>
    </row>
    <row r="883" ht="12.75" customHeight="1">
      <c r="A883" s="53"/>
    </row>
    <row r="884" ht="12.75" customHeight="1">
      <c r="A884" s="53"/>
    </row>
    <row r="885" ht="12.75" customHeight="1">
      <c r="A885" s="53"/>
    </row>
    <row r="886" ht="12.75" customHeight="1">
      <c r="A886" s="53"/>
    </row>
    <row r="887" ht="12.75" customHeight="1">
      <c r="A887" s="53"/>
    </row>
    <row r="888" ht="12.75" customHeight="1">
      <c r="A888" s="53"/>
    </row>
    <row r="889" ht="12.75" customHeight="1">
      <c r="A889" s="53"/>
    </row>
    <row r="890" ht="12.75" customHeight="1">
      <c r="A890" s="53"/>
    </row>
    <row r="891" ht="12.75" customHeight="1">
      <c r="A891" s="53"/>
    </row>
    <row r="892" ht="12.75" customHeight="1">
      <c r="A892" s="53"/>
    </row>
    <row r="893" ht="12.75" customHeight="1">
      <c r="A893" s="53"/>
    </row>
    <row r="894" ht="12.75" customHeight="1">
      <c r="A894" s="53"/>
    </row>
    <row r="895" ht="12.75" customHeight="1">
      <c r="A895" s="53"/>
    </row>
    <row r="896" ht="12.75" customHeight="1">
      <c r="A896" s="53"/>
    </row>
    <row r="897" ht="12.75" customHeight="1">
      <c r="A897" s="53"/>
    </row>
    <row r="898" ht="12.75" customHeight="1">
      <c r="A898" s="53"/>
    </row>
    <row r="899" ht="12.75" customHeight="1">
      <c r="A899" s="53"/>
    </row>
    <row r="900" ht="12.75" customHeight="1">
      <c r="A900" s="53"/>
    </row>
    <row r="901" ht="12.75" customHeight="1">
      <c r="A901" s="53"/>
    </row>
    <row r="902" ht="12.75" customHeight="1">
      <c r="A902" s="53"/>
    </row>
    <row r="903" ht="12.75" customHeight="1">
      <c r="A903" s="53"/>
    </row>
    <row r="904" ht="12.75" customHeight="1">
      <c r="A904" s="53"/>
    </row>
    <row r="905" ht="12.75" customHeight="1">
      <c r="A905" s="53"/>
    </row>
    <row r="906" ht="12.75" customHeight="1">
      <c r="A906" s="53"/>
    </row>
    <row r="907" ht="12.75" customHeight="1">
      <c r="A907" s="53"/>
    </row>
    <row r="908" ht="12.75" customHeight="1">
      <c r="A908" s="53"/>
    </row>
    <row r="909" ht="12.75" customHeight="1">
      <c r="A909" s="53"/>
    </row>
    <row r="910" ht="12.75" customHeight="1">
      <c r="A910" s="53"/>
    </row>
    <row r="911" ht="12.75" customHeight="1">
      <c r="A911" s="53"/>
    </row>
    <row r="912" ht="12.75" customHeight="1">
      <c r="A912" s="53"/>
    </row>
    <row r="913" ht="12.75" customHeight="1">
      <c r="A913" s="53"/>
    </row>
    <row r="914" ht="12.75" customHeight="1">
      <c r="A914" s="53"/>
    </row>
    <row r="915" ht="12.75" customHeight="1">
      <c r="A915" s="53"/>
    </row>
    <row r="916" ht="12.75" customHeight="1">
      <c r="A916" s="53"/>
    </row>
    <row r="917" ht="12.75" customHeight="1">
      <c r="A917" s="53"/>
    </row>
    <row r="918" ht="12.75" customHeight="1">
      <c r="A918" s="53"/>
    </row>
    <row r="919" ht="12.75" customHeight="1">
      <c r="A919" s="53"/>
    </row>
    <row r="920" ht="12.75" customHeight="1">
      <c r="A920" s="53"/>
    </row>
    <row r="921" ht="12.75" customHeight="1">
      <c r="A921" s="53"/>
    </row>
    <row r="922" ht="12.75" customHeight="1">
      <c r="A922" s="53"/>
    </row>
    <row r="923" ht="12.75" customHeight="1">
      <c r="A923" s="53"/>
    </row>
    <row r="924" ht="12.75" customHeight="1">
      <c r="A924" s="53"/>
    </row>
    <row r="925" ht="12.75" customHeight="1">
      <c r="A925" s="53"/>
    </row>
    <row r="926" ht="12.75" customHeight="1">
      <c r="A926" s="53"/>
    </row>
    <row r="927" ht="12.75" customHeight="1">
      <c r="A927" s="53"/>
    </row>
    <row r="928" ht="12.75" customHeight="1">
      <c r="A928" s="53"/>
    </row>
    <row r="929" ht="12.75" customHeight="1">
      <c r="A929" s="53"/>
    </row>
    <row r="930" ht="12.75" customHeight="1">
      <c r="A930" s="53"/>
    </row>
    <row r="931" ht="12.75" customHeight="1">
      <c r="A931" s="53"/>
    </row>
    <row r="932" ht="12.75" customHeight="1">
      <c r="A932" s="53"/>
    </row>
    <row r="933" ht="12.75" customHeight="1">
      <c r="A933" s="53"/>
    </row>
    <row r="934" ht="12.75" customHeight="1">
      <c r="A934" s="53"/>
    </row>
    <row r="935" ht="12.75" customHeight="1">
      <c r="A935" s="53"/>
    </row>
    <row r="936" ht="12.75" customHeight="1">
      <c r="A936" s="53"/>
    </row>
    <row r="937" ht="12.75" customHeight="1">
      <c r="A937" s="53"/>
    </row>
    <row r="938" ht="12.75" customHeight="1">
      <c r="A938" s="53"/>
    </row>
    <row r="939" ht="12.75" customHeight="1">
      <c r="A939" s="53"/>
    </row>
    <row r="940" ht="12.75" customHeight="1">
      <c r="A940" s="53"/>
    </row>
    <row r="941" ht="12.75" customHeight="1">
      <c r="A941" s="53"/>
    </row>
    <row r="942" ht="12.75" customHeight="1">
      <c r="A942" s="53"/>
    </row>
    <row r="943" ht="12.75" customHeight="1">
      <c r="A943" s="53"/>
    </row>
    <row r="944" ht="12.75" customHeight="1">
      <c r="A944" s="53"/>
    </row>
    <row r="945" ht="12.75" customHeight="1">
      <c r="A945" s="53"/>
    </row>
    <row r="946" ht="12.75" customHeight="1">
      <c r="A946" s="53"/>
    </row>
    <row r="947" ht="12.75" customHeight="1">
      <c r="A947" s="53"/>
    </row>
    <row r="948" ht="12.75" customHeight="1">
      <c r="A948" s="53"/>
    </row>
    <row r="949" ht="12.75" customHeight="1">
      <c r="A949" s="53"/>
    </row>
    <row r="950" ht="12.75" customHeight="1">
      <c r="A950" s="53"/>
    </row>
    <row r="951" ht="12.75" customHeight="1">
      <c r="A951" s="53"/>
    </row>
    <row r="952" ht="12.75" customHeight="1">
      <c r="A952" s="53"/>
    </row>
    <row r="953" ht="12.75" customHeight="1">
      <c r="A953" s="53"/>
    </row>
    <row r="954" ht="12.75" customHeight="1">
      <c r="A954" s="53"/>
    </row>
    <row r="955" ht="12.75" customHeight="1">
      <c r="A955" s="53"/>
    </row>
    <row r="956" ht="12.75" customHeight="1">
      <c r="A956" s="53"/>
    </row>
    <row r="957" ht="12.75" customHeight="1">
      <c r="A957" s="53"/>
    </row>
    <row r="958" ht="12.75" customHeight="1">
      <c r="A958" s="53"/>
    </row>
    <row r="959" ht="12.75" customHeight="1">
      <c r="A959" s="53"/>
    </row>
    <row r="960" ht="12.75" customHeight="1">
      <c r="A960" s="53"/>
    </row>
    <row r="961" ht="12.75" customHeight="1">
      <c r="A961" s="53"/>
    </row>
    <row r="962" ht="12.75" customHeight="1">
      <c r="A962" s="53"/>
    </row>
    <row r="963" ht="12.75" customHeight="1">
      <c r="A963" s="53"/>
    </row>
    <row r="964" ht="12.75" customHeight="1">
      <c r="A964" s="53"/>
    </row>
    <row r="965" ht="12.75" customHeight="1">
      <c r="A965" s="53"/>
    </row>
    <row r="966" ht="12.75" customHeight="1">
      <c r="A966" s="53"/>
    </row>
    <row r="967" ht="12.75" customHeight="1">
      <c r="A967" s="53"/>
    </row>
    <row r="968" ht="12.75" customHeight="1">
      <c r="A968" s="53"/>
    </row>
    <row r="969" ht="12.75" customHeight="1">
      <c r="A969" s="53"/>
    </row>
    <row r="970" ht="12.75" customHeight="1">
      <c r="A970" s="53"/>
    </row>
    <row r="971" ht="12.75" customHeight="1">
      <c r="A971" s="53"/>
    </row>
    <row r="972" ht="12.75" customHeight="1">
      <c r="A972" s="53"/>
    </row>
    <row r="973" ht="12.75" customHeight="1">
      <c r="A973" s="53"/>
    </row>
    <row r="974" ht="12.75" customHeight="1">
      <c r="A974" s="53"/>
    </row>
    <row r="975" ht="12.75" customHeight="1">
      <c r="A975" s="53"/>
    </row>
    <row r="976" ht="12.75" customHeight="1">
      <c r="A976" s="53"/>
    </row>
    <row r="977" ht="12.75" customHeight="1">
      <c r="A977" s="53"/>
    </row>
    <row r="978" ht="12.75" customHeight="1">
      <c r="A978" s="53"/>
    </row>
    <row r="979" ht="12.75" customHeight="1">
      <c r="A979" s="53"/>
    </row>
    <row r="980" ht="12.75" customHeight="1">
      <c r="A980" s="53"/>
    </row>
    <row r="981" ht="12.75" customHeight="1">
      <c r="A981" s="53"/>
    </row>
    <row r="982" ht="12.75" customHeight="1">
      <c r="A982" s="53"/>
    </row>
    <row r="983" ht="12.75" customHeight="1">
      <c r="A983" s="53"/>
    </row>
    <row r="984" ht="12.75" customHeight="1">
      <c r="A984" s="53"/>
    </row>
    <row r="985" ht="12.75" customHeight="1">
      <c r="A985" s="53"/>
    </row>
    <row r="986" ht="12.75" customHeight="1">
      <c r="A986" s="53"/>
    </row>
    <row r="987" ht="12.75" customHeight="1">
      <c r="A987" s="53"/>
    </row>
    <row r="988" ht="12.75" customHeight="1">
      <c r="A988" s="53"/>
    </row>
    <row r="989" ht="12.75" customHeight="1">
      <c r="A989" s="53"/>
    </row>
    <row r="990" ht="12.75" customHeight="1">
      <c r="A990" s="53"/>
    </row>
    <row r="991" ht="12.75" customHeight="1">
      <c r="A991" s="53"/>
    </row>
    <row r="992" ht="12.75" customHeight="1">
      <c r="A992" s="53"/>
    </row>
    <row r="993" ht="12.75" customHeight="1">
      <c r="A993" s="53"/>
    </row>
    <row r="994" ht="12.75" customHeight="1">
      <c r="A994" s="53"/>
    </row>
    <row r="995" ht="12.75" customHeight="1">
      <c r="A995" s="53"/>
    </row>
    <row r="996" ht="12.75" customHeight="1">
      <c r="A996" s="53"/>
    </row>
    <row r="997" ht="12.75" customHeight="1">
      <c r="A997" s="53"/>
    </row>
    <row r="998" ht="12.75" customHeight="1">
      <c r="A998" s="53"/>
    </row>
    <row r="999" ht="12.75" customHeight="1">
      <c r="A999" s="53"/>
    </row>
    <row r="1000" ht="12.75" customHeight="1">
      <c r="A1000" s="53"/>
    </row>
  </sheetData>
  <mergeCells count="29">
    <mergeCell ref="B2:F2"/>
    <mergeCell ref="B4:D4"/>
    <mergeCell ref="E4:F4"/>
    <mergeCell ref="E5:F5"/>
    <mergeCell ref="B10:F10"/>
    <mergeCell ref="B13:F13"/>
    <mergeCell ref="B16:F16"/>
    <mergeCell ref="B27:F27"/>
    <mergeCell ref="B28:F28"/>
    <mergeCell ref="B29:F29"/>
    <mergeCell ref="B30:F30"/>
    <mergeCell ref="B31:F31"/>
    <mergeCell ref="B34:F34"/>
    <mergeCell ref="C35:F35"/>
    <mergeCell ref="B47:F47"/>
    <mergeCell ref="B48:F48"/>
    <mergeCell ref="B51:F51"/>
    <mergeCell ref="B52:F52"/>
    <mergeCell ref="B53:F53"/>
    <mergeCell ref="B54:F54"/>
    <mergeCell ref="B55:F55"/>
    <mergeCell ref="B56:F56"/>
    <mergeCell ref="C36:F36"/>
    <mergeCell ref="C37:F37"/>
    <mergeCell ref="C38:F38"/>
    <mergeCell ref="C39:F39"/>
    <mergeCell ref="C40:F40"/>
    <mergeCell ref="C41:F41"/>
    <mergeCell ref="B44:F44"/>
  </mergeCells>
  <printOptions/>
  <pageMargins bottom="0.984251968503937" footer="0.0" header="0.0" left="0.748031496062992" right="0.748031496062992" top="0.984251968503937"/>
  <pageSetup paperSize="9" orientation="landscape"/>
  <headerFooter>
    <oddHeader>&amp;C&amp;F</oddHeader>
    <oddFooter>&amp;L&amp;A&amp;C(c) T-Mobile International 2008&amp;RPage &amp;P / </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6.0" topLeftCell="A7" activePane="bottomLeft" state="frozen"/>
      <selection activeCell="B8" sqref="B8" pane="bottomLeft"/>
    </sheetView>
  </sheetViews>
  <sheetFormatPr customHeight="1" defaultColWidth="14.43" defaultRowHeight="15.0"/>
  <cols>
    <col customWidth="1" min="1" max="1" width="61.29"/>
    <col customWidth="1" min="2" max="9" width="4.71"/>
    <col customWidth="1" min="10" max="12" width="11.71"/>
    <col customWidth="1" min="13" max="13" width="11.0"/>
    <col customWidth="1" min="14" max="15" width="11.71"/>
    <col customWidth="1" min="16" max="16" width="16.86"/>
    <col customWidth="1" min="17" max="26" width="9.14"/>
  </cols>
  <sheetData>
    <row r="1" ht="12.75" customHeight="1">
      <c r="A1" s="109" t="s">
        <v>82</v>
      </c>
      <c r="B1" s="110"/>
      <c r="C1" s="110"/>
      <c r="D1" s="110"/>
      <c r="E1" s="110"/>
      <c r="F1" s="110"/>
      <c r="G1" s="110"/>
      <c r="H1" s="110"/>
      <c r="I1" s="110"/>
      <c r="J1" s="110"/>
      <c r="K1" s="110"/>
      <c r="L1" s="110"/>
      <c r="M1" s="110"/>
      <c r="N1" s="110"/>
      <c r="O1" s="110"/>
      <c r="P1" s="111"/>
    </row>
    <row r="2" ht="26.25" customHeight="1">
      <c r="A2" s="112" t="str">
        <f>"Summary: " &amp; IF(J4+A3=0,"No ERRORS found!",J4+A3&amp; " ERROR(S) found!") &amp; IF(OR(Cover!D10="",Cover!D10="xxx")," Vendor missing on 'Cover' tab.","") &amp; IF(OR(Cover!D11="",Cover!D11="xxx")," Model missing on 'Cover' tab.","") &amp; IF(Cover!D12=""," No Concept Class selected on 'Cover' tab.","")</f>
        <v>Summary: 46 ERROR(S) found!</v>
      </c>
      <c r="B2" s="110"/>
      <c r="C2" s="110"/>
      <c r="D2" s="110"/>
      <c r="E2" s="110"/>
      <c r="F2" s="110"/>
      <c r="G2" s="110"/>
      <c r="H2" s="110"/>
      <c r="I2" s="110"/>
      <c r="J2" s="110"/>
      <c r="K2" s="110"/>
      <c r="L2" s="110"/>
      <c r="M2" s="110"/>
      <c r="N2" s="110"/>
      <c r="O2" s="110"/>
      <c r="P2" s="111"/>
    </row>
    <row r="3" ht="33.75" customHeight="1">
      <c r="A3" s="113">
        <f>IF(OR(Cover!D10="",Cover!D10="xxx"),1,0)+IF(OR(Cover!D11="",Cover!D11="xxx"),1,0)+IF(Cover!D12="",1,0)</f>
        <v>0</v>
      </c>
      <c r="B3" s="114" t="s">
        <v>83</v>
      </c>
      <c r="C3" s="115"/>
      <c r="D3" s="115"/>
      <c r="E3" s="115"/>
      <c r="F3" s="115"/>
      <c r="G3" s="115"/>
      <c r="H3" s="115"/>
      <c r="I3" s="116"/>
      <c r="J3" s="114" t="s">
        <v>84</v>
      </c>
      <c r="K3" s="115"/>
      <c r="L3" s="115"/>
      <c r="M3" s="115"/>
      <c r="N3" s="115"/>
      <c r="O3" s="115"/>
      <c r="P3" s="117"/>
    </row>
    <row r="4" ht="12.75" customHeight="1">
      <c r="A4" s="118" t="s">
        <v>85</v>
      </c>
      <c r="B4" s="119">
        <f>SUM(B5:E5)</f>
        <v>4962</v>
      </c>
      <c r="C4" s="120"/>
      <c r="D4" s="120"/>
      <c r="E4" s="121"/>
      <c r="F4" s="122">
        <f>SUM(F5:I5)</f>
        <v>4842</v>
      </c>
      <c r="G4" s="120"/>
      <c r="H4" s="120"/>
      <c r="I4" s="123"/>
      <c r="J4" s="119">
        <f>SUM(J5:O5)</f>
        <v>46</v>
      </c>
      <c r="K4" s="120"/>
      <c r="L4" s="120"/>
      <c r="M4" s="120"/>
      <c r="N4" s="120"/>
      <c r="O4" s="121"/>
      <c r="P4" s="124"/>
    </row>
    <row r="5" ht="12.75" customHeight="1">
      <c r="A5" s="125" t="s">
        <v>86</v>
      </c>
      <c r="B5" s="126">
        <f t="shared" ref="B5:O5" si="1">SUM(B7:B53)</f>
        <v>2382</v>
      </c>
      <c r="C5" s="127">
        <f t="shared" si="1"/>
        <v>959</v>
      </c>
      <c r="D5" s="127">
        <f t="shared" si="1"/>
        <v>1527</v>
      </c>
      <c r="E5" s="128">
        <f t="shared" si="1"/>
        <v>94</v>
      </c>
      <c r="F5" s="129">
        <f t="shared" si="1"/>
        <v>1733</v>
      </c>
      <c r="G5" s="127">
        <f t="shared" si="1"/>
        <v>343</v>
      </c>
      <c r="H5" s="127">
        <f t="shared" si="1"/>
        <v>2726</v>
      </c>
      <c r="I5" s="130">
        <f t="shared" si="1"/>
        <v>40</v>
      </c>
      <c r="J5" s="126">
        <f t="shared" si="1"/>
        <v>33</v>
      </c>
      <c r="K5" s="127">
        <f t="shared" si="1"/>
        <v>0</v>
      </c>
      <c r="L5" s="127">
        <f t="shared" si="1"/>
        <v>0</v>
      </c>
      <c r="M5" s="127">
        <f t="shared" si="1"/>
        <v>13</v>
      </c>
      <c r="N5" s="127">
        <f t="shared" si="1"/>
        <v>0</v>
      </c>
      <c r="O5" s="128">
        <f t="shared" si="1"/>
        <v>0</v>
      </c>
      <c r="P5" s="131"/>
    </row>
    <row r="6" ht="12.75" customHeight="1">
      <c r="A6" s="132" t="s">
        <v>87</v>
      </c>
      <c r="B6" s="133" t="s">
        <v>88</v>
      </c>
      <c r="C6" s="134" t="s">
        <v>89</v>
      </c>
      <c r="D6" s="134" t="s">
        <v>90</v>
      </c>
      <c r="E6" s="135" t="s">
        <v>91</v>
      </c>
      <c r="F6" s="136" t="s">
        <v>92</v>
      </c>
      <c r="G6" s="137" t="s">
        <v>93</v>
      </c>
      <c r="H6" s="138" t="s">
        <v>94</v>
      </c>
      <c r="I6" s="139" t="s">
        <v>68</v>
      </c>
      <c r="J6" s="140" t="s">
        <v>95</v>
      </c>
      <c r="K6" s="141" t="s">
        <v>96</v>
      </c>
      <c r="L6" s="142" t="s">
        <v>97</v>
      </c>
      <c r="M6" s="142" t="s">
        <v>98</v>
      </c>
      <c r="N6" s="142" t="s">
        <v>99</v>
      </c>
      <c r="O6" s="142" t="s">
        <v>100</v>
      </c>
      <c r="P6" s="143" t="s">
        <v>101</v>
      </c>
    </row>
    <row r="7" ht="12.75" customHeight="1">
      <c r="A7" s="144" t="s">
        <v>102</v>
      </c>
      <c r="B7" s="145">
        <f>COUNTIF(MTR!$F3:$F11,"Mandatory")+COUNTIF(MTR!$F3:$F11,"Selection")</f>
        <v>0</v>
      </c>
      <c r="C7" s="146">
        <f>COUNTIF(MTR!$F3:$F11,"Recommended")</f>
        <v>0</v>
      </c>
      <c r="D7" s="146">
        <f>COUNTIF(MTR!$F3:$F11,"Information")+COUNTIF(MTR!$F3:$F11,"Information - High importance in Future")</f>
        <v>0</v>
      </c>
      <c r="E7" s="146">
        <f>COUNTIF(MTR!$F3:$F11,"Comments Vendor")</f>
        <v>8</v>
      </c>
      <c r="F7" s="145">
        <f>COUNTIF(MTR!$J3:$J11,"Complies")</f>
        <v>0</v>
      </c>
      <c r="G7" s="146">
        <f>COUNTIF(MTR!$J3:$J11,"Partially complies")</f>
        <v>0</v>
      </c>
      <c r="H7" s="146">
        <f>COUNTIF(MTR!$J3:$J11,"Does not comply")</f>
        <v>0</v>
      </c>
      <c r="I7" s="146">
        <f>COUNTIF(MTR!$J3:$J11,"Not Applicable")</f>
        <v>0</v>
      </c>
      <c r="J7" s="147">
        <f>COUNTIF(MTR!$L3:$L11,"*"&amp;J$6&amp;"*")</f>
        <v>0</v>
      </c>
      <c r="K7" s="148">
        <f>COUNTIF(MTR!$L3:$L11,"*"&amp;K$6&amp;"*")</f>
        <v>0</v>
      </c>
      <c r="L7" s="148">
        <f>COUNTIF(MTR!$L3:$L11,"*"&amp;L$6&amp;"*")</f>
        <v>0</v>
      </c>
      <c r="M7" s="148">
        <f>COUNTIF(MTR!$L3:$L11,"*"&amp;M$6&amp;"*")</f>
        <v>0</v>
      </c>
      <c r="N7" s="148">
        <f>COUNTIF(MTR!$L3:$L11,"*"&amp;N$6&amp;"*")</f>
        <v>0</v>
      </c>
      <c r="O7" s="146">
        <f>COUNTIF(MTR!$L3:$L11,"*"&amp;O$6&amp;"*")</f>
        <v>0</v>
      </c>
      <c r="P7" s="149" t="str">
        <f t="shared" ref="P7:P36" si="2">IF(SUM(J7:O7)&gt;0,"Incomplete","No inconsistencies")</f>
        <v>No inconsistencies</v>
      </c>
    </row>
    <row r="8" ht="12.75" customHeight="1">
      <c r="A8" s="144" t="s">
        <v>103</v>
      </c>
      <c r="B8" s="145">
        <f>COUNTIF(MTR!$F12:$F33,"Mandatory")+COUNTIF(MTR!$F12:$F33,"Selection")</f>
        <v>12</v>
      </c>
      <c r="C8" s="146">
        <f>COUNTIF(MTR!$F12:$F33,"Recommended")</f>
        <v>4</v>
      </c>
      <c r="D8" s="146">
        <f>COUNTIF(MTR!$F12:$F33,"Information")+COUNTIF(MTR!$F12:$F33,"Information - High importance in Future")</f>
        <v>0</v>
      </c>
      <c r="E8" s="146">
        <f>COUNTIF(MTR!$F12:$F33,"Comments Vendor")</f>
        <v>0</v>
      </c>
      <c r="F8" s="145">
        <f>COUNTIF(MTR!$J12:$J33,"Complies")</f>
        <v>13</v>
      </c>
      <c r="G8" s="146">
        <f>COUNTIF(MTR!$J12:$J33,"Partially complies")</f>
        <v>0</v>
      </c>
      <c r="H8" s="146">
        <f>COUNTIF(MTR!$J12:$J33,"Does not comply")</f>
        <v>0</v>
      </c>
      <c r="I8" s="146">
        <f>COUNTIF(MTR!$J12:$J33,"Not Applicable")</f>
        <v>0</v>
      </c>
      <c r="J8" s="147">
        <f>COUNTIF(MTR!$L12:$L33,"*"&amp;J$6&amp;"*")</f>
        <v>3</v>
      </c>
      <c r="K8" s="148">
        <f>COUNTIF(MTR!$L12:$L33,"*"&amp;K$6&amp;"*")</f>
        <v>0</v>
      </c>
      <c r="L8" s="148">
        <f>COUNTIF(MTR!$L12:$L33,"*"&amp;L$6&amp;"*")</f>
        <v>0</v>
      </c>
      <c r="M8" s="148">
        <f>COUNTIF(MTR!$L12:$L33,"*"&amp;M$6&amp;"*")</f>
        <v>0</v>
      </c>
      <c r="N8" s="148">
        <f>COUNTIF(MTR!$L12:$L33,"*"&amp;N$6&amp;"*")</f>
        <v>0</v>
      </c>
      <c r="O8" s="146">
        <f>COUNTIF(MTR!$L12:$L33,"*"&amp;O$6&amp;"*")</f>
        <v>0</v>
      </c>
      <c r="P8" s="149" t="str">
        <f t="shared" si="2"/>
        <v>Incomplete</v>
      </c>
    </row>
    <row r="9" ht="12.75" customHeight="1">
      <c r="A9" s="144" t="s">
        <v>104</v>
      </c>
      <c r="B9" s="145">
        <f>COUNTIF(MTR!$F34:$F80,"Mandatory")+COUNTIF(MTR!$F34:$F80,"Selection")</f>
        <v>37</v>
      </c>
      <c r="C9" s="146">
        <f>COUNTIF(MTR!$F34:$F80,"Recommended")</f>
        <v>1</v>
      </c>
      <c r="D9" s="146">
        <f>COUNTIF(MTR!$F34:$F80,"Information")+COUNTIF(MTR!$F34:$F80,"Information - High importance in Future")</f>
        <v>0</v>
      </c>
      <c r="E9" s="146">
        <f>COUNTIF(MTR!$F34:$F80,"Comments Vendor")</f>
        <v>0</v>
      </c>
      <c r="F9" s="145">
        <f>COUNTIF(MTR!$J34:$J80,"Complies")</f>
        <v>24</v>
      </c>
      <c r="G9" s="146">
        <f>COUNTIF(MTR!$J34:$J80,"Partially complies")</f>
        <v>8</v>
      </c>
      <c r="H9" s="146">
        <f>COUNTIF(MTR!$J34:$J80,"Does not comply")</f>
        <v>1</v>
      </c>
      <c r="I9" s="146">
        <f>COUNTIF(MTR!$J34:$J80,"Not Applicable")</f>
        <v>1</v>
      </c>
      <c r="J9" s="147">
        <f>COUNTIF(MTR!$L34:$L80,"*"&amp;J$6&amp;"*")</f>
        <v>4</v>
      </c>
      <c r="K9" s="148">
        <f>COUNTIF(MTR!$L34:$L80,"*"&amp;K$6&amp;"*")</f>
        <v>0</v>
      </c>
      <c r="L9" s="148">
        <f>COUNTIF(MTR!$L34:$L80,"*"&amp;L$6&amp;"*")</f>
        <v>0</v>
      </c>
      <c r="M9" s="148">
        <f>COUNTIF(MTR!$L34:$L80,"*"&amp;M$6&amp;"*")</f>
        <v>1</v>
      </c>
      <c r="N9" s="148">
        <f>COUNTIF(MTR!$L34:$L80,"*"&amp;N$6&amp;"*")</f>
        <v>0</v>
      </c>
      <c r="O9" s="146">
        <f>COUNTIF(MTR!$L34:$L80,"*"&amp;O$6&amp;"*")</f>
        <v>0</v>
      </c>
      <c r="P9" s="149" t="str">
        <f t="shared" si="2"/>
        <v>Incomplete</v>
      </c>
    </row>
    <row r="10" ht="12.75" customHeight="1">
      <c r="A10" s="144" t="s">
        <v>105</v>
      </c>
      <c r="B10" s="145">
        <f>COUNTIF(MTR!$F81:$F195,"Mandatory")+COUNTIF(MTR!$F81:$F195,"Selection")</f>
        <v>46</v>
      </c>
      <c r="C10" s="146">
        <f>COUNTIF(MTR!$F81:$F195,"Recommended")</f>
        <v>9</v>
      </c>
      <c r="D10" s="146">
        <f>COUNTIF(MTR!$F81:$F195,"Information")+COUNTIF(MTR!$F81:$F195,"Information - High importance in Future")</f>
        <v>40</v>
      </c>
      <c r="E10" s="146">
        <f>COUNTIF(MTR!$F81:$F195,"Comments Vendor")</f>
        <v>4</v>
      </c>
      <c r="F10" s="145">
        <f>COUNTIF(MTR!$J81:$J195,"Complies")</f>
        <v>45</v>
      </c>
      <c r="G10" s="146">
        <f>COUNTIF(MTR!$J81:$J195,"Partially complies")</f>
        <v>22</v>
      </c>
      <c r="H10" s="146">
        <f>COUNTIF(MTR!$J81:$J195,"Does not comply")</f>
        <v>28</v>
      </c>
      <c r="I10" s="146">
        <f>COUNTIF(MTR!$J81:$J195,"Not Applicable")</f>
        <v>0</v>
      </c>
      <c r="J10" s="147">
        <f>COUNTIF(MTR!$L81:$L195,"*"&amp;J$6&amp;"*")</f>
        <v>0</v>
      </c>
      <c r="K10" s="148">
        <f>COUNTIF(MTR!$L81:$L195,"*"&amp;K$6&amp;"*")</f>
        <v>0</v>
      </c>
      <c r="L10" s="148">
        <f>COUNTIF(MTR!$L81:$L195,"*"&amp;L$6&amp;"*")</f>
        <v>0</v>
      </c>
      <c r="M10" s="148">
        <f>COUNTIF(MTR!$L81:$L195,"*"&amp;M$6&amp;"*")</f>
        <v>0</v>
      </c>
      <c r="N10" s="148">
        <f>COUNTIF(MTR!$L81:$L195,"*"&amp;N$6&amp;"*")</f>
        <v>0</v>
      </c>
      <c r="O10" s="146">
        <f>COUNTIF(MTR!$L81:$L195,"*"&amp;O$6&amp;"*")</f>
        <v>0</v>
      </c>
      <c r="P10" s="149" t="str">
        <f t="shared" si="2"/>
        <v>No inconsistencies</v>
      </c>
    </row>
    <row r="11" ht="12.75" hidden="1" customHeight="1">
      <c r="A11" s="144" t="s">
        <v>106</v>
      </c>
      <c r="B11" s="145">
        <f>COUNTIF(MTR!$F196:$F197,"Mandatory")+COUNTIF(MTR!$F196:$F197,"Selection")</f>
        <v>0</v>
      </c>
      <c r="C11" s="146">
        <f>COUNTIF(MTR!$F196:$F197,"Recommended")</f>
        <v>0</v>
      </c>
      <c r="D11" s="146">
        <f>COUNTIF(MTR!$F196:$F197,"Information")+COUNTIF(MTR!$F196:$F197,"Information - High importance in Future")</f>
        <v>0</v>
      </c>
      <c r="E11" s="146">
        <f>COUNTIF(MTR!$F196:$F197,"Comments Vendor")</f>
        <v>0</v>
      </c>
      <c r="F11" s="145">
        <f>COUNTIF(MTR!$J196:$J197,"Complies")</f>
        <v>0</v>
      </c>
      <c r="G11" s="146">
        <f>COUNTIF(MTR!$J196:$J197,"Partially complies")</f>
        <v>0</v>
      </c>
      <c r="H11" s="146">
        <f>COUNTIF(MTR!$J196:$J197,"Does not comply")</f>
        <v>0</v>
      </c>
      <c r="I11" s="146">
        <f>COUNTIF(MTR!$J196:$J197,"Not Applicable")</f>
        <v>0</v>
      </c>
      <c r="J11" s="147">
        <f>COUNTIF(MTR!$L196:$L197,"*"&amp;J$6&amp;"*")</f>
        <v>0</v>
      </c>
      <c r="K11" s="148">
        <f>COUNTIF(MTR!$L196:$L197,"*"&amp;K$6&amp;"*")</f>
        <v>0</v>
      </c>
      <c r="L11" s="148">
        <f>COUNTIF(MTR!$L196:$L197,"*"&amp;L$6&amp;"*")</f>
        <v>0</v>
      </c>
      <c r="M11" s="148">
        <f>COUNTIF(MTR!$L196:$L197,"*"&amp;M$6&amp;"*")</f>
        <v>0</v>
      </c>
      <c r="N11" s="148">
        <f>COUNTIF(MTR!$L196:$L197,"*"&amp;N$6&amp;"*")</f>
        <v>0</v>
      </c>
      <c r="O11" s="146">
        <f>COUNTIF(MTR!$L196:$L197,"*"&amp;O$6&amp;"*")</f>
        <v>0</v>
      </c>
      <c r="P11" s="149" t="str">
        <f t="shared" si="2"/>
        <v>No inconsistencies</v>
      </c>
    </row>
    <row r="12" ht="12.75" customHeight="1">
      <c r="A12" s="144" t="s">
        <v>107</v>
      </c>
      <c r="B12" s="145">
        <f>COUNTIF('RF Performance'!$F:$F,"Mandatory")+COUNTIF('RF Performance'!$F:$F,"Selection")</f>
        <v>132</v>
      </c>
      <c r="C12" s="146">
        <f>COUNTIF('RF Performance'!$F:$F,"Recommended")</f>
        <v>0</v>
      </c>
      <c r="D12" s="146">
        <f>COUNTIF('RF Performance'!$F:$F,"Information")+COUNTIF('RF Performance'!$F:$F,"Information - High importance in Future")</f>
        <v>0</v>
      </c>
      <c r="E12" s="146">
        <f>COUNTIF('RF Performance'!$F:$F,"Comments Vendor")</f>
        <v>10</v>
      </c>
      <c r="F12" s="145">
        <f>COUNTIF('RF Performance'!$J:$J,"Complies")</f>
        <v>118</v>
      </c>
      <c r="G12" s="146">
        <f>COUNTIF('RF Performance'!$J:$J,"Partially complies")</f>
        <v>5</v>
      </c>
      <c r="H12" s="146">
        <f>COUNTIF('RF Performance'!$J:$J,"Does not comply")</f>
        <v>0</v>
      </c>
      <c r="I12" s="146">
        <f>COUNTIF('RF Performance'!$J:$J,"Not Applicable")</f>
        <v>2</v>
      </c>
      <c r="J12" s="147">
        <f>COUNTIF('RF Performance'!$L:$L,"*"&amp;J$6&amp;"*")</f>
        <v>7</v>
      </c>
      <c r="K12" s="148">
        <f>COUNTIF('RF Performance'!$L:$L,"*"&amp;K$6&amp;"*")</f>
        <v>0</v>
      </c>
      <c r="L12" s="148">
        <f>COUNTIF('RF Performance'!$L:$L,"*"&amp;L$6&amp;"*")</f>
        <v>0</v>
      </c>
      <c r="M12" s="148">
        <f>COUNTIF('RF Performance'!$L:$L,"*"&amp;M$6&amp;"*")</f>
        <v>0</v>
      </c>
      <c r="N12" s="148">
        <f>COUNTIF('RF Performance'!$L:$L,"*"&amp;N$6&amp;"*")</f>
        <v>0</v>
      </c>
      <c r="O12" s="146">
        <f>COUNTIF('RF Performance'!$L:$L,"*"&amp;O$6&amp;"*")</f>
        <v>0</v>
      </c>
      <c r="P12" s="149" t="str">
        <f t="shared" si="2"/>
        <v>Incomplete</v>
      </c>
    </row>
    <row r="13" ht="12.75" customHeight="1">
      <c r="A13" s="144" t="s">
        <v>108</v>
      </c>
      <c r="B13" s="145">
        <f>COUNTIF(MTR!$F198:$F201,"Mandatory")+COUNTIF(MTR!$F198:$F201,"Selection")</f>
        <v>1</v>
      </c>
      <c r="C13" s="146">
        <f>COUNTIF(MTR!$F198:$F201,"Recommended")</f>
        <v>2</v>
      </c>
      <c r="D13" s="146">
        <f>COUNTIF(MTR!$F198:$F201,"Information")+COUNTIF(MTR!$F198:$F201,"Information - High importance in Future")</f>
        <v>0</v>
      </c>
      <c r="E13" s="146">
        <f>COUNTIF(MTR!$F198:$F201,"Comments Vendor")</f>
        <v>0</v>
      </c>
      <c r="F13" s="145">
        <f>COUNTIF(MTR!$J198:$J201,"Complies")</f>
        <v>1</v>
      </c>
      <c r="G13" s="146">
        <f>COUNTIF(MTR!$J198:$J201,"Partially complies")</f>
        <v>2</v>
      </c>
      <c r="H13" s="146">
        <f>COUNTIF(MTR!$J198:$J201,"Does not comply")</f>
        <v>0</v>
      </c>
      <c r="I13" s="146">
        <f>COUNTIF(MTR!$J198:$J201,"Not Applicable")</f>
        <v>0</v>
      </c>
      <c r="J13" s="147">
        <f>COUNTIF(MTR!$L198:$L201,"*"&amp;J$6&amp;"*")</f>
        <v>0</v>
      </c>
      <c r="K13" s="148">
        <f>COUNTIF(MTR!$L198:$L201,"*"&amp;K$6&amp;"*")</f>
        <v>0</v>
      </c>
      <c r="L13" s="148">
        <f>COUNTIF(MTR!$L198:$L201,"*"&amp;L$6&amp;"*")</f>
        <v>0</v>
      </c>
      <c r="M13" s="148">
        <f>COUNTIF(MTR!$L198:$L201,"*"&amp;M$6&amp;"*")</f>
        <v>0</v>
      </c>
      <c r="N13" s="148">
        <f>COUNTIF(MTR!$L198:$L201,"*"&amp;N$6&amp;"*")</f>
        <v>0</v>
      </c>
      <c r="O13" s="146">
        <f>COUNTIF(MTR!$L198:$L201,"*"&amp;O$6&amp;"*")</f>
        <v>0</v>
      </c>
      <c r="P13" s="149" t="str">
        <f t="shared" si="2"/>
        <v>No inconsistencies</v>
      </c>
    </row>
    <row r="14" ht="12.75" customHeight="1">
      <c r="A14" s="144" t="s">
        <v>109</v>
      </c>
      <c r="B14" s="145">
        <f>COUNTIF(MTR!$F202:$F375,"Mandatory")+COUNTIF(MTR!$F202:$F375,"Selection")</f>
        <v>55</v>
      </c>
      <c r="C14" s="146">
        <f>COUNTIF(MTR!$F202:$F375,"Recommended")</f>
        <v>27</v>
      </c>
      <c r="D14" s="146">
        <f>COUNTIF(MTR!$F202:$F375,"Information")+COUNTIF(MTR!$F202:$F375,"Information - High importance in Future")</f>
        <v>50</v>
      </c>
      <c r="E14" s="146">
        <f>COUNTIF(MTR!$F202:$F375,"Comments Vendor")</f>
        <v>5</v>
      </c>
      <c r="F14" s="145">
        <f>COUNTIF(MTR!$J202:$J375,"Complies")</f>
        <v>67</v>
      </c>
      <c r="G14" s="146">
        <f>COUNTIF(MTR!$J202:$J375,"Partially complies")</f>
        <v>18</v>
      </c>
      <c r="H14" s="146">
        <f>COUNTIF(MTR!$J202:$J375,"Does not comply")</f>
        <v>44</v>
      </c>
      <c r="I14" s="146">
        <f>COUNTIF(MTR!$J202:$J375,"Not Applicable")</f>
        <v>3</v>
      </c>
      <c r="J14" s="147">
        <f>COUNTIF(MTR!$L202:$L375,"*"&amp;J$6&amp;"*")</f>
        <v>0</v>
      </c>
      <c r="K14" s="148">
        <f>COUNTIF(MTR!$L202:$L375,"*"&amp;K$6&amp;"*")</f>
        <v>0</v>
      </c>
      <c r="L14" s="148">
        <f>COUNTIF(MTR!$L202:$L375,"*"&amp;L$6&amp;"*")</f>
        <v>0</v>
      </c>
      <c r="M14" s="148">
        <f>COUNTIF(MTR!$L202:$L375,"*"&amp;M$6&amp;"*")</f>
        <v>0</v>
      </c>
      <c r="N14" s="148">
        <f>COUNTIF(MTR!$L202:$L375,"*"&amp;N$6&amp;"*")</f>
        <v>0</v>
      </c>
      <c r="O14" s="146">
        <f>COUNTIF(MTR!$L202:$L375,"*"&amp;O$6&amp;"*")</f>
        <v>0</v>
      </c>
      <c r="P14" s="149" t="str">
        <f t="shared" si="2"/>
        <v>No inconsistencies</v>
      </c>
    </row>
    <row r="15" ht="12.75" customHeight="1">
      <c r="A15" s="144" t="s">
        <v>110</v>
      </c>
      <c r="B15" s="145">
        <f>COUNTIF('LTE-CA'!$F:$F,"Mandatory")+COUNTIF('LTE-CA'!$F:$F,"Selection")</f>
        <v>95</v>
      </c>
      <c r="C15" s="146">
        <f>COUNTIF('LTE-CA'!$F:$F,"Recommended")</f>
        <v>29</v>
      </c>
      <c r="D15" s="146">
        <f>COUNTIF('LTE-CA'!$F:$F,"Information")+COUNTIF('LTE-CA'!$F:$F,"Information - High importance in Future")</f>
        <v>174</v>
      </c>
      <c r="E15" s="146">
        <f>COUNTIF('LTE-CA'!$F:$F,"Comments Vendor")</f>
        <v>0</v>
      </c>
      <c r="F15" s="145">
        <f>COUNTIF('LTE-CA'!$M:$M,"Complies")</f>
        <v>175</v>
      </c>
      <c r="G15" s="146">
        <f>COUNTIF('LTE-CA'!$M:$M,"Partially complies")</f>
        <v>6</v>
      </c>
      <c r="H15" s="146">
        <f>COUNTIF('LTE-CA'!$M:$M,"Does not comply")</f>
        <v>117</v>
      </c>
      <c r="I15" s="146">
        <f>COUNTIF('LTE-CA'!$M:$M,"Not Applicable")</f>
        <v>0</v>
      </c>
      <c r="J15" s="147">
        <f>COUNTIF('LTE-CA'!$O:$O,"*"&amp;J$6&amp;"*")</f>
        <v>0</v>
      </c>
      <c r="K15" s="148">
        <f>COUNTIF('LTE-CA'!$O:$O,"*"&amp;K$6&amp;"*")</f>
        <v>0</v>
      </c>
      <c r="L15" s="148">
        <f>COUNTIF('LTE-CA'!$O:$O,"*"&amp;L$6&amp;"*")</f>
        <v>0</v>
      </c>
      <c r="M15" s="148">
        <f>COUNTIF('LTE-CA'!$O:$O,"*"&amp;M$6&amp;"*")</f>
        <v>0</v>
      </c>
      <c r="N15" s="148">
        <f>COUNTIF('LTE-CA'!$O:$O,"*"&amp;N$6&amp;"*")</f>
        <v>0</v>
      </c>
      <c r="O15" s="146">
        <f>COUNTIF('LTE-CA'!$O:$O,"*"&amp;O$6&amp;"*")</f>
        <v>0</v>
      </c>
      <c r="P15" s="149" t="str">
        <f t="shared" si="2"/>
        <v>No inconsistencies</v>
      </c>
    </row>
    <row r="16" ht="12.75" customHeight="1">
      <c r="A16" s="144" t="s">
        <v>111</v>
      </c>
      <c r="B16" s="145">
        <f>COUNTIF(MTR!$F376:$F737,"Mandatory")+COUNTIF(MTR!$F376:$F737,"Selection")</f>
        <v>200</v>
      </c>
      <c r="C16" s="146">
        <f>COUNTIF(MTR!$F376:$F737,"Recommended")</f>
        <v>63</v>
      </c>
      <c r="D16" s="146">
        <f>COUNTIF(MTR!$F376:$F737,"Information")+COUNTIF(MTR!$F376:$F737,"Information - High importance in Future")</f>
        <v>9</v>
      </c>
      <c r="E16" s="146">
        <f>COUNTIF(MTR!$F376:$F737,"Comments Vendor")</f>
        <v>22</v>
      </c>
      <c r="F16" s="145">
        <f>COUNTIF(MTR!$J376:$J737,"Complies")</f>
        <v>121</v>
      </c>
      <c r="G16" s="146">
        <f>COUNTIF(MTR!$J376:$J737,"Partially complies")</f>
        <v>63</v>
      </c>
      <c r="H16" s="146">
        <f>COUNTIF(MTR!$J376:$J737,"Does not comply")</f>
        <v>85</v>
      </c>
      <c r="I16" s="146">
        <f>COUNTIF(MTR!$J376:$J737,"Not Applicable")</f>
        <v>3</v>
      </c>
      <c r="J16" s="147">
        <f>COUNTIF(MTR!$L376:$L737,"*"&amp;J$6&amp;"*")</f>
        <v>0</v>
      </c>
      <c r="K16" s="148">
        <f>COUNTIF(MTR!$L376:$L737,"*"&amp;K$6&amp;"*")</f>
        <v>0</v>
      </c>
      <c r="L16" s="148">
        <f>COUNTIF(MTR!$L376:$L737,"*"&amp;L$6&amp;"*")</f>
        <v>0</v>
      </c>
      <c r="M16" s="148">
        <f>COUNTIF(MTR!$L376:$L737,"*"&amp;M$6&amp;"*")</f>
        <v>10</v>
      </c>
      <c r="N16" s="148">
        <f>COUNTIF(MTR!$L376:$L737,"*"&amp;N$6&amp;"*")</f>
        <v>0</v>
      </c>
      <c r="O16" s="146">
        <f>COUNTIF(MTR!$L376:$L737,"*"&amp;O$6&amp;"*")</f>
        <v>0</v>
      </c>
      <c r="P16" s="149" t="str">
        <f t="shared" si="2"/>
        <v>Incomplete</v>
      </c>
    </row>
    <row r="17" ht="12.75" customHeight="1">
      <c r="A17" s="144" t="s">
        <v>112</v>
      </c>
      <c r="B17" s="145">
        <f>COUNTIF('NR-CA'!$F:$F,"Mandatory")+COUNTIF('NR-CA'!$F:$F,"Selection")</f>
        <v>153</v>
      </c>
      <c r="C17" s="146">
        <f>COUNTIF('NR-CA'!$F:$F,"Recommended")</f>
        <v>131</v>
      </c>
      <c r="D17" s="146">
        <f>COUNTIF('NR-CA'!$F:$F,"Information")+COUNTIF('NR-CA'!$F:$F,"Information - High importance in Future")</f>
        <v>153</v>
      </c>
      <c r="E17" s="146">
        <f>COUNTIF('NR-CA'!$F:$F,"Comments Vendor")</f>
        <v>0</v>
      </c>
      <c r="F17" s="145">
        <f>COUNTIF('NR-CA'!$M:$M,"Complies")</f>
        <v>0</v>
      </c>
      <c r="G17" s="146">
        <f>COUNTIF('NR-CA'!$M:$M,"Partially complies")</f>
        <v>97</v>
      </c>
      <c r="H17" s="146">
        <f>COUNTIF('NR-CA'!$M:$M,"Does not comply")</f>
        <v>340</v>
      </c>
      <c r="I17" s="146">
        <f>COUNTIF('NR-CA'!$M:$M,"Not Applicable")</f>
        <v>0</v>
      </c>
      <c r="J17" s="147">
        <f>COUNTIF('NR-CA'!$O:$O,"*"&amp;J$6&amp;"*")</f>
        <v>0</v>
      </c>
      <c r="K17" s="148">
        <f>COUNTIF('NR-CA'!$O:$O,"*"&amp;K$6&amp;"*")</f>
        <v>0</v>
      </c>
      <c r="L17" s="148">
        <f>COUNTIF('NR-CA'!$O:$O,"*"&amp;L$6&amp;"*")</f>
        <v>0</v>
      </c>
      <c r="M17" s="148">
        <f>COUNTIF('NR-CA'!$O:$O,"*"&amp;M$6&amp;"*")</f>
        <v>0</v>
      </c>
      <c r="N17" s="148">
        <f>COUNTIF('NR-CA'!$O:$O,"*"&amp;N$6&amp;"*")</f>
        <v>0</v>
      </c>
      <c r="O17" s="146">
        <f>COUNTIF('NR-CA'!$O:$O,"*"&amp;O$6&amp;"*")</f>
        <v>0</v>
      </c>
      <c r="P17" s="149" t="str">
        <f t="shared" si="2"/>
        <v>No inconsistencies</v>
      </c>
    </row>
    <row r="18" ht="12.75" customHeight="1">
      <c r="A18" s="144" t="s">
        <v>113</v>
      </c>
      <c r="B18" s="145">
        <f>COUNTIF('EN-DC'!$F:$F,"Mandatory")+COUNTIF('EN-DC'!$F:$F,"Selection")</f>
        <v>757</v>
      </c>
      <c r="C18" s="146">
        <f>COUNTIF('EN-DC'!$F:$F,"Recommended")</f>
        <v>571</v>
      </c>
      <c r="D18" s="146">
        <f>COUNTIF('EN-DC'!$F:$F,"Information")+COUNTIF('EN-DC'!$F:$F,"Information - High importance in Future")</f>
        <v>1063</v>
      </c>
      <c r="E18" s="146">
        <f>COUNTIF('EN-DC'!$F:$F,"Comments Vendor")</f>
        <v>0</v>
      </c>
      <c r="F18" s="145">
        <f>COUNTIF('EN-DC'!$O:$O,"Complies")</f>
        <v>360</v>
      </c>
      <c r="G18" s="146">
        <f>COUNTIF('EN-DC'!$O:$O,"Partially complies")</f>
        <v>27</v>
      </c>
      <c r="H18" s="146">
        <f>COUNTIF('EN-DC'!$O:$O,"Does not comply")</f>
        <v>2003</v>
      </c>
      <c r="I18" s="146">
        <f>COUNTIF('EN-DC'!$O:$O,"Not Applicable")</f>
        <v>0</v>
      </c>
      <c r="J18" s="147">
        <f>COUNTIF('EN-DC'!$Q:$Q,"*"&amp;J$6&amp;"*")</f>
        <v>0</v>
      </c>
      <c r="K18" s="148">
        <f>COUNTIF('EN-DC'!$Q:$Q,"*"&amp;K$6&amp;"*")</f>
        <v>0</v>
      </c>
      <c r="L18" s="148">
        <f>COUNTIF('EN-DC'!$Q:$Q,"*"&amp;L$6&amp;"*")</f>
        <v>0</v>
      </c>
      <c r="M18" s="148">
        <f>COUNTIF('EN-DC'!$Q:$Q,"*"&amp;M$6&amp;"*")</f>
        <v>0</v>
      </c>
      <c r="N18" s="148">
        <f>COUNTIF('EN-DC'!$Q:$Q,"*"&amp;N$6&amp;"*")</f>
        <v>0</v>
      </c>
      <c r="O18" s="146">
        <f>COUNTIF('EN-DC'!$Q:$Q,"*"&amp;O$6&amp;"*")</f>
        <v>0</v>
      </c>
      <c r="P18" s="149" t="str">
        <f t="shared" si="2"/>
        <v>No inconsistencies</v>
      </c>
    </row>
    <row r="19" ht="12.75" customHeight="1">
      <c r="A19" s="144" t="s">
        <v>114</v>
      </c>
      <c r="B19" s="145">
        <f>COUNTIF(MTR!$F738:$F829,"Mandatory")+COUNTIF(MTR!$F738:$F829,"Selection")</f>
        <v>45</v>
      </c>
      <c r="C19" s="146">
        <f>COUNTIF(MTR!$F738:$F829,"Recommended")</f>
        <v>13</v>
      </c>
      <c r="D19" s="146">
        <f>COUNTIF(MTR!$F738:$F829,"Information")+COUNTIF(MTR!$F738:$F829,"Information - High importance in Future")</f>
        <v>6</v>
      </c>
      <c r="E19" s="146">
        <f>COUNTIF(MTR!$F738:$F829,"Comments Vendor")</f>
        <v>0</v>
      </c>
      <c r="F19" s="145">
        <f>COUNTIF(MTR!$J738:$J829,"Complies")</f>
        <v>30</v>
      </c>
      <c r="G19" s="146">
        <f>COUNTIF(MTR!$J738:$J829,"Partially complies")</f>
        <v>23</v>
      </c>
      <c r="H19" s="146">
        <f>COUNTIF(MTR!$J738:$J829,"Does not comply")</f>
        <v>10</v>
      </c>
      <c r="I19" s="146">
        <f>COUNTIF(MTR!$J738:$J829,"Not Applicable")</f>
        <v>2</v>
      </c>
      <c r="J19" s="147">
        <f>COUNTIF(MTR!$L738:$L829,"*"&amp;J$6&amp;"*")</f>
        <v>0</v>
      </c>
      <c r="K19" s="148">
        <f>COUNTIF(MTR!$L738:$L829,"*"&amp;K$6&amp;"*")</f>
        <v>0</v>
      </c>
      <c r="L19" s="148">
        <f>COUNTIF(MTR!$L738:$L829,"*"&amp;L$6&amp;"*")</f>
        <v>0</v>
      </c>
      <c r="M19" s="148">
        <f>COUNTIF(MTR!$L738:$L829,"*"&amp;M$6&amp;"*")</f>
        <v>0</v>
      </c>
      <c r="N19" s="148">
        <f>COUNTIF(MTR!$L738:$L829,"*"&amp;N$6&amp;"*")</f>
        <v>0</v>
      </c>
      <c r="O19" s="146">
        <f>COUNTIF(MTR!$L738:$L829,"*"&amp;O$6&amp;"*")</f>
        <v>0</v>
      </c>
      <c r="P19" s="149" t="str">
        <f t="shared" si="2"/>
        <v>No inconsistencies</v>
      </c>
    </row>
    <row r="20" ht="12.75" customHeight="1">
      <c r="A20" s="144" t="s">
        <v>115</v>
      </c>
      <c r="B20" s="145">
        <f>COUNTIF(MTR!$F830:$F924,"Mandatory")+COUNTIF(MTR!$F830:$F924,"Selection")</f>
        <v>38</v>
      </c>
      <c r="C20" s="146">
        <f>COUNTIF(MTR!$F830:$F924,"Recommended")</f>
        <v>19</v>
      </c>
      <c r="D20" s="146">
        <f>COUNTIF(MTR!$F830:$F924,"Information")+COUNTIF(MTR!$F830:$F924,"Information - High importance in Future")</f>
        <v>8</v>
      </c>
      <c r="E20" s="146">
        <f>COUNTIF(MTR!$F830:$F924,"Comments Vendor")</f>
        <v>7</v>
      </c>
      <c r="F20" s="145">
        <f>COUNTIF(MTR!$J830:$J924,"Complies")</f>
        <v>47</v>
      </c>
      <c r="G20" s="146">
        <f>COUNTIF(MTR!$J830:$J924,"Partially complies")</f>
        <v>3</v>
      </c>
      <c r="H20" s="146">
        <f>COUNTIF(MTR!$J830:$J924,"Does not comply")</f>
        <v>15</v>
      </c>
      <c r="I20" s="146">
        <f>COUNTIF(MTR!$J830:$J924,"Not Applicable")</f>
        <v>1</v>
      </c>
      <c r="J20" s="147">
        <f>COUNTIF(MTR!$L830:$L924,"*"&amp;J$6&amp;"*")</f>
        <v>0</v>
      </c>
      <c r="K20" s="148">
        <f>COUNTIF(MTR!$L830:$L924,"*"&amp;K$6&amp;"*")</f>
        <v>0</v>
      </c>
      <c r="L20" s="148">
        <f>COUNTIF(MTR!$L830:$L924,"*"&amp;L$6&amp;"*")</f>
        <v>0</v>
      </c>
      <c r="M20" s="148">
        <f>COUNTIF(MTR!$L830:$L924,"*"&amp;M$6&amp;"*")</f>
        <v>0</v>
      </c>
      <c r="N20" s="148">
        <f>COUNTIF(MTR!$L830:$L924,"*"&amp;N$6&amp;"*")</f>
        <v>0</v>
      </c>
      <c r="O20" s="146">
        <f>COUNTIF(MTR!$L830:$L924,"*"&amp;O$6&amp;"*")</f>
        <v>0</v>
      </c>
      <c r="P20" s="149" t="str">
        <f t="shared" si="2"/>
        <v>No inconsistencies</v>
      </c>
    </row>
    <row r="21" ht="12.75" customHeight="1">
      <c r="A21" s="144" t="s">
        <v>116</v>
      </c>
      <c r="B21" s="145">
        <f>COUNTIF(MTR!$F925:$F1061,"Mandatory")+COUNTIF(MTR!$F925:$F1061,"Selection")</f>
        <v>72</v>
      </c>
      <c r="C21" s="146">
        <f>COUNTIF(MTR!$F925:$F1061,"Recommended")</f>
        <v>11</v>
      </c>
      <c r="D21" s="146">
        <f>COUNTIF(MTR!$F925:$F1061,"Information")+COUNTIF(MTR!$F925:$F1061,"Information - High importance in Future")</f>
        <v>6</v>
      </c>
      <c r="E21" s="146">
        <f>COUNTIF(MTR!$F925:$F1061,"Comments Vendor")</f>
        <v>28</v>
      </c>
      <c r="F21" s="145">
        <f>COUNTIF(MTR!$J925:$J1061,"Complies")</f>
        <v>60</v>
      </c>
      <c r="G21" s="146">
        <f>COUNTIF(MTR!$J925:$J1061,"Partially complies")</f>
        <v>2</v>
      </c>
      <c r="H21" s="146">
        <f>COUNTIF(MTR!$J925:$J1061,"Does not comply")</f>
        <v>5</v>
      </c>
      <c r="I21" s="146">
        <f>COUNTIF(MTR!$J925:$J1061,"Not Applicable")</f>
        <v>8</v>
      </c>
      <c r="J21" s="147">
        <f>COUNTIF(MTR!$L925:$L1061,"*"&amp;J$6&amp;"*")</f>
        <v>16</v>
      </c>
      <c r="K21" s="148">
        <f>COUNTIF(MTR!$L925:$L1061,"*"&amp;K$6&amp;"*")</f>
        <v>0</v>
      </c>
      <c r="L21" s="148">
        <f>COUNTIF(MTR!$L925:$L1061,"*"&amp;L$6&amp;"*")</f>
        <v>0</v>
      </c>
      <c r="M21" s="148">
        <f>COUNTIF(MTR!$L925:$L1061,"*"&amp;M$6&amp;"*")</f>
        <v>1</v>
      </c>
      <c r="N21" s="148">
        <f>COUNTIF(MTR!$L925:$L1061,"*"&amp;N$6&amp;"*")</f>
        <v>0</v>
      </c>
      <c r="O21" s="146">
        <f>COUNTIF(MTR!$L925:$L1061,"*"&amp;O$6&amp;"*")</f>
        <v>0</v>
      </c>
      <c r="P21" s="149" t="str">
        <f t="shared" si="2"/>
        <v>Incomplete</v>
      </c>
    </row>
    <row r="22" ht="12.75" customHeight="1">
      <c r="A22" s="144" t="s">
        <v>117</v>
      </c>
      <c r="B22" s="145">
        <f>COUNTIF(MTR!$F1062:$F1120,"Mandatory")+COUNTIF(MTR!$F1062:$F1120,"Selection")</f>
        <v>48</v>
      </c>
      <c r="C22" s="146">
        <f>COUNTIF(MTR!$F1062:$F1120,"Recommended")</f>
        <v>0</v>
      </c>
      <c r="D22" s="146">
        <f>COUNTIF(MTR!$F1062:$F1120,"Information")+COUNTIF(MTR!$F1062:$F1120,"Information - High importance in Future")</f>
        <v>0</v>
      </c>
      <c r="E22" s="146">
        <f>COUNTIF(MTR!$F1062:$F1120,"Comments Vendor")</f>
        <v>0</v>
      </c>
      <c r="F22" s="145">
        <f>COUNTIF(MTR!$J1062:$J1120,"Complies")</f>
        <v>38</v>
      </c>
      <c r="G22" s="146">
        <f>COUNTIF(MTR!$J1062:$J1120,"Partially complies")</f>
        <v>0</v>
      </c>
      <c r="H22" s="146">
        <f>COUNTIF(MTR!$J1062:$J1120,"Does not comply")</f>
        <v>10</v>
      </c>
      <c r="I22" s="146">
        <f>COUNTIF(MTR!$J1062:$J1120,"Not Applicable")</f>
        <v>0</v>
      </c>
      <c r="J22" s="147">
        <f>COUNTIF(MTR!$L1062:$L1120,"*"&amp;J$6&amp;"*")</f>
        <v>0</v>
      </c>
      <c r="K22" s="148">
        <f>COUNTIF(MTR!$L1062:$L1120,"*"&amp;K$6&amp;"*")</f>
        <v>0</v>
      </c>
      <c r="L22" s="148">
        <f>COUNTIF(MTR!$L1062:$L1120,"*"&amp;L$6&amp;"*")</f>
        <v>0</v>
      </c>
      <c r="M22" s="148">
        <f>COUNTIF(MTR!$L1062:$L1120,"*"&amp;M$6&amp;"*")</f>
        <v>0</v>
      </c>
      <c r="N22" s="148">
        <f>COUNTIF(MTR!$L1062:$L1120,"*"&amp;N$6&amp;"*")</f>
        <v>0</v>
      </c>
      <c r="O22" s="146">
        <f>COUNTIF(MTR!$L1062:$L1120,"*"&amp;O$6&amp;"*")</f>
        <v>0</v>
      </c>
      <c r="P22" s="149" t="str">
        <f t="shared" si="2"/>
        <v>No inconsistencies</v>
      </c>
    </row>
    <row r="23" ht="12.75" customHeight="1">
      <c r="A23" s="144" t="s">
        <v>118</v>
      </c>
      <c r="B23" s="145">
        <f>COUNTIF(MTR!$F1121:$F1230,"Mandatory")+COUNTIF(MTR!$F1121:$F1230,"Selection")</f>
        <v>91</v>
      </c>
      <c r="C23" s="146">
        <f>COUNTIF(MTR!$F1121:$F1230,"Recommended")</f>
        <v>8</v>
      </c>
      <c r="D23" s="146">
        <f>COUNTIF(MTR!$F1121:$F1230,"Information")+COUNTIF(MTR!$F1121:$F1230,"Information - High importance in Future")</f>
        <v>2</v>
      </c>
      <c r="E23" s="146">
        <f>COUNTIF(MTR!$F1121:$F1230,"Comments Vendor")</f>
        <v>0</v>
      </c>
      <c r="F23" s="145">
        <f>COUNTIF(MTR!$J1121:$J1230,"Complies")</f>
        <v>98</v>
      </c>
      <c r="G23" s="146">
        <f>COUNTIF(MTR!$J1121:$J1230,"Partially complies")</f>
        <v>0</v>
      </c>
      <c r="H23" s="146">
        <f>COUNTIF(MTR!$J1121:$J1230,"Does not comply")</f>
        <v>0</v>
      </c>
      <c r="I23" s="146">
        <f>COUNTIF(MTR!$J1121:$J1230,"Not Applicable")</f>
        <v>3</v>
      </c>
      <c r="J23" s="147">
        <f>COUNTIF(MTR!$L1121:$L1230,"*"&amp;J$6&amp;"*")</f>
        <v>0</v>
      </c>
      <c r="K23" s="148">
        <f>COUNTIF(MTR!$L1121:$L1230,"*"&amp;K$6&amp;"*")</f>
        <v>0</v>
      </c>
      <c r="L23" s="148">
        <f>COUNTIF(MTR!$L1121:$L1230,"*"&amp;L$6&amp;"*")</f>
        <v>0</v>
      </c>
      <c r="M23" s="148">
        <f>COUNTIF(MTR!$L1121:$L1230,"*"&amp;M$6&amp;"*")</f>
        <v>0</v>
      </c>
      <c r="N23" s="148">
        <f>COUNTIF(MTR!$L1121:$L1230,"*"&amp;N$6&amp;"*")</f>
        <v>0</v>
      </c>
      <c r="O23" s="146">
        <f>COUNTIF(MTR!$L1121:$L1230,"*"&amp;O$6&amp;"*")</f>
        <v>0</v>
      </c>
      <c r="P23" s="149" t="str">
        <f t="shared" si="2"/>
        <v>No inconsistencies</v>
      </c>
    </row>
    <row r="24" ht="12.75" customHeight="1">
      <c r="A24" s="144" t="s">
        <v>119</v>
      </c>
      <c r="B24" s="145">
        <f>COUNTIF(MTR!$F1231:$F1304,"Mandatory")+COUNTIF(MTR!$F1231:$F1304,"Selection")</f>
        <v>49</v>
      </c>
      <c r="C24" s="146">
        <f>COUNTIF(MTR!$F1231:$F1304,"Recommended")</f>
        <v>10</v>
      </c>
      <c r="D24" s="146">
        <f>COUNTIF(MTR!$F1231:$F1304,"Information")+COUNTIF(MTR!$F1231:$F1304,"Information - High importance in Future")</f>
        <v>3</v>
      </c>
      <c r="E24" s="146">
        <f>COUNTIF(MTR!$F1231:$F1304,"Comments Vendor")</f>
        <v>2</v>
      </c>
      <c r="F24" s="145">
        <f>COUNTIF(MTR!$J1231:$J1304,"Complies")</f>
        <v>53</v>
      </c>
      <c r="G24" s="146">
        <f>COUNTIF(MTR!$J1231:$J1304,"Partially complies")</f>
        <v>1</v>
      </c>
      <c r="H24" s="146">
        <f>COUNTIF(MTR!$J1231:$J1304,"Does not comply")</f>
        <v>6</v>
      </c>
      <c r="I24" s="146">
        <f>COUNTIF(MTR!$J1231:$J1304,"Not Applicable")</f>
        <v>2</v>
      </c>
      <c r="J24" s="147">
        <f>COUNTIF(MTR!$L1231:$L1304,"*"&amp;J$6&amp;"*")</f>
        <v>0</v>
      </c>
      <c r="K24" s="148">
        <f>COUNTIF(MTR!$L1231:$L1304,"*"&amp;K$6&amp;"*")</f>
        <v>0</v>
      </c>
      <c r="L24" s="148">
        <f>COUNTIF(MTR!$L1231:$L1304,"*"&amp;L$6&amp;"*")</f>
        <v>0</v>
      </c>
      <c r="M24" s="148">
        <f>COUNTIF(MTR!$L1231:$L1304,"*"&amp;M$6&amp;"*")</f>
        <v>0</v>
      </c>
      <c r="N24" s="148">
        <f>COUNTIF(MTR!$L1231:$L1304,"*"&amp;N$6&amp;"*")</f>
        <v>0</v>
      </c>
      <c r="O24" s="146">
        <f>COUNTIF(MTR!$L1231:$L1304,"*"&amp;O$6&amp;"*")</f>
        <v>0</v>
      </c>
      <c r="P24" s="149" t="str">
        <f t="shared" si="2"/>
        <v>No inconsistencies</v>
      </c>
    </row>
    <row r="25" ht="12.75" customHeight="1">
      <c r="A25" s="144" t="s">
        <v>120</v>
      </c>
      <c r="B25" s="145">
        <f>COUNTIF(MTR!$F1305:$F1340,"Mandatory")+COUNTIF(MTR!$F1305:$F1340,"Selection")</f>
        <v>30</v>
      </c>
      <c r="C25" s="146">
        <f>COUNTIF(MTR!$F1305:$F1340,"Recommended")</f>
        <v>1</v>
      </c>
      <c r="D25" s="146">
        <f>COUNTIF(MTR!$F1305:$F1340,"Information")+COUNTIF(MTR!$F1305:$F1340,"Information - High importance in Future")</f>
        <v>2</v>
      </c>
      <c r="E25" s="146">
        <f>COUNTIF(MTR!$F1305:$F1340,"Comments Vendor")</f>
        <v>0</v>
      </c>
      <c r="F25" s="145">
        <f>COUNTIF(MTR!$J1305:$J1340,"Complies")</f>
        <v>25</v>
      </c>
      <c r="G25" s="146">
        <f>COUNTIF(MTR!$J1305:$J1340,"Partially complies")</f>
        <v>4</v>
      </c>
      <c r="H25" s="146">
        <f>COUNTIF(MTR!$J1305:$J1340,"Does not comply")</f>
        <v>4</v>
      </c>
      <c r="I25" s="146">
        <f>COUNTIF(MTR!$J1305:$J1340,"Not Applicable")</f>
        <v>0</v>
      </c>
      <c r="J25" s="147">
        <f>COUNTIF(MTR!$L1305:$L1340,"*"&amp;J$6&amp;"*")</f>
        <v>0</v>
      </c>
      <c r="K25" s="148">
        <f>COUNTIF(MTR!$L1305:$L1340,"*"&amp;K$6&amp;"*")</f>
        <v>0</v>
      </c>
      <c r="L25" s="148">
        <f>COUNTIF(MTR!$L1305:$L1340,"*"&amp;L$6&amp;"*")</f>
        <v>0</v>
      </c>
      <c r="M25" s="148">
        <f>COUNTIF(MTR!$L1305:$L1340,"*"&amp;M$6&amp;"*")</f>
        <v>0</v>
      </c>
      <c r="N25" s="148">
        <f>COUNTIF(MTR!$L1305:$L1340,"*"&amp;N$6&amp;"*")</f>
        <v>0</v>
      </c>
      <c r="O25" s="146">
        <f>COUNTIF(MTR!$L1305:$L1340,"*"&amp;O$6&amp;"*")</f>
        <v>0</v>
      </c>
      <c r="P25" s="149" t="str">
        <f t="shared" si="2"/>
        <v>No inconsistencies</v>
      </c>
    </row>
    <row r="26" ht="12.75" customHeight="1">
      <c r="A26" s="144" t="s">
        <v>121</v>
      </c>
      <c r="B26" s="145">
        <f>COUNTIF(MTR!$F1341:$F1350,"Mandatory")+COUNTIF(MTR!$F1341:$F1350,"Selection")</f>
        <v>2</v>
      </c>
      <c r="C26" s="146">
        <f>COUNTIF(MTR!$F1341:$F1350,"Recommended")</f>
        <v>6</v>
      </c>
      <c r="D26" s="146">
        <f>COUNTIF(MTR!$F1341:$F1350,"Information")+COUNTIF(MTR!$F1341:$F1350,"Information - High importance in Future")</f>
        <v>0</v>
      </c>
      <c r="E26" s="146">
        <f>COUNTIF(MTR!$F1341:$F1350,"Comments Vendor")</f>
        <v>0</v>
      </c>
      <c r="F26" s="145">
        <f>COUNTIF(MTR!$J1341:$J1350,"Complies")</f>
        <v>2</v>
      </c>
      <c r="G26" s="146">
        <f>COUNTIF(MTR!$J1341:$J1350,"Partially complies")</f>
        <v>3</v>
      </c>
      <c r="H26" s="146">
        <f>COUNTIF(MTR!$J1341:$J1350,"Does not comply")</f>
        <v>3</v>
      </c>
      <c r="I26" s="146">
        <f>COUNTIF(MTR!$J1341:$J1350,"Not Applicable")</f>
        <v>0</v>
      </c>
      <c r="J26" s="147">
        <f>COUNTIF(MTR!$L1341:$L1350,"*"&amp;J$6&amp;"*")</f>
        <v>0</v>
      </c>
      <c r="K26" s="148">
        <f>COUNTIF(MTR!$L1341:$L1350,"*"&amp;K$6&amp;"*")</f>
        <v>0</v>
      </c>
      <c r="L26" s="148">
        <f>COUNTIF(MTR!$L1341:$L1350,"*"&amp;L$6&amp;"*")</f>
        <v>0</v>
      </c>
      <c r="M26" s="148">
        <f>COUNTIF(MTR!$L1341:$L1350,"*"&amp;M$6&amp;"*")</f>
        <v>0</v>
      </c>
      <c r="N26" s="148">
        <f>COUNTIF(MTR!$L1341:$L1350,"*"&amp;N$6&amp;"*")</f>
        <v>0</v>
      </c>
      <c r="O26" s="146">
        <f>COUNTIF(MTR!$L1341:$L1350,"*"&amp;O$6&amp;"*")</f>
        <v>0</v>
      </c>
      <c r="P26" s="149" t="str">
        <f t="shared" si="2"/>
        <v>No inconsistencies</v>
      </c>
    </row>
    <row r="27" ht="12.75" customHeight="1">
      <c r="A27" s="144" t="s">
        <v>122</v>
      </c>
      <c r="B27" s="145">
        <f>COUNTIF(MTR!$F1351:$F1510,"Mandatory")+COUNTIF(MTR!$F1351:$F1510,"Selection")</f>
        <v>110</v>
      </c>
      <c r="C27" s="146">
        <f>COUNTIF(MTR!$F1351:$F1510,"Recommended")</f>
        <v>17</v>
      </c>
      <c r="D27" s="146">
        <f>COUNTIF(MTR!$F1351:$F1510,"Information")+COUNTIF(MTR!$F1351:$F1510,"Information - High importance in Future")</f>
        <v>0</v>
      </c>
      <c r="E27" s="146">
        <f>COUNTIF(MTR!$F1351:$F1510,"Comments Vendor")</f>
        <v>1</v>
      </c>
      <c r="F27" s="145">
        <f>COUNTIF(MTR!$J1351:$J1510,"Complies")</f>
        <v>76</v>
      </c>
      <c r="G27" s="146">
        <f>COUNTIF(MTR!$J1351:$J1510,"Partially complies")</f>
        <v>16</v>
      </c>
      <c r="H27" s="146">
        <f>COUNTIF(MTR!$J1351:$J1510,"Does not comply")</f>
        <v>33</v>
      </c>
      <c r="I27" s="146">
        <f>COUNTIF(MTR!$J1351:$J1510,"Not Applicable")</f>
        <v>3</v>
      </c>
      <c r="J27" s="147">
        <f>COUNTIF(MTR!$L1351:$L1510,"*"&amp;J$6&amp;"*")</f>
        <v>0</v>
      </c>
      <c r="K27" s="148">
        <f>COUNTIF(MTR!$L1351:$L1510,"*"&amp;K$6&amp;"*")</f>
        <v>0</v>
      </c>
      <c r="L27" s="148">
        <f>COUNTIF(MTR!$L1351:$L1510,"*"&amp;L$6&amp;"*")</f>
        <v>0</v>
      </c>
      <c r="M27" s="148">
        <f>COUNTIF(MTR!$L1351:$L1510,"*"&amp;M$6&amp;"*")</f>
        <v>0</v>
      </c>
      <c r="N27" s="148">
        <f>COUNTIF(MTR!$L1351:$L1510,"*"&amp;N$6&amp;"*")</f>
        <v>0</v>
      </c>
      <c r="O27" s="146">
        <f>COUNTIF(MTR!$L1351:$L1510,"*"&amp;O$6&amp;"*")</f>
        <v>0</v>
      </c>
      <c r="P27" s="149" t="str">
        <f t="shared" si="2"/>
        <v>No inconsistencies</v>
      </c>
    </row>
    <row r="28" ht="12.75" customHeight="1">
      <c r="A28" s="144" t="s">
        <v>123</v>
      </c>
      <c r="B28" s="145">
        <f>COUNTIF(MTR!$F1511:$F1534,"Mandatory")+COUNTIF(MTR!$F1511:$F1534,"Selection")</f>
        <v>13</v>
      </c>
      <c r="C28" s="146">
        <f>COUNTIF(MTR!$F1511:$F1534,"Recommended")</f>
        <v>5</v>
      </c>
      <c r="D28" s="146">
        <f>COUNTIF(MTR!$F1511:$F1534,"Information")+COUNTIF(MTR!$F1511:$F1534,"Information - High importance in Future")</f>
        <v>0</v>
      </c>
      <c r="E28" s="146">
        <f>COUNTIF(MTR!$F1511:$F1534,"Comments Vendor")</f>
        <v>0</v>
      </c>
      <c r="F28" s="145">
        <f>COUNTIF(MTR!$J1511:$J1534,"Complies")</f>
        <v>12</v>
      </c>
      <c r="G28" s="146">
        <f>COUNTIF(MTR!$J1511:$J1534,"Partially complies")</f>
        <v>0</v>
      </c>
      <c r="H28" s="146">
        <f>COUNTIF(MTR!$J1511:$J1534,"Does not comply")</f>
        <v>1</v>
      </c>
      <c r="I28" s="146">
        <f>COUNTIF(MTR!$J1511:$J1534,"Not Applicable")</f>
        <v>5</v>
      </c>
      <c r="J28" s="147">
        <f>COUNTIF(MTR!$L1511:$L1534,"*"&amp;J$6&amp;"*")</f>
        <v>0</v>
      </c>
      <c r="K28" s="148">
        <f>COUNTIF(MTR!$L1511:$L1534,"*"&amp;K$6&amp;"*")</f>
        <v>0</v>
      </c>
      <c r="L28" s="148">
        <f>COUNTIF(MTR!$L1511:$L1534,"*"&amp;L$6&amp;"*")</f>
        <v>0</v>
      </c>
      <c r="M28" s="148">
        <f>COUNTIF(MTR!$L1511:$L1534,"*"&amp;M$6&amp;"*")</f>
        <v>0</v>
      </c>
      <c r="N28" s="148">
        <f>COUNTIF(MTR!$L1511:$L1534,"*"&amp;N$6&amp;"*")</f>
        <v>0</v>
      </c>
      <c r="O28" s="146">
        <f>COUNTIF(MTR!$L1511:$L1534,"*"&amp;O$6&amp;"*")</f>
        <v>0</v>
      </c>
      <c r="P28" s="149" t="str">
        <f t="shared" si="2"/>
        <v>No inconsistencies</v>
      </c>
    </row>
    <row r="29" ht="12.75" customHeight="1">
      <c r="A29" s="144" t="s">
        <v>124</v>
      </c>
      <c r="B29" s="145">
        <f>COUNTIF(MTR!$F1535:$F1551,"Mandatory")+COUNTIF(MTR!$F1535:$F1551,"Selection")</f>
        <v>13</v>
      </c>
      <c r="C29" s="146">
        <f>COUNTIF(MTR!$F1535:$F1551,"Recommended")</f>
        <v>1</v>
      </c>
      <c r="D29" s="146">
        <f>COUNTIF(MTR!$F1535:$F1551,"Information")+COUNTIF(MTR!$F1535:$F1551,"Information - High importance in Future")</f>
        <v>0</v>
      </c>
      <c r="E29" s="146">
        <f>COUNTIF(MTR!$F1535:$F1551,"Comments Vendor")</f>
        <v>0</v>
      </c>
      <c r="F29" s="145">
        <f>COUNTIF(MTR!$J1535:$J1551,"Complies")</f>
        <v>6</v>
      </c>
      <c r="G29" s="146">
        <f>COUNTIF(MTR!$J1535:$J1551,"Partially complies")</f>
        <v>3</v>
      </c>
      <c r="H29" s="146">
        <f>COUNTIF(MTR!$J1535:$J1551,"Does not comply")</f>
        <v>4</v>
      </c>
      <c r="I29" s="146">
        <f>COUNTIF(MTR!$J1535:$J1551,"Not Applicable")</f>
        <v>0</v>
      </c>
      <c r="J29" s="147">
        <f>COUNTIF(MTR!$L1535:$L1551,"*"&amp;J$6&amp;"*")</f>
        <v>1</v>
      </c>
      <c r="K29" s="148">
        <f>COUNTIF(MTR!$L1535:$L1551,"*"&amp;K$6&amp;"*")</f>
        <v>0</v>
      </c>
      <c r="L29" s="148">
        <f>COUNTIF(MTR!$L1535:$L1551,"*"&amp;L$6&amp;"*")</f>
        <v>0</v>
      </c>
      <c r="M29" s="148">
        <f>COUNTIF(MTR!$L1535:$L1551,"*"&amp;M$6&amp;"*")</f>
        <v>0</v>
      </c>
      <c r="N29" s="148">
        <f>COUNTIF(MTR!$L1535:$L1551,"*"&amp;N$6&amp;"*")</f>
        <v>0</v>
      </c>
      <c r="O29" s="146">
        <f>COUNTIF(MTR!$L1535:$L1551,"*"&amp;O$6&amp;"*")</f>
        <v>0</v>
      </c>
      <c r="P29" s="149" t="str">
        <f t="shared" si="2"/>
        <v>Incomplete</v>
      </c>
    </row>
    <row r="30" ht="12.75" customHeight="1">
      <c r="A30" s="144" t="s">
        <v>125</v>
      </c>
      <c r="B30" s="145">
        <f>COUNTIF(MTR!$F1552:$F1585,"Mandatory")+COUNTIF(MTR!$F1552:$F1585,"Selection")</f>
        <v>21</v>
      </c>
      <c r="C30" s="146">
        <f>COUNTIF(MTR!$F1552:$F1585,"Recommended")</f>
        <v>1</v>
      </c>
      <c r="D30" s="146">
        <f>COUNTIF(MTR!$F1552:$F1585,"Information")+COUNTIF(MTR!$F1552:$F1585,"Information - High importance in Future")</f>
        <v>0</v>
      </c>
      <c r="E30" s="146">
        <f>COUNTIF(MTR!$F1552:$F1585,"Comments Vendor")</f>
        <v>3</v>
      </c>
      <c r="F30" s="145">
        <f>COUNTIF(MTR!$J1552:$J1585,"Complies")</f>
        <v>23</v>
      </c>
      <c r="G30" s="146">
        <f>COUNTIF(MTR!$J1552:$J1585,"Partially complies")</f>
        <v>0</v>
      </c>
      <c r="H30" s="146">
        <f>COUNTIF(MTR!$J1552:$J1585,"Does not comply")</f>
        <v>1</v>
      </c>
      <c r="I30" s="146">
        <f>COUNTIF(MTR!$J1552:$J1585,"Not Applicable")</f>
        <v>1</v>
      </c>
      <c r="J30" s="147">
        <f>COUNTIF(MTR!$L1552:$L1585,"*"&amp;J$6&amp;"*")</f>
        <v>0</v>
      </c>
      <c r="K30" s="148">
        <f>COUNTIF(MTR!$L1552:$L1585,"*"&amp;K$6&amp;"*")</f>
        <v>0</v>
      </c>
      <c r="L30" s="148">
        <f>COUNTIF(MTR!$L1552:$L1585,"*"&amp;L$6&amp;"*")</f>
        <v>0</v>
      </c>
      <c r="M30" s="148">
        <f>COUNTIF(MTR!$L1552:$L1585,"*"&amp;M$6&amp;"*")</f>
        <v>1</v>
      </c>
      <c r="N30" s="148">
        <f>COUNTIF(MTR!$L1552:$L1585,"*"&amp;N$6&amp;"*")</f>
        <v>0</v>
      </c>
      <c r="O30" s="146">
        <f>COUNTIF(MTR!$L1552:$L1585,"*"&amp;O$6&amp;"*")</f>
        <v>0</v>
      </c>
      <c r="P30" s="149" t="str">
        <f t="shared" si="2"/>
        <v>Incomplete</v>
      </c>
    </row>
    <row r="31" ht="12.75" customHeight="1">
      <c r="A31" s="144" t="s">
        <v>126</v>
      </c>
      <c r="B31" s="145">
        <f>COUNTIF(MTR!$F1586:$F1596,"Mandatory")+COUNTIF(MTR!$F1586:$F1596,"Selection")</f>
        <v>7</v>
      </c>
      <c r="C31" s="146">
        <f>COUNTIF(MTR!$F1586:$F1596,"Recommended")</f>
        <v>0</v>
      </c>
      <c r="D31" s="146">
        <f>COUNTIF(MTR!$F1586:$F1596,"Information")+COUNTIF(MTR!$F1586:$F1596,"Information - High importance in Future")</f>
        <v>0</v>
      </c>
      <c r="E31" s="146">
        <f>COUNTIF(MTR!$F1586:$F1596,"Comments Vendor")</f>
        <v>0</v>
      </c>
      <c r="F31" s="145">
        <f>COUNTIF(MTR!$J1586:$J1596,"Complies")</f>
        <v>7</v>
      </c>
      <c r="G31" s="146">
        <f>COUNTIF(MTR!$J1586:$J1596,"Partially complies")</f>
        <v>0</v>
      </c>
      <c r="H31" s="146">
        <f>COUNTIF(MTR!$J1586:$J1596,"Does not comply")</f>
        <v>0</v>
      </c>
      <c r="I31" s="146">
        <f>COUNTIF(MTR!$J1586:$J1596,"Not Applicable")</f>
        <v>0</v>
      </c>
      <c r="J31" s="147">
        <f>COUNTIF(MTR!$L1586:$L1596,"*"&amp;J$6&amp;"*")</f>
        <v>0</v>
      </c>
      <c r="K31" s="148">
        <f>COUNTIF(MTR!$L1586:$L1596,"*"&amp;K$6&amp;"*")</f>
        <v>0</v>
      </c>
      <c r="L31" s="148">
        <f>COUNTIF(MTR!$L1586:$L1596,"*"&amp;L$6&amp;"*")</f>
        <v>0</v>
      </c>
      <c r="M31" s="148">
        <f>COUNTIF(MTR!$L1586:$L1596,"*"&amp;M$6&amp;"*")</f>
        <v>0</v>
      </c>
      <c r="N31" s="148">
        <f>COUNTIF(MTR!$L1586:$L1596,"*"&amp;N$6&amp;"*")</f>
        <v>0</v>
      </c>
      <c r="O31" s="146">
        <f>COUNTIF(MTR!$L1586:$L1596,"*"&amp;O$6&amp;"*")</f>
        <v>0</v>
      </c>
      <c r="P31" s="149" t="str">
        <f t="shared" si="2"/>
        <v>No inconsistencies</v>
      </c>
    </row>
    <row r="32" ht="12.75" customHeight="1">
      <c r="A32" s="144" t="s">
        <v>127</v>
      </c>
      <c r="B32" s="145">
        <f>COUNTIF(MTR!$F1597:$F1985,"Mandatory")+COUNTIF(MTR!$F1597:$F1985,"Selection")</f>
        <v>305</v>
      </c>
      <c r="C32" s="146">
        <f>COUNTIF(MTR!$F1597:$F1985,"Recommended")</f>
        <v>26</v>
      </c>
      <c r="D32" s="146">
        <f>COUNTIF(MTR!$F1597:$F1985,"Information")+COUNTIF(MTR!$F1597:$F1985,"Information - High importance in Future")</f>
        <v>8</v>
      </c>
      <c r="E32" s="146">
        <f>COUNTIF(MTR!$F1597:$F1985,"Comments Vendor")</f>
        <v>1</v>
      </c>
      <c r="F32" s="145">
        <f>COUNTIF(MTR!$J1597:$J1985,"Complies")</f>
        <v>281</v>
      </c>
      <c r="G32" s="146">
        <f>COUNTIF(MTR!$J1597:$J1985,"Partially complies")</f>
        <v>39</v>
      </c>
      <c r="H32" s="146">
        <f>COUNTIF(MTR!$J1597:$J1985,"Does not comply")</f>
        <v>14</v>
      </c>
      <c r="I32" s="146">
        <f>COUNTIF(MTR!$J1597:$J1985,"Not Applicable")</f>
        <v>3</v>
      </c>
      <c r="J32" s="147">
        <f>COUNTIF(MTR!$L1597:$L1985,"*"&amp;J$6&amp;"*")</f>
        <v>2</v>
      </c>
      <c r="K32" s="148">
        <f>COUNTIF(MTR!$L1597:$L1985,"*"&amp;K$6&amp;"*")</f>
        <v>0</v>
      </c>
      <c r="L32" s="148">
        <f>COUNTIF(MTR!$L1597:$L1985,"*"&amp;L$6&amp;"*")</f>
        <v>0</v>
      </c>
      <c r="M32" s="148">
        <f>COUNTIF(MTR!$L1597:$L1985,"*"&amp;M$6&amp;"*")</f>
        <v>0</v>
      </c>
      <c r="N32" s="148">
        <f>COUNTIF(MTR!$L1597:$L1985,"*"&amp;N$6&amp;"*")</f>
        <v>0</v>
      </c>
      <c r="O32" s="146">
        <f>COUNTIF(MTR!$L1597:$L1985,"*"&amp;O$6&amp;"*")</f>
        <v>0</v>
      </c>
      <c r="P32" s="149" t="str">
        <f t="shared" si="2"/>
        <v>Incomplete</v>
      </c>
    </row>
    <row r="33" ht="12.75" customHeight="1">
      <c r="A33" s="144" t="s">
        <v>128</v>
      </c>
      <c r="B33" s="145">
        <f>COUNTIF(MTR!$F1986:$F1998,"Mandatory")+COUNTIF(MTR!$F1986:$F1998,"Selection")</f>
        <v>9</v>
      </c>
      <c r="C33" s="146">
        <f>COUNTIF(MTR!$F1986:$F1998,"Recommended")</f>
        <v>2</v>
      </c>
      <c r="D33" s="146">
        <f>COUNTIF(MTR!$F1986:$F1998,"Information")+COUNTIF(MTR!$F1986:$F1998,"Information - High importance in Future")</f>
        <v>0</v>
      </c>
      <c r="E33" s="146">
        <f>COUNTIF(MTR!$F1986:$F1998,"Comments Vendor")</f>
        <v>0</v>
      </c>
      <c r="F33" s="145">
        <f>COUNTIF(MTR!$J1986:$J1998,"Complies")</f>
        <v>11</v>
      </c>
      <c r="G33" s="146">
        <f>COUNTIF(MTR!$J1986:$J1998,"Partially complies")</f>
        <v>0</v>
      </c>
      <c r="H33" s="146">
        <f>COUNTIF(MTR!$J1986:$J1998,"Does not comply")</f>
        <v>0</v>
      </c>
      <c r="I33" s="146">
        <f>COUNTIF(MTR!$J1986:$J1998,"Not Applicable")</f>
        <v>0</v>
      </c>
      <c r="J33" s="147">
        <f>COUNTIF(MTR!$L1986:$L1998,"*"&amp;J$6&amp;"*")</f>
        <v>0</v>
      </c>
      <c r="K33" s="148">
        <f>COUNTIF(MTR!$L1986:$L1998,"*"&amp;K$6&amp;"*")</f>
        <v>0</v>
      </c>
      <c r="L33" s="148">
        <f>COUNTIF(MTR!$L1986:$L1998,"*"&amp;L$6&amp;"*")</f>
        <v>0</v>
      </c>
      <c r="M33" s="148">
        <f>COUNTIF(MTR!$L1986:$L1998,"*"&amp;M$6&amp;"*")</f>
        <v>0</v>
      </c>
      <c r="N33" s="148">
        <f>COUNTIF(MTR!$L1986:$L1998,"*"&amp;N$6&amp;"*")</f>
        <v>0</v>
      </c>
      <c r="O33" s="146">
        <f>COUNTIF(MTR!$L1986:$L1998,"*"&amp;O$6&amp;"*")</f>
        <v>0</v>
      </c>
      <c r="P33" s="149" t="str">
        <f t="shared" si="2"/>
        <v>No inconsistencies</v>
      </c>
    </row>
    <row r="34" ht="12.75" customHeight="1">
      <c r="A34" s="144" t="s">
        <v>129</v>
      </c>
      <c r="B34" s="145">
        <f>COUNTIF(MTR!$F1999:$F2037,"Mandatory")+COUNTIF(MTR!$F1999:$F2037,"Selection")</f>
        <v>28</v>
      </c>
      <c r="C34" s="146">
        <f>COUNTIF(MTR!$F1999:$F2037,"Recommended")</f>
        <v>2</v>
      </c>
      <c r="D34" s="146">
        <f>COUNTIF(MTR!$F1999:$F2037,"Information")+COUNTIF(MTR!$F1999:$F2037,"Information - High importance in Future")</f>
        <v>1</v>
      </c>
      <c r="E34" s="146">
        <f>COUNTIF(MTR!$F1999:$F2037,"Comments Vendor")</f>
        <v>1</v>
      </c>
      <c r="F34" s="145">
        <f>COUNTIF(MTR!$J1999:$J2037,"Complies")</f>
        <v>29</v>
      </c>
      <c r="G34" s="146">
        <f>COUNTIF(MTR!$J1999:$J2037,"Partially complies")</f>
        <v>1</v>
      </c>
      <c r="H34" s="146">
        <f>COUNTIF(MTR!$J1999:$J2037,"Does not comply")</f>
        <v>1</v>
      </c>
      <c r="I34" s="146">
        <f>COUNTIF(MTR!$J1999:$J2037,"Not Applicable")</f>
        <v>0</v>
      </c>
      <c r="J34" s="147">
        <f>COUNTIF(MTR!$L1999:$L2037,"*"&amp;J$6&amp;"*")</f>
        <v>0</v>
      </c>
      <c r="K34" s="148">
        <f>COUNTIF(MTR!$L1999:$L2037,"*"&amp;K$6&amp;"*")</f>
        <v>0</v>
      </c>
      <c r="L34" s="148">
        <f>COUNTIF(MTR!$L1999:$L2037,"*"&amp;L$6&amp;"*")</f>
        <v>0</v>
      </c>
      <c r="M34" s="148">
        <f>COUNTIF(MTR!$L1999:$L2037,"*"&amp;M$6&amp;"*")</f>
        <v>0</v>
      </c>
      <c r="N34" s="148">
        <f>COUNTIF(MTR!$L1999:$L2037,"*"&amp;N$6&amp;"*")</f>
        <v>0</v>
      </c>
      <c r="O34" s="146">
        <f>COUNTIF(MTR!$L1999:$L2037,"*"&amp;O$6&amp;"*")</f>
        <v>0</v>
      </c>
      <c r="P34" s="149" t="str">
        <f t="shared" si="2"/>
        <v>No inconsistencies</v>
      </c>
    </row>
    <row r="35" ht="12.75" customHeight="1">
      <c r="A35" s="144" t="s">
        <v>130</v>
      </c>
      <c r="B35" s="145">
        <f>COUNTIF(MTR!$F2038:$F2041,"Mandatory")+COUNTIF(MTR!$F2038:$F2041,"Selection")</f>
        <v>1</v>
      </c>
      <c r="C35" s="146">
        <f>COUNTIF(MTR!$F2038:$F2041,"Recommended")</f>
        <v>0</v>
      </c>
      <c r="D35" s="146">
        <f>COUNTIF(MTR!$F2038:$F2041,"Information")+COUNTIF(MTR!$F2038:$F2041,"Information - High importance in Future")</f>
        <v>0</v>
      </c>
      <c r="E35" s="146">
        <f>COUNTIF(MTR!$F2038:$F2041,"Comments Vendor")</f>
        <v>2</v>
      </c>
      <c r="F35" s="145">
        <f>COUNTIF(MTR!$J2038:$J2041,"Complies")</f>
        <v>1</v>
      </c>
      <c r="G35" s="146">
        <f>COUNTIF(MTR!$J2038:$J2041,"Partially complies")</f>
        <v>0</v>
      </c>
      <c r="H35" s="146">
        <f>COUNTIF(MTR!$J2038:$J2041,"Does not comply")</f>
        <v>0</v>
      </c>
      <c r="I35" s="146">
        <f>COUNTIF(MTR!$J2038:$J2041,"Not Applicable")</f>
        <v>0</v>
      </c>
      <c r="J35" s="147">
        <f>COUNTIF(MTR!$L2038:$L2041,"*"&amp;J$6&amp;"*")</f>
        <v>0</v>
      </c>
      <c r="K35" s="148">
        <f>COUNTIF(MTR!$L2038:$L2041,"*"&amp;K$6&amp;"*")</f>
        <v>0</v>
      </c>
      <c r="L35" s="148">
        <f>COUNTIF(MTR!$L2038:$L2041,"*"&amp;L$6&amp;"*")</f>
        <v>0</v>
      </c>
      <c r="M35" s="148">
        <f>COUNTIF(MTR!$L2038:$L2041,"*"&amp;M$6&amp;"*")</f>
        <v>0</v>
      </c>
      <c r="N35" s="148">
        <f>COUNTIF(MTR!$L2038:$L2041,"*"&amp;N$6&amp;"*")</f>
        <v>0</v>
      </c>
      <c r="O35" s="146">
        <f>COUNTIF(MTR!$L2038:$L2041,"*"&amp;O$6&amp;"*")</f>
        <v>0</v>
      </c>
      <c r="P35" s="149" t="str">
        <f t="shared" si="2"/>
        <v>No inconsistencies</v>
      </c>
    </row>
    <row r="36" ht="12.75" customHeight="1">
      <c r="A36" s="144" t="s">
        <v>131</v>
      </c>
      <c r="B36" s="145">
        <f>COUNTIF(MTR!$F2042:$F2056,"Mandatory")+COUNTIF(MTR!$F2042:$F2056,"Selection")</f>
        <v>12</v>
      </c>
      <c r="C36" s="146">
        <f>COUNTIF(MTR!$F2042:$F2056,"Recommended")</f>
        <v>0</v>
      </c>
      <c r="D36" s="146">
        <f>COUNTIF(MTR!$F2042:$F2056,"Information")+COUNTIF(MTR!$F2042:$F2056,"Information - High importance in Future")</f>
        <v>2</v>
      </c>
      <c r="E36" s="146">
        <f>COUNTIF(MTR!$F2042:$F2056,"Comments Vendor")</f>
        <v>0</v>
      </c>
      <c r="F36" s="145">
        <f>COUNTIF(MTR!$J2042:$J2056,"Complies")</f>
        <v>10</v>
      </c>
      <c r="G36" s="146">
        <f>COUNTIF(MTR!$J2042:$J2056,"Partially complies")</f>
        <v>0</v>
      </c>
      <c r="H36" s="146">
        <f>COUNTIF(MTR!$J2042:$J2056,"Does not comply")</f>
        <v>1</v>
      </c>
      <c r="I36" s="146">
        <f>COUNTIF(MTR!$J2042:$J2056,"Not Applicable")</f>
        <v>3</v>
      </c>
      <c r="J36" s="147">
        <f>COUNTIF(MTR!$L2042:$L2056,"*"&amp;J$6&amp;"*")</f>
        <v>0</v>
      </c>
      <c r="K36" s="148">
        <f>COUNTIF(MTR!$L2042:$L2056,"*"&amp;K$6&amp;"*")</f>
        <v>0</v>
      </c>
      <c r="L36" s="148">
        <f>COUNTIF(MTR!$L2042:$L2056,"*"&amp;L$6&amp;"*")</f>
        <v>0</v>
      </c>
      <c r="M36" s="148">
        <f>COUNTIF(MTR!$L2042:$L2056,"*"&amp;M$6&amp;"*")</f>
        <v>0</v>
      </c>
      <c r="N36" s="148">
        <f>COUNTIF(MTR!$L2042:$L2056,"*"&amp;N$6&amp;"*")</f>
        <v>0</v>
      </c>
      <c r="O36" s="146">
        <f>COUNTIF(MTR!$L2042:$L2056,"*"&amp;O$6&amp;"*")</f>
        <v>0</v>
      </c>
      <c r="P36" s="149" t="str">
        <f t="shared" si="2"/>
        <v>No inconsistencies</v>
      </c>
    </row>
    <row r="37" ht="12.75" customHeight="1">
      <c r="P37" s="150"/>
    </row>
    <row r="38" ht="12.75" customHeight="1">
      <c r="P38" s="150"/>
    </row>
    <row r="39" ht="12.75" customHeight="1">
      <c r="P39" s="150"/>
    </row>
    <row r="40" ht="12.75" customHeight="1">
      <c r="P40" s="150"/>
    </row>
    <row r="41" ht="12.75" customHeight="1">
      <c r="P41" s="150"/>
    </row>
    <row r="42" ht="12.75" customHeight="1">
      <c r="P42" s="150"/>
    </row>
    <row r="43" ht="12.75" customHeight="1">
      <c r="P43" s="150"/>
    </row>
    <row r="44" ht="12.75" customHeight="1">
      <c r="P44" s="150"/>
    </row>
    <row r="45" ht="12.75" customHeight="1">
      <c r="P45" s="150"/>
    </row>
    <row r="46" ht="12.75" customHeight="1">
      <c r="P46" s="150"/>
    </row>
    <row r="47" ht="12.75" customHeight="1">
      <c r="P47" s="150"/>
    </row>
    <row r="48" ht="12.75" customHeight="1">
      <c r="P48" s="150"/>
    </row>
    <row r="49" ht="12.75" customHeight="1">
      <c r="P49" s="150"/>
    </row>
    <row r="50" ht="12.75" customHeight="1">
      <c r="P50" s="150"/>
    </row>
    <row r="51" ht="12.75" customHeight="1">
      <c r="P51" s="150"/>
    </row>
    <row r="52" ht="12.75" customHeight="1">
      <c r="P52" s="150"/>
    </row>
    <row r="53" ht="12.75" customHeight="1">
      <c r="P53" s="150"/>
    </row>
    <row r="54" ht="12.75" customHeight="1">
      <c r="P54" s="150"/>
    </row>
    <row r="55" ht="12.75" customHeight="1">
      <c r="P55" s="150"/>
    </row>
    <row r="56" ht="12.75" customHeight="1">
      <c r="P56" s="150"/>
    </row>
    <row r="57" ht="12.75" customHeight="1">
      <c r="P57" s="150"/>
    </row>
    <row r="58" ht="12.75" customHeight="1">
      <c r="P58" s="150"/>
    </row>
    <row r="59" ht="12.75" customHeight="1">
      <c r="P59" s="150"/>
    </row>
    <row r="60" ht="12.75" customHeight="1">
      <c r="P60" s="150"/>
    </row>
    <row r="61" ht="12.75" customHeight="1">
      <c r="P61" s="150"/>
    </row>
    <row r="62" ht="12.75" customHeight="1">
      <c r="P62" s="150"/>
    </row>
    <row r="63" ht="12.75" customHeight="1">
      <c r="P63" s="150"/>
    </row>
    <row r="64" ht="12.75" customHeight="1">
      <c r="P64" s="150"/>
    </row>
    <row r="65" ht="12.75" customHeight="1">
      <c r="P65" s="150"/>
    </row>
    <row r="66" ht="12.75" customHeight="1">
      <c r="P66" s="150"/>
    </row>
    <row r="67" ht="12.75" customHeight="1">
      <c r="P67" s="150"/>
    </row>
    <row r="68" ht="12.75" customHeight="1">
      <c r="P68" s="150"/>
    </row>
    <row r="69" ht="12.75" customHeight="1">
      <c r="P69" s="150"/>
    </row>
    <row r="70" ht="12.75" customHeight="1">
      <c r="P70" s="150"/>
    </row>
    <row r="71" ht="12.75" customHeight="1">
      <c r="P71" s="150"/>
    </row>
    <row r="72" ht="12.75" customHeight="1">
      <c r="P72" s="150"/>
    </row>
    <row r="73" ht="12.75" customHeight="1">
      <c r="P73" s="150"/>
    </row>
    <row r="74" ht="12.75" customHeight="1">
      <c r="P74" s="150"/>
    </row>
    <row r="75" ht="12.75" customHeight="1">
      <c r="P75" s="150"/>
    </row>
    <row r="76" ht="12.75" customHeight="1">
      <c r="P76" s="150"/>
    </row>
    <row r="77" ht="12.75" customHeight="1">
      <c r="P77" s="150"/>
    </row>
    <row r="78" ht="12.75" customHeight="1">
      <c r="P78" s="150"/>
    </row>
    <row r="79" ht="12.75" customHeight="1">
      <c r="P79" s="150"/>
    </row>
    <row r="80" ht="12.75" customHeight="1">
      <c r="P80" s="150"/>
    </row>
    <row r="81" ht="12.75" customHeight="1">
      <c r="P81" s="150"/>
    </row>
    <row r="82" ht="12.75" customHeight="1">
      <c r="P82" s="150"/>
    </row>
    <row r="83" ht="12.75" customHeight="1">
      <c r="P83" s="150"/>
    </row>
    <row r="84" ht="12.75" customHeight="1">
      <c r="P84" s="150"/>
    </row>
    <row r="85" ht="12.75" customHeight="1">
      <c r="P85" s="150"/>
    </row>
    <row r="86" ht="12.75" customHeight="1">
      <c r="P86" s="150"/>
    </row>
    <row r="87" ht="12.75" customHeight="1">
      <c r="P87" s="150"/>
    </row>
    <row r="88" ht="12.75" customHeight="1">
      <c r="P88" s="150"/>
    </row>
    <row r="89" ht="12.75" customHeight="1">
      <c r="P89" s="150"/>
    </row>
    <row r="90" ht="12.75" customHeight="1">
      <c r="P90" s="150"/>
    </row>
    <row r="91" ht="12.75" customHeight="1">
      <c r="P91" s="150"/>
    </row>
    <row r="92" ht="12.75" customHeight="1">
      <c r="P92" s="150"/>
    </row>
    <row r="93" ht="12.75" customHeight="1">
      <c r="P93" s="150"/>
    </row>
    <row r="94" ht="12.75" customHeight="1">
      <c r="P94" s="150"/>
    </row>
    <row r="95" ht="12.75" customHeight="1">
      <c r="P95" s="150"/>
    </row>
    <row r="96" ht="12.75" customHeight="1">
      <c r="P96" s="150"/>
    </row>
    <row r="97" ht="12.75" customHeight="1">
      <c r="P97" s="150"/>
    </row>
    <row r="98" ht="12.75" customHeight="1">
      <c r="P98" s="150"/>
    </row>
    <row r="99" ht="12.75" customHeight="1">
      <c r="P99" s="150"/>
    </row>
    <row r="100" ht="12.75" customHeight="1">
      <c r="P100" s="150"/>
    </row>
    <row r="101" ht="12.75" customHeight="1">
      <c r="P101" s="150"/>
    </row>
    <row r="102" ht="12.75" customHeight="1">
      <c r="P102" s="150"/>
    </row>
    <row r="103" ht="12.75" customHeight="1">
      <c r="P103" s="150"/>
    </row>
    <row r="104" ht="12.75" customHeight="1">
      <c r="P104" s="150"/>
    </row>
    <row r="105" ht="12.75" customHeight="1">
      <c r="P105" s="150"/>
    </row>
    <row r="106" ht="12.75" customHeight="1">
      <c r="P106" s="150"/>
    </row>
    <row r="107" ht="12.75" customHeight="1">
      <c r="P107" s="150"/>
    </row>
    <row r="108" ht="12.75" customHeight="1">
      <c r="P108" s="150"/>
    </row>
    <row r="109" ht="12.75" customHeight="1">
      <c r="P109" s="150"/>
    </row>
    <row r="110" ht="12.75" customHeight="1">
      <c r="P110" s="150"/>
    </row>
    <row r="111" ht="12.75" customHeight="1">
      <c r="P111" s="150"/>
    </row>
    <row r="112" ht="12.75" customHeight="1">
      <c r="P112" s="150"/>
    </row>
    <row r="113" ht="12.75" customHeight="1">
      <c r="P113" s="150"/>
    </row>
    <row r="114" ht="12.75" customHeight="1">
      <c r="P114" s="150"/>
    </row>
    <row r="115" ht="12.75" customHeight="1">
      <c r="P115" s="150"/>
    </row>
    <row r="116" ht="12.75" customHeight="1">
      <c r="P116" s="150"/>
    </row>
    <row r="117" ht="12.75" customHeight="1">
      <c r="P117" s="150"/>
    </row>
    <row r="118" ht="12.75" customHeight="1">
      <c r="P118" s="150"/>
    </row>
    <row r="119" ht="12.75" customHeight="1">
      <c r="P119" s="150"/>
    </row>
    <row r="120" ht="12.75" customHeight="1">
      <c r="P120" s="150"/>
    </row>
    <row r="121" ht="12.75" customHeight="1">
      <c r="P121" s="150"/>
    </row>
    <row r="122" ht="12.75" customHeight="1">
      <c r="P122" s="150"/>
    </row>
    <row r="123" ht="12.75" customHeight="1">
      <c r="P123" s="150"/>
    </row>
    <row r="124" ht="12.75" customHeight="1">
      <c r="P124" s="150"/>
    </row>
    <row r="125" ht="12.75" customHeight="1">
      <c r="P125" s="150"/>
    </row>
    <row r="126" ht="12.75" customHeight="1">
      <c r="P126" s="150"/>
    </row>
    <row r="127" ht="12.75" customHeight="1">
      <c r="P127" s="150"/>
    </row>
    <row r="128" ht="12.75" customHeight="1">
      <c r="P128" s="150"/>
    </row>
    <row r="129" ht="12.75" customHeight="1">
      <c r="P129" s="150"/>
    </row>
    <row r="130" ht="12.75" customHeight="1">
      <c r="P130" s="150"/>
    </row>
    <row r="131" ht="12.75" customHeight="1">
      <c r="P131" s="150"/>
    </row>
    <row r="132" ht="12.75" customHeight="1">
      <c r="P132" s="150"/>
    </row>
    <row r="133" ht="12.75" customHeight="1">
      <c r="P133" s="150"/>
    </row>
    <row r="134" ht="12.75" customHeight="1">
      <c r="P134" s="150"/>
    </row>
    <row r="135" ht="12.75" customHeight="1">
      <c r="P135" s="150"/>
    </row>
    <row r="136" ht="12.75" customHeight="1">
      <c r="P136" s="150"/>
    </row>
    <row r="137" ht="12.75" customHeight="1">
      <c r="P137" s="150"/>
    </row>
    <row r="138" ht="12.75" customHeight="1">
      <c r="P138" s="150"/>
    </row>
    <row r="139" ht="12.75" customHeight="1">
      <c r="P139" s="150"/>
    </row>
    <row r="140" ht="12.75" customHeight="1">
      <c r="P140" s="150"/>
    </row>
    <row r="141" ht="12.75" customHeight="1">
      <c r="P141" s="150"/>
    </row>
    <row r="142" ht="12.75" customHeight="1">
      <c r="P142" s="150"/>
    </row>
    <row r="143" ht="12.75" customHeight="1">
      <c r="P143" s="150"/>
    </row>
    <row r="144" ht="12.75" customHeight="1">
      <c r="P144" s="150"/>
    </row>
    <row r="145" ht="12.75" customHeight="1">
      <c r="P145" s="150"/>
    </row>
    <row r="146" ht="12.75" customHeight="1">
      <c r="P146" s="150"/>
    </row>
    <row r="147" ht="12.75" customHeight="1">
      <c r="P147" s="150"/>
    </row>
    <row r="148" ht="12.75" customHeight="1">
      <c r="P148" s="150"/>
    </row>
    <row r="149" ht="12.75" customHeight="1">
      <c r="P149" s="150"/>
    </row>
    <row r="150" ht="12.75" customHeight="1">
      <c r="P150" s="150"/>
    </row>
    <row r="151" ht="12.75" customHeight="1">
      <c r="P151" s="150"/>
    </row>
    <row r="152" ht="12.75" customHeight="1">
      <c r="P152" s="150"/>
    </row>
    <row r="153" ht="12.75" customHeight="1">
      <c r="P153" s="150"/>
    </row>
    <row r="154" ht="12.75" customHeight="1">
      <c r="P154" s="150"/>
    </row>
    <row r="155" ht="12.75" customHeight="1">
      <c r="P155" s="150"/>
    </row>
    <row r="156" ht="12.75" customHeight="1">
      <c r="P156" s="150"/>
    </row>
    <row r="157" ht="12.75" customHeight="1">
      <c r="P157" s="150"/>
    </row>
    <row r="158" ht="12.75" customHeight="1">
      <c r="P158" s="150"/>
    </row>
    <row r="159" ht="12.75" customHeight="1">
      <c r="P159" s="150"/>
    </row>
    <row r="160" ht="12.75" customHeight="1">
      <c r="P160" s="150"/>
    </row>
    <row r="161" ht="12.75" customHeight="1">
      <c r="P161" s="150"/>
    </row>
    <row r="162" ht="12.75" customHeight="1">
      <c r="P162" s="150"/>
    </row>
    <row r="163" ht="12.75" customHeight="1">
      <c r="P163" s="150"/>
    </row>
    <row r="164" ht="12.75" customHeight="1">
      <c r="P164" s="150"/>
    </row>
    <row r="165" ht="12.75" customHeight="1">
      <c r="P165" s="150"/>
    </row>
    <row r="166" ht="12.75" customHeight="1">
      <c r="P166" s="150"/>
    </row>
    <row r="167" ht="12.75" customHeight="1">
      <c r="P167" s="150"/>
    </row>
    <row r="168" ht="12.75" customHeight="1">
      <c r="P168" s="150"/>
    </row>
    <row r="169" ht="12.75" customHeight="1">
      <c r="P169" s="150"/>
    </row>
    <row r="170" ht="12.75" customHeight="1">
      <c r="P170" s="150"/>
    </row>
    <row r="171" ht="12.75" customHeight="1">
      <c r="P171" s="150"/>
    </row>
    <row r="172" ht="12.75" customHeight="1">
      <c r="P172" s="150"/>
    </row>
    <row r="173" ht="12.75" customHeight="1">
      <c r="P173" s="150"/>
    </row>
    <row r="174" ht="12.75" customHeight="1">
      <c r="P174" s="150"/>
    </row>
    <row r="175" ht="12.75" customHeight="1">
      <c r="P175" s="150"/>
    </row>
    <row r="176" ht="12.75" customHeight="1">
      <c r="P176" s="150"/>
    </row>
    <row r="177" ht="12.75" customHeight="1">
      <c r="P177" s="150"/>
    </row>
    <row r="178" ht="12.75" customHeight="1">
      <c r="P178" s="150"/>
    </row>
    <row r="179" ht="12.75" customHeight="1">
      <c r="P179" s="150"/>
    </row>
    <row r="180" ht="12.75" customHeight="1">
      <c r="P180" s="150"/>
    </row>
    <row r="181" ht="12.75" customHeight="1">
      <c r="P181" s="150"/>
    </row>
    <row r="182" ht="12.75" customHeight="1">
      <c r="P182" s="150"/>
    </row>
    <row r="183" ht="12.75" customHeight="1">
      <c r="P183" s="150"/>
    </row>
    <row r="184" ht="12.75" customHeight="1">
      <c r="P184" s="150"/>
    </row>
    <row r="185" ht="12.75" customHeight="1">
      <c r="P185" s="150"/>
    </row>
    <row r="186" ht="12.75" customHeight="1">
      <c r="P186" s="150"/>
    </row>
    <row r="187" ht="12.75" customHeight="1">
      <c r="P187" s="150"/>
    </row>
    <row r="188" ht="12.75" customHeight="1">
      <c r="P188" s="150"/>
    </row>
    <row r="189" ht="12.75" customHeight="1">
      <c r="P189" s="150"/>
    </row>
    <row r="190" ht="12.75" customHeight="1">
      <c r="P190" s="150"/>
    </row>
    <row r="191" ht="12.75" customHeight="1">
      <c r="P191" s="150"/>
    </row>
    <row r="192" ht="12.75" customHeight="1">
      <c r="P192" s="150"/>
    </row>
    <row r="193" ht="12.75" customHeight="1">
      <c r="P193" s="150"/>
    </row>
    <row r="194" ht="12.75" customHeight="1">
      <c r="P194" s="150"/>
    </row>
    <row r="195" ht="12.75" customHeight="1">
      <c r="P195" s="150"/>
    </row>
    <row r="196" ht="12.75" customHeight="1">
      <c r="P196" s="150"/>
    </row>
    <row r="197" ht="12.75" customHeight="1">
      <c r="P197" s="150"/>
    </row>
    <row r="198" ht="12.75" customHeight="1">
      <c r="P198" s="150"/>
    </row>
    <row r="199" ht="12.75" customHeight="1">
      <c r="P199" s="150"/>
    </row>
    <row r="200" ht="12.75" customHeight="1">
      <c r="P200" s="150"/>
    </row>
    <row r="201" ht="12.75" customHeight="1">
      <c r="P201" s="150"/>
    </row>
    <row r="202" ht="12.75" customHeight="1">
      <c r="P202" s="150"/>
    </row>
    <row r="203" ht="12.75" customHeight="1">
      <c r="P203" s="150"/>
    </row>
    <row r="204" ht="12.75" customHeight="1">
      <c r="P204" s="150"/>
    </row>
    <row r="205" ht="12.75" customHeight="1">
      <c r="P205" s="150"/>
    </row>
    <row r="206" ht="12.75" customHeight="1">
      <c r="P206" s="150"/>
    </row>
    <row r="207" ht="12.75" customHeight="1">
      <c r="P207" s="150"/>
    </row>
    <row r="208" ht="12.75" customHeight="1">
      <c r="P208" s="150"/>
    </row>
    <row r="209" ht="12.75" customHeight="1">
      <c r="P209" s="150"/>
    </row>
    <row r="210" ht="12.75" customHeight="1">
      <c r="P210" s="150"/>
    </row>
    <row r="211" ht="12.75" customHeight="1">
      <c r="P211" s="150"/>
    </row>
    <row r="212" ht="12.75" customHeight="1">
      <c r="P212" s="150"/>
    </row>
    <row r="213" ht="12.75" customHeight="1">
      <c r="P213" s="150"/>
    </row>
    <row r="214" ht="12.75" customHeight="1">
      <c r="P214" s="150"/>
    </row>
    <row r="215" ht="12.75" customHeight="1">
      <c r="P215" s="150"/>
    </row>
    <row r="216" ht="12.75" customHeight="1">
      <c r="P216" s="150"/>
    </row>
    <row r="217" ht="12.75" customHeight="1">
      <c r="P217" s="150"/>
    </row>
    <row r="218" ht="12.75" customHeight="1">
      <c r="P218" s="150"/>
    </row>
    <row r="219" ht="12.75" customHeight="1">
      <c r="P219" s="150"/>
    </row>
    <row r="220" ht="12.75" customHeight="1">
      <c r="P220" s="150"/>
    </row>
    <row r="221" ht="12.75" customHeight="1">
      <c r="P221" s="150"/>
    </row>
    <row r="222" ht="12.75" customHeight="1">
      <c r="P222" s="150"/>
    </row>
    <row r="223" ht="12.75" customHeight="1">
      <c r="P223" s="150"/>
    </row>
    <row r="224" ht="12.75" customHeight="1">
      <c r="P224" s="150"/>
    </row>
    <row r="225" ht="12.75" customHeight="1">
      <c r="P225" s="150"/>
    </row>
    <row r="226" ht="12.75" customHeight="1">
      <c r="P226" s="150"/>
    </row>
    <row r="227" ht="12.75" customHeight="1">
      <c r="P227" s="150"/>
    </row>
    <row r="228" ht="12.75" customHeight="1">
      <c r="P228" s="150"/>
    </row>
    <row r="229" ht="12.75" customHeight="1">
      <c r="P229" s="150"/>
    </row>
    <row r="230" ht="12.75" customHeight="1">
      <c r="P230" s="150"/>
    </row>
    <row r="231" ht="12.75" customHeight="1">
      <c r="P231" s="150"/>
    </row>
    <row r="232" ht="12.75" customHeight="1">
      <c r="P232" s="150"/>
    </row>
    <row r="233" ht="12.75" customHeight="1">
      <c r="P233" s="150"/>
    </row>
    <row r="234" ht="12.75" customHeight="1">
      <c r="P234" s="150"/>
    </row>
    <row r="235" ht="12.75" customHeight="1">
      <c r="P235" s="150"/>
    </row>
    <row r="236" ht="12.75" customHeight="1">
      <c r="P236" s="150"/>
    </row>
    <row r="237" ht="12.75" customHeight="1">
      <c r="P237" s="150"/>
    </row>
    <row r="238" ht="12.75" customHeight="1">
      <c r="P238" s="150"/>
    </row>
    <row r="239" ht="12.75" customHeight="1">
      <c r="P239" s="150"/>
    </row>
    <row r="240" ht="12.75" customHeight="1">
      <c r="P240" s="150"/>
    </row>
    <row r="241" ht="12.75" customHeight="1">
      <c r="P241" s="150"/>
    </row>
    <row r="242" ht="12.75" customHeight="1">
      <c r="P242" s="150"/>
    </row>
    <row r="243" ht="12.75" customHeight="1">
      <c r="P243" s="150"/>
    </row>
    <row r="244" ht="12.75" customHeight="1">
      <c r="P244" s="150"/>
    </row>
    <row r="245" ht="12.75" customHeight="1">
      <c r="P245" s="150"/>
    </row>
    <row r="246" ht="12.75" customHeight="1">
      <c r="P246" s="150"/>
    </row>
    <row r="247" ht="12.75" customHeight="1">
      <c r="P247" s="150"/>
    </row>
    <row r="248" ht="12.75" customHeight="1">
      <c r="P248" s="150"/>
    </row>
    <row r="249" ht="12.75" customHeight="1">
      <c r="P249" s="150"/>
    </row>
    <row r="250" ht="12.75" customHeight="1">
      <c r="P250" s="150"/>
    </row>
    <row r="251" ht="12.75" customHeight="1">
      <c r="P251" s="150"/>
    </row>
    <row r="252" ht="12.75" customHeight="1">
      <c r="P252" s="150"/>
    </row>
    <row r="253" ht="12.75" customHeight="1">
      <c r="P253" s="150"/>
    </row>
    <row r="254" ht="12.75" customHeight="1">
      <c r="P254" s="150"/>
    </row>
    <row r="255" ht="12.75" customHeight="1">
      <c r="P255" s="150"/>
    </row>
    <row r="256" ht="12.75" customHeight="1">
      <c r="P256" s="150"/>
    </row>
    <row r="257" ht="12.75" customHeight="1">
      <c r="P257" s="150"/>
    </row>
    <row r="258" ht="12.75" customHeight="1">
      <c r="P258" s="150"/>
    </row>
    <row r="259" ht="12.75" customHeight="1">
      <c r="P259" s="150"/>
    </row>
    <row r="260" ht="12.75" customHeight="1">
      <c r="P260" s="150"/>
    </row>
    <row r="261" ht="12.75" customHeight="1">
      <c r="P261" s="150"/>
    </row>
    <row r="262" ht="12.75" customHeight="1">
      <c r="P262" s="150"/>
    </row>
    <row r="263" ht="12.75" customHeight="1">
      <c r="P263" s="150"/>
    </row>
    <row r="264" ht="12.75" customHeight="1">
      <c r="P264" s="150"/>
    </row>
    <row r="265" ht="12.75" customHeight="1">
      <c r="P265" s="150"/>
    </row>
    <row r="266" ht="12.75" customHeight="1">
      <c r="P266" s="150"/>
    </row>
    <row r="267" ht="12.75" customHeight="1">
      <c r="P267" s="150"/>
    </row>
    <row r="268" ht="12.75" customHeight="1">
      <c r="P268" s="150"/>
    </row>
    <row r="269" ht="12.75" customHeight="1">
      <c r="P269" s="150"/>
    </row>
    <row r="270" ht="12.75" customHeight="1">
      <c r="P270" s="150"/>
    </row>
    <row r="271" ht="12.75" customHeight="1">
      <c r="P271" s="150"/>
    </row>
    <row r="272" ht="12.75" customHeight="1">
      <c r="P272" s="150"/>
    </row>
    <row r="273" ht="12.75" customHeight="1">
      <c r="P273" s="150"/>
    </row>
    <row r="274" ht="12.75" customHeight="1">
      <c r="P274" s="150"/>
    </row>
    <row r="275" ht="12.75" customHeight="1">
      <c r="P275" s="150"/>
    </row>
    <row r="276" ht="12.75" customHeight="1">
      <c r="P276" s="150"/>
    </row>
    <row r="277" ht="12.75" customHeight="1">
      <c r="P277" s="150"/>
    </row>
    <row r="278" ht="12.75" customHeight="1">
      <c r="P278" s="150"/>
    </row>
    <row r="279" ht="12.75" customHeight="1">
      <c r="P279" s="150"/>
    </row>
    <row r="280" ht="12.75" customHeight="1">
      <c r="P280" s="150"/>
    </row>
    <row r="281" ht="12.75" customHeight="1">
      <c r="P281" s="150"/>
    </row>
    <row r="282" ht="12.75" customHeight="1">
      <c r="P282" s="150"/>
    </row>
    <row r="283" ht="12.75" customHeight="1">
      <c r="P283" s="150"/>
    </row>
    <row r="284" ht="12.75" customHeight="1">
      <c r="P284" s="150"/>
    </row>
    <row r="285" ht="12.75" customHeight="1">
      <c r="P285" s="150"/>
    </row>
    <row r="286" ht="12.75" customHeight="1">
      <c r="P286" s="150"/>
    </row>
    <row r="287" ht="12.75" customHeight="1">
      <c r="P287" s="150"/>
    </row>
    <row r="288" ht="12.75" customHeight="1">
      <c r="P288" s="150"/>
    </row>
    <row r="289" ht="12.75" customHeight="1">
      <c r="P289" s="150"/>
    </row>
    <row r="290" ht="12.75" customHeight="1">
      <c r="P290" s="150"/>
    </row>
    <row r="291" ht="12.75" customHeight="1">
      <c r="P291" s="150"/>
    </row>
    <row r="292" ht="12.75" customHeight="1">
      <c r="P292" s="150"/>
    </row>
    <row r="293" ht="12.75" customHeight="1">
      <c r="P293" s="150"/>
    </row>
    <row r="294" ht="12.75" customHeight="1">
      <c r="P294" s="150"/>
    </row>
    <row r="295" ht="12.75" customHeight="1">
      <c r="P295" s="150"/>
    </row>
    <row r="296" ht="12.75" customHeight="1">
      <c r="P296" s="150"/>
    </row>
    <row r="297" ht="12.75" customHeight="1">
      <c r="P297" s="150"/>
    </row>
    <row r="298" ht="12.75" customHeight="1">
      <c r="P298" s="150"/>
    </row>
    <row r="299" ht="12.75" customHeight="1">
      <c r="P299" s="150"/>
    </row>
    <row r="300" ht="12.75" customHeight="1">
      <c r="P300" s="150"/>
    </row>
    <row r="301" ht="12.75" customHeight="1">
      <c r="P301" s="150"/>
    </row>
    <row r="302" ht="12.75" customHeight="1">
      <c r="P302" s="150"/>
    </row>
    <row r="303" ht="12.75" customHeight="1">
      <c r="P303" s="150"/>
    </row>
    <row r="304" ht="12.75" customHeight="1">
      <c r="P304" s="150"/>
    </row>
    <row r="305" ht="12.75" customHeight="1">
      <c r="P305" s="150"/>
    </row>
    <row r="306" ht="12.75" customHeight="1">
      <c r="P306" s="150"/>
    </row>
    <row r="307" ht="12.75" customHeight="1">
      <c r="P307" s="150"/>
    </row>
    <row r="308" ht="12.75" customHeight="1">
      <c r="P308" s="150"/>
    </row>
    <row r="309" ht="12.75" customHeight="1">
      <c r="P309" s="150"/>
    </row>
    <row r="310" ht="12.75" customHeight="1">
      <c r="P310" s="150"/>
    </row>
    <row r="311" ht="12.75" customHeight="1">
      <c r="P311" s="150"/>
    </row>
    <row r="312" ht="12.75" customHeight="1">
      <c r="P312" s="150"/>
    </row>
    <row r="313" ht="12.75" customHeight="1">
      <c r="P313" s="150"/>
    </row>
    <row r="314" ht="12.75" customHeight="1">
      <c r="P314" s="150"/>
    </row>
    <row r="315" ht="12.75" customHeight="1">
      <c r="P315" s="150"/>
    </row>
    <row r="316" ht="12.75" customHeight="1">
      <c r="P316" s="150"/>
    </row>
    <row r="317" ht="12.75" customHeight="1">
      <c r="P317" s="150"/>
    </row>
    <row r="318" ht="12.75" customHeight="1">
      <c r="P318" s="150"/>
    </row>
    <row r="319" ht="12.75" customHeight="1">
      <c r="P319" s="150"/>
    </row>
    <row r="320" ht="12.75" customHeight="1">
      <c r="P320" s="150"/>
    </row>
    <row r="321" ht="12.75" customHeight="1">
      <c r="P321" s="150"/>
    </row>
    <row r="322" ht="12.75" customHeight="1">
      <c r="P322" s="150"/>
    </row>
    <row r="323" ht="12.75" customHeight="1">
      <c r="P323" s="150"/>
    </row>
    <row r="324" ht="12.75" customHeight="1">
      <c r="P324" s="150"/>
    </row>
    <row r="325" ht="12.75" customHeight="1">
      <c r="P325" s="150"/>
    </row>
    <row r="326" ht="12.75" customHeight="1">
      <c r="P326" s="150"/>
    </row>
    <row r="327" ht="12.75" customHeight="1">
      <c r="P327" s="150"/>
    </row>
    <row r="328" ht="12.75" customHeight="1">
      <c r="P328" s="150"/>
    </row>
    <row r="329" ht="12.75" customHeight="1">
      <c r="P329" s="150"/>
    </row>
    <row r="330" ht="12.75" customHeight="1">
      <c r="P330" s="150"/>
    </row>
    <row r="331" ht="12.75" customHeight="1">
      <c r="P331" s="150"/>
    </row>
    <row r="332" ht="12.75" customHeight="1">
      <c r="P332" s="150"/>
    </row>
    <row r="333" ht="12.75" customHeight="1">
      <c r="P333" s="150"/>
    </row>
    <row r="334" ht="12.75" customHeight="1">
      <c r="P334" s="150"/>
    </row>
    <row r="335" ht="12.75" customHeight="1">
      <c r="P335" s="150"/>
    </row>
    <row r="336" ht="12.75" customHeight="1">
      <c r="P336" s="150"/>
    </row>
    <row r="337" ht="12.75" customHeight="1">
      <c r="P337" s="150"/>
    </row>
    <row r="338" ht="12.75" customHeight="1">
      <c r="P338" s="150"/>
    </row>
    <row r="339" ht="12.75" customHeight="1">
      <c r="P339" s="150"/>
    </row>
    <row r="340" ht="12.75" customHeight="1">
      <c r="P340" s="150"/>
    </row>
    <row r="341" ht="12.75" customHeight="1">
      <c r="P341" s="150"/>
    </row>
    <row r="342" ht="12.75" customHeight="1">
      <c r="P342" s="150"/>
    </row>
    <row r="343" ht="12.75" customHeight="1">
      <c r="P343" s="150"/>
    </row>
    <row r="344" ht="12.75" customHeight="1">
      <c r="P344" s="150"/>
    </row>
    <row r="345" ht="12.75" customHeight="1">
      <c r="P345" s="150"/>
    </row>
    <row r="346" ht="12.75" customHeight="1">
      <c r="P346" s="150"/>
    </row>
    <row r="347" ht="12.75" customHeight="1">
      <c r="P347" s="150"/>
    </row>
    <row r="348" ht="12.75" customHeight="1">
      <c r="P348" s="150"/>
    </row>
    <row r="349" ht="12.75" customHeight="1">
      <c r="P349" s="150"/>
    </row>
    <row r="350" ht="12.75" customHeight="1">
      <c r="P350" s="150"/>
    </row>
    <row r="351" ht="12.75" customHeight="1">
      <c r="P351" s="150"/>
    </row>
    <row r="352" ht="12.75" customHeight="1">
      <c r="P352" s="150"/>
    </row>
    <row r="353" ht="12.75" customHeight="1">
      <c r="P353" s="150"/>
    </row>
    <row r="354" ht="12.75" customHeight="1">
      <c r="P354" s="150"/>
    </row>
    <row r="355" ht="12.75" customHeight="1">
      <c r="P355" s="150"/>
    </row>
    <row r="356" ht="12.75" customHeight="1">
      <c r="P356" s="150"/>
    </row>
    <row r="357" ht="12.75" customHeight="1">
      <c r="P357" s="150"/>
    </row>
    <row r="358" ht="12.75" customHeight="1">
      <c r="P358" s="150"/>
    </row>
    <row r="359" ht="12.75" customHeight="1">
      <c r="P359" s="150"/>
    </row>
    <row r="360" ht="12.75" customHeight="1">
      <c r="P360" s="150"/>
    </row>
    <row r="361" ht="12.75" customHeight="1">
      <c r="P361" s="150"/>
    </row>
    <row r="362" ht="12.75" customHeight="1">
      <c r="P362" s="150"/>
    </row>
    <row r="363" ht="12.75" customHeight="1">
      <c r="P363" s="150"/>
    </row>
    <row r="364" ht="12.75" customHeight="1">
      <c r="P364" s="150"/>
    </row>
    <row r="365" ht="12.75" customHeight="1">
      <c r="P365" s="150"/>
    </row>
    <row r="366" ht="12.75" customHeight="1">
      <c r="P366" s="150"/>
    </row>
    <row r="367" ht="12.75" customHeight="1">
      <c r="P367" s="150"/>
    </row>
    <row r="368" ht="12.75" customHeight="1">
      <c r="P368" s="150"/>
    </row>
    <row r="369" ht="12.75" customHeight="1">
      <c r="P369" s="150"/>
    </row>
    <row r="370" ht="12.75" customHeight="1">
      <c r="P370" s="150"/>
    </row>
    <row r="371" ht="12.75" customHeight="1">
      <c r="P371" s="150"/>
    </row>
    <row r="372" ht="12.75" customHeight="1">
      <c r="P372" s="150"/>
    </row>
    <row r="373" ht="12.75" customHeight="1">
      <c r="P373" s="150"/>
    </row>
    <row r="374" ht="12.75" customHeight="1">
      <c r="P374" s="150"/>
    </row>
    <row r="375" ht="12.75" customHeight="1">
      <c r="P375" s="150"/>
    </row>
    <row r="376" ht="12.75" customHeight="1">
      <c r="P376" s="150"/>
    </row>
    <row r="377" ht="12.75" customHeight="1">
      <c r="P377" s="150"/>
    </row>
    <row r="378" ht="12.75" customHeight="1">
      <c r="P378" s="150"/>
    </row>
    <row r="379" ht="12.75" customHeight="1">
      <c r="P379" s="150"/>
    </row>
    <row r="380" ht="12.75" customHeight="1">
      <c r="P380" s="150"/>
    </row>
    <row r="381" ht="12.75" customHeight="1">
      <c r="P381" s="150"/>
    </row>
    <row r="382" ht="12.75" customHeight="1">
      <c r="P382" s="150"/>
    </row>
    <row r="383" ht="12.75" customHeight="1">
      <c r="P383" s="150"/>
    </row>
    <row r="384" ht="12.75" customHeight="1">
      <c r="P384" s="150"/>
    </row>
    <row r="385" ht="12.75" customHeight="1">
      <c r="P385" s="150"/>
    </row>
    <row r="386" ht="12.75" customHeight="1">
      <c r="P386" s="150"/>
    </row>
    <row r="387" ht="12.75" customHeight="1">
      <c r="P387" s="150"/>
    </row>
    <row r="388" ht="12.75" customHeight="1">
      <c r="P388" s="150"/>
    </row>
    <row r="389" ht="12.75" customHeight="1">
      <c r="P389" s="150"/>
    </row>
    <row r="390" ht="12.75" customHeight="1">
      <c r="P390" s="150"/>
    </row>
    <row r="391" ht="12.75" customHeight="1">
      <c r="P391" s="150"/>
    </row>
    <row r="392" ht="12.75" customHeight="1">
      <c r="P392" s="150"/>
    </row>
    <row r="393" ht="12.75" customHeight="1">
      <c r="P393" s="150"/>
    </row>
    <row r="394" ht="12.75" customHeight="1">
      <c r="P394" s="150"/>
    </row>
    <row r="395" ht="12.75" customHeight="1">
      <c r="P395" s="150"/>
    </row>
    <row r="396" ht="12.75" customHeight="1">
      <c r="P396" s="150"/>
    </row>
    <row r="397" ht="12.75" customHeight="1">
      <c r="P397" s="150"/>
    </row>
    <row r="398" ht="12.75" customHeight="1">
      <c r="P398" s="150"/>
    </row>
    <row r="399" ht="12.75" customHeight="1">
      <c r="P399" s="150"/>
    </row>
    <row r="400" ht="12.75" customHeight="1">
      <c r="P400" s="150"/>
    </row>
    <row r="401" ht="12.75" customHeight="1">
      <c r="P401" s="150"/>
    </row>
    <row r="402" ht="12.75" customHeight="1">
      <c r="P402" s="150"/>
    </row>
    <row r="403" ht="12.75" customHeight="1">
      <c r="P403" s="150"/>
    </row>
    <row r="404" ht="12.75" customHeight="1">
      <c r="P404" s="150"/>
    </row>
    <row r="405" ht="12.75" customHeight="1">
      <c r="P405" s="150"/>
    </row>
    <row r="406" ht="12.75" customHeight="1">
      <c r="P406" s="150"/>
    </row>
    <row r="407" ht="12.75" customHeight="1">
      <c r="P407" s="150"/>
    </row>
    <row r="408" ht="12.75" customHeight="1">
      <c r="P408" s="150"/>
    </row>
    <row r="409" ht="12.75" customHeight="1">
      <c r="P409" s="150"/>
    </row>
    <row r="410" ht="12.75" customHeight="1">
      <c r="P410" s="150"/>
    </row>
    <row r="411" ht="12.75" customHeight="1">
      <c r="P411" s="150"/>
    </row>
    <row r="412" ht="12.75" customHeight="1">
      <c r="P412" s="150"/>
    </row>
    <row r="413" ht="12.75" customHeight="1">
      <c r="P413" s="150"/>
    </row>
    <row r="414" ht="12.75" customHeight="1">
      <c r="P414" s="150"/>
    </row>
    <row r="415" ht="12.75" customHeight="1">
      <c r="P415" s="150"/>
    </row>
    <row r="416" ht="12.75" customHeight="1">
      <c r="P416" s="150"/>
    </row>
    <row r="417" ht="12.75" customHeight="1">
      <c r="P417" s="150"/>
    </row>
    <row r="418" ht="12.75" customHeight="1">
      <c r="P418" s="150"/>
    </row>
    <row r="419" ht="12.75" customHeight="1">
      <c r="P419" s="150"/>
    </row>
    <row r="420" ht="12.75" customHeight="1">
      <c r="P420" s="150"/>
    </row>
    <row r="421" ht="12.75" customHeight="1">
      <c r="P421" s="150"/>
    </row>
    <row r="422" ht="12.75" customHeight="1">
      <c r="P422" s="150"/>
    </row>
    <row r="423" ht="12.75" customHeight="1">
      <c r="P423" s="150"/>
    </row>
    <row r="424" ht="12.75" customHeight="1">
      <c r="P424" s="150"/>
    </row>
    <row r="425" ht="12.75" customHeight="1">
      <c r="P425" s="150"/>
    </row>
    <row r="426" ht="12.75" customHeight="1">
      <c r="P426" s="150"/>
    </row>
    <row r="427" ht="12.75" customHeight="1">
      <c r="P427" s="150"/>
    </row>
    <row r="428" ht="12.75" customHeight="1">
      <c r="P428" s="150"/>
    </row>
    <row r="429" ht="12.75" customHeight="1">
      <c r="P429" s="150"/>
    </row>
    <row r="430" ht="12.75" customHeight="1">
      <c r="P430" s="150"/>
    </row>
    <row r="431" ht="12.75" customHeight="1">
      <c r="P431" s="150"/>
    </row>
    <row r="432" ht="12.75" customHeight="1">
      <c r="P432" s="150"/>
    </row>
    <row r="433" ht="12.75" customHeight="1">
      <c r="P433" s="150"/>
    </row>
    <row r="434" ht="12.75" customHeight="1">
      <c r="P434" s="150"/>
    </row>
    <row r="435" ht="12.75" customHeight="1">
      <c r="P435" s="150"/>
    </row>
    <row r="436" ht="12.75" customHeight="1">
      <c r="P436" s="150"/>
    </row>
    <row r="437" ht="12.75" customHeight="1">
      <c r="P437" s="150"/>
    </row>
    <row r="438" ht="12.75" customHeight="1">
      <c r="P438" s="150"/>
    </row>
    <row r="439" ht="12.75" customHeight="1">
      <c r="P439" s="150"/>
    </row>
    <row r="440" ht="12.75" customHeight="1">
      <c r="P440" s="150"/>
    </row>
    <row r="441" ht="12.75" customHeight="1">
      <c r="P441" s="150"/>
    </row>
    <row r="442" ht="12.75" customHeight="1">
      <c r="P442" s="150"/>
    </row>
    <row r="443" ht="12.75" customHeight="1">
      <c r="P443" s="150"/>
    </row>
    <row r="444" ht="12.75" customHeight="1">
      <c r="P444" s="150"/>
    </row>
    <row r="445" ht="12.75" customHeight="1">
      <c r="P445" s="150"/>
    </row>
    <row r="446" ht="12.75" customHeight="1">
      <c r="P446" s="150"/>
    </row>
    <row r="447" ht="12.75" customHeight="1">
      <c r="P447" s="150"/>
    </row>
    <row r="448" ht="12.75" customHeight="1">
      <c r="P448" s="150"/>
    </row>
    <row r="449" ht="12.75" customHeight="1">
      <c r="P449" s="150"/>
    </row>
    <row r="450" ht="12.75" customHeight="1">
      <c r="P450" s="150"/>
    </row>
    <row r="451" ht="12.75" customHeight="1">
      <c r="P451" s="150"/>
    </row>
    <row r="452" ht="12.75" customHeight="1">
      <c r="P452" s="150"/>
    </row>
    <row r="453" ht="12.75" customHeight="1">
      <c r="P453" s="150"/>
    </row>
    <row r="454" ht="12.75" customHeight="1">
      <c r="P454" s="150"/>
    </row>
    <row r="455" ht="12.75" customHeight="1">
      <c r="P455" s="150"/>
    </row>
    <row r="456" ht="12.75" customHeight="1">
      <c r="P456" s="150"/>
    </row>
    <row r="457" ht="12.75" customHeight="1">
      <c r="P457" s="150"/>
    </row>
    <row r="458" ht="12.75" customHeight="1">
      <c r="P458" s="150"/>
    </row>
    <row r="459" ht="12.75" customHeight="1">
      <c r="P459" s="150"/>
    </row>
    <row r="460" ht="12.75" customHeight="1">
      <c r="P460" s="150"/>
    </row>
    <row r="461" ht="12.75" customHeight="1">
      <c r="P461" s="150"/>
    </row>
    <row r="462" ht="12.75" customHeight="1">
      <c r="P462" s="150"/>
    </row>
    <row r="463" ht="12.75" customHeight="1">
      <c r="P463" s="150"/>
    </row>
    <row r="464" ht="12.75" customHeight="1">
      <c r="P464" s="150"/>
    </row>
    <row r="465" ht="12.75" customHeight="1">
      <c r="P465" s="150"/>
    </row>
    <row r="466" ht="12.75" customHeight="1">
      <c r="P466" s="150"/>
    </row>
    <row r="467" ht="12.75" customHeight="1">
      <c r="P467" s="150"/>
    </row>
    <row r="468" ht="12.75" customHeight="1">
      <c r="P468" s="150"/>
    </row>
    <row r="469" ht="12.75" customHeight="1">
      <c r="P469" s="150"/>
    </row>
    <row r="470" ht="12.75" customHeight="1">
      <c r="P470" s="150"/>
    </row>
    <row r="471" ht="12.75" customHeight="1">
      <c r="P471" s="150"/>
    </row>
    <row r="472" ht="12.75" customHeight="1">
      <c r="P472" s="150"/>
    </row>
    <row r="473" ht="12.75" customHeight="1">
      <c r="P473" s="150"/>
    </row>
    <row r="474" ht="12.75" customHeight="1">
      <c r="P474" s="150"/>
    </row>
    <row r="475" ht="12.75" customHeight="1">
      <c r="P475" s="150"/>
    </row>
    <row r="476" ht="12.75" customHeight="1">
      <c r="P476" s="150"/>
    </row>
    <row r="477" ht="12.75" customHeight="1">
      <c r="P477" s="150"/>
    </row>
    <row r="478" ht="12.75" customHeight="1">
      <c r="P478" s="150"/>
    </row>
    <row r="479" ht="12.75" customHeight="1">
      <c r="P479" s="150"/>
    </row>
    <row r="480" ht="12.75" customHeight="1">
      <c r="P480" s="150"/>
    </row>
    <row r="481" ht="12.75" customHeight="1">
      <c r="P481" s="150"/>
    </row>
    <row r="482" ht="12.75" customHeight="1">
      <c r="P482" s="150"/>
    </row>
    <row r="483" ht="12.75" customHeight="1">
      <c r="P483" s="150"/>
    </row>
    <row r="484" ht="12.75" customHeight="1">
      <c r="P484" s="150"/>
    </row>
    <row r="485" ht="12.75" customHeight="1">
      <c r="P485" s="150"/>
    </row>
    <row r="486" ht="12.75" customHeight="1">
      <c r="P486" s="150"/>
    </row>
    <row r="487" ht="12.75" customHeight="1">
      <c r="P487" s="150"/>
    </row>
    <row r="488" ht="12.75" customHeight="1">
      <c r="P488" s="150"/>
    </row>
    <row r="489" ht="12.75" customHeight="1">
      <c r="P489" s="150"/>
    </row>
    <row r="490" ht="12.75" customHeight="1">
      <c r="P490" s="150"/>
    </row>
    <row r="491" ht="12.75" customHeight="1">
      <c r="P491" s="150"/>
    </row>
    <row r="492" ht="12.75" customHeight="1">
      <c r="P492" s="150"/>
    </row>
    <row r="493" ht="12.75" customHeight="1">
      <c r="P493" s="150"/>
    </row>
    <row r="494" ht="12.75" customHeight="1">
      <c r="P494" s="150"/>
    </row>
    <row r="495" ht="12.75" customHeight="1">
      <c r="P495" s="150"/>
    </row>
    <row r="496" ht="12.75" customHeight="1">
      <c r="P496" s="150"/>
    </row>
    <row r="497" ht="12.75" customHeight="1">
      <c r="P497" s="150"/>
    </row>
    <row r="498" ht="12.75" customHeight="1">
      <c r="P498" s="150"/>
    </row>
    <row r="499" ht="12.75" customHeight="1">
      <c r="P499" s="150"/>
    </row>
    <row r="500" ht="12.75" customHeight="1">
      <c r="P500" s="150"/>
    </row>
    <row r="501" ht="12.75" customHeight="1">
      <c r="P501" s="150"/>
    </row>
    <row r="502" ht="12.75" customHeight="1">
      <c r="P502" s="150"/>
    </row>
    <row r="503" ht="12.75" customHeight="1">
      <c r="P503" s="150"/>
    </row>
    <row r="504" ht="12.75" customHeight="1">
      <c r="P504" s="150"/>
    </row>
    <row r="505" ht="12.75" customHeight="1">
      <c r="P505" s="150"/>
    </row>
    <row r="506" ht="12.75" customHeight="1">
      <c r="P506" s="150"/>
    </row>
    <row r="507" ht="12.75" customHeight="1">
      <c r="P507" s="150"/>
    </row>
    <row r="508" ht="12.75" customHeight="1">
      <c r="P508" s="150"/>
    </row>
    <row r="509" ht="12.75" customHeight="1">
      <c r="P509" s="150"/>
    </row>
    <row r="510" ht="12.75" customHeight="1">
      <c r="P510" s="150"/>
    </row>
    <row r="511" ht="12.75" customHeight="1">
      <c r="P511" s="150"/>
    </row>
    <row r="512" ht="12.75" customHeight="1">
      <c r="P512" s="150"/>
    </row>
    <row r="513" ht="12.75" customHeight="1">
      <c r="P513" s="150"/>
    </row>
    <row r="514" ht="12.75" customHeight="1">
      <c r="P514" s="150"/>
    </row>
    <row r="515" ht="12.75" customHeight="1">
      <c r="P515" s="150"/>
    </row>
    <row r="516" ht="12.75" customHeight="1">
      <c r="P516" s="150"/>
    </row>
    <row r="517" ht="12.75" customHeight="1">
      <c r="P517" s="150"/>
    </row>
    <row r="518" ht="12.75" customHeight="1">
      <c r="P518" s="150"/>
    </row>
    <row r="519" ht="12.75" customHeight="1">
      <c r="P519" s="150"/>
    </row>
    <row r="520" ht="12.75" customHeight="1">
      <c r="P520" s="150"/>
    </row>
    <row r="521" ht="12.75" customHeight="1">
      <c r="P521" s="150"/>
    </row>
    <row r="522" ht="12.75" customHeight="1">
      <c r="P522" s="150"/>
    </row>
    <row r="523" ht="12.75" customHeight="1">
      <c r="P523" s="150"/>
    </row>
    <row r="524" ht="12.75" customHeight="1">
      <c r="P524" s="150"/>
    </row>
    <row r="525" ht="12.75" customHeight="1">
      <c r="P525" s="150"/>
    </row>
    <row r="526" ht="12.75" customHeight="1">
      <c r="P526" s="150"/>
    </row>
    <row r="527" ht="12.75" customHeight="1">
      <c r="P527" s="150"/>
    </row>
    <row r="528" ht="12.75" customHeight="1">
      <c r="P528" s="150"/>
    </row>
    <row r="529" ht="12.75" customHeight="1">
      <c r="P529" s="150"/>
    </row>
    <row r="530" ht="12.75" customHeight="1">
      <c r="P530" s="150"/>
    </row>
    <row r="531" ht="12.75" customHeight="1">
      <c r="P531" s="150"/>
    </row>
    <row r="532" ht="12.75" customHeight="1">
      <c r="P532" s="150"/>
    </row>
    <row r="533" ht="12.75" customHeight="1">
      <c r="P533" s="150"/>
    </row>
    <row r="534" ht="12.75" customHeight="1">
      <c r="P534" s="150"/>
    </row>
    <row r="535" ht="12.75" customHeight="1">
      <c r="P535" s="150"/>
    </row>
    <row r="536" ht="12.75" customHeight="1">
      <c r="P536" s="150"/>
    </row>
    <row r="537" ht="12.75" customHeight="1">
      <c r="P537" s="150"/>
    </row>
    <row r="538" ht="12.75" customHeight="1">
      <c r="P538" s="150"/>
    </row>
    <row r="539" ht="12.75" customHeight="1">
      <c r="P539" s="150"/>
    </row>
    <row r="540" ht="12.75" customHeight="1">
      <c r="P540" s="150"/>
    </row>
    <row r="541" ht="12.75" customHeight="1">
      <c r="P541" s="150"/>
    </row>
    <row r="542" ht="12.75" customHeight="1">
      <c r="P542" s="150"/>
    </row>
    <row r="543" ht="12.75" customHeight="1">
      <c r="P543" s="150"/>
    </row>
    <row r="544" ht="12.75" customHeight="1">
      <c r="P544" s="150"/>
    </row>
    <row r="545" ht="12.75" customHeight="1">
      <c r="P545" s="150"/>
    </row>
    <row r="546" ht="12.75" customHeight="1">
      <c r="P546" s="150"/>
    </row>
    <row r="547" ht="12.75" customHeight="1">
      <c r="P547" s="150"/>
    </row>
    <row r="548" ht="12.75" customHeight="1">
      <c r="P548" s="150"/>
    </row>
    <row r="549" ht="12.75" customHeight="1">
      <c r="P549" s="150"/>
    </row>
    <row r="550" ht="12.75" customHeight="1">
      <c r="P550" s="150"/>
    </row>
    <row r="551" ht="12.75" customHeight="1">
      <c r="P551" s="150"/>
    </row>
    <row r="552" ht="12.75" customHeight="1">
      <c r="P552" s="150"/>
    </row>
    <row r="553" ht="12.75" customHeight="1">
      <c r="P553" s="150"/>
    </row>
    <row r="554" ht="12.75" customHeight="1">
      <c r="P554" s="150"/>
    </row>
    <row r="555" ht="12.75" customHeight="1">
      <c r="P555" s="150"/>
    </row>
    <row r="556" ht="12.75" customHeight="1">
      <c r="P556" s="150"/>
    </row>
    <row r="557" ht="12.75" customHeight="1">
      <c r="P557" s="150"/>
    </row>
    <row r="558" ht="12.75" customHeight="1">
      <c r="P558" s="150"/>
    </row>
    <row r="559" ht="12.75" customHeight="1">
      <c r="P559" s="150"/>
    </row>
    <row r="560" ht="12.75" customHeight="1">
      <c r="P560" s="150"/>
    </row>
    <row r="561" ht="12.75" customHeight="1">
      <c r="P561" s="150"/>
    </row>
    <row r="562" ht="12.75" customHeight="1">
      <c r="P562" s="150"/>
    </row>
    <row r="563" ht="12.75" customHeight="1">
      <c r="P563" s="150"/>
    </row>
    <row r="564" ht="12.75" customHeight="1">
      <c r="P564" s="150"/>
    </row>
    <row r="565" ht="12.75" customHeight="1">
      <c r="P565" s="150"/>
    </row>
    <row r="566" ht="12.75" customHeight="1">
      <c r="P566" s="150"/>
    </row>
    <row r="567" ht="12.75" customHeight="1">
      <c r="P567" s="150"/>
    </row>
    <row r="568" ht="12.75" customHeight="1">
      <c r="P568" s="150"/>
    </row>
    <row r="569" ht="12.75" customHeight="1">
      <c r="P569" s="150"/>
    </row>
    <row r="570" ht="12.75" customHeight="1">
      <c r="P570" s="150"/>
    </row>
    <row r="571" ht="12.75" customHeight="1">
      <c r="P571" s="150"/>
    </row>
    <row r="572" ht="12.75" customHeight="1">
      <c r="P572" s="150"/>
    </row>
    <row r="573" ht="12.75" customHeight="1">
      <c r="P573" s="150"/>
    </row>
    <row r="574" ht="12.75" customHeight="1">
      <c r="P574" s="150"/>
    </row>
    <row r="575" ht="12.75" customHeight="1">
      <c r="P575" s="150"/>
    </row>
    <row r="576" ht="12.75" customHeight="1">
      <c r="P576" s="150"/>
    </row>
    <row r="577" ht="12.75" customHeight="1">
      <c r="P577" s="150"/>
    </row>
    <row r="578" ht="12.75" customHeight="1">
      <c r="P578" s="150"/>
    </row>
    <row r="579" ht="12.75" customHeight="1">
      <c r="P579" s="150"/>
    </row>
    <row r="580" ht="12.75" customHeight="1">
      <c r="P580" s="150"/>
    </row>
    <row r="581" ht="12.75" customHeight="1">
      <c r="P581" s="150"/>
    </row>
    <row r="582" ht="12.75" customHeight="1">
      <c r="P582" s="150"/>
    </row>
    <row r="583" ht="12.75" customHeight="1">
      <c r="P583" s="150"/>
    </row>
    <row r="584" ht="12.75" customHeight="1">
      <c r="P584" s="150"/>
    </row>
    <row r="585" ht="12.75" customHeight="1">
      <c r="P585" s="150"/>
    </row>
    <row r="586" ht="12.75" customHeight="1">
      <c r="P586" s="150"/>
    </row>
    <row r="587" ht="12.75" customHeight="1">
      <c r="P587" s="150"/>
    </row>
    <row r="588" ht="12.75" customHeight="1">
      <c r="P588" s="150"/>
    </row>
    <row r="589" ht="12.75" customHeight="1">
      <c r="P589" s="150"/>
    </row>
    <row r="590" ht="12.75" customHeight="1">
      <c r="P590" s="150"/>
    </row>
    <row r="591" ht="12.75" customHeight="1">
      <c r="P591" s="150"/>
    </row>
    <row r="592" ht="12.75" customHeight="1">
      <c r="P592" s="150"/>
    </row>
    <row r="593" ht="12.75" customHeight="1">
      <c r="P593" s="150"/>
    </row>
    <row r="594" ht="12.75" customHeight="1">
      <c r="P594" s="150"/>
    </row>
    <row r="595" ht="12.75" customHeight="1">
      <c r="P595" s="150"/>
    </row>
    <row r="596" ht="12.75" customHeight="1">
      <c r="P596" s="150"/>
    </row>
    <row r="597" ht="12.75" customHeight="1">
      <c r="P597" s="150"/>
    </row>
    <row r="598" ht="12.75" customHeight="1">
      <c r="P598" s="150"/>
    </row>
    <row r="599" ht="12.75" customHeight="1">
      <c r="P599" s="150"/>
    </row>
    <row r="600" ht="12.75" customHeight="1">
      <c r="P600" s="150"/>
    </row>
    <row r="601" ht="12.75" customHeight="1">
      <c r="P601" s="150"/>
    </row>
    <row r="602" ht="12.75" customHeight="1">
      <c r="P602" s="150"/>
    </row>
    <row r="603" ht="12.75" customHeight="1">
      <c r="P603" s="150"/>
    </row>
    <row r="604" ht="12.75" customHeight="1">
      <c r="P604" s="150"/>
    </row>
    <row r="605" ht="12.75" customHeight="1">
      <c r="P605" s="150"/>
    </row>
    <row r="606" ht="12.75" customHeight="1">
      <c r="P606" s="150"/>
    </row>
    <row r="607" ht="12.75" customHeight="1">
      <c r="P607" s="150"/>
    </row>
    <row r="608" ht="12.75" customHeight="1">
      <c r="P608" s="150"/>
    </row>
    <row r="609" ht="12.75" customHeight="1">
      <c r="P609" s="150"/>
    </row>
    <row r="610" ht="12.75" customHeight="1">
      <c r="P610" s="150"/>
    </row>
    <row r="611" ht="12.75" customHeight="1">
      <c r="P611" s="150"/>
    </row>
    <row r="612" ht="12.75" customHeight="1">
      <c r="P612" s="150"/>
    </row>
    <row r="613" ht="12.75" customHeight="1">
      <c r="P613" s="150"/>
    </row>
    <row r="614" ht="12.75" customHeight="1">
      <c r="P614" s="150"/>
    </row>
    <row r="615" ht="12.75" customHeight="1">
      <c r="P615" s="150"/>
    </row>
    <row r="616" ht="12.75" customHeight="1">
      <c r="P616" s="150"/>
    </row>
    <row r="617" ht="12.75" customHeight="1">
      <c r="P617" s="150"/>
    </row>
    <row r="618" ht="12.75" customHeight="1">
      <c r="P618" s="150"/>
    </row>
    <row r="619" ht="12.75" customHeight="1">
      <c r="P619" s="150"/>
    </row>
    <row r="620" ht="12.75" customHeight="1">
      <c r="P620" s="150"/>
    </row>
    <row r="621" ht="12.75" customHeight="1">
      <c r="P621" s="150"/>
    </row>
    <row r="622" ht="12.75" customHeight="1">
      <c r="P622" s="150"/>
    </row>
    <row r="623" ht="12.75" customHeight="1">
      <c r="P623" s="150"/>
    </row>
    <row r="624" ht="12.75" customHeight="1">
      <c r="P624" s="150"/>
    </row>
    <row r="625" ht="12.75" customHeight="1">
      <c r="P625" s="150"/>
    </row>
    <row r="626" ht="12.75" customHeight="1">
      <c r="P626" s="150"/>
    </row>
    <row r="627" ht="12.75" customHeight="1">
      <c r="P627" s="150"/>
    </row>
    <row r="628" ht="12.75" customHeight="1">
      <c r="P628" s="150"/>
    </row>
    <row r="629" ht="12.75" customHeight="1">
      <c r="P629" s="150"/>
    </row>
    <row r="630" ht="12.75" customHeight="1">
      <c r="P630" s="150"/>
    </row>
    <row r="631" ht="12.75" customHeight="1">
      <c r="P631" s="150"/>
    </row>
    <row r="632" ht="12.75" customHeight="1">
      <c r="P632" s="150"/>
    </row>
    <row r="633" ht="12.75" customHeight="1">
      <c r="P633" s="150"/>
    </row>
    <row r="634" ht="12.75" customHeight="1">
      <c r="P634" s="150"/>
    </row>
    <row r="635" ht="12.75" customHeight="1">
      <c r="P635" s="150"/>
    </row>
    <row r="636" ht="12.75" customHeight="1">
      <c r="P636" s="150"/>
    </row>
    <row r="637" ht="12.75" customHeight="1">
      <c r="P637" s="150"/>
    </row>
    <row r="638" ht="12.75" customHeight="1">
      <c r="P638" s="150"/>
    </row>
    <row r="639" ht="12.75" customHeight="1">
      <c r="P639" s="150"/>
    </row>
    <row r="640" ht="12.75" customHeight="1">
      <c r="P640" s="150"/>
    </row>
    <row r="641" ht="12.75" customHeight="1">
      <c r="P641" s="150"/>
    </row>
    <row r="642" ht="12.75" customHeight="1">
      <c r="P642" s="150"/>
    </row>
    <row r="643" ht="12.75" customHeight="1">
      <c r="P643" s="150"/>
    </row>
    <row r="644" ht="12.75" customHeight="1">
      <c r="P644" s="150"/>
    </row>
    <row r="645" ht="12.75" customHeight="1">
      <c r="P645" s="150"/>
    </row>
    <row r="646" ht="12.75" customHeight="1">
      <c r="P646" s="150"/>
    </row>
    <row r="647" ht="12.75" customHeight="1">
      <c r="P647" s="150"/>
    </row>
    <row r="648" ht="12.75" customHeight="1">
      <c r="P648" s="150"/>
    </row>
    <row r="649" ht="12.75" customHeight="1">
      <c r="P649" s="150"/>
    </row>
    <row r="650" ht="12.75" customHeight="1">
      <c r="P650" s="150"/>
    </row>
    <row r="651" ht="12.75" customHeight="1">
      <c r="P651" s="150"/>
    </row>
    <row r="652" ht="12.75" customHeight="1">
      <c r="P652" s="150"/>
    </row>
    <row r="653" ht="12.75" customHeight="1">
      <c r="P653" s="150"/>
    </row>
    <row r="654" ht="12.75" customHeight="1">
      <c r="P654" s="150"/>
    </row>
    <row r="655" ht="12.75" customHeight="1">
      <c r="P655" s="150"/>
    </row>
    <row r="656" ht="12.75" customHeight="1">
      <c r="P656" s="150"/>
    </row>
    <row r="657" ht="12.75" customHeight="1">
      <c r="P657" s="150"/>
    </row>
    <row r="658" ht="12.75" customHeight="1">
      <c r="P658" s="150"/>
    </row>
    <row r="659" ht="12.75" customHeight="1">
      <c r="P659" s="150"/>
    </row>
    <row r="660" ht="12.75" customHeight="1">
      <c r="P660" s="150"/>
    </row>
    <row r="661" ht="12.75" customHeight="1">
      <c r="P661" s="150"/>
    </row>
    <row r="662" ht="12.75" customHeight="1">
      <c r="P662" s="150"/>
    </row>
    <row r="663" ht="12.75" customHeight="1">
      <c r="P663" s="150"/>
    </row>
    <row r="664" ht="12.75" customHeight="1">
      <c r="P664" s="150"/>
    </row>
    <row r="665" ht="12.75" customHeight="1">
      <c r="P665" s="150"/>
    </row>
    <row r="666" ht="12.75" customHeight="1">
      <c r="P666" s="150"/>
    </row>
    <row r="667" ht="12.75" customHeight="1">
      <c r="P667" s="150"/>
    </row>
    <row r="668" ht="12.75" customHeight="1">
      <c r="P668" s="150"/>
    </row>
    <row r="669" ht="12.75" customHeight="1">
      <c r="P669" s="150"/>
    </row>
    <row r="670" ht="12.75" customHeight="1">
      <c r="P670" s="150"/>
    </row>
    <row r="671" ht="12.75" customHeight="1">
      <c r="P671" s="150"/>
    </row>
    <row r="672" ht="12.75" customHeight="1">
      <c r="P672" s="150"/>
    </row>
    <row r="673" ht="12.75" customHeight="1">
      <c r="P673" s="150"/>
    </row>
    <row r="674" ht="12.75" customHeight="1">
      <c r="P674" s="150"/>
    </row>
    <row r="675" ht="12.75" customHeight="1">
      <c r="P675" s="150"/>
    </row>
    <row r="676" ht="12.75" customHeight="1">
      <c r="P676" s="150"/>
    </row>
    <row r="677" ht="12.75" customHeight="1">
      <c r="P677" s="150"/>
    </row>
    <row r="678" ht="12.75" customHeight="1">
      <c r="P678" s="150"/>
    </row>
    <row r="679" ht="12.75" customHeight="1">
      <c r="P679" s="150"/>
    </row>
    <row r="680" ht="12.75" customHeight="1">
      <c r="P680" s="150"/>
    </row>
    <row r="681" ht="12.75" customHeight="1">
      <c r="P681" s="150"/>
    </row>
    <row r="682" ht="12.75" customHeight="1">
      <c r="P682" s="150"/>
    </row>
    <row r="683" ht="12.75" customHeight="1">
      <c r="P683" s="150"/>
    </row>
    <row r="684" ht="12.75" customHeight="1">
      <c r="P684" s="150"/>
    </row>
    <row r="685" ht="12.75" customHeight="1">
      <c r="P685" s="150"/>
    </row>
    <row r="686" ht="12.75" customHeight="1">
      <c r="P686" s="150"/>
    </row>
    <row r="687" ht="12.75" customHeight="1">
      <c r="P687" s="150"/>
    </row>
    <row r="688" ht="12.75" customHeight="1">
      <c r="P688" s="150"/>
    </row>
    <row r="689" ht="12.75" customHeight="1">
      <c r="P689" s="150"/>
    </row>
    <row r="690" ht="12.75" customHeight="1">
      <c r="P690" s="150"/>
    </row>
    <row r="691" ht="12.75" customHeight="1">
      <c r="P691" s="150"/>
    </row>
    <row r="692" ht="12.75" customHeight="1">
      <c r="P692" s="150"/>
    </row>
    <row r="693" ht="12.75" customHeight="1">
      <c r="P693" s="150"/>
    </row>
    <row r="694" ht="12.75" customHeight="1">
      <c r="P694" s="150"/>
    </row>
    <row r="695" ht="12.75" customHeight="1">
      <c r="P695" s="150"/>
    </row>
    <row r="696" ht="12.75" customHeight="1">
      <c r="P696" s="150"/>
    </row>
    <row r="697" ht="12.75" customHeight="1">
      <c r="P697" s="150"/>
    </row>
    <row r="698" ht="12.75" customHeight="1">
      <c r="P698" s="150"/>
    </row>
    <row r="699" ht="12.75" customHeight="1">
      <c r="P699" s="150"/>
    </row>
    <row r="700" ht="12.75" customHeight="1">
      <c r="P700" s="150"/>
    </row>
    <row r="701" ht="12.75" customHeight="1">
      <c r="P701" s="150"/>
    </row>
    <row r="702" ht="12.75" customHeight="1">
      <c r="P702" s="150"/>
    </row>
    <row r="703" ht="12.75" customHeight="1">
      <c r="P703" s="150"/>
    </row>
    <row r="704" ht="12.75" customHeight="1">
      <c r="P704" s="150"/>
    </row>
    <row r="705" ht="12.75" customHeight="1">
      <c r="P705" s="150"/>
    </row>
    <row r="706" ht="12.75" customHeight="1">
      <c r="P706" s="150"/>
    </row>
    <row r="707" ht="12.75" customHeight="1">
      <c r="P707" s="150"/>
    </row>
    <row r="708" ht="12.75" customHeight="1">
      <c r="P708" s="150"/>
    </row>
    <row r="709" ht="12.75" customHeight="1">
      <c r="P709" s="150"/>
    </row>
    <row r="710" ht="12.75" customHeight="1">
      <c r="P710" s="150"/>
    </row>
    <row r="711" ht="12.75" customHeight="1">
      <c r="P711" s="150"/>
    </row>
    <row r="712" ht="12.75" customHeight="1">
      <c r="P712" s="150"/>
    </row>
    <row r="713" ht="12.75" customHeight="1">
      <c r="P713" s="150"/>
    </row>
    <row r="714" ht="12.75" customHeight="1">
      <c r="P714" s="150"/>
    </row>
    <row r="715" ht="12.75" customHeight="1">
      <c r="P715" s="150"/>
    </row>
    <row r="716" ht="12.75" customHeight="1">
      <c r="P716" s="150"/>
    </row>
    <row r="717" ht="12.75" customHeight="1">
      <c r="P717" s="150"/>
    </row>
    <row r="718" ht="12.75" customHeight="1">
      <c r="P718" s="150"/>
    </row>
    <row r="719" ht="12.75" customHeight="1">
      <c r="P719" s="150"/>
    </row>
    <row r="720" ht="12.75" customHeight="1">
      <c r="P720" s="150"/>
    </row>
    <row r="721" ht="12.75" customHeight="1">
      <c r="P721" s="150"/>
    </row>
    <row r="722" ht="12.75" customHeight="1">
      <c r="P722" s="150"/>
    </row>
    <row r="723" ht="12.75" customHeight="1">
      <c r="P723" s="150"/>
    </row>
    <row r="724" ht="12.75" customHeight="1">
      <c r="P724" s="150"/>
    </row>
    <row r="725" ht="12.75" customHeight="1">
      <c r="P725" s="150"/>
    </row>
    <row r="726" ht="12.75" customHeight="1">
      <c r="P726" s="150"/>
    </row>
    <row r="727" ht="12.75" customHeight="1">
      <c r="P727" s="150"/>
    </row>
    <row r="728" ht="12.75" customHeight="1">
      <c r="P728" s="150"/>
    </row>
    <row r="729" ht="12.75" customHeight="1">
      <c r="P729" s="150"/>
    </row>
    <row r="730" ht="12.75" customHeight="1">
      <c r="P730" s="150"/>
    </row>
    <row r="731" ht="12.75" customHeight="1">
      <c r="P731" s="150"/>
    </row>
    <row r="732" ht="12.75" customHeight="1">
      <c r="P732" s="150"/>
    </row>
    <row r="733" ht="12.75" customHeight="1">
      <c r="P733" s="150"/>
    </row>
    <row r="734" ht="12.75" customHeight="1">
      <c r="P734" s="150"/>
    </row>
    <row r="735" ht="12.75" customHeight="1">
      <c r="P735" s="150"/>
    </row>
    <row r="736" ht="12.75" customHeight="1">
      <c r="P736" s="150"/>
    </row>
    <row r="737" ht="12.75" customHeight="1">
      <c r="P737" s="150"/>
    </row>
    <row r="738" ht="12.75" customHeight="1">
      <c r="P738" s="150"/>
    </row>
    <row r="739" ht="12.75" customHeight="1">
      <c r="P739" s="150"/>
    </row>
    <row r="740" ht="12.75" customHeight="1">
      <c r="P740" s="150"/>
    </row>
    <row r="741" ht="12.75" customHeight="1">
      <c r="P741" s="150"/>
    </row>
    <row r="742" ht="12.75" customHeight="1">
      <c r="P742" s="150"/>
    </row>
    <row r="743" ht="12.75" customHeight="1">
      <c r="P743" s="150"/>
    </row>
    <row r="744" ht="12.75" customHeight="1">
      <c r="P744" s="150"/>
    </row>
    <row r="745" ht="12.75" customHeight="1">
      <c r="P745" s="150"/>
    </row>
    <row r="746" ht="12.75" customHeight="1">
      <c r="P746" s="150"/>
    </row>
    <row r="747" ht="12.75" customHeight="1">
      <c r="P747" s="150"/>
    </row>
    <row r="748" ht="12.75" customHeight="1">
      <c r="P748" s="150"/>
    </row>
    <row r="749" ht="12.75" customHeight="1">
      <c r="P749" s="150"/>
    </row>
    <row r="750" ht="12.75" customHeight="1">
      <c r="P750" s="150"/>
    </row>
    <row r="751" ht="12.75" customHeight="1">
      <c r="P751" s="150"/>
    </row>
    <row r="752" ht="12.75" customHeight="1">
      <c r="P752" s="150"/>
    </row>
    <row r="753" ht="12.75" customHeight="1">
      <c r="P753" s="150"/>
    </row>
    <row r="754" ht="12.75" customHeight="1">
      <c r="P754" s="150"/>
    </row>
    <row r="755" ht="12.75" customHeight="1">
      <c r="P755" s="150"/>
    </row>
    <row r="756" ht="12.75" customHeight="1">
      <c r="P756" s="150"/>
    </row>
    <row r="757" ht="12.75" customHeight="1">
      <c r="P757" s="150"/>
    </row>
    <row r="758" ht="12.75" customHeight="1">
      <c r="P758" s="150"/>
    </row>
    <row r="759" ht="12.75" customHeight="1">
      <c r="P759" s="150"/>
    </row>
    <row r="760" ht="12.75" customHeight="1">
      <c r="P760" s="150"/>
    </row>
    <row r="761" ht="12.75" customHeight="1">
      <c r="P761" s="150"/>
    </row>
    <row r="762" ht="12.75" customHeight="1">
      <c r="P762" s="150"/>
    </row>
    <row r="763" ht="12.75" customHeight="1">
      <c r="P763" s="150"/>
    </row>
    <row r="764" ht="12.75" customHeight="1">
      <c r="P764" s="150"/>
    </row>
    <row r="765" ht="12.75" customHeight="1">
      <c r="P765" s="150"/>
    </row>
    <row r="766" ht="12.75" customHeight="1">
      <c r="P766" s="150"/>
    </row>
    <row r="767" ht="12.75" customHeight="1">
      <c r="P767" s="150"/>
    </row>
    <row r="768" ht="12.75" customHeight="1">
      <c r="P768" s="150"/>
    </row>
    <row r="769" ht="12.75" customHeight="1">
      <c r="P769" s="150"/>
    </row>
    <row r="770" ht="12.75" customHeight="1">
      <c r="P770" s="150"/>
    </row>
    <row r="771" ht="12.75" customHeight="1">
      <c r="P771" s="150"/>
    </row>
    <row r="772" ht="12.75" customHeight="1">
      <c r="P772" s="150"/>
    </row>
    <row r="773" ht="12.75" customHeight="1">
      <c r="P773" s="150"/>
    </row>
    <row r="774" ht="12.75" customHeight="1">
      <c r="P774" s="150"/>
    </row>
    <row r="775" ht="12.75" customHeight="1">
      <c r="P775" s="150"/>
    </row>
    <row r="776" ht="12.75" customHeight="1">
      <c r="P776" s="150"/>
    </row>
    <row r="777" ht="12.75" customHeight="1">
      <c r="P777" s="150"/>
    </row>
    <row r="778" ht="12.75" customHeight="1">
      <c r="P778" s="150"/>
    </row>
    <row r="779" ht="12.75" customHeight="1">
      <c r="P779" s="150"/>
    </row>
    <row r="780" ht="12.75" customHeight="1">
      <c r="P780" s="150"/>
    </row>
    <row r="781" ht="12.75" customHeight="1">
      <c r="P781" s="150"/>
    </row>
    <row r="782" ht="12.75" customHeight="1">
      <c r="P782" s="150"/>
    </row>
    <row r="783" ht="12.75" customHeight="1">
      <c r="P783" s="150"/>
    </row>
    <row r="784" ht="12.75" customHeight="1">
      <c r="P784" s="150"/>
    </row>
    <row r="785" ht="12.75" customHeight="1">
      <c r="P785" s="150"/>
    </row>
    <row r="786" ht="12.75" customHeight="1">
      <c r="P786" s="150"/>
    </row>
    <row r="787" ht="12.75" customHeight="1">
      <c r="P787" s="150"/>
    </row>
    <row r="788" ht="12.75" customHeight="1">
      <c r="P788" s="150"/>
    </row>
    <row r="789" ht="12.75" customHeight="1">
      <c r="P789" s="150"/>
    </row>
    <row r="790" ht="12.75" customHeight="1">
      <c r="P790" s="150"/>
    </row>
    <row r="791" ht="12.75" customHeight="1">
      <c r="P791" s="150"/>
    </row>
    <row r="792" ht="12.75" customHeight="1">
      <c r="P792" s="150"/>
    </row>
    <row r="793" ht="12.75" customHeight="1">
      <c r="P793" s="150"/>
    </row>
    <row r="794" ht="12.75" customHeight="1">
      <c r="P794" s="150"/>
    </row>
    <row r="795" ht="12.75" customHeight="1">
      <c r="P795" s="150"/>
    </row>
    <row r="796" ht="12.75" customHeight="1">
      <c r="P796" s="150"/>
    </row>
    <row r="797" ht="12.75" customHeight="1">
      <c r="P797" s="150"/>
    </row>
    <row r="798" ht="12.75" customHeight="1">
      <c r="P798" s="150"/>
    </row>
    <row r="799" ht="12.75" customHeight="1">
      <c r="P799" s="150"/>
    </row>
    <row r="800" ht="12.75" customHeight="1">
      <c r="P800" s="150"/>
    </row>
    <row r="801" ht="12.75" customHeight="1">
      <c r="P801" s="150"/>
    </row>
    <row r="802" ht="12.75" customHeight="1">
      <c r="P802" s="150"/>
    </row>
    <row r="803" ht="12.75" customHeight="1">
      <c r="P803" s="150"/>
    </row>
    <row r="804" ht="12.75" customHeight="1">
      <c r="P804" s="150"/>
    </row>
    <row r="805" ht="12.75" customHeight="1">
      <c r="P805" s="150"/>
    </row>
    <row r="806" ht="12.75" customHeight="1">
      <c r="P806" s="150"/>
    </row>
    <row r="807" ht="12.75" customHeight="1">
      <c r="P807" s="150"/>
    </row>
    <row r="808" ht="12.75" customHeight="1">
      <c r="P808" s="150"/>
    </row>
    <row r="809" ht="12.75" customHeight="1">
      <c r="P809" s="150"/>
    </row>
    <row r="810" ht="12.75" customHeight="1">
      <c r="P810" s="150"/>
    </row>
    <row r="811" ht="12.75" customHeight="1">
      <c r="P811" s="150"/>
    </row>
    <row r="812" ht="12.75" customHeight="1">
      <c r="P812" s="150"/>
    </row>
    <row r="813" ht="12.75" customHeight="1">
      <c r="P813" s="150"/>
    </row>
    <row r="814" ht="12.75" customHeight="1">
      <c r="P814" s="150"/>
    </row>
    <row r="815" ht="12.75" customHeight="1">
      <c r="P815" s="150"/>
    </row>
    <row r="816" ht="12.75" customHeight="1">
      <c r="P816" s="150"/>
    </row>
    <row r="817" ht="12.75" customHeight="1">
      <c r="P817" s="150"/>
    </row>
    <row r="818" ht="12.75" customHeight="1">
      <c r="P818" s="150"/>
    </row>
    <row r="819" ht="12.75" customHeight="1">
      <c r="P819" s="150"/>
    </row>
    <row r="820" ht="12.75" customHeight="1">
      <c r="P820" s="150"/>
    </row>
    <row r="821" ht="12.75" customHeight="1">
      <c r="P821" s="150"/>
    </row>
    <row r="822" ht="12.75" customHeight="1">
      <c r="P822" s="150"/>
    </row>
    <row r="823" ht="12.75" customHeight="1">
      <c r="P823" s="150"/>
    </row>
    <row r="824" ht="12.75" customHeight="1">
      <c r="P824" s="150"/>
    </row>
    <row r="825" ht="12.75" customHeight="1">
      <c r="P825" s="150"/>
    </row>
    <row r="826" ht="12.75" customHeight="1">
      <c r="P826" s="150"/>
    </row>
    <row r="827" ht="12.75" customHeight="1">
      <c r="P827" s="150"/>
    </row>
    <row r="828" ht="12.75" customHeight="1">
      <c r="P828" s="150"/>
    </row>
    <row r="829" ht="12.75" customHeight="1">
      <c r="P829" s="150"/>
    </row>
    <row r="830" ht="12.75" customHeight="1">
      <c r="P830" s="150"/>
    </row>
    <row r="831" ht="12.75" customHeight="1">
      <c r="P831" s="150"/>
    </row>
    <row r="832" ht="12.75" customHeight="1">
      <c r="P832" s="150"/>
    </row>
    <row r="833" ht="12.75" customHeight="1">
      <c r="P833" s="150"/>
    </row>
    <row r="834" ht="12.75" customHeight="1">
      <c r="P834" s="150"/>
    </row>
    <row r="835" ht="12.75" customHeight="1">
      <c r="P835" s="150"/>
    </row>
    <row r="836" ht="12.75" customHeight="1">
      <c r="P836" s="150"/>
    </row>
    <row r="837" ht="12.75" customHeight="1">
      <c r="P837" s="150"/>
    </row>
    <row r="838" ht="12.75" customHeight="1">
      <c r="P838" s="150"/>
    </row>
    <row r="839" ht="12.75" customHeight="1">
      <c r="P839" s="150"/>
    </row>
    <row r="840" ht="12.75" customHeight="1">
      <c r="P840" s="150"/>
    </row>
    <row r="841" ht="12.75" customHeight="1">
      <c r="P841" s="150"/>
    </row>
    <row r="842" ht="12.75" customHeight="1">
      <c r="P842" s="150"/>
    </row>
    <row r="843" ht="12.75" customHeight="1">
      <c r="P843" s="150"/>
    </row>
    <row r="844" ht="12.75" customHeight="1">
      <c r="P844" s="150"/>
    </row>
    <row r="845" ht="12.75" customHeight="1">
      <c r="P845" s="150"/>
    </row>
    <row r="846" ht="12.75" customHeight="1">
      <c r="P846" s="150"/>
    </row>
    <row r="847" ht="12.75" customHeight="1">
      <c r="P847" s="150"/>
    </row>
    <row r="848" ht="12.75" customHeight="1">
      <c r="P848" s="150"/>
    </row>
    <row r="849" ht="12.75" customHeight="1">
      <c r="P849" s="150"/>
    </row>
    <row r="850" ht="12.75" customHeight="1">
      <c r="P850" s="150"/>
    </row>
    <row r="851" ht="12.75" customHeight="1">
      <c r="P851" s="150"/>
    </row>
    <row r="852" ht="12.75" customHeight="1">
      <c r="P852" s="150"/>
    </row>
    <row r="853" ht="12.75" customHeight="1">
      <c r="P853" s="150"/>
    </row>
    <row r="854" ht="12.75" customHeight="1">
      <c r="P854" s="150"/>
    </row>
    <row r="855" ht="12.75" customHeight="1">
      <c r="P855" s="150"/>
    </row>
    <row r="856" ht="12.75" customHeight="1">
      <c r="P856" s="150"/>
    </row>
    <row r="857" ht="12.75" customHeight="1">
      <c r="P857" s="150"/>
    </row>
    <row r="858" ht="12.75" customHeight="1">
      <c r="P858" s="150"/>
    </row>
    <row r="859" ht="12.75" customHeight="1">
      <c r="P859" s="150"/>
    </row>
    <row r="860" ht="12.75" customHeight="1">
      <c r="P860" s="150"/>
    </row>
    <row r="861" ht="12.75" customHeight="1">
      <c r="P861" s="150"/>
    </row>
    <row r="862" ht="12.75" customHeight="1">
      <c r="P862" s="150"/>
    </row>
    <row r="863" ht="12.75" customHeight="1">
      <c r="P863" s="150"/>
    </row>
    <row r="864" ht="12.75" customHeight="1">
      <c r="P864" s="150"/>
    </row>
    <row r="865" ht="12.75" customHeight="1">
      <c r="P865" s="150"/>
    </row>
    <row r="866" ht="12.75" customHeight="1">
      <c r="P866" s="150"/>
    </row>
    <row r="867" ht="12.75" customHeight="1">
      <c r="P867" s="150"/>
    </row>
    <row r="868" ht="12.75" customHeight="1">
      <c r="P868" s="150"/>
    </row>
    <row r="869" ht="12.75" customHeight="1">
      <c r="P869" s="150"/>
    </row>
    <row r="870" ht="12.75" customHeight="1">
      <c r="P870" s="150"/>
    </row>
    <row r="871" ht="12.75" customHeight="1">
      <c r="P871" s="150"/>
    </row>
    <row r="872" ht="12.75" customHeight="1">
      <c r="P872" s="150"/>
    </row>
    <row r="873" ht="12.75" customHeight="1">
      <c r="P873" s="150"/>
    </row>
    <row r="874" ht="12.75" customHeight="1">
      <c r="P874" s="150"/>
    </row>
    <row r="875" ht="12.75" customHeight="1">
      <c r="P875" s="150"/>
    </row>
    <row r="876" ht="12.75" customHeight="1">
      <c r="P876" s="150"/>
    </row>
    <row r="877" ht="12.75" customHeight="1">
      <c r="P877" s="150"/>
    </row>
    <row r="878" ht="12.75" customHeight="1">
      <c r="P878" s="150"/>
    </row>
    <row r="879" ht="12.75" customHeight="1">
      <c r="P879" s="150"/>
    </row>
    <row r="880" ht="12.75" customHeight="1">
      <c r="P880" s="150"/>
    </row>
    <row r="881" ht="12.75" customHeight="1">
      <c r="P881" s="150"/>
    </row>
    <row r="882" ht="12.75" customHeight="1">
      <c r="P882" s="150"/>
    </row>
    <row r="883" ht="12.75" customHeight="1">
      <c r="P883" s="150"/>
    </row>
    <row r="884" ht="12.75" customHeight="1">
      <c r="P884" s="150"/>
    </row>
    <row r="885" ht="12.75" customHeight="1">
      <c r="P885" s="150"/>
    </row>
    <row r="886" ht="12.75" customHeight="1">
      <c r="P886" s="150"/>
    </row>
    <row r="887" ht="12.75" customHeight="1">
      <c r="P887" s="150"/>
    </row>
    <row r="888" ht="12.75" customHeight="1">
      <c r="P888" s="150"/>
    </row>
    <row r="889" ht="12.75" customHeight="1">
      <c r="P889" s="150"/>
    </row>
    <row r="890" ht="12.75" customHeight="1">
      <c r="P890" s="150"/>
    </row>
    <row r="891" ht="12.75" customHeight="1">
      <c r="P891" s="150"/>
    </row>
    <row r="892" ht="12.75" customHeight="1">
      <c r="P892" s="150"/>
    </row>
    <row r="893" ht="12.75" customHeight="1">
      <c r="P893" s="150"/>
    </row>
    <row r="894" ht="12.75" customHeight="1">
      <c r="P894" s="150"/>
    </row>
    <row r="895" ht="12.75" customHeight="1">
      <c r="P895" s="150"/>
    </row>
    <row r="896" ht="12.75" customHeight="1">
      <c r="P896" s="150"/>
    </row>
    <row r="897" ht="12.75" customHeight="1">
      <c r="P897" s="150"/>
    </row>
    <row r="898" ht="12.75" customHeight="1">
      <c r="P898" s="150"/>
    </row>
    <row r="899" ht="12.75" customHeight="1">
      <c r="P899" s="150"/>
    </row>
    <row r="900" ht="12.75" customHeight="1">
      <c r="P900" s="150"/>
    </row>
    <row r="901" ht="12.75" customHeight="1">
      <c r="P901" s="150"/>
    </row>
    <row r="902" ht="12.75" customHeight="1">
      <c r="P902" s="150"/>
    </row>
    <row r="903" ht="12.75" customHeight="1">
      <c r="P903" s="150"/>
    </row>
    <row r="904" ht="12.75" customHeight="1">
      <c r="P904" s="150"/>
    </row>
    <row r="905" ht="12.75" customHeight="1">
      <c r="P905" s="150"/>
    </row>
    <row r="906" ht="12.75" customHeight="1">
      <c r="P906" s="150"/>
    </row>
    <row r="907" ht="12.75" customHeight="1">
      <c r="P907" s="150"/>
    </row>
    <row r="908" ht="12.75" customHeight="1">
      <c r="P908" s="150"/>
    </row>
    <row r="909" ht="12.75" customHeight="1">
      <c r="P909" s="150"/>
    </row>
    <row r="910" ht="12.75" customHeight="1">
      <c r="P910" s="150"/>
    </row>
    <row r="911" ht="12.75" customHeight="1">
      <c r="P911" s="150"/>
    </row>
    <row r="912" ht="12.75" customHeight="1">
      <c r="P912" s="150"/>
    </row>
    <row r="913" ht="12.75" customHeight="1">
      <c r="P913" s="150"/>
    </row>
    <row r="914" ht="12.75" customHeight="1">
      <c r="P914" s="150"/>
    </row>
    <row r="915" ht="12.75" customHeight="1">
      <c r="P915" s="150"/>
    </row>
    <row r="916" ht="12.75" customHeight="1">
      <c r="P916" s="150"/>
    </row>
    <row r="917" ht="12.75" customHeight="1">
      <c r="P917" s="150"/>
    </row>
    <row r="918" ht="12.75" customHeight="1">
      <c r="P918" s="150"/>
    </row>
    <row r="919" ht="12.75" customHeight="1">
      <c r="P919" s="150"/>
    </row>
    <row r="920" ht="12.75" customHeight="1">
      <c r="P920" s="150"/>
    </row>
    <row r="921" ht="12.75" customHeight="1">
      <c r="P921" s="150"/>
    </row>
    <row r="922" ht="12.75" customHeight="1">
      <c r="P922" s="150"/>
    </row>
    <row r="923" ht="12.75" customHeight="1">
      <c r="P923" s="150"/>
    </row>
    <row r="924" ht="12.75" customHeight="1">
      <c r="P924" s="150"/>
    </row>
    <row r="925" ht="12.75" customHeight="1">
      <c r="P925" s="150"/>
    </row>
    <row r="926" ht="12.75" customHeight="1">
      <c r="P926" s="150"/>
    </row>
    <row r="927" ht="12.75" customHeight="1">
      <c r="P927" s="150"/>
    </row>
    <row r="928" ht="12.75" customHeight="1">
      <c r="P928" s="150"/>
    </row>
    <row r="929" ht="12.75" customHeight="1">
      <c r="P929" s="150"/>
    </row>
    <row r="930" ht="12.75" customHeight="1">
      <c r="P930" s="150"/>
    </row>
    <row r="931" ht="12.75" customHeight="1">
      <c r="P931" s="150"/>
    </row>
    <row r="932" ht="12.75" customHeight="1">
      <c r="P932" s="150"/>
    </row>
    <row r="933" ht="12.75" customHeight="1">
      <c r="P933" s="150"/>
    </row>
    <row r="934" ht="12.75" customHeight="1">
      <c r="P934" s="150"/>
    </row>
    <row r="935" ht="12.75" customHeight="1">
      <c r="P935" s="150"/>
    </row>
    <row r="936" ht="12.75" customHeight="1">
      <c r="P936" s="150"/>
    </row>
    <row r="937" ht="12.75" customHeight="1">
      <c r="P937" s="150"/>
    </row>
    <row r="938" ht="12.75" customHeight="1">
      <c r="P938" s="150"/>
    </row>
    <row r="939" ht="12.75" customHeight="1">
      <c r="P939" s="150"/>
    </row>
    <row r="940" ht="12.75" customHeight="1">
      <c r="P940" s="150"/>
    </row>
    <row r="941" ht="12.75" customHeight="1">
      <c r="P941" s="150"/>
    </row>
    <row r="942" ht="12.75" customHeight="1">
      <c r="P942" s="150"/>
    </row>
    <row r="943" ht="12.75" customHeight="1">
      <c r="P943" s="150"/>
    </row>
    <row r="944" ht="12.75" customHeight="1">
      <c r="P944" s="150"/>
    </row>
    <row r="945" ht="12.75" customHeight="1">
      <c r="P945" s="150"/>
    </row>
    <row r="946" ht="12.75" customHeight="1">
      <c r="P946" s="150"/>
    </row>
    <row r="947" ht="12.75" customHeight="1">
      <c r="P947" s="150"/>
    </row>
    <row r="948" ht="12.75" customHeight="1">
      <c r="P948" s="150"/>
    </row>
    <row r="949" ht="12.75" customHeight="1">
      <c r="P949" s="150"/>
    </row>
    <row r="950" ht="12.75" customHeight="1">
      <c r="P950" s="150"/>
    </row>
    <row r="951" ht="12.75" customHeight="1">
      <c r="P951" s="150"/>
    </row>
    <row r="952" ht="12.75" customHeight="1">
      <c r="P952" s="150"/>
    </row>
    <row r="953" ht="12.75" customHeight="1">
      <c r="P953" s="150"/>
    </row>
    <row r="954" ht="12.75" customHeight="1">
      <c r="P954" s="150"/>
    </row>
    <row r="955" ht="12.75" customHeight="1">
      <c r="P955" s="150"/>
    </row>
    <row r="956" ht="12.75" customHeight="1">
      <c r="P956" s="150"/>
    </row>
    <row r="957" ht="12.75" customHeight="1">
      <c r="P957" s="150"/>
    </row>
    <row r="958" ht="12.75" customHeight="1">
      <c r="P958" s="150"/>
    </row>
    <row r="959" ht="12.75" customHeight="1">
      <c r="P959" s="150"/>
    </row>
    <row r="960" ht="12.75" customHeight="1">
      <c r="P960" s="150"/>
    </row>
    <row r="961" ht="12.75" customHeight="1">
      <c r="P961" s="150"/>
    </row>
    <row r="962" ht="12.75" customHeight="1">
      <c r="P962" s="150"/>
    </row>
    <row r="963" ht="12.75" customHeight="1">
      <c r="P963" s="150"/>
    </row>
    <row r="964" ht="12.75" customHeight="1">
      <c r="P964" s="150"/>
    </row>
    <row r="965" ht="12.75" customHeight="1">
      <c r="P965" s="150"/>
    </row>
    <row r="966" ht="12.75" customHeight="1">
      <c r="P966" s="150"/>
    </row>
    <row r="967" ht="12.75" customHeight="1">
      <c r="P967" s="150"/>
    </row>
    <row r="968" ht="12.75" customHeight="1">
      <c r="P968" s="150"/>
    </row>
    <row r="969" ht="12.75" customHeight="1">
      <c r="P969" s="150"/>
    </row>
    <row r="970" ht="12.75" customHeight="1">
      <c r="P970" s="150"/>
    </row>
    <row r="971" ht="12.75" customHeight="1">
      <c r="P971" s="150"/>
    </row>
    <row r="972" ht="12.75" customHeight="1">
      <c r="P972" s="150"/>
    </row>
    <row r="973" ht="12.75" customHeight="1">
      <c r="P973" s="150"/>
    </row>
    <row r="974" ht="12.75" customHeight="1">
      <c r="P974" s="150"/>
    </row>
    <row r="975" ht="12.75" customHeight="1">
      <c r="P975" s="150"/>
    </row>
    <row r="976" ht="12.75" customHeight="1">
      <c r="P976" s="150"/>
    </row>
    <row r="977" ht="12.75" customHeight="1">
      <c r="P977" s="150"/>
    </row>
    <row r="978" ht="12.75" customHeight="1">
      <c r="P978" s="150"/>
    </row>
    <row r="979" ht="12.75" customHeight="1">
      <c r="P979" s="150"/>
    </row>
    <row r="980" ht="12.75" customHeight="1">
      <c r="P980" s="150"/>
    </row>
    <row r="981" ht="12.75" customHeight="1">
      <c r="P981" s="150"/>
    </row>
    <row r="982" ht="12.75" customHeight="1">
      <c r="P982" s="150"/>
    </row>
    <row r="983" ht="12.75" customHeight="1">
      <c r="P983" s="150"/>
    </row>
    <row r="984" ht="12.75" customHeight="1">
      <c r="P984" s="150"/>
    </row>
    <row r="985" ht="12.75" customHeight="1">
      <c r="P985" s="150"/>
    </row>
    <row r="986" ht="12.75" customHeight="1">
      <c r="P986" s="150"/>
    </row>
    <row r="987" ht="12.75" customHeight="1">
      <c r="P987" s="150"/>
    </row>
    <row r="988" ht="12.75" customHeight="1">
      <c r="P988" s="150"/>
    </row>
    <row r="989" ht="12.75" customHeight="1">
      <c r="P989" s="150"/>
    </row>
    <row r="990" ht="12.75" customHeight="1">
      <c r="P990" s="150"/>
    </row>
    <row r="991" ht="12.75" customHeight="1">
      <c r="P991" s="150"/>
    </row>
    <row r="992" ht="12.75" customHeight="1">
      <c r="P992" s="150"/>
    </row>
    <row r="993" ht="12.75" customHeight="1">
      <c r="P993" s="150"/>
    </row>
    <row r="994" ht="12.75" customHeight="1">
      <c r="P994" s="150"/>
    </row>
    <row r="995" ht="12.75" customHeight="1">
      <c r="P995" s="150"/>
    </row>
    <row r="996" ht="12.75" customHeight="1">
      <c r="P996" s="150"/>
    </row>
    <row r="997" ht="12.75" customHeight="1">
      <c r="P997" s="150"/>
    </row>
    <row r="998" ht="12.75" customHeight="1">
      <c r="P998" s="150"/>
    </row>
    <row r="999" ht="12.75" customHeight="1">
      <c r="P999" s="150"/>
    </row>
    <row r="1000" ht="12.75" customHeight="1">
      <c r="P1000" s="150"/>
    </row>
  </sheetData>
  <mergeCells count="5">
    <mergeCell ref="A1:P1"/>
    <mergeCell ref="A2:P2"/>
    <mergeCell ref="B4:E4"/>
    <mergeCell ref="F4:I4"/>
    <mergeCell ref="J4:O4"/>
  </mergeCells>
  <conditionalFormatting sqref="P7:P36">
    <cfRule type="cellIs" dxfId="0" priority="1" stopIfTrue="1" operator="equal">
      <formula>"Incomplete"</formula>
    </cfRule>
  </conditionalFormatting>
  <conditionalFormatting sqref="P7:P36">
    <cfRule type="cellIs" dxfId="1" priority="2" stopIfTrue="1" operator="equal">
      <formula>"Comments only"</formula>
    </cfRule>
  </conditionalFormatting>
  <conditionalFormatting sqref="A2">
    <cfRule type="expression" dxfId="2" priority="3" stopIfTrue="1">
      <formula>SUM(J4+A3)=0</formula>
    </cfRule>
  </conditionalFormatting>
  <conditionalFormatting sqref="A2">
    <cfRule type="expression" dxfId="3" priority="4" stopIfTrue="1">
      <formula>AND(A3&gt;0,J4=0)</formula>
    </cfRule>
  </conditionalFormatting>
  <conditionalFormatting sqref="A2">
    <cfRule type="expression" dxfId="4" priority="5" stopIfTrue="1">
      <formula>AND(A3&gt;0,J4&gt;0)</formula>
    </cfRule>
  </conditionalFormatting>
  <hyperlinks>
    <hyperlink display="Tags" location="null!A1" ref="A6"/>
    <hyperlink display="1.1 Common Requirements/ Basic Hardware and OS Information" location="MTR!A3" ref="A7"/>
    <hyperlink display="1.2 Common Requirements/ Conformance" location="MTR!A12" ref="A8"/>
    <hyperlink display="1.3 Common Requirements/ Sustainability" location="MTR!A34" ref="A9"/>
    <hyperlink display="2.1 Network Access/ Basic Network Access" location="MTR!A81" ref="A10"/>
    <hyperlink display="2.2 Network Access/ RF" location="MTR!A196" ref="A11"/>
    <hyperlink display="2.2 Network Access/ RF - RF Performance" location="'RF Performance'!A1" ref="A12"/>
    <hyperlink display="2.3 Network Access/ GSM / GPRS / EDGE" location="MTR!A198" ref="A13"/>
    <hyperlink display="2.4 Network Access/ LTE" location="MTR!A202" ref="A14"/>
    <hyperlink display="2.4 Network Access/ LTE - LTE-CA" location="'LTE-CA'!A1" ref="A15"/>
    <hyperlink display="2.5 Network Access/ NR (5G)" location="MTR!A376" ref="A16"/>
    <hyperlink display="2.5 Network Access/ NR (5G) - NR-CA" location="'NR-CA'!A1" ref="A17"/>
    <hyperlink display="2.5 Network Access/ NR (5G) - EN-DC" location="'EN-DC'!A1" ref="A18"/>
    <hyperlink display="2.6 Network Access/ Features &amp; Procedures" location="MTR!A738" ref="A19"/>
    <hyperlink display="3.1 Device Enablers/ Connectivity" location="MTR!A830" ref="A20"/>
    <hyperlink display="3.2 Device Enablers/ Basic Enablers" location="MTR!A925" ref="A21"/>
    <hyperlink display="3.3 Device Enablers/ IPv4/IPv6/IPv4v6" location="MTR!A1062" ref="A22"/>
    <hyperlink display="3.4 Device Enablers/ (U)SIM/(U)SAT" location="MTR!A1121" ref="A23"/>
    <hyperlink display="3.5 Device Enablers/ Dual-SIM" location="MTR!A1231" ref="A24"/>
    <hyperlink display="3.6 Device Enablers/ Remote SIM Provisioning (eSIM)" location="MTR!A1305" ref="A25"/>
    <hyperlink display="3.7 Device Enablers/ Entitlement" location="MTR!A1341" ref="A26"/>
    <hyperlink display="4.1 SW Enablers/ General Customisation / UI" location="MTR!A1351" ref="A27"/>
    <hyperlink display="4.2 SW Enablers/ SW Platform Requirements" location="MTR!A1511" ref="A28"/>
    <hyperlink display="4.3 SW Enablers/ OEM Software Management" location="MTR!A1535" ref="A29"/>
    <hyperlink display="5.1 Security/ Platform Security" location="MTR!A1552" ref="A30"/>
    <hyperlink display="5.2 Security/ WiFi Security" location="MTR!A1586" ref="A31"/>
    <hyperlink display="6.1 Services/ Voice" location="MTR!A1597" ref="A32"/>
    <hyperlink display="6.2 Services/ SMS" location="MTR!A1986" ref="A33"/>
    <hyperlink display="6.3 Services/ MMS" location="MTR!A1999" ref="A34"/>
    <hyperlink display="6.4 Services/ RCS" location="MTR!A2038" ref="A35"/>
    <hyperlink display="6.5 Services/ Cell Broadcast &amp; Public Warning" location="MTR!A2042" ref="A36"/>
  </hyperlinks>
  <printOptions/>
  <pageMargins bottom="0.984251968503937" footer="0.0" header="0.0" left="0.748031496062992" right="0.748031496062992" top="0.984251968503937"/>
  <pageSetup paperSize="9" orientation="landscape"/>
  <headerFooter>
    <oddHeader>&amp;C&amp;F</oddHeader>
    <oddFooter>&amp;L&amp;A&amp;C(c) T-Mobile International 2008&amp;RPage &amp;P / </oddFoot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1.71"/>
    <col customWidth="1" min="2" max="2" width="26.71"/>
    <col customWidth="1" min="3" max="5" width="21.71"/>
    <col customWidth="1" min="6" max="6" width="25.29"/>
    <col customWidth="1" min="7" max="10" width="21.71"/>
    <col customWidth="1" min="11" max="26" width="9.14"/>
  </cols>
  <sheetData>
    <row r="1" ht="12.75" customHeight="1">
      <c r="A1" s="151" t="s">
        <v>132</v>
      </c>
      <c r="B1" s="151" t="s">
        <v>133</v>
      </c>
      <c r="C1" s="151" t="s">
        <v>134</v>
      </c>
      <c r="D1" s="151" t="s">
        <v>135</v>
      </c>
      <c r="E1" s="151" t="s">
        <v>136</v>
      </c>
      <c r="F1" s="151" t="s">
        <v>137</v>
      </c>
      <c r="G1" s="151" t="s">
        <v>9</v>
      </c>
      <c r="H1" s="151" t="s">
        <v>138</v>
      </c>
      <c r="I1" s="151" t="s">
        <v>139</v>
      </c>
      <c r="J1" s="151" t="s">
        <v>140</v>
      </c>
      <c r="K1" s="152"/>
      <c r="L1" s="152"/>
      <c r="M1" s="152"/>
      <c r="N1" s="152"/>
      <c r="O1" s="152"/>
      <c r="P1" s="152"/>
      <c r="Q1" s="152"/>
      <c r="R1" s="152"/>
      <c r="S1" s="152"/>
      <c r="T1" s="152"/>
      <c r="U1" s="152"/>
      <c r="V1" s="152"/>
      <c r="W1" s="152"/>
      <c r="X1" s="152"/>
      <c r="Y1" s="152"/>
      <c r="Z1" s="152"/>
    </row>
    <row r="2" ht="12.75" customHeight="1">
      <c r="A2" s="153" t="s">
        <v>141</v>
      </c>
      <c r="B2" s="154" t="s">
        <v>142</v>
      </c>
      <c r="C2" s="154" t="s">
        <v>142</v>
      </c>
      <c r="D2" s="155" t="s">
        <v>143</v>
      </c>
      <c r="E2" s="154" t="s">
        <v>143</v>
      </c>
      <c r="F2" s="154" t="s">
        <v>143</v>
      </c>
      <c r="G2" s="154" t="s">
        <v>143</v>
      </c>
      <c r="H2" s="154" t="s">
        <v>144</v>
      </c>
      <c r="I2" s="154" t="s">
        <v>145</v>
      </c>
      <c r="J2" s="154" t="s">
        <v>145</v>
      </c>
      <c r="K2" s="156"/>
      <c r="L2" s="156"/>
      <c r="M2" s="156"/>
      <c r="N2" s="156"/>
      <c r="O2" s="156"/>
      <c r="P2" s="156"/>
      <c r="Q2" s="156"/>
      <c r="R2" s="156"/>
      <c r="S2" s="156"/>
      <c r="T2" s="156"/>
      <c r="U2" s="156"/>
      <c r="V2" s="156"/>
      <c r="W2" s="156"/>
      <c r="X2" s="156"/>
      <c r="Y2" s="156"/>
      <c r="Z2" s="156"/>
    </row>
    <row r="3" ht="12.75" customHeight="1">
      <c r="A3" s="153" t="s">
        <v>146</v>
      </c>
      <c r="B3" s="154" t="s">
        <v>147</v>
      </c>
      <c r="C3" s="154" t="s">
        <v>147</v>
      </c>
      <c r="D3" s="154" t="s">
        <v>147</v>
      </c>
      <c r="E3" s="154" t="s">
        <v>147</v>
      </c>
      <c r="F3" s="154" t="s">
        <v>147</v>
      </c>
      <c r="G3" s="154" t="s">
        <v>147</v>
      </c>
      <c r="H3" s="154"/>
      <c r="I3" s="154"/>
      <c r="J3" s="154"/>
      <c r="K3" s="156"/>
      <c r="L3" s="156"/>
      <c r="M3" s="156"/>
      <c r="N3" s="156"/>
      <c r="O3" s="156"/>
      <c r="P3" s="156"/>
      <c r="Q3" s="156"/>
      <c r="R3" s="156"/>
      <c r="S3" s="156"/>
      <c r="T3" s="156"/>
      <c r="U3" s="156"/>
      <c r="V3" s="156"/>
      <c r="W3" s="156"/>
      <c r="X3" s="156"/>
      <c r="Y3" s="156"/>
      <c r="Z3" s="156"/>
    </row>
    <row r="4" ht="12.75" customHeight="1">
      <c r="A4" s="153" t="s">
        <v>148</v>
      </c>
      <c r="B4" s="154" t="s">
        <v>149</v>
      </c>
      <c r="C4" s="154" t="s">
        <v>150</v>
      </c>
      <c r="D4" s="155" t="s">
        <v>151</v>
      </c>
      <c r="E4" s="155" t="s">
        <v>151</v>
      </c>
      <c r="F4" s="154" t="s">
        <v>151</v>
      </c>
      <c r="G4" s="154" t="s">
        <v>151</v>
      </c>
      <c r="H4" s="154" t="s">
        <v>150</v>
      </c>
      <c r="I4" s="155" t="s">
        <v>151</v>
      </c>
      <c r="J4" s="154" t="s">
        <v>151</v>
      </c>
      <c r="K4" s="156"/>
      <c r="L4" s="156"/>
      <c r="M4" s="156"/>
      <c r="N4" s="156"/>
      <c r="O4" s="156"/>
      <c r="P4" s="156"/>
      <c r="Q4" s="156"/>
      <c r="R4" s="156"/>
      <c r="S4" s="156"/>
      <c r="T4" s="156"/>
      <c r="U4" s="156"/>
      <c r="V4" s="156"/>
      <c r="W4" s="156"/>
      <c r="X4" s="156"/>
      <c r="Y4" s="156"/>
      <c r="Z4" s="156"/>
    </row>
    <row r="5" ht="12.75" customHeight="1">
      <c r="A5" s="153" t="s">
        <v>152</v>
      </c>
      <c r="B5" s="157"/>
      <c r="C5" s="157"/>
      <c r="D5" s="158" t="s">
        <v>153</v>
      </c>
      <c r="E5" s="158" t="s">
        <v>154</v>
      </c>
      <c r="F5" s="157" t="s">
        <v>155</v>
      </c>
      <c r="G5" s="157" t="s">
        <v>155</v>
      </c>
      <c r="H5" s="157"/>
      <c r="I5" s="157" t="s">
        <v>153</v>
      </c>
      <c r="J5" s="157" t="s">
        <v>155</v>
      </c>
      <c r="K5" s="156"/>
      <c r="L5" s="156"/>
      <c r="M5" s="156"/>
      <c r="N5" s="156"/>
      <c r="O5" s="156"/>
      <c r="P5" s="156"/>
      <c r="Q5" s="156"/>
      <c r="R5" s="156"/>
      <c r="S5" s="156"/>
      <c r="T5" s="156"/>
      <c r="U5" s="156"/>
      <c r="V5" s="156"/>
      <c r="W5" s="156"/>
      <c r="X5" s="156"/>
      <c r="Y5" s="156"/>
      <c r="Z5" s="156"/>
    </row>
    <row r="6" ht="12.75" customHeight="1">
      <c r="A6" s="153" t="s">
        <v>156</v>
      </c>
      <c r="B6" s="154" t="s">
        <v>157</v>
      </c>
      <c r="C6" s="155" t="s">
        <v>157</v>
      </c>
      <c r="D6" s="154" t="s">
        <v>158</v>
      </c>
      <c r="E6" s="154" t="s">
        <v>158</v>
      </c>
      <c r="F6" s="154" t="s">
        <v>159</v>
      </c>
      <c r="G6" s="154" t="s">
        <v>159</v>
      </c>
      <c r="H6" s="154" t="s">
        <v>160</v>
      </c>
      <c r="I6" s="154" t="s">
        <v>161</v>
      </c>
      <c r="J6" s="154" t="s">
        <v>162</v>
      </c>
      <c r="K6" s="156"/>
      <c r="L6" s="156"/>
      <c r="M6" s="156"/>
      <c r="N6" s="156"/>
      <c r="O6" s="156"/>
      <c r="P6" s="156"/>
      <c r="Q6" s="156"/>
      <c r="R6" s="156"/>
      <c r="S6" s="156"/>
      <c r="T6" s="156"/>
      <c r="U6" s="156"/>
      <c r="V6" s="156"/>
      <c r="W6" s="156"/>
      <c r="X6" s="156"/>
      <c r="Y6" s="156"/>
      <c r="Z6" s="156"/>
    </row>
    <row r="7" ht="12.75" customHeight="1">
      <c r="A7" s="153" t="s">
        <v>163</v>
      </c>
      <c r="B7" s="154" t="s">
        <v>164</v>
      </c>
      <c r="C7" s="154" t="s">
        <v>165</v>
      </c>
      <c r="D7" s="155" t="s">
        <v>166</v>
      </c>
      <c r="E7" s="154" t="s">
        <v>166</v>
      </c>
      <c r="F7" s="154" t="s">
        <v>166</v>
      </c>
      <c r="G7" s="154" t="s">
        <v>166</v>
      </c>
      <c r="H7" s="154" t="s">
        <v>167</v>
      </c>
      <c r="I7" s="154" t="s">
        <v>168</v>
      </c>
      <c r="J7" s="154" t="s">
        <v>168</v>
      </c>
      <c r="K7" s="156"/>
      <c r="L7" s="156"/>
      <c r="M7" s="156"/>
      <c r="N7" s="156"/>
      <c r="O7" s="156"/>
      <c r="P7" s="156"/>
      <c r="Q7" s="156"/>
      <c r="R7" s="156"/>
      <c r="S7" s="156"/>
      <c r="T7" s="156"/>
      <c r="U7" s="156"/>
      <c r="V7" s="156"/>
      <c r="W7" s="156"/>
      <c r="X7" s="156"/>
      <c r="Y7" s="156"/>
      <c r="Z7" s="156"/>
    </row>
    <row r="8" ht="12.75" customHeight="1">
      <c r="A8" s="153" t="s">
        <v>169</v>
      </c>
      <c r="B8" s="154" t="s">
        <v>170</v>
      </c>
      <c r="C8" s="154" t="s">
        <v>171</v>
      </c>
      <c r="D8" s="155" t="s">
        <v>172</v>
      </c>
      <c r="E8" s="154" t="s">
        <v>173</v>
      </c>
      <c r="F8" s="154" t="s">
        <v>174</v>
      </c>
      <c r="G8" s="154" t="s">
        <v>175</v>
      </c>
      <c r="H8" s="154" t="s">
        <v>171</v>
      </c>
      <c r="I8" s="154" t="s">
        <v>172</v>
      </c>
      <c r="J8" s="154" t="s">
        <v>175</v>
      </c>
      <c r="K8" s="156"/>
      <c r="L8" s="156"/>
      <c r="M8" s="156"/>
      <c r="N8" s="156"/>
      <c r="O8" s="156"/>
      <c r="P8" s="156"/>
      <c r="Q8" s="156"/>
      <c r="R8" s="156"/>
      <c r="S8" s="156"/>
      <c r="T8" s="156"/>
      <c r="U8" s="156"/>
      <c r="V8" s="156"/>
      <c r="W8" s="156"/>
      <c r="X8" s="156"/>
      <c r="Y8" s="156"/>
      <c r="Z8" s="156"/>
    </row>
    <row r="9" ht="12.75" customHeight="1">
      <c r="A9" s="153" t="s">
        <v>176</v>
      </c>
      <c r="B9" s="154" t="s">
        <v>177</v>
      </c>
      <c r="C9" s="154" t="s">
        <v>178</v>
      </c>
      <c r="D9" s="155" t="s">
        <v>179</v>
      </c>
      <c r="E9" s="154" t="s">
        <v>180</v>
      </c>
      <c r="F9" s="154" t="s">
        <v>181</v>
      </c>
      <c r="G9" s="154" t="s">
        <v>182</v>
      </c>
      <c r="H9" s="154" t="s">
        <v>178</v>
      </c>
      <c r="I9" s="154" t="s">
        <v>179</v>
      </c>
      <c r="J9" s="154" t="s">
        <v>182</v>
      </c>
      <c r="K9" s="156"/>
      <c r="L9" s="156"/>
      <c r="M9" s="156"/>
      <c r="N9" s="156"/>
      <c r="O9" s="156"/>
      <c r="P9" s="156"/>
      <c r="Q9" s="156"/>
      <c r="R9" s="156"/>
      <c r="S9" s="156"/>
      <c r="T9" s="156"/>
      <c r="U9" s="156"/>
      <c r="V9" s="156"/>
      <c r="W9" s="156"/>
      <c r="X9" s="156"/>
      <c r="Y9" s="156"/>
      <c r="Z9" s="156"/>
    </row>
    <row r="10" ht="12.75" customHeight="1">
      <c r="A10" s="153" t="s">
        <v>183</v>
      </c>
      <c r="B10" s="154"/>
      <c r="C10" s="154"/>
      <c r="D10" s="155" t="s">
        <v>184</v>
      </c>
      <c r="E10" s="155" t="s">
        <v>185</v>
      </c>
      <c r="F10" s="154" t="s">
        <v>186</v>
      </c>
      <c r="G10" s="154" t="s">
        <v>187</v>
      </c>
      <c r="H10" s="154"/>
      <c r="I10" s="154" t="s">
        <v>184</v>
      </c>
      <c r="J10" s="154" t="s">
        <v>187</v>
      </c>
      <c r="K10" s="156"/>
      <c r="L10" s="156"/>
      <c r="M10" s="156"/>
      <c r="N10" s="156"/>
      <c r="O10" s="156"/>
      <c r="P10" s="156"/>
      <c r="Q10" s="156"/>
      <c r="R10" s="156"/>
      <c r="S10" s="156"/>
      <c r="T10" s="156"/>
      <c r="U10" s="156"/>
      <c r="V10" s="156"/>
      <c r="W10" s="156"/>
      <c r="X10" s="156"/>
      <c r="Y10" s="156"/>
      <c r="Z10" s="156"/>
    </row>
    <row r="11" ht="66.0" customHeight="1">
      <c r="A11" s="153" t="s">
        <v>188</v>
      </c>
      <c r="B11" s="154"/>
      <c r="C11" s="154"/>
      <c r="D11" s="155" t="s">
        <v>189</v>
      </c>
      <c r="E11" s="154" t="s">
        <v>189</v>
      </c>
      <c r="F11" s="154" t="s">
        <v>190</v>
      </c>
      <c r="G11" s="154" t="s">
        <v>191</v>
      </c>
      <c r="H11" s="154"/>
      <c r="I11" s="154" t="s">
        <v>192</v>
      </c>
      <c r="J11" s="154" t="s">
        <v>191</v>
      </c>
      <c r="K11" s="156"/>
      <c r="L11" s="156"/>
      <c r="M11" s="156"/>
      <c r="N11" s="156"/>
      <c r="O11" s="156"/>
      <c r="P11" s="156"/>
      <c r="Q11" s="156"/>
      <c r="R11" s="156"/>
      <c r="S11" s="156"/>
      <c r="T11" s="156"/>
      <c r="U11" s="156"/>
      <c r="V11" s="156"/>
      <c r="W11" s="156"/>
      <c r="X11" s="156"/>
      <c r="Y11" s="156"/>
      <c r="Z11" s="156"/>
    </row>
    <row r="12" ht="12.75" customHeight="1">
      <c r="A12" s="153" t="s">
        <v>193</v>
      </c>
      <c r="B12" s="154" t="s">
        <v>194</v>
      </c>
      <c r="C12" s="154" t="s">
        <v>195</v>
      </c>
      <c r="D12" s="154" t="s">
        <v>195</v>
      </c>
      <c r="E12" s="154" t="s">
        <v>196</v>
      </c>
      <c r="F12" s="154" t="s">
        <v>197</v>
      </c>
      <c r="G12" s="155" t="s">
        <v>198</v>
      </c>
      <c r="H12" s="154" t="s">
        <v>199</v>
      </c>
      <c r="I12" s="154" t="s">
        <v>200</v>
      </c>
      <c r="J12" s="155" t="s">
        <v>201</v>
      </c>
      <c r="K12" s="156"/>
      <c r="L12" s="156"/>
      <c r="M12" s="156"/>
      <c r="N12" s="156"/>
      <c r="O12" s="156"/>
      <c r="P12" s="156"/>
      <c r="Q12" s="156"/>
      <c r="R12" s="156"/>
      <c r="S12" s="156"/>
      <c r="T12" s="156"/>
      <c r="U12" s="156"/>
      <c r="V12" s="156"/>
      <c r="W12" s="156"/>
      <c r="X12" s="156"/>
      <c r="Y12" s="156"/>
      <c r="Z12" s="156"/>
    </row>
    <row r="13" ht="12.75" customHeight="1">
      <c r="A13" s="153" t="s">
        <v>202</v>
      </c>
      <c r="B13" s="154" t="s">
        <v>203</v>
      </c>
      <c r="C13" s="154" t="s">
        <v>204</v>
      </c>
      <c r="D13" s="155" t="s">
        <v>205</v>
      </c>
      <c r="E13" s="154" t="s">
        <v>205</v>
      </c>
      <c r="F13" s="154" t="s">
        <v>205</v>
      </c>
      <c r="G13" s="154" t="s">
        <v>205</v>
      </c>
      <c r="H13" s="154"/>
      <c r="I13" s="154"/>
      <c r="J13" s="154"/>
      <c r="K13" s="156"/>
      <c r="L13" s="156"/>
      <c r="M13" s="156"/>
      <c r="N13" s="156"/>
      <c r="O13" s="156"/>
      <c r="P13" s="156"/>
      <c r="Q13" s="156"/>
      <c r="R13" s="156"/>
      <c r="S13" s="156"/>
      <c r="T13" s="156"/>
      <c r="U13" s="156"/>
      <c r="V13" s="156"/>
      <c r="W13" s="156"/>
      <c r="X13" s="156"/>
      <c r="Y13" s="156"/>
      <c r="Z13" s="156"/>
    </row>
    <row r="14" ht="12.75" customHeight="1">
      <c r="A14" s="153" t="s">
        <v>206</v>
      </c>
      <c r="B14" s="154" t="s">
        <v>207</v>
      </c>
      <c r="C14" s="154" t="s">
        <v>208</v>
      </c>
      <c r="D14" s="154" t="s">
        <v>208</v>
      </c>
      <c r="E14" s="154" t="s">
        <v>208</v>
      </c>
      <c r="F14" s="154" t="s">
        <v>208</v>
      </c>
      <c r="G14" s="154" t="s">
        <v>208</v>
      </c>
      <c r="H14" s="154" t="s">
        <v>208</v>
      </c>
      <c r="I14" s="154" t="s">
        <v>208</v>
      </c>
      <c r="J14" s="154" t="s">
        <v>208</v>
      </c>
      <c r="K14" s="156"/>
      <c r="L14" s="156"/>
      <c r="M14" s="156"/>
      <c r="N14" s="156"/>
      <c r="O14" s="156"/>
      <c r="P14" s="156"/>
      <c r="Q14" s="156"/>
      <c r="R14" s="156"/>
      <c r="S14" s="156"/>
      <c r="T14" s="156"/>
      <c r="U14" s="156"/>
      <c r="V14" s="156"/>
      <c r="W14" s="156"/>
      <c r="X14" s="156"/>
      <c r="Y14" s="156"/>
      <c r="Z14" s="156"/>
    </row>
    <row r="15" ht="12.75" customHeight="1">
      <c r="A15" s="153" t="s">
        <v>209</v>
      </c>
      <c r="B15" s="154" t="s">
        <v>210</v>
      </c>
      <c r="C15" s="154" t="s">
        <v>211</v>
      </c>
      <c r="D15" s="154" t="s">
        <v>211</v>
      </c>
      <c r="E15" s="154" t="s">
        <v>211</v>
      </c>
      <c r="F15" s="154" t="s">
        <v>211</v>
      </c>
      <c r="G15" s="154" t="s">
        <v>211</v>
      </c>
      <c r="H15" s="154" t="s">
        <v>211</v>
      </c>
      <c r="I15" s="154" t="s">
        <v>211</v>
      </c>
      <c r="J15" s="154" t="s">
        <v>211</v>
      </c>
      <c r="K15" s="156"/>
      <c r="L15" s="156"/>
      <c r="M15" s="156"/>
      <c r="N15" s="156"/>
      <c r="O15" s="156"/>
      <c r="P15" s="156"/>
      <c r="Q15" s="156"/>
      <c r="R15" s="156"/>
      <c r="S15" s="156"/>
      <c r="T15" s="156"/>
      <c r="U15" s="156"/>
      <c r="V15" s="156"/>
      <c r="W15" s="156"/>
      <c r="X15" s="156"/>
      <c r="Y15" s="156"/>
      <c r="Z15" s="156"/>
    </row>
    <row r="16" ht="12.75" customHeight="1">
      <c r="A16" s="153" t="s">
        <v>212</v>
      </c>
      <c r="B16" s="154" t="s">
        <v>213</v>
      </c>
      <c r="C16" s="154" t="s">
        <v>213</v>
      </c>
      <c r="D16" s="154" t="s">
        <v>213</v>
      </c>
      <c r="E16" s="154" t="s">
        <v>213</v>
      </c>
      <c r="F16" s="154" t="s">
        <v>213</v>
      </c>
      <c r="G16" s="154" t="s">
        <v>213</v>
      </c>
      <c r="H16" s="154" t="s">
        <v>213</v>
      </c>
      <c r="I16" s="154" t="s">
        <v>213</v>
      </c>
      <c r="J16" s="154" t="s">
        <v>213</v>
      </c>
      <c r="K16" s="156"/>
      <c r="L16" s="156"/>
      <c r="M16" s="156"/>
      <c r="N16" s="156"/>
      <c r="O16" s="156"/>
      <c r="P16" s="156"/>
      <c r="Q16" s="156"/>
      <c r="R16" s="156"/>
      <c r="S16" s="156"/>
      <c r="T16" s="156"/>
      <c r="U16" s="156"/>
      <c r="V16" s="156"/>
      <c r="W16" s="156"/>
      <c r="X16" s="156"/>
      <c r="Y16" s="156"/>
      <c r="Z16" s="156"/>
    </row>
    <row r="17" ht="12.75" customHeight="1">
      <c r="A17" s="152"/>
      <c r="B17" s="152"/>
      <c r="C17" s="152"/>
      <c r="D17" s="152"/>
      <c r="E17" s="152"/>
      <c r="F17" s="152"/>
      <c r="G17" s="152"/>
      <c r="H17" s="152"/>
      <c r="I17" s="152"/>
      <c r="J17" s="152"/>
      <c r="K17" s="156"/>
      <c r="L17" s="156"/>
      <c r="M17" s="156"/>
      <c r="N17" s="156"/>
      <c r="O17" s="156"/>
      <c r="P17" s="156"/>
      <c r="Q17" s="156"/>
      <c r="R17" s="156"/>
      <c r="S17" s="156"/>
      <c r="T17" s="156"/>
      <c r="U17" s="156"/>
      <c r="V17" s="156"/>
      <c r="W17" s="156"/>
      <c r="X17" s="156"/>
      <c r="Y17" s="156"/>
      <c r="Z17" s="156"/>
    </row>
    <row r="18" ht="12.75" customHeight="1">
      <c r="A18" s="159" t="s">
        <v>214</v>
      </c>
      <c r="B18" s="107"/>
      <c r="C18" s="107"/>
      <c r="D18" s="107"/>
      <c r="E18" s="107"/>
      <c r="F18" s="107"/>
      <c r="G18" s="107"/>
      <c r="H18" s="107"/>
      <c r="I18" s="152"/>
      <c r="J18" s="152"/>
      <c r="K18" s="156"/>
      <c r="L18" s="156"/>
      <c r="M18" s="156"/>
      <c r="N18" s="156"/>
      <c r="O18" s="156"/>
      <c r="P18" s="156"/>
      <c r="Q18" s="156"/>
      <c r="R18" s="156"/>
      <c r="S18" s="156"/>
      <c r="T18" s="156"/>
      <c r="U18" s="156"/>
      <c r="V18" s="156"/>
      <c r="W18" s="156"/>
      <c r="X18" s="156"/>
      <c r="Y18" s="156"/>
      <c r="Z18" s="156"/>
    </row>
    <row r="19" ht="12.75" customHeight="1">
      <c r="A19" s="160" t="s">
        <v>215</v>
      </c>
      <c r="B19" s="161"/>
      <c r="C19" s="161"/>
      <c r="D19" s="161"/>
      <c r="E19" s="161"/>
      <c r="F19" s="161"/>
      <c r="G19" s="161"/>
      <c r="H19" s="162"/>
      <c r="I19" s="163"/>
      <c r="J19" s="164"/>
      <c r="K19" s="156"/>
      <c r="L19" s="156"/>
      <c r="M19" s="156"/>
      <c r="N19" s="156"/>
      <c r="O19" s="156"/>
      <c r="P19" s="156"/>
      <c r="Q19" s="156"/>
      <c r="R19" s="156"/>
      <c r="S19" s="156"/>
      <c r="T19" s="156"/>
      <c r="U19" s="156"/>
      <c r="V19" s="156"/>
      <c r="W19" s="156"/>
      <c r="X19" s="156"/>
      <c r="Y19" s="156"/>
      <c r="Z19" s="156"/>
    </row>
    <row r="20" ht="12.75" customHeight="1">
      <c r="A20" s="165" t="s">
        <v>147</v>
      </c>
      <c r="B20" s="166" t="s">
        <v>216</v>
      </c>
      <c r="C20" s="167"/>
      <c r="D20" s="167"/>
      <c r="E20" s="167"/>
      <c r="F20" s="167"/>
      <c r="G20" s="167"/>
      <c r="H20" s="168"/>
      <c r="I20" s="169"/>
      <c r="J20" s="170"/>
      <c r="K20" s="156"/>
      <c r="L20" s="156"/>
      <c r="M20" s="156"/>
      <c r="N20" s="156"/>
      <c r="O20" s="156"/>
      <c r="P20" s="156"/>
      <c r="Q20" s="156"/>
      <c r="R20" s="156"/>
      <c r="S20" s="156"/>
      <c r="T20" s="156"/>
      <c r="U20" s="156"/>
      <c r="V20" s="156"/>
      <c r="W20" s="156"/>
      <c r="X20" s="156"/>
      <c r="Y20" s="156"/>
      <c r="Z20" s="156"/>
    </row>
    <row r="21" ht="12.75" customHeight="1">
      <c r="A21" s="171"/>
      <c r="B21" s="166"/>
      <c r="C21" s="167"/>
      <c r="D21" s="167"/>
      <c r="E21" s="167"/>
      <c r="F21" s="167"/>
      <c r="G21" s="167"/>
      <c r="H21" s="168"/>
      <c r="I21" s="169"/>
      <c r="J21" s="170"/>
      <c r="K21" s="156"/>
      <c r="L21" s="156"/>
      <c r="M21" s="156"/>
      <c r="N21" s="156"/>
      <c r="O21" s="156"/>
      <c r="P21" s="156"/>
      <c r="Q21" s="156"/>
      <c r="R21" s="156"/>
      <c r="S21" s="156"/>
      <c r="T21" s="156"/>
      <c r="U21" s="156"/>
      <c r="V21" s="156"/>
      <c r="W21" s="156"/>
      <c r="X21" s="156"/>
      <c r="Y21" s="156"/>
      <c r="Z21" s="156"/>
    </row>
    <row r="22" ht="12.75" customHeight="1">
      <c r="A22" s="172" t="s">
        <v>217</v>
      </c>
      <c r="B22" s="173"/>
      <c r="C22" s="173"/>
      <c r="D22" s="173"/>
      <c r="E22" s="173"/>
      <c r="F22" s="173"/>
      <c r="G22" s="173"/>
      <c r="H22" s="174"/>
      <c r="I22" s="163"/>
      <c r="J22" s="164"/>
      <c r="K22" s="152"/>
      <c r="L22" s="152"/>
      <c r="M22" s="152"/>
      <c r="N22" s="152"/>
      <c r="O22" s="152"/>
      <c r="P22" s="152"/>
      <c r="Q22" s="152"/>
      <c r="R22" s="152"/>
      <c r="S22" s="152"/>
      <c r="T22" s="152"/>
      <c r="U22" s="152"/>
      <c r="V22" s="152"/>
      <c r="W22" s="152"/>
      <c r="X22" s="152"/>
      <c r="Y22" s="152"/>
      <c r="Z22" s="152"/>
    </row>
    <row r="23" ht="12.75" customHeight="1">
      <c r="A23" s="165" t="s">
        <v>149</v>
      </c>
      <c r="B23" s="166" t="s">
        <v>218</v>
      </c>
      <c r="C23" s="167"/>
      <c r="D23" s="167"/>
      <c r="E23" s="167"/>
      <c r="F23" s="167"/>
      <c r="G23" s="167"/>
      <c r="H23" s="168"/>
      <c r="I23" s="169"/>
      <c r="J23" s="170"/>
      <c r="K23" s="152"/>
      <c r="L23" s="152"/>
      <c r="M23" s="152"/>
      <c r="N23" s="152"/>
      <c r="O23" s="152"/>
      <c r="P23" s="152"/>
      <c r="Q23" s="152"/>
      <c r="R23" s="152"/>
      <c r="S23" s="152"/>
      <c r="T23" s="152"/>
      <c r="U23" s="152"/>
      <c r="V23" s="152"/>
      <c r="W23" s="152"/>
      <c r="X23" s="152"/>
      <c r="Y23" s="152"/>
      <c r="Z23" s="152"/>
    </row>
    <row r="24" ht="12.75" customHeight="1">
      <c r="A24" s="165" t="s">
        <v>150</v>
      </c>
      <c r="B24" s="166" t="s">
        <v>219</v>
      </c>
      <c r="C24" s="167"/>
      <c r="D24" s="167"/>
      <c r="E24" s="167"/>
      <c r="F24" s="167"/>
      <c r="G24" s="167"/>
      <c r="H24" s="168"/>
      <c r="I24" s="169"/>
      <c r="J24" s="170"/>
      <c r="K24" s="152"/>
      <c r="L24" s="152"/>
      <c r="M24" s="152"/>
      <c r="N24" s="152"/>
      <c r="O24" s="152"/>
      <c r="P24" s="152"/>
      <c r="Q24" s="152"/>
      <c r="R24" s="152"/>
      <c r="S24" s="152"/>
      <c r="T24" s="152"/>
      <c r="U24" s="152"/>
      <c r="V24" s="152"/>
      <c r="W24" s="152"/>
      <c r="X24" s="152"/>
      <c r="Y24" s="152"/>
      <c r="Z24" s="152"/>
    </row>
    <row r="25" ht="12.75" customHeight="1">
      <c r="A25" s="165" t="s">
        <v>151</v>
      </c>
      <c r="B25" s="166" t="s">
        <v>220</v>
      </c>
      <c r="C25" s="167"/>
      <c r="D25" s="167"/>
      <c r="E25" s="167"/>
      <c r="F25" s="167"/>
      <c r="G25" s="167"/>
      <c r="H25" s="168"/>
      <c r="I25" s="169"/>
      <c r="J25" s="170"/>
      <c r="K25" s="152"/>
      <c r="L25" s="152"/>
      <c r="M25" s="152"/>
      <c r="N25" s="152"/>
      <c r="O25" s="152"/>
      <c r="P25" s="152"/>
      <c r="Q25" s="152"/>
      <c r="R25" s="152"/>
      <c r="S25" s="152"/>
      <c r="T25" s="152"/>
      <c r="U25" s="152"/>
      <c r="V25" s="152"/>
      <c r="W25" s="152"/>
      <c r="X25" s="152"/>
      <c r="Y25" s="152"/>
      <c r="Z25" s="152"/>
    </row>
    <row r="26" ht="12.75" customHeight="1">
      <c r="A26" s="171"/>
      <c r="B26" s="166"/>
      <c r="C26" s="167"/>
      <c r="D26" s="167"/>
      <c r="E26" s="167"/>
      <c r="F26" s="167"/>
      <c r="G26" s="167"/>
      <c r="H26" s="168"/>
      <c r="I26" s="169"/>
      <c r="J26" s="170"/>
      <c r="K26" s="152"/>
      <c r="L26" s="152"/>
      <c r="M26" s="152"/>
      <c r="N26" s="152"/>
      <c r="O26" s="152"/>
      <c r="P26" s="152"/>
      <c r="Q26" s="152"/>
      <c r="R26" s="152"/>
      <c r="S26" s="152"/>
      <c r="T26" s="152"/>
      <c r="U26" s="152"/>
      <c r="V26" s="152"/>
      <c r="W26" s="152"/>
      <c r="X26" s="152"/>
      <c r="Y26" s="152"/>
      <c r="Z26" s="152"/>
    </row>
    <row r="27" ht="12.75" customHeight="1">
      <c r="A27" s="172" t="s">
        <v>221</v>
      </c>
      <c r="B27" s="173"/>
      <c r="C27" s="173"/>
      <c r="D27" s="173"/>
      <c r="E27" s="173"/>
      <c r="F27" s="173"/>
      <c r="G27" s="173"/>
      <c r="H27" s="174"/>
      <c r="I27" s="163"/>
      <c r="J27" s="164"/>
      <c r="K27" s="152"/>
      <c r="L27" s="152"/>
      <c r="M27" s="152"/>
      <c r="N27" s="152"/>
      <c r="O27" s="152"/>
      <c r="P27" s="152"/>
      <c r="Q27" s="152"/>
      <c r="R27" s="152"/>
      <c r="S27" s="152"/>
      <c r="T27" s="152"/>
      <c r="U27" s="152"/>
      <c r="V27" s="152"/>
      <c r="W27" s="152"/>
      <c r="X27" s="152"/>
      <c r="Y27" s="152"/>
      <c r="Z27" s="152"/>
    </row>
    <row r="28" ht="12.75" customHeight="1">
      <c r="A28" s="175" t="s">
        <v>153</v>
      </c>
      <c r="B28" s="87" t="s">
        <v>222</v>
      </c>
      <c r="C28" s="176"/>
      <c r="D28" s="176"/>
      <c r="E28" s="176"/>
      <c r="F28" s="176"/>
      <c r="G28" s="176"/>
      <c r="H28" s="177"/>
      <c r="I28" s="169"/>
      <c r="J28" s="170"/>
      <c r="K28" s="152"/>
      <c r="L28" s="152"/>
      <c r="M28" s="152"/>
      <c r="N28" s="152"/>
      <c r="O28" s="152"/>
      <c r="P28" s="152"/>
      <c r="Q28" s="152"/>
      <c r="R28" s="152"/>
      <c r="S28" s="152"/>
      <c r="T28" s="152"/>
      <c r="U28" s="152"/>
      <c r="V28" s="152"/>
      <c r="W28" s="152"/>
      <c r="X28" s="152"/>
      <c r="Y28" s="152"/>
      <c r="Z28" s="152"/>
    </row>
    <row r="29" ht="12.75" customHeight="1">
      <c r="A29" s="175" t="s">
        <v>155</v>
      </c>
      <c r="B29" s="87" t="s">
        <v>223</v>
      </c>
      <c r="C29" s="176"/>
      <c r="D29" s="176"/>
      <c r="E29" s="176"/>
      <c r="F29" s="176"/>
      <c r="G29" s="176"/>
      <c r="H29" s="177"/>
      <c r="I29" s="169"/>
      <c r="J29" s="170"/>
      <c r="K29" s="152"/>
      <c r="L29" s="152"/>
      <c r="M29" s="152"/>
      <c r="N29" s="152"/>
      <c r="O29" s="152"/>
      <c r="P29" s="152"/>
      <c r="Q29" s="152"/>
      <c r="R29" s="152"/>
      <c r="S29" s="152"/>
      <c r="T29" s="152"/>
      <c r="U29" s="152"/>
      <c r="V29" s="152"/>
      <c r="W29" s="152"/>
      <c r="X29" s="152"/>
      <c r="Y29" s="152"/>
      <c r="Z29" s="152"/>
    </row>
    <row r="30" ht="12.75" customHeight="1">
      <c r="A30" s="171"/>
      <c r="B30" s="166"/>
      <c r="C30" s="167"/>
      <c r="D30" s="167"/>
      <c r="E30" s="167"/>
      <c r="F30" s="167"/>
      <c r="G30" s="167"/>
      <c r="H30" s="168"/>
      <c r="I30" s="169"/>
      <c r="J30" s="170"/>
      <c r="K30" s="152"/>
      <c r="L30" s="152"/>
      <c r="M30" s="152"/>
      <c r="N30" s="152"/>
      <c r="O30" s="152"/>
      <c r="P30" s="152"/>
      <c r="Q30" s="152"/>
      <c r="R30" s="152"/>
      <c r="S30" s="152"/>
      <c r="T30" s="152"/>
      <c r="U30" s="152"/>
      <c r="V30" s="152"/>
      <c r="W30" s="152"/>
      <c r="X30" s="152"/>
      <c r="Y30" s="152"/>
      <c r="Z30" s="152"/>
    </row>
    <row r="31" ht="12.75" customHeight="1">
      <c r="A31" s="178" t="s">
        <v>224</v>
      </c>
      <c r="B31" s="179"/>
      <c r="C31" s="179"/>
      <c r="D31" s="179"/>
      <c r="E31" s="179"/>
      <c r="F31" s="179"/>
      <c r="G31" s="179"/>
      <c r="H31" s="180"/>
      <c r="I31" s="163"/>
      <c r="J31" s="164"/>
      <c r="K31" s="152"/>
      <c r="L31" s="152"/>
      <c r="M31" s="152"/>
      <c r="N31" s="152"/>
      <c r="O31" s="152"/>
      <c r="P31" s="152"/>
      <c r="Q31" s="152"/>
      <c r="R31" s="152"/>
      <c r="S31" s="152"/>
      <c r="T31" s="152"/>
      <c r="U31" s="152"/>
      <c r="V31" s="152"/>
      <c r="W31" s="152"/>
      <c r="X31" s="152"/>
      <c r="Y31" s="152"/>
      <c r="Z31" s="152"/>
    </row>
    <row r="32" ht="12.75" customHeight="1">
      <c r="A32" s="175" t="s">
        <v>157</v>
      </c>
      <c r="B32" s="87" t="s">
        <v>225</v>
      </c>
      <c r="C32" s="176"/>
      <c r="D32" s="176"/>
      <c r="E32" s="176"/>
      <c r="F32" s="176"/>
      <c r="G32" s="176"/>
      <c r="H32" s="177"/>
      <c r="I32" s="169"/>
      <c r="J32" s="170"/>
      <c r="K32" s="152"/>
      <c r="L32" s="152"/>
      <c r="M32" s="152"/>
      <c r="N32" s="152"/>
      <c r="O32" s="152"/>
      <c r="P32" s="152"/>
      <c r="Q32" s="152"/>
      <c r="R32" s="152"/>
      <c r="S32" s="152"/>
      <c r="T32" s="152"/>
      <c r="U32" s="152"/>
      <c r="V32" s="152"/>
      <c r="W32" s="152"/>
      <c r="X32" s="152"/>
      <c r="Y32" s="152"/>
      <c r="Z32" s="152"/>
    </row>
    <row r="33" ht="12.75" customHeight="1">
      <c r="A33" s="175" t="s">
        <v>158</v>
      </c>
      <c r="B33" s="181" t="s">
        <v>226</v>
      </c>
      <c r="C33" s="182"/>
      <c r="D33" s="182"/>
      <c r="E33" s="182"/>
      <c r="F33" s="182"/>
      <c r="G33" s="182"/>
      <c r="H33" s="183"/>
      <c r="I33" s="169"/>
      <c r="J33" s="170"/>
      <c r="K33" s="152"/>
      <c r="L33" s="152"/>
      <c r="M33" s="152"/>
      <c r="N33" s="152"/>
      <c r="O33" s="152"/>
      <c r="P33" s="152"/>
      <c r="Q33" s="152"/>
      <c r="R33" s="152"/>
      <c r="S33" s="152"/>
      <c r="T33" s="152"/>
      <c r="U33" s="152"/>
      <c r="V33" s="152"/>
      <c r="W33" s="152"/>
      <c r="X33" s="152"/>
      <c r="Y33" s="152"/>
      <c r="Z33" s="152"/>
    </row>
    <row r="34" ht="12.75" customHeight="1">
      <c r="A34" s="175" t="s">
        <v>159</v>
      </c>
      <c r="B34" s="181" t="s">
        <v>227</v>
      </c>
      <c r="C34" s="182"/>
      <c r="D34" s="182"/>
      <c r="E34" s="182"/>
      <c r="F34" s="182"/>
      <c r="G34" s="182"/>
      <c r="H34" s="183"/>
      <c r="I34" s="169"/>
      <c r="J34" s="170"/>
      <c r="K34" s="152"/>
      <c r="L34" s="152"/>
      <c r="M34" s="152"/>
      <c r="N34" s="152"/>
      <c r="O34" s="152"/>
      <c r="P34" s="152"/>
      <c r="Q34" s="152"/>
      <c r="R34" s="152"/>
      <c r="S34" s="152"/>
      <c r="T34" s="152"/>
      <c r="U34" s="152"/>
      <c r="V34" s="152"/>
      <c r="W34" s="152"/>
      <c r="X34" s="152"/>
      <c r="Y34" s="152"/>
      <c r="Z34" s="152"/>
    </row>
    <row r="35" ht="12.75" customHeight="1">
      <c r="A35" s="175" t="s">
        <v>160</v>
      </c>
      <c r="B35" s="181" t="s">
        <v>228</v>
      </c>
      <c r="C35" s="182"/>
      <c r="D35" s="182"/>
      <c r="E35" s="182"/>
      <c r="F35" s="182"/>
      <c r="G35" s="182"/>
      <c r="H35" s="183"/>
      <c r="I35" s="169"/>
      <c r="J35" s="170"/>
      <c r="K35" s="152"/>
      <c r="L35" s="152"/>
      <c r="M35" s="152"/>
      <c r="N35" s="152"/>
      <c r="O35" s="152"/>
      <c r="P35" s="152"/>
      <c r="Q35" s="152"/>
      <c r="R35" s="152"/>
      <c r="S35" s="152"/>
      <c r="T35" s="152"/>
      <c r="U35" s="152"/>
      <c r="V35" s="152"/>
      <c r="W35" s="152"/>
      <c r="X35" s="152"/>
      <c r="Y35" s="152"/>
      <c r="Z35" s="152"/>
    </row>
    <row r="36" ht="12.75" customHeight="1">
      <c r="A36" s="175" t="s">
        <v>161</v>
      </c>
      <c r="B36" s="181" t="s">
        <v>229</v>
      </c>
      <c r="C36" s="182"/>
      <c r="D36" s="182"/>
      <c r="E36" s="182"/>
      <c r="F36" s="182"/>
      <c r="G36" s="182"/>
      <c r="H36" s="183"/>
      <c r="I36" s="169"/>
      <c r="J36" s="170"/>
      <c r="K36" s="152"/>
      <c r="L36" s="152"/>
      <c r="M36" s="152"/>
      <c r="N36" s="152"/>
      <c r="O36" s="152"/>
      <c r="P36" s="152"/>
      <c r="Q36" s="152"/>
      <c r="R36" s="152"/>
      <c r="S36" s="152"/>
      <c r="T36" s="152"/>
      <c r="U36" s="152"/>
      <c r="V36" s="152"/>
      <c r="W36" s="152"/>
      <c r="X36" s="152"/>
      <c r="Y36" s="152"/>
      <c r="Z36" s="152"/>
    </row>
    <row r="37" ht="12.75" customHeight="1">
      <c r="A37" s="175" t="s">
        <v>162</v>
      </c>
      <c r="B37" s="181" t="s">
        <v>230</v>
      </c>
      <c r="C37" s="182"/>
      <c r="D37" s="182"/>
      <c r="E37" s="182"/>
      <c r="F37" s="182"/>
      <c r="G37" s="182"/>
      <c r="H37" s="183"/>
      <c r="I37" s="169"/>
      <c r="J37" s="170"/>
      <c r="K37" s="152"/>
      <c r="L37" s="152"/>
      <c r="M37" s="152"/>
      <c r="N37" s="152"/>
      <c r="O37" s="152"/>
      <c r="P37" s="152"/>
      <c r="Q37" s="152"/>
      <c r="R37" s="152"/>
      <c r="S37" s="152"/>
      <c r="T37" s="152"/>
      <c r="U37" s="152"/>
      <c r="V37" s="152"/>
      <c r="W37" s="152"/>
      <c r="X37" s="152"/>
      <c r="Y37" s="152"/>
      <c r="Z37" s="152"/>
    </row>
    <row r="38" ht="12.75" customHeight="1">
      <c r="A38" s="171"/>
      <c r="B38" s="166"/>
      <c r="C38" s="167"/>
      <c r="D38" s="167"/>
      <c r="E38" s="167"/>
      <c r="F38" s="167"/>
      <c r="G38" s="167"/>
      <c r="H38" s="168"/>
      <c r="I38" s="169"/>
      <c r="J38" s="170"/>
      <c r="K38" s="152"/>
      <c r="L38" s="152"/>
      <c r="M38" s="152"/>
      <c r="N38" s="152"/>
      <c r="O38" s="152"/>
      <c r="P38" s="152"/>
      <c r="Q38" s="152"/>
      <c r="R38" s="152"/>
      <c r="S38" s="152"/>
      <c r="T38" s="152"/>
      <c r="U38" s="152"/>
      <c r="V38" s="152"/>
      <c r="W38" s="152"/>
      <c r="X38" s="152"/>
      <c r="Y38" s="152"/>
      <c r="Z38" s="152"/>
    </row>
    <row r="39" ht="12.75" customHeight="1">
      <c r="A39" s="172" t="s">
        <v>231</v>
      </c>
      <c r="B39" s="173"/>
      <c r="C39" s="173"/>
      <c r="D39" s="173"/>
      <c r="E39" s="173"/>
      <c r="F39" s="173"/>
      <c r="G39" s="173"/>
      <c r="H39" s="174"/>
      <c r="I39" s="163"/>
      <c r="J39" s="164"/>
      <c r="K39" s="152"/>
      <c r="L39" s="152"/>
      <c r="M39" s="152"/>
      <c r="N39" s="152"/>
      <c r="O39" s="152"/>
      <c r="P39" s="152"/>
      <c r="Q39" s="152"/>
      <c r="R39" s="152"/>
      <c r="S39" s="152"/>
      <c r="T39" s="152"/>
      <c r="U39" s="152"/>
      <c r="V39" s="152"/>
      <c r="W39" s="152"/>
      <c r="X39" s="152"/>
      <c r="Y39" s="152"/>
      <c r="Z39" s="152"/>
    </row>
    <row r="40" ht="12.75" customHeight="1">
      <c r="A40" s="165" t="s">
        <v>232</v>
      </c>
      <c r="B40" s="87" t="s">
        <v>233</v>
      </c>
      <c r="C40" s="176"/>
      <c r="D40" s="176"/>
      <c r="E40" s="176"/>
      <c r="F40" s="176"/>
      <c r="G40" s="176"/>
      <c r="H40" s="177"/>
      <c r="I40" s="169"/>
      <c r="J40" s="170"/>
      <c r="K40" s="152"/>
      <c r="L40" s="152"/>
      <c r="M40" s="152"/>
      <c r="N40" s="152"/>
      <c r="O40" s="152"/>
      <c r="P40" s="152"/>
      <c r="Q40" s="152"/>
      <c r="R40" s="152"/>
      <c r="S40" s="152"/>
      <c r="T40" s="152"/>
      <c r="U40" s="152"/>
      <c r="V40" s="152"/>
      <c r="W40" s="152"/>
      <c r="X40" s="152"/>
      <c r="Y40" s="152"/>
      <c r="Z40" s="152"/>
    </row>
    <row r="41" ht="12.75" customHeight="1">
      <c r="A41" s="171"/>
      <c r="B41" s="166"/>
      <c r="C41" s="167"/>
      <c r="D41" s="167"/>
      <c r="E41" s="167"/>
      <c r="F41" s="167"/>
      <c r="G41" s="167"/>
      <c r="H41" s="168"/>
      <c r="I41" s="169"/>
      <c r="J41" s="170"/>
      <c r="K41" s="152"/>
      <c r="L41" s="152"/>
      <c r="M41" s="152"/>
      <c r="N41" s="152"/>
      <c r="O41" s="152"/>
      <c r="P41" s="152"/>
      <c r="Q41" s="152"/>
      <c r="R41" s="152"/>
      <c r="S41" s="152"/>
      <c r="T41" s="152"/>
      <c r="U41" s="152"/>
      <c r="V41" s="152"/>
      <c r="W41" s="152"/>
      <c r="X41" s="152"/>
      <c r="Y41" s="152"/>
      <c r="Z41" s="152"/>
    </row>
    <row r="42" ht="12.75" customHeight="1">
      <c r="A42" s="172" t="s">
        <v>234</v>
      </c>
      <c r="B42" s="173"/>
      <c r="C42" s="173"/>
      <c r="D42" s="173"/>
      <c r="E42" s="173"/>
      <c r="F42" s="173"/>
      <c r="G42" s="173"/>
      <c r="H42" s="174"/>
      <c r="I42" s="163"/>
      <c r="J42" s="164"/>
      <c r="K42" s="152"/>
      <c r="L42" s="152"/>
      <c r="M42" s="152"/>
      <c r="N42" s="152"/>
      <c r="O42" s="152"/>
      <c r="P42" s="152"/>
      <c r="Q42" s="152"/>
      <c r="R42" s="152"/>
      <c r="S42" s="152"/>
      <c r="T42" s="152"/>
      <c r="U42" s="152"/>
      <c r="V42" s="152"/>
      <c r="W42" s="152"/>
      <c r="X42" s="152"/>
      <c r="Y42" s="152"/>
      <c r="Z42" s="152"/>
    </row>
    <row r="43" ht="12.75" customHeight="1">
      <c r="A43" s="175" t="s">
        <v>234</v>
      </c>
      <c r="B43" s="87" t="s">
        <v>235</v>
      </c>
      <c r="C43" s="176"/>
      <c r="D43" s="176"/>
      <c r="E43" s="176"/>
      <c r="F43" s="176"/>
      <c r="G43" s="176"/>
      <c r="H43" s="177"/>
      <c r="I43" s="169"/>
      <c r="J43" s="170"/>
      <c r="K43" s="152"/>
      <c r="L43" s="152"/>
      <c r="M43" s="152"/>
      <c r="N43" s="152"/>
      <c r="O43" s="152"/>
      <c r="P43" s="152"/>
      <c r="Q43" s="152"/>
      <c r="R43" s="152"/>
      <c r="S43" s="152"/>
      <c r="T43" s="152"/>
      <c r="U43" s="152"/>
      <c r="V43" s="152"/>
      <c r="W43" s="152"/>
      <c r="X43" s="152"/>
      <c r="Y43" s="152"/>
      <c r="Z43" s="152"/>
    </row>
    <row r="44" ht="12.75" customHeight="1">
      <c r="A44" s="171"/>
      <c r="B44" s="166"/>
      <c r="C44" s="167"/>
      <c r="D44" s="167"/>
      <c r="E44" s="167"/>
      <c r="F44" s="167"/>
      <c r="G44" s="167"/>
      <c r="H44" s="168"/>
      <c r="I44" s="169"/>
      <c r="J44" s="170"/>
      <c r="K44" s="152"/>
      <c r="L44" s="152"/>
      <c r="M44" s="152"/>
      <c r="N44" s="152"/>
      <c r="O44" s="152"/>
      <c r="P44" s="152"/>
      <c r="Q44" s="152"/>
      <c r="R44" s="152"/>
      <c r="S44" s="152"/>
      <c r="T44" s="152"/>
      <c r="U44" s="152"/>
      <c r="V44" s="152"/>
      <c r="W44" s="152"/>
      <c r="X44" s="152"/>
      <c r="Y44" s="152"/>
      <c r="Z44" s="152"/>
    </row>
    <row r="45" ht="12.75" customHeight="1">
      <c r="A45" s="172" t="s">
        <v>236</v>
      </c>
      <c r="B45" s="173"/>
      <c r="C45" s="173"/>
      <c r="D45" s="173"/>
      <c r="E45" s="173"/>
      <c r="F45" s="173"/>
      <c r="G45" s="173"/>
      <c r="H45" s="174"/>
      <c r="I45" s="163"/>
      <c r="J45" s="164"/>
      <c r="K45" s="152"/>
      <c r="L45" s="152"/>
      <c r="M45" s="152"/>
      <c r="N45" s="152"/>
      <c r="O45" s="152"/>
      <c r="P45" s="152"/>
      <c r="Q45" s="152"/>
      <c r="R45" s="152"/>
      <c r="S45" s="152"/>
      <c r="T45" s="152"/>
      <c r="U45" s="152"/>
      <c r="V45" s="152"/>
      <c r="W45" s="152"/>
      <c r="X45" s="152"/>
      <c r="Y45" s="152"/>
      <c r="Z45" s="152"/>
    </row>
    <row r="46" ht="12.75" customHeight="1">
      <c r="A46" s="165" t="s">
        <v>170</v>
      </c>
      <c r="B46" s="166" t="s">
        <v>237</v>
      </c>
      <c r="C46" s="167"/>
      <c r="D46" s="167"/>
      <c r="E46" s="167"/>
      <c r="F46" s="167"/>
      <c r="G46" s="167"/>
      <c r="H46" s="168"/>
      <c r="I46" s="169"/>
      <c r="J46" s="170"/>
      <c r="K46" s="152"/>
      <c r="L46" s="152"/>
      <c r="M46" s="152"/>
      <c r="N46" s="152"/>
      <c r="O46" s="152"/>
      <c r="P46" s="152"/>
      <c r="Q46" s="152"/>
      <c r="R46" s="152"/>
      <c r="S46" s="152"/>
      <c r="T46" s="152"/>
      <c r="U46" s="152"/>
      <c r="V46" s="152"/>
      <c r="W46" s="152"/>
      <c r="X46" s="152"/>
      <c r="Y46" s="152"/>
      <c r="Z46" s="152"/>
    </row>
    <row r="47" ht="12.75" customHeight="1">
      <c r="A47" s="165" t="s">
        <v>171</v>
      </c>
      <c r="B47" s="87" t="s">
        <v>238</v>
      </c>
      <c r="C47" s="176"/>
      <c r="D47" s="176"/>
      <c r="E47" s="176"/>
      <c r="F47" s="176"/>
      <c r="G47" s="176"/>
      <c r="H47" s="177"/>
      <c r="I47" s="169"/>
      <c r="J47" s="170"/>
      <c r="K47" s="152"/>
      <c r="L47" s="152"/>
      <c r="M47" s="152"/>
      <c r="N47" s="152"/>
      <c r="O47" s="152"/>
      <c r="P47" s="152"/>
      <c r="Q47" s="152"/>
      <c r="R47" s="152"/>
      <c r="S47" s="152"/>
      <c r="T47" s="152"/>
      <c r="U47" s="152"/>
      <c r="V47" s="152"/>
      <c r="W47" s="152"/>
      <c r="X47" s="152"/>
      <c r="Y47" s="152"/>
      <c r="Z47" s="152"/>
    </row>
    <row r="48" ht="12.75" customHeight="1">
      <c r="A48" s="165" t="s">
        <v>239</v>
      </c>
      <c r="B48" s="181" t="s">
        <v>240</v>
      </c>
      <c r="C48" s="182"/>
      <c r="D48" s="182"/>
      <c r="E48" s="182"/>
      <c r="F48" s="182"/>
      <c r="G48" s="182"/>
      <c r="H48" s="183"/>
      <c r="I48" s="169"/>
      <c r="J48" s="170"/>
      <c r="K48" s="152"/>
      <c r="L48" s="152"/>
      <c r="M48" s="152"/>
      <c r="N48" s="152"/>
      <c r="O48" s="152"/>
      <c r="P48" s="152"/>
      <c r="Q48" s="152"/>
      <c r="R48" s="152"/>
      <c r="S48" s="152"/>
      <c r="T48" s="152"/>
      <c r="U48" s="152"/>
      <c r="V48" s="152"/>
      <c r="W48" s="152"/>
      <c r="X48" s="152"/>
      <c r="Y48" s="152"/>
      <c r="Z48" s="152"/>
    </row>
    <row r="49" ht="12.75" customHeight="1">
      <c r="A49" s="175" t="s">
        <v>241</v>
      </c>
      <c r="B49" s="87" t="s">
        <v>242</v>
      </c>
      <c r="C49" s="176"/>
      <c r="D49" s="176"/>
      <c r="E49" s="176"/>
      <c r="F49" s="176"/>
      <c r="G49" s="176"/>
      <c r="H49" s="177"/>
      <c r="I49" s="169"/>
      <c r="J49" s="170"/>
      <c r="K49" s="152"/>
      <c r="L49" s="152"/>
      <c r="M49" s="152"/>
      <c r="N49" s="152"/>
      <c r="O49" s="152"/>
      <c r="P49" s="152"/>
      <c r="Q49" s="152"/>
      <c r="R49" s="152"/>
      <c r="S49" s="152"/>
      <c r="T49" s="152"/>
      <c r="U49" s="152"/>
      <c r="V49" s="152"/>
      <c r="W49" s="152"/>
      <c r="X49" s="152"/>
      <c r="Y49" s="152"/>
      <c r="Z49" s="152"/>
    </row>
    <row r="50" ht="12.75" customHeight="1">
      <c r="A50" s="184" t="s">
        <v>172</v>
      </c>
      <c r="B50" s="185"/>
      <c r="C50" s="186" t="s">
        <v>243</v>
      </c>
      <c r="D50" s="61"/>
      <c r="E50" s="186" t="s">
        <v>244</v>
      </c>
      <c r="F50" s="61"/>
      <c r="G50" s="186" t="s">
        <v>245</v>
      </c>
      <c r="H50" s="61"/>
      <c r="I50" s="169"/>
      <c r="J50" s="170"/>
      <c r="K50" s="152"/>
      <c r="L50" s="152"/>
      <c r="M50" s="152"/>
      <c r="N50" s="152"/>
      <c r="O50" s="152"/>
      <c r="P50" s="152"/>
      <c r="Q50" s="152"/>
      <c r="R50" s="152"/>
      <c r="S50" s="152"/>
      <c r="T50" s="152"/>
      <c r="U50" s="152"/>
      <c r="V50" s="152"/>
      <c r="W50" s="152"/>
      <c r="X50" s="152"/>
      <c r="Y50" s="152"/>
      <c r="Z50" s="152"/>
    </row>
    <row r="51" ht="12.75" customHeight="1">
      <c r="A51" s="187"/>
      <c r="B51" s="188" t="s">
        <v>246</v>
      </c>
      <c r="C51" s="189" t="s">
        <v>247</v>
      </c>
      <c r="D51" s="30"/>
      <c r="E51" s="30"/>
      <c r="F51" s="61"/>
      <c r="G51" s="190" t="s">
        <v>248</v>
      </c>
      <c r="H51" s="191"/>
      <c r="I51" s="169"/>
      <c r="J51" s="170"/>
      <c r="K51" s="152"/>
      <c r="L51" s="152"/>
      <c r="M51" s="152"/>
      <c r="N51" s="152"/>
      <c r="O51" s="152"/>
      <c r="P51" s="152"/>
      <c r="Q51" s="152"/>
      <c r="R51" s="152"/>
      <c r="S51" s="152"/>
      <c r="T51" s="152"/>
      <c r="U51" s="152"/>
      <c r="V51" s="152"/>
      <c r="W51" s="152"/>
      <c r="X51" s="152"/>
      <c r="Y51" s="152"/>
      <c r="Z51" s="152"/>
    </row>
    <row r="52" ht="29.25" customHeight="1">
      <c r="A52" s="187"/>
      <c r="B52" s="188" t="s">
        <v>249</v>
      </c>
      <c r="C52" s="189" t="s">
        <v>250</v>
      </c>
      <c r="D52" s="61"/>
      <c r="E52" s="192" t="s">
        <v>251</v>
      </c>
      <c r="F52" s="61"/>
      <c r="G52" s="193"/>
      <c r="H52" s="194"/>
      <c r="I52" s="169"/>
      <c r="J52" s="170"/>
      <c r="K52" s="152"/>
      <c r="L52" s="152"/>
      <c r="M52" s="152"/>
      <c r="N52" s="152"/>
      <c r="O52" s="152"/>
      <c r="P52" s="152"/>
      <c r="Q52" s="152"/>
      <c r="R52" s="152"/>
      <c r="S52" s="152"/>
      <c r="T52" s="152"/>
      <c r="U52" s="152"/>
      <c r="V52" s="152"/>
      <c r="W52" s="152"/>
      <c r="X52" s="152"/>
      <c r="Y52" s="152"/>
      <c r="Z52" s="152"/>
    </row>
    <row r="53" ht="42.75" customHeight="1">
      <c r="A53" s="187"/>
      <c r="B53" s="188" t="s">
        <v>252</v>
      </c>
      <c r="C53" s="189" t="s">
        <v>253</v>
      </c>
      <c r="D53" s="61"/>
      <c r="E53" s="192" t="s">
        <v>254</v>
      </c>
      <c r="F53" s="61"/>
      <c r="G53" s="193"/>
      <c r="H53" s="194"/>
      <c r="I53" s="169"/>
      <c r="J53" s="170"/>
      <c r="K53" s="152"/>
      <c r="L53" s="152"/>
      <c r="M53" s="152"/>
      <c r="N53" s="152"/>
      <c r="O53" s="152"/>
      <c r="P53" s="152"/>
      <c r="Q53" s="152"/>
      <c r="R53" s="152"/>
      <c r="S53" s="152"/>
      <c r="T53" s="152"/>
      <c r="U53" s="152"/>
      <c r="V53" s="152"/>
      <c r="W53" s="152"/>
      <c r="X53" s="152"/>
      <c r="Y53" s="152"/>
      <c r="Z53" s="152"/>
    </row>
    <row r="54" ht="30.0" customHeight="1">
      <c r="A54" s="187"/>
      <c r="B54" s="188" t="s">
        <v>255</v>
      </c>
      <c r="C54" s="189" t="s">
        <v>256</v>
      </c>
      <c r="D54" s="61"/>
      <c r="E54" s="192" t="s">
        <v>257</v>
      </c>
      <c r="F54" s="61"/>
      <c r="G54" s="193"/>
      <c r="H54" s="194"/>
      <c r="I54" s="195"/>
      <c r="J54" s="196"/>
      <c r="K54" s="152"/>
      <c r="L54" s="152"/>
      <c r="M54" s="152"/>
      <c r="N54" s="152"/>
      <c r="O54" s="152"/>
      <c r="P54" s="152"/>
      <c r="Q54" s="152"/>
      <c r="R54" s="152"/>
      <c r="S54" s="152"/>
      <c r="T54" s="152"/>
      <c r="U54" s="152"/>
      <c r="V54" s="152"/>
      <c r="W54" s="152"/>
      <c r="X54" s="152"/>
      <c r="Y54" s="152"/>
      <c r="Z54" s="152"/>
    </row>
    <row r="55" ht="12.75" customHeight="1">
      <c r="A55" s="187"/>
      <c r="B55" s="188" t="s">
        <v>258</v>
      </c>
      <c r="C55" s="189" t="s">
        <v>259</v>
      </c>
      <c r="D55" s="61"/>
      <c r="E55" s="192" t="s">
        <v>260</v>
      </c>
      <c r="F55" s="61"/>
      <c r="G55" s="193"/>
      <c r="H55" s="194"/>
      <c r="I55" s="195"/>
      <c r="J55" s="196"/>
      <c r="K55" s="152"/>
      <c r="L55" s="152"/>
      <c r="M55" s="152"/>
      <c r="N55" s="152"/>
      <c r="O55" s="152"/>
      <c r="P55" s="152"/>
      <c r="Q55" s="152"/>
      <c r="R55" s="152"/>
      <c r="S55" s="152"/>
      <c r="T55" s="152"/>
      <c r="U55" s="152"/>
      <c r="V55" s="152"/>
      <c r="W55" s="152"/>
      <c r="X55" s="152"/>
      <c r="Y55" s="152"/>
      <c r="Z55" s="152"/>
    </row>
    <row r="56" ht="12.75" customHeight="1">
      <c r="A56" s="187"/>
      <c r="B56" s="188" t="s">
        <v>261</v>
      </c>
      <c r="C56" s="189" t="s">
        <v>262</v>
      </c>
      <c r="D56" s="61"/>
      <c r="E56" s="192" t="s">
        <v>263</v>
      </c>
      <c r="F56" s="61"/>
      <c r="G56" s="193"/>
      <c r="H56" s="194"/>
      <c r="I56" s="169"/>
      <c r="J56" s="170"/>
      <c r="K56" s="152"/>
      <c r="L56" s="152"/>
      <c r="M56" s="152"/>
      <c r="N56" s="152"/>
      <c r="O56" s="152"/>
      <c r="P56" s="152"/>
      <c r="Q56" s="152"/>
      <c r="R56" s="152"/>
      <c r="S56" s="152"/>
      <c r="T56" s="152"/>
      <c r="U56" s="152"/>
      <c r="V56" s="152"/>
      <c r="W56" s="152"/>
      <c r="X56" s="152"/>
      <c r="Y56" s="152"/>
      <c r="Z56" s="152"/>
    </row>
    <row r="57" ht="12.75" customHeight="1">
      <c r="A57" s="197"/>
      <c r="B57" s="188" t="s">
        <v>264</v>
      </c>
      <c r="C57" s="189" t="s">
        <v>265</v>
      </c>
      <c r="D57" s="61"/>
      <c r="E57" s="192" t="s">
        <v>266</v>
      </c>
      <c r="F57" s="61"/>
      <c r="G57" s="193"/>
      <c r="H57" s="194"/>
      <c r="I57" s="169"/>
      <c r="J57" s="170"/>
      <c r="K57" s="152"/>
      <c r="L57" s="152"/>
      <c r="M57" s="152"/>
      <c r="N57" s="152"/>
      <c r="O57" s="152"/>
      <c r="P57" s="152"/>
      <c r="Q57" s="152"/>
      <c r="R57" s="152"/>
      <c r="S57" s="152"/>
      <c r="T57" s="152"/>
      <c r="U57" s="152"/>
      <c r="V57" s="152"/>
      <c r="W57" s="152"/>
      <c r="X57" s="152"/>
      <c r="Y57" s="152"/>
      <c r="Z57" s="152"/>
    </row>
    <row r="58" ht="12.75" customHeight="1">
      <c r="A58" s="198" t="s">
        <v>173</v>
      </c>
      <c r="B58" s="185"/>
      <c r="C58" s="186" t="s">
        <v>243</v>
      </c>
      <c r="D58" s="61"/>
      <c r="E58" s="186" t="s">
        <v>244</v>
      </c>
      <c r="F58" s="61"/>
      <c r="G58" s="186" t="s">
        <v>245</v>
      </c>
      <c r="H58" s="61"/>
      <c r="I58" s="169"/>
      <c r="J58" s="170"/>
      <c r="K58" s="152"/>
      <c r="L58" s="152"/>
      <c r="M58" s="152"/>
      <c r="N58" s="152"/>
      <c r="O58" s="152"/>
      <c r="P58" s="152"/>
      <c r="Q58" s="152"/>
      <c r="R58" s="152"/>
      <c r="S58" s="152"/>
      <c r="T58" s="152"/>
      <c r="U58" s="152"/>
      <c r="V58" s="152"/>
      <c r="W58" s="152"/>
      <c r="X58" s="152"/>
      <c r="Y58" s="152"/>
      <c r="Z58" s="152"/>
    </row>
    <row r="59" ht="12.75" customHeight="1">
      <c r="A59" s="187"/>
      <c r="B59" s="188" t="s">
        <v>246</v>
      </c>
      <c r="C59" s="189" t="s">
        <v>267</v>
      </c>
      <c r="D59" s="30"/>
      <c r="E59" s="30"/>
      <c r="F59" s="61"/>
      <c r="G59" s="190" t="s">
        <v>248</v>
      </c>
      <c r="H59" s="191"/>
      <c r="I59" s="169"/>
      <c r="J59" s="170"/>
      <c r="K59" s="152"/>
      <c r="L59" s="152"/>
      <c r="M59" s="152"/>
      <c r="N59" s="152"/>
      <c r="O59" s="152"/>
      <c r="P59" s="152"/>
      <c r="Q59" s="152"/>
      <c r="R59" s="152"/>
      <c r="S59" s="152"/>
      <c r="T59" s="152"/>
      <c r="U59" s="152"/>
      <c r="V59" s="152"/>
      <c r="W59" s="152"/>
      <c r="X59" s="152"/>
      <c r="Y59" s="152"/>
      <c r="Z59" s="152"/>
    </row>
    <row r="60" ht="27.75" customHeight="1">
      <c r="A60" s="187"/>
      <c r="B60" s="188" t="s">
        <v>249</v>
      </c>
      <c r="C60" s="189" t="s">
        <v>268</v>
      </c>
      <c r="D60" s="61"/>
      <c r="E60" s="192" t="s">
        <v>251</v>
      </c>
      <c r="F60" s="61"/>
      <c r="G60" s="193"/>
      <c r="H60" s="194"/>
      <c r="I60" s="169"/>
      <c r="J60" s="170"/>
      <c r="K60" s="152"/>
      <c r="L60" s="152"/>
      <c r="M60" s="152"/>
      <c r="N60" s="152"/>
      <c r="O60" s="152"/>
      <c r="P60" s="152"/>
      <c r="Q60" s="152"/>
      <c r="R60" s="152"/>
      <c r="S60" s="152"/>
      <c r="T60" s="152"/>
      <c r="U60" s="152"/>
      <c r="V60" s="152"/>
      <c r="W60" s="152"/>
      <c r="X60" s="152"/>
      <c r="Y60" s="152"/>
      <c r="Z60" s="152"/>
    </row>
    <row r="61" ht="54.0" customHeight="1">
      <c r="A61" s="187"/>
      <c r="B61" s="188" t="s">
        <v>269</v>
      </c>
      <c r="C61" s="189" t="s">
        <v>270</v>
      </c>
      <c r="D61" s="61"/>
      <c r="E61" s="192" t="s">
        <v>271</v>
      </c>
      <c r="F61" s="61"/>
      <c r="G61" s="193"/>
      <c r="H61" s="194"/>
      <c r="I61" s="169"/>
      <c r="J61" s="170"/>
      <c r="K61" s="152"/>
      <c r="L61" s="152"/>
      <c r="M61" s="152"/>
      <c r="N61" s="152"/>
      <c r="O61" s="152"/>
      <c r="P61" s="152"/>
      <c r="Q61" s="152"/>
      <c r="R61" s="152"/>
      <c r="S61" s="152"/>
      <c r="T61" s="152"/>
      <c r="U61" s="152"/>
      <c r="V61" s="152"/>
      <c r="W61" s="152"/>
      <c r="X61" s="152"/>
      <c r="Y61" s="152"/>
      <c r="Z61" s="152"/>
    </row>
    <row r="62" ht="27.75" customHeight="1">
      <c r="A62" s="187"/>
      <c r="B62" s="188" t="s">
        <v>272</v>
      </c>
      <c r="C62" s="189" t="s">
        <v>256</v>
      </c>
      <c r="D62" s="61"/>
      <c r="E62" s="192" t="s">
        <v>257</v>
      </c>
      <c r="F62" s="61"/>
      <c r="G62" s="193"/>
      <c r="H62" s="194"/>
      <c r="I62" s="195"/>
      <c r="J62" s="196"/>
      <c r="K62" s="152"/>
      <c r="L62" s="152"/>
      <c r="M62" s="152"/>
      <c r="N62" s="152"/>
      <c r="O62" s="152"/>
      <c r="P62" s="152"/>
      <c r="Q62" s="152"/>
      <c r="R62" s="152"/>
      <c r="S62" s="152"/>
      <c r="T62" s="152"/>
      <c r="U62" s="152"/>
      <c r="V62" s="152"/>
      <c r="W62" s="152"/>
      <c r="X62" s="152"/>
      <c r="Y62" s="152"/>
      <c r="Z62" s="152"/>
    </row>
    <row r="63" ht="25.5" customHeight="1">
      <c r="A63" s="187"/>
      <c r="B63" s="188" t="s">
        <v>273</v>
      </c>
      <c r="C63" s="189" t="s">
        <v>259</v>
      </c>
      <c r="D63" s="61"/>
      <c r="E63" s="192" t="s">
        <v>260</v>
      </c>
      <c r="F63" s="61"/>
      <c r="G63" s="193"/>
      <c r="H63" s="194"/>
      <c r="I63" s="195"/>
      <c r="J63" s="196"/>
      <c r="K63" s="152"/>
      <c r="L63" s="152"/>
      <c r="M63" s="152"/>
      <c r="N63" s="152"/>
      <c r="O63" s="152"/>
      <c r="P63" s="152"/>
      <c r="Q63" s="152"/>
      <c r="R63" s="152"/>
      <c r="S63" s="152"/>
      <c r="T63" s="152"/>
      <c r="U63" s="152"/>
      <c r="V63" s="152"/>
      <c r="W63" s="152"/>
      <c r="X63" s="152"/>
      <c r="Y63" s="152"/>
      <c r="Z63" s="152"/>
    </row>
    <row r="64" ht="41.25" customHeight="1">
      <c r="A64" s="187"/>
      <c r="B64" s="188" t="s">
        <v>274</v>
      </c>
      <c r="C64" s="189" t="s">
        <v>262</v>
      </c>
      <c r="D64" s="61"/>
      <c r="E64" s="192" t="s">
        <v>263</v>
      </c>
      <c r="F64" s="61"/>
      <c r="G64" s="193"/>
      <c r="H64" s="194"/>
      <c r="I64" s="169"/>
      <c r="J64" s="170"/>
      <c r="K64" s="152"/>
      <c r="L64" s="152"/>
      <c r="M64" s="152"/>
      <c r="N64" s="152"/>
      <c r="O64" s="152"/>
      <c r="P64" s="152"/>
      <c r="Q64" s="152"/>
      <c r="R64" s="152"/>
      <c r="S64" s="152"/>
      <c r="T64" s="152"/>
      <c r="U64" s="152"/>
      <c r="V64" s="152"/>
      <c r="W64" s="152"/>
      <c r="X64" s="152"/>
      <c r="Y64" s="152"/>
      <c r="Z64" s="152"/>
    </row>
    <row r="65" ht="12.75" customHeight="1">
      <c r="A65" s="197"/>
      <c r="B65" s="188" t="s">
        <v>275</v>
      </c>
      <c r="C65" s="189" t="s">
        <v>265</v>
      </c>
      <c r="D65" s="61"/>
      <c r="E65" s="192" t="s">
        <v>266</v>
      </c>
      <c r="F65" s="61"/>
      <c r="G65" s="193"/>
      <c r="H65" s="194"/>
      <c r="I65" s="169"/>
      <c r="J65" s="170"/>
      <c r="K65" s="152"/>
      <c r="L65" s="152"/>
      <c r="M65" s="152"/>
      <c r="N65" s="152"/>
      <c r="O65" s="152"/>
      <c r="P65" s="152"/>
      <c r="Q65" s="152"/>
      <c r="R65" s="152"/>
      <c r="S65" s="152"/>
      <c r="T65" s="152"/>
      <c r="U65" s="152"/>
      <c r="V65" s="152"/>
      <c r="W65" s="152"/>
      <c r="X65" s="152"/>
      <c r="Y65" s="152"/>
      <c r="Z65" s="152"/>
    </row>
    <row r="66" ht="12.75" customHeight="1">
      <c r="A66" s="184" t="s">
        <v>174</v>
      </c>
      <c r="B66" s="199"/>
      <c r="C66" s="200" t="s">
        <v>243</v>
      </c>
      <c r="D66" s="61"/>
      <c r="E66" s="200" t="s">
        <v>244</v>
      </c>
      <c r="F66" s="61"/>
      <c r="G66" s="186" t="s">
        <v>245</v>
      </c>
      <c r="H66" s="61"/>
      <c r="I66" s="169"/>
      <c r="J66" s="170"/>
      <c r="K66" s="152"/>
      <c r="L66" s="152"/>
      <c r="M66" s="152"/>
      <c r="N66" s="152"/>
      <c r="O66" s="152"/>
      <c r="P66" s="152"/>
      <c r="Q66" s="152"/>
      <c r="R66" s="152"/>
      <c r="S66" s="152"/>
      <c r="T66" s="152"/>
      <c r="U66" s="152"/>
      <c r="V66" s="152"/>
      <c r="W66" s="152"/>
      <c r="X66" s="152"/>
      <c r="Y66" s="152"/>
      <c r="Z66" s="152"/>
    </row>
    <row r="67" ht="12.75" customHeight="1">
      <c r="A67" s="187"/>
      <c r="B67" s="188" t="s">
        <v>246</v>
      </c>
      <c r="C67" s="192" t="s">
        <v>276</v>
      </c>
      <c r="D67" s="30"/>
      <c r="E67" s="30"/>
      <c r="F67" s="61"/>
      <c r="G67" s="190" t="s">
        <v>277</v>
      </c>
      <c r="H67" s="191"/>
      <c r="I67" s="169"/>
      <c r="J67" s="170"/>
      <c r="K67" s="152"/>
      <c r="L67" s="152"/>
      <c r="M67" s="152"/>
      <c r="N67" s="152"/>
      <c r="O67" s="152"/>
      <c r="P67" s="152"/>
      <c r="Q67" s="152"/>
      <c r="R67" s="152"/>
      <c r="S67" s="152"/>
      <c r="T67" s="152"/>
      <c r="U67" s="152"/>
      <c r="V67" s="152"/>
      <c r="W67" s="152"/>
      <c r="X67" s="152"/>
      <c r="Y67" s="152"/>
      <c r="Z67" s="152"/>
    </row>
    <row r="68" ht="27.75" customHeight="1">
      <c r="A68" s="187"/>
      <c r="B68" s="188" t="s">
        <v>249</v>
      </c>
      <c r="C68" s="189" t="s">
        <v>278</v>
      </c>
      <c r="D68" s="61"/>
      <c r="E68" s="192" t="s">
        <v>279</v>
      </c>
      <c r="F68" s="61"/>
      <c r="G68" s="193"/>
      <c r="H68" s="194"/>
      <c r="I68" s="169"/>
      <c r="J68" s="170"/>
      <c r="K68" s="152"/>
      <c r="L68" s="152"/>
      <c r="M68" s="152"/>
      <c r="N68" s="152"/>
      <c r="O68" s="152"/>
      <c r="P68" s="152"/>
      <c r="Q68" s="152"/>
      <c r="R68" s="152"/>
      <c r="S68" s="152"/>
      <c r="T68" s="152"/>
      <c r="U68" s="152"/>
      <c r="V68" s="152"/>
      <c r="W68" s="152"/>
      <c r="X68" s="152"/>
      <c r="Y68" s="152"/>
      <c r="Z68" s="152"/>
    </row>
    <row r="69" ht="12.75" customHeight="1">
      <c r="A69" s="187"/>
      <c r="B69" s="188" t="s">
        <v>280</v>
      </c>
      <c r="C69" s="189" t="s">
        <v>281</v>
      </c>
      <c r="D69" s="61"/>
      <c r="E69" s="192" t="s">
        <v>282</v>
      </c>
      <c r="F69" s="61"/>
      <c r="G69" s="193"/>
      <c r="H69" s="194"/>
      <c r="I69" s="169"/>
      <c r="J69" s="170"/>
      <c r="K69" s="152"/>
      <c r="L69" s="152"/>
      <c r="M69" s="152"/>
      <c r="N69" s="152"/>
      <c r="O69" s="152"/>
      <c r="P69" s="152"/>
      <c r="Q69" s="152"/>
      <c r="R69" s="152"/>
      <c r="S69" s="152"/>
      <c r="T69" s="152"/>
      <c r="U69" s="152"/>
      <c r="V69" s="152"/>
      <c r="W69" s="152"/>
      <c r="X69" s="152"/>
      <c r="Y69" s="152"/>
      <c r="Z69" s="152"/>
    </row>
    <row r="70" ht="39.0" customHeight="1">
      <c r="A70" s="187"/>
      <c r="B70" s="188" t="s">
        <v>283</v>
      </c>
      <c r="C70" s="189" t="s">
        <v>284</v>
      </c>
      <c r="D70" s="61"/>
      <c r="E70" s="192" t="s">
        <v>282</v>
      </c>
      <c r="F70" s="61"/>
      <c r="G70" s="193"/>
      <c r="H70" s="194"/>
      <c r="I70" s="169"/>
      <c r="J70" s="170"/>
      <c r="K70" s="152"/>
      <c r="L70" s="152"/>
      <c r="M70" s="152"/>
      <c r="N70" s="152"/>
      <c r="O70" s="152"/>
      <c r="P70" s="152"/>
      <c r="Q70" s="152"/>
      <c r="R70" s="152"/>
      <c r="S70" s="152"/>
      <c r="T70" s="152"/>
      <c r="U70" s="152"/>
      <c r="V70" s="152"/>
      <c r="W70" s="152"/>
      <c r="X70" s="152"/>
      <c r="Y70" s="152"/>
      <c r="Z70" s="152"/>
    </row>
    <row r="71" ht="27.75" customHeight="1">
      <c r="A71" s="187"/>
      <c r="B71" s="188" t="s">
        <v>285</v>
      </c>
      <c r="C71" s="189" t="s">
        <v>286</v>
      </c>
      <c r="D71" s="61"/>
      <c r="E71" s="192" t="s">
        <v>287</v>
      </c>
      <c r="F71" s="61"/>
      <c r="G71" s="193"/>
      <c r="H71" s="194"/>
      <c r="I71" s="195"/>
      <c r="J71" s="196"/>
      <c r="K71" s="152"/>
      <c r="L71" s="152"/>
      <c r="M71" s="152"/>
      <c r="N71" s="152"/>
      <c r="O71" s="152"/>
      <c r="P71" s="152"/>
      <c r="Q71" s="152"/>
      <c r="R71" s="152"/>
      <c r="S71" s="152"/>
      <c r="T71" s="152"/>
      <c r="U71" s="152"/>
      <c r="V71" s="152"/>
      <c r="W71" s="152"/>
      <c r="X71" s="152"/>
      <c r="Y71" s="152"/>
      <c r="Z71" s="152"/>
    </row>
    <row r="72" ht="53.25" customHeight="1">
      <c r="A72" s="187"/>
      <c r="B72" s="188" t="s">
        <v>288</v>
      </c>
      <c r="C72" s="189" t="s">
        <v>289</v>
      </c>
      <c r="D72" s="61"/>
      <c r="E72" s="192" t="s">
        <v>290</v>
      </c>
      <c r="F72" s="61"/>
      <c r="G72" s="193"/>
      <c r="H72" s="194"/>
      <c r="I72" s="195"/>
      <c r="J72" s="196"/>
      <c r="K72" s="152"/>
      <c r="L72" s="152"/>
      <c r="M72" s="152"/>
      <c r="N72" s="152"/>
      <c r="O72" s="152"/>
      <c r="P72" s="152"/>
      <c r="Q72" s="152"/>
      <c r="R72" s="152"/>
      <c r="S72" s="152"/>
      <c r="T72" s="152"/>
      <c r="U72" s="152"/>
      <c r="V72" s="152"/>
      <c r="W72" s="152"/>
      <c r="X72" s="152"/>
      <c r="Y72" s="152"/>
      <c r="Z72" s="152"/>
    </row>
    <row r="73" ht="27.0" customHeight="1">
      <c r="A73" s="187"/>
      <c r="B73" s="188" t="s">
        <v>291</v>
      </c>
      <c r="C73" s="189" t="s">
        <v>292</v>
      </c>
      <c r="D73" s="61"/>
      <c r="E73" s="192" t="s">
        <v>293</v>
      </c>
      <c r="F73" s="61"/>
      <c r="G73" s="193"/>
      <c r="H73" s="194"/>
      <c r="I73" s="195"/>
      <c r="J73" s="196"/>
      <c r="K73" s="152"/>
      <c r="L73" s="152"/>
      <c r="M73" s="152"/>
      <c r="N73" s="152"/>
      <c r="O73" s="152"/>
      <c r="P73" s="152"/>
      <c r="Q73" s="152"/>
      <c r="R73" s="152"/>
      <c r="S73" s="152"/>
      <c r="T73" s="152"/>
      <c r="U73" s="152"/>
      <c r="V73" s="152"/>
      <c r="W73" s="152"/>
      <c r="X73" s="152"/>
      <c r="Y73" s="152"/>
      <c r="Z73" s="152"/>
    </row>
    <row r="74" ht="66.75" customHeight="1">
      <c r="A74" s="187"/>
      <c r="B74" s="188" t="s">
        <v>294</v>
      </c>
      <c r="C74" s="189" t="s">
        <v>295</v>
      </c>
      <c r="D74" s="61"/>
      <c r="E74" s="192" t="s">
        <v>296</v>
      </c>
      <c r="F74" s="61"/>
      <c r="G74" s="193"/>
      <c r="H74" s="194"/>
      <c r="I74" s="195"/>
      <c r="J74" s="196"/>
      <c r="K74" s="152"/>
      <c r="L74" s="152"/>
      <c r="M74" s="152"/>
      <c r="N74" s="152"/>
      <c r="O74" s="152"/>
      <c r="P74" s="152"/>
      <c r="Q74" s="152"/>
      <c r="R74" s="152"/>
      <c r="S74" s="152"/>
      <c r="T74" s="152"/>
      <c r="U74" s="152"/>
      <c r="V74" s="152"/>
      <c r="W74" s="152"/>
      <c r="X74" s="152"/>
      <c r="Y74" s="152"/>
      <c r="Z74" s="152"/>
    </row>
    <row r="75" ht="67.5" customHeight="1">
      <c r="A75" s="187"/>
      <c r="B75" s="188" t="s">
        <v>297</v>
      </c>
      <c r="C75" s="189" t="s">
        <v>298</v>
      </c>
      <c r="D75" s="61"/>
      <c r="E75" s="192" t="s">
        <v>296</v>
      </c>
      <c r="F75" s="61"/>
      <c r="G75" s="193"/>
      <c r="H75" s="194"/>
      <c r="I75" s="169"/>
      <c r="J75" s="170"/>
      <c r="K75" s="152"/>
      <c r="L75" s="152"/>
      <c r="M75" s="152"/>
      <c r="N75" s="152"/>
      <c r="O75" s="152"/>
      <c r="P75" s="152"/>
      <c r="Q75" s="152"/>
      <c r="R75" s="152"/>
      <c r="S75" s="152"/>
      <c r="T75" s="152"/>
      <c r="U75" s="152"/>
      <c r="V75" s="152"/>
      <c r="W75" s="152"/>
      <c r="X75" s="152"/>
      <c r="Y75" s="152"/>
      <c r="Z75" s="152"/>
    </row>
    <row r="76" ht="39.75" customHeight="1">
      <c r="A76" s="197"/>
      <c r="B76" s="188" t="s">
        <v>299</v>
      </c>
      <c r="C76" s="189" t="s">
        <v>300</v>
      </c>
      <c r="D76" s="61"/>
      <c r="E76" s="192" t="s">
        <v>301</v>
      </c>
      <c r="F76" s="61"/>
      <c r="G76" s="193"/>
      <c r="H76" s="194"/>
      <c r="I76" s="169"/>
      <c r="J76" s="170"/>
      <c r="K76" s="152"/>
      <c r="L76" s="152"/>
      <c r="M76" s="152"/>
      <c r="N76" s="152"/>
      <c r="O76" s="152"/>
      <c r="P76" s="152"/>
      <c r="Q76" s="152"/>
      <c r="R76" s="152"/>
      <c r="S76" s="152"/>
      <c r="T76" s="152"/>
      <c r="U76" s="152"/>
      <c r="V76" s="152"/>
      <c r="W76" s="152"/>
      <c r="X76" s="152"/>
      <c r="Y76" s="152"/>
      <c r="Z76" s="152"/>
    </row>
    <row r="77" ht="12.75" customHeight="1">
      <c r="A77" s="198" t="s">
        <v>175</v>
      </c>
      <c r="B77" s="199"/>
      <c r="C77" s="200" t="s">
        <v>243</v>
      </c>
      <c r="D77" s="61"/>
      <c r="E77" s="200" t="s">
        <v>244</v>
      </c>
      <c r="F77" s="61"/>
      <c r="G77" s="186" t="s">
        <v>245</v>
      </c>
      <c r="H77" s="61"/>
      <c r="I77" s="169"/>
      <c r="J77" s="170"/>
      <c r="K77" s="152"/>
      <c r="L77" s="152"/>
      <c r="M77" s="152"/>
      <c r="N77" s="152"/>
      <c r="O77" s="152"/>
      <c r="P77" s="152"/>
      <c r="Q77" s="152"/>
      <c r="R77" s="152"/>
      <c r="S77" s="152"/>
      <c r="T77" s="152"/>
      <c r="U77" s="152"/>
      <c r="V77" s="152"/>
      <c r="W77" s="152"/>
      <c r="X77" s="152"/>
      <c r="Y77" s="152"/>
      <c r="Z77" s="152"/>
    </row>
    <row r="78" ht="12.75" customHeight="1">
      <c r="A78" s="187"/>
      <c r="B78" s="188" t="s">
        <v>246</v>
      </c>
      <c r="C78" s="192" t="s">
        <v>302</v>
      </c>
      <c r="D78" s="30"/>
      <c r="E78" s="30"/>
      <c r="F78" s="61"/>
      <c r="G78" s="190" t="s">
        <v>303</v>
      </c>
      <c r="H78" s="191"/>
      <c r="I78" s="169"/>
      <c r="J78" s="170"/>
      <c r="K78" s="152"/>
      <c r="L78" s="152"/>
      <c r="M78" s="152"/>
      <c r="N78" s="152"/>
      <c r="O78" s="152"/>
      <c r="P78" s="152"/>
      <c r="Q78" s="152"/>
      <c r="R78" s="152"/>
      <c r="S78" s="152"/>
      <c r="T78" s="152"/>
      <c r="U78" s="152"/>
      <c r="V78" s="152"/>
      <c r="W78" s="152"/>
      <c r="X78" s="152"/>
      <c r="Y78" s="152"/>
      <c r="Z78" s="152"/>
    </row>
    <row r="79" ht="27.75" customHeight="1">
      <c r="A79" s="187"/>
      <c r="B79" s="188" t="s">
        <v>249</v>
      </c>
      <c r="C79" s="189" t="s">
        <v>304</v>
      </c>
      <c r="D79" s="61"/>
      <c r="E79" s="192" t="s">
        <v>279</v>
      </c>
      <c r="F79" s="61"/>
      <c r="G79" s="193"/>
      <c r="H79" s="194"/>
      <c r="I79" s="169"/>
      <c r="J79" s="170"/>
      <c r="K79" s="152"/>
      <c r="L79" s="152"/>
      <c r="M79" s="152"/>
      <c r="N79" s="152"/>
      <c r="O79" s="152"/>
      <c r="P79" s="152"/>
      <c r="Q79" s="152"/>
      <c r="R79" s="152"/>
      <c r="S79" s="152"/>
      <c r="T79" s="152"/>
      <c r="U79" s="152"/>
      <c r="V79" s="152"/>
      <c r="W79" s="152"/>
      <c r="X79" s="152"/>
      <c r="Y79" s="152"/>
      <c r="Z79" s="152"/>
    </row>
    <row r="80" ht="12.75" customHeight="1">
      <c r="A80" s="187"/>
      <c r="B80" s="188" t="s">
        <v>305</v>
      </c>
      <c r="C80" s="189" t="s">
        <v>306</v>
      </c>
      <c r="D80" s="61"/>
      <c r="E80" s="192" t="s">
        <v>282</v>
      </c>
      <c r="F80" s="61"/>
      <c r="G80" s="193"/>
      <c r="H80" s="194"/>
      <c r="I80" s="169"/>
      <c r="J80" s="170"/>
      <c r="K80" s="152"/>
      <c r="L80" s="152"/>
      <c r="M80" s="152"/>
      <c r="N80" s="152"/>
      <c r="O80" s="152"/>
      <c r="P80" s="152"/>
      <c r="Q80" s="152"/>
      <c r="R80" s="152"/>
      <c r="S80" s="152"/>
      <c r="T80" s="152"/>
      <c r="U80" s="152"/>
      <c r="V80" s="152"/>
      <c r="W80" s="152"/>
      <c r="X80" s="152"/>
      <c r="Y80" s="152"/>
      <c r="Z80" s="152"/>
    </row>
    <row r="81" ht="27.75" customHeight="1">
      <c r="A81" s="187"/>
      <c r="B81" s="188" t="s">
        <v>307</v>
      </c>
      <c r="C81" s="189" t="s">
        <v>308</v>
      </c>
      <c r="D81" s="61"/>
      <c r="E81" s="192" t="s">
        <v>282</v>
      </c>
      <c r="F81" s="61"/>
      <c r="G81" s="193"/>
      <c r="H81" s="194"/>
      <c r="I81" s="169"/>
      <c r="J81" s="170"/>
      <c r="K81" s="152"/>
      <c r="L81" s="152"/>
      <c r="M81" s="152"/>
      <c r="N81" s="152"/>
      <c r="O81" s="152"/>
      <c r="P81" s="152"/>
      <c r="Q81" s="152"/>
      <c r="R81" s="152"/>
      <c r="S81" s="152"/>
      <c r="T81" s="152"/>
      <c r="U81" s="152"/>
      <c r="V81" s="152"/>
      <c r="W81" s="152"/>
      <c r="X81" s="152"/>
      <c r="Y81" s="152"/>
      <c r="Z81" s="152"/>
    </row>
    <row r="82" ht="26.25" customHeight="1">
      <c r="A82" s="187"/>
      <c r="B82" s="188" t="s">
        <v>309</v>
      </c>
      <c r="C82" s="189" t="s">
        <v>310</v>
      </c>
      <c r="D82" s="61"/>
      <c r="E82" s="192" t="s">
        <v>287</v>
      </c>
      <c r="F82" s="61"/>
      <c r="G82" s="193"/>
      <c r="H82" s="194"/>
      <c r="I82" s="195"/>
      <c r="J82" s="196"/>
      <c r="K82" s="152"/>
      <c r="L82" s="152"/>
      <c r="M82" s="152"/>
      <c r="N82" s="152"/>
      <c r="O82" s="152"/>
      <c r="P82" s="152"/>
      <c r="Q82" s="152"/>
      <c r="R82" s="152"/>
      <c r="S82" s="152"/>
      <c r="T82" s="152"/>
      <c r="U82" s="152"/>
      <c r="V82" s="152"/>
      <c r="W82" s="152"/>
      <c r="X82" s="152"/>
      <c r="Y82" s="152"/>
      <c r="Z82" s="152"/>
    </row>
    <row r="83" ht="53.25" customHeight="1">
      <c r="A83" s="187"/>
      <c r="B83" s="188" t="s">
        <v>311</v>
      </c>
      <c r="C83" s="189" t="s">
        <v>312</v>
      </c>
      <c r="D83" s="61"/>
      <c r="E83" s="192" t="s">
        <v>313</v>
      </c>
      <c r="F83" s="61"/>
      <c r="G83" s="193"/>
      <c r="H83" s="194"/>
      <c r="I83" s="195"/>
      <c r="J83" s="196"/>
      <c r="K83" s="152"/>
      <c r="L83" s="152"/>
      <c r="M83" s="152"/>
      <c r="N83" s="152"/>
      <c r="O83" s="152"/>
      <c r="P83" s="152"/>
      <c r="Q83" s="152"/>
      <c r="R83" s="152"/>
      <c r="S83" s="152"/>
      <c r="T83" s="152"/>
      <c r="U83" s="152"/>
      <c r="V83" s="152"/>
      <c r="W83" s="152"/>
      <c r="X83" s="152"/>
      <c r="Y83" s="152"/>
      <c r="Z83" s="152"/>
    </row>
    <row r="84" ht="28.5" customHeight="1">
      <c r="A84" s="187"/>
      <c r="B84" s="188" t="s">
        <v>314</v>
      </c>
      <c r="C84" s="189" t="s">
        <v>315</v>
      </c>
      <c r="D84" s="61"/>
      <c r="E84" s="192" t="s">
        <v>316</v>
      </c>
      <c r="F84" s="61"/>
      <c r="G84" s="193"/>
      <c r="H84" s="194"/>
      <c r="I84" s="195"/>
      <c r="J84" s="196"/>
      <c r="K84" s="152"/>
      <c r="L84" s="152"/>
      <c r="M84" s="152"/>
      <c r="N84" s="152"/>
      <c r="O84" s="152"/>
      <c r="P84" s="152"/>
      <c r="Q84" s="152"/>
      <c r="R84" s="152"/>
      <c r="S84" s="152"/>
      <c r="T84" s="152"/>
      <c r="U84" s="152"/>
      <c r="V84" s="152"/>
      <c r="W84" s="152"/>
      <c r="X84" s="152"/>
      <c r="Y84" s="152"/>
      <c r="Z84" s="152"/>
    </row>
    <row r="85" ht="68.25" customHeight="1">
      <c r="A85" s="187"/>
      <c r="B85" s="188" t="s">
        <v>317</v>
      </c>
      <c r="C85" s="189" t="s">
        <v>318</v>
      </c>
      <c r="D85" s="61"/>
      <c r="E85" s="192" t="s">
        <v>296</v>
      </c>
      <c r="F85" s="61"/>
      <c r="G85" s="193"/>
      <c r="H85" s="194"/>
      <c r="I85" s="169"/>
      <c r="J85" s="170"/>
      <c r="K85" s="152"/>
      <c r="L85" s="152"/>
      <c r="M85" s="152"/>
      <c r="N85" s="152"/>
      <c r="O85" s="152"/>
      <c r="P85" s="152"/>
      <c r="Q85" s="152"/>
      <c r="R85" s="152"/>
      <c r="S85" s="152"/>
      <c r="T85" s="152"/>
      <c r="U85" s="152"/>
      <c r="V85" s="152"/>
      <c r="W85" s="152"/>
      <c r="X85" s="152"/>
      <c r="Y85" s="152"/>
      <c r="Z85" s="152"/>
    </row>
    <row r="86" ht="63.75" customHeight="1">
      <c r="A86" s="197"/>
      <c r="B86" s="188" t="s">
        <v>319</v>
      </c>
      <c r="C86" s="189" t="s">
        <v>320</v>
      </c>
      <c r="D86" s="61"/>
      <c r="E86" s="192" t="s">
        <v>321</v>
      </c>
      <c r="F86" s="61"/>
      <c r="G86" s="193"/>
      <c r="H86" s="194"/>
      <c r="I86" s="169"/>
      <c r="J86" s="170"/>
      <c r="K86" s="152"/>
      <c r="L86" s="152"/>
      <c r="M86" s="152"/>
      <c r="N86" s="152"/>
      <c r="O86" s="152"/>
      <c r="P86" s="152"/>
      <c r="Q86" s="152"/>
      <c r="R86" s="152"/>
      <c r="S86" s="152"/>
      <c r="T86" s="152"/>
      <c r="U86" s="152"/>
      <c r="V86" s="152"/>
      <c r="W86" s="152"/>
      <c r="X86" s="152"/>
      <c r="Y86" s="152"/>
      <c r="Z86" s="152"/>
    </row>
    <row r="87" ht="12.75" customHeight="1">
      <c r="A87" s="201"/>
      <c r="B87" s="166"/>
      <c r="C87" s="167"/>
      <c r="D87" s="167"/>
      <c r="E87" s="167"/>
      <c r="F87" s="167"/>
      <c r="G87" s="167"/>
      <c r="H87" s="168"/>
      <c r="I87" s="169"/>
      <c r="J87" s="170"/>
      <c r="K87" s="152"/>
      <c r="L87" s="152"/>
      <c r="M87" s="152"/>
      <c r="N87" s="152"/>
      <c r="O87" s="152"/>
      <c r="P87" s="152"/>
      <c r="Q87" s="152"/>
      <c r="R87" s="152"/>
      <c r="S87" s="152"/>
      <c r="T87" s="152"/>
      <c r="U87" s="152"/>
      <c r="V87" s="152"/>
      <c r="W87" s="152"/>
      <c r="X87" s="152"/>
      <c r="Y87" s="152"/>
      <c r="Z87" s="152"/>
    </row>
    <row r="88" ht="12.75" customHeight="1">
      <c r="A88" s="172" t="s">
        <v>163</v>
      </c>
      <c r="B88" s="173"/>
      <c r="C88" s="173"/>
      <c r="D88" s="173"/>
      <c r="E88" s="173"/>
      <c r="F88" s="173"/>
      <c r="G88" s="173"/>
      <c r="H88" s="174"/>
      <c r="I88" s="163"/>
      <c r="J88" s="164"/>
      <c r="K88" s="152"/>
      <c r="L88" s="152"/>
      <c r="M88" s="152"/>
      <c r="N88" s="152"/>
      <c r="O88" s="152"/>
      <c r="P88" s="152"/>
      <c r="Q88" s="152"/>
      <c r="R88" s="152"/>
      <c r="S88" s="152"/>
      <c r="T88" s="152"/>
      <c r="U88" s="152"/>
      <c r="V88" s="152"/>
      <c r="W88" s="152"/>
      <c r="X88" s="152"/>
      <c r="Y88" s="152"/>
      <c r="Z88" s="152"/>
    </row>
    <row r="89" ht="12.75" customHeight="1">
      <c r="A89" s="175" t="s">
        <v>164</v>
      </c>
      <c r="B89" s="87" t="s">
        <v>322</v>
      </c>
      <c r="C89" s="202"/>
      <c r="D89" s="176"/>
      <c r="E89" s="176"/>
      <c r="F89" s="176"/>
      <c r="G89" s="176"/>
      <c r="H89" s="177"/>
      <c r="I89" s="169"/>
      <c r="J89" s="170"/>
      <c r="K89" s="152"/>
      <c r="L89" s="152"/>
      <c r="M89" s="152"/>
      <c r="N89" s="152"/>
      <c r="O89" s="152"/>
      <c r="P89" s="152"/>
      <c r="Q89" s="152"/>
      <c r="R89" s="152"/>
      <c r="S89" s="152"/>
      <c r="T89" s="152"/>
      <c r="U89" s="152"/>
      <c r="V89" s="152"/>
      <c r="W89" s="152"/>
      <c r="X89" s="152"/>
      <c r="Y89" s="152"/>
      <c r="Z89" s="152"/>
    </row>
    <row r="90" ht="12.75" customHeight="1">
      <c r="A90" s="175" t="s">
        <v>323</v>
      </c>
      <c r="B90" s="87" t="s">
        <v>324</v>
      </c>
      <c r="C90" s="202"/>
      <c r="D90" s="176"/>
      <c r="E90" s="176"/>
      <c r="F90" s="176"/>
      <c r="G90" s="176"/>
      <c r="H90" s="177"/>
      <c r="I90" s="169"/>
      <c r="J90" s="170"/>
      <c r="K90" s="152"/>
      <c r="L90" s="152"/>
      <c r="M90" s="152"/>
      <c r="N90" s="152"/>
      <c r="O90" s="152"/>
      <c r="P90" s="152"/>
      <c r="Q90" s="152"/>
      <c r="R90" s="152"/>
      <c r="S90" s="152"/>
      <c r="T90" s="152"/>
      <c r="U90" s="152"/>
      <c r="V90" s="152"/>
      <c r="W90" s="152"/>
      <c r="X90" s="152"/>
      <c r="Y90" s="152"/>
      <c r="Z90" s="152"/>
    </row>
    <row r="91" ht="12.75" customHeight="1">
      <c r="A91" s="175" t="s">
        <v>325</v>
      </c>
      <c r="B91" s="87" t="s">
        <v>326</v>
      </c>
      <c r="C91" s="202"/>
      <c r="D91" s="176"/>
      <c r="E91" s="176"/>
      <c r="F91" s="176"/>
      <c r="G91" s="176"/>
      <c r="H91" s="177"/>
      <c r="I91" s="169"/>
      <c r="J91" s="170"/>
      <c r="K91" s="152"/>
      <c r="L91" s="152"/>
      <c r="M91" s="152"/>
      <c r="N91" s="152"/>
      <c r="O91" s="152"/>
      <c r="P91" s="152"/>
      <c r="Q91" s="152"/>
      <c r="R91" s="152"/>
      <c r="S91" s="152"/>
      <c r="T91" s="152"/>
      <c r="U91" s="152"/>
      <c r="V91" s="152"/>
      <c r="W91" s="152"/>
      <c r="X91" s="152"/>
      <c r="Y91" s="152"/>
      <c r="Z91" s="152"/>
    </row>
    <row r="92" ht="12.75" customHeight="1">
      <c r="A92" s="175" t="s">
        <v>327</v>
      </c>
      <c r="B92" s="87" t="s">
        <v>328</v>
      </c>
      <c r="C92" s="202"/>
      <c r="D92" s="176"/>
      <c r="E92" s="176"/>
      <c r="F92" s="176"/>
      <c r="G92" s="176"/>
      <c r="H92" s="177"/>
      <c r="I92" s="169"/>
      <c r="J92" s="170"/>
      <c r="K92" s="152"/>
      <c r="L92" s="152"/>
      <c r="M92" s="152"/>
      <c r="N92" s="152"/>
      <c r="O92" s="152"/>
      <c r="P92" s="152"/>
      <c r="Q92" s="152"/>
      <c r="R92" s="152"/>
      <c r="S92" s="152"/>
      <c r="T92" s="152"/>
      <c r="U92" s="152"/>
      <c r="V92" s="152"/>
      <c r="W92" s="152"/>
      <c r="X92" s="152"/>
      <c r="Y92" s="152"/>
      <c r="Z92" s="152"/>
    </row>
    <row r="93" ht="12.75" customHeight="1">
      <c r="A93" s="175" t="s">
        <v>329</v>
      </c>
      <c r="B93" s="87" t="s">
        <v>328</v>
      </c>
      <c r="C93" s="202"/>
      <c r="D93" s="176"/>
      <c r="E93" s="176"/>
      <c r="F93" s="176"/>
      <c r="G93" s="176"/>
      <c r="H93" s="177"/>
      <c r="I93" s="169"/>
      <c r="J93" s="170"/>
      <c r="K93" s="152"/>
      <c r="L93" s="152"/>
      <c r="M93" s="152"/>
      <c r="N93" s="152"/>
      <c r="O93" s="152"/>
      <c r="P93" s="152"/>
      <c r="Q93" s="152"/>
      <c r="R93" s="152"/>
      <c r="S93" s="152"/>
      <c r="T93" s="152"/>
      <c r="U93" s="152"/>
      <c r="V93" s="152"/>
      <c r="W93" s="152"/>
      <c r="X93" s="152"/>
      <c r="Y93" s="152"/>
      <c r="Z93" s="152"/>
    </row>
    <row r="94" ht="12.75" customHeight="1">
      <c r="A94" s="203" t="s">
        <v>330</v>
      </c>
      <c r="B94" s="204" t="s">
        <v>331</v>
      </c>
      <c r="C94" s="205"/>
      <c r="D94" s="206"/>
      <c r="E94" s="206"/>
      <c r="F94" s="206"/>
      <c r="G94" s="206"/>
      <c r="H94" s="207"/>
      <c r="I94" s="169"/>
      <c r="J94" s="170"/>
      <c r="K94" s="152"/>
      <c r="L94" s="152"/>
      <c r="M94" s="152"/>
      <c r="N94" s="152"/>
      <c r="O94" s="152"/>
      <c r="P94" s="152"/>
      <c r="Q94" s="152"/>
      <c r="R94" s="152"/>
      <c r="S94" s="152"/>
      <c r="T94" s="152"/>
      <c r="U94" s="152"/>
      <c r="V94" s="152"/>
      <c r="W94" s="152"/>
      <c r="X94" s="152"/>
      <c r="Y94" s="152"/>
      <c r="Z94" s="152"/>
    </row>
    <row r="95" ht="12.75" customHeight="1">
      <c r="A95" s="175" t="s">
        <v>332</v>
      </c>
      <c r="B95" s="87" t="s">
        <v>333</v>
      </c>
      <c r="C95" s="202"/>
      <c r="D95" s="176"/>
      <c r="E95" s="176"/>
      <c r="F95" s="176"/>
      <c r="G95" s="176"/>
      <c r="H95" s="177"/>
      <c r="I95" s="169"/>
      <c r="J95" s="170"/>
      <c r="K95" s="152"/>
      <c r="L95" s="152"/>
      <c r="M95" s="152"/>
      <c r="N95" s="152"/>
      <c r="O95" s="152"/>
      <c r="P95" s="152"/>
      <c r="Q95" s="152"/>
      <c r="R95" s="152"/>
      <c r="S95" s="152"/>
      <c r="T95" s="152"/>
      <c r="U95" s="152"/>
      <c r="V95" s="152"/>
      <c r="W95" s="152"/>
      <c r="X95" s="152"/>
      <c r="Y95" s="152"/>
      <c r="Z95" s="152"/>
    </row>
    <row r="96" ht="12.75" customHeight="1">
      <c r="A96" s="208"/>
      <c r="B96" s="87"/>
      <c r="C96" s="202"/>
      <c r="D96" s="176"/>
      <c r="E96" s="176"/>
      <c r="F96" s="176"/>
      <c r="G96" s="176"/>
      <c r="H96" s="177"/>
      <c r="I96" s="169"/>
      <c r="J96" s="170"/>
      <c r="K96" s="152"/>
      <c r="L96" s="152"/>
      <c r="M96" s="152"/>
      <c r="N96" s="152"/>
      <c r="O96" s="152"/>
      <c r="P96" s="152"/>
      <c r="Q96" s="152"/>
      <c r="R96" s="152"/>
      <c r="S96" s="152"/>
      <c r="T96" s="152"/>
      <c r="U96" s="152"/>
      <c r="V96" s="152"/>
      <c r="W96" s="152"/>
      <c r="X96" s="152"/>
      <c r="Y96" s="152"/>
      <c r="Z96" s="152"/>
    </row>
    <row r="97" ht="12.75" customHeight="1">
      <c r="A97" s="178" t="s">
        <v>334</v>
      </c>
      <c r="B97" s="179"/>
      <c r="C97" s="209"/>
      <c r="D97" s="179"/>
      <c r="E97" s="179"/>
      <c r="F97" s="179"/>
      <c r="G97" s="179"/>
      <c r="H97" s="180"/>
      <c r="I97" s="163"/>
      <c r="J97" s="164"/>
      <c r="K97" s="152"/>
      <c r="L97" s="152"/>
      <c r="M97" s="152"/>
      <c r="N97" s="152"/>
      <c r="O97" s="152"/>
      <c r="P97" s="152"/>
      <c r="Q97" s="152"/>
      <c r="R97" s="152"/>
      <c r="S97" s="152"/>
      <c r="T97" s="152"/>
      <c r="U97" s="152"/>
      <c r="V97" s="152"/>
      <c r="W97" s="152"/>
      <c r="X97" s="152"/>
      <c r="Y97" s="152"/>
      <c r="Z97" s="152"/>
    </row>
    <row r="98" ht="12.75" customHeight="1">
      <c r="A98" s="210" t="s">
        <v>335</v>
      </c>
      <c r="B98" s="87" t="s">
        <v>336</v>
      </c>
      <c r="C98" s="202"/>
      <c r="D98" s="176"/>
      <c r="E98" s="176"/>
      <c r="F98" s="176"/>
      <c r="G98" s="176"/>
      <c r="H98" s="177"/>
      <c r="I98" s="169"/>
      <c r="J98" s="170"/>
      <c r="K98" s="152"/>
      <c r="L98" s="152"/>
      <c r="M98" s="152"/>
      <c r="N98" s="152"/>
      <c r="O98" s="152"/>
      <c r="P98" s="152"/>
      <c r="Q98" s="152"/>
      <c r="R98" s="152"/>
      <c r="S98" s="152"/>
      <c r="T98" s="152"/>
      <c r="U98" s="152"/>
      <c r="V98" s="152"/>
      <c r="W98" s="152"/>
      <c r="X98" s="152"/>
      <c r="Y98" s="152"/>
      <c r="Z98" s="152"/>
    </row>
    <row r="99" ht="12.75" customHeight="1">
      <c r="A99" s="210" t="s">
        <v>337</v>
      </c>
      <c r="B99" s="87" t="s">
        <v>338</v>
      </c>
      <c r="C99" s="202"/>
      <c r="D99" s="176"/>
      <c r="E99" s="176"/>
      <c r="F99" s="176"/>
      <c r="G99" s="176"/>
      <c r="H99" s="177"/>
      <c r="I99" s="169"/>
      <c r="J99" s="170"/>
      <c r="K99" s="152"/>
      <c r="L99" s="152"/>
      <c r="M99" s="152"/>
      <c r="N99" s="152"/>
      <c r="O99" s="152"/>
      <c r="P99" s="152"/>
      <c r="Q99" s="152"/>
      <c r="R99" s="152"/>
      <c r="S99" s="152"/>
      <c r="T99" s="152"/>
      <c r="U99" s="152"/>
      <c r="V99" s="152"/>
      <c r="W99" s="152"/>
      <c r="X99" s="152"/>
      <c r="Y99" s="152"/>
      <c r="Z99" s="152"/>
    </row>
    <row r="100" ht="12.75" customHeight="1">
      <c r="A100" s="210" t="s">
        <v>339</v>
      </c>
      <c r="B100" s="87" t="s">
        <v>340</v>
      </c>
      <c r="C100" s="202"/>
      <c r="D100" s="176"/>
      <c r="E100" s="176"/>
      <c r="F100" s="176"/>
      <c r="G100" s="176"/>
      <c r="H100" s="177"/>
      <c r="I100" s="169"/>
      <c r="J100" s="170"/>
      <c r="K100" s="152"/>
      <c r="L100" s="152"/>
      <c r="M100" s="152"/>
      <c r="N100" s="152"/>
      <c r="O100" s="152"/>
      <c r="P100" s="152"/>
      <c r="Q100" s="152"/>
      <c r="R100" s="152"/>
      <c r="S100" s="152"/>
      <c r="T100" s="152"/>
      <c r="U100" s="152"/>
      <c r="V100" s="152"/>
      <c r="W100" s="152"/>
      <c r="X100" s="152"/>
      <c r="Y100" s="152"/>
      <c r="Z100" s="152"/>
    </row>
    <row r="101" ht="12.75" customHeight="1">
      <c r="A101" s="210" t="s">
        <v>341</v>
      </c>
      <c r="B101" s="87" t="s">
        <v>342</v>
      </c>
      <c r="C101" s="202"/>
      <c r="D101" s="176"/>
      <c r="E101" s="176"/>
      <c r="F101" s="176"/>
      <c r="G101" s="176"/>
      <c r="H101" s="177"/>
      <c r="I101" s="169"/>
      <c r="J101" s="170"/>
      <c r="K101" s="152"/>
      <c r="L101" s="152"/>
      <c r="M101" s="152"/>
      <c r="N101" s="152"/>
      <c r="O101" s="152"/>
      <c r="P101" s="152"/>
      <c r="Q101" s="152"/>
      <c r="R101" s="152"/>
      <c r="S101" s="152"/>
      <c r="T101" s="152"/>
      <c r="U101" s="152"/>
      <c r="V101" s="152"/>
      <c r="W101" s="152"/>
      <c r="X101" s="152"/>
      <c r="Y101" s="152"/>
      <c r="Z101" s="152"/>
    </row>
    <row r="102" ht="12.75" customHeight="1">
      <c r="A102" s="210" t="s">
        <v>343</v>
      </c>
      <c r="B102" s="87" t="s">
        <v>344</v>
      </c>
      <c r="C102" s="202"/>
      <c r="D102" s="176"/>
      <c r="E102" s="176"/>
      <c r="F102" s="176"/>
      <c r="G102" s="176"/>
      <c r="H102" s="177"/>
      <c r="I102" s="169"/>
      <c r="J102" s="170"/>
      <c r="K102" s="152"/>
      <c r="L102" s="152"/>
      <c r="M102" s="152"/>
      <c r="N102" s="152"/>
      <c r="O102" s="152"/>
      <c r="P102" s="152"/>
      <c r="Q102" s="152"/>
      <c r="R102" s="152"/>
      <c r="S102" s="152"/>
      <c r="T102" s="152"/>
      <c r="U102" s="152"/>
      <c r="V102" s="152"/>
      <c r="W102" s="152"/>
      <c r="X102" s="152"/>
      <c r="Y102" s="152"/>
      <c r="Z102" s="152"/>
    </row>
    <row r="103" ht="12.75" customHeight="1">
      <c r="A103" s="208"/>
      <c r="B103" s="87"/>
      <c r="C103" s="202"/>
      <c r="D103" s="176"/>
      <c r="E103" s="176"/>
      <c r="F103" s="176"/>
      <c r="G103" s="176"/>
      <c r="H103" s="177"/>
      <c r="I103" s="169"/>
      <c r="J103" s="170"/>
      <c r="K103" s="152"/>
      <c r="L103" s="152"/>
      <c r="M103" s="152"/>
      <c r="N103" s="152"/>
      <c r="O103" s="152"/>
      <c r="P103" s="152"/>
      <c r="Q103" s="152"/>
      <c r="R103" s="152"/>
      <c r="S103" s="152"/>
      <c r="T103" s="152"/>
      <c r="U103" s="152"/>
      <c r="V103" s="152"/>
      <c r="W103" s="152"/>
      <c r="X103" s="152"/>
      <c r="Y103" s="152"/>
      <c r="Z103" s="152"/>
    </row>
    <row r="104" ht="12.75" customHeight="1">
      <c r="A104" s="178" t="s">
        <v>345</v>
      </c>
      <c r="B104" s="179"/>
      <c r="C104" s="209"/>
      <c r="D104" s="179"/>
      <c r="E104" s="179"/>
      <c r="F104" s="179"/>
      <c r="G104" s="179"/>
      <c r="H104" s="180"/>
      <c r="I104" s="163"/>
      <c r="J104" s="164"/>
      <c r="K104" s="152"/>
      <c r="L104" s="152"/>
      <c r="M104" s="152"/>
      <c r="N104" s="152"/>
      <c r="O104" s="152"/>
      <c r="P104" s="152"/>
      <c r="Q104" s="152"/>
      <c r="R104" s="152"/>
      <c r="S104" s="152"/>
      <c r="T104" s="152"/>
      <c r="U104" s="152"/>
      <c r="V104" s="152"/>
      <c r="W104" s="152"/>
      <c r="X104" s="152"/>
      <c r="Y104" s="152"/>
      <c r="Z104" s="152"/>
    </row>
    <row r="105" ht="12.75" customHeight="1">
      <c r="A105" s="210" t="s">
        <v>345</v>
      </c>
      <c r="B105" s="87" t="s">
        <v>346</v>
      </c>
      <c r="C105" s="202"/>
      <c r="D105" s="176"/>
      <c r="E105" s="176"/>
      <c r="F105" s="176"/>
      <c r="G105" s="176"/>
      <c r="H105" s="177"/>
      <c r="I105" s="169"/>
      <c r="J105" s="170"/>
      <c r="K105" s="152"/>
      <c r="L105" s="152"/>
      <c r="M105" s="152"/>
      <c r="N105" s="152"/>
      <c r="O105" s="152"/>
      <c r="P105" s="152"/>
      <c r="Q105" s="152"/>
      <c r="R105" s="152"/>
      <c r="S105" s="152"/>
      <c r="T105" s="152"/>
      <c r="U105" s="152"/>
      <c r="V105" s="152"/>
      <c r="W105" s="152"/>
      <c r="X105" s="152"/>
      <c r="Y105" s="152"/>
      <c r="Z105" s="152"/>
    </row>
    <row r="106" ht="12.75" customHeight="1">
      <c r="A106" s="210" t="s">
        <v>347</v>
      </c>
      <c r="B106" s="87" t="s">
        <v>348</v>
      </c>
      <c r="C106" s="202"/>
      <c r="D106" s="176"/>
      <c r="E106" s="176"/>
      <c r="F106" s="176"/>
      <c r="G106" s="176"/>
      <c r="H106" s="177"/>
      <c r="I106" s="169"/>
      <c r="J106" s="170"/>
      <c r="K106" s="152"/>
      <c r="L106" s="152"/>
      <c r="M106" s="152"/>
      <c r="N106" s="152"/>
      <c r="O106" s="152"/>
      <c r="P106" s="152"/>
      <c r="Q106" s="152"/>
      <c r="R106" s="152"/>
      <c r="S106" s="152"/>
      <c r="T106" s="152"/>
      <c r="U106" s="152"/>
      <c r="V106" s="152"/>
      <c r="W106" s="152"/>
      <c r="X106" s="152"/>
      <c r="Y106" s="152"/>
      <c r="Z106" s="152"/>
    </row>
    <row r="107" ht="12.75" customHeight="1">
      <c r="A107" s="210" t="s">
        <v>349</v>
      </c>
      <c r="B107" s="87" t="s">
        <v>350</v>
      </c>
      <c r="C107" s="202"/>
      <c r="D107" s="176"/>
      <c r="E107" s="176"/>
      <c r="F107" s="176"/>
      <c r="G107" s="176"/>
      <c r="H107" s="177"/>
      <c r="I107" s="169"/>
      <c r="J107" s="170"/>
      <c r="K107" s="152"/>
      <c r="L107" s="152"/>
      <c r="M107" s="152"/>
      <c r="N107" s="152"/>
      <c r="O107" s="152"/>
      <c r="P107" s="152"/>
      <c r="Q107" s="152"/>
      <c r="R107" s="152"/>
      <c r="S107" s="152"/>
      <c r="T107" s="152"/>
      <c r="U107" s="152"/>
      <c r="V107" s="152"/>
      <c r="W107" s="152"/>
      <c r="X107" s="152"/>
      <c r="Y107" s="152"/>
      <c r="Z107" s="152"/>
    </row>
    <row r="108" ht="12.75" customHeight="1">
      <c r="A108" s="210" t="s">
        <v>351</v>
      </c>
      <c r="B108" s="87" t="s">
        <v>352</v>
      </c>
      <c r="C108" s="202"/>
      <c r="D108" s="176"/>
      <c r="E108" s="176"/>
      <c r="F108" s="176"/>
      <c r="G108" s="176"/>
      <c r="H108" s="177"/>
      <c r="I108" s="169"/>
      <c r="J108" s="170"/>
      <c r="K108" s="152"/>
      <c r="L108" s="152"/>
      <c r="M108" s="152"/>
      <c r="N108" s="152"/>
      <c r="O108" s="152"/>
      <c r="P108" s="152"/>
      <c r="Q108" s="152"/>
      <c r="R108" s="152"/>
      <c r="S108" s="152"/>
      <c r="T108" s="152"/>
      <c r="U108" s="152"/>
      <c r="V108" s="152"/>
      <c r="W108" s="152"/>
      <c r="X108" s="152"/>
      <c r="Y108" s="152"/>
      <c r="Z108" s="152"/>
    </row>
    <row r="109" ht="12.75" customHeight="1">
      <c r="A109" s="210" t="s">
        <v>353</v>
      </c>
      <c r="B109" s="87" t="s">
        <v>354</v>
      </c>
      <c r="C109" s="202"/>
      <c r="D109" s="176"/>
      <c r="E109" s="176"/>
      <c r="F109" s="176"/>
      <c r="G109" s="176"/>
      <c r="H109" s="177"/>
      <c r="I109" s="169"/>
      <c r="J109" s="170"/>
      <c r="K109" s="152"/>
      <c r="L109" s="152"/>
      <c r="M109" s="152"/>
      <c r="N109" s="152"/>
      <c r="O109" s="152"/>
      <c r="P109" s="152"/>
      <c r="Q109" s="152"/>
      <c r="R109" s="152"/>
      <c r="S109" s="152"/>
      <c r="T109" s="152"/>
      <c r="U109" s="152"/>
      <c r="V109" s="152"/>
      <c r="W109" s="152"/>
      <c r="X109" s="152"/>
      <c r="Y109" s="152"/>
      <c r="Z109" s="152"/>
    </row>
    <row r="110" ht="12.75" customHeight="1">
      <c r="A110" s="211"/>
      <c r="B110" s="176"/>
      <c r="C110" s="202"/>
      <c r="D110" s="176"/>
      <c r="E110" s="176"/>
      <c r="F110" s="176"/>
      <c r="G110" s="176"/>
      <c r="H110" s="177"/>
      <c r="I110" s="169"/>
      <c r="J110" s="170"/>
      <c r="K110" s="152"/>
      <c r="L110" s="152"/>
      <c r="M110" s="152"/>
      <c r="N110" s="152"/>
      <c r="O110" s="152"/>
      <c r="P110" s="152"/>
      <c r="Q110" s="152"/>
      <c r="R110" s="152"/>
      <c r="S110" s="152"/>
      <c r="T110" s="152"/>
      <c r="U110" s="152"/>
      <c r="V110" s="152"/>
      <c r="W110" s="152"/>
      <c r="X110" s="152"/>
      <c r="Y110" s="152"/>
      <c r="Z110" s="152"/>
    </row>
    <row r="111" ht="12.75" customHeight="1">
      <c r="A111" s="178" t="s">
        <v>355</v>
      </c>
      <c r="B111" s="179"/>
      <c r="C111" s="209"/>
      <c r="D111" s="179"/>
      <c r="E111" s="179"/>
      <c r="F111" s="179"/>
      <c r="G111" s="179"/>
      <c r="H111" s="180"/>
      <c r="I111" s="163"/>
      <c r="J111" s="164"/>
      <c r="K111" s="152"/>
      <c r="L111" s="152"/>
      <c r="M111" s="152"/>
      <c r="N111" s="152"/>
      <c r="O111" s="152"/>
      <c r="P111" s="152"/>
      <c r="Q111" s="152"/>
      <c r="R111" s="152"/>
      <c r="S111" s="152"/>
      <c r="T111" s="152"/>
      <c r="U111" s="152"/>
      <c r="V111" s="152"/>
      <c r="W111" s="152"/>
      <c r="X111" s="152"/>
      <c r="Y111" s="152"/>
      <c r="Z111" s="152"/>
    </row>
    <row r="112" ht="12.75" customHeight="1">
      <c r="A112" s="210" t="s">
        <v>210</v>
      </c>
      <c r="B112" s="87" t="s">
        <v>356</v>
      </c>
      <c r="C112" s="212"/>
      <c r="D112" s="213"/>
      <c r="E112" s="213"/>
      <c r="F112" s="213"/>
      <c r="G112" s="213"/>
      <c r="H112" s="214"/>
      <c r="I112" s="163"/>
      <c r="J112" s="164"/>
      <c r="K112" s="152"/>
      <c r="L112" s="152"/>
      <c r="M112" s="152"/>
      <c r="N112" s="152"/>
      <c r="O112" s="152"/>
      <c r="P112" s="152"/>
      <c r="Q112" s="152"/>
      <c r="R112" s="152"/>
      <c r="S112" s="152"/>
      <c r="T112" s="152"/>
      <c r="U112" s="152"/>
      <c r="V112" s="152"/>
      <c r="W112" s="152"/>
      <c r="X112" s="152"/>
      <c r="Y112" s="152"/>
      <c r="Z112" s="152"/>
    </row>
    <row r="113" ht="12.75" customHeight="1">
      <c r="A113" s="210" t="s">
        <v>357</v>
      </c>
      <c r="B113" s="87" t="s">
        <v>358</v>
      </c>
      <c r="C113" s="202"/>
      <c r="D113" s="176"/>
      <c r="E113" s="176"/>
      <c r="F113" s="176"/>
      <c r="G113" s="176"/>
      <c r="H113" s="177"/>
      <c r="I113" s="169"/>
      <c r="J113" s="170"/>
      <c r="K113" s="152"/>
      <c r="L113" s="152"/>
      <c r="M113" s="152"/>
      <c r="N113" s="152"/>
      <c r="O113" s="152"/>
      <c r="P113" s="152"/>
      <c r="Q113" s="152"/>
      <c r="R113" s="152"/>
      <c r="S113" s="152"/>
      <c r="T113" s="152"/>
      <c r="U113" s="152"/>
      <c r="V113" s="152"/>
      <c r="W113" s="152"/>
      <c r="X113" s="152"/>
      <c r="Y113" s="152"/>
      <c r="Z113" s="152"/>
    </row>
    <row r="114" ht="12.75" customHeight="1">
      <c r="A114" s="215" t="s">
        <v>359</v>
      </c>
      <c r="B114" s="216" t="s">
        <v>360</v>
      </c>
      <c r="C114" s="217"/>
      <c r="D114" s="218"/>
      <c r="E114" s="218"/>
      <c r="F114" s="218"/>
      <c r="G114" s="218"/>
      <c r="H114" s="219"/>
      <c r="I114" s="169"/>
      <c r="J114" s="170"/>
      <c r="K114" s="152"/>
      <c r="L114" s="152"/>
      <c r="M114" s="152"/>
      <c r="N114" s="152"/>
      <c r="O114" s="152"/>
      <c r="P114" s="152"/>
      <c r="Q114" s="152"/>
      <c r="R114" s="152"/>
      <c r="S114" s="152"/>
      <c r="T114" s="152"/>
      <c r="U114" s="152"/>
      <c r="V114" s="152"/>
      <c r="W114" s="152"/>
      <c r="X114" s="152"/>
      <c r="Y114" s="152"/>
      <c r="Z114" s="152"/>
    </row>
    <row r="115" ht="12.75" customHeight="1">
      <c r="A115" s="220"/>
      <c r="B115" s="221"/>
      <c r="C115" s="222"/>
      <c r="D115" s="223"/>
      <c r="E115" s="223"/>
      <c r="F115" s="223"/>
      <c r="G115" s="223"/>
      <c r="H115" s="224"/>
      <c r="I115" s="225"/>
      <c r="J115" s="226"/>
      <c r="K115" s="152"/>
      <c r="L115" s="152"/>
      <c r="M115" s="152"/>
      <c r="N115" s="152"/>
      <c r="O115" s="152"/>
      <c r="P115" s="152"/>
      <c r="Q115" s="152"/>
      <c r="R115" s="152"/>
      <c r="S115" s="152"/>
      <c r="T115" s="152"/>
      <c r="U115" s="152"/>
      <c r="V115" s="152"/>
      <c r="W115" s="152"/>
      <c r="X115" s="152"/>
      <c r="Y115" s="152"/>
      <c r="Z115" s="152"/>
    </row>
    <row r="116" ht="12.75" customHeight="1">
      <c r="A116" s="178" t="s">
        <v>193</v>
      </c>
      <c r="B116" s="179"/>
      <c r="C116" s="209"/>
      <c r="D116" s="179"/>
      <c r="E116" s="179"/>
      <c r="F116" s="179"/>
      <c r="G116" s="179"/>
      <c r="H116" s="180"/>
      <c r="I116" s="163"/>
      <c r="J116" s="164"/>
      <c r="K116" s="152"/>
      <c r="L116" s="152"/>
      <c r="M116" s="152"/>
      <c r="N116" s="152"/>
      <c r="O116" s="152"/>
      <c r="P116" s="152"/>
      <c r="Q116" s="152"/>
      <c r="R116" s="152"/>
      <c r="S116" s="152"/>
      <c r="T116" s="152"/>
      <c r="U116" s="152"/>
      <c r="V116" s="152"/>
      <c r="W116" s="152"/>
      <c r="X116" s="152"/>
      <c r="Y116" s="152"/>
      <c r="Z116" s="152"/>
    </row>
    <row r="117" ht="12.75" customHeight="1">
      <c r="A117" s="175" t="s">
        <v>361</v>
      </c>
      <c r="B117" s="87" t="s">
        <v>362</v>
      </c>
      <c r="C117" s="202"/>
      <c r="D117" s="176"/>
      <c r="E117" s="176"/>
      <c r="F117" s="176"/>
      <c r="G117" s="176"/>
      <c r="H117" s="177"/>
      <c r="I117" s="169"/>
      <c r="J117" s="170"/>
      <c r="K117" s="152"/>
      <c r="L117" s="152"/>
      <c r="M117" s="152"/>
      <c r="N117" s="152"/>
      <c r="O117" s="152"/>
      <c r="P117" s="152"/>
      <c r="Q117" s="152"/>
      <c r="R117" s="152"/>
      <c r="S117" s="152"/>
      <c r="T117" s="152"/>
      <c r="U117" s="152"/>
      <c r="V117" s="152"/>
      <c r="W117" s="152"/>
      <c r="X117" s="152"/>
      <c r="Y117" s="152"/>
      <c r="Z117" s="152"/>
    </row>
    <row r="118" ht="12.75" customHeight="1">
      <c r="A118" s="227"/>
      <c r="B118" s="228"/>
      <c r="C118" s="229"/>
      <c r="D118" s="230"/>
      <c r="E118" s="230"/>
      <c r="F118" s="230"/>
      <c r="G118" s="230"/>
      <c r="H118" s="231"/>
      <c r="I118" s="225"/>
      <c r="J118" s="226"/>
      <c r="K118" s="152"/>
      <c r="L118" s="152"/>
      <c r="M118" s="152"/>
      <c r="N118" s="152"/>
      <c r="O118" s="152"/>
      <c r="P118" s="152"/>
      <c r="Q118" s="152"/>
      <c r="R118" s="152"/>
      <c r="S118" s="152"/>
      <c r="T118" s="152"/>
      <c r="U118" s="152"/>
      <c r="V118" s="152"/>
      <c r="W118" s="152"/>
      <c r="X118" s="152"/>
      <c r="Y118" s="152"/>
      <c r="Z118" s="152"/>
    </row>
    <row r="119" ht="12.75" customHeight="1">
      <c r="A119" s="152"/>
      <c r="B119" s="232"/>
      <c r="C119" s="152"/>
      <c r="D119" s="152"/>
      <c r="E119" s="152"/>
      <c r="F119" s="152"/>
      <c r="G119" s="152"/>
      <c r="H119" s="152"/>
      <c r="I119" s="152"/>
      <c r="J119" s="152"/>
      <c r="K119" s="152"/>
      <c r="L119" s="152"/>
      <c r="M119" s="152"/>
      <c r="N119" s="152"/>
      <c r="O119" s="152"/>
      <c r="P119" s="152"/>
      <c r="Q119" s="152"/>
      <c r="R119" s="152"/>
      <c r="S119" s="152"/>
      <c r="T119" s="152"/>
      <c r="U119" s="152"/>
      <c r="V119" s="152"/>
      <c r="W119" s="152"/>
      <c r="X119" s="152"/>
      <c r="Y119" s="152"/>
      <c r="Z119" s="152"/>
    </row>
    <row r="120" ht="12.75" customHeight="1">
      <c r="A120" s="152"/>
      <c r="B120" s="232"/>
      <c r="C120" s="152"/>
      <c r="D120" s="152"/>
      <c r="E120" s="152"/>
      <c r="F120" s="152"/>
      <c r="G120" s="152"/>
      <c r="H120" s="152"/>
      <c r="I120" s="152"/>
      <c r="J120" s="152"/>
      <c r="K120" s="152"/>
      <c r="L120" s="152"/>
      <c r="M120" s="152"/>
      <c r="N120" s="152"/>
      <c r="O120" s="152"/>
      <c r="P120" s="152"/>
      <c r="Q120" s="152"/>
      <c r="R120" s="152"/>
      <c r="S120" s="152"/>
      <c r="T120" s="152"/>
      <c r="U120" s="152"/>
      <c r="V120" s="152"/>
      <c r="W120" s="152"/>
      <c r="X120" s="152"/>
      <c r="Y120" s="152"/>
      <c r="Z120" s="152"/>
    </row>
    <row r="121" ht="12.75" customHeight="1">
      <c r="A121" s="152"/>
      <c r="B121" s="232"/>
      <c r="C121" s="152"/>
      <c r="D121" s="152"/>
      <c r="E121" s="152"/>
      <c r="F121" s="152"/>
      <c r="G121" s="152"/>
      <c r="H121" s="152"/>
      <c r="I121" s="152"/>
      <c r="J121" s="152"/>
      <c r="K121" s="152"/>
      <c r="L121" s="152"/>
      <c r="M121" s="152"/>
      <c r="N121" s="152"/>
      <c r="O121" s="152"/>
      <c r="P121" s="152"/>
      <c r="Q121" s="152"/>
      <c r="R121" s="152"/>
      <c r="S121" s="152"/>
      <c r="T121" s="152"/>
      <c r="U121" s="152"/>
      <c r="V121" s="152"/>
      <c r="W121" s="152"/>
      <c r="X121" s="152"/>
      <c r="Y121" s="152"/>
      <c r="Z121" s="152"/>
    </row>
    <row r="122" ht="12.75" customHeight="1">
      <c r="A122" s="152"/>
      <c r="B122" s="232"/>
      <c r="C122" s="152"/>
      <c r="D122" s="152"/>
      <c r="E122" s="152"/>
      <c r="F122" s="152"/>
      <c r="G122" s="152"/>
      <c r="H122" s="152"/>
      <c r="I122" s="152"/>
      <c r="J122" s="152"/>
      <c r="K122" s="152"/>
      <c r="L122" s="152"/>
      <c r="M122" s="152"/>
      <c r="N122" s="152"/>
      <c r="O122" s="152"/>
      <c r="P122" s="152"/>
      <c r="Q122" s="152"/>
      <c r="R122" s="152"/>
      <c r="S122" s="152"/>
      <c r="T122" s="152"/>
      <c r="U122" s="152"/>
      <c r="V122" s="152"/>
      <c r="W122" s="152"/>
      <c r="X122" s="152"/>
      <c r="Y122" s="152"/>
      <c r="Z122" s="152"/>
    </row>
    <row r="123" ht="12.75" customHeight="1">
      <c r="A123" s="152"/>
      <c r="B123" s="232"/>
      <c r="C123" s="152"/>
      <c r="D123" s="152"/>
      <c r="E123" s="152"/>
      <c r="F123" s="152"/>
      <c r="G123" s="152"/>
      <c r="H123" s="152"/>
      <c r="I123" s="152"/>
      <c r="J123" s="152"/>
      <c r="K123" s="152"/>
      <c r="L123" s="152"/>
      <c r="M123" s="152"/>
      <c r="N123" s="152"/>
      <c r="O123" s="152"/>
      <c r="P123" s="152"/>
      <c r="Q123" s="152"/>
      <c r="R123" s="152"/>
      <c r="S123" s="152"/>
      <c r="T123" s="152"/>
      <c r="U123" s="152"/>
      <c r="V123" s="152"/>
      <c r="W123" s="152"/>
      <c r="X123" s="152"/>
      <c r="Y123" s="152"/>
      <c r="Z123" s="152"/>
    </row>
    <row r="124" ht="12.75" customHeight="1">
      <c r="A124" s="152"/>
      <c r="B124" s="232"/>
      <c r="C124" s="152"/>
      <c r="D124" s="152"/>
      <c r="E124" s="152"/>
      <c r="F124" s="152"/>
      <c r="G124" s="152"/>
      <c r="H124" s="152"/>
      <c r="I124" s="152"/>
      <c r="J124" s="152"/>
      <c r="K124" s="152"/>
      <c r="L124" s="152"/>
      <c r="M124" s="152"/>
      <c r="N124" s="152"/>
      <c r="O124" s="152"/>
      <c r="P124" s="152"/>
      <c r="Q124" s="152"/>
      <c r="R124" s="152"/>
      <c r="S124" s="152"/>
      <c r="T124" s="152"/>
      <c r="U124" s="152"/>
      <c r="V124" s="152"/>
      <c r="W124" s="152"/>
      <c r="X124" s="152"/>
      <c r="Y124" s="152"/>
      <c r="Z124" s="152"/>
    </row>
    <row r="125" ht="12.75" customHeight="1">
      <c r="A125" s="152"/>
      <c r="B125" s="232"/>
      <c r="C125" s="152"/>
      <c r="D125" s="152"/>
      <c r="E125" s="152"/>
      <c r="F125" s="152"/>
      <c r="G125" s="152"/>
      <c r="H125" s="152"/>
      <c r="I125" s="152"/>
      <c r="J125" s="152"/>
      <c r="K125" s="152"/>
      <c r="L125" s="152"/>
      <c r="M125" s="152"/>
      <c r="N125" s="152"/>
      <c r="O125" s="152"/>
      <c r="P125" s="152"/>
      <c r="Q125" s="152"/>
      <c r="R125" s="152"/>
      <c r="S125" s="152"/>
      <c r="T125" s="152"/>
      <c r="U125" s="152"/>
      <c r="V125" s="152"/>
      <c r="W125" s="152"/>
      <c r="X125" s="152"/>
      <c r="Y125" s="152"/>
      <c r="Z125" s="152"/>
    </row>
    <row r="126" ht="12.75" customHeight="1">
      <c r="A126" s="152"/>
      <c r="B126" s="232"/>
      <c r="C126" s="152"/>
      <c r="D126" s="152"/>
      <c r="E126" s="152"/>
      <c r="F126" s="152"/>
      <c r="G126" s="152"/>
      <c r="H126" s="152"/>
      <c r="I126" s="152"/>
      <c r="J126" s="152"/>
      <c r="K126" s="152"/>
      <c r="L126" s="152"/>
      <c r="M126" s="152"/>
      <c r="N126" s="152"/>
      <c r="O126" s="152"/>
      <c r="P126" s="152"/>
      <c r="Q126" s="152"/>
      <c r="R126" s="152"/>
      <c r="S126" s="152"/>
      <c r="T126" s="152"/>
      <c r="U126" s="152"/>
      <c r="V126" s="152"/>
      <c r="W126" s="152"/>
      <c r="X126" s="152"/>
      <c r="Y126" s="152"/>
      <c r="Z126" s="152"/>
    </row>
    <row r="127" ht="12.75" customHeight="1">
      <c r="A127" s="152"/>
      <c r="B127" s="232"/>
      <c r="C127" s="152"/>
      <c r="D127" s="152"/>
      <c r="E127" s="152"/>
      <c r="F127" s="152"/>
      <c r="G127" s="152"/>
      <c r="H127" s="152"/>
      <c r="I127" s="152"/>
      <c r="J127" s="152"/>
      <c r="K127" s="152"/>
      <c r="L127" s="152"/>
      <c r="M127" s="152"/>
      <c r="N127" s="152"/>
      <c r="O127" s="152"/>
      <c r="P127" s="152"/>
      <c r="Q127" s="152"/>
      <c r="R127" s="152"/>
      <c r="S127" s="152"/>
      <c r="T127" s="152"/>
      <c r="U127" s="152"/>
      <c r="V127" s="152"/>
      <c r="W127" s="152"/>
      <c r="X127" s="152"/>
      <c r="Y127" s="152"/>
      <c r="Z127" s="152"/>
    </row>
    <row r="128" ht="12.75" customHeight="1">
      <c r="A128" s="152"/>
      <c r="B128" s="232"/>
      <c r="C128" s="152"/>
      <c r="D128" s="152"/>
      <c r="E128" s="152"/>
      <c r="F128" s="152"/>
      <c r="G128" s="152"/>
      <c r="H128" s="152"/>
      <c r="I128" s="152"/>
      <c r="J128" s="152"/>
      <c r="K128" s="152"/>
      <c r="L128" s="152"/>
      <c r="M128" s="152"/>
      <c r="N128" s="152"/>
      <c r="O128" s="152"/>
      <c r="P128" s="152"/>
      <c r="Q128" s="152"/>
      <c r="R128" s="152"/>
      <c r="S128" s="152"/>
      <c r="T128" s="152"/>
      <c r="U128" s="152"/>
      <c r="V128" s="152"/>
      <c r="W128" s="152"/>
      <c r="X128" s="152"/>
      <c r="Y128" s="152"/>
      <c r="Z128" s="152"/>
    </row>
    <row r="129" ht="12.75" customHeight="1">
      <c r="A129" s="152"/>
      <c r="B129" s="232"/>
      <c r="C129" s="152"/>
      <c r="D129" s="152"/>
      <c r="E129" s="152"/>
      <c r="F129" s="152"/>
      <c r="G129" s="152"/>
      <c r="H129" s="152"/>
      <c r="I129" s="152"/>
      <c r="J129" s="152"/>
      <c r="K129" s="152"/>
      <c r="L129" s="152"/>
      <c r="M129" s="152"/>
      <c r="N129" s="152"/>
      <c r="O129" s="152"/>
      <c r="P129" s="152"/>
      <c r="Q129" s="152"/>
      <c r="R129" s="152"/>
      <c r="S129" s="152"/>
      <c r="T129" s="152"/>
      <c r="U129" s="152"/>
      <c r="V129" s="152"/>
      <c r="W129" s="152"/>
      <c r="X129" s="152"/>
      <c r="Y129" s="152"/>
      <c r="Z129" s="152"/>
    </row>
    <row r="130" ht="12.75" customHeight="1">
      <c r="A130" s="152"/>
      <c r="B130" s="232"/>
      <c r="C130" s="152"/>
      <c r="D130" s="152"/>
      <c r="E130" s="152"/>
      <c r="F130" s="152"/>
      <c r="G130" s="152"/>
      <c r="H130" s="152"/>
      <c r="I130" s="152"/>
      <c r="J130" s="152"/>
      <c r="K130" s="152"/>
      <c r="L130" s="152"/>
      <c r="M130" s="152"/>
      <c r="N130" s="152"/>
      <c r="O130" s="152"/>
      <c r="P130" s="152"/>
      <c r="Q130" s="152"/>
      <c r="R130" s="152"/>
      <c r="S130" s="152"/>
      <c r="T130" s="152"/>
      <c r="U130" s="152"/>
      <c r="V130" s="152"/>
      <c r="W130" s="152"/>
      <c r="X130" s="152"/>
      <c r="Y130" s="152"/>
      <c r="Z130" s="152"/>
    </row>
    <row r="131" ht="12.75" customHeight="1">
      <c r="A131" s="152"/>
      <c r="B131" s="232"/>
      <c r="C131" s="152"/>
      <c r="D131" s="152"/>
      <c r="E131" s="152"/>
      <c r="F131" s="152"/>
      <c r="G131" s="152"/>
      <c r="H131" s="152"/>
      <c r="I131" s="152"/>
      <c r="J131" s="152"/>
      <c r="K131" s="152"/>
      <c r="L131" s="152"/>
      <c r="M131" s="152"/>
      <c r="N131" s="152"/>
      <c r="O131" s="152"/>
      <c r="P131" s="152"/>
      <c r="Q131" s="152"/>
      <c r="R131" s="152"/>
      <c r="S131" s="152"/>
      <c r="T131" s="152"/>
      <c r="U131" s="152"/>
      <c r="V131" s="152"/>
      <c r="W131" s="152"/>
      <c r="X131" s="152"/>
      <c r="Y131" s="152"/>
      <c r="Z131" s="152"/>
    </row>
    <row r="132" ht="12.75" customHeight="1">
      <c r="A132" s="152"/>
      <c r="B132" s="232"/>
      <c r="C132" s="152"/>
      <c r="D132" s="152"/>
      <c r="E132" s="152"/>
      <c r="F132" s="152"/>
      <c r="G132" s="152"/>
      <c r="H132" s="152"/>
      <c r="I132" s="152"/>
      <c r="J132" s="152"/>
      <c r="K132" s="152"/>
      <c r="L132" s="152"/>
      <c r="M132" s="152"/>
      <c r="N132" s="152"/>
      <c r="O132" s="152"/>
      <c r="P132" s="152"/>
      <c r="Q132" s="152"/>
      <c r="R132" s="152"/>
      <c r="S132" s="152"/>
      <c r="T132" s="152"/>
      <c r="U132" s="152"/>
      <c r="V132" s="152"/>
      <c r="W132" s="152"/>
      <c r="X132" s="152"/>
      <c r="Y132" s="152"/>
      <c r="Z132" s="152"/>
    </row>
    <row r="133" ht="12.75" customHeight="1">
      <c r="A133" s="152"/>
      <c r="B133" s="232"/>
      <c r="C133" s="152"/>
      <c r="D133" s="152"/>
      <c r="E133" s="152"/>
      <c r="F133" s="152"/>
      <c r="G133" s="152"/>
      <c r="H133" s="152"/>
      <c r="I133" s="152"/>
      <c r="J133" s="152"/>
      <c r="K133" s="152"/>
      <c r="L133" s="152"/>
      <c r="M133" s="152"/>
      <c r="N133" s="152"/>
      <c r="O133" s="152"/>
      <c r="P133" s="152"/>
      <c r="Q133" s="152"/>
      <c r="R133" s="152"/>
      <c r="S133" s="152"/>
      <c r="T133" s="152"/>
      <c r="U133" s="152"/>
      <c r="V133" s="152"/>
      <c r="W133" s="152"/>
      <c r="X133" s="152"/>
      <c r="Y133" s="152"/>
      <c r="Z133" s="152"/>
    </row>
    <row r="134" ht="12.75" customHeight="1">
      <c r="A134" s="152"/>
      <c r="B134" s="232"/>
      <c r="C134" s="152"/>
      <c r="D134" s="152"/>
      <c r="E134" s="152"/>
      <c r="F134" s="152"/>
      <c r="G134" s="152"/>
      <c r="H134" s="152"/>
      <c r="I134" s="152"/>
      <c r="J134" s="152"/>
      <c r="K134" s="152"/>
      <c r="L134" s="152"/>
      <c r="M134" s="152"/>
      <c r="N134" s="152"/>
      <c r="O134" s="152"/>
      <c r="P134" s="152"/>
      <c r="Q134" s="152"/>
      <c r="R134" s="152"/>
      <c r="S134" s="152"/>
      <c r="T134" s="152"/>
      <c r="U134" s="152"/>
      <c r="V134" s="152"/>
      <c r="W134" s="152"/>
      <c r="X134" s="152"/>
      <c r="Y134" s="152"/>
      <c r="Z134" s="152"/>
    </row>
    <row r="135" ht="12.75" customHeight="1">
      <c r="A135" s="152"/>
      <c r="B135" s="232"/>
      <c r="C135" s="152"/>
      <c r="D135" s="152"/>
      <c r="E135" s="152"/>
      <c r="F135" s="152"/>
      <c r="G135" s="152"/>
      <c r="H135" s="152"/>
      <c r="I135" s="152"/>
      <c r="J135" s="152"/>
      <c r="K135" s="152"/>
      <c r="L135" s="152"/>
      <c r="M135" s="152"/>
      <c r="N135" s="152"/>
      <c r="O135" s="152"/>
      <c r="P135" s="152"/>
      <c r="Q135" s="152"/>
      <c r="R135" s="152"/>
      <c r="S135" s="152"/>
      <c r="T135" s="152"/>
      <c r="U135" s="152"/>
      <c r="V135" s="152"/>
      <c r="W135" s="152"/>
      <c r="X135" s="152"/>
      <c r="Y135" s="152"/>
      <c r="Z135" s="152"/>
    </row>
    <row r="136" ht="12.75" customHeight="1">
      <c r="A136" s="152"/>
      <c r="B136" s="232"/>
      <c r="C136" s="152"/>
      <c r="D136" s="152"/>
      <c r="E136" s="152"/>
      <c r="F136" s="152"/>
      <c r="G136" s="152"/>
      <c r="H136" s="152"/>
      <c r="I136" s="152"/>
      <c r="J136" s="152"/>
      <c r="K136" s="152"/>
      <c r="L136" s="152"/>
      <c r="M136" s="152"/>
      <c r="N136" s="152"/>
      <c r="O136" s="152"/>
      <c r="P136" s="152"/>
      <c r="Q136" s="152"/>
      <c r="R136" s="152"/>
      <c r="S136" s="152"/>
      <c r="T136" s="152"/>
      <c r="U136" s="152"/>
      <c r="V136" s="152"/>
      <c r="W136" s="152"/>
      <c r="X136" s="152"/>
      <c r="Y136" s="152"/>
      <c r="Z136" s="152"/>
    </row>
    <row r="137" ht="12.75" customHeight="1">
      <c r="A137" s="152"/>
      <c r="B137" s="232"/>
      <c r="C137" s="152"/>
      <c r="D137" s="152"/>
      <c r="E137" s="152"/>
      <c r="F137" s="152"/>
      <c r="G137" s="152"/>
      <c r="H137" s="152"/>
      <c r="I137" s="152"/>
      <c r="J137" s="152"/>
      <c r="K137" s="152"/>
      <c r="L137" s="152"/>
      <c r="M137" s="152"/>
      <c r="N137" s="152"/>
      <c r="O137" s="152"/>
      <c r="P137" s="152"/>
      <c r="Q137" s="152"/>
      <c r="R137" s="152"/>
      <c r="S137" s="152"/>
      <c r="T137" s="152"/>
      <c r="U137" s="152"/>
      <c r="V137" s="152"/>
      <c r="W137" s="152"/>
      <c r="X137" s="152"/>
      <c r="Y137" s="152"/>
      <c r="Z137" s="152"/>
    </row>
    <row r="138" ht="12.75" customHeight="1">
      <c r="A138" s="152"/>
      <c r="B138" s="232"/>
      <c r="C138" s="152"/>
      <c r="D138" s="152"/>
      <c r="E138" s="152"/>
      <c r="F138" s="152"/>
      <c r="G138" s="152"/>
      <c r="H138" s="152"/>
      <c r="I138" s="152"/>
      <c r="J138" s="152"/>
      <c r="K138" s="152"/>
      <c r="L138" s="152"/>
      <c r="M138" s="152"/>
      <c r="N138" s="152"/>
      <c r="O138" s="152"/>
      <c r="P138" s="152"/>
      <c r="Q138" s="152"/>
      <c r="R138" s="152"/>
      <c r="S138" s="152"/>
      <c r="T138" s="152"/>
      <c r="U138" s="152"/>
      <c r="V138" s="152"/>
      <c r="W138" s="152"/>
      <c r="X138" s="152"/>
      <c r="Y138" s="152"/>
      <c r="Z138" s="152"/>
    </row>
    <row r="139" ht="12.75" customHeight="1">
      <c r="A139" s="152"/>
      <c r="B139" s="232"/>
      <c r="C139" s="152"/>
      <c r="D139" s="152"/>
      <c r="E139" s="152"/>
      <c r="F139" s="152"/>
      <c r="G139" s="152"/>
      <c r="H139" s="152"/>
      <c r="I139" s="152"/>
      <c r="J139" s="152"/>
      <c r="K139" s="152"/>
      <c r="L139" s="152"/>
      <c r="M139" s="152"/>
      <c r="N139" s="152"/>
      <c r="O139" s="152"/>
      <c r="P139" s="152"/>
      <c r="Q139" s="152"/>
      <c r="R139" s="152"/>
      <c r="S139" s="152"/>
      <c r="T139" s="152"/>
      <c r="U139" s="152"/>
      <c r="V139" s="152"/>
      <c r="W139" s="152"/>
      <c r="X139" s="152"/>
      <c r="Y139" s="152"/>
      <c r="Z139" s="152"/>
    </row>
    <row r="140" ht="12.75" customHeight="1">
      <c r="A140" s="152"/>
      <c r="B140" s="232"/>
      <c r="C140" s="152"/>
      <c r="D140" s="152"/>
      <c r="E140" s="152"/>
      <c r="F140" s="152"/>
      <c r="G140" s="152"/>
      <c r="H140" s="152"/>
      <c r="I140" s="152"/>
      <c r="J140" s="152"/>
      <c r="K140" s="152"/>
      <c r="L140" s="152"/>
      <c r="M140" s="152"/>
      <c r="N140" s="152"/>
      <c r="O140" s="152"/>
      <c r="P140" s="152"/>
      <c r="Q140" s="152"/>
      <c r="R140" s="152"/>
      <c r="S140" s="152"/>
      <c r="T140" s="152"/>
      <c r="U140" s="152"/>
      <c r="V140" s="152"/>
      <c r="W140" s="152"/>
      <c r="X140" s="152"/>
      <c r="Y140" s="152"/>
      <c r="Z140" s="152"/>
    </row>
    <row r="141" ht="12.75" customHeight="1">
      <c r="A141" s="152"/>
      <c r="B141" s="232"/>
      <c r="C141" s="152"/>
      <c r="D141" s="152"/>
      <c r="E141" s="152"/>
      <c r="F141" s="152"/>
      <c r="G141" s="152"/>
      <c r="H141" s="152"/>
      <c r="I141" s="152"/>
      <c r="J141" s="152"/>
      <c r="K141" s="152"/>
      <c r="L141" s="152"/>
      <c r="M141" s="152"/>
      <c r="N141" s="152"/>
      <c r="O141" s="152"/>
      <c r="P141" s="152"/>
      <c r="Q141" s="152"/>
      <c r="R141" s="152"/>
      <c r="S141" s="152"/>
      <c r="T141" s="152"/>
      <c r="U141" s="152"/>
      <c r="V141" s="152"/>
      <c r="W141" s="152"/>
      <c r="X141" s="152"/>
      <c r="Y141" s="152"/>
      <c r="Z141" s="152"/>
    </row>
    <row r="142" ht="12.75" customHeight="1">
      <c r="A142" s="152"/>
      <c r="B142" s="232"/>
      <c r="C142" s="152"/>
      <c r="D142" s="152"/>
      <c r="E142" s="152"/>
      <c r="F142" s="152"/>
      <c r="G142" s="152"/>
      <c r="H142" s="152"/>
      <c r="I142" s="152"/>
      <c r="J142" s="152"/>
      <c r="K142" s="152"/>
      <c r="L142" s="152"/>
      <c r="M142" s="152"/>
      <c r="N142" s="152"/>
      <c r="O142" s="152"/>
      <c r="P142" s="152"/>
      <c r="Q142" s="152"/>
      <c r="R142" s="152"/>
      <c r="S142" s="152"/>
      <c r="T142" s="152"/>
      <c r="U142" s="152"/>
      <c r="V142" s="152"/>
      <c r="W142" s="152"/>
      <c r="X142" s="152"/>
      <c r="Y142" s="152"/>
      <c r="Z142" s="152"/>
    </row>
    <row r="143" ht="12.75" customHeight="1">
      <c r="A143" s="152"/>
      <c r="B143" s="232"/>
      <c r="C143" s="152"/>
      <c r="D143" s="152"/>
      <c r="E143" s="152"/>
      <c r="F143" s="152"/>
      <c r="G143" s="152"/>
      <c r="H143" s="152"/>
      <c r="I143" s="152"/>
      <c r="J143" s="152"/>
      <c r="K143" s="152"/>
      <c r="L143" s="152"/>
      <c r="M143" s="152"/>
      <c r="N143" s="152"/>
      <c r="O143" s="152"/>
      <c r="P143" s="152"/>
      <c r="Q143" s="152"/>
      <c r="R143" s="152"/>
      <c r="S143" s="152"/>
      <c r="T143" s="152"/>
      <c r="U143" s="152"/>
      <c r="V143" s="152"/>
      <c r="W143" s="152"/>
      <c r="X143" s="152"/>
      <c r="Y143" s="152"/>
      <c r="Z143" s="152"/>
    </row>
    <row r="144" ht="12.75" customHeight="1">
      <c r="A144" s="152"/>
      <c r="B144" s="232"/>
      <c r="C144" s="152"/>
      <c r="D144" s="152"/>
      <c r="E144" s="152"/>
      <c r="F144" s="152"/>
      <c r="G144" s="152"/>
      <c r="H144" s="152"/>
      <c r="I144" s="152"/>
      <c r="J144" s="152"/>
      <c r="K144" s="152"/>
      <c r="L144" s="152"/>
      <c r="M144" s="152"/>
      <c r="N144" s="152"/>
      <c r="O144" s="152"/>
      <c r="P144" s="152"/>
      <c r="Q144" s="152"/>
      <c r="R144" s="152"/>
      <c r="S144" s="152"/>
      <c r="T144" s="152"/>
      <c r="U144" s="152"/>
      <c r="V144" s="152"/>
      <c r="W144" s="152"/>
      <c r="X144" s="152"/>
      <c r="Y144" s="152"/>
      <c r="Z144" s="152"/>
    </row>
    <row r="145" ht="12.75" customHeight="1">
      <c r="A145" s="152"/>
      <c r="B145" s="232"/>
      <c r="C145" s="152"/>
      <c r="D145" s="152"/>
      <c r="E145" s="152"/>
      <c r="F145" s="152"/>
      <c r="G145" s="152"/>
      <c r="H145" s="152"/>
      <c r="I145" s="152"/>
      <c r="J145" s="152"/>
      <c r="K145" s="152"/>
      <c r="L145" s="152"/>
      <c r="M145" s="152"/>
      <c r="N145" s="152"/>
      <c r="O145" s="152"/>
      <c r="P145" s="152"/>
      <c r="Q145" s="152"/>
      <c r="R145" s="152"/>
      <c r="S145" s="152"/>
      <c r="T145" s="152"/>
      <c r="U145" s="152"/>
      <c r="V145" s="152"/>
      <c r="W145" s="152"/>
      <c r="X145" s="152"/>
      <c r="Y145" s="152"/>
      <c r="Z145" s="152"/>
    </row>
    <row r="146" ht="12.75" customHeight="1">
      <c r="A146" s="152"/>
      <c r="B146" s="232"/>
      <c r="C146" s="152"/>
      <c r="D146" s="152"/>
      <c r="E146" s="152"/>
      <c r="F146" s="152"/>
      <c r="G146" s="152"/>
      <c r="H146" s="152"/>
      <c r="I146" s="152"/>
      <c r="J146" s="152"/>
      <c r="K146" s="152"/>
      <c r="L146" s="152"/>
      <c r="M146" s="152"/>
      <c r="N146" s="152"/>
      <c r="O146" s="152"/>
      <c r="P146" s="152"/>
      <c r="Q146" s="152"/>
      <c r="R146" s="152"/>
      <c r="S146" s="152"/>
      <c r="T146" s="152"/>
      <c r="U146" s="152"/>
      <c r="V146" s="152"/>
      <c r="W146" s="152"/>
      <c r="X146" s="152"/>
      <c r="Y146" s="152"/>
      <c r="Z146" s="152"/>
    </row>
    <row r="147" ht="12.75" customHeight="1">
      <c r="A147" s="152"/>
      <c r="B147" s="232"/>
      <c r="C147" s="152"/>
      <c r="D147" s="152"/>
      <c r="E147" s="152"/>
      <c r="F147" s="152"/>
      <c r="G147" s="152"/>
      <c r="H147" s="152"/>
      <c r="I147" s="152"/>
      <c r="J147" s="152"/>
      <c r="K147" s="152"/>
      <c r="L147" s="152"/>
      <c r="M147" s="152"/>
      <c r="N147" s="152"/>
      <c r="O147" s="152"/>
      <c r="P147" s="152"/>
      <c r="Q147" s="152"/>
      <c r="R147" s="152"/>
      <c r="S147" s="152"/>
      <c r="T147" s="152"/>
      <c r="U147" s="152"/>
      <c r="V147" s="152"/>
      <c r="W147" s="152"/>
      <c r="X147" s="152"/>
      <c r="Y147" s="152"/>
      <c r="Z147" s="152"/>
    </row>
    <row r="148" ht="12.75" customHeight="1">
      <c r="A148" s="152"/>
      <c r="B148" s="232"/>
      <c r="C148" s="152"/>
      <c r="D148" s="152"/>
      <c r="E148" s="152"/>
      <c r="F148" s="152"/>
      <c r="G148" s="152"/>
      <c r="H148" s="152"/>
      <c r="I148" s="152"/>
      <c r="J148" s="152"/>
      <c r="K148" s="152"/>
      <c r="L148" s="152"/>
      <c r="M148" s="152"/>
      <c r="N148" s="152"/>
      <c r="O148" s="152"/>
      <c r="P148" s="152"/>
      <c r="Q148" s="152"/>
      <c r="R148" s="152"/>
      <c r="S148" s="152"/>
      <c r="T148" s="152"/>
      <c r="U148" s="152"/>
      <c r="V148" s="152"/>
      <c r="W148" s="152"/>
      <c r="X148" s="152"/>
      <c r="Y148" s="152"/>
      <c r="Z148" s="152"/>
    </row>
    <row r="149" ht="12.75" customHeight="1">
      <c r="A149" s="152"/>
      <c r="B149" s="232"/>
      <c r="C149" s="152"/>
      <c r="D149" s="152"/>
      <c r="E149" s="152"/>
      <c r="F149" s="152"/>
      <c r="G149" s="152"/>
      <c r="H149" s="152"/>
      <c r="I149" s="152"/>
      <c r="J149" s="152"/>
      <c r="K149" s="152"/>
      <c r="L149" s="152"/>
      <c r="M149" s="152"/>
      <c r="N149" s="152"/>
      <c r="O149" s="152"/>
      <c r="P149" s="152"/>
      <c r="Q149" s="152"/>
      <c r="R149" s="152"/>
      <c r="S149" s="152"/>
      <c r="T149" s="152"/>
      <c r="U149" s="152"/>
      <c r="V149" s="152"/>
      <c r="W149" s="152"/>
      <c r="X149" s="152"/>
      <c r="Y149" s="152"/>
      <c r="Z149" s="152"/>
    </row>
    <row r="150" ht="12.75" customHeight="1">
      <c r="A150" s="152"/>
      <c r="B150" s="232"/>
      <c r="C150" s="152"/>
      <c r="D150" s="152"/>
      <c r="E150" s="152"/>
      <c r="F150" s="152"/>
      <c r="G150" s="152"/>
      <c r="H150" s="152"/>
      <c r="I150" s="152"/>
      <c r="J150" s="152"/>
      <c r="K150" s="152"/>
      <c r="L150" s="152"/>
      <c r="M150" s="152"/>
      <c r="N150" s="152"/>
      <c r="O150" s="152"/>
      <c r="P150" s="152"/>
      <c r="Q150" s="152"/>
      <c r="R150" s="152"/>
      <c r="S150" s="152"/>
      <c r="T150" s="152"/>
      <c r="U150" s="152"/>
      <c r="V150" s="152"/>
      <c r="W150" s="152"/>
      <c r="X150" s="152"/>
      <c r="Y150" s="152"/>
      <c r="Z150" s="152"/>
    </row>
    <row r="151" ht="12.75" customHeight="1">
      <c r="A151" s="152"/>
      <c r="B151" s="232"/>
      <c r="C151" s="152"/>
      <c r="D151" s="152"/>
      <c r="E151" s="152"/>
      <c r="F151" s="152"/>
      <c r="G151" s="152"/>
      <c r="H151" s="152"/>
      <c r="I151" s="152"/>
      <c r="J151" s="152"/>
      <c r="K151" s="152"/>
      <c r="L151" s="152"/>
      <c r="M151" s="152"/>
      <c r="N151" s="152"/>
      <c r="O151" s="152"/>
      <c r="P151" s="152"/>
      <c r="Q151" s="152"/>
      <c r="R151" s="152"/>
      <c r="S151" s="152"/>
      <c r="T151" s="152"/>
      <c r="U151" s="152"/>
      <c r="V151" s="152"/>
      <c r="W151" s="152"/>
      <c r="X151" s="152"/>
      <c r="Y151" s="152"/>
      <c r="Z151" s="152"/>
    </row>
    <row r="152" ht="12.75" customHeight="1">
      <c r="A152" s="152"/>
      <c r="B152" s="232"/>
      <c r="C152" s="152"/>
      <c r="D152" s="152"/>
      <c r="E152" s="152"/>
      <c r="F152" s="152"/>
      <c r="G152" s="152"/>
      <c r="H152" s="152"/>
      <c r="I152" s="152"/>
      <c r="J152" s="152"/>
      <c r="K152" s="152"/>
      <c r="L152" s="152"/>
      <c r="M152" s="152"/>
      <c r="N152" s="152"/>
      <c r="O152" s="152"/>
      <c r="P152" s="152"/>
      <c r="Q152" s="152"/>
      <c r="R152" s="152"/>
      <c r="S152" s="152"/>
      <c r="T152" s="152"/>
      <c r="U152" s="152"/>
      <c r="V152" s="152"/>
      <c r="W152" s="152"/>
      <c r="X152" s="152"/>
      <c r="Y152" s="152"/>
      <c r="Z152" s="152"/>
    </row>
    <row r="153" ht="12.75" customHeight="1">
      <c r="A153" s="152"/>
      <c r="B153" s="232"/>
      <c r="C153" s="152"/>
      <c r="D153" s="152"/>
      <c r="E153" s="152"/>
      <c r="F153" s="152"/>
      <c r="G153" s="152"/>
      <c r="H153" s="152"/>
      <c r="I153" s="152"/>
      <c r="J153" s="152"/>
      <c r="K153" s="152"/>
      <c r="L153" s="152"/>
      <c r="M153" s="152"/>
      <c r="N153" s="152"/>
      <c r="O153" s="152"/>
      <c r="P153" s="152"/>
      <c r="Q153" s="152"/>
      <c r="R153" s="152"/>
      <c r="S153" s="152"/>
      <c r="T153" s="152"/>
      <c r="U153" s="152"/>
      <c r="V153" s="152"/>
      <c r="W153" s="152"/>
      <c r="X153" s="152"/>
      <c r="Y153" s="152"/>
      <c r="Z153" s="152"/>
    </row>
    <row r="154" ht="12.75" customHeight="1">
      <c r="A154" s="152"/>
      <c r="B154" s="232"/>
      <c r="C154" s="152"/>
      <c r="D154" s="152"/>
      <c r="E154" s="152"/>
      <c r="F154" s="152"/>
      <c r="G154" s="152"/>
      <c r="H154" s="152"/>
      <c r="I154" s="152"/>
      <c r="J154" s="152"/>
      <c r="K154" s="152"/>
      <c r="L154" s="152"/>
      <c r="M154" s="152"/>
      <c r="N154" s="152"/>
      <c r="O154" s="152"/>
      <c r="P154" s="152"/>
      <c r="Q154" s="152"/>
      <c r="R154" s="152"/>
      <c r="S154" s="152"/>
      <c r="T154" s="152"/>
      <c r="U154" s="152"/>
      <c r="V154" s="152"/>
      <c r="W154" s="152"/>
      <c r="X154" s="152"/>
      <c r="Y154" s="152"/>
      <c r="Z154" s="152"/>
    </row>
    <row r="155" ht="12.75" customHeight="1">
      <c r="A155" s="152"/>
      <c r="B155" s="232"/>
      <c r="C155" s="152"/>
      <c r="D155" s="152"/>
      <c r="E155" s="152"/>
      <c r="F155" s="152"/>
      <c r="G155" s="152"/>
      <c r="H155" s="152"/>
      <c r="I155" s="152"/>
      <c r="J155" s="152"/>
      <c r="K155" s="152"/>
      <c r="L155" s="152"/>
      <c r="M155" s="152"/>
      <c r="N155" s="152"/>
      <c r="O155" s="152"/>
      <c r="P155" s="152"/>
      <c r="Q155" s="152"/>
      <c r="R155" s="152"/>
      <c r="S155" s="152"/>
      <c r="T155" s="152"/>
      <c r="U155" s="152"/>
      <c r="V155" s="152"/>
      <c r="W155" s="152"/>
      <c r="X155" s="152"/>
      <c r="Y155" s="152"/>
      <c r="Z155" s="152"/>
    </row>
    <row r="156" ht="12.75" customHeight="1">
      <c r="A156" s="152"/>
      <c r="B156" s="232"/>
      <c r="C156" s="152"/>
      <c r="D156" s="152"/>
      <c r="E156" s="152"/>
      <c r="F156" s="152"/>
      <c r="G156" s="152"/>
      <c r="H156" s="152"/>
      <c r="I156" s="152"/>
      <c r="J156" s="152"/>
      <c r="K156" s="152"/>
      <c r="L156" s="152"/>
      <c r="M156" s="152"/>
      <c r="N156" s="152"/>
      <c r="O156" s="152"/>
      <c r="P156" s="152"/>
      <c r="Q156" s="152"/>
      <c r="R156" s="152"/>
      <c r="S156" s="152"/>
      <c r="T156" s="152"/>
      <c r="U156" s="152"/>
      <c r="V156" s="152"/>
      <c r="W156" s="152"/>
      <c r="X156" s="152"/>
      <c r="Y156" s="152"/>
      <c r="Z156" s="152"/>
    </row>
    <row r="157" ht="12.75" customHeight="1">
      <c r="A157" s="152"/>
      <c r="B157" s="232"/>
      <c r="C157" s="152"/>
      <c r="D157" s="152"/>
      <c r="E157" s="152"/>
      <c r="F157" s="152"/>
      <c r="G157" s="152"/>
      <c r="H157" s="152"/>
      <c r="I157" s="152"/>
      <c r="J157" s="152"/>
      <c r="K157" s="152"/>
      <c r="L157" s="152"/>
      <c r="M157" s="152"/>
      <c r="N157" s="152"/>
      <c r="O157" s="152"/>
      <c r="P157" s="152"/>
      <c r="Q157" s="152"/>
      <c r="R157" s="152"/>
      <c r="S157" s="152"/>
      <c r="T157" s="152"/>
      <c r="U157" s="152"/>
      <c r="V157" s="152"/>
      <c r="W157" s="152"/>
      <c r="X157" s="152"/>
      <c r="Y157" s="152"/>
      <c r="Z157" s="152"/>
    </row>
    <row r="158" ht="12.75" customHeight="1">
      <c r="A158" s="152"/>
      <c r="B158" s="232"/>
      <c r="C158" s="152"/>
      <c r="D158" s="152"/>
      <c r="E158" s="152"/>
      <c r="F158" s="152"/>
      <c r="G158" s="152"/>
      <c r="H158" s="152"/>
      <c r="I158" s="152"/>
      <c r="J158" s="152"/>
      <c r="K158" s="152"/>
      <c r="L158" s="152"/>
      <c r="M158" s="152"/>
      <c r="N158" s="152"/>
      <c r="O158" s="152"/>
      <c r="P158" s="152"/>
      <c r="Q158" s="152"/>
      <c r="R158" s="152"/>
      <c r="S158" s="152"/>
      <c r="T158" s="152"/>
      <c r="U158" s="152"/>
      <c r="V158" s="152"/>
      <c r="W158" s="152"/>
      <c r="X158" s="152"/>
      <c r="Y158" s="152"/>
      <c r="Z158" s="152"/>
    </row>
    <row r="159" ht="12.75" customHeight="1">
      <c r="A159" s="152"/>
      <c r="B159" s="232"/>
      <c r="C159" s="152"/>
      <c r="D159" s="152"/>
      <c r="E159" s="152"/>
      <c r="F159" s="152"/>
      <c r="G159" s="152"/>
      <c r="H159" s="152"/>
      <c r="I159" s="152"/>
      <c r="J159" s="152"/>
      <c r="K159" s="152"/>
      <c r="L159" s="152"/>
      <c r="M159" s="152"/>
      <c r="N159" s="152"/>
      <c r="O159" s="152"/>
      <c r="P159" s="152"/>
      <c r="Q159" s="152"/>
      <c r="R159" s="152"/>
      <c r="S159" s="152"/>
      <c r="T159" s="152"/>
      <c r="U159" s="152"/>
      <c r="V159" s="152"/>
      <c r="W159" s="152"/>
      <c r="X159" s="152"/>
      <c r="Y159" s="152"/>
      <c r="Z159" s="152"/>
    </row>
    <row r="160" ht="12.75" customHeight="1">
      <c r="A160" s="152"/>
      <c r="B160" s="232"/>
      <c r="C160" s="152"/>
      <c r="D160" s="152"/>
      <c r="E160" s="152"/>
      <c r="F160" s="152"/>
      <c r="G160" s="152"/>
      <c r="H160" s="152"/>
      <c r="I160" s="152"/>
      <c r="J160" s="152"/>
      <c r="K160" s="152"/>
      <c r="L160" s="152"/>
      <c r="M160" s="152"/>
      <c r="N160" s="152"/>
      <c r="O160" s="152"/>
      <c r="P160" s="152"/>
      <c r="Q160" s="152"/>
      <c r="R160" s="152"/>
      <c r="S160" s="152"/>
      <c r="T160" s="152"/>
      <c r="U160" s="152"/>
      <c r="V160" s="152"/>
      <c r="W160" s="152"/>
      <c r="X160" s="152"/>
      <c r="Y160" s="152"/>
      <c r="Z160" s="152"/>
    </row>
    <row r="161" ht="12.75" customHeight="1">
      <c r="A161" s="152"/>
      <c r="B161" s="232"/>
      <c r="C161" s="152"/>
      <c r="D161" s="152"/>
      <c r="E161" s="152"/>
      <c r="F161" s="152"/>
      <c r="G161" s="152"/>
      <c r="H161" s="152"/>
      <c r="I161" s="152"/>
      <c r="J161" s="152"/>
      <c r="K161" s="152"/>
      <c r="L161" s="152"/>
      <c r="M161" s="152"/>
      <c r="N161" s="152"/>
      <c r="O161" s="152"/>
      <c r="P161" s="152"/>
      <c r="Q161" s="152"/>
      <c r="R161" s="152"/>
      <c r="S161" s="152"/>
      <c r="T161" s="152"/>
      <c r="U161" s="152"/>
      <c r="V161" s="152"/>
      <c r="W161" s="152"/>
      <c r="X161" s="152"/>
      <c r="Y161" s="152"/>
      <c r="Z161" s="152"/>
    </row>
    <row r="162" ht="12.75" customHeight="1">
      <c r="A162" s="152"/>
      <c r="B162" s="232"/>
      <c r="C162" s="152"/>
      <c r="D162" s="152"/>
      <c r="E162" s="152"/>
      <c r="F162" s="152"/>
      <c r="G162" s="152"/>
      <c r="H162" s="152"/>
      <c r="I162" s="152"/>
      <c r="J162" s="152"/>
      <c r="K162" s="152"/>
      <c r="L162" s="152"/>
      <c r="M162" s="152"/>
      <c r="N162" s="152"/>
      <c r="O162" s="152"/>
      <c r="P162" s="152"/>
      <c r="Q162" s="152"/>
      <c r="R162" s="152"/>
      <c r="S162" s="152"/>
      <c r="T162" s="152"/>
      <c r="U162" s="152"/>
      <c r="V162" s="152"/>
      <c r="W162" s="152"/>
      <c r="X162" s="152"/>
      <c r="Y162" s="152"/>
      <c r="Z162" s="152"/>
    </row>
    <row r="163" ht="12.75" customHeight="1">
      <c r="A163" s="152"/>
      <c r="B163" s="232"/>
      <c r="C163" s="152"/>
      <c r="D163" s="152"/>
      <c r="E163" s="152"/>
      <c r="F163" s="152"/>
      <c r="G163" s="152"/>
      <c r="H163" s="152"/>
      <c r="I163" s="152"/>
      <c r="J163" s="152"/>
      <c r="K163" s="152"/>
      <c r="L163" s="152"/>
      <c r="M163" s="152"/>
      <c r="N163" s="152"/>
      <c r="O163" s="152"/>
      <c r="P163" s="152"/>
      <c r="Q163" s="152"/>
      <c r="R163" s="152"/>
      <c r="S163" s="152"/>
      <c r="T163" s="152"/>
      <c r="U163" s="152"/>
      <c r="V163" s="152"/>
      <c r="W163" s="152"/>
      <c r="X163" s="152"/>
      <c r="Y163" s="152"/>
      <c r="Z163" s="152"/>
    </row>
    <row r="164" ht="12.75" customHeight="1">
      <c r="A164" s="152"/>
      <c r="B164" s="232"/>
      <c r="C164" s="152"/>
      <c r="D164" s="152"/>
      <c r="E164" s="152"/>
      <c r="F164" s="152"/>
      <c r="G164" s="152"/>
      <c r="H164" s="152"/>
      <c r="I164" s="152"/>
      <c r="J164" s="152"/>
      <c r="K164" s="152"/>
      <c r="L164" s="152"/>
      <c r="M164" s="152"/>
      <c r="N164" s="152"/>
      <c r="O164" s="152"/>
      <c r="P164" s="152"/>
      <c r="Q164" s="152"/>
      <c r="R164" s="152"/>
      <c r="S164" s="152"/>
      <c r="T164" s="152"/>
      <c r="U164" s="152"/>
      <c r="V164" s="152"/>
      <c r="W164" s="152"/>
      <c r="X164" s="152"/>
      <c r="Y164" s="152"/>
      <c r="Z164" s="152"/>
    </row>
    <row r="165" ht="12.75" customHeight="1">
      <c r="A165" s="152"/>
      <c r="B165" s="232"/>
      <c r="C165" s="152"/>
      <c r="D165" s="152"/>
      <c r="E165" s="152"/>
      <c r="F165" s="152"/>
      <c r="G165" s="152"/>
      <c r="H165" s="152"/>
      <c r="I165" s="152"/>
      <c r="J165" s="152"/>
      <c r="K165" s="152"/>
      <c r="L165" s="152"/>
      <c r="M165" s="152"/>
      <c r="N165" s="152"/>
      <c r="O165" s="152"/>
      <c r="P165" s="152"/>
      <c r="Q165" s="152"/>
      <c r="R165" s="152"/>
      <c r="S165" s="152"/>
      <c r="T165" s="152"/>
      <c r="U165" s="152"/>
      <c r="V165" s="152"/>
      <c r="W165" s="152"/>
      <c r="X165" s="152"/>
      <c r="Y165" s="152"/>
      <c r="Z165" s="152"/>
    </row>
    <row r="166" ht="12.75" customHeight="1">
      <c r="A166" s="152"/>
      <c r="B166" s="232"/>
      <c r="C166" s="152"/>
      <c r="D166" s="152"/>
      <c r="E166" s="152"/>
      <c r="F166" s="152"/>
      <c r="G166" s="152"/>
      <c r="H166" s="152"/>
      <c r="I166" s="152"/>
      <c r="J166" s="152"/>
      <c r="K166" s="152"/>
      <c r="L166" s="152"/>
      <c r="M166" s="152"/>
      <c r="N166" s="152"/>
      <c r="O166" s="152"/>
      <c r="P166" s="152"/>
      <c r="Q166" s="152"/>
      <c r="R166" s="152"/>
      <c r="S166" s="152"/>
      <c r="T166" s="152"/>
      <c r="U166" s="152"/>
      <c r="V166" s="152"/>
      <c r="W166" s="152"/>
      <c r="X166" s="152"/>
      <c r="Y166" s="152"/>
      <c r="Z166" s="152"/>
    </row>
    <row r="167" ht="12.75" customHeight="1">
      <c r="A167" s="152"/>
      <c r="B167" s="232"/>
      <c r="C167" s="152"/>
      <c r="D167" s="152"/>
      <c r="E167" s="152"/>
      <c r="F167" s="152"/>
      <c r="G167" s="152"/>
      <c r="H167" s="152"/>
      <c r="I167" s="152"/>
      <c r="J167" s="152"/>
      <c r="K167" s="152"/>
      <c r="L167" s="152"/>
      <c r="M167" s="152"/>
      <c r="N167" s="152"/>
      <c r="O167" s="152"/>
      <c r="P167" s="152"/>
      <c r="Q167" s="152"/>
      <c r="R167" s="152"/>
      <c r="S167" s="152"/>
      <c r="T167" s="152"/>
      <c r="U167" s="152"/>
      <c r="V167" s="152"/>
      <c r="W167" s="152"/>
      <c r="X167" s="152"/>
      <c r="Y167" s="152"/>
      <c r="Z167" s="152"/>
    </row>
    <row r="168" ht="12.75" customHeight="1">
      <c r="A168" s="152"/>
      <c r="B168" s="232"/>
      <c r="C168" s="152"/>
      <c r="D168" s="152"/>
      <c r="E168" s="152"/>
      <c r="F168" s="152"/>
      <c r="G168" s="152"/>
      <c r="H168" s="152"/>
      <c r="I168" s="152"/>
      <c r="J168" s="152"/>
      <c r="K168" s="152"/>
      <c r="L168" s="152"/>
      <c r="M168" s="152"/>
      <c r="N168" s="152"/>
      <c r="O168" s="152"/>
      <c r="P168" s="152"/>
      <c r="Q168" s="152"/>
      <c r="R168" s="152"/>
      <c r="S168" s="152"/>
      <c r="T168" s="152"/>
      <c r="U168" s="152"/>
      <c r="V168" s="152"/>
      <c r="W168" s="152"/>
      <c r="X168" s="152"/>
      <c r="Y168" s="152"/>
      <c r="Z168" s="152"/>
    </row>
    <row r="169" ht="12.75" customHeight="1">
      <c r="A169" s="152"/>
      <c r="B169" s="232"/>
      <c r="C169" s="152"/>
      <c r="D169" s="152"/>
      <c r="E169" s="152"/>
      <c r="F169" s="152"/>
      <c r="G169" s="152"/>
      <c r="H169" s="152"/>
      <c r="I169" s="152"/>
      <c r="J169" s="152"/>
      <c r="K169" s="152"/>
      <c r="L169" s="152"/>
      <c r="M169" s="152"/>
      <c r="N169" s="152"/>
      <c r="O169" s="152"/>
      <c r="P169" s="152"/>
      <c r="Q169" s="152"/>
      <c r="R169" s="152"/>
      <c r="S169" s="152"/>
      <c r="T169" s="152"/>
      <c r="U169" s="152"/>
      <c r="V169" s="152"/>
      <c r="W169" s="152"/>
      <c r="X169" s="152"/>
      <c r="Y169" s="152"/>
      <c r="Z169" s="152"/>
    </row>
    <row r="170" ht="12.75" customHeight="1">
      <c r="A170" s="152"/>
      <c r="B170" s="232"/>
      <c r="C170" s="152"/>
      <c r="D170" s="152"/>
      <c r="E170" s="152"/>
      <c r="F170" s="152"/>
      <c r="G170" s="152"/>
      <c r="H170" s="152"/>
      <c r="I170" s="152"/>
      <c r="J170" s="152"/>
      <c r="K170" s="152"/>
      <c r="L170" s="152"/>
      <c r="M170" s="152"/>
      <c r="N170" s="152"/>
      <c r="O170" s="152"/>
      <c r="P170" s="152"/>
      <c r="Q170" s="152"/>
      <c r="R170" s="152"/>
      <c r="S170" s="152"/>
      <c r="T170" s="152"/>
      <c r="U170" s="152"/>
      <c r="V170" s="152"/>
      <c r="W170" s="152"/>
      <c r="X170" s="152"/>
      <c r="Y170" s="152"/>
      <c r="Z170" s="152"/>
    </row>
    <row r="171" ht="12.75" customHeight="1">
      <c r="A171" s="152"/>
      <c r="B171" s="232"/>
      <c r="C171" s="152"/>
      <c r="D171" s="152"/>
      <c r="E171" s="152"/>
      <c r="F171" s="152"/>
      <c r="G171" s="152"/>
      <c r="H171" s="152"/>
      <c r="I171" s="152"/>
      <c r="J171" s="152"/>
      <c r="K171" s="152"/>
      <c r="L171" s="152"/>
      <c r="M171" s="152"/>
      <c r="N171" s="152"/>
      <c r="O171" s="152"/>
      <c r="P171" s="152"/>
      <c r="Q171" s="152"/>
      <c r="R171" s="152"/>
      <c r="S171" s="152"/>
      <c r="T171" s="152"/>
      <c r="U171" s="152"/>
      <c r="V171" s="152"/>
      <c r="W171" s="152"/>
      <c r="X171" s="152"/>
      <c r="Y171" s="152"/>
      <c r="Z171" s="152"/>
    </row>
    <row r="172" ht="12.75" customHeight="1">
      <c r="A172" s="152"/>
      <c r="B172" s="232"/>
      <c r="C172" s="152"/>
      <c r="D172" s="152"/>
      <c r="E172" s="152"/>
      <c r="F172" s="152"/>
      <c r="G172" s="152"/>
      <c r="H172" s="152"/>
      <c r="I172" s="152"/>
      <c r="J172" s="152"/>
      <c r="K172" s="152"/>
      <c r="L172" s="152"/>
      <c r="M172" s="152"/>
      <c r="N172" s="152"/>
      <c r="O172" s="152"/>
      <c r="P172" s="152"/>
      <c r="Q172" s="152"/>
      <c r="R172" s="152"/>
      <c r="S172" s="152"/>
      <c r="T172" s="152"/>
      <c r="U172" s="152"/>
      <c r="V172" s="152"/>
      <c r="W172" s="152"/>
      <c r="X172" s="152"/>
      <c r="Y172" s="152"/>
      <c r="Z172" s="152"/>
    </row>
    <row r="173" ht="12.75" customHeight="1">
      <c r="A173" s="152"/>
      <c r="B173" s="232"/>
      <c r="C173" s="152"/>
      <c r="D173" s="152"/>
      <c r="E173" s="152"/>
      <c r="F173" s="152"/>
      <c r="G173" s="152"/>
      <c r="H173" s="152"/>
      <c r="I173" s="152"/>
      <c r="J173" s="152"/>
      <c r="K173" s="152"/>
      <c r="L173" s="152"/>
      <c r="M173" s="152"/>
      <c r="N173" s="152"/>
      <c r="O173" s="152"/>
      <c r="P173" s="152"/>
      <c r="Q173" s="152"/>
      <c r="R173" s="152"/>
      <c r="S173" s="152"/>
      <c r="T173" s="152"/>
      <c r="U173" s="152"/>
      <c r="V173" s="152"/>
      <c r="W173" s="152"/>
      <c r="X173" s="152"/>
      <c r="Y173" s="152"/>
      <c r="Z173" s="152"/>
    </row>
    <row r="174" ht="12.75" customHeight="1">
      <c r="A174" s="152"/>
      <c r="B174" s="232"/>
      <c r="C174" s="152"/>
      <c r="D174" s="152"/>
      <c r="E174" s="152"/>
      <c r="F174" s="152"/>
      <c r="G174" s="152"/>
      <c r="H174" s="152"/>
      <c r="I174" s="152"/>
      <c r="J174" s="152"/>
      <c r="K174" s="152"/>
      <c r="L174" s="152"/>
      <c r="M174" s="152"/>
      <c r="N174" s="152"/>
      <c r="O174" s="152"/>
      <c r="P174" s="152"/>
      <c r="Q174" s="152"/>
      <c r="R174" s="152"/>
      <c r="S174" s="152"/>
      <c r="T174" s="152"/>
      <c r="U174" s="152"/>
      <c r="V174" s="152"/>
      <c r="W174" s="152"/>
      <c r="X174" s="152"/>
      <c r="Y174" s="152"/>
      <c r="Z174" s="152"/>
    </row>
    <row r="175" ht="12.75" customHeight="1">
      <c r="A175" s="152"/>
      <c r="B175" s="232"/>
      <c r="C175" s="152"/>
      <c r="D175" s="152"/>
      <c r="E175" s="152"/>
      <c r="F175" s="152"/>
      <c r="G175" s="152"/>
      <c r="H175" s="152"/>
      <c r="I175" s="152"/>
      <c r="J175" s="152"/>
      <c r="K175" s="152"/>
      <c r="L175" s="152"/>
      <c r="M175" s="152"/>
      <c r="N175" s="152"/>
      <c r="O175" s="152"/>
      <c r="P175" s="152"/>
      <c r="Q175" s="152"/>
      <c r="R175" s="152"/>
      <c r="S175" s="152"/>
      <c r="T175" s="152"/>
      <c r="U175" s="152"/>
      <c r="V175" s="152"/>
      <c r="W175" s="152"/>
      <c r="X175" s="152"/>
      <c r="Y175" s="152"/>
      <c r="Z175" s="152"/>
    </row>
    <row r="176" ht="12.75" customHeight="1">
      <c r="A176" s="152"/>
      <c r="B176" s="232"/>
      <c r="C176" s="152"/>
      <c r="D176" s="152"/>
      <c r="E176" s="152"/>
      <c r="F176" s="152"/>
      <c r="G176" s="152"/>
      <c r="H176" s="152"/>
      <c r="I176" s="152"/>
      <c r="J176" s="152"/>
      <c r="K176" s="152"/>
      <c r="L176" s="152"/>
      <c r="M176" s="152"/>
      <c r="N176" s="152"/>
      <c r="O176" s="152"/>
      <c r="P176" s="152"/>
      <c r="Q176" s="152"/>
      <c r="R176" s="152"/>
      <c r="S176" s="152"/>
      <c r="T176" s="152"/>
      <c r="U176" s="152"/>
      <c r="V176" s="152"/>
      <c r="W176" s="152"/>
      <c r="X176" s="152"/>
      <c r="Y176" s="152"/>
      <c r="Z176" s="152"/>
    </row>
    <row r="177" ht="12.75" customHeight="1">
      <c r="A177" s="152"/>
      <c r="B177" s="232"/>
      <c r="C177" s="152"/>
      <c r="D177" s="152"/>
      <c r="E177" s="152"/>
      <c r="F177" s="152"/>
      <c r="G177" s="152"/>
      <c r="H177" s="152"/>
      <c r="I177" s="152"/>
      <c r="J177" s="152"/>
      <c r="K177" s="152"/>
      <c r="L177" s="152"/>
      <c r="M177" s="152"/>
      <c r="N177" s="152"/>
      <c r="O177" s="152"/>
      <c r="P177" s="152"/>
      <c r="Q177" s="152"/>
      <c r="R177" s="152"/>
      <c r="S177" s="152"/>
      <c r="T177" s="152"/>
      <c r="U177" s="152"/>
      <c r="V177" s="152"/>
      <c r="W177" s="152"/>
      <c r="X177" s="152"/>
      <c r="Y177" s="152"/>
      <c r="Z177" s="152"/>
    </row>
    <row r="178" ht="12.75" customHeight="1">
      <c r="A178" s="152"/>
      <c r="B178" s="232"/>
      <c r="C178" s="152"/>
      <c r="D178" s="152"/>
      <c r="E178" s="152"/>
      <c r="F178" s="152"/>
      <c r="G178" s="152"/>
      <c r="H178" s="152"/>
      <c r="I178" s="152"/>
      <c r="J178" s="152"/>
      <c r="K178" s="152"/>
      <c r="L178" s="152"/>
      <c r="M178" s="152"/>
      <c r="N178" s="152"/>
      <c r="O178" s="152"/>
      <c r="P178" s="152"/>
      <c r="Q178" s="152"/>
      <c r="R178" s="152"/>
      <c r="S178" s="152"/>
      <c r="T178" s="152"/>
      <c r="U178" s="152"/>
      <c r="V178" s="152"/>
      <c r="W178" s="152"/>
      <c r="X178" s="152"/>
      <c r="Y178" s="152"/>
      <c r="Z178" s="152"/>
    </row>
    <row r="179" ht="12.75" customHeight="1">
      <c r="A179" s="152"/>
      <c r="B179" s="232"/>
      <c r="C179" s="152"/>
      <c r="D179" s="152"/>
      <c r="E179" s="152"/>
      <c r="F179" s="152"/>
      <c r="G179" s="152"/>
      <c r="H179" s="152"/>
      <c r="I179" s="152"/>
      <c r="J179" s="152"/>
      <c r="K179" s="152"/>
      <c r="L179" s="152"/>
      <c r="M179" s="152"/>
      <c r="N179" s="152"/>
      <c r="O179" s="152"/>
      <c r="P179" s="152"/>
      <c r="Q179" s="152"/>
      <c r="R179" s="152"/>
      <c r="S179" s="152"/>
      <c r="T179" s="152"/>
      <c r="U179" s="152"/>
      <c r="V179" s="152"/>
      <c r="W179" s="152"/>
      <c r="X179" s="152"/>
      <c r="Y179" s="152"/>
      <c r="Z179" s="152"/>
    </row>
    <row r="180" ht="12.75" customHeight="1">
      <c r="A180" s="152"/>
      <c r="B180" s="232"/>
      <c r="C180" s="152"/>
      <c r="D180" s="152"/>
      <c r="E180" s="152"/>
      <c r="F180" s="152"/>
      <c r="G180" s="152"/>
      <c r="H180" s="152"/>
      <c r="I180" s="152"/>
      <c r="J180" s="152"/>
      <c r="K180" s="152"/>
      <c r="L180" s="152"/>
      <c r="M180" s="152"/>
      <c r="N180" s="152"/>
      <c r="O180" s="152"/>
      <c r="P180" s="152"/>
      <c r="Q180" s="152"/>
      <c r="R180" s="152"/>
      <c r="S180" s="152"/>
      <c r="T180" s="152"/>
      <c r="U180" s="152"/>
      <c r="V180" s="152"/>
      <c r="W180" s="152"/>
      <c r="X180" s="152"/>
      <c r="Y180" s="152"/>
      <c r="Z180" s="152"/>
    </row>
    <row r="181" ht="12.75" customHeight="1">
      <c r="A181" s="152"/>
      <c r="B181" s="232"/>
      <c r="C181" s="152"/>
      <c r="D181" s="152"/>
      <c r="E181" s="152"/>
      <c r="F181" s="152"/>
      <c r="G181" s="152"/>
      <c r="H181" s="152"/>
      <c r="I181" s="152"/>
      <c r="J181" s="152"/>
      <c r="K181" s="152"/>
      <c r="L181" s="152"/>
      <c r="M181" s="152"/>
      <c r="N181" s="152"/>
      <c r="O181" s="152"/>
      <c r="P181" s="152"/>
      <c r="Q181" s="152"/>
      <c r="R181" s="152"/>
      <c r="S181" s="152"/>
      <c r="T181" s="152"/>
      <c r="U181" s="152"/>
      <c r="V181" s="152"/>
      <c r="W181" s="152"/>
      <c r="X181" s="152"/>
      <c r="Y181" s="152"/>
      <c r="Z181" s="152"/>
    </row>
    <row r="182" ht="12.75" customHeight="1">
      <c r="A182" s="152"/>
      <c r="B182" s="232"/>
      <c r="C182" s="152"/>
      <c r="D182" s="152"/>
      <c r="E182" s="152"/>
      <c r="F182" s="152"/>
      <c r="G182" s="152"/>
      <c r="H182" s="152"/>
      <c r="I182" s="152"/>
      <c r="J182" s="152"/>
      <c r="K182" s="152"/>
      <c r="L182" s="152"/>
      <c r="M182" s="152"/>
      <c r="N182" s="152"/>
      <c r="O182" s="152"/>
      <c r="P182" s="152"/>
      <c r="Q182" s="152"/>
      <c r="R182" s="152"/>
      <c r="S182" s="152"/>
      <c r="T182" s="152"/>
      <c r="U182" s="152"/>
      <c r="V182" s="152"/>
      <c r="W182" s="152"/>
      <c r="X182" s="152"/>
      <c r="Y182" s="152"/>
      <c r="Z182" s="152"/>
    </row>
    <row r="183" ht="12.75" customHeight="1">
      <c r="A183" s="152"/>
      <c r="B183" s="232"/>
      <c r="C183" s="152"/>
      <c r="D183" s="152"/>
      <c r="E183" s="152"/>
      <c r="F183" s="152"/>
      <c r="G183" s="152"/>
      <c r="H183" s="152"/>
      <c r="I183" s="152"/>
      <c r="J183" s="152"/>
      <c r="K183" s="152"/>
      <c r="L183" s="152"/>
      <c r="M183" s="152"/>
      <c r="N183" s="152"/>
      <c r="O183" s="152"/>
      <c r="P183" s="152"/>
      <c r="Q183" s="152"/>
      <c r="R183" s="152"/>
      <c r="S183" s="152"/>
      <c r="T183" s="152"/>
      <c r="U183" s="152"/>
      <c r="V183" s="152"/>
      <c r="W183" s="152"/>
      <c r="X183" s="152"/>
      <c r="Y183" s="152"/>
      <c r="Z183" s="152"/>
    </row>
    <row r="184" ht="12.75" customHeight="1">
      <c r="A184" s="152"/>
      <c r="B184" s="232"/>
      <c r="C184" s="152"/>
      <c r="D184" s="152"/>
      <c r="E184" s="152"/>
      <c r="F184" s="152"/>
      <c r="G184" s="152"/>
      <c r="H184" s="152"/>
      <c r="I184" s="152"/>
      <c r="J184" s="152"/>
      <c r="K184" s="152"/>
      <c r="L184" s="152"/>
      <c r="M184" s="152"/>
      <c r="N184" s="152"/>
      <c r="O184" s="152"/>
      <c r="P184" s="152"/>
      <c r="Q184" s="152"/>
      <c r="R184" s="152"/>
      <c r="S184" s="152"/>
      <c r="T184" s="152"/>
      <c r="U184" s="152"/>
      <c r="V184" s="152"/>
      <c r="W184" s="152"/>
      <c r="X184" s="152"/>
      <c r="Y184" s="152"/>
      <c r="Z184" s="152"/>
    </row>
    <row r="185" ht="12.75" customHeight="1">
      <c r="A185" s="152"/>
      <c r="B185" s="232"/>
      <c r="C185" s="152"/>
      <c r="D185" s="152"/>
      <c r="E185" s="152"/>
      <c r="F185" s="152"/>
      <c r="G185" s="152"/>
      <c r="H185" s="152"/>
      <c r="I185" s="152"/>
      <c r="J185" s="152"/>
      <c r="K185" s="152"/>
      <c r="L185" s="152"/>
      <c r="M185" s="152"/>
      <c r="N185" s="152"/>
      <c r="O185" s="152"/>
      <c r="P185" s="152"/>
      <c r="Q185" s="152"/>
      <c r="R185" s="152"/>
      <c r="S185" s="152"/>
      <c r="T185" s="152"/>
      <c r="U185" s="152"/>
      <c r="V185" s="152"/>
      <c r="W185" s="152"/>
      <c r="X185" s="152"/>
      <c r="Y185" s="152"/>
      <c r="Z185" s="152"/>
    </row>
    <row r="186" ht="12.75" customHeight="1">
      <c r="A186" s="152"/>
      <c r="B186" s="232"/>
      <c r="C186" s="152"/>
      <c r="D186" s="152"/>
      <c r="E186" s="152"/>
      <c r="F186" s="152"/>
      <c r="G186" s="152"/>
      <c r="H186" s="152"/>
      <c r="I186" s="152"/>
      <c r="J186" s="152"/>
      <c r="K186" s="152"/>
      <c r="L186" s="152"/>
      <c r="M186" s="152"/>
      <c r="N186" s="152"/>
      <c r="O186" s="152"/>
      <c r="P186" s="152"/>
      <c r="Q186" s="152"/>
      <c r="R186" s="152"/>
      <c r="S186" s="152"/>
      <c r="T186" s="152"/>
      <c r="U186" s="152"/>
      <c r="V186" s="152"/>
      <c r="W186" s="152"/>
      <c r="X186" s="152"/>
      <c r="Y186" s="152"/>
      <c r="Z186" s="152"/>
    </row>
    <row r="187" ht="12.75" customHeight="1">
      <c r="A187" s="152"/>
      <c r="B187" s="232"/>
      <c r="C187" s="152"/>
      <c r="D187" s="152"/>
      <c r="E187" s="152"/>
      <c r="F187" s="152"/>
      <c r="G187" s="152"/>
      <c r="H187" s="152"/>
      <c r="I187" s="152"/>
      <c r="J187" s="152"/>
      <c r="K187" s="152"/>
      <c r="L187" s="152"/>
      <c r="M187" s="152"/>
      <c r="N187" s="152"/>
      <c r="O187" s="152"/>
      <c r="P187" s="152"/>
      <c r="Q187" s="152"/>
      <c r="R187" s="152"/>
      <c r="S187" s="152"/>
      <c r="T187" s="152"/>
      <c r="U187" s="152"/>
      <c r="V187" s="152"/>
      <c r="W187" s="152"/>
      <c r="X187" s="152"/>
      <c r="Y187" s="152"/>
      <c r="Z187" s="152"/>
    </row>
    <row r="188" ht="12.75" customHeight="1">
      <c r="A188" s="152"/>
      <c r="B188" s="232"/>
      <c r="C188" s="152"/>
      <c r="D188" s="152"/>
      <c r="E188" s="152"/>
      <c r="F188" s="152"/>
      <c r="G188" s="152"/>
      <c r="H188" s="152"/>
      <c r="I188" s="152"/>
      <c r="J188" s="152"/>
      <c r="K188" s="152"/>
      <c r="L188" s="152"/>
      <c r="M188" s="152"/>
      <c r="N188" s="152"/>
      <c r="O188" s="152"/>
      <c r="P188" s="152"/>
      <c r="Q188" s="152"/>
      <c r="R188" s="152"/>
      <c r="S188" s="152"/>
      <c r="T188" s="152"/>
      <c r="U188" s="152"/>
      <c r="V188" s="152"/>
      <c r="W188" s="152"/>
      <c r="X188" s="152"/>
      <c r="Y188" s="152"/>
      <c r="Z188" s="152"/>
    </row>
    <row r="189" ht="12.75" customHeight="1">
      <c r="A189" s="152"/>
      <c r="B189" s="232"/>
      <c r="C189" s="152"/>
      <c r="D189" s="152"/>
      <c r="E189" s="152"/>
      <c r="F189" s="152"/>
      <c r="G189" s="152"/>
      <c r="H189" s="152"/>
      <c r="I189" s="152"/>
      <c r="J189" s="152"/>
      <c r="K189" s="152"/>
      <c r="L189" s="152"/>
      <c r="M189" s="152"/>
      <c r="N189" s="152"/>
      <c r="O189" s="152"/>
      <c r="P189" s="152"/>
      <c r="Q189" s="152"/>
      <c r="R189" s="152"/>
      <c r="S189" s="152"/>
      <c r="T189" s="152"/>
      <c r="U189" s="152"/>
      <c r="V189" s="152"/>
      <c r="W189" s="152"/>
      <c r="X189" s="152"/>
      <c r="Y189" s="152"/>
      <c r="Z189" s="152"/>
    </row>
    <row r="190" ht="12.75" customHeight="1">
      <c r="A190" s="152"/>
      <c r="B190" s="232"/>
      <c r="C190" s="152"/>
      <c r="D190" s="152"/>
      <c r="E190" s="152"/>
      <c r="F190" s="152"/>
      <c r="G190" s="152"/>
      <c r="H190" s="152"/>
      <c r="I190" s="152"/>
      <c r="J190" s="152"/>
      <c r="K190" s="152"/>
      <c r="L190" s="152"/>
      <c r="M190" s="152"/>
      <c r="N190" s="152"/>
      <c r="O190" s="152"/>
      <c r="P190" s="152"/>
      <c r="Q190" s="152"/>
      <c r="R190" s="152"/>
      <c r="S190" s="152"/>
      <c r="T190" s="152"/>
      <c r="U190" s="152"/>
      <c r="V190" s="152"/>
      <c r="W190" s="152"/>
      <c r="X190" s="152"/>
      <c r="Y190" s="152"/>
      <c r="Z190" s="152"/>
    </row>
    <row r="191" ht="12.75" customHeight="1">
      <c r="A191" s="152"/>
      <c r="B191" s="232"/>
      <c r="C191" s="152"/>
      <c r="D191" s="152"/>
      <c r="E191" s="152"/>
      <c r="F191" s="152"/>
      <c r="G191" s="152"/>
      <c r="H191" s="152"/>
      <c r="I191" s="152"/>
      <c r="J191" s="152"/>
      <c r="K191" s="152"/>
      <c r="L191" s="152"/>
      <c r="M191" s="152"/>
      <c r="N191" s="152"/>
      <c r="O191" s="152"/>
      <c r="P191" s="152"/>
      <c r="Q191" s="152"/>
      <c r="R191" s="152"/>
      <c r="S191" s="152"/>
      <c r="T191" s="152"/>
      <c r="U191" s="152"/>
      <c r="V191" s="152"/>
      <c r="W191" s="152"/>
      <c r="X191" s="152"/>
      <c r="Y191" s="152"/>
      <c r="Z191" s="152"/>
    </row>
    <row r="192" ht="12.75" customHeight="1">
      <c r="A192" s="152"/>
      <c r="B192" s="232"/>
      <c r="C192" s="152"/>
      <c r="D192" s="152"/>
      <c r="E192" s="152"/>
      <c r="F192" s="152"/>
      <c r="G192" s="152"/>
      <c r="H192" s="152"/>
      <c r="I192" s="152"/>
      <c r="J192" s="152"/>
      <c r="K192" s="152"/>
      <c r="L192" s="152"/>
      <c r="M192" s="152"/>
      <c r="N192" s="152"/>
      <c r="O192" s="152"/>
      <c r="P192" s="152"/>
      <c r="Q192" s="152"/>
      <c r="R192" s="152"/>
      <c r="S192" s="152"/>
      <c r="T192" s="152"/>
      <c r="U192" s="152"/>
      <c r="V192" s="152"/>
      <c r="W192" s="152"/>
      <c r="X192" s="152"/>
      <c r="Y192" s="152"/>
      <c r="Z192" s="152"/>
    </row>
    <row r="193" ht="12.75" customHeight="1">
      <c r="A193" s="152"/>
      <c r="B193" s="232"/>
      <c r="C193" s="152"/>
      <c r="D193" s="152"/>
      <c r="E193" s="152"/>
      <c r="F193" s="152"/>
      <c r="G193" s="152"/>
      <c r="H193" s="152"/>
      <c r="I193" s="152"/>
      <c r="J193" s="152"/>
      <c r="K193" s="152"/>
      <c r="L193" s="152"/>
      <c r="M193" s="152"/>
      <c r="N193" s="152"/>
      <c r="O193" s="152"/>
      <c r="P193" s="152"/>
      <c r="Q193" s="152"/>
      <c r="R193" s="152"/>
      <c r="S193" s="152"/>
      <c r="T193" s="152"/>
      <c r="U193" s="152"/>
      <c r="V193" s="152"/>
      <c r="W193" s="152"/>
      <c r="X193" s="152"/>
      <c r="Y193" s="152"/>
      <c r="Z193" s="152"/>
    </row>
    <row r="194" ht="12.75" customHeight="1">
      <c r="A194" s="152"/>
      <c r="B194" s="232"/>
      <c r="C194" s="152"/>
      <c r="D194" s="152"/>
      <c r="E194" s="152"/>
      <c r="F194" s="152"/>
      <c r="G194" s="152"/>
      <c r="H194" s="152"/>
      <c r="I194" s="152"/>
      <c r="J194" s="152"/>
      <c r="K194" s="152"/>
      <c r="L194" s="152"/>
      <c r="M194" s="152"/>
      <c r="N194" s="152"/>
      <c r="O194" s="152"/>
      <c r="P194" s="152"/>
      <c r="Q194" s="152"/>
      <c r="R194" s="152"/>
      <c r="S194" s="152"/>
      <c r="T194" s="152"/>
      <c r="U194" s="152"/>
      <c r="V194" s="152"/>
      <c r="W194" s="152"/>
      <c r="X194" s="152"/>
      <c r="Y194" s="152"/>
      <c r="Z194" s="152"/>
    </row>
    <row r="195" ht="12.75" customHeight="1">
      <c r="A195" s="152"/>
      <c r="B195" s="232"/>
      <c r="C195" s="152"/>
      <c r="D195" s="152"/>
      <c r="E195" s="152"/>
      <c r="F195" s="152"/>
      <c r="G195" s="152"/>
      <c r="H195" s="152"/>
      <c r="I195" s="152"/>
      <c r="J195" s="152"/>
      <c r="K195" s="152"/>
      <c r="L195" s="152"/>
      <c r="M195" s="152"/>
      <c r="N195" s="152"/>
      <c r="O195" s="152"/>
      <c r="P195" s="152"/>
      <c r="Q195" s="152"/>
      <c r="R195" s="152"/>
      <c r="S195" s="152"/>
      <c r="T195" s="152"/>
      <c r="U195" s="152"/>
      <c r="V195" s="152"/>
      <c r="W195" s="152"/>
      <c r="X195" s="152"/>
      <c r="Y195" s="152"/>
      <c r="Z195" s="152"/>
    </row>
    <row r="196" ht="12.75" customHeight="1">
      <c r="A196" s="152"/>
      <c r="B196" s="232"/>
      <c r="C196" s="152"/>
      <c r="D196" s="152"/>
      <c r="E196" s="152"/>
      <c r="F196" s="152"/>
      <c r="G196" s="152"/>
      <c r="H196" s="152"/>
      <c r="I196" s="152"/>
      <c r="J196" s="152"/>
      <c r="K196" s="152"/>
      <c r="L196" s="152"/>
      <c r="M196" s="152"/>
      <c r="N196" s="152"/>
      <c r="O196" s="152"/>
      <c r="P196" s="152"/>
      <c r="Q196" s="152"/>
      <c r="R196" s="152"/>
      <c r="S196" s="152"/>
      <c r="T196" s="152"/>
      <c r="U196" s="152"/>
      <c r="V196" s="152"/>
      <c r="W196" s="152"/>
      <c r="X196" s="152"/>
      <c r="Y196" s="152"/>
      <c r="Z196" s="152"/>
    </row>
    <row r="197" ht="12.75" customHeight="1">
      <c r="A197" s="152"/>
      <c r="B197" s="232"/>
      <c r="C197" s="152"/>
      <c r="D197" s="152"/>
      <c r="E197" s="152"/>
      <c r="F197" s="152"/>
      <c r="G197" s="152"/>
      <c r="H197" s="152"/>
      <c r="I197" s="152"/>
      <c r="J197" s="152"/>
      <c r="K197" s="152"/>
      <c r="L197" s="152"/>
      <c r="M197" s="152"/>
      <c r="N197" s="152"/>
      <c r="O197" s="152"/>
      <c r="P197" s="152"/>
      <c r="Q197" s="152"/>
      <c r="R197" s="152"/>
      <c r="S197" s="152"/>
      <c r="T197" s="152"/>
      <c r="U197" s="152"/>
      <c r="V197" s="152"/>
      <c r="W197" s="152"/>
      <c r="X197" s="152"/>
      <c r="Y197" s="152"/>
      <c r="Z197" s="152"/>
    </row>
    <row r="198" ht="12.75" customHeight="1">
      <c r="A198" s="152"/>
      <c r="B198" s="232"/>
      <c r="C198" s="152"/>
      <c r="D198" s="152"/>
      <c r="E198" s="152"/>
      <c r="F198" s="152"/>
      <c r="G198" s="152"/>
      <c r="H198" s="152"/>
      <c r="I198" s="152"/>
      <c r="J198" s="152"/>
      <c r="K198" s="152"/>
      <c r="L198" s="152"/>
      <c r="M198" s="152"/>
      <c r="N198" s="152"/>
      <c r="O198" s="152"/>
      <c r="P198" s="152"/>
      <c r="Q198" s="152"/>
      <c r="R198" s="152"/>
      <c r="S198" s="152"/>
      <c r="T198" s="152"/>
      <c r="U198" s="152"/>
      <c r="V198" s="152"/>
      <c r="W198" s="152"/>
      <c r="X198" s="152"/>
      <c r="Y198" s="152"/>
      <c r="Z198" s="152"/>
    </row>
    <row r="199" ht="12.75" customHeight="1">
      <c r="A199" s="152"/>
      <c r="B199" s="232"/>
      <c r="C199" s="152"/>
      <c r="D199" s="152"/>
      <c r="E199" s="152"/>
      <c r="F199" s="152"/>
      <c r="G199" s="152"/>
      <c r="H199" s="152"/>
      <c r="I199" s="152"/>
      <c r="J199" s="152"/>
      <c r="K199" s="152"/>
      <c r="L199" s="152"/>
      <c r="M199" s="152"/>
      <c r="N199" s="152"/>
      <c r="O199" s="152"/>
      <c r="P199" s="152"/>
      <c r="Q199" s="152"/>
      <c r="R199" s="152"/>
      <c r="S199" s="152"/>
      <c r="T199" s="152"/>
      <c r="U199" s="152"/>
      <c r="V199" s="152"/>
      <c r="W199" s="152"/>
      <c r="X199" s="152"/>
      <c r="Y199" s="152"/>
      <c r="Z199" s="152"/>
    </row>
    <row r="200" ht="12.75" customHeight="1">
      <c r="A200" s="152"/>
      <c r="B200" s="232"/>
      <c r="C200" s="152"/>
      <c r="D200" s="152"/>
      <c r="E200" s="152"/>
      <c r="F200" s="152"/>
      <c r="G200" s="152"/>
      <c r="H200" s="152"/>
      <c r="I200" s="152"/>
      <c r="J200" s="152"/>
      <c r="K200" s="152"/>
      <c r="L200" s="152"/>
      <c r="M200" s="152"/>
      <c r="N200" s="152"/>
      <c r="O200" s="152"/>
      <c r="P200" s="152"/>
      <c r="Q200" s="152"/>
      <c r="R200" s="152"/>
      <c r="S200" s="152"/>
      <c r="T200" s="152"/>
      <c r="U200" s="152"/>
      <c r="V200" s="152"/>
      <c r="W200" s="152"/>
      <c r="X200" s="152"/>
      <c r="Y200" s="152"/>
      <c r="Z200" s="152"/>
    </row>
    <row r="201" ht="12.75" customHeight="1">
      <c r="A201" s="152"/>
      <c r="B201" s="232"/>
      <c r="C201" s="152"/>
      <c r="D201" s="152"/>
      <c r="E201" s="152"/>
      <c r="F201" s="152"/>
      <c r="G201" s="152"/>
      <c r="H201" s="152"/>
      <c r="I201" s="152"/>
      <c r="J201" s="152"/>
      <c r="K201" s="152"/>
      <c r="L201" s="152"/>
      <c r="M201" s="152"/>
      <c r="N201" s="152"/>
      <c r="O201" s="152"/>
      <c r="P201" s="152"/>
      <c r="Q201" s="152"/>
      <c r="R201" s="152"/>
      <c r="S201" s="152"/>
      <c r="T201" s="152"/>
      <c r="U201" s="152"/>
      <c r="V201" s="152"/>
      <c r="W201" s="152"/>
      <c r="X201" s="152"/>
      <c r="Y201" s="152"/>
      <c r="Z201" s="152"/>
    </row>
    <row r="202" ht="12.75" customHeight="1">
      <c r="A202" s="152"/>
      <c r="B202" s="232"/>
      <c r="C202" s="152"/>
      <c r="D202" s="152"/>
      <c r="E202" s="152"/>
      <c r="F202" s="152"/>
      <c r="G202" s="152"/>
      <c r="H202" s="152"/>
      <c r="I202" s="152"/>
      <c r="J202" s="152"/>
      <c r="K202" s="152"/>
      <c r="L202" s="152"/>
      <c r="M202" s="152"/>
      <c r="N202" s="152"/>
      <c r="O202" s="152"/>
      <c r="P202" s="152"/>
      <c r="Q202" s="152"/>
      <c r="R202" s="152"/>
      <c r="S202" s="152"/>
      <c r="T202" s="152"/>
      <c r="U202" s="152"/>
      <c r="V202" s="152"/>
      <c r="W202" s="152"/>
      <c r="X202" s="152"/>
      <c r="Y202" s="152"/>
      <c r="Z202" s="152"/>
    </row>
    <row r="203" ht="12.75" customHeight="1">
      <c r="A203" s="152"/>
      <c r="B203" s="232"/>
      <c r="C203" s="152"/>
      <c r="D203" s="152"/>
      <c r="E203" s="152"/>
      <c r="F203" s="152"/>
      <c r="G203" s="152"/>
      <c r="H203" s="152"/>
      <c r="I203" s="152"/>
      <c r="J203" s="152"/>
      <c r="K203" s="152"/>
      <c r="L203" s="152"/>
      <c r="M203" s="152"/>
      <c r="N203" s="152"/>
      <c r="O203" s="152"/>
      <c r="P203" s="152"/>
      <c r="Q203" s="152"/>
      <c r="R203" s="152"/>
      <c r="S203" s="152"/>
      <c r="T203" s="152"/>
      <c r="U203" s="152"/>
      <c r="V203" s="152"/>
      <c r="W203" s="152"/>
      <c r="X203" s="152"/>
      <c r="Y203" s="152"/>
      <c r="Z203" s="152"/>
    </row>
    <row r="204" ht="12.75" customHeight="1">
      <c r="A204" s="152"/>
      <c r="B204" s="232"/>
      <c r="C204" s="152"/>
      <c r="D204" s="152"/>
      <c r="E204" s="152"/>
      <c r="F204" s="152"/>
      <c r="G204" s="152"/>
      <c r="H204" s="152"/>
      <c r="I204" s="152"/>
      <c r="J204" s="152"/>
      <c r="K204" s="152"/>
      <c r="L204" s="152"/>
      <c r="M204" s="152"/>
      <c r="N204" s="152"/>
      <c r="O204" s="152"/>
      <c r="P204" s="152"/>
      <c r="Q204" s="152"/>
      <c r="R204" s="152"/>
      <c r="S204" s="152"/>
      <c r="T204" s="152"/>
      <c r="U204" s="152"/>
      <c r="V204" s="152"/>
      <c r="W204" s="152"/>
      <c r="X204" s="152"/>
      <c r="Y204" s="152"/>
      <c r="Z204" s="152"/>
    </row>
    <row r="205" ht="12.75" customHeight="1">
      <c r="A205" s="152"/>
      <c r="B205" s="232"/>
      <c r="C205" s="152"/>
      <c r="D205" s="152"/>
      <c r="E205" s="152"/>
      <c r="F205" s="152"/>
      <c r="G205" s="152"/>
      <c r="H205" s="152"/>
      <c r="I205" s="152"/>
      <c r="J205" s="152"/>
      <c r="K205" s="152"/>
      <c r="L205" s="152"/>
      <c r="M205" s="152"/>
      <c r="N205" s="152"/>
      <c r="O205" s="152"/>
      <c r="P205" s="152"/>
      <c r="Q205" s="152"/>
      <c r="R205" s="152"/>
      <c r="S205" s="152"/>
      <c r="T205" s="152"/>
      <c r="U205" s="152"/>
      <c r="V205" s="152"/>
      <c r="W205" s="152"/>
      <c r="X205" s="152"/>
      <c r="Y205" s="152"/>
      <c r="Z205" s="152"/>
    </row>
    <row r="206" ht="12.75" customHeight="1">
      <c r="A206" s="152"/>
      <c r="B206" s="232"/>
      <c r="C206" s="152"/>
      <c r="D206" s="152"/>
      <c r="E206" s="152"/>
      <c r="F206" s="152"/>
      <c r="G206" s="152"/>
      <c r="H206" s="152"/>
      <c r="I206" s="152"/>
      <c r="J206" s="152"/>
      <c r="K206" s="152"/>
      <c r="L206" s="152"/>
      <c r="M206" s="152"/>
      <c r="N206" s="152"/>
      <c r="O206" s="152"/>
      <c r="P206" s="152"/>
      <c r="Q206" s="152"/>
      <c r="R206" s="152"/>
      <c r="S206" s="152"/>
      <c r="T206" s="152"/>
      <c r="U206" s="152"/>
      <c r="V206" s="152"/>
      <c r="W206" s="152"/>
      <c r="X206" s="152"/>
      <c r="Y206" s="152"/>
      <c r="Z206" s="152"/>
    </row>
    <row r="207" ht="12.75" customHeight="1">
      <c r="A207" s="152"/>
      <c r="B207" s="232"/>
      <c r="C207" s="152"/>
      <c r="D207" s="152"/>
      <c r="E207" s="152"/>
      <c r="F207" s="152"/>
      <c r="G207" s="152"/>
      <c r="H207" s="152"/>
      <c r="I207" s="152"/>
      <c r="J207" s="152"/>
      <c r="K207" s="152"/>
      <c r="L207" s="152"/>
      <c r="M207" s="152"/>
      <c r="N207" s="152"/>
      <c r="O207" s="152"/>
      <c r="P207" s="152"/>
      <c r="Q207" s="152"/>
      <c r="R207" s="152"/>
      <c r="S207" s="152"/>
      <c r="T207" s="152"/>
      <c r="U207" s="152"/>
      <c r="V207" s="152"/>
      <c r="W207" s="152"/>
      <c r="X207" s="152"/>
      <c r="Y207" s="152"/>
      <c r="Z207" s="152"/>
    </row>
    <row r="208" ht="12.75" customHeight="1">
      <c r="A208" s="152"/>
      <c r="B208" s="232"/>
      <c r="C208" s="152"/>
      <c r="D208" s="152"/>
      <c r="E208" s="152"/>
      <c r="F208" s="152"/>
      <c r="G208" s="152"/>
      <c r="H208" s="152"/>
      <c r="I208" s="152"/>
      <c r="J208" s="152"/>
      <c r="K208" s="152"/>
      <c r="L208" s="152"/>
      <c r="M208" s="152"/>
      <c r="N208" s="152"/>
      <c r="O208" s="152"/>
      <c r="P208" s="152"/>
      <c r="Q208" s="152"/>
      <c r="R208" s="152"/>
      <c r="S208" s="152"/>
      <c r="T208" s="152"/>
      <c r="U208" s="152"/>
      <c r="V208" s="152"/>
      <c r="W208" s="152"/>
      <c r="X208" s="152"/>
      <c r="Y208" s="152"/>
      <c r="Z208" s="152"/>
    </row>
    <row r="209" ht="12.75" customHeight="1">
      <c r="A209" s="152"/>
      <c r="B209" s="232"/>
      <c r="C209" s="152"/>
      <c r="D209" s="152"/>
      <c r="E209" s="152"/>
      <c r="F209" s="152"/>
      <c r="G209" s="152"/>
      <c r="H209" s="152"/>
      <c r="I209" s="152"/>
      <c r="J209" s="152"/>
      <c r="K209" s="152"/>
      <c r="L209" s="152"/>
      <c r="M209" s="152"/>
      <c r="N209" s="152"/>
      <c r="O209" s="152"/>
      <c r="P209" s="152"/>
      <c r="Q209" s="152"/>
      <c r="R209" s="152"/>
      <c r="S209" s="152"/>
      <c r="T209" s="152"/>
      <c r="U209" s="152"/>
      <c r="V209" s="152"/>
      <c r="W209" s="152"/>
      <c r="X209" s="152"/>
      <c r="Y209" s="152"/>
      <c r="Z209" s="152"/>
    </row>
    <row r="210" ht="12.75" customHeight="1">
      <c r="A210" s="152"/>
      <c r="B210" s="232"/>
      <c r="C210" s="152"/>
      <c r="D210" s="152"/>
      <c r="E210" s="152"/>
      <c r="F210" s="152"/>
      <c r="G210" s="152"/>
      <c r="H210" s="152"/>
      <c r="I210" s="152"/>
      <c r="J210" s="152"/>
      <c r="K210" s="152"/>
      <c r="L210" s="152"/>
      <c r="M210" s="152"/>
      <c r="N210" s="152"/>
      <c r="O210" s="152"/>
      <c r="P210" s="152"/>
      <c r="Q210" s="152"/>
      <c r="R210" s="152"/>
      <c r="S210" s="152"/>
      <c r="T210" s="152"/>
      <c r="U210" s="152"/>
      <c r="V210" s="152"/>
      <c r="W210" s="152"/>
      <c r="X210" s="152"/>
      <c r="Y210" s="152"/>
      <c r="Z210" s="152"/>
    </row>
    <row r="211" ht="12.75" customHeight="1">
      <c r="A211" s="152"/>
      <c r="B211" s="232"/>
      <c r="C211" s="152"/>
      <c r="D211" s="152"/>
      <c r="E211" s="152"/>
      <c r="F211" s="152"/>
      <c r="G211" s="152"/>
      <c r="H211" s="152"/>
      <c r="I211" s="152"/>
      <c r="J211" s="152"/>
      <c r="K211" s="152"/>
      <c r="L211" s="152"/>
      <c r="M211" s="152"/>
      <c r="N211" s="152"/>
      <c r="O211" s="152"/>
      <c r="P211" s="152"/>
      <c r="Q211" s="152"/>
      <c r="R211" s="152"/>
      <c r="S211" s="152"/>
      <c r="T211" s="152"/>
      <c r="U211" s="152"/>
      <c r="V211" s="152"/>
      <c r="W211" s="152"/>
      <c r="X211" s="152"/>
      <c r="Y211" s="152"/>
      <c r="Z211" s="152"/>
    </row>
    <row r="212" ht="12.75" customHeight="1">
      <c r="A212" s="152"/>
      <c r="B212" s="232"/>
      <c r="C212" s="152"/>
      <c r="D212" s="152"/>
      <c r="E212" s="152"/>
      <c r="F212" s="152"/>
      <c r="G212" s="152"/>
      <c r="H212" s="152"/>
      <c r="I212" s="152"/>
      <c r="J212" s="152"/>
      <c r="K212" s="152"/>
      <c r="L212" s="152"/>
      <c r="M212" s="152"/>
      <c r="N212" s="152"/>
      <c r="O212" s="152"/>
      <c r="P212" s="152"/>
      <c r="Q212" s="152"/>
      <c r="R212" s="152"/>
      <c r="S212" s="152"/>
      <c r="T212" s="152"/>
      <c r="U212" s="152"/>
      <c r="V212" s="152"/>
      <c r="W212" s="152"/>
      <c r="X212" s="152"/>
      <c r="Y212" s="152"/>
      <c r="Z212" s="152"/>
    </row>
    <row r="213" ht="12.75" customHeight="1">
      <c r="A213" s="152"/>
      <c r="B213" s="232"/>
      <c r="C213" s="152"/>
      <c r="D213" s="152"/>
      <c r="E213" s="152"/>
      <c r="F213" s="152"/>
      <c r="G213" s="152"/>
      <c r="H213" s="152"/>
      <c r="I213" s="152"/>
      <c r="J213" s="152"/>
      <c r="K213" s="152"/>
      <c r="L213" s="152"/>
      <c r="M213" s="152"/>
      <c r="N213" s="152"/>
      <c r="O213" s="152"/>
      <c r="P213" s="152"/>
      <c r="Q213" s="152"/>
      <c r="R213" s="152"/>
      <c r="S213" s="152"/>
      <c r="T213" s="152"/>
      <c r="U213" s="152"/>
      <c r="V213" s="152"/>
      <c r="W213" s="152"/>
      <c r="X213" s="152"/>
      <c r="Y213" s="152"/>
      <c r="Z213" s="152"/>
    </row>
    <row r="214" ht="12.75" customHeight="1">
      <c r="A214" s="152"/>
      <c r="B214" s="232"/>
      <c r="C214" s="152"/>
      <c r="D214" s="152"/>
      <c r="E214" s="152"/>
      <c r="F214" s="152"/>
      <c r="G214" s="152"/>
      <c r="H214" s="152"/>
      <c r="I214" s="152"/>
      <c r="J214" s="152"/>
      <c r="K214" s="152"/>
      <c r="L214" s="152"/>
      <c r="M214" s="152"/>
      <c r="N214" s="152"/>
      <c r="O214" s="152"/>
      <c r="P214" s="152"/>
      <c r="Q214" s="152"/>
      <c r="R214" s="152"/>
      <c r="S214" s="152"/>
      <c r="T214" s="152"/>
      <c r="U214" s="152"/>
      <c r="V214" s="152"/>
      <c r="W214" s="152"/>
      <c r="X214" s="152"/>
      <c r="Y214" s="152"/>
      <c r="Z214" s="152"/>
    </row>
    <row r="215" ht="12.75" customHeight="1">
      <c r="A215" s="152"/>
      <c r="B215" s="232"/>
      <c r="C215" s="152"/>
      <c r="D215" s="152"/>
      <c r="E215" s="152"/>
      <c r="F215" s="152"/>
      <c r="G215" s="152"/>
      <c r="H215" s="152"/>
      <c r="I215" s="152"/>
      <c r="J215" s="152"/>
      <c r="K215" s="152"/>
      <c r="L215" s="152"/>
      <c r="M215" s="152"/>
      <c r="N215" s="152"/>
      <c r="O215" s="152"/>
      <c r="P215" s="152"/>
      <c r="Q215" s="152"/>
      <c r="R215" s="152"/>
      <c r="S215" s="152"/>
      <c r="T215" s="152"/>
      <c r="U215" s="152"/>
      <c r="V215" s="152"/>
      <c r="W215" s="152"/>
      <c r="X215" s="152"/>
      <c r="Y215" s="152"/>
      <c r="Z215" s="152"/>
    </row>
    <row r="216" ht="12.75" customHeight="1">
      <c r="A216" s="152"/>
      <c r="B216" s="232"/>
      <c r="C216" s="152"/>
      <c r="D216" s="152"/>
      <c r="E216" s="152"/>
      <c r="F216" s="152"/>
      <c r="G216" s="152"/>
      <c r="H216" s="152"/>
      <c r="I216" s="152"/>
      <c r="J216" s="152"/>
      <c r="K216" s="152"/>
      <c r="L216" s="152"/>
      <c r="M216" s="152"/>
      <c r="N216" s="152"/>
      <c r="O216" s="152"/>
      <c r="P216" s="152"/>
      <c r="Q216" s="152"/>
      <c r="R216" s="152"/>
      <c r="S216" s="152"/>
      <c r="T216" s="152"/>
      <c r="U216" s="152"/>
      <c r="V216" s="152"/>
      <c r="W216" s="152"/>
      <c r="X216" s="152"/>
      <c r="Y216" s="152"/>
      <c r="Z216" s="152"/>
    </row>
    <row r="217" ht="12.75" customHeight="1">
      <c r="A217" s="152"/>
      <c r="B217" s="232"/>
      <c r="C217" s="152"/>
      <c r="D217" s="152"/>
      <c r="E217" s="152"/>
      <c r="F217" s="152"/>
      <c r="G217" s="152"/>
      <c r="H217" s="152"/>
      <c r="I217" s="152"/>
      <c r="J217" s="152"/>
      <c r="K217" s="152"/>
      <c r="L217" s="152"/>
      <c r="M217" s="152"/>
      <c r="N217" s="152"/>
      <c r="O217" s="152"/>
      <c r="P217" s="152"/>
      <c r="Q217" s="152"/>
      <c r="R217" s="152"/>
      <c r="S217" s="152"/>
      <c r="T217" s="152"/>
      <c r="U217" s="152"/>
      <c r="V217" s="152"/>
      <c r="W217" s="152"/>
      <c r="X217" s="152"/>
      <c r="Y217" s="152"/>
      <c r="Z217" s="152"/>
    </row>
    <row r="218" ht="12.75" customHeight="1">
      <c r="A218" s="152"/>
      <c r="B218" s="232"/>
      <c r="C218" s="152"/>
      <c r="D218" s="152"/>
      <c r="E218" s="152"/>
      <c r="F218" s="152"/>
      <c r="G218" s="152"/>
      <c r="H218" s="152"/>
      <c r="I218" s="152"/>
      <c r="J218" s="152"/>
      <c r="K218" s="152"/>
      <c r="L218" s="152"/>
      <c r="M218" s="152"/>
      <c r="N218" s="152"/>
      <c r="O218" s="152"/>
      <c r="P218" s="152"/>
      <c r="Q218" s="152"/>
      <c r="R218" s="152"/>
      <c r="S218" s="152"/>
      <c r="T218" s="152"/>
      <c r="U218" s="152"/>
      <c r="V218" s="152"/>
      <c r="W218" s="152"/>
      <c r="X218" s="152"/>
      <c r="Y218" s="152"/>
      <c r="Z218" s="152"/>
    </row>
    <row r="219" ht="12.75" customHeight="1">
      <c r="A219" s="152"/>
      <c r="B219" s="232"/>
      <c r="C219" s="152"/>
      <c r="D219" s="152"/>
      <c r="E219" s="152"/>
      <c r="F219" s="152"/>
      <c r="G219" s="152"/>
      <c r="H219" s="152"/>
      <c r="I219" s="152"/>
      <c r="J219" s="152"/>
      <c r="K219" s="152"/>
      <c r="L219" s="152"/>
      <c r="M219" s="152"/>
      <c r="N219" s="152"/>
      <c r="O219" s="152"/>
      <c r="P219" s="152"/>
      <c r="Q219" s="152"/>
      <c r="R219" s="152"/>
      <c r="S219" s="152"/>
      <c r="T219" s="152"/>
      <c r="U219" s="152"/>
      <c r="V219" s="152"/>
      <c r="W219" s="152"/>
      <c r="X219" s="152"/>
      <c r="Y219" s="152"/>
      <c r="Z219" s="152"/>
    </row>
    <row r="220" ht="12.75" customHeight="1">
      <c r="A220" s="152"/>
      <c r="B220" s="232"/>
      <c r="C220" s="152"/>
      <c r="D220" s="152"/>
      <c r="E220" s="152"/>
      <c r="F220" s="152"/>
      <c r="G220" s="152"/>
      <c r="H220" s="152"/>
      <c r="I220" s="152"/>
      <c r="J220" s="152"/>
      <c r="K220" s="152"/>
      <c r="L220" s="152"/>
      <c r="M220" s="152"/>
      <c r="N220" s="152"/>
      <c r="O220" s="152"/>
      <c r="P220" s="152"/>
      <c r="Q220" s="152"/>
      <c r="R220" s="152"/>
      <c r="S220" s="152"/>
      <c r="T220" s="152"/>
      <c r="U220" s="152"/>
      <c r="V220" s="152"/>
      <c r="W220" s="152"/>
      <c r="X220" s="152"/>
      <c r="Y220" s="152"/>
      <c r="Z220" s="152"/>
    </row>
    <row r="221" ht="12.75" customHeight="1">
      <c r="A221" s="152"/>
      <c r="B221" s="232"/>
      <c r="C221" s="152"/>
      <c r="D221" s="152"/>
      <c r="E221" s="152"/>
      <c r="F221" s="152"/>
      <c r="G221" s="152"/>
      <c r="H221" s="152"/>
      <c r="I221" s="152"/>
      <c r="J221" s="152"/>
      <c r="K221" s="152"/>
      <c r="L221" s="152"/>
      <c r="M221" s="152"/>
      <c r="N221" s="152"/>
      <c r="O221" s="152"/>
      <c r="P221" s="152"/>
      <c r="Q221" s="152"/>
      <c r="R221" s="152"/>
      <c r="S221" s="152"/>
      <c r="T221" s="152"/>
      <c r="U221" s="152"/>
      <c r="V221" s="152"/>
      <c r="W221" s="152"/>
      <c r="X221" s="152"/>
      <c r="Y221" s="152"/>
      <c r="Z221" s="152"/>
    </row>
    <row r="222" ht="12.75" customHeight="1">
      <c r="A222" s="152"/>
      <c r="B222" s="232"/>
      <c r="C222" s="152"/>
      <c r="D222" s="152"/>
      <c r="E222" s="152"/>
      <c r="F222" s="152"/>
      <c r="G222" s="152"/>
      <c r="H222" s="152"/>
      <c r="I222" s="152"/>
      <c r="J222" s="152"/>
      <c r="K222" s="152"/>
      <c r="L222" s="152"/>
      <c r="M222" s="152"/>
      <c r="N222" s="152"/>
      <c r="O222" s="152"/>
      <c r="P222" s="152"/>
      <c r="Q222" s="152"/>
      <c r="R222" s="152"/>
      <c r="S222" s="152"/>
      <c r="T222" s="152"/>
      <c r="U222" s="152"/>
      <c r="V222" s="152"/>
      <c r="W222" s="152"/>
      <c r="X222" s="152"/>
      <c r="Y222" s="152"/>
      <c r="Z222" s="152"/>
    </row>
    <row r="223" ht="12.75" customHeight="1">
      <c r="A223" s="152"/>
      <c r="B223" s="232"/>
      <c r="C223" s="152"/>
      <c r="D223" s="152"/>
      <c r="E223" s="152"/>
      <c r="F223" s="152"/>
      <c r="G223" s="152"/>
      <c r="H223" s="152"/>
      <c r="I223" s="152"/>
      <c r="J223" s="152"/>
      <c r="K223" s="152"/>
      <c r="L223" s="152"/>
      <c r="M223" s="152"/>
      <c r="N223" s="152"/>
      <c r="O223" s="152"/>
      <c r="P223" s="152"/>
      <c r="Q223" s="152"/>
      <c r="R223" s="152"/>
      <c r="S223" s="152"/>
      <c r="T223" s="152"/>
      <c r="U223" s="152"/>
      <c r="V223" s="152"/>
      <c r="W223" s="152"/>
      <c r="X223" s="152"/>
      <c r="Y223" s="152"/>
      <c r="Z223" s="152"/>
    </row>
    <row r="224" ht="12.75" customHeight="1">
      <c r="A224" s="152"/>
      <c r="B224" s="232"/>
      <c r="C224" s="152"/>
      <c r="D224" s="152"/>
      <c r="E224" s="152"/>
      <c r="F224" s="152"/>
      <c r="G224" s="152"/>
      <c r="H224" s="152"/>
      <c r="I224" s="152"/>
      <c r="J224" s="152"/>
      <c r="K224" s="152"/>
      <c r="L224" s="152"/>
      <c r="M224" s="152"/>
      <c r="N224" s="152"/>
      <c r="O224" s="152"/>
      <c r="P224" s="152"/>
      <c r="Q224" s="152"/>
      <c r="R224" s="152"/>
      <c r="S224" s="152"/>
      <c r="T224" s="152"/>
      <c r="U224" s="152"/>
      <c r="V224" s="152"/>
      <c r="W224" s="152"/>
      <c r="X224" s="152"/>
      <c r="Y224" s="152"/>
      <c r="Z224" s="152"/>
    </row>
    <row r="225" ht="12.75" customHeight="1">
      <c r="A225" s="152"/>
      <c r="B225" s="232"/>
      <c r="C225" s="152"/>
      <c r="D225" s="152"/>
      <c r="E225" s="152"/>
      <c r="F225" s="152"/>
      <c r="G225" s="152"/>
      <c r="H225" s="152"/>
      <c r="I225" s="152"/>
      <c r="J225" s="152"/>
      <c r="K225" s="152"/>
      <c r="L225" s="152"/>
      <c r="M225" s="152"/>
      <c r="N225" s="152"/>
      <c r="O225" s="152"/>
      <c r="P225" s="152"/>
      <c r="Q225" s="152"/>
      <c r="R225" s="152"/>
      <c r="S225" s="152"/>
      <c r="T225" s="152"/>
      <c r="U225" s="152"/>
      <c r="V225" s="152"/>
      <c r="W225" s="152"/>
      <c r="X225" s="152"/>
      <c r="Y225" s="152"/>
      <c r="Z225" s="152"/>
    </row>
    <row r="226" ht="12.75" customHeight="1">
      <c r="A226" s="152"/>
      <c r="B226" s="232"/>
      <c r="C226" s="152"/>
      <c r="D226" s="152"/>
      <c r="E226" s="152"/>
      <c r="F226" s="152"/>
      <c r="G226" s="152"/>
      <c r="H226" s="152"/>
      <c r="I226" s="152"/>
      <c r="J226" s="152"/>
      <c r="K226" s="152"/>
      <c r="L226" s="152"/>
      <c r="M226" s="152"/>
      <c r="N226" s="152"/>
      <c r="O226" s="152"/>
      <c r="P226" s="152"/>
      <c r="Q226" s="152"/>
      <c r="R226" s="152"/>
      <c r="S226" s="152"/>
      <c r="T226" s="152"/>
      <c r="U226" s="152"/>
      <c r="V226" s="152"/>
      <c r="W226" s="152"/>
      <c r="X226" s="152"/>
      <c r="Y226" s="152"/>
      <c r="Z226" s="152"/>
    </row>
    <row r="227" ht="12.75" customHeight="1">
      <c r="A227" s="152"/>
      <c r="B227" s="232"/>
      <c r="C227" s="152"/>
      <c r="D227" s="152"/>
      <c r="E227" s="152"/>
      <c r="F227" s="152"/>
      <c r="G227" s="152"/>
      <c r="H227" s="152"/>
      <c r="I227" s="152"/>
      <c r="J227" s="152"/>
      <c r="K227" s="152"/>
      <c r="L227" s="152"/>
      <c r="M227" s="152"/>
      <c r="N227" s="152"/>
      <c r="O227" s="152"/>
      <c r="P227" s="152"/>
      <c r="Q227" s="152"/>
      <c r="R227" s="152"/>
      <c r="S227" s="152"/>
      <c r="T227" s="152"/>
      <c r="U227" s="152"/>
      <c r="V227" s="152"/>
      <c r="W227" s="152"/>
      <c r="X227" s="152"/>
      <c r="Y227" s="152"/>
      <c r="Z227" s="152"/>
    </row>
    <row r="228" ht="12.75" customHeight="1">
      <c r="A228" s="152"/>
      <c r="B228" s="232"/>
      <c r="C228" s="152"/>
      <c r="D228" s="152"/>
      <c r="E228" s="152"/>
      <c r="F228" s="152"/>
      <c r="G228" s="152"/>
      <c r="H228" s="152"/>
      <c r="I228" s="152"/>
      <c r="J228" s="152"/>
      <c r="K228" s="152"/>
      <c r="L228" s="152"/>
      <c r="M228" s="152"/>
      <c r="N228" s="152"/>
      <c r="O228" s="152"/>
      <c r="P228" s="152"/>
      <c r="Q228" s="152"/>
      <c r="R228" s="152"/>
      <c r="S228" s="152"/>
      <c r="T228" s="152"/>
      <c r="U228" s="152"/>
      <c r="V228" s="152"/>
      <c r="W228" s="152"/>
      <c r="X228" s="152"/>
      <c r="Y228" s="152"/>
      <c r="Z228" s="152"/>
    </row>
    <row r="229" ht="12.75" customHeight="1">
      <c r="A229" s="152"/>
      <c r="B229" s="232"/>
      <c r="C229" s="152"/>
      <c r="D229" s="152"/>
      <c r="E229" s="152"/>
      <c r="F229" s="152"/>
      <c r="G229" s="152"/>
      <c r="H229" s="152"/>
      <c r="I229" s="152"/>
      <c r="J229" s="152"/>
      <c r="K229" s="152"/>
      <c r="L229" s="152"/>
      <c r="M229" s="152"/>
      <c r="N229" s="152"/>
      <c r="O229" s="152"/>
      <c r="P229" s="152"/>
      <c r="Q229" s="152"/>
      <c r="R229" s="152"/>
      <c r="S229" s="152"/>
      <c r="T229" s="152"/>
      <c r="U229" s="152"/>
      <c r="V229" s="152"/>
      <c r="W229" s="152"/>
      <c r="X229" s="152"/>
      <c r="Y229" s="152"/>
      <c r="Z229" s="152"/>
    </row>
    <row r="230" ht="12.75" customHeight="1">
      <c r="A230" s="152"/>
      <c r="B230" s="232"/>
      <c r="C230" s="152"/>
      <c r="D230" s="152"/>
      <c r="E230" s="152"/>
      <c r="F230" s="152"/>
      <c r="G230" s="152"/>
      <c r="H230" s="152"/>
      <c r="I230" s="152"/>
      <c r="J230" s="152"/>
      <c r="K230" s="152"/>
      <c r="L230" s="152"/>
      <c r="M230" s="152"/>
      <c r="N230" s="152"/>
      <c r="O230" s="152"/>
      <c r="P230" s="152"/>
      <c r="Q230" s="152"/>
      <c r="R230" s="152"/>
      <c r="S230" s="152"/>
      <c r="T230" s="152"/>
      <c r="U230" s="152"/>
      <c r="V230" s="152"/>
      <c r="W230" s="152"/>
      <c r="X230" s="152"/>
      <c r="Y230" s="152"/>
      <c r="Z230" s="152"/>
    </row>
    <row r="231" ht="12.75" customHeight="1">
      <c r="A231" s="152"/>
      <c r="B231" s="232"/>
      <c r="C231" s="152"/>
      <c r="D231" s="152"/>
      <c r="E231" s="152"/>
      <c r="F231" s="152"/>
      <c r="G231" s="152"/>
      <c r="H231" s="152"/>
      <c r="I231" s="152"/>
      <c r="J231" s="152"/>
      <c r="K231" s="152"/>
      <c r="L231" s="152"/>
      <c r="M231" s="152"/>
      <c r="N231" s="152"/>
      <c r="O231" s="152"/>
      <c r="P231" s="152"/>
      <c r="Q231" s="152"/>
      <c r="R231" s="152"/>
      <c r="S231" s="152"/>
      <c r="T231" s="152"/>
      <c r="U231" s="152"/>
      <c r="V231" s="152"/>
      <c r="W231" s="152"/>
      <c r="X231" s="152"/>
      <c r="Y231" s="152"/>
      <c r="Z231" s="152"/>
    </row>
    <row r="232" ht="12.75" customHeight="1">
      <c r="A232" s="152"/>
      <c r="B232" s="232"/>
      <c r="C232" s="152"/>
      <c r="D232" s="152"/>
      <c r="E232" s="152"/>
      <c r="F232" s="152"/>
      <c r="G232" s="152"/>
      <c r="H232" s="152"/>
      <c r="I232" s="152"/>
      <c r="J232" s="152"/>
      <c r="K232" s="152"/>
      <c r="L232" s="152"/>
      <c r="M232" s="152"/>
      <c r="N232" s="152"/>
      <c r="O232" s="152"/>
      <c r="P232" s="152"/>
      <c r="Q232" s="152"/>
      <c r="R232" s="152"/>
      <c r="S232" s="152"/>
      <c r="T232" s="152"/>
      <c r="U232" s="152"/>
      <c r="V232" s="152"/>
      <c r="W232" s="152"/>
      <c r="X232" s="152"/>
      <c r="Y232" s="152"/>
      <c r="Z232" s="152"/>
    </row>
    <row r="233" ht="12.75" customHeight="1">
      <c r="A233" s="152"/>
      <c r="B233" s="232"/>
      <c r="C233" s="152"/>
      <c r="D233" s="152"/>
      <c r="E233" s="152"/>
      <c r="F233" s="152"/>
      <c r="G233" s="152"/>
      <c r="H233" s="152"/>
      <c r="I233" s="152"/>
      <c r="J233" s="152"/>
      <c r="K233" s="152"/>
      <c r="L233" s="152"/>
      <c r="M233" s="152"/>
      <c r="N233" s="152"/>
      <c r="O233" s="152"/>
      <c r="P233" s="152"/>
      <c r="Q233" s="152"/>
      <c r="R233" s="152"/>
      <c r="S233" s="152"/>
      <c r="T233" s="152"/>
      <c r="U233" s="152"/>
      <c r="V233" s="152"/>
      <c r="W233" s="152"/>
      <c r="X233" s="152"/>
      <c r="Y233" s="152"/>
      <c r="Z233" s="152"/>
    </row>
    <row r="234" ht="12.75" customHeight="1">
      <c r="A234" s="152"/>
      <c r="B234" s="232"/>
      <c r="C234" s="152"/>
      <c r="D234" s="152"/>
      <c r="E234" s="152"/>
      <c r="F234" s="152"/>
      <c r="G234" s="152"/>
      <c r="H234" s="152"/>
      <c r="I234" s="152"/>
      <c r="J234" s="152"/>
      <c r="K234" s="152"/>
      <c r="L234" s="152"/>
      <c r="M234" s="152"/>
      <c r="N234" s="152"/>
      <c r="O234" s="152"/>
      <c r="P234" s="152"/>
      <c r="Q234" s="152"/>
      <c r="R234" s="152"/>
      <c r="S234" s="152"/>
      <c r="T234" s="152"/>
      <c r="U234" s="152"/>
      <c r="V234" s="152"/>
      <c r="W234" s="152"/>
      <c r="X234" s="152"/>
      <c r="Y234" s="152"/>
      <c r="Z234" s="152"/>
    </row>
    <row r="235" ht="12.75" customHeight="1">
      <c r="A235" s="152"/>
      <c r="B235" s="232"/>
      <c r="C235" s="152"/>
      <c r="D235" s="152"/>
      <c r="E235" s="152"/>
      <c r="F235" s="152"/>
      <c r="G235" s="152"/>
      <c r="H235" s="152"/>
      <c r="I235" s="152"/>
      <c r="J235" s="152"/>
      <c r="K235" s="152"/>
      <c r="L235" s="152"/>
      <c r="M235" s="152"/>
      <c r="N235" s="152"/>
      <c r="O235" s="152"/>
      <c r="P235" s="152"/>
      <c r="Q235" s="152"/>
      <c r="R235" s="152"/>
      <c r="S235" s="152"/>
      <c r="T235" s="152"/>
      <c r="U235" s="152"/>
      <c r="V235" s="152"/>
      <c r="W235" s="152"/>
      <c r="X235" s="152"/>
      <c r="Y235" s="152"/>
      <c r="Z235" s="152"/>
    </row>
    <row r="236" ht="12.75" customHeight="1">
      <c r="A236" s="152"/>
      <c r="B236" s="232"/>
      <c r="C236" s="152"/>
      <c r="D236" s="152"/>
      <c r="E236" s="152"/>
      <c r="F236" s="152"/>
      <c r="G236" s="152"/>
      <c r="H236" s="152"/>
      <c r="I236" s="152"/>
      <c r="J236" s="152"/>
      <c r="K236" s="152"/>
      <c r="L236" s="152"/>
      <c r="M236" s="152"/>
      <c r="N236" s="152"/>
      <c r="O236" s="152"/>
      <c r="P236" s="152"/>
      <c r="Q236" s="152"/>
      <c r="R236" s="152"/>
      <c r="S236" s="152"/>
      <c r="T236" s="152"/>
      <c r="U236" s="152"/>
      <c r="V236" s="152"/>
      <c r="W236" s="152"/>
      <c r="X236" s="152"/>
      <c r="Y236" s="152"/>
      <c r="Z236" s="152"/>
    </row>
    <row r="237" ht="12.75" customHeight="1">
      <c r="A237" s="152"/>
      <c r="B237" s="232"/>
      <c r="C237" s="152"/>
      <c r="D237" s="152"/>
      <c r="E237" s="152"/>
      <c r="F237" s="152"/>
      <c r="G237" s="152"/>
      <c r="H237" s="152"/>
      <c r="I237" s="152"/>
      <c r="J237" s="152"/>
      <c r="K237" s="152"/>
      <c r="L237" s="152"/>
      <c r="M237" s="152"/>
      <c r="N237" s="152"/>
      <c r="O237" s="152"/>
      <c r="P237" s="152"/>
      <c r="Q237" s="152"/>
      <c r="R237" s="152"/>
      <c r="S237" s="152"/>
      <c r="T237" s="152"/>
      <c r="U237" s="152"/>
      <c r="V237" s="152"/>
      <c r="W237" s="152"/>
      <c r="X237" s="152"/>
      <c r="Y237" s="152"/>
      <c r="Z237" s="152"/>
    </row>
    <row r="238" ht="12.75" customHeight="1">
      <c r="A238" s="152"/>
      <c r="B238" s="232"/>
      <c r="C238" s="152"/>
      <c r="D238" s="152"/>
      <c r="E238" s="152"/>
      <c r="F238" s="152"/>
      <c r="G238" s="152"/>
      <c r="H238" s="152"/>
      <c r="I238" s="152"/>
      <c r="J238" s="152"/>
      <c r="K238" s="152"/>
      <c r="L238" s="152"/>
      <c r="M238" s="152"/>
      <c r="N238" s="152"/>
      <c r="O238" s="152"/>
      <c r="P238" s="152"/>
      <c r="Q238" s="152"/>
      <c r="R238" s="152"/>
      <c r="S238" s="152"/>
      <c r="T238" s="152"/>
      <c r="U238" s="152"/>
      <c r="V238" s="152"/>
      <c r="W238" s="152"/>
      <c r="X238" s="152"/>
      <c r="Y238" s="152"/>
      <c r="Z238" s="152"/>
    </row>
    <row r="239" ht="12.75" customHeight="1">
      <c r="A239" s="152"/>
      <c r="B239" s="232"/>
      <c r="C239" s="152"/>
      <c r="D239" s="152"/>
      <c r="E239" s="152"/>
      <c r="F239" s="152"/>
      <c r="G239" s="152"/>
      <c r="H239" s="152"/>
      <c r="I239" s="152"/>
      <c r="J239" s="152"/>
      <c r="K239" s="152"/>
      <c r="L239" s="152"/>
      <c r="M239" s="152"/>
      <c r="N239" s="152"/>
      <c r="O239" s="152"/>
      <c r="P239" s="152"/>
      <c r="Q239" s="152"/>
      <c r="R239" s="152"/>
      <c r="S239" s="152"/>
      <c r="T239" s="152"/>
      <c r="U239" s="152"/>
      <c r="V239" s="152"/>
      <c r="W239" s="152"/>
      <c r="X239" s="152"/>
      <c r="Y239" s="152"/>
      <c r="Z239" s="152"/>
    </row>
    <row r="240" ht="12.75" customHeight="1">
      <c r="A240" s="152"/>
      <c r="B240" s="232"/>
      <c r="C240" s="152"/>
      <c r="D240" s="152"/>
      <c r="E240" s="152"/>
      <c r="F240" s="152"/>
      <c r="G240" s="152"/>
      <c r="H240" s="152"/>
      <c r="I240" s="152"/>
      <c r="J240" s="152"/>
      <c r="K240" s="152"/>
      <c r="L240" s="152"/>
      <c r="M240" s="152"/>
      <c r="N240" s="152"/>
      <c r="O240" s="152"/>
      <c r="P240" s="152"/>
      <c r="Q240" s="152"/>
      <c r="R240" s="152"/>
      <c r="S240" s="152"/>
      <c r="T240" s="152"/>
      <c r="U240" s="152"/>
      <c r="V240" s="152"/>
      <c r="W240" s="152"/>
      <c r="X240" s="152"/>
      <c r="Y240" s="152"/>
      <c r="Z240" s="152"/>
    </row>
    <row r="241" ht="12.75" customHeight="1">
      <c r="A241" s="152"/>
      <c r="B241" s="232"/>
      <c r="C241" s="152"/>
      <c r="D241" s="152"/>
      <c r="E241" s="152"/>
      <c r="F241" s="152"/>
      <c r="G241" s="152"/>
      <c r="H241" s="152"/>
      <c r="I241" s="152"/>
      <c r="J241" s="152"/>
      <c r="K241" s="152"/>
      <c r="L241" s="152"/>
      <c r="M241" s="152"/>
      <c r="N241" s="152"/>
      <c r="O241" s="152"/>
      <c r="P241" s="152"/>
      <c r="Q241" s="152"/>
      <c r="R241" s="152"/>
      <c r="S241" s="152"/>
      <c r="T241" s="152"/>
      <c r="U241" s="152"/>
      <c r="V241" s="152"/>
      <c r="W241" s="152"/>
      <c r="X241" s="152"/>
      <c r="Y241" s="152"/>
      <c r="Z241" s="152"/>
    </row>
    <row r="242" ht="12.75" customHeight="1">
      <c r="A242" s="152"/>
      <c r="B242" s="232"/>
      <c r="C242" s="152"/>
      <c r="D242" s="152"/>
      <c r="E242" s="152"/>
      <c r="F242" s="152"/>
      <c r="G242" s="152"/>
      <c r="H242" s="152"/>
      <c r="I242" s="152"/>
      <c r="J242" s="152"/>
      <c r="K242" s="152"/>
      <c r="L242" s="152"/>
      <c r="M242" s="152"/>
      <c r="N242" s="152"/>
      <c r="O242" s="152"/>
      <c r="P242" s="152"/>
      <c r="Q242" s="152"/>
      <c r="R242" s="152"/>
      <c r="S242" s="152"/>
      <c r="T242" s="152"/>
      <c r="U242" s="152"/>
      <c r="V242" s="152"/>
      <c r="W242" s="152"/>
      <c r="X242" s="152"/>
      <c r="Y242" s="152"/>
      <c r="Z242" s="152"/>
    </row>
    <row r="243" ht="12.75" customHeight="1">
      <c r="A243" s="152"/>
      <c r="B243" s="232"/>
      <c r="C243" s="152"/>
      <c r="D243" s="152"/>
      <c r="E243" s="152"/>
      <c r="F243" s="152"/>
      <c r="G243" s="152"/>
      <c r="H243" s="152"/>
      <c r="I243" s="152"/>
      <c r="J243" s="152"/>
      <c r="K243" s="152"/>
      <c r="L243" s="152"/>
      <c r="M243" s="152"/>
      <c r="N243" s="152"/>
      <c r="O243" s="152"/>
      <c r="P243" s="152"/>
      <c r="Q243" s="152"/>
      <c r="R243" s="152"/>
      <c r="S243" s="152"/>
      <c r="T243" s="152"/>
      <c r="U243" s="152"/>
      <c r="V243" s="152"/>
      <c r="W243" s="152"/>
      <c r="X243" s="152"/>
      <c r="Y243" s="152"/>
      <c r="Z243" s="152"/>
    </row>
    <row r="244" ht="12.75" customHeight="1">
      <c r="A244" s="152"/>
      <c r="B244" s="232"/>
      <c r="C244" s="152"/>
      <c r="D244" s="152"/>
      <c r="E244" s="152"/>
      <c r="F244" s="152"/>
      <c r="G244" s="152"/>
      <c r="H244" s="152"/>
      <c r="I244" s="152"/>
      <c r="J244" s="152"/>
      <c r="K244" s="152"/>
      <c r="L244" s="152"/>
      <c r="M244" s="152"/>
      <c r="N244" s="152"/>
      <c r="O244" s="152"/>
      <c r="P244" s="152"/>
      <c r="Q244" s="152"/>
      <c r="R244" s="152"/>
      <c r="S244" s="152"/>
      <c r="T244" s="152"/>
      <c r="U244" s="152"/>
      <c r="V244" s="152"/>
      <c r="W244" s="152"/>
      <c r="X244" s="152"/>
      <c r="Y244" s="152"/>
      <c r="Z244" s="152"/>
    </row>
    <row r="245" ht="12.75" customHeight="1">
      <c r="A245" s="152"/>
      <c r="B245" s="232"/>
      <c r="C245" s="152"/>
      <c r="D245" s="152"/>
      <c r="E245" s="152"/>
      <c r="F245" s="152"/>
      <c r="G245" s="152"/>
      <c r="H245" s="152"/>
      <c r="I245" s="152"/>
      <c r="J245" s="152"/>
      <c r="K245" s="152"/>
      <c r="L245" s="152"/>
      <c r="M245" s="152"/>
      <c r="N245" s="152"/>
      <c r="O245" s="152"/>
      <c r="P245" s="152"/>
      <c r="Q245" s="152"/>
      <c r="R245" s="152"/>
      <c r="S245" s="152"/>
      <c r="T245" s="152"/>
      <c r="U245" s="152"/>
      <c r="V245" s="152"/>
      <c r="W245" s="152"/>
      <c r="X245" s="152"/>
      <c r="Y245" s="152"/>
      <c r="Z245" s="152"/>
    </row>
    <row r="246" ht="12.75" customHeight="1">
      <c r="A246" s="152"/>
      <c r="B246" s="232"/>
      <c r="C246" s="152"/>
      <c r="D246" s="152"/>
      <c r="E246" s="152"/>
      <c r="F246" s="152"/>
      <c r="G246" s="152"/>
      <c r="H246" s="152"/>
      <c r="I246" s="152"/>
      <c r="J246" s="152"/>
      <c r="K246" s="152"/>
      <c r="L246" s="152"/>
      <c r="M246" s="152"/>
      <c r="N246" s="152"/>
      <c r="O246" s="152"/>
      <c r="P246" s="152"/>
      <c r="Q246" s="152"/>
      <c r="R246" s="152"/>
      <c r="S246" s="152"/>
      <c r="T246" s="152"/>
      <c r="U246" s="152"/>
      <c r="V246" s="152"/>
      <c r="W246" s="152"/>
      <c r="X246" s="152"/>
      <c r="Y246" s="152"/>
      <c r="Z246" s="152"/>
    </row>
    <row r="247" ht="12.75" customHeight="1">
      <c r="A247" s="152"/>
      <c r="B247" s="232"/>
      <c r="C247" s="152"/>
      <c r="D247" s="152"/>
      <c r="E247" s="152"/>
      <c r="F247" s="152"/>
      <c r="G247" s="152"/>
      <c r="H247" s="152"/>
      <c r="I247" s="152"/>
      <c r="J247" s="152"/>
      <c r="K247" s="152"/>
      <c r="L247" s="152"/>
      <c r="M247" s="152"/>
      <c r="N247" s="152"/>
      <c r="O247" s="152"/>
      <c r="P247" s="152"/>
      <c r="Q247" s="152"/>
      <c r="R247" s="152"/>
      <c r="S247" s="152"/>
      <c r="T247" s="152"/>
      <c r="U247" s="152"/>
      <c r="V247" s="152"/>
      <c r="W247" s="152"/>
      <c r="X247" s="152"/>
      <c r="Y247" s="152"/>
      <c r="Z247" s="152"/>
    </row>
    <row r="248" ht="12.75" customHeight="1">
      <c r="A248" s="152"/>
      <c r="B248" s="232"/>
      <c r="C248" s="152"/>
      <c r="D248" s="152"/>
      <c r="E248" s="152"/>
      <c r="F248" s="152"/>
      <c r="G248" s="152"/>
      <c r="H248" s="152"/>
      <c r="I248" s="152"/>
      <c r="J248" s="152"/>
      <c r="K248" s="152"/>
      <c r="L248" s="152"/>
      <c r="M248" s="152"/>
      <c r="N248" s="152"/>
      <c r="O248" s="152"/>
      <c r="P248" s="152"/>
      <c r="Q248" s="152"/>
      <c r="R248" s="152"/>
      <c r="S248" s="152"/>
      <c r="T248" s="152"/>
      <c r="U248" s="152"/>
      <c r="V248" s="152"/>
      <c r="W248" s="152"/>
      <c r="X248" s="152"/>
      <c r="Y248" s="152"/>
      <c r="Z248" s="152"/>
    </row>
    <row r="249" ht="12.75" customHeight="1">
      <c r="A249" s="152"/>
      <c r="B249" s="232"/>
      <c r="C249" s="152"/>
      <c r="D249" s="152"/>
      <c r="E249" s="152"/>
      <c r="F249" s="152"/>
      <c r="G249" s="152"/>
      <c r="H249" s="152"/>
      <c r="I249" s="152"/>
      <c r="J249" s="152"/>
      <c r="K249" s="152"/>
      <c r="L249" s="152"/>
      <c r="M249" s="152"/>
      <c r="N249" s="152"/>
      <c r="O249" s="152"/>
      <c r="P249" s="152"/>
      <c r="Q249" s="152"/>
      <c r="R249" s="152"/>
      <c r="S249" s="152"/>
      <c r="T249" s="152"/>
      <c r="U249" s="152"/>
      <c r="V249" s="152"/>
      <c r="W249" s="152"/>
      <c r="X249" s="152"/>
      <c r="Y249" s="152"/>
      <c r="Z249" s="152"/>
    </row>
    <row r="250" ht="12.75" customHeight="1">
      <c r="A250" s="152"/>
      <c r="B250" s="232"/>
      <c r="C250" s="152"/>
      <c r="D250" s="152"/>
      <c r="E250" s="152"/>
      <c r="F250" s="152"/>
      <c r="G250" s="152"/>
      <c r="H250" s="152"/>
      <c r="I250" s="152"/>
      <c r="J250" s="152"/>
      <c r="K250" s="152"/>
      <c r="L250" s="152"/>
      <c r="M250" s="152"/>
      <c r="N250" s="152"/>
      <c r="O250" s="152"/>
      <c r="P250" s="152"/>
      <c r="Q250" s="152"/>
      <c r="R250" s="152"/>
      <c r="S250" s="152"/>
      <c r="T250" s="152"/>
      <c r="U250" s="152"/>
      <c r="V250" s="152"/>
      <c r="W250" s="152"/>
      <c r="X250" s="152"/>
      <c r="Y250" s="152"/>
      <c r="Z250" s="152"/>
    </row>
    <row r="251" ht="12.75" customHeight="1">
      <c r="A251" s="152"/>
      <c r="B251" s="232"/>
      <c r="C251" s="152"/>
      <c r="D251" s="152"/>
      <c r="E251" s="152"/>
      <c r="F251" s="152"/>
      <c r="G251" s="152"/>
      <c r="H251" s="152"/>
      <c r="I251" s="152"/>
      <c r="J251" s="152"/>
      <c r="K251" s="152"/>
      <c r="L251" s="152"/>
      <c r="M251" s="152"/>
      <c r="N251" s="152"/>
      <c r="O251" s="152"/>
      <c r="P251" s="152"/>
      <c r="Q251" s="152"/>
      <c r="R251" s="152"/>
      <c r="S251" s="152"/>
      <c r="T251" s="152"/>
      <c r="U251" s="152"/>
      <c r="V251" s="152"/>
      <c r="W251" s="152"/>
      <c r="X251" s="152"/>
      <c r="Y251" s="152"/>
      <c r="Z251" s="152"/>
    </row>
    <row r="252" ht="12.75" customHeight="1">
      <c r="A252" s="152"/>
      <c r="B252" s="232"/>
      <c r="C252" s="152"/>
      <c r="D252" s="152"/>
      <c r="E252" s="152"/>
      <c r="F252" s="152"/>
      <c r="G252" s="152"/>
      <c r="H252" s="152"/>
      <c r="I252" s="152"/>
      <c r="J252" s="152"/>
      <c r="K252" s="152"/>
      <c r="L252" s="152"/>
      <c r="M252" s="152"/>
      <c r="N252" s="152"/>
      <c r="O252" s="152"/>
      <c r="P252" s="152"/>
      <c r="Q252" s="152"/>
      <c r="R252" s="152"/>
      <c r="S252" s="152"/>
      <c r="T252" s="152"/>
      <c r="U252" s="152"/>
      <c r="V252" s="152"/>
      <c r="W252" s="152"/>
      <c r="X252" s="152"/>
      <c r="Y252" s="152"/>
      <c r="Z252" s="152"/>
    </row>
    <row r="253" ht="12.75" customHeight="1">
      <c r="A253" s="152"/>
      <c r="B253" s="232"/>
      <c r="C253" s="152"/>
      <c r="D253" s="152"/>
      <c r="E253" s="152"/>
      <c r="F253" s="152"/>
      <c r="G253" s="152"/>
      <c r="H253" s="152"/>
      <c r="I253" s="152"/>
      <c r="J253" s="152"/>
      <c r="K253" s="152"/>
      <c r="L253" s="152"/>
      <c r="M253" s="152"/>
      <c r="N253" s="152"/>
      <c r="O253" s="152"/>
      <c r="P253" s="152"/>
      <c r="Q253" s="152"/>
      <c r="R253" s="152"/>
      <c r="S253" s="152"/>
      <c r="T253" s="152"/>
      <c r="U253" s="152"/>
      <c r="V253" s="152"/>
      <c r="W253" s="152"/>
      <c r="X253" s="152"/>
      <c r="Y253" s="152"/>
      <c r="Z253" s="152"/>
    </row>
    <row r="254" ht="12.75" customHeight="1">
      <c r="A254" s="152"/>
      <c r="B254" s="232"/>
      <c r="C254" s="152"/>
      <c r="D254" s="152"/>
      <c r="E254" s="152"/>
      <c r="F254" s="152"/>
      <c r="G254" s="152"/>
      <c r="H254" s="152"/>
      <c r="I254" s="152"/>
      <c r="J254" s="152"/>
      <c r="K254" s="152"/>
      <c r="L254" s="152"/>
      <c r="M254" s="152"/>
      <c r="N254" s="152"/>
      <c r="O254" s="152"/>
      <c r="P254" s="152"/>
      <c r="Q254" s="152"/>
      <c r="R254" s="152"/>
      <c r="S254" s="152"/>
      <c r="T254" s="152"/>
      <c r="U254" s="152"/>
      <c r="V254" s="152"/>
      <c r="W254" s="152"/>
      <c r="X254" s="152"/>
      <c r="Y254" s="152"/>
      <c r="Z254" s="152"/>
    </row>
    <row r="255" ht="12.75" customHeight="1">
      <c r="A255" s="152"/>
      <c r="B255" s="232"/>
      <c r="C255" s="152"/>
      <c r="D255" s="152"/>
      <c r="E255" s="152"/>
      <c r="F255" s="152"/>
      <c r="G255" s="152"/>
      <c r="H255" s="152"/>
      <c r="I255" s="152"/>
      <c r="J255" s="152"/>
      <c r="K255" s="152"/>
      <c r="L255" s="152"/>
      <c r="M255" s="152"/>
      <c r="N255" s="152"/>
      <c r="O255" s="152"/>
      <c r="P255" s="152"/>
      <c r="Q255" s="152"/>
      <c r="R255" s="152"/>
      <c r="S255" s="152"/>
      <c r="T255" s="152"/>
      <c r="U255" s="152"/>
      <c r="V255" s="152"/>
      <c r="W255" s="152"/>
      <c r="X255" s="152"/>
      <c r="Y255" s="152"/>
      <c r="Z255" s="152"/>
    </row>
    <row r="256" ht="12.75" customHeight="1">
      <c r="A256" s="152"/>
      <c r="B256" s="232"/>
      <c r="C256" s="152"/>
      <c r="D256" s="152"/>
      <c r="E256" s="152"/>
      <c r="F256" s="152"/>
      <c r="G256" s="152"/>
      <c r="H256" s="152"/>
      <c r="I256" s="152"/>
      <c r="J256" s="152"/>
      <c r="K256" s="152"/>
      <c r="L256" s="152"/>
      <c r="M256" s="152"/>
      <c r="N256" s="152"/>
      <c r="O256" s="152"/>
      <c r="P256" s="152"/>
      <c r="Q256" s="152"/>
      <c r="R256" s="152"/>
      <c r="S256" s="152"/>
      <c r="T256" s="152"/>
      <c r="U256" s="152"/>
      <c r="V256" s="152"/>
      <c r="W256" s="152"/>
      <c r="X256" s="152"/>
      <c r="Y256" s="152"/>
      <c r="Z256" s="152"/>
    </row>
    <row r="257" ht="12.75" customHeight="1">
      <c r="A257" s="152"/>
      <c r="B257" s="232"/>
      <c r="C257" s="152"/>
      <c r="D257" s="152"/>
      <c r="E257" s="152"/>
      <c r="F257" s="152"/>
      <c r="G257" s="152"/>
      <c r="H257" s="152"/>
      <c r="I257" s="152"/>
      <c r="J257" s="152"/>
      <c r="K257" s="152"/>
      <c r="L257" s="152"/>
      <c r="M257" s="152"/>
      <c r="N257" s="152"/>
      <c r="O257" s="152"/>
      <c r="P257" s="152"/>
      <c r="Q257" s="152"/>
      <c r="R257" s="152"/>
      <c r="S257" s="152"/>
      <c r="T257" s="152"/>
      <c r="U257" s="152"/>
      <c r="V257" s="152"/>
      <c r="W257" s="152"/>
      <c r="X257" s="152"/>
      <c r="Y257" s="152"/>
      <c r="Z257" s="152"/>
    </row>
    <row r="258" ht="12.75" customHeight="1">
      <c r="A258" s="152"/>
      <c r="B258" s="232"/>
      <c r="C258" s="152"/>
      <c r="D258" s="152"/>
      <c r="E258" s="152"/>
      <c r="F258" s="152"/>
      <c r="G258" s="152"/>
      <c r="H258" s="152"/>
      <c r="I258" s="152"/>
      <c r="J258" s="152"/>
      <c r="K258" s="152"/>
      <c r="L258" s="152"/>
      <c r="M258" s="152"/>
      <c r="N258" s="152"/>
      <c r="O258" s="152"/>
      <c r="P258" s="152"/>
      <c r="Q258" s="152"/>
      <c r="R258" s="152"/>
      <c r="S258" s="152"/>
      <c r="T258" s="152"/>
      <c r="U258" s="152"/>
      <c r="V258" s="152"/>
      <c r="W258" s="152"/>
      <c r="X258" s="152"/>
      <c r="Y258" s="152"/>
      <c r="Z258" s="152"/>
    </row>
    <row r="259" ht="12.75" customHeight="1">
      <c r="A259" s="152"/>
      <c r="B259" s="232"/>
      <c r="C259" s="152"/>
      <c r="D259" s="152"/>
      <c r="E259" s="152"/>
      <c r="F259" s="152"/>
      <c r="G259" s="152"/>
      <c r="H259" s="152"/>
      <c r="I259" s="152"/>
      <c r="J259" s="152"/>
      <c r="K259" s="152"/>
      <c r="L259" s="152"/>
      <c r="M259" s="152"/>
      <c r="N259" s="152"/>
      <c r="O259" s="152"/>
      <c r="P259" s="152"/>
      <c r="Q259" s="152"/>
      <c r="R259" s="152"/>
      <c r="S259" s="152"/>
      <c r="T259" s="152"/>
      <c r="U259" s="152"/>
      <c r="V259" s="152"/>
      <c r="W259" s="152"/>
      <c r="X259" s="152"/>
      <c r="Y259" s="152"/>
      <c r="Z259" s="152"/>
    </row>
    <row r="260" ht="12.75" customHeight="1">
      <c r="A260" s="152"/>
      <c r="B260" s="232"/>
      <c r="C260" s="152"/>
      <c r="D260" s="152"/>
      <c r="E260" s="152"/>
      <c r="F260" s="152"/>
      <c r="G260" s="152"/>
      <c r="H260" s="152"/>
      <c r="I260" s="152"/>
      <c r="J260" s="152"/>
      <c r="K260" s="152"/>
      <c r="L260" s="152"/>
      <c r="M260" s="152"/>
      <c r="N260" s="152"/>
      <c r="O260" s="152"/>
      <c r="P260" s="152"/>
      <c r="Q260" s="152"/>
      <c r="R260" s="152"/>
      <c r="S260" s="152"/>
      <c r="T260" s="152"/>
      <c r="U260" s="152"/>
      <c r="V260" s="152"/>
      <c r="W260" s="152"/>
      <c r="X260" s="152"/>
      <c r="Y260" s="152"/>
      <c r="Z260" s="152"/>
    </row>
    <row r="261" ht="12.75" customHeight="1">
      <c r="A261" s="152"/>
      <c r="B261" s="232"/>
      <c r="C261" s="152"/>
      <c r="D261" s="152"/>
      <c r="E261" s="152"/>
      <c r="F261" s="152"/>
      <c r="G261" s="152"/>
      <c r="H261" s="152"/>
      <c r="I261" s="152"/>
      <c r="J261" s="152"/>
      <c r="K261" s="152"/>
      <c r="L261" s="152"/>
      <c r="M261" s="152"/>
      <c r="N261" s="152"/>
      <c r="O261" s="152"/>
      <c r="P261" s="152"/>
      <c r="Q261" s="152"/>
      <c r="R261" s="152"/>
      <c r="S261" s="152"/>
      <c r="T261" s="152"/>
      <c r="U261" s="152"/>
      <c r="V261" s="152"/>
      <c r="W261" s="152"/>
      <c r="X261" s="152"/>
      <c r="Y261" s="152"/>
      <c r="Z261" s="152"/>
    </row>
    <row r="262" ht="12.75" customHeight="1">
      <c r="A262" s="152"/>
      <c r="B262" s="232"/>
      <c r="C262" s="152"/>
      <c r="D262" s="152"/>
      <c r="E262" s="152"/>
      <c r="F262" s="152"/>
      <c r="G262" s="152"/>
      <c r="H262" s="152"/>
      <c r="I262" s="152"/>
      <c r="J262" s="152"/>
      <c r="K262" s="152"/>
      <c r="L262" s="152"/>
      <c r="M262" s="152"/>
      <c r="N262" s="152"/>
      <c r="O262" s="152"/>
      <c r="P262" s="152"/>
      <c r="Q262" s="152"/>
      <c r="R262" s="152"/>
      <c r="S262" s="152"/>
      <c r="T262" s="152"/>
      <c r="U262" s="152"/>
      <c r="V262" s="152"/>
      <c r="W262" s="152"/>
      <c r="X262" s="152"/>
      <c r="Y262" s="152"/>
      <c r="Z262" s="152"/>
    </row>
    <row r="263" ht="12.75" customHeight="1">
      <c r="A263" s="152"/>
      <c r="B263" s="232"/>
      <c r="C263" s="152"/>
      <c r="D263" s="152"/>
      <c r="E263" s="152"/>
      <c r="F263" s="152"/>
      <c r="G263" s="152"/>
      <c r="H263" s="152"/>
      <c r="I263" s="152"/>
      <c r="J263" s="152"/>
      <c r="K263" s="152"/>
      <c r="L263" s="152"/>
      <c r="M263" s="152"/>
      <c r="N263" s="152"/>
      <c r="O263" s="152"/>
      <c r="P263" s="152"/>
      <c r="Q263" s="152"/>
      <c r="R263" s="152"/>
      <c r="S263" s="152"/>
      <c r="T263" s="152"/>
      <c r="U263" s="152"/>
      <c r="V263" s="152"/>
      <c r="W263" s="152"/>
      <c r="X263" s="152"/>
      <c r="Y263" s="152"/>
      <c r="Z263" s="152"/>
    </row>
    <row r="264" ht="12.75" customHeight="1">
      <c r="A264" s="152"/>
      <c r="B264" s="232"/>
      <c r="C264" s="152"/>
      <c r="D264" s="152"/>
      <c r="E264" s="152"/>
      <c r="F264" s="152"/>
      <c r="G264" s="152"/>
      <c r="H264" s="152"/>
      <c r="I264" s="152"/>
      <c r="J264" s="152"/>
      <c r="K264" s="152"/>
      <c r="L264" s="152"/>
      <c r="M264" s="152"/>
      <c r="N264" s="152"/>
      <c r="O264" s="152"/>
      <c r="P264" s="152"/>
      <c r="Q264" s="152"/>
      <c r="R264" s="152"/>
      <c r="S264" s="152"/>
      <c r="T264" s="152"/>
      <c r="U264" s="152"/>
      <c r="V264" s="152"/>
      <c r="W264" s="152"/>
      <c r="X264" s="152"/>
      <c r="Y264" s="152"/>
      <c r="Z264" s="152"/>
    </row>
    <row r="265" ht="12.75" customHeight="1">
      <c r="A265" s="152"/>
      <c r="B265" s="232"/>
      <c r="C265" s="152"/>
      <c r="D265" s="152"/>
      <c r="E265" s="152"/>
      <c r="F265" s="152"/>
      <c r="G265" s="152"/>
      <c r="H265" s="152"/>
      <c r="I265" s="152"/>
      <c r="J265" s="152"/>
      <c r="K265" s="152"/>
      <c r="L265" s="152"/>
      <c r="M265" s="152"/>
      <c r="N265" s="152"/>
      <c r="O265" s="152"/>
      <c r="P265" s="152"/>
      <c r="Q265" s="152"/>
      <c r="R265" s="152"/>
      <c r="S265" s="152"/>
      <c r="T265" s="152"/>
      <c r="U265" s="152"/>
      <c r="V265" s="152"/>
      <c r="W265" s="152"/>
      <c r="X265" s="152"/>
      <c r="Y265" s="152"/>
      <c r="Z265" s="152"/>
    </row>
    <row r="266" ht="12.75" customHeight="1">
      <c r="A266" s="152"/>
      <c r="B266" s="232"/>
      <c r="C266" s="152"/>
      <c r="D266" s="152"/>
      <c r="E266" s="152"/>
      <c r="F266" s="152"/>
      <c r="G266" s="152"/>
      <c r="H266" s="152"/>
      <c r="I266" s="152"/>
      <c r="J266" s="152"/>
      <c r="K266" s="152"/>
      <c r="L266" s="152"/>
      <c r="M266" s="152"/>
      <c r="N266" s="152"/>
      <c r="O266" s="152"/>
      <c r="P266" s="152"/>
      <c r="Q266" s="152"/>
      <c r="R266" s="152"/>
      <c r="S266" s="152"/>
      <c r="T266" s="152"/>
      <c r="U266" s="152"/>
      <c r="V266" s="152"/>
      <c r="W266" s="152"/>
      <c r="X266" s="152"/>
      <c r="Y266" s="152"/>
      <c r="Z266" s="152"/>
    </row>
    <row r="267" ht="12.75" customHeight="1">
      <c r="A267" s="152"/>
      <c r="B267" s="232"/>
      <c r="C267" s="152"/>
      <c r="D267" s="152"/>
      <c r="E267" s="152"/>
      <c r="F267" s="152"/>
      <c r="G267" s="152"/>
      <c r="H267" s="152"/>
      <c r="I267" s="152"/>
      <c r="J267" s="152"/>
      <c r="K267" s="152"/>
      <c r="L267" s="152"/>
      <c r="M267" s="152"/>
      <c r="N267" s="152"/>
      <c r="O267" s="152"/>
      <c r="P267" s="152"/>
      <c r="Q267" s="152"/>
      <c r="R267" s="152"/>
      <c r="S267" s="152"/>
      <c r="T267" s="152"/>
      <c r="U267" s="152"/>
      <c r="V267" s="152"/>
      <c r="W267" s="152"/>
      <c r="X267" s="152"/>
      <c r="Y267" s="152"/>
      <c r="Z267" s="152"/>
    </row>
    <row r="268" ht="12.75" customHeight="1">
      <c r="A268" s="152"/>
      <c r="B268" s="232"/>
      <c r="C268" s="152"/>
      <c r="D268" s="152"/>
      <c r="E268" s="152"/>
      <c r="F268" s="152"/>
      <c r="G268" s="152"/>
      <c r="H268" s="152"/>
      <c r="I268" s="152"/>
      <c r="J268" s="152"/>
      <c r="K268" s="152"/>
      <c r="L268" s="152"/>
      <c r="M268" s="152"/>
      <c r="N268" s="152"/>
      <c r="O268" s="152"/>
      <c r="P268" s="152"/>
      <c r="Q268" s="152"/>
      <c r="R268" s="152"/>
      <c r="S268" s="152"/>
      <c r="T268" s="152"/>
      <c r="U268" s="152"/>
      <c r="V268" s="152"/>
      <c r="W268" s="152"/>
      <c r="X268" s="152"/>
      <c r="Y268" s="152"/>
      <c r="Z268" s="152"/>
    </row>
    <row r="269" ht="12.75" customHeight="1">
      <c r="A269" s="152"/>
      <c r="B269" s="232"/>
      <c r="C269" s="152"/>
      <c r="D269" s="152"/>
      <c r="E269" s="152"/>
      <c r="F269" s="152"/>
      <c r="G269" s="152"/>
      <c r="H269" s="152"/>
      <c r="I269" s="152"/>
      <c r="J269" s="152"/>
      <c r="K269" s="152"/>
      <c r="L269" s="152"/>
      <c r="M269" s="152"/>
      <c r="N269" s="152"/>
      <c r="O269" s="152"/>
      <c r="P269" s="152"/>
      <c r="Q269" s="152"/>
      <c r="R269" s="152"/>
      <c r="S269" s="152"/>
      <c r="T269" s="152"/>
      <c r="U269" s="152"/>
      <c r="V269" s="152"/>
      <c r="W269" s="152"/>
      <c r="X269" s="152"/>
      <c r="Y269" s="152"/>
      <c r="Z269" s="152"/>
    </row>
    <row r="270" ht="12.75" customHeight="1">
      <c r="A270" s="152"/>
      <c r="B270" s="232"/>
      <c r="C270" s="152"/>
      <c r="D270" s="152"/>
      <c r="E270" s="152"/>
      <c r="F270" s="152"/>
      <c r="G270" s="152"/>
      <c r="H270" s="152"/>
      <c r="I270" s="152"/>
      <c r="J270" s="152"/>
      <c r="K270" s="152"/>
      <c r="L270" s="152"/>
      <c r="M270" s="152"/>
      <c r="N270" s="152"/>
      <c r="O270" s="152"/>
      <c r="P270" s="152"/>
      <c r="Q270" s="152"/>
      <c r="R270" s="152"/>
      <c r="S270" s="152"/>
      <c r="T270" s="152"/>
      <c r="U270" s="152"/>
      <c r="V270" s="152"/>
      <c r="W270" s="152"/>
      <c r="X270" s="152"/>
      <c r="Y270" s="152"/>
      <c r="Z270" s="152"/>
    </row>
    <row r="271" ht="12.75" customHeight="1">
      <c r="A271" s="152"/>
      <c r="B271" s="232"/>
      <c r="C271" s="152"/>
      <c r="D271" s="152"/>
      <c r="E271" s="152"/>
      <c r="F271" s="152"/>
      <c r="G271" s="152"/>
      <c r="H271" s="152"/>
      <c r="I271" s="152"/>
      <c r="J271" s="152"/>
      <c r="K271" s="152"/>
      <c r="L271" s="152"/>
      <c r="M271" s="152"/>
      <c r="N271" s="152"/>
      <c r="O271" s="152"/>
      <c r="P271" s="152"/>
      <c r="Q271" s="152"/>
      <c r="R271" s="152"/>
      <c r="S271" s="152"/>
      <c r="T271" s="152"/>
      <c r="U271" s="152"/>
      <c r="V271" s="152"/>
      <c r="W271" s="152"/>
      <c r="X271" s="152"/>
      <c r="Y271" s="152"/>
      <c r="Z271" s="152"/>
    </row>
    <row r="272" ht="12.75" customHeight="1">
      <c r="A272" s="152"/>
      <c r="B272" s="232"/>
      <c r="C272" s="152"/>
      <c r="D272" s="152"/>
      <c r="E272" s="152"/>
      <c r="F272" s="152"/>
      <c r="G272" s="152"/>
      <c r="H272" s="152"/>
      <c r="I272" s="152"/>
      <c r="J272" s="152"/>
      <c r="K272" s="152"/>
      <c r="L272" s="152"/>
      <c r="M272" s="152"/>
      <c r="N272" s="152"/>
      <c r="O272" s="152"/>
      <c r="P272" s="152"/>
      <c r="Q272" s="152"/>
      <c r="R272" s="152"/>
      <c r="S272" s="152"/>
      <c r="T272" s="152"/>
      <c r="U272" s="152"/>
      <c r="V272" s="152"/>
      <c r="W272" s="152"/>
      <c r="X272" s="152"/>
      <c r="Y272" s="152"/>
      <c r="Z272" s="152"/>
    </row>
    <row r="273" ht="12.75" customHeight="1">
      <c r="A273" s="152"/>
      <c r="B273" s="232"/>
      <c r="C273" s="152"/>
      <c r="D273" s="152"/>
      <c r="E273" s="152"/>
      <c r="F273" s="152"/>
      <c r="G273" s="152"/>
      <c r="H273" s="152"/>
      <c r="I273" s="152"/>
      <c r="J273" s="152"/>
      <c r="K273" s="152"/>
      <c r="L273" s="152"/>
      <c r="M273" s="152"/>
      <c r="N273" s="152"/>
      <c r="O273" s="152"/>
      <c r="P273" s="152"/>
      <c r="Q273" s="152"/>
      <c r="R273" s="152"/>
      <c r="S273" s="152"/>
      <c r="T273" s="152"/>
      <c r="U273" s="152"/>
      <c r="V273" s="152"/>
      <c r="W273" s="152"/>
      <c r="X273" s="152"/>
      <c r="Y273" s="152"/>
      <c r="Z273" s="152"/>
    </row>
    <row r="274" ht="12.75" customHeight="1">
      <c r="A274" s="152"/>
      <c r="B274" s="232"/>
      <c r="C274" s="152"/>
      <c r="D274" s="152"/>
      <c r="E274" s="152"/>
      <c r="F274" s="152"/>
      <c r="G274" s="152"/>
      <c r="H274" s="152"/>
      <c r="I274" s="152"/>
      <c r="J274" s="152"/>
      <c r="K274" s="152"/>
      <c r="L274" s="152"/>
      <c r="M274" s="152"/>
      <c r="N274" s="152"/>
      <c r="O274" s="152"/>
      <c r="P274" s="152"/>
      <c r="Q274" s="152"/>
      <c r="R274" s="152"/>
      <c r="S274" s="152"/>
      <c r="T274" s="152"/>
      <c r="U274" s="152"/>
      <c r="V274" s="152"/>
      <c r="W274" s="152"/>
      <c r="X274" s="152"/>
      <c r="Y274" s="152"/>
      <c r="Z274" s="152"/>
    </row>
    <row r="275" ht="12.75" customHeight="1">
      <c r="A275" s="152"/>
      <c r="B275" s="232"/>
      <c r="C275" s="152"/>
      <c r="D275" s="152"/>
      <c r="E275" s="152"/>
      <c r="F275" s="152"/>
      <c r="G275" s="152"/>
      <c r="H275" s="152"/>
      <c r="I275" s="152"/>
      <c r="J275" s="152"/>
      <c r="K275" s="152"/>
      <c r="L275" s="152"/>
      <c r="M275" s="152"/>
      <c r="N275" s="152"/>
      <c r="O275" s="152"/>
      <c r="P275" s="152"/>
      <c r="Q275" s="152"/>
      <c r="R275" s="152"/>
      <c r="S275" s="152"/>
      <c r="T275" s="152"/>
      <c r="U275" s="152"/>
      <c r="V275" s="152"/>
      <c r="W275" s="152"/>
      <c r="X275" s="152"/>
      <c r="Y275" s="152"/>
      <c r="Z275" s="152"/>
    </row>
    <row r="276" ht="12.75" customHeight="1">
      <c r="A276" s="152"/>
      <c r="B276" s="232"/>
      <c r="C276" s="152"/>
      <c r="D276" s="152"/>
      <c r="E276" s="152"/>
      <c r="F276" s="152"/>
      <c r="G276" s="152"/>
      <c r="H276" s="152"/>
      <c r="I276" s="152"/>
      <c r="J276" s="152"/>
      <c r="K276" s="152"/>
      <c r="L276" s="152"/>
      <c r="M276" s="152"/>
      <c r="N276" s="152"/>
      <c r="O276" s="152"/>
      <c r="P276" s="152"/>
      <c r="Q276" s="152"/>
      <c r="R276" s="152"/>
      <c r="S276" s="152"/>
      <c r="T276" s="152"/>
      <c r="U276" s="152"/>
      <c r="V276" s="152"/>
      <c r="W276" s="152"/>
      <c r="X276" s="152"/>
      <c r="Y276" s="152"/>
      <c r="Z276" s="152"/>
    </row>
    <row r="277" ht="12.75" customHeight="1">
      <c r="A277" s="152"/>
      <c r="B277" s="232"/>
      <c r="C277" s="152"/>
      <c r="D277" s="152"/>
      <c r="E277" s="152"/>
      <c r="F277" s="152"/>
      <c r="G277" s="152"/>
      <c r="H277" s="152"/>
      <c r="I277" s="152"/>
      <c r="J277" s="152"/>
      <c r="K277" s="152"/>
      <c r="L277" s="152"/>
      <c r="M277" s="152"/>
      <c r="N277" s="152"/>
      <c r="O277" s="152"/>
      <c r="P277" s="152"/>
      <c r="Q277" s="152"/>
      <c r="R277" s="152"/>
      <c r="S277" s="152"/>
      <c r="T277" s="152"/>
      <c r="U277" s="152"/>
      <c r="V277" s="152"/>
      <c r="W277" s="152"/>
      <c r="X277" s="152"/>
      <c r="Y277" s="152"/>
      <c r="Z277" s="152"/>
    </row>
    <row r="278" ht="12.75" customHeight="1">
      <c r="A278" s="152"/>
      <c r="B278" s="232"/>
      <c r="C278" s="152"/>
      <c r="D278" s="152"/>
      <c r="E278" s="152"/>
      <c r="F278" s="152"/>
      <c r="G278" s="152"/>
      <c r="H278" s="152"/>
      <c r="I278" s="152"/>
      <c r="J278" s="152"/>
      <c r="K278" s="152"/>
      <c r="L278" s="152"/>
      <c r="M278" s="152"/>
      <c r="N278" s="152"/>
      <c r="O278" s="152"/>
      <c r="P278" s="152"/>
      <c r="Q278" s="152"/>
      <c r="R278" s="152"/>
      <c r="S278" s="152"/>
      <c r="T278" s="152"/>
      <c r="U278" s="152"/>
      <c r="V278" s="152"/>
      <c r="W278" s="152"/>
      <c r="X278" s="152"/>
      <c r="Y278" s="152"/>
      <c r="Z278" s="152"/>
    </row>
    <row r="279" ht="12.75" customHeight="1">
      <c r="A279" s="152"/>
      <c r="B279" s="232"/>
      <c r="C279" s="152"/>
      <c r="D279" s="152"/>
      <c r="E279" s="152"/>
      <c r="F279" s="152"/>
      <c r="G279" s="152"/>
      <c r="H279" s="152"/>
      <c r="I279" s="152"/>
      <c r="J279" s="152"/>
      <c r="K279" s="152"/>
      <c r="L279" s="152"/>
      <c r="M279" s="152"/>
      <c r="N279" s="152"/>
      <c r="O279" s="152"/>
      <c r="P279" s="152"/>
      <c r="Q279" s="152"/>
      <c r="R279" s="152"/>
      <c r="S279" s="152"/>
      <c r="T279" s="152"/>
      <c r="U279" s="152"/>
      <c r="V279" s="152"/>
      <c r="W279" s="152"/>
      <c r="X279" s="152"/>
      <c r="Y279" s="152"/>
      <c r="Z279" s="152"/>
    </row>
    <row r="280" ht="12.75" customHeight="1">
      <c r="A280" s="152"/>
      <c r="B280" s="232"/>
      <c r="C280" s="152"/>
      <c r="D280" s="152"/>
      <c r="E280" s="152"/>
      <c r="F280" s="152"/>
      <c r="G280" s="152"/>
      <c r="H280" s="152"/>
      <c r="I280" s="152"/>
      <c r="J280" s="152"/>
      <c r="K280" s="152"/>
      <c r="L280" s="152"/>
      <c r="M280" s="152"/>
      <c r="N280" s="152"/>
      <c r="O280" s="152"/>
      <c r="P280" s="152"/>
      <c r="Q280" s="152"/>
      <c r="R280" s="152"/>
      <c r="S280" s="152"/>
      <c r="T280" s="152"/>
      <c r="U280" s="152"/>
      <c r="V280" s="152"/>
      <c r="W280" s="152"/>
      <c r="X280" s="152"/>
      <c r="Y280" s="152"/>
      <c r="Z280" s="152"/>
    </row>
    <row r="281" ht="12.75" customHeight="1">
      <c r="A281" s="152"/>
      <c r="B281" s="232"/>
      <c r="C281" s="152"/>
      <c r="D281" s="152"/>
      <c r="E281" s="152"/>
      <c r="F281" s="152"/>
      <c r="G281" s="152"/>
      <c r="H281" s="152"/>
      <c r="I281" s="152"/>
      <c r="J281" s="152"/>
      <c r="K281" s="152"/>
      <c r="L281" s="152"/>
      <c r="M281" s="152"/>
      <c r="N281" s="152"/>
      <c r="O281" s="152"/>
      <c r="P281" s="152"/>
      <c r="Q281" s="152"/>
      <c r="R281" s="152"/>
      <c r="S281" s="152"/>
      <c r="T281" s="152"/>
      <c r="U281" s="152"/>
      <c r="V281" s="152"/>
      <c r="W281" s="152"/>
      <c r="X281" s="152"/>
      <c r="Y281" s="152"/>
      <c r="Z281" s="152"/>
    </row>
    <row r="282" ht="12.75" customHeight="1">
      <c r="A282" s="152"/>
      <c r="B282" s="232"/>
      <c r="C282" s="152"/>
      <c r="D282" s="152"/>
      <c r="E282" s="152"/>
      <c r="F282" s="152"/>
      <c r="G282" s="152"/>
      <c r="H282" s="152"/>
      <c r="I282" s="152"/>
      <c r="J282" s="152"/>
      <c r="K282" s="152"/>
      <c r="L282" s="152"/>
      <c r="M282" s="152"/>
      <c r="N282" s="152"/>
      <c r="O282" s="152"/>
      <c r="P282" s="152"/>
      <c r="Q282" s="152"/>
      <c r="R282" s="152"/>
      <c r="S282" s="152"/>
      <c r="T282" s="152"/>
      <c r="U282" s="152"/>
      <c r="V282" s="152"/>
      <c r="W282" s="152"/>
      <c r="X282" s="152"/>
      <c r="Y282" s="152"/>
      <c r="Z282" s="152"/>
    </row>
    <row r="283" ht="12.75" customHeight="1">
      <c r="A283" s="152"/>
      <c r="B283" s="232"/>
      <c r="C283" s="152"/>
      <c r="D283" s="152"/>
      <c r="E283" s="152"/>
      <c r="F283" s="152"/>
      <c r="G283" s="152"/>
      <c r="H283" s="152"/>
      <c r="I283" s="152"/>
      <c r="J283" s="152"/>
      <c r="K283" s="152"/>
      <c r="L283" s="152"/>
      <c r="M283" s="152"/>
      <c r="N283" s="152"/>
      <c r="O283" s="152"/>
      <c r="P283" s="152"/>
      <c r="Q283" s="152"/>
      <c r="R283" s="152"/>
      <c r="S283" s="152"/>
      <c r="T283" s="152"/>
      <c r="U283" s="152"/>
      <c r="V283" s="152"/>
      <c r="W283" s="152"/>
      <c r="X283" s="152"/>
      <c r="Y283" s="152"/>
      <c r="Z283" s="152"/>
    </row>
    <row r="284" ht="12.75" customHeight="1">
      <c r="A284" s="152"/>
      <c r="B284" s="232"/>
      <c r="C284" s="152"/>
      <c r="D284" s="152"/>
      <c r="E284" s="152"/>
      <c r="F284" s="152"/>
      <c r="G284" s="152"/>
      <c r="H284" s="152"/>
      <c r="I284" s="152"/>
      <c r="J284" s="152"/>
      <c r="K284" s="152"/>
      <c r="L284" s="152"/>
      <c r="M284" s="152"/>
      <c r="N284" s="152"/>
      <c r="O284" s="152"/>
      <c r="P284" s="152"/>
      <c r="Q284" s="152"/>
      <c r="R284" s="152"/>
      <c r="S284" s="152"/>
      <c r="T284" s="152"/>
      <c r="U284" s="152"/>
      <c r="V284" s="152"/>
      <c r="W284" s="152"/>
      <c r="X284" s="152"/>
      <c r="Y284" s="152"/>
      <c r="Z284" s="152"/>
    </row>
    <row r="285" ht="12.75" customHeight="1">
      <c r="A285" s="152"/>
      <c r="B285" s="232"/>
      <c r="C285" s="152"/>
      <c r="D285" s="152"/>
      <c r="E285" s="152"/>
      <c r="F285" s="152"/>
      <c r="G285" s="152"/>
      <c r="H285" s="152"/>
      <c r="I285" s="152"/>
      <c r="J285" s="152"/>
      <c r="K285" s="152"/>
      <c r="L285" s="152"/>
      <c r="M285" s="152"/>
      <c r="N285" s="152"/>
      <c r="O285" s="152"/>
      <c r="P285" s="152"/>
      <c r="Q285" s="152"/>
      <c r="R285" s="152"/>
      <c r="S285" s="152"/>
      <c r="T285" s="152"/>
      <c r="U285" s="152"/>
      <c r="V285" s="152"/>
      <c r="W285" s="152"/>
      <c r="X285" s="152"/>
      <c r="Y285" s="152"/>
      <c r="Z285" s="152"/>
    </row>
    <row r="286" ht="12.75" customHeight="1">
      <c r="A286" s="152"/>
      <c r="B286" s="232"/>
      <c r="C286" s="152"/>
      <c r="D286" s="152"/>
      <c r="E286" s="152"/>
      <c r="F286" s="152"/>
      <c r="G286" s="152"/>
      <c r="H286" s="152"/>
      <c r="I286" s="152"/>
      <c r="J286" s="152"/>
      <c r="K286" s="152"/>
      <c r="L286" s="152"/>
      <c r="M286" s="152"/>
      <c r="N286" s="152"/>
      <c r="O286" s="152"/>
      <c r="P286" s="152"/>
      <c r="Q286" s="152"/>
      <c r="R286" s="152"/>
      <c r="S286" s="152"/>
      <c r="T286" s="152"/>
      <c r="U286" s="152"/>
      <c r="V286" s="152"/>
      <c r="W286" s="152"/>
      <c r="X286" s="152"/>
      <c r="Y286" s="152"/>
      <c r="Z286" s="152"/>
    </row>
    <row r="287" ht="12.75" customHeight="1">
      <c r="A287" s="152"/>
      <c r="B287" s="232"/>
      <c r="C287" s="152"/>
      <c r="D287" s="152"/>
      <c r="E287" s="152"/>
      <c r="F287" s="152"/>
      <c r="G287" s="152"/>
      <c r="H287" s="152"/>
      <c r="I287" s="152"/>
      <c r="J287" s="152"/>
      <c r="K287" s="152"/>
      <c r="L287" s="152"/>
      <c r="M287" s="152"/>
      <c r="N287" s="152"/>
      <c r="O287" s="152"/>
      <c r="P287" s="152"/>
      <c r="Q287" s="152"/>
      <c r="R287" s="152"/>
      <c r="S287" s="152"/>
      <c r="T287" s="152"/>
      <c r="U287" s="152"/>
      <c r="V287" s="152"/>
      <c r="W287" s="152"/>
      <c r="X287" s="152"/>
      <c r="Y287" s="152"/>
      <c r="Z287" s="152"/>
    </row>
    <row r="288" ht="12.75" customHeight="1">
      <c r="A288" s="152"/>
      <c r="B288" s="232"/>
      <c r="C288" s="152"/>
      <c r="D288" s="152"/>
      <c r="E288" s="152"/>
      <c r="F288" s="152"/>
      <c r="G288" s="152"/>
      <c r="H288" s="152"/>
      <c r="I288" s="152"/>
      <c r="J288" s="152"/>
      <c r="K288" s="152"/>
      <c r="L288" s="152"/>
      <c r="M288" s="152"/>
      <c r="N288" s="152"/>
      <c r="O288" s="152"/>
      <c r="P288" s="152"/>
      <c r="Q288" s="152"/>
      <c r="R288" s="152"/>
      <c r="S288" s="152"/>
      <c r="T288" s="152"/>
      <c r="U288" s="152"/>
      <c r="V288" s="152"/>
      <c r="W288" s="152"/>
      <c r="X288" s="152"/>
      <c r="Y288" s="152"/>
      <c r="Z288" s="152"/>
    </row>
    <row r="289" ht="12.75" customHeight="1">
      <c r="A289" s="152"/>
      <c r="B289" s="232"/>
      <c r="C289" s="152"/>
      <c r="D289" s="152"/>
      <c r="E289" s="152"/>
      <c r="F289" s="152"/>
      <c r="G289" s="152"/>
      <c r="H289" s="152"/>
      <c r="I289" s="152"/>
      <c r="J289" s="152"/>
      <c r="K289" s="152"/>
      <c r="L289" s="152"/>
      <c r="M289" s="152"/>
      <c r="N289" s="152"/>
      <c r="O289" s="152"/>
      <c r="P289" s="152"/>
      <c r="Q289" s="152"/>
      <c r="R289" s="152"/>
      <c r="S289" s="152"/>
      <c r="T289" s="152"/>
      <c r="U289" s="152"/>
      <c r="V289" s="152"/>
      <c r="W289" s="152"/>
      <c r="X289" s="152"/>
      <c r="Y289" s="152"/>
      <c r="Z289" s="152"/>
    </row>
    <row r="290" ht="12.75" customHeight="1">
      <c r="A290" s="152"/>
      <c r="B290" s="232"/>
      <c r="C290" s="152"/>
      <c r="D290" s="152"/>
      <c r="E290" s="152"/>
      <c r="F290" s="152"/>
      <c r="G290" s="152"/>
      <c r="H290" s="152"/>
      <c r="I290" s="152"/>
      <c r="J290" s="152"/>
      <c r="K290" s="152"/>
      <c r="L290" s="152"/>
      <c r="M290" s="152"/>
      <c r="N290" s="152"/>
      <c r="O290" s="152"/>
      <c r="P290" s="152"/>
      <c r="Q290" s="152"/>
      <c r="R290" s="152"/>
      <c r="S290" s="152"/>
      <c r="T290" s="152"/>
      <c r="U290" s="152"/>
      <c r="V290" s="152"/>
      <c r="W290" s="152"/>
      <c r="X290" s="152"/>
      <c r="Y290" s="152"/>
      <c r="Z290" s="152"/>
    </row>
    <row r="291" ht="12.75" customHeight="1">
      <c r="A291" s="152"/>
      <c r="B291" s="232"/>
      <c r="C291" s="152"/>
      <c r="D291" s="152"/>
      <c r="E291" s="152"/>
      <c r="F291" s="152"/>
      <c r="G291" s="152"/>
      <c r="H291" s="152"/>
      <c r="I291" s="152"/>
      <c r="J291" s="152"/>
      <c r="K291" s="152"/>
      <c r="L291" s="152"/>
      <c r="M291" s="152"/>
      <c r="N291" s="152"/>
      <c r="O291" s="152"/>
      <c r="P291" s="152"/>
      <c r="Q291" s="152"/>
      <c r="R291" s="152"/>
      <c r="S291" s="152"/>
      <c r="T291" s="152"/>
      <c r="U291" s="152"/>
      <c r="V291" s="152"/>
      <c r="W291" s="152"/>
      <c r="X291" s="152"/>
      <c r="Y291" s="152"/>
      <c r="Z291" s="152"/>
    </row>
    <row r="292" ht="12.75" customHeight="1">
      <c r="A292" s="152"/>
      <c r="B292" s="232"/>
      <c r="C292" s="152"/>
      <c r="D292" s="152"/>
      <c r="E292" s="152"/>
      <c r="F292" s="152"/>
      <c r="G292" s="152"/>
      <c r="H292" s="152"/>
      <c r="I292" s="152"/>
      <c r="J292" s="152"/>
      <c r="K292" s="152"/>
      <c r="L292" s="152"/>
      <c r="M292" s="152"/>
      <c r="N292" s="152"/>
      <c r="O292" s="152"/>
      <c r="P292" s="152"/>
      <c r="Q292" s="152"/>
      <c r="R292" s="152"/>
      <c r="S292" s="152"/>
      <c r="T292" s="152"/>
      <c r="U292" s="152"/>
      <c r="V292" s="152"/>
      <c r="W292" s="152"/>
      <c r="X292" s="152"/>
      <c r="Y292" s="152"/>
      <c r="Z292" s="152"/>
    </row>
    <row r="293" ht="12.75" customHeight="1">
      <c r="A293" s="152"/>
      <c r="B293" s="232"/>
      <c r="C293" s="152"/>
      <c r="D293" s="152"/>
      <c r="E293" s="152"/>
      <c r="F293" s="152"/>
      <c r="G293" s="152"/>
      <c r="H293" s="152"/>
      <c r="I293" s="152"/>
      <c r="J293" s="152"/>
      <c r="K293" s="152"/>
      <c r="L293" s="152"/>
      <c r="M293" s="152"/>
      <c r="N293" s="152"/>
      <c r="O293" s="152"/>
      <c r="P293" s="152"/>
      <c r="Q293" s="152"/>
      <c r="R293" s="152"/>
      <c r="S293" s="152"/>
      <c r="T293" s="152"/>
      <c r="U293" s="152"/>
      <c r="V293" s="152"/>
      <c r="W293" s="152"/>
      <c r="X293" s="152"/>
      <c r="Y293" s="152"/>
      <c r="Z293" s="152"/>
    </row>
    <row r="294" ht="12.75" customHeight="1">
      <c r="A294" s="152"/>
      <c r="B294" s="232"/>
      <c r="C294" s="152"/>
      <c r="D294" s="152"/>
      <c r="E294" s="152"/>
      <c r="F294" s="152"/>
      <c r="G294" s="152"/>
      <c r="H294" s="152"/>
      <c r="I294" s="152"/>
      <c r="J294" s="152"/>
      <c r="K294" s="152"/>
      <c r="L294" s="152"/>
      <c r="M294" s="152"/>
      <c r="N294" s="152"/>
      <c r="O294" s="152"/>
      <c r="P294" s="152"/>
      <c r="Q294" s="152"/>
      <c r="R294" s="152"/>
      <c r="S294" s="152"/>
      <c r="T294" s="152"/>
      <c r="U294" s="152"/>
      <c r="V294" s="152"/>
      <c r="W294" s="152"/>
      <c r="X294" s="152"/>
      <c r="Y294" s="152"/>
      <c r="Z294" s="152"/>
    </row>
    <row r="295" ht="12.75" customHeight="1">
      <c r="A295" s="152"/>
      <c r="B295" s="232"/>
      <c r="C295" s="152"/>
      <c r="D295" s="152"/>
      <c r="E295" s="152"/>
      <c r="F295" s="152"/>
      <c r="G295" s="152"/>
      <c r="H295" s="152"/>
      <c r="I295" s="152"/>
      <c r="J295" s="152"/>
      <c r="K295" s="152"/>
      <c r="L295" s="152"/>
      <c r="M295" s="152"/>
      <c r="N295" s="152"/>
      <c r="O295" s="152"/>
      <c r="P295" s="152"/>
      <c r="Q295" s="152"/>
      <c r="R295" s="152"/>
      <c r="S295" s="152"/>
      <c r="T295" s="152"/>
      <c r="U295" s="152"/>
      <c r="V295" s="152"/>
      <c r="W295" s="152"/>
      <c r="X295" s="152"/>
      <c r="Y295" s="152"/>
      <c r="Z295" s="152"/>
    </row>
    <row r="296" ht="12.75" customHeight="1">
      <c r="A296" s="152"/>
      <c r="B296" s="232"/>
      <c r="C296" s="152"/>
      <c r="D296" s="152"/>
      <c r="E296" s="152"/>
      <c r="F296" s="152"/>
      <c r="G296" s="152"/>
      <c r="H296" s="152"/>
      <c r="I296" s="152"/>
      <c r="J296" s="152"/>
      <c r="K296" s="152"/>
      <c r="L296" s="152"/>
      <c r="M296" s="152"/>
      <c r="N296" s="152"/>
      <c r="O296" s="152"/>
      <c r="P296" s="152"/>
      <c r="Q296" s="152"/>
      <c r="R296" s="152"/>
      <c r="S296" s="152"/>
      <c r="T296" s="152"/>
      <c r="U296" s="152"/>
      <c r="V296" s="152"/>
      <c r="W296" s="152"/>
      <c r="X296" s="152"/>
      <c r="Y296" s="152"/>
      <c r="Z296" s="152"/>
    </row>
    <row r="297" ht="12.75" customHeight="1">
      <c r="A297" s="152"/>
      <c r="B297" s="232"/>
      <c r="C297" s="152"/>
      <c r="D297" s="152"/>
      <c r="E297" s="152"/>
      <c r="F297" s="152"/>
      <c r="G297" s="152"/>
      <c r="H297" s="152"/>
      <c r="I297" s="152"/>
      <c r="J297" s="152"/>
      <c r="K297" s="152"/>
      <c r="L297" s="152"/>
      <c r="M297" s="152"/>
      <c r="N297" s="152"/>
      <c r="O297" s="152"/>
      <c r="P297" s="152"/>
      <c r="Q297" s="152"/>
      <c r="R297" s="152"/>
      <c r="S297" s="152"/>
      <c r="T297" s="152"/>
      <c r="U297" s="152"/>
      <c r="V297" s="152"/>
      <c r="W297" s="152"/>
      <c r="X297" s="152"/>
      <c r="Y297" s="152"/>
      <c r="Z297" s="152"/>
    </row>
    <row r="298" ht="12.75" customHeight="1">
      <c r="A298" s="152"/>
      <c r="B298" s="232"/>
      <c r="C298" s="152"/>
      <c r="D298" s="152"/>
      <c r="E298" s="152"/>
      <c r="F298" s="152"/>
      <c r="G298" s="152"/>
      <c r="H298" s="152"/>
      <c r="I298" s="152"/>
      <c r="J298" s="152"/>
      <c r="K298" s="152"/>
      <c r="L298" s="152"/>
      <c r="M298" s="152"/>
      <c r="N298" s="152"/>
      <c r="O298" s="152"/>
      <c r="P298" s="152"/>
      <c r="Q298" s="152"/>
      <c r="R298" s="152"/>
      <c r="S298" s="152"/>
      <c r="T298" s="152"/>
      <c r="U298" s="152"/>
      <c r="V298" s="152"/>
      <c r="W298" s="152"/>
      <c r="X298" s="152"/>
      <c r="Y298" s="152"/>
      <c r="Z298" s="152"/>
    </row>
    <row r="299" ht="12.75" customHeight="1">
      <c r="A299" s="152"/>
      <c r="B299" s="232"/>
      <c r="C299" s="152"/>
      <c r="D299" s="152"/>
      <c r="E299" s="152"/>
      <c r="F299" s="152"/>
      <c r="G299" s="152"/>
      <c r="H299" s="152"/>
      <c r="I299" s="152"/>
      <c r="J299" s="152"/>
      <c r="K299" s="152"/>
      <c r="L299" s="152"/>
      <c r="M299" s="152"/>
      <c r="N299" s="152"/>
      <c r="O299" s="152"/>
      <c r="P299" s="152"/>
      <c r="Q299" s="152"/>
      <c r="R299" s="152"/>
      <c r="S299" s="152"/>
      <c r="T299" s="152"/>
      <c r="U299" s="152"/>
      <c r="V299" s="152"/>
      <c r="W299" s="152"/>
      <c r="X299" s="152"/>
      <c r="Y299" s="152"/>
      <c r="Z299" s="152"/>
    </row>
    <row r="300" ht="12.75" customHeight="1">
      <c r="A300" s="152"/>
      <c r="B300" s="232"/>
      <c r="C300" s="152"/>
      <c r="D300" s="152"/>
      <c r="E300" s="152"/>
      <c r="F300" s="152"/>
      <c r="G300" s="152"/>
      <c r="H300" s="152"/>
      <c r="I300" s="152"/>
      <c r="J300" s="152"/>
      <c r="K300" s="152"/>
      <c r="L300" s="152"/>
      <c r="M300" s="152"/>
      <c r="N300" s="152"/>
      <c r="O300" s="152"/>
      <c r="P300" s="152"/>
      <c r="Q300" s="152"/>
      <c r="R300" s="152"/>
      <c r="S300" s="152"/>
      <c r="T300" s="152"/>
      <c r="U300" s="152"/>
      <c r="V300" s="152"/>
      <c r="W300" s="152"/>
      <c r="X300" s="152"/>
      <c r="Y300" s="152"/>
      <c r="Z300" s="152"/>
    </row>
    <row r="301" ht="12.75" customHeight="1">
      <c r="A301" s="152"/>
      <c r="B301" s="232"/>
      <c r="C301" s="152"/>
      <c r="D301" s="152"/>
      <c r="E301" s="152"/>
      <c r="F301" s="152"/>
      <c r="G301" s="152"/>
      <c r="H301" s="152"/>
      <c r="I301" s="152"/>
      <c r="J301" s="152"/>
      <c r="K301" s="152"/>
      <c r="L301" s="152"/>
      <c r="M301" s="152"/>
      <c r="N301" s="152"/>
      <c r="O301" s="152"/>
      <c r="P301" s="152"/>
      <c r="Q301" s="152"/>
      <c r="R301" s="152"/>
      <c r="S301" s="152"/>
      <c r="T301" s="152"/>
      <c r="U301" s="152"/>
      <c r="V301" s="152"/>
      <c r="W301" s="152"/>
      <c r="X301" s="152"/>
      <c r="Y301" s="152"/>
      <c r="Z301" s="152"/>
    </row>
    <row r="302" ht="12.75" customHeight="1">
      <c r="A302" s="152"/>
      <c r="B302" s="232"/>
      <c r="C302" s="152"/>
      <c r="D302" s="152"/>
      <c r="E302" s="152"/>
      <c r="F302" s="152"/>
      <c r="G302" s="152"/>
      <c r="H302" s="152"/>
      <c r="I302" s="152"/>
      <c r="J302" s="152"/>
      <c r="K302" s="152"/>
      <c r="L302" s="152"/>
      <c r="M302" s="152"/>
      <c r="N302" s="152"/>
      <c r="O302" s="152"/>
      <c r="P302" s="152"/>
      <c r="Q302" s="152"/>
      <c r="R302" s="152"/>
      <c r="S302" s="152"/>
      <c r="T302" s="152"/>
      <c r="U302" s="152"/>
      <c r="V302" s="152"/>
      <c r="W302" s="152"/>
      <c r="X302" s="152"/>
      <c r="Y302" s="152"/>
      <c r="Z302" s="152"/>
    </row>
    <row r="303" ht="12.75" customHeight="1">
      <c r="A303" s="152"/>
      <c r="B303" s="232"/>
      <c r="C303" s="152"/>
      <c r="D303" s="152"/>
      <c r="E303" s="152"/>
      <c r="F303" s="152"/>
      <c r="G303" s="152"/>
      <c r="H303" s="152"/>
      <c r="I303" s="152"/>
      <c r="J303" s="152"/>
      <c r="K303" s="152"/>
      <c r="L303" s="152"/>
      <c r="M303" s="152"/>
      <c r="N303" s="152"/>
      <c r="O303" s="152"/>
      <c r="P303" s="152"/>
      <c r="Q303" s="152"/>
      <c r="R303" s="152"/>
      <c r="S303" s="152"/>
      <c r="T303" s="152"/>
      <c r="U303" s="152"/>
      <c r="V303" s="152"/>
      <c r="W303" s="152"/>
      <c r="X303" s="152"/>
      <c r="Y303" s="152"/>
      <c r="Z303" s="152"/>
    </row>
    <row r="304" ht="12.75" customHeight="1">
      <c r="A304" s="152"/>
      <c r="B304" s="232"/>
      <c r="C304" s="152"/>
      <c r="D304" s="152"/>
      <c r="E304" s="152"/>
      <c r="F304" s="152"/>
      <c r="G304" s="152"/>
      <c r="H304" s="152"/>
      <c r="I304" s="152"/>
      <c r="J304" s="152"/>
      <c r="K304" s="152"/>
      <c r="L304" s="152"/>
      <c r="M304" s="152"/>
      <c r="N304" s="152"/>
      <c r="O304" s="152"/>
      <c r="P304" s="152"/>
      <c r="Q304" s="152"/>
      <c r="R304" s="152"/>
      <c r="S304" s="152"/>
      <c r="T304" s="152"/>
      <c r="U304" s="152"/>
      <c r="V304" s="152"/>
      <c r="W304" s="152"/>
      <c r="X304" s="152"/>
      <c r="Y304" s="152"/>
      <c r="Z304" s="152"/>
    </row>
    <row r="305" ht="12.75" customHeight="1">
      <c r="A305" s="152"/>
      <c r="B305" s="232"/>
      <c r="C305" s="152"/>
      <c r="D305" s="152"/>
      <c r="E305" s="152"/>
      <c r="F305" s="152"/>
      <c r="G305" s="152"/>
      <c r="H305" s="152"/>
      <c r="I305" s="152"/>
      <c r="J305" s="152"/>
      <c r="K305" s="152"/>
      <c r="L305" s="152"/>
      <c r="M305" s="152"/>
      <c r="N305" s="152"/>
      <c r="O305" s="152"/>
      <c r="P305" s="152"/>
      <c r="Q305" s="152"/>
      <c r="R305" s="152"/>
      <c r="S305" s="152"/>
      <c r="T305" s="152"/>
      <c r="U305" s="152"/>
      <c r="V305" s="152"/>
      <c r="W305" s="152"/>
      <c r="X305" s="152"/>
      <c r="Y305" s="152"/>
      <c r="Z305" s="152"/>
    </row>
    <row r="306" ht="12.75" customHeight="1">
      <c r="A306" s="152"/>
      <c r="B306" s="232"/>
      <c r="C306" s="152"/>
      <c r="D306" s="152"/>
      <c r="E306" s="152"/>
      <c r="F306" s="152"/>
      <c r="G306" s="152"/>
      <c r="H306" s="152"/>
      <c r="I306" s="152"/>
      <c r="J306" s="152"/>
      <c r="K306" s="152"/>
      <c r="L306" s="152"/>
      <c r="M306" s="152"/>
      <c r="N306" s="152"/>
      <c r="O306" s="152"/>
      <c r="P306" s="152"/>
      <c r="Q306" s="152"/>
      <c r="R306" s="152"/>
      <c r="S306" s="152"/>
      <c r="T306" s="152"/>
      <c r="U306" s="152"/>
      <c r="V306" s="152"/>
      <c r="W306" s="152"/>
      <c r="X306" s="152"/>
      <c r="Y306" s="152"/>
      <c r="Z306" s="152"/>
    </row>
    <row r="307" ht="12.75" customHeight="1">
      <c r="A307" s="152"/>
      <c r="B307" s="232"/>
      <c r="C307" s="152"/>
      <c r="D307" s="152"/>
      <c r="E307" s="152"/>
      <c r="F307" s="152"/>
      <c r="G307" s="152"/>
      <c r="H307" s="152"/>
      <c r="I307" s="152"/>
      <c r="J307" s="152"/>
      <c r="K307" s="152"/>
      <c r="L307" s="152"/>
      <c r="M307" s="152"/>
      <c r="N307" s="152"/>
      <c r="O307" s="152"/>
      <c r="P307" s="152"/>
      <c r="Q307" s="152"/>
      <c r="R307" s="152"/>
      <c r="S307" s="152"/>
      <c r="T307" s="152"/>
      <c r="U307" s="152"/>
      <c r="V307" s="152"/>
      <c r="W307" s="152"/>
      <c r="X307" s="152"/>
      <c r="Y307" s="152"/>
      <c r="Z307" s="152"/>
    </row>
    <row r="308" ht="12.75" customHeight="1">
      <c r="A308" s="152"/>
      <c r="B308" s="232"/>
      <c r="C308" s="152"/>
      <c r="D308" s="152"/>
      <c r="E308" s="152"/>
      <c r="F308" s="152"/>
      <c r="G308" s="152"/>
      <c r="H308" s="152"/>
      <c r="I308" s="152"/>
      <c r="J308" s="152"/>
      <c r="K308" s="152"/>
      <c r="L308" s="152"/>
      <c r="M308" s="152"/>
      <c r="N308" s="152"/>
      <c r="O308" s="152"/>
      <c r="P308" s="152"/>
      <c r="Q308" s="152"/>
      <c r="R308" s="152"/>
      <c r="S308" s="152"/>
      <c r="T308" s="152"/>
      <c r="U308" s="152"/>
      <c r="V308" s="152"/>
      <c r="W308" s="152"/>
      <c r="X308" s="152"/>
      <c r="Y308" s="152"/>
      <c r="Z308" s="152"/>
    </row>
    <row r="309" ht="12.75" customHeight="1">
      <c r="A309" s="152"/>
      <c r="B309" s="232"/>
      <c r="C309" s="152"/>
      <c r="D309" s="152"/>
      <c r="E309" s="152"/>
      <c r="F309" s="152"/>
      <c r="G309" s="152"/>
      <c r="H309" s="152"/>
      <c r="I309" s="152"/>
      <c r="J309" s="152"/>
      <c r="K309" s="152"/>
      <c r="L309" s="152"/>
      <c r="M309" s="152"/>
      <c r="N309" s="152"/>
      <c r="O309" s="152"/>
      <c r="P309" s="152"/>
      <c r="Q309" s="152"/>
      <c r="R309" s="152"/>
      <c r="S309" s="152"/>
      <c r="T309" s="152"/>
      <c r="U309" s="152"/>
      <c r="V309" s="152"/>
      <c r="W309" s="152"/>
      <c r="X309" s="152"/>
      <c r="Y309" s="152"/>
      <c r="Z309" s="152"/>
    </row>
    <row r="310" ht="12.75" customHeight="1">
      <c r="A310" s="152"/>
      <c r="B310" s="232"/>
      <c r="C310" s="152"/>
      <c r="D310" s="152"/>
      <c r="E310" s="152"/>
      <c r="F310" s="152"/>
      <c r="G310" s="152"/>
      <c r="H310" s="152"/>
      <c r="I310" s="152"/>
      <c r="J310" s="152"/>
      <c r="K310" s="152"/>
      <c r="L310" s="152"/>
      <c r="M310" s="152"/>
      <c r="N310" s="152"/>
      <c r="O310" s="152"/>
      <c r="P310" s="152"/>
      <c r="Q310" s="152"/>
      <c r="R310" s="152"/>
      <c r="S310" s="152"/>
      <c r="T310" s="152"/>
      <c r="U310" s="152"/>
      <c r="V310" s="152"/>
      <c r="W310" s="152"/>
      <c r="X310" s="152"/>
      <c r="Y310" s="152"/>
      <c r="Z310" s="152"/>
    </row>
    <row r="311" ht="12.75" customHeight="1">
      <c r="A311" s="152"/>
      <c r="B311" s="232"/>
      <c r="C311" s="152"/>
      <c r="D311" s="152"/>
      <c r="E311" s="152"/>
      <c r="F311" s="152"/>
      <c r="G311" s="152"/>
      <c r="H311" s="152"/>
      <c r="I311" s="152"/>
      <c r="J311" s="152"/>
      <c r="K311" s="152"/>
      <c r="L311" s="152"/>
      <c r="M311" s="152"/>
      <c r="N311" s="152"/>
      <c r="O311" s="152"/>
      <c r="P311" s="152"/>
      <c r="Q311" s="152"/>
      <c r="R311" s="152"/>
      <c r="S311" s="152"/>
      <c r="T311" s="152"/>
      <c r="U311" s="152"/>
      <c r="V311" s="152"/>
      <c r="W311" s="152"/>
      <c r="X311" s="152"/>
      <c r="Y311" s="152"/>
      <c r="Z311" s="152"/>
    </row>
    <row r="312" ht="12.75" customHeight="1">
      <c r="A312" s="152"/>
      <c r="B312" s="232"/>
      <c r="C312" s="152"/>
      <c r="D312" s="152"/>
      <c r="E312" s="152"/>
      <c r="F312" s="152"/>
      <c r="G312" s="152"/>
      <c r="H312" s="152"/>
      <c r="I312" s="152"/>
      <c r="J312" s="152"/>
      <c r="K312" s="152"/>
      <c r="L312" s="152"/>
      <c r="M312" s="152"/>
      <c r="N312" s="152"/>
      <c r="O312" s="152"/>
      <c r="P312" s="152"/>
      <c r="Q312" s="152"/>
      <c r="R312" s="152"/>
      <c r="S312" s="152"/>
      <c r="T312" s="152"/>
      <c r="U312" s="152"/>
      <c r="V312" s="152"/>
      <c r="W312" s="152"/>
      <c r="X312" s="152"/>
      <c r="Y312" s="152"/>
      <c r="Z312" s="152"/>
    </row>
    <row r="313" ht="12.75" customHeight="1">
      <c r="A313" s="152"/>
      <c r="B313" s="232"/>
      <c r="C313" s="152"/>
      <c r="D313" s="152"/>
      <c r="E313" s="152"/>
      <c r="F313" s="152"/>
      <c r="G313" s="152"/>
      <c r="H313" s="152"/>
      <c r="I313" s="152"/>
      <c r="J313" s="152"/>
      <c r="K313" s="152"/>
      <c r="L313" s="152"/>
      <c r="M313" s="152"/>
      <c r="N313" s="152"/>
      <c r="O313" s="152"/>
      <c r="P313" s="152"/>
      <c r="Q313" s="152"/>
      <c r="R313" s="152"/>
      <c r="S313" s="152"/>
      <c r="T313" s="152"/>
      <c r="U313" s="152"/>
      <c r="V313" s="152"/>
      <c r="W313" s="152"/>
      <c r="X313" s="152"/>
      <c r="Y313" s="152"/>
      <c r="Z313" s="152"/>
    </row>
    <row r="314" ht="12.75" customHeight="1">
      <c r="A314" s="152"/>
      <c r="B314" s="232"/>
      <c r="C314" s="152"/>
      <c r="D314" s="152"/>
      <c r="E314" s="152"/>
      <c r="F314" s="152"/>
      <c r="G314" s="152"/>
      <c r="H314" s="152"/>
      <c r="I314" s="152"/>
      <c r="J314" s="152"/>
      <c r="K314" s="152"/>
      <c r="L314" s="152"/>
      <c r="M314" s="152"/>
      <c r="N314" s="152"/>
      <c r="O314" s="152"/>
      <c r="P314" s="152"/>
      <c r="Q314" s="152"/>
      <c r="R314" s="152"/>
      <c r="S314" s="152"/>
      <c r="T314" s="152"/>
      <c r="U314" s="152"/>
      <c r="V314" s="152"/>
      <c r="W314" s="152"/>
      <c r="X314" s="152"/>
      <c r="Y314" s="152"/>
      <c r="Z314" s="152"/>
    </row>
    <row r="315" ht="12.75" customHeight="1">
      <c r="A315" s="152"/>
      <c r="B315" s="232"/>
      <c r="C315" s="152"/>
      <c r="D315" s="152"/>
      <c r="E315" s="152"/>
      <c r="F315" s="152"/>
      <c r="G315" s="152"/>
      <c r="H315" s="152"/>
      <c r="I315" s="152"/>
      <c r="J315" s="152"/>
      <c r="K315" s="152"/>
      <c r="L315" s="152"/>
      <c r="M315" s="152"/>
      <c r="N315" s="152"/>
      <c r="O315" s="152"/>
      <c r="P315" s="152"/>
      <c r="Q315" s="152"/>
      <c r="R315" s="152"/>
      <c r="S315" s="152"/>
      <c r="T315" s="152"/>
      <c r="U315" s="152"/>
      <c r="V315" s="152"/>
      <c r="W315" s="152"/>
      <c r="X315" s="152"/>
      <c r="Y315" s="152"/>
      <c r="Z315" s="152"/>
    </row>
    <row r="316" ht="12.75" customHeight="1">
      <c r="A316" s="152"/>
      <c r="B316" s="232"/>
      <c r="C316" s="152"/>
      <c r="D316" s="152"/>
      <c r="E316" s="152"/>
      <c r="F316" s="152"/>
      <c r="G316" s="152"/>
      <c r="H316" s="152"/>
      <c r="I316" s="152"/>
      <c r="J316" s="152"/>
      <c r="K316" s="152"/>
      <c r="L316" s="152"/>
      <c r="M316" s="152"/>
      <c r="N316" s="152"/>
      <c r="O316" s="152"/>
      <c r="P316" s="152"/>
      <c r="Q316" s="152"/>
      <c r="R316" s="152"/>
      <c r="S316" s="152"/>
      <c r="T316" s="152"/>
      <c r="U316" s="152"/>
      <c r="V316" s="152"/>
      <c r="W316" s="152"/>
      <c r="X316" s="152"/>
      <c r="Y316" s="152"/>
      <c r="Z316" s="152"/>
    </row>
    <row r="317" ht="12.75" customHeight="1">
      <c r="A317" s="152"/>
      <c r="B317" s="232"/>
      <c r="C317" s="152"/>
      <c r="D317" s="152"/>
      <c r="E317" s="152"/>
      <c r="F317" s="152"/>
      <c r="G317" s="152"/>
      <c r="H317" s="152"/>
      <c r="I317" s="152"/>
      <c r="J317" s="152"/>
      <c r="K317" s="152"/>
      <c r="L317" s="152"/>
      <c r="M317" s="152"/>
      <c r="N317" s="152"/>
      <c r="O317" s="152"/>
      <c r="P317" s="152"/>
      <c r="Q317" s="152"/>
      <c r="R317" s="152"/>
      <c r="S317" s="152"/>
      <c r="T317" s="152"/>
      <c r="U317" s="152"/>
      <c r="V317" s="152"/>
      <c r="W317" s="152"/>
      <c r="X317" s="152"/>
      <c r="Y317" s="152"/>
      <c r="Z317" s="152"/>
    </row>
    <row r="318" ht="12.75" customHeight="1">
      <c r="A318" s="152"/>
      <c r="B318" s="232"/>
      <c r="C318" s="152"/>
      <c r="D318" s="152"/>
      <c r="E318" s="152"/>
      <c r="F318" s="152"/>
      <c r="G318" s="152"/>
      <c r="H318" s="152"/>
      <c r="I318" s="152"/>
      <c r="J318" s="152"/>
      <c r="K318" s="152"/>
      <c r="L318" s="152"/>
      <c r="M318" s="152"/>
      <c r="N318" s="152"/>
      <c r="O318" s="152"/>
      <c r="P318" s="152"/>
      <c r="Q318" s="152"/>
      <c r="R318" s="152"/>
      <c r="S318" s="152"/>
      <c r="T318" s="152"/>
      <c r="U318" s="152"/>
      <c r="V318" s="152"/>
      <c r="W318" s="152"/>
      <c r="X318" s="152"/>
      <c r="Y318" s="152"/>
      <c r="Z318" s="152"/>
    </row>
    <row r="319" ht="12.75" customHeight="1">
      <c r="A319" s="152"/>
      <c r="B319" s="232"/>
      <c r="C319" s="152"/>
      <c r="D319" s="152"/>
      <c r="E319" s="152"/>
      <c r="F319" s="152"/>
      <c r="G319" s="152"/>
      <c r="H319" s="152"/>
      <c r="I319" s="152"/>
      <c r="J319" s="152"/>
      <c r="K319" s="152"/>
      <c r="L319" s="152"/>
      <c r="M319" s="152"/>
      <c r="N319" s="152"/>
      <c r="O319" s="152"/>
      <c r="P319" s="152"/>
      <c r="Q319" s="152"/>
      <c r="R319" s="152"/>
      <c r="S319" s="152"/>
      <c r="T319" s="152"/>
      <c r="U319" s="152"/>
      <c r="V319" s="152"/>
      <c r="W319" s="152"/>
      <c r="X319" s="152"/>
      <c r="Y319" s="152"/>
      <c r="Z319" s="152"/>
    </row>
    <row r="320" ht="12.75" customHeight="1">
      <c r="A320" s="152"/>
      <c r="B320" s="232"/>
      <c r="C320" s="152"/>
      <c r="D320" s="152"/>
      <c r="E320" s="152"/>
      <c r="F320" s="152"/>
      <c r="G320" s="152"/>
      <c r="H320" s="152"/>
      <c r="I320" s="152"/>
      <c r="J320" s="152"/>
      <c r="K320" s="152"/>
      <c r="L320" s="152"/>
      <c r="M320" s="152"/>
      <c r="N320" s="152"/>
      <c r="O320" s="152"/>
      <c r="P320" s="152"/>
      <c r="Q320" s="152"/>
      <c r="R320" s="152"/>
      <c r="S320" s="152"/>
      <c r="T320" s="152"/>
      <c r="U320" s="152"/>
      <c r="V320" s="152"/>
      <c r="W320" s="152"/>
      <c r="X320" s="152"/>
      <c r="Y320" s="152"/>
      <c r="Z320" s="152"/>
    </row>
    <row r="321" ht="12.75" customHeight="1">
      <c r="A321" s="152"/>
      <c r="B321" s="232"/>
      <c r="C321" s="152"/>
      <c r="D321" s="152"/>
      <c r="E321" s="152"/>
      <c r="F321" s="152"/>
      <c r="G321" s="152"/>
      <c r="H321" s="152"/>
      <c r="I321" s="152"/>
      <c r="J321" s="152"/>
      <c r="K321" s="152"/>
      <c r="L321" s="152"/>
      <c r="M321" s="152"/>
      <c r="N321" s="152"/>
      <c r="O321" s="152"/>
      <c r="P321" s="152"/>
      <c r="Q321" s="152"/>
      <c r="R321" s="152"/>
      <c r="S321" s="152"/>
      <c r="T321" s="152"/>
      <c r="U321" s="152"/>
      <c r="V321" s="152"/>
      <c r="W321" s="152"/>
      <c r="X321" s="152"/>
      <c r="Y321" s="152"/>
      <c r="Z321" s="152"/>
    </row>
    <row r="322" ht="12.75" customHeight="1">
      <c r="A322" s="152"/>
      <c r="B322" s="232"/>
      <c r="C322" s="152"/>
      <c r="D322" s="152"/>
      <c r="E322" s="152"/>
      <c r="F322" s="152"/>
      <c r="G322" s="152"/>
      <c r="H322" s="152"/>
      <c r="I322" s="152"/>
      <c r="J322" s="152"/>
      <c r="K322" s="152"/>
      <c r="L322" s="152"/>
      <c r="M322" s="152"/>
      <c r="N322" s="152"/>
      <c r="O322" s="152"/>
      <c r="P322" s="152"/>
      <c r="Q322" s="152"/>
      <c r="R322" s="152"/>
      <c r="S322" s="152"/>
      <c r="T322" s="152"/>
      <c r="U322" s="152"/>
      <c r="V322" s="152"/>
      <c r="W322" s="152"/>
      <c r="X322" s="152"/>
      <c r="Y322" s="152"/>
      <c r="Z322" s="152"/>
    </row>
    <row r="323" ht="12.75" customHeight="1">
      <c r="A323" s="152"/>
      <c r="B323" s="232"/>
      <c r="C323" s="152"/>
      <c r="D323" s="152"/>
      <c r="E323" s="152"/>
      <c r="F323" s="152"/>
      <c r="G323" s="152"/>
      <c r="H323" s="152"/>
      <c r="I323" s="152"/>
      <c r="J323" s="152"/>
      <c r="K323" s="152"/>
      <c r="L323" s="152"/>
      <c r="M323" s="152"/>
      <c r="N323" s="152"/>
      <c r="O323" s="152"/>
      <c r="P323" s="152"/>
      <c r="Q323" s="152"/>
      <c r="R323" s="152"/>
      <c r="S323" s="152"/>
      <c r="T323" s="152"/>
      <c r="U323" s="152"/>
      <c r="V323" s="152"/>
      <c r="W323" s="152"/>
      <c r="X323" s="152"/>
      <c r="Y323" s="152"/>
      <c r="Z323" s="152"/>
    </row>
    <row r="324" ht="12.75" customHeight="1">
      <c r="A324" s="152"/>
      <c r="B324" s="232"/>
      <c r="C324" s="152"/>
      <c r="D324" s="152"/>
      <c r="E324" s="152"/>
      <c r="F324" s="152"/>
      <c r="G324" s="152"/>
      <c r="H324" s="152"/>
      <c r="I324" s="152"/>
      <c r="J324" s="152"/>
      <c r="K324" s="152"/>
      <c r="L324" s="152"/>
      <c r="M324" s="152"/>
      <c r="N324" s="152"/>
      <c r="O324" s="152"/>
      <c r="P324" s="152"/>
      <c r="Q324" s="152"/>
      <c r="R324" s="152"/>
      <c r="S324" s="152"/>
      <c r="T324" s="152"/>
      <c r="U324" s="152"/>
      <c r="V324" s="152"/>
      <c r="W324" s="152"/>
      <c r="X324" s="152"/>
      <c r="Y324" s="152"/>
      <c r="Z324" s="152"/>
    </row>
    <row r="325" ht="12.75" customHeight="1">
      <c r="A325" s="152"/>
      <c r="B325" s="232"/>
      <c r="C325" s="152"/>
      <c r="D325" s="152"/>
      <c r="E325" s="152"/>
      <c r="F325" s="152"/>
      <c r="G325" s="152"/>
      <c r="H325" s="152"/>
      <c r="I325" s="152"/>
      <c r="J325" s="152"/>
      <c r="K325" s="152"/>
      <c r="L325" s="152"/>
      <c r="M325" s="152"/>
      <c r="N325" s="152"/>
      <c r="O325" s="152"/>
      <c r="P325" s="152"/>
      <c r="Q325" s="152"/>
      <c r="R325" s="152"/>
      <c r="S325" s="152"/>
      <c r="T325" s="152"/>
      <c r="U325" s="152"/>
      <c r="V325" s="152"/>
      <c r="W325" s="152"/>
      <c r="X325" s="152"/>
      <c r="Y325" s="152"/>
      <c r="Z325" s="152"/>
    </row>
    <row r="326" ht="12.75" customHeight="1">
      <c r="A326" s="152"/>
      <c r="B326" s="232"/>
      <c r="C326" s="152"/>
      <c r="D326" s="152"/>
      <c r="E326" s="152"/>
      <c r="F326" s="152"/>
      <c r="G326" s="152"/>
      <c r="H326" s="152"/>
      <c r="I326" s="152"/>
      <c r="J326" s="152"/>
      <c r="K326" s="152"/>
      <c r="L326" s="152"/>
      <c r="M326" s="152"/>
      <c r="N326" s="152"/>
      <c r="O326" s="152"/>
      <c r="P326" s="152"/>
      <c r="Q326" s="152"/>
      <c r="R326" s="152"/>
      <c r="S326" s="152"/>
      <c r="T326" s="152"/>
      <c r="U326" s="152"/>
      <c r="V326" s="152"/>
      <c r="W326" s="152"/>
      <c r="X326" s="152"/>
      <c r="Y326" s="152"/>
      <c r="Z326" s="152"/>
    </row>
    <row r="327" ht="12.75" customHeight="1">
      <c r="A327" s="152"/>
      <c r="B327" s="232"/>
      <c r="C327" s="152"/>
      <c r="D327" s="152"/>
      <c r="E327" s="152"/>
      <c r="F327" s="152"/>
      <c r="G327" s="152"/>
      <c r="H327" s="152"/>
      <c r="I327" s="152"/>
      <c r="J327" s="152"/>
      <c r="K327" s="152"/>
      <c r="L327" s="152"/>
      <c r="M327" s="152"/>
      <c r="N327" s="152"/>
      <c r="O327" s="152"/>
      <c r="P327" s="152"/>
      <c r="Q327" s="152"/>
      <c r="R327" s="152"/>
      <c r="S327" s="152"/>
      <c r="T327" s="152"/>
      <c r="U327" s="152"/>
      <c r="V327" s="152"/>
      <c r="W327" s="152"/>
      <c r="X327" s="152"/>
      <c r="Y327" s="152"/>
      <c r="Z327" s="152"/>
    </row>
    <row r="328" ht="12.75" customHeight="1">
      <c r="A328" s="152"/>
      <c r="B328" s="232"/>
      <c r="C328" s="152"/>
      <c r="D328" s="152"/>
      <c r="E328" s="152"/>
      <c r="F328" s="152"/>
      <c r="G328" s="152"/>
      <c r="H328" s="152"/>
      <c r="I328" s="152"/>
      <c r="J328" s="152"/>
      <c r="K328" s="152"/>
      <c r="L328" s="152"/>
      <c r="M328" s="152"/>
      <c r="N328" s="152"/>
      <c r="O328" s="152"/>
      <c r="P328" s="152"/>
      <c r="Q328" s="152"/>
      <c r="R328" s="152"/>
      <c r="S328" s="152"/>
      <c r="T328" s="152"/>
      <c r="U328" s="152"/>
      <c r="V328" s="152"/>
      <c r="W328" s="152"/>
      <c r="X328" s="152"/>
      <c r="Y328" s="152"/>
      <c r="Z328" s="152"/>
    </row>
    <row r="329" ht="12.75" customHeight="1">
      <c r="A329" s="152"/>
      <c r="B329" s="232"/>
      <c r="C329" s="152"/>
      <c r="D329" s="152"/>
      <c r="E329" s="152"/>
      <c r="F329" s="152"/>
      <c r="G329" s="152"/>
      <c r="H329" s="152"/>
      <c r="I329" s="152"/>
      <c r="J329" s="152"/>
      <c r="K329" s="152"/>
      <c r="L329" s="152"/>
      <c r="M329" s="152"/>
      <c r="N329" s="152"/>
      <c r="O329" s="152"/>
      <c r="P329" s="152"/>
      <c r="Q329" s="152"/>
      <c r="R329" s="152"/>
      <c r="S329" s="152"/>
      <c r="T329" s="152"/>
      <c r="U329" s="152"/>
      <c r="V329" s="152"/>
      <c r="W329" s="152"/>
      <c r="X329" s="152"/>
      <c r="Y329" s="152"/>
      <c r="Z329" s="152"/>
    </row>
    <row r="330" ht="12.75" customHeight="1">
      <c r="A330" s="152"/>
      <c r="B330" s="232"/>
      <c r="C330" s="152"/>
      <c r="D330" s="152"/>
      <c r="E330" s="152"/>
      <c r="F330" s="152"/>
      <c r="G330" s="152"/>
      <c r="H330" s="152"/>
      <c r="I330" s="152"/>
      <c r="J330" s="152"/>
      <c r="K330" s="152"/>
      <c r="L330" s="152"/>
      <c r="M330" s="152"/>
      <c r="N330" s="152"/>
      <c r="O330" s="152"/>
      <c r="P330" s="152"/>
      <c r="Q330" s="152"/>
      <c r="R330" s="152"/>
      <c r="S330" s="152"/>
      <c r="T330" s="152"/>
      <c r="U330" s="152"/>
      <c r="V330" s="152"/>
      <c r="W330" s="152"/>
      <c r="X330" s="152"/>
      <c r="Y330" s="152"/>
      <c r="Z330" s="152"/>
    </row>
    <row r="331" ht="12.75" customHeight="1">
      <c r="A331" s="152"/>
      <c r="B331" s="232"/>
      <c r="C331" s="152"/>
      <c r="D331" s="152"/>
      <c r="E331" s="152"/>
      <c r="F331" s="152"/>
      <c r="G331" s="152"/>
      <c r="H331" s="152"/>
      <c r="I331" s="152"/>
      <c r="J331" s="152"/>
      <c r="K331" s="152"/>
      <c r="L331" s="152"/>
      <c r="M331" s="152"/>
      <c r="N331" s="152"/>
      <c r="O331" s="152"/>
      <c r="P331" s="152"/>
      <c r="Q331" s="152"/>
      <c r="R331" s="152"/>
      <c r="S331" s="152"/>
      <c r="T331" s="152"/>
      <c r="U331" s="152"/>
      <c r="V331" s="152"/>
      <c r="W331" s="152"/>
      <c r="X331" s="152"/>
      <c r="Y331" s="152"/>
      <c r="Z331" s="152"/>
    </row>
    <row r="332" ht="12.75" customHeight="1">
      <c r="A332" s="152"/>
      <c r="B332" s="232"/>
      <c r="C332" s="152"/>
      <c r="D332" s="152"/>
      <c r="E332" s="152"/>
      <c r="F332" s="152"/>
      <c r="G332" s="152"/>
      <c r="H332" s="152"/>
      <c r="I332" s="152"/>
      <c r="J332" s="152"/>
      <c r="K332" s="152"/>
      <c r="L332" s="152"/>
      <c r="M332" s="152"/>
      <c r="N332" s="152"/>
      <c r="O332" s="152"/>
      <c r="P332" s="152"/>
      <c r="Q332" s="152"/>
      <c r="R332" s="152"/>
      <c r="S332" s="152"/>
      <c r="T332" s="152"/>
      <c r="U332" s="152"/>
      <c r="V332" s="152"/>
      <c r="W332" s="152"/>
      <c r="X332" s="152"/>
      <c r="Y332" s="152"/>
      <c r="Z332" s="152"/>
    </row>
    <row r="333" ht="12.75" customHeight="1">
      <c r="A333" s="152"/>
      <c r="B333" s="232"/>
      <c r="C333" s="152"/>
      <c r="D333" s="152"/>
      <c r="E333" s="152"/>
      <c r="F333" s="152"/>
      <c r="G333" s="152"/>
      <c r="H333" s="152"/>
      <c r="I333" s="152"/>
      <c r="J333" s="152"/>
      <c r="K333" s="152"/>
      <c r="L333" s="152"/>
      <c r="M333" s="152"/>
      <c r="N333" s="152"/>
      <c r="O333" s="152"/>
      <c r="P333" s="152"/>
      <c r="Q333" s="152"/>
      <c r="R333" s="152"/>
      <c r="S333" s="152"/>
      <c r="T333" s="152"/>
      <c r="U333" s="152"/>
      <c r="V333" s="152"/>
      <c r="W333" s="152"/>
      <c r="X333" s="152"/>
      <c r="Y333" s="152"/>
      <c r="Z333" s="152"/>
    </row>
    <row r="334" ht="12.75" customHeight="1">
      <c r="A334" s="152"/>
      <c r="B334" s="232"/>
      <c r="C334" s="152"/>
      <c r="D334" s="152"/>
      <c r="E334" s="152"/>
      <c r="F334" s="152"/>
      <c r="G334" s="152"/>
      <c r="H334" s="152"/>
      <c r="I334" s="152"/>
      <c r="J334" s="152"/>
      <c r="K334" s="152"/>
      <c r="L334" s="152"/>
      <c r="M334" s="152"/>
      <c r="N334" s="152"/>
      <c r="O334" s="152"/>
      <c r="P334" s="152"/>
      <c r="Q334" s="152"/>
      <c r="R334" s="152"/>
      <c r="S334" s="152"/>
      <c r="T334" s="152"/>
      <c r="U334" s="152"/>
      <c r="V334" s="152"/>
      <c r="W334" s="152"/>
      <c r="X334" s="152"/>
      <c r="Y334" s="152"/>
      <c r="Z334" s="152"/>
    </row>
    <row r="335" ht="12.75" customHeight="1">
      <c r="A335" s="152"/>
      <c r="B335" s="232"/>
      <c r="C335" s="152"/>
      <c r="D335" s="152"/>
      <c r="E335" s="152"/>
      <c r="F335" s="152"/>
      <c r="G335" s="152"/>
      <c r="H335" s="152"/>
      <c r="I335" s="152"/>
      <c r="J335" s="152"/>
      <c r="K335" s="152"/>
      <c r="L335" s="152"/>
      <c r="M335" s="152"/>
      <c r="N335" s="152"/>
      <c r="O335" s="152"/>
      <c r="P335" s="152"/>
      <c r="Q335" s="152"/>
      <c r="R335" s="152"/>
      <c r="S335" s="152"/>
      <c r="T335" s="152"/>
      <c r="U335" s="152"/>
      <c r="V335" s="152"/>
      <c r="W335" s="152"/>
      <c r="X335" s="152"/>
      <c r="Y335" s="152"/>
      <c r="Z335" s="152"/>
    </row>
    <row r="336" ht="12.75" customHeight="1">
      <c r="A336" s="152"/>
      <c r="B336" s="232"/>
      <c r="C336" s="152"/>
      <c r="D336" s="152"/>
      <c r="E336" s="152"/>
      <c r="F336" s="152"/>
      <c r="G336" s="152"/>
      <c r="H336" s="152"/>
      <c r="I336" s="152"/>
      <c r="J336" s="152"/>
      <c r="K336" s="152"/>
      <c r="L336" s="152"/>
      <c r="M336" s="152"/>
      <c r="N336" s="152"/>
      <c r="O336" s="152"/>
      <c r="P336" s="152"/>
      <c r="Q336" s="152"/>
      <c r="R336" s="152"/>
      <c r="S336" s="152"/>
      <c r="T336" s="152"/>
      <c r="U336" s="152"/>
      <c r="V336" s="152"/>
      <c r="W336" s="152"/>
      <c r="X336" s="152"/>
      <c r="Y336" s="152"/>
      <c r="Z336" s="152"/>
    </row>
    <row r="337" ht="12.75" customHeight="1">
      <c r="A337" s="152"/>
      <c r="B337" s="232"/>
      <c r="C337" s="152"/>
      <c r="D337" s="152"/>
      <c r="E337" s="152"/>
      <c r="F337" s="152"/>
      <c r="G337" s="152"/>
      <c r="H337" s="152"/>
      <c r="I337" s="152"/>
      <c r="J337" s="152"/>
      <c r="K337" s="152"/>
      <c r="L337" s="152"/>
      <c r="M337" s="152"/>
      <c r="N337" s="152"/>
      <c r="O337" s="152"/>
      <c r="P337" s="152"/>
      <c r="Q337" s="152"/>
      <c r="R337" s="152"/>
      <c r="S337" s="152"/>
      <c r="T337" s="152"/>
      <c r="U337" s="152"/>
      <c r="V337" s="152"/>
      <c r="W337" s="152"/>
      <c r="X337" s="152"/>
      <c r="Y337" s="152"/>
      <c r="Z337" s="152"/>
    </row>
    <row r="338" ht="12.75" customHeight="1">
      <c r="A338" s="152"/>
      <c r="B338" s="232"/>
      <c r="C338" s="152"/>
      <c r="D338" s="152"/>
      <c r="E338" s="152"/>
      <c r="F338" s="152"/>
      <c r="G338" s="152"/>
      <c r="H338" s="152"/>
      <c r="I338" s="152"/>
      <c r="J338" s="152"/>
      <c r="K338" s="152"/>
      <c r="L338" s="152"/>
      <c r="M338" s="152"/>
      <c r="N338" s="152"/>
      <c r="O338" s="152"/>
      <c r="P338" s="152"/>
      <c r="Q338" s="152"/>
      <c r="R338" s="152"/>
      <c r="S338" s="152"/>
      <c r="T338" s="152"/>
      <c r="U338" s="152"/>
      <c r="V338" s="152"/>
      <c r="W338" s="152"/>
      <c r="X338" s="152"/>
      <c r="Y338" s="152"/>
      <c r="Z338" s="152"/>
    </row>
    <row r="339" ht="12.75" customHeight="1">
      <c r="A339" s="152"/>
      <c r="B339" s="232"/>
      <c r="C339" s="152"/>
      <c r="D339" s="152"/>
      <c r="E339" s="152"/>
      <c r="F339" s="152"/>
      <c r="G339" s="152"/>
      <c r="H339" s="152"/>
      <c r="I339" s="152"/>
      <c r="J339" s="152"/>
      <c r="K339" s="152"/>
      <c r="L339" s="152"/>
      <c r="M339" s="152"/>
      <c r="N339" s="152"/>
      <c r="O339" s="152"/>
      <c r="P339" s="152"/>
      <c r="Q339" s="152"/>
      <c r="R339" s="152"/>
      <c r="S339" s="152"/>
      <c r="T339" s="152"/>
      <c r="U339" s="152"/>
      <c r="V339" s="152"/>
      <c r="W339" s="152"/>
      <c r="X339" s="152"/>
      <c r="Y339" s="152"/>
      <c r="Z339" s="152"/>
    </row>
    <row r="340" ht="12.75" customHeight="1">
      <c r="A340" s="152"/>
      <c r="B340" s="232"/>
      <c r="C340" s="152"/>
      <c r="D340" s="152"/>
      <c r="E340" s="152"/>
      <c r="F340" s="152"/>
      <c r="G340" s="152"/>
      <c r="H340" s="152"/>
      <c r="I340" s="152"/>
      <c r="J340" s="152"/>
      <c r="K340" s="152"/>
      <c r="L340" s="152"/>
      <c r="M340" s="152"/>
      <c r="N340" s="152"/>
      <c r="O340" s="152"/>
      <c r="P340" s="152"/>
      <c r="Q340" s="152"/>
      <c r="R340" s="152"/>
      <c r="S340" s="152"/>
      <c r="T340" s="152"/>
      <c r="U340" s="152"/>
      <c r="V340" s="152"/>
      <c r="W340" s="152"/>
      <c r="X340" s="152"/>
      <c r="Y340" s="152"/>
      <c r="Z340" s="152"/>
    </row>
    <row r="341" ht="12.75" customHeight="1">
      <c r="A341" s="152"/>
      <c r="B341" s="232"/>
      <c r="C341" s="152"/>
      <c r="D341" s="152"/>
      <c r="E341" s="152"/>
      <c r="F341" s="152"/>
      <c r="G341" s="152"/>
      <c r="H341" s="152"/>
      <c r="I341" s="152"/>
      <c r="J341" s="152"/>
      <c r="K341" s="152"/>
      <c r="L341" s="152"/>
      <c r="M341" s="152"/>
      <c r="N341" s="152"/>
      <c r="O341" s="152"/>
      <c r="P341" s="152"/>
      <c r="Q341" s="152"/>
      <c r="R341" s="152"/>
      <c r="S341" s="152"/>
      <c r="T341" s="152"/>
      <c r="U341" s="152"/>
      <c r="V341" s="152"/>
      <c r="W341" s="152"/>
      <c r="X341" s="152"/>
      <c r="Y341" s="152"/>
      <c r="Z341" s="152"/>
    </row>
    <row r="342" ht="12.75" customHeight="1">
      <c r="A342" s="152"/>
      <c r="B342" s="232"/>
      <c r="C342" s="152"/>
      <c r="D342" s="152"/>
      <c r="E342" s="152"/>
      <c r="F342" s="152"/>
      <c r="G342" s="152"/>
      <c r="H342" s="152"/>
      <c r="I342" s="152"/>
      <c r="J342" s="152"/>
      <c r="K342" s="152"/>
      <c r="L342" s="152"/>
      <c r="M342" s="152"/>
      <c r="N342" s="152"/>
      <c r="O342" s="152"/>
      <c r="P342" s="152"/>
      <c r="Q342" s="152"/>
      <c r="R342" s="152"/>
      <c r="S342" s="152"/>
      <c r="T342" s="152"/>
      <c r="U342" s="152"/>
      <c r="V342" s="152"/>
      <c r="W342" s="152"/>
      <c r="X342" s="152"/>
      <c r="Y342" s="152"/>
      <c r="Z342" s="152"/>
    </row>
    <row r="343" ht="12.75" customHeight="1">
      <c r="A343" s="152"/>
      <c r="B343" s="232"/>
      <c r="C343" s="152"/>
      <c r="D343" s="152"/>
      <c r="E343" s="152"/>
      <c r="F343" s="152"/>
      <c r="G343" s="152"/>
      <c r="H343" s="152"/>
      <c r="I343" s="152"/>
      <c r="J343" s="152"/>
      <c r="K343" s="152"/>
      <c r="L343" s="152"/>
      <c r="M343" s="152"/>
      <c r="N343" s="152"/>
      <c r="O343" s="152"/>
      <c r="P343" s="152"/>
      <c r="Q343" s="152"/>
      <c r="R343" s="152"/>
      <c r="S343" s="152"/>
      <c r="T343" s="152"/>
      <c r="U343" s="152"/>
      <c r="V343" s="152"/>
      <c r="W343" s="152"/>
      <c r="X343" s="152"/>
      <c r="Y343" s="152"/>
      <c r="Z343" s="152"/>
    </row>
    <row r="344" ht="12.75" customHeight="1">
      <c r="A344" s="152"/>
      <c r="B344" s="232"/>
      <c r="C344" s="152"/>
      <c r="D344" s="152"/>
      <c r="E344" s="152"/>
      <c r="F344" s="152"/>
      <c r="G344" s="152"/>
      <c r="H344" s="152"/>
      <c r="I344" s="152"/>
      <c r="J344" s="152"/>
      <c r="K344" s="152"/>
      <c r="L344" s="152"/>
      <c r="M344" s="152"/>
      <c r="N344" s="152"/>
      <c r="O344" s="152"/>
      <c r="P344" s="152"/>
      <c r="Q344" s="152"/>
      <c r="R344" s="152"/>
      <c r="S344" s="152"/>
      <c r="T344" s="152"/>
      <c r="U344" s="152"/>
      <c r="V344" s="152"/>
      <c r="W344" s="152"/>
      <c r="X344" s="152"/>
      <c r="Y344" s="152"/>
      <c r="Z344" s="152"/>
    </row>
    <row r="345" ht="12.75" customHeight="1">
      <c r="A345" s="152"/>
      <c r="B345" s="232"/>
      <c r="C345" s="152"/>
      <c r="D345" s="152"/>
      <c r="E345" s="152"/>
      <c r="F345" s="152"/>
      <c r="G345" s="152"/>
      <c r="H345" s="152"/>
      <c r="I345" s="152"/>
      <c r="J345" s="152"/>
      <c r="K345" s="152"/>
      <c r="L345" s="152"/>
      <c r="M345" s="152"/>
      <c r="N345" s="152"/>
      <c r="O345" s="152"/>
      <c r="P345" s="152"/>
      <c r="Q345" s="152"/>
      <c r="R345" s="152"/>
      <c r="S345" s="152"/>
      <c r="T345" s="152"/>
      <c r="U345" s="152"/>
      <c r="V345" s="152"/>
      <c r="W345" s="152"/>
      <c r="X345" s="152"/>
      <c r="Y345" s="152"/>
      <c r="Z345" s="152"/>
    </row>
    <row r="346" ht="12.75" customHeight="1">
      <c r="A346" s="152"/>
      <c r="B346" s="232"/>
      <c r="C346" s="152"/>
      <c r="D346" s="152"/>
      <c r="E346" s="152"/>
      <c r="F346" s="152"/>
      <c r="G346" s="152"/>
      <c r="H346" s="152"/>
      <c r="I346" s="152"/>
      <c r="J346" s="152"/>
      <c r="K346" s="152"/>
      <c r="L346" s="152"/>
      <c r="M346" s="152"/>
      <c r="N346" s="152"/>
      <c r="O346" s="152"/>
      <c r="P346" s="152"/>
      <c r="Q346" s="152"/>
      <c r="R346" s="152"/>
      <c r="S346" s="152"/>
      <c r="T346" s="152"/>
      <c r="U346" s="152"/>
      <c r="V346" s="152"/>
      <c r="W346" s="152"/>
      <c r="X346" s="152"/>
      <c r="Y346" s="152"/>
      <c r="Z346" s="152"/>
    </row>
    <row r="347" ht="12.75" customHeight="1">
      <c r="A347" s="152"/>
      <c r="B347" s="232"/>
      <c r="C347" s="152"/>
      <c r="D347" s="152"/>
      <c r="E347" s="152"/>
      <c r="F347" s="152"/>
      <c r="G347" s="152"/>
      <c r="H347" s="152"/>
      <c r="I347" s="152"/>
      <c r="J347" s="152"/>
      <c r="K347" s="152"/>
      <c r="L347" s="152"/>
      <c r="M347" s="152"/>
      <c r="N347" s="152"/>
      <c r="O347" s="152"/>
      <c r="P347" s="152"/>
      <c r="Q347" s="152"/>
      <c r="R347" s="152"/>
      <c r="S347" s="152"/>
      <c r="T347" s="152"/>
      <c r="U347" s="152"/>
      <c r="V347" s="152"/>
      <c r="W347" s="152"/>
      <c r="X347" s="152"/>
      <c r="Y347" s="152"/>
      <c r="Z347" s="152"/>
    </row>
    <row r="348" ht="12.75" customHeight="1">
      <c r="A348" s="152"/>
      <c r="B348" s="232"/>
      <c r="C348" s="152"/>
      <c r="D348" s="152"/>
      <c r="E348" s="152"/>
      <c r="F348" s="152"/>
      <c r="G348" s="152"/>
      <c r="H348" s="152"/>
      <c r="I348" s="152"/>
      <c r="J348" s="152"/>
      <c r="K348" s="152"/>
      <c r="L348" s="152"/>
      <c r="M348" s="152"/>
      <c r="N348" s="152"/>
      <c r="O348" s="152"/>
      <c r="P348" s="152"/>
      <c r="Q348" s="152"/>
      <c r="R348" s="152"/>
      <c r="S348" s="152"/>
      <c r="T348" s="152"/>
      <c r="U348" s="152"/>
      <c r="V348" s="152"/>
      <c r="W348" s="152"/>
      <c r="X348" s="152"/>
      <c r="Y348" s="152"/>
      <c r="Z348" s="152"/>
    </row>
    <row r="349" ht="12.75" customHeight="1">
      <c r="A349" s="152"/>
      <c r="B349" s="232"/>
      <c r="C349" s="152"/>
      <c r="D349" s="152"/>
      <c r="E349" s="152"/>
      <c r="F349" s="152"/>
      <c r="G349" s="152"/>
      <c r="H349" s="152"/>
      <c r="I349" s="152"/>
      <c r="J349" s="152"/>
      <c r="K349" s="152"/>
      <c r="L349" s="152"/>
      <c r="M349" s="152"/>
      <c r="N349" s="152"/>
      <c r="O349" s="152"/>
      <c r="P349" s="152"/>
      <c r="Q349" s="152"/>
      <c r="R349" s="152"/>
      <c r="S349" s="152"/>
      <c r="T349" s="152"/>
      <c r="U349" s="152"/>
      <c r="V349" s="152"/>
      <c r="W349" s="152"/>
      <c r="X349" s="152"/>
      <c r="Y349" s="152"/>
      <c r="Z349" s="152"/>
    </row>
    <row r="350" ht="12.75" customHeight="1">
      <c r="A350" s="152"/>
      <c r="B350" s="232"/>
      <c r="C350" s="152"/>
      <c r="D350" s="152"/>
      <c r="E350" s="152"/>
      <c r="F350" s="152"/>
      <c r="G350" s="152"/>
      <c r="H350" s="152"/>
      <c r="I350" s="152"/>
      <c r="J350" s="152"/>
      <c r="K350" s="152"/>
      <c r="L350" s="152"/>
      <c r="M350" s="152"/>
      <c r="N350" s="152"/>
      <c r="O350" s="152"/>
      <c r="P350" s="152"/>
      <c r="Q350" s="152"/>
      <c r="R350" s="152"/>
      <c r="S350" s="152"/>
      <c r="T350" s="152"/>
      <c r="U350" s="152"/>
      <c r="V350" s="152"/>
      <c r="W350" s="152"/>
      <c r="X350" s="152"/>
      <c r="Y350" s="152"/>
      <c r="Z350" s="152"/>
    </row>
    <row r="351" ht="12.75" customHeight="1">
      <c r="A351" s="152"/>
      <c r="B351" s="232"/>
      <c r="C351" s="152"/>
      <c r="D351" s="152"/>
      <c r="E351" s="152"/>
      <c r="F351" s="152"/>
      <c r="G351" s="152"/>
      <c r="H351" s="152"/>
      <c r="I351" s="152"/>
      <c r="J351" s="152"/>
      <c r="K351" s="152"/>
      <c r="L351" s="152"/>
      <c r="M351" s="152"/>
      <c r="N351" s="152"/>
      <c r="O351" s="152"/>
      <c r="P351" s="152"/>
      <c r="Q351" s="152"/>
      <c r="R351" s="152"/>
      <c r="S351" s="152"/>
      <c r="T351" s="152"/>
      <c r="U351" s="152"/>
      <c r="V351" s="152"/>
      <c r="W351" s="152"/>
      <c r="X351" s="152"/>
      <c r="Y351" s="152"/>
      <c r="Z351" s="152"/>
    </row>
    <row r="352" ht="12.75" customHeight="1">
      <c r="A352" s="152"/>
      <c r="B352" s="232"/>
      <c r="C352" s="152"/>
      <c r="D352" s="152"/>
      <c r="E352" s="152"/>
      <c r="F352" s="152"/>
      <c r="G352" s="152"/>
      <c r="H352" s="152"/>
      <c r="I352" s="152"/>
      <c r="J352" s="152"/>
      <c r="K352" s="152"/>
      <c r="L352" s="152"/>
      <c r="M352" s="152"/>
      <c r="N352" s="152"/>
      <c r="O352" s="152"/>
      <c r="P352" s="152"/>
      <c r="Q352" s="152"/>
      <c r="R352" s="152"/>
      <c r="S352" s="152"/>
      <c r="T352" s="152"/>
      <c r="U352" s="152"/>
      <c r="V352" s="152"/>
      <c r="W352" s="152"/>
      <c r="X352" s="152"/>
      <c r="Y352" s="152"/>
      <c r="Z352" s="152"/>
    </row>
    <row r="353" ht="12.75" customHeight="1">
      <c r="A353" s="152"/>
      <c r="B353" s="232"/>
      <c r="C353" s="152"/>
      <c r="D353" s="152"/>
      <c r="E353" s="152"/>
      <c r="F353" s="152"/>
      <c r="G353" s="152"/>
      <c r="H353" s="152"/>
      <c r="I353" s="152"/>
      <c r="J353" s="152"/>
      <c r="K353" s="152"/>
      <c r="L353" s="152"/>
      <c r="M353" s="152"/>
      <c r="N353" s="152"/>
      <c r="O353" s="152"/>
      <c r="P353" s="152"/>
      <c r="Q353" s="152"/>
      <c r="R353" s="152"/>
      <c r="S353" s="152"/>
      <c r="T353" s="152"/>
      <c r="U353" s="152"/>
      <c r="V353" s="152"/>
      <c r="W353" s="152"/>
      <c r="X353" s="152"/>
      <c r="Y353" s="152"/>
      <c r="Z353" s="152"/>
    </row>
    <row r="354" ht="12.75" customHeight="1">
      <c r="A354" s="152"/>
      <c r="B354" s="232"/>
      <c r="C354" s="152"/>
      <c r="D354" s="152"/>
      <c r="E354" s="152"/>
      <c r="F354" s="152"/>
      <c r="G354" s="152"/>
      <c r="H354" s="152"/>
      <c r="I354" s="152"/>
      <c r="J354" s="152"/>
      <c r="K354" s="152"/>
      <c r="L354" s="152"/>
      <c r="M354" s="152"/>
      <c r="N354" s="152"/>
      <c r="O354" s="152"/>
      <c r="P354" s="152"/>
      <c r="Q354" s="152"/>
      <c r="R354" s="152"/>
      <c r="S354" s="152"/>
      <c r="T354" s="152"/>
      <c r="U354" s="152"/>
      <c r="V354" s="152"/>
      <c r="W354" s="152"/>
      <c r="X354" s="152"/>
      <c r="Y354" s="152"/>
      <c r="Z354" s="152"/>
    </row>
    <row r="355" ht="12.75" customHeight="1">
      <c r="A355" s="152"/>
      <c r="B355" s="232"/>
      <c r="C355" s="152"/>
      <c r="D355" s="152"/>
      <c r="E355" s="152"/>
      <c r="F355" s="152"/>
      <c r="G355" s="152"/>
      <c r="H355" s="152"/>
      <c r="I355" s="152"/>
      <c r="J355" s="152"/>
      <c r="K355" s="152"/>
      <c r="L355" s="152"/>
      <c r="M355" s="152"/>
      <c r="N355" s="152"/>
      <c r="O355" s="152"/>
      <c r="P355" s="152"/>
      <c r="Q355" s="152"/>
      <c r="R355" s="152"/>
      <c r="S355" s="152"/>
      <c r="T355" s="152"/>
      <c r="U355" s="152"/>
      <c r="V355" s="152"/>
      <c r="W355" s="152"/>
      <c r="X355" s="152"/>
      <c r="Y355" s="152"/>
      <c r="Z355" s="152"/>
    </row>
    <row r="356" ht="12.75" customHeight="1">
      <c r="A356" s="152"/>
      <c r="B356" s="232"/>
      <c r="C356" s="152"/>
      <c r="D356" s="152"/>
      <c r="E356" s="152"/>
      <c r="F356" s="152"/>
      <c r="G356" s="152"/>
      <c r="H356" s="152"/>
      <c r="I356" s="152"/>
      <c r="J356" s="152"/>
      <c r="K356" s="152"/>
      <c r="L356" s="152"/>
      <c r="M356" s="152"/>
      <c r="N356" s="152"/>
      <c r="O356" s="152"/>
      <c r="P356" s="152"/>
      <c r="Q356" s="152"/>
      <c r="R356" s="152"/>
      <c r="S356" s="152"/>
      <c r="T356" s="152"/>
      <c r="U356" s="152"/>
      <c r="V356" s="152"/>
      <c r="W356" s="152"/>
      <c r="X356" s="152"/>
      <c r="Y356" s="152"/>
      <c r="Z356" s="152"/>
    </row>
    <row r="357" ht="12.75" customHeight="1">
      <c r="A357" s="152"/>
      <c r="B357" s="232"/>
      <c r="C357" s="152"/>
      <c r="D357" s="152"/>
      <c r="E357" s="152"/>
      <c r="F357" s="152"/>
      <c r="G357" s="152"/>
      <c r="H357" s="152"/>
      <c r="I357" s="152"/>
      <c r="J357" s="152"/>
      <c r="K357" s="152"/>
      <c r="L357" s="152"/>
      <c r="M357" s="152"/>
      <c r="N357" s="152"/>
      <c r="O357" s="152"/>
      <c r="P357" s="152"/>
      <c r="Q357" s="152"/>
      <c r="R357" s="152"/>
      <c r="S357" s="152"/>
      <c r="T357" s="152"/>
      <c r="U357" s="152"/>
      <c r="V357" s="152"/>
      <c r="W357" s="152"/>
      <c r="X357" s="152"/>
      <c r="Y357" s="152"/>
      <c r="Z357" s="152"/>
    </row>
    <row r="358" ht="12.75" customHeight="1">
      <c r="A358" s="152"/>
      <c r="B358" s="232"/>
      <c r="C358" s="152"/>
      <c r="D358" s="152"/>
      <c r="E358" s="152"/>
      <c r="F358" s="152"/>
      <c r="G358" s="152"/>
      <c r="H358" s="152"/>
      <c r="I358" s="152"/>
      <c r="J358" s="152"/>
      <c r="K358" s="152"/>
      <c r="L358" s="152"/>
      <c r="M358" s="152"/>
      <c r="N358" s="152"/>
      <c r="O358" s="152"/>
      <c r="P358" s="152"/>
      <c r="Q358" s="152"/>
      <c r="R358" s="152"/>
      <c r="S358" s="152"/>
      <c r="T358" s="152"/>
      <c r="U358" s="152"/>
      <c r="V358" s="152"/>
      <c r="W358" s="152"/>
      <c r="X358" s="152"/>
      <c r="Y358" s="152"/>
      <c r="Z358" s="152"/>
    </row>
    <row r="359" ht="12.75" customHeight="1">
      <c r="A359" s="152"/>
      <c r="B359" s="232"/>
      <c r="C359" s="152"/>
      <c r="D359" s="152"/>
      <c r="E359" s="152"/>
      <c r="F359" s="152"/>
      <c r="G359" s="152"/>
      <c r="H359" s="152"/>
      <c r="I359" s="152"/>
      <c r="J359" s="152"/>
      <c r="K359" s="152"/>
      <c r="L359" s="152"/>
      <c r="M359" s="152"/>
      <c r="N359" s="152"/>
      <c r="O359" s="152"/>
      <c r="P359" s="152"/>
      <c r="Q359" s="152"/>
      <c r="R359" s="152"/>
      <c r="S359" s="152"/>
      <c r="T359" s="152"/>
      <c r="U359" s="152"/>
      <c r="V359" s="152"/>
      <c r="W359" s="152"/>
      <c r="X359" s="152"/>
      <c r="Y359" s="152"/>
      <c r="Z359" s="152"/>
    </row>
    <row r="360" ht="12.75" customHeight="1">
      <c r="A360" s="152"/>
      <c r="B360" s="232"/>
      <c r="C360" s="152"/>
      <c r="D360" s="152"/>
      <c r="E360" s="152"/>
      <c r="F360" s="152"/>
      <c r="G360" s="152"/>
      <c r="H360" s="152"/>
      <c r="I360" s="152"/>
      <c r="J360" s="152"/>
      <c r="K360" s="152"/>
      <c r="L360" s="152"/>
      <c r="M360" s="152"/>
      <c r="N360" s="152"/>
      <c r="O360" s="152"/>
      <c r="P360" s="152"/>
      <c r="Q360" s="152"/>
      <c r="R360" s="152"/>
      <c r="S360" s="152"/>
      <c r="T360" s="152"/>
      <c r="U360" s="152"/>
      <c r="V360" s="152"/>
      <c r="W360" s="152"/>
      <c r="X360" s="152"/>
      <c r="Y360" s="152"/>
      <c r="Z360" s="152"/>
    </row>
    <row r="361" ht="12.75" customHeight="1">
      <c r="A361" s="152"/>
      <c r="B361" s="232"/>
      <c r="C361" s="152"/>
      <c r="D361" s="152"/>
      <c r="E361" s="152"/>
      <c r="F361" s="152"/>
      <c r="G361" s="152"/>
      <c r="H361" s="152"/>
      <c r="I361" s="152"/>
      <c r="J361" s="152"/>
      <c r="K361" s="152"/>
      <c r="L361" s="152"/>
      <c r="M361" s="152"/>
      <c r="N361" s="152"/>
      <c r="O361" s="152"/>
      <c r="P361" s="152"/>
      <c r="Q361" s="152"/>
      <c r="R361" s="152"/>
      <c r="S361" s="152"/>
      <c r="T361" s="152"/>
      <c r="U361" s="152"/>
      <c r="V361" s="152"/>
      <c r="W361" s="152"/>
      <c r="X361" s="152"/>
      <c r="Y361" s="152"/>
      <c r="Z361" s="152"/>
    </row>
    <row r="362" ht="12.75" customHeight="1">
      <c r="A362" s="152"/>
      <c r="B362" s="232"/>
      <c r="C362" s="152"/>
      <c r="D362" s="152"/>
      <c r="E362" s="152"/>
      <c r="F362" s="152"/>
      <c r="G362" s="152"/>
      <c r="H362" s="152"/>
      <c r="I362" s="152"/>
      <c r="J362" s="152"/>
      <c r="K362" s="152"/>
      <c r="L362" s="152"/>
      <c r="M362" s="152"/>
      <c r="N362" s="152"/>
      <c r="O362" s="152"/>
      <c r="P362" s="152"/>
      <c r="Q362" s="152"/>
      <c r="R362" s="152"/>
      <c r="S362" s="152"/>
      <c r="T362" s="152"/>
      <c r="U362" s="152"/>
      <c r="V362" s="152"/>
      <c r="W362" s="152"/>
      <c r="X362" s="152"/>
      <c r="Y362" s="152"/>
      <c r="Z362" s="152"/>
    </row>
    <row r="363" ht="12.75" customHeight="1">
      <c r="A363" s="152"/>
      <c r="B363" s="232"/>
      <c r="C363" s="152"/>
      <c r="D363" s="152"/>
      <c r="E363" s="152"/>
      <c r="F363" s="152"/>
      <c r="G363" s="152"/>
      <c r="H363" s="152"/>
      <c r="I363" s="152"/>
      <c r="J363" s="152"/>
      <c r="K363" s="152"/>
      <c r="L363" s="152"/>
      <c r="M363" s="152"/>
      <c r="N363" s="152"/>
      <c r="O363" s="152"/>
      <c r="P363" s="152"/>
      <c r="Q363" s="152"/>
      <c r="R363" s="152"/>
      <c r="S363" s="152"/>
      <c r="T363" s="152"/>
      <c r="U363" s="152"/>
      <c r="V363" s="152"/>
      <c r="W363" s="152"/>
      <c r="X363" s="152"/>
      <c r="Y363" s="152"/>
      <c r="Z363" s="152"/>
    </row>
    <row r="364" ht="12.75" customHeight="1">
      <c r="A364" s="152"/>
      <c r="B364" s="232"/>
      <c r="C364" s="152"/>
      <c r="D364" s="152"/>
      <c r="E364" s="152"/>
      <c r="F364" s="152"/>
      <c r="G364" s="152"/>
      <c r="H364" s="152"/>
      <c r="I364" s="152"/>
      <c r="J364" s="152"/>
      <c r="K364" s="152"/>
      <c r="L364" s="152"/>
      <c r="M364" s="152"/>
      <c r="N364" s="152"/>
      <c r="O364" s="152"/>
      <c r="P364" s="152"/>
      <c r="Q364" s="152"/>
      <c r="R364" s="152"/>
      <c r="S364" s="152"/>
      <c r="T364" s="152"/>
      <c r="U364" s="152"/>
      <c r="V364" s="152"/>
      <c r="W364" s="152"/>
      <c r="X364" s="152"/>
      <c r="Y364" s="152"/>
      <c r="Z364" s="152"/>
    </row>
    <row r="365" ht="12.75" customHeight="1">
      <c r="A365" s="152"/>
      <c r="B365" s="232"/>
      <c r="C365" s="152"/>
      <c r="D365" s="152"/>
      <c r="E365" s="152"/>
      <c r="F365" s="152"/>
      <c r="G365" s="152"/>
      <c r="H365" s="152"/>
      <c r="I365" s="152"/>
      <c r="J365" s="152"/>
      <c r="K365" s="152"/>
      <c r="L365" s="152"/>
      <c r="M365" s="152"/>
      <c r="N365" s="152"/>
      <c r="O365" s="152"/>
      <c r="P365" s="152"/>
      <c r="Q365" s="152"/>
      <c r="R365" s="152"/>
      <c r="S365" s="152"/>
      <c r="T365" s="152"/>
      <c r="U365" s="152"/>
      <c r="V365" s="152"/>
      <c r="W365" s="152"/>
      <c r="X365" s="152"/>
      <c r="Y365" s="152"/>
      <c r="Z365" s="152"/>
    </row>
    <row r="366" ht="12.75" customHeight="1">
      <c r="A366" s="152"/>
      <c r="B366" s="232"/>
      <c r="C366" s="152"/>
      <c r="D366" s="152"/>
      <c r="E366" s="152"/>
      <c r="F366" s="152"/>
      <c r="G366" s="152"/>
      <c r="H366" s="152"/>
      <c r="I366" s="152"/>
      <c r="J366" s="152"/>
      <c r="K366" s="152"/>
      <c r="L366" s="152"/>
      <c r="M366" s="152"/>
      <c r="N366" s="152"/>
      <c r="O366" s="152"/>
      <c r="P366" s="152"/>
      <c r="Q366" s="152"/>
      <c r="R366" s="152"/>
      <c r="S366" s="152"/>
      <c r="T366" s="152"/>
      <c r="U366" s="152"/>
      <c r="V366" s="152"/>
      <c r="W366" s="152"/>
      <c r="X366" s="152"/>
      <c r="Y366" s="152"/>
      <c r="Z366" s="152"/>
    </row>
    <row r="367" ht="12.75" customHeight="1">
      <c r="A367" s="152"/>
      <c r="B367" s="232"/>
      <c r="C367" s="152"/>
      <c r="D367" s="152"/>
      <c r="E367" s="152"/>
      <c r="F367" s="152"/>
      <c r="G367" s="152"/>
      <c r="H367" s="152"/>
      <c r="I367" s="152"/>
      <c r="J367" s="152"/>
      <c r="K367" s="152"/>
      <c r="L367" s="152"/>
      <c r="M367" s="152"/>
      <c r="N367" s="152"/>
      <c r="O367" s="152"/>
      <c r="P367" s="152"/>
      <c r="Q367" s="152"/>
      <c r="R367" s="152"/>
      <c r="S367" s="152"/>
      <c r="T367" s="152"/>
      <c r="U367" s="152"/>
      <c r="V367" s="152"/>
      <c r="W367" s="152"/>
      <c r="X367" s="152"/>
      <c r="Y367" s="152"/>
      <c r="Z367" s="152"/>
    </row>
    <row r="368" ht="12.75" customHeight="1">
      <c r="A368" s="152"/>
      <c r="B368" s="232"/>
      <c r="C368" s="152"/>
      <c r="D368" s="152"/>
      <c r="E368" s="152"/>
      <c r="F368" s="152"/>
      <c r="G368" s="152"/>
      <c r="H368" s="152"/>
      <c r="I368" s="152"/>
      <c r="J368" s="152"/>
      <c r="K368" s="152"/>
      <c r="L368" s="152"/>
      <c r="M368" s="152"/>
      <c r="N368" s="152"/>
      <c r="O368" s="152"/>
      <c r="P368" s="152"/>
      <c r="Q368" s="152"/>
      <c r="R368" s="152"/>
      <c r="S368" s="152"/>
      <c r="T368" s="152"/>
      <c r="U368" s="152"/>
      <c r="V368" s="152"/>
      <c r="W368" s="152"/>
      <c r="X368" s="152"/>
      <c r="Y368" s="152"/>
      <c r="Z368" s="152"/>
    </row>
    <row r="369" ht="12.75" customHeight="1">
      <c r="A369" s="152"/>
      <c r="B369" s="232"/>
      <c r="C369" s="152"/>
      <c r="D369" s="152"/>
      <c r="E369" s="152"/>
      <c r="F369" s="152"/>
      <c r="G369" s="152"/>
      <c r="H369" s="152"/>
      <c r="I369" s="152"/>
      <c r="J369" s="152"/>
      <c r="K369" s="152"/>
      <c r="L369" s="152"/>
      <c r="M369" s="152"/>
      <c r="N369" s="152"/>
      <c r="O369" s="152"/>
      <c r="P369" s="152"/>
      <c r="Q369" s="152"/>
      <c r="R369" s="152"/>
      <c r="S369" s="152"/>
      <c r="T369" s="152"/>
      <c r="U369" s="152"/>
      <c r="V369" s="152"/>
      <c r="W369" s="152"/>
      <c r="X369" s="152"/>
      <c r="Y369" s="152"/>
      <c r="Z369" s="152"/>
    </row>
    <row r="370" ht="12.75" customHeight="1">
      <c r="A370" s="152"/>
      <c r="B370" s="232"/>
      <c r="C370" s="152"/>
      <c r="D370" s="152"/>
      <c r="E370" s="152"/>
      <c r="F370" s="152"/>
      <c r="G370" s="152"/>
      <c r="H370" s="152"/>
      <c r="I370" s="152"/>
      <c r="J370" s="152"/>
      <c r="K370" s="152"/>
      <c r="L370" s="152"/>
      <c r="M370" s="152"/>
      <c r="N370" s="152"/>
      <c r="O370" s="152"/>
      <c r="P370" s="152"/>
      <c r="Q370" s="152"/>
      <c r="R370" s="152"/>
      <c r="S370" s="152"/>
      <c r="T370" s="152"/>
      <c r="U370" s="152"/>
      <c r="V370" s="152"/>
      <c r="W370" s="152"/>
      <c r="X370" s="152"/>
      <c r="Y370" s="152"/>
      <c r="Z370" s="152"/>
    </row>
    <row r="371" ht="12.75" customHeight="1">
      <c r="A371" s="152"/>
      <c r="B371" s="232"/>
      <c r="C371" s="152"/>
      <c r="D371" s="152"/>
      <c r="E371" s="152"/>
      <c r="F371" s="152"/>
      <c r="G371" s="152"/>
      <c r="H371" s="152"/>
      <c r="I371" s="152"/>
      <c r="J371" s="152"/>
      <c r="K371" s="152"/>
      <c r="L371" s="152"/>
      <c r="M371" s="152"/>
      <c r="N371" s="152"/>
      <c r="O371" s="152"/>
      <c r="P371" s="152"/>
      <c r="Q371" s="152"/>
      <c r="R371" s="152"/>
      <c r="S371" s="152"/>
      <c r="T371" s="152"/>
      <c r="U371" s="152"/>
      <c r="V371" s="152"/>
      <c r="W371" s="152"/>
      <c r="X371" s="152"/>
      <c r="Y371" s="152"/>
      <c r="Z371" s="152"/>
    </row>
    <row r="372" ht="12.75" customHeight="1">
      <c r="A372" s="152"/>
      <c r="B372" s="232"/>
      <c r="C372" s="152"/>
      <c r="D372" s="152"/>
      <c r="E372" s="152"/>
      <c r="F372" s="152"/>
      <c r="G372" s="152"/>
      <c r="H372" s="152"/>
      <c r="I372" s="152"/>
      <c r="J372" s="152"/>
      <c r="K372" s="152"/>
      <c r="L372" s="152"/>
      <c r="M372" s="152"/>
      <c r="N372" s="152"/>
      <c r="O372" s="152"/>
      <c r="P372" s="152"/>
      <c r="Q372" s="152"/>
      <c r="R372" s="152"/>
      <c r="S372" s="152"/>
      <c r="T372" s="152"/>
      <c r="U372" s="152"/>
      <c r="V372" s="152"/>
      <c r="W372" s="152"/>
      <c r="X372" s="152"/>
      <c r="Y372" s="152"/>
      <c r="Z372" s="152"/>
    </row>
    <row r="373" ht="12.75" customHeight="1">
      <c r="A373" s="152"/>
      <c r="B373" s="232"/>
      <c r="C373" s="152"/>
      <c r="D373" s="152"/>
      <c r="E373" s="152"/>
      <c r="F373" s="152"/>
      <c r="G373" s="152"/>
      <c r="H373" s="152"/>
      <c r="I373" s="152"/>
      <c r="J373" s="152"/>
      <c r="K373" s="152"/>
      <c r="L373" s="152"/>
      <c r="M373" s="152"/>
      <c r="N373" s="152"/>
      <c r="O373" s="152"/>
      <c r="P373" s="152"/>
      <c r="Q373" s="152"/>
      <c r="R373" s="152"/>
      <c r="S373" s="152"/>
      <c r="T373" s="152"/>
      <c r="U373" s="152"/>
      <c r="V373" s="152"/>
      <c r="W373" s="152"/>
      <c r="X373" s="152"/>
      <c r="Y373" s="152"/>
      <c r="Z373" s="152"/>
    </row>
    <row r="374" ht="12.75" customHeight="1">
      <c r="A374" s="152"/>
      <c r="B374" s="232"/>
      <c r="C374" s="152"/>
      <c r="D374" s="152"/>
      <c r="E374" s="152"/>
      <c r="F374" s="152"/>
      <c r="G374" s="152"/>
      <c r="H374" s="152"/>
      <c r="I374" s="152"/>
      <c r="J374" s="152"/>
      <c r="K374" s="152"/>
      <c r="L374" s="152"/>
      <c r="M374" s="152"/>
      <c r="N374" s="152"/>
      <c r="O374" s="152"/>
      <c r="P374" s="152"/>
      <c r="Q374" s="152"/>
      <c r="R374" s="152"/>
      <c r="S374" s="152"/>
      <c r="T374" s="152"/>
      <c r="U374" s="152"/>
      <c r="V374" s="152"/>
      <c r="W374" s="152"/>
      <c r="X374" s="152"/>
      <c r="Y374" s="152"/>
      <c r="Z374" s="152"/>
    </row>
    <row r="375" ht="12.75" customHeight="1">
      <c r="A375" s="152"/>
      <c r="B375" s="232"/>
      <c r="C375" s="152"/>
      <c r="D375" s="152"/>
      <c r="E375" s="152"/>
      <c r="F375" s="152"/>
      <c r="G375" s="152"/>
      <c r="H375" s="152"/>
      <c r="I375" s="152"/>
      <c r="J375" s="152"/>
      <c r="K375" s="152"/>
      <c r="L375" s="152"/>
      <c r="M375" s="152"/>
      <c r="N375" s="152"/>
      <c r="O375" s="152"/>
      <c r="P375" s="152"/>
      <c r="Q375" s="152"/>
      <c r="R375" s="152"/>
      <c r="S375" s="152"/>
      <c r="T375" s="152"/>
      <c r="U375" s="152"/>
      <c r="V375" s="152"/>
      <c r="W375" s="152"/>
      <c r="X375" s="152"/>
      <c r="Y375" s="152"/>
      <c r="Z375" s="152"/>
    </row>
    <row r="376" ht="12.75" customHeight="1">
      <c r="A376" s="152"/>
      <c r="B376" s="232"/>
      <c r="C376" s="152"/>
      <c r="D376" s="152"/>
      <c r="E376" s="152"/>
      <c r="F376" s="152"/>
      <c r="G376" s="152"/>
      <c r="H376" s="152"/>
      <c r="I376" s="152"/>
      <c r="J376" s="152"/>
      <c r="K376" s="152"/>
      <c r="L376" s="152"/>
      <c r="M376" s="152"/>
      <c r="N376" s="152"/>
      <c r="O376" s="152"/>
      <c r="P376" s="152"/>
      <c r="Q376" s="152"/>
      <c r="R376" s="152"/>
      <c r="S376" s="152"/>
      <c r="T376" s="152"/>
      <c r="U376" s="152"/>
      <c r="V376" s="152"/>
      <c r="W376" s="152"/>
      <c r="X376" s="152"/>
      <c r="Y376" s="152"/>
      <c r="Z376" s="152"/>
    </row>
    <row r="377" ht="12.75" customHeight="1">
      <c r="A377" s="152"/>
      <c r="B377" s="232"/>
      <c r="C377" s="152"/>
      <c r="D377" s="152"/>
      <c r="E377" s="152"/>
      <c r="F377" s="152"/>
      <c r="G377" s="152"/>
      <c r="H377" s="152"/>
      <c r="I377" s="152"/>
      <c r="J377" s="152"/>
      <c r="K377" s="152"/>
      <c r="L377" s="152"/>
      <c r="M377" s="152"/>
      <c r="N377" s="152"/>
      <c r="O377" s="152"/>
      <c r="P377" s="152"/>
      <c r="Q377" s="152"/>
      <c r="R377" s="152"/>
      <c r="S377" s="152"/>
      <c r="T377" s="152"/>
      <c r="U377" s="152"/>
      <c r="V377" s="152"/>
      <c r="W377" s="152"/>
      <c r="X377" s="152"/>
      <c r="Y377" s="152"/>
      <c r="Z377" s="152"/>
    </row>
    <row r="378" ht="12.75" customHeight="1">
      <c r="A378" s="152"/>
      <c r="B378" s="232"/>
      <c r="C378" s="152"/>
      <c r="D378" s="152"/>
      <c r="E378" s="152"/>
      <c r="F378" s="152"/>
      <c r="G378" s="152"/>
      <c r="H378" s="152"/>
      <c r="I378" s="152"/>
      <c r="J378" s="152"/>
      <c r="K378" s="152"/>
      <c r="L378" s="152"/>
      <c r="M378" s="152"/>
      <c r="N378" s="152"/>
      <c r="O378" s="152"/>
      <c r="P378" s="152"/>
      <c r="Q378" s="152"/>
      <c r="R378" s="152"/>
      <c r="S378" s="152"/>
      <c r="T378" s="152"/>
      <c r="U378" s="152"/>
      <c r="V378" s="152"/>
      <c r="W378" s="152"/>
      <c r="X378" s="152"/>
      <c r="Y378" s="152"/>
      <c r="Z378" s="152"/>
    </row>
    <row r="379" ht="12.75" customHeight="1">
      <c r="A379" s="152"/>
      <c r="B379" s="232"/>
      <c r="C379" s="152"/>
      <c r="D379" s="152"/>
      <c r="E379" s="152"/>
      <c r="F379" s="152"/>
      <c r="G379" s="152"/>
      <c r="H379" s="152"/>
      <c r="I379" s="152"/>
      <c r="J379" s="152"/>
      <c r="K379" s="152"/>
      <c r="L379" s="152"/>
      <c r="M379" s="152"/>
      <c r="N379" s="152"/>
      <c r="O379" s="152"/>
      <c r="P379" s="152"/>
      <c r="Q379" s="152"/>
      <c r="R379" s="152"/>
      <c r="S379" s="152"/>
      <c r="T379" s="152"/>
      <c r="U379" s="152"/>
      <c r="V379" s="152"/>
      <c r="W379" s="152"/>
      <c r="X379" s="152"/>
      <c r="Y379" s="152"/>
      <c r="Z379" s="152"/>
    </row>
    <row r="380" ht="12.75" customHeight="1">
      <c r="A380" s="152"/>
      <c r="B380" s="232"/>
      <c r="C380" s="152"/>
      <c r="D380" s="152"/>
      <c r="E380" s="152"/>
      <c r="F380" s="152"/>
      <c r="G380" s="152"/>
      <c r="H380" s="152"/>
      <c r="I380" s="152"/>
      <c r="J380" s="152"/>
      <c r="K380" s="152"/>
      <c r="L380" s="152"/>
      <c r="M380" s="152"/>
      <c r="N380" s="152"/>
      <c r="O380" s="152"/>
      <c r="P380" s="152"/>
      <c r="Q380" s="152"/>
      <c r="R380" s="152"/>
      <c r="S380" s="152"/>
      <c r="T380" s="152"/>
      <c r="U380" s="152"/>
      <c r="V380" s="152"/>
      <c r="W380" s="152"/>
      <c r="X380" s="152"/>
      <c r="Y380" s="152"/>
      <c r="Z380" s="152"/>
    </row>
    <row r="381" ht="12.75" customHeight="1">
      <c r="A381" s="152"/>
      <c r="B381" s="232"/>
      <c r="C381" s="152"/>
      <c r="D381" s="152"/>
      <c r="E381" s="152"/>
      <c r="F381" s="152"/>
      <c r="G381" s="152"/>
      <c r="H381" s="152"/>
      <c r="I381" s="152"/>
      <c r="J381" s="152"/>
      <c r="K381" s="152"/>
      <c r="L381" s="152"/>
      <c r="M381" s="152"/>
      <c r="N381" s="152"/>
      <c r="O381" s="152"/>
      <c r="P381" s="152"/>
      <c r="Q381" s="152"/>
      <c r="R381" s="152"/>
      <c r="S381" s="152"/>
      <c r="T381" s="152"/>
      <c r="U381" s="152"/>
      <c r="V381" s="152"/>
      <c r="W381" s="152"/>
      <c r="X381" s="152"/>
      <c r="Y381" s="152"/>
      <c r="Z381" s="152"/>
    </row>
    <row r="382" ht="12.75" customHeight="1">
      <c r="A382" s="152"/>
      <c r="B382" s="232"/>
      <c r="C382" s="152"/>
      <c r="D382" s="152"/>
      <c r="E382" s="152"/>
      <c r="F382" s="152"/>
      <c r="G382" s="152"/>
      <c r="H382" s="152"/>
      <c r="I382" s="152"/>
      <c r="J382" s="152"/>
      <c r="K382" s="152"/>
      <c r="L382" s="152"/>
      <c r="M382" s="152"/>
      <c r="N382" s="152"/>
      <c r="O382" s="152"/>
      <c r="P382" s="152"/>
      <c r="Q382" s="152"/>
      <c r="R382" s="152"/>
      <c r="S382" s="152"/>
      <c r="T382" s="152"/>
      <c r="U382" s="152"/>
      <c r="V382" s="152"/>
      <c r="W382" s="152"/>
      <c r="X382" s="152"/>
      <c r="Y382" s="152"/>
      <c r="Z382" s="152"/>
    </row>
    <row r="383" ht="12.75" customHeight="1">
      <c r="A383" s="152"/>
      <c r="B383" s="232"/>
      <c r="C383" s="152"/>
      <c r="D383" s="152"/>
      <c r="E383" s="152"/>
      <c r="F383" s="152"/>
      <c r="G383" s="152"/>
      <c r="H383" s="152"/>
      <c r="I383" s="152"/>
      <c r="J383" s="152"/>
      <c r="K383" s="152"/>
      <c r="L383" s="152"/>
      <c r="M383" s="152"/>
      <c r="N383" s="152"/>
      <c r="O383" s="152"/>
      <c r="P383" s="152"/>
      <c r="Q383" s="152"/>
      <c r="R383" s="152"/>
      <c r="S383" s="152"/>
      <c r="T383" s="152"/>
      <c r="U383" s="152"/>
      <c r="V383" s="152"/>
      <c r="W383" s="152"/>
      <c r="X383" s="152"/>
      <c r="Y383" s="152"/>
      <c r="Z383" s="152"/>
    </row>
    <row r="384" ht="12.75" customHeight="1">
      <c r="A384" s="152"/>
      <c r="B384" s="232"/>
      <c r="C384" s="152"/>
      <c r="D384" s="152"/>
      <c r="E384" s="152"/>
      <c r="F384" s="152"/>
      <c r="G384" s="152"/>
      <c r="H384" s="152"/>
      <c r="I384" s="152"/>
      <c r="J384" s="152"/>
      <c r="K384" s="152"/>
      <c r="L384" s="152"/>
      <c r="M384" s="152"/>
      <c r="N384" s="152"/>
      <c r="O384" s="152"/>
      <c r="P384" s="152"/>
      <c r="Q384" s="152"/>
      <c r="R384" s="152"/>
      <c r="S384" s="152"/>
      <c r="T384" s="152"/>
      <c r="U384" s="152"/>
      <c r="V384" s="152"/>
      <c r="W384" s="152"/>
      <c r="X384" s="152"/>
      <c r="Y384" s="152"/>
      <c r="Z384" s="152"/>
    </row>
    <row r="385" ht="12.75" customHeight="1">
      <c r="A385" s="152"/>
      <c r="B385" s="232"/>
      <c r="C385" s="152"/>
      <c r="D385" s="152"/>
      <c r="E385" s="152"/>
      <c r="F385" s="152"/>
      <c r="G385" s="152"/>
      <c r="H385" s="152"/>
      <c r="I385" s="152"/>
      <c r="J385" s="152"/>
      <c r="K385" s="152"/>
      <c r="L385" s="152"/>
      <c r="M385" s="152"/>
      <c r="N385" s="152"/>
      <c r="O385" s="152"/>
      <c r="P385" s="152"/>
      <c r="Q385" s="152"/>
      <c r="R385" s="152"/>
      <c r="S385" s="152"/>
      <c r="T385" s="152"/>
      <c r="U385" s="152"/>
      <c r="V385" s="152"/>
      <c r="W385" s="152"/>
      <c r="X385" s="152"/>
      <c r="Y385" s="152"/>
      <c r="Z385" s="152"/>
    </row>
    <row r="386" ht="12.75" customHeight="1">
      <c r="A386" s="152"/>
      <c r="B386" s="232"/>
      <c r="C386" s="152"/>
      <c r="D386" s="152"/>
      <c r="E386" s="152"/>
      <c r="F386" s="152"/>
      <c r="G386" s="152"/>
      <c r="H386" s="152"/>
      <c r="I386" s="152"/>
      <c r="J386" s="152"/>
      <c r="K386" s="152"/>
      <c r="L386" s="152"/>
      <c r="M386" s="152"/>
      <c r="N386" s="152"/>
      <c r="O386" s="152"/>
      <c r="P386" s="152"/>
      <c r="Q386" s="152"/>
      <c r="R386" s="152"/>
      <c r="S386" s="152"/>
      <c r="T386" s="152"/>
      <c r="U386" s="152"/>
      <c r="V386" s="152"/>
      <c r="W386" s="152"/>
      <c r="X386" s="152"/>
      <c r="Y386" s="152"/>
      <c r="Z386" s="152"/>
    </row>
    <row r="387" ht="12.75" customHeight="1">
      <c r="A387" s="152"/>
      <c r="B387" s="232"/>
      <c r="C387" s="152"/>
      <c r="D387" s="152"/>
      <c r="E387" s="152"/>
      <c r="F387" s="152"/>
      <c r="G387" s="152"/>
      <c r="H387" s="152"/>
      <c r="I387" s="152"/>
      <c r="J387" s="152"/>
      <c r="K387" s="152"/>
      <c r="L387" s="152"/>
      <c r="M387" s="152"/>
      <c r="N387" s="152"/>
      <c r="O387" s="152"/>
      <c r="P387" s="152"/>
      <c r="Q387" s="152"/>
      <c r="R387" s="152"/>
      <c r="S387" s="152"/>
      <c r="T387" s="152"/>
      <c r="U387" s="152"/>
      <c r="V387" s="152"/>
      <c r="W387" s="152"/>
      <c r="X387" s="152"/>
      <c r="Y387" s="152"/>
      <c r="Z387" s="152"/>
    </row>
    <row r="388" ht="12.75" customHeight="1">
      <c r="A388" s="152"/>
      <c r="B388" s="232"/>
      <c r="C388" s="152"/>
      <c r="D388" s="152"/>
      <c r="E388" s="152"/>
      <c r="F388" s="152"/>
      <c r="G388" s="152"/>
      <c r="H388" s="152"/>
      <c r="I388" s="152"/>
      <c r="J388" s="152"/>
      <c r="K388" s="152"/>
      <c r="L388" s="152"/>
      <c r="M388" s="152"/>
      <c r="N388" s="152"/>
      <c r="O388" s="152"/>
      <c r="P388" s="152"/>
      <c r="Q388" s="152"/>
      <c r="R388" s="152"/>
      <c r="S388" s="152"/>
      <c r="T388" s="152"/>
      <c r="U388" s="152"/>
      <c r="V388" s="152"/>
      <c r="W388" s="152"/>
      <c r="X388" s="152"/>
      <c r="Y388" s="152"/>
      <c r="Z388" s="152"/>
    </row>
    <row r="389" ht="12.75" customHeight="1">
      <c r="A389" s="152"/>
      <c r="B389" s="232"/>
      <c r="C389" s="152"/>
      <c r="D389" s="152"/>
      <c r="E389" s="152"/>
      <c r="F389" s="152"/>
      <c r="G389" s="152"/>
      <c r="H389" s="152"/>
      <c r="I389" s="152"/>
      <c r="J389" s="152"/>
      <c r="K389" s="152"/>
      <c r="L389" s="152"/>
      <c r="M389" s="152"/>
      <c r="N389" s="152"/>
      <c r="O389" s="152"/>
      <c r="P389" s="152"/>
      <c r="Q389" s="152"/>
      <c r="R389" s="152"/>
      <c r="S389" s="152"/>
      <c r="T389" s="152"/>
      <c r="U389" s="152"/>
      <c r="V389" s="152"/>
      <c r="W389" s="152"/>
      <c r="X389" s="152"/>
      <c r="Y389" s="152"/>
      <c r="Z389" s="152"/>
    </row>
    <row r="390" ht="12.75" customHeight="1">
      <c r="A390" s="152"/>
      <c r="B390" s="232"/>
      <c r="C390" s="152"/>
      <c r="D390" s="152"/>
      <c r="E390" s="152"/>
      <c r="F390" s="152"/>
      <c r="G390" s="152"/>
      <c r="H390" s="152"/>
      <c r="I390" s="152"/>
      <c r="J390" s="152"/>
      <c r="K390" s="152"/>
      <c r="L390" s="152"/>
      <c r="M390" s="152"/>
      <c r="N390" s="152"/>
      <c r="O390" s="152"/>
      <c r="P390" s="152"/>
      <c r="Q390" s="152"/>
      <c r="R390" s="152"/>
      <c r="S390" s="152"/>
      <c r="T390" s="152"/>
      <c r="U390" s="152"/>
      <c r="V390" s="152"/>
      <c r="W390" s="152"/>
      <c r="X390" s="152"/>
      <c r="Y390" s="152"/>
      <c r="Z390" s="152"/>
    </row>
    <row r="391" ht="12.75" customHeight="1">
      <c r="A391" s="152"/>
      <c r="B391" s="232"/>
      <c r="C391" s="152"/>
      <c r="D391" s="152"/>
      <c r="E391" s="152"/>
      <c r="F391" s="152"/>
      <c r="G391" s="152"/>
      <c r="H391" s="152"/>
      <c r="I391" s="152"/>
      <c r="J391" s="152"/>
      <c r="K391" s="152"/>
      <c r="L391" s="152"/>
      <c r="M391" s="152"/>
      <c r="N391" s="152"/>
      <c r="O391" s="152"/>
      <c r="P391" s="152"/>
      <c r="Q391" s="152"/>
      <c r="R391" s="152"/>
      <c r="S391" s="152"/>
      <c r="T391" s="152"/>
      <c r="U391" s="152"/>
      <c r="V391" s="152"/>
      <c r="W391" s="152"/>
      <c r="X391" s="152"/>
      <c r="Y391" s="152"/>
      <c r="Z391" s="152"/>
    </row>
    <row r="392" ht="12.75" customHeight="1">
      <c r="A392" s="152"/>
      <c r="B392" s="232"/>
      <c r="C392" s="152"/>
      <c r="D392" s="152"/>
      <c r="E392" s="152"/>
      <c r="F392" s="152"/>
      <c r="G392" s="152"/>
      <c r="H392" s="152"/>
      <c r="I392" s="152"/>
      <c r="J392" s="152"/>
      <c r="K392" s="152"/>
      <c r="L392" s="152"/>
      <c r="M392" s="152"/>
      <c r="N392" s="152"/>
      <c r="O392" s="152"/>
      <c r="P392" s="152"/>
      <c r="Q392" s="152"/>
      <c r="R392" s="152"/>
      <c r="S392" s="152"/>
      <c r="T392" s="152"/>
      <c r="U392" s="152"/>
      <c r="V392" s="152"/>
      <c r="W392" s="152"/>
      <c r="X392" s="152"/>
      <c r="Y392" s="152"/>
      <c r="Z392" s="152"/>
    </row>
    <row r="393" ht="12.75" customHeight="1">
      <c r="A393" s="152"/>
      <c r="B393" s="232"/>
      <c r="C393" s="152"/>
      <c r="D393" s="152"/>
      <c r="E393" s="152"/>
      <c r="F393" s="152"/>
      <c r="G393" s="152"/>
      <c r="H393" s="152"/>
      <c r="I393" s="152"/>
      <c r="J393" s="152"/>
      <c r="K393" s="152"/>
      <c r="L393" s="152"/>
      <c r="M393" s="152"/>
      <c r="N393" s="152"/>
      <c r="O393" s="152"/>
      <c r="P393" s="152"/>
      <c r="Q393" s="152"/>
      <c r="R393" s="152"/>
      <c r="S393" s="152"/>
      <c r="T393" s="152"/>
      <c r="U393" s="152"/>
      <c r="V393" s="152"/>
      <c r="W393" s="152"/>
      <c r="X393" s="152"/>
      <c r="Y393" s="152"/>
      <c r="Z393" s="152"/>
    </row>
    <row r="394" ht="12.75" customHeight="1">
      <c r="A394" s="152"/>
      <c r="B394" s="232"/>
      <c r="C394" s="152"/>
      <c r="D394" s="152"/>
      <c r="E394" s="152"/>
      <c r="F394" s="152"/>
      <c r="G394" s="152"/>
      <c r="H394" s="152"/>
      <c r="I394" s="152"/>
      <c r="J394" s="152"/>
      <c r="K394" s="152"/>
      <c r="L394" s="152"/>
      <c r="M394" s="152"/>
      <c r="N394" s="152"/>
      <c r="O394" s="152"/>
      <c r="P394" s="152"/>
      <c r="Q394" s="152"/>
      <c r="R394" s="152"/>
      <c r="S394" s="152"/>
      <c r="T394" s="152"/>
      <c r="U394" s="152"/>
      <c r="V394" s="152"/>
      <c r="W394" s="152"/>
      <c r="X394" s="152"/>
      <c r="Y394" s="152"/>
      <c r="Z394" s="152"/>
    </row>
    <row r="395" ht="12.75" customHeight="1">
      <c r="A395" s="152"/>
      <c r="B395" s="232"/>
      <c r="C395" s="152"/>
      <c r="D395" s="152"/>
      <c r="E395" s="152"/>
      <c r="F395" s="152"/>
      <c r="G395" s="152"/>
      <c r="H395" s="152"/>
      <c r="I395" s="152"/>
      <c r="J395" s="152"/>
      <c r="K395" s="152"/>
      <c r="L395" s="152"/>
      <c r="M395" s="152"/>
      <c r="N395" s="152"/>
      <c r="O395" s="152"/>
      <c r="P395" s="152"/>
      <c r="Q395" s="152"/>
      <c r="R395" s="152"/>
      <c r="S395" s="152"/>
      <c r="T395" s="152"/>
      <c r="U395" s="152"/>
      <c r="V395" s="152"/>
      <c r="W395" s="152"/>
      <c r="X395" s="152"/>
      <c r="Y395" s="152"/>
      <c r="Z395" s="152"/>
    </row>
    <row r="396" ht="12.75" customHeight="1">
      <c r="A396" s="152"/>
      <c r="B396" s="232"/>
      <c r="C396" s="152"/>
      <c r="D396" s="152"/>
      <c r="E396" s="152"/>
      <c r="F396" s="152"/>
      <c r="G396" s="152"/>
      <c r="H396" s="152"/>
      <c r="I396" s="152"/>
      <c r="J396" s="152"/>
      <c r="K396" s="152"/>
      <c r="L396" s="152"/>
      <c r="M396" s="152"/>
      <c r="N396" s="152"/>
      <c r="O396" s="152"/>
      <c r="P396" s="152"/>
      <c r="Q396" s="152"/>
      <c r="R396" s="152"/>
      <c r="S396" s="152"/>
      <c r="T396" s="152"/>
      <c r="U396" s="152"/>
      <c r="V396" s="152"/>
      <c r="W396" s="152"/>
      <c r="X396" s="152"/>
      <c r="Y396" s="152"/>
      <c r="Z396" s="152"/>
    </row>
    <row r="397" ht="12.75" customHeight="1">
      <c r="A397" s="152"/>
      <c r="B397" s="232"/>
      <c r="C397" s="152"/>
      <c r="D397" s="152"/>
      <c r="E397" s="152"/>
      <c r="F397" s="152"/>
      <c r="G397" s="152"/>
      <c r="H397" s="152"/>
      <c r="I397" s="152"/>
      <c r="J397" s="152"/>
      <c r="K397" s="152"/>
      <c r="L397" s="152"/>
      <c r="M397" s="152"/>
      <c r="N397" s="152"/>
      <c r="O397" s="152"/>
      <c r="P397" s="152"/>
      <c r="Q397" s="152"/>
      <c r="R397" s="152"/>
      <c r="S397" s="152"/>
      <c r="T397" s="152"/>
      <c r="U397" s="152"/>
      <c r="V397" s="152"/>
      <c r="W397" s="152"/>
      <c r="X397" s="152"/>
      <c r="Y397" s="152"/>
      <c r="Z397" s="152"/>
    </row>
    <row r="398" ht="12.75" customHeight="1">
      <c r="A398" s="152"/>
      <c r="B398" s="232"/>
      <c r="C398" s="152"/>
      <c r="D398" s="152"/>
      <c r="E398" s="152"/>
      <c r="F398" s="152"/>
      <c r="G398" s="152"/>
      <c r="H398" s="152"/>
      <c r="I398" s="152"/>
      <c r="J398" s="152"/>
      <c r="K398" s="152"/>
      <c r="L398" s="152"/>
      <c r="M398" s="152"/>
      <c r="N398" s="152"/>
      <c r="O398" s="152"/>
      <c r="P398" s="152"/>
      <c r="Q398" s="152"/>
      <c r="R398" s="152"/>
      <c r="S398" s="152"/>
      <c r="T398" s="152"/>
      <c r="U398" s="152"/>
      <c r="V398" s="152"/>
      <c r="W398" s="152"/>
      <c r="X398" s="152"/>
      <c r="Y398" s="152"/>
      <c r="Z398" s="152"/>
    </row>
    <row r="399" ht="12.75" customHeight="1">
      <c r="A399" s="152"/>
      <c r="B399" s="232"/>
      <c r="C399" s="152"/>
      <c r="D399" s="152"/>
      <c r="E399" s="152"/>
      <c r="F399" s="152"/>
      <c r="G399" s="152"/>
      <c r="H399" s="152"/>
      <c r="I399" s="152"/>
      <c r="J399" s="152"/>
      <c r="K399" s="152"/>
      <c r="L399" s="152"/>
      <c r="M399" s="152"/>
      <c r="N399" s="152"/>
      <c r="O399" s="152"/>
      <c r="P399" s="152"/>
      <c r="Q399" s="152"/>
      <c r="R399" s="152"/>
      <c r="S399" s="152"/>
      <c r="T399" s="152"/>
      <c r="U399" s="152"/>
      <c r="V399" s="152"/>
      <c r="W399" s="152"/>
      <c r="X399" s="152"/>
      <c r="Y399" s="152"/>
      <c r="Z399" s="152"/>
    </row>
    <row r="400" ht="12.75" customHeight="1">
      <c r="A400" s="152"/>
      <c r="B400" s="232"/>
      <c r="C400" s="152"/>
      <c r="D400" s="152"/>
      <c r="E400" s="152"/>
      <c r="F400" s="152"/>
      <c r="G400" s="152"/>
      <c r="H400" s="152"/>
      <c r="I400" s="152"/>
      <c r="J400" s="152"/>
      <c r="K400" s="152"/>
      <c r="L400" s="152"/>
      <c r="M400" s="152"/>
      <c r="N400" s="152"/>
      <c r="O400" s="152"/>
      <c r="P400" s="152"/>
      <c r="Q400" s="152"/>
      <c r="R400" s="152"/>
      <c r="S400" s="152"/>
      <c r="T400" s="152"/>
      <c r="U400" s="152"/>
      <c r="V400" s="152"/>
      <c r="W400" s="152"/>
      <c r="X400" s="152"/>
      <c r="Y400" s="152"/>
      <c r="Z400" s="152"/>
    </row>
    <row r="401" ht="12.75" customHeight="1">
      <c r="A401" s="152"/>
      <c r="B401" s="232"/>
      <c r="C401" s="152"/>
      <c r="D401" s="152"/>
      <c r="E401" s="152"/>
      <c r="F401" s="152"/>
      <c r="G401" s="152"/>
      <c r="H401" s="152"/>
      <c r="I401" s="152"/>
      <c r="J401" s="152"/>
      <c r="K401" s="152"/>
      <c r="L401" s="152"/>
      <c r="M401" s="152"/>
      <c r="N401" s="152"/>
      <c r="O401" s="152"/>
      <c r="P401" s="152"/>
      <c r="Q401" s="152"/>
      <c r="R401" s="152"/>
      <c r="S401" s="152"/>
      <c r="T401" s="152"/>
      <c r="U401" s="152"/>
      <c r="V401" s="152"/>
      <c r="W401" s="152"/>
      <c r="X401" s="152"/>
      <c r="Y401" s="152"/>
      <c r="Z401" s="152"/>
    </row>
    <row r="402" ht="12.75" customHeight="1">
      <c r="A402" s="152"/>
      <c r="B402" s="232"/>
      <c r="C402" s="152"/>
      <c r="D402" s="152"/>
      <c r="E402" s="152"/>
      <c r="F402" s="152"/>
      <c r="G402" s="152"/>
      <c r="H402" s="152"/>
      <c r="I402" s="152"/>
      <c r="J402" s="152"/>
      <c r="K402" s="152"/>
      <c r="L402" s="152"/>
      <c r="M402" s="152"/>
      <c r="N402" s="152"/>
      <c r="O402" s="152"/>
      <c r="P402" s="152"/>
      <c r="Q402" s="152"/>
      <c r="R402" s="152"/>
      <c r="S402" s="152"/>
      <c r="T402" s="152"/>
      <c r="U402" s="152"/>
      <c r="V402" s="152"/>
      <c r="W402" s="152"/>
      <c r="X402" s="152"/>
      <c r="Y402" s="152"/>
      <c r="Z402" s="152"/>
    </row>
    <row r="403" ht="12.75" customHeight="1">
      <c r="A403" s="152"/>
      <c r="B403" s="232"/>
      <c r="C403" s="152"/>
      <c r="D403" s="152"/>
      <c r="E403" s="152"/>
      <c r="F403" s="152"/>
      <c r="G403" s="152"/>
      <c r="H403" s="152"/>
      <c r="I403" s="152"/>
      <c r="J403" s="152"/>
      <c r="K403" s="152"/>
      <c r="L403" s="152"/>
      <c r="M403" s="152"/>
      <c r="N403" s="152"/>
      <c r="O403" s="152"/>
      <c r="P403" s="152"/>
      <c r="Q403" s="152"/>
      <c r="R403" s="152"/>
      <c r="S403" s="152"/>
      <c r="T403" s="152"/>
      <c r="U403" s="152"/>
      <c r="V403" s="152"/>
      <c r="W403" s="152"/>
      <c r="X403" s="152"/>
      <c r="Y403" s="152"/>
      <c r="Z403" s="152"/>
    </row>
    <row r="404" ht="12.75" customHeight="1">
      <c r="A404" s="152"/>
      <c r="B404" s="232"/>
      <c r="C404" s="152"/>
      <c r="D404" s="152"/>
      <c r="E404" s="152"/>
      <c r="F404" s="152"/>
      <c r="G404" s="152"/>
      <c r="H404" s="152"/>
      <c r="I404" s="152"/>
      <c r="J404" s="152"/>
      <c r="K404" s="152"/>
      <c r="L404" s="152"/>
      <c r="M404" s="152"/>
      <c r="N404" s="152"/>
      <c r="O404" s="152"/>
      <c r="P404" s="152"/>
      <c r="Q404" s="152"/>
      <c r="R404" s="152"/>
      <c r="S404" s="152"/>
      <c r="T404" s="152"/>
      <c r="U404" s="152"/>
      <c r="V404" s="152"/>
      <c r="W404" s="152"/>
      <c r="X404" s="152"/>
      <c r="Y404" s="152"/>
      <c r="Z404" s="152"/>
    </row>
    <row r="405" ht="12.75" customHeight="1">
      <c r="A405" s="152"/>
      <c r="B405" s="232"/>
      <c r="C405" s="152"/>
      <c r="D405" s="152"/>
      <c r="E405" s="152"/>
      <c r="F405" s="152"/>
      <c r="G405" s="152"/>
      <c r="H405" s="152"/>
      <c r="I405" s="152"/>
      <c r="J405" s="152"/>
      <c r="K405" s="152"/>
      <c r="L405" s="152"/>
      <c r="M405" s="152"/>
      <c r="N405" s="152"/>
      <c r="O405" s="152"/>
      <c r="P405" s="152"/>
      <c r="Q405" s="152"/>
      <c r="R405" s="152"/>
      <c r="S405" s="152"/>
      <c r="T405" s="152"/>
      <c r="U405" s="152"/>
      <c r="V405" s="152"/>
      <c r="W405" s="152"/>
      <c r="X405" s="152"/>
      <c r="Y405" s="152"/>
      <c r="Z405" s="152"/>
    </row>
    <row r="406" ht="12.75" customHeight="1">
      <c r="A406" s="152"/>
      <c r="B406" s="232"/>
      <c r="C406" s="152"/>
      <c r="D406" s="152"/>
      <c r="E406" s="152"/>
      <c r="F406" s="152"/>
      <c r="G406" s="152"/>
      <c r="H406" s="152"/>
      <c r="I406" s="152"/>
      <c r="J406" s="152"/>
      <c r="K406" s="152"/>
      <c r="L406" s="152"/>
      <c r="M406" s="152"/>
      <c r="N406" s="152"/>
      <c r="O406" s="152"/>
      <c r="P406" s="152"/>
      <c r="Q406" s="152"/>
      <c r="R406" s="152"/>
      <c r="S406" s="152"/>
      <c r="T406" s="152"/>
      <c r="U406" s="152"/>
      <c r="V406" s="152"/>
      <c r="W406" s="152"/>
      <c r="X406" s="152"/>
      <c r="Y406" s="152"/>
      <c r="Z406" s="152"/>
    </row>
    <row r="407" ht="12.75" customHeight="1">
      <c r="A407" s="152"/>
      <c r="B407" s="232"/>
      <c r="C407" s="152"/>
      <c r="D407" s="152"/>
      <c r="E407" s="152"/>
      <c r="F407" s="152"/>
      <c r="G407" s="152"/>
      <c r="H407" s="152"/>
      <c r="I407" s="152"/>
      <c r="J407" s="152"/>
      <c r="K407" s="152"/>
      <c r="L407" s="152"/>
      <c r="M407" s="152"/>
      <c r="N407" s="152"/>
      <c r="O407" s="152"/>
      <c r="P407" s="152"/>
      <c r="Q407" s="152"/>
      <c r="R407" s="152"/>
      <c r="S407" s="152"/>
      <c r="T407" s="152"/>
      <c r="U407" s="152"/>
      <c r="V407" s="152"/>
      <c r="W407" s="152"/>
      <c r="X407" s="152"/>
      <c r="Y407" s="152"/>
      <c r="Z407" s="152"/>
    </row>
    <row r="408" ht="12.75" customHeight="1">
      <c r="A408" s="152"/>
      <c r="B408" s="232"/>
      <c r="C408" s="152"/>
      <c r="D408" s="152"/>
      <c r="E408" s="152"/>
      <c r="F408" s="152"/>
      <c r="G408" s="152"/>
      <c r="H408" s="152"/>
      <c r="I408" s="152"/>
      <c r="J408" s="152"/>
      <c r="K408" s="152"/>
      <c r="L408" s="152"/>
      <c r="M408" s="152"/>
      <c r="N408" s="152"/>
      <c r="O408" s="152"/>
      <c r="P408" s="152"/>
      <c r="Q408" s="152"/>
      <c r="R408" s="152"/>
      <c r="S408" s="152"/>
      <c r="T408" s="152"/>
      <c r="U408" s="152"/>
      <c r="V408" s="152"/>
      <c r="W408" s="152"/>
      <c r="X408" s="152"/>
      <c r="Y408" s="152"/>
      <c r="Z408" s="152"/>
    </row>
    <row r="409" ht="12.75" customHeight="1">
      <c r="A409" s="152"/>
      <c r="B409" s="232"/>
      <c r="C409" s="152"/>
      <c r="D409" s="152"/>
      <c r="E409" s="152"/>
      <c r="F409" s="152"/>
      <c r="G409" s="152"/>
      <c r="H409" s="152"/>
      <c r="I409" s="152"/>
      <c r="J409" s="152"/>
      <c r="K409" s="152"/>
      <c r="L409" s="152"/>
      <c r="M409" s="152"/>
      <c r="N409" s="152"/>
      <c r="O409" s="152"/>
      <c r="P409" s="152"/>
      <c r="Q409" s="152"/>
      <c r="R409" s="152"/>
      <c r="S409" s="152"/>
      <c r="T409" s="152"/>
      <c r="U409" s="152"/>
      <c r="V409" s="152"/>
      <c r="W409" s="152"/>
      <c r="X409" s="152"/>
      <c r="Y409" s="152"/>
      <c r="Z409" s="152"/>
    </row>
    <row r="410" ht="12.75" customHeight="1">
      <c r="A410" s="152"/>
      <c r="B410" s="232"/>
      <c r="C410" s="152"/>
      <c r="D410" s="152"/>
      <c r="E410" s="152"/>
      <c r="F410" s="152"/>
      <c r="G410" s="152"/>
      <c r="H410" s="152"/>
      <c r="I410" s="152"/>
      <c r="J410" s="152"/>
      <c r="K410" s="152"/>
      <c r="L410" s="152"/>
      <c r="M410" s="152"/>
      <c r="N410" s="152"/>
      <c r="O410" s="152"/>
      <c r="P410" s="152"/>
      <c r="Q410" s="152"/>
      <c r="R410" s="152"/>
      <c r="S410" s="152"/>
      <c r="T410" s="152"/>
      <c r="U410" s="152"/>
      <c r="V410" s="152"/>
      <c r="W410" s="152"/>
      <c r="X410" s="152"/>
      <c r="Y410" s="152"/>
      <c r="Z410" s="152"/>
    </row>
    <row r="411" ht="12.75" customHeight="1">
      <c r="A411" s="152"/>
      <c r="B411" s="232"/>
      <c r="C411" s="152"/>
      <c r="D411" s="152"/>
      <c r="E411" s="152"/>
      <c r="F411" s="152"/>
      <c r="G411" s="152"/>
      <c r="H411" s="152"/>
      <c r="I411" s="152"/>
      <c r="J411" s="152"/>
      <c r="K411" s="152"/>
      <c r="L411" s="152"/>
      <c r="M411" s="152"/>
      <c r="N411" s="152"/>
      <c r="O411" s="152"/>
      <c r="P411" s="152"/>
      <c r="Q411" s="152"/>
      <c r="R411" s="152"/>
      <c r="S411" s="152"/>
      <c r="T411" s="152"/>
      <c r="U411" s="152"/>
      <c r="V411" s="152"/>
      <c r="W411" s="152"/>
      <c r="X411" s="152"/>
      <c r="Y411" s="152"/>
      <c r="Z411" s="152"/>
    </row>
    <row r="412" ht="12.75" customHeight="1">
      <c r="A412" s="152"/>
      <c r="B412" s="232"/>
      <c r="C412" s="152"/>
      <c r="D412" s="152"/>
      <c r="E412" s="152"/>
      <c r="F412" s="152"/>
      <c r="G412" s="152"/>
      <c r="H412" s="152"/>
      <c r="I412" s="152"/>
      <c r="J412" s="152"/>
      <c r="K412" s="152"/>
      <c r="L412" s="152"/>
      <c r="M412" s="152"/>
      <c r="N412" s="152"/>
      <c r="O412" s="152"/>
      <c r="P412" s="152"/>
      <c r="Q412" s="152"/>
      <c r="R412" s="152"/>
      <c r="S412" s="152"/>
      <c r="T412" s="152"/>
      <c r="U412" s="152"/>
      <c r="V412" s="152"/>
      <c r="W412" s="152"/>
      <c r="X412" s="152"/>
      <c r="Y412" s="152"/>
      <c r="Z412" s="152"/>
    </row>
    <row r="413" ht="12.75" customHeight="1">
      <c r="A413" s="152"/>
      <c r="B413" s="232"/>
      <c r="C413" s="152"/>
      <c r="D413" s="152"/>
      <c r="E413" s="152"/>
      <c r="F413" s="152"/>
      <c r="G413" s="152"/>
      <c r="H413" s="152"/>
      <c r="I413" s="152"/>
      <c r="J413" s="152"/>
      <c r="K413" s="152"/>
      <c r="L413" s="152"/>
      <c r="M413" s="152"/>
      <c r="N413" s="152"/>
      <c r="O413" s="152"/>
      <c r="P413" s="152"/>
      <c r="Q413" s="152"/>
      <c r="R413" s="152"/>
      <c r="S413" s="152"/>
      <c r="T413" s="152"/>
      <c r="U413" s="152"/>
      <c r="V413" s="152"/>
      <c r="W413" s="152"/>
      <c r="X413" s="152"/>
      <c r="Y413" s="152"/>
      <c r="Z413" s="152"/>
    </row>
    <row r="414" ht="12.75" customHeight="1">
      <c r="A414" s="152"/>
      <c r="B414" s="232"/>
      <c r="C414" s="152"/>
      <c r="D414" s="152"/>
      <c r="E414" s="152"/>
      <c r="F414" s="152"/>
      <c r="G414" s="152"/>
      <c r="H414" s="152"/>
      <c r="I414" s="152"/>
      <c r="J414" s="152"/>
      <c r="K414" s="152"/>
      <c r="L414" s="152"/>
      <c r="M414" s="152"/>
      <c r="N414" s="152"/>
      <c r="O414" s="152"/>
      <c r="P414" s="152"/>
      <c r="Q414" s="152"/>
      <c r="R414" s="152"/>
      <c r="S414" s="152"/>
      <c r="T414" s="152"/>
      <c r="U414" s="152"/>
      <c r="V414" s="152"/>
      <c r="W414" s="152"/>
      <c r="X414" s="152"/>
      <c r="Y414" s="152"/>
      <c r="Z414" s="152"/>
    </row>
    <row r="415" ht="12.75" customHeight="1">
      <c r="A415" s="152"/>
      <c r="B415" s="232"/>
      <c r="C415" s="152"/>
      <c r="D415" s="152"/>
      <c r="E415" s="152"/>
      <c r="F415" s="152"/>
      <c r="G415" s="152"/>
      <c r="H415" s="152"/>
      <c r="I415" s="152"/>
      <c r="J415" s="152"/>
      <c r="K415" s="152"/>
      <c r="L415" s="152"/>
      <c r="M415" s="152"/>
      <c r="N415" s="152"/>
      <c r="O415" s="152"/>
      <c r="P415" s="152"/>
      <c r="Q415" s="152"/>
      <c r="R415" s="152"/>
      <c r="S415" s="152"/>
      <c r="T415" s="152"/>
      <c r="U415" s="152"/>
      <c r="V415" s="152"/>
      <c r="W415" s="152"/>
      <c r="X415" s="152"/>
      <c r="Y415" s="152"/>
      <c r="Z415" s="152"/>
    </row>
    <row r="416" ht="12.75" customHeight="1">
      <c r="A416" s="152"/>
      <c r="B416" s="232"/>
      <c r="C416" s="152"/>
      <c r="D416" s="152"/>
      <c r="E416" s="152"/>
      <c r="F416" s="152"/>
      <c r="G416" s="152"/>
      <c r="H416" s="152"/>
      <c r="I416" s="152"/>
      <c r="J416" s="152"/>
      <c r="K416" s="152"/>
      <c r="L416" s="152"/>
      <c r="M416" s="152"/>
      <c r="N416" s="152"/>
      <c r="O416" s="152"/>
      <c r="P416" s="152"/>
      <c r="Q416" s="152"/>
      <c r="R416" s="152"/>
      <c r="S416" s="152"/>
      <c r="T416" s="152"/>
      <c r="U416" s="152"/>
      <c r="V416" s="152"/>
      <c r="W416" s="152"/>
      <c r="X416" s="152"/>
      <c r="Y416" s="152"/>
      <c r="Z416" s="152"/>
    </row>
    <row r="417" ht="12.75" customHeight="1">
      <c r="A417" s="152"/>
      <c r="B417" s="232"/>
      <c r="C417" s="152"/>
      <c r="D417" s="152"/>
      <c r="E417" s="152"/>
      <c r="F417" s="152"/>
      <c r="G417" s="152"/>
      <c r="H417" s="152"/>
      <c r="I417" s="152"/>
      <c r="J417" s="152"/>
      <c r="K417" s="152"/>
      <c r="L417" s="152"/>
      <c r="M417" s="152"/>
      <c r="N417" s="152"/>
      <c r="O417" s="152"/>
      <c r="P417" s="152"/>
      <c r="Q417" s="152"/>
      <c r="R417" s="152"/>
      <c r="S417" s="152"/>
      <c r="T417" s="152"/>
      <c r="U417" s="152"/>
      <c r="V417" s="152"/>
      <c r="W417" s="152"/>
      <c r="X417" s="152"/>
      <c r="Y417" s="152"/>
      <c r="Z417" s="152"/>
    </row>
    <row r="418" ht="12.75" customHeight="1">
      <c r="A418" s="152"/>
      <c r="B418" s="232"/>
      <c r="C418" s="152"/>
      <c r="D418" s="152"/>
      <c r="E418" s="152"/>
      <c r="F418" s="152"/>
      <c r="G418" s="152"/>
      <c r="H418" s="152"/>
      <c r="I418" s="152"/>
      <c r="J418" s="152"/>
      <c r="K418" s="152"/>
      <c r="L418" s="152"/>
      <c r="M418" s="152"/>
      <c r="N418" s="152"/>
      <c r="O418" s="152"/>
      <c r="P418" s="152"/>
      <c r="Q418" s="152"/>
      <c r="R418" s="152"/>
      <c r="S418" s="152"/>
      <c r="T418" s="152"/>
      <c r="U418" s="152"/>
      <c r="V418" s="152"/>
      <c r="W418" s="152"/>
      <c r="X418" s="152"/>
      <c r="Y418" s="152"/>
      <c r="Z418" s="152"/>
    </row>
    <row r="419" ht="12.75" customHeight="1">
      <c r="A419" s="152"/>
      <c r="B419" s="232"/>
      <c r="C419" s="152"/>
      <c r="D419" s="152"/>
      <c r="E419" s="152"/>
      <c r="F419" s="152"/>
      <c r="G419" s="152"/>
      <c r="H419" s="152"/>
      <c r="I419" s="152"/>
      <c r="J419" s="152"/>
      <c r="K419" s="152"/>
      <c r="L419" s="152"/>
      <c r="M419" s="152"/>
      <c r="N419" s="152"/>
      <c r="O419" s="152"/>
      <c r="P419" s="152"/>
      <c r="Q419" s="152"/>
      <c r="R419" s="152"/>
      <c r="S419" s="152"/>
      <c r="T419" s="152"/>
      <c r="U419" s="152"/>
      <c r="V419" s="152"/>
      <c r="W419" s="152"/>
      <c r="X419" s="152"/>
      <c r="Y419" s="152"/>
      <c r="Z419" s="152"/>
    </row>
    <row r="420" ht="12.75" customHeight="1">
      <c r="A420" s="152"/>
      <c r="B420" s="232"/>
      <c r="C420" s="152"/>
      <c r="D420" s="152"/>
      <c r="E420" s="152"/>
      <c r="F420" s="152"/>
      <c r="G420" s="152"/>
      <c r="H420" s="152"/>
      <c r="I420" s="152"/>
      <c r="J420" s="152"/>
      <c r="K420" s="152"/>
      <c r="L420" s="152"/>
      <c r="M420" s="152"/>
      <c r="N420" s="152"/>
      <c r="O420" s="152"/>
      <c r="P420" s="152"/>
      <c r="Q420" s="152"/>
      <c r="R420" s="152"/>
      <c r="S420" s="152"/>
      <c r="T420" s="152"/>
      <c r="U420" s="152"/>
      <c r="V420" s="152"/>
      <c r="W420" s="152"/>
      <c r="X420" s="152"/>
      <c r="Y420" s="152"/>
      <c r="Z420" s="152"/>
    </row>
    <row r="421" ht="12.75" customHeight="1">
      <c r="A421" s="152"/>
      <c r="B421" s="232"/>
      <c r="C421" s="152"/>
      <c r="D421" s="152"/>
      <c r="E421" s="152"/>
      <c r="F421" s="152"/>
      <c r="G421" s="152"/>
      <c r="H421" s="152"/>
      <c r="I421" s="152"/>
      <c r="J421" s="152"/>
      <c r="K421" s="152"/>
      <c r="L421" s="152"/>
      <c r="M421" s="152"/>
      <c r="N421" s="152"/>
      <c r="O421" s="152"/>
      <c r="P421" s="152"/>
      <c r="Q421" s="152"/>
      <c r="R421" s="152"/>
      <c r="S421" s="152"/>
      <c r="T421" s="152"/>
      <c r="U421" s="152"/>
      <c r="V421" s="152"/>
      <c r="W421" s="152"/>
      <c r="X421" s="152"/>
      <c r="Y421" s="152"/>
      <c r="Z421" s="152"/>
    </row>
    <row r="422" ht="12.75" customHeight="1">
      <c r="A422" s="152"/>
      <c r="B422" s="232"/>
      <c r="C422" s="152"/>
      <c r="D422" s="152"/>
      <c r="E422" s="152"/>
      <c r="F422" s="152"/>
      <c r="G422" s="152"/>
      <c r="H422" s="152"/>
      <c r="I422" s="152"/>
      <c r="J422" s="152"/>
      <c r="K422" s="152"/>
      <c r="L422" s="152"/>
      <c r="M422" s="152"/>
      <c r="N422" s="152"/>
      <c r="O422" s="152"/>
      <c r="P422" s="152"/>
      <c r="Q422" s="152"/>
      <c r="R422" s="152"/>
      <c r="S422" s="152"/>
      <c r="T422" s="152"/>
      <c r="U422" s="152"/>
      <c r="V422" s="152"/>
      <c r="W422" s="152"/>
      <c r="X422" s="152"/>
      <c r="Y422" s="152"/>
      <c r="Z422" s="152"/>
    </row>
    <row r="423" ht="12.75" customHeight="1">
      <c r="A423" s="152"/>
      <c r="B423" s="232"/>
      <c r="C423" s="152"/>
      <c r="D423" s="152"/>
      <c r="E423" s="152"/>
      <c r="F423" s="152"/>
      <c r="G423" s="152"/>
      <c r="H423" s="152"/>
      <c r="I423" s="152"/>
      <c r="J423" s="152"/>
      <c r="K423" s="152"/>
      <c r="L423" s="152"/>
      <c r="M423" s="152"/>
      <c r="N423" s="152"/>
      <c r="O423" s="152"/>
      <c r="P423" s="152"/>
      <c r="Q423" s="152"/>
      <c r="R423" s="152"/>
      <c r="S423" s="152"/>
      <c r="T423" s="152"/>
      <c r="U423" s="152"/>
      <c r="V423" s="152"/>
      <c r="W423" s="152"/>
      <c r="X423" s="152"/>
      <c r="Y423" s="152"/>
      <c r="Z423" s="152"/>
    </row>
    <row r="424" ht="12.75" customHeight="1">
      <c r="A424" s="152"/>
      <c r="B424" s="232"/>
      <c r="C424" s="152"/>
      <c r="D424" s="152"/>
      <c r="E424" s="152"/>
      <c r="F424" s="152"/>
      <c r="G424" s="152"/>
      <c r="H424" s="152"/>
      <c r="I424" s="152"/>
      <c r="J424" s="152"/>
      <c r="K424" s="152"/>
      <c r="L424" s="152"/>
      <c r="M424" s="152"/>
      <c r="N424" s="152"/>
      <c r="O424" s="152"/>
      <c r="P424" s="152"/>
      <c r="Q424" s="152"/>
      <c r="R424" s="152"/>
      <c r="S424" s="152"/>
      <c r="T424" s="152"/>
      <c r="U424" s="152"/>
      <c r="V424" s="152"/>
      <c r="W424" s="152"/>
      <c r="X424" s="152"/>
      <c r="Y424" s="152"/>
      <c r="Z424" s="152"/>
    </row>
    <row r="425" ht="12.75" customHeight="1">
      <c r="A425" s="152"/>
      <c r="B425" s="232"/>
      <c r="C425" s="152"/>
      <c r="D425" s="152"/>
      <c r="E425" s="152"/>
      <c r="F425" s="152"/>
      <c r="G425" s="152"/>
      <c r="H425" s="152"/>
      <c r="I425" s="152"/>
      <c r="J425" s="152"/>
      <c r="K425" s="152"/>
      <c r="L425" s="152"/>
      <c r="M425" s="152"/>
      <c r="N425" s="152"/>
      <c r="O425" s="152"/>
      <c r="P425" s="152"/>
      <c r="Q425" s="152"/>
      <c r="R425" s="152"/>
      <c r="S425" s="152"/>
      <c r="T425" s="152"/>
      <c r="U425" s="152"/>
      <c r="V425" s="152"/>
      <c r="W425" s="152"/>
      <c r="X425" s="152"/>
      <c r="Y425" s="152"/>
      <c r="Z425" s="152"/>
    </row>
    <row r="426" ht="12.75" customHeight="1">
      <c r="A426" s="152"/>
      <c r="B426" s="232"/>
      <c r="C426" s="152"/>
      <c r="D426" s="152"/>
      <c r="E426" s="152"/>
      <c r="F426" s="152"/>
      <c r="G426" s="152"/>
      <c r="H426" s="152"/>
      <c r="I426" s="152"/>
      <c r="J426" s="152"/>
      <c r="K426" s="152"/>
      <c r="L426" s="152"/>
      <c r="M426" s="152"/>
      <c r="N426" s="152"/>
      <c r="O426" s="152"/>
      <c r="P426" s="152"/>
      <c r="Q426" s="152"/>
      <c r="R426" s="152"/>
      <c r="S426" s="152"/>
      <c r="T426" s="152"/>
      <c r="U426" s="152"/>
      <c r="V426" s="152"/>
      <c r="W426" s="152"/>
      <c r="X426" s="152"/>
      <c r="Y426" s="152"/>
      <c r="Z426" s="152"/>
    </row>
    <row r="427" ht="12.75" customHeight="1">
      <c r="A427" s="152"/>
      <c r="B427" s="232"/>
      <c r="C427" s="152"/>
      <c r="D427" s="152"/>
      <c r="E427" s="152"/>
      <c r="F427" s="152"/>
      <c r="G427" s="152"/>
      <c r="H427" s="152"/>
      <c r="I427" s="152"/>
      <c r="J427" s="152"/>
      <c r="K427" s="152"/>
      <c r="L427" s="152"/>
      <c r="M427" s="152"/>
      <c r="N427" s="152"/>
      <c r="O427" s="152"/>
      <c r="P427" s="152"/>
      <c r="Q427" s="152"/>
      <c r="R427" s="152"/>
      <c r="S427" s="152"/>
      <c r="T427" s="152"/>
      <c r="U427" s="152"/>
      <c r="V427" s="152"/>
      <c r="W427" s="152"/>
      <c r="X427" s="152"/>
      <c r="Y427" s="152"/>
      <c r="Z427" s="152"/>
    </row>
    <row r="428" ht="12.75" customHeight="1">
      <c r="A428" s="152"/>
      <c r="B428" s="232"/>
      <c r="C428" s="152"/>
      <c r="D428" s="152"/>
      <c r="E428" s="152"/>
      <c r="F428" s="152"/>
      <c r="G428" s="152"/>
      <c r="H428" s="152"/>
      <c r="I428" s="152"/>
      <c r="J428" s="152"/>
      <c r="K428" s="152"/>
      <c r="L428" s="152"/>
      <c r="M428" s="152"/>
      <c r="N428" s="152"/>
      <c r="O428" s="152"/>
      <c r="P428" s="152"/>
      <c r="Q428" s="152"/>
      <c r="R428" s="152"/>
      <c r="S428" s="152"/>
      <c r="T428" s="152"/>
      <c r="U428" s="152"/>
      <c r="V428" s="152"/>
      <c r="W428" s="152"/>
      <c r="X428" s="152"/>
      <c r="Y428" s="152"/>
      <c r="Z428" s="152"/>
    </row>
    <row r="429" ht="12.75" customHeight="1">
      <c r="A429" s="152"/>
      <c r="B429" s="232"/>
      <c r="C429" s="152"/>
      <c r="D429" s="152"/>
      <c r="E429" s="152"/>
      <c r="F429" s="152"/>
      <c r="G429" s="152"/>
      <c r="H429" s="152"/>
      <c r="I429" s="152"/>
      <c r="J429" s="152"/>
      <c r="K429" s="152"/>
      <c r="L429" s="152"/>
      <c r="M429" s="152"/>
      <c r="N429" s="152"/>
      <c r="O429" s="152"/>
      <c r="P429" s="152"/>
      <c r="Q429" s="152"/>
      <c r="R429" s="152"/>
      <c r="S429" s="152"/>
      <c r="T429" s="152"/>
      <c r="U429" s="152"/>
      <c r="V429" s="152"/>
      <c r="W429" s="152"/>
      <c r="X429" s="152"/>
      <c r="Y429" s="152"/>
      <c r="Z429" s="152"/>
    </row>
    <row r="430" ht="12.75" customHeight="1">
      <c r="A430" s="152"/>
      <c r="B430" s="232"/>
      <c r="C430" s="152"/>
      <c r="D430" s="152"/>
      <c r="E430" s="152"/>
      <c r="F430" s="152"/>
      <c r="G430" s="152"/>
      <c r="H430" s="152"/>
      <c r="I430" s="152"/>
      <c r="J430" s="152"/>
      <c r="K430" s="152"/>
      <c r="L430" s="152"/>
      <c r="M430" s="152"/>
      <c r="N430" s="152"/>
      <c r="O430" s="152"/>
      <c r="P430" s="152"/>
      <c r="Q430" s="152"/>
      <c r="R430" s="152"/>
      <c r="S430" s="152"/>
      <c r="T430" s="152"/>
      <c r="U430" s="152"/>
      <c r="V430" s="152"/>
      <c r="W430" s="152"/>
      <c r="X430" s="152"/>
      <c r="Y430" s="152"/>
      <c r="Z430" s="152"/>
    </row>
    <row r="431" ht="12.75" customHeight="1">
      <c r="A431" s="152"/>
      <c r="B431" s="232"/>
      <c r="C431" s="152"/>
      <c r="D431" s="152"/>
      <c r="E431" s="152"/>
      <c r="F431" s="152"/>
      <c r="G431" s="152"/>
      <c r="H431" s="152"/>
      <c r="I431" s="152"/>
      <c r="J431" s="152"/>
      <c r="K431" s="152"/>
      <c r="L431" s="152"/>
      <c r="M431" s="152"/>
      <c r="N431" s="152"/>
      <c r="O431" s="152"/>
      <c r="P431" s="152"/>
      <c r="Q431" s="152"/>
      <c r="R431" s="152"/>
      <c r="S431" s="152"/>
      <c r="T431" s="152"/>
      <c r="U431" s="152"/>
      <c r="V431" s="152"/>
      <c r="W431" s="152"/>
      <c r="X431" s="152"/>
      <c r="Y431" s="152"/>
      <c r="Z431" s="152"/>
    </row>
    <row r="432" ht="12.75" customHeight="1">
      <c r="A432" s="152"/>
      <c r="B432" s="232"/>
      <c r="C432" s="152"/>
      <c r="D432" s="152"/>
      <c r="E432" s="152"/>
      <c r="F432" s="152"/>
      <c r="G432" s="152"/>
      <c r="H432" s="152"/>
      <c r="I432" s="152"/>
      <c r="J432" s="152"/>
      <c r="K432" s="152"/>
      <c r="L432" s="152"/>
      <c r="M432" s="152"/>
      <c r="N432" s="152"/>
      <c r="O432" s="152"/>
      <c r="P432" s="152"/>
      <c r="Q432" s="152"/>
      <c r="R432" s="152"/>
      <c r="S432" s="152"/>
      <c r="T432" s="152"/>
      <c r="U432" s="152"/>
      <c r="V432" s="152"/>
      <c r="W432" s="152"/>
      <c r="X432" s="152"/>
      <c r="Y432" s="152"/>
      <c r="Z432" s="152"/>
    </row>
    <row r="433" ht="12.75" customHeight="1">
      <c r="A433" s="152"/>
      <c r="B433" s="232"/>
      <c r="C433" s="152"/>
      <c r="D433" s="152"/>
      <c r="E433" s="152"/>
      <c r="F433" s="152"/>
      <c r="G433" s="152"/>
      <c r="H433" s="152"/>
      <c r="I433" s="152"/>
      <c r="J433" s="152"/>
      <c r="K433" s="152"/>
      <c r="L433" s="152"/>
      <c r="M433" s="152"/>
      <c r="N433" s="152"/>
      <c r="O433" s="152"/>
      <c r="P433" s="152"/>
      <c r="Q433" s="152"/>
      <c r="R433" s="152"/>
      <c r="S433" s="152"/>
      <c r="T433" s="152"/>
      <c r="U433" s="152"/>
      <c r="V433" s="152"/>
      <c r="W433" s="152"/>
      <c r="X433" s="152"/>
      <c r="Y433" s="152"/>
      <c r="Z433" s="152"/>
    </row>
    <row r="434" ht="12.75" customHeight="1">
      <c r="A434" s="152"/>
      <c r="B434" s="232"/>
      <c r="C434" s="152"/>
      <c r="D434" s="152"/>
      <c r="E434" s="152"/>
      <c r="F434" s="152"/>
      <c r="G434" s="152"/>
      <c r="H434" s="152"/>
      <c r="I434" s="152"/>
      <c r="J434" s="152"/>
      <c r="K434" s="152"/>
      <c r="L434" s="152"/>
      <c r="M434" s="152"/>
      <c r="N434" s="152"/>
      <c r="O434" s="152"/>
      <c r="P434" s="152"/>
      <c r="Q434" s="152"/>
      <c r="R434" s="152"/>
      <c r="S434" s="152"/>
      <c r="T434" s="152"/>
      <c r="U434" s="152"/>
      <c r="V434" s="152"/>
      <c r="W434" s="152"/>
      <c r="X434" s="152"/>
      <c r="Y434" s="152"/>
      <c r="Z434" s="152"/>
    </row>
    <row r="435" ht="12.75" customHeight="1">
      <c r="A435" s="152"/>
      <c r="B435" s="232"/>
      <c r="C435" s="152"/>
      <c r="D435" s="152"/>
      <c r="E435" s="152"/>
      <c r="F435" s="152"/>
      <c r="G435" s="152"/>
      <c r="H435" s="152"/>
      <c r="I435" s="152"/>
      <c r="J435" s="152"/>
      <c r="K435" s="152"/>
      <c r="L435" s="152"/>
      <c r="M435" s="152"/>
      <c r="N435" s="152"/>
      <c r="O435" s="152"/>
      <c r="P435" s="152"/>
      <c r="Q435" s="152"/>
      <c r="R435" s="152"/>
      <c r="S435" s="152"/>
      <c r="T435" s="152"/>
      <c r="U435" s="152"/>
      <c r="V435" s="152"/>
      <c r="W435" s="152"/>
      <c r="X435" s="152"/>
      <c r="Y435" s="152"/>
      <c r="Z435" s="152"/>
    </row>
    <row r="436" ht="12.75" customHeight="1">
      <c r="A436" s="152"/>
      <c r="B436" s="232"/>
      <c r="C436" s="152"/>
      <c r="D436" s="152"/>
      <c r="E436" s="152"/>
      <c r="F436" s="152"/>
      <c r="G436" s="152"/>
      <c r="H436" s="152"/>
      <c r="I436" s="152"/>
      <c r="J436" s="152"/>
      <c r="K436" s="152"/>
      <c r="L436" s="152"/>
      <c r="M436" s="152"/>
      <c r="N436" s="152"/>
      <c r="O436" s="152"/>
      <c r="P436" s="152"/>
      <c r="Q436" s="152"/>
      <c r="R436" s="152"/>
      <c r="S436" s="152"/>
      <c r="T436" s="152"/>
      <c r="U436" s="152"/>
      <c r="V436" s="152"/>
      <c r="W436" s="152"/>
      <c r="X436" s="152"/>
      <c r="Y436" s="152"/>
      <c r="Z436" s="152"/>
    </row>
    <row r="437" ht="12.75" customHeight="1">
      <c r="A437" s="152"/>
      <c r="B437" s="232"/>
      <c r="C437" s="152"/>
      <c r="D437" s="152"/>
      <c r="E437" s="152"/>
      <c r="F437" s="152"/>
      <c r="G437" s="152"/>
      <c r="H437" s="152"/>
      <c r="I437" s="152"/>
      <c r="J437" s="152"/>
      <c r="K437" s="152"/>
      <c r="L437" s="152"/>
      <c r="M437" s="152"/>
      <c r="N437" s="152"/>
      <c r="O437" s="152"/>
      <c r="P437" s="152"/>
      <c r="Q437" s="152"/>
      <c r="R437" s="152"/>
      <c r="S437" s="152"/>
      <c r="T437" s="152"/>
      <c r="U437" s="152"/>
      <c r="V437" s="152"/>
      <c r="W437" s="152"/>
      <c r="X437" s="152"/>
      <c r="Y437" s="152"/>
      <c r="Z437" s="152"/>
    </row>
    <row r="438" ht="12.75" customHeight="1">
      <c r="A438" s="152"/>
      <c r="B438" s="232"/>
      <c r="C438" s="152"/>
      <c r="D438" s="152"/>
      <c r="E438" s="152"/>
      <c r="F438" s="152"/>
      <c r="G438" s="152"/>
      <c r="H438" s="152"/>
      <c r="I438" s="152"/>
      <c r="J438" s="152"/>
      <c r="K438" s="152"/>
      <c r="L438" s="152"/>
      <c r="M438" s="152"/>
      <c r="N438" s="152"/>
      <c r="O438" s="152"/>
      <c r="P438" s="152"/>
      <c r="Q438" s="152"/>
      <c r="R438" s="152"/>
      <c r="S438" s="152"/>
      <c r="T438" s="152"/>
      <c r="U438" s="152"/>
      <c r="V438" s="152"/>
      <c r="W438" s="152"/>
      <c r="X438" s="152"/>
      <c r="Y438" s="152"/>
      <c r="Z438" s="152"/>
    </row>
    <row r="439" ht="12.75" customHeight="1">
      <c r="A439" s="152"/>
      <c r="B439" s="232"/>
      <c r="C439" s="152"/>
      <c r="D439" s="152"/>
      <c r="E439" s="152"/>
      <c r="F439" s="152"/>
      <c r="G439" s="152"/>
      <c r="H439" s="152"/>
      <c r="I439" s="152"/>
      <c r="J439" s="152"/>
      <c r="K439" s="152"/>
      <c r="L439" s="152"/>
      <c r="M439" s="152"/>
      <c r="N439" s="152"/>
      <c r="O439" s="152"/>
      <c r="P439" s="152"/>
      <c r="Q439" s="152"/>
      <c r="R439" s="152"/>
      <c r="S439" s="152"/>
      <c r="T439" s="152"/>
      <c r="U439" s="152"/>
      <c r="V439" s="152"/>
      <c r="W439" s="152"/>
      <c r="X439" s="152"/>
      <c r="Y439" s="152"/>
      <c r="Z439" s="152"/>
    </row>
    <row r="440" ht="12.75" customHeight="1">
      <c r="A440" s="152"/>
      <c r="B440" s="232"/>
      <c r="C440" s="152"/>
      <c r="D440" s="152"/>
      <c r="E440" s="152"/>
      <c r="F440" s="152"/>
      <c r="G440" s="152"/>
      <c r="H440" s="152"/>
      <c r="I440" s="152"/>
      <c r="J440" s="152"/>
      <c r="K440" s="152"/>
      <c r="L440" s="152"/>
      <c r="M440" s="152"/>
      <c r="N440" s="152"/>
      <c r="O440" s="152"/>
      <c r="P440" s="152"/>
      <c r="Q440" s="152"/>
      <c r="R440" s="152"/>
      <c r="S440" s="152"/>
      <c r="T440" s="152"/>
      <c r="U440" s="152"/>
      <c r="V440" s="152"/>
      <c r="W440" s="152"/>
      <c r="X440" s="152"/>
      <c r="Y440" s="152"/>
      <c r="Z440" s="152"/>
    </row>
    <row r="441" ht="12.75" customHeight="1">
      <c r="A441" s="152"/>
      <c r="B441" s="232"/>
      <c r="C441" s="152"/>
      <c r="D441" s="152"/>
      <c r="E441" s="152"/>
      <c r="F441" s="152"/>
      <c r="G441" s="152"/>
      <c r="H441" s="152"/>
      <c r="I441" s="152"/>
      <c r="J441" s="152"/>
      <c r="K441" s="152"/>
      <c r="L441" s="152"/>
      <c r="M441" s="152"/>
      <c r="N441" s="152"/>
      <c r="O441" s="152"/>
      <c r="P441" s="152"/>
      <c r="Q441" s="152"/>
      <c r="R441" s="152"/>
      <c r="S441" s="152"/>
      <c r="T441" s="152"/>
      <c r="U441" s="152"/>
      <c r="V441" s="152"/>
      <c r="W441" s="152"/>
      <c r="X441" s="152"/>
      <c r="Y441" s="152"/>
      <c r="Z441" s="152"/>
    </row>
    <row r="442" ht="12.75" customHeight="1">
      <c r="A442" s="152"/>
      <c r="B442" s="232"/>
      <c r="C442" s="152"/>
      <c r="D442" s="152"/>
      <c r="E442" s="152"/>
      <c r="F442" s="152"/>
      <c r="G442" s="152"/>
      <c r="H442" s="152"/>
      <c r="I442" s="152"/>
      <c r="J442" s="152"/>
      <c r="K442" s="152"/>
      <c r="L442" s="152"/>
      <c r="M442" s="152"/>
      <c r="N442" s="152"/>
      <c r="O442" s="152"/>
      <c r="P442" s="152"/>
      <c r="Q442" s="152"/>
      <c r="R442" s="152"/>
      <c r="S442" s="152"/>
      <c r="T442" s="152"/>
      <c r="U442" s="152"/>
      <c r="V442" s="152"/>
      <c r="W442" s="152"/>
      <c r="X442" s="152"/>
      <c r="Y442" s="152"/>
      <c r="Z442" s="152"/>
    </row>
    <row r="443" ht="12.75" customHeight="1">
      <c r="A443" s="152"/>
      <c r="B443" s="232"/>
      <c r="C443" s="152"/>
      <c r="D443" s="152"/>
      <c r="E443" s="152"/>
      <c r="F443" s="152"/>
      <c r="G443" s="152"/>
      <c r="H443" s="152"/>
      <c r="I443" s="152"/>
      <c r="J443" s="152"/>
      <c r="K443" s="152"/>
      <c r="L443" s="152"/>
      <c r="M443" s="152"/>
      <c r="N443" s="152"/>
      <c r="O443" s="152"/>
      <c r="P443" s="152"/>
      <c r="Q443" s="152"/>
      <c r="R443" s="152"/>
      <c r="S443" s="152"/>
      <c r="T443" s="152"/>
      <c r="U443" s="152"/>
      <c r="V443" s="152"/>
      <c r="W443" s="152"/>
      <c r="X443" s="152"/>
      <c r="Y443" s="152"/>
      <c r="Z443" s="152"/>
    </row>
    <row r="444" ht="12.75" customHeight="1">
      <c r="A444" s="152"/>
      <c r="B444" s="232"/>
      <c r="C444" s="152"/>
      <c r="D444" s="152"/>
      <c r="E444" s="152"/>
      <c r="F444" s="152"/>
      <c r="G444" s="152"/>
      <c r="H444" s="152"/>
      <c r="I444" s="152"/>
      <c r="J444" s="152"/>
      <c r="K444" s="152"/>
      <c r="L444" s="152"/>
      <c r="M444" s="152"/>
      <c r="N444" s="152"/>
      <c r="O444" s="152"/>
      <c r="P444" s="152"/>
      <c r="Q444" s="152"/>
      <c r="R444" s="152"/>
      <c r="S444" s="152"/>
      <c r="T444" s="152"/>
      <c r="U444" s="152"/>
      <c r="V444" s="152"/>
      <c r="W444" s="152"/>
      <c r="X444" s="152"/>
      <c r="Y444" s="152"/>
      <c r="Z444" s="152"/>
    </row>
    <row r="445" ht="12.75" customHeight="1">
      <c r="A445" s="152"/>
      <c r="B445" s="232"/>
      <c r="C445" s="152"/>
      <c r="D445" s="152"/>
      <c r="E445" s="152"/>
      <c r="F445" s="152"/>
      <c r="G445" s="152"/>
      <c r="H445" s="152"/>
      <c r="I445" s="152"/>
      <c r="J445" s="152"/>
      <c r="K445" s="152"/>
      <c r="L445" s="152"/>
      <c r="M445" s="152"/>
      <c r="N445" s="152"/>
      <c r="O445" s="152"/>
      <c r="P445" s="152"/>
      <c r="Q445" s="152"/>
      <c r="R445" s="152"/>
      <c r="S445" s="152"/>
      <c r="T445" s="152"/>
      <c r="U445" s="152"/>
      <c r="V445" s="152"/>
      <c r="W445" s="152"/>
      <c r="X445" s="152"/>
      <c r="Y445" s="152"/>
      <c r="Z445" s="152"/>
    </row>
    <row r="446" ht="12.75" customHeight="1">
      <c r="A446" s="152"/>
      <c r="B446" s="232"/>
      <c r="C446" s="152"/>
      <c r="D446" s="152"/>
      <c r="E446" s="152"/>
      <c r="F446" s="152"/>
      <c r="G446" s="152"/>
      <c r="H446" s="152"/>
      <c r="I446" s="152"/>
      <c r="J446" s="152"/>
      <c r="K446" s="152"/>
      <c r="L446" s="152"/>
      <c r="M446" s="152"/>
      <c r="N446" s="152"/>
      <c r="O446" s="152"/>
      <c r="P446" s="152"/>
      <c r="Q446" s="152"/>
      <c r="R446" s="152"/>
      <c r="S446" s="152"/>
      <c r="T446" s="152"/>
      <c r="U446" s="152"/>
      <c r="V446" s="152"/>
      <c r="W446" s="152"/>
      <c r="X446" s="152"/>
      <c r="Y446" s="152"/>
      <c r="Z446" s="152"/>
    </row>
    <row r="447" ht="12.75" customHeight="1">
      <c r="A447" s="152"/>
      <c r="B447" s="232"/>
      <c r="C447" s="152"/>
      <c r="D447" s="152"/>
      <c r="E447" s="152"/>
      <c r="F447" s="152"/>
      <c r="G447" s="152"/>
      <c r="H447" s="152"/>
      <c r="I447" s="152"/>
      <c r="J447" s="152"/>
      <c r="K447" s="152"/>
      <c r="L447" s="152"/>
      <c r="M447" s="152"/>
      <c r="N447" s="152"/>
      <c r="O447" s="152"/>
      <c r="P447" s="152"/>
      <c r="Q447" s="152"/>
      <c r="R447" s="152"/>
      <c r="S447" s="152"/>
      <c r="T447" s="152"/>
      <c r="U447" s="152"/>
      <c r="V447" s="152"/>
      <c r="W447" s="152"/>
      <c r="X447" s="152"/>
      <c r="Y447" s="152"/>
      <c r="Z447" s="152"/>
    </row>
    <row r="448" ht="12.75" customHeight="1">
      <c r="A448" s="152"/>
      <c r="B448" s="232"/>
      <c r="C448" s="152"/>
      <c r="D448" s="152"/>
      <c r="E448" s="152"/>
      <c r="F448" s="152"/>
      <c r="G448" s="152"/>
      <c r="H448" s="152"/>
      <c r="I448" s="152"/>
      <c r="J448" s="152"/>
      <c r="K448" s="152"/>
      <c r="L448" s="152"/>
      <c r="M448" s="152"/>
      <c r="N448" s="152"/>
      <c r="O448" s="152"/>
      <c r="P448" s="152"/>
      <c r="Q448" s="152"/>
      <c r="R448" s="152"/>
      <c r="S448" s="152"/>
      <c r="T448" s="152"/>
      <c r="U448" s="152"/>
      <c r="V448" s="152"/>
      <c r="W448" s="152"/>
      <c r="X448" s="152"/>
      <c r="Y448" s="152"/>
      <c r="Z448" s="152"/>
    </row>
    <row r="449" ht="12.75" customHeight="1">
      <c r="A449" s="152"/>
      <c r="B449" s="232"/>
      <c r="C449" s="152"/>
      <c r="D449" s="152"/>
      <c r="E449" s="152"/>
      <c r="F449" s="152"/>
      <c r="G449" s="152"/>
      <c r="H449" s="152"/>
      <c r="I449" s="152"/>
      <c r="J449" s="152"/>
      <c r="K449" s="152"/>
      <c r="L449" s="152"/>
      <c r="M449" s="152"/>
      <c r="N449" s="152"/>
      <c r="O449" s="152"/>
      <c r="P449" s="152"/>
      <c r="Q449" s="152"/>
      <c r="R449" s="152"/>
      <c r="S449" s="152"/>
      <c r="T449" s="152"/>
      <c r="U449" s="152"/>
      <c r="V449" s="152"/>
      <c r="W449" s="152"/>
      <c r="X449" s="152"/>
      <c r="Y449" s="152"/>
      <c r="Z449" s="152"/>
    </row>
    <row r="450" ht="12.75" customHeight="1">
      <c r="A450" s="152"/>
      <c r="B450" s="232"/>
      <c r="C450" s="152"/>
      <c r="D450" s="152"/>
      <c r="E450" s="152"/>
      <c r="F450" s="152"/>
      <c r="G450" s="152"/>
      <c r="H450" s="152"/>
      <c r="I450" s="152"/>
      <c r="J450" s="152"/>
      <c r="K450" s="152"/>
      <c r="L450" s="152"/>
      <c r="M450" s="152"/>
      <c r="N450" s="152"/>
      <c r="O450" s="152"/>
      <c r="P450" s="152"/>
      <c r="Q450" s="152"/>
      <c r="R450" s="152"/>
      <c r="S450" s="152"/>
      <c r="T450" s="152"/>
      <c r="U450" s="152"/>
      <c r="V450" s="152"/>
      <c r="W450" s="152"/>
      <c r="X450" s="152"/>
      <c r="Y450" s="152"/>
      <c r="Z450" s="152"/>
    </row>
    <row r="451" ht="12.75" customHeight="1">
      <c r="A451" s="152"/>
      <c r="B451" s="232"/>
      <c r="C451" s="152"/>
      <c r="D451" s="152"/>
      <c r="E451" s="152"/>
      <c r="F451" s="152"/>
      <c r="G451" s="152"/>
      <c r="H451" s="152"/>
      <c r="I451" s="152"/>
      <c r="J451" s="152"/>
      <c r="K451" s="152"/>
      <c r="L451" s="152"/>
      <c r="M451" s="152"/>
      <c r="N451" s="152"/>
      <c r="O451" s="152"/>
      <c r="P451" s="152"/>
      <c r="Q451" s="152"/>
      <c r="R451" s="152"/>
      <c r="S451" s="152"/>
      <c r="T451" s="152"/>
      <c r="U451" s="152"/>
      <c r="V451" s="152"/>
      <c r="W451" s="152"/>
      <c r="X451" s="152"/>
      <c r="Y451" s="152"/>
      <c r="Z451" s="152"/>
    </row>
    <row r="452" ht="12.75" customHeight="1">
      <c r="A452" s="152"/>
      <c r="B452" s="232"/>
      <c r="C452" s="152"/>
      <c r="D452" s="152"/>
      <c r="E452" s="152"/>
      <c r="F452" s="152"/>
      <c r="G452" s="152"/>
      <c r="H452" s="152"/>
      <c r="I452" s="152"/>
      <c r="J452" s="152"/>
      <c r="K452" s="152"/>
      <c r="L452" s="152"/>
      <c r="M452" s="152"/>
      <c r="N452" s="152"/>
      <c r="O452" s="152"/>
      <c r="P452" s="152"/>
      <c r="Q452" s="152"/>
      <c r="R452" s="152"/>
      <c r="S452" s="152"/>
      <c r="T452" s="152"/>
      <c r="U452" s="152"/>
      <c r="V452" s="152"/>
      <c r="W452" s="152"/>
      <c r="X452" s="152"/>
      <c r="Y452" s="152"/>
      <c r="Z452" s="152"/>
    </row>
    <row r="453" ht="12.75" customHeight="1">
      <c r="A453" s="152"/>
      <c r="B453" s="232"/>
      <c r="C453" s="152"/>
      <c r="D453" s="152"/>
      <c r="E453" s="152"/>
      <c r="F453" s="152"/>
      <c r="G453" s="152"/>
      <c r="H453" s="152"/>
      <c r="I453" s="152"/>
      <c r="J453" s="152"/>
      <c r="K453" s="152"/>
      <c r="L453" s="152"/>
      <c r="M453" s="152"/>
      <c r="N453" s="152"/>
      <c r="O453" s="152"/>
      <c r="P453" s="152"/>
      <c r="Q453" s="152"/>
      <c r="R453" s="152"/>
      <c r="S453" s="152"/>
      <c r="T453" s="152"/>
      <c r="U453" s="152"/>
      <c r="V453" s="152"/>
      <c r="W453" s="152"/>
      <c r="X453" s="152"/>
      <c r="Y453" s="152"/>
      <c r="Z453" s="152"/>
    </row>
    <row r="454" ht="12.75" customHeight="1">
      <c r="A454" s="152"/>
      <c r="B454" s="232"/>
      <c r="C454" s="152"/>
      <c r="D454" s="152"/>
      <c r="E454" s="152"/>
      <c r="F454" s="152"/>
      <c r="G454" s="152"/>
      <c r="H454" s="152"/>
      <c r="I454" s="152"/>
      <c r="J454" s="152"/>
      <c r="K454" s="152"/>
      <c r="L454" s="152"/>
      <c r="M454" s="152"/>
      <c r="N454" s="152"/>
      <c r="O454" s="152"/>
      <c r="P454" s="152"/>
      <c r="Q454" s="152"/>
      <c r="R454" s="152"/>
      <c r="S454" s="152"/>
      <c r="T454" s="152"/>
      <c r="U454" s="152"/>
      <c r="V454" s="152"/>
      <c r="W454" s="152"/>
      <c r="X454" s="152"/>
      <c r="Y454" s="152"/>
      <c r="Z454" s="152"/>
    </row>
    <row r="455" ht="12.75" customHeight="1">
      <c r="A455" s="152"/>
      <c r="B455" s="232"/>
      <c r="C455" s="152"/>
      <c r="D455" s="152"/>
      <c r="E455" s="152"/>
      <c r="F455" s="152"/>
      <c r="G455" s="152"/>
      <c r="H455" s="152"/>
      <c r="I455" s="152"/>
      <c r="J455" s="152"/>
      <c r="K455" s="152"/>
      <c r="L455" s="152"/>
      <c r="M455" s="152"/>
      <c r="N455" s="152"/>
      <c r="O455" s="152"/>
      <c r="P455" s="152"/>
      <c r="Q455" s="152"/>
      <c r="R455" s="152"/>
      <c r="S455" s="152"/>
      <c r="T455" s="152"/>
      <c r="U455" s="152"/>
      <c r="V455" s="152"/>
      <c r="W455" s="152"/>
      <c r="X455" s="152"/>
      <c r="Y455" s="152"/>
      <c r="Z455" s="152"/>
    </row>
    <row r="456" ht="12.75" customHeight="1">
      <c r="A456" s="152"/>
      <c r="B456" s="232"/>
      <c r="C456" s="152"/>
      <c r="D456" s="152"/>
      <c r="E456" s="152"/>
      <c r="F456" s="152"/>
      <c r="G456" s="152"/>
      <c r="H456" s="152"/>
      <c r="I456" s="152"/>
      <c r="J456" s="152"/>
      <c r="K456" s="152"/>
      <c r="L456" s="152"/>
      <c r="M456" s="152"/>
      <c r="N456" s="152"/>
      <c r="O456" s="152"/>
      <c r="P456" s="152"/>
      <c r="Q456" s="152"/>
      <c r="R456" s="152"/>
      <c r="S456" s="152"/>
      <c r="T456" s="152"/>
      <c r="U456" s="152"/>
      <c r="V456" s="152"/>
      <c r="W456" s="152"/>
      <c r="X456" s="152"/>
      <c r="Y456" s="152"/>
      <c r="Z456" s="152"/>
    </row>
    <row r="457" ht="12.75" customHeight="1">
      <c r="A457" s="152"/>
      <c r="B457" s="232"/>
      <c r="C457" s="152"/>
      <c r="D457" s="152"/>
      <c r="E457" s="152"/>
      <c r="F457" s="152"/>
      <c r="G457" s="152"/>
      <c r="H457" s="152"/>
      <c r="I457" s="152"/>
      <c r="J457" s="152"/>
      <c r="K457" s="152"/>
      <c r="L457" s="152"/>
      <c r="M457" s="152"/>
      <c r="N457" s="152"/>
      <c r="O457" s="152"/>
      <c r="P457" s="152"/>
      <c r="Q457" s="152"/>
      <c r="R457" s="152"/>
      <c r="S457" s="152"/>
      <c r="T457" s="152"/>
      <c r="U457" s="152"/>
      <c r="V457" s="152"/>
      <c r="W457" s="152"/>
      <c r="X457" s="152"/>
      <c r="Y457" s="152"/>
      <c r="Z457" s="152"/>
    </row>
    <row r="458" ht="12.75" customHeight="1">
      <c r="A458" s="152"/>
      <c r="B458" s="232"/>
      <c r="C458" s="152"/>
      <c r="D458" s="152"/>
      <c r="E458" s="152"/>
      <c r="F458" s="152"/>
      <c r="G458" s="152"/>
      <c r="H458" s="152"/>
      <c r="I458" s="152"/>
      <c r="J458" s="152"/>
      <c r="K458" s="152"/>
      <c r="L458" s="152"/>
      <c r="M458" s="152"/>
      <c r="N458" s="152"/>
      <c r="O458" s="152"/>
      <c r="P458" s="152"/>
      <c r="Q458" s="152"/>
      <c r="R458" s="152"/>
      <c r="S458" s="152"/>
      <c r="T458" s="152"/>
      <c r="U458" s="152"/>
      <c r="V458" s="152"/>
      <c r="W458" s="152"/>
      <c r="X458" s="152"/>
      <c r="Y458" s="152"/>
      <c r="Z458" s="152"/>
    </row>
    <row r="459" ht="12.75" customHeight="1">
      <c r="A459" s="152"/>
      <c r="B459" s="232"/>
      <c r="C459" s="152"/>
      <c r="D459" s="152"/>
      <c r="E459" s="152"/>
      <c r="F459" s="152"/>
      <c r="G459" s="152"/>
      <c r="H459" s="152"/>
      <c r="I459" s="152"/>
      <c r="J459" s="152"/>
      <c r="K459" s="152"/>
      <c r="L459" s="152"/>
      <c r="M459" s="152"/>
      <c r="N459" s="152"/>
      <c r="O459" s="152"/>
      <c r="P459" s="152"/>
      <c r="Q459" s="152"/>
      <c r="R459" s="152"/>
      <c r="S459" s="152"/>
      <c r="T459" s="152"/>
      <c r="U459" s="152"/>
      <c r="V459" s="152"/>
      <c r="W459" s="152"/>
      <c r="X459" s="152"/>
      <c r="Y459" s="152"/>
      <c r="Z459" s="152"/>
    </row>
    <row r="460" ht="12.75" customHeight="1">
      <c r="A460" s="152"/>
      <c r="B460" s="232"/>
      <c r="C460" s="152"/>
      <c r="D460" s="152"/>
      <c r="E460" s="152"/>
      <c r="F460" s="152"/>
      <c r="G460" s="152"/>
      <c r="H460" s="152"/>
      <c r="I460" s="152"/>
      <c r="J460" s="152"/>
      <c r="K460" s="152"/>
      <c r="L460" s="152"/>
      <c r="M460" s="152"/>
      <c r="N460" s="152"/>
      <c r="O460" s="152"/>
      <c r="P460" s="152"/>
      <c r="Q460" s="152"/>
      <c r="R460" s="152"/>
      <c r="S460" s="152"/>
      <c r="T460" s="152"/>
      <c r="U460" s="152"/>
      <c r="V460" s="152"/>
      <c r="W460" s="152"/>
      <c r="X460" s="152"/>
      <c r="Y460" s="152"/>
      <c r="Z460" s="152"/>
    </row>
    <row r="461" ht="12.75" customHeight="1">
      <c r="A461" s="152"/>
      <c r="B461" s="232"/>
      <c r="C461" s="152"/>
      <c r="D461" s="152"/>
      <c r="E461" s="152"/>
      <c r="F461" s="152"/>
      <c r="G461" s="152"/>
      <c r="H461" s="152"/>
      <c r="I461" s="152"/>
      <c r="J461" s="152"/>
      <c r="K461" s="152"/>
      <c r="L461" s="152"/>
      <c r="M461" s="152"/>
      <c r="N461" s="152"/>
      <c r="O461" s="152"/>
      <c r="P461" s="152"/>
      <c r="Q461" s="152"/>
      <c r="R461" s="152"/>
      <c r="S461" s="152"/>
      <c r="T461" s="152"/>
      <c r="U461" s="152"/>
      <c r="V461" s="152"/>
      <c r="W461" s="152"/>
      <c r="X461" s="152"/>
      <c r="Y461" s="152"/>
      <c r="Z461" s="152"/>
    </row>
    <row r="462" ht="12.75" customHeight="1">
      <c r="A462" s="152"/>
      <c r="B462" s="232"/>
      <c r="C462" s="152"/>
      <c r="D462" s="152"/>
      <c r="E462" s="152"/>
      <c r="F462" s="152"/>
      <c r="G462" s="152"/>
      <c r="H462" s="152"/>
      <c r="I462" s="152"/>
      <c r="J462" s="152"/>
      <c r="K462" s="152"/>
      <c r="L462" s="152"/>
      <c r="M462" s="152"/>
      <c r="N462" s="152"/>
      <c r="O462" s="152"/>
      <c r="P462" s="152"/>
      <c r="Q462" s="152"/>
      <c r="R462" s="152"/>
      <c r="S462" s="152"/>
      <c r="T462" s="152"/>
      <c r="U462" s="152"/>
      <c r="V462" s="152"/>
      <c r="W462" s="152"/>
      <c r="X462" s="152"/>
      <c r="Y462" s="152"/>
      <c r="Z462" s="152"/>
    </row>
    <row r="463" ht="12.75" customHeight="1">
      <c r="A463" s="152"/>
      <c r="B463" s="232"/>
      <c r="C463" s="152"/>
      <c r="D463" s="152"/>
      <c r="E463" s="152"/>
      <c r="F463" s="152"/>
      <c r="G463" s="152"/>
      <c r="H463" s="152"/>
      <c r="I463" s="152"/>
      <c r="J463" s="152"/>
      <c r="K463" s="152"/>
      <c r="L463" s="152"/>
      <c r="M463" s="152"/>
      <c r="N463" s="152"/>
      <c r="O463" s="152"/>
      <c r="P463" s="152"/>
      <c r="Q463" s="152"/>
      <c r="R463" s="152"/>
      <c r="S463" s="152"/>
      <c r="T463" s="152"/>
      <c r="U463" s="152"/>
      <c r="V463" s="152"/>
      <c r="W463" s="152"/>
      <c r="X463" s="152"/>
      <c r="Y463" s="152"/>
      <c r="Z463" s="152"/>
    </row>
    <row r="464" ht="12.75" customHeight="1">
      <c r="A464" s="152"/>
      <c r="B464" s="232"/>
      <c r="C464" s="152"/>
      <c r="D464" s="152"/>
      <c r="E464" s="152"/>
      <c r="F464" s="152"/>
      <c r="G464" s="152"/>
      <c r="H464" s="152"/>
      <c r="I464" s="152"/>
      <c r="J464" s="152"/>
      <c r="K464" s="152"/>
      <c r="L464" s="152"/>
      <c r="M464" s="152"/>
      <c r="N464" s="152"/>
      <c r="O464" s="152"/>
      <c r="P464" s="152"/>
      <c r="Q464" s="152"/>
      <c r="R464" s="152"/>
      <c r="S464" s="152"/>
      <c r="T464" s="152"/>
      <c r="U464" s="152"/>
      <c r="V464" s="152"/>
      <c r="W464" s="152"/>
      <c r="X464" s="152"/>
      <c r="Y464" s="152"/>
      <c r="Z464" s="152"/>
    </row>
    <row r="465" ht="12.75" customHeight="1">
      <c r="A465" s="152"/>
      <c r="B465" s="232"/>
      <c r="C465" s="152"/>
      <c r="D465" s="152"/>
      <c r="E465" s="152"/>
      <c r="F465" s="152"/>
      <c r="G465" s="152"/>
      <c r="H465" s="152"/>
      <c r="I465" s="152"/>
      <c r="J465" s="152"/>
      <c r="K465" s="152"/>
      <c r="L465" s="152"/>
      <c r="M465" s="152"/>
      <c r="N465" s="152"/>
      <c r="O465" s="152"/>
      <c r="P465" s="152"/>
      <c r="Q465" s="152"/>
      <c r="R465" s="152"/>
      <c r="S465" s="152"/>
      <c r="T465" s="152"/>
      <c r="U465" s="152"/>
      <c r="V465" s="152"/>
      <c r="W465" s="152"/>
      <c r="X465" s="152"/>
      <c r="Y465" s="152"/>
      <c r="Z465" s="152"/>
    </row>
    <row r="466" ht="12.75" customHeight="1">
      <c r="A466" s="152"/>
      <c r="B466" s="232"/>
      <c r="C466" s="152"/>
      <c r="D466" s="152"/>
      <c r="E466" s="152"/>
      <c r="F466" s="152"/>
      <c r="G466" s="152"/>
      <c r="H466" s="152"/>
      <c r="I466" s="152"/>
      <c r="J466" s="152"/>
      <c r="K466" s="152"/>
      <c r="L466" s="152"/>
      <c r="M466" s="152"/>
      <c r="N466" s="152"/>
      <c r="O466" s="152"/>
      <c r="P466" s="152"/>
      <c r="Q466" s="152"/>
      <c r="R466" s="152"/>
      <c r="S466" s="152"/>
      <c r="T466" s="152"/>
      <c r="U466" s="152"/>
      <c r="V466" s="152"/>
      <c r="W466" s="152"/>
      <c r="X466" s="152"/>
      <c r="Y466" s="152"/>
      <c r="Z466" s="152"/>
    </row>
    <row r="467" ht="12.75" customHeight="1">
      <c r="A467" s="152"/>
      <c r="B467" s="232"/>
      <c r="C467" s="152"/>
      <c r="D467" s="152"/>
      <c r="E467" s="152"/>
      <c r="F467" s="152"/>
      <c r="G467" s="152"/>
      <c r="H467" s="152"/>
      <c r="I467" s="152"/>
      <c r="J467" s="152"/>
      <c r="K467" s="152"/>
      <c r="L467" s="152"/>
      <c r="M467" s="152"/>
      <c r="N467" s="152"/>
      <c r="O467" s="152"/>
      <c r="P467" s="152"/>
      <c r="Q467" s="152"/>
      <c r="R467" s="152"/>
      <c r="S467" s="152"/>
      <c r="T467" s="152"/>
      <c r="U467" s="152"/>
      <c r="V467" s="152"/>
      <c r="W467" s="152"/>
      <c r="X467" s="152"/>
      <c r="Y467" s="152"/>
      <c r="Z467" s="152"/>
    </row>
    <row r="468" ht="12.75" customHeight="1">
      <c r="A468" s="152"/>
      <c r="B468" s="232"/>
      <c r="C468" s="152"/>
      <c r="D468" s="152"/>
      <c r="E468" s="152"/>
      <c r="F468" s="152"/>
      <c r="G468" s="152"/>
      <c r="H468" s="152"/>
      <c r="I468" s="152"/>
      <c r="J468" s="152"/>
      <c r="K468" s="152"/>
      <c r="L468" s="152"/>
      <c r="M468" s="152"/>
      <c r="N468" s="152"/>
      <c r="O468" s="152"/>
      <c r="P468" s="152"/>
      <c r="Q468" s="152"/>
      <c r="R468" s="152"/>
      <c r="S468" s="152"/>
      <c r="T468" s="152"/>
      <c r="U468" s="152"/>
      <c r="V468" s="152"/>
      <c r="W468" s="152"/>
      <c r="X468" s="152"/>
      <c r="Y468" s="152"/>
      <c r="Z468" s="152"/>
    </row>
    <row r="469" ht="12.75" customHeight="1">
      <c r="A469" s="152"/>
      <c r="B469" s="232"/>
      <c r="C469" s="152"/>
      <c r="D469" s="152"/>
      <c r="E469" s="152"/>
      <c r="F469" s="152"/>
      <c r="G469" s="152"/>
      <c r="H469" s="152"/>
      <c r="I469" s="152"/>
      <c r="J469" s="152"/>
      <c r="K469" s="152"/>
      <c r="L469" s="152"/>
      <c r="M469" s="152"/>
      <c r="N469" s="152"/>
      <c r="O469" s="152"/>
      <c r="P469" s="152"/>
      <c r="Q469" s="152"/>
      <c r="R469" s="152"/>
      <c r="S469" s="152"/>
      <c r="T469" s="152"/>
      <c r="U469" s="152"/>
      <c r="V469" s="152"/>
      <c r="W469" s="152"/>
      <c r="X469" s="152"/>
      <c r="Y469" s="152"/>
      <c r="Z469" s="152"/>
    </row>
    <row r="470" ht="12.75" customHeight="1">
      <c r="A470" s="152"/>
      <c r="B470" s="232"/>
      <c r="C470" s="152"/>
      <c r="D470" s="152"/>
      <c r="E470" s="152"/>
      <c r="F470" s="152"/>
      <c r="G470" s="152"/>
      <c r="H470" s="152"/>
      <c r="I470" s="152"/>
      <c r="J470" s="152"/>
      <c r="K470" s="152"/>
      <c r="L470" s="152"/>
      <c r="M470" s="152"/>
      <c r="N470" s="152"/>
      <c r="O470" s="152"/>
      <c r="P470" s="152"/>
      <c r="Q470" s="152"/>
      <c r="R470" s="152"/>
      <c r="S470" s="152"/>
      <c r="T470" s="152"/>
      <c r="U470" s="152"/>
      <c r="V470" s="152"/>
      <c r="W470" s="152"/>
      <c r="X470" s="152"/>
      <c r="Y470" s="152"/>
      <c r="Z470" s="152"/>
    </row>
    <row r="471" ht="12.75" customHeight="1">
      <c r="A471" s="152"/>
      <c r="B471" s="232"/>
      <c r="C471" s="152"/>
      <c r="D471" s="152"/>
      <c r="E471" s="152"/>
      <c r="F471" s="152"/>
      <c r="G471" s="152"/>
      <c r="H471" s="152"/>
      <c r="I471" s="152"/>
      <c r="J471" s="152"/>
      <c r="K471" s="152"/>
      <c r="L471" s="152"/>
      <c r="M471" s="152"/>
      <c r="N471" s="152"/>
      <c r="O471" s="152"/>
      <c r="P471" s="152"/>
      <c r="Q471" s="152"/>
      <c r="R471" s="152"/>
      <c r="S471" s="152"/>
      <c r="T471" s="152"/>
      <c r="U471" s="152"/>
      <c r="V471" s="152"/>
      <c r="W471" s="152"/>
      <c r="X471" s="152"/>
      <c r="Y471" s="152"/>
      <c r="Z471" s="152"/>
    </row>
    <row r="472" ht="12.75" customHeight="1">
      <c r="A472" s="152"/>
      <c r="B472" s="232"/>
      <c r="C472" s="152"/>
      <c r="D472" s="152"/>
      <c r="E472" s="152"/>
      <c r="F472" s="152"/>
      <c r="G472" s="152"/>
      <c r="H472" s="152"/>
      <c r="I472" s="152"/>
      <c r="J472" s="152"/>
      <c r="K472" s="152"/>
      <c r="L472" s="152"/>
      <c r="M472" s="152"/>
      <c r="N472" s="152"/>
      <c r="O472" s="152"/>
      <c r="P472" s="152"/>
      <c r="Q472" s="152"/>
      <c r="R472" s="152"/>
      <c r="S472" s="152"/>
      <c r="T472" s="152"/>
      <c r="U472" s="152"/>
      <c r="V472" s="152"/>
      <c r="W472" s="152"/>
      <c r="X472" s="152"/>
      <c r="Y472" s="152"/>
      <c r="Z472" s="152"/>
    </row>
    <row r="473" ht="12.75" customHeight="1">
      <c r="A473" s="152"/>
      <c r="B473" s="232"/>
      <c r="C473" s="152"/>
      <c r="D473" s="152"/>
      <c r="E473" s="152"/>
      <c r="F473" s="152"/>
      <c r="G473" s="152"/>
      <c r="H473" s="152"/>
      <c r="I473" s="152"/>
      <c r="J473" s="152"/>
      <c r="K473" s="152"/>
      <c r="L473" s="152"/>
      <c r="M473" s="152"/>
      <c r="N473" s="152"/>
      <c r="O473" s="152"/>
      <c r="P473" s="152"/>
      <c r="Q473" s="152"/>
      <c r="R473" s="152"/>
      <c r="S473" s="152"/>
      <c r="T473" s="152"/>
      <c r="U473" s="152"/>
      <c r="V473" s="152"/>
      <c r="W473" s="152"/>
      <c r="X473" s="152"/>
      <c r="Y473" s="152"/>
      <c r="Z473" s="152"/>
    </row>
    <row r="474" ht="12.75" customHeight="1">
      <c r="A474" s="152"/>
      <c r="B474" s="232"/>
      <c r="C474" s="152"/>
      <c r="D474" s="152"/>
      <c r="E474" s="152"/>
      <c r="F474" s="152"/>
      <c r="G474" s="152"/>
      <c r="H474" s="152"/>
      <c r="I474" s="152"/>
      <c r="J474" s="152"/>
      <c r="K474" s="152"/>
      <c r="L474" s="152"/>
      <c r="M474" s="152"/>
      <c r="N474" s="152"/>
      <c r="O474" s="152"/>
      <c r="P474" s="152"/>
      <c r="Q474" s="152"/>
      <c r="R474" s="152"/>
      <c r="S474" s="152"/>
      <c r="T474" s="152"/>
      <c r="U474" s="152"/>
      <c r="V474" s="152"/>
      <c r="W474" s="152"/>
      <c r="X474" s="152"/>
      <c r="Y474" s="152"/>
      <c r="Z474" s="152"/>
    </row>
    <row r="475" ht="12.75" customHeight="1">
      <c r="A475" s="152"/>
      <c r="B475" s="232"/>
      <c r="C475" s="152"/>
      <c r="D475" s="152"/>
      <c r="E475" s="152"/>
      <c r="F475" s="152"/>
      <c r="G475" s="152"/>
      <c r="H475" s="152"/>
      <c r="I475" s="152"/>
      <c r="J475" s="152"/>
      <c r="K475" s="152"/>
      <c r="L475" s="152"/>
      <c r="M475" s="152"/>
      <c r="N475" s="152"/>
      <c r="O475" s="152"/>
      <c r="P475" s="152"/>
      <c r="Q475" s="152"/>
      <c r="R475" s="152"/>
      <c r="S475" s="152"/>
      <c r="T475" s="152"/>
      <c r="U475" s="152"/>
      <c r="V475" s="152"/>
      <c r="W475" s="152"/>
      <c r="X475" s="152"/>
      <c r="Y475" s="152"/>
      <c r="Z475" s="152"/>
    </row>
    <row r="476" ht="12.75" customHeight="1">
      <c r="A476" s="152"/>
      <c r="B476" s="232"/>
      <c r="C476" s="152"/>
      <c r="D476" s="152"/>
      <c r="E476" s="152"/>
      <c r="F476" s="152"/>
      <c r="G476" s="152"/>
      <c r="H476" s="152"/>
      <c r="I476" s="152"/>
      <c r="J476" s="152"/>
      <c r="K476" s="152"/>
      <c r="L476" s="152"/>
      <c r="M476" s="152"/>
      <c r="N476" s="152"/>
      <c r="O476" s="152"/>
      <c r="P476" s="152"/>
      <c r="Q476" s="152"/>
      <c r="R476" s="152"/>
      <c r="S476" s="152"/>
      <c r="T476" s="152"/>
      <c r="U476" s="152"/>
      <c r="V476" s="152"/>
      <c r="W476" s="152"/>
      <c r="X476" s="152"/>
      <c r="Y476" s="152"/>
      <c r="Z476" s="152"/>
    </row>
    <row r="477" ht="12.75" customHeight="1">
      <c r="A477" s="152"/>
      <c r="B477" s="232"/>
      <c r="C477" s="152"/>
      <c r="D477" s="152"/>
      <c r="E477" s="152"/>
      <c r="F477" s="152"/>
      <c r="G477" s="152"/>
      <c r="H477" s="152"/>
      <c r="I477" s="152"/>
      <c r="J477" s="152"/>
      <c r="K477" s="152"/>
      <c r="L477" s="152"/>
      <c r="M477" s="152"/>
      <c r="N477" s="152"/>
      <c r="O477" s="152"/>
      <c r="P477" s="152"/>
      <c r="Q477" s="152"/>
      <c r="R477" s="152"/>
      <c r="S477" s="152"/>
      <c r="T477" s="152"/>
      <c r="U477" s="152"/>
      <c r="V477" s="152"/>
      <c r="W477" s="152"/>
      <c r="X477" s="152"/>
      <c r="Y477" s="152"/>
      <c r="Z477" s="152"/>
    </row>
    <row r="478" ht="12.75" customHeight="1">
      <c r="A478" s="152"/>
      <c r="B478" s="232"/>
      <c r="C478" s="152"/>
      <c r="D478" s="152"/>
      <c r="E478" s="152"/>
      <c r="F478" s="152"/>
      <c r="G478" s="152"/>
      <c r="H478" s="152"/>
      <c r="I478" s="152"/>
      <c r="J478" s="152"/>
      <c r="K478" s="152"/>
      <c r="L478" s="152"/>
      <c r="M478" s="152"/>
      <c r="N478" s="152"/>
      <c r="O478" s="152"/>
      <c r="P478" s="152"/>
      <c r="Q478" s="152"/>
      <c r="R478" s="152"/>
      <c r="S478" s="152"/>
      <c r="T478" s="152"/>
      <c r="U478" s="152"/>
      <c r="V478" s="152"/>
      <c r="W478" s="152"/>
      <c r="X478" s="152"/>
      <c r="Y478" s="152"/>
      <c r="Z478" s="152"/>
    </row>
    <row r="479" ht="12.75" customHeight="1">
      <c r="A479" s="152"/>
      <c r="B479" s="232"/>
      <c r="C479" s="152"/>
      <c r="D479" s="152"/>
      <c r="E479" s="152"/>
      <c r="F479" s="152"/>
      <c r="G479" s="152"/>
      <c r="H479" s="152"/>
      <c r="I479" s="152"/>
      <c r="J479" s="152"/>
      <c r="K479" s="152"/>
      <c r="L479" s="152"/>
      <c r="M479" s="152"/>
      <c r="N479" s="152"/>
      <c r="O479" s="152"/>
      <c r="P479" s="152"/>
      <c r="Q479" s="152"/>
      <c r="R479" s="152"/>
      <c r="S479" s="152"/>
      <c r="T479" s="152"/>
      <c r="U479" s="152"/>
      <c r="V479" s="152"/>
      <c r="W479" s="152"/>
      <c r="X479" s="152"/>
      <c r="Y479" s="152"/>
      <c r="Z479" s="152"/>
    </row>
    <row r="480" ht="12.75" customHeight="1">
      <c r="A480" s="152"/>
      <c r="B480" s="232"/>
      <c r="C480" s="152"/>
      <c r="D480" s="152"/>
      <c r="E480" s="152"/>
      <c r="F480" s="152"/>
      <c r="G480" s="152"/>
      <c r="H480" s="152"/>
      <c r="I480" s="152"/>
      <c r="J480" s="152"/>
      <c r="K480" s="152"/>
      <c r="L480" s="152"/>
      <c r="M480" s="152"/>
      <c r="N480" s="152"/>
      <c r="O480" s="152"/>
      <c r="P480" s="152"/>
      <c r="Q480" s="152"/>
      <c r="R480" s="152"/>
      <c r="S480" s="152"/>
      <c r="T480" s="152"/>
      <c r="U480" s="152"/>
      <c r="V480" s="152"/>
      <c r="W480" s="152"/>
      <c r="X480" s="152"/>
      <c r="Y480" s="152"/>
      <c r="Z480" s="152"/>
    </row>
    <row r="481" ht="12.75" customHeight="1">
      <c r="A481" s="152"/>
      <c r="B481" s="232"/>
      <c r="C481" s="152"/>
      <c r="D481" s="152"/>
      <c r="E481" s="152"/>
      <c r="F481" s="152"/>
      <c r="G481" s="152"/>
      <c r="H481" s="152"/>
      <c r="I481" s="152"/>
      <c r="J481" s="152"/>
      <c r="K481" s="152"/>
      <c r="L481" s="152"/>
      <c r="M481" s="152"/>
      <c r="N481" s="152"/>
      <c r="O481" s="152"/>
      <c r="P481" s="152"/>
      <c r="Q481" s="152"/>
      <c r="R481" s="152"/>
      <c r="S481" s="152"/>
      <c r="T481" s="152"/>
      <c r="U481" s="152"/>
      <c r="V481" s="152"/>
      <c r="W481" s="152"/>
      <c r="X481" s="152"/>
      <c r="Y481" s="152"/>
      <c r="Z481" s="152"/>
    </row>
    <row r="482" ht="12.75" customHeight="1">
      <c r="A482" s="152"/>
      <c r="B482" s="232"/>
      <c r="C482" s="152"/>
      <c r="D482" s="152"/>
      <c r="E482" s="152"/>
      <c r="F482" s="152"/>
      <c r="G482" s="152"/>
      <c r="H482" s="152"/>
      <c r="I482" s="152"/>
      <c r="J482" s="152"/>
      <c r="K482" s="152"/>
      <c r="L482" s="152"/>
      <c r="M482" s="152"/>
      <c r="N482" s="152"/>
      <c r="O482" s="152"/>
      <c r="P482" s="152"/>
      <c r="Q482" s="152"/>
      <c r="R482" s="152"/>
      <c r="S482" s="152"/>
      <c r="T482" s="152"/>
      <c r="U482" s="152"/>
      <c r="V482" s="152"/>
      <c r="W482" s="152"/>
      <c r="X482" s="152"/>
      <c r="Y482" s="152"/>
      <c r="Z482" s="152"/>
    </row>
    <row r="483" ht="12.75" customHeight="1">
      <c r="A483" s="152"/>
      <c r="B483" s="232"/>
      <c r="C483" s="152"/>
      <c r="D483" s="152"/>
      <c r="E483" s="152"/>
      <c r="F483" s="152"/>
      <c r="G483" s="152"/>
      <c r="H483" s="152"/>
      <c r="I483" s="152"/>
      <c r="J483" s="152"/>
      <c r="K483" s="152"/>
      <c r="L483" s="152"/>
      <c r="M483" s="152"/>
      <c r="N483" s="152"/>
      <c r="O483" s="152"/>
      <c r="P483" s="152"/>
      <c r="Q483" s="152"/>
      <c r="R483" s="152"/>
      <c r="S483" s="152"/>
      <c r="T483" s="152"/>
      <c r="U483" s="152"/>
      <c r="V483" s="152"/>
      <c r="W483" s="152"/>
      <c r="X483" s="152"/>
      <c r="Y483" s="152"/>
      <c r="Z483" s="152"/>
    </row>
    <row r="484" ht="12.75" customHeight="1">
      <c r="A484" s="152"/>
      <c r="B484" s="232"/>
      <c r="C484" s="152"/>
      <c r="D484" s="152"/>
      <c r="E484" s="152"/>
      <c r="F484" s="152"/>
      <c r="G484" s="152"/>
      <c r="H484" s="152"/>
      <c r="I484" s="152"/>
      <c r="J484" s="152"/>
      <c r="K484" s="152"/>
      <c r="L484" s="152"/>
      <c r="M484" s="152"/>
      <c r="N484" s="152"/>
      <c r="O484" s="152"/>
      <c r="P484" s="152"/>
      <c r="Q484" s="152"/>
      <c r="R484" s="152"/>
      <c r="S484" s="152"/>
      <c r="T484" s="152"/>
      <c r="U484" s="152"/>
      <c r="V484" s="152"/>
      <c r="W484" s="152"/>
      <c r="X484" s="152"/>
      <c r="Y484" s="152"/>
      <c r="Z484" s="152"/>
    </row>
    <row r="485" ht="12.75" customHeight="1">
      <c r="A485" s="152"/>
      <c r="B485" s="232"/>
      <c r="C485" s="152"/>
      <c r="D485" s="152"/>
      <c r="E485" s="152"/>
      <c r="F485" s="152"/>
      <c r="G485" s="152"/>
      <c r="H485" s="152"/>
      <c r="I485" s="152"/>
      <c r="J485" s="152"/>
      <c r="K485" s="152"/>
      <c r="L485" s="152"/>
      <c r="M485" s="152"/>
      <c r="N485" s="152"/>
      <c r="O485" s="152"/>
      <c r="P485" s="152"/>
      <c r="Q485" s="152"/>
      <c r="R485" s="152"/>
      <c r="S485" s="152"/>
      <c r="T485" s="152"/>
      <c r="U485" s="152"/>
      <c r="V485" s="152"/>
      <c r="W485" s="152"/>
      <c r="X485" s="152"/>
      <c r="Y485" s="152"/>
      <c r="Z485" s="152"/>
    </row>
    <row r="486" ht="12.75" customHeight="1">
      <c r="A486" s="152"/>
      <c r="B486" s="232"/>
      <c r="C486" s="152"/>
      <c r="D486" s="152"/>
      <c r="E486" s="152"/>
      <c r="F486" s="152"/>
      <c r="G486" s="152"/>
      <c r="H486" s="152"/>
      <c r="I486" s="152"/>
      <c r="J486" s="152"/>
      <c r="K486" s="152"/>
      <c r="L486" s="152"/>
      <c r="M486" s="152"/>
      <c r="N486" s="152"/>
      <c r="O486" s="152"/>
      <c r="P486" s="152"/>
      <c r="Q486" s="152"/>
      <c r="R486" s="152"/>
      <c r="S486" s="152"/>
      <c r="T486" s="152"/>
      <c r="U486" s="152"/>
      <c r="V486" s="152"/>
      <c r="W486" s="152"/>
      <c r="X486" s="152"/>
      <c r="Y486" s="152"/>
      <c r="Z486" s="152"/>
    </row>
    <row r="487" ht="12.75" customHeight="1">
      <c r="A487" s="152"/>
      <c r="B487" s="232"/>
      <c r="C487" s="152"/>
      <c r="D487" s="152"/>
      <c r="E487" s="152"/>
      <c r="F487" s="152"/>
      <c r="G487" s="152"/>
      <c r="H487" s="152"/>
      <c r="I487" s="152"/>
      <c r="J487" s="152"/>
      <c r="K487" s="152"/>
      <c r="L487" s="152"/>
      <c r="M487" s="152"/>
      <c r="N487" s="152"/>
      <c r="O487" s="152"/>
      <c r="P487" s="152"/>
      <c r="Q487" s="152"/>
      <c r="R487" s="152"/>
      <c r="S487" s="152"/>
      <c r="T487" s="152"/>
      <c r="U487" s="152"/>
      <c r="V487" s="152"/>
      <c r="W487" s="152"/>
      <c r="X487" s="152"/>
      <c r="Y487" s="152"/>
      <c r="Z487" s="152"/>
    </row>
    <row r="488" ht="12.75" customHeight="1">
      <c r="A488" s="152"/>
      <c r="B488" s="232"/>
      <c r="C488" s="152"/>
      <c r="D488" s="152"/>
      <c r="E488" s="152"/>
      <c r="F488" s="152"/>
      <c r="G488" s="152"/>
      <c r="H488" s="152"/>
      <c r="I488" s="152"/>
      <c r="J488" s="152"/>
      <c r="K488" s="152"/>
      <c r="L488" s="152"/>
      <c r="M488" s="152"/>
      <c r="N488" s="152"/>
      <c r="O488" s="152"/>
      <c r="P488" s="152"/>
      <c r="Q488" s="152"/>
      <c r="R488" s="152"/>
      <c r="S488" s="152"/>
      <c r="T488" s="152"/>
      <c r="U488" s="152"/>
      <c r="V488" s="152"/>
      <c r="W488" s="152"/>
      <c r="X488" s="152"/>
      <c r="Y488" s="152"/>
      <c r="Z488" s="152"/>
    </row>
    <row r="489" ht="12.75" customHeight="1">
      <c r="A489" s="152"/>
      <c r="B489" s="232"/>
      <c r="C489" s="152"/>
      <c r="D489" s="152"/>
      <c r="E489" s="152"/>
      <c r="F489" s="152"/>
      <c r="G489" s="152"/>
      <c r="H489" s="152"/>
      <c r="I489" s="152"/>
      <c r="J489" s="152"/>
      <c r="K489" s="152"/>
      <c r="L489" s="152"/>
      <c r="M489" s="152"/>
      <c r="N489" s="152"/>
      <c r="O489" s="152"/>
      <c r="P489" s="152"/>
      <c r="Q489" s="152"/>
      <c r="R489" s="152"/>
      <c r="S489" s="152"/>
      <c r="T489" s="152"/>
      <c r="U489" s="152"/>
      <c r="V489" s="152"/>
      <c r="W489" s="152"/>
      <c r="X489" s="152"/>
      <c r="Y489" s="152"/>
      <c r="Z489" s="152"/>
    </row>
    <row r="490" ht="12.75" customHeight="1">
      <c r="A490" s="152"/>
      <c r="B490" s="232"/>
      <c r="C490" s="152"/>
      <c r="D490" s="152"/>
      <c r="E490" s="152"/>
      <c r="F490" s="152"/>
      <c r="G490" s="152"/>
      <c r="H490" s="152"/>
      <c r="I490" s="152"/>
      <c r="J490" s="152"/>
      <c r="K490" s="152"/>
      <c r="L490" s="152"/>
      <c r="M490" s="152"/>
      <c r="N490" s="152"/>
      <c r="O490" s="152"/>
      <c r="P490" s="152"/>
      <c r="Q490" s="152"/>
      <c r="R490" s="152"/>
      <c r="S490" s="152"/>
      <c r="T490" s="152"/>
      <c r="U490" s="152"/>
      <c r="V490" s="152"/>
      <c r="W490" s="152"/>
      <c r="X490" s="152"/>
      <c r="Y490" s="152"/>
      <c r="Z490" s="152"/>
    </row>
    <row r="491" ht="12.75" customHeight="1">
      <c r="A491" s="152"/>
      <c r="B491" s="232"/>
      <c r="C491" s="152"/>
      <c r="D491" s="152"/>
      <c r="E491" s="152"/>
      <c r="F491" s="152"/>
      <c r="G491" s="152"/>
      <c r="H491" s="152"/>
      <c r="I491" s="152"/>
      <c r="J491" s="152"/>
      <c r="K491" s="152"/>
      <c r="L491" s="152"/>
      <c r="M491" s="152"/>
      <c r="N491" s="152"/>
      <c r="O491" s="152"/>
      <c r="P491" s="152"/>
      <c r="Q491" s="152"/>
      <c r="R491" s="152"/>
      <c r="S491" s="152"/>
      <c r="T491" s="152"/>
      <c r="U491" s="152"/>
      <c r="V491" s="152"/>
      <c r="W491" s="152"/>
      <c r="X491" s="152"/>
      <c r="Y491" s="152"/>
      <c r="Z491" s="152"/>
    </row>
    <row r="492" ht="12.75" customHeight="1">
      <c r="A492" s="152"/>
      <c r="B492" s="232"/>
      <c r="C492" s="152"/>
      <c r="D492" s="152"/>
      <c r="E492" s="152"/>
      <c r="F492" s="152"/>
      <c r="G492" s="152"/>
      <c r="H492" s="152"/>
      <c r="I492" s="152"/>
      <c r="J492" s="152"/>
      <c r="K492" s="152"/>
      <c r="L492" s="152"/>
      <c r="M492" s="152"/>
      <c r="N492" s="152"/>
      <c r="O492" s="152"/>
      <c r="P492" s="152"/>
      <c r="Q492" s="152"/>
      <c r="R492" s="152"/>
      <c r="S492" s="152"/>
      <c r="T492" s="152"/>
      <c r="U492" s="152"/>
      <c r="V492" s="152"/>
      <c r="W492" s="152"/>
      <c r="X492" s="152"/>
      <c r="Y492" s="152"/>
      <c r="Z492" s="152"/>
    </row>
    <row r="493" ht="12.75" customHeight="1">
      <c r="A493" s="152"/>
      <c r="B493" s="232"/>
      <c r="C493" s="152"/>
      <c r="D493" s="152"/>
      <c r="E493" s="152"/>
      <c r="F493" s="152"/>
      <c r="G493" s="152"/>
      <c r="H493" s="152"/>
      <c r="I493" s="152"/>
      <c r="J493" s="152"/>
      <c r="K493" s="152"/>
      <c r="L493" s="152"/>
      <c r="M493" s="152"/>
      <c r="N493" s="152"/>
      <c r="O493" s="152"/>
      <c r="P493" s="152"/>
      <c r="Q493" s="152"/>
      <c r="R493" s="152"/>
      <c r="S493" s="152"/>
      <c r="T493" s="152"/>
      <c r="U493" s="152"/>
      <c r="V493" s="152"/>
      <c r="W493" s="152"/>
      <c r="X493" s="152"/>
      <c r="Y493" s="152"/>
      <c r="Z493" s="152"/>
    </row>
    <row r="494" ht="12.75" customHeight="1">
      <c r="A494" s="152"/>
      <c r="B494" s="232"/>
      <c r="C494" s="152"/>
      <c r="D494" s="152"/>
      <c r="E494" s="152"/>
      <c r="F494" s="152"/>
      <c r="G494" s="152"/>
      <c r="H494" s="152"/>
      <c r="I494" s="152"/>
      <c r="J494" s="152"/>
      <c r="K494" s="152"/>
      <c r="L494" s="152"/>
      <c r="M494" s="152"/>
      <c r="N494" s="152"/>
      <c r="O494" s="152"/>
      <c r="P494" s="152"/>
      <c r="Q494" s="152"/>
      <c r="R494" s="152"/>
      <c r="S494" s="152"/>
      <c r="T494" s="152"/>
      <c r="U494" s="152"/>
      <c r="V494" s="152"/>
      <c r="W494" s="152"/>
      <c r="X494" s="152"/>
      <c r="Y494" s="152"/>
      <c r="Z494" s="152"/>
    </row>
    <row r="495" ht="12.75" customHeight="1">
      <c r="A495" s="152"/>
      <c r="B495" s="232"/>
      <c r="C495" s="152"/>
      <c r="D495" s="152"/>
      <c r="E495" s="152"/>
      <c r="F495" s="152"/>
      <c r="G495" s="152"/>
      <c r="H495" s="152"/>
      <c r="I495" s="152"/>
      <c r="J495" s="152"/>
      <c r="K495" s="152"/>
      <c r="L495" s="152"/>
      <c r="M495" s="152"/>
      <c r="N495" s="152"/>
      <c r="O495" s="152"/>
      <c r="P495" s="152"/>
      <c r="Q495" s="152"/>
      <c r="R495" s="152"/>
      <c r="S495" s="152"/>
      <c r="T495" s="152"/>
      <c r="U495" s="152"/>
      <c r="V495" s="152"/>
      <c r="W495" s="152"/>
      <c r="X495" s="152"/>
      <c r="Y495" s="152"/>
      <c r="Z495" s="152"/>
    </row>
    <row r="496" ht="12.75" customHeight="1">
      <c r="A496" s="152"/>
      <c r="B496" s="232"/>
      <c r="C496" s="152"/>
      <c r="D496" s="152"/>
      <c r="E496" s="152"/>
      <c r="F496" s="152"/>
      <c r="G496" s="152"/>
      <c r="H496" s="152"/>
      <c r="I496" s="152"/>
      <c r="J496" s="152"/>
      <c r="K496" s="152"/>
      <c r="L496" s="152"/>
      <c r="M496" s="152"/>
      <c r="N496" s="152"/>
      <c r="O496" s="152"/>
      <c r="P496" s="152"/>
      <c r="Q496" s="152"/>
      <c r="R496" s="152"/>
      <c r="S496" s="152"/>
      <c r="T496" s="152"/>
      <c r="U496" s="152"/>
      <c r="V496" s="152"/>
      <c r="W496" s="152"/>
      <c r="X496" s="152"/>
      <c r="Y496" s="152"/>
      <c r="Z496" s="152"/>
    </row>
    <row r="497" ht="12.75" customHeight="1">
      <c r="A497" s="152"/>
      <c r="B497" s="232"/>
      <c r="C497" s="152"/>
      <c r="D497" s="152"/>
      <c r="E497" s="152"/>
      <c r="F497" s="152"/>
      <c r="G497" s="152"/>
      <c r="H497" s="152"/>
      <c r="I497" s="152"/>
      <c r="J497" s="152"/>
      <c r="K497" s="152"/>
      <c r="L497" s="152"/>
      <c r="M497" s="152"/>
      <c r="N497" s="152"/>
      <c r="O497" s="152"/>
      <c r="P497" s="152"/>
      <c r="Q497" s="152"/>
      <c r="R497" s="152"/>
      <c r="S497" s="152"/>
      <c r="T497" s="152"/>
      <c r="U497" s="152"/>
      <c r="V497" s="152"/>
      <c r="W497" s="152"/>
      <c r="X497" s="152"/>
      <c r="Y497" s="152"/>
      <c r="Z497" s="152"/>
    </row>
    <row r="498" ht="12.75" customHeight="1">
      <c r="A498" s="152"/>
      <c r="B498" s="232"/>
      <c r="C498" s="152"/>
      <c r="D498" s="152"/>
      <c r="E498" s="152"/>
      <c r="F498" s="152"/>
      <c r="G498" s="152"/>
      <c r="H498" s="152"/>
      <c r="I498" s="152"/>
      <c r="J498" s="152"/>
      <c r="K498" s="152"/>
      <c r="L498" s="152"/>
      <c r="M498" s="152"/>
      <c r="N498" s="152"/>
      <c r="O498" s="152"/>
      <c r="P498" s="152"/>
      <c r="Q498" s="152"/>
      <c r="R498" s="152"/>
      <c r="S498" s="152"/>
      <c r="T498" s="152"/>
      <c r="U498" s="152"/>
      <c r="V498" s="152"/>
      <c r="W498" s="152"/>
      <c r="X498" s="152"/>
      <c r="Y498" s="152"/>
      <c r="Z498" s="152"/>
    </row>
    <row r="499" ht="12.75" customHeight="1">
      <c r="A499" s="152"/>
      <c r="B499" s="232"/>
      <c r="C499" s="152"/>
      <c r="D499" s="152"/>
      <c r="E499" s="152"/>
      <c r="F499" s="152"/>
      <c r="G499" s="152"/>
      <c r="H499" s="152"/>
      <c r="I499" s="152"/>
      <c r="J499" s="152"/>
      <c r="K499" s="152"/>
      <c r="L499" s="152"/>
      <c r="M499" s="152"/>
      <c r="N499" s="152"/>
      <c r="O499" s="152"/>
      <c r="P499" s="152"/>
      <c r="Q499" s="152"/>
      <c r="R499" s="152"/>
      <c r="S499" s="152"/>
      <c r="T499" s="152"/>
      <c r="U499" s="152"/>
      <c r="V499" s="152"/>
      <c r="W499" s="152"/>
      <c r="X499" s="152"/>
      <c r="Y499" s="152"/>
      <c r="Z499" s="152"/>
    </row>
    <row r="500" ht="12.75" customHeight="1">
      <c r="A500" s="152"/>
      <c r="B500" s="232"/>
      <c r="C500" s="152"/>
      <c r="D500" s="152"/>
      <c r="E500" s="152"/>
      <c r="F500" s="152"/>
      <c r="G500" s="152"/>
      <c r="H500" s="152"/>
      <c r="I500" s="152"/>
      <c r="J500" s="152"/>
      <c r="K500" s="152"/>
      <c r="L500" s="152"/>
      <c r="M500" s="152"/>
      <c r="N500" s="152"/>
      <c r="O500" s="152"/>
      <c r="P500" s="152"/>
      <c r="Q500" s="152"/>
      <c r="R500" s="152"/>
      <c r="S500" s="152"/>
      <c r="T500" s="152"/>
      <c r="U500" s="152"/>
      <c r="V500" s="152"/>
      <c r="W500" s="152"/>
      <c r="X500" s="152"/>
      <c r="Y500" s="152"/>
      <c r="Z500" s="152"/>
    </row>
    <row r="501" ht="12.75" customHeight="1">
      <c r="A501" s="152"/>
      <c r="B501" s="232"/>
      <c r="C501" s="152"/>
      <c r="D501" s="152"/>
      <c r="E501" s="152"/>
      <c r="F501" s="152"/>
      <c r="G501" s="152"/>
      <c r="H501" s="152"/>
      <c r="I501" s="152"/>
      <c r="J501" s="152"/>
      <c r="K501" s="152"/>
      <c r="L501" s="152"/>
      <c r="M501" s="152"/>
      <c r="N501" s="152"/>
      <c r="O501" s="152"/>
      <c r="P501" s="152"/>
      <c r="Q501" s="152"/>
      <c r="R501" s="152"/>
      <c r="S501" s="152"/>
      <c r="T501" s="152"/>
      <c r="U501" s="152"/>
      <c r="V501" s="152"/>
      <c r="W501" s="152"/>
      <c r="X501" s="152"/>
      <c r="Y501" s="152"/>
      <c r="Z501" s="152"/>
    </row>
    <row r="502" ht="12.75" customHeight="1">
      <c r="A502" s="152"/>
      <c r="B502" s="232"/>
      <c r="C502" s="152"/>
      <c r="D502" s="152"/>
      <c r="E502" s="152"/>
      <c r="F502" s="152"/>
      <c r="G502" s="152"/>
      <c r="H502" s="152"/>
      <c r="I502" s="152"/>
      <c r="J502" s="152"/>
      <c r="K502" s="152"/>
      <c r="L502" s="152"/>
      <c r="M502" s="152"/>
      <c r="N502" s="152"/>
      <c r="O502" s="152"/>
      <c r="P502" s="152"/>
      <c r="Q502" s="152"/>
      <c r="R502" s="152"/>
      <c r="S502" s="152"/>
      <c r="T502" s="152"/>
      <c r="U502" s="152"/>
      <c r="V502" s="152"/>
      <c r="W502" s="152"/>
      <c r="X502" s="152"/>
      <c r="Y502" s="152"/>
      <c r="Z502" s="152"/>
    </row>
    <row r="503" ht="12.75" customHeight="1">
      <c r="A503" s="152"/>
      <c r="B503" s="232"/>
      <c r="C503" s="152"/>
      <c r="D503" s="152"/>
      <c r="E503" s="152"/>
      <c r="F503" s="152"/>
      <c r="G503" s="152"/>
      <c r="H503" s="152"/>
      <c r="I503" s="152"/>
      <c r="J503" s="152"/>
      <c r="K503" s="152"/>
      <c r="L503" s="152"/>
      <c r="M503" s="152"/>
      <c r="N503" s="152"/>
      <c r="O503" s="152"/>
      <c r="P503" s="152"/>
      <c r="Q503" s="152"/>
      <c r="R503" s="152"/>
      <c r="S503" s="152"/>
      <c r="T503" s="152"/>
      <c r="U503" s="152"/>
      <c r="V503" s="152"/>
      <c r="W503" s="152"/>
      <c r="X503" s="152"/>
      <c r="Y503" s="152"/>
      <c r="Z503" s="152"/>
    </row>
    <row r="504" ht="12.75" customHeight="1">
      <c r="A504" s="152"/>
      <c r="B504" s="232"/>
      <c r="C504" s="152"/>
      <c r="D504" s="152"/>
      <c r="E504" s="152"/>
      <c r="F504" s="152"/>
      <c r="G504" s="152"/>
      <c r="H504" s="152"/>
      <c r="I504" s="152"/>
      <c r="J504" s="152"/>
      <c r="K504" s="152"/>
      <c r="L504" s="152"/>
      <c r="M504" s="152"/>
      <c r="N504" s="152"/>
      <c r="O504" s="152"/>
      <c r="P504" s="152"/>
      <c r="Q504" s="152"/>
      <c r="R504" s="152"/>
      <c r="S504" s="152"/>
      <c r="T504" s="152"/>
      <c r="U504" s="152"/>
      <c r="V504" s="152"/>
      <c r="W504" s="152"/>
      <c r="X504" s="152"/>
      <c r="Y504" s="152"/>
      <c r="Z504" s="152"/>
    </row>
    <row r="505" ht="12.75" customHeight="1">
      <c r="A505" s="152"/>
      <c r="B505" s="232"/>
      <c r="C505" s="152"/>
      <c r="D505" s="152"/>
      <c r="E505" s="152"/>
      <c r="F505" s="152"/>
      <c r="G505" s="152"/>
      <c r="H505" s="152"/>
      <c r="I505" s="152"/>
      <c r="J505" s="152"/>
      <c r="K505" s="152"/>
      <c r="L505" s="152"/>
      <c r="M505" s="152"/>
      <c r="N505" s="152"/>
      <c r="O505" s="152"/>
      <c r="P505" s="152"/>
      <c r="Q505" s="152"/>
      <c r="R505" s="152"/>
      <c r="S505" s="152"/>
      <c r="T505" s="152"/>
      <c r="U505" s="152"/>
      <c r="V505" s="152"/>
      <c r="W505" s="152"/>
      <c r="X505" s="152"/>
      <c r="Y505" s="152"/>
      <c r="Z505" s="152"/>
    </row>
    <row r="506" ht="12.75" customHeight="1">
      <c r="A506" s="152"/>
      <c r="B506" s="232"/>
      <c r="C506" s="152"/>
      <c r="D506" s="152"/>
      <c r="E506" s="152"/>
      <c r="F506" s="152"/>
      <c r="G506" s="152"/>
      <c r="H506" s="152"/>
      <c r="I506" s="152"/>
      <c r="J506" s="152"/>
      <c r="K506" s="152"/>
      <c r="L506" s="152"/>
      <c r="M506" s="152"/>
      <c r="N506" s="152"/>
      <c r="O506" s="152"/>
      <c r="P506" s="152"/>
      <c r="Q506" s="152"/>
      <c r="R506" s="152"/>
      <c r="S506" s="152"/>
      <c r="T506" s="152"/>
      <c r="U506" s="152"/>
      <c r="V506" s="152"/>
      <c r="W506" s="152"/>
      <c r="X506" s="152"/>
      <c r="Y506" s="152"/>
      <c r="Z506" s="152"/>
    </row>
    <row r="507" ht="12.75" customHeight="1">
      <c r="A507" s="152"/>
      <c r="B507" s="232"/>
      <c r="C507" s="152"/>
      <c r="D507" s="152"/>
      <c r="E507" s="152"/>
      <c r="F507" s="152"/>
      <c r="G507" s="152"/>
      <c r="H507" s="152"/>
      <c r="I507" s="152"/>
      <c r="J507" s="152"/>
      <c r="K507" s="152"/>
      <c r="L507" s="152"/>
      <c r="M507" s="152"/>
      <c r="N507" s="152"/>
      <c r="O507" s="152"/>
      <c r="P507" s="152"/>
      <c r="Q507" s="152"/>
      <c r="R507" s="152"/>
      <c r="S507" s="152"/>
      <c r="T507" s="152"/>
      <c r="U507" s="152"/>
      <c r="V507" s="152"/>
      <c r="W507" s="152"/>
      <c r="X507" s="152"/>
      <c r="Y507" s="152"/>
      <c r="Z507" s="152"/>
    </row>
    <row r="508" ht="12.75" customHeight="1">
      <c r="A508" s="152"/>
      <c r="B508" s="232"/>
      <c r="C508" s="152"/>
      <c r="D508" s="152"/>
      <c r="E508" s="152"/>
      <c r="F508" s="152"/>
      <c r="G508" s="152"/>
      <c r="H508" s="152"/>
      <c r="I508" s="152"/>
      <c r="J508" s="152"/>
      <c r="K508" s="152"/>
      <c r="L508" s="152"/>
      <c r="M508" s="152"/>
      <c r="N508" s="152"/>
      <c r="O508" s="152"/>
      <c r="P508" s="152"/>
      <c r="Q508" s="152"/>
      <c r="R508" s="152"/>
      <c r="S508" s="152"/>
      <c r="T508" s="152"/>
      <c r="U508" s="152"/>
      <c r="V508" s="152"/>
      <c r="W508" s="152"/>
      <c r="X508" s="152"/>
      <c r="Y508" s="152"/>
      <c r="Z508" s="152"/>
    </row>
    <row r="509" ht="12.75" customHeight="1">
      <c r="A509" s="152"/>
      <c r="B509" s="232"/>
      <c r="C509" s="152"/>
      <c r="D509" s="152"/>
      <c r="E509" s="152"/>
      <c r="F509" s="152"/>
      <c r="G509" s="152"/>
      <c r="H509" s="152"/>
      <c r="I509" s="152"/>
      <c r="J509" s="152"/>
      <c r="K509" s="152"/>
      <c r="L509" s="152"/>
      <c r="M509" s="152"/>
      <c r="N509" s="152"/>
      <c r="O509" s="152"/>
      <c r="P509" s="152"/>
      <c r="Q509" s="152"/>
      <c r="R509" s="152"/>
      <c r="S509" s="152"/>
      <c r="T509" s="152"/>
      <c r="U509" s="152"/>
      <c r="V509" s="152"/>
      <c r="W509" s="152"/>
      <c r="X509" s="152"/>
      <c r="Y509" s="152"/>
      <c r="Z509" s="152"/>
    </row>
    <row r="510" ht="12.75" customHeight="1">
      <c r="A510" s="152"/>
      <c r="B510" s="232"/>
      <c r="C510" s="152"/>
      <c r="D510" s="152"/>
      <c r="E510" s="152"/>
      <c r="F510" s="152"/>
      <c r="G510" s="152"/>
      <c r="H510" s="152"/>
      <c r="I510" s="152"/>
      <c r="J510" s="152"/>
      <c r="K510" s="152"/>
      <c r="L510" s="152"/>
      <c r="M510" s="152"/>
      <c r="N510" s="152"/>
      <c r="O510" s="152"/>
      <c r="P510" s="152"/>
      <c r="Q510" s="152"/>
      <c r="R510" s="152"/>
      <c r="S510" s="152"/>
      <c r="T510" s="152"/>
      <c r="U510" s="152"/>
      <c r="V510" s="152"/>
      <c r="W510" s="152"/>
      <c r="X510" s="152"/>
      <c r="Y510" s="152"/>
      <c r="Z510" s="152"/>
    </row>
    <row r="511" ht="12.75" customHeight="1">
      <c r="A511" s="152"/>
      <c r="B511" s="232"/>
      <c r="C511" s="152"/>
      <c r="D511" s="152"/>
      <c r="E511" s="152"/>
      <c r="F511" s="152"/>
      <c r="G511" s="152"/>
      <c r="H511" s="152"/>
      <c r="I511" s="152"/>
      <c r="J511" s="152"/>
      <c r="K511" s="152"/>
      <c r="L511" s="152"/>
      <c r="M511" s="152"/>
      <c r="N511" s="152"/>
      <c r="O511" s="152"/>
      <c r="P511" s="152"/>
      <c r="Q511" s="152"/>
      <c r="R511" s="152"/>
      <c r="S511" s="152"/>
      <c r="T511" s="152"/>
      <c r="U511" s="152"/>
      <c r="V511" s="152"/>
      <c r="W511" s="152"/>
      <c r="X511" s="152"/>
      <c r="Y511" s="152"/>
      <c r="Z511" s="152"/>
    </row>
    <row r="512" ht="12.75" customHeight="1">
      <c r="A512" s="152"/>
      <c r="B512" s="232"/>
      <c r="C512" s="152"/>
      <c r="D512" s="152"/>
      <c r="E512" s="152"/>
      <c r="F512" s="152"/>
      <c r="G512" s="152"/>
      <c r="H512" s="152"/>
      <c r="I512" s="152"/>
      <c r="J512" s="152"/>
      <c r="K512" s="152"/>
      <c r="L512" s="152"/>
      <c r="M512" s="152"/>
      <c r="N512" s="152"/>
      <c r="O512" s="152"/>
      <c r="P512" s="152"/>
      <c r="Q512" s="152"/>
      <c r="R512" s="152"/>
      <c r="S512" s="152"/>
      <c r="T512" s="152"/>
      <c r="U512" s="152"/>
      <c r="V512" s="152"/>
      <c r="W512" s="152"/>
      <c r="X512" s="152"/>
      <c r="Y512" s="152"/>
      <c r="Z512" s="152"/>
    </row>
    <row r="513" ht="12.75" customHeight="1">
      <c r="A513" s="152"/>
      <c r="B513" s="232"/>
      <c r="C513" s="152"/>
      <c r="D513" s="152"/>
      <c r="E513" s="152"/>
      <c r="F513" s="152"/>
      <c r="G513" s="152"/>
      <c r="H513" s="152"/>
      <c r="I513" s="152"/>
      <c r="J513" s="152"/>
      <c r="K513" s="152"/>
      <c r="L513" s="152"/>
      <c r="M513" s="152"/>
      <c r="N513" s="152"/>
      <c r="O513" s="152"/>
      <c r="P513" s="152"/>
      <c r="Q513" s="152"/>
      <c r="R513" s="152"/>
      <c r="S513" s="152"/>
      <c r="T513" s="152"/>
      <c r="U513" s="152"/>
      <c r="V513" s="152"/>
      <c r="W513" s="152"/>
      <c r="X513" s="152"/>
      <c r="Y513" s="152"/>
      <c r="Z513" s="152"/>
    </row>
    <row r="514" ht="12.75" customHeight="1">
      <c r="A514" s="152"/>
      <c r="B514" s="232"/>
      <c r="C514" s="152"/>
      <c r="D514" s="152"/>
      <c r="E514" s="152"/>
      <c r="F514" s="152"/>
      <c r="G514" s="152"/>
      <c r="H514" s="152"/>
      <c r="I514" s="152"/>
      <c r="J514" s="152"/>
      <c r="K514" s="152"/>
      <c r="L514" s="152"/>
      <c r="M514" s="152"/>
      <c r="N514" s="152"/>
      <c r="O514" s="152"/>
      <c r="P514" s="152"/>
      <c r="Q514" s="152"/>
      <c r="R514" s="152"/>
      <c r="S514" s="152"/>
      <c r="T514" s="152"/>
      <c r="U514" s="152"/>
      <c r="V514" s="152"/>
      <c r="W514" s="152"/>
      <c r="X514" s="152"/>
      <c r="Y514" s="152"/>
      <c r="Z514" s="152"/>
    </row>
    <row r="515" ht="12.75" customHeight="1">
      <c r="A515" s="152"/>
      <c r="B515" s="232"/>
      <c r="C515" s="152"/>
      <c r="D515" s="152"/>
      <c r="E515" s="152"/>
      <c r="F515" s="152"/>
      <c r="G515" s="152"/>
      <c r="H515" s="152"/>
      <c r="I515" s="152"/>
      <c r="J515" s="152"/>
      <c r="K515" s="152"/>
      <c r="L515" s="152"/>
      <c r="M515" s="152"/>
      <c r="N515" s="152"/>
      <c r="O515" s="152"/>
      <c r="P515" s="152"/>
      <c r="Q515" s="152"/>
      <c r="R515" s="152"/>
      <c r="S515" s="152"/>
      <c r="T515" s="152"/>
      <c r="U515" s="152"/>
      <c r="V515" s="152"/>
      <c r="W515" s="152"/>
      <c r="X515" s="152"/>
      <c r="Y515" s="152"/>
      <c r="Z515" s="152"/>
    </row>
    <row r="516" ht="12.75" customHeight="1">
      <c r="A516" s="152"/>
      <c r="B516" s="232"/>
      <c r="C516" s="152"/>
      <c r="D516" s="152"/>
      <c r="E516" s="152"/>
      <c r="F516" s="152"/>
      <c r="G516" s="152"/>
      <c r="H516" s="152"/>
      <c r="I516" s="152"/>
      <c r="J516" s="152"/>
      <c r="K516" s="152"/>
      <c r="L516" s="152"/>
      <c r="M516" s="152"/>
      <c r="N516" s="152"/>
      <c r="O516" s="152"/>
      <c r="P516" s="152"/>
      <c r="Q516" s="152"/>
      <c r="R516" s="152"/>
      <c r="S516" s="152"/>
      <c r="T516" s="152"/>
      <c r="U516" s="152"/>
      <c r="V516" s="152"/>
      <c r="W516" s="152"/>
      <c r="X516" s="152"/>
      <c r="Y516" s="152"/>
      <c r="Z516" s="152"/>
    </row>
    <row r="517" ht="12.75" customHeight="1">
      <c r="A517" s="152"/>
      <c r="B517" s="232"/>
      <c r="C517" s="152"/>
      <c r="D517" s="152"/>
      <c r="E517" s="152"/>
      <c r="F517" s="152"/>
      <c r="G517" s="152"/>
      <c r="H517" s="152"/>
      <c r="I517" s="152"/>
      <c r="J517" s="152"/>
      <c r="K517" s="152"/>
      <c r="L517" s="152"/>
      <c r="M517" s="152"/>
      <c r="N517" s="152"/>
      <c r="O517" s="152"/>
      <c r="P517" s="152"/>
      <c r="Q517" s="152"/>
      <c r="R517" s="152"/>
      <c r="S517" s="152"/>
      <c r="T517" s="152"/>
      <c r="U517" s="152"/>
      <c r="V517" s="152"/>
      <c r="W517" s="152"/>
      <c r="X517" s="152"/>
      <c r="Y517" s="152"/>
      <c r="Z517" s="152"/>
    </row>
    <row r="518" ht="12.75" customHeight="1">
      <c r="A518" s="152"/>
      <c r="B518" s="232"/>
      <c r="C518" s="152"/>
      <c r="D518" s="152"/>
      <c r="E518" s="152"/>
      <c r="F518" s="152"/>
      <c r="G518" s="152"/>
      <c r="H518" s="152"/>
      <c r="I518" s="152"/>
      <c r="J518" s="152"/>
      <c r="K518" s="152"/>
      <c r="L518" s="152"/>
      <c r="M518" s="152"/>
      <c r="N518" s="152"/>
      <c r="O518" s="152"/>
      <c r="P518" s="152"/>
      <c r="Q518" s="152"/>
      <c r="R518" s="152"/>
      <c r="S518" s="152"/>
      <c r="T518" s="152"/>
      <c r="U518" s="152"/>
      <c r="V518" s="152"/>
      <c r="W518" s="152"/>
      <c r="X518" s="152"/>
      <c r="Y518" s="152"/>
      <c r="Z518" s="152"/>
    </row>
    <row r="519" ht="12.75" customHeight="1">
      <c r="A519" s="152"/>
      <c r="B519" s="232"/>
      <c r="C519" s="152"/>
      <c r="D519" s="152"/>
      <c r="E519" s="152"/>
      <c r="F519" s="152"/>
      <c r="G519" s="152"/>
      <c r="H519" s="152"/>
      <c r="I519" s="152"/>
      <c r="J519" s="152"/>
      <c r="K519" s="152"/>
      <c r="L519" s="152"/>
      <c r="M519" s="152"/>
      <c r="N519" s="152"/>
      <c r="O519" s="152"/>
      <c r="P519" s="152"/>
      <c r="Q519" s="152"/>
      <c r="R519" s="152"/>
      <c r="S519" s="152"/>
      <c r="T519" s="152"/>
      <c r="U519" s="152"/>
      <c r="V519" s="152"/>
      <c r="W519" s="152"/>
      <c r="X519" s="152"/>
      <c r="Y519" s="152"/>
      <c r="Z519" s="152"/>
    </row>
    <row r="520" ht="12.75" customHeight="1">
      <c r="A520" s="152"/>
      <c r="B520" s="232"/>
      <c r="C520" s="152"/>
      <c r="D520" s="152"/>
      <c r="E520" s="152"/>
      <c r="F520" s="152"/>
      <c r="G520" s="152"/>
      <c r="H520" s="152"/>
      <c r="I520" s="152"/>
      <c r="J520" s="152"/>
      <c r="K520" s="152"/>
      <c r="L520" s="152"/>
      <c r="M520" s="152"/>
      <c r="N520" s="152"/>
      <c r="O520" s="152"/>
      <c r="P520" s="152"/>
      <c r="Q520" s="152"/>
      <c r="R520" s="152"/>
      <c r="S520" s="152"/>
      <c r="T520" s="152"/>
      <c r="U520" s="152"/>
      <c r="V520" s="152"/>
      <c r="W520" s="152"/>
      <c r="X520" s="152"/>
      <c r="Y520" s="152"/>
      <c r="Z520" s="152"/>
    </row>
    <row r="521" ht="12.75" customHeight="1">
      <c r="A521" s="152"/>
      <c r="B521" s="232"/>
      <c r="C521" s="152"/>
      <c r="D521" s="152"/>
      <c r="E521" s="152"/>
      <c r="F521" s="152"/>
      <c r="G521" s="152"/>
      <c r="H521" s="152"/>
      <c r="I521" s="152"/>
      <c r="J521" s="152"/>
      <c r="K521" s="152"/>
      <c r="L521" s="152"/>
      <c r="M521" s="152"/>
      <c r="N521" s="152"/>
      <c r="O521" s="152"/>
      <c r="P521" s="152"/>
      <c r="Q521" s="152"/>
      <c r="R521" s="152"/>
      <c r="S521" s="152"/>
      <c r="T521" s="152"/>
      <c r="U521" s="152"/>
      <c r="V521" s="152"/>
      <c r="W521" s="152"/>
      <c r="X521" s="152"/>
      <c r="Y521" s="152"/>
      <c r="Z521" s="152"/>
    </row>
    <row r="522" ht="12.75" customHeight="1">
      <c r="A522" s="152"/>
      <c r="B522" s="232"/>
      <c r="C522" s="152"/>
      <c r="D522" s="152"/>
      <c r="E522" s="152"/>
      <c r="F522" s="152"/>
      <c r="G522" s="152"/>
      <c r="H522" s="152"/>
      <c r="I522" s="152"/>
      <c r="J522" s="152"/>
      <c r="K522" s="152"/>
      <c r="L522" s="152"/>
      <c r="M522" s="152"/>
      <c r="N522" s="152"/>
      <c r="O522" s="152"/>
      <c r="P522" s="152"/>
      <c r="Q522" s="152"/>
      <c r="R522" s="152"/>
      <c r="S522" s="152"/>
      <c r="T522" s="152"/>
      <c r="U522" s="152"/>
      <c r="V522" s="152"/>
      <c r="W522" s="152"/>
      <c r="X522" s="152"/>
      <c r="Y522" s="152"/>
      <c r="Z522" s="152"/>
    </row>
    <row r="523" ht="12.75" customHeight="1">
      <c r="A523" s="152"/>
      <c r="B523" s="232"/>
      <c r="C523" s="152"/>
      <c r="D523" s="152"/>
      <c r="E523" s="152"/>
      <c r="F523" s="152"/>
      <c r="G523" s="152"/>
      <c r="H523" s="152"/>
      <c r="I523" s="152"/>
      <c r="J523" s="152"/>
      <c r="K523" s="152"/>
      <c r="L523" s="152"/>
      <c r="M523" s="152"/>
      <c r="N523" s="152"/>
      <c r="O523" s="152"/>
      <c r="P523" s="152"/>
      <c r="Q523" s="152"/>
      <c r="R523" s="152"/>
      <c r="S523" s="152"/>
      <c r="T523" s="152"/>
      <c r="U523" s="152"/>
      <c r="V523" s="152"/>
      <c r="W523" s="152"/>
      <c r="X523" s="152"/>
      <c r="Y523" s="152"/>
      <c r="Z523" s="152"/>
    </row>
    <row r="524" ht="12.75" customHeight="1">
      <c r="A524" s="152"/>
      <c r="B524" s="232"/>
      <c r="C524" s="152"/>
      <c r="D524" s="152"/>
      <c r="E524" s="152"/>
      <c r="F524" s="152"/>
      <c r="G524" s="152"/>
      <c r="H524" s="152"/>
      <c r="I524" s="152"/>
      <c r="J524" s="152"/>
      <c r="K524" s="152"/>
      <c r="L524" s="152"/>
      <c r="M524" s="152"/>
      <c r="N524" s="152"/>
      <c r="O524" s="152"/>
      <c r="P524" s="152"/>
      <c r="Q524" s="152"/>
      <c r="R524" s="152"/>
      <c r="S524" s="152"/>
      <c r="T524" s="152"/>
      <c r="U524" s="152"/>
      <c r="V524" s="152"/>
      <c r="W524" s="152"/>
      <c r="X524" s="152"/>
      <c r="Y524" s="152"/>
      <c r="Z524" s="152"/>
    </row>
    <row r="525" ht="12.75" customHeight="1">
      <c r="A525" s="152"/>
      <c r="B525" s="232"/>
      <c r="C525" s="152"/>
      <c r="D525" s="152"/>
      <c r="E525" s="152"/>
      <c r="F525" s="152"/>
      <c r="G525" s="152"/>
      <c r="H525" s="152"/>
      <c r="I525" s="152"/>
      <c r="J525" s="152"/>
      <c r="K525" s="152"/>
      <c r="L525" s="152"/>
      <c r="M525" s="152"/>
      <c r="N525" s="152"/>
      <c r="O525" s="152"/>
      <c r="P525" s="152"/>
      <c r="Q525" s="152"/>
      <c r="R525" s="152"/>
      <c r="S525" s="152"/>
      <c r="T525" s="152"/>
      <c r="U525" s="152"/>
      <c r="V525" s="152"/>
      <c r="W525" s="152"/>
      <c r="X525" s="152"/>
      <c r="Y525" s="152"/>
      <c r="Z525" s="152"/>
    </row>
    <row r="526" ht="12.75" customHeight="1">
      <c r="A526" s="152"/>
      <c r="B526" s="232"/>
      <c r="C526" s="152"/>
      <c r="D526" s="152"/>
      <c r="E526" s="152"/>
      <c r="F526" s="152"/>
      <c r="G526" s="152"/>
      <c r="H526" s="152"/>
      <c r="I526" s="152"/>
      <c r="J526" s="152"/>
      <c r="K526" s="152"/>
      <c r="L526" s="152"/>
      <c r="M526" s="152"/>
      <c r="N526" s="152"/>
      <c r="O526" s="152"/>
      <c r="P526" s="152"/>
      <c r="Q526" s="152"/>
      <c r="R526" s="152"/>
      <c r="S526" s="152"/>
      <c r="T526" s="152"/>
      <c r="U526" s="152"/>
      <c r="V526" s="152"/>
      <c r="W526" s="152"/>
      <c r="X526" s="152"/>
      <c r="Y526" s="152"/>
      <c r="Z526" s="152"/>
    </row>
    <row r="527" ht="12.75" customHeight="1">
      <c r="A527" s="152"/>
      <c r="B527" s="232"/>
      <c r="C527" s="152"/>
      <c r="D527" s="152"/>
      <c r="E527" s="152"/>
      <c r="F527" s="152"/>
      <c r="G527" s="152"/>
      <c r="H527" s="152"/>
      <c r="I527" s="152"/>
      <c r="J527" s="152"/>
      <c r="K527" s="152"/>
      <c r="L527" s="152"/>
      <c r="M527" s="152"/>
      <c r="N527" s="152"/>
      <c r="O527" s="152"/>
      <c r="P527" s="152"/>
      <c r="Q527" s="152"/>
      <c r="R527" s="152"/>
      <c r="S527" s="152"/>
      <c r="T527" s="152"/>
      <c r="U527" s="152"/>
      <c r="V527" s="152"/>
      <c r="W527" s="152"/>
      <c r="X527" s="152"/>
      <c r="Y527" s="152"/>
      <c r="Z527" s="152"/>
    </row>
    <row r="528" ht="12.75" customHeight="1">
      <c r="A528" s="152"/>
      <c r="B528" s="232"/>
      <c r="C528" s="152"/>
      <c r="D528" s="152"/>
      <c r="E528" s="152"/>
      <c r="F528" s="152"/>
      <c r="G528" s="152"/>
      <c r="H528" s="152"/>
      <c r="I528" s="152"/>
      <c r="J528" s="152"/>
      <c r="K528" s="152"/>
      <c r="L528" s="152"/>
      <c r="M528" s="152"/>
      <c r="N528" s="152"/>
      <c r="O528" s="152"/>
      <c r="P528" s="152"/>
      <c r="Q528" s="152"/>
      <c r="R528" s="152"/>
      <c r="S528" s="152"/>
      <c r="T528" s="152"/>
      <c r="U528" s="152"/>
      <c r="V528" s="152"/>
      <c r="W528" s="152"/>
      <c r="X528" s="152"/>
      <c r="Y528" s="152"/>
      <c r="Z528" s="152"/>
    </row>
    <row r="529" ht="12.75" customHeight="1">
      <c r="A529" s="152"/>
      <c r="B529" s="232"/>
      <c r="C529" s="152"/>
      <c r="D529" s="152"/>
      <c r="E529" s="152"/>
      <c r="F529" s="152"/>
      <c r="G529" s="152"/>
      <c r="H529" s="152"/>
      <c r="I529" s="152"/>
      <c r="J529" s="152"/>
      <c r="K529" s="152"/>
      <c r="L529" s="152"/>
      <c r="M529" s="152"/>
      <c r="N529" s="152"/>
      <c r="O529" s="152"/>
      <c r="P529" s="152"/>
      <c r="Q529" s="152"/>
      <c r="R529" s="152"/>
      <c r="S529" s="152"/>
      <c r="T529" s="152"/>
      <c r="U529" s="152"/>
      <c r="V529" s="152"/>
      <c r="W529" s="152"/>
      <c r="X529" s="152"/>
      <c r="Y529" s="152"/>
      <c r="Z529" s="152"/>
    </row>
    <row r="530" ht="12.75" customHeight="1">
      <c r="A530" s="152"/>
      <c r="B530" s="232"/>
      <c r="C530" s="152"/>
      <c r="D530" s="152"/>
      <c r="E530" s="152"/>
      <c r="F530" s="152"/>
      <c r="G530" s="152"/>
      <c r="H530" s="152"/>
      <c r="I530" s="152"/>
      <c r="J530" s="152"/>
      <c r="K530" s="152"/>
      <c r="L530" s="152"/>
      <c r="M530" s="152"/>
      <c r="N530" s="152"/>
      <c r="O530" s="152"/>
      <c r="P530" s="152"/>
      <c r="Q530" s="152"/>
      <c r="R530" s="152"/>
      <c r="S530" s="152"/>
      <c r="T530" s="152"/>
      <c r="U530" s="152"/>
      <c r="V530" s="152"/>
      <c r="W530" s="152"/>
      <c r="X530" s="152"/>
      <c r="Y530" s="152"/>
      <c r="Z530" s="152"/>
    </row>
    <row r="531" ht="12.75" customHeight="1">
      <c r="A531" s="152"/>
      <c r="B531" s="232"/>
      <c r="C531" s="152"/>
      <c r="D531" s="152"/>
      <c r="E531" s="152"/>
      <c r="F531" s="152"/>
      <c r="G531" s="152"/>
      <c r="H531" s="152"/>
      <c r="I531" s="152"/>
      <c r="J531" s="152"/>
      <c r="K531" s="152"/>
      <c r="L531" s="152"/>
      <c r="M531" s="152"/>
      <c r="N531" s="152"/>
      <c r="O531" s="152"/>
      <c r="P531" s="152"/>
      <c r="Q531" s="152"/>
      <c r="R531" s="152"/>
      <c r="S531" s="152"/>
      <c r="T531" s="152"/>
      <c r="U531" s="152"/>
      <c r="V531" s="152"/>
      <c r="W531" s="152"/>
      <c r="X531" s="152"/>
      <c r="Y531" s="152"/>
      <c r="Z531" s="152"/>
    </row>
    <row r="532" ht="12.75" customHeight="1">
      <c r="A532" s="152"/>
      <c r="B532" s="232"/>
      <c r="C532" s="152"/>
      <c r="D532" s="152"/>
      <c r="E532" s="152"/>
      <c r="F532" s="152"/>
      <c r="G532" s="152"/>
      <c r="H532" s="152"/>
      <c r="I532" s="152"/>
      <c r="J532" s="152"/>
      <c r="K532" s="152"/>
      <c r="L532" s="152"/>
      <c r="M532" s="152"/>
      <c r="N532" s="152"/>
      <c r="O532" s="152"/>
      <c r="P532" s="152"/>
      <c r="Q532" s="152"/>
      <c r="R532" s="152"/>
      <c r="S532" s="152"/>
      <c r="T532" s="152"/>
      <c r="U532" s="152"/>
      <c r="V532" s="152"/>
      <c r="W532" s="152"/>
      <c r="X532" s="152"/>
      <c r="Y532" s="152"/>
      <c r="Z532" s="152"/>
    </row>
    <row r="533" ht="12.75" customHeight="1">
      <c r="A533" s="152"/>
      <c r="B533" s="232"/>
      <c r="C533" s="152"/>
      <c r="D533" s="152"/>
      <c r="E533" s="152"/>
      <c r="F533" s="152"/>
      <c r="G533" s="152"/>
      <c r="H533" s="152"/>
      <c r="I533" s="152"/>
      <c r="J533" s="152"/>
      <c r="K533" s="152"/>
      <c r="L533" s="152"/>
      <c r="M533" s="152"/>
      <c r="N533" s="152"/>
      <c r="O533" s="152"/>
      <c r="P533" s="152"/>
      <c r="Q533" s="152"/>
      <c r="R533" s="152"/>
      <c r="S533" s="152"/>
      <c r="T533" s="152"/>
      <c r="U533" s="152"/>
      <c r="V533" s="152"/>
      <c r="W533" s="152"/>
      <c r="X533" s="152"/>
      <c r="Y533" s="152"/>
      <c r="Z533" s="152"/>
    </row>
    <row r="534" ht="12.75" customHeight="1">
      <c r="A534" s="152"/>
      <c r="B534" s="232"/>
      <c r="C534" s="152"/>
      <c r="D534" s="152"/>
      <c r="E534" s="152"/>
      <c r="F534" s="152"/>
      <c r="G534" s="152"/>
      <c r="H534" s="152"/>
      <c r="I534" s="152"/>
      <c r="J534" s="152"/>
      <c r="K534" s="152"/>
      <c r="L534" s="152"/>
      <c r="M534" s="152"/>
      <c r="N534" s="152"/>
      <c r="O534" s="152"/>
      <c r="P534" s="152"/>
      <c r="Q534" s="152"/>
      <c r="R534" s="152"/>
      <c r="S534" s="152"/>
      <c r="T534" s="152"/>
      <c r="U534" s="152"/>
      <c r="V534" s="152"/>
      <c r="W534" s="152"/>
      <c r="X534" s="152"/>
      <c r="Y534" s="152"/>
      <c r="Z534" s="152"/>
    </row>
    <row r="535" ht="12.75" customHeight="1">
      <c r="A535" s="152"/>
      <c r="B535" s="232"/>
      <c r="C535" s="152"/>
      <c r="D535" s="152"/>
      <c r="E535" s="152"/>
      <c r="F535" s="152"/>
      <c r="G535" s="152"/>
      <c r="H535" s="152"/>
      <c r="I535" s="152"/>
      <c r="J535" s="152"/>
      <c r="K535" s="152"/>
      <c r="L535" s="152"/>
      <c r="M535" s="152"/>
      <c r="N535" s="152"/>
      <c r="O535" s="152"/>
      <c r="P535" s="152"/>
      <c r="Q535" s="152"/>
      <c r="R535" s="152"/>
      <c r="S535" s="152"/>
      <c r="T535" s="152"/>
      <c r="U535" s="152"/>
      <c r="V535" s="152"/>
      <c r="W535" s="152"/>
      <c r="X535" s="152"/>
      <c r="Y535" s="152"/>
      <c r="Z535" s="152"/>
    </row>
    <row r="536" ht="12.75" customHeight="1">
      <c r="A536" s="152"/>
      <c r="B536" s="232"/>
      <c r="C536" s="152"/>
      <c r="D536" s="152"/>
      <c r="E536" s="152"/>
      <c r="F536" s="152"/>
      <c r="G536" s="152"/>
      <c r="H536" s="152"/>
      <c r="I536" s="152"/>
      <c r="J536" s="152"/>
      <c r="K536" s="152"/>
      <c r="L536" s="152"/>
      <c r="M536" s="152"/>
      <c r="N536" s="152"/>
      <c r="O536" s="152"/>
      <c r="P536" s="152"/>
      <c r="Q536" s="152"/>
      <c r="R536" s="152"/>
      <c r="S536" s="152"/>
      <c r="T536" s="152"/>
      <c r="U536" s="152"/>
      <c r="V536" s="152"/>
      <c r="W536" s="152"/>
      <c r="X536" s="152"/>
      <c r="Y536" s="152"/>
      <c r="Z536" s="152"/>
    </row>
    <row r="537" ht="12.75" customHeight="1">
      <c r="A537" s="152"/>
      <c r="B537" s="232"/>
      <c r="C537" s="152"/>
      <c r="D537" s="152"/>
      <c r="E537" s="152"/>
      <c r="F537" s="152"/>
      <c r="G537" s="152"/>
      <c r="H537" s="152"/>
      <c r="I537" s="152"/>
      <c r="J537" s="152"/>
      <c r="K537" s="152"/>
      <c r="L537" s="152"/>
      <c r="M537" s="152"/>
      <c r="N537" s="152"/>
      <c r="O537" s="152"/>
      <c r="P537" s="152"/>
      <c r="Q537" s="152"/>
      <c r="R537" s="152"/>
      <c r="S537" s="152"/>
      <c r="T537" s="152"/>
      <c r="U537" s="152"/>
      <c r="V537" s="152"/>
      <c r="W537" s="152"/>
      <c r="X537" s="152"/>
      <c r="Y537" s="152"/>
      <c r="Z537" s="152"/>
    </row>
    <row r="538" ht="12.75" customHeight="1">
      <c r="A538" s="152"/>
      <c r="B538" s="232"/>
      <c r="C538" s="152"/>
      <c r="D538" s="152"/>
      <c r="E538" s="152"/>
      <c r="F538" s="152"/>
      <c r="G538" s="152"/>
      <c r="H538" s="152"/>
      <c r="I538" s="152"/>
      <c r="J538" s="152"/>
      <c r="K538" s="152"/>
      <c r="L538" s="152"/>
      <c r="M538" s="152"/>
      <c r="N538" s="152"/>
      <c r="O538" s="152"/>
      <c r="P538" s="152"/>
      <c r="Q538" s="152"/>
      <c r="R538" s="152"/>
      <c r="S538" s="152"/>
      <c r="T538" s="152"/>
      <c r="U538" s="152"/>
      <c r="V538" s="152"/>
      <c r="W538" s="152"/>
      <c r="X538" s="152"/>
      <c r="Y538" s="152"/>
      <c r="Z538" s="152"/>
    </row>
    <row r="539" ht="12.75" customHeight="1">
      <c r="A539" s="152"/>
      <c r="B539" s="232"/>
      <c r="C539" s="152"/>
      <c r="D539" s="152"/>
      <c r="E539" s="152"/>
      <c r="F539" s="152"/>
      <c r="G539" s="152"/>
      <c r="H539" s="152"/>
      <c r="I539" s="152"/>
      <c r="J539" s="152"/>
      <c r="K539" s="152"/>
      <c r="L539" s="152"/>
      <c r="M539" s="152"/>
      <c r="N539" s="152"/>
      <c r="O539" s="152"/>
      <c r="P539" s="152"/>
      <c r="Q539" s="152"/>
      <c r="R539" s="152"/>
      <c r="S539" s="152"/>
      <c r="T539" s="152"/>
      <c r="U539" s="152"/>
      <c r="V539" s="152"/>
      <c r="W539" s="152"/>
      <c r="X539" s="152"/>
      <c r="Y539" s="152"/>
      <c r="Z539" s="152"/>
    </row>
    <row r="540" ht="12.75" customHeight="1">
      <c r="A540" s="152"/>
      <c r="B540" s="232"/>
      <c r="C540" s="152"/>
      <c r="D540" s="152"/>
      <c r="E540" s="152"/>
      <c r="F540" s="152"/>
      <c r="G540" s="152"/>
      <c r="H540" s="152"/>
      <c r="I540" s="152"/>
      <c r="J540" s="152"/>
      <c r="K540" s="152"/>
      <c r="L540" s="152"/>
      <c r="M540" s="152"/>
      <c r="N540" s="152"/>
      <c r="O540" s="152"/>
      <c r="P540" s="152"/>
      <c r="Q540" s="152"/>
      <c r="R540" s="152"/>
      <c r="S540" s="152"/>
      <c r="T540" s="152"/>
      <c r="U540" s="152"/>
      <c r="V540" s="152"/>
      <c r="W540" s="152"/>
      <c r="X540" s="152"/>
      <c r="Y540" s="152"/>
      <c r="Z540" s="152"/>
    </row>
    <row r="541" ht="12.75" customHeight="1">
      <c r="A541" s="152"/>
      <c r="B541" s="232"/>
      <c r="C541" s="152"/>
      <c r="D541" s="152"/>
      <c r="E541" s="152"/>
      <c r="F541" s="152"/>
      <c r="G541" s="152"/>
      <c r="H541" s="152"/>
      <c r="I541" s="152"/>
      <c r="J541" s="152"/>
      <c r="K541" s="152"/>
      <c r="L541" s="152"/>
      <c r="M541" s="152"/>
      <c r="N541" s="152"/>
      <c r="O541" s="152"/>
      <c r="P541" s="152"/>
      <c r="Q541" s="152"/>
      <c r="R541" s="152"/>
      <c r="S541" s="152"/>
      <c r="T541" s="152"/>
      <c r="U541" s="152"/>
      <c r="V541" s="152"/>
      <c r="W541" s="152"/>
      <c r="X541" s="152"/>
      <c r="Y541" s="152"/>
      <c r="Z541" s="152"/>
    </row>
    <row r="542" ht="12.75" customHeight="1">
      <c r="A542" s="152"/>
      <c r="B542" s="232"/>
      <c r="C542" s="152"/>
      <c r="D542" s="152"/>
      <c r="E542" s="152"/>
      <c r="F542" s="152"/>
      <c r="G542" s="152"/>
      <c r="H542" s="152"/>
      <c r="I542" s="152"/>
      <c r="J542" s="152"/>
      <c r="K542" s="152"/>
      <c r="L542" s="152"/>
      <c r="M542" s="152"/>
      <c r="N542" s="152"/>
      <c r="O542" s="152"/>
      <c r="P542" s="152"/>
      <c r="Q542" s="152"/>
      <c r="R542" s="152"/>
      <c r="S542" s="152"/>
      <c r="T542" s="152"/>
      <c r="U542" s="152"/>
      <c r="V542" s="152"/>
      <c r="W542" s="152"/>
      <c r="X542" s="152"/>
      <c r="Y542" s="152"/>
      <c r="Z542" s="152"/>
    </row>
    <row r="543" ht="12.75" customHeight="1">
      <c r="A543" s="152"/>
      <c r="B543" s="232"/>
      <c r="C543" s="152"/>
      <c r="D543" s="152"/>
      <c r="E543" s="152"/>
      <c r="F543" s="152"/>
      <c r="G543" s="152"/>
      <c r="H543" s="152"/>
      <c r="I543" s="152"/>
      <c r="J543" s="152"/>
      <c r="K543" s="152"/>
      <c r="L543" s="152"/>
      <c r="M543" s="152"/>
      <c r="N543" s="152"/>
      <c r="O543" s="152"/>
      <c r="P543" s="152"/>
      <c r="Q543" s="152"/>
      <c r="R543" s="152"/>
      <c r="S543" s="152"/>
      <c r="T543" s="152"/>
      <c r="U543" s="152"/>
      <c r="V543" s="152"/>
      <c r="W543" s="152"/>
      <c r="X543" s="152"/>
      <c r="Y543" s="152"/>
      <c r="Z543" s="152"/>
    </row>
    <row r="544" ht="12.75" customHeight="1">
      <c r="A544" s="152"/>
      <c r="B544" s="232"/>
      <c r="C544" s="152"/>
      <c r="D544" s="152"/>
      <c r="E544" s="152"/>
      <c r="F544" s="152"/>
      <c r="G544" s="152"/>
      <c r="H544" s="152"/>
      <c r="I544" s="152"/>
      <c r="J544" s="152"/>
      <c r="K544" s="152"/>
      <c r="L544" s="152"/>
      <c r="M544" s="152"/>
      <c r="N544" s="152"/>
      <c r="O544" s="152"/>
      <c r="P544" s="152"/>
      <c r="Q544" s="152"/>
      <c r="R544" s="152"/>
      <c r="S544" s="152"/>
      <c r="T544" s="152"/>
      <c r="U544" s="152"/>
      <c r="V544" s="152"/>
      <c r="W544" s="152"/>
      <c r="X544" s="152"/>
      <c r="Y544" s="152"/>
      <c r="Z544" s="152"/>
    </row>
    <row r="545" ht="12.75" customHeight="1">
      <c r="A545" s="152"/>
      <c r="B545" s="232"/>
      <c r="C545" s="152"/>
      <c r="D545" s="152"/>
      <c r="E545" s="152"/>
      <c r="F545" s="152"/>
      <c r="G545" s="152"/>
      <c r="H545" s="152"/>
      <c r="I545" s="152"/>
      <c r="J545" s="152"/>
      <c r="K545" s="152"/>
      <c r="L545" s="152"/>
      <c r="M545" s="152"/>
      <c r="N545" s="152"/>
      <c r="O545" s="152"/>
      <c r="P545" s="152"/>
      <c r="Q545" s="152"/>
      <c r="R545" s="152"/>
      <c r="S545" s="152"/>
      <c r="T545" s="152"/>
      <c r="U545" s="152"/>
      <c r="V545" s="152"/>
      <c r="W545" s="152"/>
      <c r="X545" s="152"/>
      <c r="Y545" s="152"/>
      <c r="Z545" s="152"/>
    </row>
    <row r="546" ht="12.75" customHeight="1">
      <c r="A546" s="152"/>
      <c r="B546" s="232"/>
      <c r="C546" s="152"/>
      <c r="D546" s="152"/>
      <c r="E546" s="152"/>
      <c r="F546" s="152"/>
      <c r="G546" s="152"/>
      <c r="H546" s="152"/>
      <c r="I546" s="152"/>
      <c r="J546" s="152"/>
      <c r="K546" s="152"/>
      <c r="L546" s="152"/>
      <c r="M546" s="152"/>
      <c r="N546" s="152"/>
      <c r="O546" s="152"/>
      <c r="P546" s="152"/>
      <c r="Q546" s="152"/>
      <c r="R546" s="152"/>
      <c r="S546" s="152"/>
      <c r="T546" s="152"/>
      <c r="U546" s="152"/>
      <c r="V546" s="152"/>
      <c r="W546" s="152"/>
      <c r="X546" s="152"/>
      <c r="Y546" s="152"/>
      <c r="Z546" s="152"/>
    </row>
    <row r="547" ht="12.75" customHeight="1">
      <c r="A547" s="152"/>
      <c r="B547" s="232"/>
      <c r="C547" s="152"/>
      <c r="D547" s="152"/>
      <c r="E547" s="152"/>
      <c r="F547" s="152"/>
      <c r="G547" s="152"/>
      <c r="H547" s="152"/>
      <c r="I547" s="152"/>
      <c r="J547" s="152"/>
      <c r="K547" s="152"/>
      <c r="L547" s="152"/>
      <c r="M547" s="152"/>
      <c r="N547" s="152"/>
      <c r="O547" s="152"/>
      <c r="P547" s="152"/>
      <c r="Q547" s="152"/>
      <c r="R547" s="152"/>
      <c r="S547" s="152"/>
      <c r="T547" s="152"/>
      <c r="U547" s="152"/>
      <c r="V547" s="152"/>
      <c r="W547" s="152"/>
      <c r="X547" s="152"/>
      <c r="Y547" s="152"/>
      <c r="Z547" s="152"/>
    </row>
    <row r="548" ht="12.75" customHeight="1">
      <c r="A548" s="152"/>
      <c r="B548" s="232"/>
      <c r="C548" s="152"/>
      <c r="D548" s="152"/>
      <c r="E548" s="152"/>
      <c r="F548" s="152"/>
      <c r="G548" s="152"/>
      <c r="H548" s="152"/>
      <c r="I548" s="152"/>
      <c r="J548" s="152"/>
      <c r="K548" s="152"/>
      <c r="L548" s="152"/>
      <c r="M548" s="152"/>
      <c r="N548" s="152"/>
      <c r="O548" s="152"/>
      <c r="P548" s="152"/>
      <c r="Q548" s="152"/>
      <c r="R548" s="152"/>
      <c r="S548" s="152"/>
      <c r="T548" s="152"/>
      <c r="U548" s="152"/>
      <c r="V548" s="152"/>
      <c r="W548" s="152"/>
      <c r="X548" s="152"/>
      <c r="Y548" s="152"/>
      <c r="Z548" s="152"/>
    </row>
    <row r="549" ht="12.75" customHeight="1">
      <c r="A549" s="152"/>
      <c r="B549" s="232"/>
      <c r="C549" s="152"/>
      <c r="D549" s="152"/>
      <c r="E549" s="152"/>
      <c r="F549" s="152"/>
      <c r="G549" s="152"/>
      <c r="H549" s="152"/>
      <c r="I549" s="152"/>
      <c r="J549" s="152"/>
      <c r="K549" s="152"/>
      <c r="L549" s="152"/>
      <c r="M549" s="152"/>
      <c r="N549" s="152"/>
      <c r="O549" s="152"/>
      <c r="P549" s="152"/>
      <c r="Q549" s="152"/>
      <c r="R549" s="152"/>
      <c r="S549" s="152"/>
      <c r="T549" s="152"/>
      <c r="U549" s="152"/>
      <c r="V549" s="152"/>
      <c r="W549" s="152"/>
      <c r="X549" s="152"/>
      <c r="Y549" s="152"/>
      <c r="Z549" s="152"/>
    </row>
    <row r="550" ht="12.75" customHeight="1">
      <c r="A550" s="152"/>
      <c r="B550" s="232"/>
      <c r="C550" s="152"/>
      <c r="D550" s="152"/>
      <c r="E550" s="152"/>
      <c r="F550" s="152"/>
      <c r="G550" s="152"/>
      <c r="H550" s="152"/>
      <c r="I550" s="152"/>
      <c r="J550" s="152"/>
      <c r="K550" s="152"/>
      <c r="L550" s="152"/>
      <c r="M550" s="152"/>
      <c r="N550" s="152"/>
      <c r="O550" s="152"/>
      <c r="P550" s="152"/>
      <c r="Q550" s="152"/>
      <c r="R550" s="152"/>
      <c r="S550" s="152"/>
      <c r="T550" s="152"/>
      <c r="U550" s="152"/>
      <c r="V550" s="152"/>
      <c r="W550" s="152"/>
      <c r="X550" s="152"/>
      <c r="Y550" s="152"/>
      <c r="Z550" s="152"/>
    </row>
    <row r="551" ht="12.75" customHeight="1">
      <c r="A551" s="152"/>
      <c r="B551" s="232"/>
      <c r="C551" s="152"/>
      <c r="D551" s="152"/>
      <c r="E551" s="152"/>
      <c r="F551" s="152"/>
      <c r="G551" s="152"/>
      <c r="H551" s="152"/>
      <c r="I551" s="152"/>
      <c r="J551" s="152"/>
      <c r="K551" s="152"/>
      <c r="L551" s="152"/>
      <c r="M551" s="152"/>
      <c r="N551" s="152"/>
      <c r="O551" s="152"/>
      <c r="P551" s="152"/>
      <c r="Q551" s="152"/>
      <c r="R551" s="152"/>
      <c r="S551" s="152"/>
      <c r="T551" s="152"/>
      <c r="U551" s="152"/>
      <c r="V551" s="152"/>
      <c r="W551" s="152"/>
      <c r="X551" s="152"/>
      <c r="Y551" s="152"/>
      <c r="Z551" s="152"/>
    </row>
    <row r="552" ht="12.75" customHeight="1">
      <c r="A552" s="152"/>
      <c r="B552" s="232"/>
      <c r="C552" s="152"/>
      <c r="D552" s="152"/>
      <c r="E552" s="152"/>
      <c r="F552" s="152"/>
      <c r="G552" s="152"/>
      <c r="H552" s="152"/>
      <c r="I552" s="152"/>
      <c r="J552" s="152"/>
      <c r="K552" s="152"/>
      <c r="L552" s="152"/>
      <c r="M552" s="152"/>
      <c r="N552" s="152"/>
      <c r="O552" s="152"/>
      <c r="P552" s="152"/>
      <c r="Q552" s="152"/>
      <c r="R552" s="152"/>
      <c r="S552" s="152"/>
      <c r="T552" s="152"/>
      <c r="U552" s="152"/>
      <c r="V552" s="152"/>
      <c r="W552" s="152"/>
      <c r="X552" s="152"/>
      <c r="Y552" s="152"/>
      <c r="Z552" s="152"/>
    </row>
    <row r="553" ht="12.75" customHeight="1">
      <c r="A553" s="152"/>
      <c r="B553" s="232"/>
      <c r="C553" s="152"/>
      <c r="D553" s="152"/>
      <c r="E553" s="152"/>
      <c r="F553" s="152"/>
      <c r="G553" s="152"/>
      <c r="H553" s="152"/>
      <c r="I553" s="152"/>
      <c r="J553" s="152"/>
      <c r="K553" s="152"/>
      <c r="L553" s="152"/>
      <c r="M553" s="152"/>
      <c r="N553" s="152"/>
      <c r="O553" s="152"/>
      <c r="P553" s="152"/>
      <c r="Q553" s="152"/>
      <c r="R553" s="152"/>
      <c r="S553" s="152"/>
      <c r="T553" s="152"/>
      <c r="U553" s="152"/>
      <c r="V553" s="152"/>
      <c r="W553" s="152"/>
      <c r="X553" s="152"/>
      <c r="Y553" s="152"/>
      <c r="Z553" s="152"/>
    </row>
    <row r="554" ht="12.75" customHeight="1">
      <c r="A554" s="152"/>
      <c r="B554" s="232"/>
      <c r="C554" s="152"/>
      <c r="D554" s="152"/>
      <c r="E554" s="152"/>
      <c r="F554" s="152"/>
      <c r="G554" s="152"/>
      <c r="H554" s="152"/>
      <c r="I554" s="152"/>
      <c r="J554" s="152"/>
      <c r="K554" s="152"/>
      <c r="L554" s="152"/>
      <c r="M554" s="152"/>
      <c r="N554" s="152"/>
      <c r="O554" s="152"/>
      <c r="P554" s="152"/>
      <c r="Q554" s="152"/>
      <c r="R554" s="152"/>
      <c r="S554" s="152"/>
      <c r="T554" s="152"/>
      <c r="U554" s="152"/>
      <c r="V554" s="152"/>
      <c r="W554" s="152"/>
      <c r="X554" s="152"/>
      <c r="Y554" s="152"/>
      <c r="Z554" s="152"/>
    </row>
    <row r="555" ht="12.75" customHeight="1">
      <c r="A555" s="152"/>
      <c r="B555" s="232"/>
      <c r="C555" s="152"/>
      <c r="D555" s="152"/>
      <c r="E555" s="152"/>
      <c r="F555" s="152"/>
      <c r="G555" s="152"/>
      <c r="H555" s="152"/>
      <c r="I555" s="152"/>
      <c r="J555" s="152"/>
      <c r="K555" s="152"/>
      <c r="L555" s="152"/>
      <c r="M555" s="152"/>
      <c r="N555" s="152"/>
      <c r="O555" s="152"/>
      <c r="P555" s="152"/>
      <c r="Q555" s="152"/>
      <c r="R555" s="152"/>
      <c r="S555" s="152"/>
      <c r="T555" s="152"/>
      <c r="U555" s="152"/>
      <c r="V555" s="152"/>
      <c r="W555" s="152"/>
      <c r="X555" s="152"/>
      <c r="Y555" s="152"/>
      <c r="Z555" s="152"/>
    </row>
    <row r="556" ht="12.75" customHeight="1">
      <c r="A556" s="152"/>
      <c r="B556" s="232"/>
      <c r="C556" s="152"/>
      <c r="D556" s="152"/>
      <c r="E556" s="152"/>
      <c r="F556" s="152"/>
      <c r="G556" s="152"/>
      <c r="H556" s="152"/>
      <c r="I556" s="152"/>
      <c r="J556" s="152"/>
      <c r="K556" s="152"/>
      <c r="L556" s="152"/>
      <c r="M556" s="152"/>
      <c r="N556" s="152"/>
      <c r="O556" s="152"/>
      <c r="P556" s="152"/>
      <c r="Q556" s="152"/>
      <c r="R556" s="152"/>
      <c r="S556" s="152"/>
      <c r="T556" s="152"/>
      <c r="U556" s="152"/>
      <c r="V556" s="152"/>
      <c r="W556" s="152"/>
      <c r="X556" s="152"/>
      <c r="Y556" s="152"/>
      <c r="Z556" s="152"/>
    </row>
    <row r="557" ht="12.75" customHeight="1">
      <c r="A557" s="152"/>
      <c r="B557" s="232"/>
      <c r="C557" s="152"/>
      <c r="D557" s="152"/>
      <c r="E557" s="152"/>
      <c r="F557" s="152"/>
      <c r="G557" s="152"/>
      <c r="H557" s="152"/>
      <c r="I557" s="152"/>
      <c r="J557" s="152"/>
      <c r="K557" s="152"/>
      <c r="L557" s="152"/>
      <c r="M557" s="152"/>
      <c r="N557" s="152"/>
      <c r="O557" s="152"/>
      <c r="P557" s="152"/>
      <c r="Q557" s="152"/>
      <c r="R557" s="152"/>
      <c r="S557" s="152"/>
      <c r="T557" s="152"/>
      <c r="U557" s="152"/>
      <c r="V557" s="152"/>
      <c r="W557" s="152"/>
      <c r="X557" s="152"/>
      <c r="Y557" s="152"/>
      <c r="Z557" s="152"/>
    </row>
    <row r="558" ht="12.75" customHeight="1">
      <c r="A558" s="152"/>
      <c r="B558" s="232"/>
      <c r="C558" s="152"/>
      <c r="D558" s="152"/>
      <c r="E558" s="152"/>
      <c r="F558" s="152"/>
      <c r="G558" s="152"/>
      <c r="H558" s="152"/>
      <c r="I558" s="152"/>
      <c r="J558" s="152"/>
      <c r="K558" s="152"/>
      <c r="L558" s="152"/>
      <c r="M558" s="152"/>
      <c r="N558" s="152"/>
      <c r="O558" s="152"/>
      <c r="P558" s="152"/>
      <c r="Q558" s="152"/>
      <c r="R558" s="152"/>
      <c r="S558" s="152"/>
      <c r="T558" s="152"/>
      <c r="U558" s="152"/>
      <c r="V558" s="152"/>
      <c r="W558" s="152"/>
      <c r="X558" s="152"/>
      <c r="Y558" s="152"/>
      <c r="Z558" s="152"/>
    </row>
    <row r="559" ht="12.75" customHeight="1">
      <c r="A559" s="152"/>
      <c r="B559" s="232"/>
      <c r="C559" s="152"/>
      <c r="D559" s="152"/>
      <c r="E559" s="152"/>
      <c r="F559" s="152"/>
      <c r="G559" s="152"/>
      <c r="H559" s="152"/>
      <c r="I559" s="152"/>
      <c r="J559" s="152"/>
      <c r="K559" s="152"/>
      <c r="L559" s="152"/>
      <c r="M559" s="152"/>
      <c r="N559" s="152"/>
      <c r="O559" s="152"/>
      <c r="P559" s="152"/>
      <c r="Q559" s="152"/>
      <c r="R559" s="152"/>
      <c r="S559" s="152"/>
      <c r="T559" s="152"/>
      <c r="U559" s="152"/>
      <c r="V559" s="152"/>
      <c r="W559" s="152"/>
      <c r="X559" s="152"/>
      <c r="Y559" s="152"/>
      <c r="Z559" s="152"/>
    </row>
    <row r="560" ht="12.75" customHeight="1">
      <c r="A560" s="152"/>
      <c r="B560" s="232"/>
      <c r="C560" s="152"/>
      <c r="D560" s="152"/>
      <c r="E560" s="152"/>
      <c r="F560" s="152"/>
      <c r="G560" s="152"/>
      <c r="H560" s="152"/>
      <c r="I560" s="152"/>
      <c r="J560" s="152"/>
      <c r="K560" s="152"/>
      <c r="L560" s="152"/>
      <c r="M560" s="152"/>
      <c r="N560" s="152"/>
      <c r="O560" s="152"/>
      <c r="P560" s="152"/>
      <c r="Q560" s="152"/>
      <c r="R560" s="152"/>
      <c r="S560" s="152"/>
      <c r="T560" s="152"/>
      <c r="U560" s="152"/>
      <c r="V560" s="152"/>
      <c r="W560" s="152"/>
      <c r="X560" s="152"/>
      <c r="Y560" s="152"/>
      <c r="Z560" s="152"/>
    </row>
    <row r="561" ht="12.75" customHeight="1">
      <c r="A561" s="152"/>
      <c r="B561" s="232"/>
      <c r="C561" s="152"/>
      <c r="D561" s="152"/>
      <c r="E561" s="152"/>
      <c r="F561" s="152"/>
      <c r="G561" s="152"/>
      <c r="H561" s="152"/>
      <c r="I561" s="152"/>
      <c r="J561" s="152"/>
      <c r="K561" s="152"/>
      <c r="L561" s="152"/>
      <c r="M561" s="152"/>
      <c r="N561" s="152"/>
      <c r="O561" s="152"/>
      <c r="P561" s="152"/>
      <c r="Q561" s="152"/>
      <c r="R561" s="152"/>
      <c r="S561" s="152"/>
      <c r="T561" s="152"/>
      <c r="U561" s="152"/>
      <c r="V561" s="152"/>
      <c r="W561" s="152"/>
      <c r="X561" s="152"/>
      <c r="Y561" s="152"/>
      <c r="Z561" s="152"/>
    </row>
    <row r="562" ht="12.75" customHeight="1">
      <c r="A562" s="152"/>
      <c r="B562" s="232"/>
      <c r="C562" s="152"/>
      <c r="D562" s="152"/>
      <c r="E562" s="152"/>
      <c r="F562" s="152"/>
      <c r="G562" s="152"/>
      <c r="H562" s="152"/>
      <c r="I562" s="152"/>
      <c r="J562" s="152"/>
      <c r="K562" s="152"/>
      <c r="L562" s="152"/>
      <c r="M562" s="152"/>
      <c r="N562" s="152"/>
      <c r="O562" s="152"/>
      <c r="P562" s="152"/>
      <c r="Q562" s="152"/>
      <c r="R562" s="152"/>
      <c r="S562" s="152"/>
      <c r="T562" s="152"/>
      <c r="U562" s="152"/>
      <c r="V562" s="152"/>
      <c r="W562" s="152"/>
      <c r="X562" s="152"/>
      <c r="Y562" s="152"/>
      <c r="Z562" s="152"/>
    </row>
    <row r="563" ht="12.75" customHeight="1">
      <c r="A563" s="152"/>
      <c r="B563" s="232"/>
      <c r="C563" s="152"/>
      <c r="D563" s="152"/>
      <c r="E563" s="152"/>
      <c r="F563" s="152"/>
      <c r="G563" s="152"/>
      <c r="H563" s="152"/>
      <c r="I563" s="152"/>
      <c r="J563" s="152"/>
      <c r="K563" s="152"/>
      <c r="L563" s="152"/>
      <c r="M563" s="152"/>
      <c r="N563" s="152"/>
      <c r="O563" s="152"/>
      <c r="P563" s="152"/>
      <c r="Q563" s="152"/>
      <c r="R563" s="152"/>
      <c r="S563" s="152"/>
      <c r="T563" s="152"/>
      <c r="U563" s="152"/>
      <c r="V563" s="152"/>
      <c r="W563" s="152"/>
      <c r="X563" s="152"/>
      <c r="Y563" s="152"/>
      <c r="Z563" s="152"/>
    </row>
    <row r="564" ht="12.75" customHeight="1">
      <c r="A564" s="152"/>
      <c r="B564" s="232"/>
      <c r="C564" s="152"/>
      <c r="D564" s="152"/>
      <c r="E564" s="152"/>
      <c r="F564" s="152"/>
      <c r="G564" s="152"/>
      <c r="H564" s="152"/>
      <c r="I564" s="152"/>
      <c r="J564" s="152"/>
      <c r="K564" s="152"/>
      <c r="L564" s="152"/>
      <c r="M564" s="152"/>
      <c r="N564" s="152"/>
      <c r="O564" s="152"/>
      <c r="P564" s="152"/>
      <c r="Q564" s="152"/>
      <c r="R564" s="152"/>
      <c r="S564" s="152"/>
      <c r="T564" s="152"/>
      <c r="U564" s="152"/>
      <c r="V564" s="152"/>
      <c r="W564" s="152"/>
      <c r="X564" s="152"/>
      <c r="Y564" s="152"/>
      <c r="Z564" s="152"/>
    </row>
    <row r="565" ht="12.75" customHeight="1">
      <c r="A565" s="152"/>
      <c r="B565" s="232"/>
      <c r="C565" s="152"/>
      <c r="D565" s="152"/>
      <c r="E565" s="152"/>
      <c r="F565" s="152"/>
      <c r="G565" s="152"/>
      <c r="H565" s="152"/>
      <c r="I565" s="152"/>
      <c r="J565" s="152"/>
      <c r="K565" s="152"/>
      <c r="L565" s="152"/>
      <c r="M565" s="152"/>
      <c r="N565" s="152"/>
      <c r="O565" s="152"/>
      <c r="P565" s="152"/>
      <c r="Q565" s="152"/>
      <c r="R565" s="152"/>
      <c r="S565" s="152"/>
      <c r="T565" s="152"/>
      <c r="U565" s="152"/>
      <c r="V565" s="152"/>
      <c r="W565" s="152"/>
      <c r="X565" s="152"/>
      <c r="Y565" s="152"/>
      <c r="Z565" s="152"/>
    </row>
    <row r="566" ht="12.75" customHeight="1">
      <c r="A566" s="152"/>
      <c r="B566" s="232"/>
      <c r="C566" s="152"/>
      <c r="D566" s="152"/>
      <c r="E566" s="152"/>
      <c r="F566" s="152"/>
      <c r="G566" s="152"/>
      <c r="H566" s="152"/>
      <c r="I566" s="152"/>
      <c r="J566" s="152"/>
      <c r="K566" s="152"/>
      <c r="L566" s="152"/>
      <c r="M566" s="152"/>
      <c r="N566" s="152"/>
      <c r="O566" s="152"/>
      <c r="P566" s="152"/>
      <c r="Q566" s="152"/>
      <c r="R566" s="152"/>
      <c r="S566" s="152"/>
      <c r="T566" s="152"/>
      <c r="U566" s="152"/>
      <c r="V566" s="152"/>
      <c r="W566" s="152"/>
      <c r="X566" s="152"/>
      <c r="Y566" s="152"/>
      <c r="Z566" s="152"/>
    </row>
    <row r="567" ht="12.75" customHeight="1">
      <c r="A567" s="152"/>
      <c r="B567" s="232"/>
      <c r="C567" s="152"/>
      <c r="D567" s="152"/>
      <c r="E567" s="152"/>
      <c r="F567" s="152"/>
      <c r="G567" s="152"/>
      <c r="H567" s="152"/>
      <c r="I567" s="152"/>
      <c r="J567" s="152"/>
      <c r="K567" s="152"/>
      <c r="L567" s="152"/>
      <c r="M567" s="152"/>
      <c r="N567" s="152"/>
      <c r="O567" s="152"/>
      <c r="P567" s="152"/>
      <c r="Q567" s="152"/>
      <c r="R567" s="152"/>
      <c r="S567" s="152"/>
      <c r="T567" s="152"/>
      <c r="U567" s="152"/>
      <c r="V567" s="152"/>
      <c r="W567" s="152"/>
      <c r="X567" s="152"/>
      <c r="Y567" s="152"/>
      <c r="Z567" s="152"/>
    </row>
    <row r="568" ht="12.75" customHeight="1">
      <c r="A568" s="152"/>
      <c r="B568" s="232"/>
      <c r="C568" s="152"/>
      <c r="D568" s="152"/>
      <c r="E568" s="152"/>
      <c r="F568" s="152"/>
      <c r="G568" s="152"/>
      <c r="H568" s="152"/>
      <c r="I568" s="152"/>
      <c r="J568" s="152"/>
      <c r="K568" s="152"/>
      <c r="L568" s="152"/>
      <c r="M568" s="152"/>
      <c r="N568" s="152"/>
      <c r="O568" s="152"/>
      <c r="P568" s="152"/>
      <c r="Q568" s="152"/>
      <c r="R568" s="152"/>
      <c r="S568" s="152"/>
      <c r="T568" s="152"/>
      <c r="U568" s="152"/>
      <c r="V568" s="152"/>
      <c r="W568" s="152"/>
      <c r="X568" s="152"/>
      <c r="Y568" s="152"/>
      <c r="Z568" s="152"/>
    </row>
    <row r="569" ht="12.75" customHeight="1">
      <c r="A569" s="152"/>
      <c r="B569" s="232"/>
      <c r="C569" s="152"/>
      <c r="D569" s="152"/>
      <c r="E569" s="152"/>
      <c r="F569" s="152"/>
      <c r="G569" s="152"/>
      <c r="H569" s="152"/>
      <c r="I569" s="152"/>
      <c r="J569" s="152"/>
      <c r="K569" s="152"/>
      <c r="L569" s="152"/>
      <c r="M569" s="152"/>
      <c r="N569" s="152"/>
      <c r="O569" s="152"/>
      <c r="P569" s="152"/>
      <c r="Q569" s="152"/>
      <c r="R569" s="152"/>
      <c r="S569" s="152"/>
      <c r="T569" s="152"/>
      <c r="U569" s="152"/>
      <c r="V569" s="152"/>
      <c r="W569" s="152"/>
      <c r="X569" s="152"/>
      <c r="Y569" s="152"/>
      <c r="Z569" s="152"/>
    </row>
    <row r="570" ht="12.75" customHeight="1">
      <c r="A570" s="152"/>
      <c r="B570" s="232"/>
      <c r="C570" s="152"/>
      <c r="D570" s="152"/>
      <c r="E570" s="152"/>
      <c r="F570" s="152"/>
      <c r="G570" s="152"/>
      <c r="H570" s="152"/>
      <c r="I570" s="152"/>
      <c r="J570" s="152"/>
      <c r="K570" s="152"/>
      <c r="L570" s="152"/>
      <c r="M570" s="152"/>
      <c r="N570" s="152"/>
      <c r="O570" s="152"/>
      <c r="P570" s="152"/>
      <c r="Q570" s="152"/>
      <c r="R570" s="152"/>
      <c r="S570" s="152"/>
      <c r="T570" s="152"/>
      <c r="U570" s="152"/>
      <c r="V570" s="152"/>
      <c r="W570" s="152"/>
      <c r="X570" s="152"/>
      <c r="Y570" s="152"/>
      <c r="Z570" s="152"/>
    </row>
    <row r="571" ht="12.75" customHeight="1">
      <c r="A571" s="152"/>
      <c r="B571" s="232"/>
      <c r="C571" s="152"/>
      <c r="D571" s="152"/>
      <c r="E571" s="152"/>
      <c r="F571" s="152"/>
      <c r="G571" s="152"/>
      <c r="H571" s="152"/>
      <c r="I571" s="152"/>
      <c r="J571" s="152"/>
      <c r="K571" s="152"/>
      <c r="L571" s="152"/>
      <c r="M571" s="152"/>
      <c r="N571" s="152"/>
      <c r="O571" s="152"/>
      <c r="P571" s="152"/>
      <c r="Q571" s="152"/>
      <c r="R571" s="152"/>
      <c r="S571" s="152"/>
      <c r="T571" s="152"/>
      <c r="U571" s="152"/>
      <c r="V571" s="152"/>
      <c r="W571" s="152"/>
      <c r="X571" s="152"/>
      <c r="Y571" s="152"/>
      <c r="Z571" s="152"/>
    </row>
    <row r="572" ht="12.75" customHeight="1">
      <c r="A572" s="152"/>
      <c r="B572" s="232"/>
      <c r="C572" s="152"/>
      <c r="D572" s="152"/>
      <c r="E572" s="152"/>
      <c r="F572" s="152"/>
      <c r="G572" s="152"/>
      <c r="H572" s="152"/>
      <c r="I572" s="152"/>
      <c r="J572" s="152"/>
      <c r="K572" s="152"/>
      <c r="L572" s="152"/>
      <c r="M572" s="152"/>
      <c r="N572" s="152"/>
      <c r="O572" s="152"/>
      <c r="P572" s="152"/>
      <c r="Q572" s="152"/>
      <c r="R572" s="152"/>
      <c r="S572" s="152"/>
      <c r="T572" s="152"/>
      <c r="U572" s="152"/>
      <c r="V572" s="152"/>
      <c r="W572" s="152"/>
      <c r="X572" s="152"/>
      <c r="Y572" s="152"/>
      <c r="Z572" s="152"/>
    </row>
    <row r="573" ht="12.75" customHeight="1">
      <c r="A573" s="152"/>
      <c r="B573" s="232"/>
      <c r="C573" s="152"/>
      <c r="D573" s="152"/>
      <c r="E573" s="152"/>
      <c r="F573" s="152"/>
      <c r="G573" s="152"/>
      <c r="H573" s="152"/>
      <c r="I573" s="152"/>
      <c r="J573" s="152"/>
      <c r="K573" s="152"/>
      <c r="L573" s="152"/>
      <c r="M573" s="152"/>
      <c r="N573" s="152"/>
      <c r="O573" s="152"/>
      <c r="P573" s="152"/>
      <c r="Q573" s="152"/>
      <c r="R573" s="152"/>
      <c r="S573" s="152"/>
      <c r="T573" s="152"/>
      <c r="U573" s="152"/>
      <c r="V573" s="152"/>
      <c r="W573" s="152"/>
      <c r="X573" s="152"/>
      <c r="Y573" s="152"/>
      <c r="Z573" s="152"/>
    </row>
    <row r="574" ht="12.75" customHeight="1">
      <c r="A574" s="152"/>
      <c r="B574" s="232"/>
      <c r="C574" s="152"/>
      <c r="D574" s="152"/>
      <c r="E574" s="152"/>
      <c r="F574" s="152"/>
      <c r="G574" s="152"/>
      <c r="H574" s="152"/>
      <c r="I574" s="152"/>
      <c r="J574" s="152"/>
      <c r="K574" s="152"/>
      <c r="L574" s="152"/>
      <c r="M574" s="152"/>
      <c r="N574" s="152"/>
      <c r="O574" s="152"/>
      <c r="P574" s="152"/>
      <c r="Q574" s="152"/>
      <c r="R574" s="152"/>
      <c r="S574" s="152"/>
      <c r="T574" s="152"/>
      <c r="U574" s="152"/>
      <c r="V574" s="152"/>
      <c r="W574" s="152"/>
      <c r="X574" s="152"/>
      <c r="Y574" s="152"/>
      <c r="Z574" s="152"/>
    </row>
    <row r="575" ht="12.75" customHeight="1">
      <c r="A575" s="152"/>
      <c r="B575" s="232"/>
      <c r="C575" s="152"/>
      <c r="D575" s="152"/>
      <c r="E575" s="152"/>
      <c r="F575" s="152"/>
      <c r="G575" s="152"/>
      <c r="H575" s="152"/>
      <c r="I575" s="152"/>
      <c r="J575" s="152"/>
      <c r="K575" s="152"/>
      <c r="L575" s="152"/>
      <c r="M575" s="152"/>
      <c r="N575" s="152"/>
      <c r="O575" s="152"/>
      <c r="P575" s="152"/>
      <c r="Q575" s="152"/>
      <c r="R575" s="152"/>
      <c r="S575" s="152"/>
      <c r="T575" s="152"/>
      <c r="U575" s="152"/>
      <c r="V575" s="152"/>
      <c r="W575" s="152"/>
      <c r="X575" s="152"/>
      <c r="Y575" s="152"/>
      <c r="Z575" s="152"/>
    </row>
    <row r="576" ht="12.75" customHeight="1">
      <c r="A576" s="152"/>
      <c r="B576" s="232"/>
      <c r="C576" s="152"/>
      <c r="D576" s="152"/>
      <c r="E576" s="152"/>
      <c r="F576" s="152"/>
      <c r="G576" s="152"/>
      <c r="H576" s="152"/>
      <c r="I576" s="152"/>
      <c r="J576" s="152"/>
      <c r="K576" s="152"/>
      <c r="L576" s="152"/>
      <c r="M576" s="152"/>
      <c r="N576" s="152"/>
      <c r="O576" s="152"/>
      <c r="P576" s="152"/>
      <c r="Q576" s="152"/>
      <c r="R576" s="152"/>
      <c r="S576" s="152"/>
      <c r="T576" s="152"/>
      <c r="U576" s="152"/>
      <c r="V576" s="152"/>
      <c r="W576" s="152"/>
      <c r="X576" s="152"/>
      <c r="Y576" s="152"/>
      <c r="Z576" s="152"/>
    </row>
    <row r="577" ht="12.75" customHeight="1">
      <c r="A577" s="152"/>
      <c r="B577" s="232"/>
      <c r="C577" s="152"/>
      <c r="D577" s="152"/>
      <c r="E577" s="152"/>
      <c r="F577" s="152"/>
      <c r="G577" s="152"/>
      <c r="H577" s="152"/>
      <c r="I577" s="152"/>
      <c r="J577" s="152"/>
      <c r="K577" s="152"/>
      <c r="L577" s="152"/>
      <c r="M577" s="152"/>
      <c r="N577" s="152"/>
      <c r="O577" s="152"/>
      <c r="P577" s="152"/>
      <c r="Q577" s="152"/>
      <c r="R577" s="152"/>
      <c r="S577" s="152"/>
      <c r="T577" s="152"/>
      <c r="U577" s="152"/>
      <c r="V577" s="152"/>
      <c r="W577" s="152"/>
      <c r="X577" s="152"/>
      <c r="Y577" s="152"/>
      <c r="Z577" s="152"/>
    </row>
    <row r="578" ht="12.75" customHeight="1">
      <c r="A578" s="152"/>
      <c r="B578" s="232"/>
      <c r="C578" s="152"/>
      <c r="D578" s="152"/>
      <c r="E578" s="152"/>
      <c r="F578" s="152"/>
      <c r="G578" s="152"/>
      <c r="H578" s="152"/>
      <c r="I578" s="152"/>
      <c r="J578" s="152"/>
      <c r="K578" s="152"/>
      <c r="L578" s="152"/>
      <c r="M578" s="152"/>
      <c r="N578" s="152"/>
      <c r="O578" s="152"/>
      <c r="P578" s="152"/>
      <c r="Q578" s="152"/>
      <c r="R578" s="152"/>
      <c r="S578" s="152"/>
      <c r="T578" s="152"/>
      <c r="U578" s="152"/>
      <c r="V578" s="152"/>
      <c r="W578" s="152"/>
      <c r="X578" s="152"/>
      <c r="Y578" s="152"/>
      <c r="Z578" s="152"/>
    </row>
    <row r="579" ht="12.75" customHeight="1">
      <c r="A579" s="152"/>
      <c r="B579" s="232"/>
      <c r="C579" s="152"/>
      <c r="D579" s="152"/>
      <c r="E579" s="152"/>
      <c r="F579" s="152"/>
      <c r="G579" s="152"/>
      <c r="H579" s="152"/>
      <c r="I579" s="152"/>
      <c r="J579" s="152"/>
      <c r="K579" s="152"/>
      <c r="L579" s="152"/>
      <c r="M579" s="152"/>
      <c r="N579" s="152"/>
      <c r="O579" s="152"/>
      <c r="P579" s="152"/>
      <c r="Q579" s="152"/>
      <c r="R579" s="152"/>
      <c r="S579" s="152"/>
      <c r="T579" s="152"/>
      <c r="U579" s="152"/>
      <c r="V579" s="152"/>
      <c r="W579" s="152"/>
      <c r="X579" s="152"/>
      <c r="Y579" s="152"/>
      <c r="Z579" s="152"/>
    </row>
    <row r="580" ht="12.75" customHeight="1">
      <c r="A580" s="152"/>
      <c r="B580" s="232"/>
      <c r="C580" s="152"/>
      <c r="D580" s="152"/>
      <c r="E580" s="152"/>
      <c r="F580" s="152"/>
      <c r="G580" s="152"/>
      <c r="H580" s="152"/>
      <c r="I580" s="152"/>
      <c r="J580" s="152"/>
      <c r="K580" s="152"/>
      <c r="L580" s="152"/>
      <c r="M580" s="152"/>
      <c r="N580" s="152"/>
      <c r="O580" s="152"/>
      <c r="P580" s="152"/>
      <c r="Q580" s="152"/>
      <c r="R580" s="152"/>
      <c r="S580" s="152"/>
      <c r="T580" s="152"/>
      <c r="U580" s="152"/>
      <c r="V580" s="152"/>
      <c r="W580" s="152"/>
      <c r="X580" s="152"/>
      <c r="Y580" s="152"/>
      <c r="Z580" s="152"/>
    </row>
    <row r="581" ht="12.75" customHeight="1">
      <c r="A581" s="152"/>
      <c r="B581" s="232"/>
      <c r="C581" s="152"/>
      <c r="D581" s="152"/>
      <c r="E581" s="152"/>
      <c r="F581" s="152"/>
      <c r="G581" s="152"/>
      <c r="H581" s="152"/>
      <c r="I581" s="152"/>
      <c r="J581" s="152"/>
      <c r="K581" s="152"/>
      <c r="L581" s="152"/>
      <c r="M581" s="152"/>
      <c r="N581" s="152"/>
      <c r="O581" s="152"/>
      <c r="P581" s="152"/>
      <c r="Q581" s="152"/>
      <c r="R581" s="152"/>
      <c r="S581" s="152"/>
      <c r="T581" s="152"/>
      <c r="U581" s="152"/>
      <c r="V581" s="152"/>
      <c r="W581" s="152"/>
      <c r="X581" s="152"/>
      <c r="Y581" s="152"/>
      <c r="Z581" s="152"/>
    </row>
    <row r="582" ht="12.75" customHeight="1">
      <c r="A582" s="152"/>
      <c r="B582" s="232"/>
      <c r="C582" s="152"/>
      <c r="D582" s="152"/>
      <c r="E582" s="152"/>
      <c r="F582" s="152"/>
      <c r="G582" s="152"/>
      <c r="H582" s="152"/>
      <c r="I582" s="152"/>
      <c r="J582" s="152"/>
      <c r="K582" s="152"/>
      <c r="L582" s="152"/>
      <c r="M582" s="152"/>
      <c r="N582" s="152"/>
      <c r="O582" s="152"/>
      <c r="P582" s="152"/>
      <c r="Q582" s="152"/>
      <c r="R582" s="152"/>
      <c r="S582" s="152"/>
      <c r="T582" s="152"/>
      <c r="U582" s="152"/>
      <c r="V582" s="152"/>
      <c r="W582" s="152"/>
      <c r="X582" s="152"/>
      <c r="Y582" s="152"/>
      <c r="Z582" s="152"/>
    </row>
    <row r="583" ht="12.75" customHeight="1">
      <c r="A583" s="152"/>
      <c r="B583" s="232"/>
      <c r="C583" s="152"/>
      <c r="D583" s="152"/>
      <c r="E583" s="152"/>
      <c r="F583" s="152"/>
      <c r="G583" s="152"/>
      <c r="H583" s="152"/>
      <c r="I583" s="152"/>
      <c r="J583" s="152"/>
      <c r="K583" s="152"/>
      <c r="L583" s="152"/>
      <c r="M583" s="152"/>
      <c r="N583" s="152"/>
      <c r="O583" s="152"/>
      <c r="P583" s="152"/>
      <c r="Q583" s="152"/>
      <c r="R583" s="152"/>
      <c r="S583" s="152"/>
      <c r="T583" s="152"/>
      <c r="U583" s="152"/>
      <c r="V583" s="152"/>
      <c r="W583" s="152"/>
      <c r="X583" s="152"/>
      <c r="Y583" s="152"/>
      <c r="Z583" s="152"/>
    </row>
    <row r="584" ht="12.75" customHeight="1">
      <c r="A584" s="152"/>
      <c r="B584" s="232"/>
      <c r="C584" s="152"/>
      <c r="D584" s="152"/>
      <c r="E584" s="152"/>
      <c r="F584" s="152"/>
      <c r="G584" s="152"/>
      <c r="H584" s="152"/>
      <c r="I584" s="152"/>
      <c r="J584" s="152"/>
      <c r="K584" s="152"/>
      <c r="L584" s="152"/>
      <c r="M584" s="152"/>
      <c r="N584" s="152"/>
      <c r="O584" s="152"/>
      <c r="P584" s="152"/>
      <c r="Q584" s="152"/>
      <c r="R584" s="152"/>
      <c r="S584" s="152"/>
      <c r="T584" s="152"/>
      <c r="U584" s="152"/>
      <c r="V584" s="152"/>
      <c r="W584" s="152"/>
      <c r="X584" s="152"/>
      <c r="Y584" s="152"/>
      <c r="Z584" s="152"/>
    </row>
    <row r="585" ht="12.75" customHeight="1">
      <c r="A585" s="152"/>
      <c r="B585" s="232"/>
      <c r="C585" s="152"/>
      <c r="D585" s="152"/>
      <c r="E585" s="152"/>
      <c r="F585" s="152"/>
      <c r="G585" s="152"/>
      <c r="H585" s="152"/>
      <c r="I585" s="152"/>
      <c r="J585" s="152"/>
      <c r="K585" s="152"/>
      <c r="L585" s="152"/>
      <c r="M585" s="152"/>
      <c r="N585" s="152"/>
      <c r="O585" s="152"/>
      <c r="P585" s="152"/>
      <c r="Q585" s="152"/>
      <c r="R585" s="152"/>
      <c r="S585" s="152"/>
      <c r="T585" s="152"/>
      <c r="U585" s="152"/>
      <c r="V585" s="152"/>
      <c r="W585" s="152"/>
      <c r="X585" s="152"/>
      <c r="Y585" s="152"/>
      <c r="Z585" s="152"/>
    </row>
    <row r="586" ht="12.75" customHeight="1">
      <c r="A586" s="152"/>
      <c r="B586" s="232"/>
      <c r="C586" s="152"/>
      <c r="D586" s="152"/>
      <c r="E586" s="152"/>
      <c r="F586" s="152"/>
      <c r="G586" s="152"/>
      <c r="H586" s="152"/>
      <c r="I586" s="152"/>
      <c r="J586" s="152"/>
      <c r="K586" s="152"/>
      <c r="L586" s="152"/>
      <c r="M586" s="152"/>
      <c r="N586" s="152"/>
      <c r="O586" s="152"/>
      <c r="P586" s="152"/>
      <c r="Q586" s="152"/>
      <c r="R586" s="152"/>
      <c r="S586" s="152"/>
      <c r="T586" s="152"/>
      <c r="U586" s="152"/>
      <c r="V586" s="152"/>
      <c r="W586" s="152"/>
      <c r="X586" s="152"/>
      <c r="Y586" s="152"/>
      <c r="Z586" s="152"/>
    </row>
    <row r="587" ht="12.75" customHeight="1">
      <c r="A587" s="152"/>
      <c r="B587" s="232"/>
      <c r="C587" s="152"/>
      <c r="D587" s="152"/>
      <c r="E587" s="152"/>
      <c r="F587" s="152"/>
      <c r="G587" s="152"/>
      <c r="H587" s="152"/>
      <c r="I587" s="152"/>
      <c r="J587" s="152"/>
      <c r="K587" s="152"/>
      <c r="L587" s="152"/>
      <c r="M587" s="152"/>
      <c r="N587" s="152"/>
      <c r="O587" s="152"/>
      <c r="P587" s="152"/>
      <c r="Q587" s="152"/>
      <c r="R587" s="152"/>
      <c r="S587" s="152"/>
      <c r="T587" s="152"/>
      <c r="U587" s="152"/>
      <c r="V587" s="152"/>
      <c r="W587" s="152"/>
      <c r="X587" s="152"/>
      <c r="Y587" s="152"/>
      <c r="Z587" s="152"/>
    </row>
    <row r="588" ht="12.75" customHeight="1">
      <c r="A588" s="152"/>
      <c r="B588" s="232"/>
      <c r="C588" s="152"/>
      <c r="D588" s="152"/>
      <c r="E588" s="152"/>
      <c r="F588" s="152"/>
      <c r="G588" s="152"/>
      <c r="H588" s="152"/>
      <c r="I588" s="152"/>
      <c r="J588" s="152"/>
      <c r="K588" s="152"/>
      <c r="L588" s="152"/>
      <c r="M588" s="152"/>
      <c r="N588" s="152"/>
      <c r="O588" s="152"/>
      <c r="P588" s="152"/>
      <c r="Q588" s="152"/>
      <c r="R588" s="152"/>
      <c r="S588" s="152"/>
      <c r="T588" s="152"/>
      <c r="U588" s="152"/>
      <c r="V588" s="152"/>
      <c r="W588" s="152"/>
      <c r="X588" s="152"/>
      <c r="Y588" s="152"/>
      <c r="Z588" s="152"/>
    </row>
    <row r="589" ht="12.75" customHeight="1">
      <c r="A589" s="152"/>
      <c r="B589" s="232"/>
      <c r="C589" s="152"/>
      <c r="D589" s="152"/>
      <c r="E589" s="152"/>
      <c r="F589" s="152"/>
      <c r="G589" s="152"/>
      <c r="H589" s="152"/>
      <c r="I589" s="152"/>
      <c r="J589" s="152"/>
      <c r="K589" s="152"/>
      <c r="L589" s="152"/>
      <c r="M589" s="152"/>
      <c r="N589" s="152"/>
      <c r="O589" s="152"/>
      <c r="P589" s="152"/>
      <c r="Q589" s="152"/>
      <c r="R589" s="152"/>
      <c r="S589" s="152"/>
      <c r="T589" s="152"/>
      <c r="U589" s="152"/>
      <c r="V589" s="152"/>
      <c r="W589" s="152"/>
      <c r="X589" s="152"/>
      <c r="Y589" s="152"/>
      <c r="Z589" s="152"/>
    </row>
    <row r="590" ht="12.75" customHeight="1">
      <c r="A590" s="152"/>
      <c r="B590" s="232"/>
      <c r="C590" s="152"/>
      <c r="D590" s="152"/>
      <c r="E590" s="152"/>
      <c r="F590" s="152"/>
      <c r="G590" s="152"/>
      <c r="H590" s="152"/>
      <c r="I590" s="152"/>
      <c r="J590" s="152"/>
      <c r="K590" s="152"/>
      <c r="L590" s="152"/>
      <c r="M590" s="152"/>
      <c r="N590" s="152"/>
      <c r="O590" s="152"/>
      <c r="P590" s="152"/>
      <c r="Q590" s="152"/>
      <c r="R590" s="152"/>
      <c r="S590" s="152"/>
      <c r="T590" s="152"/>
      <c r="U590" s="152"/>
      <c r="V590" s="152"/>
      <c r="W590" s="152"/>
      <c r="X590" s="152"/>
      <c r="Y590" s="152"/>
      <c r="Z590" s="152"/>
    </row>
    <row r="591" ht="12.75" customHeight="1">
      <c r="A591" s="152"/>
      <c r="B591" s="232"/>
      <c r="C591" s="152"/>
      <c r="D591" s="152"/>
      <c r="E591" s="152"/>
      <c r="F591" s="152"/>
      <c r="G591" s="152"/>
      <c r="H591" s="152"/>
      <c r="I591" s="152"/>
      <c r="J591" s="152"/>
      <c r="K591" s="152"/>
      <c r="L591" s="152"/>
      <c r="M591" s="152"/>
      <c r="N591" s="152"/>
      <c r="O591" s="152"/>
      <c r="P591" s="152"/>
      <c r="Q591" s="152"/>
      <c r="R591" s="152"/>
      <c r="S591" s="152"/>
      <c r="T591" s="152"/>
      <c r="U591" s="152"/>
      <c r="V591" s="152"/>
      <c r="W591" s="152"/>
      <c r="X591" s="152"/>
      <c r="Y591" s="152"/>
      <c r="Z591" s="152"/>
    </row>
    <row r="592" ht="12.75" customHeight="1">
      <c r="A592" s="152"/>
      <c r="B592" s="232"/>
      <c r="C592" s="152"/>
      <c r="D592" s="152"/>
      <c r="E592" s="152"/>
      <c r="F592" s="152"/>
      <c r="G592" s="152"/>
      <c r="H592" s="152"/>
      <c r="I592" s="152"/>
      <c r="J592" s="152"/>
      <c r="K592" s="152"/>
      <c r="L592" s="152"/>
      <c r="M592" s="152"/>
      <c r="N592" s="152"/>
      <c r="O592" s="152"/>
      <c r="P592" s="152"/>
      <c r="Q592" s="152"/>
      <c r="R592" s="152"/>
      <c r="S592" s="152"/>
      <c r="T592" s="152"/>
      <c r="U592" s="152"/>
      <c r="V592" s="152"/>
      <c r="W592" s="152"/>
      <c r="X592" s="152"/>
      <c r="Y592" s="152"/>
      <c r="Z592" s="152"/>
    </row>
    <row r="593" ht="12.75" customHeight="1">
      <c r="A593" s="152"/>
      <c r="B593" s="232"/>
      <c r="C593" s="152"/>
      <c r="D593" s="152"/>
      <c r="E593" s="152"/>
      <c r="F593" s="152"/>
      <c r="G593" s="152"/>
      <c r="H593" s="152"/>
      <c r="I593" s="152"/>
      <c r="J593" s="152"/>
      <c r="K593" s="152"/>
      <c r="L593" s="152"/>
      <c r="M593" s="152"/>
      <c r="N593" s="152"/>
      <c r="O593" s="152"/>
      <c r="P593" s="152"/>
      <c r="Q593" s="152"/>
      <c r="R593" s="152"/>
      <c r="S593" s="152"/>
      <c r="T593" s="152"/>
      <c r="U593" s="152"/>
      <c r="V593" s="152"/>
      <c r="W593" s="152"/>
      <c r="X593" s="152"/>
      <c r="Y593" s="152"/>
      <c r="Z593" s="152"/>
    </row>
    <row r="594" ht="12.75" customHeight="1">
      <c r="A594" s="152"/>
      <c r="B594" s="232"/>
      <c r="C594" s="152"/>
      <c r="D594" s="152"/>
      <c r="E594" s="152"/>
      <c r="F594" s="152"/>
      <c r="G594" s="152"/>
      <c r="H594" s="152"/>
      <c r="I594" s="152"/>
      <c r="J594" s="152"/>
      <c r="K594" s="152"/>
      <c r="L594" s="152"/>
      <c r="M594" s="152"/>
      <c r="N594" s="152"/>
      <c r="O594" s="152"/>
      <c r="P594" s="152"/>
      <c r="Q594" s="152"/>
      <c r="R594" s="152"/>
      <c r="S594" s="152"/>
      <c r="T594" s="152"/>
      <c r="U594" s="152"/>
      <c r="V594" s="152"/>
      <c r="W594" s="152"/>
      <c r="X594" s="152"/>
      <c r="Y594" s="152"/>
      <c r="Z594" s="152"/>
    </row>
    <row r="595" ht="12.75" customHeight="1">
      <c r="A595" s="152"/>
      <c r="B595" s="232"/>
      <c r="C595" s="152"/>
      <c r="D595" s="152"/>
      <c r="E595" s="152"/>
      <c r="F595" s="152"/>
      <c r="G595" s="152"/>
      <c r="H595" s="152"/>
      <c r="I595" s="152"/>
      <c r="J595" s="152"/>
      <c r="K595" s="152"/>
      <c r="L595" s="152"/>
      <c r="M595" s="152"/>
      <c r="N595" s="152"/>
      <c r="O595" s="152"/>
      <c r="P595" s="152"/>
      <c r="Q595" s="152"/>
      <c r="R595" s="152"/>
      <c r="S595" s="152"/>
      <c r="T595" s="152"/>
      <c r="U595" s="152"/>
      <c r="V595" s="152"/>
      <c r="W595" s="152"/>
      <c r="X595" s="152"/>
      <c r="Y595" s="152"/>
      <c r="Z595" s="152"/>
    </row>
    <row r="596" ht="12.75" customHeight="1">
      <c r="A596" s="152"/>
      <c r="B596" s="232"/>
      <c r="C596" s="152"/>
      <c r="D596" s="152"/>
      <c r="E596" s="152"/>
      <c r="F596" s="152"/>
      <c r="G596" s="152"/>
      <c r="H596" s="152"/>
      <c r="I596" s="152"/>
      <c r="J596" s="152"/>
      <c r="K596" s="152"/>
      <c r="L596" s="152"/>
      <c r="M596" s="152"/>
      <c r="N596" s="152"/>
      <c r="O596" s="152"/>
      <c r="P596" s="152"/>
      <c r="Q596" s="152"/>
      <c r="R596" s="152"/>
      <c r="S596" s="152"/>
      <c r="T596" s="152"/>
      <c r="U596" s="152"/>
      <c r="V596" s="152"/>
      <c r="W596" s="152"/>
      <c r="X596" s="152"/>
      <c r="Y596" s="152"/>
      <c r="Z596" s="152"/>
    </row>
    <row r="597" ht="12.75" customHeight="1">
      <c r="A597" s="152"/>
      <c r="B597" s="232"/>
      <c r="C597" s="152"/>
      <c r="D597" s="152"/>
      <c r="E597" s="152"/>
      <c r="F597" s="152"/>
      <c r="G597" s="152"/>
      <c r="H597" s="152"/>
      <c r="I597" s="152"/>
      <c r="J597" s="152"/>
      <c r="K597" s="152"/>
      <c r="L597" s="152"/>
      <c r="M597" s="152"/>
      <c r="N597" s="152"/>
      <c r="O597" s="152"/>
      <c r="P597" s="152"/>
      <c r="Q597" s="152"/>
      <c r="R597" s="152"/>
      <c r="S597" s="152"/>
      <c r="T597" s="152"/>
      <c r="U597" s="152"/>
      <c r="V597" s="152"/>
      <c r="W597" s="152"/>
      <c r="X597" s="152"/>
      <c r="Y597" s="152"/>
      <c r="Z597" s="152"/>
    </row>
    <row r="598" ht="12.75" customHeight="1">
      <c r="A598" s="152"/>
      <c r="B598" s="232"/>
      <c r="C598" s="152"/>
      <c r="D598" s="152"/>
      <c r="E598" s="152"/>
      <c r="F598" s="152"/>
      <c r="G598" s="152"/>
      <c r="H598" s="152"/>
      <c r="I598" s="152"/>
      <c r="J598" s="152"/>
      <c r="K598" s="152"/>
      <c r="L598" s="152"/>
      <c r="M598" s="152"/>
      <c r="N598" s="152"/>
      <c r="O598" s="152"/>
      <c r="P598" s="152"/>
      <c r="Q598" s="152"/>
      <c r="R598" s="152"/>
      <c r="S598" s="152"/>
      <c r="T598" s="152"/>
      <c r="U598" s="152"/>
      <c r="V598" s="152"/>
      <c r="W598" s="152"/>
      <c r="X598" s="152"/>
      <c r="Y598" s="152"/>
      <c r="Z598" s="152"/>
    </row>
    <row r="599" ht="12.75" customHeight="1">
      <c r="A599" s="152"/>
      <c r="B599" s="232"/>
      <c r="C599" s="152"/>
      <c r="D599" s="152"/>
      <c r="E599" s="152"/>
      <c r="F599" s="152"/>
      <c r="G599" s="152"/>
      <c r="H599" s="152"/>
      <c r="I599" s="152"/>
      <c r="J599" s="152"/>
      <c r="K599" s="152"/>
      <c r="L599" s="152"/>
      <c r="M599" s="152"/>
      <c r="N599" s="152"/>
      <c r="O599" s="152"/>
      <c r="P599" s="152"/>
      <c r="Q599" s="152"/>
      <c r="R599" s="152"/>
      <c r="S599" s="152"/>
      <c r="T599" s="152"/>
      <c r="U599" s="152"/>
      <c r="V599" s="152"/>
      <c r="W599" s="152"/>
      <c r="X599" s="152"/>
      <c r="Y599" s="152"/>
      <c r="Z599" s="152"/>
    </row>
    <row r="600" ht="12.75" customHeight="1">
      <c r="A600" s="152"/>
      <c r="B600" s="232"/>
      <c r="C600" s="152"/>
      <c r="D600" s="152"/>
      <c r="E600" s="152"/>
      <c r="F600" s="152"/>
      <c r="G600" s="152"/>
      <c r="H600" s="152"/>
      <c r="I600" s="152"/>
      <c r="J600" s="152"/>
      <c r="K600" s="152"/>
      <c r="L600" s="152"/>
      <c r="M600" s="152"/>
      <c r="N600" s="152"/>
      <c r="O600" s="152"/>
      <c r="P600" s="152"/>
      <c r="Q600" s="152"/>
      <c r="R600" s="152"/>
      <c r="S600" s="152"/>
      <c r="T600" s="152"/>
      <c r="U600" s="152"/>
      <c r="V600" s="152"/>
      <c r="W600" s="152"/>
      <c r="X600" s="152"/>
      <c r="Y600" s="152"/>
      <c r="Z600" s="152"/>
    </row>
    <row r="601" ht="12.75" customHeight="1">
      <c r="A601" s="152"/>
      <c r="B601" s="232"/>
      <c r="C601" s="152"/>
      <c r="D601" s="152"/>
      <c r="E601" s="152"/>
      <c r="F601" s="152"/>
      <c r="G601" s="152"/>
      <c r="H601" s="152"/>
      <c r="I601" s="152"/>
      <c r="J601" s="152"/>
      <c r="K601" s="152"/>
      <c r="L601" s="152"/>
      <c r="M601" s="152"/>
      <c r="N601" s="152"/>
      <c r="O601" s="152"/>
      <c r="P601" s="152"/>
      <c r="Q601" s="152"/>
      <c r="R601" s="152"/>
      <c r="S601" s="152"/>
      <c r="T601" s="152"/>
      <c r="U601" s="152"/>
      <c r="V601" s="152"/>
      <c r="W601" s="152"/>
      <c r="X601" s="152"/>
      <c r="Y601" s="152"/>
      <c r="Z601" s="152"/>
    </row>
    <row r="602" ht="12.75" customHeight="1">
      <c r="A602" s="152"/>
      <c r="B602" s="232"/>
      <c r="C602" s="152"/>
      <c r="D602" s="152"/>
      <c r="E602" s="152"/>
      <c r="F602" s="152"/>
      <c r="G602" s="152"/>
      <c r="H602" s="152"/>
      <c r="I602" s="152"/>
      <c r="J602" s="152"/>
      <c r="K602" s="152"/>
      <c r="L602" s="152"/>
      <c r="M602" s="152"/>
      <c r="N602" s="152"/>
      <c r="O602" s="152"/>
      <c r="P602" s="152"/>
      <c r="Q602" s="152"/>
      <c r="R602" s="152"/>
      <c r="S602" s="152"/>
      <c r="T602" s="152"/>
      <c r="U602" s="152"/>
      <c r="V602" s="152"/>
      <c r="W602" s="152"/>
      <c r="X602" s="152"/>
      <c r="Y602" s="152"/>
      <c r="Z602" s="152"/>
    </row>
    <row r="603" ht="12.75" customHeight="1">
      <c r="A603" s="152"/>
      <c r="B603" s="232"/>
      <c r="C603" s="152"/>
      <c r="D603" s="152"/>
      <c r="E603" s="152"/>
      <c r="F603" s="152"/>
      <c r="G603" s="152"/>
      <c r="H603" s="152"/>
      <c r="I603" s="152"/>
      <c r="J603" s="152"/>
      <c r="K603" s="152"/>
      <c r="L603" s="152"/>
      <c r="M603" s="152"/>
      <c r="N603" s="152"/>
      <c r="O603" s="152"/>
      <c r="P603" s="152"/>
      <c r="Q603" s="152"/>
      <c r="R603" s="152"/>
      <c r="S603" s="152"/>
      <c r="T603" s="152"/>
      <c r="U603" s="152"/>
      <c r="V603" s="152"/>
      <c r="W603" s="152"/>
      <c r="X603" s="152"/>
      <c r="Y603" s="152"/>
      <c r="Z603" s="152"/>
    </row>
    <row r="604" ht="12.75" customHeight="1">
      <c r="A604" s="152"/>
      <c r="B604" s="232"/>
      <c r="C604" s="152"/>
      <c r="D604" s="152"/>
      <c r="E604" s="152"/>
      <c r="F604" s="152"/>
      <c r="G604" s="152"/>
      <c r="H604" s="152"/>
      <c r="I604" s="152"/>
      <c r="J604" s="152"/>
      <c r="K604" s="152"/>
      <c r="L604" s="152"/>
      <c r="M604" s="152"/>
      <c r="N604" s="152"/>
      <c r="O604" s="152"/>
      <c r="P604" s="152"/>
      <c r="Q604" s="152"/>
      <c r="R604" s="152"/>
      <c r="S604" s="152"/>
      <c r="T604" s="152"/>
      <c r="U604" s="152"/>
      <c r="V604" s="152"/>
      <c r="W604" s="152"/>
      <c r="X604" s="152"/>
      <c r="Y604" s="152"/>
      <c r="Z604" s="152"/>
    </row>
    <row r="605" ht="12.75" customHeight="1">
      <c r="A605" s="152"/>
      <c r="B605" s="232"/>
      <c r="C605" s="152"/>
      <c r="D605" s="152"/>
      <c r="E605" s="152"/>
      <c r="F605" s="152"/>
      <c r="G605" s="152"/>
      <c r="H605" s="152"/>
      <c r="I605" s="152"/>
      <c r="J605" s="152"/>
      <c r="K605" s="152"/>
      <c r="L605" s="152"/>
      <c r="M605" s="152"/>
      <c r="N605" s="152"/>
      <c r="O605" s="152"/>
      <c r="P605" s="152"/>
      <c r="Q605" s="152"/>
      <c r="R605" s="152"/>
      <c r="S605" s="152"/>
      <c r="T605" s="152"/>
      <c r="U605" s="152"/>
      <c r="V605" s="152"/>
      <c r="W605" s="152"/>
      <c r="X605" s="152"/>
      <c r="Y605" s="152"/>
      <c r="Z605" s="152"/>
    </row>
    <row r="606" ht="12.75" customHeight="1">
      <c r="A606" s="152"/>
      <c r="B606" s="232"/>
      <c r="C606" s="152"/>
      <c r="D606" s="152"/>
      <c r="E606" s="152"/>
      <c r="F606" s="152"/>
      <c r="G606" s="152"/>
      <c r="H606" s="152"/>
      <c r="I606" s="152"/>
      <c r="J606" s="152"/>
      <c r="K606" s="152"/>
      <c r="L606" s="152"/>
      <c r="M606" s="152"/>
      <c r="N606" s="152"/>
      <c r="O606" s="152"/>
      <c r="P606" s="152"/>
      <c r="Q606" s="152"/>
      <c r="R606" s="152"/>
      <c r="S606" s="152"/>
      <c r="T606" s="152"/>
      <c r="U606" s="152"/>
      <c r="V606" s="152"/>
      <c r="W606" s="152"/>
      <c r="X606" s="152"/>
      <c r="Y606" s="152"/>
      <c r="Z606" s="152"/>
    </row>
    <row r="607" ht="12.75" customHeight="1">
      <c r="A607" s="152"/>
      <c r="B607" s="232"/>
      <c r="C607" s="152"/>
      <c r="D607" s="152"/>
      <c r="E607" s="152"/>
      <c r="F607" s="152"/>
      <c r="G607" s="152"/>
      <c r="H607" s="152"/>
      <c r="I607" s="152"/>
      <c r="J607" s="152"/>
      <c r="K607" s="152"/>
      <c r="L607" s="152"/>
      <c r="M607" s="152"/>
      <c r="N607" s="152"/>
      <c r="O607" s="152"/>
      <c r="P607" s="152"/>
      <c r="Q607" s="152"/>
      <c r="R607" s="152"/>
      <c r="S607" s="152"/>
      <c r="T607" s="152"/>
      <c r="U607" s="152"/>
      <c r="V607" s="152"/>
      <c r="W607" s="152"/>
      <c r="X607" s="152"/>
      <c r="Y607" s="152"/>
      <c r="Z607" s="152"/>
    </row>
    <row r="608" ht="12.75" customHeight="1">
      <c r="A608" s="152"/>
      <c r="B608" s="232"/>
      <c r="C608" s="152"/>
      <c r="D608" s="152"/>
      <c r="E608" s="152"/>
      <c r="F608" s="152"/>
      <c r="G608" s="152"/>
      <c r="H608" s="152"/>
      <c r="I608" s="152"/>
      <c r="J608" s="152"/>
      <c r="K608" s="152"/>
      <c r="L608" s="152"/>
      <c r="M608" s="152"/>
      <c r="N608" s="152"/>
      <c r="O608" s="152"/>
      <c r="P608" s="152"/>
      <c r="Q608" s="152"/>
      <c r="R608" s="152"/>
      <c r="S608" s="152"/>
      <c r="T608" s="152"/>
      <c r="U608" s="152"/>
      <c r="V608" s="152"/>
      <c r="W608" s="152"/>
      <c r="X608" s="152"/>
      <c r="Y608" s="152"/>
      <c r="Z608" s="152"/>
    </row>
    <row r="609" ht="12.75" customHeight="1">
      <c r="A609" s="152"/>
      <c r="B609" s="232"/>
      <c r="C609" s="152"/>
      <c r="D609" s="152"/>
      <c r="E609" s="152"/>
      <c r="F609" s="152"/>
      <c r="G609" s="152"/>
      <c r="H609" s="152"/>
      <c r="I609" s="152"/>
      <c r="J609" s="152"/>
      <c r="K609" s="152"/>
      <c r="L609" s="152"/>
      <c r="M609" s="152"/>
      <c r="N609" s="152"/>
      <c r="O609" s="152"/>
      <c r="P609" s="152"/>
      <c r="Q609" s="152"/>
      <c r="R609" s="152"/>
      <c r="S609" s="152"/>
      <c r="T609" s="152"/>
      <c r="U609" s="152"/>
      <c r="V609" s="152"/>
      <c r="W609" s="152"/>
      <c r="X609" s="152"/>
      <c r="Y609" s="152"/>
      <c r="Z609" s="152"/>
    </row>
    <row r="610" ht="12.75" customHeight="1">
      <c r="A610" s="152"/>
      <c r="B610" s="232"/>
      <c r="C610" s="152"/>
      <c r="D610" s="152"/>
      <c r="E610" s="152"/>
      <c r="F610" s="152"/>
      <c r="G610" s="152"/>
      <c r="H610" s="152"/>
      <c r="I610" s="152"/>
      <c r="J610" s="152"/>
      <c r="K610" s="152"/>
      <c r="L610" s="152"/>
      <c r="M610" s="152"/>
      <c r="N610" s="152"/>
      <c r="O610" s="152"/>
      <c r="P610" s="152"/>
      <c r="Q610" s="152"/>
      <c r="R610" s="152"/>
      <c r="S610" s="152"/>
      <c r="T610" s="152"/>
      <c r="U610" s="152"/>
      <c r="V610" s="152"/>
      <c r="W610" s="152"/>
      <c r="X610" s="152"/>
      <c r="Y610" s="152"/>
      <c r="Z610" s="152"/>
    </row>
    <row r="611" ht="12.75" customHeight="1">
      <c r="A611" s="152"/>
      <c r="B611" s="232"/>
      <c r="C611" s="152"/>
      <c r="D611" s="152"/>
      <c r="E611" s="152"/>
      <c r="F611" s="152"/>
      <c r="G611" s="152"/>
      <c r="H611" s="152"/>
      <c r="I611" s="152"/>
      <c r="J611" s="152"/>
      <c r="K611" s="152"/>
      <c r="L611" s="152"/>
      <c r="M611" s="152"/>
      <c r="N611" s="152"/>
      <c r="O611" s="152"/>
      <c r="P611" s="152"/>
      <c r="Q611" s="152"/>
      <c r="R611" s="152"/>
      <c r="S611" s="152"/>
      <c r="T611" s="152"/>
      <c r="U611" s="152"/>
      <c r="V611" s="152"/>
      <c r="W611" s="152"/>
      <c r="X611" s="152"/>
      <c r="Y611" s="152"/>
      <c r="Z611" s="152"/>
    </row>
    <row r="612" ht="12.75" customHeight="1">
      <c r="A612" s="152"/>
      <c r="B612" s="232"/>
      <c r="C612" s="152"/>
      <c r="D612" s="152"/>
      <c r="E612" s="152"/>
      <c r="F612" s="152"/>
      <c r="G612" s="152"/>
      <c r="H612" s="152"/>
      <c r="I612" s="152"/>
      <c r="J612" s="152"/>
      <c r="K612" s="152"/>
      <c r="L612" s="152"/>
      <c r="M612" s="152"/>
      <c r="N612" s="152"/>
      <c r="O612" s="152"/>
      <c r="P612" s="152"/>
      <c r="Q612" s="152"/>
      <c r="R612" s="152"/>
      <c r="S612" s="152"/>
      <c r="T612" s="152"/>
      <c r="U612" s="152"/>
      <c r="V612" s="152"/>
      <c r="W612" s="152"/>
      <c r="X612" s="152"/>
      <c r="Y612" s="152"/>
      <c r="Z612" s="152"/>
    </row>
    <row r="613" ht="12.75" customHeight="1">
      <c r="A613" s="152"/>
      <c r="B613" s="232"/>
      <c r="C613" s="152"/>
      <c r="D613" s="152"/>
      <c r="E613" s="152"/>
      <c r="F613" s="152"/>
      <c r="G613" s="152"/>
      <c r="H613" s="152"/>
      <c r="I613" s="152"/>
      <c r="J613" s="152"/>
      <c r="K613" s="152"/>
      <c r="L613" s="152"/>
      <c r="M613" s="152"/>
      <c r="N613" s="152"/>
      <c r="O613" s="152"/>
      <c r="P613" s="152"/>
      <c r="Q613" s="152"/>
      <c r="R613" s="152"/>
      <c r="S613" s="152"/>
      <c r="T613" s="152"/>
      <c r="U613" s="152"/>
      <c r="V613" s="152"/>
      <c r="W613" s="152"/>
      <c r="X613" s="152"/>
      <c r="Y613" s="152"/>
      <c r="Z613" s="152"/>
    </row>
    <row r="614" ht="12.75" customHeight="1">
      <c r="A614" s="152"/>
      <c r="B614" s="232"/>
      <c r="C614" s="152"/>
      <c r="D614" s="152"/>
      <c r="E614" s="152"/>
      <c r="F614" s="152"/>
      <c r="G614" s="152"/>
      <c r="H614" s="152"/>
      <c r="I614" s="152"/>
      <c r="J614" s="152"/>
      <c r="K614" s="152"/>
      <c r="L614" s="152"/>
      <c r="M614" s="152"/>
      <c r="N614" s="152"/>
      <c r="O614" s="152"/>
      <c r="P614" s="152"/>
      <c r="Q614" s="152"/>
      <c r="R614" s="152"/>
      <c r="S614" s="152"/>
      <c r="T614" s="152"/>
      <c r="U614" s="152"/>
      <c r="V614" s="152"/>
      <c r="W614" s="152"/>
      <c r="X614" s="152"/>
      <c r="Y614" s="152"/>
      <c r="Z614" s="152"/>
    </row>
    <row r="615" ht="12.75" customHeight="1">
      <c r="A615" s="152"/>
      <c r="B615" s="232"/>
      <c r="C615" s="152"/>
      <c r="D615" s="152"/>
      <c r="E615" s="152"/>
      <c r="F615" s="152"/>
      <c r="G615" s="152"/>
      <c r="H615" s="152"/>
      <c r="I615" s="152"/>
      <c r="J615" s="152"/>
      <c r="K615" s="152"/>
      <c r="L615" s="152"/>
      <c r="M615" s="152"/>
      <c r="N615" s="152"/>
      <c r="O615" s="152"/>
      <c r="P615" s="152"/>
      <c r="Q615" s="152"/>
      <c r="R615" s="152"/>
      <c r="S615" s="152"/>
      <c r="T615" s="152"/>
      <c r="U615" s="152"/>
      <c r="V615" s="152"/>
      <c r="W615" s="152"/>
      <c r="X615" s="152"/>
      <c r="Y615" s="152"/>
      <c r="Z615" s="152"/>
    </row>
    <row r="616" ht="12.75" customHeight="1">
      <c r="A616" s="152"/>
      <c r="B616" s="232"/>
      <c r="C616" s="152"/>
      <c r="D616" s="152"/>
      <c r="E616" s="152"/>
      <c r="F616" s="152"/>
      <c r="G616" s="152"/>
      <c r="H616" s="152"/>
      <c r="I616" s="152"/>
      <c r="J616" s="152"/>
      <c r="K616" s="152"/>
      <c r="L616" s="152"/>
      <c r="M616" s="152"/>
      <c r="N616" s="152"/>
      <c r="O616" s="152"/>
      <c r="P616" s="152"/>
      <c r="Q616" s="152"/>
      <c r="R616" s="152"/>
      <c r="S616" s="152"/>
      <c r="T616" s="152"/>
      <c r="U616" s="152"/>
      <c r="V616" s="152"/>
      <c r="W616" s="152"/>
      <c r="X616" s="152"/>
      <c r="Y616" s="152"/>
      <c r="Z616" s="152"/>
    </row>
    <row r="617" ht="12.75" customHeight="1">
      <c r="A617" s="152"/>
      <c r="B617" s="232"/>
      <c r="C617" s="152"/>
      <c r="D617" s="152"/>
      <c r="E617" s="152"/>
      <c r="F617" s="152"/>
      <c r="G617" s="152"/>
      <c r="H617" s="152"/>
      <c r="I617" s="152"/>
      <c r="J617" s="152"/>
      <c r="K617" s="152"/>
      <c r="L617" s="152"/>
      <c r="M617" s="152"/>
      <c r="N617" s="152"/>
      <c r="O617" s="152"/>
      <c r="P617" s="152"/>
      <c r="Q617" s="152"/>
      <c r="R617" s="152"/>
      <c r="S617" s="152"/>
      <c r="T617" s="152"/>
      <c r="U617" s="152"/>
      <c r="V617" s="152"/>
      <c r="W617" s="152"/>
      <c r="X617" s="152"/>
      <c r="Y617" s="152"/>
      <c r="Z617" s="152"/>
    </row>
    <row r="618" ht="12.75" customHeight="1">
      <c r="A618" s="152"/>
      <c r="B618" s="232"/>
      <c r="C618" s="152"/>
      <c r="D618" s="152"/>
      <c r="E618" s="152"/>
      <c r="F618" s="152"/>
      <c r="G618" s="152"/>
      <c r="H618" s="152"/>
      <c r="I618" s="152"/>
      <c r="J618" s="152"/>
      <c r="K618" s="152"/>
      <c r="L618" s="152"/>
      <c r="M618" s="152"/>
      <c r="N618" s="152"/>
      <c r="O618" s="152"/>
      <c r="P618" s="152"/>
      <c r="Q618" s="152"/>
      <c r="R618" s="152"/>
      <c r="S618" s="152"/>
      <c r="T618" s="152"/>
      <c r="U618" s="152"/>
      <c r="V618" s="152"/>
      <c r="W618" s="152"/>
      <c r="X618" s="152"/>
      <c r="Y618" s="152"/>
      <c r="Z618" s="152"/>
    </row>
    <row r="619" ht="12.75" customHeight="1">
      <c r="A619" s="152"/>
      <c r="B619" s="232"/>
      <c r="C619" s="152"/>
      <c r="D619" s="152"/>
      <c r="E619" s="152"/>
      <c r="F619" s="152"/>
      <c r="G619" s="152"/>
      <c r="H619" s="152"/>
      <c r="I619" s="152"/>
      <c r="J619" s="152"/>
      <c r="K619" s="152"/>
      <c r="L619" s="152"/>
      <c r="M619" s="152"/>
      <c r="N619" s="152"/>
      <c r="O619" s="152"/>
      <c r="P619" s="152"/>
      <c r="Q619" s="152"/>
      <c r="R619" s="152"/>
      <c r="S619" s="152"/>
      <c r="T619" s="152"/>
      <c r="U619" s="152"/>
      <c r="V619" s="152"/>
      <c r="W619" s="152"/>
      <c r="X619" s="152"/>
      <c r="Y619" s="152"/>
      <c r="Z619" s="152"/>
    </row>
    <row r="620" ht="12.75" customHeight="1">
      <c r="A620" s="152"/>
      <c r="B620" s="232"/>
      <c r="C620" s="152"/>
      <c r="D620" s="152"/>
      <c r="E620" s="152"/>
      <c r="F620" s="152"/>
      <c r="G620" s="152"/>
      <c r="H620" s="152"/>
      <c r="I620" s="152"/>
      <c r="J620" s="152"/>
      <c r="K620" s="152"/>
      <c r="L620" s="152"/>
      <c r="M620" s="152"/>
      <c r="N620" s="152"/>
      <c r="O620" s="152"/>
      <c r="P620" s="152"/>
      <c r="Q620" s="152"/>
      <c r="R620" s="152"/>
      <c r="S620" s="152"/>
      <c r="T620" s="152"/>
      <c r="U620" s="152"/>
      <c r="V620" s="152"/>
      <c r="W620" s="152"/>
      <c r="X620" s="152"/>
      <c r="Y620" s="152"/>
      <c r="Z620" s="152"/>
    </row>
    <row r="621" ht="12.75" customHeight="1">
      <c r="A621" s="152"/>
      <c r="B621" s="232"/>
      <c r="C621" s="152"/>
      <c r="D621" s="152"/>
      <c r="E621" s="152"/>
      <c r="F621" s="152"/>
      <c r="G621" s="152"/>
      <c r="H621" s="152"/>
      <c r="I621" s="152"/>
      <c r="J621" s="152"/>
      <c r="K621" s="152"/>
      <c r="L621" s="152"/>
      <c r="M621" s="152"/>
      <c r="N621" s="152"/>
      <c r="O621" s="152"/>
      <c r="P621" s="152"/>
      <c r="Q621" s="152"/>
      <c r="R621" s="152"/>
      <c r="S621" s="152"/>
      <c r="T621" s="152"/>
      <c r="U621" s="152"/>
      <c r="V621" s="152"/>
      <c r="W621" s="152"/>
      <c r="X621" s="152"/>
      <c r="Y621" s="152"/>
      <c r="Z621" s="152"/>
    </row>
    <row r="622" ht="12.75" customHeight="1">
      <c r="A622" s="152"/>
      <c r="B622" s="232"/>
      <c r="C622" s="152"/>
      <c r="D622" s="152"/>
      <c r="E622" s="152"/>
      <c r="F622" s="152"/>
      <c r="G622" s="152"/>
      <c r="H622" s="152"/>
      <c r="I622" s="152"/>
      <c r="J622" s="152"/>
      <c r="K622" s="152"/>
      <c r="L622" s="152"/>
      <c r="M622" s="152"/>
      <c r="N622" s="152"/>
      <c r="O622" s="152"/>
      <c r="P622" s="152"/>
      <c r="Q622" s="152"/>
      <c r="R622" s="152"/>
      <c r="S622" s="152"/>
      <c r="T622" s="152"/>
      <c r="U622" s="152"/>
      <c r="V622" s="152"/>
      <c r="W622" s="152"/>
      <c r="X622" s="152"/>
      <c r="Y622" s="152"/>
      <c r="Z622" s="152"/>
    </row>
    <row r="623" ht="12.75" customHeight="1">
      <c r="A623" s="152"/>
      <c r="B623" s="232"/>
      <c r="C623" s="152"/>
      <c r="D623" s="152"/>
      <c r="E623" s="152"/>
      <c r="F623" s="152"/>
      <c r="G623" s="152"/>
      <c r="H623" s="152"/>
      <c r="I623" s="152"/>
      <c r="J623" s="152"/>
      <c r="K623" s="152"/>
      <c r="L623" s="152"/>
      <c r="M623" s="152"/>
      <c r="N623" s="152"/>
      <c r="O623" s="152"/>
      <c r="P623" s="152"/>
      <c r="Q623" s="152"/>
      <c r="R623" s="152"/>
      <c r="S623" s="152"/>
      <c r="T623" s="152"/>
      <c r="U623" s="152"/>
      <c r="V623" s="152"/>
      <c r="W623" s="152"/>
      <c r="X623" s="152"/>
      <c r="Y623" s="152"/>
      <c r="Z623" s="152"/>
    </row>
    <row r="624" ht="12.75" customHeight="1">
      <c r="A624" s="152"/>
      <c r="B624" s="232"/>
      <c r="C624" s="152"/>
      <c r="D624" s="152"/>
      <c r="E624" s="152"/>
      <c r="F624" s="152"/>
      <c r="G624" s="152"/>
      <c r="H624" s="152"/>
      <c r="I624" s="152"/>
      <c r="J624" s="152"/>
      <c r="K624" s="152"/>
      <c r="L624" s="152"/>
      <c r="M624" s="152"/>
      <c r="N624" s="152"/>
      <c r="O624" s="152"/>
      <c r="P624" s="152"/>
      <c r="Q624" s="152"/>
      <c r="R624" s="152"/>
      <c r="S624" s="152"/>
      <c r="T624" s="152"/>
      <c r="U624" s="152"/>
      <c r="V624" s="152"/>
      <c r="W624" s="152"/>
      <c r="X624" s="152"/>
      <c r="Y624" s="152"/>
      <c r="Z624" s="152"/>
    </row>
    <row r="625" ht="12.75" customHeight="1">
      <c r="A625" s="152"/>
      <c r="B625" s="232"/>
      <c r="C625" s="152"/>
      <c r="D625" s="152"/>
      <c r="E625" s="152"/>
      <c r="F625" s="152"/>
      <c r="G625" s="152"/>
      <c r="H625" s="152"/>
      <c r="I625" s="152"/>
      <c r="J625" s="152"/>
      <c r="K625" s="152"/>
      <c r="L625" s="152"/>
      <c r="M625" s="152"/>
      <c r="N625" s="152"/>
      <c r="O625" s="152"/>
      <c r="P625" s="152"/>
      <c r="Q625" s="152"/>
      <c r="R625" s="152"/>
      <c r="S625" s="152"/>
      <c r="T625" s="152"/>
      <c r="U625" s="152"/>
      <c r="V625" s="152"/>
      <c r="W625" s="152"/>
      <c r="X625" s="152"/>
      <c r="Y625" s="152"/>
      <c r="Z625" s="152"/>
    </row>
    <row r="626" ht="12.75" customHeight="1">
      <c r="A626" s="152"/>
      <c r="B626" s="232"/>
      <c r="C626" s="152"/>
      <c r="D626" s="152"/>
      <c r="E626" s="152"/>
      <c r="F626" s="152"/>
      <c r="G626" s="152"/>
      <c r="H626" s="152"/>
      <c r="I626" s="152"/>
      <c r="J626" s="152"/>
      <c r="K626" s="152"/>
      <c r="L626" s="152"/>
      <c r="M626" s="152"/>
      <c r="N626" s="152"/>
      <c r="O626" s="152"/>
      <c r="P626" s="152"/>
      <c r="Q626" s="152"/>
      <c r="R626" s="152"/>
      <c r="S626" s="152"/>
      <c r="T626" s="152"/>
      <c r="U626" s="152"/>
      <c r="V626" s="152"/>
      <c r="W626" s="152"/>
      <c r="X626" s="152"/>
      <c r="Y626" s="152"/>
      <c r="Z626" s="152"/>
    </row>
    <row r="627" ht="12.75" customHeight="1">
      <c r="A627" s="152"/>
      <c r="B627" s="232"/>
      <c r="C627" s="152"/>
      <c r="D627" s="152"/>
      <c r="E627" s="152"/>
      <c r="F627" s="152"/>
      <c r="G627" s="152"/>
      <c r="H627" s="152"/>
      <c r="I627" s="152"/>
      <c r="J627" s="152"/>
      <c r="K627" s="152"/>
      <c r="L627" s="152"/>
      <c r="M627" s="152"/>
      <c r="N627" s="152"/>
      <c r="O627" s="152"/>
      <c r="P627" s="152"/>
      <c r="Q627" s="152"/>
      <c r="R627" s="152"/>
      <c r="S627" s="152"/>
      <c r="T627" s="152"/>
      <c r="U627" s="152"/>
      <c r="V627" s="152"/>
      <c r="W627" s="152"/>
      <c r="X627" s="152"/>
      <c r="Y627" s="152"/>
      <c r="Z627" s="152"/>
    </row>
    <row r="628" ht="12.75" customHeight="1">
      <c r="A628" s="152"/>
      <c r="B628" s="232"/>
      <c r="C628" s="152"/>
      <c r="D628" s="152"/>
      <c r="E628" s="152"/>
      <c r="F628" s="152"/>
      <c r="G628" s="152"/>
      <c r="H628" s="152"/>
      <c r="I628" s="152"/>
      <c r="J628" s="152"/>
      <c r="K628" s="152"/>
      <c r="L628" s="152"/>
      <c r="M628" s="152"/>
      <c r="N628" s="152"/>
      <c r="O628" s="152"/>
      <c r="P628" s="152"/>
      <c r="Q628" s="152"/>
      <c r="R628" s="152"/>
      <c r="S628" s="152"/>
      <c r="T628" s="152"/>
      <c r="U628" s="152"/>
      <c r="V628" s="152"/>
      <c r="W628" s="152"/>
      <c r="X628" s="152"/>
      <c r="Y628" s="152"/>
      <c r="Z628" s="152"/>
    </row>
    <row r="629" ht="12.75" customHeight="1">
      <c r="A629" s="152"/>
      <c r="B629" s="232"/>
      <c r="C629" s="152"/>
      <c r="D629" s="152"/>
      <c r="E629" s="152"/>
      <c r="F629" s="152"/>
      <c r="G629" s="152"/>
      <c r="H629" s="152"/>
      <c r="I629" s="152"/>
      <c r="J629" s="152"/>
      <c r="K629" s="152"/>
      <c r="L629" s="152"/>
      <c r="M629" s="152"/>
      <c r="N629" s="152"/>
      <c r="O629" s="152"/>
      <c r="P629" s="152"/>
      <c r="Q629" s="152"/>
      <c r="R629" s="152"/>
      <c r="S629" s="152"/>
      <c r="T629" s="152"/>
      <c r="U629" s="152"/>
      <c r="V629" s="152"/>
      <c r="W629" s="152"/>
      <c r="X629" s="152"/>
      <c r="Y629" s="152"/>
      <c r="Z629" s="152"/>
    </row>
    <row r="630" ht="12.75" customHeight="1">
      <c r="A630" s="152"/>
      <c r="B630" s="232"/>
      <c r="C630" s="152"/>
      <c r="D630" s="152"/>
      <c r="E630" s="152"/>
      <c r="F630" s="152"/>
      <c r="G630" s="152"/>
      <c r="H630" s="152"/>
      <c r="I630" s="152"/>
      <c r="J630" s="152"/>
      <c r="K630" s="152"/>
      <c r="L630" s="152"/>
      <c r="M630" s="152"/>
      <c r="N630" s="152"/>
      <c r="O630" s="152"/>
      <c r="P630" s="152"/>
      <c r="Q630" s="152"/>
      <c r="R630" s="152"/>
      <c r="S630" s="152"/>
      <c r="T630" s="152"/>
      <c r="U630" s="152"/>
      <c r="V630" s="152"/>
      <c r="W630" s="152"/>
      <c r="X630" s="152"/>
      <c r="Y630" s="152"/>
      <c r="Z630" s="152"/>
    </row>
    <row r="631" ht="12.75" customHeight="1">
      <c r="A631" s="152"/>
      <c r="B631" s="232"/>
      <c r="C631" s="152"/>
      <c r="D631" s="152"/>
      <c r="E631" s="152"/>
      <c r="F631" s="152"/>
      <c r="G631" s="152"/>
      <c r="H631" s="152"/>
      <c r="I631" s="152"/>
      <c r="J631" s="152"/>
      <c r="K631" s="152"/>
      <c r="L631" s="152"/>
      <c r="M631" s="152"/>
      <c r="N631" s="152"/>
      <c r="O631" s="152"/>
      <c r="P631" s="152"/>
      <c r="Q631" s="152"/>
      <c r="R631" s="152"/>
      <c r="S631" s="152"/>
      <c r="T631" s="152"/>
      <c r="U631" s="152"/>
      <c r="V631" s="152"/>
      <c r="W631" s="152"/>
      <c r="X631" s="152"/>
      <c r="Y631" s="152"/>
      <c r="Z631" s="152"/>
    </row>
    <row r="632" ht="12.75" customHeight="1">
      <c r="A632" s="152"/>
      <c r="B632" s="232"/>
      <c r="C632" s="152"/>
      <c r="D632" s="152"/>
      <c r="E632" s="152"/>
      <c r="F632" s="152"/>
      <c r="G632" s="152"/>
      <c r="H632" s="152"/>
      <c r="I632" s="152"/>
      <c r="J632" s="152"/>
      <c r="K632" s="152"/>
      <c r="L632" s="152"/>
      <c r="M632" s="152"/>
      <c r="N632" s="152"/>
      <c r="O632" s="152"/>
      <c r="P632" s="152"/>
      <c r="Q632" s="152"/>
      <c r="R632" s="152"/>
      <c r="S632" s="152"/>
      <c r="T632" s="152"/>
      <c r="U632" s="152"/>
      <c r="V632" s="152"/>
      <c r="W632" s="152"/>
      <c r="X632" s="152"/>
      <c r="Y632" s="152"/>
      <c r="Z632" s="152"/>
    </row>
    <row r="633" ht="12.75" customHeight="1">
      <c r="A633" s="152"/>
      <c r="B633" s="232"/>
      <c r="C633" s="152"/>
      <c r="D633" s="152"/>
      <c r="E633" s="152"/>
      <c r="F633" s="152"/>
      <c r="G633" s="152"/>
      <c r="H633" s="152"/>
      <c r="I633" s="152"/>
      <c r="J633" s="152"/>
      <c r="K633" s="152"/>
      <c r="L633" s="152"/>
      <c r="M633" s="152"/>
      <c r="N633" s="152"/>
      <c r="O633" s="152"/>
      <c r="P633" s="152"/>
      <c r="Q633" s="152"/>
      <c r="R633" s="152"/>
      <c r="S633" s="152"/>
      <c r="T633" s="152"/>
      <c r="U633" s="152"/>
      <c r="V633" s="152"/>
      <c r="W633" s="152"/>
      <c r="X633" s="152"/>
      <c r="Y633" s="152"/>
      <c r="Z633" s="152"/>
    </row>
    <row r="634" ht="12.75" customHeight="1">
      <c r="A634" s="152"/>
      <c r="B634" s="232"/>
      <c r="C634" s="152"/>
      <c r="D634" s="152"/>
      <c r="E634" s="152"/>
      <c r="F634" s="152"/>
      <c r="G634" s="152"/>
      <c r="H634" s="152"/>
      <c r="I634" s="152"/>
      <c r="J634" s="152"/>
      <c r="K634" s="152"/>
      <c r="L634" s="152"/>
      <c r="M634" s="152"/>
      <c r="N634" s="152"/>
      <c r="O634" s="152"/>
      <c r="P634" s="152"/>
      <c r="Q634" s="152"/>
      <c r="R634" s="152"/>
      <c r="S634" s="152"/>
      <c r="T634" s="152"/>
      <c r="U634" s="152"/>
      <c r="V634" s="152"/>
      <c r="W634" s="152"/>
      <c r="X634" s="152"/>
      <c r="Y634" s="152"/>
      <c r="Z634" s="152"/>
    </row>
    <row r="635" ht="12.75" customHeight="1">
      <c r="A635" s="152"/>
      <c r="B635" s="232"/>
      <c r="C635" s="152"/>
      <c r="D635" s="152"/>
      <c r="E635" s="152"/>
      <c r="F635" s="152"/>
      <c r="G635" s="152"/>
      <c r="H635" s="152"/>
      <c r="I635" s="152"/>
      <c r="J635" s="152"/>
      <c r="K635" s="152"/>
      <c r="L635" s="152"/>
      <c r="M635" s="152"/>
      <c r="N635" s="152"/>
      <c r="O635" s="152"/>
      <c r="P635" s="152"/>
      <c r="Q635" s="152"/>
      <c r="R635" s="152"/>
      <c r="S635" s="152"/>
      <c r="T635" s="152"/>
      <c r="U635" s="152"/>
      <c r="V635" s="152"/>
      <c r="W635" s="152"/>
      <c r="X635" s="152"/>
      <c r="Y635" s="152"/>
      <c r="Z635" s="152"/>
    </row>
    <row r="636" ht="12.75" customHeight="1">
      <c r="A636" s="152"/>
      <c r="B636" s="232"/>
      <c r="C636" s="152"/>
      <c r="D636" s="152"/>
      <c r="E636" s="152"/>
      <c r="F636" s="152"/>
      <c r="G636" s="152"/>
      <c r="H636" s="152"/>
      <c r="I636" s="152"/>
      <c r="J636" s="152"/>
      <c r="K636" s="152"/>
      <c r="L636" s="152"/>
      <c r="M636" s="152"/>
      <c r="N636" s="152"/>
      <c r="O636" s="152"/>
      <c r="P636" s="152"/>
      <c r="Q636" s="152"/>
      <c r="R636" s="152"/>
      <c r="S636" s="152"/>
      <c r="T636" s="152"/>
      <c r="U636" s="152"/>
      <c r="V636" s="152"/>
      <c r="W636" s="152"/>
      <c r="X636" s="152"/>
      <c r="Y636" s="152"/>
      <c r="Z636" s="152"/>
    </row>
    <row r="637" ht="12.75" customHeight="1">
      <c r="A637" s="152"/>
      <c r="B637" s="232"/>
      <c r="C637" s="152"/>
      <c r="D637" s="152"/>
      <c r="E637" s="152"/>
      <c r="F637" s="152"/>
      <c r="G637" s="152"/>
      <c r="H637" s="152"/>
      <c r="I637" s="152"/>
      <c r="J637" s="152"/>
      <c r="K637" s="152"/>
      <c r="L637" s="152"/>
      <c r="M637" s="152"/>
      <c r="N637" s="152"/>
      <c r="O637" s="152"/>
      <c r="P637" s="152"/>
      <c r="Q637" s="152"/>
      <c r="R637" s="152"/>
      <c r="S637" s="152"/>
      <c r="T637" s="152"/>
      <c r="U637" s="152"/>
      <c r="V637" s="152"/>
      <c r="W637" s="152"/>
      <c r="X637" s="152"/>
      <c r="Y637" s="152"/>
      <c r="Z637" s="152"/>
    </row>
    <row r="638" ht="12.75" customHeight="1">
      <c r="A638" s="152"/>
      <c r="B638" s="232"/>
      <c r="C638" s="152"/>
      <c r="D638" s="152"/>
      <c r="E638" s="152"/>
      <c r="F638" s="152"/>
      <c r="G638" s="152"/>
      <c r="H638" s="152"/>
      <c r="I638" s="152"/>
      <c r="J638" s="152"/>
      <c r="K638" s="152"/>
      <c r="L638" s="152"/>
      <c r="M638" s="152"/>
      <c r="N638" s="152"/>
      <c r="O638" s="152"/>
      <c r="P638" s="152"/>
      <c r="Q638" s="152"/>
      <c r="R638" s="152"/>
      <c r="S638" s="152"/>
      <c r="T638" s="152"/>
      <c r="U638" s="152"/>
      <c r="V638" s="152"/>
      <c r="W638" s="152"/>
      <c r="X638" s="152"/>
      <c r="Y638" s="152"/>
      <c r="Z638" s="152"/>
    </row>
    <row r="639" ht="12.75" customHeight="1">
      <c r="A639" s="152"/>
      <c r="B639" s="232"/>
      <c r="C639" s="152"/>
      <c r="D639" s="152"/>
      <c r="E639" s="152"/>
      <c r="F639" s="152"/>
      <c r="G639" s="152"/>
      <c r="H639" s="152"/>
      <c r="I639" s="152"/>
      <c r="J639" s="152"/>
      <c r="K639" s="152"/>
      <c r="L639" s="152"/>
      <c r="M639" s="152"/>
      <c r="N639" s="152"/>
      <c r="O639" s="152"/>
      <c r="P639" s="152"/>
      <c r="Q639" s="152"/>
      <c r="R639" s="152"/>
      <c r="S639" s="152"/>
      <c r="T639" s="152"/>
      <c r="U639" s="152"/>
      <c r="V639" s="152"/>
      <c r="W639" s="152"/>
      <c r="X639" s="152"/>
      <c r="Y639" s="152"/>
      <c r="Z639" s="152"/>
    </row>
    <row r="640" ht="12.75" customHeight="1">
      <c r="A640" s="152"/>
      <c r="B640" s="232"/>
      <c r="C640" s="152"/>
      <c r="D640" s="152"/>
      <c r="E640" s="152"/>
      <c r="F640" s="152"/>
      <c r="G640" s="152"/>
      <c r="H640" s="152"/>
      <c r="I640" s="152"/>
      <c r="J640" s="152"/>
      <c r="K640" s="152"/>
      <c r="L640" s="152"/>
      <c r="M640" s="152"/>
      <c r="N640" s="152"/>
      <c r="O640" s="152"/>
      <c r="P640" s="152"/>
      <c r="Q640" s="152"/>
      <c r="R640" s="152"/>
      <c r="S640" s="152"/>
      <c r="T640" s="152"/>
      <c r="U640" s="152"/>
      <c r="V640" s="152"/>
      <c r="W640" s="152"/>
      <c r="X640" s="152"/>
      <c r="Y640" s="152"/>
      <c r="Z640" s="152"/>
    </row>
    <row r="641" ht="12.75" customHeight="1">
      <c r="A641" s="152"/>
      <c r="B641" s="232"/>
      <c r="C641" s="152"/>
      <c r="D641" s="152"/>
      <c r="E641" s="152"/>
      <c r="F641" s="152"/>
      <c r="G641" s="152"/>
      <c r="H641" s="152"/>
      <c r="I641" s="152"/>
      <c r="J641" s="152"/>
      <c r="K641" s="152"/>
      <c r="L641" s="152"/>
      <c r="M641" s="152"/>
      <c r="N641" s="152"/>
      <c r="O641" s="152"/>
      <c r="P641" s="152"/>
      <c r="Q641" s="152"/>
      <c r="R641" s="152"/>
      <c r="S641" s="152"/>
      <c r="T641" s="152"/>
      <c r="U641" s="152"/>
      <c r="V641" s="152"/>
      <c r="W641" s="152"/>
      <c r="X641" s="152"/>
      <c r="Y641" s="152"/>
      <c r="Z641" s="152"/>
    </row>
    <row r="642" ht="12.75" customHeight="1">
      <c r="A642" s="152"/>
      <c r="B642" s="232"/>
      <c r="C642" s="152"/>
      <c r="D642" s="152"/>
      <c r="E642" s="152"/>
      <c r="F642" s="152"/>
      <c r="G642" s="152"/>
      <c r="H642" s="152"/>
      <c r="I642" s="152"/>
      <c r="J642" s="152"/>
      <c r="K642" s="152"/>
      <c r="L642" s="152"/>
      <c r="M642" s="152"/>
      <c r="N642" s="152"/>
      <c r="O642" s="152"/>
      <c r="P642" s="152"/>
      <c r="Q642" s="152"/>
      <c r="R642" s="152"/>
      <c r="S642" s="152"/>
      <c r="T642" s="152"/>
      <c r="U642" s="152"/>
      <c r="V642" s="152"/>
      <c r="W642" s="152"/>
      <c r="X642" s="152"/>
      <c r="Y642" s="152"/>
      <c r="Z642" s="152"/>
    </row>
    <row r="643" ht="12.75" customHeight="1">
      <c r="A643" s="152"/>
      <c r="B643" s="232"/>
      <c r="C643" s="152"/>
      <c r="D643" s="152"/>
      <c r="E643" s="152"/>
      <c r="F643" s="152"/>
      <c r="G643" s="152"/>
      <c r="H643" s="152"/>
      <c r="I643" s="152"/>
      <c r="J643" s="152"/>
      <c r="K643" s="152"/>
      <c r="L643" s="152"/>
      <c r="M643" s="152"/>
      <c r="N643" s="152"/>
      <c r="O643" s="152"/>
      <c r="P643" s="152"/>
      <c r="Q643" s="152"/>
      <c r="R643" s="152"/>
      <c r="S643" s="152"/>
      <c r="T643" s="152"/>
      <c r="U643" s="152"/>
      <c r="V643" s="152"/>
      <c r="W643" s="152"/>
      <c r="X643" s="152"/>
      <c r="Y643" s="152"/>
      <c r="Z643" s="152"/>
    </row>
    <row r="644" ht="12.75" customHeight="1">
      <c r="A644" s="152"/>
      <c r="B644" s="232"/>
      <c r="C644" s="152"/>
      <c r="D644" s="152"/>
      <c r="E644" s="152"/>
      <c r="F644" s="152"/>
      <c r="G644" s="152"/>
      <c r="H644" s="152"/>
      <c r="I644" s="152"/>
      <c r="J644" s="152"/>
      <c r="K644" s="152"/>
      <c r="L644" s="152"/>
      <c r="M644" s="152"/>
      <c r="N644" s="152"/>
      <c r="O644" s="152"/>
      <c r="P644" s="152"/>
      <c r="Q644" s="152"/>
      <c r="R644" s="152"/>
      <c r="S644" s="152"/>
      <c r="T644" s="152"/>
      <c r="U644" s="152"/>
      <c r="V644" s="152"/>
      <c r="W644" s="152"/>
      <c r="X644" s="152"/>
      <c r="Y644" s="152"/>
      <c r="Z644" s="152"/>
    </row>
    <row r="645" ht="12.75" customHeight="1">
      <c r="A645" s="152"/>
      <c r="B645" s="232"/>
      <c r="C645" s="152"/>
      <c r="D645" s="152"/>
      <c r="E645" s="152"/>
      <c r="F645" s="152"/>
      <c r="G645" s="152"/>
      <c r="H645" s="152"/>
      <c r="I645" s="152"/>
      <c r="J645" s="152"/>
      <c r="K645" s="152"/>
      <c r="L645" s="152"/>
      <c r="M645" s="152"/>
      <c r="N645" s="152"/>
      <c r="O645" s="152"/>
      <c r="P645" s="152"/>
      <c r="Q645" s="152"/>
      <c r="R645" s="152"/>
      <c r="S645" s="152"/>
      <c r="T645" s="152"/>
      <c r="U645" s="152"/>
      <c r="V645" s="152"/>
      <c r="W645" s="152"/>
      <c r="X645" s="152"/>
      <c r="Y645" s="152"/>
      <c r="Z645" s="152"/>
    </row>
    <row r="646" ht="12.75" customHeight="1">
      <c r="A646" s="152"/>
      <c r="B646" s="232"/>
      <c r="C646" s="152"/>
      <c r="D646" s="152"/>
      <c r="E646" s="152"/>
      <c r="F646" s="152"/>
      <c r="G646" s="152"/>
      <c r="H646" s="152"/>
      <c r="I646" s="152"/>
      <c r="J646" s="152"/>
      <c r="K646" s="152"/>
      <c r="L646" s="152"/>
      <c r="M646" s="152"/>
      <c r="N646" s="152"/>
      <c r="O646" s="152"/>
      <c r="P646" s="152"/>
      <c r="Q646" s="152"/>
      <c r="R646" s="152"/>
      <c r="S646" s="152"/>
      <c r="T646" s="152"/>
      <c r="U646" s="152"/>
      <c r="V646" s="152"/>
      <c r="W646" s="152"/>
      <c r="X646" s="152"/>
      <c r="Y646" s="152"/>
      <c r="Z646" s="152"/>
    </row>
    <row r="647" ht="12.75" customHeight="1">
      <c r="A647" s="152"/>
      <c r="B647" s="232"/>
      <c r="C647" s="152"/>
      <c r="D647" s="152"/>
      <c r="E647" s="152"/>
      <c r="F647" s="152"/>
      <c r="G647" s="152"/>
      <c r="H647" s="152"/>
      <c r="I647" s="152"/>
      <c r="J647" s="152"/>
      <c r="K647" s="152"/>
      <c r="L647" s="152"/>
      <c r="M647" s="152"/>
      <c r="N647" s="152"/>
      <c r="O647" s="152"/>
      <c r="P647" s="152"/>
      <c r="Q647" s="152"/>
      <c r="R647" s="152"/>
      <c r="S647" s="152"/>
      <c r="T647" s="152"/>
      <c r="U647" s="152"/>
      <c r="V647" s="152"/>
      <c r="W647" s="152"/>
      <c r="X647" s="152"/>
      <c r="Y647" s="152"/>
      <c r="Z647" s="152"/>
    </row>
    <row r="648" ht="12.75" customHeight="1">
      <c r="A648" s="152"/>
      <c r="B648" s="232"/>
      <c r="C648" s="152"/>
      <c r="D648" s="152"/>
      <c r="E648" s="152"/>
      <c r="F648" s="152"/>
      <c r="G648" s="152"/>
      <c r="H648" s="152"/>
      <c r="I648" s="152"/>
      <c r="J648" s="152"/>
      <c r="K648" s="152"/>
      <c r="L648" s="152"/>
      <c r="M648" s="152"/>
      <c r="N648" s="152"/>
      <c r="O648" s="152"/>
      <c r="P648" s="152"/>
      <c r="Q648" s="152"/>
      <c r="R648" s="152"/>
      <c r="S648" s="152"/>
      <c r="T648" s="152"/>
      <c r="U648" s="152"/>
      <c r="V648" s="152"/>
      <c r="W648" s="152"/>
      <c r="X648" s="152"/>
      <c r="Y648" s="152"/>
      <c r="Z648" s="152"/>
    </row>
    <row r="649" ht="12.75" customHeight="1">
      <c r="A649" s="152"/>
      <c r="B649" s="232"/>
      <c r="C649" s="152"/>
      <c r="D649" s="152"/>
      <c r="E649" s="152"/>
      <c r="F649" s="152"/>
      <c r="G649" s="152"/>
      <c r="H649" s="152"/>
      <c r="I649" s="152"/>
      <c r="J649" s="152"/>
      <c r="K649" s="152"/>
      <c r="L649" s="152"/>
      <c r="M649" s="152"/>
      <c r="N649" s="152"/>
      <c r="O649" s="152"/>
      <c r="P649" s="152"/>
      <c r="Q649" s="152"/>
      <c r="R649" s="152"/>
      <c r="S649" s="152"/>
      <c r="T649" s="152"/>
      <c r="U649" s="152"/>
      <c r="V649" s="152"/>
      <c r="W649" s="152"/>
      <c r="X649" s="152"/>
      <c r="Y649" s="152"/>
      <c r="Z649" s="152"/>
    </row>
    <row r="650" ht="12.75" customHeight="1">
      <c r="A650" s="152"/>
      <c r="B650" s="232"/>
      <c r="C650" s="152"/>
      <c r="D650" s="152"/>
      <c r="E650" s="152"/>
      <c r="F650" s="152"/>
      <c r="G650" s="152"/>
      <c r="H650" s="152"/>
      <c r="I650" s="152"/>
      <c r="J650" s="152"/>
      <c r="K650" s="152"/>
      <c r="L650" s="152"/>
      <c r="M650" s="152"/>
      <c r="N650" s="152"/>
      <c r="O650" s="152"/>
      <c r="P650" s="152"/>
      <c r="Q650" s="152"/>
      <c r="R650" s="152"/>
      <c r="S650" s="152"/>
      <c r="T650" s="152"/>
      <c r="U650" s="152"/>
      <c r="V650" s="152"/>
      <c r="W650" s="152"/>
      <c r="X650" s="152"/>
      <c r="Y650" s="152"/>
      <c r="Z650" s="152"/>
    </row>
    <row r="651" ht="12.75" customHeight="1">
      <c r="A651" s="152"/>
      <c r="B651" s="232"/>
      <c r="C651" s="152"/>
      <c r="D651" s="152"/>
      <c r="E651" s="152"/>
      <c r="F651" s="152"/>
      <c r="G651" s="152"/>
      <c r="H651" s="152"/>
      <c r="I651" s="152"/>
      <c r="J651" s="152"/>
      <c r="K651" s="152"/>
      <c r="L651" s="152"/>
      <c r="M651" s="152"/>
      <c r="N651" s="152"/>
      <c r="O651" s="152"/>
      <c r="P651" s="152"/>
      <c r="Q651" s="152"/>
      <c r="R651" s="152"/>
      <c r="S651" s="152"/>
      <c r="T651" s="152"/>
      <c r="U651" s="152"/>
      <c r="V651" s="152"/>
      <c r="W651" s="152"/>
      <c r="X651" s="152"/>
      <c r="Y651" s="152"/>
      <c r="Z651" s="152"/>
    </row>
    <row r="652" ht="12.75" customHeight="1">
      <c r="A652" s="152"/>
      <c r="B652" s="232"/>
      <c r="C652" s="152"/>
      <c r="D652" s="152"/>
      <c r="E652" s="152"/>
      <c r="F652" s="152"/>
      <c r="G652" s="152"/>
      <c r="H652" s="152"/>
      <c r="I652" s="152"/>
      <c r="J652" s="152"/>
      <c r="K652" s="152"/>
      <c r="L652" s="152"/>
      <c r="M652" s="152"/>
      <c r="N652" s="152"/>
      <c r="O652" s="152"/>
      <c r="P652" s="152"/>
      <c r="Q652" s="152"/>
      <c r="R652" s="152"/>
      <c r="S652" s="152"/>
      <c r="T652" s="152"/>
      <c r="U652" s="152"/>
      <c r="V652" s="152"/>
      <c r="W652" s="152"/>
      <c r="X652" s="152"/>
      <c r="Y652" s="152"/>
      <c r="Z652" s="152"/>
    </row>
    <row r="653" ht="12.75" customHeight="1">
      <c r="A653" s="152"/>
      <c r="B653" s="232"/>
      <c r="C653" s="152"/>
      <c r="D653" s="152"/>
      <c r="E653" s="152"/>
      <c r="F653" s="152"/>
      <c r="G653" s="152"/>
      <c r="H653" s="152"/>
      <c r="I653" s="152"/>
      <c r="J653" s="152"/>
      <c r="K653" s="152"/>
      <c r="L653" s="152"/>
      <c r="M653" s="152"/>
      <c r="N653" s="152"/>
      <c r="O653" s="152"/>
      <c r="P653" s="152"/>
      <c r="Q653" s="152"/>
      <c r="R653" s="152"/>
      <c r="S653" s="152"/>
      <c r="T653" s="152"/>
      <c r="U653" s="152"/>
      <c r="V653" s="152"/>
      <c r="W653" s="152"/>
      <c r="X653" s="152"/>
      <c r="Y653" s="152"/>
      <c r="Z653" s="152"/>
    </row>
    <row r="654" ht="12.75" customHeight="1">
      <c r="A654" s="152"/>
      <c r="B654" s="232"/>
      <c r="C654" s="152"/>
      <c r="D654" s="152"/>
      <c r="E654" s="152"/>
      <c r="F654" s="152"/>
      <c r="G654" s="152"/>
      <c r="H654" s="152"/>
      <c r="I654" s="152"/>
      <c r="J654" s="152"/>
      <c r="K654" s="152"/>
      <c r="L654" s="152"/>
      <c r="M654" s="152"/>
      <c r="N654" s="152"/>
      <c r="O654" s="152"/>
      <c r="P654" s="152"/>
      <c r="Q654" s="152"/>
      <c r="R654" s="152"/>
      <c r="S654" s="152"/>
      <c r="T654" s="152"/>
      <c r="U654" s="152"/>
      <c r="V654" s="152"/>
      <c r="W654" s="152"/>
      <c r="X654" s="152"/>
      <c r="Y654" s="152"/>
      <c r="Z654" s="152"/>
    </row>
    <row r="655" ht="12.75" customHeight="1">
      <c r="A655" s="152"/>
      <c r="B655" s="232"/>
      <c r="C655" s="152"/>
      <c r="D655" s="152"/>
      <c r="E655" s="152"/>
      <c r="F655" s="152"/>
      <c r="G655" s="152"/>
      <c r="H655" s="152"/>
      <c r="I655" s="152"/>
      <c r="J655" s="152"/>
      <c r="K655" s="152"/>
      <c r="L655" s="152"/>
      <c r="M655" s="152"/>
      <c r="N655" s="152"/>
      <c r="O655" s="152"/>
      <c r="P655" s="152"/>
      <c r="Q655" s="152"/>
      <c r="R655" s="152"/>
      <c r="S655" s="152"/>
      <c r="T655" s="152"/>
      <c r="U655" s="152"/>
      <c r="V655" s="152"/>
      <c r="W655" s="152"/>
      <c r="X655" s="152"/>
      <c r="Y655" s="152"/>
      <c r="Z655" s="152"/>
    </row>
    <row r="656" ht="12.75" customHeight="1">
      <c r="A656" s="152"/>
      <c r="B656" s="232"/>
      <c r="C656" s="152"/>
      <c r="D656" s="152"/>
      <c r="E656" s="152"/>
      <c r="F656" s="152"/>
      <c r="G656" s="152"/>
      <c r="H656" s="152"/>
      <c r="I656" s="152"/>
      <c r="J656" s="152"/>
      <c r="K656" s="152"/>
      <c r="L656" s="152"/>
      <c r="M656" s="152"/>
      <c r="N656" s="152"/>
      <c r="O656" s="152"/>
      <c r="P656" s="152"/>
      <c r="Q656" s="152"/>
      <c r="R656" s="152"/>
      <c r="S656" s="152"/>
      <c r="T656" s="152"/>
      <c r="U656" s="152"/>
      <c r="V656" s="152"/>
      <c r="W656" s="152"/>
      <c r="X656" s="152"/>
      <c r="Y656" s="152"/>
      <c r="Z656" s="152"/>
    </row>
    <row r="657" ht="12.75" customHeight="1">
      <c r="A657" s="152"/>
      <c r="B657" s="232"/>
      <c r="C657" s="152"/>
      <c r="D657" s="152"/>
      <c r="E657" s="152"/>
      <c r="F657" s="152"/>
      <c r="G657" s="152"/>
      <c r="H657" s="152"/>
      <c r="I657" s="152"/>
      <c r="J657" s="152"/>
      <c r="K657" s="152"/>
      <c r="L657" s="152"/>
      <c r="M657" s="152"/>
      <c r="N657" s="152"/>
      <c r="O657" s="152"/>
      <c r="P657" s="152"/>
      <c r="Q657" s="152"/>
      <c r="R657" s="152"/>
      <c r="S657" s="152"/>
      <c r="T657" s="152"/>
      <c r="U657" s="152"/>
      <c r="V657" s="152"/>
      <c r="W657" s="152"/>
      <c r="X657" s="152"/>
      <c r="Y657" s="152"/>
      <c r="Z657" s="152"/>
    </row>
    <row r="658" ht="12.75" customHeight="1">
      <c r="A658" s="152"/>
      <c r="B658" s="232"/>
      <c r="C658" s="152"/>
      <c r="D658" s="152"/>
      <c r="E658" s="152"/>
      <c r="F658" s="152"/>
      <c r="G658" s="152"/>
      <c r="H658" s="152"/>
      <c r="I658" s="152"/>
      <c r="J658" s="152"/>
      <c r="K658" s="152"/>
      <c r="L658" s="152"/>
      <c r="M658" s="152"/>
      <c r="N658" s="152"/>
      <c r="O658" s="152"/>
      <c r="P658" s="152"/>
      <c r="Q658" s="152"/>
      <c r="R658" s="152"/>
      <c r="S658" s="152"/>
      <c r="T658" s="152"/>
      <c r="U658" s="152"/>
      <c r="V658" s="152"/>
      <c r="W658" s="152"/>
      <c r="X658" s="152"/>
      <c r="Y658" s="152"/>
      <c r="Z658" s="152"/>
    </row>
    <row r="659" ht="12.75" customHeight="1">
      <c r="A659" s="152"/>
      <c r="B659" s="232"/>
      <c r="C659" s="152"/>
      <c r="D659" s="152"/>
      <c r="E659" s="152"/>
      <c r="F659" s="152"/>
      <c r="G659" s="152"/>
      <c r="H659" s="152"/>
      <c r="I659" s="152"/>
      <c r="J659" s="152"/>
      <c r="K659" s="152"/>
      <c r="L659" s="152"/>
      <c r="M659" s="152"/>
      <c r="N659" s="152"/>
      <c r="O659" s="152"/>
      <c r="P659" s="152"/>
      <c r="Q659" s="152"/>
      <c r="R659" s="152"/>
      <c r="S659" s="152"/>
      <c r="T659" s="152"/>
      <c r="U659" s="152"/>
      <c r="V659" s="152"/>
      <c r="W659" s="152"/>
      <c r="X659" s="152"/>
      <c r="Y659" s="152"/>
      <c r="Z659" s="152"/>
    </row>
    <row r="660" ht="12.75" customHeight="1">
      <c r="A660" s="152"/>
      <c r="B660" s="232"/>
      <c r="C660" s="152"/>
      <c r="D660" s="152"/>
      <c r="E660" s="152"/>
      <c r="F660" s="152"/>
      <c r="G660" s="152"/>
      <c r="H660" s="152"/>
      <c r="I660" s="152"/>
      <c r="J660" s="152"/>
      <c r="K660" s="152"/>
      <c r="L660" s="152"/>
      <c r="M660" s="152"/>
      <c r="N660" s="152"/>
      <c r="O660" s="152"/>
      <c r="P660" s="152"/>
      <c r="Q660" s="152"/>
      <c r="R660" s="152"/>
      <c r="S660" s="152"/>
      <c r="T660" s="152"/>
      <c r="U660" s="152"/>
      <c r="V660" s="152"/>
      <c r="W660" s="152"/>
      <c r="X660" s="152"/>
      <c r="Y660" s="152"/>
      <c r="Z660" s="152"/>
    </row>
    <row r="661" ht="12.75" customHeight="1">
      <c r="A661" s="152"/>
      <c r="B661" s="232"/>
      <c r="C661" s="152"/>
      <c r="D661" s="152"/>
      <c r="E661" s="152"/>
      <c r="F661" s="152"/>
      <c r="G661" s="152"/>
      <c r="H661" s="152"/>
      <c r="I661" s="152"/>
      <c r="J661" s="152"/>
      <c r="K661" s="152"/>
      <c r="L661" s="152"/>
      <c r="M661" s="152"/>
      <c r="N661" s="152"/>
      <c r="O661" s="152"/>
      <c r="P661" s="152"/>
      <c r="Q661" s="152"/>
      <c r="R661" s="152"/>
      <c r="S661" s="152"/>
      <c r="T661" s="152"/>
      <c r="U661" s="152"/>
      <c r="V661" s="152"/>
      <c r="W661" s="152"/>
      <c r="X661" s="152"/>
      <c r="Y661" s="152"/>
      <c r="Z661" s="152"/>
    </row>
    <row r="662" ht="12.75" customHeight="1">
      <c r="A662" s="152"/>
      <c r="B662" s="232"/>
      <c r="C662" s="152"/>
      <c r="D662" s="152"/>
      <c r="E662" s="152"/>
      <c r="F662" s="152"/>
      <c r="G662" s="152"/>
      <c r="H662" s="152"/>
      <c r="I662" s="152"/>
      <c r="J662" s="152"/>
      <c r="K662" s="152"/>
      <c r="L662" s="152"/>
      <c r="M662" s="152"/>
      <c r="N662" s="152"/>
      <c r="O662" s="152"/>
      <c r="P662" s="152"/>
      <c r="Q662" s="152"/>
      <c r="R662" s="152"/>
      <c r="S662" s="152"/>
      <c r="T662" s="152"/>
      <c r="U662" s="152"/>
      <c r="V662" s="152"/>
      <c r="W662" s="152"/>
      <c r="X662" s="152"/>
      <c r="Y662" s="152"/>
      <c r="Z662" s="152"/>
    </row>
    <row r="663" ht="12.75" customHeight="1">
      <c r="A663" s="152"/>
      <c r="B663" s="232"/>
      <c r="C663" s="152"/>
      <c r="D663" s="152"/>
      <c r="E663" s="152"/>
      <c r="F663" s="152"/>
      <c r="G663" s="152"/>
      <c r="H663" s="152"/>
      <c r="I663" s="152"/>
      <c r="J663" s="152"/>
      <c r="K663" s="152"/>
      <c r="L663" s="152"/>
      <c r="M663" s="152"/>
      <c r="N663" s="152"/>
      <c r="O663" s="152"/>
      <c r="P663" s="152"/>
      <c r="Q663" s="152"/>
      <c r="R663" s="152"/>
      <c r="S663" s="152"/>
      <c r="T663" s="152"/>
      <c r="U663" s="152"/>
      <c r="V663" s="152"/>
      <c r="W663" s="152"/>
      <c r="X663" s="152"/>
      <c r="Y663" s="152"/>
      <c r="Z663" s="152"/>
    </row>
    <row r="664" ht="12.75" customHeight="1">
      <c r="A664" s="152"/>
      <c r="B664" s="232"/>
      <c r="C664" s="152"/>
      <c r="D664" s="152"/>
      <c r="E664" s="152"/>
      <c r="F664" s="152"/>
      <c r="G664" s="152"/>
      <c r="H664" s="152"/>
      <c r="I664" s="152"/>
      <c r="J664" s="152"/>
      <c r="K664" s="152"/>
      <c r="L664" s="152"/>
      <c r="M664" s="152"/>
      <c r="N664" s="152"/>
      <c r="O664" s="152"/>
      <c r="P664" s="152"/>
      <c r="Q664" s="152"/>
      <c r="R664" s="152"/>
      <c r="S664" s="152"/>
      <c r="T664" s="152"/>
      <c r="U664" s="152"/>
      <c r="V664" s="152"/>
      <c r="W664" s="152"/>
      <c r="X664" s="152"/>
      <c r="Y664" s="152"/>
      <c r="Z664" s="152"/>
    </row>
    <row r="665" ht="12.75" customHeight="1">
      <c r="A665" s="152"/>
      <c r="B665" s="232"/>
      <c r="C665" s="152"/>
      <c r="D665" s="152"/>
      <c r="E665" s="152"/>
      <c r="F665" s="152"/>
      <c r="G665" s="152"/>
      <c r="H665" s="152"/>
      <c r="I665" s="152"/>
      <c r="J665" s="152"/>
      <c r="K665" s="152"/>
      <c r="L665" s="152"/>
      <c r="M665" s="152"/>
      <c r="N665" s="152"/>
      <c r="O665" s="152"/>
      <c r="P665" s="152"/>
      <c r="Q665" s="152"/>
      <c r="R665" s="152"/>
      <c r="S665" s="152"/>
      <c r="T665" s="152"/>
      <c r="U665" s="152"/>
      <c r="V665" s="152"/>
      <c r="W665" s="152"/>
      <c r="X665" s="152"/>
      <c r="Y665" s="152"/>
      <c r="Z665" s="152"/>
    </row>
    <row r="666" ht="12.75" customHeight="1">
      <c r="A666" s="152"/>
      <c r="B666" s="232"/>
      <c r="C666" s="152"/>
      <c r="D666" s="152"/>
      <c r="E666" s="152"/>
      <c r="F666" s="152"/>
      <c r="G666" s="152"/>
      <c r="H666" s="152"/>
      <c r="I666" s="152"/>
      <c r="J666" s="152"/>
      <c r="K666" s="152"/>
      <c r="L666" s="152"/>
      <c r="M666" s="152"/>
      <c r="N666" s="152"/>
      <c r="O666" s="152"/>
      <c r="P666" s="152"/>
      <c r="Q666" s="152"/>
      <c r="R666" s="152"/>
      <c r="S666" s="152"/>
      <c r="T666" s="152"/>
      <c r="U666" s="152"/>
      <c r="V666" s="152"/>
      <c r="W666" s="152"/>
      <c r="X666" s="152"/>
      <c r="Y666" s="152"/>
      <c r="Z666" s="152"/>
    </row>
    <row r="667" ht="12.75" customHeight="1">
      <c r="A667" s="152"/>
      <c r="B667" s="232"/>
      <c r="C667" s="152"/>
      <c r="D667" s="152"/>
      <c r="E667" s="152"/>
      <c r="F667" s="152"/>
      <c r="G667" s="152"/>
      <c r="H667" s="152"/>
      <c r="I667" s="152"/>
      <c r="J667" s="152"/>
      <c r="K667" s="152"/>
      <c r="L667" s="152"/>
      <c r="M667" s="152"/>
      <c r="N667" s="152"/>
      <c r="O667" s="152"/>
      <c r="P667" s="152"/>
      <c r="Q667" s="152"/>
      <c r="R667" s="152"/>
      <c r="S667" s="152"/>
      <c r="T667" s="152"/>
      <c r="U667" s="152"/>
      <c r="V667" s="152"/>
      <c r="W667" s="152"/>
      <c r="X667" s="152"/>
      <c r="Y667" s="152"/>
      <c r="Z667" s="152"/>
    </row>
    <row r="668" ht="12.75" customHeight="1">
      <c r="A668" s="152"/>
      <c r="B668" s="232"/>
      <c r="C668" s="152"/>
      <c r="D668" s="152"/>
      <c r="E668" s="152"/>
      <c r="F668" s="152"/>
      <c r="G668" s="152"/>
      <c r="H668" s="152"/>
      <c r="I668" s="152"/>
      <c r="J668" s="152"/>
      <c r="K668" s="152"/>
      <c r="L668" s="152"/>
      <c r="M668" s="152"/>
      <c r="N668" s="152"/>
      <c r="O668" s="152"/>
      <c r="P668" s="152"/>
      <c r="Q668" s="152"/>
      <c r="R668" s="152"/>
      <c r="S668" s="152"/>
      <c r="T668" s="152"/>
      <c r="U668" s="152"/>
      <c r="V668" s="152"/>
      <c r="W668" s="152"/>
      <c r="X668" s="152"/>
      <c r="Y668" s="152"/>
      <c r="Z668" s="152"/>
    </row>
    <row r="669" ht="12.75" customHeight="1">
      <c r="A669" s="152"/>
      <c r="B669" s="232"/>
      <c r="C669" s="152"/>
      <c r="D669" s="152"/>
      <c r="E669" s="152"/>
      <c r="F669" s="152"/>
      <c r="G669" s="152"/>
      <c r="H669" s="152"/>
      <c r="I669" s="152"/>
      <c r="J669" s="152"/>
      <c r="K669" s="152"/>
      <c r="L669" s="152"/>
      <c r="M669" s="152"/>
      <c r="N669" s="152"/>
      <c r="O669" s="152"/>
      <c r="P669" s="152"/>
      <c r="Q669" s="152"/>
      <c r="R669" s="152"/>
      <c r="S669" s="152"/>
      <c r="T669" s="152"/>
      <c r="U669" s="152"/>
      <c r="V669" s="152"/>
      <c r="W669" s="152"/>
      <c r="X669" s="152"/>
      <c r="Y669" s="152"/>
      <c r="Z669" s="152"/>
    </row>
    <row r="670" ht="12.75" customHeight="1">
      <c r="A670" s="152"/>
      <c r="B670" s="232"/>
      <c r="C670" s="152"/>
      <c r="D670" s="152"/>
      <c r="E670" s="152"/>
      <c r="F670" s="152"/>
      <c r="G670" s="152"/>
      <c r="H670" s="152"/>
      <c r="I670" s="152"/>
      <c r="J670" s="152"/>
      <c r="K670" s="152"/>
      <c r="L670" s="152"/>
      <c r="M670" s="152"/>
      <c r="N670" s="152"/>
      <c r="O670" s="152"/>
      <c r="P670" s="152"/>
      <c r="Q670" s="152"/>
      <c r="R670" s="152"/>
      <c r="S670" s="152"/>
      <c r="T670" s="152"/>
      <c r="U670" s="152"/>
      <c r="V670" s="152"/>
      <c r="W670" s="152"/>
      <c r="X670" s="152"/>
      <c r="Y670" s="152"/>
      <c r="Z670" s="152"/>
    </row>
    <row r="671" ht="12.75" customHeight="1">
      <c r="A671" s="152"/>
      <c r="B671" s="232"/>
      <c r="C671" s="152"/>
      <c r="D671" s="152"/>
      <c r="E671" s="152"/>
      <c r="F671" s="152"/>
      <c r="G671" s="152"/>
      <c r="H671" s="152"/>
      <c r="I671" s="152"/>
      <c r="J671" s="152"/>
      <c r="K671" s="152"/>
      <c r="L671" s="152"/>
      <c r="M671" s="152"/>
      <c r="N671" s="152"/>
      <c r="O671" s="152"/>
      <c r="P671" s="152"/>
      <c r="Q671" s="152"/>
      <c r="R671" s="152"/>
      <c r="S671" s="152"/>
      <c r="T671" s="152"/>
      <c r="U671" s="152"/>
      <c r="V671" s="152"/>
      <c r="W671" s="152"/>
      <c r="X671" s="152"/>
      <c r="Y671" s="152"/>
      <c r="Z671" s="152"/>
    </row>
    <row r="672" ht="12.75" customHeight="1">
      <c r="A672" s="152"/>
      <c r="B672" s="232"/>
      <c r="C672" s="152"/>
      <c r="D672" s="152"/>
      <c r="E672" s="152"/>
      <c r="F672" s="152"/>
      <c r="G672" s="152"/>
      <c r="H672" s="152"/>
      <c r="I672" s="152"/>
      <c r="J672" s="152"/>
      <c r="K672" s="152"/>
      <c r="L672" s="152"/>
      <c r="M672" s="152"/>
      <c r="N672" s="152"/>
      <c r="O672" s="152"/>
      <c r="P672" s="152"/>
      <c r="Q672" s="152"/>
      <c r="R672" s="152"/>
      <c r="S672" s="152"/>
      <c r="T672" s="152"/>
      <c r="U672" s="152"/>
      <c r="V672" s="152"/>
      <c r="W672" s="152"/>
      <c r="X672" s="152"/>
      <c r="Y672" s="152"/>
      <c r="Z672" s="152"/>
    </row>
    <row r="673" ht="12.75" customHeight="1">
      <c r="A673" s="152"/>
      <c r="B673" s="232"/>
      <c r="C673" s="152"/>
      <c r="D673" s="152"/>
      <c r="E673" s="152"/>
      <c r="F673" s="152"/>
      <c r="G673" s="152"/>
      <c r="H673" s="152"/>
      <c r="I673" s="152"/>
      <c r="J673" s="152"/>
      <c r="K673" s="152"/>
      <c r="L673" s="152"/>
      <c r="M673" s="152"/>
      <c r="N673" s="152"/>
      <c r="O673" s="152"/>
      <c r="P673" s="152"/>
      <c r="Q673" s="152"/>
      <c r="R673" s="152"/>
      <c r="S673" s="152"/>
      <c r="T673" s="152"/>
      <c r="U673" s="152"/>
      <c r="V673" s="152"/>
      <c r="W673" s="152"/>
      <c r="X673" s="152"/>
      <c r="Y673" s="152"/>
      <c r="Z673" s="152"/>
    </row>
    <row r="674" ht="12.75" customHeight="1">
      <c r="A674" s="152"/>
      <c r="B674" s="232"/>
      <c r="C674" s="152"/>
      <c r="D674" s="152"/>
      <c r="E674" s="152"/>
      <c r="F674" s="152"/>
      <c r="G674" s="152"/>
      <c r="H674" s="152"/>
      <c r="I674" s="152"/>
      <c r="J674" s="152"/>
      <c r="K674" s="152"/>
      <c r="L674" s="152"/>
      <c r="M674" s="152"/>
      <c r="N674" s="152"/>
      <c r="O674" s="152"/>
      <c r="P674" s="152"/>
      <c r="Q674" s="152"/>
      <c r="R674" s="152"/>
      <c r="S674" s="152"/>
      <c r="T674" s="152"/>
      <c r="U674" s="152"/>
      <c r="V674" s="152"/>
      <c r="W674" s="152"/>
      <c r="X674" s="152"/>
      <c r="Y674" s="152"/>
      <c r="Z674" s="152"/>
    </row>
    <row r="675" ht="12.75" customHeight="1">
      <c r="A675" s="152"/>
      <c r="B675" s="232"/>
      <c r="C675" s="152"/>
      <c r="D675" s="152"/>
      <c r="E675" s="152"/>
      <c r="F675" s="152"/>
      <c r="G675" s="152"/>
      <c r="H675" s="152"/>
      <c r="I675" s="152"/>
      <c r="J675" s="152"/>
      <c r="K675" s="152"/>
      <c r="L675" s="152"/>
      <c r="M675" s="152"/>
      <c r="N675" s="152"/>
      <c r="O675" s="152"/>
      <c r="P675" s="152"/>
      <c r="Q675" s="152"/>
      <c r="R675" s="152"/>
      <c r="S675" s="152"/>
      <c r="T675" s="152"/>
      <c r="U675" s="152"/>
      <c r="V675" s="152"/>
      <c r="W675" s="152"/>
      <c r="X675" s="152"/>
      <c r="Y675" s="152"/>
      <c r="Z675" s="152"/>
    </row>
    <row r="676" ht="12.75" customHeight="1">
      <c r="A676" s="152"/>
      <c r="B676" s="232"/>
      <c r="C676" s="152"/>
      <c r="D676" s="152"/>
      <c r="E676" s="152"/>
      <c r="F676" s="152"/>
      <c r="G676" s="152"/>
      <c r="H676" s="152"/>
      <c r="I676" s="152"/>
      <c r="J676" s="152"/>
      <c r="K676" s="152"/>
      <c r="L676" s="152"/>
      <c r="M676" s="152"/>
      <c r="N676" s="152"/>
      <c r="O676" s="152"/>
      <c r="P676" s="152"/>
      <c r="Q676" s="152"/>
      <c r="R676" s="152"/>
      <c r="S676" s="152"/>
      <c r="T676" s="152"/>
      <c r="U676" s="152"/>
      <c r="V676" s="152"/>
      <c r="W676" s="152"/>
      <c r="X676" s="152"/>
      <c r="Y676" s="152"/>
      <c r="Z676" s="152"/>
    </row>
    <row r="677" ht="12.75" customHeight="1">
      <c r="A677" s="152"/>
      <c r="B677" s="232"/>
      <c r="C677" s="152"/>
      <c r="D677" s="152"/>
      <c r="E677" s="152"/>
      <c r="F677" s="152"/>
      <c r="G677" s="152"/>
      <c r="H677" s="152"/>
      <c r="I677" s="152"/>
      <c r="J677" s="152"/>
      <c r="K677" s="152"/>
      <c r="L677" s="152"/>
      <c r="M677" s="152"/>
      <c r="N677" s="152"/>
      <c r="O677" s="152"/>
      <c r="P677" s="152"/>
      <c r="Q677" s="152"/>
      <c r="R677" s="152"/>
      <c r="S677" s="152"/>
      <c r="T677" s="152"/>
      <c r="U677" s="152"/>
      <c r="V677" s="152"/>
      <c r="W677" s="152"/>
      <c r="X677" s="152"/>
      <c r="Y677" s="152"/>
      <c r="Z677" s="152"/>
    </row>
    <row r="678" ht="12.75" customHeight="1">
      <c r="A678" s="152"/>
      <c r="B678" s="232"/>
      <c r="C678" s="152"/>
      <c r="D678" s="152"/>
      <c r="E678" s="152"/>
      <c r="F678" s="152"/>
      <c r="G678" s="152"/>
      <c r="H678" s="152"/>
      <c r="I678" s="152"/>
      <c r="J678" s="152"/>
      <c r="K678" s="152"/>
      <c r="L678" s="152"/>
      <c r="M678" s="152"/>
      <c r="N678" s="152"/>
      <c r="O678" s="152"/>
      <c r="P678" s="152"/>
      <c r="Q678" s="152"/>
      <c r="R678" s="152"/>
      <c r="S678" s="152"/>
      <c r="T678" s="152"/>
      <c r="U678" s="152"/>
      <c r="V678" s="152"/>
      <c r="W678" s="152"/>
      <c r="X678" s="152"/>
      <c r="Y678" s="152"/>
      <c r="Z678" s="152"/>
    </row>
    <row r="679" ht="12.75" customHeight="1">
      <c r="A679" s="152"/>
      <c r="B679" s="232"/>
      <c r="C679" s="152"/>
      <c r="D679" s="152"/>
      <c r="E679" s="152"/>
      <c r="F679" s="152"/>
      <c r="G679" s="152"/>
      <c r="H679" s="152"/>
      <c r="I679" s="152"/>
      <c r="J679" s="152"/>
      <c r="K679" s="152"/>
      <c r="L679" s="152"/>
      <c r="M679" s="152"/>
      <c r="N679" s="152"/>
      <c r="O679" s="152"/>
      <c r="P679" s="152"/>
      <c r="Q679" s="152"/>
      <c r="R679" s="152"/>
      <c r="S679" s="152"/>
      <c r="T679" s="152"/>
      <c r="U679" s="152"/>
      <c r="V679" s="152"/>
      <c r="W679" s="152"/>
      <c r="X679" s="152"/>
      <c r="Y679" s="152"/>
      <c r="Z679" s="152"/>
    </row>
    <row r="680" ht="12.75" customHeight="1">
      <c r="A680" s="152"/>
      <c r="B680" s="232"/>
      <c r="C680" s="152"/>
      <c r="D680" s="152"/>
      <c r="E680" s="152"/>
      <c r="F680" s="152"/>
      <c r="G680" s="152"/>
      <c r="H680" s="152"/>
      <c r="I680" s="152"/>
      <c r="J680" s="152"/>
      <c r="K680" s="152"/>
      <c r="L680" s="152"/>
      <c r="M680" s="152"/>
      <c r="N680" s="152"/>
      <c r="O680" s="152"/>
      <c r="P680" s="152"/>
      <c r="Q680" s="152"/>
      <c r="R680" s="152"/>
      <c r="S680" s="152"/>
      <c r="T680" s="152"/>
      <c r="U680" s="152"/>
      <c r="V680" s="152"/>
      <c r="W680" s="152"/>
      <c r="X680" s="152"/>
      <c r="Y680" s="152"/>
      <c r="Z680" s="152"/>
    </row>
    <row r="681" ht="12.75" customHeight="1">
      <c r="A681" s="152"/>
      <c r="B681" s="232"/>
      <c r="C681" s="152"/>
      <c r="D681" s="152"/>
      <c r="E681" s="152"/>
      <c r="F681" s="152"/>
      <c r="G681" s="152"/>
      <c r="H681" s="152"/>
      <c r="I681" s="152"/>
      <c r="J681" s="152"/>
      <c r="K681" s="152"/>
      <c r="L681" s="152"/>
      <c r="M681" s="152"/>
      <c r="N681" s="152"/>
      <c r="O681" s="152"/>
      <c r="P681" s="152"/>
      <c r="Q681" s="152"/>
      <c r="R681" s="152"/>
      <c r="S681" s="152"/>
      <c r="T681" s="152"/>
      <c r="U681" s="152"/>
      <c r="V681" s="152"/>
      <c r="W681" s="152"/>
      <c r="X681" s="152"/>
      <c r="Y681" s="152"/>
      <c r="Z681" s="152"/>
    </row>
    <row r="682" ht="12.75" customHeight="1">
      <c r="A682" s="152"/>
      <c r="B682" s="232"/>
      <c r="C682" s="152"/>
      <c r="D682" s="152"/>
      <c r="E682" s="152"/>
      <c r="F682" s="152"/>
      <c r="G682" s="152"/>
      <c r="H682" s="152"/>
      <c r="I682" s="152"/>
      <c r="J682" s="152"/>
      <c r="K682" s="152"/>
      <c r="L682" s="152"/>
      <c r="M682" s="152"/>
      <c r="N682" s="152"/>
      <c r="O682" s="152"/>
      <c r="P682" s="152"/>
      <c r="Q682" s="152"/>
      <c r="R682" s="152"/>
      <c r="S682" s="152"/>
      <c r="T682" s="152"/>
      <c r="U682" s="152"/>
      <c r="V682" s="152"/>
      <c r="W682" s="152"/>
      <c r="X682" s="152"/>
      <c r="Y682" s="152"/>
      <c r="Z682" s="152"/>
    </row>
    <row r="683" ht="12.75" customHeight="1">
      <c r="A683" s="152"/>
      <c r="B683" s="232"/>
      <c r="C683" s="152"/>
      <c r="D683" s="152"/>
      <c r="E683" s="152"/>
      <c r="F683" s="152"/>
      <c r="G683" s="152"/>
      <c r="H683" s="152"/>
      <c r="I683" s="152"/>
      <c r="J683" s="152"/>
      <c r="K683" s="152"/>
      <c r="L683" s="152"/>
      <c r="M683" s="152"/>
      <c r="N683" s="152"/>
      <c r="O683" s="152"/>
      <c r="P683" s="152"/>
      <c r="Q683" s="152"/>
      <c r="R683" s="152"/>
      <c r="S683" s="152"/>
      <c r="T683" s="152"/>
      <c r="U683" s="152"/>
      <c r="V683" s="152"/>
      <c r="W683" s="152"/>
      <c r="X683" s="152"/>
      <c r="Y683" s="152"/>
      <c r="Z683" s="152"/>
    </row>
    <row r="684" ht="12.75" customHeight="1">
      <c r="A684" s="152"/>
      <c r="B684" s="232"/>
      <c r="C684" s="152"/>
      <c r="D684" s="152"/>
      <c r="E684" s="152"/>
      <c r="F684" s="152"/>
      <c r="G684" s="152"/>
      <c r="H684" s="152"/>
      <c r="I684" s="152"/>
      <c r="J684" s="152"/>
      <c r="K684" s="152"/>
      <c r="L684" s="152"/>
      <c r="M684" s="152"/>
      <c r="N684" s="152"/>
      <c r="O684" s="152"/>
      <c r="P684" s="152"/>
      <c r="Q684" s="152"/>
      <c r="R684" s="152"/>
      <c r="S684" s="152"/>
      <c r="T684" s="152"/>
      <c r="U684" s="152"/>
      <c r="V684" s="152"/>
      <c r="W684" s="152"/>
      <c r="X684" s="152"/>
      <c r="Y684" s="152"/>
      <c r="Z684" s="152"/>
    </row>
    <row r="685" ht="12.75" customHeight="1">
      <c r="A685" s="152"/>
      <c r="B685" s="232"/>
      <c r="C685" s="152"/>
      <c r="D685" s="152"/>
      <c r="E685" s="152"/>
      <c r="F685" s="152"/>
      <c r="G685" s="152"/>
      <c r="H685" s="152"/>
      <c r="I685" s="152"/>
      <c r="J685" s="152"/>
      <c r="K685" s="152"/>
      <c r="L685" s="152"/>
      <c r="M685" s="152"/>
      <c r="N685" s="152"/>
      <c r="O685" s="152"/>
      <c r="P685" s="152"/>
      <c r="Q685" s="152"/>
      <c r="R685" s="152"/>
      <c r="S685" s="152"/>
      <c r="T685" s="152"/>
      <c r="U685" s="152"/>
      <c r="V685" s="152"/>
      <c r="W685" s="152"/>
      <c r="X685" s="152"/>
      <c r="Y685" s="152"/>
      <c r="Z685" s="152"/>
    </row>
    <row r="686" ht="12.75" customHeight="1">
      <c r="A686" s="152"/>
      <c r="B686" s="232"/>
      <c r="C686" s="152"/>
      <c r="D686" s="152"/>
      <c r="E686" s="152"/>
      <c r="F686" s="152"/>
      <c r="G686" s="152"/>
      <c r="H686" s="152"/>
      <c r="I686" s="152"/>
      <c r="J686" s="152"/>
      <c r="K686" s="152"/>
      <c r="L686" s="152"/>
      <c r="M686" s="152"/>
      <c r="N686" s="152"/>
      <c r="O686" s="152"/>
      <c r="P686" s="152"/>
      <c r="Q686" s="152"/>
      <c r="R686" s="152"/>
      <c r="S686" s="152"/>
      <c r="T686" s="152"/>
      <c r="U686" s="152"/>
      <c r="V686" s="152"/>
      <c r="W686" s="152"/>
      <c r="X686" s="152"/>
      <c r="Y686" s="152"/>
      <c r="Z686" s="152"/>
    </row>
    <row r="687" ht="12.75" customHeight="1">
      <c r="A687" s="152"/>
      <c r="B687" s="232"/>
      <c r="C687" s="152"/>
      <c r="D687" s="152"/>
      <c r="E687" s="152"/>
      <c r="F687" s="152"/>
      <c r="G687" s="152"/>
      <c r="H687" s="152"/>
      <c r="I687" s="152"/>
      <c r="J687" s="152"/>
      <c r="K687" s="152"/>
      <c r="L687" s="152"/>
      <c r="M687" s="152"/>
      <c r="N687" s="152"/>
      <c r="O687" s="152"/>
      <c r="P687" s="152"/>
      <c r="Q687" s="152"/>
      <c r="R687" s="152"/>
      <c r="S687" s="152"/>
      <c r="T687" s="152"/>
      <c r="U687" s="152"/>
      <c r="V687" s="152"/>
      <c r="W687" s="152"/>
      <c r="X687" s="152"/>
      <c r="Y687" s="152"/>
      <c r="Z687" s="152"/>
    </row>
    <row r="688" ht="12.75" customHeight="1">
      <c r="A688" s="152"/>
      <c r="B688" s="232"/>
      <c r="C688" s="152"/>
      <c r="D688" s="152"/>
      <c r="E688" s="152"/>
      <c r="F688" s="152"/>
      <c r="G688" s="152"/>
      <c r="H688" s="152"/>
      <c r="I688" s="152"/>
      <c r="J688" s="152"/>
      <c r="K688" s="152"/>
      <c r="L688" s="152"/>
      <c r="M688" s="152"/>
      <c r="N688" s="152"/>
      <c r="O688" s="152"/>
      <c r="P688" s="152"/>
      <c r="Q688" s="152"/>
      <c r="R688" s="152"/>
      <c r="S688" s="152"/>
      <c r="T688" s="152"/>
      <c r="U688" s="152"/>
      <c r="V688" s="152"/>
      <c r="W688" s="152"/>
      <c r="X688" s="152"/>
      <c r="Y688" s="152"/>
      <c r="Z688" s="152"/>
    </row>
    <row r="689" ht="12.75" customHeight="1">
      <c r="A689" s="152"/>
      <c r="B689" s="232"/>
      <c r="C689" s="152"/>
      <c r="D689" s="152"/>
      <c r="E689" s="152"/>
      <c r="F689" s="152"/>
      <c r="G689" s="152"/>
      <c r="H689" s="152"/>
      <c r="I689" s="152"/>
      <c r="J689" s="152"/>
      <c r="K689" s="152"/>
      <c r="L689" s="152"/>
      <c r="M689" s="152"/>
      <c r="N689" s="152"/>
      <c r="O689" s="152"/>
      <c r="P689" s="152"/>
      <c r="Q689" s="152"/>
      <c r="R689" s="152"/>
      <c r="S689" s="152"/>
      <c r="T689" s="152"/>
      <c r="U689" s="152"/>
      <c r="V689" s="152"/>
      <c r="W689" s="152"/>
      <c r="X689" s="152"/>
      <c r="Y689" s="152"/>
      <c r="Z689" s="152"/>
    </row>
    <row r="690" ht="12.75" customHeight="1">
      <c r="A690" s="152"/>
      <c r="B690" s="232"/>
      <c r="C690" s="152"/>
      <c r="D690" s="152"/>
      <c r="E690" s="152"/>
      <c r="F690" s="152"/>
      <c r="G690" s="152"/>
      <c r="H690" s="152"/>
      <c r="I690" s="152"/>
      <c r="J690" s="152"/>
      <c r="K690" s="152"/>
      <c r="L690" s="152"/>
      <c r="M690" s="152"/>
      <c r="N690" s="152"/>
      <c r="O690" s="152"/>
      <c r="P690" s="152"/>
      <c r="Q690" s="152"/>
      <c r="R690" s="152"/>
      <c r="S690" s="152"/>
      <c r="T690" s="152"/>
      <c r="U690" s="152"/>
      <c r="V690" s="152"/>
      <c r="W690" s="152"/>
      <c r="X690" s="152"/>
      <c r="Y690" s="152"/>
      <c r="Z690" s="152"/>
    </row>
    <row r="691" ht="12.75" customHeight="1">
      <c r="A691" s="152"/>
      <c r="B691" s="232"/>
      <c r="C691" s="152"/>
      <c r="D691" s="152"/>
      <c r="E691" s="152"/>
      <c r="F691" s="152"/>
      <c r="G691" s="152"/>
      <c r="H691" s="152"/>
      <c r="I691" s="152"/>
      <c r="J691" s="152"/>
      <c r="K691" s="152"/>
      <c r="L691" s="152"/>
      <c r="M691" s="152"/>
      <c r="N691" s="152"/>
      <c r="O691" s="152"/>
      <c r="P691" s="152"/>
      <c r="Q691" s="152"/>
      <c r="R691" s="152"/>
      <c r="S691" s="152"/>
      <c r="T691" s="152"/>
      <c r="U691" s="152"/>
      <c r="V691" s="152"/>
      <c r="W691" s="152"/>
      <c r="X691" s="152"/>
      <c r="Y691" s="152"/>
      <c r="Z691" s="152"/>
    </row>
    <row r="692" ht="12.75" customHeight="1">
      <c r="A692" s="152"/>
      <c r="B692" s="232"/>
      <c r="C692" s="152"/>
      <c r="D692" s="152"/>
      <c r="E692" s="152"/>
      <c r="F692" s="152"/>
      <c r="G692" s="152"/>
      <c r="H692" s="152"/>
      <c r="I692" s="152"/>
      <c r="J692" s="152"/>
      <c r="K692" s="152"/>
      <c r="L692" s="152"/>
      <c r="M692" s="152"/>
      <c r="N692" s="152"/>
      <c r="O692" s="152"/>
      <c r="P692" s="152"/>
      <c r="Q692" s="152"/>
      <c r="R692" s="152"/>
      <c r="S692" s="152"/>
      <c r="T692" s="152"/>
      <c r="U692" s="152"/>
      <c r="V692" s="152"/>
      <c r="W692" s="152"/>
      <c r="X692" s="152"/>
      <c r="Y692" s="152"/>
      <c r="Z692" s="152"/>
    </row>
    <row r="693" ht="12.75" customHeight="1">
      <c r="A693" s="152"/>
      <c r="B693" s="232"/>
      <c r="C693" s="152"/>
      <c r="D693" s="152"/>
      <c r="E693" s="152"/>
      <c r="F693" s="152"/>
      <c r="G693" s="152"/>
      <c r="H693" s="152"/>
      <c r="I693" s="152"/>
      <c r="J693" s="152"/>
      <c r="K693" s="152"/>
      <c r="L693" s="152"/>
      <c r="M693" s="152"/>
      <c r="N693" s="152"/>
      <c r="O693" s="152"/>
      <c r="P693" s="152"/>
      <c r="Q693" s="152"/>
      <c r="R693" s="152"/>
      <c r="S693" s="152"/>
      <c r="T693" s="152"/>
      <c r="U693" s="152"/>
      <c r="V693" s="152"/>
      <c r="W693" s="152"/>
      <c r="X693" s="152"/>
      <c r="Y693" s="152"/>
      <c r="Z693" s="152"/>
    </row>
    <row r="694" ht="12.75" customHeight="1">
      <c r="A694" s="152"/>
      <c r="B694" s="232"/>
      <c r="C694" s="152"/>
      <c r="D694" s="152"/>
      <c r="E694" s="152"/>
      <c r="F694" s="152"/>
      <c r="G694" s="152"/>
      <c r="H694" s="152"/>
      <c r="I694" s="152"/>
      <c r="J694" s="152"/>
      <c r="K694" s="152"/>
      <c r="L694" s="152"/>
      <c r="M694" s="152"/>
      <c r="N694" s="152"/>
      <c r="O694" s="152"/>
      <c r="P694" s="152"/>
      <c r="Q694" s="152"/>
      <c r="R694" s="152"/>
      <c r="S694" s="152"/>
      <c r="T694" s="152"/>
      <c r="U694" s="152"/>
      <c r="V694" s="152"/>
      <c r="W694" s="152"/>
      <c r="X694" s="152"/>
      <c r="Y694" s="152"/>
      <c r="Z694" s="152"/>
    </row>
    <row r="695" ht="12.75" customHeight="1">
      <c r="A695" s="152"/>
      <c r="B695" s="232"/>
      <c r="C695" s="152"/>
      <c r="D695" s="152"/>
      <c r="E695" s="152"/>
      <c r="F695" s="152"/>
      <c r="G695" s="152"/>
      <c r="H695" s="152"/>
      <c r="I695" s="152"/>
      <c r="J695" s="152"/>
      <c r="K695" s="152"/>
      <c r="L695" s="152"/>
      <c r="M695" s="152"/>
      <c r="N695" s="152"/>
      <c r="O695" s="152"/>
      <c r="P695" s="152"/>
      <c r="Q695" s="152"/>
      <c r="R695" s="152"/>
      <c r="S695" s="152"/>
      <c r="T695" s="152"/>
      <c r="U695" s="152"/>
      <c r="V695" s="152"/>
      <c r="W695" s="152"/>
      <c r="X695" s="152"/>
      <c r="Y695" s="152"/>
      <c r="Z695" s="152"/>
    </row>
    <row r="696" ht="12.75" customHeight="1">
      <c r="A696" s="152"/>
      <c r="B696" s="232"/>
      <c r="C696" s="152"/>
      <c r="D696" s="152"/>
      <c r="E696" s="152"/>
      <c r="F696" s="152"/>
      <c r="G696" s="152"/>
      <c r="H696" s="152"/>
      <c r="I696" s="152"/>
      <c r="J696" s="152"/>
      <c r="K696" s="152"/>
      <c r="L696" s="152"/>
      <c r="M696" s="152"/>
      <c r="N696" s="152"/>
      <c r="O696" s="152"/>
      <c r="P696" s="152"/>
      <c r="Q696" s="152"/>
      <c r="R696" s="152"/>
      <c r="S696" s="152"/>
      <c r="T696" s="152"/>
      <c r="U696" s="152"/>
      <c r="V696" s="152"/>
      <c r="W696" s="152"/>
      <c r="X696" s="152"/>
      <c r="Y696" s="152"/>
      <c r="Z696" s="152"/>
    </row>
    <row r="697" ht="12.75" customHeight="1">
      <c r="A697" s="152"/>
      <c r="B697" s="232"/>
      <c r="C697" s="152"/>
      <c r="D697" s="152"/>
      <c r="E697" s="152"/>
      <c r="F697" s="152"/>
      <c r="G697" s="152"/>
      <c r="H697" s="152"/>
      <c r="I697" s="152"/>
      <c r="J697" s="152"/>
      <c r="K697" s="152"/>
      <c r="L697" s="152"/>
      <c r="M697" s="152"/>
      <c r="N697" s="152"/>
      <c r="O697" s="152"/>
      <c r="P697" s="152"/>
      <c r="Q697" s="152"/>
      <c r="R697" s="152"/>
      <c r="S697" s="152"/>
      <c r="T697" s="152"/>
      <c r="U697" s="152"/>
      <c r="V697" s="152"/>
      <c r="W697" s="152"/>
      <c r="X697" s="152"/>
      <c r="Y697" s="152"/>
      <c r="Z697" s="152"/>
    </row>
    <row r="698" ht="12.75" customHeight="1">
      <c r="A698" s="152"/>
      <c r="B698" s="232"/>
      <c r="C698" s="152"/>
      <c r="D698" s="152"/>
      <c r="E698" s="152"/>
      <c r="F698" s="152"/>
      <c r="G698" s="152"/>
      <c r="H698" s="152"/>
      <c r="I698" s="152"/>
      <c r="J698" s="152"/>
      <c r="K698" s="152"/>
      <c r="L698" s="152"/>
      <c r="M698" s="152"/>
      <c r="N698" s="152"/>
      <c r="O698" s="152"/>
      <c r="P698" s="152"/>
      <c r="Q698" s="152"/>
      <c r="R698" s="152"/>
      <c r="S698" s="152"/>
      <c r="T698" s="152"/>
      <c r="U698" s="152"/>
      <c r="V698" s="152"/>
      <c r="W698" s="152"/>
      <c r="X698" s="152"/>
      <c r="Y698" s="152"/>
      <c r="Z698" s="152"/>
    </row>
    <row r="699" ht="12.75" customHeight="1">
      <c r="A699" s="152"/>
      <c r="B699" s="232"/>
      <c r="C699" s="152"/>
      <c r="D699" s="152"/>
      <c r="E699" s="152"/>
      <c r="F699" s="152"/>
      <c r="G699" s="152"/>
      <c r="H699" s="152"/>
      <c r="I699" s="152"/>
      <c r="J699" s="152"/>
      <c r="K699" s="152"/>
      <c r="L699" s="152"/>
      <c r="M699" s="152"/>
      <c r="N699" s="152"/>
      <c r="O699" s="152"/>
      <c r="P699" s="152"/>
      <c r="Q699" s="152"/>
      <c r="R699" s="152"/>
      <c r="S699" s="152"/>
      <c r="T699" s="152"/>
      <c r="U699" s="152"/>
      <c r="V699" s="152"/>
      <c r="W699" s="152"/>
      <c r="X699" s="152"/>
      <c r="Y699" s="152"/>
      <c r="Z699" s="152"/>
    </row>
    <row r="700" ht="12.75" customHeight="1">
      <c r="A700" s="152"/>
      <c r="B700" s="232"/>
      <c r="C700" s="152"/>
      <c r="D700" s="152"/>
      <c r="E700" s="152"/>
      <c r="F700" s="152"/>
      <c r="G700" s="152"/>
      <c r="H700" s="152"/>
      <c r="I700" s="152"/>
      <c r="J700" s="152"/>
      <c r="K700" s="152"/>
      <c r="L700" s="152"/>
      <c r="M700" s="152"/>
      <c r="N700" s="152"/>
      <c r="O700" s="152"/>
      <c r="P700" s="152"/>
      <c r="Q700" s="152"/>
      <c r="R700" s="152"/>
      <c r="S700" s="152"/>
      <c r="T700" s="152"/>
      <c r="U700" s="152"/>
      <c r="V700" s="152"/>
      <c r="W700" s="152"/>
      <c r="X700" s="152"/>
      <c r="Y700" s="152"/>
      <c r="Z700" s="152"/>
    </row>
    <row r="701" ht="12.75" customHeight="1">
      <c r="A701" s="152"/>
      <c r="B701" s="232"/>
      <c r="C701" s="152"/>
      <c r="D701" s="152"/>
      <c r="E701" s="152"/>
      <c r="F701" s="152"/>
      <c r="G701" s="152"/>
      <c r="H701" s="152"/>
      <c r="I701" s="152"/>
      <c r="J701" s="152"/>
      <c r="K701" s="152"/>
      <c r="L701" s="152"/>
      <c r="M701" s="152"/>
      <c r="N701" s="152"/>
      <c r="O701" s="152"/>
      <c r="P701" s="152"/>
      <c r="Q701" s="152"/>
      <c r="R701" s="152"/>
      <c r="S701" s="152"/>
      <c r="T701" s="152"/>
      <c r="U701" s="152"/>
      <c r="V701" s="152"/>
      <c r="W701" s="152"/>
      <c r="X701" s="152"/>
      <c r="Y701" s="152"/>
      <c r="Z701" s="152"/>
    </row>
    <row r="702" ht="12.75" customHeight="1">
      <c r="A702" s="152"/>
      <c r="B702" s="232"/>
      <c r="C702" s="152"/>
      <c r="D702" s="152"/>
      <c r="E702" s="152"/>
      <c r="F702" s="152"/>
      <c r="G702" s="152"/>
      <c r="H702" s="152"/>
      <c r="I702" s="152"/>
      <c r="J702" s="152"/>
      <c r="K702" s="152"/>
      <c r="L702" s="152"/>
      <c r="M702" s="152"/>
      <c r="N702" s="152"/>
      <c r="O702" s="152"/>
      <c r="P702" s="152"/>
      <c r="Q702" s="152"/>
      <c r="R702" s="152"/>
      <c r="S702" s="152"/>
      <c r="T702" s="152"/>
      <c r="U702" s="152"/>
      <c r="V702" s="152"/>
      <c r="W702" s="152"/>
      <c r="X702" s="152"/>
      <c r="Y702" s="152"/>
      <c r="Z702" s="152"/>
    </row>
    <row r="703" ht="12.75" customHeight="1">
      <c r="A703" s="152"/>
      <c r="B703" s="232"/>
      <c r="C703" s="152"/>
      <c r="D703" s="152"/>
      <c r="E703" s="152"/>
      <c r="F703" s="152"/>
      <c r="G703" s="152"/>
      <c r="H703" s="152"/>
      <c r="I703" s="152"/>
      <c r="J703" s="152"/>
      <c r="K703" s="152"/>
      <c r="L703" s="152"/>
      <c r="M703" s="152"/>
      <c r="N703" s="152"/>
      <c r="O703" s="152"/>
      <c r="P703" s="152"/>
      <c r="Q703" s="152"/>
      <c r="R703" s="152"/>
      <c r="S703" s="152"/>
      <c r="T703" s="152"/>
      <c r="U703" s="152"/>
      <c r="V703" s="152"/>
      <c r="W703" s="152"/>
      <c r="X703" s="152"/>
      <c r="Y703" s="152"/>
      <c r="Z703" s="152"/>
    </row>
    <row r="704" ht="12.75" customHeight="1">
      <c r="A704" s="152"/>
      <c r="B704" s="232"/>
      <c r="C704" s="152"/>
      <c r="D704" s="152"/>
      <c r="E704" s="152"/>
      <c r="F704" s="152"/>
      <c r="G704" s="152"/>
      <c r="H704" s="152"/>
      <c r="I704" s="152"/>
      <c r="J704" s="152"/>
      <c r="K704" s="152"/>
      <c r="L704" s="152"/>
      <c r="M704" s="152"/>
      <c r="N704" s="152"/>
      <c r="O704" s="152"/>
      <c r="P704" s="152"/>
      <c r="Q704" s="152"/>
      <c r="R704" s="152"/>
      <c r="S704" s="152"/>
      <c r="T704" s="152"/>
      <c r="U704" s="152"/>
      <c r="V704" s="152"/>
      <c r="W704" s="152"/>
      <c r="X704" s="152"/>
      <c r="Y704" s="152"/>
      <c r="Z704" s="152"/>
    </row>
    <row r="705" ht="12.75" customHeight="1">
      <c r="A705" s="152"/>
      <c r="B705" s="232"/>
      <c r="C705" s="152"/>
      <c r="D705" s="152"/>
      <c r="E705" s="152"/>
      <c r="F705" s="152"/>
      <c r="G705" s="152"/>
      <c r="H705" s="152"/>
      <c r="I705" s="152"/>
      <c r="J705" s="152"/>
      <c r="K705" s="152"/>
      <c r="L705" s="152"/>
      <c r="M705" s="152"/>
      <c r="N705" s="152"/>
      <c r="O705" s="152"/>
      <c r="P705" s="152"/>
      <c r="Q705" s="152"/>
      <c r="R705" s="152"/>
      <c r="S705" s="152"/>
      <c r="T705" s="152"/>
      <c r="U705" s="152"/>
      <c r="V705" s="152"/>
      <c r="W705" s="152"/>
      <c r="X705" s="152"/>
      <c r="Y705" s="152"/>
      <c r="Z705" s="152"/>
    </row>
    <row r="706" ht="12.75" customHeight="1">
      <c r="A706" s="152"/>
      <c r="B706" s="232"/>
      <c r="C706" s="152"/>
      <c r="D706" s="152"/>
      <c r="E706" s="152"/>
      <c r="F706" s="152"/>
      <c r="G706" s="152"/>
      <c r="H706" s="152"/>
      <c r="I706" s="152"/>
      <c r="J706" s="152"/>
      <c r="K706" s="152"/>
      <c r="L706" s="152"/>
      <c r="M706" s="152"/>
      <c r="N706" s="152"/>
      <c r="O706" s="152"/>
      <c r="P706" s="152"/>
      <c r="Q706" s="152"/>
      <c r="R706" s="152"/>
      <c r="S706" s="152"/>
      <c r="T706" s="152"/>
      <c r="U706" s="152"/>
      <c r="V706" s="152"/>
      <c r="W706" s="152"/>
      <c r="X706" s="152"/>
      <c r="Y706" s="152"/>
      <c r="Z706" s="152"/>
    </row>
    <row r="707" ht="12.75" customHeight="1">
      <c r="A707" s="152"/>
      <c r="B707" s="232"/>
      <c r="C707" s="152"/>
      <c r="D707" s="152"/>
      <c r="E707" s="152"/>
      <c r="F707" s="152"/>
      <c r="G707" s="152"/>
      <c r="H707" s="152"/>
      <c r="I707" s="152"/>
      <c r="J707" s="152"/>
      <c r="K707" s="152"/>
      <c r="L707" s="152"/>
      <c r="M707" s="152"/>
      <c r="N707" s="152"/>
      <c r="O707" s="152"/>
      <c r="P707" s="152"/>
      <c r="Q707" s="152"/>
      <c r="R707" s="152"/>
      <c r="S707" s="152"/>
      <c r="T707" s="152"/>
      <c r="U707" s="152"/>
      <c r="V707" s="152"/>
      <c r="W707" s="152"/>
      <c r="X707" s="152"/>
      <c r="Y707" s="152"/>
      <c r="Z707" s="152"/>
    </row>
    <row r="708" ht="12.75" customHeight="1">
      <c r="A708" s="152"/>
      <c r="B708" s="232"/>
      <c r="C708" s="152"/>
      <c r="D708" s="152"/>
      <c r="E708" s="152"/>
      <c r="F708" s="152"/>
      <c r="G708" s="152"/>
      <c r="H708" s="152"/>
      <c r="I708" s="152"/>
      <c r="J708" s="152"/>
      <c r="K708" s="152"/>
      <c r="L708" s="152"/>
      <c r="M708" s="152"/>
      <c r="N708" s="152"/>
      <c r="O708" s="152"/>
      <c r="P708" s="152"/>
      <c r="Q708" s="152"/>
      <c r="R708" s="152"/>
      <c r="S708" s="152"/>
      <c r="T708" s="152"/>
      <c r="U708" s="152"/>
      <c r="V708" s="152"/>
      <c r="W708" s="152"/>
      <c r="X708" s="152"/>
      <c r="Y708" s="152"/>
      <c r="Z708" s="152"/>
    </row>
    <row r="709" ht="12.75" customHeight="1">
      <c r="A709" s="152"/>
      <c r="B709" s="232"/>
      <c r="C709" s="152"/>
      <c r="D709" s="152"/>
      <c r="E709" s="152"/>
      <c r="F709" s="152"/>
      <c r="G709" s="152"/>
      <c r="H709" s="152"/>
      <c r="I709" s="152"/>
      <c r="J709" s="152"/>
      <c r="K709" s="152"/>
      <c r="L709" s="152"/>
      <c r="M709" s="152"/>
      <c r="N709" s="152"/>
      <c r="O709" s="152"/>
      <c r="P709" s="152"/>
      <c r="Q709" s="152"/>
      <c r="R709" s="152"/>
      <c r="S709" s="152"/>
      <c r="T709" s="152"/>
      <c r="U709" s="152"/>
      <c r="V709" s="152"/>
      <c r="W709" s="152"/>
      <c r="X709" s="152"/>
      <c r="Y709" s="152"/>
      <c r="Z709" s="152"/>
    </row>
    <row r="710" ht="12.75" customHeight="1">
      <c r="A710" s="152"/>
      <c r="B710" s="232"/>
      <c r="C710" s="152"/>
      <c r="D710" s="152"/>
      <c r="E710" s="152"/>
      <c r="F710" s="152"/>
      <c r="G710" s="152"/>
      <c r="H710" s="152"/>
      <c r="I710" s="152"/>
      <c r="J710" s="152"/>
      <c r="K710" s="152"/>
      <c r="L710" s="152"/>
      <c r="M710" s="152"/>
      <c r="N710" s="152"/>
      <c r="O710" s="152"/>
      <c r="P710" s="152"/>
      <c r="Q710" s="152"/>
      <c r="R710" s="152"/>
      <c r="S710" s="152"/>
      <c r="T710" s="152"/>
      <c r="U710" s="152"/>
      <c r="V710" s="152"/>
      <c r="W710" s="152"/>
      <c r="X710" s="152"/>
      <c r="Y710" s="152"/>
      <c r="Z710" s="152"/>
    </row>
    <row r="711" ht="12.75" customHeight="1">
      <c r="A711" s="152"/>
      <c r="B711" s="232"/>
      <c r="C711" s="152"/>
      <c r="D711" s="152"/>
      <c r="E711" s="152"/>
      <c r="F711" s="152"/>
      <c r="G711" s="152"/>
      <c r="H711" s="152"/>
      <c r="I711" s="152"/>
      <c r="J711" s="152"/>
      <c r="K711" s="152"/>
      <c r="L711" s="152"/>
      <c r="M711" s="152"/>
      <c r="N711" s="152"/>
      <c r="O711" s="152"/>
      <c r="P711" s="152"/>
      <c r="Q711" s="152"/>
      <c r="R711" s="152"/>
      <c r="S711" s="152"/>
      <c r="T711" s="152"/>
      <c r="U711" s="152"/>
      <c r="V711" s="152"/>
      <c r="W711" s="152"/>
      <c r="X711" s="152"/>
      <c r="Y711" s="152"/>
      <c r="Z711" s="152"/>
    </row>
    <row r="712" ht="12.75" customHeight="1">
      <c r="A712" s="152"/>
      <c r="B712" s="232"/>
      <c r="C712" s="152"/>
      <c r="D712" s="152"/>
      <c r="E712" s="152"/>
      <c r="F712" s="152"/>
      <c r="G712" s="152"/>
      <c r="H712" s="152"/>
      <c r="I712" s="152"/>
      <c r="J712" s="152"/>
      <c r="K712" s="152"/>
      <c r="L712" s="152"/>
      <c r="M712" s="152"/>
      <c r="N712" s="152"/>
      <c r="O712" s="152"/>
      <c r="P712" s="152"/>
      <c r="Q712" s="152"/>
      <c r="R712" s="152"/>
      <c r="S712" s="152"/>
      <c r="T712" s="152"/>
      <c r="U712" s="152"/>
      <c r="V712" s="152"/>
      <c r="W712" s="152"/>
      <c r="X712" s="152"/>
      <c r="Y712" s="152"/>
      <c r="Z712" s="152"/>
    </row>
    <row r="713" ht="12.75" customHeight="1">
      <c r="A713" s="152"/>
      <c r="B713" s="232"/>
      <c r="C713" s="152"/>
      <c r="D713" s="152"/>
      <c r="E713" s="152"/>
      <c r="F713" s="152"/>
      <c r="G713" s="152"/>
      <c r="H713" s="152"/>
      <c r="I713" s="152"/>
      <c r="J713" s="152"/>
      <c r="K713" s="152"/>
      <c r="L713" s="152"/>
      <c r="M713" s="152"/>
      <c r="N713" s="152"/>
      <c r="O713" s="152"/>
      <c r="P713" s="152"/>
      <c r="Q713" s="152"/>
      <c r="R713" s="152"/>
      <c r="S713" s="152"/>
      <c r="T713" s="152"/>
      <c r="U713" s="152"/>
      <c r="V713" s="152"/>
      <c r="W713" s="152"/>
      <c r="X713" s="152"/>
      <c r="Y713" s="152"/>
      <c r="Z713" s="152"/>
    </row>
    <row r="714" ht="12.75" customHeight="1">
      <c r="A714" s="152"/>
      <c r="B714" s="232"/>
      <c r="C714" s="152"/>
      <c r="D714" s="152"/>
      <c r="E714" s="152"/>
      <c r="F714" s="152"/>
      <c r="G714" s="152"/>
      <c r="H714" s="152"/>
      <c r="I714" s="152"/>
      <c r="J714" s="152"/>
      <c r="K714" s="152"/>
      <c r="L714" s="152"/>
      <c r="M714" s="152"/>
      <c r="N714" s="152"/>
      <c r="O714" s="152"/>
      <c r="P714" s="152"/>
      <c r="Q714" s="152"/>
      <c r="R714" s="152"/>
      <c r="S714" s="152"/>
      <c r="T714" s="152"/>
      <c r="U714" s="152"/>
      <c r="V714" s="152"/>
      <c r="W714" s="152"/>
      <c r="X714" s="152"/>
      <c r="Y714" s="152"/>
      <c r="Z714" s="152"/>
    </row>
    <row r="715" ht="12.75" customHeight="1">
      <c r="A715" s="152"/>
      <c r="B715" s="232"/>
      <c r="C715" s="152"/>
      <c r="D715" s="152"/>
      <c r="E715" s="152"/>
      <c r="F715" s="152"/>
      <c r="G715" s="152"/>
      <c r="H715" s="152"/>
      <c r="I715" s="152"/>
      <c r="J715" s="152"/>
      <c r="K715" s="152"/>
      <c r="L715" s="152"/>
      <c r="M715" s="152"/>
      <c r="N715" s="152"/>
      <c r="O715" s="152"/>
      <c r="P715" s="152"/>
      <c r="Q715" s="152"/>
      <c r="R715" s="152"/>
      <c r="S715" s="152"/>
      <c r="T715" s="152"/>
      <c r="U715" s="152"/>
      <c r="V715" s="152"/>
      <c r="W715" s="152"/>
      <c r="X715" s="152"/>
      <c r="Y715" s="152"/>
      <c r="Z715" s="152"/>
    </row>
    <row r="716" ht="12.75" customHeight="1">
      <c r="A716" s="152"/>
      <c r="B716" s="232"/>
      <c r="C716" s="152"/>
      <c r="D716" s="152"/>
      <c r="E716" s="152"/>
      <c r="F716" s="152"/>
      <c r="G716" s="152"/>
      <c r="H716" s="152"/>
      <c r="I716" s="152"/>
      <c r="J716" s="152"/>
      <c r="K716" s="152"/>
      <c r="L716" s="152"/>
      <c r="M716" s="152"/>
      <c r="N716" s="152"/>
      <c r="O716" s="152"/>
      <c r="P716" s="152"/>
      <c r="Q716" s="152"/>
      <c r="R716" s="152"/>
      <c r="S716" s="152"/>
      <c r="T716" s="152"/>
      <c r="U716" s="152"/>
      <c r="V716" s="152"/>
      <c r="W716" s="152"/>
      <c r="X716" s="152"/>
      <c r="Y716" s="152"/>
      <c r="Z716" s="152"/>
    </row>
    <row r="717" ht="12.75" customHeight="1">
      <c r="A717" s="152"/>
      <c r="B717" s="232"/>
      <c r="C717" s="152"/>
      <c r="D717" s="152"/>
      <c r="E717" s="152"/>
      <c r="F717" s="152"/>
      <c r="G717" s="152"/>
      <c r="H717" s="152"/>
      <c r="I717" s="152"/>
      <c r="J717" s="152"/>
      <c r="K717" s="152"/>
      <c r="L717" s="152"/>
      <c r="M717" s="152"/>
      <c r="N717" s="152"/>
      <c r="O717" s="152"/>
      <c r="P717" s="152"/>
      <c r="Q717" s="152"/>
      <c r="R717" s="152"/>
      <c r="S717" s="152"/>
      <c r="T717" s="152"/>
      <c r="U717" s="152"/>
      <c r="V717" s="152"/>
      <c r="W717" s="152"/>
      <c r="X717" s="152"/>
      <c r="Y717" s="152"/>
      <c r="Z717" s="152"/>
    </row>
    <row r="718" ht="12.75" customHeight="1">
      <c r="A718" s="152"/>
      <c r="B718" s="232"/>
      <c r="C718" s="152"/>
      <c r="D718" s="152"/>
      <c r="E718" s="152"/>
      <c r="F718" s="152"/>
      <c r="G718" s="152"/>
      <c r="H718" s="152"/>
      <c r="I718" s="152"/>
      <c r="J718" s="152"/>
      <c r="K718" s="152"/>
      <c r="L718" s="152"/>
      <c r="M718" s="152"/>
      <c r="N718" s="152"/>
      <c r="O718" s="152"/>
      <c r="P718" s="152"/>
      <c r="Q718" s="152"/>
      <c r="R718" s="152"/>
      <c r="S718" s="152"/>
      <c r="T718" s="152"/>
      <c r="U718" s="152"/>
      <c r="V718" s="152"/>
      <c r="W718" s="152"/>
      <c r="X718" s="152"/>
      <c r="Y718" s="152"/>
      <c r="Z718" s="152"/>
    </row>
    <row r="719" ht="12.75" customHeight="1">
      <c r="A719" s="152"/>
      <c r="B719" s="232"/>
      <c r="C719" s="152"/>
      <c r="D719" s="152"/>
      <c r="E719" s="152"/>
      <c r="F719" s="152"/>
      <c r="G719" s="152"/>
      <c r="H719" s="152"/>
      <c r="I719" s="152"/>
      <c r="J719" s="152"/>
      <c r="K719" s="152"/>
      <c r="L719" s="152"/>
      <c r="M719" s="152"/>
      <c r="N719" s="152"/>
      <c r="O719" s="152"/>
      <c r="P719" s="152"/>
      <c r="Q719" s="152"/>
      <c r="R719" s="152"/>
      <c r="S719" s="152"/>
      <c r="T719" s="152"/>
      <c r="U719" s="152"/>
      <c r="V719" s="152"/>
      <c r="W719" s="152"/>
      <c r="X719" s="152"/>
      <c r="Y719" s="152"/>
      <c r="Z719" s="152"/>
    </row>
    <row r="720" ht="12.75" customHeight="1">
      <c r="A720" s="152"/>
      <c r="B720" s="232"/>
      <c r="C720" s="152"/>
      <c r="D720" s="152"/>
      <c r="E720" s="152"/>
      <c r="F720" s="152"/>
      <c r="G720" s="152"/>
      <c r="H720" s="152"/>
      <c r="I720" s="152"/>
      <c r="J720" s="152"/>
      <c r="K720" s="152"/>
      <c r="L720" s="152"/>
      <c r="M720" s="152"/>
      <c r="N720" s="152"/>
      <c r="O720" s="152"/>
      <c r="P720" s="152"/>
      <c r="Q720" s="152"/>
      <c r="R720" s="152"/>
      <c r="S720" s="152"/>
      <c r="T720" s="152"/>
      <c r="U720" s="152"/>
      <c r="V720" s="152"/>
      <c r="W720" s="152"/>
      <c r="X720" s="152"/>
      <c r="Y720" s="152"/>
      <c r="Z720" s="152"/>
    </row>
    <row r="721" ht="12.75" customHeight="1">
      <c r="A721" s="152"/>
      <c r="B721" s="232"/>
      <c r="C721" s="152"/>
      <c r="D721" s="152"/>
      <c r="E721" s="152"/>
      <c r="F721" s="152"/>
      <c r="G721" s="152"/>
      <c r="H721" s="152"/>
      <c r="I721" s="152"/>
      <c r="J721" s="152"/>
      <c r="K721" s="152"/>
      <c r="L721" s="152"/>
      <c r="M721" s="152"/>
      <c r="N721" s="152"/>
      <c r="O721" s="152"/>
      <c r="P721" s="152"/>
      <c r="Q721" s="152"/>
      <c r="R721" s="152"/>
      <c r="S721" s="152"/>
      <c r="T721" s="152"/>
      <c r="U721" s="152"/>
      <c r="V721" s="152"/>
      <c r="W721" s="152"/>
      <c r="X721" s="152"/>
      <c r="Y721" s="152"/>
      <c r="Z721" s="152"/>
    </row>
    <row r="722" ht="12.75" customHeight="1">
      <c r="A722" s="152"/>
      <c r="B722" s="232"/>
      <c r="C722" s="152"/>
      <c r="D722" s="152"/>
      <c r="E722" s="152"/>
      <c r="F722" s="152"/>
      <c r="G722" s="152"/>
      <c r="H722" s="152"/>
      <c r="I722" s="152"/>
      <c r="J722" s="152"/>
      <c r="K722" s="152"/>
      <c r="L722" s="152"/>
      <c r="M722" s="152"/>
      <c r="N722" s="152"/>
      <c r="O722" s="152"/>
      <c r="P722" s="152"/>
      <c r="Q722" s="152"/>
      <c r="R722" s="152"/>
      <c r="S722" s="152"/>
      <c r="T722" s="152"/>
      <c r="U722" s="152"/>
      <c r="V722" s="152"/>
      <c r="W722" s="152"/>
      <c r="X722" s="152"/>
      <c r="Y722" s="152"/>
      <c r="Z722" s="152"/>
    </row>
    <row r="723" ht="12.75" customHeight="1">
      <c r="A723" s="152"/>
      <c r="B723" s="232"/>
      <c r="C723" s="152"/>
      <c r="D723" s="152"/>
      <c r="E723" s="152"/>
      <c r="F723" s="152"/>
      <c r="G723" s="152"/>
      <c r="H723" s="152"/>
      <c r="I723" s="152"/>
      <c r="J723" s="152"/>
      <c r="K723" s="152"/>
      <c r="L723" s="152"/>
      <c r="M723" s="152"/>
      <c r="N723" s="152"/>
      <c r="O723" s="152"/>
      <c r="P723" s="152"/>
      <c r="Q723" s="152"/>
      <c r="R723" s="152"/>
      <c r="S723" s="152"/>
      <c r="T723" s="152"/>
      <c r="U723" s="152"/>
      <c r="V723" s="152"/>
      <c r="W723" s="152"/>
      <c r="X723" s="152"/>
      <c r="Y723" s="152"/>
      <c r="Z723" s="152"/>
    </row>
    <row r="724" ht="12.75" customHeight="1">
      <c r="A724" s="152"/>
      <c r="B724" s="232"/>
      <c r="C724" s="152"/>
      <c r="D724" s="152"/>
      <c r="E724" s="152"/>
      <c r="F724" s="152"/>
      <c r="G724" s="152"/>
      <c r="H724" s="152"/>
      <c r="I724" s="152"/>
      <c r="J724" s="152"/>
      <c r="K724" s="152"/>
      <c r="L724" s="152"/>
      <c r="M724" s="152"/>
      <c r="N724" s="152"/>
      <c r="O724" s="152"/>
      <c r="P724" s="152"/>
      <c r="Q724" s="152"/>
      <c r="R724" s="152"/>
      <c r="S724" s="152"/>
      <c r="T724" s="152"/>
      <c r="U724" s="152"/>
      <c r="V724" s="152"/>
      <c r="W724" s="152"/>
      <c r="X724" s="152"/>
      <c r="Y724" s="152"/>
      <c r="Z724" s="152"/>
    </row>
    <row r="725" ht="12.75" customHeight="1">
      <c r="A725" s="152"/>
      <c r="B725" s="232"/>
      <c r="C725" s="152"/>
      <c r="D725" s="152"/>
      <c r="E725" s="152"/>
      <c r="F725" s="152"/>
      <c r="G725" s="152"/>
      <c r="H725" s="152"/>
      <c r="I725" s="152"/>
      <c r="J725" s="152"/>
      <c r="K725" s="152"/>
      <c r="L725" s="152"/>
      <c r="M725" s="152"/>
      <c r="N725" s="152"/>
      <c r="O725" s="152"/>
      <c r="P725" s="152"/>
      <c r="Q725" s="152"/>
      <c r="R725" s="152"/>
      <c r="S725" s="152"/>
      <c r="T725" s="152"/>
      <c r="U725" s="152"/>
      <c r="V725" s="152"/>
      <c r="W725" s="152"/>
      <c r="X725" s="152"/>
      <c r="Y725" s="152"/>
      <c r="Z725" s="152"/>
    </row>
    <row r="726" ht="12.75" customHeight="1">
      <c r="A726" s="152"/>
      <c r="B726" s="232"/>
      <c r="C726" s="152"/>
      <c r="D726" s="152"/>
      <c r="E726" s="152"/>
      <c r="F726" s="152"/>
      <c r="G726" s="152"/>
      <c r="H726" s="152"/>
      <c r="I726" s="152"/>
      <c r="J726" s="152"/>
      <c r="K726" s="152"/>
      <c r="L726" s="152"/>
      <c r="M726" s="152"/>
      <c r="N726" s="152"/>
      <c r="O726" s="152"/>
      <c r="P726" s="152"/>
      <c r="Q726" s="152"/>
      <c r="R726" s="152"/>
      <c r="S726" s="152"/>
      <c r="T726" s="152"/>
      <c r="U726" s="152"/>
      <c r="V726" s="152"/>
      <c r="W726" s="152"/>
      <c r="X726" s="152"/>
      <c r="Y726" s="152"/>
      <c r="Z726" s="152"/>
    </row>
    <row r="727" ht="12.75" customHeight="1">
      <c r="A727" s="152"/>
      <c r="B727" s="232"/>
      <c r="C727" s="152"/>
      <c r="D727" s="152"/>
      <c r="E727" s="152"/>
      <c r="F727" s="152"/>
      <c r="G727" s="152"/>
      <c r="H727" s="152"/>
      <c r="I727" s="152"/>
      <c r="J727" s="152"/>
      <c r="K727" s="152"/>
      <c r="L727" s="152"/>
      <c r="M727" s="152"/>
      <c r="N727" s="152"/>
      <c r="O727" s="152"/>
      <c r="P727" s="152"/>
      <c r="Q727" s="152"/>
      <c r="R727" s="152"/>
      <c r="S727" s="152"/>
      <c r="T727" s="152"/>
      <c r="U727" s="152"/>
      <c r="V727" s="152"/>
      <c r="W727" s="152"/>
      <c r="X727" s="152"/>
      <c r="Y727" s="152"/>
      <c r="Z727" s="152"/>
    </row>
    <row r="728" ht="12.75" customHeight="1">
      <c r="A728" s="152"/>
      <c r="B728" s="232"/>
      <c r="C728" s="152"/>
      <c r="D728" s="152"/>
      <c r="E728" s="152"/>
      <c r="F728" s="152"/>
      <c r="G728" s="152"/>
      <c r="H728" s="152"/>
      <c r="I728" s="152"/>
      <c r="J728" s="152"/>
      <c r="K728" s="152"/>
      <c r="L728" s="152"/>
      <c r="M728" s="152"/>
      <c r="N728" s="152"/>
      <c r="O728" s="152"/>
      <c r="P728" s="152"/>
      <c r="Q728" s="152"/>
      <c r="R728" s="152"/>
      <c r="S728" s="152"/>
      <c r="T728" s="152"/>
      <c r="U728" s="152"/>
      <c r="V728" s="152"/>
      <c r="W728" s="152"/>
      <c r="X728" s="152"/>
      <c r="Y728" s="152"/>
      <c r="Z728" s="152"/>
    </row>
    <row r="729" ht="12.75" customHeight="1">
      <c r="A729" s="152"/>
      <c r="B729" s="232"/>
      <c r="C729" s="152"/>
      <c r="D729" s="152"/>
      <c r="E729" s="152"/>
      <c r="F729" s="152"/>
      <c r="G729" s="152"/>
      <c r="H729" s="152"/>
      <c r="I729" s="152"/>
      <c r="J729" s="152"/>
      <c r="K729" s="152"/>
      <c r="L729" s="152"/>
      <c r="M729" s="152"/>
      <c r="N729" s="152"/>
      <c r="O729" s="152"/>
      <c r="P729" s="152"/>
      <c r="Q729" s="152"/>
      <c r="R729" s="152"/>
      <c r="S729" s="152"/>
      <c r="T729" s="152"/>
      <c r="U729" s="152"/>
      <c r="V729" s="152"/>
      <c r="W729" s="152"/>
      <c r="X729" s="152"/>
      <c r="Y729" s="152"/>
      <c r="Z729" s="152"/>
    </row>
    <row r="730" ht="12.75" customHeight="1">
      <c r="A730" s="152"/>
      <c r="B730" s="232"/>
      <c r="C730" s="152"/>
      <c r="D730" s="152"/>
      <c r="E730" s="152"/>
      <c r="F730" s="152"/>
      <c r="G730" s="152"/>
      <c r="H730" s="152"/>
      <c r="I730" s="152"/>
      <c r="J730" s="152"/>
      <c r="K730" s="152"/>
      <c r="L730" s="152"/>
      <c r="M730" s="152"/>
      <c r="N730" s="152"/>
      <c r="O730" s="152"/>
      <c r="P730" s="152"/>
      <c r="Q730" s="152"/>
      <c r="R730" s="152"/>
      <c r="S730" s="152"/>
      <c r="T730" s="152"/>
      <c r="U730" s="152"/>
      <c r="V730" s="152"/>
      <c r="W730" s="152"/>
      <c r="X730" s="152"/>
      <c r="Y730" s="152"/>
      <c r="Z730" s="152"/>
    </row>
    <row r="731" ht="12.75" customHeight="1">
      <c r="A731" s="152"/>
      <c r="B731" s="232"/>
      <c r="C731" s="152"/>
      <c r="D731" s="152"/>
      <c r="E731" s="152"/>
      <c r="F731" s="152"/>
      <c r="G731" s="152"/>
      <c r="H731" s="152"/>
      <c r="I731" s="152"/>
      <c r="J731" s="152"/>
      <c r="K731" s="152"/>
      <c r="L731" s="152"/>
      <c r="M731" s="152"/>
      <c r="N731" s="152"/>
      <c r="O731" s="152"/>
      <c r="P731" s="152"/>
      <c r="Q731" s="152"/>
      <c r="R731" s="152"/>
      <c r="S731" s="152"/>
      <c r="T731" s="152"/>
      <c r="U731" s="152"/>
      <c r="V731" s="152"/>
      <c r="W731" s="152"/>
      <c r="X731" s="152"/>
      <c r="Y731" s="152"/>
      <c r="Z731" s="152"/>
    </row>
    <row r="732" ht="12.75" customHeight="1">
      <c r="A732" s="152"/>
      <c r="B732" s="232"/>
      <c r="C732" s="152"/>
      <c r="D732" s="152"/>
      <c r="E732" s="152"/>
      <c r="F732" s="152"/>
      <c r="G732" s="152"/>
      <c r="H732" s="152"/>
      <c r="I732" s="152"/>
      <c r="J732" s="152"/>
      <c r="K732" s="152"/>
      <c r="L732" s="152"/>
      <c r="M732" s="152"/>
      <c r="N732" s="152"/>
      <c r="O732" s="152"/>
      <c r="P732" s="152"/>
      <c r="Q732" s="152"/>
      <c r="R732" s="152"/>
      <c r="S732" s="152"/>
      <c r="T732" s="152"/>
      <c r="U732" s="152"/>
      <c r="V732" s="152"/>
      <c r="W732" s="152"/>
      <c r="X732" s="152"/>
      <c r="Y732" s="152"/>
      <c r="Z732" s="152"/>
    </row>
    <row r="733" ht="12.75" customHeight="1">
      <c r="A733" s="152"/>
      <c r="B733" s="232"/>
      <c r="C733" s="152"/>
      <c r="D733" s="152"/>
      <c r="E733" s="152"/>
      <c r="F733" s="152"/>
      <c r="G733" s="152"/>
      <c r="H733" s="152"/>
      <c r="I733" s="152"/>
      <c r="J733" s="152"/>
      <c r="K733" s="152"/>
      <c r="L733" s="152"/>
      <c r="M733" s="152"/>
      <c r="N733" s="152"/>
      <c r="O733" s="152"/>
      <c r="P733" s="152"/>
      <c r="Q733" s="152"/>
      <c r="R733" s="152"/>
      <c r="S733" s="152"/>
      <c r="T733" s="152"/>
      <c r="U733" s="152"/>
      <c r="V733" s="152"/>
      <c r="W733" s="152"/>
      <c r="X733" s="152"/>
      <c r="Y733" s="152"/>
      <c r="Z733" s="152"/>
    </row>
    <row r="734" ht="12.75" customHeight="1">
      <c r="A734" s="152"/>
      <c r="B734" s="232"/>
      <c r="C734" s="152"/>
      <c r="D734" s="152"/>
      <c r="E734" s="152"/>
      <c r="F734" s="152"/>
      <c r="G734" s="152"/>
      <c r="H734" s="152"/>
      <c r="I734" s="152"/>
      <c r="J734" s="152"/>
      <c r="K734" s="152"/>
      <c r="L734" s="152"/>
      <c r="M734" s="152"/>
      <c r="N734" s="152"/>
      <c r="O734" s="152"/>
      <c r="P734" s="152"/>
      <c r="Q734" s="152"/>
      <c r="R734" s="152"/>
      <c r="S734" s="152"/>
      <c r="T734" s="152"/>
      <c r="U734" s="152"/>
      <c r="V734" s="152"/>
      <c r="W734" s="152"/>
      <c r="X734" s="152"/>
      <c r="Y734" s="152"/>
      <c r="Z734" s="152"/>
    </row>
    <row r="735" ht="12.75" customHeight="1">
      <c r="A735" s="152"/>
      <c r="B735" s="232"/>
      <c r="C735" s="152"/>
      <c r="D735" s="152"/>
      <c r="E735" s="152"/>
      <c r="F735" s="152"/>
      <c r="G735" s="152"/>
      <c r="H735" s="152"/>
      <c r="I735" s="152"/>
      <c r="J735" s="152"/>
      <c r="K735" s="152"/>
      <c r="L735" s="152"/>
      <c r="M735" s="152"/>
      <c r="N735" s="152"/>
      <c r="O735" s="152"/>
      <c r="P735" s="152"/>
      <c r="Q735" s="152"/>
      <c r="R735" s="152"/>
      <c r="S735" s="152"/>
      <c r="T735" s="152"/>
      <c r="U735" s="152"/>
      <c r="V735" s="152"/>
      <c r="W735" s="152"/>
      <c r="X735" s="152"/>
      <c r="Y735" s="152"/>
      <c r="Z735" s="152"/>
    </row>
    <row r="736" ht="12.75" customHeight="1">
      <c r="A736" s="152"/>
      <c r="B736" s="232"/>
      <c r="C736" s="152"/>
      <c r="D736" s="152"/>
      <c r="E736" s="152"/>
      <c r="F736" s="152"/>
      <c r="G736" s="152"/>
      <c r="H736" s="152"/>
      <c r="I736" s="152"/>
      <c r="J736" s="152"/>
      <c r="K736" s="152"/>
      <c r="L736" s="152"/>
      <c r="M736" s="152"/>
      <c r="N736" s="152"/>
      <c r="O736" s="152"/>
      <c r="P736" s="152"/>
      <c r="Q736" s="152"/>
      <c r="R736" s="152"/>
      <c r="S736" s="152"/>
      <c r="T736" s="152"/>
      <c r="U736" s="152"/>
      <c r="V736" s="152"/>
      <c r="W736" s="152"/>
      <c r="X736" s="152"/>
      <c r="Y736" s="152"/>
      <c r="Z736" s="152"/>
    </row>
    <row r="737" ht="12.75" customHeight="1">
      <c r="A737" s="152"/>
      <c r="B737" s="232"/>
      <c r="C737" s="152"/>
      <c r="D737" s="152"/>
      <c r="E737" s="152"/>
      <c r="F737" s="152"/>
      <c r="G737" s="152"/>
      <c r="H737" s="152"/>
      <c r="I737" s="152"/>
      <c r="J737" s="152"/>
      <c r="K737" s="152"/>
      <c r="L737" s="152"/>
      <c r="M737" s="152"/>
      <c r="N737" s="152"/>
      <c r="O737" s="152"/>
      <c r="P737" s="152"/>
      <c r="Q737" s="152"/>
      <c r="R737" s="152"/>
      <c r="S737" s="152"/>
      <c r="T737" s="152"/>
      <c r="U737" s="152"/>
      <c r="V737" s="152"/>
      <c r="W737" s="152"/>
      <c r="X737" s="152"/>
      <c r="Y737" s="152"/>
      <c r="Z737" s="152"/>
    </row>
    <row r="738" ht="12.75" customHeight="1">
      <c r="A738" s="152"/>
      <c r="B738" s="232"/>
      <c r="C738" s="152"/>
      <c r="D738" s="152"/>
      <c r="E738" s="152"/>
      <c r="F738" s="152"/>
      <c r="G738" s="152"/>
      <c r="H738" s="152"/>
      <c r="I738" s="152"/>
      <c r="J738" s="152"/>
      <c r="K738" s="152"/>
      <c r="L738" s="152"/>
      <c r="M738" s="152"/>
      <c r="N738" s="152"/>
      <c r="O738" s="152"/>
      <c r="P738" s="152"/>
      <c r="Q738" s="152"/>
      <c r="R738" s="152"/>
      <c r="S738" s="152"/>
      <c r="T738" s="152"/>
      <c r="U738" s="152"/>
      <c r="V738" s="152"/>
      <c r="W738" s="152"/>
      <c r="X738" s="152"/>
      <c r="Y738" s="152"/>
      <c r="Z738" s="152"/>
    </row>
    <row r="739" ht="12.75" customHeight="1">
      <c r="A739" s="152"/>
      <c r="B739" s="232"/>
      <c r="C739" s="152"/>
      <c r="D739" s="152"/>
      <c r="E739" s="152"/>
      <c r="F739" s="152"/>
      <c r="G739" s="152"/>
      <c r="H739" s="152"/>
      <c r="I739" s="152"/>
      <c r="J739" s="152"/>
      <c r="K739" s="152"/>
      <c r="L739" s="152"/>
      <c r="M739" s="152"/>
      <c r="N739" s="152"/>
      <c r="O739" s="152"/>
      <c r="P739" s="152"/>
      <c r="Q739" s="152"/>
      <c r="R739" s="152"/>
      <c r="S739" s="152"/>
      <c r="T739" s="152"/>
      <c r="U739" s="152"/>
      <c r="V739" s="152"/>
      <c r="W739" s="152"/>
      <c r="X739" s="152"/>
      <c r="Y739" s="152"/>
      <c r="Z739" s="152"/>
    </row>
    <row r="740" ht="12.75" customHeight="1">
      <c r="A740" s="152"/>
      <c r="B740" s="232"/>
      <c r="C740" s="152"/>
      <c r="D740" s="152"/>
      <c r="E740" s="152"/>
      <c r="F740" s="152"/>
      <c r="G740" s="152"/>
      <c r="H740" s="152"/>
      <c r="I740" s="152"/>
      <c r="J740" s="152"/>
      <c r="K740" s="152"/>
      <c r="L740" s="152"/>
      <c r="M740" s="152"/>
      <c r="N740" s="152"/>
      <c r="O740" s="152"/>
      <c r="P740" s="152"/>
      <c r="Q740" s="152"/>
      <c r="R740" s="152"/>
      <c r="S740" s="152"/>
      <c r="T740" s="152"/>
      <c r="U740" s="152"/>
      <c r="V740" s="152"/>
      <c r="W740" s="152"/>
      <c r="X740" s="152"/>
      <c r="Y740" s="152"/>
      <c r="Z740" s="152"/>
    </row>
    <row r="741" ht="12.75" customHeight="1">
      <c r="A741" s="152"/>
      <c r="B741" s="232"/>
      <c r="C741" s="152"/>
      <c r="D741" s="152"/>
      <c r="E741" s="152"/>
      <c r="F741" s="152"/>
      <c r="G741" s="152"/>
      <c r="H741" s="152"/>
      <c r="I741" s="152"/>
      <c r="J741" s="152"/>
      <c r="K741" s="152"/>
      <c r="L741" s="152"/>
      <c r="M741" s="152"/>
      <c r="N741" s="152"/>
      <c r="O741" s="152"/>
      <c r="P741" s="152"/>
      <c r="Q741" s="152"/>
      <c r="R741" s="152"/>
      <c r="S741" s="152"/>
      <c r="T741" s="152"/>
      <c r="U741" s="152"/>
      <c r="V741" s="152"/>
      <c r="W741" s="152"/>
      <c r="X741" s="152"/>
      <c r="Y741" s="152"/>
      <c r="Z741" s="152"/>
    </row>
    <row r="742" ht="12.75" customHeight="1">
      <c r="A742" s="152"/>
      <c r="B742" s="232"/>
      <c r="C742" s="152"/>
      <c r="D742" s="152"/>
      <c r="E742" s="152"/>
      <c r="F742" s="152"/>
      <c r="G742" s="152"/>
      <c r="H742" s="152"/>
      <c r="I742" s="152"/>
      <c r="J742" s="152"/>
      <c r="K742" s="152"/>
      <c r="L742" s="152"/>
      <c r="M742" s="152"/>
      <c r="N742" s="152"/>
      <c r="O742" s="152"/>
      <c r="P742" s="152"/>
      <c r="Q742" s="152"/>
      <c r="R742" s="152"/>
      <c r="S742" s="152"/>
      <c r="T742" s="152"/>
      <c r="U742" s="152"/>
      <c r="V742" s="152"/>
      <c r="W742" s="152"/>
      <c r="X742" s="152"/>
      <c r="Y742" s="152"/>
      <c r="Z742" s="152"/>
    </row>
    <row r="743" ht="12.75" customHeight="1">
      <c r="A743" s="152"/>
      <c r="B743" s="232"/>
      <c r="C743" s="152"/>
      <c r="D743" s="152"/>
      <c r="E743" s="152"/>
      <c r="F743" s="152"/>
      <c r="G743" s="152"/>
      <c r="H743" s="152"/>
      <c r="I743" s="152"/>
      <c r="J743" s="152"/>
      <c r="K743" s="152"/>
      <c r="L743" s="152"/>
      <c r="M743" s="152"/>
      <c r="N743" s="152"/>
      <c r="O743" s="152"/>
      <c r="P743" s="152"/>
      <c r="Q743" s="152"/>
      <c r="R743" s="152"/>
      <c r="S743" s="152"/>
      <c r="T743" s="152"/>
      <c r="U743" s="152"/>
      <c r="V743" s="152"/>
      <c r="W743" s="152"/>
      <c r="X743" s="152"/>
      <c r="Y743" s="152"/>
      <c r="Z743" s="152"/>
    </row>
    <row r="744" ht="12.75" customHeight="1">
      <c r="A744" s="152"/>
      <c r="B744" s="232"/>
      <c r="C744" s="152"/>
      <c r="D744" s="152"/>
      <c r="E744" s="152"/>
      <c r="F744" s="152"/>
      <c r="G744" s="152"/>
      <c r="H744" s="152"/>
      <c r="I744" s="152"/>
      <c r="J744" s="152"/>
      <c r="K744" s="152"/>
      <c r="L744" s="152"/>
      <c r="M744" s="152"/>
      <c r="N744" s="152"/>
      <c r="O744" s="152"/>
      <c r="P744" s="152"/>
      <c r="Q744" s="152"/>
      <c r="R744" s="152"/>
      <c r="S744" s="152"/>
      <c r="T744" s="152"/>
      <c r="U744" s="152"/>
      <c r="V744" s="152"/>
      <c r="W744" s="152"/>
      <c r="X744" s="152"/>
      <c r="Y744" s="152"/>
      <c r="Z744" s="152"/>
    </row>
    <row r="745" ht="12.75" customHeight="1">
      <c r="A745" s="152"/>
      <c r="B745" s="232"/>
      <c r="C745" s="152"/>
      <c r="D745" s="152"/>
      <c r="E745" s="152"/>
      <c r="F745" s="152"/>
      <c r="G745" s="152"/>
      <c r="H745" s="152"/>
      <c r="I745" s="152"/>
      <c r="J745" s="152"/>
      <c r="K745" s="152"/>
      <c r="L745" s="152"/>
      <c r="M745" s="152"/>
      <c r="N745" s="152"/>
      <c r="O745" s="152"/>
      <c r="P745" s="152"/>
      <c r="Q745" s="152"/>
      <c r="R745" s="152"/>
      <c r="S745" s="152"/>
      <c r="T745" s="152"/>
      <c r="U745" s="152"/>
      <c r="V745" s="152"/>
      <c r="W745" s="152"/>
      <c r="X745" s="152"/>
      <c r="Y745" s="152"/>
      <c r="Z745" s="152"/>
    </row>
    <row r="746" ht="12.75" customHeight="1">
      <c r="A746" s="152"/>
      <c r="B746" s="232"/>
      <c r="C746" s="152"/>
      <c r="D746" s="152"/>
      <c r="E746" s="152"/>
      <c r="F746" s="152"/>
      <c r="G746" s="152"/>
      <c r="H746" s="152"/>
      <c r="I746" s="152"/>
      <c r="J746" s="152"/>
      <c r="K746" s="152"/>
      <c r="L746" s="152"/>
      <c r="M746" s="152"/>
      <c r="N746" s="152"/>
      <c r="O746" s="152"/>
      <c r="P746" s="152"/>
      <c r="Q746" s="152"/>
      <c r="R746" s="152"/>
      <c r="S746" s="152"/>
      <c r="T746" s="152"/>
      <c r="U746" s="152"/>
      <c r="V746" s="152"/>
      <c r="W746" s="152"/>
      <c r="X746" s="152"/>
      <c r="Y746" s="152"/>
      <c r="Z746" s="152"/>
    </row>
    <row r="747" ht="12.75" customHeight="1">
      <c r="A747" s="152"/>
      <c r="B747" s="232"/>
      <c r="C747" s="152"/>
      <c r="D747" s="152"/>
      <c r="E747" s="152"/>
      <c r="F747" s="152"/>
      <c r="G747" s="152"/>
      <c r="H747" s="152"/>
      <c r="I747" s="152"/>
      <c r="J747" s="152"/>
      <c r="K747" s="152"/>
      <c r="L747" s="152"/>
      <c r="M747" s="152"/>
      <c r="N747" s="152"/>
      <c r="O747" s="152"/>
      <c r="P747" s="152"/>
      <c r="Q747" s="152"/>
      <c r="R747" s="152"/>
      <c r="S747" s="152"/>
      <c r="T747" s="152"/>
      <c r="U747" s="152"/>
      <c r="V747" s="152"/>
      <c r="W747" s="152"/>
      <c r="X747" s="152"/>
      <c r="Y747" s="152"/>
      <c r="Z747" s="152"/>
    </row>
    <row r="748" ht="12.75" customHeight="1">
      <c r="A748" s="152"/>
      <c r="B748" s="232"/>
      <c r="C748" s="152"/>
      <c r="D748" s="152"/>
      <c r="E748" s="152"/>
      <c r="F748" s="152"/>
      <c r="G748" s="152"/>
      <c r="H748" s="152"/>
      <c r="I748" s="152"/>
      <c r="J748" s="152"/>
      <c r="K748" s="152"/>
      <c r="L748" s="152"/>
      <c r="M748" s="152"/>
      <c r="N748" s="152"/>
      <c r="O748" s="152"/>
      <c r="P748" s="152"/>
      <c r="Q748" s="152"/>
      <c r="R748" s="152"/>
      <c r="S748" s="152"/>
      <c r="T748" s="152"/>
      <c r="U748" s="152"/>
      <c r="V748" s="152"/>
      <c r="W748" s="152"/>
      <c r="X748" s="152"/>
      <c r="Y748" s="152"/>
      <c r="Z748" s="152"/>
    </row>
    <row r="749" ht="12.75" customHeight="1">
      <c r="A749" s="152"/>
      <c r="B749" s="232"/>
      <c r="C749" s="152"/>
      <c r="D749" s="152"/>
      <c r="E749" s="152"/>
      <c r="F749" s="152"/>
      <c r="G749" s="152"/>
      <c r="H749" s="152"/>
      <c r="I749" s="152"/>
      <c r="J749" s="152"/>
      <c r="K749" s="152"/>
      <c r="L749" s="152"/>
      <c r="M749" s="152"/>
      <c r="N749" s="152"/>
      <c r="O749" s="152"/>
      <c r="P749" s="152"/>
      <c r="Q749" s="152"/>
      <c r="R749" s="152"/>
      <c r="S749" s="152"/>
      <c r="T749" s="152"/>
      <c r="U749" s="152"/>
      <c r="V749" s="152"/>
      <c r="W749" s="152"/>
      <c r="X749" s="152"/>
      <c r="Y749" s="152"/>
      <c r="Z749" s="152"/>
    </row>
    <row r="750" ht="12.75" customHeight="1">
      <c r="A750" s="152"/>
      <c r="B750" s="232"/>
      <c r="C750" s="152"/>
      <c r="D750" s="152"/>
      <c r="E750" s="152"/>
      <c r="F750" s="152"/>
      <c r="G750" s="152"/>
      <c r="H750" s="152"/>
      <c r="I750" s="152"/>
      <c r="J750" s="152"/>
      <c r="K750" s="152"/>
      <c r="L750" s="152"/>
      <c r="M750" s="152"/>
      <c r="N750" s="152"/>
      <c r="O750" s="152"/>
      <c r="P750" s="152"/>
      <c r="Q750" s="152"/>
      <c r="R750" s="152"/>
      <c r="S750" s="152"/>
      <c r="T750" s="152"/>
      <c r="U750" s="152"/>
      <c r="V750" s="152"/>
      <c r="W750" s="152"/>
      <c r="X750" s="152"/>
      <c r="Y750" s="152"/>
      <c r="Z750" s="152"/>
    </row>
    <row r="751" ht="12.75" customHeight="1">
      <c r="A751" s="152"/>
      <c r="B751" s="232"/>
      <c r="C751" s="152"/>
      <c r="D751" s="152"/>
      <c r="E751" s="152"/>
      <c r="F751" s="152"/>
      <c r="G751" s="152"/>
      <c r="H751" s="152"/>
      <c r="I751" s="152"/>
      <c r="J751" s="152"/>
      <c r="K751" s="152"/>
      <c r="L751" s="152"/>
      <c r="M751" s="152"/>
      <c r="N751" s="152"/>
      <c r="O751" s="152"/>
      <c r="P751" s="152"/>
      <c r="Q751" s="152"/>
      <c r="R751" s="152"/>
      <c r="S751" s="152"/>
      <c r="T751" s="152"/>
      <c r="U751" s="152"/>
      <c r="V751" s="152"/>
      <c r="W751" s="152"/>
      <c r="X751" s="152"/>
      <c r="Y751" s="152"/>
      <c r="Z751" s="152"/>
    </row>
    <row r="752" ht="12.75" customHeight="1">
      <c r="A752" s="152"/>
      <c r="B752" s="232"/>
      <c r="C752" s="152"/>
      <c r="D752" s="152"/>
      <c r="E752" s="152"/>
      <c r="F752" s="152"/>
      <c r="G752" s="152"/>
      <c r="H752" s="152"/>
      <c r="I752" s="152"/>
      <c r="J752" s="152"/>
      <c r="K752" s="152"/>
      <c r="L752" s="152"/>
      <c r="M752" s="152"/>
      <c r="N752" s="152"/>
      <c r="O752" s="152"/>
      <c r="P752" s="152"/>
      <c r="Q752" s="152"/>
      <c r="R752" s="152"/>
      <c r="S752" s="152"/>
      <c r="T752" s="152"/>
      <c r="U752" s="152"/>
      <c r="V752" s="152"/>
      <c r="W752" s="152"/>
      <c r="X752" s="152"/>
      <c r="Y752" s="152"/>
      <c r="Z752" s="152"/>
    </row>
    <row r="753" ht="12.75" customHeight="1">
      <c r="A753" s="152"/>
      <c r="B753" s="232"/>
      <c r="C753" s="152"/>
      <c r="D753" s="152"/>
      <c r="E753" s="152"/>
      <c r="F753" s="152"/>
      <c r="G753" s="152"/>
      <c r="H753" s="152"/>
      <c r="I753" s="152"/>
      <c r="J753" s="152"/>
      <c r="K753" s="152"/>
      <c r="L753" s="152"/>
      <c r="M753" s="152"/>
      <c r="N753" s="152"/>
      <c r="O753" s="152"/>
      <c r="P753" s="152"/>
      <c r="Q753" s="152"/>
      <c r="R753" s="152"/>
      <c r="S753" s="152"/>
      <c r="T753" s="152"/>
      <c r="U753" s="152"/>
      <c r="V753" s="152"/>
      <c r="W753" s="152"/>
      <c r="X753" s="152"/>
      <c r="Y753" s="152"/>
      <c r="Z753" s="152"/>
    </row>
    <row r="754" ht="12.75" customHeight="1">
      <c r="A754" s="152"/>
      <c r="B754" s="232"/>
      <c r="C754" s="152"/>
      <c r="D754" s="152"/>
      <c r="E754" s="152"/>
      <c r="F754" s="152"/>
      <c r="G754" s="152"/>
      <c r="H754" s="152"/>
      <c r="I754" s="152"/>
      <c r="J754" s="152"/>
      <c r="K754" s="152"/>
      <c r="L754" s="152"/>
      <c r="M754" s="152"/>
      <c r="N754" s="152"/>
      <c r="O754" s="152"/>
      <c r="P754" s="152"/>
      <c r="Q754" s="152"/>
      <c r="R754" s="152"/>
      <c r="S754" s="152"/>
      <c r="T754" s="152"/>
      <c r="U754" s="152"/>
      <c r="V754" s="152"/>
      <c r="W754" s="152"/>
      <c r="X754" s="152"/>
      <c r="Y754" s="152"/>
      <c r="Z754" s="152"/>
    </row>
    <row r="755" ht="12.75" customHeight="1">
      <c r="A755" s="152"/>
      <c r="B755" s="232"/>
      <c r="C755" s="152"/>
      <c r="D755" s="152"/>
      <c r="E755" s="152"/>
      <c r="F755" s="152"/>
      <c r="G755" s="152"/>
      <c r="H755" s="152"/>
      <c r="I755" s="152"/>
      <c r="J755" s="152"/>
      <c r="K755" s="152"/>
      <c r="L755" s="152"/>
      <c r="M755" s="152"/>
      <c r="N755" s="152"/>
      <c r="O755" s="152"/>
      <c r="P755" s="152"/>
      <c r="Q755" s="152"/>
      <c r="R755" s="152"/>
      <c r="S755" s="152"/>
      <c r="T755" s="152"/>
      <c r="U755" s="152"/>
      <c r="V755" s="152"/>
      <c r="W755" s="152"/>
      <c r="X755" s="152"/>
      <c r="Y755" s="152"/>
      <c r="Z755" s="152"/>
    </row>
    <row r="756" ht="12.75" customHeight="1">
      <c r="A756" s="152"/>
      <c r="B756" s="232"/>
      <c r="C756" s="152"/>
      <c r="D756" s="152"/>
      <c r="E756" s="152"/>
      <c r="F756" s="152"/>
      <c r="G756" s="152"/>
      <c r="H756" s="152"/>
      <c r="I756" s="152"/>
      <c r="J756" s="152"/>
      <c r="K756" s="152"/>
      <c r="L756" s="152"/>
      <c r="M756" s="152"/>
      <c r="N756" s="152"/>
      <c r="O756" s="152"/>
      <c r="P756" s="152"/>
      <c r="Q756" s="152"/>
      <c r="R756" s="152"/>
      <c r="S756" s="152"/>
      <c r="T756" s="152"/>
      <c r="U756" s="152"/>
      <c r="V756" s="152"/>
      <c r="W756" s="152"/>
      <c r="X756" s="152"/>
      <c r="Y756" s="152"/>
      <c r="Z756" s="152"/>
    </row>
    <row r="757" ht="12.75" customHeight="1">
      <c r="A757" s="152"/>
      <c r="B757" s="232"/>
      <c r="C757" s="152"/>
      <c r="D757" s="152"/>
      <c r="E757" s="152"/>
      <c r="F757" s="152"/>
      <c r="G757" s="152"/>
      <c r="H757" s="152"/>
      <c r="I757" s="152"/>
      <c r="J757" s="152"/>
      <c r="K757" s="152"/>
      <c r="L757" s="152"/>
      <c r="M757" s="152"/>
      <c r="N757" s="152"/>
      <c r="O757" s="152"/>
      <c r="P757" s="152"/>
      <c r="Q757" s="152"/>
      <c r="R757" s="152"/>
      <c r="S757" s="152"/>
      <c r="T757" s="152"/>
      <c r="U757" s="152"/>
      <c r="V757" s="152"/>
      <c r="W757" s="152"/>
      <c r="X757" s="152"/>
      <c r="Y757" s="152"/>
      <c r="Z757" s="152"/>
    </row>
    <row r="758" ht="12.75" customHeight="1">
      <c r="A758" s="152"/>
      <c r="B758" s="232"/>
      <c r="C758" s="152"/>
      <c r="D758" s="152"/>
      <c r="E758" s="152"/>
      <c r="F758" s="152"/>
      <c r="G758" s="152"/>
      <c r="H758" s="152"/>
      <c r="I758" s="152"/>
      <c r="J758" s="152"/>
      <c r="K758" s="152"/>
      <c r="L758" s="152"/>
      <c r="M758" s="152"/>
      <c r="N758" s="152"/>
      <c r="O758" s="152"/>
      <c r="P758" s="152"/>
      <c r="Q758" s="152"/>
      <c r="R758" s="152"/>
      <c r="S758" s="152"/>
      <c r="T758" s="152"/>
      <c r="U758" s="152"/>
      <c r="V758" s="152"/>
      <c r="W758" s="152"/>
      <c r="X758" s="152"/>
      <c r="Y758" s="152"/>
      <c r="Z758" s="152"/>
    </row>
    <row r="759" ht="12.75" customHeight="1">
      <c r="A759" s="152"/>
      <c r="B759" s="232"/>
      <c r="C759" s="152"/>
      <c r="D759" s="152"/>
      <c r="E759" s="152"/>
      <c r="F759" s="152"/>
      <c r="G759" s="152"/>
      <c r="H759" s="152"/>
      <c r="I759" s="152"/>
      <c r="J759" s="152"/>
      <c r="K759" s="152"/>
      <c r="L759" s="152"/>
      <c r="M759" s="152"/>
      <c r="N759" s="152"/>
      <c r="O759" s="152"/>
      <c r="P759" s="152"/>
      <c r="Q759" s="152"/>
      <c r="R759" s="152"/>
      <c r="S759" s="152"/>
      <c r="T759" s="152"/>
      <c r="U759" s="152"/>
      <c r="V759" s="152"/>
      <c r="W759" s="152"/>
      <c r="X759" s="152"/>
      <c r="Y759" s="152"/>
      <c r="Z759" s="152"/>
    </row>
    <row r="760" ht="12.75" customHeight="1">
      <c r="A760" s="152"/>
      <c r="B760" s="232"/>
      <c r="C760" s="152"/>
      <c r="D760" s="152"/>
      <c r="E760" s="152"/>
      <c r="F760" s="152"/>
      <c r="G760" s="152"/>
      <c r="H760" s="152"/>
      <c r="I760" s="152"/>
      <c r="J760" s="152"/>
      <c r="K760" s="152"/>
      <c r="L760" s="152"/>
      <c r="M760" s="152"/>
      <c r="N760" s="152"/>
      <c r="O760" s="152"/>
      <c r="P760" s="152"/>
      <c r="Q760" s="152"/>
      <c r="R760" s="152"/>
      <c r="S760" s="152"/>
      <c r="T760" s="152"/>
      <c r="U760" s="152"/>
      <c r="V760" s="152"/>
      <c r="W760" s="152"/>
      <c r="X760" s="152"/>
      <c r="Y760" s="152"/>
      <c r="Z760" s="152"/>
    </row>
    <row r="761" ht="12.75" customHeight="1">
      <c r="A761" s="152"/>
      <c r="B761" s="232"/>
      <c r="C761" s="152"/>
      <c r="D761" s="152"/>
      <c r="E761" s="152"/>
      <c r="F761" s="152"/>
      <c r="G761" s="152"/>
      <c r="H761" s="152"/>
      <c r="I761" s="152"/>
      <c r="J761" s="152"/>
      <c r="K761" s="152"/>
      <c r="L761" s="152"/>
      <c r="M761" s="152"/>
      <c r="N761" s="152"/>
      <c r="O761" s="152"/>
      <c r="P761" s="152"/>
      <c r="Q761" s="152"/>
      <c r="R761" s="152"/>
      <c r="S761" s="152"/>
      <c r="T761" s="152"/>
      <c r="U761" s="152"/>
      <c r="V761" s="152"/>
      <c r="W761" s="152"/>
      <c r="X761" s="152"/>
      <c r="Y761" s="152"/>
      <c r="Z761" s="152"/>
    </row>
    <row r="762" ht="12.75" customHeight="1">
      <c r="A762" s="152"/>
      <c r="B762" s="232"/>
      <c r="C762" s="152"/>
      <c r="D762" s="152"/>
      <c r="E762" s="152"/>
      <c r="F762" s="152"/>
      <c r="G762" s="152"/>
      <c r="H762" s="152"/>
      <c r="I762" s="152"/>
      <c r="J762" s="152"/>
      <c r="K762" s="152"/>
      <c r="L762" s="152"/>
      <c r="M762" s="152"/>
      <c r="N762" s="152"/>
      <c r="O762" s="152"/>
      <c r="P762" s="152"/>
      <c r="Q762" s="152"/>
      <c r="R762" s="152"/>
      <c r="S762" s="152"/>
      <c r="T762" s="152"/>
      <c r="U762" s="152"/>
      <c r="V762" s="152"/>
      <c r="W762" s="152"/>
      <c r="X762" s="152"/>
      <c r="Y762" s="152"/>
      <c r="Z762" s="152"/>
    </row>
    <row r="763" ht="12.75" customHeight="1">
      <c r="A763" s="152"/>
      <c r="B763" s="232"/>
      <c r="C763" s="152"/>
      <c r="D763" s="152"/>
      <c r="E763" s="152"/>
      <c r="F763" s="152"/>
      <c r="G763" s="152"/>
      <c r="H763" s="152"/>
      <c r="I763" s="152"/>
      <c r="J763" s="152"/>
      <c r="K763" s="152"/>
      <c r="L763" s="152"/>
      <c r="M763" s="152"/>
      <c r="N763" s="152"/>
      <c r="O763" s="152"/>
      <c r="P763" s="152"/>
      <c r="Q763" s="152"/>
      <c r="R763" s="152"/>
      <c r="S763" s="152"/>
      <c r="T763" s="152"/>
      <c r="U763" s="152"/>
      <c r="V763" s="152"/>
      <c r="W763" s="152"/>
      <c r="X763" s="152"/>
      <c r="Y763" s="152"/>
      <c r="Z763" s="152"/>
    </row>
    <row r="764" ht="12.75" customHeight="1">
      <c r="A764" s="152"/>
      <c r="B764" s="232"/>
      <c r="C764" s="152"/>
      <c r="D764" s="152"/>
      <c r="E764" s="152"/>
      <c r="F764" s="152"/>
      <c r="G764" s="152"/>
      <c r="H764" s="152"/>
      <c r="I764" s="152"/>
      <c r="J764" s="152"/>
      <c r="K764" s="152"/>
      <c r="L764" s="152"/>
      <c r="M764" s="152"/>
      <c r="N764" s="152"/>
      <c r="O764" s="152"/>
      <c r="P764" s="152"/>
      <c r="Q764" s="152"/>
      <c r="R764" s="152"/>
      <c r="S764" s="152"/>
      <c r="T764" s="152"/>
      <c r="U764" s="152"/>
      <c r="V764" s="152"/>
      <c r="W764" s="152"/>
      <c r="X764" s="152"/>
      <c r="Y764" s="152"/>
      <c r="Z764" s="152"/>
    </row>
    <row r="765" ht="12.75" customHeight="1">
      <c r="A765" s="152"/>
      <c r="B765" s="232"/>
      <c r="C765" s="152"/>
      <c r="D765" s="152"/>
      <c r="E765" s="152"/>
      <c r="F765" s="152"/>
      <c r="G765" s="152"/>
      <c r="H765" s="152"/>
      <c r="I765" s="152"/>
      <c r="J765" s="152"/>
      <c r="K765" s="152"/>
      <c r="L765" s="152"/>
      <c r="M765" s="152"/>
      <c r="N765" s="152"/>
      <c r="O765" s="152"/>
      <c r="P765" s="152"/>
      <c r="Q765" s="152"/>
      <c r="R765" s="152"/>
      <c r="S765" s="152"/>
      <c r="T765" s="152"/>
      <c r="U765" s="152"/>
      <c r="V765" s="152"/>
      <c r="W765" s="152"/>
      <c r="X765" s="152"/>
      <c r="Y765" s="152"/>
      <c r="Z765" s="152"/>
    </row>
    <row r="766" ht="12.75" customHeight="1">
      <c r="A766" s="152"/>
      <c r="B766" s="232"/>
      <c r="C766" s="152"/>
      <c r="D766" s="152"/>
      <c r="E766" s="152"/>
      <c r="F766" s="152"/>
      <c r="G766" s="152"/>
      <c r="H766" s="152"/>
      <c r="I766" s="152"/>
      <c r="J766" s="152"/>
      <c r="K766" s="152"/>
      <c r="L766" s="152"/>
      <c r="M766" s="152"/>
      <c r="N766" s="152"/>
      <c r="O766" s="152"/>
      <c r="P766" s="152"/>
      <c r="Q766" s="152"/>
      <c r="R766" s="152"/>
      <c r="S766" s="152"/>
      <c r="T766" s="152"/>
      <c r="U766" s="152"/>
      <c r="V766" s="152"/>
      <c r="W766" s="152"/>
      <c r="X766" s="152"/>
      <c r="Y766" s="152"/>
      <c r="Z766" s="152"/>
    </row>
    <row r="767" ht="12.75" customHeight="1">
      <c r="A767" s="152"/>
      <c r="B767" s="232"/>
      <c r="C767" s="152"/>
      <c r="D767" s="152"/>
      <c r="E767" s="152"/>
      <c r="F767" s="152"/>
      <c r="G767" s="152"/>
      <c r="H767" s="152"/>
      <c r="I767" s="152"/>
      <c r="J767" s="152"/>
      <c r="K767" s="152"/>
      <c r="L767" s="152"/>
      <c r="M767" s="152"/>
      <c r="N767" s="152"/>
      <c r="O767" s="152"/>
      <c r="P767" s="152"/>
      <c r="Q767" s="152"/>
      <c r="R767" s="152"/>
      <c r="S767" s="152"/>
      <c r="T767" s="152"/>
      <c r="U767" s="152"/>
      <c r="V767" s="152"/>
      <c r="W767" s="152"/>
      <c r="X767" s="152"/>
      <c r="Y767" s="152"/>
      <c r="Z767" s="152"/>
    </row>
    <row r="768" ht="12.75" customHeight="1">
      <c r="A768" s="152"/>
      <c r="B768" s="232"/>
      <c r="C768" s="152"/>
      <c r="D768" s="152"/>
      <c r="E768" s="152"/>
      <c r="F768" s="152"/>
      <c r="G768" s="152"/>
      <c r="H768" s="152"/>
      <c r="I768" s="152"/>
      <c r="J768" s="152"/>
      <c r="K768" s="152"/>
      <c r="L768" s="152"/>
      <c r="M768" s="152"/>
      <c r="N768" s="152"/>
      <c r="O768" s="152"/>
      <c r="P768" s="152"/>
      <c r="Q768" s="152"/>
      <c r="R768" s="152"/>
      <c r="S768" s="152"/>
      <c r="T768" s="152"/>
      <c r="U768" s="152"/>
      <c r="V768" s="152"/>
      <c r="W768" s="152"/>
      <c r="X768" s="152"/>
      <c r="Y768" s="152"/>
      <c r="Z768" s="152"/>
    </row>
    <row r="769" ht="12.75" customHeight="1">
      <c r="A769" s="152"/>
      <c r="B769" s="232"/>
      <c r="C769" s="152"/>
      <c r="D769" s="152"/>
      <c r="E769" s="152"/>
      <c r="F769" s="152"/>
      <c r="G769" s="152"/>
      <c r="H769" s="152"/>
      <c r="I769" s="152"/>
      <c r="J769" s="152"/>
      <c r="K769" s="152"/>
      <c r="L769" s="152"/>
      <c r="M769" s="152"/>
      <c r="N769" s="152"/>
      <c r="O769" s="152"/>
      <c r="P769" s="152"/>
      <c r="Q769" s="152"/>
      <c r="R769" s="152"/>
      <c r="S769" s="152"/>
      <c r="T769" s="152"/>
      <c r="U769" s="152"/>
      <c r="V769" s="152"/>
      <c r="W769" s="152"/>
      <c r="X769" s="152"/>
      <c r="Y769" s="152"/>
      <c r="Z769" s="152"/>
    </row>
    <row r="770" ht="12.75" customHeight="1">
      <c r="A770" s="152"/>
      <c r="B770" s="232"/>
      <c r="C770" s="152"/>
      <c r="D770" s="152"/>
      <c r="E770" s="152"/>
      <c r="F770" s="152"/>
      <c r="G770" s="152"/>
      <c r="H770" s="152"/>
      <c r="I770" s="152"/>
      <c r="J770" s="152"/>
      <c r="K770" s="152"/>
      <c r="L770" s="152"/>
      <c r="M770" s="152"/>
      <c r="N770" s="152"/>
      <c r="O770" s="152"/>
      <c r="P770" s="152"/>
      <c r="Q770" s="152"/>
      <c r="R770" s="152"/>
      <c r="S770" s="152"/>
      <c r="T770" s="152"/>
      <c r="U770" s="152"/>
      <c r="V770" s="152"/>
      <c r="W770" s="152"/>
      <c r="X770" s="152"/>
      <c r="Y770" s="152"/>
      <c r="Z770" s="152"/>
    </row>
    <row r="771" ht="12.75" customHeight="1">
      <c r="A771" s="152"/>
      <c r="B771" s="232"/>
      <c r="C771" s="152"/>
      <c r="D771" s="152"/>
      <c r="E771" s="152"/>
      <c r="F771" s="152"/>
      <c r="G771" s="152"/>
      <c r="H771" s="152"/>
      <c r="I771" s="152"/>
      <c r="J771" s="152"/>
      <c r="K771" s="152"/>
      <c r="L771" s="152"/>
      <c r="M771" s="152"/>
      <c r="N771" s="152"/>
      <c r="O771" s="152"/>
      <c r="P771" s="152"/>
      <c r="Q771" s="152"/>
      <c r="R771" s="152"/>
      <c r="S771" s="152"/>
      <c r="T771" s="152"/>
      <c r="U771" s="152"/>
      <c r="V771" s="152"/>
      <c r="W771" s="152"/>
      <c r="X771" s="152"/>
      <c r="Y771" s="152"/>
      <c r="Z771" s="152"/>
    </row>
    <row r="772" ht="12.75" customHeight="1">
      <c r="A772" s="152"/>
      <c r="B772" s="232"/>
      <c r="C772" s="152"/>
      <c r="D772" s="152"/>
      <c r="E772" s="152"/>
      <c r="F772" s="152"/>
      <c r="G772" s="152"/>
      <c r="H772" s="152"/>
      <c r="I772" s="152"/>
      <c r="J772" s="152"/>
      <c r="K772" s="152"/>
      <c r="L772" s="152"/>
      <c r="M772" s="152"/>
      <c r="N772" s="152"/>
      <c r="O772" s="152"/>
      <c r="P772" s="152"/>
      <c r="Q772" s="152"/>
      <c r="R772" s="152"/>
      <c r="S772" s="152"/>
      <c r="T772" s="152"/>
      <c r="U772" s="152"/>
      <c r="V772" s="152"/>
      <c r="W772" s="152"/>
      <c r="X772" s="152"/>
      <c r="Y772" s="152"/>
      <c r="Z772" s="152"/>
    </row>
    <row r="773" ht="12.75" customHeight="1">
      <c r="A773" s="152"/>
      <c r="B773" s="232"/>
      <c r="C773" s="152"/>
      <c r="D773" s="152"/>
      <c r="E773" s="152"/>
      <c r="F773" s="152"/>
      <c r="G773" s="152"/>
      <c r="H773" s="152"/>
      <c r="I773" s="152"/>
      <c r="J773" s="152"/>
      <c r="K773" s="152"/>
      <c r="L773" s="152"/>
      <c r="M773" s="152"/>
      <c r="N773" s="152"/>
      <c r="O773" s="152"/>
      <c r="P773" s="152"/>
      <c r="Q773" s="152"/>
      <c r="R773" s="152"/>
      <c r="S773" s="152"/>
      <c r="T773" s="152"/>
      <c r="U773" s="152"/>
      <c r="V773" s="152"/>
      <c r="W773" s="152"/>
      <c r="X773" s="152"/>
      <c r="Y773" s="152"/>
      <c r="Z773" s="152"/>
    </row>
    <row r="774" ht="12.75" customHeight="1">
      <c r="A774" s="152"/>
      <c r="B774" s="232"/>
      <c r="C774" s="152"/>
      <c r="D774" s="152"/>
      <c r="E774" s="152"/>
      <c r="F774" s="152"/>
      <c r="G774" s="152"/>
      <c r="H774" s="152"/>
      <c r="I774" s="152"/>
      <c r="J774" s="152"/>
      <c r="K774" s="152"/>
      <c r="L774" s="152"/>
      <c r="M774" s="152"/>
      <c r="N774" s="152"/>
      <c r="O774" s="152"/>
      <c r="P774" s="152"/>
      <c r="Q774" s="152"/>
      <c r="R774" s="152"/>
      <c r="S774" s="152"/>
      <c r="T774" s="152"/>
      <c r="U774" s="152"/>
      <c r="V774" s="152"/>
      <c r="W774" s="152"/>
      <c r="X774" s="152"/>
      <c r="Y774" s="152"/>
      <c r="Z774" s="152"/>
    </row>
    <row r="775" ht="12.75" customHeight="1">
      <c r="A775" s="152"/>
      <c r="B775" s="232"/>
      <c r="C775" s="152"/>
      <c r="D775" s="152"/>
      <c r="E775" s="152"/>
      <c r="F775" s="152"/>
      <c r="G775" s="152"/>
      <c r="H775" s="152"/>
      <c r="I775" s="152"/>
      <c r="J775" s="152"/>
      <c r="K775" s="152"/>
      <c r="L775" s="152"/>
      <c r="M775" s="152"/>
      <c r="N775" s="152"/>
      <c r="O775" s="152"/>
      <c r="P775" s="152"/>
      <c r="Q775" s="152"/>
      <c r="R775" s="152"/>
      <c r="S775" s="152"/>
      <c r="T775" s="152"/>
      <c r="U775" s="152"/>
      <c r="V775" s="152"/>
      <c r="W775" s="152"/>
      <c r="X775" s="152"/>
      <c r="Y775" s="152"/>
      <c r="Z775" s="152"/>
    </row>
    <row r="776" ht="12.75" customHeight="1">
      <c r="A776" s="152"/>
      <c r="B776" s="232"/>
      <c r="C776" s="152"/>
      <c r="D776" s="152"/>
      <c r="E776" s="152"/>
      <c r="F776" s="152"/>
      <c r="G776" s="152"/>
      <c r="H776" s="152"/>
      <c r="I776" s="152"/>
      <c r="J776" s="152"/>
      <c r="K776" s="152"/>
      <c r="L776" s="152"/>
      <c r="M776" s="152"/>
      <c r="N776" s="152"/>
      <c r="O776" s="152"/>
      <c r="P776" s="152"/>
      <c r="Q776" s="152"/>
      <c r="R776" s="152"/>
      <c r="S776" s="152"/>
      <c r="T776" s="152"/>
      <c r="U776" s="152"/>
      <c r="V776" s="152"/>
      <c r="W776" s="152"/>
      <c r="X776" s="152"/>
      <c r="Y776" s="152"/>
      <c r="Z776" s="152"/>
    </row>
    <row r="777" ht="12.75" customHeight="1">
      <c r="A777" s="152"/>
      <c r="B777" s="232"/>
      <c r="C777" s="152"/>
      <c r="D777" s="152"/>
      <c r="E777" s="152"/>
      <c r="F777" s="152"/>
      <c r="G777" s="152"/>
      <c r="H777" s="152"/>
      <c r="I777" s="152"/>
      <c r="J777" s="152"/>
      <c r="K777" s="152"/>
      <c r="L777" s="152"/>
      <c r="M777" s="152"/>
      <c r="N777" s="152"/>
      <c r="O777" s="152"/>
      <c r="P777" s="152"/>
      <c r="Q777" s="152"/>
      <c r="R777" s="152"/>
      <c r="S777" s="152"/>
      <c r="T777" s="152"/>
      <c r="U777" s="152"/>
      <c r="V777" s="152"/>
      <c r="W777" s="152"/>
      <c r="X777" s="152"/>
      <c r="Y777" s="152"/>
      <c r="Z777" s="152"/>
    </row>
    <row r="778" ht="12.75" customHeight="1">
      <c r="A778" s="152"/>
      <c r="B778" s="232"/>
      <c r="C778" s="152"/>
      <c r="D778" s="152"/>
      <c r="E778" s="152"/>
      <c r="F778" s="152"/>
      <c r="G778" s="152"/>
      <c r="H778" s="152"/>
      <c r="I778" s="152"/>
      <c r="J778" s="152"/>
      <c r="K778" s="152"/>
      <c r="L778" s="152"/>
      <c r="M778" s="152"/>
      <c r="N778" s="152"/>
      <c r="O778" s="152"/>
      <c r="P778" s="152"/>
      <c r="Q778" s="152"/>
      <c r="R778" s="152"/>
      <c r="S778" s="152"/>
      <c r="T778" s="152"/>
      <c r="U778" s="152"/>
      <c r="V778" s="152"/>
      <c r="W778" s="152"/>
      <c r="X778" s="152"/>
      <c r="Y778" s="152"/>
      <c r="Z778" s="152"/>
    </row>
    <row r="779" ht="12.75" customHeight="1">
      <c r="A779" s="152"/>
      <c r="B779" s="232"/>
      <c r="C779" s="152"/>
      <c r="D779" s="152"/>
      <c r="E779" s="152"/>
      <c r="F779" s="152"/>
      <c r="G779" s="152"/>
      <c r="H779" s="152"/>
      <c r="I779" s="152"/>
      <c r="J779" s="152"/>
      <c r="K779" s="152"/>
      <c r="L779" s="152"/>
      <c r="M779" s="152"/>
      <c r="N779" s="152"/>
      <c r="O779" s="152"/>
      <c r="P779" s="152"/>
      <c r="Q779" s="152"/>
      <c r="R779" s="152"/>
      <c r="S779" s="152"/>
      <c r="T779" s="152"/>
      <c r="U779" s="152"/>
      <c r="V779" s="152"/>
      <c r="W779" s="152"/>
      <c r="X779" s="152"/>
      <c r="Y779" s="152"/>
      <c r="Z779" s="152"/>
    </row>
    <row r="780" ht="12.75" customHeight="1">
      <c r="A780" s="152"/>
      <c r="B780" s="232"/>
      <c r="C780" s="152"/>
      <c r="D780" s="152"/>
      <c r="E780" s="152"/>
      <c r="F780" s="152"/>
      <c r="G780" s="152"/>
      <c r="H780" s="152"/>
      <c r="I780" s="152"/>
      <c r="J780" s="152"/>
      <c r="K780" s="152"/>
      <c r="L780" s="152"/>
      <c r="M780" s="152"/>
      <c r="N780" s="152"/>
      <c r="O780" s="152"/>
      <c r="P780" s="152"/>
      <c r="Q780" s="152"/>
      <c r="R780" s="152"/>
      <c r="S780" s="152"/>
      <c r="T780" s="152"/>
      <c r="U780" s="152"/>
      <c r="V780" s="152"/>
      <c r="W780" s="152"/>
      <c r="X780" s="152"/>
      <c r="Y780" s="152"/>
      <c r="Z780" s="152"/>
    </row>
    <row r="781" ht="12.75" customHeight="1">
      <c r="A781" s="152"/>
      <c r="B781" s="232"/>
      <c r="C781" s="152"/>
      <c r="D781" s="152"/>
      <c r="E781" s="152"/>
      <c r="F781" s="152"/>
      <c r="G781" s="152"/>
      <c r="H781" s="152"/>
      <c r="I781" s="152"/>
      <c r="J781" s="152"/>
      <c r="K781" s="152"/>
      <c r="L781" s="152"/>
      <c r="M781" s="152"/>
      <c r="N781" s="152"/>
      <c r="O781" s="152"/>
      <c r="P781" s="152"/>
      <c r="Q781" s="152"/>
      <c r="R781" s="152"/>
      <c r="S781" s="152"/>
      <c r="T781" s="152"/>
      <c r="U781" s="152"/>
      <c r="V781" s="152"/>
      <c r="W781" s="152"/>
      <c r="X781" s="152"/>
      <c r="Y781" s="152"/>
      <c r="Z781" s="152"/>
    </row>
    <row r="782" ht="12.75" customHeight="1">
      <c r="A782" s="152"/>
      <c r="B782" s="232"/>
      <c r="C782" s="152"/>
      <c r="D782" s="152"/>
      <c r="E782" s="152"/>
      <c r="F782" s="152"/>
      <c r="G782" s="152"/>
      <c r="H782" s="152"/>
      <c r="I782" s="152"/>
      <c r="J782" s="152"/>
      <c r="K782" s="152"/>
      <c r="L782" s="152"/>
      <c r="M782" s="152"/>
      <c r="N782" s="152"/>
      <c r="O782" s="152"/>
      <c r="P782" s="152"/>
      <c r="Q782" s="152"/>
      <c r="R782" s="152"/>
      <c r="S782" s="152"/>
      <c r="T782" s="152"/>
      <c r="U782" s="152"/>
      <c r="V782" s="152"/>
      <c r="W782" s="152"/>
      <c r="X782" s="152"/>
      <c r="Y782" s="152"/>
      <c r="Z782" s="152"/>
    </row>
    <row r="783" ht="12.75" customHeight="1">
      <c r="A783" s="152"/>
      <c r="B783" s="232"/>
      <c r="C783" s="152"/>
      <c r="D783" s="152"/>
      <c r="E783" s="152"/>
      <c r="F783" s="152"/>
      <c r="G783" s="152"/>
      <c r="H783" s="152"/>
      <c r="I783" s="152"/>
      <c r="J783" s="152"/>
      <c r="K783" s="152"/>
      <c r="L783" s="152"/>
      <c r="M783" s="152"/>
      <c r="N783" s="152"/>
      <c r="O783" s="152"/>
      <c r="P783" s="152"/>
      <c r="Q783" s="152"/>
      <c r="R783" s="152"/>
      <c r="S783" s="152"/>
      <c r="T783" s="152"/>
      <c r="U783" s="152"/>
      <c r="V783" s="152"/>
      <c r="W783" s="152"/>
      <c r="X783" s="152"/>
      <c r="Y783" s="152"/>
      <c r="Z783" s="152"/>
    </row>
    <row r="784" ht="12.75" customHeight="1">
      <c r="A784" s="152"/>
      <c r="B784" s="232"/>
      <c r="C784" s="152"/>
      <c r="D784" s="152"/>
      <c r="E784" s="152"/>
      <c r="F784" s="152"/>
      <c r="G784" s="152"/>
      <c r="H784" s="152"/>
      <c r="I784" s="152"/>
      <c r="J784" s="152"/>
      <c r="K784" s="152"/>
      <c r="L784" s="152"/>
      <c r="M784" s="152"/>
      <c r="N784" s="152"/>
      <c r="O784" s="152"/>
      <c r="P784" s="152"/>
      <c r="Q784" s="152"/>
      <c r="R784" s="152"/>
      <c r="S784" s="152"/>
      <c r="T784" s="152"/>
      <c r="U784" s="152"/>
      <c r="V784" s="152"/>
      <c r="W784" s="152"/>
      <c r="X784" s="152"/>
      <c r="Y784" s="152"/>
      <c r="Z784" s="152"/>
    </row>
    <row r="785" ht="12.75" customHeight="1">
      <c r="A785" s="152"/>
      <c r="B785" s="232"/>
      <c r="C785" s="152"/>
      <c r="D785" s="152"/>
      <c r="E785" s="152"/>
      <c r="F785" s="152"/>
      <c r="G785" s="152"/>
      <c r="H785" s="152"/>
      <c r="I785" s="152"/>
      <c r="J785" s="152"/>
      <c r="K785" s="152"/>
      <c r="L785" s="152"/>
      <c r="M785" s="152"/>
      <c r="N785" s="152"/>
      <c r="O785" s="152"/>
      <c r="P785" s="152"/>
      <c r="Q785" s="152"/>
      <c r="R785" s="152"/>
      <c r="S785" s="152"/>
      <c r="T785" s="152"/>
      <c r="U785" s="152"/>
      <c r="V785" s="152"/>
      <c r="W785" s="152"/>
      <c r="X785" s="152"/>
      <c r="Y785" s="152"/>
      <c r="Z785" s="152"/>
    </row>
    <row r="786" ht="12.75" customHeight="1">
      <c r="A786" s="152"/>
      <c r="B786" s="232"/>
      <c r="C786" s="152"/>
      <c r="D786" s="152"/>
      <c r="E786" s="152"/>
      <c r="F786" s="152"/>
      <c r="G786" s="152"/>
      <c r="H786" s="152"/>
      <c r="I786" s="152"/>
      <c r="J786" s="152"/>
      <c r="K786" s="152"/>
      <c r="L786" s="152"/>
      <c r="M786" s="152"/>
      <c r="N786" s="152"/>
      <c r="O786" s="152"/>
      <c r="P786" s="152"/>
      <c r="Q786" s="152"/>
      <c r="R786" s="152"/>
      <c r="S786" s="152"/>
      <c r="T786" s="152"/>
      <c r="U786" s="152"/>
      <c r="V786" s="152"/>
      <c r="W786" s="152"/>
      <c r="X786" s="152"/>
      <c r="Y786" s="152"/>
      <c r="Z786" s="152"/>
    </row>
    <row r="787" ht="12.75" customHeight="1">
      <c r="A787" s="152"/>
      <c r="B787" s="232"/>
      <c r="C787" s="152"/>
      <c r="D787" s="152"/>
      <c r="E787" s="152"/>
      <c r="F787" s="152"/>
      <c r="G787" s="152"/>
      <c r="H787" s="152"/>
      <c r="I787" s="152"/>
      <c r="J787" s="152"/>
      <c r="K787" s="152"/>
      <c r="L787" s="152"/>
      <c r="M787" s="152"/>
      <c r="N787" s="152"/>
      <c r="O787" s="152"/>
      <c r="P787" s="152"/>
      <c r="Q787" s="152"/>
      <c r="R787" s="152"/>
      <c r="S787" s="152"/>
      <c r="T787" s="152"/>
      <c r="U787" s="152"/>
      <c r="V787" s="152"/>
      <c r="W787" s="152"/>
      <c r="X787" s="152"/>
      <c r="Y787" s="152"/>
      <c r="Z787" s="152"/>
    </row>
    <row r="788" ht="12.75" customHeight="1">
      <c r="A788" s="152"/>
      <c r="B788" s="232"/>
      <c r="C788" s="152"/>
      <c r="D788" s="152"/>
      <c r="E788" s="152"/>
      <c r="F788" s="152"/>
      <c r="G788" s="152"/>
      <c r="H788" s="152"/>
      <c r="I788" s="152"/>
      <c r="J788" s="152"/>
      <c r="K788" s="152"/>
      <c r="L788" s="152"/>
      <c r="M788" s="152"/>
      <c r="N788" s="152"/>
      <c r="O788" s="152"/>
      <c r="P788" s="152"/>
      <c r="Q788" s="152"/>
      <c r="R788" s="152"/>
      <c r="S788" s="152"/>
      <c r="T788" s="152"/>
      <c r="U788" s="152"/>
      <c r="V788" s="152"/>
      <c r="W788" s="152"/>
      <c r="X788" s="152"/>
      <c r="Y788" s="152"/>
      <c r="Z788" s="152"/>
    </row>
    <row r="789" ht="12.75" customHeight="1">
      <c r="A789" s="152"/>
      <c r="B789" s="232"/>
      <c r="C789" s="152"/>
      <c r="D789" s="152"/>
      <c r="E789" s="152"/>
      <c r="F789" s="152"/>
      <c r="G789" s="152"/>
      <c r="H789" s="152"/>
      <c r="I789" s="152"/>
      <c r="J789" s="152"/>
      <c r="K789" s="152"/>
      <c r="L789" s="152"/>
      <c r="M789" s="152"/>
      <c r="N789" s="152"/>
      <c r="O789" s="152"/>
      <c r="P789" s="152"/>
      <c r="Q789" s="152"/>
      <c r="R789" s="152"/>
      <c r="S789" s="152"/>
      <c r="T789" s="152"/>
      <c r="U789" s="152"/>
      <c r="V789" s="152"/>
      <c r="W789" s="152"/>
      <c r="X789" s="152"/>
      <c r="Y789" s="152"/>
      <c r="Z789" s="152"/>
    </row>
    <row r="790" ht="12.75" customHeight="1">
      <c r="A790" s="152"/>
      <c r="B790" s="232"/>
      <c r="C790" s="152"/>
      <c r="D790" s="152"/>
      <c r="E790" s="152"/>
      <c r="F790" s="152"/>
      <c r="G790" s="152"/>
      <c r="H790" s="152"/>
      <c r="I790" s="152"/>
      <c r="J790" s="152"/>
      <c r="K790" s="152"/>
      <c r="L790" s="152"/>
      <c r="M790" s="152"/>
      <c r="N790" s="152"/>
      <c r="O790" s="152"/>
      <c r="P790" s="152"/>
      <c r="Q790" s="152"/>
      <c r="R790" s="152"/>
      <c r="S790" s="152"/>
      <c r="T790" s="152"/>
      <c r="U790" s="152"/>
      <c r="V790" s="152"/>
      <c r="W790" s="152"/>
      <c r="X790" s="152"/>
      <c r="Y790" s="152"/>
      <c r="Z790" s="152"/>
    </row>
    <row r="791" ht="12.75" customHeight="1">
      <c r="A791" s="152"/>
      <c r="B791" s="232"/>
      <c r="C791" s="152"/>
      <c r="D791" s="152"/>
      <c r="E791" s="152"/>
      <c r="F791" s="152"/>
      <c r="G791" s="152"/>
      <c r="H791" s="152"/>
      <c r="I791" s="152"/>
      <c r="J791" s="152"/>
      <c r="K791" s="152"/>
      <c r="L791" s="152"/>
      <c r="M791" s="152"/>
      <c r="N791" s="152"/>
      <c r="O791" s="152"/>
      <c r="P791" s="152"/>
      <c r="Q791" s="152"/>
      <c r="R791" s="152"/>
      <c r="S791" s="152"/>
      <c r="T791" s="152"/>
      <c r="U791" s="152"/>
      <c r="V791" s="152"/>
      <c r="W791" s="152"/>
      <c r="X791" s="152"/>
      <c r="Y791" s="152"/>
      <c r="Z791" s="152"/>
    </row>
    <row r="792" ht="12.75" customHeight="1">
      <c r="A792" s="152"/>
      <c r="B792" s="232"/>
      <c r="C792" s="152"/>
      <c r="D792" s="152"/>
      <c r="E792" s="152"/>
      <c r="F792" s="152"/>
      <c r="G792" s="152"/>
      <c r="H792" s="152"/>
      <c r="I792" s="152"/>
      <c r="J792" s="152"/>
      <c r="K792" s="152"/>
      <c r="L792" s="152"/>
      <c r="M792" s="152"/>
      <c r="N792" s="152"/>
      <c r="O792" s="152"/>
      <c r="P792" s="152"/>
      <c r="Q792" s="152"/>
      <c r="R792" s="152"/>
      <c r="S792" s="152"/>
      <c r="T792" s="152"/>
      <c r="U792" s="152"/>
      <c r="V792" s="152"/>
      <c r="W792" s="152"/>
      <c r="X792" s="152"/>
      <c r="Y792" s="152"/>
      <c r="Z792" s="152"/>
    </row>
    <row r="793" ht="12.75" customHeight="1">
      <c r="A793" s="152"/>
      <c r="B793" s="232"/>
      <c r="C793" s="152"/>
      <c r="D793" s="152"/>
      <c r="E793" s="152"/>
      <c r="F793" s="152"/>
      <c r="G793" s="152"/>
      <c r="H793" s="152"/>
      <c r="I793" s="152"/>
      <c r="J793" s="152"/>
      <c r="K793" s="152"/>
      <c r="L793" s="152"/>
      <c r="M793" s="152"/>
      <c r="N793" s="152"/>
      <c r="O793" s="152"/>
      <c r="P793" s="152"/>
      <c r="Q793" s="152"/>
      <c r="R793" s="152"/>
      <c r="S793" s="152"/>
      <c r="T793" s="152"/>
      <c r="U793" s="152"/>
      <c r="V793" s="152"/>
      <c r="W793" s="152"/>
      <c r="X793" s="152"/>
      <c r="Y793" s="152"/>
      <c r="Z793" s="152"/>
    </row>
    <row r="794" ht="12.75" customHeight="1">
      <c r="A794" s="152"/>
      <c r="B794" s="232"/>
      <c r="C794" s="152"/>
      <c r="D794" s="152"/>
      <c r="E794" s="152"/>
      <c r="F794" s="152"/>
      <c r="G794" s="152"/>
      <c r="H794" s="152"/>
      <c r="I794" s="152"/>
      <c r="J794" s="152"/>
      <c r="K794" s="152"/>
      <c r="L794" s="152"/>
      <c r="M794" s="152"/>
      <c r="N794" s="152"/>
      <c r="O794" s="152"/>
      <c r="P794" s="152"/>
      <c r="Q794" s="152"/>
      <c r="R794" s="152"/>
      <c r="S794" s="152"/>
      <c r="T794" s="152"/>
      <c r="U794" s="152"/>
      <c r="V794" s="152"/>
      <c r="W794" s="152"/>
      <c r="X794" s="152"/>
      <c r="Y794" s="152"/>
      <c r="Z794" s="152"/>
    </row>
    <row r="795" ht="12.75" customHeight="1">
      <c r="A795" s="152"/>
      <c r="B795" s="232"/>
      <c r="C795" s="152"/>
      <c r="D795" s="152"/>
      <c r="E795" s="152"/>
      <c r="F795" s="152"/>
      <c r="G795" s="152"/>
      <c r="H795" s="152"/>
      <c r="I795" s="152"/>
      <c r="J795" s="152"/>
      <c r="K795" s="152"/>
      <c r="L795" s="152"/>
      <c r="M795" s="152"/>
      <c r="N795" s="152"/>
      <c r="O795" s="152"/>
      <c r="P795" s="152"/>
      <c r="Q795" s="152"/>
      <c r="R795" s="152"/>
      <c r="S795" s="152"/>
      <c r="T795" s="152"/>
      <c r="U795" s="152"/>
      <c r="V795" s="152"/>
      <c r="W795" s="152"/>
      <c r="X795" s="152"/>
      <c r="Y795" s="152"/>
      <c r="Z795" s="152"/>
    </row>
    <row r="796" ht="12.75" customHeight="1">
      <c r="A796" s="152"/>
      <c r="B796" s="232"/>
      <c r="C796" s="152"/>
      <c r="D796" s="152"/>
      <c r="E796" s="152"/>
      <c r="F796" s="152"/>
      <c r="G796" s="152"/>
      <c r="H796" s="152"/>
      <c r="I796" s="152"/>
      <c r="J796" s="152"/>
      <c r="K796" s="152"/>
      <c r="L796" s="152"/>
      <c r="M796" s="152"/>
      <c r="N796" s="152"/>
      <c r="O796" s="152"/>
      <c r="P796" s="152"/>
      <c r="Q796" s="152"/>
      <c r="R796" s="152"/>
      <c r="S796" s="152"/>
      <c r="T796" s="152"/>
      <c r="U796" s="152"/>
      <c r="V796" s="152"/>
      <c r="W796" s="152"/>
      <c r="X796" s="152"/>
      <c r="Y796" s="152"/>
      <c r="Z796" s="152"/>
    </row>
    <row r="797" ht="12.75" customHeight="1">
      <c r="A797" s="152"/>
      <c r="B797" s="232"/>
      <c r="C797" s="152"/>
      <c r="D797" s="152"/>
      <c r="E797" s="152"/>
      <c r="F797" s="152"/>
      <c r="G797" s="152"/>
      <c r="H797" s="152"/>
      <c r="I797" s="152"/>
      <c r="J797" s="152"/>
      <c r="K797" s="152"/>
      <c r="L797" s="152"/>
      <c r="M797" s="152"/>
      <c r="N797" s="152"/>
      <c r="O797" s="152"/>
      <c r="P797" s="152"/>
      <c r="Q797" s="152"/>
      <c r="R797" s="152"/>
      <c r="S797" s="152"/>
      <c r="T797" s="152"/>
      <c r="U797" s="152"/>
      <c r="V797" s="152"/>
      <c r="W797" s="152"/>
      <c r="X797" s="152"/>
      <c r="Y797" s="152"/>
      <c r="Z797" s="152"/>
    </row>
    <row r="798" ht="12.75" customHeight="1">
      <c r="A798" s="152"/>
      <c r="B798" s="232"/>
      <c r="C798" s="152"/>
      <c r="D798" s="152"/>
      <c r="E798" s="152"/>
      <c r="F798" s="152"/>
      <c r="G798" s="152"/>
      <c r="H798" s="152"/>
      <c r="I798" s="152"/>
      <c r="J798" s="152"/>
      <c r="K798" s="152"/>
      <c r="L798" s="152"/>
      <c r="M798" s="152"/>
      <c r="N798" s="152"/>
      <c r="O798" s="152"/>
      <c r="P798" s="152"/>
      <c r="Q798" s="152"/>
      <c r="R798" s="152"/>
      <c r="S798" s="152"/>
      <c r="T798" s="152"/>
      <c r="U798" s="152"/>
      <c r="V798" s="152"/>
      <c r="W798" s="152"/>
      <c r="X798" s="152"/>
      <c r="Y798" s="152"/>
      <c r="Z798" s="152"/>
    </row>
    <row r="799" ht="12.75" customHeight="1">
      <c r="A799" s="152"/>
      <c r="B799" s="232"/>
      <c r="C799" s="152"/>
      <c r="D799" s="152"/>
      <c r="E799" s="152"/>
      <c r="F799" s="152"/>
      <c r="G799" s="152"/>
      <c r="H799" s="152"/>
      <c r="I799" s="152"/>
      <c r="J799" s="152"/>
      <c r="K799" s="152"/>
      <c r="L799" s="152"/>
      <c r="M799" s="152"/>
      <c r="N799" s="152"/>
      <c r="O799" s="152"/>
      <c r="P799" s="152"/>
      <c r="Q799" s="152"/>
      <c r="R799" s="152"/>
      <c r="S799" s="152"/>
      <c r="T799" s="152"/>
      <c r="U799" s="152"/>
      <c r="V799" s="152"/>
      <c r="W799" s="152"/>
      <c r="X799" s="152"/>
      <c r="Y799" s="152"/>
      <c r="Z799" s="152"/>
    </row>
    <row r="800" ht="12.75" customHeight="1">
      <c r="A800" s="152"/>
      <c r="B800" s="232"/>
      <c r="C800" s="152"/>
      <c r="D800" s="152"/>
      <c r="E800" s="152"/>
      <c r="F800" s="152"/>
      <c r="G800" s="152"/>
      <c r="H800" s="152"/>
      <c r="I800" s="152"/>
      <c r="J800" s="152"/>
      <c r="K800" s="152"/>
      <c r="L800" s="152"/>
      <c r="M800" s="152"/>
      <c r="N800" s="152"/>
      <c r="O800" s="152"/>
      <c r="P800" s="152"/>
      <c r="Q800" s="152"/>
      <c r="R800" s="152"/>
      <c r="S800" s="152"/>
      <c r="T800" s="152"/>
      <c r="U800" s="152"/>
      <c r="V800" s="152"/>
      <c r="W800" s="152"/>
      <c r="X800" s="152"/>
      <c r="Y800" s="152"/>
      <c r="Z800" s="152"/>
    </row>
    <row r="801" ht="12.75" customHeight="1">
      <c r="A801" s="152"/>
      <c r="B801" s="232"/>
      <c r="C801" s="152"/>
      <c r="D801" s="152"/>
      <c r="E801" s="152"/>
      <c r="F801" s="152"/>
      <c r="G801" s="152"/>
      <c r="H801" s="152"/>
      <c r="I801" s="152"/>
      <c r="J801" s="152"/>
      <c r="K801" s="152"/>
      <c r="L801" s="152"/>
      <c r="M801" s="152"/>
      <c r="N801" s="152"/>
      <c r="O801" s="152"/>
      <c r="P801" s="152"/>
      <c r="Q801" s="152"/>
      <c r="R801" s="152"/>
      <c r="S801" s="152"/>
      <c r="T801" s="152"/>
      <c r="U801" s="152"/>
      <c r="V801" s="152"/>
      <c r="W801" s="152"/>
      <c r="X801" s="152"/>
      <c r="Y801" s="152"/>
      <c r="Z801" s="152"/>
    </row>
    <row r="802" ht="12.75" customHeight="1">
      <c r="A802" s="152"/>
      <c r="B802" s="232"/>
      <c r="C802" s="152"/>
      <c r="D802" s="152"/>
      <c r="E802" s="152"/>
      <c r="F802" s="152"/>
      <c r="G802" s="152"/>
      <c r="H802" s="152"/>
      <c r="I802" s="152"/>
      <c r="J802" s="152"/>
      <c r="K802" s="152"/>
      <c r="L802" s="152"/>
      <c r="M802" s="152"/>
      <c r="N802" s="152"/>
      <c r="O802" s="152"/>
      <c r="P802" s="152"/>
      <c r="Q802" s="152"/>
      <c r="R802" s="152"/>
      <c r="S802" s="152"/>
      <c r="T802" s="152"/>
      <c r="U802" s="152"/>
      <c r="V802" s="152"/>
      <c r="W802" s="152"/>
      <c r="X802" s="152"/>
      <c r="Y802" s="152"/>
      <c r="Z802" s="152"/>
    </row>
    <row r="803" ht="12.75" customHeight="1">
      <c r="A803" s="152"/>
      <c r="B803" s="232"/>
      <c r="C803" s="152"/>
      <c r="D803" s="152"/>
      <c r="E803" s="152"/>
      <c r="F803" s="152"/>
      <c r="G803" s="152"/>
      <c r="H803" s="152"/>
      <c r="I803" s="152"/>
      <c r="J803" s="152"/>
      <c r="K803" s="152"/>
      <c r="L803" s="152"/>
      <c r="M803" s="152"/>
      <c r="N803" s="152"/>
      <c r="O803" s="152"/>
      <c r="P803" s="152"/>
      <c r="Q803" s="152"/>
      <c r="R803" s="152"/>
      <c r="S803" s="152"/>
      <c r="T803" s="152"/>
      <c r="U803" s="152"/>
      <c r="V803" s="152"/>
      <c r="W803" s="152"/>
      <c r="X803" s="152"/>
      <c r="Y803" s="152"/>
      <c r="Z803" s="152"/>
    </row>
    <row r="804" ht="12.75" customHeight="1">
      <c r="A804" s="152"/>
      <c r="B804" s="232"/>
      <c r="C804" s="152"/>
      <c r="D804" s="152"/>
      <c r="E804" s="152"/>
      <c r="F804" s="152"/>
      <c r="G804" s="152"/>
      <c r="H804" s="152"/>
      <c r="I804" s="152"/>
      <c r="J804" s="152"/>
      <c r="K804" s="152"/>
      <c r="L804" s="152"/>
      <c r="M804" s="152"/>
      <c r="N804" s="152"/>
      <c r="O804" s="152"/>
      <c r="P804" s="152"/>
      <c r="Q804" s="152"/>
      <c r="R804" s="152"/>
      <c r="S804" s="152"/>
      <c r="T804" s="152"/>
      <c r="U804" s="152"/>
      <c r="V804" s="152"/>
      <c r="W804" s="152"/>
      <c r="X804" s="152"/>
      <c r="Y804" s="152"/>
      <c r="Z804" s="152"/>
    </row>
    <row r="805" ht="12.75" customHeight="1">
      <c r="A805" s="152"/>
      <c r="B805" s="232"/>
      <c r="C805" s="152"/>
      <c r="D805" s="152"/>
      <c r="E805" s="152"/>
      <c r="F805" s="152"/>
      <c r="G805" s="152"/>
      <c r="H805" s="152"/>
      <c r="I805" s="152"/>
      <c r="J805" s="152"/>
      <c r="K805" s="152"/>
      <c r="L805" s="152"/>
      <c r="M805" s="152"/>
      <c r="N805" s="152"/>
      <c r="O805" s="152"/>
      <c r="P805" s="152"/>
      <c r="Q805" s="152"/>
      <c r="R805" s="152"/>
      <c r="S805" s="152"/>
      <c r="T805" s="152"/>
      <c r="U805" s="152"/>
      <c r="V805" s="152"/>
      <c r="W805" s="152"/>
      <c r="X805" s="152"/>
      <c r="Y805" s="152"/>
      <c r="Z805" s="152"/>
    </row>
    <row r="806" ht="12.75" customHeight="1">
      <c r="A806" s="152"/>
      <c r="B806" s="232"/>
      <c r="C806" s="152"/>
      <c r="D806" s="152"/>
      <c r="E806" s="152"/>
      <c r="F806" s="152"/>
      <c r="G806" s="152"/>
      <c r="H806" s="152"/>
      <c r="I806" s="152"/>
      <c r="J806" s="152"/>
      <c r="K806" s="152"/>
      <c r="L806" s="152"/>
      <c r="M806" s="152"/>
      <c r="N806" s="152"/>
      <c r="O806" s="152"/>
      <c r="P806" s="152"/>
      <c r="Q806" s="152"/>
      <c r="R806" s="152"/>
      <c r="S806" s="152"/>
      <c r="T806" s="152"/>
      <c r="U806" s="152"/>
      <c r="V806" s="152"/>
      <c r="W806" s="152"/>
      <c r="X806" s="152"/>
      <c r="Y806" s="152"/>
      <c r="Z806" s="152"/>
    </row>
    <row r="807" ht="12.75" customHeight="1">
      <c r="A807" s="152"/>
      <c r="B807" s="232"/>
      <c r="C807" s="152"/>
      <c r="D807" s="152"/>
      <c r="E807" s="152"/>
      <c r="F807" s="152"/>
      <c r="G807" s="152"/>
      <c r="H807" s="152"/>
      <c r="I807" s="152"/>
      <c r="J807" s="152"/>
      <c r="K807" s="152"/>
      <c r="L807" s="152"/>
      <c r="M807" s="152"/>
      <c r="N807" s="152"/>
      <c r="O807" s="152"/>
      <c r="P807" s="152"/>
      <c r="Q807" s="152"/>
      <c r="R807" s="152"/>
      <c r="S807" s="152"/>
      <c r="T807" s="152"/>
      <c r="U807" s="152"/>
      <c r="V807" s="152"/>
      <c r="W807" s="152"/>
      <c r="X807" s="152"/>
      <c r="Y807" s="152"/>
      <c r="Z807" s="152"/>
    </row>
    <row r="808" ht="12.75" customHeight="1">
      <c r="A808" s="152"/>
      <c r="B808" s="232"/>
      <c r="C808" s="152"/>
      <c r="D808" s="152"/>
      <c r="E808" s="152"/>
      <c r="F808" s="152"/>
      <c r="G808" s="152"/>
      <c r="H808" s="152"/>
      <c r="I808" s="152"/>
      <c r="J808" s="152"/>
      <c r="K808" s="152"/>
      <c r="L808" s="152"/>
      <c r="M808" s="152"/>
      <c r="N808" s="152"/>
      <c r="O808" s="152"/>
      <c r="P808" s="152"/>
      <c r="Q808" s="152"/>
      <c r="R808" s="152"/>
      <c r="S808" s="152"/>
      <c r="T808" s="152"/>
      <c r="U808" s="152"/>
      <c r="V808" s="152"/>
      <c r="W808" s="152"/>
      <c r="X808" s="152"/>
      <c r="Y808" s="152"/>
      <c r="Z808" s="152"/>
    </row>
    <row r="809" ht="12.75" customHeight="1">
      <c r="A809" s="152"/>
      <c r="B809" s="232"/>
      <c r="C809" s="152"/>
      <c r="D809" s="152"/>
      <c r="E809" s="152"/>
      <c r="F809" s="152"/>
      <c r="G809" s="152"/>
      <c r="H809" s="152"/>
      <c r="I809" s="152"/>
      <c r="J809" s="152"/>
      <c r="K809" s="152"/>
      <c r="L809" s="152"/>
      <c r="M809" s="152"/>
      <c r="N809" s="152"/>
      <c r="O809" s="152"/>
      <c r="P809" s="152"/>
      <c r="Q809" s="152"/>
      <c r="R809" s="152"/>
      <c r="S809" s="152"/>
      <c r="T809" s="152"/>
      <c r="U809" s="152"/>
      <c r="V809" s="152"/>
      <c r="W809" s="152"/>
      <c r="X809" s="152"/>
      <c r="Y809" s="152"/>
      <c r="Z809" s="152"/>
    </row>
    <row r="810" ht="12.75" customHeight="1">
      <c r="A810" s="152"/>
      <c r="B810" s="232"/>
      <c r="C810" s="152"/>
      <c r="D810" s="152"/>
      <c r="E810" s="152"/>
      <c r="F810" s="152"/>
      <c r="G810" s="152"/>
      <c r="H810" s="152"/>
      <c r="I810" s="152"/>
      <c r="J810" s="152"/>
      <c r="K810" s="152"/>
      <c r="L810" s="152"/>
      <c r="M810" s="152"/>
      <c r="N810" s="152"/>
      <c r="O810" s="152"/>
      <c r="P810" s="152"/>
      <c r="Q810" s="152"/>
      <c r="R810" s="152"/>
      <c r="S810" s="152"/>
      <c r="T810" s="152"/>
      <c r="U810" s="152"/>
      <c r="V810" s="152"/>
      <c r="W810" s="152"/>
      <c r="X810" s="152"/>
      <c r="Y810" s="152"/>
      <c r="Z810" s="152"/>
    </row>
    <row r="811" ht="12.75" customHeight="1">
      <c r="A811" s="152"/>
      <c r="B811" s="232"/>
      <c r="C811" s="152"/>
      <c r="D811" s="152"/>
      <c r="E811" s="152"/>
      <c r="F811" s="152"/>
      <c r="G811" s="152"/>
      <c r="H811" s="152"/>
      <c r="I811" s="152"/>
      <c r="J811" s="152"/>
      <c r="K811" s="152"/>
      <c r="L811" s="152"/>
      <c r="M811" s="152"/>
      <c r="N811" s="152"/>
      <c r="O811" s="152"/>
      <c r="P811" s="152"/>
      <c r="Q811" s="152"/>
      <c r="R811" s="152"/>
      <c r="S811" s="152"/>
      <c r="T811" s="152"/>
      <c r="U811" s="152"/>
      <c r="V811" s="152"/>
      <c r="W811" s="152"/>
      <c r="X811" s="152"/>
      <c r="Y811" s="152"/>
      <c r="Z811" s="152"/>
    </row>
    <row r="812" ht="12.75" customHeight="1">
      <c r="A812" s="152"/>
      <c r="B812" s="232"/>
      <c r="C812" s="152"/>
      <c r="D812" s="152"/>
      <c r="E812" s="152"/>
      <c r="F812" s="152"/>
      <c r="G812" s="152"/>
      <c r="H812" s="152"/>
      <c r="I812" s="152"/>
      <c r="J812" s="152"/>
      <c r="K812" s="152"/>
      <c r="L812" s="152"/>
      <c r="M812" s="152"/>
      <c r="N812" s="152"/>
      <c r="O812" s="152"/>
      <c r="P812" s="152"/>
      <c r="Q812" s="152"/>
      <c r="R812" s="152"/>
      <c r="S812" s="152"/>
      <c r="T812" s="152"/>
      <c r="U812" s="152"/>
      <c r="V812" s="152"/>
      <c r="W812" s="152"/>
      <c r="X812" s="152"/>
      <c r="Y812" s="152"/>
      <c r="Z812" s="152"/>
    </row>
    <row r="813" ht="12.75" customHeight="1">
      <c r="A813" s="152"/>
      <c r="B813" s="232"/>
      <c r="C813" s="152"/>
      <c r="D813" s="152"/>
      <c r="E813" s="152"/>
      <c r="F813" s="152"/>
      <c r="G813" s="152"/>
      <c r="H813" s="152"/>
      <c r="I813" s="152"/>
      <c r="J813" s="152"/>
      <c r="K813" s="152"/>
      <c r="L813" s="152"/>
      <c r="M813" s="152"/>
      <c r="N813" s="152"/>
      <c r="O813" s="152"/>
      <c r="P813" s="152"/>
      <c r="Q813" s="152"/>
      <c r="R813" s="152"/>
      <c r="S813" s="152"/>
      <c r="T813" s="152"/>
      <c r="U813" s="152"/>
      <c r="V813" s="152"/>
      <c r="W813" s="152"/>
      <c r="X813" s="152"/>
      <c r="Y813" s="152"/>
      <c r="Z813" s="152"/>
    </row>
    <row r="814" ht="12.75" customHeight="1">
      <c r="A814" s="152"/>
      <c r="B814" s="232"/>
      <c r="C814" s="152"/>
      <c r="D814" s="152"/>
      <c r="E814" s="152"/>
      <c r="F814" s="152"/>
      <c r="G814" s="152"/>
      <c r="H814" s="152"/>
      <c r="I814" s="152"/>
      <c r="J814" s="152"/>
      <c r="K814" s="152"/>
      <c r="L814" s="152"/>
      <c r="M814" s="152"/>
      <c r="N814" s="152"/>
      <c r="O814" s="152"/>
      <c r="P814" s="152"/>
      <c r="Q814" s="152"/>
      <c r="R814" s="152"/>
      <c r="S814" s="152"/>
      <c r="T814" s="152"/>
      <c r="U814" s="152"/>
      <c r="V814" s="152"/>
      <c r="W814" s="152"/>
      <c r="X814" s="152"/>
      <c r="Y814" s="152"/>
      <c r="Z814" s="152"/>
    </row>
    <row r="815" ht="12.75" customHeight="1">
      <c r="A815" s="152"/>
      <c r="B815" s="232"/>
      <c r="C815" s="152"/>
      <c r="D815" s="152"/>
      <c r="E815" s="152"/>
      <c r="F815" s="152"/>
      <c r="G815" s="152"/>
      <c r="H815" s="152"/>
      <c r="I815" s="152"/>
      <c r="J815" s="152"/>
      <c r="K815" s="152"/>
      <c r="L815" s="152"/>
      <c r="M815" s="152"/>
      <c r="N815" s="152"/>
      <c r="O815" s="152"/>
      <c r="P815" s="152"/>
      <c r="Q815" s="152"/>
      <c r="R815" s="152"/>
      <c r="S815" s="152"/>
      <c r="T815" s="152"/>
      <c r="U815" s="152"/>
      <c r="V815" s="152"/>
      <c r="W815" s="152"/>
      <c r="X815" s="152"/>
      <c r="Y815" s="152"/>
      <c r="Z815" s="152"/>
    </row>
    <row r="816" ht="12.75" customHeight="1">
      <c r="A816" s="152"/>
      <c r="B816" s="232"/>
      <c r="C816" s="152"/>
      <c r="D816" s="152"/>
      <c r="E816" s="152"/>
      <c r="F816" s="152"/>
      <c r="G816" s="152"/>
      <c r="H816" s="152"/>
      <c r="I816" s="152"/>
      <c r="J816" s="152"/>
      <c r="K816" s="152"/>
      <c r="L816" s="152"/>
      <c r="M816" s="152"/>
      <c r="N816" s="152"/>
      <c r="O816" s="152"/>
      <c r="P816" s="152"/>
      <c r="Q816" s="152"/>
      <c r="R816" s="152"/>
      <c r="S816" s="152"/>
      <c r="T816" s="152"/>
      <c r="U816" s="152"/>
      <c r="V816" s="152"/>
      <c r="W816" s="152"/>
      <c r="X816" s="152"/>
      <c r="Y816" s="152"/>
      <c r="Z816" s="152"/>
    </row>
    <row r="817" ht="12.75" customHeight="1">
      <c r="A817" s="152"/>
      <c r="B817" s="232"/>
      <c r="C817" s="152"/>
      <c r="D817" s="152"/>
      <c r="E817" s="152"/>
      <c r="F817" s="152"/>
      <c r="G817" s="152"/>
      <c r="H817" s="152"/>
      <c r="I817" s="152"/>
      <c r="J817" s="152"/>
      <c r="K817" s="152"/>
      <c r="L817" s="152"/>
      <c r="M817" s="152"/>
      <c r="N817" s="152"/>
      <c r="O817" s="152"/>
      <c r="P817" s="152"/>
      <c r="Q817" s="152"/>
      <c r="R817" s="152"/>
      <c r="S817" s="152"/>
      <c r="T817" s="152"/>
      <c r="U817" s="152"/>
      <c r="V817" s="152"/>
      <c r="W817" s="152"/>
      <c r="X817" s="152"/>
      <c r="Y817" s="152"/>
      <c r="Z817" s="152"/>
    </row>
    <row r="818" ht="12.75" customHeight="1">
      <c r="A818" s="152"/>
      <c r="B818" s="232"/>
      <c r="C818" s="152"/>
      <c r="D818" s="152"/>
      <c r="E818" s="152"/>
      <c r="F818" s="152"/>
      <c r="G818" s="152"/>
      <c r="H818" s="152"/>
      <c r="I818" s="152"/>
      <c r="J818" s="152"/>
      <c r="K818" s="152"/>
      <c r="L818" s="152"/>
      <c r="M818" s="152"/>
      <c r="N818" s="152"/>
      <c r="O818" s="152"/>
      <c r="P818" s="152"/>
      <c r="Q818" s="152"/>
      <c r="R818" s="152"/>
      <c r="S818" s="152"/>
      <c r="T818" s="152"/>
      <c r="U818" s="152"/>
      <c r="V818" s="152"/>
      <c r="W818" s="152"/>
      <c r="X818" s="152"/>
      <c r="Y818" s="152"/>
      <c r="Z818" s="152"/>
    </row>
    <row r="819" ht="12.75" customHeight="1">
      <c r="A819" s="152"/>
      <c r="B819" s="232"/>
      <c r="C819" s="152"/>
      <c r="D819" s="152"/>
      <c r="E819" s="152"/>
      <c r="F819" s="152"/>
      <c r="G819" s="152"/>
      <c r="H819" s="152"/>
      <c r="I819" s="152"/>
      <c r="J819" s="152"/>
      <c r="K819" s="152"/>
      <c r="L819" s="152"/>
      <c r="M819" s="152"/>
      <c r="N819" s="152"/>
      <c r="O819" s="152"/>
      <c r="P819" s="152"/>
      <c r="Q819" s="152"/>
      <c r="R819" s="152"/>
      <c r="S819" s="152"/>
      <c r="T819" s="152"/>
      <c r="U819" s="152"/>
      <c r="V819" s="152"/>
      <c r="W819" s="152"/>
      <c r="X819" s="152"/>
      <c r="Y819" s="152"/>
      <c r="Z819" s="152"/>
    </row>
    <row r="820" ht="12.75" customHeight="1">
      <c r="A820" s="152"/>
      <c r="B820" s="232"/>
      <c r="C820" s="152"/>
      <c r="D820" s="152"/>
      <c r="E820" s="152"/>
      <c r="F820" s="152"/>
      <c r="G820" s="152"/>
      <c r="H820" s="152"/>
      <c r="I820" s="152"/>
      <c r="J820" s="152"/>
      <c r="K820" s="152"/>
      <c r="L820" s="152"/>
      <c r="M820" s="152"/>
      <c r="N820" s="152"/>
      <c r="O820" s="152"/>
      <c r="P820" s="152"/>
      <c r="Q820" s="152"/>
      <c r="R820" s="152"/>
      <c r="S820" s="152"/>
      <c r="T820" s="152"/>
      <c r="U820" s="152"/>
      <c r="V820" s="152"/>
      <c r="W820" s="152"/>
      <c r="X820" s="152"/>
      <c r="Y820" s="152"/>
      <c r="Z820" s="152"/>
    </row>
    <row r="821" ht="12.75" customHeight="1">
      <c r="A821" s="152"/>
      <c r="B821" s="232"/>
      <c r="C821" s="152"/>
      <c r="D821" s="152"/>
      <c r="E821" s="152"/>
      <c r="F821" s="152"/>
      <c r="G821" s="152"/>
      <c r="H821" s="152"/>
      <c r="I821" s="152"/>
      <c r="J821" s="152"/>
      <c r="K821" s="152"/>
      <c r="L821" s="152"/>
      <c r="M821" s="152"/>
      <c r="N821" s="152"/>
      <c r="O821" s="152"/>
      <c r="P821" s="152"/>
      <c r="Q821" s="152"/>
      <c r="R821" s="152"/>
      <c r="S821" s="152"/>
      <c r="T821" s="152"/>
      <c r="U821" s="152"/>
      <c r="V821" s="152"/>
      <c r="W821" s="152"/>
      <c r="X821" s="152"/>
      <c r="Y821" s="152"/>
      <c r="Z821" s="152"/>
    </row>
    <row r="822" ht="12.75" customHeight="1">
      <c r="A822" s="152"/>
      <c r="B822" s="232"/>
      <c r="C822" s="152"/>
      <c r="D822" s="152"/>
      <c r="E822" s="152"/>
      <c r="F822" s="152"/>
      <c r="G822" s="152"/>
      <c r="H822" s="152"/>
      <c r="I822" s="152"/>
      <c r="J822" s="152"/>
      <c r="K822" s="152"/>
      <c r="L822" s="152"/>
      <c r="M822" s="152"/>
      <c r="N822" s="152"/>
      <c r="O822" s="152"/>
      <c r="P822" s="152"/>
      <c r="Q822" s="152"/>
      <c r="R822" s="152"/>
      <c r="S822" s="152"/>
      <c r="T822" s="152"/>
      <c r="U822" s="152"/>
      <c r="V822" s="152"/>
      <c r="W822" s="152"/>
      <c r="X822" s="152"/>
      <c r="Y822" s="152"/>
      <c r="Z822" s="152"/>
    </row>
    <row r="823" ht="12.75" customHeight="1">
      <c r="A823" s="152"/>
      <c r="B823" s="232"/>
      <c r="C823" s="152"/>
      <c r="D823" s="152"/>
      <c r="E823" s="152"/>
      <c r="F823" s="152"/>
      <c r="G823" s="152"/>
      <c r="H823" s="152"/>
      <c r="I823" s="152"/>
      <c r="J823" s="152"/>
      <c r="K823" s="152"/>
      <c r="L823" s="152"/>
      <c r="M823" s="152"/>
      <c r="N823" s="152"/>
      <c r="O823" s="152"/>
      <c r="P823" s="152"/>
      <c r="Q823" s="152"/>
      <c r="R823" s="152"/>
      <c r="S823" s="152"/>
      <c r="T823" s="152"/>
      <c r="U823" s="152"/>
      <c r="V823" s="152"/>
      <c r="W823" s="152"/>
      <c r="X823" s="152"/>
      <c r="Y823" s="152"/>
      <c r="Z823" s="152"/>
    </row>
    <row r="824" ht="12.75" customHeight="1">
      <c r="A824" s="152"/>
      <c r="B824" s="232"/>
      <c r="C824" s="152"/>
      <c r="D824" s="152"/>
      <c r="E824" s="152"/>
      <c r="F824" s="152"/>
      <c r="G824" s="152"/>
      <c r="H824" s="152"/>
      <c r="I824" s="152"/>
      <c r="J824" s="152"/>
      <c r="K824" s="152"/>
      <c r="L824" s="152"/>
      <c r="M824" s="152"/>
      <c r="N824" s="152"/>
      <c r="O824" s="152"/>
      <c r="P824" s="152"/>
      <c r="Q824" s="152"/>
      <c r="R824" s="152"/>
      <c r="S824" s="152"/>
      <c r="T824" s="152"/>
      <c r="U824" s="152"/>
      <c r="V824" s="152"/>
      <c r="W824" s="152"/>
      <c r="X824" s="152"/>
      <c r="Y824" s="152"/>
      <c r="Z824" s="152"/>
    </row>
    <row r="825" ht="12.75" customHeight="1">
      <c r="A825" s="152"/>
      <c r="B825" s="232"/>
      <c r="C825" s="152"/>
      <c r="D825" s="152"/>
      <c r="E825" s="152"/>
      <c r="F825" s="152"/>
      <c r="G825" s="152"/>
      <c r="H825" s="152"/>
      <c r="I825" s="152"/>
      <c r="J825" s="152"/>
      <c r="K825" s="152"/>
      <c r="L825" s="152"/>
      <c r="M825" s="152"/>
      <c r="N825" s="152"/>
      <c r="O825" s="152"/>
      <c r="P825" s="152"/>
      <c r="Q825" s="152"/>
      <c r="R825" s="152"/>
      <c r="S825" s="152"/>
      <c r="T825" s="152"/>
      <c r="U825" s="152"/>
      <c r="V825" s="152"/>
      <c r="W825" s="152"/>
      <c r="X825" s="152"/>
      <c r="Y825" s="152"/>
      <c r="Z825" s="152"/>
    </row>
    <row r="826" ht="12.75" customHeight="1">
      <c r="A826" s="152"/>
      <c r="B826" s="232"/>
      <c r="C826" s="152"/>
      <c r="D826" s="152"/>
      <c r="E826" s="152"/>
      <c r="F826" s="152"/>
      <c r="G826" s="152"/>
      <c r="H826" s="152"/>
      <c r="I826" s="152"/>
      <c r="J826" s="152"/>
      <c r="K826" s="152"/>
      <c r="L826" s="152"/>
      <c r="M826" s="152"/>
      <c r="N826" s="152"/>
      <c r="O826" s="152"/>
      <c r="P826" s="152"/>
      <c r="Q826" s="152"/>
      <c r="R826" s="152"/>
      <c r="S826" s="152"/>
      <c r="T826" s="152"/>
      <c r="U826" s="152"/>
      <c r="V826" s="152"/>
      <c r="W826" s="152"/>
      <c r="X826" s="152"/>
      <c r="Y826" s="152"/>
      <c r="Z826" s="152"/>
    </row>
    <row r="827" ht="12.75" customHeight="1">
      <c r="A827" s="152"/>
      <c r="B827" s="232"/>
      <c r="C827" s="152"/>
      <c r="D827" s="152"/>
      <c r="E827" s="152"/>
      <c r="F827" s="152"/>
      <c r="G827" s="152"/>
      <c r="H827" s="152"/>
      <c r="I827" s="152"/>
      <c r="J827" s="152"/>
      <c r="K827" s="152"/>
      <c r="L827" s="152"/>
      <c r="M827" s="152"/>
      <c r="N827" s="152"/>
      <c r="O827" s="152"/>
      <c r="P827" s="152"/>
      <c r="Q827" s="152"/>
      <c r="R827" s="152"/>
      <c r="S827" s="152"/>
      <c r="T827" s="152"/>
      <c r="U827" s="152"/>
      <c r="V827" s="152"/>
      <c r="W827" s="152"/>
      <c r="X827" s="152"/>
      <c r="Y827" s="152"/>
      <c r="Z827" s="152"/>
    </row>
    <row r="828" ht="12.75" customHeight="1">
      <c r="A828" s="152"/>
      <c r="B828" s="232"/>
      <c r="C828" s="152"/>
      <c r="D828" s="152"/>
      <c r="E828" s="152"/>
      <c r="F828" s="152"/>
      <c r="G828" s="152"/>
      <c r="H828" s="152"/>
      <c r="I828" s="152"/>
      <c r="J828" s="152"/>
      <c r="K828" s="152"/>
      <c r="L828" s="152"/>
      <c r="M828" s="152"/>
      <c r="N828" s="152"/>
      <c r="O828" s="152"/>
      <c r="P828" s="152"/>
      <c r="Q828" s="152"/>
      <c r="R828" s="152"/>
      <c r="S828" s="152"/>
      <c r="T828" s="152"/>
      <c r="U828" s="152"/>
      <c r="V828" s="152"/>
      <c r="W828" s="152"/>
      <c r="X828" s="152"/>
      <c r="Y828" s="152"/>
      <c r="Z828" s="152"/>
    </row>
    <row r="829" ht="12.75" customHeight="1">
      <c r="A829" s="152"/>
      <c r="B829" s="232"/>
      <c r="C829" s="152"/>
      <c r="D829" s="152"/>
      <c r="E829" s="152"/>
      <c r="F829" s="152"/>
      <c r="G829" s="152"/>
      <c r="H829" s="152"/>
      <c r="I829" s="152"/>
      <c r="J829" s="152"/>
      <c r="K829" s="152"/>
      <c r="L829" s="152"/>
      <c r="M829" s="152"/>
      <c r="N829" s="152"/>
      <c r="O829" s="152"/>
      <c r="P829" s="152"/>
      <c r="Q829" s="152"/>
      <c r="R829" s="152"/>
      <c r="S829" s="152"/>
      <c r="T829" s="152"/>
      <c r="U829" s="152"/>
      <c r="V829" s="152"/>
      <c r="W829" s="152"/>
      <c r="X829" s="152"/>
      <c r="Y829" s="152"/>
      <c r="Z829" s="152"/>
    </row>
    <row r="830" ht="12.75" customHeight="1">
      <c r="A830" s="152"/>
      <c r="B830" s="232"/>
      <c r="C830" s="152"/>
      <c r="D830" s="152"/>
      <c r="E830" s="152"/>
      <c r="F830" s="152"/>
      <c r="G830" s="152"/>
      <c r="H830" s="152"/>
      <c r="I830" s="152"/>
      <c r="J830" s="152"/>
      <c r="K830" s="152"/>
      <c r="L830" s="152"/>
      <c r="M830" s="152"/>
      <c r="N830" s="152"/>
      <c r="O830" s="152"/>
      <c r="P830" s="152"/>
      <c r="Q830" s="152"/>
      <c r="R830" s="152"/>
      <c r="S830" s="152"/>
      <c r="T830" s="152"/>
      <c r="U830" s="152"/>
      <c r="V830" s="152"/>
      <c r="W830" s="152"/>
      <c r="X830" s="152"/>
      <c r="Y830" s="152"/>
      <c r="Z830" s="152"/>
    </row>
    <row r="831" ht="12.75" customHeight="1">
      <c r="A831" s="152"/>
      <c r="B831" s="232"/>
      <c r="C831" s="152"/>
      <c r="D831" s="152"/>
      <c r="E831" s="152"/>
      <c r="F831" s="152"/>
      <c r="G831" s="152"/>
      <c r="H831" s="152"/>
      <c r="I831" s="152"/>
      <c r="J831" s="152"/>
      <c r="K831" s="152"/>
      <c r="L831" s="152"/>
      <c r="M831" s="152"/>
      <c r="N831" s="152"/>
      <c r="O831" s="152"/>
      <c r="P831" s="152"/>
      <c r="Q831" s="152"/>
      <c r="R831" s="152"/>
      <c r="S831" s="152"/>
      <c r="T831" s="152"/>
      <c r="U831" s="152"/>
      <c r="V831" s="152"/>
      <c r="W831" s="152"/>
      <c r="X831" s="152"/>
      <c r="Y831" s="152"/>
      <c r="Z831" s="152"/>
    </row>
    <row r="832" ht="12.75" customHeight="1">
      <c r="A832" s="152"/>
      <c r="B832" s="232"/>
      <c r="C832" s="152"/>
      <c r="D832" s="152"/>
      <c r="E832" s="152"/>
      <c r="F832" s="152"/>
      <c r="G832" s="152"/>
      <c r="H832" s="152"/>
      <c r="I832" s="152"/>
      <c r="J832" s="152"/>
      <c r="K832" s="152"/>
      <c r="L832" s="152"/>
      <c r="M832" s="152"/>
      <c r="N832" s="152"/>
      <c r="O832" s="152"/>
      <c r="P832" s="152"/>
      <c r="Q832" s="152"/>
      <c r="R832" s="152"/>
      <c r="S832" s="152"/>
      <c r="T832" s="152"/>
      <c r="U832" s="152"/>
      <c r="V832" s="152"/>
      <c r="W832" s="152"/>
      <c r="X832" s="152"/>
      <c r="Y832" s="152"/>
      <c r="Z832" s="152"/>
    </row>
    <row r="833" ht="12.75" customHeight="1">
      <c r="A833" s="152"/>
      <c r="B833" s="232"/>
      <c r="C833" s="152"/>
      <c r="D833" s="152"/>
      <c r="E833" s="152"/>
      <c r="F833" s="152"/>
      <c r="G833" s="152"/>
      <c r="H833" s="152"/>
      <c r="I833" s="152"/>
      <c r="J833" s="152"/>
      <c r="K833" s="152"/>
      <c r="L833" s="152"/>
      <c r="M833" s="152"/>
      <c r="N833" s="152"/>
      <c r="O833" s="152"/>
      <c r="P833" s="152"/>
      <c r="Q833" s="152"/>
      <c r="R833" s="152"/>
      <c r="S833" s="152"/>
      <c r="T833" s="152"/>
      <c r="U833" s="152"/>
      <c r="V833" s="152"/>
      <c r="W833" s="152"/>
      <c r="X833" s="152"/>
      <c r="Y833" s="152"/>
      <c r="Z833" s="152"/>
    </row>
    <row r="834" ht="12.75" customHeight="1">
      <c r="A834" s="152"/>
      <c r="B834" s="232"/>
      <c r="C834" s="152"/>
      <c r="D834" s="152"/>
      <c r="E834" s="152"/>
      <c r="F834" s="152"/>
      <c r="G834" s="152"/>
      <c r="H834" s="152"/>
      <c r="I834" s="152"/>
      <c r="J834" s="152"/>
      <c r="K834" s="152"/>
      <c r="L834" s="152"/>
      <c r="M834" s="152"/>
      <c r="N834" s="152"/>
      <c r="O834" s="152"/>
      <c r="P834" s="152"/>
      <c r="Q834" s="152"/>
      <c r="R834" s="152"/>
      <c r="S834" s="152"/>
      <c r="T834" s="152"/>
      <c r="U834" s="152"/>
      <c r="V834" s="152"/>
      <c r="W834" s="152"/>
      <c r="X834" s="152"/>
      <c r="Y834" s="152"/>
      <c r="Z834" s="152"/>
    </row>
    <row r="835" ht="12.75" customHeight="1">
      <c r="A835" s="152"/>
      <c r="B835" s="232"/>
      <c r="C835" s="152"/>
      <c r="D835" s="152"/>
      <c r="E835" s="152"/>
      <c r="F835" s="152"/>
      <c r="G835" s="152"/>
      <c r="H835" s="152"/>
      <c r="I835" s="152"/>
      <c r="J835" s="152"/>
      <c r="K835" s="152"/>
      <c r="L835" s="152"/>
      <c r="M835" s="152"/>
      <c r="N835" s="152"/>
      <c r="O835" s="152"/>
      <c r="P835" s="152"/>
      <c r="Q835" s="152"/>
      <c r="R835" s="152"/>
      <c r="S835" s="152"/>
      <c r="T835" s="152"/>
      <c r="U835" s="152"/>
      <c r="V835" s="152"/>
      <c r="W835" s="152"/>
      <c r="X835" s="152"/>
      <c r="Y835" s="152"/>
      <c r="Z835" s="152"/>
    </row>
    <row r="836" ht="12.75" customHeight="1">
      <c r="A836" s="152"/>
      <c r="B836" s="232"/>
      <c r="C836" s="152"/>
      <c r="D836" s="152"/>
      <c r="E836" s="152"/>
      <c r="F836" s="152"/>
      <c r="G836" s="152"/>
      <c r="H836" s="152"/>
      <c r="I836" s="152"/>
      <c r="J836" s="152"/>
      <c r="K836" s="152"/>
      <c r="L836" s="152"/>
      <c r="M836" s="152"/>
      <c r="N836" s="152"/>
      <c r="O836" s="152"/>
      <c r="P836" s="152"/>
      <c r="Q836" s="152"/>
      <c r="R836" s="152"/>
      <c r="S836" s="152"/>
      <c r="T836" s="152"/>
      <c r="U836" s="152"/>
      <c r="V836" s="152"/>
      <c r="W836" s="152"/>
      <c r="X836" s="152"/>
      <c r="Y836" s="152"/>
      <c r="Z836" s="152"/>
    </row>
    <row r="837" ht="12.75" customHeight="1">
      <c r="A837" s="152"/>
      <c r="B837" s="232"/>
      <c r="C837" s="152"/>
      <c r="D837" s="152"/>
      <c r="E837" s="152"/>
      <c r="F837" s="152"/>
      <c r="G837" s="152"/>
      <c r="H837" s="152"/>
      <c r="I837" s="152"/>
      <c r="J837" s="152"/>
      <c r="K837" s="152"/>
      <c r="L837" s="152"/>
      <c r="M837" s="152"/>
      <c r="N837" s="152"/>
      <c r="O837" s="152"/>
      <c r="P837" s="152"/>
      <c r="Q837" s="152"/>
      <c r="R837" s="152"/>
      <c r="S837" s="152"/>
      <c r="T837" s="152"/>
      <c r="U837" s="152"/>
      <c r="V837" s="152"/>
      <c r="W837" s="152"/>
      <c r="X837" s="152"/>
      <c r="Y837" s="152"/>
      <c r="Z837" s="152"/>
    </row>
    <row r="838" ht="12.75" customHeight="1">
      <c r="A838" s="152"/>
      <c r="B838" s="232"/>
      <c r="C838" s="152"/>
      <c r="D838" s="152"/>
      <c r="E838" s="152"/>
      <c r="F838" s="152"/>
      <c r="G838" s="152"/>
      <c r="H838" s="152"/>
      <c r="I838" s="152"/>
      <c r="J838" s="152"/>
      <c r="K838" s="152"/>
      <c r="L838" s="152"/>
      <c r="M838" s="152"/>
      <c r="N838" s="152"/>
      <c r="O838" s="152"/>
      <c r="P838" s="152"/>
      <c r="Q838" s="152"/>
      <c r="R838" s="152"/>
      <c r="S838" s="152"/>
      <c r="T838" s="152"/>
      <c r="U838" s="152"/>
      <c r="V838" s="152"/>
      <c r="W838" s="152"/>
      <c r="X838" s="152"/>
      <c r="Y838" s="152"/>
      <c r="Z838" s="152"/>
    </row>
    <row r="839" ht="12.75" customHeight="1">
      <c r="A839" s="152"/>
      <c r="B839" s="232"/>
      <c r="C839" s="152"/>
      <c r="D839" s="152"/>
      <c r="E839" s="152"/>
      <c r="F839" s="152"/>
      <c r="G839" s="152"/>
      <c r="H839" s="152"/>
      <c r="I839" s="152"/>
      <c r="J839" s="152"/>
      <c r="K839" s="152"/>
      <c r="L839" s="152"/>
      <c r="M839" s="152"/>
      <c r="N839" s="152"/>
      <c r="O839" s="152"/>
      <c r="P839" s="152"/>
      <c r="Q839" s="152"/>
      <c r="R839" s="152"/>
      <c r="S839" s="152"/>
      <c r="T839" s="152"/>
      <c r="U839" s="152"/>
      <c r="V839" s="152"/>
      <c r="W839" s="152"/>
      <c r="X839" s="152"/>
      <c r="Y839" s="152"/>
      <c r="Z839" s="152"/>
    </row>
    <row r="840" ht="12.75" customHeight="1">
      <c r="A840" s="152"/>
      <c r="B840" s="232"/>
      <c r="C840" s="152"/>
      <c r="D840" s="152"/>
      <c r="E840" s="152"/>
      <c r="F840" s="152"/>
      <c r="G840" s="152"/>
      <c r="H840" s="152"/>
      <c r="I840" s="152"/>
      <c r="J840" s="152"/>
      <c r="K840" s="152"/>
      <c r="L840" s="152"/>
      <c r="M840" s="152"/>
      <c r="N840" s="152"/>
      <c r="O840" s="152"/>
      <c r="P840" s="152"/>
      <c r="Q840" s="152"/>
      <c r="R840" s="152"/>
      <c r="S840" s="152"/>
      <c r="T840" s="152"/>
      <c r="U840" s="152"/>
      <c r="V840" s="152"/>
      <c r="W840" s="152"/>
      <c r="X840" s="152"/>
      <c r="Y840" s="152"/>
      <c r="Z840" s="152"/>
    </row>
    <row r="841" ht="12.75" customHeight="1">
      <c r="A841" s="152"/>
      <c r="B841" s="232"/>
      <c r="C841" s="152"/>
      <c r="D841" s="152"/>
      <c r="E841" s="152"/>
      <c r="F841" s="152"/>
      <c r="G841" s="152"/>
      <c r="H841" s="152"/>
      <c r="I841" s="152"/>
      <c r="J841" s="152"/>
      <c r="K841" s="152"/>
      <c r="L841" s="152"/>
      <c r="M841" s="152"/>
      <c r="N841" s="152"/>
      <c r="O841" s="152"/>
      <c r="P841" s="152"/>
      <c r="Q841" s="152"/>
      <c r="R841" s="152"/>
      <c r="S841" s="152"/>
      <c r="T841" s="152"/>
      <c r="U841" s="152"/>
      <c r="V841" s="152"/>
      <c r="W841" s="152"/>
      <c r="X841" s="152"/>
      <c r="Y841" s="152"/>
      <c r="Z841" s="152"/>
    </row>
    <row r="842" ht="12.75" customHeight="1">
      <c r="A842" s="152"/>
      <c r="B842" s="232"/>
      <c r="C842" s="152"/>
      <c r="D842" s="152"/>
      <c r="E842" s="152"/>
      <c r="F842" s="152"/>
      <c r="G842" s="152"/>
      <c r="H842" s="152"/>
      <c r="I842" s="152"/>
      <c r="J842" s="152"/>
      <c r="K842" s="152"/>
      <c r="L842" s="152"/>
      <c r="M842" s="152"/>
      <c r="N842" s="152"/>
      <c r="O842" s="152"/>
      <c r="P842" s="152"/>
      <c r="Q842" s="152"/>
      <c r="R842" s="152"/>
      <c r="S842" s="152"/>
      <c r="T842" s="152"/>
      <c r="U842" s="152"/>
      <c r="V842" s="152"/>
      <c r="W842" s="152"/>
      <c r="X842" s="152"/>
      <c r="Y842" s="152"/>
      <c r="Z842" s="152"/>
    </row>
    <row r="843" ht="12.75" customHeight="1">
      <c r="A843" s="152"/>
      <c r="B843" s="232"/>
      <c r="C843" s="152"/>
      <c r="D843" s="152"/>
      <c r="E843" s="152"/>
      <c r="F843" s="152"/>
      <c r="G843" s="152"/>
      <c r="H843" s="152"/>
      <c r="I843" s="152"/>
      <c r="J843" s="152"/>
      <c r="K843" s="152"/>
      <c r="L843" s="152"/>
      <c r="M843" s="152"/>
      <c r="N843" s="152"/>
      <c r="O843" s="152"/>
      <c r="P843" s="152"/>
      <c r="Q843" s="152"/>
      <c r="R843" s="152"/>
      <c r="S843" s="152"/>
      <c r="T843" s="152"/>
      <c r="U843" s="152"/>
      <c r="V843" s="152"/>
      <c r="W843" s="152"/>
      <c r="X843" s="152"/>
      <c r="Y843" s="152"/>
      <c r="Z843" s="152"/>
    </row>
    <row r="844" ht="12.75" customHeight="1">
      <c r="A844" s="152"/>
      <c r="B844" s="232"/>
      <c r="C844" s="152"/>
      <c r="D844" s="152"/>
      <c r="E844" s="152"/>
      <c r="F844" s="152"/>
      <c r="G844" s="152"/>
      <c r="H844" s="152"/>
      <c r="I844" s="152"/>
      <c r="J844" s="152"/>
      <c r="K844" s="152"/>
      <c r="L844" s="152"/>
      <c r="M844" s="152"/>
      <c r="N844" s="152"/>
      <c r="O844" s="152"/>
      <c r="P844" s="152"/>
      <c r="Q844" s="152"/>
      <c r="R844" s="152"/>
      <c r="S844" s="152"/>
      <c r="T844" s="152"/>
      <c r="U844" s="152"/>
      <c r="V844" s="152"/>
      <c r="W844" s="152"/>
      <c r="X844" s="152"/>
      <c r="Y844" s="152"/>
      <c r="Z844" s="152"/>
    </row>
    <row r="845" ht="12.75" customHeight="1">
      <c r="A845" s="152"/>
      <c r="B845" s="232"/>
      <c r="C845" s="152"/>
      <c r="D845" s="152"/>
      <c r="E845" s="152"/>
      <c r="F845" s="152"/>
      <c r="G845" s="152"/>
      <c r="H845" s="152"/>
      <c r="I845" s="152"/>
      <c r="J845" s="152"/>
      <c r="K845" s="152"/>
      <c r="L845" s="152"/>
      <c r="M845" s="152"/>
      <c r="N845" s="152"/>
      <c r="O845" s="152"/>
      <c r="P845" s="152"/>
      <c r="Q845" s="152"/>
      <c r="R845" s="152"/>
      <c r="S845" s="152"/>
      <c r="T845" s="152"/>
      <c r="U845" s="152"/>
      <c r="V845" s="152"/>
      <c r="W845" s="152"/>
      <c r="X845" s="152"/>
      <c r="Y845" s="152"/>
      <c r="Z845" s="152"/>
    </row>
    <row r="846" ht="12.75" customHeight="1">
      <c r="A846" s="152"/>
      <c r="B846" s="232"/>
      <c r="C846" s="152"/>
      <c r="D846" s="152"/>
      <c r="E846" s="152"/>
      <c r="F846" s="152"/>
      <c r="G846" s="152"/>
      <c r="H846" s="152"/>
      <c r="I846" s="152"/>
      <c r="J846" s="152"/>
      <c r="K846" s="152"/>
      <c r="L846" s="152"/>
      <c r="M846" s="152"/>
      <c r="N846" s="152"/>
      <c r="O846" s="152"/>
      <c r="P846" s="152"/>
      <c r="Q846" s="152"/>
      <c r="R846" s="152"/>
      <c r="S846" s="152"/>
      <c r="T846" s="152"/>
      <c r="U846" s="152"/>
      <c r="V846" s="152"/>
      <c r="W846" s="152"/>
      <c r="X846" s="152"/>
      <c r="Y846" s="152"/>
      <c r="Z846" s="152"/>
    </row>
    <row r="847" ht="12.75" customHeight="1">
      <c r="A847" s="152"/>
      <c r="B847" s="232"/>
      <c r="C847" s="152"/>
      <c r="D847" s="152"/>
      <c r="E847" s="152"/>
      <c r="F847" s="152"/>
      <c r="G847" s="152"/>
      <c r="H847" s="152"/>
      <c r="I847" s="152"/>
      <c r="J847" s="152"/>
      <c r="K847" s="152"/>
      <c r="L847" s="152"/>
      <c r="M847" s="152"/>
      <c r="N847" s="152"/>
      <c r="O847" s="152"/>
      <c r="P847" s="152"/>
      <c r="Q847" s="152"/>
      <c r="R847" s="152"/>
      <c r="S847" s="152"/>
      <c r="T847" s="152"/>
      <c r="U847" s="152"/>
      <c r="V847" s="152"/>
      <c r="W847" s="152"/>
      <c r="X847" s="152"/>
      <c r="Y847" s="152"/>
      <c r="Z847" s="152"/>
    </row>
    <row r="848" ht="12.75" customHeight="1">
      <c r="A848" s="152"/>
      <c r="B848" s="232"/>
      <c r="C848" s="152"/>
      <c r="D848" s="152"/>
      <c r="E848" s="152"/>
      <c r="F848" s="152"/>
      <c r="G848" s="152"/>
      <c r="H848" s="152"/>
      <c r="I848" s="152"/>
      <c r="J848" s="152"/>
      <c r="K848" s="152"/>
      <c r="L848" s="152"/>
      <c r="M848" s="152"/>
      <c r="N848" s="152"/>
      <c r="O848" s="152"/>
      <c r="P848" s="152"/>
      <c r="Q848" s="152"/>
      <c r="R848" s="152"/>
      <c r="S848" s="152"/>
      <c r="T848" s="152"/>
      <c r="U848" s="152"/>
      <c r="V848" s="152"/>
      <c r="W848" s="152"/>
      <c r="X848" s="152"/>
      <c r="Y848" s="152"/>
      <c r="Z848" s="152"/>
    </row>
    <row r="849" ht="12.75" customHeight="1">
      <c r="A849" s="152"/>
      <c r="B849" s="232"/>
      <c r="C849" s="152"/>
      <c r="D849" s="152"/>
      <c r="E849" s="152"/>
      <c r="F849" s="152"/>
      <c r="G849" s="152"/>
      <c r="H849" s="152"/>
      <c r="I849" s="152"/>
      <c r="J849" s="152"/>
      <c r="K849" s="152"/>
      <c r="L849" s="152"/>
      <c r="M849" s="152"/>
      <c r="N849" s="152"/>
      <c r="O849" s="152"/>
      <c r="P849" s="152"/>
      <c r="Q849" s="152"/>
      <c r="R849" s="152"/>
      <c r="S849" s="152"/>
      <c r="T849" s="152"/>
      <c r="U849" s="152"/>
      <c r="V849" s="152"/>
      <c r="W849" s="152"/>
      <c r="X849" s="152"/>
      <c r="Y849" s="152"/>
      <c r="Z849" s="152"/>
    </row>
    <row r="850" ht="12.75" customHeight="1">
      <c r="A850" s="152"/>
      <c r="B850" s="232"/>
      <c r="C850" s="152"/>
      <c r="D850" s="152"/>
      <c r="E850" s="152"/>
      <c r="F850" s="152"/>
      <c r="G850" s="152"/>
      <c r="H850" s="152"/>
      <c r="I850" s="152"/>
      <c r="J850" s="152"/>
      <c r="K850" s="152"/>
      <c r="L850" s="152"/>
      <c r="M850" s="152"/>
      <c r="N850" s="152"/>
      <c r="O850" s="152"/>
      <c r="P850" s="152"/>
      <c r="Q850" s="152"/>
      <c r="R850" s="152"/>
      <c r="S850" s="152"/>
      <c r="T850" s="152"/>
      <c r="U850" s="152"/>
      <c r="V850" s="152"/>
      <c r="W850" s="152"/>
      <c r="X850" s="152"/>
      <c r="Y850" s="152"/>
      <c r="Z850" s="152"/>
    </row>
    <row r="851" ht="12.75" customHeight="1">
      <c r="A851" s="152"/>
      <c r="B851" s="232"/>
      <c r="C851" s="152"/>
      <c r="D851" s="152"/>
      <c r="E851" s="152"/>
      <c r="F851" s="152"/>
      <c r="G851" s="152"/>
      <c r="H851" s="152"/>
      <c r="I851" s="152"/>
      <c r="J851" s="152"/>
      <c r="K851" s="152"/>
      <c r="L851" s="152"/>
      <c r="M851" s="152"/>
      <c r="N851" s="152"/>
      <c r="O851" s="152"/>
      <c r="P851" s="152"/>
      <c r="Q851" s="152"/>
      <c r="R851" s="152"/>
      <c r="S851" s="152"/>
      <c r="T851" s="152"/>
      <c r="U851" s="152"/>
      <c r="V851" s="152"/>
      <c r="W851" s="152"/>
      <c r="X851" s="152"/>
      <c r="Y851" s="152"/>
      <c r="Z851" s="152"/>
    </row>
    <row r="852" ht="12.75" customHeight="1">
      <c r="A852" s="152"/>
      <c r="B852" s="232"/>
      <c r="C852" s="152"/>
      <c r="D852" s="152"/>
      <c r="E852" s="152"/>
      <c r="F852" s="152"/>
      <c r="G852" s="152"/>
      <c r="H852" s="152"/>
      <c r="I852" s="152"/>
      <c r="J852" s="152"/>
      <c r="K852" s="152"/>
      <c r="L852" s="152"/>
      <c r="M852" s="152"/>
      <c r="N852" s="152"/>
      <c r="O852" s="152"/>
      <c r="P852" s="152"/>
      <c r="Q852" s="152"/>
      <c r="R852" s="152"/>
      <c r="S852" s="152"/>
      <c r="T852" s="152"/>
      <c r="U852" s="152"/>
      <c r="V852" s="152"/>
      <c r="W852" s="152"/>
      <c r="X852" s="152"/>
      <c r="Y852" s="152"/>
      <c r="Z852" s="152"/>
    </row>
    <row r="853" ht="12.75" customHeight="1">
      <c r="A853" s="152"/>
      <c r="B853" s="232"/>
      <c r="C853" s="152"/>
      <c r="D853" s="152"/>
      <c r="E853" s="152"/>
      <c r="F853" s="152"/>
      <c r="G853" s="152"/>
      <c r="H853" s="152"/>
      <c r="I853" s="152"/>
      <c r="J853" s="152"/>
      <c r="K853" s="152"/>
      <c r="L853" s="152"/>
      <c r="M853" s="152"/>
      <c r="N853" s="152"/>
      <c r="O853" s="152"/>
      <c r="P853" s="152"/>
      <c r="Q853" s="152"/>
      <c r="R853" s="152"/>
      <c r="S853" s="152"/>
      <c r="T853" s="152"/>
      <c r="U853" s="152"/>
      <c r="V853" s="152"/>
      <c r="W853" s="152"/>
      <c r="X853" s="152"/>
      <c r="Y853" s="152"/>
      <c r="Z853" s="152"/>
    </row>
    <row r="854" ht="12.75" customHeight="1">
      <c r="A854" s="152"/>
      <c r="B854" s="232"/>
      <c r="C854" s="152"/>
      <c r="D854" s="152"/>
      <c r="E854" s="152"/>
      <c r="F854" s="152"/>
      <c r="G854" s="152"/>
      <c r="H854" s="152"/>
      <c r="I854" s="152"/>
      <c r="J854" s="152"/>
      <c r="K854" s="152"/>
      <c r="L854" s="152"/>
      <c r="M854" s="152"/>
      <c r="N854" s="152"/>
      <c r="O854" s="152"/>
      <c r="P854" s="152"/>
      <c r="Q854" s="152"/>
      <c r="R854" s="152"/>
      <c r="S854" s="152"/>
      <c r="T854" s="152"/>
      <c r="U854" s="152"/>
      <c r="V854" s="152"/>
      <c r="W854" s="152"/>
      <c r="X854" s="152"/>
      <c r="Y854" s="152"/>
      <c r="Z854" s="152"/>
    </row>
    <row r="855" ht="12.75" customHeight="1">
      <c r="A855" s="152"/>
      <c r="B855" s="232"/>
      <c r="C855" s="152"/>
      <c r="D855" s="152"/>
      <c r="E855" s="152"/>
      <c r="F855" s="152"/>
      <c r="G855" s="152"/>
      <c r="H855" s="152"/>
      <c r="I855" s="152"/>
      <c r="J855" s="152"/>
      <c r="K855" s="152"/>
      <c r="L855" s="152"/>
      <c r="M855" s="152"/>
      <c r="N855" s="152"/>
      <c r="O855" s="152"/>
      <c r="P855" s="152"/>
      <c r="Q855" s="152"/>
      <c r="R855" s="152"/>
      <c r="S855" s="152"/>
      <c r="T855" s="152"/>
      <c r="U855" s="152"/>
      <c r="V855" s="152"/>
      <c r="W855" s="152"/>
      <c r="X855" s="152"/>
      <c r="Y855" s="152"/>
      <c r="Z855" s="152"/>
    </row>
    <row r="856" ht="12.75" customHeight="1">
      <c r="A856" s="152"/>
      <c r="B856" s="232"/>
      <c r="C856" s="152"/>
      <c r="D856" s="152"/>
      <c r="E856" s="152"/>
      <c r="F856" s="152"/>
      <c r="G856" s="152"/>
      <c r="H856" s="152"/>
      <c r="I856" s="152"/>
      <c r="J856" s="152"/>
      <c r="K856" s="152"/>
      <c r="L856" s="152"/>
      <c r="M856" s="152"/>
      <c r="N856" s="152"/>
      <c r="O856" s="152"/>
      <c r="P856" s="152"/>
      <c r="Q856" s="152"/>
      <c r="R856" s="152"/>
      <c r="S856" s="152"/>
      <c r="T856" s="152"/>
      <c r="U856" s="152"/>
      <c r="V856" s="152"/>
      <c r="W856" s="152"/>
      <c r="X856" s="152"/>
      <c r="Y856" s="152"/>
      <c r="Z856" s="152"/>
    </row>
    <row r="857" ht="12.75" customHeight="1">
      <c r="A857" s="152"/>
      <c r="B857" s="232"/>
      <c r="C857" s="152"/>
      <c r="D857" s="152"/>
      <c r="E857" s="152"/>
      <c r="F857" s="152"/>
      <c r="G857" s="152"/>
      <c r="H857" s="152"/>
      <c r="I857" s="152"/>
      <c r="J857" s="152"/>
      <c r="K857" s="152"/>
      <c r="L857" s="152"/>
      <c r="M857" s="152"/>
      <c r="N857" s="152"/>
      <c r="O857" s="152"/>
      <c r="P857" s="152"/>
      <c r="Q857" s="152"/>
      <c r="R857" s="152"/>
      <c r="S857" s="152"/>
      <c r="T857" s="152"/>
      <c r="U857" s="152"/>
      <c r="V857" s="152"/>
      <c r="W857" s="152"/>
      <c r="X857" s="152"/>
      <c r="Y857" s="152"/>
      <c r="Z857" s="152"/>
    </row>
    <row r="858" ht="12.75" customHeight="1">
      <c r="A858" s="152"/>
      <c r="B858" s="232"/>
      <c r="C858" s="152"/>
      <c r="D858" s="152"/>
      <c r="E858" s="152"/>
      <c r="F858" s="152"/>
      <c r="G858" s="152"/>
      <c r="H858" s="152"/>
      <c r="I858" s="152"/>
      <c r="J858" s="152"/>
      <c r="K858" s="152"/>
      <c r="L858" s="152"/>
      <c r="M858" s="152"/>
      <c r="N858" s="152"/>
      <c r="O858" s="152"/>
      <c r="P858" s="152"/>
      <c r="Q858" s="152"/>
      <c r="R858" s="152"/>
      <c r="S858" s="152"/>
      <c r="T858" s="152"/>
      <c r="U858" s="152"/>
      <c r="V858" s="152"/>
      <c r="W858" s="152"/>
      <c r="X858" s="152"/>
      <c r="Y858" s="152"/>
      <c r="Z858" s="152"/>
    </row>
    <row r="859" ht="12.75" customHeight="1">
      <c r="A859" s="152"/>
      <c r="B859" s="232"/>
      <c r="C859" s="152"/>
      <c r="D859" s="152"/>
      <c r="E859" s="152"/>
      <c r="F859" s="152"/>
      <c r="G859" s="152"/>
      <c r="H859" s="152"/>
      <c r="I859" s="152"/>
      <c r="J859" s="152"/>
      <c r="K859" s="152"/>
      <c r="L859" s="152"/>
      <c r="M859" s="152"/>
      <c r="N859" s="152"/>
      <c r="O859" s="152"/>
      <c r="P859" s="152"/>
      <c r="Q859" s="152"/>
      <c r="R859" s="152"/>
      <c r="S859" s="152"/>
      <c r="T859" s="152"/>
      <c r="U859" s="152"/>
      <c r="V859" s="152"/>
      <c r="W859" s="152"/>
      <c r="X859" s="152"/>
      <c r="Y859" s="152"/>
      <c r="Z859" s="152"/>
    </row>
    <row r="860" ht="12.75" customHeight="1">
      <c r="A860" s="152"/>
      <c r="B860" s="232"/>
      <c r="C860" s="152"/>
      <c r="D860" s="152"/>
      <c r="E860" s="152"/>
      <c r="F860" s="152"/>
      <c r="G860" s="152"/>
      <c r="H860" s="152"/>
      <c r="I860" s="152"/>
      <c r="J860" s="152"/>
      <c r="K860" s="152"/>
      <c r="L860" s="152"/>
      <c r="M860" s="152"/>
      <c r="N860" s="152"/>
      <c r="O860" s="152"/>
      <c r="P860" s="152"/>
      <c r="Q860" s="152"/>
      <c r="R860" s="152"/>
      <c r="S860" s="152"/>
      <c r="T860" s="152"/>
      <c r="U860" s="152"/>
      <c r="V860" s="152"/>
      <c r="W860" s="152"/>
      <c r="X860" s="152"/>
      <c r="Y860" s="152"/>
      <c r="Z860" s="152"/>
    </row>
    <row r="861" ht="12.75" customHeight="1">
      <c r="A861" s="152"/>
      <c r="B861" s="232"/>
      <c r="C861" s="152"/>
      <c r="D861" s="152"/>
      <c r="E861" s="152"/>
      <c r="F861" s="152"/>
      <c r="G861" s="152"/>
      <c r="H861" s="152"/>
      <c r="I861" s="152"/>
      <c r="J861" s="152"/>
      <c r="K861" s="152"/>
      <c r="L861" s="152"/>
      <c r="M861" s="152"/>
      <c r="N861" s="152"/>
      <c r="O861" s="152"/>
      <c r="P861" s="152"/>
      <c r="Q861" s="152"/>
      <c r="R861" s="152"/>
      <c r="S861" s="152"/>
      <c r="T861" s="152"/>
      <c r="U861" s="152"/>
      <c r="V861" s="152"/>
      <c r="W861" s="152"/>
      <c r="X861" s="152"/>
      <c r="Y861" s="152"/>
      <c r="Z861" s="152"/>
    </row>
    <row r="862" ht="12.75" customHeight="1">
      <c r="A862" s="152"/>
      <c r="B862" s="232"/>
      <c r="C862" s="152"/>
      <c r="D862" s="152"/>
      <c r="E862" s="152"/>
      <c r="F862" s="152"/>
      <c r="G862" s="152"/>
      <c r="H862" s="152"/>
      <c r="I862" s="152"/>
      <c r="J862" s="152"/>
      <c r="K862" s="152"/>
      <c r="L862" s="152"/>
      <c r="M862" s="152"/>
      <c r="N862" s="152"/>
      <c r="O862" s="152"/>
      <c r="P862" s="152"/>
      <c r="Q862" s="152"/>
      <c r="R862" s="152"/>
      <c r="S862" s="152"/>
      <c r="T862" s="152"/>
      <c r="U862" s="152"/>
      <c r="V862" s="152"/>
      <c r="W862" s="152"/>
      <c r="X862" s="152"/>
      <c r="Y862" s="152"/>
      <c r="Z862" s="152"/>
    </row>
    <row r="863" ht="12.75" customHeight="1">
      <c r="A863" s="152"/>
      <c r="B863" s="232"/>
      <c r="C863" s="152"/>
      <c r="D863" s="152"/>
      <c r="E863" s="152"/>
      <c r="F863" s="152"/>
      <c r="G863" s="152"/>
      <c r="H863" s="152"/>
      <c r="I863" s="152"/>
      <c r="J863" s="152"/>
      <c r="K863" s="152"/>
      <c r="L863" s="152"/>
      <c r="M863" s="152"/>
      <c r="N863" s="152"/>
      <c r="O863" s="152"/>
      <c r="P863" s="152"/>
      <c r="Q863" s="152"/>
      <c r="R863" s="152"/>
      <c r="S863" s="152"/>
      <c r="T863" s="152"/>
      <c r="U863" s="152"/>
      <c r="V863" s="152"/>
      <c r="W863" s="152"/>
      <c r="X863" s="152"/>
      <c r="Y863" s="152"/>
      <c r="Z863" s="152"/>
    </row>
    <row r="864" ht="12.75" customHeight="1">
      <c r="A864" s="152"/>
      <c r="B864" s="232"/>
      <c r="C864" s="152"/>
      <c r="D864" s="152"/>
      <c r="E864" s="152"/>
      <c r="F864" s="152"/>
      <c r="G864" s="152"/>
      <c r="H864" s="152"/>
      <c r="I864" s="152"/>
      <c r="J864" s="152"/>
      <c r="K864" s="152"/>
      <c r="L864" s="152"/>
      <c r="M864" s="152"/>
      <c r="N864" s="152"/>
      <c r="O864" s="152"/>
      <c r="P864" s="152"/>
      <c r="Q864" s="152"/>
      <c r="R864" s="152"/>
      <c r="S864" s="152"/>
      <c r="T864" s="152"/>
      <c r="U864" s="152"/>
      <c r="V864" s="152"/>
      <c r="W864" s="152"/>
      <c r="X864" s="152"/>
      <c r="Y864" s="152"/>
      <c r="Z864" s="152"/>
    </row>
    <row r="865" ht="12.75" customHeight="1">
      <c r="A865" s="152"/>
      <c r="B865" s="232"/>
      <c r="C865" s="152"/>
      <c r="D865" s="152"/>
      <c r="E865" s="152"/>
      <c r="F865" s="152"/>
      <c r="G865" s="152"/>
      <c r="H865" s="152"/>
      <c r="I865" s="152"/>
      <c r="J865" s="152"/>
      <c r="K865" s="152"/>
      <c r="L865" s="152"/>
      <c r="M865" s="152"/>
      <c r="N865" s="152"/>
      <c r="O865" s="152"/>
      <c r="P865" s="152"/>
      <c r="Q865" s="152"/>
      <c r="R865" s="152"/>
      <c r="S865" s="152"/>
      <c r="T865" s="152"/>
      <c r="U865" s="152"/>
      <c r="V865" s="152"/>
      <c r="W865" s="152"/>
      <c r="X865" s="152"/>
      <c r="Y865" s="152"/>
      <c r="Z865" s="152"/>
    </row>
    <row r="866" ht="12.75" customHeight="1">
      <c r="A866" s="152"/>
      <c r="B866" s="232"/>
      <c r="C866" s="152"/>
      <c r="D866" s="152"/>
      <c r="E866" s="152"/>
      <c r="F866" s="152"/>
      <c r="G866" s="152"/>
      <c r="H866" s="152"/>
      <c r="I866" s="152"/>
      <c r="J866" s="152"/>
      <c r="K866" s="152"/>
      <c r="L866" s="152"/>
      <c r="M866" s="152"/>
      <c r="N866" s="152"/>
      <c r="O866" s="152"/>
      <c r="P866" s="152"/>
      <c r="Q866" s="152"/>
      <c r="R866" s="152"/>
      <c r="S866" s="152"/>
      <c r="T866" s="152"/>
      <c r="U866" s="152"/>
      <c r="V866" s="152"/>
      <c r="W866" s="152"/>
      <c r="X866" s="152"/>
      <c r="Y866" s="152"/>
      <c r="Z866" s="152"/>
    </row>
    <row r="867" ht="12.75" customHeight="1">
      <c r="A867" s="152"/>
      <c r="B867" s="232"/>
      <c r="C867" s="152"/>
      <c r="D867" s="152"/>
      <c r="E867" s="152"/>
      <c r="F867" s="152"/>
      <c r="G867" s="152"/>
      <c r="H867" s="152"/>
      <c r="I867" s="152"/>
      <c r="J867" s="152"/>
      <c r="K867" s="152"/>
      <c r="L867" s="152"/>
      <c r="M867" s="152"/>
      <c r="N867" s="152"/>
      <c r="O867" s="152"/>
      <c r="P867" s="152"/>
      <c r="Q867" s="152"/>
      <c r="R867" s="152"/>
      <c r="S867" s="152"/>
      <c r="T867" s="152"/>
      <c r="U867" s="152"/>
      <c r="V867" s="152"/>
      <c r="W867" s="152"/>
      <c r="X867" s="152"/>
      <c r="Y867" s="152"/>
      <c r="Z867" s="152"/>
    </row>
    <row r="868" ht="12.75" customHeight="1">
      <c r="A868" s="152"/>
      <c r="B868" s="232"/>
      <c r="C868" s="152"/>
      <c r="D868" s="152"/>
      <c r="E868" s="152"/>
      <c r="F868" s="152"/>
      <c r="G868" s="152"/>
      <c r="H868" s="152"/>
      <c r="I868" s="152"/>
      <c r="J868" s="152"/>
      <c r="K868" s="152"/>
      <c r="L868" s="152"/>
      <c r="M868" s="152"/>
      <c r="N868" s="152"/>
      <c r="O868" s="152"/>
      <c r="P868" s="152"/>
      <c r="Q868" s="152"/>
      <c r="R868" s="152"/>
      <c r="S868" s="152"/>
      <c r="T868" s="152"/>
      <c r="U868" s="152"/>
      <c r="V868" s="152"/>
      <c r="W868" s="152"/>
      <c r="X868" s="152"/>
      <c r="Y868" s="152"/>
      <c r="Z868" s="152"/>
    </row>
    <row r="869" ht="12.75" customHeight="1">
      <c r="A869" s="152"/>
      <c r="B869" s="232"/>
      <c r="C869" s="152"/>
      <c r="D869" s="152"/>
      <c r="E869" s="152"/>
      <c r="F869" s="152"/>
      <c r="G869" s="152"/>
      <c r="H869" s="152"/>
      <c r="I869" s="152"/>
      <c r="J869" s="152"/>
      <c r="K869" s="152"/>
      <c r="L869" s="152"/>
      <c r="M869" s="152"/>
      <c r="N869" s="152"/>
      <c r="O869" s="152"/>
      <c r="P869" s="152"/>
      <c r="Q869" s="152"/>
      <c r="R869" s="152"/>
      <c r="S869" s="152"/>
      <c r="T869" s="152"/>
      <c r="U869" s="152"/>
      <c r="V869" s="152"/>
      <c r="W869" s="152"/>
      <c r="X869" s="152"/>
      <c r="Y869" s="152"/>
      <c r="Z869" s="152"/>
    </row>
    <row r="870" ht="12.75" customHeight="1">
      <c r="A870" s="152"/>
      <c r="B870" s="232"/>
      <c r="C870" s="152"/>
      <c r="D870" s="152"/>
      <c r="E870" s="152"/>
      <c r="F870" s="152"/>
      <c r="G870" s="152"/>
      <c r="H870" s="152"/>
      <c r="I870" s="152"/>
      <c r="J870" s="152"/>
      <c r="K870" s="152"/>
      <c r="L870" s="152"/>
      <c r="M870" s="152"/>
      <c r="N870" s="152"/>
      <c r="O870" s="152"/>
      <c r="P870" s="152"/>
      <c r="Q870" s="152"/>
      <c r="R870" s="152"/>
      <c r="S870" s="152"/>
      <c r="T870" s="152"/>
      <c r="U870" s="152"/>
      <c r="V870" s="152"/>
      <c r="W870" s="152"/>
      <c r="X870" s="152"/>
      <c r="Y870" s="152"/>
      <c r="Z870" s="152"/>
    </row>
    <row r="871" ht="12.75" customHeight="1">
      <c r="A871" s="152"/>
      <c r="B871" s="232"/>
      <c r="C871" s="152"/>
      <c r="D871" s="152"/>
      <c r="E871" s="152"/>
      <c r="F871" s="152"/>
      <c r="G871" s="152"/>
      <c r="H871" s="152"/>
      <c r="I871" s="152"/>
      <c r="J871" s="152"/>
      <c r="K871" s="152"/>
      <c r="L871" s="152"/>
      <c r="M871" s="152"/>
      <c r="N871" s="152"/>
      <c r="O871" s="152"/>
      <c r="P871" s="152"/>
      <c r="Q871" s="152"/>
      <c r="R871" s="152"/>
      <c r="S871" s="152"/>
      <c r="T871" s="152"/>
      <c r="U871" s="152"/>
      <c r="V871" s="152"/>
      <c r="W871" s="152"/>
      <c r="X871" s="152"/>
      <c r="Y871" s="152"/>
      <c r="Z871" s="152"/>
    </row>
    <row r="872" ht="12.75" customHeight="1">
      <c r="A872" s="152"/>
      <c r="B872" s="232"/>
      <c r="C872" s="152"/>
      <c r="D872" s="152"/>
      <c r="E872" s="152"/>
      <c r="F872" s="152"/>
      <c r="G872" s="152"/>
      <c r="H872" s="152"/>
      <c r="I872" s="152"/>
      <c r="J872" s="152"/>
      <c r="K872" s="152"/>
      <c r="L872" s="152"/>
      <c r="M872" s="152"/>
      <c r="N872" s="152"/>
      <c r="O872" s="152"/>
      <c r="P872" s="152"/>
      <c r="Q872" s="152"/>
      <c r="R872" s="152"/>
      <c r="S872" s="152"/>
      <c r="T872" s="152"/>
      <c r="U872" s="152"/>
      <c r="V872" s="152"/>
      <c r="W872" s="152"/>
      <c r="X872" s="152"/>
      <c r="Y872" s="152"/>
      <c r="Z872" s="152"/>
    </row>
    <row r="873" ht="12.75" customHeight="1">
      <c r="A873" s="152"/>
      <c r="B873" s="232"/>
      <c r="C873" s="152"/>
      <c r="D873" s="152"/>
      <c r="E873" s="152"/>
      <c r="F873" s="152"/>
      <c r="G873" s="152"/>
      <c r="H873" s="152"/>
      <c r="I873" s="152"/>
      <c r="J873" s="152"/>
      <c r="K873" s="152"/>
      <c r="L873" s="152"/>
      <c r="M873" s="152"/>
      <c r="N873" s="152"/>
      <c r="O873" s="152"/>
      <c r="P873" s="152"/>
      <c r="Q873" s="152"/>
      <c r="R873" s="152"/>
      <c r="S873" s="152"/>
      <c r="T873" s="152"/>
      <c r="U873" s="152"/>
      <c r="V873" s="152"/>
      <c r="W873" s="152"/>
      <c r="X873" s="152"/>
      <c r="Y873" s="152"/>
      <c r="Z873" s="152"/>
    </row>
    <row r="874" ht="12.75" customHeight="1">
      <c r="A874" s="152"/>
      <c r="B874" s="232"/>
      <c r="C874" s="152"/>
      <c r="D874" s="152"/>
      <c r="E874" s="152"/>
      <c r="F874" s="152"/>
      <c r="G874" s="152"/>
      <c r="H874" s="152"/>
      <c r="I874" s="152"/>
      <c r="J874" s="152"/>
      <c r="K874" s="152"/>
      <c r="L874" s="152"/>
      <c r="M874" s="152"/>
      <c r="N874" s="152"/>
      <c r="O874" s="152"/>
      <c r="P874" s="152"/>
      <c r="Q874" s="152"/>
      <c r="R874" s="152"/>
      <c r="S874" s="152"/>
      <c r="T874" s="152"/>
      <c r="U874" s="152"/>
      <c r="V874" s="152"/>
      <c r="W874" s="152"/>
      <c r="X874" s="152"/>
      <c r="Y874" s="152"/>
      <c r="Z874" s="152"/>
    </row>
    <row r="875" ht="12.75" customHeight="1">
      <c r="A875" s="152"/>
      <c r="B875" s="232"/>
      <c r="C875" s="152"/>
      <c r="D875" s="152"/>
      <c r="E875" s="152"/>
      <c r="F875" s="152"/>
      <c r="G875" s="152"/>
      <c r="H875" s="152"/>
      <c r="I875" s="152"/>
      <c r="J875" s="152"/>
      <c r="K875" s="152"/>
      <c r="L875" s="152"/>
      <c r="M875" s="152"/>
      <c r="N875" s="152"/>
      <c r="O875" s="152"/>
      <c r="P875" s="152"/>
      <c r="Q875" s="152"/>
      <c r="R875" s="152"/>
      <c r="S875" s="152"/>
      <c r="T875" s="152"/>
      <c r="U875" s="152"/>
      <c r="V875" s="152"/>
      <c r="W875" s="152"/>
      <c r="X875" s="152"/>
      <c r="Y875" s="152"/>
      <c r="Z875" s="152"/>
    </row>
    <row r="876" ht="12.75" customHeight="1">
      <c r="A876" s="152"/>
      <c r="B876" s="232"/>
      <c r="C876" s="152"/>
      <c r="D876" s="152"/>
      <c r="E876" s="152"/>
      <c r="F876" s="152"/>
      <c r="G876" s="152"/>
      <c r="H876" s="152"/>
      <c r="I876" s="152"/>
      <c r="J876" s="152"/>
      <c r="K876" s="152"/>
      <c r="L876" s="152"/>
      <c r="M876" s="152"/>
      <c r="N876" s="152"/>
      <c r="O876" s="152"/>
      <c r="P876" s="152"/>
      <c r="Q876" s="152"/>
      <c r="R876" s="152"/>
      <c r="S876" s="152"/>
      <c r="T876" s="152"/>
      <c r="U876" s="152"/>
      <c r="V876" s="152"/>
      <c r="W876" s="152"/>
      <c r="X876" s="152"/>
      <c r="Y876" s="152"/>
      <c r="Z876" s="152"/>
    </row>
    <row r="877" ht="12.75" customHeight="1">
      <c r="A877" s="152"/>
      <c r="B877" s="232"/>
      <c r="C877" s="152"/>
      <c r="D877" s="152"/>
      <c r="E877" s="152"/>
      <c r="F877" s="152"/>
      <c r="G877" s="152"/>
      <c r="H877" s="152"/>
      <c r="I877" s="152"/>
      <c r="J877" s="152"/>
      <c r="K877" s="152"/>
      <c r="L877" s="152"/>
      <c r="M877" s="152"/>
      <c r="N877" s="152"/>
      <c r="O877" s="152"/>
      <c r="P877" s="152"/>
      <c r="Q877" s="152"/>
      <c r="R877" s="152"/>
      <c r="S877" s="152"/>
      <c r="T877" s="152"/>
      <c r="U877" s="152"/>
      <c r="V877" s="152"/>
      <c r="W877" s="152"/>
      <c r="X877" s="152"/>
      <c r="Y877" s="152"/>
      <c r="Z877" s="152"/>
    </row>
    <row r="878" ht="12.75" customHeight="1">
      <c r="A878" s="152"/>
      <c r="B878" s="232"/>
      <c r="C878" s="152"/>
      <c r="D878" s="152"/>
      <c r="E878" s="152"/>
      <c r="F878" s="152"/>
      <c r="G878" s="152"/>
      <c r="H878" s="152"/>
      <c r="I878" s="152"/>
      <c r="J878" s="152"/>
      <c r="K878" s="152"/>
      <c r="L878" s="152"/>
      <c r="M878" s="152"/>
      <c r="N878" s="152"/>
      <c r="O878" s="152"/>
      <c r="P878" s="152"/>
      <c r="Q878" s="152"/>
      <c r="R878" s="152"/>
      <c r="S878" s="152"/>
      <c r="T878" s="152"/>
      <c r="U878" s="152"/>
      <c r="V878" s="152"/>
      <c r="W878" s="152"/>
      <c r="X878" s="152"/>
      <c r="Y878" s="152"/>
      <c r="Z878" s="152"/>
    </row>
    <row r="879" ht="12.75" customHeight="1">
      <c r="A879" s="152"/>
      <c r="B879" s="232"/>
      <c r="C879" s="152"/>
      <c r="D879" s="152"/>
      <c r="E879" s="152"/>
      <c r="F879" s="152"/>
      <c r="G879" s="152"/>
      <c r="H879" s="152"/>
      <c r="I879" s="152"/>
      <c r="J879" s="152"/>
      <c r="K879" s="152"/>
      <c r="L879" s="152"/>
      <c r="M879" s="152"/>
      <c r="N879" s="152"/>
      <c r="O879" s="152"/>
      <c r="P879" s="152"/>
      <c r="Q879" s="152"/>
      <c r="R879" s="152"/>
      <c r="S879" s="152"/>
      <c r="T879" s="152"/>
      <c r="U879" s="152"/>
      <c r="V879" s="152"/>
      <c r="W879" s="152"/>
      <c r="X879" s="152"/>
      <c r="Y879" s="152"/>
      <c r="Z879" s="152"/>
    </row>
    <row r="880" ht="12.75" customHeight="1">
      <c r="A880" s="152"/>
      <c r="B880" s="232"/>
      <c r="C880" s="152"/>
      <c r="D880" s="152"/>
      <c r="E880" s="152"/>
      <c r="F880" s="152"/>
      <c r="G880" s="152"/>
      <c r="H880" s="152"/>
      <c r="I880" s="152"/>
      <c r="J880" s="152"/>
      <c r="K880" s="152"/>
      <c r="L880" s="152"/>
      <c r="M880" s="152"/>
      <c r="N880" s="152"/>
      <c r="O880" s="152"/>
      <c r="P880" s="152"/>
      <c r="Q880" s="152"/>
      <c r="R880" s="152"/>
      <c r="S880" s="152"/>
      <c r="T880" s="152"/>
      <c r="U880" s="152"/>
      <c r="V880" s="152"/>
      <c r="W880" s="152"/>
      <c r="X880" s="152"/>
      <c r="Y880" s="152"/>
      <c r="Z880" s="152"/>
    </row>
    <row r="881" ht="12.75" customHeight="1">
      <c r="A881" s="152"/>
      <c r="B881" s="232"/>
      <c r="C881" s="152"/>
      <c r="D881" s="152"/>
      <c r="E881" s="152"/>
      <c r="F881" s="152"/>
      <c r="G881" s="152"/>
      <c r="H881" s="152"/>
      <c r="I881" s="152"/>
      <c r="J881" s="152"/>
      <c r="K881" s="152"/>
      <c r="L881" s="152"/>
      <c r="M881" s="152"/>
      <c r="N881" s="152"/>
      <c r="O881" s="152"/>
      <c r="P881" s="152"/>
      <c r="Q881" s="152"/>
      <c r="R881" s="152"/>
      <c r="S881" s="152"/>
      <c r="T881" s="152"/>
      <c r="U881" s="152"/>
      <c r="V881" s="152"/>
      <c r="W881" s="152"/>
      <c r="X881" s="152"/>
      <c r="Y881" s="152"/>
      <c r="Z881" s="152"/>
    </row>
    <row r="882" ht="12.75" customHeight="1">
      <c r="A882" s="152"/>
      <c r="B882" s="232"/>
      <c r="C882" s="152"/>
      <c r="D882" s="152"/>
      <c r="E882" s="152"/>
      <c r="F882" s="152"/>
      <c r="G882" s="152"/>
      <c r="H882" s="152"/>
      <c r="I882" s="152"/>
      <c r="J882" s="152"/>
      <c r="K882" s="152"/>
      <c r="L882" s="152"/>
      <c r="M882" s="152"/>
      <c r="N882" s="152"/>
      <c r="O882" s="152"/>
      <c r="P882" s="152"/>
      <c r="Q882" s="152"/>
      <c r="R882" s="152"/>
      <c r="S882" s="152"/>
      <c r="T882" s="152"/>
      <c r="U882" s="152"/>
      <c r="V882" s="152"/>
      <c r="W882" s="152"/>
      <c r="X882" s="152"/>
      <c r="Y882" s="152"/>
      <c r="Z882" s="152"/>
    </row>
    <row r="883" ht="12.75" customHeight="1">
      <c r="A883" s="152"/>
      <c r="B883" s="232"/>
      <c r="C883" s="152"/>
      <c r="D883" s="152"/>
      <c r="E883" s="152"/>
      <c r="F883" s="152"/>
      <c r="G883" s="152"/>
      <c r="H883" s="152"/>
      <c r="I883" s="152"/>
      <c r="J883" s="152"/>
      <c r="K883" s="152"/>
      <c r="L883" s="152"/>
      <c r="M883" s="152"/>
      <c r="N883" s="152"/>
      <c r="O883" s="152"/>
      <c r="P883" s="152"/>
      <c r="Q883" s="152"/>
      <c r="R883" s="152"/>
      <c r="S883" s="152"/>
      <c r="T883" s="152"/>
      <c r="U883" s="152"/>
      <c r="V883" s="152"/>
      <c r="W883" s="152"/>
      <c r="X883" s="152"/>
      <c r="Y883" s="152"/>
      <c r="Z883" s="152"/>
    </row>
    <row r="884" ht="12.75" customHeight="1">
      <c r="A884" s="152"/>
      <c r="B884" s="232"/>
      <c r="C884" s="152"/>
      <c r="D884" s="152"/>
      <c r="E884" s="152"/>
      <c r="F884" s="152"/>
      <c r="G884" s="152"/>
      <c r="H884" s="152"/>
      <c r="I884" s="152"/>
      <c r="J884" s="152"/>
      <c r="K884" s="152"/>
      <c r="L884" s="152"/>
      <c r="M884" s="152"/>
      <c r="N884" s="152"/>
      <c r="O884" s="152"/>
      <c r="P884" s="152"/>
      <c r="Q884" s="152"/>
      <c r="R884" s="152"/>
      <c r="S884" s="152"/>
      <c r="T884" s="152"/>
      <c r="U884" s="152"/>
      <c r="V884" s="152"/>
      <c r="W884" s="152"/>
      <c r="X884" s="152"/>
      <c r="Y884" s="152"/>
      <c r="Z884" s="152"/>
    </row>
    <row r="885" ht="12.75" customHeight="1">
      <c r="A885" s="152"/>
      <c r="B885" s="232"/>
      <c r="C885" s="152"/>
      <c r="D885" s="152"/>
      <c r="E885" s="152"/>
      <c r="F885" s="152"/>
      <c r="G885" s="152"/>
      <c r="H885" s="152"/>
      <c r="I885" s="152"/>
      <c r="J885" s="152"/>
      <c r="K885" s="152"/>
      <c r="L885" s="152"/>
      <c r="M885" s="152"/>
      <c r="N885" s="152"/>
      <c r="O885" s="152"/>
      <c r="P885" s="152"/>
      <c r="Q885" s="152"/>
      <c r="R885" s="152"/>
      <c r="S885" s="152"/>
      <c r="T885" s="152"/>
      <c r="U885" s="152"/>
      <c r="V885" s="152"/>
      <c r="W885" s="152"/>
      <c r="X885" s="152"/>
      <c r="Y885" s="152"/>
      <c r="Z885" s="152"/>
    </row>
    <row r="886" ht="12.75" customHeight="1">
      <c r="A886" s="152"/>
      <c r="B886" s="232"/>
      <c r="C886" s="152"/>
      <c r="D886" s="152"/>
      <c r="E886" s="152"/>
      <c r="F886" s="152"/>
      <c r="G886" s="152"/>
      <c r="H886" s="152"/>
      <c r="I886" s="152"/>
      <c r="J886" s="152"/>
      <c r="K886" s="152"/>
      <c r="L886" s="152"/>
      <c r="M886" s="152"/>
      <c r="N886" s="152"/>
      <c r="O886" s="152"/>
      <c r="P886" s="152"/>
      <c r="Q886" s="152"/>
      <c r="R886" s="152"/>
      <c r="S886" s="152"/>
      <c r="T886" s="152"/>
      <c r="U886" s="152"/>
      <c r="V886" s="152"/>
      <c r="W886" s="152"/>
      <c r="X886" s="152"/>
      <c r="Y886" s="152"/>
      <c r="Z886" s="152"/>
    </row>
    <row r="887" ht="12.75" customHeight="1">
      <c r="A887" s="152"/>
      <c r="B887" s="232"/>
      <c r="C887" s="152"/>
      <c r="D887" s="152"/>
      <c r="E887" s="152"/>
      <c r="F887" s="152"/>
      <c r="G887" s="152"/>
      <c r="H887" s="152"/>
      <c r="I887" s="152"/>
      <c r="J887" s="152"/>
      <c r="K887" s="152"/>
      <c r="L887" s="152"/>
      <c r="M887" s="152"/>
      <c r="N887" s="152"/>
      <c r="O887" s="152"/>
      <c r="P887" s="152"/>
      <c r="Q887" s="152"/>
      <c r="R887" s="152"/>
      <c r="S887" s="152"/>
      <c r="T887" s="152"/>
      <c r="U887" s="152"/>
      <c r="V887" s="152"/>
      <c r="W887" s="152"/>
      <c r="X887" s="152"/>
      <c r="Y887" s="152"/>
      <c r="Z887" s="152"/>
    </row>
    <row r="888" ht="12.75" customHeight="1">
      <c r="A888" s="152"/>
      <c r="B888" s="232"/>
      <c r="C888" s="152"/>
      <c r="D888" s="152"/>
      <c r="E888" s="152"/>
      <c r="F888" s="152"/>
      <c r="G888" s="152"/>
      <c r="H888" s="152"/>
      <c r="I888" s="152"/>
      <c r="J888" s="152"/>
      <c r="K888" s="152"/>
      <c r="L888" s="152"/>
      <c r="M888" s="152"/>
      <c r="N888" s="152"/>
      <c r="O888" s="152"/>
      <c r="P888" s="152"/>
      <c r="Q888" s="152"/>
      <c r="R888" s="152"/>
      <c r="S888" s="152"/>
      <c r="T888" s="152"/>
      <c r="U888" s="152"/>
      <c r="V888" s="152"/>
      <c r="W888" s="152"/>
      <c r="X888" s="152"/>
      <c r="Y888" s="152"/>
      <c r="Z888" s="152"/>
    </row>
    <row r="889" ht="12.75" customHeight="1">
      <c r="A889" s="152"/>
      <c r="B889" s="232"/>
      <c r="C889" s="152"/>
      <c r="D889" s="152"/>
      <c r="E889" s="152"/>
      <c r="F889" s="152"/>
      <c r="G889" s="152"/>
      <c r="H889" s="152"/>
      <c r="I889" s="152"/>
      <c r="J889" s="152"/>
      <c r="K889" s="152"/>
      <c r="L889" s="152"/>
      <c r="M889" s="152"/>
      <c r="N889" s="152"/>
      <c r="O889" s="152"/>
      <c r="P889" s="152"/>
      <c r="Q889" s="152"/>
      <c r="R889" s="152"/>
      <c r="S889" s="152"/>
      <c r="T889" s="152"/>
      <c r="U889" s="152"/>
      <c r="V889" s="152"/>
      <c r="W889" s="152"/>
      <c r="X889" s="152"/>
      <c r="Y889" s="152"/>
      <c r="Z889" s="152"/>
    </row>
    <row r="890" ht="12.75" customHeight="1">
      <c r="A890" s="152"/>
      <c r="B890" s="232"/>
      <c r="C890" s="152"/>
      <c r="D890" s="152"/>
      <c r="E890" s="152"/>
      <c r="F890" s="152"/>
      <c r="G890" s="152"/>
      <c r="H890" s="152"/>
      <c r="I890" s="152"/>
      <c r="J890" s="152"/>
      <c r="K890" s="152"/>
      <c r="L890" s="152"/>
      <c r="M890" s="152"/>
      <c r="N890" s="152"/>
      <c r="O890" s="152"/>
      <c r="P890" s="152"/>
      <c r="Q890" s="152"/>
      <c r="R890" s="152"/>
      <c r="S890" s="152"/>
      <c r="T890" s="152"/>
      <c r="U890" s="152"/>
      <c r="V890" s="152"/>
      <c r="W890" s="152"/>
      <c r="X890" s="152"/>
      <c r="Y890" s="152"/>
      <c r="Z890" s="152"/>
    </row>
    <row r="891" ht="12.75" customHeight="1">
      <c r="A891" s="152"/>
      <c r="B891" s="232"/>
      <c r="C891" s="152"/>
      <c r="D891" s="152"/>
      <c r="E891" s="152"/>
      <c r="F891" s="152"/>
      <c r="G891" s="152"/>
      <c r="H891" s="152"/>
      <c r="I891" s="152"/>
      <c r="J891" s="152"/>
      <c r="K891" s="152"/>
      <c r="L891" s="152"/>
      <c r="M891" s="152"/>
      <c r="N891" s="152"/>
      <c r="O891" s="152"/>
      <c r="P891" s="152"/>
      <c r="Q891" s="152"/>
      <c r="R891" s="152"/>
      <c r="S891" s="152"/>
      <c r="T891" s="152"/>
      <c r="U891" s="152"/>
      <c r="V891" s="152"/>
      <c r="W891" s="152"/>
      <c r="X891" s="152"/>
      <c r="Y891" s="152"/>
      <c r="Z891" s="152"/>
    </row>
    <row r="892" ht="12.75" customHeight="1">
      <c r="A892" s="152"/>
      <c r="B892" s="232"/>
      <c r="C892" s="152"/>
      <c r="D892" s="152"/>
      <c r="E892" s="152"/>
      <c r="F892" s="152"/>
      <c r="G892" s="152"/>
      <c r="H892" s="152"/>
      <c r="I892" s="152"/>
      <c r="J892" s="152"/>
      <c r="K892" s="152"/>
      <c r="L892" s="152"/>
      <c r="M892" s="152"/>
      <c r="N892" s="152"/>
      <c r="O892" s="152"/>
      <c r="P892" s="152"/>
      <c r="Q892" s="152"/>
      <c r="R892" s="152"/>
      <c r="S892" s="152"/>
      <c r="T892" s="152"/>
      <c r="U892" s="152"/>
      <c r="V892" s="152"/>
      <c r="W892" s="152"/>
      <c r="X892" s="152"/>
      <c r="Y892" s="152"/>
      <c r="Z892" s="152"/>
    </row>
    <row r="893" ht="12.75" customHeight="1">
      <c r="A893" s="152"/>
      <c r="B893" s="232"/>
      <c r="C893" s="152"/>
      <c r="D893" s="152"/>
      <c r="E893" s="152"/>
      <c r="F893" s="152"/>
      <c r="G893" s="152"/>
      <c r="H893" s="152"/>
      <c r="I893" s="152"/>
      <c r="J893" s="152"/>
      <c r="K893" s="152"/>
      <c r="L893" s="152"/>
      <c r="M893" s="152"/>
      <c r="N893" s="152"/>
      <c r="O893" s="152"/>
      <c r="P893" s="152"/>
      <c r="Q893" s="152"/>
      <c r="R893" s="152"/>
      <c r="S893" s="152"/>
      <c r="T893" s="152"/>
      <c r="U893" s="152"/>
      <c r="V893" s="152"/>
      <c r="W893" s="152"/>
      <c r="X893" s="152"/>
      <c r="Y893" s="152"/>
      <c r="Z893" s="152"/>
    </row>
    <row r="894" ht="12.75" customHeight="1">
      <c r="A894" s="152"/>
      <c r="B894" s="232"/>
      <c r="C894" s="152"/>
      <c r="D894" s="152"/>
      <c r="E894" s="152"/>
      <c r="F894" s="152"/>
      <c r="G894" s="152"/>
      <c r="H894" s="152"/>
      <c r="I894" s="152"/>
      <c r="J894" s="152"/>
      <c r="K894" s="152"/>
      <c r="L894" s="152"/>
      <c r="M894" s="152"/>
      <c r="N894" s="152"/>
      <c r="O894" s="152"/>
      <c r="P894" s="152"/>
      <c r="Q894" s="152"/>
      <c r="R894" s="152"/>
      <c r="S894" s="152"/>
      <c r="T894" s="152"/>
      <c r="U894" s="152"/>
      <c r="V894" s="152"/>
      <c r="W894" s="152"/>
      <c r="X894" s="152"/>
      <c r="Y894" s="152"/>
      <c r="Z894" s="152"/>
    </row>
    <row r="895" ht="12.75" customHeight="1">
      <c r="A895" s="152"/>
      <c r="B895" s="232"/>
      <c r="C895" s="152"/>
      <c r="D895" s="152"/>
      <c r="E895" s="152"/>
      <c r="F895" s="152"/>
      <c r="G895" s="152"/>
      <c r="H895" s="152"/>
      <c r="I895" s="152"/>
      <c r="J895" s="152"/>
      <c r="K895" s="152"/>
      <c r="L895" s="152"/>
      <c r="M895" s="152"/>
      <c r="N895" s="152"/>
      <c r="O895" s="152"/>
      <c r="P895" s="152"/>
      <c r="Q895" s="152"/>
      <c r="R895" s="152"/>
      <c r="S895" s="152"/>
      <c r="T895" s="152"/>
      <c r="U895" s="152"/>
      <c r="V895" s="152"/>
      <c r="W895" s="152"/>
      <c r="X895" s="152"/>
      <c r="Y895" s="152"/>
      <c r="Z895" s="152"/>
    </row>
    <row r="896" ht="12.75" customHeight="1">
      <c r="A896" s="152"/>
      <c r="B896" s="232"/>
      <c r="C896" s="152"/>
      <c r="D896" s="152"/>
      <c r="E896" s="152"/>
      <c r="F896" s="152"/>
      <c r="G896" s="152"/>
      <c r="H896" s="152"/>
      <c r="I896" s="152"/>
      <c r="J896" s="152"/>
      <c r="K896" s="152"/>
      <c r="L896" s="152"/>
      <c r="M896" s="152"/>
      <c r="N896" s="152"/>
      <c r="O896" s="152"/>
      <c r="P896" s="152"/>
      <c r="Q896" s="152"/>
      <c r="R896" s="152"/>
      <c r="S896" s="152"/>
      <c r="T896" s="152"/>
      <c r="U896" s="152"/>
      <c r="V896" s="152"/>
      <c r="W896" s="152"/>
      <c r="X896" s="152"/>
      <c r="Y896" s="152"/>
      <c r="Z896" s="152"/>
    </row>
    <row r="897" ht="12.75" customHeight="1">
      <c r="A897" s="152"/>
      <c r="B897" s="232"/>
      <c r="C897" s="152"/>
      <c r="D897" s="152"/>
      <c r="E897" s="152"/>
      <c r="F897" s="152"/>
      <c r="G897" s="152"/>
      <c r="H897" s="152"/>
      <c r="I897" s="152"/>
      <c r="J897" s="152"/>
      <c r="K897" s="152"/>
      <c r="L897" s="152"/>
      <c r="M897" s="152"/>
      <c r="N897" s="152"/>
      <c r="O897" s="152"/>
      <c r="P897" s="152"/>
      <c r="Q897" s="152"/>
      <c r="R897" s="152"/>
      <c r="S897" s="152"/>
      <c r="T897" s="152"/>
      <c r="U897" s="152"/>
      <c r="V897" s="152"/>
      <c r="W897" s="152"/>
      <c r="X897" s="152"/>
      <c r="Y897" s="152"/>
      <c r="Z897" s="152"/>
    </row>
    <row r="898" ht="12.75" customHeight="1">
      <c r="A898" s="152"/>
      <c r="B898" s="232"/>
      <c r="C898" s="152"/>
      <c r="D898" s="152"/>
      <c r="E898" s="152"/>
      <c r="F898" s="152"/>
      <c r="G898" s="152"/>
      <c r="H898" s="152"/>
      <c r="I898" s="152"/>
      <c r="J898" s="152"/>
      <c r="K898" s="152"/>
      <c r="L898" s="152"/>
      <c r="M898" s="152"/>
      <c r="N898" s="152"/>
      <c r="O898" s="152"/>
      <c r="P898" s="152"/>
      <c r="Q898" s="152"/>
      <c r="R898" s="152"/>
      <c r="S898" s="152"/>
      <c r="T898" s="152"/>
      <c r="U898" s="152"/>
      <c r="V898" s="152"/>
      <c r="W898" s="152"/>
      <c r="X898" s="152"/>
      <c r="Y898" s="152"/>
      <c r="Z898" s="152"/>
    </row>
    <row r="899" ht="12.75" customHeight="1">
      <c r="A899" s="152"/>
      <c r="B899" s="232"/>
      <c r="C899" s="152"/>
      <c r="D899" s="152"/>
      <c r="E899" s="152"/>
      <c r="F899" s="152"/>
      <c r="G899" s="152"/>
      <c r="H899" s="152"/>
      <c r="I899" s="152"/>
      <c r="J899" s="152"/>
      <c r="K899" s="152"/>
      <c r="L899" s="152"/>
      <c r="M899" s="152"/>
      <c r="N899" s="152"/>
      <c r="O899" s="152"/>
      <c r="P899" s="152"/>
      <c r="Q899" s="152"/>
      <c r="R899" s="152"/>
      <c r="S899" s="152"/>
      <c r="T899" s="152"/>
      <c r="U899" s="152"/>
      <c r="V899" s="152"/>
      <c r="W899" s="152"/>
      <c r="X899" s="152"/>
      <c r="Y899" s="152"/>
      <c r="Z899" s="152"/>
    </row>
    <row r="900" ht="12.75" customHeight="1">
      <c r="A900" s="152"/>
      <c r="B900" s="232"/>
      <c r="C900" s="152"/>
      <c r="D900" s="152"/>
      <c r="E900" s="152"/>
      <c r="F900" s="152"/>
      <c r="G900" s="152"/>
      <c r="H900" s="152"/>
      <c r="I900" s="152"/>
      <c r="J900" s="152"/>
      <c r="K900" s="152"/>
      <c r="L900" s="152"/>
      <c r="M900" s="152"/>
      <c r="N900" s="152"/>
      <c r="O900" s="152"/>
      <c r="P900" s="152"/>
      <c r="Q900" s="152"/>
      <c r="R900" s="152"/>
      <c r="S900" s="152"/>
      <c r="T900" s="152"/>
      <c r="U900" s="152"/>
      <c r="V900" s="152"/>
      <c r="W900" s="152"/>
      <c r="X900" s="152"/>
      <c r="Y900" s="152"/>
      <c r="Z900" s="152"/>
    </row>
    <row r="901" ht="12.75" customHeight="1">
      <c r="A901" s="152"/>
      <c r="B901" s="232"/>
      <c r="C901" s="152"/>
      <c r="D901" s="152"/>
      <c r="E901" s="152"/>
      <c r="F901" s="152"/>
      <c r="G901" s="152"/>
      <c r="H901" s="152"/>
      <c r="I901" s="152"/>
      <c r="J901" s="152"/>
      <c r="K901" s="152"/>
      <c r="L901" s="152"/>
      <c r="M901" s="152"/>
      <c r="N901" s="152"/>
      <c r="O901" s="152"/>
      <c r="P901" s="152"/>
      <c r="Q901" s="152"/>
      <c r="R901" s="152"/>
      <c r="S901" s="152"/>
      <c r="T901" s="152"/>
      <c r="U901" s="152"/>
      <c r="V901" s="152"/>
      <c r="W901" s="152"/>
      <c r="X901" s="152"/>
      <c r="Y901" s="152"/>
      <c r="Z901" s="152"/>
    </row>
    <row r="902" ht="12.75" customHeight="1">
      <c r="A902" s="152"/>
      <c r="B902" s="232"/>
      <c r="C902" s="152"/>
      <c r="D902" s="152"/>
      <c r="E902" s="152"/>
      <c r="F902" s="152"/>
      <c r="G902" s="152"/>
      <c r="H902" s="152"/>
      <c r="I902" s="152"/>
      <c r="J902" s="152"/>
      <c r="K902" s="152"/>
      <c r="L902" s="152"/>
      <c r="M902" s="152"/>
      <c r="N902" s="152"/>
      <c r="O902" s="152"/>
      <c r="P902" s="152"/>
      <c r="Q902" s="152"/>
      <c r="R902" s="152"/>
      <c r="S902" s="152"/>
      <c r="T902" s="152"/>
      <c r="U902" s="152"/>
      <c r="V902" s="152"/>
      <c r="W902" s="152"/>
      <c r="X902" s="152"/>
      <c r="Y902" s="152"/>
      <c r="Z902" s="152"/>
    </row>
    <row r="903" ht="12.75" customHeight="1">
      <c r="A903" s="152"/>
      <c r="B903" s="232"/>
      <c r="C903" s="152"/>
      <c r="D903" s="152"/>
      <c r="E903" s="152"/>
      <c r="F903" s="152"/>
      <c r="G903" s="152"/>
      <c r="H903" s="152"/>
      <c r="I903" s="152"/>
      <c r="J903" s="152"/>
      <c r="K903" s="152"/>
      <c r="L903" s="152"/>
      <c r="M903" s="152"/>
      <c r="N903" s="152"/>
      <c r="O903" s="152"/>
      <c r="P903" s="152"/>
      <c r="Q903" s="152"/>
      <c r="R903" s="152"/>
      <c r="S903" s="152"/>
      <c r="T903" s="152"/>
      <c r="U903" s="152"/>
      <c r="V903" s="152"/>
      <c r="W903" s="152"/>
      <c r="X903" s="152"/>
      <c r="Y903" s="152"/>
      <c r="Z903" s="152"/>
    </row>
    <row r="904" ht="12.75" customHeight="1">
      <c r="A904" s="152"/>
      <c r="B904" s="232"/>
      <c r="C904" s="152"/>
      <c r="D904" s="152"/>
      <c r="E904" s="152"/>
      <c r="F904" s="152"/>
      <c r="G904" s="152"/>
      <c r="H904" s="152"/>
      <c r="I904" s="152"/>
      <c r="J904" s="152"/>
      <c r="K904" s="152"/>
      <c r="L904" s="152"/>
      <c r="M904" s="152"/>
      <c r="N904" s="152"/>
      <c r="O904" s="152"/>
      <c r="P904" s="152"/>
      <c r="Q904" s="152"/>
      <c r="R904" s="152"/>
      <c r="S904" s="152"/>
      <c r="T904" s="152"/>
      <c r="U904" s="152"/>
      <c r="V904" s="152"/>
      <c r="W904" s="152"/>
      <c r="X904" s="152"/>
      <c r="Y904" s="152"/>
      <c r="Z904" s="152"/>
    </row>
    <row r="905" ht="12.75" customHeight="1">
      <c r="A905" s="152"/>
      <c r="B905" s="232"/>
      <c r="C905" s="152"/>
      <c r="D905" s="152"/>
      <c r="E905" s="152"/>
      <c r="F905" s="152"/>
      <c r="G905" s="152"/>
      <c r="H905" s="152"/>
      <c r="I905" s="152"/>
      <c r="J905" s="152"/>
      <c r="K905" s="152"/>
      <c r="L905" s="152"/>
      <c r="M905" s="152"/>
      <c r="N905" s="152"/>
      <c r="O905" s="152"/>
      <c r="P905" s="152"/>
      <c r="Q905" s="152"/>
      <c r="R905" s="152"/>
      <c r="S905" s="152"/>
      <c r="T905" s="152"/>
      <c r="U905" s="152"/>
      <c r="V905" s="152"/>
      <c r="W905" s="152"/>
      <c r="X905" s="152"/>
      <c r="Y905" s="152"/>
      <c r="Z905" s="152"/>
    </row>
    <row r="906" ht="12.75" customHeight="1">
      <c r="A906" s="152"/>
      <c r="B906" s="232"/>
      <c r="C906" s="152"/>
      <c r="D906" s="152"/>
      <c r="E906" s="152"/>
      <c r="F906" s="152"/>
      <c r="G906" s="152"/>
      <c r="H906" s="152"/>
      <c r="I906" s="152"/>
      <c r="J906" s="152"/>
      <c r="K906" s="152"/>
      <c r="L906" s="152"/>
      <c r="M906" s="152"/>
      <c r="N906" s="152"/>
      <c r="O906" s="152"/>
      <c r="P906" s="152"/>
      <c r="Q906" s="152"/>
      <c r="R906" s="152"/>
      <c r="S906" s="152"/>
      <c r="T906" s="152"/>
      <c r="U906" s="152"/>
      <c r="V906" s="152"/>
      <c r="W906" s="152"/>
      <c r="X906" s="152"/>
      <c r="Y906" s="152"/>
      <c r="Z906" s="152"/>
    </row>
    <row r="907" ht="12.75" customHeight="1">
      <c r="A907" s="152"/>
      <c r="B907" s="232"/>
      <c r="C907" s="152"/>
      <c r="D907" s="152"/>
      <c r="E907" s="152"/>
      <c r="F907" s="152"/>
      <c r="G907" s="152"/>
      <c r="H907" s="152"/>
      <c r="I907" s="152"/>
      <c r="J907" s="152"/>
      <c r="K907" s="152"/>
      <c r="L907" s="152"/>
      <c r="M907" s="152"/>
      <c r="N907" s="152"/>
      <c r="O907" s="152"/>
      <c r="P907" s="152"/>
      <c r="Q907" s="152"/>
      <c r="R907" s="152"/>
      <c r="S907" s="152"/>
      <c r="T907" s="152"/>
      <c r="U907" s="152"/>
      <c r="V907" s="152"/>
      <c r="W907" s="152"/>
      <c r="X907" s="152"/>
      <c r="Y907" s="152"/>
      <c r="Z907" s="152"/>
    </row>
    <row r="908" ht="12.75" customHeight="1">
      <c r="A908" s="152"/>
      <c r="B908" s="232"/>
      <c r="C908" s="152"/>
      <c r="D908" s="152"/>
      <c r="E908" s="152"/>
      <c r="F908" s="152"/>
      <c r="G908" s="152"/>
      <c r="H908" s="152"/>
      <c r="I908" s="152"/>
      <c r="J908" s="152"/>
      <c r="K908" s="152"/>
      <c r="L908" s="152"/>
      <c r="M908" s="152"/>
      <c r="N908" s="152"/>
      <c r="O908" s="152"/>
      <c r="P908" s="152"/>
      <c r="Q908" s="152"/>
      <c r="R908" s="152"/>
      <c r="S908" s="152"/>
      <c r="T908" s="152"/>
      <c r="U908" s="152"/>
      <c r="V908" s="152"/>
      <c r="W908" s="152"/>
      <c r="X908" s="152"/>
      <c r="Y908" s="152"/>
      <c r="Z908" s="152"/>
    </row>
    <row r="909" ht="12.75" customHeight="1">
      <c r="A909" s="152"/>
      <c r="B909" s="232"/>
      <c r="C909" s="152"/>
      <c r="D909" s="152"/>
      <c r="E909" s="152"/>
      <c r="F909" s="152"/>
      <c r="G909" s="152"/>
      <c r="H909" s="152"/>
      <c r="I909" s="152"/>
      <c r="J909" s="152"/>
      <c r="K909" s="152"/>
      <c r="L909" s="152"/>
      <c r="M909" s="152"/>
      <c r="N909" s="152"/>
      <c r="O909" s="152"/>
      <c r="P909" s="152"/>
      <c r="Q909" s="152"/>
      <c r="R909" s="152"/>
      <c r="S909" s="152"/>
      <c r="T909" s="152"/>
      <c r="U909" s="152"/>
      <c r="V909" s="152"/>
      <c r="W909" s="152"/>
      <c r="X909" s="152"/>
      <c r="Y909" s="152"/>
      <c r="Z909" s="152"/>
    </row>
    <row r="910" ht="12.75" customHeight="1">
      <c r="A910" s="152"/>
      <c r="B910" s="232"/>
      <c r="C910" s="152"/>
      <c r="D910" s="152"/>
      <c r="E910" s="152"/>
      <c r="F910" s="152"/>
      <c r="G910" s="152"/>
      <c r="H910" s="152"/>
      <c r="I910" s="152"/>
      <c r="J910" s="152"/>
      <c r="K910" s="152"/>
      <c r="L910" s="152"/>
      <c r="M910" s="152"/>
      <c r="N910" s="152"/>
      <c r="O910" s="152"/>
      <c r="P910" s="152"/>
      <c r="Q910" s="152"/>
      <c r="R910" s="152"/>
      <c r="S910" s="152"/>
      <c r="T910" s="152"/>
      <c r="U910" s="152"/>
      <c r="V910" s="152"/>
      <c r="W910" s="152"/>
      <c r="X910" s="152"/>
      <c r="Y910" s="152"/>
      <c r="Z910" s="152"/>
    </row>
    <row r="911" ht="12.75" customHeight="1">
      <c r="A911" s="152"/>
      <c r="B911" s="232"/>
      <c r="C911" s="152"/>
      <c r="D911" s="152"/>
      <c r="E911" s="152"/>
      <c r="F911" s="152"/>
      <c r="G911" s="152"/>
      <c r="H911" s="152"/>
      <c r="I911" s="152"/>
      <c r="J911" s="152"/>
      <c r="K911" s="152"/>
      <c r="L911" s="152"/>
      <c r="M911" s="152"/>
      <c r="N911" s="152"/>
      <c r="O911" s="152"/>
      <c r="P911" s="152"/>
      <c r="Q911" s="152"/>
      <c r="R911" s="152"/>
      <c r="S911" s="152"/>
      <c r="T911" s="152"/>
      <c r="U911" s="152"/>
      <c r="V911" s="152"/>
      <c r="W911" s="152"/>
      <c r="X911" s="152"/>
      <c r="Y911" s="152"/>
      <c r="Z911" s="152"/>
    </row>
    <row r="912" ht="12.75" customHeight="1">
      <c r="A912" s="152"/>
      <c r="B912" s="232"/>
      <c r="C912" s="152"/>
      <c r="D912" s="152"/>
      <c r="E912" s="152"/>
      <c r="F912" s="152"/>
      <c r="G912" s="152"/>
      <c r="H912" s="152"/>
      <c r="I912" s="152"/>
      <c r="J912" s="152"/>
      <c r="K912" s="152"/>
      <c r="L912" s="152"/>
      <c r="M912" s="152"/>
      <c r="N912" s="152"/>
      <c r="O912" s="152"/>
      <c r="P912" s="152"/>
      <c r="Q912" s="152"/>
      <c r="R912" s="152"/>
      <c r="S912" s="152"/>
      <c r="T912" s="152"/>
      <c r="U912" s="152"/>
      <c r="V912" s="152"/>
      <c r="W912" s="152"/>
      <c r="X912" s="152"/>
      <c r="Y912" s="152"/>
      <c r="Z912" s="152"/>
    </row>
    <row r="913" ht="12.75" customHeight="1">
      <c r="A913" s="152"/>
      <c r="B913" s="232"/>
      <c r="C913" s="152"/>
      <c r="D913" s="152"/>
      <c r="E913" s="152"/>
      <c r="F913" s="152"/>
      <c r="G913" s="152"/>
      <c r="H913" s="152"/>
      <c r="I913" s="152"/>
      <c r="J913" s="152"/>
      <c r="K913" s="152"/>
      <c r="L913" s="152"/>
      <c r="M913" s="152"/>
      <c r="N913" s="152"/>
      <c r="O913" s="152"/>
      <c r="P913" s="152"/>
      <c r="Q913" s="152"/>
      <c r="R913" s="152"/>
      <c r="S913" s="152"/>
      <c r="T913" s="152"/>
      <c r="U913" s="152"/>
      <c r="V913" s="152"/>
      <c r="W913" s="152"/>
      <c r="X913" s="152"/>
      <c r="Y913" s="152"/>
      <c r="Z913" s="152"/>
    </row>
    <row r="914" ht="12.75" customHeight="1">
      <c r="A914" s="152"/>
      <c r="B914" s="232"/>
      <c r="C914" s="152"/>
      <c r="D914" s="152"/>
      <c r="E914" s="152"/>
      <c r="F914" s="152"/>
      <c r="G914" s="152"/>
      <c r="H914" s="152"/>
      <c r="I914" s="152"/>
      <c r="J914" s="152"/>
      <c r="K914" s="152"/>
      <c r="L914" s="152"/>
      <c r="M914" s="152"/>
      <c r="N914" s="152"/>
      <c r="O914" s="152"/>
      <c r="P914" s="152"/>
      <c r="Q914" s="152"/>
      <c r="R914" s="152"/>
      <c r="S914" s="152"/>
      <c r="T914" s="152"/>
      <c r="U914" s="152"/>
      <c r="V914" s="152"/>
      <c r="W914" s="152"/>
      <c r="X914" s="152"/>
      <c r="Y914" s="152"/>
      <c r="Z914" s="152"/>
    </row>
    <row r="915" ht="12.75" customHeight="1">
      <c r="A915" s="152"/>
      <c r="B915" s="232"/>
      <c r="C915" s="152"/>
      <c r="D915" s="152"/>
      <c r="E915" s="152"/>
      <c r="F915" s="152"/>
      <c r="G915" s="152"/>
      <c r="H915" s="152"/>
      <c r="I915" s="152"/>
      <c r="J915" s="152"/>
      <c r="K915" s="152"/>
      <c r="L915" s="152"/>
      <c r="M915" s="152"/>
      <c r="N915" s="152"/>
      <c r="O915" s="152"/>
      <c r="P915" s="152"/>
      <c r="Q915" s="152"/>
      <c r="R915" s="152"/>
      <c r="S915" s="152"/>
      <c r="T915" s="152"/>
      <c r="U915" s="152"/>
      <c r="V915" s="152"/>
      <c r="W915" s="152"/>
      <c r="X915" s="152"/>
      <c r="Y915" s="152"/>
      <c r="Z915" s="152"/>
    </row>
    <row r="916" ht="12.75" customHeight="1">
      <c r="A916" s="152"/>
      <c r="B916" s="232"/>
      <c r="C916" s="152"/>
      <c r="D916" s="152"/>
      <c r="E916" s="152"/>
      <c r="F916" s="152"/>
      <c r="G916" s="152"/>
      <c r="H916" s="152"/>
      <c r="I916" s="152"/>
      <c r="J916" s="152"/>
      <c r="K916" s="152"/>
      <c r="L916" s="152"/>
      <c r="M916" s="152"/>
      <c r="N916" s="152"/>
      <c r="O916" s="152"/>
      <c r="P916" s="152"/>
      <c r="Q916" s="152"/>
      <c r="R916" s="152"/>
      <c r="S916" s="152"/>
      <c r="T916" s="152"/>
      <c r="U916" s="152"/>
      <c r="V916" s="152"/>
      <c r="W916" s="152"/>
      <c r="X916" s="152"/>
      <c r="Y916" s="152"/>
      <c r="Z916" s="152"/>
    </row>
    <row r="917" ht="12.75" customHeight="1">
      <c r="A917" s="152"/>
      <c r="B917" s="232"/>
      <c r="C917" s="152"/>
      <c r="D917" s="152"/>
      <c r="E917" s="152"/>
      <c r="F917" s="152"/>
      <c r="G917" s="152"/>
      <c r="H917" s="152"/>
      <c r="I917" s="152"/>
      <c r="J917" s="152"/>
      <c r="K917" s="152"/>
      <c r="L917" s="152"/>
      <c r="M917" s="152"/>
      <c r="N917" s="152"/>
      <c r="O917" s="152"/>
      <c r="P917" s="152"/>
      <c r="Q917" s="152"/>
      <c r="R917" s="152"/>
      <c r="S917" s="152"/>
      <c r="T917" s="152"/>
      <c r="U917" s="152"/>
      <c r="V917" s="152"/>
      <c r="W917" s="152"/>
      <c r="X917" s="152"/>
      <c r="Y917" s="152"/>
      <c r="Z917" s="152"/>
    </row>
    <row r="918" ht="12.75" customHeight="1">
      <c r="A918" s="152"/>
      <c r="B918" s="232"/>
      <c r="C918" s="152"/>
      <c r="D918" s="152"/>
      <c r="E918" s="152"/>
      <c r="F918" s="152"/>
      <c r="G918" s="152"/>
      <c r="H918" s="152"/>
      <c r="I918" s="152"/>
      <c r="J918" s="152"/>
      <c r="K918" s="152"/>
      <c r="L918" s="152"/>
      <c r="M918" s="152"/>
      <c r="N918" s="152"/>
      <c r="O918" s="152"/>
      <c r="P918" s="152"/>
      <c r="Q918" s="152"/>
      <c r="R918" s="152"/>
      <c r="S918" s="152"/>
      <c r="T918" s="152"/>
      <c r="U918" s="152"/>
      <c r="V918" s="152"/>
      <c r="W918" s="152"/>
      <c r="X918" s="152"/>
      <c r="Y918" s="152"/>
      <c r="Z918" s="152"/>
    </row>
    <row r="919" ht="12.75" customHeight="1">
      <c r="A919" s="152"/>
      <c r="B919" s="232"/>
      <c r="C919" s="152"/>
      <c r="D919" s="152"/>
      <c r="E919" s="152"/>
      <c r="F919" s="152"/>
      <c r="G919" s="152"/>
      <c r="H919" s="152"/>
      <c r="I919" s="152"/>
      <c r="J919" s="152"/>
      <c r="K919" s="152"/>
      <c r="L919" s="152"/>
      <c r="M919" s="152"/>
      <c r="N919" s="152"/>
      <c r="O919" s="152"/>
      <c r="P919" s="152"/>
      <c r="Q919" s="152"/>
      <c r="R919" s="152"/>
      <c r="S919" s="152"/>
      <c r="T919" s="152"/>
      <c r="U919" s="152"/>
      <c r="V919" s="152"/>
      <c r="W919" s="152"/>
      <c r="X919" s="152"/>
      <c r="Y919" s="152"/>
      <c r="Z919" s="152"/>
    </row>
    <row r="920" ht="12.75" customHeight="1">
      <c r="A920" s="152"/>
      <c r="B920" s="232"/>
      <c r="C920" s="152"/>
      <c r="D920" s="152"/>
      <c r="E920" s="152"/>
      <c r="F920" s="152"/>
      <c r="G920" s="152"/>
      <c r="H920" s="152"/>
      <c r="I920" s="152"/>
      <c r="J920" s="152"/>
      <c r="K920" s="152"/>
      <c r="L920" s="152"/>
      <c r="M920" s="152"/>
      <c r="N920" s="152"/>
      <c r="O920" s="152"/>
      <c r="P920" s="152"/>
      <c r="Q920" s="152"/>
      <c r="R920" s="152"/>
      <c r="S920" s="152"/>
      <c r="T920" s="152"/>
      <c r="U920" s="152"/>
      <c r="V920" s="152"/>
      <c r="W920" s="152"/>
      <c r="X920" s="152"/>
      <c r="Y920" s="152"/>
      <c r="Z920" s="152"/>
    </row>
    <row r="921" ht="12.75" customHeight="1">
      <c r="A921" s="152"/>
      <c r="B921" s="232"/>
      <c r="C921" s="152"/>
      <c r="D921" s="152"/>
      <c r="E921" s="152"/>
      <c r="F921" s="152"/>
      <c r="G921" s="152"/>
      <c r="H921" s="152"/>
      <c r="I921" s="152"/>
      <c r="J921" s="152"/>
      <c r="K921" s="152"/>
      <c r="L921" s="152"/>
      <c r="M921" s="152"/>
      <c r="N921" s="152"/>
      <c r="O921" s="152"/>
      <c r="P921" s="152"/>
      <c r="Q921" s="152"/>
      <c r="R921" s="152"/>
      <c r="S921" s="152"/>
      <c r="T921" s="152"/>
      <c r="U921" s="152"/>
      <c r="V921" s="152"/>
      <c r="W921" s="152"/>
      <c r="X921" s="152"/>
      <c r="Y921" s="152"/>
      <c r="Z921" s="152"/>
    </row>
    <row r="922" ht="12.75" customHeight="1">
      <c r="A922" s="152"/>
      <c r="B922" s="232"/>
      <c r="C922" s="152"/>
      <c r="D922" s="152"/>
      <c r="E922" s="152"/>
      <c r="F922" s="152"/>
      <c r="G922" s="152"/>
      <c r="H922" s="152"/>
      <c r="I922" s="152"/>
      <c r="J922" s="152"/>
      <c r="K922" s="152"/>
      <c r="L922" s="152"/>
      <c r="M922" s="152"/>
      <c r="N922" s="152"/>
      <c r="O922" s="152"/>
      <c r="P922" s="152"/>
      <c r="Q922" s="152"/>
      <c r="R922" s="152"/>
      <c r="S922" s="152"/>
      <c r="T922" s="152"/>
      <c r="U922" s="152"/>
      <c r="V922" s="152"/>
      <c r="W922" s="152"/>
      <c r="X922" s="152"/>
      <c r="Y922" s="152"/>
      <c r="Z922" s="152"/>
    </row>
    <row r="923" ht="12.75" customHeight="1">
      <c r="A923" s="152"/>
      <c r="B923" s="232"/>
      <c r="C923" s="152"/>
      <c r="D923" s="152"/>
      <c r="E923" s="152"/>
      <c r="F923" s="152"/>
      <c r="G923" s="152"/>
      <c r="H923" s="152"/>
      <c r="I923" s="152"/>
      <c r="J923" s="152"/>
      <c r="K923" s="152"/>
      <c r="L923" s="152"/>
      <c r="M923" s="152"/>
      <c r="N923" s="152"/>
      <c r="O923" s="152"/>
      <c r="P923" s="152"/>
      <c r="Q923" s="152"/>
      <c r="R923" s="152"/>
      <c r="S923" s="152"/>
      <c r="T923" s="152"/>
      <c r="U923" s="152"/>
      <c r="V923" s="152"/>
      <c r="W923" s="152"/>
      <c r="X923" s="152"/>
      <c r="Y923" s="152"/>
      <c r="Z923" s="152"/>
    </row>
    <row r="924" ht="12.75" customHeight="1">
      <c r="A924" s="152"/>
      <c r="B924" s="232"/>
      <c r="C924" s="152"/>
      <c r="D924" s="152"/>
      <c r="E924" s="152"/>
      <c r="F924" s="152"/>
      <c r="G924" s="152"/>
      <c r="H924" s="152"/>
      <c r="I924" s="152"/>
      <c r="J924" s="152"/>
      <c r="K924" s="152"/>
      <c r="L924" s="152"/>
      <c r="M924" s="152"/>
      <c r="N924" s="152"/>
      <c r="O924" s="152"/>
      <c r="P924" s="152"/>
      <c r="Q924" s="152"/>
      <c r="R924" s="152"/>
      <c r="S924" s="152"/>
      <c r="T924" s="152"/>
      <c r="U924" s="152"/>
      <c r="V924" s="152"/>
      <c r="W924" s="152"/>
      <c r="X924" s="152"/>
      <c r="Y924" s="152"/>
      <c r="Z924" s="152"/>
    </row>
    <row r="925" ht="12.75" customHeight="1">
      <c r="A925" s="152"/>
      <c r="B925" s="232"/>
      <c r="C925" s="152"/>
      <c r="D925" s="152"/>
      <c r="E925" s="152"/>
      <c r="F925" s="152"/>
      <c r="G925" s="152"/>
      <c r="H925" s="152"/>
      <c r="I925" s="152"/>
      <c r="J925" s="152"/>
      <c r="K925" s="152"/>
      <c r="L925" s="152"/>
      <c r="M925" s="152"/>
      <c r="N925" s="152"/>
      <c r="O925" s="152"/>
      <c r="P925" s="152"/>
      <c r="Q925" s="152"/>
      <c r="R925" s="152"/>
      <c r="S925" s="152"/>
      <c r="T925" s="152"/>
      <c r="U925" s="152"/>
      <c r="V925" s="152"/>
      <c r="W925" s="152"/>
      <c r="X925" s="152"/>
      <c r="Y925" s="152"/>
      <c r="Z925" s="152"/>
    </row>
    <row r="926" ht="12.75" customHeight="1">
      <c r="A926" s="152"/>
      <c r="B926" s="232"/>
      <c r="C926" s="152"/>
      <c r="D926" s="152"/>
      <c r="E926" s="152"/>
      <c r="F926" s="152"/>
      <c r="G926" s="152"/>
      <c r="H926" s="152"/>
      <c r="I926" s="152"/>
      <c r="J926" s="152"/>
      <c r="K926" s="152"/>
      <c r="L926" s="152"/>
      <c r="M926" s="152"/>
      <c r="N926" s="152"/>
      <c r="O926" s="152"/>
      <c r="P926" s="152"/>
      <c r="Q926" s="152"/>
      <c r="R926" s="152"/>
      <c r="S926" s="152"/>
      <c r="T926" s="152"/>
      <c r="U926" s="152"/>
      <c r="V926" s="152"/>
      <c r="W926" s="152"/>
      <c r="X926" s="152"/>
      <c r="Y926" s="152"/>
      <c r="Z926" s="152"/>
    </row>
    <row r="927" ht="12.75" customHeight="1">
      <c r="A927" s="152"/>
      <c r="B927" s="232"/>
      <c r="C927" s="152"/>
      <c r="D927" s="152"/>
      <c r="E927" s="152"/>
      <c r="F927" s="152"/>
      <c r="G927" s="152"/>
      <c r="H927" s="152"/>
      <c r="I927" s="152"/>
      <c r="J927" s="152"/>
      <c r="K927" s="152"/>
      <c r="L927" s="152"/>
      <c r="M927" s="152"/>
      <c r="N927" s="152"/>
      <c r="O927" s="152"/>
      <c r="P927" s="152"/>
      <c r="Q927" s="152"/>
      <c r="R927" s="152"/>
      <c r="S927" s="152"/>
      <c r="T927" s="152"/>
      <c r="U927" s="152"/>
      <c r="V927" s="152"/>
      <c r="W927" s="152"/>
      <c r="X927" s="152"/>
      <c r="Y927" s="152"/>
      <c r="Z927" s="152"/>
    </row>
    <row r="928" ht="12.75" customHeight="1">
      <c r="A928" s="152"/>
      <c r="B928" s="232"/>
      <c r="C928" s="152"/>
      <c r="D928" s="152"/>
      <c r="E928" s="152"/>
      <c r="F928" s="152"/>
      <c r="G928" s="152"/>
      <c r="H928" s="152"/>
      <c r="I928" s="152"/>
      <c r="J928" s="152"/>
      <c r="K928" s="152"/>
      <c r="L928" s="152"/>
      <c r="M928" s="152"/>
      <c r="N928" s="152"/>
      <c r="O928" s="152"/>
      <c r="P928" s="152"/>
      <c r="Q928" s="152"/>
      <c r="R928" s="152"/>
      <c r="S928" s="152"/>
      <c r="T928" s="152"/>
      <c r="U928" s="152"/>
      <c r="V928" s="152"/>
      <c r="W928" s="152"/>
      <c r="X928" s="152"/>
      <c r="Y928" s="152"/>
      <c r="Z928" s="152"/>
    </row>
    <row r="929" ht="12.75" customHeight="1">
      <c r="A929" s="152"/>
      <c r="B929" s="232"/>
      <c r="C929" s="152"/>
      <c r="D929" s="152"/>
      <c r="E929" s="152"/>
      <c r="F929" s="152"/>
      <c r="G929" s="152"/>
      <c r="H929" s="152"/>
      <c r="I929" s="152"/>
      <c r="J929" s="152"/>
      <c r="K929" s="152"/>
      <c r="L929" s="152"/>
      <c r="M929" s="152"/>
      <c r="N929" s="152"/>
      <c r="O929" s="152"/>
      <c r="P929" s="152"/>
      <c r="Q929" s="152"/>
      <c r="R929" s="152"/>
      <c r="S929" s="152"/>
      <c r="T929" s="152"/>
      <c r="U929" s="152"/>
      <c r="V929" s="152"/>
      <c r="W929" s="152"/>
      <c r="X929" s="152"/>
      <c r="Y929" s="152"/>
      <c r="Z929" s="152"/>
    </row>
    <row r="930" ht="12.75" customHeight="1">
      <c r="A930" s="152"/>
      <c r="B930" s="232"/>
      <c r="C930" s="152"/>
      <c r="D930" s="152"/>
      <c r="E930" s="152"/>
      <c r="F930" s="152"/>
      <c r="G930" s="152"/>
      <c r="H930" s="152"/>
      <c r="I930" s="152"/>
      <c r="J930" s="152"/>
      <c r="K930" s="152"/>
      <c r="L930" s="152"/>
      <c r="M930" s="152"/>
      <c r="N930" s="152"/>
      <c r="O930" s="152"/>
      <c r="P930" s="152"/>
      <c r="Q930" s="152"/>
      <c r="R930" s="152"/>
      <c r="S930" s="152"/>
      <c r="T930" s="152"/>
      <c r="U930" s="152"/>
      <c r="V930" s="152"/>
      <c r="W930" s="152"/>
      <c r="X930" s="152"/>
      <c r="Y930" s="152"/>
      <c r="Z930" s="152"/>
    </row>
    <row r="931" ht="12.75" customHeight="1">
      <c r="A931" s="152"/>
      <c r="B931" s="232"/>
      <c r="C931" s="152"/>
      <c r="D931" s="152"/>
      <c r="E931" s="152"/>
      <c r="F931" s="152"/>
      <c r="G931" s="152"/>
      <c r="H931" s="152"/>
      <c r="I931" s="152"/>
      <c r="J931" s="152"/>
      <c r="K931" s="152"/>
      <c r="L931" s="152"/>
      <c r="M931" s="152"/>
      <c r="N931" s="152"/>
      <c r="O931" s="152"/>
      <c r="P931" s="152"/>
      <c r="Q931" s="152"/>
      <c r="R931" s="152"/>
      <c r="S931" s="152"/>
      <c r="T931" s="152"/>
      <c r="U931" s="152"/>
      <c r="V931" s="152"/>
      <c r="W931" s="152"/>
      <c r="X931" s="152"/>
      <c r="Y931" s="152"/>
      <c r="Z931" s="152"/>
    </row>
    <row r="932" ht="12.75" customHeight="1">
      <c r="A932" s="152"/>
      <c r="B932" s="232"/>
      <c r="C932" s="152"/>
      <c r="D932" s="152"/>
      <c r="E932" s="152"/>
      <c r="F932" s="152"/>
      <c r="G932" s="152"/>
      <c r="H932" s="152"/>
      <c r="I932" s="152"/>
      <c r="J932" s="152"/>
      <c r="K932" s="152"/>
      <c r="L932" s="152"/>
      <c r="M932" s="152"/>
      <c r="N932" s="152"/>
      <c r="O932" s="152"/>
      <c r="P932" s="152"/>
      <c r="Q932" s="152"/>
      <c r="R932" s="152"/>
      <c r="S932" s="152"/>
      <c r="T932" s="152"/>
      <c r="U932" s="152"/>
      <c r="V932" s="152"/>
      <c r="W932" s="152"/>
      <c r="X932" s="152"/>
      <c r="Y932" s="152"/>
      <c r="Z932" s="152"/>
    </row>
    <row r="933" ht="12.75" customHeight="1">
      <c r="A933" s="152"/>
      <c r="B933" s="232"/>
      <c r="C933" s="152"/>
      <c r="D933" s="152"/>
      <c r="E933" s="152"/>
      <c r="F933" s="152"/>
      <c r="G933" s="152"/>
      <c r="H933" s="152"/>
      <c r="I933" s="152"/>
      <c r="J933" s="152"/>
      <c r="K933" s="152"/>
      <c r="L933" s="152"/>
      <c r="M933" s="152"/>
      <c r="N933" s="152"/>
      <c r="O933" s="152"/>
      <c r="P933" s="152"/>
      <c r="Q933" s="152"/>
      <c r="R933" s="152"/>
      <c r="S933" s="152"/>
      <c r="T933" s="152"/>
      <c r="U933" s="152"/>
      <c r="V933" s="152"/>
      <c r="W933" s="152"/>
      <c r="X933" s="152"/>
      <c r="Y933" s="152"/>
      <c r="Z933" s="152"/>
    </row>
    <row r="934" ht="12.75" customHeight="1">
      <c r="A934" s="152"/>
      <c r="B934" s="232"/>
      <c r="C934" s="152"/>
      <c r="D934" s="152"/>
      <c r="E934" s="152"/>
      <c r="F934" s="152"/>
      <c r="G934" s="152"/>
      <c r="H934" s="152"/>
      <c r="I934" s="152"/>
      <c r="J934" s="152"/>
      <c r="K934" s="152"/>
      <c r="L934" s="152"/>
      <c r="M934" s="152"/>
      <c r="N934" s="152"/>
      <c r="O934" s="152"/>
      <c r="P934" s="152"/>
      <c r="Q934" s="152"/>
      <c r="R934" s="152"/>
      <c r="S934" s="152"/>
      <c r="T934" s="152"/>
      <c r="U934" s="152"/>
      <c r="V934" s="152"/>
      <c r="W934" s="152"/>
      <c r="X934" s="152"/>
      <c r="Y934" s="152"/>
      <c r="Z934" s="152"/>
    </row>
    <row r="935" ht="12.75" customHeight="1">
      <c r="A935" s="152"/>
      <c r="B935" s="232"/>
      <c r="C935" s="152"/>
      <c r="D935" s="152"/>
      <c r="E935" s="152"/>
      <c r="F935" s="152"/>
      <c r="G935" s="152"/>
      <c r="H935" s="152"/>
      <c r="I935" s="152"/>
      <c r="J935" s="152"/>
      <c r="K935" s="152"/>
      <c r="L935" s="152"/>
      <c r="M935" s="152"/>
      <c r="N935" s="152"/>
      <c r="O935" s="152"/>
      <c r="P935" s="152"/>
      <c r="Q935" s="152"/>
      <c r="R935" s="152"/>
      <c r="S935" s="152"/>
      <c r="T935" s="152"/>
      <c r="U935" s="152"/>
      <c r="V935" s="152"/>
      <c r="W935" s="152"/>
      <c r="X935" s="152"/>
      <c r="Y935" s="152"/>
      <c r="Z935" s="152"/>
    </row>
    <row r="936" ht="12.75" customHeight="1">
      <c r="A936" s="152"/>
      <c r="B936" s="232"/>
      <c r="C936" s="152"/>
      <c r="D936" s="152"/>
      <c r="E936" s="152"/>
      <c r="F936" s="152"/>
      <c r="G936" s="152"/>
      <c r="H936" s="152"/>
      <c r="I936" s="152"/>
      <c r="J936" s="152"/>
      <c r="K936" s="152"/>
      <c r="L936" s="152"/>
      <c r="M936" s="152"/>
      <c r="N936" s="152"/>
      <c r="O936" s="152"/>
      <c r="P936" s="152"/>
      <c r="Q936" s="152"/>
      <c r="R936" s="152"/>
      <c r="S936" s="152"/>
      <c r="T936" s="152"/>
      <c r="U936" s="152"/>
      <c r="V936" s="152"/>
      <c r="W936" s="152"/>
      <c r="X936" s="152"/>
      <c r="Y936" s="152"/>
      <c r="Z936" s="152"/>
    </row>
    <row r="937" ht="12.75" customHeight="1">
      <c r="A937" s="152"/>
      <c r="B937" s="232"/>
      <c r="C937" s="152"/>
      <c r="D937" s="152"/>
      <c r="E937" s="152"/>
      <c r="F937" s="152"/>
      <c r="G937" s="152"/>
      <c r="H937" s="152"/>
      <c r="I937" s="152"/>
      <c r="J937" s="152"/>
      <c r="K937" s="152"/>
      <c r="L937" s="152"/>
      <c r="M937" s="152"/>
      <c r="N937" s="152"/>
      <c r="O937" s="152"/>
      <c r="P937" s="152"/>
      <c r="Q937" s="152"/>
      <c r="R937" s="152"/>
      <c r="S937" s="152"/>
      <c r="T937" s="152"/>
      <c r="U937" s="152"/>
      <c r="V937" s="152"/>
      <c r="W937" s="152"/>
      <c r="X937" s="152"/>
      <c r="Y937" s="152"/>
      <c r="Z937" s="152"/>
    </row>
    <row r="938" ht="12.75" customHeight="1">
      <c r="A938" s="152"/>
      <c r="B938" s="232"/>
      <c r="C938" s="152"/>
      <c r="D938" s="152"/>
      <c r="E938" s="152"/>
      <c r="F938" s="152"/>
      <c r="G938" s="152"/>
      <c r="H938" s="152"/>
      <c r="I938" s="152"/>
      <c r="J938" s="152"/>
      <c r="K938" s="152"/>
      <c r="L938" s="152"/>
      <c r="M938" s="152"/>
      <c r="N938" s="152"/>
      <c r="O938" s="152"/>
      <c r="P938" s="152"/>
      <c r="Q938" s="152"/>
      <c r="R938" s="152"/>
      <c r="S938" s="152"/>
      <c r="T938" s="152"/>
      <c r="U938" s="152"/>
      <c r="V938" s="152"/>
      <c r="W938" s="152"/>
      <c r="X938" s="152"/>
      <c r="Y938" s="152"/>
      <c r="Z938" s="152"/>
    </row>
    <row r="939" ht="12.75" customHeight="1">
      <c r="A939" s="152"/>
      <c r="B939" s="232"/>
      <c r="C939" s="152"/>
      <c r="D939" s="152"/>
      <c r="E939" s="152"/>
      <c r="F939" s="152"/>
      <c r="G939" s="152"/>
      <c r="H939" s="152"/>
      <c r="I939" s="152"/>
      <c r="J939" s="152"/>
      <c r="K939" s="152"/>
      <c r="L939" s="152"/>
      <c r="M939" s="152"/>
      <c r="N939" s="152"/>
      <c r="O939" s="152"/>
      <c r="P939" s="152"/>
      <c r="Q939" s="152"/>
      <c r="R939" s="152"/>
      <c r="S939" s="152"/>
      <c r="T939" s="152"/>
      <c r="U939" s="152"/>
      <c r="V939" s="152"/>
      <c r="W939" s="152"/>
      <c r="X939" s="152"/>
      <c r="Y939" s="152"/>
      <c r="Z939" s="152"/>
    </row>
    <row r="940" ht="12.75" customHeight="1">
      <c r="A940" s="152"/>
      <c r="B940" s="232"/>
      <c r="C940" s="152"/>
      <c r="D940" s="152"/>
      <c r="E940" s="152"/>
      <c r="F940" s="152"/>
      <c r="G940" s="152"/>
      <c r="H940" s="152"/>
      <c r="I940" s="152"/>
      <c r="J940" s="152"/>
      <c r="K940" s="152"/>
      <c r="L940" s="152"/>
      <c r="M940" s="152"/>
      <c r="N940" s="152"/>
      <c r="O940" s="152"/>
      <c r="P940" s="152"/>
      <c r="Q940" s="152"/>
      <c r="R940" s="152"/>
      <c r="S940" s="152"/>
      <c r="T940" s="152"/>
      <c r="U940" s="152"/>
      <c r="V940" s="152"/>
      <c r="W940" s="152"/>
      <c r="X940" s="152"/>
      <c r="Y940" s="152"/>
      <c r="Z940" s="152"/>
    </row>
    <row r="941" ht="12.75" customHeight="1">
      <c r="A941" s="152"/>
      <c r="B941" s="232"/>
      <c r="C941" s="152"/>
      <c r="D941" s="152"/>
      <c r="E941" s="152"/>
      <c r="F941" s="152"/>
      <c r="G941" s="152"/>
      <c r="H941" s="152"/>
      <c r="I941" s="152"/>
      <c r="J941" s="152"/>
      <c r="K941" s="152"/>
      <c r="L941" s="152"/>
      <c r="M941" s="152"/>
      <c r="N941" s="152"/>
      <c r="O941" s="152"/>
      <c r="P941" s="152"/>
      <c r="Q941" s="152"/>
      <c r="R941" s="152"/>
      <c r="S941" s="152"/>
      <c r="T941" s="152"/>
      <c r="U941" s="152"/>
      <c r="V941" s="152"/>
      <c r="W941" s="152"/>
      <c r="X941" s="152"/>
      <c r="Y941" s="152"/>
      <c r="Z941" s="152"/>
    </row>
    <row r="942" ht="12.75" customHeight="1">
      <c r="A942" s="152"/>
      <c r="B942" s="232"/>
      <c r="C942" s="152"/>
      <c r="D942" s="152"/>
      <c r="E942" s="152"/>
      <c r="F942" s="152"/>
      <c r="G942" s="152"/>
      <c r="H942" s="152"/>
      <c r="I942" s="152"/>
      <c r="J942" s="152"/>
      <c r="K942" s="152"/>
      <c r="L942" s="152"/>
      <c r="M942" s="152"/>
      <c r="N942" s="152"/>
      <c r="O942" s="152"/>
      <c r="P942" s="152"/>
      <c r="Q942" s="152"/>
      <c r="R942" s="152"/>
      <c r="S942" s="152"/>
      <c r="T942" s="152"/>
      <c r="U942" s="152"/>
      <c r="V942" s="152"/>
      <c r="W942" s="152"/>
      <c r="X942" s="152"/>
      <c r="Y942" s="152"/>
      <c r="Z942" s="152"/>
    </row>
    <row r="943" ht="12.75" customHeight="1">
      <c r="A943" s="152"/>
      <c r="B943" s="232"/>
      <c r="C943" s="152"/>
      <c r="D943" s="152"/>
      <c r="E943" s="152"/>
      <c r="F943" s="152"/>
      <c r="G943" s="152"/>
      <c r="H943" s="152"/>
      <c r="I943" s="152"/>
      <c r="J943" s="152"/>
      <c r="K943" s="152"/>
      <c r="L943" s="152"/>
      <c r="M943" s="152"/>
      <c r="N943" s="152"/>
      <c r="O943" s="152"/>
      <c r="P943" s="152"/>
      <c r="Q943" s="152"/>
      <c r="R943" s="152"/>
      <c r="S943" s="152"/>
      <c r="T943" s="152"/>
      <c r="U943" s="152"/>
      <c r="V943" s="152"/>
      <c r="W943" s="152"/>
      <c r="X943" s="152"/>
      <c r="Y943" s="152"/>
      <c r="Z943" s="152"/>
    </row>
    <row r="944" ht="12.75" customHeight="1">
      <c r="A944" s="152"/>
      <c r="B944" s="232"/>
      <c r="C944" s="152"/>
      <c r="D944" s="152"/>
      <c r="E944" s="152"/>
      <c r="F944" s="152"/>
      <c r="G944" s="152"/>
      <c r="H944" s="152"/>
      <c r="I944" s="152"/>
      <c r="J944" s="152"/>
      <c r="K944" s="152"/>
      <c r="L944" s="152"/>
      <c r="M944" s="152"/>
      <c r="N944" s="152"/>
      <c r="O944" s="152"/>
      <c r="P944" s="152"/>
      <c r="Q944" s="152"/>
      <c r="R944" s="152"/>
      <c r="S944" s="152"/>
      <c r="T944" s="152"/>
      <c r="U944" s="152"/>
      <c r="V944" s="152"/>
      <c r="W944" s="152"/>
      <c r="X944" s="152"/>
      <c r="Y944" s="152"/>
      <c r="Z944" s="152"/>
    </row>
    <row r="945" ht="12.75" customHeight="1">
      <c r="A945" s="152"/>
      <c r="B945" s="232"/>
      <c r="C945" s="152"/>
      <c r="D945" s="152"/>
      <c r="E945" s="152"/>
      <c r="F945" s="152"/>
      <c r="G945" s="152"/>
      <c r="H945" s="152"/>
      <c r="I945" s="152"/>
      <c r="J945" s="152"/>
      <c r="K945" s="152"/>
      <c r="L945" s="152"/>
      <c r="M945" s="152"/>
      <c r="N945" s="152"/>
      <c r="O945" s="152"/>
      <c r="P945" s="152"/>
      <c r="Q945" s="152"/>
      <c r="R945" s="152"/>
      <c r="S945" s="152"/>
      <c r="T945" s="152"/>
      <c r="U945" s="152"/>
      <c r="V945" s="152"/>
      <c r="W945" s="152"/>
      <c r="X945" s="152"/>
      <c r="Y945" s="152"/>
      <c r="Z945" s="152"/>
    </row>
    <row r="946" ht="12.75" customHeight="1">
      <c r="A946" s="152"/>
      <c r="B946" s="232"/>
      <c r="C946" s="152"/>
      <c r="D946" s="152"/>
      <c r="E946" s="152"/>
      <c r="F946" s="152"/>
      <c r="G946" s="152"/>
      <c r="H946" s="152"/>
      <c r="I946" s="152"/>
      <c r="J946" s="152"/>
      <c r="K946" s="152"/>
      <c r="L946" s="152"/>
      <c r="M946" s="152"/>
      <c r="N946" s="152"/>
      <c r="O946" s="152"/>
      <c r="P946" s="152"/>
      <c r="Q946" s="152"/>
      <c r="R946" s="152"/>
      <c r="S946" s="152"/>
      <c r="T946" s="152"/>
      <c r="U946" s="152"/>
      <c r="V946" s="152"/>
      <c r="W946" s="152"/>
      <c r="X946" s="152"/>
      <c r="Y946" s="152"/>
      <c r="Z946" s="152"/>
    </row>
    <row r="947" ht="12.75" customHeight="1">
      <c r="A947" s="152"/>
      <c r="B947" s="232"/>
      <c r="C947" s="152"/>
      <c r="D947" s="152"/>
      <c r="E947" s="152"/>
      <c r="F947" s="152"/>
      <c r="G947" s="152"/>
      <c r="H947" s="152"/>
      <c r="I947" s="152"/>
      <c r="J947" s="152"/>
      <c r="K947" s="152"/>
      <c r="L947" s="152"/>
      <c r="M947" s="152"/>
      <c r="N947" s="152"/>
      <c r="O947" s="152"/>
      <c r="P947" s="152"/>
      <c r="Q947" s="152"/>
      <c r="R947" s="152"/>
      <c r="S947" s="152"/>
      <c r="T947" s="152"/>
      <c r="U947" s="152"/>
      <c r="V947" s="152"/>
      <c r="W947" s="152"/>
      <c r="X947" s="152"/>
      <c r="Y947" s="152"/>
      <c r="Z947" s="152"/>
    </row>
    <row r="948" ht="12.75" customHeight="1">
      <c r="A948" s="152"/>
      <c r="B948" s="232"/>
      <c r="C948" s="152"/>
      <c r="D948" s="152"/>
      <c r="E948" s="152"/>
      <c r="F948" s="152"/>
      <c r="G948" s="152"/>
      <c r="H948" s="152"/>
      <c r="I948" s="152"/>
      <c r="J948" s="152"/>
      <c r="K948" s="152"/>
      <c r="L948" s="152"/>
      <c r="M948" s="152"/>
      <c r="N948" s="152"/>
      <c r="O948" s="152"/>
      <c r="P948" s="152"/>
      <c r="Q948" s="152"/>
      <c r="R948" s="152"/>
      <c r="S948" s="152"/>
      <c r="T948" s="152"/>
      <c r="U948" s="152"/>
      <c r="V948" s="152"/>
      <c r="W948" s="152"/>
      <c r="X948" s="152"/>
      <c r="Y948" s="152"/>
      <c r="Z948" s="152"/>
    </row>
    <row r="949" ht="12.75" customHeight="1">
      <c r="A949" s="152"/>
      <c r="B949" s="232"/>
      <c r="C949" s="152"/>
      <c r="D949" s="152"/>
      <c r="E949" s="152"/>
      <c r="F949" s="152"/>
      <c r="G949" s="152"/>
      <c r="H949" s="152"/>
      <c r="I949" s="152"/>
      <c r="J949" s="152"/>
      <c r="K949" s="152"/>
      <c r="L949" s="152"/>
      <c r="M949" s="152"/>
      <c r="N949" s="152"/>
      <c r="O949" s="152"/>
      <c r="P949" s="152"/>
      <c r="Q949" s="152"/>
      <c r="R949" s="152"/>
      <c r="S949" s="152"/>
      <c r="T949" s="152"/>
      <c r="U949" s="152"/>
      <c r="V949" s="152"/>
      <c r="W949" s="152"/>
      <c r="X949" s="152"/>
      <c r="Y949" s="152"/>
      <c r="Z949" s="152"/>
    </row>
    <row r="950" ht="12.75" customHeight="1">
      <c r="A950" s="152"/>
      <c r="B950" s="232"/>
      <c r="C950" s="152"/>
      <c r="D950" s="152"/>
      <c r="E950" s="152"/>
      <c r="F950" s="152"/>
      <c r="G950" s="152"/>
      <c r="H950" s="152"/>
      <c r="I950" s="152"/>
      <c r="J950" s="152"/>
      <c r="K950" s="152"/>
      <c r="L950" s="152"/>
      <c r="M950" s="152"/>
      <c r="N950" s="152"/>
      <c r="O950" s="152"/>
      <c r="P950" s="152"/>
      <c r="Q950" s="152"/>
      <c r="R950" s="152"/>
      <c r="S950" s="152"/>
      <c r="T950" s="152"/>
      <c r="U950" s="152"/>
      <c r="V950" s="152"/>
      <c r="W950" s="152"/>
      <c r="X950" s="152"/>
      <c r="Y950" s="152"/>
      <c r="Z950" s="152"/>
    </row>
    <row r="951" ht="12.75" customHeight="1">
      <c r="A951" s="152"/>
      <c r="B951" s="232"/>
      <c r="C951" s="152"/>
      <c r="D951" s="152"/>
      <c r="E951" s="152"/>
      <c r="F951" s="152"/>
      <c r="G951" s="152"/>
      <c r="H951" s="152"/>
      <c r="I951" s="152"/>
      <c r="J951" s="152"/>
      <c r="K951" s="152"/>
      <c r="L951" s="152"/>
      <c r="M951" s="152"/>
      <c r="N951" s="152"/>
      <c r="O951" s="152"/>
      <c r="P951" s="152"/>
      <c r="Q951" s="152"/>
      <c r="R951" s="152"/>
      <c r="S951" s="152"/>
      <c r="T951" s="152"/>
      <c r="U951" s="152"/>
      <c r="V951" s="152"/>
      <c r="W951" s="152"/>
      <c r="X951" s="152"/>
      <c r="Y951" s="152"/>
      <c r="Z951" s="152"/>
    </row>
    <row r="952" ht="12.75" customHeight="1">
      <c r="A952" s="152"/>
      <c r="B952" s="232"/>
      <c r="C952" s="152"/>
      <c r="D952" s="152"/>
      <c r="E952" s="152"/>
      <c r="F952" s="152"/>
      <c r="G952" s="152"/>
      <c r="H952" s="152"/>
      <c r="I952" s="152"/>
      <c r="J952" s="152"/>
      <c r="K952" s="152"/>
      <c r="L952" s="152"/>
      <c r="M952" s="152"/>
      <c r="N952" s="152"/>
      <c r="O952" s="152"/>
      <c r="P952" s="152"/>
      <c r="Q952" s="152"/>
      <c r="R952" s="152"/>
      <c r="S952" s="152"/>
      <c r="T952" s="152"/>
      <c r="U952" s="152"/>
      <c r="V952" s="152"/>
      <c r="W952" s="152"/>
      <c r="X952" s="152"/>
      <c r="Y952" s="152"/>
      <c r="Z952" s="152"/>
    </row>
    <row r="953" ht="12.75" customHeight="1">
      <c r="A953" s="152"/>
      <c r="B953" s="232"/>
      <c r="C953" s="152"/>
      <c r="D953" s="152"/>
      <c r="E953" s="152"/>
      <c r="F953" s="152"/>
      <c r="G953" s="152"/>
      <c r="H953" s="152"/>
      <c r="I953" s="152"/>
      <c r="J953" s="152"/>
      <c r="K953" s="152"/>
      <c r="L953" s="152"/>
      <c r="M953" s="152"/>
      <c r="N953" s="152"/>
      <c r="O953" s="152"/>
      <c r="P953" s="152"/>
      <c r="Q953" s="152"/>
      <c r="R953" s="152"/>
      <c r="S953" s="152"/>
      <c r="T953" s="152"/>
      <c r="U953" s="152"/>
      <c r="V953" s="152"/>
      <c r="W953" s="152"/>
      <c r="X953" s="152"/>
      <c r="Y953" s="152"/>
      <c r="Z953" s="152"/>
    </row>
    <row r="954" ht="12.75" customHeight="1">
      <c r="A954" s="152"/>
      <c r="B954" s="232"/>
      <c r="C954" s="152"/>
      <c r="D954" s="152"/>
      <c r="E954" s="152"/>
      <c r="F954" s="152"/>
      <c r="G954" s="152"/>
      <c r="H954" s="152"/>
      <c r="I954" s="152"/>
      <c r="J954" s="152"/>
      <c r="K954" s="152"/>
      <c r="L954" s="152"/>
      <c r="M954" s="152"/>
      <c r="N954" s="152"/>
      <c r="O954" s="152"/>
      <c r="P954" s="152"/>
      <c r="Q954" s="152"/>
      <c r="R954" s="152"/>
      <c r="S954" s="152"/>
      <c r="T954" s="152"/>
      <c r="U954" s="152"/>
      <c r="V954" s="152"/>
      <c r="W954" s="152"/>
      <c r="X954" s="152"/>
      <c r="Y954" s="152"/>
      <c r="Z954" s="152"/>
    </row>
    <row r="955" ht="12.75" customHeight="1">
      <c r="A955" s="152"/>
      <c r="B955" s="232"/>
      <c r="C955" s="152"/>
      <c r="D955" s="152"/>
      <c r="E955" s="152"/>
      <c r="F955" s="152"/>
      <c r="G955" s="152"/>
      <c r="H955" s="152"/>
      <c r="I955" s="152"/>
      <c r="J955" s="152"/>
      <c r="K955" s="152"/>
      <c r="L955" s="152"/>
      <c r="M955" s="152"/>
      <c r="N955" s="152"/>
      <c r="O955" s="152"/>
      <c r="P955" s="152"/>
      <c r="Q955" s="152"/>
      <c r="R955" s="152"/>
      <c r="S955" s="152"/>
      <c r="T955" s="152"/>
      <c r="U955" s="152"/>
      <c r="V955" s="152"/>
      <c r="W955" s="152"/>
      <c r="X955" s="152"/>
      <c r="Y955" s="152"/>
      <c r="Z955" s="152"/>
    </row>
    <row r="956" ht="12.75" customHeight="1">
      <c r="A956" s="152"/>
      <c r="B956" s="232"/>
      <c r="C956" s="152"/>
      <c r="D956" s="152"/>
      <c r="E956" s="152"/>
      <c r="F956" s="152"/>
      <c r="G956" s="152"/>
      <c r="H956" s="152"/>
      <c r="I956" s="152"/>
      <c r="J956" s="152"/>
      <c r="K956" s="152"/>
      <c r="L956" s="152"/>
      <c r="M956" s="152"/>
      <c r="N956" s="152"/>
      <c r="O956" s="152"/>
      <c r="P956" s="152"/>
      <c r="Q956" s="152"/>
      <c r="R956" s="152"/>
      <c r="S956" s="152"/>
      <c r="T956" s="152"/>
      <c r="U956" s="152"/>
      <c r="V956" s="152"/>
      <c r="W956" s="152"/>
      <c r="X956" s="152"/>
      <c r="Y956" s="152"/>
      <c r="Z956" s="152"/>
    </row>
    <row r="957" ht="12.75" customHeight="1">
      <c r="A957" s="152"/>
      <c r="B957" s="232"/>
      <c r="C957" s="152"/>
      <c r="D957" s="152"/>
      <c r="E957" s="152"/>
      <c r="F957" s="152"/>
      <c r="G957" s="152"/>
      <c r="H957" s="152"/>
      <c r="I957" s="152"/>
      <c r="J957" s="152"/>
      <c r="K957" s="152"/>
      <c r="L957" s="152"/>
      <c r="M957" s="152"/>
      <c r="N957" s="152"/>
      <c r="O957" s="152"/>
      <c r="P957" s="152"/>
      <c r="Q957" s="152"/>
      <c r="R957" s="152"/>
      <c r="S957" s="152"/>
      <c r="T957" s="152"/>
      <c r="U957" s="152"/>
      <c r="V957" s="152"/>
      <c r="W957" s="152"/>
      <c r="X957" s="152"/>
      <c r="Y957" s="152"/>
      <c r="Z957" s="152"/>
    </row>
    <row r="958" ht="12.75" customHeight="1">
      <c r="A958" s="152"/>
      <c r="B958" s="232"/>
      <c r="C958" s="152"/>
      <c r="D958" s="152"/>
      <c r="E958" s="152"/>
      <c r="F958" s="152"/>
      <c r="G958" s="152"/>
      <c r="H958" s="152"/>
      <c r="I958" s="152"/>
      <c r="J958" s="152"/>
      <c r="K958" s="152"/>
      <c r="L958" s="152"/>
      <c r="M958" s="152"/>
      <c r="N958" s="152"/>
      <c r="O958" s="152"/>
      <c r="P958" s="152"/>
      <c r="Q958" s="152"/>
      <c r="R958" s="152"/>
      <c r="S958" s="152"/>
      <c r="T958" s="152"/>
      <c r="U958" s="152"/>
      <c r="V958" s="152"/>
      <c r="W958" s="152"/>
      <c r="X958" s="152"/>
      <c r="Y958" s="152"/>
      <c r="Z958" s="152"/>
    </row>
    <row r="959" ht="12.75" customHeight="1">
      <c r="A959" s="152"/>
      <c r="B959" s="232"/>
      <c r="C959" s="152"/>
      <c r="D959" s="152"/>
      <c r="E959" s="152"/>
      <c r="F959" s="152"/>
      <c r="G959" s="152"/>
      <c r="H959" s="152"/>
      <c r="I959" s="152"/>
      <c r="J959" s="152"/>
      <c r="K959" s="152"/>
      <c r="L959" s="152"/>
      <c r="M959" s="152"/>
      <c r="N959" s="152"/>
      <c r="O959" s="152"/>
      <c r="P959" s="152"/>
      <c r="Q959" s="152"/>
      <c r="R959" s="152"/>
      <c r="S959" s="152"/>
      <c r="T959" s="152"/>
      <c r="U959" s="152"/>
      <c r="V959" s="152"/>
      <c r="W959" s="152"/>
      <c r="X959" s="152"/>
      <c r="Y959" s="152"/>
      <c r="Z959" s="152"/>
    </row>
    <row r="960" ht="12.75" customHeight="1">
      <c r="A960" s="152"/>
      <c r="B960" s="232"/>
      <c r="C960" s="152"/>
      <c r="D960" s="152"/>
      <c r="E960" s="152"/>
      <c r="F960" s="152"/>
      <c r="G960" s="152"/>
      <c r="H960" s="152"/>
      <c r="I960" s="152"/>
      <c r="J960" s="152"/>
      <c r="K960" s="152"/>
      <c r="L960" s="152"/>
      <c r="M960" s="152"/>
      <c r="N960" s="152"/>
      <c r="O960" s="152"/>
      <c r="P960" s="152"/>
      <c r="Q960" s="152"/>
      <c r="R960" s="152"/>
      <c r="S960" s="152"/>
      <c r="T960" s="152"/>
      <c r="U960" s="152"/>
      <c r="V960" s="152"/>
      <c r="W960" s="152"/>
      <c r="X960" s="152"/>
      <c r="Y960" s="152"/>
      <c r="Z960" s="152"/>
    </row>
    <row r="961" ht="12.75" customHeight="1">
      <c r="A961" s="152"/>
      <c r="B961" s="232"/>
      <c r="C961" s="152"/>
      <c r="D961" s="152"/>
      <c r="E961" s="152"/>
      <c r="F961" s="152"/>
      <c r="G961" s="152"/>
      <c r="H961" s="152"/>
      <c r="I961" s="152"/>
      <c r="J961" s="152"/>
      <c r="K961" s="152"/>
      <c r="L961" s="152"/>
      <c r="M961" s="152"/>
      <c r="N961" s="152"/>
      <c r="O961" s="152"/>
      <c r="P961" s="152"/>
      <c r="Q961" s="152"/>
      <c r="R961" s="152"/>
      <c r="S961" s="152"/>
      <c r="T961" s="152"/>
      <c r="U961" s="152"/>
      <c r="V961" s="152"/>
      <c r="W961" s="152"/>
      <c r="X961" s="152"/>
      <c r="Y961" s="152"/>
      <c r="Z961" s="152"/>
    </row>
    <row r="962" ht="12.75" customHeight="1">
      <c r="A962" s="152"/>
      <c r="B962" s="232"/>
      <c r="C962" s="152"/>
      <c r="D962" s="152"/>
      <c r="E962" s="152"/>
      <c r="F962" s="152"/>
      <c r="G962" s="152"/>
      <c r="H962" s="152"/>
      <c r="I962" s="152"/>
      <c r="J962" s="152"/>
      <c r="K962" s="152"/>
      <c r="L962" s="152"/>
      <c r="M962" s="152"/>
      <c r="N962" s="152"/>
      <c r="O962" s="152"/>
      <c r="P962" s="152"/>
      <c r="Q962" s="152"/>
      <c r="R962" s="152"/>
      <c r="S962" s="152"/>
      <c r="T962" s="152"/>
      <c r="U962" s="152"/>
      <c r="V962" s="152"/>
      <c r="W962" s="152"/>
      <c r="X962" s="152"/>
      <c r="Y962" s="152"/>
      <c r="Z962" s="152"/>
    </row>
    <row r="963" ht="12.75" customHeight="1">
      <c r="A963" s="152"/>
      <c r="B963" s="232"/>
      <c r="C963" s="152"/>
      <c r="D963" s="152"/>
      <c r="E963" s="152"/>
      <c r="F963" s="152"/>
      <c r="G963" s="152"/>
      <c r="H963" s="152"/>
      <c r="I963" s="152"/>
      <c r="J963" s="152"/>
      <c r="K963" s="152"/>
      <c r="L963" s="152"/>
      <c r="M963" s="152"/>
      <c r="N963" s="152"/>
      <c r="O963" s="152"/>
      <c r="P963" s="152"/>
      <c r="Q963" s="152"/>
      <c r="R963" s="152"/>
      <c r="S963" s="152"/>
      <c r="T963" s="152"/>
      <c r="U963" s="152"/>
      <c r="V963" s="152"/>
      <c r="W963" s="152"/>
      <c r="X963" s="152"/>
      <c r="Y963" s="152"/>
      <c r="Z963" s="152"/>
    </row>
    <row r="964" ht="12.75" customHeight="1">
      <c r="A964" s="152"/>
      <c r="B964" s="232"/>
      <c r="C964" s="152"/>
      <c r="D964" s="152"/>
      <c r="E964" s="152"/>
      <c r="F964" s="152"/>
      <c r="G964" s="152"/>
      <c r="H964" s="152"/>
      <c r="I964" s="152"/>
      <c r="J964" s="152"/>
      <c r="K964" s="152"/>
      <c r="L964" s="152"/>
      <c r="M964" s="152"/>
      <c r="N964" s="152"/>
      <c r="O964" s="152"/>
      <c r="P964" s="152"/>
      <c r="Q964" s="152"/>
      <c r="R964" s="152"/>
      <c r="S964" s="152"/>
      <c r="T964" s="152"/>
      <c r="U964" s="152"/>
      <c r="V964" s="152"/>
      <c r="W964" s="152"/>
      <c r="X964" s="152"/>
      <c r="Y964" s="152"/>
      <c r="Z964" s="152"/>
    </row>
    <row r="965" ht="12.75" customHeight="1">
      <c r="A965" s="152"/>
      <c r="B965" s="232"/>
      <c r="C965" s="152"/>
      <c r="D965" s="152"/>
      <c r="E965" s="152"/>
      <c r="F965" s="152"/>
      <c r="G965" s="152"/>
      <c r="H965" s="152"/>
      <c r="I965" s="152"/>
      <c r="J965" s="152"/>
      <c r="K965" s="152"/>
      <c r="L965" s="152"/>
      <c r="M965" s="152"/>
      <c r="N965" s="152"/>
      <c r="O965" s="152"/>
      <c r="P965" s="152"/>
      <c r="Q965" s="152"/>
      <c r="R965" s="152"/>
      <c r="S965" s="152"/>
      <c r="T965" s="152"/>
      <c r="U965" s="152"/>
      <c r="V965" s="152"/>
      <c r="W965" s="152"/>
      <c r="X965" s="152"/>
      <c r="Y965" s="152"/>
      <c r="Z965" s="152"/>
    </row>
    <row r="966" ht="12.75" customHeight="1">
      <c r="A966" s="152"/>
      <c r="B966" s="232"/>
      <c r="C966" s="152"/>
      <c r="D966" s="152"/>
      <c r="E966" s="152"/>
      <c r="F966" s="152"/>
      <c r="G966" s="152"/>
      <c r="H966" s="152"/>
      <c r="I966" s="152"/>
      <c r="J966" s="152"/>
      <c r="K966" s="152"/>
      <c r="L966" s="152"/>
      <c r="M966" s="152"/>
      <c r="N966" s="152"/>
      <c r="O966" s="152"/>
      <c r="P966" s="152"/>
      <c r="Q966" s="152"/>
      <c r="R966" s="152"/>
      <c r="S966" s="152"/>
      <c r="T966" s="152"/>
      <c r="U966" s="152"/>
      <c r="V966" s="152"/>
      <c r="W966" s="152"/>
      <c r="X966" s="152"/>
      <c r="Y966" s="152"/>
      <c r="Z966" s="152"/>
    </row>
    <row r="967" ht="12.75" customHeight="1">
      <c r="A967" s="152"/>
      <c r="B967" s="232"/>
      <c r="C967" s="152"/>
      <c r="D967" s="152"/>
      <c r="E967" s="152"/>
      <c r="F967" s="152"/>
      <c r="G967" s="152"/>
      <c r="H967" s="152"/>
      <c r="I967" s="152"/>
      <c r="J967" s="152"/>
      <c r="K967" s="152"/>
      <c r="L967" s="152"/>
      <c r="M967" s="152"/>
      <c r="N967" s="152"/>
      <c r="O967" s="152"/>
      <c r="P967" s="152"/>
      <c r="Q967" s="152"/>
      <c r="R967" s="152"/>
      <c r="S967" s="152"/>
      <c r="T967" s="152"/>
      <c r="U967" s="152"/>
      <c r="V967" s="152"/>
      <c r="W967" s="152"/>
      <c r="X967" s="152"/>
      <c r="Y967" s="152"/>
      <c r="Z967" s="152"/>
    </row>
    <row r="968" ht="12.75" customHeight="1">
      <c r="A968" s="152"/>
      <c r="B968" s="232"/>
      <c r="C968" s="152"/>
      <c r="D968" s="152"/>
      <c r="E968" s="152"/>
      <c r="F968" s="152"/>
      <c r="G968" s="152"/>
      <c r="H968" s="152"/>
      <c r="I968" s="152"/>
      <c r="J968" s="152"/>
      <c r="K968" s="152"/>
      <c r="L968" s="152"/>
      <c r="M968" s="152"/>
      <c r="N968" s="152"/>
      <c r="O968" s="152"/>
      <c r="P968" s="152"/>
      <c r="Q968" s="152"/>
      <c r="R968" s="152"/>
      <c r="S968" s="152"/>
      <c r="T968" s="152"/>
      <c r="U968" s="152"/>
      <c r="V968" s="152"/>
      <c r="W968" s="152"/>
      <c r="X968" s="152"/>
      <c r="Y968" s="152"/>
      <c r="Z968" s="152"/>
    </row>
    <row r="969" ht="12.75" customHeight="1">
      <c r="A969" s="152"/>
      <c r="B969" s="232"/>
      <c r="C969" s="152"/>
      <c r="D969" s="152"/>
      <c r="E969" s="152"/>
      <c r="F969" s="152"/>
      <c r="G969" s="152"/>
      <c r="H969" s="152"/>
      <c r="I969" s="152"/>
      <c r="J969" s="152"/>
      <c r="K969" s="152"/>
      <c r="L969" s="152"/>
      <c r="M969" s="152"/>
      <c r="N969" s="152"/>
      <c r="O969" s="152"/>
      <c r="P969" s="152"/>
      <c r="Q969" s="152"/>
      <c r="R969" s="152"/>
      <c r="S969" s="152"/>
      <c r="T969" s="152"/>
      <c r="U969" s="152"/>
      <c r="V969" s="152"/>
      <c r="W969" s="152"/>
      <c r="X969" s="152"/>
      <c r="Y969" s="152"/>
      <c r="Z969" s="152"/>
    </row>
    <row r="970" ht="12.75" customHeight="1">
      <c r="A970" s="152"/>
      <c r="B970" s="232"/>
      <c r="C970" s="152"/>
      <c r="D970" s="152"/>
      <c r="E970" s="152"/>
      <c r="F970" s="152"/>
      <c r="G970" s="152"/>
      <c r="H970" s="152"/>
      <c r="I970" s="152"/>
      <c r="J970" s="152"/>
      <c r="K970" s="152"/>
      <c r="L970" s="152"/>
      <c r="M970" s="152"/>
      <c r="N970" s="152"/>
      <c r="O970" s="152"/>
      <c r="P970" s="152"/>
      <c r="Q970" s="152"/>
      <c r="R970" s="152"/>
      <c r="S970" s="152"/>
      <c r="T970" s="152"/>
      <c r="U970" s="152"/>
      <c r="V970" s="152"/>
      <c r="W970" s="152"/>
      <c r="X970" s="152"/>
      <c r="Y970" s="152"/>
      <c r="Z970" s="152"/>
    </row>
    <row r="971" ht="12.75" customHeight="1">
      <c r="A971" s="152"/>
      <c r="B971" s="232"/>
      <c r="C971" s="152"/>
      <c r="D971" s="152"/>
      <c r="E971" s="152"/>
      <c r="F971" s="152"/>
      <c r="G971" s="152"/>
      <c r="H971" s="152"/>
      <c r="I971" s="152"/>
      <c r="J971" s="152"/>
      <c r="K971" s="152"/>
      <c r="L971" s="152"/>
      <c r="M971" s="152"/>
      <c r="N971" s="152"/>
      <c r="O971" s="152"/>
      <c r="P971" s="152"/>
      <c r="Q971" s="152"/>
      <c r="R971" s="152"/>
      <c r="S971" s="152"/>
      <c r="T971" s="152"/>
      <c r="U971" s="152"/>
      <c r="V971" s="152"/>
      <c r="W971" s="152"/>
      <c r="X971" s="152"/>
      <c r="Y971" s="152"/>
      <c r="Z971" s="152"/>
    </row>
    <row r="972" ht="12.75" customHeight="1">
      <c r="A972" s="152"/>
      <c r="B972" s="232"/>
      <c r="C972" s="152"/>
      <c r="D972" s="152"/>
      <c r="E972" s="152"/>
      <c r="F972" s="152"/>
      <c r="G972" s="152"/>
      <c r="H972" s="152"/>
      <c r="I972" s="152"/>
      <c r="J972" s="152"/>
      <c r="K972" s="152"/>
      <c r="L972" s="152"/>
      <c r="M972" s="152"/>
      <c r="N972" s="152"/>
      <c r="O972" s="152"/>
      <c r="P972" s="152"/>
      <c r="Q972" s="152"/>
      <c r="R972" s="152"/>
      <c r="S972" s="152"/>
      <c r="T972" s="152"/>
      <c r="U972" s="152"/>
      <c r="V972" s="152"/>
      <c r="W972" s="152"/>
      <c r="X972" s="152"/>
      <c r="Y972" s="152"/>
      <c r="Z972" s="152"/>
    </row>
    <row r="973" ht="12.75" customHeight="1">
      <c r="A973" s="152"/>
      <c r="B973" s="232"/>
      <c r="C973" s="152"/>
      <c r="D973" s="152"/>
      <c r="E973" s="152"/>
      <c r="F973" s="152"/>
      <c r="G973" s="152"/>
      <c r="H973" s="152"/>
      <c r="I973" s="152"/>
      <c r="J973" s="152"/>
      <c r="K973" s="152"/>
      <c r="L973" s="152"/>
      <c r="M973" s="152"/>
      <c r="N973" s="152"/>
      <c r="O973" s="152"/>
      <c r="P973" s="152"/>
      <c r="Q973" s="152"/>
      <c r="R973" s="152"/>
      <c r="S973" s="152"/>
      <c r="T973" s="152"/>
      <c r="U973" s="152"/>
      <c r="V973" s="152"/>
      <c r="W973" s="152"/>
      <c r="X973" s="152"/>
      <c r="Y973" s="152"/>
      <c r="Z973" s="152"/>
    </row>
    <row r="974" ht="12.75" customHeight="1">
      <c r="A974" s="152"/>
      <c r="B974" s="232"/>
      <c r="C974" s="152"/>
      <c r="D974" s="152"/>
      <c r="E974" s="152"/>
      <c r="F974" s="152"/>
      <c r="G974" s="152"/>
      <c r="H974" s="152"/>
      <c r="I974" s="152"/>
      <c r="J974" s="152"/>
      <c r="K974" s="152"/>
      <c r="L974" s="152"/>
      <c r="M974" s="152"/>
      <c r="N974" s="152"/>
      <c r="O974" s="152"/>
      <c r="P974" s="152"/>
      <c r="Q974" s="152"/>
      <c r="R974" s="152"/>
      <c r="S974" s="152"/>
      <c r="T974" s="152"/>
      <c r="U974" s="152"/>
      <c r="V974" s="152"/>
      <c r="W974" s="152"/>
      <c r="X974" s="152"/>
      <c r="Y974" s="152"/>
      <c r="Z974" s="152"/>
    </row>
    <row r="975" ht="12.75" customHeight="1">
      <c r="A975" s="152"/>
      <c r="B975" s="232"/>
      <c r="C975" s="152"/>
      <c r="D975" s="152"/>
      <c r="E975" s="152"/>
      <c r="F975" s="152"/>
      <c r="G975" s="152"/>
      <c r="H975" s="152"/>
      <c r="I975" s="152"/>
      <c r="J975" s="152"/>
      <c r="K975" s="152"/>
      <c r="L975" s="152"/>
      <c r="M975" s="152"/>
      <c r="N975" s="152"/>
      <c r="O975" s="152"/>
      <c r="P975" s="152"/>
      <c r="Q975" s="152"/>
      <c r="R975" s="152"/>
      <c r="S975" s="152"/>
      <c r="T975" s="152"/>
      <c r="U975" s="152"/>
      <c r="V975" s="152"/>
      <c r="W975" s="152"/>
      <c r="X975" s="152"/>
      <c r="Y975" s="152"/>
      <c r="Z975" s="152"/>
    </row>
    <row r="976" ht="12.75" customHeight="1">
      <c r="A976" s="152"/>
      <c r="B976" s="232"/>
      <c r="C976" s="152"/>
      <c r="D976" s="152"/>
      <c r="E976" s="152"/>
      <c r="F976" s="152"/>
      <c r="G976" s="152"/>
      <c r="H976" s="152"/>
      <c r="I976" s="152"/>
      <c r="J976" s="152"/>
      <c r="K976" s="152"/>
      <c r="L976" s="152"/>
      <c r="M976" s="152"/>
      <c r="N976" s="152"/>
      <c r="O976" s="152"/>
      <c r="P976" s="152"/>
      <c r="Q976" s="152"/>
      <c r="R976" s="152"/>
      <c r="S976" s="152"/>
      <c r="T976" s="152"/>
      <c r="U976" s="152"/>
      <c r="V976" s="152"/>
      <c r="W976" s="152"/>
      <c r="X976" s="152"/>
      <c r="Y976" s="152"/>
      <c r="Z976" s="152"/>
    </row>
    <row r="977" ht="12.75" customHeight="1">
      <c r="A977" s="152"/>
      <c r="B977" s="232"/>
      <c r="C977" s="152"/>
      <c r="D977" s="152"/>
      <c r="E977" s="152"/>
      <c r="F977" s="152"/>
      <c r="G977" s="152"/>
      <c r="H977" s="152"/>
      <c r="I977" s="152"/>
      <c r="J977" s="152"/>
      <c r="K977" s="152"/>
      <c r="L977" s="152"/>
      <c r="M977" s="152"/>
      <c r="N977" s="152"/>
      <c r="O977" s="152"/>
      <c r="P977" s="152"/>
      <c r="Q977" s="152"/>
      <c r="R977" s="152"/>
      <c r="S977" s="152"/>
      <c r="T977" s="152"/>
      <c r="U977" s="152"/>
      <c r="V977" s="152"/>
      <c r="W977" s="152"/>
      <c r="X977" s="152"/>
      <c r="Y977" s="152"/>
      <c r="Z977" s="152"/>
    </row>
    <row r="978" ht="12.75" customHeight="1">
      <c r="A978" s="152"/>
      <c r="B978" s="232"/>
      <c r="C978" s="152"/>
      <c r="D978" s="152"/>
      <c r="E978" s="152"/>
      <c r="F978" s="152"/>
      <c r="G978" s="152"/>
      <c r="H978" s="152"/>
      <c r="I978" s="152"/>
      <c r="J978" s="152"/>
      <c r="K978" s="152"/>
      <c r="L978" s="152"/>
      <c r="M978" s="152"/>
      <c r="N978" s="152"/>
      <c r="O978" s="152"/>
      <c r="P978" s="152"/>
      <c r="Q978" s="152"/>
      <c r="R978" s="152"/>
      <c r="S978" s="152"/>
      <c r="T978" s="152"/>
      <c r="U978" s="152"/>
      <c r="V978" s="152"/>
      <c r="W978" s="152"/>
      <c r="X978" s="152"/>
      <c r="Y978" s="152"/>
      <c r="Z978" s="152"/>
    </row>
    <row r="979" ht="12.75" customHeight="1">
      <c r="A979" s="152"/>
      <c r="B979" s="232"/>
      <c r="C979" s="152"/>
      <c r="D979" s="152"/>
      <c r="E979" s="152"/>
      <c r="F979" s="152"/>
      <c r="G979" s="152"/>
      <c r="H979" s="152"/>
      <c r="I979" s="152"/>
      <c r="J979" s="152"/>
      <c r="K979" s="152"/>
      <c r="L979" s="152"/>
      <c r="M979" s="152"/>
      <c r="N979" s="152"/>
      <c r="O979" s="152"/>
      <c r="P979" s="152"/>
      <c r="Q979" s="152"/>
      <c r="R979" s="152"/>
      <c r="S979" s="152"/>
      <c r="T979" s="152"/>
      <c r="U979" s="152"/>
      <c r="V979" s="152"/>
      <c r="W979" s="152"/>
      <c r="X979" s="152"/>
      <c r="Y979" s="152"/>
      <c r="Z979" s="152"/>
    </row>
    <row r="980" ht="12.75" customHeight="1">
      <c r="A980" s="152"/>
      <c r="B980" s="232"/>
      <c r="C980" s="152"/>
      <c r="D980" s="152"/>
      <c r="E980" s="152"/>
      <c r="F980" s="152"/>
      <c r="G980" s="152"/>
      <c r="H980" s="152"/>
      <c r="I980" s="152"/>
      <c r="J980" s="152"/>
      <c r="K980" s="152"/>
      <c r="L980" s="152"/>
      <c r="M980" s="152"/>
      <c r="N980" s="152"/>
      <c r="O980" s="152"/>
      <c r="P980" s="152"/>
      <c r="Q980" s="152"/>
      <c r="R980" s="152"/>
      <c r="S980" s="152"/>
      <c r="T980" s="152"/>
      <c r="U980" s="152"/>
      <c r="V980" s="152"/>
      <c r="W980" s="152"/>
      <c r="X980" s="152"/>
      <c r="Y980" s="152"/>
      <c r="Z980" s="152"/>
    </row>
    <row r="981" ht="12.75" customHeight="1">
      <c r="A981" s="152"/>
      <c r="B981" s="232"/>
      <c r="C981" s="152"/>
      <c r="D981" s="152"/>
      <c r="E981" s="152"/>
      <c r="F981" s="152"/>
      <c r="G981" s="152"/>
      <c r="H981" s="152"/>
      <c r="I981" s="152"/>
      <c r="J981" s="152"/>
      <c r="K981" s="152"/>
      <c r="L981" s="152"/>
      <c r="M981" s="152"/>
      <c r="N981" s="152"/>
      <c r="O981" s="152"/>
      <c r="P981" s="152"/>
      <c r="Q981" s="152"/>
      <c r="R981" s="152"/>
      <c r="S981" s="152"/>
      <c r="T981" s="152"/>
      <c r="U981" s="152"/>
      <c r="V981" s="152"/>
      <c r="W981" s="152"/>
      <c r="X981" s="152"/>
      <c r="Y981" s="152"/>
      <c r="Z981" s="152"/>
    </row>
    <row r="982" ht="12.75" customHeight="1">
      <c r="A982" s="152"/>
      <c r="B982" s="232"/>
      <c r="C982" s="152"/>
      <c r="D982" s="152"/>
      <c r="E982" s="152"/>
      <c r="F982" s="152"/>
      <c r="G982" s="152"/>
      <c r="H982" s="152"/>
      <c r="I982" s="152"/>
      <c r="J982" s="152"/>
      <c r="K982" s="152"/>
      <c r="L982" s="152"/>
      <c r="M982" s="152"/>
      <c r="N982" s="152"/>
      <c r="O982" s="152"/>
      <c r="P982" s="152"/>
      <c r="Q982" s="152"/>
      <c r="R982" s="152"/>
      <c r="S982" s="152"/>
      <c r="T982" s="152"/>
      <c r="U982" s="152"/>
      <c r="V982" s="152"/>
      <c r="W982" s="152"/>
      <c r="X982" s="152"/>
      <c r="Y982" s="152"/>
      <c r="Z982" s="152"/>
    </row>
    <row r="983" ht="12.75" customHeight="1">
      <c r="A983" s="152"/>
      <c r="B983" s="232"/>
      <c r="C983" s="152"/>
      <c r="D983" s="152"/>
      <c r="E983" s="152"/>
      <c r="F983" s="152"/>
      <c r="G983" s="152"/>
      <c r="H983" s="152"/>
      <c r="I983" s="152"/>
      <c r="J983" s="152"/>
      <c r="K983" s="152"/>
      <c r="L983" s="152"/>
      <c r="M983" s="152"/>
      <c r="N983" s="152"/>
      <c r="O983" s="152"/>
      <c r="P983" s="152"/>
      <c r="Q983" s="152"/>
      <c r="R983" s="152"/>
      <c r="S983" s="152"/>
      <c r="T983" s="152"/>
      <c r="U983" s="152"/>
      <c r="V983" s="152"/>
      <c r="W983" s="152"/>
      <c r="X983" s="152"/>
      <c r="Y983" s="152"/>
      <c r="Z983" s="152"/>
    </row>
    <row r="984" ht="12.75" customHeight="1">
      <c r="A984" s="152"/>
      <c r="B984" s="232"/>
      <c r="C984" s="152"/>
      <c r="D984" s="152"/>
      <c r="E984" s="152"/>
      <c r="F984" s="152"/>
      <c r="G984" s="152"/>
      <c r="H984" s="152"/>
      <c r="I984" s="152"/>
      <c r="J984" s="152"/>
      <c r="K984" s="152"/>
      <c r="L984" s="152"/>
      <c r="M984" s="152"/>
      <c r="N984" s="152"/>
      <c r="O984" s="152"/>
      <c r="P984" s="152"/>
      <c r="Q984" s="152"/>
      <c r="R984" s="152"/>
      <c r="S984" s="152"/>
      <c r="T984" s="152"/>
      <c r="U984" s="152"/>
      <c r="V984" s="152"/>
      <c r="W984" s="152"/>
      <c r="X984" s="152"/>
      <c r="Y984" s="152"/>
      <c r="Z984" s="152"/>
    </row>
    <row r="985" ht="12.75" customHeight="1">
      <c r="A985" s="152"/>
      <c r="B985" s="232"/>
      <c r="C985" s="152"/>
      <c r="D985" s="152"/>
      <c r="E985" s="152"/>
      <c r="F985" s="152"/>
      <c r="G985" s="152"/>
      <c r="H985" s="152"/>
      <c r="I985" s="152"/>
      <c r="J985" s="152"/>
      <c r="K985" s="152"/>
      <c r="L985" s="152"/>
      <c r="M985" s="152"/>
      <c r="N985" s="152"/>
      <c r="O985" s="152"/>
      <c r="P985" s="152"/>
      <c r="Q985" s="152"/>
      <c r="R985" s="152"/>
      <c r="S985" s="152"/>
      <c r="T985" s="152"/>
      <c r="U985" s="152"/>
      <c r="V985" s="152"/>
      <c r="W985" s="152"/>
      <c r="X985" s="152"/>
      <c r="Y985" s="152"/>
      <c r="Z985" s="152"/>
    </row>
    <row r="986" ht="12.75" customHeight="1">
      <c r="A986" s="152"/>
      <c r="B986" s="232"/>
      <c r="C986" s="152"/>
      <c r="D986" s="152"/>
      <c r="E986" s="152"/>
      <c r="F986" s="152"/>
      <c r="G986" s="152"/>
      <c r="H986" s="152"/>
      <c r="I986" s="152"/>
      <c r="J986" s="152"/>
      <c r="K986" s="152"/>
      <c r="L986" s="152"/>
      <c r="M986" s="152"/>
      <c r="N986" s="152"/>
      <c r="O986" s="152"/>
      <c r="P986" s="152"/>
      <c r="Q986" s="152"/>
      <c r="R986" s="152"/>
      <c r="S986" s="152"/>
      <c r="T986" s="152"/>
      <c r="U986" s="152"/>
      <c r="V986" s="152"/>
      <c r="W986" s="152"/>
      <c r="X986" s="152"/>
      <c r="Y986" s="152"/>
      <c r="Z986" s="152"/>
    </row>
    <row r="987" ht="12.75" customHeight="1">
      <c r="A987" s="152"/>
      <c r="B987" s="232"/>
      <c r="C987" s="152"/>
      <c r="D987" s="152"/>
      <c r="E987" s="152"/>
      <c r="F987" s="152"/>
      <c r="G987" s="152"/>
      <c r="H987" s="152"/>
      <c r="I987" s="152"/>
      <c r="J987" s="152"/>
      <c r="K987" s="152"/>
      <c r="L987" s="152"/>
      <c r="M987" s="152"/>
      <c r="N987" s="152"/>
      <c r="O987" s="152"/>
      <c r="P987" s="152"/>
      <c r="Q987" s="152"/>
      <c r="R987" s="152"/>
      <c r="S987" s="152"/>
      <c r="T987" s="152"/>
      <c r="U987" s="152"/>
      <c r="V987" s="152"/>
      <c r="W987" s="152"/>
      <c r="X987" s="152"/>
      <c r="Y987" s="152"/>
      <c r="Z987" s="152"/>
    </row>
    <row r="988" ht="12.75" customHeight="1">
      <c r="A988" s="152"/>
      <c r="B988" s="232"/>
      <c r="C988" s="152"/>
      <c r="D988" s="152"/>
      <c r="E988" s="152"/>
      <c r="F988" s="152"/>
      <c r="G988" s="152"/>
      <c r="H988" s="152"/>
      <c r="I988" s="152"/>
      <c r="J988" s="152"/>
      <c r="K988" s="152"/>
      <c r="L988" s="152"/>
      <c r="M988" s="152"/>
      <c r="N988" s="152"/>
      <c r="O988" s="152"/>
      <c r="P988" s="152"/>
      <c r="Q988" s="152"/>
      <c r="R988" s="152"/>
      <c r="S988" s="152"/>
      <c r="T988" s="152"/>
      <c r="U988" s="152"/>
      <c r="V988" s="152"/>
      <c r="W988" s="152"/>
      <c r="X988" s="152"/>
      <c r="Y988" s="152"/>
      <c r="Z988" s="152"/>
    </row>
    <row r="989" ht="12.75" customHeight="1">
      <c r="A989" s="152"/>
      <c r="B989" s="232"/>
      <c r="C989" s="152"/>
      <c r="D989" s="152"/>
      <c r="E989" s="152"/>
      <c r="F989" s="152"/>
      <c r="G989" s="152"/>
      <c r="H989" s="152"/>
      <c r="I989" s="152"/>
      <c r="J989" s="152"/>
      <c r="K989" s="152"/>
      <c r="L989" s="152"/>
      <c r="M989" s="152"/>
      <c r="N989" s="152"/>
      <c r="O989" s="152"/>
      <c r="P989" s="152"/>
      <c r="Q989" s="152"/>
      <c r="R989" s="152"/>
      <c r="S989" s="152"/>
      <c r="T989" s="152"/>
      <c r="U989" s="152"/>
      <c r="V989" s="152"/>
      <c r="W989" s="152"/>
      <c r="X989" s="152"/>
      <c r="Y989" s="152"/>
      <c r="Z989" s="152"/>
    </row>
    <row r="990" ht="12.75" customHeight="1">
      <c r="A990" s="152"/>
      <c r="B990" s="232"/>
      <c r="C990" s="152"/>
      <c r="D990" s="152"/>
      <c r="E990" s="152"/>
      <c r="F990" s="152"/>
      <c r="G990" s="152"/>
      <c r="H990" s="152"/>
      <c r="I990" s="152"/>
      <c r="J990" s="152"/>
      <c r="K990" s="152"/>
      <c r="L990" s="152"/>
      <c r="M990" s="152"/>
      <c r="N990" s="152"/>
      <c r="O990" s="152"/>
      <c r="P990" s="152"/>
      <c r="Q990" s="152"/>
      <c r="R990" s="152"/>
      <c r="S990" s="152"/>
      <c r="T990" s="152"/>
      <c r="U990" s="152"/>
      <c r="V990" s="152"/>
      <c r="W990" s="152"/>
      <c r="X990" s="152"/>
      <c r="Y990" s="152"/>
      <c r="Z990" s="152"/>
    </row>
    <row r="991" ht="12.75" customHeight="1">
      <c r="A991" s="152"/>
      <c r="B991" s="232"/>
      <c r="C991" s="152"/>
      <c r="D991" s="152"/>
      <c r="E991" s="152"/>
      <c r="F991" s="152"/>
      <c r="G991" s="152"/>
      <c r="H991" s="152"/>
      <c r="I991" s="152"/>
      <c r="J991" s="152"/>
      <c r="K991" s="152"/>
      <c r="L991" s="152"/>
      <c r="M991" s="152"/>
      <c r="N991" s="152"/>
      <c r="O991" s="152"/>
      <c r="P991" s="152"/>
      <c r="Q991" s="152"/>
      <c r="R991" s="152"/>
      <c r="S991" s="152"/>
      <c r="T991" s="152"/>
      <c r="U991" s="152"/>
      <c r="V991" s="152"/>
      <c r="W991" s="152"/>
      <c r="X991" s="152"/>
      <c r="Y991" s="152"/>
      <c r="Z991" s="152"/>
    </row>
    <row r="992" ht="12.75" customHeight="1">
      <c r="A992" s="152"/>
      <c r="B992" s="232"/>
      <c r="C992" s="152"/>
      <c r="D992" s="152"/>
      <c r="E992" s="152"/>
      <c r="F992" s="152"/>
      <c r="G992" s="152"/>
      <c r="H992" s="152"/>
      <c r="I992" s="152"/>
      <c r="J992" s="152"/>
      <c r="K992" s="152"/>
      <c r="L992" s="152"/>
      <c r="M992" s="152"/>
      <c r="N992" s="152"/>
      <c r="O992" s="152"/>
      <c r="P992" s="152"/>
      <c r="Q992" s="152"/>
      <c r="R992" s="152"/>
      <c r="S992" s="152"/>
      <c r="T992" s="152"/>
      <c r="U992" s="152"/>
      <c r="V992" s="152"/>
      <c r="W992" s="152"/>
      <c r="X992" s="152"/>
      <c r="Y992" s="152"/>
      <c r="Z992" s="152"/>
    </row>
    <row r="993" ht="12.75" customHeight="1">
      <c r="A993" s="152"/>
      <c r="B993" s="232"/>
      <c r="C993" s="152"/>
      <c r="D993" s="152"/>
      <c r="E993" s="152"/>
      <c r="F993" s="152"/>
      <c r="G993" s="152"/>
      <c r="H993" s="152"/>
      <c r="I993" s="152"/>
      <c r="J993" s="152"/>
      <c r="K993" s="152"/>
      <c r="L993" s="152"/>
      <c r="M993" s="152"/>
      <c r="N993" s="152"/>
      <c r="O993" s="152"/>
      <c r="P993" s="152"/>
      <c r="Q993" s="152"/>
      <c r="R993" s="152"/>
      <c r="S993" s="152"/>
      <c r="T993" s="152"/>
      <c r="U993" s="152"/>
      <c r="V993" s="152"/>
      <c r="W993" s="152"/>
      <c r="X993" s="152"/>
      <c r="Y993" s="152"/>
      <c r="Z993" s="152"/>
    </row>
    <row r="994" ht="12.75" customHeight="1">
      <c r="A994" s="152"/>
      <c r="B994" s="232"/>
      <c r="C994" s="152"/>
      <c r="D994" s="152"/>
      <c r="E994" s="152"/>
      <c r="F994" s="152"/>
      <c r="G994" s="152"/>
      <c r="H994" s="152"/>
      <c r="I994" s="152"/>
      <c r="J994" s="152"/>
      <c r="K994" s="152"/>
      <c r="L994" s="152"/>
      <c r="M994" s="152"/>
      <c r="N994" s="152"/>
      <c r="O994" s="152"/>
      <c r="P994" s="152"/>
      <c r="Q994" s="152"/>
      <c r="R994" s="152"/>
      <c r="S994" s="152"/>
      <c r="T994" s="152"/>
      <c r="U994" s="152"/>
      <c r="V994" s="152"/>
      <c r="W994" s="152"/>
      <c r="X994" s="152"/>
      <c r="Y994" s="152"/>
      <c r="Z994" s="152"/>
    </row>
    <row r="995" ht="12.75" customHeight="1">
      <c r="A995" s="152"/>
      <c r="B995" s="232"/>
      <c r="C995" s="152"/>
      <c r="D995" s="152"/>
      <c r="E995" s="152"/>
      <c r="F995" s="152"/>
      <c r="G995" s="152"/>
      <c r="H995" s="152"/>
      <c r="I995" s="152"/>
      <c r="J995" s="152"/>
      <c r="K995" s="152"/>
      <c r="L995" s="152"/>
      <c r="M995" s="152"/>
      <c r="N995" s="152"/>
      <c r="O995" s="152"/>
      <c r="P995" s="152"/>
      <c r="Q995" s="152"/>
      <c r="R995" s="152"/>
      <c r="S995" s="152"/>
      <c r="T995" s="152"/>
      <c r="U995" s="152"/>
      <c r="V995" s="152"/>
      <c r="W995" s="152"/>
      <c r="X995" s="152"/>
      <c r="Y995" s="152"/>
      <c r="Z995" s="152"/>
    </row>
    <row r="996" ht="12.75" customHeight="1">
      <c r="A996" s="152"/>
      <c r="B996" s="232"/>
      <c r="C996" s="152"/>
      <c r="D996" s="152"/>
      <c r="E996" s="152"/>
      <c r="F996" s="152"/>
      <c r="G996" s="152"/>
      <c r="H996" s="152"/>
      <c r="I996" s="152"/>
      <c r="J996" s="152"/>
      <c r="K996" s="152"/>
      <c r="L996" s="152"/>
      <c r="M996" s="152"/>
      <c r="N996" s="152"/>
      <c r="O996" s="152"/>
      <c r="P996" s="152"/>
      <c r="Q996" s="152"/>
      <c r="R996" s="152"/>
      <c r="S996" s="152"/>
      <c r="T996" s="152"/>
      <c r="U996" s="152"/>
      <c r="V996" s="152"/>
      <c r="W996" s="152"/>
      <c r="X996" s="152"/>
      <c r="Y996" s="152"/>
      <c r="Z996" s="152"/>
    </row>
    <row r="997" ht="12.75" customHeight="1">
      <c r="A997" s="152"/>
      <c r="B997" s="232"/>
      <c r="C997" s="152"/>
      <c r="D997" s="152"/>
      <c r="E997" s="152"/>
      <c r="F997" s="152"/>
      <c r="G997" s="152"/>
      <c r="H997" s="152"/>
      <c r="I997" s="152"/>
      <c r="J997" s="152"/>
      <c r="K997" s="152"/>
      <c r="L997" s="152"/>
      <c r="M997" s="152"/>
      <c r="N997" s="152"/>
      <c r="O997" s="152"/>
      <c r="P997" s="152"/>
      <c r="Q997" s="152"/>
      <c r="R997" s="152"/>
      <c r="S997" s="152"/>
      <c r="T997" s="152"/>
      <c r="U997" s="152"/>
      <c r="V997" s="152"/>
      <c r="W997" s="152"/>
      <c r="X997" s="152"/>
      <c r="Y997" s="152"/>
      <c r="Z997" s="152"/>
    </row>
    <row r="998" ht="12.75" customHeight="1">
      <c r="A998" s="152"/>
      <c r="B998" s="232"/>
      <c r="C998" s="152"/>
      <c r="D998" s="152"/>
      <c r="E998" s="152"/>
      <c r="F998" s="152"/>
      <c r="G998" s="152"/>
      <c r="H998" s="152"/>
      <c r="I998" s="152"/>
      <c r="J998" s="152"/>
      <c r="K998" s="152"/>
      <c r="L998" s="152"/>
      <c r="M998" s="152"/>
      <c r="N998" s="152"/>
      <c r="O998" s="152"/>
      <c r="P998" s="152"/>
      <c r="Q998" s="152"/>
      <c r="R998" s="152"/>
      <c r="S998" s="152"/>
      <c r="T998" s="152"/>
      <c r="U998" s="152"/>
      <c r="V998" s="152"/>
      <c r="W998" s="152"/>
      <c r="X998" s="152"/>
      <c r="Y998" s="152"/>
      <c r="Z998" s="152"/>
    </row>
    <row r="999" ht="12.75" customHeight="1">
      <c r="A999" s="152"/>
      <c r="B999" s="232"/>
      <c r="C999" s="152"/>
      <c r="D999" s="152"/>
      <c r="E999" s="152"/>
      <c r="F999" s="152"/>
      <c r="G999" s="152"/>
      <c r="H999" s="152"/>
      <c r="I999" s="152"/>
      <c r="J999" s="152"/>
      <c r="K999" s="152"/>
      <c r="L999" s="152"/>
      <c r="M999" s="152"/>
      <c r="N999" s="152"/>
      <c r="O999" s="152"/>
      <c r="P999" s="152"/>
      <c r="Q999" s="152"/>
      <c r="R999" s="152"/>
      <c r="S999" s="152"/>
      <c r="T999" s="152"/>
      <c r="U999" s="152"/>
      <c r="V999" s="152"/>
      <c r="W999" s="152"/>
      <c r="X999" s="152"/>
      <c r="Y999" s="152"/>
      <c r="Z999" s="152"/>
    </row>
    <row r="1000" ht="12.75" customHeight="1">
      <c r="A1000" s="152"/>
      <c r="B1000" s="232"/>
      <c r="C1000" s="152"/>
      <c r="D1000" s="152"/>
      <c r="E1000" s="152"/>
      <c r="F1000" s="152"/>
      <c r="G1000" s="152"/>
      <c r="H1000" s="152"/>
      <c r="I1000" s="152"/>
      <c r="J1000" s="152"/>
      <c r="K1000" s="152"/>
      <c r="L1000" s="152"/>
      <c r="M1000" s="152"/>
      <c r="N1000" s="152"/>
      <c r="O1000" s="152"/>
      <c r="P1000" s="152"/>
      <c r="Q1000" s="152"/>
      <c r="R1000" s="152"/>
      <c r="S1000" s="152"/>
      <c r="T1000" s="152"/>
      <c r="U1000" s="152"/>
      <c r="V1000" s="152"/>
      <c r="W1000" s="152"/>
      <c r="X1000" s="152"/>
      <c r="Y1000" s="152"/>
      <c r="Z1000" s="152"/>
    </row>
  </sheetData>
  <mergeCells count="82">
    <mergeCell ref="C52:D52"/>
    <mergeCell ref="C53:D53"/>
    <mergeCell ref="E53:F53"/>
    <mergeCell ref="C54:D54"/>
    <mergeCell ref="E54:F54"/>
    <mergeCell ref="C55:D55"/>
    <mergeCell ref="E55:F55"/>
    <mergeCell ref="C56:D56"/>
    <mergeCell ref="E56:F56"/>
    <mergeCell ref="C60:D60"/>
    <mergeCell ref="E60:F60"/>
    <mergeCell ref="C61:D61"/>
    <mergeCell ref="E61:F61"/>
    <mergeCell ref="C62:D62"/>
    <mergeCell ref="E62:F62"/>
    <mergeCell ref="A50:A57"/>
    <mergeCell ref="C50:D50"/>
    <mergeCell ref="E50:F50"/>
    <mergeCell ref="G50:H50"/>
    <mergeCell ref="C51:F51"/>
    <mergeCell ref="G51:H57"/>
    <mergeCell ref="E52:F52"/>
    <mergeCell ref="G58:H58"/>
    <mergeCell ref="C63:D63"/>
    <mergeCell ref="E63:F63"/>
    <mergeCell ref="C64:D64"/>
    <mergeCell ref="E64:F64"/>
    <mergeCell ref="C68:D68"/>
    <mergeCell ref="E68:F68"/>
    <mergeCell ref="C69:D69"/>
    <mergeCell ref="E69:F69"/>
    <mergeCell ref="C70:D70"/>
    <mergeCell ref="E70:F70"/>
    <mergeCell ref="C71:D71"/>
    <mergeCell ref="E71:F71"/>
    <mergeCell ref="C65:D65"/>
    <mergeCell ref="E65:F65"/>
    <mergeCell ref="A66:A76"/>
    <mergeCell ref="C66:D66"/>
    <mergeCell ref="E66:F66"/>
    <mergeCell ref="C67:F67"/>
    <mergeCell ref="G67:H76"/>
    <mergeCell ref="G77:H77"/>
    <mergeCell ref="C81:D81"/>
    <mergeCell ref="E81:F81"/>
    <mergeCell ref="C82:D82"/>
    <mergeCell ref="E82:F82"/>
    <mergeCell ref="C83:D83"/>
    <mergeCell ref="E83:F83"/>
    <mergeCell ref="C84:D84"/>
    <mergeCell ref="E84:F84"/>
    <mergeCell ref="C85:D85"/>
    <mergeCell ref="E85:F85"/>
    <mergeCell ref="C86:D86"/>
    <mergeCell ref="E86:F86"/>
    <mergeCell ref="C76:D76"/>
    <mergeCell ref="E76:F76"/>
    <mergeCell ref="A77:A86"/>
    <mergeCell ref="C77:D77"/>
    <mergeCell ref="E77:F77"/>
    <mergeCell ref="C78:F78"/>
    <mergeCell ref="G78:H86"/>
    <mergeCell ref="C57:D57"/>
    <mergeCell ref="E57:F57"/>
    <mergeCell ref="A58:A65"/>
    <mergeCell ref="C58:D58"/>
    <mergeCell ref="E58:F58"/>
    <mergeCell ref="C59:F59"/>
    <mergeCell ref="G59:H65"/>
    <mergeCell ref="G66:H66"/>
    <mergeCell ref="C72:D72"/>
    <mergeCell ref="E72:F72"/>
    <mergeCell ref="C73:D73"/>
    <mergeCell ref="E73:F73"/>
    <mergeCell ref="C74:D74"/>
    <mergeCell ref="E74:F74"/>
    <mergeCell ref="C75:D75"/>
    <mergeCell ref="E75:F75"/>
    <mergeCell ref="C79:D79"/>
    <mergeCell ref="E79:F79"/>
    <mergeCell ref="C80:D80"/>
    <mergeCell ref="E80:F80"/>
  </mergeCells>
  <printOptions/>
  <pageMargins bottom="0.984251968503937" footer="0.0" header="0.0" left="0.7480314960629921" right="0.7480314960629921" top="0.984251968503937"/>
  <pageSetup paperSize="9" scale="67" orientation="landscape"/>
  <headerFooter>
    <oddHeader>&amp;C&amp;F</oddHeader>
    <oddFooter>&amp;L&amp;A&amp;C(c) T-Mobile International 2008&amp;RPage &amp;P / </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0"/>
  <cols>
    <col customWidth="1" min="1" max="1" width="12.71"/>
    <col customWidth="1" min="2" max="2" width="13.43"/>
    <col customWidth="1" min="3" max="3" width="7.71"/>
    <col customWidth="1" min="4" max="4" width="8.14"/>
    <col customWidth="1" min="5" max="5" width="7.14"/>
    <col customWidth="1" min="6" max="6" width="10.43"/>
    <col customWidth="1" min="7" max="7" width="60.71"/>
    <col customWidth="1" hidden="1" min="8" max="8" width="20.71"/>
    <col customWidth="1" hidden="1" min="9" max="9" width="10.71"/>
    <col customWidth="1" min="10" max="10" width="16.57"/>
    <col customWidth="1" min="11" max="11" width="30.71"/>
    <col customWidth="1" min="12" max="12" width="26.43"/>
    <col customWidth="1" min="13" max="13" width="14.14"/>
    <col customWidth="1" min="14" max="14" width="13.43"/>
    <col customWidth="1" min="15" max="18" width="13.14"/>
    <col customWidth="1" hidden="1" min="19" max="27" width="9.14"/>
    <col customWidth="1" hidden="1" min="28" max="28" width="8.43"/>
    <col customWidth="1" hidden="1" min="29" max="29" width="9.71"/>
    <col customWidth="1" hidden="1" min="30" max="30" width="16.43"/>
    <col customWidth="1" hidden="1" min="31" max="31" width="7.29"/>
    <col customWidth="1" hidden="1" min="32" max="32" width="30.0"/>
    <col customWidth="1" hidden="1" min="33" max="33" width="10.86"/>
    <col customWidth="1" hidden="1" min="34" max="34" width="12.86"/>
    <col customWidth="1" hidden="1" min="35" max="35" width="12.29"/>
    <col customWidth="1" hidden="1" min="36" max="36" width="18.86"/>
  </cols>
  <sheetData>
    <row r="1" ht="30.0" customHeight="1">
      <c r="A1" s="233" t="s">
        <v>363</v>
      </c>
      <c r="B1" s="233" t="s">
        <v>364</v>
      </c>
      <c r="C1" s="233" t="s">
        <v>365</v>
      </c>
      <c r="D1" s="233" t="s">
        <v>366</v>
      </c>
      <c r="E1" s="234" t="s">
        <v>367</v>
      </c>
      <c r="F1" s="233" t="s">
        <v>56</v>
      </c>
      <c r="G1" s="233" t="s">
        <v>368</v>
      </c>
      <c r="H1" s="233" t="s">
        <v>132</v>
      </c>
      <c r="I1" s="233" t="s">
        <v>369</v>
      </c>
      <c r="J1" s="233" t="s">
        <v>370</v>
      </c>
      <c r="K1" s="233" t="s">
        <v>62</v>
      </c>
      <c r="L1" s="233" t="s">
        <v>371</v>
      </c>
      <c r="M1" s="235" t="s">
        <v>372</v>
      </c>
      <c r="N1" s="236" t="s">
        <v>373</v>
      </c>
      <c r="O1" s="236" t="s">
        <v>374</v>
      </c>
      <c r="P1" s="236"/>
      <c r="Q1" s="237" t="s">
        <v>375</v>
      </c>
      <c r="R1" s="237" t="s">
        <v>376</v>
      </c>
      <c r="S1" s="233" t="s">
        <v>133</v>
      </c>
      <c r="T1" s="233" t="s">
        <v>134</v>
      </c>
      <c r="U1" s="233" t="s">
        <v>135</v>
      </c>
      <c r="V1" s="233" t="s">
        <v>136</v>
      </c>
      <c r="W1" s="233" t="s">
        <v>137</v>
      </c>
      <c r="X1" s="233" t="s">
        <v>9</v>
      </c>
      <c r="Y1" s="233" t="s">
        <v>138</v>
      </c>
      <c r="Z1" s="233" t="s">
        <v>139</v>
      </c>
      <c r="AA1" s="233" t="s">
        <v>140</v>
      </c>
      <c r="AB1" s="233" t="s">
        <v>377</v>
      </c>
      <c r="AC1" s="233" t="s">
        <v>378</v>
      </c>
      <c r="AD1" s="233" t="s">
        <v>379</v>
      </c>
      <c r="AE1" s="233" t="s">
        <v>380</v>
      </c>
      <c r="AF1" s="233" t="s">
        <v>381</v>
      </c>
      <c r="AG1" s="233" t="s">
        <v>382</v>
      </c>
      <c r="AH1" s="233" t="s">
        <v>383</v>
      </c>
      <c r="AI1" s="233" t="s">
        <v>384</v>
      </c>
      <c r="AJ1" s="233" t="s">
        <v>385</v>
      </c>
    </row>
    <row r="2" ht="12.75" customHeight="1">
      <c r="A2" s="238" t="s">
        <v>386</v>
      </c>
      <c r="B2" s="238"/>
      <c r="C2" s="238" t="s">
        <v>387</v>
      </c>
      <c r="D2" s="238"/>
      <c r="E2" s="238"/>
      <c r="F2" s="154" t="str">
        <f t="array" ref="F2">XLOOKUP(Cover!$D$12,$S$1:$AA$1,$S2:$AA2)</f>
        <v>Heading</v>
      </c>
      <c r="G2" s="239" t="s">
        <v>388</v>
      </c>
      <c r="H2" s="240"/>
      <c r="I2" s="240" t="s">
        <v>389</v>
      </c>
      <c r="J2" s="240"/>
      <c r="K2" s="240"/>
      <c r="L2" s="154" t="str">
        <f t="shared" ref="L2:L2056" si="1">AJ2</f>
        <v/>
      </c>
      <c r="M2" s="241" t="str">
        <f>IFERROR(__xludf.DUMMYFUNCTION("VLOOKUP(C2,IMPORTRANGE(""https://docs.google.com/spreadsheets/d/1ihFlp3_ePlYtFuPbUNbYj1muErVpI73WHXbEwJDIA7Q/edit#gid=1493122344"",""MTR!C:M""),9,false)"),"")</f>
        <v/>
      </c>
      <c r="N2" s="241" t="str">
        <f>IFERROR(__xludf.DUMMYFUNCTION("VLOOKUP(C2,IMPORTRANGE(""https://docs.google.com/spreadsheets/d/1ihFlp3_ePlYtFuPbUNbYj1muErVpI73WHXbEwJDIA7Q/edit#gid=1493122344"",""MTR!C:M""),8,false)"),"")</f>
        <v/>
      </c>
      <c r="O2" s="241" t="str">
        <f>IFERROR(__xludf.DUMMYFUNCTION("VLOOKUP(C2,IMPORTRANGE(""https://docs.google.com/spreadsheets/d/1ihFlp3_ePlYtFuPbUNbYj1muErVpI73WHXbEwJDIA7Q/edit#gid=1493122344"",""MTR!C:M""),10,false)"),"")</f>
        <v/>
      </c>
      <c r="P2" s="241"/>
      <c r="Q2" s="241"/>
      <c r="R2" s="241"/>
      <c r="S2" s="240" t="s">
        <v>390</v>
      </c>
      <c r="T2" s="240" t="s">
        <v>390</v>
      </c>
      <c r="U2" s="240" t="s">
        <v>390</v>
      </c>
      <c r="V2" s="240" t="s">
        <v>390</v>
      </c>
      <c r="W2" s="240" t="s">
        <v>390</v>
      </c>
      <c r="X2" s="240" t="s">
        <v>390</v>
      </c>
      <c r="Y2" s="240" t="s">
        <v>390</v>
      </c>
      <c r="Z2" s="240" t="s">
        <v>390</v>
      </c>
      <c r="AA2" s="240" t="s">
        <v>390</v>
      </c>
      <c r="AB2" s="240"/>
      <c r="AC2" s="242" t="b">
        <f t="shared" ref="AC2:AC2056" si="2">OR(J2=COM,J2=PC,J2=DNC,J2=NA,OR(AI2=DNC,AI2=NA,AE2))</f>
        <v>0</v>
      </c>
      <c r="AD2" s="240" t="s">
        <v>391</v>
      </c>
      <c r="AE2" s="243" t="b">
        <f t="shared" ref="AE2:AE2056" si="3">IF(F2="Comments Vendor",TRUE,FALSE)</f>
        <v>0</v>
      </c>
      <c r="AF2" s="240"/>
      <c r="AG2" s="243" t="b">
        <f t="shared" ref="AG2:AG1001" si="4">IF(AF2&lt;&gt;"",AND(J2&lt;&gt;NA,OR(NOT(ISERROR(FIND("xx",K2))),K2="",K2="tbd",K2=AF2)),AND(K2="",OR(NOT(ISERROR(FIND(AD2,J2,1))),J2=PC,AND(AE2,J2&lt;&gt;NA)),OR(AI2=COM,AI2=PC,AI2="N/A")))</f>
        <v>0</v>
      </c>
      <c r="AH2" s="240"/>
      <c r="AI2" s="243" t="str">
        <f t="shared" ref="AI2:AI2056" si="5">IF(AH2="","N/A",INDIRECT(ADDRESS(MATCH(LEFT(AH2,9),C:C,0),COLUMN(J2)),TRUE) &amp; "")</f>
        <v>N/A</v>
      </c>
      <c r="AJ2" s="157" t="str">
        <f t="shared" ref="AJ2:AJ2056" si="6">IF(OR(F2="Heading",F2="Comment",F2="N/A"),"",IF(AI2="","FilterCheck analysis not possible as answer to " &amp; AH2 &amp; " outstanding.",IF(AC2,IF(AG2,IF(J2=PC,"Why is this partially compliant?","Comments Vendor missing!")&amp;"
",""),"Compliance Statement "&amp;IF(J2="","missing!","wrong!")) &amp; IF(AND(OR(AI2=DNC,AI2=NA),OR(J2=COM,J2=PC)),"Inconsistent answer, as " &amp; AH2 &amp; " not supported!","")))</f>
        <v/>
      </c>
    </row>
    <row r="3" ht="12.75" customHeight="1">
      <c r="A3" s="238" t="s">
        <v>386</v>
      </c>
      <c r="B3" s="238" t="s">
        <v>392</v>
      </c>
      <c r="C3" s="238" t="s">
        <v>393</v>
      </c>
      <c r="D3" s="238"/>
      <c r="E3" s="238"/>
      <c r="F3" s="154" t="str">
        <f t="array" ref="F3">XLOOKUP(Cover!$D$12,$S$1:$AA$1,$S3:$AA3)</f>
        <v>Heading</v>
      </c>
      <c r="G3" s="239" t="s">
        <v>394</v>
      </c>
      <c r="H3" s="240"/>
      <c r="I3" s="240" t="s">
        <v>389</v>
      </c>
      <c r="J3" s="240"/>
      <c r="K3" s="240"/>
      <c r="L3" s="154" t="str">
        <f t="shared" si="1"/>
        <v/>
      </c>
      <c r="M3" s="241" t="str">
        <f>IFERROR(__xludf.DUMMYFUNCTION("VLOOKUP(C3,IMPORTRANGE(""https://docs.google.com/spreadsheets/d/1ihFlp3_ePlYtFuPbUNbYj1muErVpI73WHXbEwJDIA7Q/edit#gid=1493122344"",""MTR!C:M""),9,false)"),"")</f>
        <v/>
      </c>
      <c r="N3" s="241" t="str">
        <f>IFERROR(__xludf.DUMMYFUNCTION("VLOOKUP(C3,IMPORTRANGE(""https://docs.google.com/spreadsheets/d/1ihFlp3_ePlYtFuPbUNbYj1muErVpI73WHXbEwJDIA7Q/edit#gid=1493122344"",""MTR!C:M""),8,false)"),"")</f>
        <v/>
      </c>
      <c r="O3" s="241" t="str">
        <f>IFERROR(__xludf.DUMMYFUNCTION("VLOOKUP(C3,IMPORTRANGE(""https://docs.google.com/spreadsheets/d/1ihFlp3_ePlYtFuPbUNbYj1muErVpI73WHXbEwJDIA7Q/edit#gid=1493122344"",""MTR!C:M""),10,false)"),"")</f>
        <v/>
      </c>
      <c r="P3" s="241"/>
      <c r="Q3" s="241"/>
      <c r="R3" s="241"/>
      <c r="S3" s="240" t="s">
        <v>390</v>
      </c>
      <c r="T3" s="240" t="s">
        <v>390</v>
      </c>
      <c r="U3" s="240" t="s">
        <v>390</v>
      </c>
      <c r="V3" s="240" t="s">
        <v>390</v>
      </c>
      <c r="W3" s="240" t="s">
        <v>390</v>
      </c>
      <c r="X3" s="240" t="s">
        <v>390</v>
      </c>
      <c r="Y3" s="240" t="s">
        <v>390</v>
      </c>
      <c r="Z3" s="240" t="s">
        <v>390</v>
      </c>
      <c r="AA3" s="240" t="s">
        <v>390</v>
      </c>
      <c r="AB3" s="240"/>
      <c r="AC3" s="242" t="b">
        <f t="shared" si="2"/>
        <v>0</v>
      </c>
      <c r="AD3" s="240" t="s">
        <v>68</v>
      </c>
      <c r="AE3" s="243" t="b">
        <f t="shared" si="3"/>
        <v>0</v>
      </c>
      <c r="AF3" s="240"/>
      <c r="AG3" s="243" t="b">
        <f t="shared" si="4"/>
        <v>0</v>
      </c>
      <c r="AH3" s="240"/>
      <c r="AI3" s="243" t="str">
        <f t="shared" si="5"/>
        <v>N/A</v>
      </c>
      <c r="AJ3" s="157" t="str">
        <f t="shared" si="6"/>
        <v/>
      </c>
    </row>
    <row r="4" ht="12.75" customHeight="1">
      <c r="A4" s="244" t="s">
        <v>386</v>
      </c>
      <c r="B4" s="244" t="s">
        <v>392</v>
      </c>
      <c r="C4" s="245" t="s">
        <v>395</v>
      </c>
      <c r="D4" s="155" t="s">
        <v>396</v>
      </c>
      <c r="E4" s="246" t="s">
        <v>92</v>
      </c>
      <c r="F4" s="154" t="str">
        <f t="array" ref="F4">XLOOKUP(Cover!$D$12,$S$1:$AA$1,$S4:$AA4)</f>
        <v>Comments Vendor</v>
      </c>
      <c r="G4" s="153" t="s">
        <v>397</v>
      </c>
      <c r="H4" s="154" t="s">
        <v>398</v>
      </c>
      <c r="I4" s="154" t="s">
        <v>389</v>
      </c>
      <c r="J4" s="154"/>
      <c r="K4" s="247" t="s">
        <v>399</v>
      </c>
      <c r="L4" s="154" t="str">
        <f t="shared" si="1"/>
        <v/>
      </c>
      <c r="M4" s="248" t="str">
        <f>IFERROR(__xludf.DUMMYFUNCTION("VLOOKUP(C4,IMPORTRANGE(""https://docs.google.com/spreadsheets/d/1P8eX0NWBhUPS_hvzA11R6jkTNFrPrRYIx_dX_hYbxrk/edit?resourcekey=0-iw9bsKY2OqkUHCFMkCar3A&amp;gid=2055363397#gid=2055363397"",""MTR!C:O""),11,false)"),"TAM")</f>
        <v>TAM</v>
      </c>
      <c r="N4" s="241" t="str">
        <f>IFERROR(__xludf.DUMMYFUNCTION("VLOOKUP(C4,IMPORTRANGE(""https://docs.google.com/spreadsheets/d/1ihFlp3_ePlYtFuPbUNbYj1muErVpI73WHXbEwJDIA7Q/edit#gid=1493122344"",""MTR!C:O""),8,false)"),"")</f>
        <v/>
      </c>
      <c r="O4" s="248" t="str">
        <f>IFERROR(__xludf.DUMMYFUNCTION("VLOOKUP(C4,IMPORTRANGE(""https://docs.google.com/spreadsheets/d/1P8eX0NWBhUPS_hvzA11R6jkTNFrPrRYIx_dX_hYbxrk/edit?resourcekey=0-iw9bsKY2OqkUHCFMkCar3A&amp;gid=2055363397#gid=2055363397"",""MTR!C:O""),9,false)"),"Samsung Lassen S5400 ")</f>
        <v>Samsung Lassen S5400 </v>
      </c>
      <c r="P4" s="248"/>
      <c r="Q4" s="248"/>
      <c r="R4" s="249" t="s">
        <v>399</v>
      </c>
      <c r="S4" s="154" t="s">
        <v>62</v>
      </c>
      <c r="T4" s="154" t="s">
        <v>62</v>
      </c>
      <c r="U4" s="154" t="s">
        <v>62</v>
      </c>
      <c r="V4" s="154" t="s">
        <v>62</v>
      </c>
      <c r="W4" s="154" t="s">
        <v>62</v>
      </c>
      <c r="X4" s="154" t="s">
        <v>62</v>
      </c>
      <c r="Y4" s="154" t="s">
        <v>62</v>
      </c>
      <c r="Z4" s="154" t="s">
        <v>62</v>
      </c>
      <c r="AA4" s="154" t="s">
        <v>62</v>
      </c>
      <c r="AB4" s="154"/>
      <c r="AC4" s="242" t="b">
        <f t="shared" si="2"/>
        <v>1</v>
      </c>
      <c r="AD4" s="154" t="s">
        <v>400</v>
      </c>
      <c r="AE4" s="243" t="b">
        <f t="shared" si="3"/>
        <v>1</v>
      </c>
      <c r="AF4" s="154" t="s">
        <v>401</v>
      </c>
      <c r="AG4" s="243" t="b">
        <f t="shared" si="4"/>
        <v>0</v>
      </c>
      <c r="AH4" s="154"/>
      <c r="AI4" s="243" t="str">
        <f t="shared" si="5"/>
        <v>N/A</v>
      </c>
      <c r="AJ4" s="157" t="str">
        <f t="shared" si="6"/>
        <v/>
      </c>
    </row>
    <row r="5" ht="12.75" customHeight="1">
      <c r="A5" s="244" t="s">
        <v>386</v>
      </c>
      <c r="B5" s="244" t="s">
        <v>392</v>
      </c>
      <c r="C5" s="245" t="s">
        <v>402</v>
      </c>
      <c r="D5" s="155" t="s">
        <v>396</v>
      </c>
      <c r="E5" s="246" t="s">
        <v>92</v>
      </c>
      <c r="F5" s="154" t="str">
        <f t="array" ref="F5">XLOOKUP(Cover!$D$12,$S$1:$AA$1,$S5:$AA5)</f>
        <v>Comments Vendor</v>
      </c>
      <c r="G5" s="153" t="s">
        <v>403</v>
      </c>
      <c r="H5" s="154" t="s">
        <v>398</v>
      </c>
      <c r="I5" s="154" t="s">
        <v>389</v>
      </c>
      <c r="J5" s="154"/>
      <c r="K5" s="247" t="s">
        <v>404</v>
      </c>
      <c r="L5" s="154" t="str">
        <f t="shared" si="1"/>
        <v/>
      </c>
      <c r="M5" s="248" t="str">
        <f>IFERROR(__xludf.DUMMYFUNCTION("VLOOKUP(C5,IMPORTRANGE(""https://docs.google.com/spreadsheets/d/1P8eX0NWBhUPS_hvzA11R6jkTNFrPrRYIx_dX_hYbxrk/edit?resourcekey=0-iw9bsKY2OqkUHCFMkCar3A&amp;gid=2055363397#gid=2055363397"",""MTR!C:O""),11,false)"),"TAM")</f>
        <v>TAM</v>
      </c>
      <c r="N5" s="241" t="str">
        <f>IFERROR(__xludf.DUMMYFUNCTION("VLOOKUP(C5,IMPORTRANGE(""https://docs.google.com/spreadsheets/d/1ihFlp3_ePlYtFuPbUNbYj1muErVpI73WHXbEwJDIA7Q/edit#gid=1493122344"",""MTR!C:O""),8,false)"),"")</f>
        <v/>
      </c>
      <c r="O5" s="248" t="str">
        <f>IFERROR(__xludf.DUMMYFUNCTION("VLOOKUP(C5,IMPORTRANGE(""https://docs.google.com/spreadsheets/d/1P8eX0NWBhUPS_hvzA11R6jkTNFrPrRYIx_dX_hYbxrk/edit?resourcekey=0-iw9bsKY2OqkUHCFMkCar3A&amp;gid=2055363397#gid=2055363397"",""MTR!C:O""),9,false)"),"Samsung Lassen S5400 ")</f>
        <v>Samsung Lassen S5400 </v>
      </c>
      <c r="P5" s="248"/>
      <c r="Q5" s="248"/>
      <c r="R5" s="249" t="s">
        <v>404</v>
      </c>
      <c r="S5" s="154" t="s">
        <v>62</v>
      </c>
      <c r="T5" s="154" t="s">
        <v>62</v>
      </c>
      <c r="U5" s="154" t="s">
        <v>62</v>
      </c>
      <c r="V5" s="154" t="s">
        <v>62</v>
      </c>
      <c r="W5" s="154" t="s">
        <v>62</v>
      </c>
      <c r="X5" s="154" t="s">
        <v>62</v>
      </c>
      <c r="Y5" s="154" t="s">
        <v>62</v>
      </c>
      <c r="Z5" s="154" t="s">
        <v>62</v>
      </c>
      <c r="AA5" s="154" t="s">
        <v>62</v>
      </c>
      <c r="AB5" s="154"/>
      <c r="AC5" s="242" t="b">
        <f t="shared" si="2"/>
        <v>1</v>
      </c>
      <c r="AD5" s="154" t="s">
        <v>400</v>
      </c>
      <c r="AE5" s="243" t="b">
        <f t="shared" si="3"/>
        <v>1</v>
      </c>
      <c r="AF5" s="154" t="s">
        <v>401</v>
      </c>
      <c r="AG5" s="243" t="b">
        <f t="shared" si="4"/>
        <v>0</v>
      </c>
      <c r="AH5" s="154"/>
      <c r="AI5" s="243" t="str">
        <f t="shared" si="5"/>
        <v>N/A</v>
      </c>
      <c r="AJ5" s="157" t="str">
        <f t="shared" si="6"/>
        <v/>
      </c>
    </row>
    <row r="6" ht="12.75" customHeight="1">
      <c r="A6" s="244" t="s">
        <v>386</v>
      </c>
      <c r="B6" s="244" t="s">
        <v>392</v>
      </c>
      <c r="C6" s="245" t="s">
        <v>405</v>
      </c>
      <c r="D6" s="155" t="s">
        <v>406</v>
      </c>
      <c r="E6" s="246" t="s">
        <v>92</v>
      </c>
      <c r="F6" s="154" t="str">
        <f t="array" ref="F6">XLOOKUP(Cover!$D$12,$S$1:$AA$1,$S6:$AA6)</f>
        <v>Comments Vendor</v>
      </c>
      <c r="G6" s="153" t="s">
        <v>407</v>
      </c>
      <c r="H6" s="154" t="s">
        <v>398</v>
      </c>
      <c r="I6" s="154" t="s">
        <v>389</v>
      </c>
      <c r="J6" s="154"/>
      <c r="K6" s="247" t="s">
        <v>408</v>
      </c>
      <c r="L6" s="154" t="str">
        <f t="shared" si="1"/>
        <v/>
      </c>
      <c r="M6" s="248" t="str">
        <f>IFERROR(__xludf.DUMMYFUNCTION("VLOOKUP(C6,IMPORTRANGE(""https://docs.google.com/spreadsheets/d/1P8eX0NWBhUPS_hvzA11R6jkTNFrPrRYIx_dX_hYbxrk/edit?resourcekey=0-iw9bsKY2OqkUHCFMkCar3A&amp;gid=2055363397#gid=2055363397"",""MTR!C:O""),11,false)"),"TAM")</f>
        <v>TAM</v>
      </c>
      <c r="N6" s="241" t="str">
        <f>IFERROR(__xludf.DUMMYFUNCTION("VLOOKUP(C6,IMPORTRANGE(""https://docs.google.com/spreadsheets/d/1ihFlp3_ePlYtFuPbUNbYj1muErVpI73WHXbEwJDIA7Q/edit#gid=1493122344"",""MTR!C:O""),8,false)"),"")</f>
        <v/>
      </c>
      <c r="O6" s="248" t="str">
        <f>IFERROR(__xludf.DUMMYFUNCTION("VLOOKUP(C6,IMPORTRANGE(""https://docs.google.com/spreadsheets/d/1P8eX0NWBhUPS_hvzA11R6jkTNFrPrRYIx_dX_hYbxrk/edit?resourcekey=0-iw9bsKY2OqkUHCFMkCar3A&amp;gid=2055363397#gid=2055363397"",""MTR!C:O""),9,false)"),"Google Tensor")</f>
        <v>Google Tensor</v>
      </c>
      <c r="P6" s="248"/>
      <c r="Q6" s="248"/>
      <c r="R6" s="249" t="s">
        <v>408</v>
      </c>
      <c r="S6" s="154" t="s">
        <v>62</v>
      </c>
      <c r="T6" s="154" t="s">
        <v>62</v>
      </c>
      <c r="U6" s="154" t="s">
        <v>62</v>
      </c>
      <c r="V6" s="154" t="s">
        <v>62</v>
      </c>
      <c r="W6" s="154" t="s">
        <v>62</v>
      </c>
      <c r="X6" s="154" t="s">
        <v>62</v>
      </c>
      <c r="Y6" s="154" t="s">
        <v>62</v>
      </c>
      <c r="Z6" s="154" t="s">
        <v>62</v>
      </c>
      <c r="AA6" s="154" t="s">
        <v>62</v>
      </c>
      <c r="AB6" s="154"/>
      <c r="AC6" s="242" t="b">
        <f t="shared" si="2"/>
        <v>1</v>
      </c>
      <c r="AD6" s="154" t="s">
        <v>400</v>
      </c>
      <c r="AE6" s="243" t="b">
        <f t="shared" si="3"/>
        <v>1</v>
      </c>
      <c r="AF6" s="154" t="s">
        <v>409</v>
      </c>
      <c r="AG6" s="243" t="b">
        <f t="shared" si="4"/>
        <v>0</v>
      </c>
      <c r="AH6" s="154"/>
      <c r="AI6" s="243" t="str">
        <f t="shared" si="5"/>
        <v>N/A</v>
      </c>
      <c r="AJ6" s="157" t="str">
        <f t="shared" si="6"/>
        <v/>
      </c>
    </row>
    <row r="7" ht="12.75" customHeight="1">
      <c r="A7" s="244" t="s">
        <v>386</v>
      </c>
      <c r="B7" s="244" t="s">
        <v>392</v>
      </c>
      <c r="C7" s="244" t="s">
        <v>410</v>
      </c>
      <c r="D7" s="154" t="s">
        <v>411</v>
      </c>
      <c r="E7" s="250"/>
      <c r="F7" s="154" t="str">
        <f t="array" ref="F7">XLOOKUP(Cover!$D$12,$S$1:$AA$1,$S7:$AA7)</f>
        <v>Comments Vendor</v>
      </c>
      <c r="G7" s="153" t="s">
        <v>412</v>
      </c>
      <c r="H7" s="154" t="s">
        <v>413</v>
      </c>
      <c r="I7" s="154" t="s">
        <v>414</v>
      </c>
      <c r="J7" s="154"/>
      <c r="K7" s="247" t="s">
        <v>415</v>
      </c>
      <c r="L7" s="154" t="str">
        <f t="shared" si="1"/>
        <v/>
      </c>
      <c r="M7" s="248" t="str">
        <f>IFERROR(__xludf.DUMMYFUNCTION("VLOOKUP(C7,IMPORTRANGE(""https://docs.google.com/spreadsheets/d/1P8eX0NWBhUPS_hvzA11R6jkTNFrPrRYIx_dX_hYbxrk/edit?resourcekey=0-iw9bsKY2OqkUHCFMkCar3A&amp;gid=2055363397#gid=2055363397"",""MTR!C:O""),11,false)"),"TAM")</f>
        <v>TAM</v>
      </c>
      <c r="N7" s="241" t="str">
        <f>IFERROR(__xludf.DUMMYFUNCTION("VLOOKUP(C7,IMPORTRANGE(""https://docs.google.com/spreadsheets/d/1ihFlp3_ePlYtFuPbUNbYj1muErVpI73WHXbEwJDIA7Q/edit#gid=1493122344"",""MTR!C:O""),8,false)"),"")</f>
        <v/>
      </c>
      <c r="O7" s="248" t="str">
        <f>IFERROR(__xludf.DUMMYFUNCTION("VLOOKUP(C7,IMPORTRANGE(""https://docs.google.com/spreadsheets/d/1P8eX0NWBhUPS_hvzA11R6jkTNFrPrRYIx_dX_hYbxrk/edit?resourcekey=0-iw9bsKY2OqkUHCFMkCar3A&amp;gid=2055363397#gid=2055363397"",""MTR!C:O""),9,false)"),"BCM 4390")</f>
        <v>BCM 4390</v>
      </c>
      <c r="P7" s="248"/>
      <c r="Q7" s="248"/>
      <c r="R7" s="249" t="s">
        <v>415</v>
      </c>
      <c r="S7" s="154" t="s">
        <v>62</v>
      </c>
      <c r="T7" s="154" t="s">
        <v>62</v>
      </c>
      <c r="U7" s="154" t="s">
        <v>62</v>
      </c>
      <c r="V7" s="154" t="s">
        <v>62</v>
      </c>
      <c r="W7" s="154" t="s">
        <v>62</v>
      </c>
      <c r="X7" s="154" t="s">
        <v>62</v>
      </c>
      <c r="Y7" s="154" t="s">
        <v>62</v>
      </c>
      <c r="Z7" s="154" t="s">
        <v>62</v>
      </c>
      <c r="AA7" s="154" t="s">
        <v>62</v>
      </c>
      <c r="AB7" s="154"/>
      <c r="AC7" s="242" t="b">
        <f t="shared" si="2"/>
        <v>1</v>
      </c>
      <c r="AD7" s="154" t="s">
        <v>400</v>
      </c>
      <c r="AE7" s="243" t="b">
        <f t="shared" si="3"/>
        <v>1</v>
      </c>
      <c r="AF7" s="154" t="s">
        <v>401</v>
      </c>
      <c r="AG7" s="243" t="b">
        <f t="shared" si="4"/>
        <v>0</v>
      </c>
      <c r="AH7" s="154"/>
      <c r="AI7" s="243" t="str">
        <f t="shared" si="5"/>
        <v>N/A</v>
      </c>
      <c r="AJ7" s="157" t="str">
        <f t="shared" si="6"/>
        <v/>
      </c>
    </row>
    <row r="8" ht="12.75" customHeight="1">
      <c r="A8" s="244" t="s">
        <v>386</v>
      </c>
      <c r="B8" s="244" t="s">
        <v>392</v>
      </c>
      <c r="C8" s="244" t="s">
        <v>416</v>
      </c>
      <c r="D8" s="154" t="s">
        <v>417</v>
      </c>
      <c r="E8" s="250"/>
      <c r="F8" s="154" t="str">
        <f t="array" ref="F8">XLOOKUP(Cover!$D$12,$S$1:$AA$1,$S8:$AA8)</f>
        <v>Comments Vendor</v>
      </c>
      <c r="G8" s="153" t="s">
        <v>418</v>
      </c>
      <c r="H8" s="154" t="s">
        <v>419</v>
      </c>
      <c r="I8" s="154" t="s">
        <v>420</v>
      </c>
      <c r="J8" s="154"/>
      <c r="K8" s="247" t="s">
        <v>415</v>
      </c>
      <c r="L8" s="154" t="str">
        <f t="shared" si="1"/>
        <v/>
      </c>
      <c r="M8" s="248" t="str">
        <f>IFERROR(__xludf.DUMMYFUNCTION("VLOOKUP(C8,IMPORTRANGE(""https://docs.google.com/spreadsheets/d/1P8eX0NWBhUPS_hvzA11R6jkTNFrPrRYIx_dX_hYbxrk/edit?resourcekey=0-iw9bsKY2OqkUHCFMkCar3A&amp;gid=2055363397#gid=2055363397"",""MTR!C:O""),11,false)"),"TAM")</f>
        <v>TAM</v>
      </c>
      <c r="N8" s="241" t="str">
        <f>IFERROR(__xludf.DUMMYFUNCTION("VLOOKUP(C8,IMPORTRANGE(""https://docs.google.com/spreadsheets/d/1ihFlp3_ePlYtFuPbUNbYj1muErVpI73WHXbEwJDIA7Q/edit#gid=1493122344"",""MTR!C:O""),8,false)"),"")</f>
        <v/>
      </c>
      <c r="O8" s="248" t="str">
        <f>IFERROR(__xludf.DUMMYFUNCTION("VLOOKUP(C8,IMPORTRANGE(""https://docs.google.com/spreadsheets/d/1P8eX0NWBhUPS_hvzA11R6jkTNFrPrRYIx_dX_hYbxrk/edit?resourcekey=0-iw9bsKY2OqkUHCFMkCar3A&amp;gid=2055363397#gid=2055363397"",""MTR!C:O""),9,false)"),"BCM 4390")</f>
        <v>BCM 4390</v>
      </c>
      <c r="P8" s="248"/>
      <c r="Q8" s="248"/>
      <c r="R8" s="249" t="s">
        <v>415</v>
      </c>
      <c r="S8" s="154" t="s">
        <v>62</v>
      </c>
      <c r="T8" s="154" t="s">
        <v>62</v>
      </c>
      <c r="U8" s="154" t="s">
        <v>62</v>
      </c>
      <c r="V8" s="154" t="s">
        <v>62</v>
      </c>
      <c r="W8" s="154" t="s">
        <v>62</v>
      </c>
      <c r="X8" s="154" t="s">
        <v>62</v>
      </c>
      <c r="Y8" s="154" t="s">
        <v>62</v>
      </c>
      <c r="Z8" s="154" t="s">
        <v>62</v>
      </c>
      <c r="AA8" s="154" t="s">
        <v>62</v>
      </c>
      <c r="AB8" s="154"/>
      <c r="AC8" s="242" t="b">
        <f t="shared" si="2"/>
        <v>1</v>
      </c>
      <c r="AD8" s="154" t="s">
        <v>400</v>
      </c>
      <c r="AE8" s="243" t="b">
        <f t="shared" si="3"/>
        <v>1</v>
      </c>
      <c r="AF8" s="154" t="s">
        <v>401</v>
      </c>
      <c r="AG8" s="243" t="b">
        <f t="shared" si="4"/>
        <v>0</v>
      </c>
      <c r="AH8" s="154"/>
      <c r="AI8" s="243" t="str">
        <f t="shared" si="5"/>
        <v>N/A</v>
      </c>
      <c r="AJ8" s="157" t="str">
        <f t="shared" si="6"/>
        <v/>
      </c>
    </row>
    <row r="9" ht="12.75" customHeight="1">
      <c r="A9" s="244" t="s">
        <v>386</v>
      </c>
      <c r="B9" s="244" t="s">
        <v>392</v>
      </c>
      <c r="C9" s="244" t="s">
        <v>421</v>
      </c>
      <c r="D9" s="154" t="s">
        <v>422</v>
      </c>
      <c r="E9" s="250"/>
      <c r="F9" s="154" t="str">
        <f t="array" ref="F9">XLOOKUP(Cover!$D$12,$S$1:$AA$1,$S9:$AA9)</f>
        <v>Comments Vendor</v>
      </c>
      <c r="G9" s="153" t="s">
        <v>423</v>
      </c>
      <c r="H9" s="154" t="s">
        <v>424</v>
      </c>
      <c r="I9" s="154" t="s">
        <v>420</v>
      </c>
      <c r="J9" s="154"/>
      <c r="K9" s="247" t="s">
        <v>425</v>
      </c>
      <c r="L9" s="154" t="str">
        <f t="shared" si="1"/>
        <v/>
      </c>
      <c r="M9" s="248" t="str">
        <f>IFERROR(__xludf.DUMMYFUNCTION("VLOOKUP(C9,IMPORTRANGE(""https://docs.google.com/spreadsheets/d/1P8eX0NWBhUPS_hvzA11R6jkTNFrPrRYIx_dX_hYbxrk/edit?resourcekey=0-iw9bsKY2OqkUHCFMkCar3A&amp;gid=2055363397#gid=2055363397"",""MTR!C:O""),11,false)"),"TAM")</f>
        <v>TAM</v>
      </c>
      <c r="N9" s="241" t="str">
        <f>IFERROR(__xludf.DUMMYFUNCTION("VLOOKUP(C9,IMPORTRANGE(""https://docs.google.com/spreadsheets/d/1ihFlp3_ePlYtFuPbUNbYj1muErVpI73WHXbEwJDIA7Q/edit#gid=1493122344"",""MTR!C:O""),8,false)"),"")</f>
        <v/>
      </c>
      <c r="O9" s="248" t="str">
        <f>IFERROR(__xludf.DUMMYFUNCTION("VLOOKUP(C9,IMPORTRANGE(""https://docs.google.com/spreadsheets/d/1P8eX0NWBhUPS_hvzA11R6jkTNFrPrRYIx_dX_hYbxrk/edit?resourcekey=0-iw9bsKY2OqkUHCFMkCar3A&amp;gid=2055363397#gid=2055363397"",""MTR!C:O""),9,false)"),"ST54L")</f>
        <v>ST54L</v>
      </c>
      <c r="P9" s="248"/>
      <c r="Q9" s="248"/>
      <c r="R9" s="249" t="s">
        <v>425</v>
      </c>
      <c r="S9" s="154" t="s">
        <v>62</v>
      </c>
      <c r="T9" s="154" t="s">
        <v>62</v>
      </c>
      <c r="U9" s="154" t="s">
        <v>62</v>
      </c>
      <c r="V9" s="154" t="s">
        <v>62</v>
      </c>
      <c r="W9" s="154" t="s">
        <v>62</v>
      </c>
      <c r="X9" s="154" t="s">
        <v>62</v>
      </c>
      <c r="Y9" s="154" t="s">
        <v>62</v>
      </c>
      <c r="Z9" s="154" t="s">
        <v>62</v>
      </c>
      <c r="AA9" s="154" t="s">
        <v>62</v>
      </c>
      <c r="AB9" s="154"/>
      <c r="AC9" s="242" t="b">
        <f t="shared" si="2"/>
        <v>1</v>
      </c>
      <c r="AD9" s="154" t="s">
        <v>400</v>
      </c>
      <c r="AE9" s="243" t="b">
        <f t="shared" si="3"/>
        <v>1</v>
      </c>
      <c r="AF9" s="154" t="s">
        <v>401</v>
      </c>
      <c r="AG9" s="243" t="b">
        <f t="shared" si="4"/>
        <v>0</v>
      </c>
      <c r="AH9" s="154"/>
      <c r="AI9" s="243" t="str">
        <f t="shared" si="5"/>
        <v>N/A</v>
      </c>
      <c r="AJ9" s="157" t="str">
        <f t="shared" si="6"/>
        <v/>
      </c>
    </row>
    <row r="10" ht="12.75" customHeight="1">
      <c r="A10" s="244" t="s">
        <v>386</v>
      </c>
      <c r="B10" s="244" t="s">
        <v>392</v>
      </c>
      <c r="C10" s="245" t="s">
        <v>426</v>
      </c>
      <c r="D10" s="155" t="s">
        <v>427</v>
      </c>
      <c r="E10" s="246" t="s">
        <v>92</v>
      </c>
      <c r="F10" s="154" t="str">
        <f t="array" ref="F10">XLOOKUP(Cover!$D$12,$S$1:$AA$1,$S10:$AA10)</f>
        <v>Comments Vendor</v>
      </c>
      <c r="G10" s="153" t="s">
        <v>428</v>
      </c>
      <c r="H10" s="154" t="s">
        <v>398</v>
      </c>
      <c r="I10" s="154" t="s">
        <v>414</v>
      </c>
      <c r="J10" s="154"/>
      <c r="K10" s="247" t="s">
        <v>429</v>
      </c>
      <c r="L10" s="154" t="str">
        <f t="shared" si="1"/>
        <v/>
      </c>
      <c r="M10" s="248" t="str">
        <f>IFERROR(__xludf.DUMMYFUNCTION("VLOOKUP(C10,IMPORTRANGE(""https://docs.google.com/spreadsheets/d/1P8eX0NWBhUPS_hvzA11R6jkTNFrPrRYIx_dX_hYbxrk/edit?resourcekey=0-iw9bsKY2OqkUHCFMkCar3A&amp;gid=2055363397#gid=2055363397"",""MTR!C:O""),11,false)"),"TAM")</f>
        <v>TAM</v>
      </c>
      <c r="N10" s="241" t="str">
        <f>IFERROR(__xludf.DUMMYFUNCTION("VLOOKUP(C10,IMPORTRANGE(""https://docs.google.com/spreadsheets/d/1ihFlp3_ePlYtFuPbUNbYj1muErVpI73WHXbEwJDIA7Q/edit#gid=1493122344"",""MTR!C:O""),8,false)"),"")</f>
        <v/>
      </c>
      <c r="O10" s="248" t="str">
        <f>IFERROR(__xludf.DUMMYFUNCTION("VLOOKUP(C10,IMPORTRANGE(""https://docs.google.com/spreadsheets/d/1P8eX0NWBhUPS_hvzA11R6jkTNFrPrRYIx_dX_hYbxrk/edit?resourcekey=0-iw9bsKY2OqkUHCFMkCar3A&amp;gid=2055363397#gid=2055363397"",""MTR!C:O""),9,false)"),"Android U")</f>
        <v>Android U</v>
      </c>
      <c r="P10" s="248"/>
      <c r="Q10" s="248"/>
      <c r="R10" s="249" t="s">
        <v>430</v>
      </c>
      <c r="S10" s="154" t="s">
        <v>62</v>
      </c>
      <c r="T10" s="154" t="s">
        <v>62</v>
      </c>
      <c r="U10" s="154" t="s">
        <v>62</v>
      </c>
      <c r="V10" s="154" t="s">
        <v>62</v>
      </c>
      <c r="W10" s="154" t="s">
        <v>62</v>
      </c>
      <c r="X10" s="154" t="s">
        <v>62</v>
      </c>
      <c r="Y10" s="154" t="s">
        <v>62</v>
      </c>
      <c r="Z10" s="154" t="s">
        <v>62</v>
      </c>
      <c r="AA10" s="154" t="s">
        <v>62</v>
      </c>
      <c r="AB10" s="154"/>
      <c r="AC10" s="242" t="b">
        <f t="shared" si="2"/>
        <v>1</v>
      </c>
      <c r="AD10" s="154" t="s">
        <v>400</v>
      </c>
      <c r="AE10" s="243" t="b">
        <f t="shared" si="3"/>
        <v>1</v>
      </c>
      <c r="AF10" s="154" t="s">
        <v>431</v>
      </c>
      <c r="AG10" s="243" t="b">
        <f t="shared" si="4"/>
        <v>0</v>
      </c>
      <c r="AH10" s="154"/>
      <c r="AI10" s="243" t="str">
        <f t="shared" si="5"/>
        <v>N/A</v>
      </c>
      <c r="AJ10" s="157" t="str">
        <f t="shared" si="6"/>
        <v/>
      </c>
    </row>
    <row r="11" ht="12.75" customHeight="1">
      <c r="A11" s="244" t="s">
        <v>386</v>
      </c>
      <c r="B11" s="244" t="s">
        <v>392</v>
      </c>
      <c r="C11" s="245" t="s">
        <v>432</v>
      </c>
      <c r="D11" s="155" t="s">
        <v>433</v>
      </c>
      <c r="E11" s="246" t="s">
        <v>92</v>
      </c>
      <c r="F11" s="154" t="str">
        <f t="array" ref="F11">XLOOKUP(Cover!$D$12,$S$1:$AA$1,$S11:$AA11)</f>
        <v>Comments Vendor</v>
      </c>
      <c r="G11" s="153" t="s">
        <v>434</v>
      </c>
      <c r="H11" s="154" t="s">
        <v>398</v>
      </c>
      <c r="I11" s="154" t="s">
        <v>414</v>
      </c>
      <c r="J11" s="154"/>
      <c r="K11" s="154" t="s">
        <v>435</v>
      </c>
      <c r="L11" s="154" t="str">
        <f t="shared" si="1"/>
        <v/>
      </c>
      <c r="M11" s="248" t="str">
        <f>IFERROR(__xludf.DUMMYFUNCTION("VLOOKUP(C11,IMPORTRANGE(""https://docs.google.com/spreadsheets/d/1P8eX0NWBhUPS_hvzA11R6jkTNFrPrRYIx_dX_hYbxrk/edit?resourcekey=0-iw9bsKY2OqkUHCFMkCar3A&amp;gid=2055363397#gid=2055363397"",""MTR!C:O""),11,false)"),"TAM")</f>
        <v>TAM</v>
      </c>
      <c r="N11" s="241" t="str">
        <f>IFERROR(__xludf.DUMMYFUNCTION("VLOOKUP(C11,IMPORTRANGE(""https://docs.google.com/spreadsheets/d/1ihFlp3_ePlYtFuPbUNbYj1muErVpI73WHXbEwJDIA7Q/edit#gid=1493122344"",""MTR!C:O""),8,false)"),"")</f>
        <v/>
      </c>
      <c r="O11" s="248" t="str">
        <f>IFERROR(__xludf.DUMMYFUNCTION("VLOOKUP(C11,IMPORTRANGE(""https://docs.google.com/spreadsheets/d/1P8eX0NWBhUPS_hvzA11R6jkTNFrPrRYIx_dX_hYbxrk/edit?resourcekey=0-iw9bsKY2OqkUHCFMkCar3A&amp;gid=2055363397#gid=2055363397"",""MTR!C:O""),9,false)"),"No ODM")</f>
        <v>No ODM</v>
      </c>
      <c r="P11" s="248"/>
      <c r="Q11" s="248"/>
      <c r="R11" s="249" t="s">
        <v>435</v>
      </c>
      <c r="S11" s="154" t="s">
        <v>62</v>
      </c>
      <c r="T11" s="154" t="s">
        <v>62</v>
      </c>
      <c r="U11" s="154" t="s">
        <v>62</v>
      </c>
      <c r="V11" s="154" t="s">
        <v>62</v>
      </c>
      <c r="W11" s="154" t="s">
        <v>62</v>
      </c>
      <c r="X11" s="154" t="s">
        <v>62</v>
      </c>
      <c r="Y11" s="154" t="s">
        <v>62</v>
      </c>
      <c r="Z11" s="154" t="s">
        <v>62</v>
      </c>
      <c r="AA11" s="154" t="s">
        <v>62</v>
      </c>
      <c r="AB11" s="154"/>
      <c r="AC11" s="242" t="b">
        <f t="shared" si="2"/>
        <v>1</v>
      </c>
      <c r="AD11" s="154" t="s">
        <v>391</v>
      </c>
      <c r="AE11" s="243" t="b">
        <f t="shared" si="3"/>
        <v>1</v>
      </c>
      <c r="AF11" s="154" t="s">
        <v>436</v>
      </c>
      <c r="AG11" s="243" t="b">
        <f t="shared" si="4"/>
        <v>0</v>
      </c>
      <c r="AH11" s="154"/>
      <c r="AI11" s="243" t="str">
        <f t="shared" si="5"/>
        <v>N/A</v>
      </c>
      <c r="AJ11" s="157" t="str">
        <f t="shared" si="6"/>
        <v/>
      </c>
    </row>
    <row r="12" ht="12.75" customHeight="1">
      <c r="A12" s="238" t="s">
        <v>386</v>
      </c>
      <c r="B12" s="238" t="s">
        <v>437</v>
      </c>
      <c r="C12" s="238" t="s">
        <v>438</v>
      </c>
      <c r="D12" s="238"/>
      <c r="E12" s="238"/>
      <c r="F12" s="154" t="str">
        <f t="array" ref="F12">XLOOKUP(Cover!$D$12,$S$1:$AA$1,$S12:$AA12)</f>
        <v>Heading</v>
      </c>
      <c r="G12" s="239" t="s">
        <v>439</v>
      </c>
      <c r="H12" s="240"/>
      <c r="I12" s="240" t="s">
        <v>389</v>
      </c>
      <c r="J12" s="240"/>
      <c r="K12" s="240"/>
      <c r="L12" s="154" t="str">
        <f t="shared" si="1"/>
        <v/>
      </c>
      <c r="M12" s="241" t="str">
        <f>IFERROR(__xludf.DUMMYFUNCTION("VLOOKUP(C12,IMPORTRANGE(""https://docs.google.com/spreadsheets/d/1P8eX0NWBhUPS_hvzA11R6jkTNFrPrRYIx_dX_hYbxrk/edit?resourcekey=0-iw9bsKY2OqkUHCFMkCar3A&amp;gid=2055363397#gid=2055363397"",""MTR!C:O""),11,false)"),"")</f>
        <v/>
      </c>
      <c r="N12" s="241" t="str">
        <f>IFERROR(__xludf.DUMMYFUNCTION("VLOOKUP(C12,IMPORTRANGE(""https://docs.google.com/spreadsheets/d/1ihFlp3_ePlYtFuPbUNbYj1muErVpI73WHXbEwJDIA7Q/edit#gid=1493122344"",""MTR!C:O""),8,false)"),"")</f>
        <v/>
      </c>
      <c r="O12" s="241" t="str">
        <f>IFERROR(__xludf.DUMMYFUNCTION("VLOOKUP(C12,IMPORTRANGE(""https://docs.google.com/spreadsheets/d/1P8eX0NWBhUPS_hvzA11R6jkTNFrPrRYIx_dX_hYbxrk/edit?resourcekey=0-iw9bsKY2OqkUHCFMkCar3A&amp;gid=2055363397#gid=2055363397"",""MTR!C:O""),9,false)"),"")</f>
        <v/>
      </c>
      <c r="P12" s="241"/>
      <c r="Q12" s="241"/>
      <c r="R12" s="241"/>
      <c r="S12" s="240" t="s">
        <v>390</v>
      </c>
      <c r="T12" s="240" t="s">
        <v>390</v>
      </c>
      <c r="U12" s="240" t="s">
        <v>390</v>
      </c>
      <c r="V12" s="240" t="s">
        <v>390</v>
      </c>
      <c r="W12" s="240" t="s">
        <v>390</v>
      </c>
      <c r="X12" s="240" t="s">
        <v>390</v>
      </c>
      <c r="Y12" s="240" t="s">
        <v>390</v>
      </c>
      <c r="Z12" s="240" t="s">
        <v>390</v>
      </c>
      <c r="AA12" s="240" t="s">
        <v>390</v>
      </c>
      <c r="AB12" s="240"/>
      <c r="AC12" s="242" t="b">
        <f t="shared" si="2"/>
        <v>0</v>
      </c>
      <c r="AD12" s="240" t="s">
        <v>391</v>
      </c>
      <c r="AE12" s="243" t="b">
        <f t="shared" si="3"/>
        <v>0</v>
      </c>
      <c r="AF12" s="240"/>
      <c r="AG12" s="243" t="b">
        <f t="shared" si="4"/>
        <v>0</v>
      </c>
      <c r="AH12" s="240"/>
      <c r="AI12" s="243" t="str">
        <f t="shared" si="5"/>
        <v>N/A</v>
      </c>
      <c r="AJ12" s="157" t="str">
        <f t="shared" si="6"/>
        <v/>
      </c>
    </row>
    <row r="13" ht="12.75" customHeight="1">
      <c r="A13" s="238" t="s">
        <v>386</v>
      </c>
      <c r="B13" s="238" t="s">
        <v>437</v>
      </c>
      <c r="C13" s="238" t="s">
        <v>440</v>
      </c>
      <c r="D13" s="238"/>
      <c r="E13" s="238"/>
      <c r="F13" s="154" t="str">
        <f t="array" ref="F13">XLOOKUP(Cover!$D$12,$S$1:$AA$1,$S13:$AA13)</f>
        <v>Heading</v>
      </c>
      <c r="G13" s="239" t="s">
        <v>441</v>
      </c>
      <c r="H13" s="240"/>
      <c r="I13" s="240" t="s">
        <v>414</v>
      </c>
      <c r="J13" s="240"/>
      <c r="K13" s="240"/>
      <c r="L13" s="154" t="str">
        <f t="shared" si="1"/>
        <v/>
      </c>
      <c r="M13" s="241" t="str">
        <f>IFERROR(__xludf.DUMMYFUNCTION("VLOOKUP(C13,IMPORTRANGE(""https://docs.google.com/spreadsheets/d/1P8eX0NWBhUPS_hvzA11R6jkTNFrPrRYIx_dX_hYbxrk/edit?resourcekey=0-iw9bsKY2OqkUHCFMkCar3A&amp;gid=2055363397#gid=2055363397"",""MTR!C:O""),11,false)"),"")</f>
        <v/>
      </c>
      <c r="N13" s="241" t="str">
        <f>IFERROR(__xludf.DUMMYFUNCTION("VLOOKUP(C13,IMPORTRANGE(""https://docs.google.com/spreadsheets/d/1ihFlp3_ePlYtFuPbUNbYj1muErVpI73WHXbEwJDIA7Q/edit#gid=1493122344"",""MTR!C:O""),8,false)"),"")</f>
        <v/>
      </c>
      <c r="O13" s="241" t="str">
        <f>IFERROR(__xludf.DUMMYFUNCTION("VLOOKUP(C13,IMPORTRANGE(""https://docs.google.com/spreadsheets/d/1P8eX0NWBhUPS_hvzA11R6jkTNFrPrRYIx_dX_hYbxrk/edit?resourcekey=0-iw9bsKY2OqkUHCFMkCar3A&amp;gid=2055363397#gid=2055363397"",""MTR!C:O""),9,false)"),"")</f>
        <v/>
      </c>
      <c r="P13" s="241"/>
      <c r="Q13" s="241"/>
      <c r="R13" s="241"/>
      <c r="S13" s="240" t="s">
        <v>390</v>
      </c>
      <c r="T13" s="240" t="s">
        <v>390</v>
      </c>
      <c r="U13" s="240" t="s">
        <v>390</v>
      </c>
      <c r="V13" s="240" t="s">
        <v>390</v>
      </c>
      <c r="W13" s="240" t="s">
        <v>390</v>
      </c>
      <c r="X13" s="240" t="s">
        <v>390</v>
      </c>
      <c r="Y13" s="240" t="s">
        <v>390</v>
      </c>
      <c r="Z13" s="240" t="s">
        <v>390</v>
      </c>
      <c r="AA13" s="240" t="s">
        <v>390</v>
      </c>
      <c r="AB13" s="240"/>
      <c r="AC13" s="242" t="b">
        <f t="shared" si="2"/>
        <v>0</v>
      </c>
      <c r="AD13" s="240" t="s">
        <v>391</v>
      </c>
      <c r="AE13" s="243" t="b">
        <f t="shared" si="3"/>
        <v>0</v>
      </c>
      <c r="AF13" s="240"/>
      <c r="AG13" s="243" t="b">
        <f t="shared" si="4"/>
        <v>0</v>
      </c>
      <c r="AH13" s="240"/>
      <c r="AI13" s="243" t="str">
        <f t="shared" si="5"/>
        <v>N/A</v>
      </c>
      <c r="AJ13" s="157" t="str">
        <f t="shared" si="6"/>
        <v/>
      </c>
    </row>
    <row r="14" ht="12.75" customHeight="1">
      <c r="A14" s="244" t="s">
        <v>386</v>
      </c>
      <c r="B14" s="244" t="s">
        <v>437</v>
      </c>
      <c r="C14" s="244" t="s">
        <v>442</v>
      </c>
      <c r="D14" s="154" t="s">
        <v>443</v>
      </c>
      <c r="E14" s="250"/>
      <c r="F14" s="154" t="str">
        <f t="array" ref="F14">XLOOKUP(Cover!$D$12,$S$1:$AA$1,$S14:$AA14)</f>
        <v>Mandatory</v>
      </c>
      <c r="G14" s="154" t="s">
        <v>444</v>
      </c>
      <c r="H14" s="154" t="s">
        <v>398</v>
      </c>
      <c r="I14" s="154" t="s">
        <v>414</v>
      </c>
      <c r="J14" s="247" t="s">
        <v>445</v>
      </c>
      <c r="K14" s="154"/>
      <c r="L14" s="154" t="str">
        <f t="shared" si="1"/>
        <v/>
      </c>
      <c r="M14" s="248" t="str">
        <f>IFERROR(__xludf.DUMMYFUNCTION("VLOOKUP(C14,IMPORTRANGE(""https://docs.google.com/spreadsheets/d/1P8eX0NWBhUPS_hvzA11R6jkTNFrPrRYIx_dX_hYbxrk/edit?resourcekey=0-iw9bsKY2OqkUHCFMkCar3A&amp;gid=2055363397#gid=2055363397"",""MTR!C:O""),11,false)"),"TAM")</f>
        <v>TAM</v>
      </c>
      <c r="N14" s="248" t="str">
        <f>IFERROR(__xludf.DUMMYFUNCTION("VLOOKUP(C14,IMPORTRANGE(""https://docs.google.com/spreadsheets/d/1ihFlp3_ePlYtFuPbUNbYj1muErVpI73WHXbEwJDIA7Q/edit#gid=1493122344"",""MTR!C:O""),8,false)"),"Complies")</f>
        <v>Complies</v>
      </c>
      <c r="O14" s="241" t="str">
        <f>IFERROR(__xludf.DUMMYFUNCTION("VLOOKUP(C14,IMPORTRANGE(""https://docs.google.com/spreadsheets/d/1P8eX0NWBhUPS_hvzA11R6jkTNFrPrRYIx_dX_hYbxrk/edit?resourcekey=0-iw9bsKY2OqkUHCFMkCar3A&amp;gid=2055363397#gid=2055363397"",""MTR!C:O""),9,false)"),"")</f>
        <v/>
      </c>
      <c r="P14" s="241"/>
      <c r="Q14" s="251" t="s">
        <v>445</v>
      </c>
      <c r="R14" s="241"/>
      <c r="S14" s="154" t="s">
        <v>60</v>
      </c>
      <c r="T14" s="154" t="s">
        <v>60</v>
      </c>
      <c r="U14" s="154" t="s">
        <v>60</v>
      </c>
      <c r="V14" s="154" t="s">
        <v>60</v>
      </c>
      <c r="W14" s="154" t="s">
        <v>60</v>
      </c>
      <c r="X14" s="154" t="s">
        <v>60</v>
      </c>
      <c r="Y14" s="154" t="s">
        <v>60</v>
      </c>
      <c r="Z14" s="154" t="s">
        <v>60</v>
      </c>
      <c r="AA14" s="154" t="s">
        <v>60</v>
      </c>
      <c r="AB14" s="154"/>
      <c r="AC14" s="242" t="b">
        <f t="shared" si="2"/>
        <v>1</v>
      </c>
      <c r="AD14" s="154" t="s">
        <v>391</v>
      </c>
      <c r="AE14" s="243" t="b">
        <f t="shared" si="3"/>
        <v>0</v>
      </c>
      <c r="AF14" s="154"/>
      <c r="AG14" s="243" t="b">
        <f t="shared" si="4"/>
        <v>0</v>
      </c>
      <c r="AH14" s="154"/>
      <c r="AI14" s="243" t="str">
        <f t="shared" si="5"/>
        <v>N/A</v>
      </c>
      <c r="AJ14" s="157" t="str">
        <f t="shared" si="6"/>
        <v/>
      </c>
    </row>
    <row r="15" ht="12.75" customHeight="1">
      <c r="A15" s="238" t="s">
        <v>386</v>
      </c>
      <c r="B15" s="238" t="s">
        <v>437</v>
      </c>
      <c r="C15" s="238" t="s">
        <v>446</v>
      </c>
      <c r="D15" s="240"/>
      <c r="E15" s="252" t="s">
        <v>92</v>
      </c>
      <c r="F15" s="154" t="str">
        <f t="array" ref="F15">XLOOKUP(Cover!$D$12,$S$1:$AA$1,$S15:$AA15)</f>
        <v>Heading</v>
      </c>
      <c r="G15" s="239" t="s">
        <v>447</v>
      </c>
      <c r="H15" s="240"/>
      <c r="I15" s="240" t="s">
        <v>414</v>
      </c>
      <c r="J15" s="240"/>
      <c r="K15" s="240"/>
      <c r="L15" s="154" t="str">
        <f t="shared" si="1"/>
        <v/>
      </c>
      <c r="M15" s="241" t="str">
        <f>IFERROR(__xludf.DUMMYFUNCTION("VLOOKUP(C15,IMPORTRANGE(""https://docs.google.com/spreadsheets/d/1P8eX0NWBhUPS_hvzA11R6jkTNFrPrRYIx_dX_hYbxrk/edit?resourcekey=0-iw9bsKY2OqkUHCFMkCar3A&amp;gid=2055363397#gid=2055363397"",""MTR!C:O""),11,false)"),"")</f>
        <v/>
      </c>
      <c r="N15" s="241" t="str">
        <f>IFERROR(__xludf.DUMMYFUNCTION("VLOOKUP(C15,IMPORTRANGE(""https://docs.google.com/spreadsheets/d/1ihFlp3_ePlYtFuPbUNbYj1muErVpI73WHXbEwJDIA7Q/edit#gid=1493122344"",""MTR!C:O""),8,false)"),"")</f>
        <v/>
      </c>
      <c r="O15" s="241" t="str">
        <f>IFERROR(__xludf.DUMMYFUNCTION("VLOOKUP(C15,IMPORTRANGE(""https://docs.google.com/spreadsheets/d/1P8eX0NWBhUPS_hvzA11R6jkTNFrPrRYIx_dX_hYbxrk/edit?resourcekey=0-iw9bsKY2OqkUHCFMkCar3A&amp;gid=2055363397#gid=2055363397"",""MTR!C:O""),9,false)"),"")</f>
        <v/>
      </c>
      <c r="P15" s="241"/>
      <c r="Q15" s="241"/>
      <c r="R15" s="241"/>
      <c r="S15" s="240" t="s">
        <v>390</v>
      </c>
      <c r="T15" s="240" t="s">
        <v>390</v>
      </c>
      <c r="U15" s="240" t="s">
        <v>390</v>
      </c>
      <c r="V15" s="240" t="s">
        <v>390</v>
      </c>
      <c r="W15" s="240" t="s">
        <v>390</v>
      </c>
      <c r="X15" s="240" t="s">
        <v>390</v>
      </c>
      <c r="Y15" s="240" t="s">
        <v>390</v>
      </c>
      <c r="Z15" s="240" t="s">
        <v>390</v>
      </c>
      <c r="AA15" s="240" t="s">
        <v>390</v>
      </c>
      <c r="AB15" s="240"/>
      <c r="AC15" s="242" t="b">
        <f t="shared" si="2"/>
        <v>0</v>
      </c>
      <c r="AD15" s="240" t="s">
        <v>391</v>
      </c>
      <c r="AE15" s="243" t="b">
        <f t="shared" si="3"/>
        <v>0</v>
      </c>
      <c r="AF15" s="240"/>
      <c r="AG15" s="243" t="b">
        <f t="shared" si="4"/>
        <v>0</v>
      </c>
      <c r="AH15" s="240"/>
      <c r="AI15" s="243" t="str">
        <f t="shared" si="5"/>
        <v>N/A</v>
      </c>
      <c r="AJ15" s="157" t="str">
        <f t="shared" si="6"/>
        <v/>
      </c>
    </row>
    <row r="16" ht="12.75" customHeight="1">
      <c r="A16" s="244" t="s">
        <v>386</v>
      </c>
      <c r="B16" s="244" t="s">
        <v>437</v>
      </c>
      <c r="C16" s="244" t="s">
        <v>448</v>
      </c>
      <c r="D16" s="154" t="s">
        <v>443</v>
      </c>
      <c r="E16" s="250"/>
      <c r="F16" s="154" t="str">
        <f t="array" ref="F16">XLOOKUP(Cover!$D$12,$S$1:$AA$1,$S16:$AA16)</f>
        <v>Mandatory</v>
      </c>
      <c r="G16" s="154" t="s">
        <v>449</v>
      </c>
      <c r="H16" s="154" t="s">
        <v>398</v>
      </c>
      <c r="I16" s="154" t="s">
        <v>414</v>
      </c>
      <c r="J16" s="154" t="s">
        <v>445</v>
      </c>
      <c r="K16" s="154"/>
      <c r="L16" s="154" t="str">
        <f t="shared" si="1"/>
        <v/>
      </c>
      <c r="M16" s="248" t="str">
        <f>IFERROR(__xludf.DUMMYFUNCTION("VLOOKUP(C16,IMPORTRANGE(""https://docs.google.com/spreadsheets/d/1P8eX0NWBhUPS_hvzA11R6jkTNFrPrRYIx_dX_hYbxrk/edit?resourcekey=0-iw9bsKY2OqkUHCFMkCar3A&amp;gid=2055363397#gid=2055363397"",""MTR!C:O""),11,false)"),"TAM")</f>
        <v>TAM</v>
      </c>
      <c r="N16" s="248" t="str">
        <f>IFERROR(__xludf.DUMMYFUNCTION("VLOOKUP(C16,IMPORTRANGE(""https://docs.google.com/spreadsheets/d/1ihFlp3_ePlYtFuPbUNbYj1muErVpI73WHXbEwJDIA7Q/edit#gid=1493122344"",""MTR!C:O""),8,false)"),"Complies")</f>
        <v>Complies</v>
      </c>
      <c r="O16" s="241" t="str">
        <f>IFERROR(__xludf.DUMMYFUNCTION("VLOOKUP(C16,IMPORTRANGE(""https://docs.google.com/spreadsheets/d/1P8eX0NWBhUPS_hvzA11R6jkTNFrPrRYIx_dX_hYbxrk/edit?resourcekey=0-iw9bsKY2OqkUHCFMkCar3A&amp;gid=2055363397#gid=2055363397"",""MTR!C:O""),9,false)"),"")</f>
        <v/>
      </c>
      <c r="P16" s="241"/>
      <c r="Q16" s="251" t="s">
        <v>445</v>
      </c>
      <c r="R16" s="241"/>
      <c r="S16" s="154" t="s">
        <v>60</v>
      </c>
      <c r="T16" s="154" t="s">
        <v>60</v>
      </c>
      <c r="U16" s="154" t="s">
        <v>60</v>
      </c>
      <c r="V16" s="154" t="s">
        <v>60</v>
      </c>
      <c r="W16" s="154" t="s">
        <v>60</v>
      </c>
      <c r="X16" s="154" t="s">
        <v>60</v>
      </c>
      <c r="Y16" s="154" t="s">
        <v>60</v>
      </c>
      <c r="Z16" s="154" t="s">
        <v>60</v>
      </c>
      <c r="AA16" s="154" t="s">
        <v>60</v>
      </c>
      <c r="AB16" s="154"/>
      <c r="AC16" s="242" t="b">
        <f t="shared" si="2"/>
        <v>1</v>
      </c>
      <c r="AD16" s="154" t="s">
        <v>391</v>
      </c>
      <c r="AE16" s="243" t="b">
        <f t="shared" si="3"/>
        <v>0</v>
      </c>
      <c r="AF16" s="154"/>
      <c r="AG16" s="243" t="b">
        <f t="shared" si="4"/>
        <v>0</v>
      </c>
      <c r="AH16" s="154"/>
      <c r="AI16" s="243" t="str">
        <f t="shared" si="5"/>
        <v>N/A</v>
      </c>
      <c r="AJ16" s="157" t="str">
        <f t="shared" si="6"/>
        <v/>
      </c>
    </row>
    <row r="17" ht="12.75" customHeight="1">
      <c r="A17" s="244" t="s">
        <v>386</v>
      </c>
      <c r="B17" s="244" t="s">
        <v>437</v>
      </c>
      <c r="C17" s="244" t="s">
        <v>450</v>
      </c>
      <c r="D17" s="154" t="s">
        <v>45</v>
      </c>
      <c r="E17" s="250"/>
      <c r="F17" s="154" t="str">
        <f t="array" ref="F17">XLOOKUP(Cover!$D$12,$S$1:$AA$1,$S17:$AA17)</f>
        <v>Mandatory</v>
      </c>
      <c r="G17" s="247" t="s">
        <v>451</v>
      </c>
      <c r="H17" s="154" t="s">
        <v>398</v>
      </c>
      <c r="I17" s="154" t="s">
        <v>414</v>
      </c>
      <c r="J17" s="247" t="s">
        <v>445</v>
      </c>
      <c r="K17" s="154"/>
      <c r="L17" s="154" t="str">
        <f t="shared" si="1"/>
        <v/>
      </c>
      <c r="M17" s="253" t="str">
        <f>IFERROR(__xludf.DUMMYFUNCTION("VLOOKUP(C17,IMPORTRANGE(""https://docs.google.com/spreadsheets/d/1P8eX0NWBhUPS_hvzA11R6jkTNFrPrRYIx_dX_hYbxrk/edit?resourcekey=0-iw9bsKY2OqkUHCFMkCar3A&amp;gid=2055363397#gid=2055363397"",""MTR!C:O""),11,false)"),"#N/A")</f>
        <v>#N/A</v>
      </c>
      <c r="N17" s="253" t="str">
        <f>IFERROR(__xludf.DUMMYFUNCTION("VLOOKUP(C17,IMPORTRANGE(""https://docs.google.com/spreadsheets/d/1ihFlp3_ePlYtFuPbUNbYj1muErVpI73WHXbEwJDIA7Q/edit#gid=1493122344"",""MTR!C:O""),8,false)"),"#N/A")</f>
        <v>#N/A</v>
      </c>
      <c r="O17" s="241" t="str">
        <f>IFERROR(__xludf.DUMMYFUNCTION("VLOOKUP(C17,IMPORTRANGE(""https://docs.google.com/spreadsheets/d/1P8eX0NWBhUPS_hvzA11R6jkTNFrPrRYIx_dX_hYbxrk/edit?resourcekey=0-iw9bsKY2OqkUHCFMkCar3A&amp;gid=2055363397#gid=2055363397"",""MTR!C:O""),9,false)"),"")</f>
        <v/>
      </c>
      <c r="P17" s="241"/>
      <c r="Q17" s="241"/>
      <c r="R17" s="241"/>
      <c r="S17" s="154" t="s">
        <v>60</v>
      </c>
      <c r="T17" s="154" t="s">
        <v>60</v>
      </c>
      <c r="U17" s="154" t="s">
        <v>60</v>
      </c>
      <c r="V17" s="154" t="s">
        <v>60</v>
      </c>
      <c r="W17" s="154" t="s">
        <v>60</v>
      </c>
      <c r="X17" s="154" t="s">
        <v>60</v>
      </c>
      <c r="Y17" s="154" t="s">
        <v>60</v>
      </c>
      <c r="Z17" s="154" t="s">
        <v>60</v>
      </c>
      <c r="AA17" s="154" t="s">
        <v>60</v>
      </c>
      <c r="AB17" s="154"/>
      <c r="AC17" s="242" t="b">
        <f t="shared" si="2"/>
        <v>1</v>
      </c>
      <c r="AD17" s="154" t="s">
        <v>391</v>
      </c>
      <c r="AE17" s="243" t="b">
        <f t="shared" si="3"/>
        <v>0</v>
      </c>
      <c r="AF17" s="154"/>
      <c r="AG17" s="243" t="b">
        <f t="shared" si="4"/>
        <v>0</v>
      </c>
      <c r="AH17" s="154"/>
      <c r="AI17" s="243" t="str">
        <f t="shared" si="5"/>
        <v>N/A</v>
      </c>
      <c r="AJ17" s="157" t="str">
        <f t="shared" si="6"/>
        <v/>
      </c>
    </row>
    <row r="18" ht="12.75" customHeight="1">
      <c r="A18" s="238" t="s">
        <v>386</v>
      </c>
      <c r="B18" s="238" t="s">
        <v>437</v>
      </c>
      <c r="C18" s="238" t="s">
        <v>452</v>
      </c>
      <c r="D18" s="238"/>
      <c r="E18" s="238"/>
      <c r="F18" s="154" t="str">
        <f t="array" ref="F18">XLOOKUP(Cover!$D$12,$S$1:$AA$1,$S18:$AA18)</f>
        <v>Heading</v>
      </c>
      <c r="G18" s="239" t="s">
        <v>453</v>
      </c>
      <c r="H18" s="240"/>
      <c r="I18" s="240" t="s">
        <v>414</v>
      </c>
      <c r="J18" s="240"/>
      <c r="K18" s="240"/>
      <c r="L18" s="154" t="str">
        <f t="shared" si="1"/>
        <v/>
      </c>
      <c r="M18" s="241" t="str">
        <f>IFERROR(__xludf.DUMMYFUNCTION("VLOOKUP(C18,IMPORTRANGE(""https://docs.google.com/spreadsheets/d/1P8eX0NWBhUPS_hvzA11R6jkTNFrPrRYIx_dX_hYbxrk/edit?resourcekey=0-iw9bsKY2OqkUHCFMkCar3A&amp;gid=2055363397#gid=2055363397"",""MTR!C:O""),11,false)"),"")</f>
        <v/>
      </c>
      <c r="N18" s="241" t="str">
        <f>IFERROR(__xludf.DUMMYFUNCTION("VLOOKUP(C18,IMPORTRANGE(""https://docs.google.com/spreadsheets/d/1ihFlp3_ePlYtFuPbUNbYj1muErVpI73WHXbEwJDIA7Q/edit#gid=1493122344"",""MTR!C:O""),8,false)"),"")</f>
        <v/>
      </c>
      <c r="O18" s="241" t="str">
        <f>IFERROR(__xludf.DUMMYFUNCTION("VLOOKUP(C18,IMPORTRANGE(""https://docs.google.com/spreadsheets/d/1P8eX0NWBhUPS_hvzA11R6jkTNFrPrRYIx_dX_hYbxrk/edit?resourcekey=0-iw9bsKY2OqkUHCFMkCar3A&amp;gid=2055363397#gid=2055363397"",""MTR!C:O""),9,false)"),"")</f>
        <v/>
      </c>
      <c r="P18" s="241"/>
      <c r="Q18" s="241"/>
      <c r="R18" s="241"/>
      <c r="S18" s="240" t="s">
        <v>390</v>
      </c>
      <c r="T18" s="240" t="s">
        <v>390</v>
      </c>
      <c r="U18" s="240" t="s">
        <v>390</v>
      </c>
      <c r="V18" s="240" t="s">
        <v>390</v>
      </c>
      <c r="W18" s="240" t="s">
        <v>390</v>
      </c>
      <c r="X18" s="240" t="s">
        <v>390</v>
      </c>
      <c r="Y18" s="240" t="s">
        <v>390</v>
      </c>
      <c r="Z18" s="240" t="s">
        <v>390</v>
      </c>
      <c r="AA18" s="240" t="s">
        <v>390</v>
      </c>
      <c r="AB18" s="240"/>
      <c r="AC18" s="242" t="b">
        <f t="shared" si="2"/>
        <v>0</v>
      </c>
      <c r="AD18" s="240" t="s">
        <v>391</v>
      </c>
      <c r="AE18" s="243" t="b">
        <f t="shared" si="3"/>
        <v>0</v>
      </c>
      <c r="AF18" s="240"/>
      <c r="AG18" s="243" t="b">
        <f t="shared" si="4"/>
        <v>0</v>
      </c>
      <c r="AH18" s="240"/>
      <c r="AI18" s="243" t="str">
        <f t="shared" si="5"/>
        <v>N/A</v>
      </c>
      <c r="AJ18" s="157" t="str">
        <f t="shared" si="6"/>
        <v/>
      </c>
    </row>
    <row r="19" ht="12.75" customHeight="1">
      <c r="A19" s="244" t="s">
        <v>386</v>
      </c>
      <c r="B19" s="244" t="s">
        <v>437</v>
      </c>
      <c r="C19" s="244" t="s">
        <v>454</v>
      </c>
      <c r="D19" s="154" t="s">
        <v>443</v>
      </c>
      <c r="E19" s="250"/>
      <c r="F19" s="154" t="str">
        <f t="array" ref="F19">XLOOKUP(Cover!$D$12,$S$1:$AA$1,$S19:$AA19)</f>
        <v>Mandatory</v>
      </c>
      <c r="G19" s="153" t="s">
        <v>455</v>
      </c>
      <c r="H19" s="154" t="s">
        <v>398</v>
      </c>
      <c r="I19" s="154" t="s">
        <v>414</v>
      </c>
      <c r="J19" s="154" t="s">
        <v>445</v>
      </c>
      <c r="K19" s="154"/>
      <c r="L19" s="154" t="str">
        <f t="shared" si="1"/>
        <v/>
      </c>
      <c r="M19" s="248" t="str">
        <f>IFERROR(__xludf.DUMMYFUNCTION("VLOOKUP(C19,IMPORTRANGE(""https://docs.google.com/spreadsheets/d/1P8eX0NWBhUPS_hvzA11R6jkTNFrPrRYIx_dX_hYbxrk/edit?resourcekey=0-iw9bsKY2OqkUHCFMkCar3A&amp;gid=2055363397#gid=2055363397"",""MTR!C:O""),11,false)"),"TAM")</f>
        <v>TAM</v>
      </c>
      <c r="N19" s="248" t="str">
        <f>IFERROR(__xludf.DUMMYFUNCTION("VLOOKUP(C19,IMPORTRANGE(""https://docs.google.com/spreadsheets/d/1ihFlp3_ePlYtFuPbUNbYj1muErVpI73WHXbEwJDIA7Q/edit#gid=1493122344"",""MTR!C:O""),8,false)"),"Complies")</f>
        <v>Complies</v>
      </c>
      <c r="O19" s="241" t="str">
        <f>IFERROR(__xludf.DUMMYFUNCTION("VLOOKUP(C19,IMPORTRANGE(""https://docs.google.com/spreadsheets/d/1P8eX0NWBhUPS_hvzA11R6jkTNFrPrRYIx_dX_hYbxrk/edit?resourcekey=0-iw9bsKY2OqkUHCFMkCar3A&amp;gid=2055363397#gid=2055363397"",""MTR!C:O""),9,false)"),"")</f>
        <v/>
      </c>
      <c r="P19" s="241"/>
      <c r="Q19" s="251" t="s">
        <v>445</v>
      </c>
      <c r="R19" s="241"/>
      <c r="S19" s="154" t="s">
        <v>60</v>
      </c>
      <c r="T19" s="154" t="s">
        <v>60</v>
      </c>
      <c r="U19" s="154" t="s">
        <v>60</v>
      </c>
      <c r="V19" s="154" t="s">
        <v>60</v>
      </c>
      <c r="W19" s="154" t="s">
        <v>60</v>
      </c>
      <c r="X19" s="154" t="s">
        <v>60</v>
      </c>
      <c r="Y19" s="154" t="s">
        <v>60</v>
      </c>
      <c r="Z19" s="154" t="s">
        <v>60</v>
      </c>
      <c r="AA19" s="154" t="s">
        <v>60</v>
      </c>
      <c r="AB19" s="154"/>
      <c r="AC19" s="242" t="b">
        <f t="shared" si="2"/>
        <v>1</v>
      </c>
      <c r="AD19" s="154" t="s">
        <v>391</v>
      </c>
      <c r="AE19" s="243" t="b">
        <f t="shared" si="3"/>
        <v>0</v>
      </c>
      <c r="AF19" s="154"/>
      <c r="AG19" s="243" t="b">
        <f t="shared" si="4"/>
        <v>0</v>
      </c>
      <c r="AH19" s="154"/>
      <c r="AI19" s="243" t="str">
        <f t="shared" si="5"/>
        <v>N/A</v>
      </c>
      <c r="AJ19" s="157" t="str">
        <f t="shared" si="6"/>
        <v/>
      </c>
    </row>
    <row r="20" ht="12.75" customHeight="1">
      <c r="A20" s="244" t="s">
        <v>386</v>
      </c>
      <c r="B20" s="244" t="s">
        <v>437</v>
      </c>
      <c r="C20" s="244" t="s">
        <v>456</v>
      </c>
      <c r="D20" s="154" t="s">
        <v>396</v>
      </c>
      <c r="E20" s="250"/>
      <c r="F20" s="154" t="str">
        <f t="array" ref="F20">XLOOKUP(Cover!$D$12,$S$1:$AA$1,$S20:$AA20)</f>
        <v>Recommended</v>
      </c>
      <c r="G20" s="154" t="s">
        <v>457</v>
      </c>
      <c r="H20" s="154"/>
      <c r="I20" s="154" t="s">
        <v>414</v>
      </c>
      <c r="J20" s="154" t="s">
        <v>445</v>
      </c>
      <c r="K20" s="154"/>
      <c r="L20" s="154" t="str">
        <f t="shared" si="1"/>
        <v/>
      </c>
      <c r="M20" s="248" t="str">
        <f>IFERROR(__xludf.DUMMYFUNCTION("VLOOKUP(C20,IMPORTRANGE(""https://docs.google.com/spreadsheets/d/1P8eX0NWBhUPS_hvzA11R6jkTNFrPrRYIx_dX_hYbxrk/edit?resourcekey=0-iw9bsKY2OqkUHCFMkCar3A&amp;gid=2055363397#gid=2055363397"",""MTR!C:O""),11,false)"),"TAM")</f>
        <v>TAM</v>
      </c>
      <c r="N20" s="248" t="str">
        <f>IFERROR(__xludf.DUMMYFUNCTION("VLOOKUP(C20,IMPORTRANGE(""https://docs.google.com/spreadsheets/d/1ihFlp3_ePlYtFuPbUNbYj1muErVpI73WHXbEwJDIA7Q/edit#gid=1493122344"",""MTR!C:O""),8,false)"),"Complies")</f>
        <v>Complies</v>
      </c>
      <c r="O20" s="241" t="str">
        <f>IFERROR(__xludf.DUMMYFUNCTION("VLOOKUP(C20,IMPORTRANGE(""https://docs.google.com/spreadsheets/d/1P8eX0NWBhUPS_hvzA11R6jkTNFrPrRYIx_dX_hYbxrk/edit?resourcekey=0-iw9bsKY2OqkUHCFMkCar3A&amp;gid=2055363397#gid=2055363397"",""MTR!C:O""),9,false)"),"")</f>
        <v/>
      </c>
      <c r="P20" s="241"/>
      <c r="Q20" s="251" t="s">
        <v>445</v>
      </c>
      <c r="R20" s="241"/>
      <c r="S20" s="154" t="s">
        <v>64</v>
      </c>
      <c r="T20" s="154" t="s">
        <v>64</v>
      </c>
      <c r="U20" s="154" t="s">
        <v>64</v>
      </c>
      <c r="V20" s="154" t="s">
        <v>64</v>
      </c>
      <c r="W20" s="154" t="s">
        <v>64</v>
      </c>
      <c r="X20" s="154" t="s">
        <v>64</v>
      </c>
      <c r="Y20" s="154" t="s">
        <v>64</v>
      </c>
      <c r="Z20" s="154" t="s">
        <v>64</v>
      </c>
      <c r="AA20" s="154" t="s">
        <v>64</v>
      </c>
      <c r="AB20" s="154"/>
      <c r="AC20" s="242" t="b">
        <f t="shared" si="2"/>
        <v>1</v>
      </c>
      <c r="AD20" s="154" t="s">
        <v>391</v>
      </c>
      <c r="AE20" s="243" t="b">
        <f t="shared" si="3"/>
        <v>0</v>
      </c>
      <c r="AF20" s="154"/>
      <c r="AG20" s="243" t="b">
        <f t="shared" si="4"/>
        <v>0</v>
      </c>
      <c r="AH20" s="154"/>
      <c r="AI20" s="243" t="str">
        <f t="shared" si="5"/>
        <v>N/A</v>
      </c>
      <c r="AJ20" s="157" t="str">
        <f t="shared" si="6"/>
        <v/>
      </c>
    </row>
    <row r="21" ht="12.75" customHeight="1">
      <c r="A21" s="244" t="s">
        <v>386</v>
      </c>
      <c r="B21" s="244" t="s">
        <v>437</v>
      </c>
      <c r="C21" s="244" t="s">
        <v>458</v>
      </c>
      <c r="D21" s="154" t="s">
        <v>459</v>
      </c>
      <c r="E21" s="250"/>
      <c r="F21" s="154" t="str">
        <f t="array" ref="F21">XLOOKUP(Cover!$D$12,$S$1:$AA$1,$S21:$AA21)</f>
        <v>Recommended</v>
      </c>
      <c r="G21" s="154" t="s">
        <v>460</v>
      </c>
      <c r="H21" s="154"/>
      <c r="I21" s="154" t="s">
        <v>414</v>
      </c>
      <c r="J21" s="154" t="s">
        <v>445</v>
      </c>
      <c r="K21" s="154"/>
      <c r="L21" s="154" t="str">
        <f t="shared" si="1"/>
        <v/>
      </c>
      <c r="M21" s="248" t="str">
        <f>IFERROR(__xludf.DUMMYFUNCTION("VLOOKUP(C21,IMPORTRANGE(""https://docs.google.com/spreadsheets/d/1P8eX0NWBhUPS_hvzA11R6jkTNFrPrRYIx_dX_hYbxrk/edit?resourcekey=0-iw9bsKY2OqkUHCFMkCar3A&amp;gid=2055363397#gid=2055363397"",""MTR!C:O""),11,false)"),"TAM")</f>
        <v>TAM</v>
      </c>
      <c r="N21" s="248" t="str">
        <f>IFERROR(__xludf.DUMMYFUNCTION("VLOOKUP(C21,IMPORTRANGE(""https://docs.google.com/spreadsheets/d/1ihFlp3_ePlYtFuPbUNbYj1muErVpI73WHXbEwJDIA7Q/edit#gid=1493122344"",""MTR!C:O""),8,false)"),"Complies")</f>
        <v>Complies</v>
      </c>
      <c r="O21" s="241" t="str">
        <f>IFERROR(__xludf.DUMMYFUNCTION("VLOOKUP(C21,IMPORTRANGE(""https://docs.google.com/spreadsheets/d/1P8eX0NWBhUPS_hvzA11R6jkTNFrPrRYIx_dX_hYbxrk/edit?resourcekey=0-iw9bsKY2OqkUHCFMkCar3A&amp;gid=2055363397#gid=2055363397"",""MTR!C:O""),9,false)"),"")</f>
        <v/>
      </c>
      <c r="P21" s="241"/>
      <c r="Q21" s="251" t="s">
        <v>445</v>
      </c>
      <c r="R21" s="241"/>
      <c r="S21" s="154" t="s">
        <v>64</v>
      </c>
      <c r="T21" s="154" t="s">
        <v>64</v>
      </c>
      <c r="U21" s="154" t="s">
        <v>64</v>
      </c>
      <c r="V21" s="154" t="s">
        <v>64</v>
      </c>
      <c r="W21" s="154" t="s">
        <v>64</v>
      </c>
      <c r="X21" s="154" t="s">
        <v>64</v>
      </c>
      <c r="Y21" s="154" t="s">
        <v>64</v>
      </c>
      <c r="Z21" s="154" t="s">
        <v>64</v>
      </c>
      <c r="AA21" s="154" t="s">
        <v>64</v>
      </c>
      <c r="AB21" s="154"/>
      <c r="AC21" s="242" t="b">
        <f t="shared" si="2"/>
        <v>1</v>
      </c>
      <c r="AD21" s="154" t="s">
        <v>391</v>
      </c>
      <c r="AE21" s="243" t="b">
        <f t="shared" si="3"/>
        <v>0</v>
      </c>
      <c r="AF21" s="154"/>
      <c r="AG21" s="243" t="b">
        <f t="shared" si="4"/>
        <v>0</v>
      </c>
      <c r="AH21" s="154"/>
      <c r="AI21" s="243" t="str">
        <f t="shared" si="5"/>
        <v>N/A</v>
      </c>
      <c r="AJ21" s="157" t="str">
        <f t="shared" si="6"/>
        <v/>
      </c>
    </row>
    <row r="22" ht="12.75" customHeight="1">
      <c r="A22" s="244" t="s">
        <v>386</v>
      </c>
      <c r="B22" s="244" t="s">
        <v>437</v>
      </c>
      <c r="C22" s="245" t="s">
        <v>461</v>
      </c>
      <c r="D22" s="155" t="s">
        <v>462</v>
      </c>
      <c r="E22" s="246" t="s">
        <v>92</v>
      </c>
      <c r="F22" s="154" t="str">
        <f t="array" ref="F22">XLOOKUP(Cover!$D$12,$S$1:$AA$1,$S22:$AA22)</f>
        <v>Recommended</v>
      </c>
      <c r="G22" s="154" t="s">
        <v>463</v>
      </c>
      <c r="H22" s="154"/>
      <c r="I22" s="154" t="s">
        <v>420</v>
      </c>
      <c r="J22" s="154" t="s">
        <v>445</v>
      </c>
      <c r="K22" s="154"/>
      <c r="L22" s="154" t="str">
        <f t="shared" si="1"/>
        <v/>
      </c>
      <c r="M22" s="248" t="str">
        <f>IFERROR(__xludf.DUMMYFUNCTION("VLOOKUP(C22,IMPORTRANGE(""https://docs.google.com/spreadsheets/d/1P8eX0NWBhUPS_hvzA11R6jkTNFrPrRYIx_dX_hYbxrk/edit?resourcekey=0-iw9bsKY2OqkUHCFMkCar3A&amp;gid=2055363397#gid=2055363397"",""MTR!C:O""),11,false)"),"TAM")</f>
        <v>TAM</v>
      </c>
      <c r="N22" s="248" t="str">
        <f>IFERROR(__xludf.DUMMYFUNCTION("VLOOKUP(C22,IMPORTRANGE(""https://docs.google.com/spreadsheets/d/1ihFlp3_ePlYtFuPbUNbYj1muErVpI73WHXbEwJDIA7Q/edit#gid=1493122344"",""MTR!C:O""),8,false)"),"Complies")</f>
        <v>Complies</v>
      </c>
      <c r="O22" s="241" t="str">
        <f>IFERROR(__xludf.DUMMYFUNCTION("VLOOKUP(C22,IMPORTRANGE(""https://docs.google.com/spreadsheets/d/1P8eX0NWBhUPS_hvzA11R6jkTNFrPrRYIx_dX_hYbxrk/edit?resourcekey=0-iw9bsKY2OqkUHCFMkCar3A&amp;gid=2055363397#gid=2055363397"",""MTR!C:O""),9,false)"),"")</f>
        <v/>
      </c>
      <c r="P22" s="241"/>
      <c r="Q22" s="251" t="s">
        <v>445</v>
      </c>
      <c r="R22" s="241"/>
      <c r="S22" s="154" t="s">
        <v>66</v>
      </c>
      <c r="T22" s="154" t="s">
        <v>64</v>
      </c>
      <c r="U22" s="154" t="s">
        <v>64</v>
      </c>
      <c r="V22" s="154" t="s">
        <v>64</v>
      </c>
      <c r="W22" s="154" t="s">
        <v>64</v>
      </c>
      <c r="X22" s="154" t="s">
        <v>64</v>
      </c>
      <c r="Y22" s="154" t="s">
        <v>66</v>
      </c>
      <c r="Z22" s="154" t="s">
        <v>66</v>
      </c>
      <c r="AA22" s="154" t="s">
        <v>66</v>
      </c>
      <c r="AB22" s="154"/>
      <c r="AC22" s="242" t="b">
        <f t="shared" si="2"/>
        <v>1</v>
      </c>
      <c r="AD22" s="154" t="s">
        <v>391</v>
      </c>
      <c r="AE22" s="243" t="b">
        <f t="shared" si="3"/>
        <v>0</v>
      </c>
      <c r="AF22" s="154"/>
      <c r="AG22" s="243" t="b">
        <f t="shared" si="4"/>
        <v>0</v>
      </c>
      <c r="AH22" s="154"/>
      <c r="AI22" s="243" t="str">
        <f t="shared" si="5"/>
        <v>N/A</v>
      </c>
      <c r="AJ22" s="157" t="str">
        <f t="shared" si="6"/>
        <v/>
      </c>
    </row>
    <row r="23" ht="12.75" customHeight="1">
      <c r="A23" s="238" t="s">
        <v>386</v>
      </c>
      <c r="B23" s="238" t="s">
        <v>437</v>
      </c>
      <c r="C23" s="238" t="s">
        <v>464</v>
      </c>
      <c r="D23" s="240"/>
      <c r="E23" s="252" t="s">
        <v>92</v>
      </c>
      <c r="F23" s="154" t="str">
        <f t="array" ref="F23">XLOOKUP(Cover!$D$12,$S$1:$AA$1,$S23:$AA23)</f>
        <v>Heading</v>
      </c>
      <c r="G23" s="239" t="s">
        <v>465</v>
      </c>
      <c r="H23" s="240"/>
      <c r="I23" s="240" t="s">
        <v>420</v>
      </c>
      <c r="J23" s="240"/>
      <c r="K23" s="240"/>
      <c r="L23" s="154" t="str">
        <f t="shared" si="1"/>
        <v/>
      </c>
      <c r="M23" s="241" t="str">
        <f>IFERROR(__xludf.DUMMYFUNCTION("VLOOKUP(C23,IMPORTRANGE(""https://docs.google.com/spreadsheets/d/1P8eX0NWBhUPS_hvzA11R6jkTNFrPrRYIx_dX_hYbxrk/edit?resourcekey=0-iw9bsKY2OqkUHCFMkCar3A&amp;gid=2055363397#gid=2055363397"",""MTR!C:O""),11,false)"),"")</f>
        <v/>
      </c>
      <c r="N23" s="241" t="str">
        <f>IFERROR(__xludf.DUMMYFUNCTION("VLOOKUP(C23,IMPORTRANGE(""https://docs.google.com/spreadsheets/d/1ihFlp3_ePlYtFuPbUNbYj1muErVpI73WHXbEwJDIA7Q/edit#gid=1493122344"",""MTR!C:O""),8,false)"),"")</f>
        <v/>
      </c>
      <c r="O23" s="241" t="str">
        <f>IFERROR(__xludf.DUMMYFUNCTION("VLOOKUP(C23,IMPORTRANGE(""https://docs.google.com/spreadsheets/d/1P8eX0NWBhUPS_hvzA11R6jkTNFrPrRYIx_dX_hYbxrk/edit?resourcekey=0-iw9bsKY2OqkUHCFMkCar3A&amp;gid=2055363397#gid=2055363397"",""MTR!C:O""),9,false)"),"")</f>
        <v/>
      </c>
      <c r="P23" s="241"/>
      <c r="Q23" s="241"/>
      <c r="R23" s="241"/>
      <c r="S23" s="240" t="s">
        <v>390</v>
      </c>
      <c r="T23" s="240" t="s">
        <v>390</v>
      </c>
      <c r="U23" s="240" t="s">
        <v>390</v>
      </c>
      <c r="V23" s="240" t="s">
        <v>390</v>
      </c>
      <c r="W23" s="240" t="s">
        <v>390</v>
      </c>
      <c r="X23" s="240" t="s">
        <v>390</v>
      </c>
      <c r="Y23" s="240" t="s">
        <v>390</v>
      </c>
      <c r="Z23" s="240" t="s">
        <v>390</v>
      </c>
      <c r="AA23" s="240" t="s">
        <v>390</v>
      </c>
      <c r="AB23" s="240"/>
      <c r="AC23" s="242" t="b">
        <f t="shared" si="2"/>
        <v>0</v>
      </c>
      <c r="AD23" s="240" t="s">
        <v>391</v>
      </c>
      <c r="AE23" s="243" t="b">
        <f t="shared" si="3"/>
        <v>0</v>
      </c>
      <c r="AF23" s="240"/>
      <c r="AG23" s="243" t="b">
        <f t="shared" si="4"/>
        <v>0</v>
      </c>
      <c r="AH23" s="240"/>
      <c r="AI23" s="243" t="str">
        <f t="shared" si="5"/>
        <v>N/A</v>
      </c>
      <c r="AJ23" s="157" t="str">
        <f t="shared" si="6"/>
        <v/>
      </c>
    </row>
    <row r="24" ht="12.75" customHeight="1">
      <c r="A24" s="244" t="s">
        <v>386</v>
      </c>
      <c r="B24" s="244" t="s">
        <v>437</v>
      </c>
      <c r="C24" s="244" t="s">
        <v>466</v>
      </c>
      <c r="D24" s="154" t="s">
        <v>443</v>
      </c>
      <c r="E24" s="250"/>
      <c r="F24" s="154" t="str">
        <f t="array" ref="F24">XLOOKUP(Cover!$D$12,$S$1:$AA$1,$S24:$AA24)</f>
        <v>Mandatory</v>
      </c>
      <c r="G24" s="154" t="s">
        <v>467</v>
      </c>
      <c r="H24" s="154" t="s">
        <v>419</v>
      </c>
      <c r="I24" s="154" t="s">
        <v>420</v>
      </c>
      <c r="J24" s="154" t="s">
        <v>445</v>
      </c>
      <c r="K24" s="154"/>
      <c r="L24" s="154" t="str">
        <f t="shared" si="1"/>
        <v/>
      </c>
      <c r="M24" s="248" t="str">
        <f>IFERROR(__xludf.DUMMYFUNCTION("VLOOKUP(C24,IMPORTRANGE(""https://docs.google.com/spreadsheets/d/1P8eX0NWBhUPS_hvzA11R6jkTNFrPrRYIx_dX_hYbxrk/edit?resourcekey=0-iw9bsKY2OqkUHCFMkCar3A&amp;gid=2055363397#gid=2055363397"",""MTR!C:O""),11,false)"),"TAM")</f>
        <v>TAM</v>
      </c>
      <c r="N24" s="248" t="str">
        <f>IFERROR(__xludf.DUMMYFUNCTION("VLOOKUP(C24,IMPORTRANGE(""https://docs.google.com/spreadsheets/d/1ihFlp3_ePlYtFuPbUNbYj1muErVpI73WHXbEwJDIA7Q/edit#gid=1493122344"",""MTR!C:O""),8,false)"),"Complies")</f>
        <v>Complies</v>
      </c>
      <c r="O24" s="241" t="str">
        <f>IFERROR(__xludf.DUMMYFUNCTION("VLOOKUP(C24,IMPORTRANGE(""https://docs.google.com/spreadsheets/d/1P8eX0NWBhUPS_hvzA11R6jkTNFrPrRYIx_dX_hYbxrk/edit?resourcekey=0-iw9bsKY2OqkUHCFMkCar3A&amp;gid=2055363397#gid=2055363397"",""MTR!C:O""),9,false)"),"")</f>
        <v/>
      </c>
      <c r="P24" s="241"/>
      <c r="Q24" s="251" t="s">
        <v>445</v>
      </c>
      <c r="R24" s="241"/>
      <c r="S24" s="154" t="s">
        <v>66</v>
      </c>
      <c r="T24" s="154" t="s">
        <v>60</v>
      </c>
      <c r="U24" s="154" t="s">
        <v>60</v>
      </c>
      <c r="V24" s="154" t="s">
        <v>60</v>
      </c>
      <c r="W24" s="154" t="s">
        <v>60</v>
      </c>
      <c r="X24" s="154" t="s">
        <v>60</v>
      </c>
      <c r="Y24" s="154" t="s">
        <v>60</v>
      </c>
      <c r="Z24" s="154" t="s">
        <v>60</v>
      </c>
      <c r="AA24" s="154" t="s">
        <v>60</v>
      </c>
      <c r="AB24" s="154"/>
      <c r="AC24" s="242" t="b">
        <f t="shared" si="2"/>
        <v>1</v>
      </c>
      <c r="AD24" s="154" t="s">
        <v>391</v>
      </c>
      <c r="AE24" s="243" t="b">
        <f t="shared" si="3"/>
        <v>0</v>
      </c>
      <c r="AF24" s="154"/>
      <c r="AG24" s="243" t="b">
        <f t="shared" si="4"/>
        <v>0</v>
      </c>
      <c r="AH24" s="154"/>
      <c r="AI24" s="243" t="str">
        <f t="shared" si="5"/>
        <v>N/A</v>
      </c>
      <c r="AJ24" s="157" t="str">
        <f t="shared" si="6"/>
        <v/>
      </c>
    </row>
    <row r="25" ht="12.75" customHeight="1">
      <c r="A25" s="244" t="s">
        <v>386</v>
      </c>
      <c r="B25" s="244" t="s">
        <v>437</v>
      </c>
      <c r="C25" s="244" t="s">
        <v>468</v>
      </c>
      <c r="D25" s="154" t="s">
        <v>443</v>
      </c>
      <c r="E25" s="250"/>
      <c r="F25" s="154" t="str">
        <f t="array" ref="F25">XLOOKUP(Cover!$D$12,$S$1:$AA$1,$S25:$AA25)</f>
        <v>Mandatory</v>
      </c>
      <c r="G25" s="154" t="s">
        <v>469</v>
      </c>
      <c r="H25" s="154" t="s">
        <v>413</v>
      </c>
      <c r="I25" s="154" t="s">
        <v>414</v>
      </c>
      <c r="J25" s="154" t="s">
        <v>445</v>
      </c>
      <c r="K25" s="154"/>
      <c r="L25" s="154" t="str">
        <f t="shared" si="1"/>
        <v/>
      </c>
      <c r="M25" s="248" t="str">
        <f>IFERROR(__xludf.DUMMYFUNCTION("VLOOKUP(C25,IMPORTRANGE(""https://docs.google.com/spreadsheets/d/1P8eX0NWBhUPS_hvzA11R6jkTNFrPrRYIx_dX_hYbxrk/edit?resourcekey=0-iw9bsKY2OqkUHCFMkCar3A&amp;gid=2055363397#gid=2055363397"",""MTR!C:O""),11,false)"),"TAM")</f>
        <v>TAM</v>
      </c>
      <c r="N25" s="248" t="str">
        <f>IFERROR(__xludf.DUMMYFUNCTION("VLOOKUP(C25,IMPORTRANGE(""https://docs.google.com/spreadsheets/d/1ihFlp3_ePlYtFuPbUNbYj1muErVpI73WHXbEwJDIA7Q/edit#gid=1493122344"",""MTR!C:O""),8,false)"),"Complies")</f>
        <v>Complies</v>
      </c>
      <c r="O25" s="241" t="str">
        <f>IFERROR(__xludf.DUMMYFUNCTION("VLOOKUP(C25,IMPORTRANGE(""https://docs.google.com/spreadsheets/d/1P8eX0NWBhUPS_hvzA11R6jkTNFrPrRYIx_dX_hYbxrk/edit?resourcekey=0-iw9bsKY2OqkUHCFMkCar3A&amp;gid=2055363397#gid=2055363397"",""MTR!C:O""),9,false)"),"")</f>
        <v/>
      </c>
      <c r="P25" s="241"/>
      <c r="Q25" s="251" t="s">
        <v>445</v>
      </c>
      <c r="R25" s="241"/>
      <c r="S25" s="154" t="s">
        <v>66</v>
      </c>
      <c r="T25" s="154" t="s">
        <v>60</v>
      </c>
      <c r="U25" s="154" t="s">
        <v>60</v>
      </c>
      <c r="V25" s="154" t="s">
        <v>60</v>
      </c>
      <c r="W25" s="154" t="s">
        <v>60</v>
      </c>
      <c r="X25" s="154" t="s">
        <v>60</v>
      </c>
      <c r="Y25" s="154" t="s">
        <v>60</v>
      </c>
      <c r="Z25" s="154" t="s">
        <v>60</v>
      </c>
      <c r="AA25" s="154" t="s">
        <v>60</v>
      </c>
      <c r="AB25" s="154"/>
      <c r="AC25" s="242" t="b">
        <f t="shared" si="2"/>
        <v>1</v>
      </c>
      <c r="AD25" s="154" t="s">
        <v>391</v>
      </c>
      <c r="AE25" s="243" t="b">
        <f t="shared" si="3"/>
        <v>0</v>
      </c>
      <c r="AF25" s="154"/>
      <c r="AG25" s="243" t="b">
        <f t="shared" si="4"/>
        <v>0</v>
      </c>
      <c r="AH25" s="154"/>
      <c r="AI25" s="243" t="str">
        <f t="shared" si="5"/>
        <v>N/A</v>
      </c>
      <c r="AJ25" s="157" t="str">
        <f t="shared" si="6"/>
        <v/>
      </c>
    </row>
    <row r="26" ht="12.75" customHeight="1">
      <c r="A26" s="238" t="s">
        <v>386</v>
      </c>
      <c r="B26" s="238" t="s">
        <v>437</v>
      </c>
      <c r="C26" s="238" t="s">
        <v>470</v>
      </c>
      <c r="D26" s="238"/>
      <c r="E26" s="238"/>
      <c r="F26" s="154" t="str">
        <f t="array" ref="F26">XLOOKUP(Cover!$D$12,$S$1:$AA$1,$S26:$AA26)</f>
        <v>Heading</v>
      </c>
      <c r="G26" s="239" t="s">
        <v>471</v>
      </c>
      <c r="H26" s="240"/>
      <c r="I26" s="240" t="s">
        <v>420</v>
      </c>
      <c r="J26" s="240"/>
      <c r="K26" s="240"/>
      <c r="L26" s="154" t="str">
        <f t="shared" si="1"/>
        <v/>
      </c>
      <c r="M26" s="241" t="str">
        <f>IFERROR(__xludf.DUMMYFUNCTION("VLOOKUP(C26,IMPORTRANGE(""https://docs.google.com/spreadsheets/d/1P8eX0NWBhUPS_hvzA11R6jkTNFrPrRYIx_dX_hYbxrk/edit?resourcekey=0-iw9bsKY2OqkUHCFMkCar3A&amp;gid=2055363397#gid=2055363397"",""MTR!C:O""),11,false)"),"")</f>
        <v/>
      </c>
      <c r="N26" s="241" t="str">
        <f>IFERROR(__xludf.DUMMYFUNCTION("VLOOKUP(C26,IMPORTRANGE(""https://docs.google.com/spreadsheets/d/1ihFlp3_ePlYtFuPbUNbYj1muErVpI73WHXbEwJDIA7Q/edit#gid=1493122344"",""MTR!C:O""),8,false)"),"")</f>
        <v/>
      </c>
      <c r="O26" s="241" t="str">
        <f>IFERROR(__xludf.DUMMYFUNCTION("VLOOKUP(C26,IMPORTRANGE(""https://docs.google.com/spreadsheets/d/1P8eX0NWBhUPS_hvzA11R6jkTNFrPrRYIx_dX_hYbxrk/edit?resourcekey=0-iw9bsKY2OqkUHCFMkCar3A&amp;gid=2055363397#gid=2055363397"",""MTR!C:O""),9,false)"),"")</f>
        <v/>
      </c>
      <c r="P26" s="241"/>
      <c r="Q26" s="241"/>
      <c r="R26" s="241"/>
      <c r="S26" s="240" t="s">
        <v>390</v>
      </c>
      <c r="T26" s="240" t="s">
        <v>390</v>
      </c>
      <c r="U26" s="240" t="s">
        <v>390</v>
      </c>
      <c r="V26" s="240" t="s">
        <v>390</v>
      </c>
      <c r="W26" s="240" t="s">
        <v>390</v>
      </c>
      <c r="X26" s="240" t="s">
        <v>390</v>
      </c>
      <c r="Y26" s="240" t="s">
        <v>390</v>
      </c>
      <c r="Z26" s="240" t="s">
        <v>390</v>
      </c>
      <c r="AA26" s="240" t="s">
        <v>390</v>
      </c>
      <c r="AB26" s="240"/>
      <c r="AC26" s="242" t="b">
        <f t="shared" si="2"/>
        <v>0</v>
      </c>
      <c r="AD26" s="240" t="s">
        <v>391</v>
      </c>
      <c r="AE26" s="243" t="b">
        <f t="shared" si="3"/>
        <v>0</v>
      </c>
      <c r="AF26" s="240"/>
      <c r="AG26" s="243" t="b">
        <f t="shared" si="4"/>
        <v>0</v>
      </c>
      <c r="AH26" s="240"/>
      <c r="AI26" s="243" t="str">
        <f t="shared" si="5"/>
        <v>N/A</v>
      </c>
      <c r="AJ26" s="157" t="str">
        <f t="shared" si="6"/>
        <v/>
      </c>
    </row>
    <row r="27" ht="12.75" customHeight="1">
      <c r="A27" s="244" t="s">
        <v>386</v>
      </c>
      <c r="B27" s="244" t="s">
        <v>437</v>
      </c>
      <c r="C27" s="244" t="s">
        <v>472</v>
      </c>
      <c r="D27" s="154" t="s">
        <v>443</v>
      </c>
      <c r="E27" s="250"/>
      <c r="F27" s="154" t="str">
        <f t="array" ref="F27">XLOOKUP(Cover!$D$12,$S$1:$AA$1,$S27:$AA27)</f>
        <v>Mandatory</v>
      </c>
      <c r="G27" s="154" t="s">
        <v>473</v>
      </c>
      <c r="H27" s="154" t="s">
        <v>398</v>
      </c>
      <c r="I27" s="154" t="s">
        <v>414</v>
      </c>
      <c r="J27" s="154" t="s">
        <v>445</v>
      </c>
      <c r="K27" s="154"/>
      <c r="L27" s="154" t="str">
        <f t="shared" si="1"/>
        <v/>
      </c>
      <c r="M27" s="248" t="str">
        <f>IFERROR(__xludf.DUMMYFUNCTION("VLOOKUP(C27,IMPORTRANGE(""https://docs.google.com/spreadsheets/d/1P8eX0NWBhUPS_hvzA11R6jkTNFrPrRYIx_dX_hYbxrk/edit?resourcekey=0-iw9bsKY2OqkUHCFMkCar3A&amp;gid=2055363397#gid=2055363397"",""MTR!C:O""),11,false)"),"TAM")</f>
        <v>TAM</v>
      </c>
      <c r="N27" s="248" t="str">
        <f>IFERROR(__xludf.DUMMYFUNCTION("VLOOKUP(C27,IMPORTRANGE(""https://docs.google.com/spreadsheets/d/1ihFlp3_ePlYtFuPbUNbYj1muErVpI73WHXbEwJDIA7Q/edit#gid=1493122344"",""MTR!C:O""),8,false)"),"Complies")</f>
        <v>Complies</v>
      </c>
      <c r="O27" s="241" t="str">
        <f>IFERROR(__xludf.DUMMYFUNCTION("VLOOKUP(C27,IMPORTRANGE(""https://docs.google.com/spreadsheets/d/1P8eX0NWBhUPS_hvzA11R6jkTNFrPrRYIx_dX_hYbxrk/edit?resourcekey=0-iw9bsKY2OqkUHCFMkCar3A&amp;gid=2055363397#gid=2055363397"",""MTR!C:O""),9,false)"),"")</f>
        <v/>
      </c>
      <c r="P27" s="241"/>
      <c r="Q27" s="251" t="s">
        <v>445</v>
      </c>
      <c r="R27" s="241"/>
      <c r="S27" s="154" t="s">
        <v>60</v>
      </c>
      <c r="T27" s="154" t="s">
        <v>60</v>
      </c>
      <c r="U27" s="154" t="s">
        <v>60</v>
      </c>
      <c r="V27" s="154" t="s">
        <v>60</v>
      </c>
      <c r="W27" s="154" t="s">
        <v>60</v>
      </c>
      <c r="X27" s="154" t="s">
        <v>60</v>
      </c>
      <c r="Y27" s="154" t="s">
        <v>60</v>
      </c>
      <c r="Z27" s="154" t="s">
        <v>60</v>
      </c>
      <c r="AA27" s="154" t="s">
        <v>60</v>
      </c>
      <c r="AB27" s="154"/>
      <c r="AC27" s="242" t="b">
        <f t="shared" si="2"/>
        <v>1</v>
      </c>
      <c r="AD27" s="154" t="s">
        <v>391</v>
      </c>
      <c r="AE27" s="243" t="b">
        <f t="shared" si="3"/>
        <v>0</v>
      </c>
      <c r="AF27" s="154"/>
      <c r="AG27" s="243" t="b">
        <f t="shared" si="4"/>
        <v>0</v>
      </c>
      <c r="AH27" s="154"/>
      <c r="AI27" s="243" t="str">
        <f t="shared" si="5"/>
        <v>N/A</v>
      </c>
      <c r="AJ27" s="157" t="str">
        <f t="shared" si="6"/>
        <v/>
      </c>
    </row>
    <row r="28" ht="12.75" customHeight="1">
      <c r="A28" s="244" t="s">
        <v>386</v>
      </c>
      <c r="B28" s="244" t="s">
        <v>437</v>
      </c>
      <c r="C28" s="244" t="s">
        <v>474</v>
      </c>
      <c r="D28" s="154" t="s">
        <v>443</v>
      </c>
      <c r="E28" s="250"/>
      <c r="F28" s="154" t="str">
        <f t="array" ref="F28">XLOOKUP(Cover!$D$12,$S$1:$AA$1,$S28:$AA28)</f>
        <v>Mandatory</v>
      </c>
      <c r="G28" s="154" t="s">
        <v>475</v>
      </c>
      <c r="H28" s="154" t="s">
        <v>398</v>
      </c>
      <c r="I28" s="154" t="s">
        <v>414</v>
      </c>
      <c r="J28" s="154" t="s">
        <v>445</v>
      </c>
      <c r="K28" s="154"/>
      <c r="L28" s="154" t="str">
        <f t="shared" si="1"/>
        <v/>
      </c>
      <c r="M28" s="248" t="str">
        <f>IFERROR(__xludf.DUMMYFUNCTION("VLOOKUP(C28,IMPORTRANGE(""https://docs.google.com/spreadsheets/d/1P8eX0NWBhUPS_hvzA11R6jkTNFrPrRYIx_dX_hYbxrk/edit?resourcekey=0-iw9bsKY2OqkUHCFMkCar3A&amp;gid=2055363397#gid=2055363397"",""MTR!C:O""),11,false)"),"TAM")</f>
        <v>TAM</v>
      </c>
      <c r="N28" s="248" t="str">
        <f>IFERROR(__xludf.DUMMYFUNCTION("VLOOKUP(C28,IMPORTRANGE(""https://docs.google.com/spreadsheets/d/1ihFlp3_ePlYtFuPbUNbYj1muErVpI73WHXbEwJDIA7Q/edit#gid=1493122344"",""MTR!C:O""),8,false)"),"Complies")</f>
        <v>Complies</v>
      </c>
      <c r="O28" s="241" t="str">
        <f>IFERROR(__xludf.DUMMYFUNCTION("VLOOKUP(C28,IMPORTRANGE(""https://docs.google.com/spreadsheets/d/1P8eX0NWBhUPS_hvzA11R6jkTNFrPrRYIx_dX_hYbxrk/edit?resourcekey=0-iw9bsKY2OqkUHCFMkCar3A&amp;gid=2055363397#gid=2055363397"",""MTR!C:O""),9,false)"),"")</f>
        <v/>
      </c>
      <c r="P28" s="241"/>
      <c r="Q28" s="251" t="s">
        <v>445</v>
      </c>
      <c r="R28" s="241"/>
      <c r="S28" s="154" t="s">
        <v>60</v>
      </c>
      <c r="T28" s="154" t="s">
        <v>60</v>
      </c>
      <c r="U28" s="154" t="s">
        <v>60</v>
      </c>
      <c r="V28" s="154" t="s">
        <v>60</v>
      </c>
      <c r="W28" s="154" t="s">
        <v>60</v>
      </c>
      <c r="X28" s="154" t="s">
        <v>60</v>
      </c>
      <c r="Y28" s="154" t="s">
        <v>60</v>
      </c>
      <c r="Z28" s="154" t="s">
        <v>60</v>
      </c>
      <c r="AA28" s="154" t="s">
        <v>60</v>
      </c>
      <c r="AB28" s="154"/>
      <c r="AC28" s="242" t="b">
        <f t="shared" si="2"/>
        <v>1</v>
      </c>
      <c r="AD28" s="154" t="s">
        <v>391</v>
      </c>
      <c r="AE28" s="243" t="b">
        <f t="shared" si="3"/>
        <v>0</v>
      </c>
      <c r="AF28" s="154"/>
      <c r="AG28" s="243" t="b">
        <f t="shared" si="4"/>
        <v>0</v>
      </c>
      <c r="AH28" s="154"/>
      <c r="AI28" s="243" t="str">
        <f t="shared" si="5"/>
        <v>N/A</v>
      </c>
      <c r="AJ28" s="157" t="str">
        <f t="shared" si="6"/>
        <v/>
      </c>
    </row>
    <row r="29" ht="12.75" customHeight="1">
      <c r="A29" s="244" t="s">
        <v>386</v>
      </c>
      <c r="B29" s="244" t="s">
        <v>437</v>
      </c>
      <c r="C29" s="245" t="s">
        <v>476</v>
      </c>
      <c r="D29" s="155" t="s">
        <v>477</v>
      </c>
      <c r="E29" s="246" t="s">
        <v>92</v>
      </c>
      <c r="F29" s="154" t="str">
        <f t="array" ref="F29">XLOOKUP(Cover!$D$12,$S$1:$AA$1,$S29:$AA29)</f>
        <v>Mandatory</v>
      </c>
      <c r="G29" s="153" t="s">
        <v>478</v>
      </c>
      <c r="H29" s="154" t="s">
        <v>398</v>
      </c>
      <c r="I29" s="154" t="s">
        <v>479</v>
      </c>
      <c r="J29" s="154"/>
      <c r="K29" s="247" t="s">
        <v>480</v>
      </c>
      <c r="L29" s="154" t="str">
        <f t="shared" si="1"/>
        <v>Compliance Statement missing!</v>
      </c>
      <c r="M29" s="248" t="str">
        <f>IFERROR(__xludf.DUMMYFUNCTION("VLOOKUP(C29,IMPORTRANGE(""https://docs.google.com/spreadsheets/d/1P8eX0NWBhUPS_hvzA11R6jkTNFrPrRYIx_dX_hYbxrk/edit?resourcekey=0-iw9bsKY2OqkUHCFMkCar3A&amp;gid=2055363397#gid=2055363397"",""MTR!C:O""),11,false)"),"TAM")</f>
        <v>TAM</v>
      </c>
      <c r="N29" s="248" t="str">
        <f>IFERROR(__xludf.DUMMYFUNCTION("VLOOKUP(C29,IMPORTRANGE(""https://docs.google.com/spreadsheets/d/1ihFlp3_ePlYtFuPbUNbYj1muErVpI73WHXbEwJDIA7Q/edit#gid=1493122344"",""MTR!C:O""),8,false)"),"Complies")</f>
        <v>Complies</v>
      </c>
      <c r="O29" s="248" t="str">
        <f>IFERROR(__xludf.DUMMYFUNCTION("VLOOKUP(C29,IMPORTRANGE(""https://docs.google.com/spreadsheets/d/1P8eX0NWBhUPS_hvzA11R6jkTNFrPrRYIx_dX_hYbxrk/edit?resourcekey=0-iw9bsKY2OqkUHCFMkCar3A&amp;gid=2055363397#gid=2055363397"",""MTR!C:O""),9,false)"),"TBC")</f>
        <v>TBC</v>
      </c>
      <c r="P29" s="248"/>
      <c r="Q29" s="249" t="s">
        <v>445</v>
      </c>
      <c r="R29" s="249" t="s">
        <v>481</v>
      </c>
      <c r="S29" s="154" t="s">
        <v>60</v>
      </c>
      <c r="T29" s="154" t="s">
        <v>60</v>
      </c>
      <c r="U29" s="154" t="s">
        <v>60</v>
      </c>
      <c r="V29" s="154" t="s">
        <v>60</v>
      </c>
      <c r="W29" s="154" t="s">
        <v>60</v>
      </c>
      <c r="X29" s="154" t="s">
        <v>60</v>
      </c>
      <c r="Y29" s="154" t="s">
        <v>68</v>
      </c>
      <c r="Z29" s="154" t="s">
        <v>68</v>
      </c>
      <c r="AA29" s="154" t="s">
        <v>68</v>
      </c>
      <c r="AB29" s="154"/>
      <c r="AC29" s="242" t="b">
        <f t="shared" si="2"/>
        <v>0</v>
      </c>
      <c r="AD29" s="154" t="s">
        <v>400</v>
      </c>
      <c r="AE29" s="243" t="b">
        <f t="shared" si="3"/>
        <v>0</v>
      </c>
      <c r="AF29" s="154" t="s">
        <v>482</v>
      </c>
      <c r="AG29" s="243" t="b">
        <f t="shared" si="4"/>
        <v>0</v>
      </c>
      <c r="AH29" s="154"/>
      <c r="AI29" s="243" t="str">
        <f t="shared" si="5"/>
        <v>N/A</v>
      </c>
      <c r="AJ29" s="157" t="str">
        <f t="shared" si="6"/>
        <v>Compliance Statement missing!</v>
      </c>
    </row>
    <row r="30" ht="12.75" customHeight="1">
      <c r="A30" s="244" t="s">
        <v>386</v>
      </c>
      <c r="B30" s="244" t="s">
        <v>437</v>
      </c>
      <c r="C30" s="245" t="s">
        <v>483</v>
      </c>
      <c r="D30" s="155" t="s">
        <v>484</v>
      </c>
      <c r="E30" s="246" t="s">
        <v>92</v>
      </c>
      <c r="F30" s="154" t="str">
        <f t="array" ref="F30">XLOOKUP(Cover!$D$12,$S$1:$AA$1,$S30:$AA30)</f>
        <v>Mandatory</v>
      </c>
      <c r="G30" s="254" t="s">
        <v>485</v>
      </c>
      <c r="H30" s="154" t="s">
        <v>398</v>
      </c>
      <c r="I30" s="154" t="s">
        <v>486</v>
      </c>
      <c r="J30" s="154"/>
      <c r="K30" s="247" t="s">
        <v>480</v>
      </c>
      <c r="L30" s="154" t="str">
        <f t="shared" si="1"/>
        <v>Compliance Statement missing!</v>
      </c>
      <c r="M30" s="248" t="str">
        <f>IFERROR(__xludf.DUMMYFUNCTION("VLOOKUP(C30,IMPORTRANGE(""https://docs.google.com/spreadsheets/d/1P8eX0NWBhUPS_hvzA11R6jkTNFrPrRYIx_dX_hYbxrk/edit?resourcekey=0-iw9bsKY2OqkUHCFMkCar3A&amp;gid=2055363397#gid=2055363397"",""MTR!C:O""),11,false)"),"TAM")</f>
        <v>TAM</v>
      </c>
      <c r="N30" s="248" t="str">
        <f>IFERROR(__xludf.DUMMYFUNCTION("VLOOKUP(C30,IMPORTRANGE(""https://docs.google.com/spreadsheets/d/1ihFlp3_ePlYtFuPbUNbYj1muErVpI73WHXbEwJDIA7Q/edit#gid=1493122344"",""MTR!C:O""),8,false)"),"Complies")</f>
        <v>Complies</v>
      </c>
      <c r="O30" s="248" t="str">
        <f>IFERROR(__xludf.DUMMYFUNCTION("VLOOKUP(C30,IMPORTRANGE(""https://docs.google.com/spreadsheets/d/1P8eX0NWBhUPS_hvzA11R6jkTNFrPrRYIx_dX_hYbxrk/edit?resourcekey=0-iw9bsKY2OqkUHCFMkCar3A&amp;gid=2055363397#gid=2055363397"",""MTR!C:O""),9,false)"),"TBC")</f>
        <v>TBC</v>
      </c>
      <c r="P30" s="248"/>
      <c r="Q30" s="249" t="s">
        <v>445</v>
      </c>
      <c r="R30" s="249" t="s">
        <v>487</v>
      </c>
      <c r="S30" s="154" t="s">
        <v>60</v>
      </c>
      <c r="T30" s="154" t="s">
        <v>60</v>
      </c>
      <c r="U30" s="154" t="s">
        <v>60</v>
      </c>
      <c r="V30" s="154" t="s">
        <v>60</v>
      </c>
      <c r="W30" s="154" t="s">
        <v>60</v>
      </c>
      <c r="X30" s="154" t="s">
        <v>60</v>
      </c>
      <c r="Y30" s="154" t="s">
        <v>60</v>
      </c>
      <c r="Z30" s="154" t="s">
        <v>60</v>
      </c>
      <c r="AA30" s="154" t="s">
        <v>60</v>
      </c>
      <c r="AB30" s="154"/>
      <c r="AC30" s="242" t="b">
        <f t="shared" si="2"/>
        <v>0</v>
      </c>
      <c r="AD30" s="154" t="s">
        <v>400</v>
      </c>
      <c r="AE30" s="243" t="b">
        <f t="shared" si="3"/>
        <v>0</v>
      </c>
      <c r="AF30" s="154" t="s">
        <v>482</v>
      </c>
      <c r="AG30" s="243" t="b">
        <f t="shared" si="4"/>
        <v>0</v>
      </c>
      <c r="AH30" s="154"/>
      <c r="AI30" s="243" t="str">
        <f t="shared" si="5"/>
        <v>N/A</v>
      </c>
      <c r="AJ30" s="157" t="str">
        <f t="shared" si="6"/>
        <v>Compliance Statement missing!</v>
      </c>
    </row>
    <row r="31" ht="12.75" customHeight="1">
      <c r="A31" s="244" t="s">
        <v>386</v>
      </c>
      <c r="B31" s="244" t="s">
        <v>437</v>
      </c>
      <c r="C31" s="255" t="s">
        <v>488</v>
      </c>
      <c r="D31" s="256" t="s">
        <v>42</v>
      </c>
      <c r="E31" s="257" t="s">
        <v>489</v>
      </c>
      <c r="F31" s="154" t="str">
        <f t="array" ref="F31">XLOOKUP(Cover!$D$12,$S$1:$AA$1,$S31:$AA31)</f>
        <v>Recommended</v>
      </c>
      <c r="G31" s="153" t="s">
        <v>490</v>
      </c>
      <c r="H31" s="154" t="s">
        <v>398</v>
      </c>
      <c r="I31" s="154" t="s">
        <v>486</v>
      </c>
      <c r="J31" s="247"/>
      <c r="K31" s="247" t="s">
        <v>480</v>
      </c>
      <c r="L31" s="154" t="str">
        <f t="shared" si="1"/>
        <v>Compliance Statement missing!</v>
      </c>
      <c r="M31" s="253" t="str">
        <f>IFERROR(__xludf.DUMMYFUNCTION("VLOOKUP(C31,IMPORTRANGE(""https://docs.google.com/spreadsheets/d/1P8eX0NWBhUPS_hvzA11R6jkTNFrPrRYIx_dX_hYbxrk/edit?resourcekey=0-iw9bsKY2OqkUHCFMkCar3A&amp;gid=2055363397#gid=2055363397"",""MTR!C:O""),11,false)"),"#N/A")</f>
        <v>#N/A</v>
      </c>
      <c r="N31" s="253" t="str">
        <f>IFERROR(__xludf.DUMMYFUNCTION("VLOOKUP(C31,IMPORTRANGE(""https://docs.google.com/spreadsheets/d/1ihFlp3_ePlYtFuPbUNbYj1muErVpI73WHXbEwJDIA7Q/edit#gid=1493122344"",""MTR!C:O""),8,false)"),"#N/A")</f>
        <v>#N/A</v>
      </c>
      <c r="O31" s="253" t="str">
        <f>IFERROR(__xludf.DUMMYFUNCTION("VLOOKUP(C31,IMPORTRANGE(""https://docs.google.com/spreadsheets/d/1P8eX0NWBhUPS_hvzA11R6jkTNFrPrRYIx_dX_hYbxrk/edit?resourcekey=0-iw9bsKY2OqkUHCFMkCar3A&amp;gid=2055363397#gid=2055363397"",""MTR!C:O""),9,false)"),"#N/A")</f>
        <v>#N/A</v>
      </c>
      <c r="P31" s="253"/>
      <c r="Q31" s="253"/>
      <c r="R31" s="253"/>
      <c r="S31" s="154" t="s">
        <v>64</v>
      </c>
      <c r="T31" s="154" t="s">
        <v>64</v>
      </c>
      <c r="U31" s="154" t="s">
        <v>64</v>
      </c>
      <c r="V31" s="154" t="s">
        <v>64</v>
      </c>
      <c r="W31" s="154" t="s">
        <v>64</v>
      </c>
      <c r="X31" s="154" t="s">
        <v>64</v>
      </c>
      <c r="Y31" s="154" t="s">
        <v>64</v>
      </c>
      <c r="Z31" s="154" t="s">
        <v>64</v>
      </c>
      <c r="AA31" s="154" t="s">
        <v>64</v>
      </c>
      <c r="AB31" s="154"/>
      <c r="AC31" s="242" t="b">
        <f t="shared" si="2"/>
        <v>0</v>
      </c>
      <c r="AD31" s="154" t="s">
        <v>400</v>
      </c>
      <c r="AE31" s="243" t="b">
        <f t="shared" si="3"/>
        <v>0</v>
      </c>
      <c r="AF31" s="154" t="s">
        <v>482</v>
      </c>
      <c r="AG31" s="243" t="b">
        <f t="shared" si="4"/>
        <v>0</v>
      </c>
      <c r="AH31" s="154"/>
      <c r="AI31" s="243" t="str">
        <f t="shared" si="5"/>
        <v>N/A</v>
      </c>
      <c r="AJ31" s="157" t="str">
        <f t="shared" si="6"/>
        <v>Compliance Statement missing!</v>
      </c>
    </row>
    <row r="32" ht="12.75" customHeight="1">
      <c r="A32" s="244" t="s">
        <v>386</v>
      </c>
      <c r="B32" s="244" t="s">
        <v>437</v>
      </c>
      <c r="C32" s="244" t="s">
        <v>491</v>
      </c>
      <c r="D32" s="154" t="s">
        <v>492</v>
      </c>
      <c r="E32" s="250"/>
      <c r="F32" s="154" t="str">
        <f t="array" ref="F32">XLOOKUP(Cover!$D$12,$S$1:$AA$1,$S32:$AA32)</f>
        <v>Mandatory</v>
      </c>
      <c r="G32" s="154" t="s">
        <v>493</v>
      </c>
      <c r="H32" s="154" t="s">
        <v>398</v>
      </c>
      <c r="I32" s="154" t="s">
        <v>414</v>
      </c>
      <c r="J32" s="154" t="s">
        <v>445</v>
      </c>
      <c r="K32" s="154"/>
      <c r="L32" s="154" t="str">
        <f t="shared" si="1"/>
        <v/>
      </c>
      <c r="M32" s="248" t="str">
        <f>IFERROR(__xludf.DUMMYFUNCTION("VLOOKUP(C32,IMPORTRANGE(""https://docs.google.com/spreadsheets/d/1P8eX0NWBhUPS_hvzA11R6jkTNFrPrRYIx_dX_hYbxrk/edit?resourcekey=0-iw9bsKY2OqkUHCFMkCar3A&amp;gid=2055363397#gid=2055363397"",""MTR!C:O""),11,false)"),"TAM")</f>
        <v>TAM</v>
      </c>
      <c r="N32" s="248" t="str">
        <f>IFERROR(__xludf.DUMMYFUNCTION("VLOOKUP(C32,IMPORTRANGE(""https://docs.google.com/spreadsheets/d/1ihFlp3_ePlYtFuPbUNbYj1muErVpI73WHXbEwJDIA7Q/edit#gid=1493122344"",""MTR!C:O""),8,false)"),"Complies")</f>
        <v>Complies</v>
      </c>
      <c r="O32" s="241" t="str">
        <f>IFERROR(__xludf.DUMMYFUNCTION("VLOOKUP(C32,IMPORTRANGE(""https://docs.google.com/spreadsheets/d/1P8eX0NWBhUPS_hvzA11R6jkTNFrPrRYIx_dX_hYbxrk/edit?resourcekey=0-iw9bsKY2OqkUHCFMkCar3A&amp;gid=2055363397#gid=2055363397"",""MTR!C:O""),9,false)"),"")</f>
        <v/>
      </c>
      <c r="P32" s="241"/>
      <c r="Q32" s="251" t="s">
        <v>445</v>
      </c>
      <c r="R32" s="241"/>
      <c r="S32" s="154" t="s">
        <v>60</v>
      </c>
      <c r="T32" s="154" t="s">
        <v>60</v>
      </c>
      <c r="U32" s="154" t="s">
        <v>60</v>
      </c>
      <c r="V32" s="154" t="s">
        <v>60</v>
      </c>
      <c r="W32" s="154" t="s">
        <v>60</v>
      </c>
      <c r="X32" s="154" t="s">
        <v>60</v>
      </c>
      <c r="Y32" s="154" t="s">
        <v>60</v>
      </c>
      <c r="Z32" s="154" t="s">
        <v>60</v>
      </c>
      <c r="AA32" s="154" t="s">
        <v>60</v>
      </c>
      <c r="AB32" s="154"/>
      <c r="AC32" s="242" t="b">
        <f t="shared" si="2"/>
        <v>1</v>
      </c>
      <c r="AD32" s="154" t="s">
        <v>391</v>
      </c>
      <c r="AE32" s="243" t="b">
        <f t="shared" si="3"/>
        <v>0</v>
      </c>
      <c r="AF32" s="154"/>
      <c r="AG32" s="243" t="b">
        <f t="shared" si="4"/>
        <v>0</v>
      </c>
      <c r="AH32" s="154"/>
      <c r="AI32" s="243" t="str">
        <f t="shared" si="5"/>
        <v>N/A</v>
      </c>
      <c r="AJ32" s="157" t="str">
        <f t="shared" si="6"/>
        <v/>
      </c>
    </row>
    <row r="33" ht="12.75" customHeight="1">
      <c r="A33" s="244" t="s">
        <v>386</v>
      </c>
      <c r="B33" s="244" t="s">
        <v>437</v>
      </c>
      <c r="C33" s="244" t="s">
        <v>494</v>
      </c>
      <c r="D33" s="154" t="s">
        <v>477</v>
      </c>
      <c r="E33" s="250"/>
      <c r="F33" s="154" t="str">
        <f t="array" ref="F33">XLOOKUP(Cover!$D$12,$S$1:$AA$1,$S33:$AA33)</f>
        <v>Mandatory</v>
      </c>
      <c r="G33" s="153" t="s">
        <v>495</v>
      </c>
      <c r="H33" s="154" t="s">
        <v>398</v>
      </c>
      <c r="I33" s="154" t="s">
        <v>414</v>
      </c>
      <c r="J33" s="154" t="s">
        <v>445</v>
      </c>
      <c r="K33" s="154"/>
      <c r="L33" s="154" t="str">
        <f t="shared" si="1"/>
        <v/>
      </c>
      <c r="M33" s="248" t="str">
        <f>IFERROR(__xludf.DUMMYFUNCTION("VLOOKUP(C33,IMPORTRANGE(""https://docs.google.com/spreadsheets/d/1P8eX0NWBhUPS_hvzA11R6jkTNFrPrRYIx_dX_hYbxrk/edit?resourcekey=0-iw9bsKY2OqkUHCFMkCar3A&amp;gid=2055363397#gid=2055363397"",""MTR!C:O""),11,false)"),"TAM")</f>
        <v>TAM</v>
      </c>
      <c r="N33" s="248" t="str">
        <f>IFERROR(__xludf.DUMMYFUNCTION("VLOOKUP(C33,IMPORTRANGE(""https://docs.google.com/spreadsheets/d/1ihFlp3_ePlYtFuPbUNbYj1muErVpI73WHXbEwJDIA7Q/edit#gid=1493122344"",""MTR!C:O""),8,false)"),"Complies")</f>
        <v>Complies</v>
      </c>
      <c r="O33" s="241" t="str">
        <f>IFERROR(__xludf.DUMMYFUNCTION("VLOOKUP(C33,IMPORTRANGE(""https://docs.google.com/spreadsheets/d/1P8eX0NWBhUPS_hvzA11R6jkTNFrPrRYIx_dX_hYbxrk/edit?resourcekey=0-iw9bsKY2OqkUHCFMkCar3A&amp;gid=2055363397#gid=2055363397"",""MTR!C:O""),9,false)"),"")</f>
        <v/>
      </c>
      <c r="P33" s="241"/>
      <c r="Q33" s="251" t="s">
        <v>445</v>
      </c>
      <c r="R33" s="241"/>
      <c r="S33" s="154" t="s">
        <v>60</v>
      </c>
      <c r="T33" s="154" t="s">
        <v>60</v>
      </c>
      <c r="U33" s="154" t="s">
        <v>60</v>
      </c>
      <c r="V33" s="154" t="s">
        <v>60</v>
      </c>
      <c r="W33" s="154" t="s">
        <v>60</v>
      </c>
      <c r="X33" s="154" t="s">
        <v>60</v>
      </c>
      <c r="Y33" s="154" t="s">
        <v>60</v>
      </c>
      <c r="Z33" s="154" t="s">
        <v>60</v>
      </c>
      <c r="AA33" s="154" t="s">
        <v>60</v>
      </c>
      <c r="AB33" s="154"/>
      <c r="AC33" s="242" t="b">
        <f t="shared" si="2"/>
        <v>1</v>
      </c>
      <c r="AD33" s="154" t="s">
        <v>391</v>
      </c>
      <c r="AE33" s="243" t="b">
        <f t="shared" si="3"/>
        <v>0</v>
      </c>
      <c r="AF33" s="154"/>
      <c r="AG33" s="243" t="b">
        <f t="shared" si="4"/>
        <v>0</v>
      </c>
      <c r="AH33" s="154"/>
      <c r="AI33" s="243" t="str">
        <f t="shared" si="5"/>
        <v>N/A</v>
      </c>
      <c r="AJ33" s="157" t="str">
        <f t="shared" si="6"/>
        <v/>
      </c>
    </row>
    <row r="34" ht="12.75" customHeight="1">
      <c r="A34" s="238" t="s">
        <v>386</v>
      </c>
      <c r="B34" s="238" t="s">
        <v>496</v>
      </c>
      <c r="C34" s="238" t="s">
        <v>497</v>
      </c>
      <c r="D34" s="238"/>
      <c r="E34" s="238"/>
      <c r="F34" s="154" t="str">
        <f t="array" ref="F34">XLOOKUP(Cover!$D$12,$S$1:$AA$1,$S34:$AA34)</f>
        <v>Heading</v>
      </c>
      <c r="G34" s="239" t="s">
        <v>498</v>
      </c>
      <c r="H34" s="240"/>
      <c r="I34" s="240" t="s">
        <v>499</v>
      </c>
      <c r="J34" s="240"/>
      <c r="K34" s="240"/>
      <c r="L34" s="154" t="str">
        <f t="shared" si="1"/>
        <v/>
      </c>
      <c r="M34" s="241" t="str">
        <f>IFERROR(__xludf.DUMMYFUNCTION("VLOOKUP(C34,IMPORTRANGE(""https://docs.google.com/spreadsheets/d/1P8eX0NWBhUPS_hvzA11R6jkTNFrPrRYIx_dX_hYbxrk/edit?resourcekey=0-iw9bsKY2OqkUHCFMkCar3A&amp;gid=2055363397#gid=2055363397"",""MTR!C:O""),11,false)"),"")</f>
        <v/>
      </c>
      <c r="N34" s="241" t="str">
        <f>IFERROR(__xludf.DUMMYFUNCTION("VLOOKUP(C34,IMPORTRANGE(""https://docs.google.com/spreadsheets/d/1ihFlp3_ePlYtFuPbUNbYj1muErVpI73WHXbEwJDIA7Q/edit#gid=1493122344"",""MTR!C:O""),8,false)"),"")</f>
        <v/>
      </c>
      <c r="O34" s="241" t="str">
        <f>IFERROR(__xludf.DUMMYFUNCTION("VLOOKUP(C34,IMPORTRANGE(""https://docs.google.com/spreadsheets/d/1P8eX0NWBhUPS_hvzA11R6jkTNFrPrRYIx_dX_hYbxrk/edit?resourcekey=0-iw9bsKY2OqkUHCFMkCar3A&amp;gid=2055363397#gid=2055363397"",""MTR!C:O""),9,false)"),"")</f>
        <v/>
      </c>
      <c r="P34" s="241"/>
      <c r="Q34" s="241"/>
      <c r="R34" s="241"/>
      <c r="S34" s="240" t="s">
        <v>390</v>
      </c>
      <c r="T34" s="240" t="s">
        <v>390</v>
      </c>
      <c r="U34" s="240" t="s">
        <v>390</v>
      </c>
      <c r="V34" s="240" t="s">
        <v>390</v>
      </c>
      <c r="W34" s="240" t="s">
        <v>390</v>
      </c>
      <c r="X34" s="240" t="s">
        <v>390</v>
      </c>
      <c r="Y34" s="240" t="s">
        <v>390</v>
      </c>
      <c r="Z34" s="240" t="s">
        <v>390</v>
      </c>
      <c r="AA34" s="240" t="s">
        <v>390</v>
      </c>
      <c r="AB34" s="240"/>
      <c r="AC34" s="242" t="b">
        <f t="shared" si="2"/>
        <v>0</v>
      </c>
      <c r="AD34" s="240" t="s">
        <v>391</v>
      </c>
      <c r="AE34" s="243" t="b">
        <f t="shared" si="3"/>
        <v>0</v>
      </c>
      <c r="AF34" s="240"/>
      <c r="AG34" s="243" t="b">
        <f t="shared" si="4"/>
        <v>0</v>
      </c>
      <c r="AH34" s="240"/>
      <c r="AI34" s="243" t="str">
        <f t="shared" si="5"/>
        <v>N/A</v>
      </c>
      <c r="AJ34" s="157" t="str">
        <f t="shared" si="6"/>
        <v/>
      </c>
    </row>
    <row r="35" ht="12.75" customHeight="1">
      <c r="A35" s="238" t="s">
        <v>386</v>
      </c>
      <c r="B35" s="238" t="s">
        <v>496</v>
      </c>
      <c r="C35" s="238" t="s">
        <v>500</v>
      </c>
      <c r="D35" s="238"/>
      <c r="E35" s="238"/>
      <c r="F35" s="154" t="str">
        <f t="array" ref="F35">XLOOKUP(Cover!$D$12,$S$1:$AA$1,$S35:$AA35)</f>
        <v>Heading</v>
      </c>
      <c r="G35" s="239" t="s">
        <v>501</v>
      </c>
      <c r="H35" s="240"/>
      <c r="I35" s="240" t="s">
        <v>414</v>
      </c>
      <c r="J35" s="240"/>
      <c r="K35" s="240"/>
      <c r="L35" s="154" t="str">
        <f t="shared" si="1"/>
        <v/>
      </c>
      <c r="M35" s="241" t="str">
        <f>IFERROR(__xludf.DUMMYFUNCTION("VLOOKUP(C35,IMPORTRANGE(""https://docs.google.com/spreadsheets/d/1P8eX0NWBhUPS_hvzA11R6jkTNFrPrRYIx_dX_hYbxrk/edit?resourcekey=0-iw9bsKY2OqkUHCFMkCar3A&amp;gid=2055363397#gid=2055363397"",""MTR!C:O""),11,false)"),"")</f>
        <v/>
      </c>
      <c r="N35" s="241" t="str">
        <f>IFERROR(__xludf.DUMMYFUNCTION("VLOOKUP(C35,IMPORTRANGE(""https://docs.google.com/spreadsheets/d/1ihFlp3_ePlYtFuPbUNbYj1muErVpI73WHXbEwJDIA7Q/edit#gid=1493122344"",""MTR!C:O""),8,false)"),"")</f>
        <v/>
      </c>
      <c r="O35" s="241" t="str">
        <f>IFERROR(__xludf.DUMMYFUNCTION("VLOOKUP(C35,IMPORTRANGE(""https://docs.google.com/spreadsheets/d/1P8eX0NWBhUPS_hvzA11R6jkTNFrPrRYIx_dX_hYbxrk/edit?resourcekey=0-iw9bsKY2OqkUHCFMkCar3A&amp;gid=2055363397#gid=2055363397"",""MTR!C:O""),9,false)"),"")</f>
        <v/>
      </c>
      <c r="P35" s="241"/>
      <c r="Q35" s="241"/>
      <c r="R35" s="241"/>
      <c r="S35" s="240" t="s">
        <v>390</v>
      </c>
      <c r="T35" s="240" t="s">
        <v>390</v>
      </c>
      <c r="U35" s="240" t="s">
        <v>390</v>
      </c>
      <c r="V35" s="240" t="s">
        <v>390</v>
      </c>
      <c r="W35" s="240" t="s">
        <v>390</v>
      </c>
      <c r="X35" s="240" t="s">
        <v>390</v>
      </c>
      <c r="Y35" s="240" t="s">
        <v>390</v>
      </c>
      <c r="Z35" s="240" t="s">
        <v>390</v>
      </c>
      <c r="AA35" s="240" t="s">
        <v>390</v>
      </c>
      <c r="AB35" s="240"/>
      <c r="AC35" s="242" t="b">
        <f t="shared" si="2"/>
        <v>0</v>
      </c>
      <c r="AD35" s="240" t="s">
        <v>391</v>
      </c>
      <c r="AE35" s="243" t="b">
        <f t="shared" si="3"/>
        <v>0</v>
      </c>
      <c r="AF35" s="240"/>
      <c r="AG35" s="243" t="b">
        <f t="shared" si="4"/>
        <v>0</v>
      </c>
      <c r="AH35" s="240"/>
      <c r="AI35" s="243" t="str">
        <f t="shared" si="5"/>
        <v>N/A</v>
      </c>
      <c r="AJ35" s="157" t="str">
        <f t="shared" si="6"/>
        <v/>
      </c>
    </row>
    <row r="36" ht="12.75" customHeight="1">
      <c r="A36" s="244" t="s">
        <v>386</v>
      </c>
      <c r="B36" s="244" t="s">
        <v>496</v>
      </c>
      <c r="C36" s="244" t="s">
        <v>502</v>
      </c>
      <c r="D36" s="154" t="s">
        <v>503</v>
      </c>
      <c r="E36" s="250"/>
      <c r="F36" s="154" t="str">
        <f t="array" ref="F36">XLOOKUP(Cover!$D$12,$S$1:$AA$1,$S36:$AA36)</f>
        <v>Mandatory</v>
      </c>
      <c r="G36" s="154" t="s">
        <v>504</v>
      </c>
      <c r="H36" s="154" t="s">
        <v>398</v>
      </c>
      <c r="I36" s="154" t="s">
        <v>505</v>
      </c>
      <c r="J36" s="247" t="s">
        <v>506</v>
      </c>
      <c r="K36" s="154" t="s">
        <v>507</v>
      </c>
      <c r="L36" s="154" t="str">
        <f t="shared" si="1"/>
        <v/>
      </c>
      <c r="M36" s="248" t="str">
        <f>IFERROR(__xludf.DUMMYFUNCTION("VLOOKUP(C36,IMPORTRANGE(""https://docs.google.com/spreadsheets/d/1P8eX0NWBhUPS_hvzA11R6jkTNFrPrRYIx_dX_hYbxrk/edit?resourcekey=0-iw9bsKY2OqkUHCFMkCar3A&amp;gid=2055363397#gid=2055363397"",""MTR!C:O""),11,false)"),"TAM")</f>
        <v>TAM</v>
      </c>
      <c r="N36" s="241" t="str">
        <f>IFERROR(__xludf.DUMMYFUNCTION("VLOOKUP(C36,IMPORTRANGE(""https://docs.google.com/spreadsheets/d/1ihFlp3_ePlYtFuPbUNbYj1muErVpI73WHXbEwJDIA7Q/edit#gid=1493122344"",""MTR!C:O""),8,false)"),"")</f>
        <v/>
      </c>
      <c r="O36" s="248" t="str">
        <f>IFERROR(__xludf.DUMMYFUNCTION("VLOOKUP(C36,IMPORTRANGE(""https://docs.google.com/spreadsheets/d/1P8eX0NWBhUPS_hvzA11R6jkTNFrPrRYIx_dX_hYbxrk/edit?resourcekey=0-iw9bsKY2OqkUHCFMkCar3A&amp;gid=2055363397#gid=2055363397"",""MTR!C:O""),9,false)"),"LCA will be available on day of launch. Not appropriate to compare to previous generation as feature set is different.")</f>
        <v>LCA will be available on day of launch. Not appropriate to compare to previous generation as feature set is different.</v>
      </c>
      <c r="P36" s="248"/>
      <c r="Q36" s="248"/>
      <c r="R36" s="249" t="s">
        <v>507</v>
      </c>
      <c r="S36" s="154" t="s">
        <v>60</v>
      </c>
      <c r="T36" s="154" t="s">
        <v>60</v>
      </c>
      <c r="U36" s="154" t="s">
        <v>60</v>
      </c>
      <c r="V36" s="154" t="s">
        <v>60</v>
      </c>
      <c r="W36" s="154" t="s">
        <v>60</v>
      </c>
      <c r="X36" s="154" t="s">
        <v>60</v>
      </c>
      <c r="Y36" s="154" t="s">
        <v>60</v>
      </c>
      <c r="Z36" s="154" t="s">
        <v>60</v>
      </c>
      <c r="AA36" s="154" t="s">
        <v>60</v>
      </c>
      <c r="AB36" s="154"/>
      <c r="AC36" s="242" t="b">
        <f t="shared" si="2"/>
        <v>1</v>
      </c>
      <c r="AD36" s="154" t="s">
        <v>391</v>
      </c>
      <c r="AE36" s="243" t="b">
        <f t="shared" si="3"/>
        <v>0</v>
      </c>
      <c r="AF36" s="154"/>
      <c r="AG36" s="243" t="b">
        <f t="shared" si="4"/>
        <v>0</v>
      </c>
      <c r="AH36" s="154"/>
      <c r="AI36" s="243" t="str">
        <f t="shared" si="5"/>
        <v>N/A</v>
      </c>
      <c r="AJ36" s="157" t="str">
        <f t="shared" si="6"/>
        <v/>
      </c>
    </row>
    <row r="37" ht="12.75" customHeight="1">
      <c r="A37" s="244" t="s">
        <v>386</v>
      </c>
      <c r="B37" s="244" t="s">
        <v>496</v>
      </c>
      <c r="C37" s="244" t="s">
        <v>508</v>
      </c>
      <c r="D37" s="154" t="s">
        <v>503</v>
      </c>
      <c r="E37" s="250"/>
      <c r="F37" s="154" t="str">
        <f t="array" ref="F37">XLOOKUP(Cover!$D$12,$S$1:$AA$1,$S37:$AA37)</f>
        <v>Mandatory</v>
      </c>
      <c r="G37" s="154" t="s">
        <v>509</v>
      </c>
      <c r="H37" s="154" t="s">
        <v>398</v>
      </c>
      <c r="I37" s="154" t="s">
        <v>499</v>
      </c>
      <c r="J37" s="247" t="s">
        <v>506</v>
      </c>
      <c r="K37" s="154" t="s">
        <v>510</v>
      </c>
      <c r="L37" s="154" t="str">
        <f t="shared" si="1"/>
        <v/>
      </c>
      <c r="M37" s="248" t="str">
        <f>IFERROR(__xludf.DUMMYFUNCTION("VLOOKUP(C37,IMPORTRANGE(""https://docs.google.com/spreadsheets/d/1P8eX0NWBhUPS_hvzA11R6jkTNFrPrRYIx_dX_hYbxrk/edit?resourcekey=0-iw9bsKY2OqkUHCFMkCar3A&amp;gid=2055363397#gid=2055363397"",""MTR!C:O""),11,false)"),"TAM")</f>
        <v>TAM</v>
      </c>
      <c r="N37" s="241" t="str">
        <f>IFERROR(__xludf.DUMMYFUNCTION("VLOOKUP(C37,IMPORTRANGE(""https://docs.google.com/spreadsheets/d/1ihFlp3_ePlYtFuPbUNbYj1muErVpI73WHXbEwJDIA7Q/edit#gid=1493122344"",""MTR!C:O""),8,false)"),"")</f>
        <v/>
      </c>
      <c r="O37" s="248" t="str">
        <f>IFERROR(__xludf.DUMMYFUNCTION("VLOOKUP(C37,IMPORTRANGE(""https://docs.google.com/spreadsheets/d/1P8eX0NWBhUPS_hvzA11R6jkTNFrPrRYIx_dX_hYbxrk/edit?resourcekey=0-iw9bsKY2OqkUHCFMkCar3A&amp;gid=2055363397#gid=2055363397"",""MTR!C:O""),9,false)"),"This information will be available 4 weeks before launch.")</f>
        <v>This information will be available 4 weeks before launch.</v>
      </c>
      <c r="P37" s="248"/>
      <c r="Q37" s="248"/>
      <c r="R37" s="249" t="s">
        <v>510</v>
      </c>
      <c r="S37" s="154" t="s">
        <v>60</v>
      </c>
      <c r="T37" s="154" t="s">
        <v>60</v>
      </c>
      <c r="U37" s="154" t="s">
        <v>60</v>
      </c>
      <c r="V37" s="154" t="s">
        <v>60</v>
      </c>
      <c r="W37" s="154" t="s">
        <v>60</v>
      </c>
      <c r="X37" s="154" t="s">
        <v>60</v>
      </c>
      <c r="Y37" s="154" t="s">
        <v>60</v>
      </c>
      <c r="Z37" s="154" t="s">
        <v>60</v>
      </c>
      <c r="AA37" s="154" t="s">
        <v>60</v>
      </c>
      <c r="AB37" s="154"/>
      <c r="AC37" s="242" t="b">
        <f t="shared" si="2"/>
        <v>1</v>
      </c>
      <c r="AD37" s="154" t="s">
        <v>391</v>
      </c>
      <c r="AE37" s="243" t="b">
        <f t="shared" si="3"/>
        <v>0</v>
      </c>
      <c r="AF37" s="154"/>
      <c r="AG37" s="243" t="b">
        <f t="shared" si="4"/>
        <v>0</v>
      </c>
      <c r="AH37" s="154"/>
      <c r="AI37" s="243" t="str">
        <f t="shared" si="5"/>
        <v>N/A</v>
      </c>
      <c r="AJ37" s="157" t="str">
        <f t="shared" si="6"/>
        <v/>
      </c>
    </row>
    <row r="38" ht="12.75" customHeight="1">
      <c r="A38" s="244" t="s">
        <v>386</v>
      </c>
      <c r="B38" s="244" t="s">
        <v>496</v>
      </c>
      <c r="C38" s="244" t="s">
        <v>511</v>
      </c>
      <c r="D38" s="154" t="s">
        <v>503</v>
      </c>
      <c r="E38" s="250"/>
      <c r="F38" s="154" t="str">
        <f t="array" ref="F38">XLOOKUP(Cover!$D$12,$S$1:$AA$1,$S38:$AA38)</f>
        <v>Mandatory</v>
      </c>
      <c r="G38" s="154" t="s">
        <v>512</v>
      </c>
      <c r="H38" s="154" t="s">
        <v>398</v>
      </c>
      <c r="I38" s="154" t="s">
        <v>499</v>
      </c>
      <c r="J38" s="247" t="s">
        <v>506</v>
      </c>
      <c r="K38" s="247" t="s">
        <v>513</v>
      </c>
      <c r="L38" s="154" t="str">
        <f t="shared" si="1"/>
        <v/>
      </c>
      <c r="M38" s="248" t="str">
        <f>IFERROR(__xludf.DUMMYFUNCTION("VLOOKUP(C38,IMPORTRANGE(""https://docs.google.com/spreadsheets/d/1P8eX0NWBhUPS_hvzA11R6jkTNFrPrRYIx_dX_hYbxrk/edit?resourcekey=0-iw9bsKY2OqkUHCFMkCar3A&amp;gid=2055363397#gid=2055363397"",""MTR!C:O""),11,false)"),"TAM")</f>
        <v>TAM</v>
      </c>
      <c r="N38" s="241" t="str">
        <f>IFERROR(__xludf.DUMMYFUNCTION("VLOOKUP(C38,IMPORTRANGE(""https://docs.google.com/spreadsheets/d/1ihFlp3_ePlYtFuPbUNbYj1muErVpI73WHXbEwJDIA7Q/edit#gid=1493122344"",""MTR!C:O""),8,false)"),"")</f>
        <v/>
      </c>
      <c r="O38" s="248" t="str">
        <f>IFERROR(__xludf.DUMMYFUNCTION("VLOOKUP(C38,IMPORTRANGE(""https://docs.google.com/spreadsheets/d/1P8eX0NWBhUPS_hvzA11R6jkTNFrPrRYIx_dX_hYbxrk/edit?resourcekey=0-iw9bsKY2OqkUHCFMkCar3A&amp;gid=2055363397#gid=2055363397"",""MTR!C:O""),9,false)"),"TBC")</f>
        <v>TBC</v>
      </c>
      <c r="P38" s="248"/>
      <c r="Q38" s="248"/>
      <c r="R38" s="248"/>
      <c r="S38" s="154" t="s">
        <v>60</v>
      </c>
      <c r="T38" s="154" t="s">
        <v>60</v>
      </c>
      <c r="U38" s="154" t="s">
        <v>60</v>
      </c>
      <c r="V38" s="154" t="s">
        <v>60</v>
      </c>
      <c r="W38" s="154" t="s">
        <v>60</v>
      </c>
      <c r="X38" s="154" t="s">
        <v>60</v>
      </c>
      <c r="Y38" s="154" t="s">
        <v>60</v>
      </c>
      <c r="Z38" s="154" t="s">
        <v>60</v>
      </c>
      <c r="AA38" s="154" t="s">
        <v>60</v>
      </c>
      <c r="AB38" s="154"/>
      <c r="AC38" s="242" t="b">
        <f t="shared" si="2"/>
        <v>1</v>
      </c>
      <c r="AD38" s="154" t="s">
        <v>391</v>
      </c>
      <c r="AE38" s="243" t="b">
        <f t="shared" si="3"/>
        <v>0</v>
      </c>
      <c r="AF38" s="154"/>
      <c r="AG38" s="243" t="b">
        <f t="shared" si="4"/>
        <v>0</v>
      </c>
      <c r="AH38" s="154"/>
      <c r="AI38" s="243" t="str">
        <f t="shared" si="5"/>
        <v>N/A</v>
      </c>
      <c r="AJ38" s="157" t="str">
        <f t="shared" si="6"/>
        <v/>
      </c>
    </row>
    <row r="39" ht="12.75" customHeight="1">
      <c r="A39" s="244" t="s">
        <v>386</v>
      </c>
      <c r="B39" s="244" t="s">
        <v>496</v>
      </c>
      <c r="C39" s="244" t="s">
        <v>514</v>
      </c>
      <c r="D39" s="154" t="s">
        <v>503</v>
      </c>
      <c r="E39" s="250"/>
      <c r="F39" s="154" t="str">
        <f t="array" ref="F39">XLOOKUP(Cover!$D$12,$S$1:$AA$1,$S39:$AA39)</f>
        <v>Mandatory</v>
      </c>
      <c r="G39" s="154" t="s">
        <v>515</v>
      </c>
      <c r="H39" s="154" t="s">
        <v>398</v>
      </c>
      <c r="I39" s="154" t="s">
        <v>499</v>
      </c>
      <c r="J39" s="154" t="s">
        <v>516</v>
      </c>
      <c r="K39" s="154" t="s">
        <v>517</v>
      </c>
      <c r="L39" s="154" t="str">
        <f t="shared" si="1"/>
        <v/>
      </c>
      <c r="M39" s="248" t="str">
        <f>IFERROR(__xludf.DUMMYFUNCTION("VLOOKUP(C39,IMPORTRANGE(""https://docs.google.com/spreadsheets/d/1P8eX0NWBhUPS_hvzA11R6jkTNFrPrRYIx_dX_hYbxrk/edit?resourcekey=0-iw9bsKY2OqkUHCFMkCar3A&amp;gid=2055363397#gid=2055363397"",""MTR!C:O""),11,false)"),"TAM")</f>
        <v>TAM</v>
      </c>
      <c r="N39" s="248" t="str">
        <f>IFERROR(__xludf.DUMMYFUNCTION("VLOOKUP(C39,IMPORTRANGE(""https://docs.google.com/spreadsheets/d/1ihFlp3_ePlYtFuPbUNbYj1muErVpI73WHXbEwJDIA7Q/edit#gid=1493122344"",""MTR!C:O""),8,false)"),"Does Not Comply")</f>
        <v>Does Not Comply</v>
      </c>
      <c r="O39" s="248" t="str">
        <f>IFERROR(__xludf.DUMMYFUNCTION("VLOOKUP(C39,IMPORTRANGE(""https://docs.google.com/spreadsheets/d/1P8eX0NWBhUPS_hvzA11R6jkTNFrPrRYIx_dX_hYbxrk/edit?resourcekey=0-iw9bsKY2OqkUHCFMkCar3A&amp;gid=2055363397#gid=2055363397"",""MTR!C:O""),9,false)"),"Gold is only used when technically required")</f>
        <v>Gold is only used when technically required</v>
      </c>
      <c r="P39" s="248"/>
      <c r="Q39" s="249" t="s">
        <v>516</v>
      </c>
      <c r="R39" s="249" t="s">
        <v>517</v>
      </c>
      <c r="S39" s="154" t="s">
        <v>60</v>
      </c>
      <c r="T39" s="154" t="s">
        <v>60</v>
      </c>
      <c r="U39" s="154" t="s">
        <v>60</v>
      </c>
      <c r="V39" s="154" t="s">
        <v>60</v>
      </c>
      <c r="W39" s="154" t="s">
        <v>60</v>
      </c>
      <c r="X39" s="154" t="s">
        <v>60</v>
      </c>
      <c r="Y39" s="154" t="s">
        <v>60</v>
      </c>
      <c r="Z39" s="154" t="s">
        <v>60</v>
      </c>
      <c r="AA39" s="154" t="s">
        <v>60</v>
      </c>
      <c r="AB39" s="154"/>
      <c r="AC39" s="242" t="b">
        <f t="shared" si="2"/>
        <v>1</v>
      </c>
      <c r="AD39" s="154" t="s">
        <v>391</v>
      </c>
      <c r="AE39" s="243" t="b">
        <f t="shared" si="3"/>
        <v>0</v>
      </c>
      <c r="AF39" s="154"/>
      <c r="AG39" s="243" t="b">
        <f t="shared" si="4"/>
        <v>0</v>
      </c>
      <c r="AH39" s="154"/>
      <c r="AI39" s="243" t="str">
        <f t="shared" si="5"/>
        <v>N/A</v>
      </c>
      <c r="AJ39" s="157" t="str">
        <f t="shared" si="6"/>
        <v/>
      </c>
    </row>
    <row r="40" ht="12.75" customHeight="1">
      <c r="A40" s="244" t="s">
        <v>386</v>
      </c>
      <c r="B40" s="244" t="s">
        <v>496</v>
      </c>
      <c r="C40" s="244" t="s">
        <v>518</v>
      </c>
      <c r="D40" s="154" t="s">
        <v>503</v>
      </c>
      <c r="E40" s="250"/>
      <c r="F40" s="154" t="str">
        <f t="array" ref="F40">XLOOKUP(Cover!$D$12,$S$1:$AA$1,$S40:$AA40)</f>
        <v>Mandatory</v>
      </c>
      <c r="G40" s="154" t="s">
        <v>519</v>
      </c>
      <c r="H40" s="154" t="s">
        <v>398</v>
      </c>
      <c r="I40" s="154" t="s">
        <v>499</v>
      </c>
      <c r="J40" s="154" t="s">
        <v>445</v>
      </c>
      <c r="K40" s="154" t="s">
        <v>520</v>
      </c>
      <c r="L40" s="154" t="str">
        <f t="shared" si="1"/>
        <v/>
      </c>
      <c r="M40" s="248" t="str">
        <f>IFERROR(__xludf.DUMMYFUNCTION("VLOOKUP(C40,IMPORTRANGE(""https://docs.google.com/spreadsheets/d/1P8eX0NWBhUPS_hvzA11R6jkTNFrPrRYIx_dX_hYbxrk/edit?resourcekey=0-iw9bsKY2OqkUHCFMkCar3A&amp;gid=2055363397#gid=2055363397"",""MTR!C:O""),11,false)"),"TAM")</f>
        <v>TAM</v>
      </c>
      <c r="N40" s="248" t="str">
        <f>IFERROR(__xludf.DUMMYFUNCTION("VLOOKUP(C40,IMPORTRANGE(""https://docs.google.com/spreadsheets/d/1ihFlp3_ePlYtFuPbUNbYj1muErVpI73WHXbEwJDIA7Q/edit#gid=1493122344"",""MTR!C:O""),8,false)"),"Complies")</f>
        <v>Complies</v>
      </c>
      <c r="O40" s="248" t="str">
        <f>IFERROR(__xludf.DUMMYFUNCTION("VLOOKUP(C40,IMPORTRANGE(""https://docs.google.com/spreadsheets/d/1P8eX0NWBhUPS_hvzA11R6jkTNFrPrRYIx_dX_hYbxrk/edit?resourcekey=0-iw9bsKY2OqkUHCFMkCar3A&amp;gid=2055363397#gid=2055363397"",""MTR!C:O""),9,false)"),"Recycled Metals in the device (Aluminium &amp; Tin) There is 35.18g recycled metal in the device which is 18.6% of total device weight. Our Enclosure  and camera bar is made of 100% recycled AI which are the largest metal parts of the phone. ")</f>
        <v>Recycled Metals in the device (Aluminium &amp; Tin) There is 35.18g recycled metal in the device which is 18.6% of total device weight. Our Enclosure  and camera bar is made of 100% recycled AI which are the largest metal parts of the phone. </v>
      </c>
      <c r="P40" s="248"/>
      <c r="Q40" s="249" t="s">
        <v>445</v>
      </c>
      <c r="R40" s="249" t="s">
        <v>521</v>
      </c>
      <c r="S40" s="154" t="s">
        <v>60</v>
      </c>
      <c r="T40" s="154" t="s">
        <v>60</v>
      </c>
      <c r="U40" s="154" t="s">
        <v>60</v>
      </c>
      <c r="V40" s="154" t="s">
        <v>60</v>
      </c>
      <c r="W40" s="154" t="s">
        <v>60</v>
      </c>
      <c r="X40" s="154" t="s">
        <v>60</v>
      </c>
      <c r="Y40" s="154" t="s">
        <v>60</v>
      </c>
      <c r="Z40" s="154" t="s">
        <v>60</v>
      </c>
      <c r="AA40" s="154" t="s">
        <v>60</v>
      </c>
      <c r="AB40" s="154"/>
      <c r="AC40" s="242" t="b">
        <f t="shared" si="2"/>
        <v>1</v>
      </c>
      <c r="AD40" s="154" t="s">
        <v>391</v>
      </c>
      <c r="AE40" s="243" t="b">
        <f t="shared" si="3"/>
        <v>0</v>
      </c>
      <c r="AF40" s="154"/>
      <c r="AG40" s="243" t="b">
        <f t="shared" si="4"/>
        <v>0</v>
      </c>
      <c r="AH40" s="154"/>
      <c r="AI40" s="243" t="str">
        <f t="shared" si="5"/>
        <v>N/A</v>
      </c>
      <c r="AJ40" s="157" t="str">
        <f t="shared" si="6"/>
        <v/>
      </c>
    </row>
    <row r="41" ht="12.75" customHeight="1">
      <c r="A41" s="244" t="s">
        <v>386</v>
      </c>
      <c r="B41" s="244" t="s">
        <v>496</v>
      </c>
      <c r="C41" s="244" t="s">
        <v>522</v>
      </c>
      <c r="D41" s="154" t="s">
        <v>503</v>
      </c>
      <c r="E41" s="250"/>
      <c r="F41" s="154" t="str">
        <f t="array" ref="F41">XLOOKUP(Cover!$D$12,$S$1:$AA$1,$S41:$AA41)</f>
        <v>Mandatory</v>
      </c>
      <c r="G41" s="154" t="s">
        <v>523</v>
      </c>
      <c r="H41" s="154" t="s">
        <v>398</v>
      </c>
      <c r="I41" s="154" t="s">
        <v>505</v>
      </c>
      <c r="J41" s="154" t="s">
        <v>445</v>
      </c>
      <c r="K41" s="154" t="s">
        <v>524</v>
      </c>
      <c r="L41" s="154" t="str">
        <f t="shared" si="1"/>
        <v/>
      </c>
      <c r="M41" s="248" t="str">
        <f>IFERROR(__xludf.DUMMYFUNCTION("VLOOKUP(C41,IMPORTRANGE(""https://docs.google.com/spreadsheets/d/1P8eX0NWBhUPS_hvzA11R6jkTNFrPrRYIx_dX_hYbxrk/edit?resourcekey=0-iw9bsKY2OqkUHCFMkCar3A&amp;gid=2055363397#gid=2055363397"",""MTR!C:O""),11,false)"),"TAM")</f>
        <v>TAM</v>
      </c>
      <c r="N41" s="248" t="str">
        <f>IFERROR(__xludf.DUMMYFUNCTION("VLOOKUP(C41,IMPORTRANGE(""https://docs.google.com/spreadsheets/d/1ihFlp3_ePlYtFuPbUNbYj1muErVpI73WHXbEwJDIA7Q/edit#gid=1493122344"",""MTR!C:O""),8,false)"),"Complies")</f>
        <v>Complies</v>
      </c>
      <c r="O41" s="248" t="str">
        <f>IFERROR(__xludf.DUMMYFUNCTION("VLOOKUP(C41,IMPORTRANGE(""https://docs.google.com/spreadsheets/d/1P8eX0NWBhUPS_hvzA11R6jkTNFrPrRYIx_dX_hYbxrk/edit?resourcekey=0-iw9bsKY2OqkUHCFMkCar3A&amp;gid=2055363397#gid=2055363397"",""MTR!C:O""),9,false)"),"We use recycled plastics whereever technically feasible. The total % of recycled plastic by product weight is 49.64% (exclusions following UL 110).  Our backcover (larger plastic part in device) is made of 76% recycled plastic")</f>
        <v>We use recycled plastics whereever technically feasible. The total % of recycled plastic by product weight is 49.64% (exclusions following UL 110).  Our backcover (larger plastic part in device) is made of 76% recycled plastic</v>
      </c>
      <c r="P41" s="248"/>
      <c r="Q41" s="249" t="s">
        <v>445</v>
      </c>
      <c r="R41" s="249" t="s">
        <v>524</v>
      </c>
      <c r="S41" s="154" t="s">
        <v>60</v>
      </c>
      <c r="T41" s="154" t="s">
        <v>60</v>
      </c>
      <c r="U41" s="154" t="s">
        <v>60</v>
      </c>
      <c r="V41" s="154" t="s">
        <v>60</v>
      </c>
      <c r="W41" s="154" t="s">
        <v>60</v>
      </c>
      <c r="X41" s="154" t="s">
        <v>60</v>
      </c>
      <c r="Y41" s="154" t="s">
        <v>60</v>
      </c>
      <c r="Z41" s="154" t="s">
        <v>60</v>
      </c>
      <c r="AA41" s="154" t="s">
        <v>60</v>
      </c>
      <c r="AB41" s="154"/>
      <c r="AC41" s="242" t="b">
        <f t="shared" si="2"/>
        <v>1</v>
      </c>
      <c r="AD41" s="154" t="s">
        <v>391</v>
      </c>
      <c r="AE41" s="243" t="b">
        <f t="shared" si="3"/>
        <v>0</v>
      </c>
      <c r="AF41" s="154"/>
      <c r="AG41" s="243" t="b">
        <f t="shared" si="4"/>
        <v>0</v>
      </c>
      <c r="AH41" s="154"/>
      <c r="AI41" s="243" t="str">
        <f t="shared" si="5"/>
        <v>N/A</v>
      </c>
      <c r="AJ41" s="157" t="str">
        <f t="shared" si="6"/>
        <v/>
      </c>
    </row>
    <row r="42" ht="12.75" customHeight="1">
      <c r="A42" s="238" t="s">
        <v>386</v>
      </c>
      <c r="B42" s="238" t="s">
        <v>496</v>
      </c>
      <c r="C42" s="238" t="s">
        <v>525</v>
      </c>
      <c r="D42" s="238"/>
      <c r="E42" s="238"/>
      <c r="F42" s="154" t="str">
        <f t="array" ref="F42">XLOOKUP(Cover!$D$12,$S$1:$AA$1,$S42:$AA42)</f>
        <v>Heading</v>
      </c>
      <c r="G42" s="239" t="s">
        <v>526</v>
      </c>
      <c r="H42" s="240"/>
      <c r="I42" s="240" t="s">
        <v>505</v>
      </c>
      <c r="J42" s="240"/>
      <c r="K42" s="240"/>
      <c r="L42" s="154" t="str">
        <f t="shared" si="1"/>
        <v/>
      </c>
      <c r="M42" s="241" t="str">
        <f>IFERROR(__xludf.DUMMYFUNCTION("VLOOKUP(C42,IMPORTRANGE(""https://docs.google.com/spreadsheets/d/1P8eX0NWBhUPS_hvzA11R6jkTNFrPrRYIx_dX_hYbxrk/edit?resourcekey=0-iw9bsKY2OqkUHCFMkCar3A&amp;gid=2055363397#gid=2055363397"",""MTR!C:O""),11,false)"),"")</f>
        <v/>
      </c>
      <c r="N42" s="241" t="str">
        <f>IFERROR(__xludf.DUMMYFUNCTION("VLOOKUP(C42,IMPORTRANGE(""https://docs.google.com/spreadsheets/d/1ihFlp3_ePlYtFuPbUNbYj1muErVpI73WHXbEwJDIA7Q/edit#gid=1493122344"",""MTR!C:O""),8,false)"),"")</f>
        <v/>
      </c>
      <c r="O42" s="241" t="str">
        <f>IFERROR(__xludf.DUMMYFUNCTION("VLOOKUP(C42,IMPORTRANGE(""https://docs.google.com/spreadsheets/d/1P8eX0NWBhUPS_hvzA11R6jkTNFrPrRYIx_dX_hYbxrk/edit?resourcekey=0-iw9bsKY2OqkUHCFMkCar3A&amp;gid=2055363397#gid=2055363397"",""MTR!C:O""),9,false)"),"")</f>
        <v/>
      </c>
      <c r="P42" s="241"/>
      <c r="Q42" s="241"/>
      <c r="R42" s="241"/>
      <c r="S42" s="240" t="s">
        <v>390</v>
      </c>
      <c r="T42" s="240" t="s">
        <v>390</v>
      </c>
      <c r="U42" s="240" t="s">
        <v>390</v>
      </c>
      <c r="V42" s="240" t="s">
        <v>390</v>
      </c>
      <c r="W42" s="240" t="s">
        <v>390</v>
      </c>
      <c r="X42" s="240" t="s">
        <v>390</v>
      </c>
      <c r="Y42" s="240" t="s">
        <v>390</v>
      </c>
      <c r="Z42" s="240" t="s">
        <v>390</v>
      </c>
      <c r="AA42" s="240" t="s">
        <v>390</v>
      </c>
      <c r="AB42" s="240"/>
      <c r="AC42" s="242" t="b">
        <f t="shared" si="2"/>
        <v>0</v>
      </c>
      <c r="AD42" s="240" t="s">
        <v>391</v>
      </c>
      <c r="AE42" s="243" t="b">
        <f t="shared" si="3"/>
        <v>0</v>
      </c>
      <c r="AF42" s="240"/>
      <c r="AG42" s="243" t="b">
        <f t="shared" si="4"/>
        <v>0</v>
      </c>
      <c r="AH42" s="240"/>
      <c r="AI42" s="243" t="str">
        <f t="shared" si="5"/>
        <v>N/A</v>
      </c>
      <c r="AJ42" s="157" t="str">
        <f t="shared" si="6"/>
        <v/>
      </c>
    </row>
    <row r="43" ht="12.75" customHeight="1">
      <c r="A43" s="244" t="s">
        <v>386</v>
      </c>
      <c r="B43" s="244" t="s">
        <v>496</v>
      </c>
      <c r="C43" s="244" t="s">
        <v>527</v>
      </c>
      <c r="D43" s="154" t="s">
        <v>528</v>
      </c>
      <c r="E43" s="250"/>
      <c r="F43" s="154" t="str">
        <f t="array" ref="F43">XLOOKUP(Cover!$D$12,$S$1:$AA$1,$S43:$AA43)</f>
        <v>Mandatory</v>
      </c>
      <c r="G43" s="154" t="s">
        <v>529</v>
      </c>
      <c r="H43" s="154" t="s">
        <v>398</v>
      </c>
      <c r="I43" s="154" t="s">
        <v>505</v>
      </c>
      <c r="J43" s="154" t="s">
        <v>445</v>
      </c>
      <c r="K43" s="154"/>
      <c r="L43" s="154" t="str">
        <f t="shared" si="1"/>
        <v/>
      </c>
      <c r="M43" s="248" t="str">
        <f>IFERROR(__xludf.DUMMYFUNCTION("VLOOKUP(C43,IMPORTRANGE(""https://docs.google.com/spreadsheets/d/1P8eX0NWBhUPS_hvzA11R6jkTNFrPrRYIx_dX_hYbxrk/edit?resourcekey=0-iw9bsKY2OqkUHCFMkCar3A&amp;gid=2055363397#gid=2055363397"",""MTR!C:O""),11,false)"),"TAM")</f>
        <v>TAM</v>
      </c>
      <c r="N43" s="248" t="str">
        <f>IFERROR(__xludf.DUMMYFUNCTION("VLOOKUP(C43,IMPORTRANGE(""https://docs.google.com/spreadsheets/d/1ihFlp3_ePlYtFuPbUNbYj1muErVpI73WHXbEwJDIA7Q/edit#gid=1493122344"",""MTR!C:O""),8,false)"),"Complies")</f>
        <v>Complies</v>
      </c>
      <c r="O43" s="241" t="str">
        <f>IFERROR(__xludf.DUMMYFUNCTION("VLOOKUP(C43,IMPORTRANGE(""https://docs.google.com/spreadsheets/d/1P8eX0NWBhUPS_hvzA11R6jkTNFrPrRYIx_dX_hYbxrk/edit?resourcekey=0-iw9bsKY2OqkUHCFMkCar3A&amp;gid=2055363397#gid=2055363397"",""MTR!C:O""),9,false)"),"")</f>
        <v/>
      </c>
      <c r="P43" s="241"/>
      <c r="Q43" s="251" t="s">
        <v>445</v>
      </c>
      <c r="R43" s="241"/>
      <c r="S43" s="154" t="s">
        <v>60</v>
      </c>
      <c r="T43" s="154" t="s">
        <v>60</v>
      </c>
      <c r="U43" s="154" t="s">
        <v>60</v>
      </c>
      <c r="V43" s="154" t="s">
        <v>60</v>
      </c>
      <c r="W43" s="154" t="s">
        <v>60</v>
      </c>
      <c r="X43" s="154" t="s">
        <v>60</v>
      </c>
      <c r="Y43" s="154" t="s">
        <v>60</v>
      </c>
      <c r="Z43" s="154" t="s">
        <v>60</v>
      </c>
      <c r="AA43" s="154" t="s">
        <v>60</v>
      </c>
      <c r="AB43" s="154"/>
      <c r="AC43" s="242" t="b">
        <f t="shared" si="2"/>
        <v>1</v>
      </c>
      <c r="AD43" s="154" t="s">
        <v>391</v>
      </c>
      <c r="AE43" s="243" t="b">
        <f t="shared" si="3"/>
        <v>0</v>
      </c>
      <c r="AF43" s="154"/>
      <c r="AG43" s="243" t="b">
        <f t="shared" si="4"/>
        <v>0</v>
      </c>
      <c r="AH43" s="154"/>
      <c r="AI43" s="243" t="str">
        <f t="shared" si="5"/>
        <v>N/A</v>
      </c>
      <c r="AJ43" s="157" t="str">
        <f t="shared" si="6"/>
        <v/>
      </c>
    </row>
    <row r="44" ht="12.75" customHeight="1">
      <c r="A44" s="244" t="s">
        <v>386</v>
      </c>
      <c r="B44" s="244" t="s">
        <v>496</v>
      </c>
      <c r="C44" s="244" t="s">
        <v>530</v>
      </c>
      <c r="D44" s="154" t="s">
        <v>528</v>
      </c>
      <c r="E44" s="250"/>
      <c r="F44" s="154" t="str">
        <f t="array" ref="F44">XLOOKUP(Cover!$D$12,$S$1:$AA$1,$S44:$AA44)</f>
        <v>Mandatory</v>
      </c>
      <c r="G44" s="154" t="s">
        <v>531</v>
      </c>
      <c r="H44" s="154" t="s">
        <v>398</v>
      </c>
      <c r="I44" s="154" t="s">
        <v>505</v>
      </c>
      <c r="J44" s="154" t="s">
        <v>445</v>
      </c>
      <c r="K44" s="154"/>
      <c r="L44" s="154" t="str">
        <f t="shared" si="1"/>
        <v/>
      </c>
      <c r="M44" s="248" t="str">
        <f>IFERROR(__xludf.DUMMYFUNCTION("VLOOKUP(C44,IMPORTRANGE(""https://docs.google.com/spreadsheets/d/1P8eX0NWBhUPS_hvzA11R6jkTNFrPrRYIx_dX_hYbxrk/edit?resourcekey=0-iw9bsKY2OqkUHCFMkCar3A&amp;gid=2055363397#gid=2055363397"",""MTR!C:O""),11,false)"),"TAM")</f>
        <v>TAM</v>
      </c>
      <c r="N44" s="248" t="str">
        <f>IFERROR(__xludf.DUMMYFUNCTION("VLOOKUP(C44,IMPORTRANGE(""https://docs.google.com/spreadsheets/d/1ihFlp3_ePlYtFuPbUNbYj1muErVpI73WHXbEwJDIA7Q/edit#gid=1493122344"",""MTR!C:O""),8,false)"),"Complies")</f>
        <v>Complies</v>
      </c>
      <c r="O44" s="241" t="str">
        <f>IFERROR(__xludf.DUMMYFUNCTION("VLOOKUP(C44,IMPORTRANGE(""https://docs.google.com/spreadsheets/d/1P8eX0NWBhUPS_hvzA11R6jkTNFrPrRYIx_dX_hYbxrk/edit?resourcekey=0-iw9bsKY2OqkUHCFMkCar3A&amp;gid=2055363397#gid=2055363397"",""MTR!C:O""),9,false)"),"")</f>
        <v/>
      </c>
      <c r="P44" s="241"/>
      <c r="Q44" s="251" t="s">
        <v>445</v>
      </c>
      <c r="R44" s="241"/>
      <c r="S44" s="154" t="s">
        <v>60</v>
      </c>
      <c r="T44" s="154" t="s">
        <v>60</v>
      </c>
      <c r="U44" s="154" t="s">
        <v>60</v>
      </c>
      <c r="V44" s="154" t="s">
        <v>60</v>
      </c>
      <c r="W44" s="154" t="s">
        <v>60</v>
      </c>
      <c r="X44" s="154" t="s">
        <v>60</v>
      </c>
      <c r="Y44" s="154" t="s">
        <v>60</v>
      </c>
      <c r="Z44" s="154" t="s">
        <v>60</v>
      </c>
      <c r="AA44" s="154" t="s">
        <v>60</v>
      </c>
      <c r="AB44" s="154"/>
      <c r="AC44" s="242" t="b">
        <f t="shared" si="2"/>
        <v>1</v>
      </c>
      <c r="AD44" s="154" t="s">
        <v>391</v>
      </c>
      <c r="AE44" s="243" t="b">
        <f t="shared" si="3"/>
        <v>0</v>
      </c>
      <c r="AF44" s="154"/>
      <c r="AG44" s="243" t="b">
        <f t="shared" si="4"/>
        <v>0</v>
      </c>
      <c r="AH44" s="154"/>
      <c r="AI44" s="243" t="str">
        <f t="shared" si="5"/>
        <v>N/A</v>
      </c>
      <c r="AJ44" s="157" t="str">
        <f t="shared" si="6"/>
        <v/>
      </c>
    </row>
    <row r="45" ht="12.75" customHeight="1">
      <c r="A45" s="244" t="s">
        <v>386</v>
      </c>
      <c r="B45" s="244" t="s">
        <v>496</v>
      </c>
      <c r="C45" s="244" t="s">
        <v>532</v>
      </c>
      <c r="D45" s="154" t="s">
        <v>528</v>
      </c>
      <c r="E45" s="250"/>
      <c r="F45" s="154" t="str">
        <f t="array" ref="F45">XLOOKUP(Cover!$D$12,$S$1:$AA$1,$S45:$AA45)</f>
        <v>Recommended</v>
      </c>
      <c r="G45" s="154" t="s">
        <v>533</v>
      </c>
      <c r="H45" s="154"/>
      <c r="I45" s="154" t="s">
        <v>414</v>
      </c>
      <c r="J45" s="154" t="s">
        <v>445</v>
      </c>
      <c r="K45" s="154"/>
      <c r="L45" s="154" t="str">
        <f t="shared" si="1"/>
        <v/>
      </c>
      <c r="M45" s="248" t="str">
        <f>IFERROR(__xludf.DUMMYFUNCTION("VLOOKUP(C45,IMPORTRANGE(""https://docs.google.com/spreadsheets/d/1P8eX0NWBhUPS_hvzA11R6jkTNFrPrRYIx_dX_hYbxrk/edit?resourcekey=0-iw9bsKY2OqkUHCFMkCar3A&amp;gid=2055363397#gid=2055363397"",""MTR!C:O""),11,false)"),"TAM")</f>
        <v>TAM</v>
      </c>
      <c r="N45" s="248" t="str">
        <f>IFERROR(__xludf.DUMMYFUNCTION("VLOOKUP(C45,IMPORTRANGE(""https://docs.google.com/spreadsheets/d/1ihFlp3_ePlYtFuPbUNbYj1muErVpI73WHXbEwJDIA7Q/edit#gid=1493122344"",""MTR!C:O""),8,false)"),"Complies")</f>
        <v>Complies</v>
      </c>
      <c r="O45" s="241" t="str">
        <f>IFERROR(__xludf.DUMMYFUNCTION("VLOOKUP(C45,IMPORTRANGE(""https://docs.google.com/spreadsheets/d/1P8eX0NWBhUPS_hvzA11R6jkTNFrPrRYIx_dX_hYbxrk/edit?resourcekey=0-iw9bsKY2OqkUHCFMkCar3A&amp;gid=2055363397#gid=2055363397"",""MTR!C:O""),9,false)"),"")</f>
        <v/>
      </c>
      <c r="P45" s="241"/>
      <c r="Q45" s="251" t="s">
        <v>445</v>
      </c>
      <c r="R45" s="241"/>
      <c r="S45" s="154" t="s">
        <v>64</v>
      </c>
      <c r="T45" s="154" t="s">
        <v>64</v>
      </c>
      <c r="U45" s="154" t="s">
        <v>64</v>
      </c>
      <c r="V45" s="154" t="s">
        <v>64</v>
      </c>
      <c r="W45" s="154" t="s">
        <v>64</v>
      </c>
      <c r="X45" s="154" t="s">
        <v>64</v>
      </c>
      <c r="Y45" s="154" t="s">
        <v>64</v>
      </c>
      <c r="Z45" s="154" t="s">
        <v>64</v>
      </c>
      <c r="AA45" s="154" t="s">
        <v>64</v>
      </c>
      <c r="AB45" s="154"/>
      <c r="AC45" s="242" t="b">
        <f t="shared" si="2"/>
        <v>1</v>
      </c>
      <c r="AD45" s="154" t="s">
        <v>391</v>
      </c>
      <c r="AE45" s="243" t="b">
        <f t="shared" si="3"/>
        <v>0</v>
      </c>
      <c r="AF45" s="154"/>
      <c r="AG45" s="243" t="b">
        <f t="shared" si="4"/>
        <v>0</v>
      </c>
      <c r="AH45" s="154"/>
      <c r="AI45" s="243" t="str">
        <f t="shared" si="5"/>
        <v>N/A</v>
      </c>
      <c r="AJ45" s="157" t="str">
        <f t="shared" si="6"/>
        <v/>
      </c>
    </row>
    <row r="46" ht="12.75" customHeight="1">
      <c r="A46" s="244" t="s">
        <v>386</v>
      </c>
      <c r="B46" s="244" t="s">
        <v>496</v>
      </c>
      <c r="C46" s="244" t="s">
        <v>534</v>
      </c>
      <c r="D46" s="154" t="s">
        <v>528</v>
      </c>
      <c r="E46" s="250"/>
      <c r="F46" s="154" t="str">
        <f t="array" ref="F46">XLOOKUP(Cover!$D$12,$S$1:$AA$1,$S46:$AA46)</f>
        <v>Mandatory</v>
      </c>
      <c r="G46" s="154" t="s">
        <v>535</v>
      </c>
      <c r="H46" s="154" t="s">
        <v>398</v>
      </c>
      <c r="I46" s="154" t="s">
        <v>505</v>
      </c>
      <c r="J46" s="154" t="s">
        <v>445</v>
      </c>
      <c r="K46" s="154"/>
      <c r="L46" s="154" t="str">
        <f t="shared" si="1"/>
        <v/>
      </c>
      <c r="M46" s="248" t="str">
        <f>IFERROR(__xludf.DUMMYFUNCTION("VLOOKUP(C46,IMPORTRANGE(""https://docs.google.com/spreadsheets/d/1P8eX0NWBhUPS_hvzA11R6jkTNFrPrRYIx_dX_hYbxrk/edit?resourcekey=0-iw9bsKY2OqkUHCFMkCar3A&amp;gid=2055363397#gid=2055363397"",""MTR!C:O""),11,false)"),"TAM")</f>
        <v>TAM</v>
      </c>
      <c r="N46" s="248" t="str">
        <f>IFERROR(__xludf.DUMMYFUNCTION("VLOOKUP(C46,IMPORTRANGE(""https://docs.google.com/spreadsheets/d/1ihFlp3_ePlYtFuPbUNbYj1muErVpI73WHXbEwJDIA7Q/edit#gid=1493122344"",""MTR!C:O""),8,false)"),"Complies")</f>
        <v>Complies</v>
      </c>
      <c r="O46" s="241" t="str">
        <f>IFERROR(__xludf.DUMMYFUNCTION("VLOOKUP(C46,IMPORTRANGE(""https://docs.google.com/spreadsheets/d/1P8eX0NWBhUPS_hvzA11R6jkTNFrPrRYIx_dX_hYbxrk/edit?resourcekey=0-iw9bsKY2OqkUHCFMkCar3A&amp;gid=2055363397#gid=2055363397"",""MTR!C:O""),9,false)"),"")</f>
        <v/>
      </c>
      <c r="P46" s="241"/>
      <c r="Q46" s="251" t="s">
        <v>445</v>
      </c>
      <c r="R46" s="241"/>
      <c r="S46" s="154" t="s">
        <v>60</v>
      </c>
      <c r="T46" s="154" t="s">
        <v>60</v>
      </c>
      <c r="U46" s="154" t="s">
        <v>60</v>
      </c>
      <c r="V46" s="154" t="s">
        <v>60</v>
      </c>
      <c r="W46" s="154" t="s">
        <v>60</v>
      </c>
      <c r="X46" s="154" t="s">
        <v>60</v>
      </c>
      <c r="Y46" s="154" t="s">
        <v>60</v>
      </c>
      <c r="Z46" s="154" t="s">
        <v>60</v>
      </c>
      <c r="AA46" s="154" t="s">
        <v>60</v>
      </c>
      <c r="AB46" s="154"/>
      <c r="AC46" s="242" t="b">
        <f t="shared" si="2"/>
        <v>1</v>
      </c>
      <c r="AD46" s="154" t="s">
        <v>391</v>
      </c>
      <c r="AE46" s="243" t="b">
        <f t="shared" si="3"/>
        <v>0</v>
      </c>
      <c r="AF46" s="154"/>
      <c r="AG46" s="243" t="b">
        <f t="shared" si="4"/>
        <v>0</v>
      </c>
      <c r="AH46" s="154"/>
      <c r="AI46" s="243" t="str">
        <f t="shared" si="5"/>
        <v>N/A</v>
      </c>
      <c r="AJ46" s="157" t="str">
        <f t="shared" si="6"/>
        <v/>
      </c>
    </row>
    <row r="47" ht="12.75" customHeight="1">
      <c r="A47" s="244" t="s">
        <v>386</v>
      </c>
      <c r="B47" s="244" t="s">
        <v>496</v>
      </c>
      <c r="C47" s="244" t="s">
        <v>536</v>
      </c>
      <c r="D47" s="154" t="s">
        <v>528</v>
      </c>
      <c r="E47" s="250"/>
      <c r="F47" s="154" t="str">
        <f t="array" ref="F47">XLOOKUP(Cover!$D$12,$S$1:$AA$1,$S47:$AA47)</f>
        <v>Mandatory</v>
      </c>
      <c r="G47" s="154" t="s">
        <v>537</v>
      </c>
      <c r="H47" s="154" t="s">
        <v>398</v>
      </c>
      <c r="I47" s="154" t="s">
        <v>414</v>
      </c>
      <c r="J47" s="154" t="s">
        <v>445</v>
      </c>
      <c r="K47" s="154"/>
      <c r="L47" s="154" t="str">
        <f t="shared" si="1"/>
        <v/>
      </c>
      <c r="M47" s="248" t="str">
        <f>IFERROR(__xludf.DUMMYFUNCTION("VLOOKUP(C47,IMPORTRANGE(""https://docs.google.com/spreadsheets/d/1P8eX0NWBhUPS_hvzA11R6jkTNFrPrRYIx_dX_hYbxrk/edit?resourcekey=0-iw9bsKY2OqkUHCFMkCar3A&amp;gid=2055363397#gid=2055363397"",""MTR!C:O""),11,false)"),"TAM")</f>
        <v>TAM</v>
      </c>
      <c r="N47" s="248" t="str">
        <f>IFERROR(__xludf.DUMMYFUNCTION("VLOOKUP(C47,IMPORTRANGE(""https://docs.google.com/spreadsheets/d/1ihFlp3_ePlYtFuPbUNbYj1muErVpI73WHXbEwJDIA7Q/edit#gid=1493122344"",""MTR!C:O""),8,false)"),"Complies")</f>
        <v>Complies</v>
      </c>
      <c r="O47" s="241" t="str">
        <f>IFERROR(__xludf.DUMMYFUNCTION("VLOOKUP(C47,IMPORTRANGE(""https://docs.google.com/spreadsheets/d/1P8eX0NWBhUPS_hvzA11R6jkTNFrPrRYIx_dX_hYbxrk/edit?resourcekey=0-iw9bsKY2OqkUHCFMkCar3A&amp;gid=2055363397#gid=2055363397"",""MTR!C:O""),9,false)"),"")</f>
        <v/>
      </c>
      <c r="P47" s="241"/>
      <c r="Q47" s="251" t="s">
        <v>445</v>
      </c>
      <c r="R47" s="241"/>
      <c r="S47" s="154" t="s">
        <v>60</v>
      </c>
      <c r="T47" s="154" t="s">
        <v>60</v>
      </c>
      <c r="U47" s="154" t="s">
        <v>60</v>
      </c>
      <c r="V47" s="154" t="s">
        <v>60</v>
      </c>
      <c r="W47" s="154" t="s">
        <v>60</v>
      </c>
      <c r="X47" s="154" t="s">
        <v>60</v>
      </c>
      <c r="Y47" s="154" t="s">
        <v>60</v>
      </c>
      <c r="Z47" s="154" t="s">
        <v>60</v>
      </c>
      <c r="AA47" s="154" t="s">
        <v>60</v>
      </c>
      <c r="AB47" s="154"/>
      <c r="AC47" s="242" t="b">
        <f t="shared" si="2"/>
        <v>1</v>
      </c>
      <c r="AD47" s="154" t="s">
        <v>391</v>
      </c>
      <c r="AE47" s="243" t="b">
        <f t="shared" si="3"/>
        <v>0</v>
      </c>
      <c r="AF47" s="154"/>
      <c r="AG47" s="243" t="b">
        <f t="shared" si="4"/>
        <v>0</v>
      </c>
      <c r="AH47" s="154"/>
      <c r="AI47" s="243" t="str">
        <f t="shared" si="5"/>
        <v>N/A</v>
      </c>
      <c r="AJ47" s="157" t="str">
        <f t="shared" si="6"/>
        <v/>
      </c>
    </row>
    <row r="48" ht="12.75" customHeight="1">
      <c r="A48" s="244" t="s">
        <v>386</v>
      </c>
      <c r="B48" s="244" t="s">
        <v>496</v>
      </c>
      <c r="C48" s="244" t="s">
        <v>538</v>
      </c>
      <c r="D48" s="154" t="s">
        <v>433</v>
      </c>
      <c r="E48" s="250"/>
      <c r="F48" s="154" t="str">
        <f t="array" ref="F48">XLOOKUP(Cover!$D$12,$S$1:$AA$1,$S48:$AA48)</f>
        <v>Mandatory</v>
      </c>
      <c r="G48" s="154" t="s">
        <v>539</v>
      </c>
      <c r="H48" s="154" t="s">
        <v>398</v>
      </c>
      <c r="I48" s="154" t="s">
        <v>505</v>
      </c>
      <c r="J48" s="154" t="s">
        <v>445</v>
      </c>
      <c r="K48" s="154" t="s">
        <v>540</v>
      </c>
      <c r="L48" s="154" t="str">
        <f t="shared" si="1"/>
        <v/>
      </c>
      <c r="M48" s="248" t="str">
        <f>IFERROR(__xludf.DUMMYFUNCTION("VLOOKUP(C48,IMPORTRANGE(""https://docs.google.com/spreadsheets/d/1P8eX0NWBhUPS_hvzA11R6jkTNFrPrRYIx_dX_hYbxrk/edit?resourcekey=0-iw9bsKY2OqkUHCFMkCar3A&amp;gid=2055363397#gid=2055363397"",""MTR!C:O""),11,false)"),"TAM")</f>
        <v>TAM</v>
      </c>
      <c r="N48" s="248" t="str">
        <f>IFERROR(__xludf.DUMMYFUNCTION("VLOOKUP(C48,IMPORTRANGE(""https://docs.google.com/spreadsheets/d/1ihFlp3_ePlYtFuPbUNbYj1muErVpI73WHXbEwJDIA7Q/edit#gid=1493122344"",""MTR!C:O""),8,false)"),"Complies")</f>
        <v>Complies</v>
      </c>
      <c r="O48" s="248" t="str">
        <f>IFERROR(__xludf.DUMMYFUNCTION("VLOOKUP(C48,IMPORTRANGE(""https://docs.google.com/spreadsheets/d/1P8eX0NWBhUPS_hvzA11R6jkTNFrPrRYIx_dX_hYbxrk/edit?resourcekey=0-iw9bsKY2OqkUHCFMkCar3A&amp;gid=2055363397#gid=2055363397"",""MTR!C:O""),9,false)"),"The Retail box has 25% post-industrial waste. The master shippers that the Retail boxes are shipped into are made of 80-90% recycled content.")</f>
        <v>The Retail box has 25% post-industrial waste. The master shippers that the Retail boxes are shipped into are made of 80-90% recycled content.</v>
      </c>
      <c r="P48" s="248"/>
      <c r="Q48" s="249" t="s">
        <v>445</v>
      </c>
      <c r="R48" s="249" t="s">
        <v>540</v>
      </c>
      <c r="S48" s="154" t="s">
        <v>60</v>
      </c>
      <c r="T48" s="154" t="s">
        <v>60</v>
      </c>
      <c r="U48" s="154" t="s">
        <v>60</v>
      </c>
      <c r="V48" s="154" t="s">
        <v>60</v>
      </c>
      <c r="W48" s="154" t="s">
        <v>60</v>
      </c>
      <c r="X48" s="154" t="s">
        <v>60</v>
      </c>
      <c r="Y48" s="154" t="s">
        <v>60</v>
      </c>
      <c r="Z48" s="154" t="s">
        <v>60</v>
      </c>
      <c r="AA48" s="154" t="s">
        <v>60</v>
      </c>
      <c r="AB48" s="154"/>
      <c r="AC48" s="242" t="b">
        <f t="shared" si="2"/>
        <v>1</v>
      </c>
      <c r="AD48" s="154" t="s">
        <v>445</v>
      </c>
      <c r="AE48" s="243" t="b">
        <f t="shared" si="3"/>
        <v>0</v>
      </c>
      <c r="AF48" s="154"/>
      <c r="AG48" s="243" t="b">
        <f t="shared" si="4"/>
        <v>0</v>
      </c>
      <c r="AH48" s="154"/>
      <c r="AI48" s="243" t="str">
        <f t="shared" si="5"/>
        <v>N/A</v>
      </c>
      <c r="AJ48" s="157" t="str">
        <f t="shared" si="6"/>
        <v/>
      </c>
    </row>
    <row r="49" ht="12.75" customHeight="1">
      <c r="A49" s="244" t="s">
        <v>386</v>
      </c>
      <c r="B49" s="244" t="s">
        <v>496</v>
      </c>
      <c r="C49" s="244" t="s">
        <v>541</v>
      </c>
      <c r="D49" s="154" t="s">
        <v>542</v>
      </c>
      <c r="E49" s="250"/>
      <c r="F49" s="154" t="str">
        <f t="array" ref="F49">XLOOKUP(Cover!$D$12,$S$1:$AA$1,$S49:$AA49)</f>
        <v>Mandatory</v>
      </c>
      <c r="G49" s="258" t="s">
        <v>543</v>
      </c>
      <c r="H49" s="154" t="s">
        <v>398</v>
      </c>
      <c r="I49" s="154" t="s">
        <v>505</v>
      </c>
      <c r="J49" s="154" t="s">
        <v>445</v>
      </c>
      <c r="K49" s="154" t="s">
        <v>544</v>
      </c>
      <c r="L49" s="154" t="str">
        <f t="shared" si="1"/>
        <v/>
      </c>
      <c r="M49" s="248" t="str">
        <f>IFERROR(__xludf.DUMMYFUNCTION("VLOOKUP(C49,IMPORTRANGE(""https://docs.google.com/spreadsheets/d/1P8eX0NWBhUPS_hvzA11R6jkTNFrPrRYIx_dX_hYbxrk/edit?resourcekey=0-iw9bsKY2OqkUHCFMkCar3A&amp;gid=2055363397#gid=2055363397"",""MTR!C:O""),11,false)"),"TAM")</f>
        <v>TAM</v>
      </c>
      <c r="N49" s="248" t="str">
        <f>IFERROR(__xludf.DUMMYFUNCTION("VLOOKUP(C49,IMPORTRANGE(""https://docs.google.com/spreadsheets/d/1ihFlp3_ePlYtFuPbUNbYj1muErVpI73WHXbEwJDIA7Q/edit#gid=1493122344"",""MTR!C:O""),8,false)"),"Complies")</f>
        <v>Complies</v>
      </c>
      <c r="O49" s="248" t="str">
        <f>IFERROR(__xludf.DUMMYFUNCTION("VLOOKUP(C49,IMPORTRANGE(""https://docs.google.com/spreadsheets/d/1P8eX0NWBhUPS_hvzA11R6jkTNFrPrRYIx_dX_hYbxrk/edit?resourcekey=0-iw9bsKY2OqkUHCFMkCar3A&amp;gid=2055363397#gid=2055363397"",""MTR!C:O""),9,false)"),"Soy inks are used for printing the pkg material.")</f>
        <v>Soy inks are used for printing the pkg material.</v>
      </c>
      <c r="P49" s="248"/>
      <c r="Q49" s="249" t="s">
        <v>445</v>
      </c>
      <c r="R49" s="249" t="s">
        <v>544</v>
      </c>
      <c r="S49" s="154" t="s">
        <v>60</v>
      </c>
      <c r="T49" s="154" t="s">
        <v>60</v>
      </c>
      <c r="U49" s="154" t="s">
        <v>60</v>
      </c>
      <c r="V49" s="154" t="s">
        <v>60</v>
      </c>
      <c r="W49" s="154" t="s">
        <v>60</v>
      </c>
      <c r="X49" s="154" t="s">
        <v>60</v>
      </c>
      <c r="Y49" s="154" t="s">
        <v>60</v>
      </c>
      <c r="Z49" s="154" t="s">
        <v>60</v>
      </c>
      <c r="AA49" s="154" t="s">
        <v>60</v>
      </c>
      <c r="AB49" s="154"/>
      <c r="AC49" s="242" t="b">
        <f t="shared" si="2"/>
        <v>1</v>
      </c>
      <c r="AD49" s="154" t="s">
        <v>391</v>
      </c>
      <c r="AE49" s="243" t="b">
        <f t="shared" si="3"/>
        <v>0</v>
      </c>
      <c r="AF49" s="154"/>
      <c r="AG49" s="243" t="b">
        <f t="shared" si="4"/>
        <v>0</v>
      </c>
      <c r="AH49" s="154"/>
      <c r="AI49" s="243" t="str">
        <f t="shared" si="5"/>
        <v>N/A</v>
      </c>
      <c r="AJ49" s="157" t="str">
        <f t="shared" si="6"/>
        <v/>
      </c>
    </row>
    <row r="50" ht="12.75" customHeight="1">
      <c r="A50" s="244" t="s">
        <v>386</v>
      </c>
      <c r="B50" s="244" t="s">
        <v>496</v>
      </c>
      <c r="C50" s="245" t="s">
        <v>545</v>
      </c>
      <c r="D50" s="155" t="s">
        <v>546</v>
      </c>
      <c r="E50" s="246" t="s">
        <v>92</v>
      </c>
      <c r="F50" s="154" t="str">
        <f t="array" ref="F50">XLOOKUP(Cover!$D$12,$S$1:$AA$1,$S50:$AA50)</f>
        <v>Mandatory</v>
      </c>
      <c r="G50" s="154" t="s">
        <v>547</v>
      </c>
      <c r="H50" s="154" t="s">
        <v>398</v>
      </c>
      <c r="I50" s="154" t="s">
        <v>505</v>
      </c>
      <c r="J50" s="154" t="s">
        <v>445</v>
      </c>
      <c r="K50" s="154"/>
      <c r="L50" s="154" t="str">
        <f t="shared" si="1"/>
        <v/>
      </c>
      <c r="M50" s="248" t="str">
        <f>IFERROR(__xludf.DUMMYFUNCTION("VLOOKUP(C50,IMPORTRANGE(""https://docs.google.com/spreadsheets/d/1P8eX0NWBhUPS_hvzA11R6jkTNFrPrRYIx_dX_hYbxrk/edit?resourcekey=0-iw9bsKY2OqkUHCFMkCar3A&amp;gid=2055363397#gid=2055363397"",""MTR!C:O""),11,false)"),"TAM")</f>
        <v>TAM</v>
      </c>
      <c r="N50" s="248" t="str">
        <f>IFERROR(__xludf.DUMMYFUNCTION("VLOOKUP(C50,IMPORTRANGE(""https://docs.google.com/spreadsheets/d/1ihFlp3_ePlYtFuPbUNbYj1muErVpI73WHXbEwJDIA7Q/edit#gid=1493122344"",""MTR!C:O""),8,false)"),"Complies")</f>
        <v>Complies</v>
      </c>
      <c r="O50" s="241" t="str">
        <f>IFERROR(__xludf.DUMMYFUNCTION("VLOOKUP(C50,IMPORTRANGE(""https://docs.google.com/spreadsheets/d/1P8eX0NWBhUPS_hvzA11R6jkTNFrPrRYIx_dX_hYbxrk/edit?resourcekey=0-iw9bsKY2OqkUHCFMkCar3A&amp;gid=2055363397#gid=2055363397"",""MTR!C:O""),9,false)"),"")</f>
        <v/>
      </c>
      <c r="P50" s="241"/>
      <c r="Q50" s="251" t="s">
        <v>445</v>
      </c>
      <c r="R50" s="241"/>
      <c r="S50" s="154" t="s">
        <v>60</v>
      </c>
      <c r="T50" s="154" t="s">
        <v>60</v>
      </c>
      <c r="U50" s="154" t="s">
        <v>60</v>
      </c>
      <c r="V50" s="154" t="s">
        <v>60</v>
      </c>
      <c r="W50" s="154" t="s">
        <v>60</v>
      </c>
      <c r="X50" s="154" t="s">
        <v>60</v>
      </c>
      <c r="Y50" s="154" t="s">
        <v>60</v>
      </c>
      <c r="Z50" s="154" t="s">
        <v>60</v>
      </c>
      <c r="AA50" s="154" t="s">
        <v>60</v>
      </c>
      <c r="AB50" s="154"/>
      <c r="AC50" s="242" t="b">
        <f t="shared" si="2"/>
        <v>1</v>
      </c>
      <c r="AD50" s="154" t="s">
        <v>391</v>
      </c>
      <c r="AE50" s="243" t="b">
        <f t="shared" si="3"/>
        <v>0</v>
      </c>
      <c r="AF50" s="154"/>
      <c r="AG50" s="243" t="b">
        <f t="shared" si="4"/>
        <v>0</v>
      </c>
      <c r="AH50" s="154"/>
      <c r="AI50" s="243" t="str">
        <f t="shared" si="5"/>
        <v>N/A</v>
      </c>
      <c r="AJ50" s="157" t="str">
        <f t="shared" si="6"/>
        <v/>
      </c>
    </row>
    <row r="51" ht="12.75" customHeight="1">
      <c r="A51" s="238" t="s">
        <v>386</v>
      </c>
      <c r="B51" s="238" t="s">
        <v>496</v>
      </c>
      <c r="C51" s="238" t="s">
        <v>548</v>
      </c>
      <c r="D51" s="240"/>
      <c r="E51" s="252" t="s">
        <v>489</v>
      </c>
      <c r="F51" s="154" t="str">
        <f t="array" ref="F51">XLOOKUP(Cover!$D$12,$S$1:$AA$1,$S51:$AA51)</f>
        <v>Heading</v>
      </c>
      <c r="G51" s="239" t="s">
        <v>549</v>
      </c>
      <c r="H51" s="240"/>
      <c r="I51" s="240" t="s">
        <v>550</v>
      </c>
      <c r="J51" s="240"/>
      <c r="K51" s="240"/>
      <c r="L51" s="154" t="str">
        <f t="shared" si="1"/>
        <v/>
      </c>
      <c r="M51" s="253" t="str">
        <f>IFERROR(__xludf.DUMMYFUNCTION("VLOOKUP(C51,IMPORTRANGE(""https://docs.google.com/spreadsheets/d/1P8eX0NWBhUPS_hvzA11R6jkTNFrPrRYIx_dX_hYbxrk/edit?resourcekey=0-iw9bsKY2OqkUHCFMkCar3A&amp;gid=2055363397#gid=2055363397"",""MTR!C:O""),11,false)"),"#N/A")</f>
        <v>#N/A</v>
      </c>
      <c r="N51" s="253" t="str">
        <f>IFERROR(__xludf.DUMMYFUNCTION("VLOOKUP(C51,IMPORTRANGE(""https://docs.google.com/spreadsheets/d/1ihFlp3_ePlYtFuPbUNbYj1muErVpI73WHXbEwJDIA7Q/edit#gid=1493122344"",""MTR!C:O""),8,false)"),"#N/A")</f>
        <v>#N/A</v>
      </c>
      <c r="O51" s="253" t="str">
        <f>IFERROR(__xludf.DUMMYFUNCTION("VLOOKUP(C51,IMPORTRANGE(""https://docs.google.com/spreadsheets/d/1P8eX0NWBhUPS_hvzA11R6jkTNFrPrRYIx_dX_hYbxrk/edit?resourcekey=0-iw9bsKY2OqkUHCFMkCar3A&amp;gid=2055363397#gid=2055363397"",""MTR!C:O""),9,false)"),"#N/A")</f>
        <v>#N/A</v>
      </c>
      <c r="P51" s="253"/>
      <c r="Q51" s="253"/>
      <c r="R51" s="253"/>
      <c r="S51" s="240" t="s">
        <v>390</v>
      </c>
      <c r="T51" s="240" t="s">
        <v>390</v>
      </c>
      <c r="U51" s="240" t="s">
        <v>390</v>
      </c>
      <c r="V51" s="240" t="s">
        <v>390</v>
      </c>
      <c r="W51" s="240" t="s">
        <v>390</v>
      </c>
      <c r="X51" s="240" t="s">
        <v>390</v>
      </c>
      <c r="Y51" s="240" t="s">
        <v>390</v>
      </c>
      <c r="Z51" s="240" t="s">
        <v>390</v>
      </c>
      <c r="AA51" s="240" t="s">
        <v>390</v>
      </c>
      <c r="AB51" s="240"/>
      <c r="AC51" s="242" t="b">
        <f t="shared" si="2"/>
        <v>0</v>
      </c>
      <c r="AD51" s="240" t="s">
        <v>391</v>
      </c>
      <c r="AE51" s="243" t="b">
        <f t="shared" si="3"/>
        <v>0</v>
      </c>
      <c r="AF51" s="240"/>
      <c r="AG51" s="243" t="b">
        <f t="shared" si="4"/>
        <v>0</v>
      </c>
      <c r="AH51" s="240"/>
      <c r="AI51" s="243" t="str">
        <f t="shared" si="5"/>
        <v>N/A</v>
      </c>
      <c r="AJ51" s="157" t="str">
        <f t="shared" si="6"/>
        <v/>
      </c>
    </row>
    <row r="52" ht="12.75" customHeight="1">
      <c r="A52" s="244" t="s">
        <v>386</v>
      </c>
      <c r="B52" s="244" t="s">
        <v>496</v>
      </c>
      <c r="C52" s="255" t="s">
        <v>551</v>
      </c>
      <c r="D52" s="256" t="s">
        <v>42</v>
      </c>
      <c r="E52" s="257" t="s">
        <v>489</v>
      </c>
      <c r="F52" s="154" t="str">
        <f t="array" ref="F52">XLOOKUP(Cover!$D$12,$S$1:$AA$1,$S52:$AA52)</f>
        <v>Mandatory</v>
      </c>
      <c r="G52" s="154" t="s">
        <v>552</v>
      </c>
      <c r="H52" s="154"/>
      <c r="I52" s="154" t="s">
        <v>553</v>
      </c>
      <c r="J52" s="154"/>
      <c r="K52" s="154"/>
      <c r="L52" s="154" t="str">
        <f t="shared" si="1"/>
        <v>Compliance Statement missing!</v>
      </c>
      <c r="M52" s="253" t="s">
        <v>554</v>
      </c>
      <c r="N52" s="253" t="str">
        <f>IFERROR(__xludf.DUMMYFUNCTION("VLOOKUP(C52,IMPORTRANGE(""https://docs.google.com/spreadsheets/d/1ihFlp3_ePlYtFuPbUNbYj1muErVpI73WHXbEwJDIA7Q/edit#gid=1493122344"",""MTR!C:O""),8,false)"),"#N/A")</f>
        <v>#N/A</v>
      </c>
      <c r="O52" s="253" t="str">
        <f>IFERROR(__xludf.DUMMYFUNCTION("VLOOKUP(C52,IMPORTRANGE(""https://docs.google.com/spreadsheets/d/1P8eX0NWBhUPS_hvzA11R6jkTNFrPrRYIx_dX_hYbxrk/edit?resourcekey=0-iw9bsKY2OqkUHCFMkCar3A&amp;gid=2055363397#gid=2055363397"",""MTR!C:O""),9,false)"),"#N/A")</f>
        <v>#N/A</v>
      </c>
      <c r="P52" s="253"/>
      <c r="Q52" s="253"/>
      <c r="R52" s="253"/>
      <c r="S52" s="154" t="s">
        <v>60</v>
      </c>
      <c r="T52" s="154" t="s">
        <v>60</v>
      </c>
      <c r="U52" s="154" t="s">
        <v>60</v>
      </c>
      <c r="V52" s="154" t="s">
        <v>60</v>
      </c>
      <c r="W52" s="154" t="s">
        <v>60</v>
      </c>
      <c r="X52" s="154" t="s">
        <v>60</v>
      </c>
      <c r="Y52" s="154" t="s">
        <v>60</v>
      </c>
      <c r="Z52" s="154" t="s">
        <v>60</v>
      </c>
      <c r="AA52" s="154" t="s">
        <v>60</v>
      </c>
      <c r="AB52" s="154"/>
      <c r="AC52" s="242" t="b">
        <f t="shared" si="2"/>
        <v>0</v>
      </c>
      <c r="AD52" s="154" t="s">
        <v>391</v>
      </c>
      <c r="AE52" s="243" t="b">
        <f t="shared" si="3"/>
        <v>0</v>
      </c>
      <c r="AF52" s="154"/>
      <c r="AG52" s="243" t="b">
        <f t="shared" si="4"/>
        <v>0</v>
      </c>
      <c r="AH52" s="154"/>
      <c r="AI52" s="243" t="str">
        <f t="shared" si="5"/>
        <v>N/A</v>
      </c>
      <c r="AJ52" s="157" t="str">
        <f t="shared" si="6"/>
        <v>Compliance Statement missing!</v>
      </c>
    </row>
    <row r="53" ht="12.75" customHeight="1">
      <c r="A53" s="244" t="s">
        <v>386</v>
      </c>
      <c r="B53" s="244" t="s">
        <v>496</v>
      </c>
      <c r="C53" s="255" t="s">
        <v>555</v>
      </c>
      <c r="D53" s="256" t="s">
        <v>42</v>
      </c>
      <c r="E53" s="257" t="s">
        <v>489</v>
      </c>
      <c r="F53" s="154" t="str">
        <f t="array" ref="F53">XLOOKUP(Cover!$D$12,$S$1:$AA$1,$S53:$AA53)</f>
        <v>Mandatory</v>
      </c>
      <c r="G53" s="154" t="s">
        <v>556</v>
      </c>
      <c r="H53" s="154"/>
      <c r="I53" s="154" t="s">
        <v>553</v>
      </c>
      <c r="J53" s="154"/>
      <c r="K53" s="154"/>
      <c r="L53" s="154" t="str">
        <f t="shared" si="1"/>
        <v>Compliance Statement missing!</v>
      </c>
      <c r="M53" s="253" t="s">
        <v>554</v>
      </c>
      <c r="N53" s="253" t="str">
        <f>IFERROR(__xludf.DUMMYFUNCTION("VLOOKUP(C53,IMPORTRANGE(""https://docs.google.com/spreadsheets/d/1ihFlp3_ePlYtFuPbUNbYj1muErVpI73WHXbEwJDIA7Q/edit#gid=1493122344"",""MTR!C:O""),8,false)"),"#N/A")</f>
        <v>#N/A</v>
      </c>
      <c r="O53" s="253" t="str">
        <f>IFERROR(__xludf.DUMMYFUNCTION("VLOOKUP(C53,IMPORTRANGE(""https://docs.google.com/spreadsheets/d/1P8eX0NWBhUPS_hvzA11R6jkTNFrPrRYIx_dX_hYbxrk/edit?resourcekey=0-iw9bsKY2OqkUHCFMkCar3A&amp;gid=2055363397#gid=2055363397"",""MTR!C:O""),9,false)"),"#N/A")</f>
        <v>#N/A</v>
      </c>
      <c r="P53" s="253"/>
      <c r="Q53" s="253"/>
      <c r="R53" s="253"/>
      <c r="S53" s="154" t="s">
        <v>68</v>
      </c>
      <c r="T53" s="154" t="s">
        <v>60</v>
      </c>
      <c r="U53" s="154" t="s">
        <v>60</v>
      </c>
      <c r="V53" s="154" t="s">
        <v>60</v>
      </c>
      <c r="W53" s="154" t="s">
        <v>60</v>
      </c>
      <c r="X53" s="154" t="s">
        <v>60</v>
      </c>
      <c r="Y53" s="154" t="s">
        <v>60</v>
      </c>
      <c r="Z53" s="154" t="s">
        <v>60</v>
      </c>
      <c r="AA53" s="154" t="s">
        <v>60</v>
      </c>
      <c r="AB53" s="154"/>
      <c r="AC53" s="242" t="b">
        <f t="shared" si="2"/>
        <v>0</v>
      </c>
      <c r="AD53" s="154" t="s">
        <v>391</v>
      </c>
      <c r="AE53" s="243" t="b">
        <f t="shared" si="3"/>
        <v>0</v>
      </c>
      <c r="AF53" s="154"/>
      <c r="AG53" s="243" t="b">
        <f t="shared" si="4"/>
        <v>0</v>
      </c>
      <c r="AH53" s="154"/>
      <c r="AI53" s="243" t="str">
        <f t="shared" si="5"/>
        <v>N/A</v>
      </c>
      <c r="AJ53" s="157" t="str">
        <f t="shared" si="6"/>
        <v>Compliance Statement missing!</v>
      </c>
    </row>
    <row r="54" ht="12.75" customHeight="1">
      <c r="A54" s="244" t="s">
        <v>386</v>
      </c>
      <c r="B54" s="244" t="s">
        <v>496</v>
      </c>
      <c r="C54" s="255" t="s">
        <v>557</v>
      </c>
      <c r="D54" s="256" t="s">
        <v>42</v>
      </c>
      <c r="E54" s="257" t="s">
        <v>489</v>
      </c>
      <c r="F54" s="154" t="str">
        <f t="array" ref="F54">XLOOKUP(Cover!$D$12,$S$1:$AA$1,$S54:$AA54)</f>
        <v>Mandatory</v>
      </c>
      <c r="G54" s="154" t="s">
        <v>558</v>
      </c>
      <c r="H54" s="154"/>
      <c r="I54" s="154" t="s">
        <v>505</v>
      </c>
      <c r="J54" s="154"/>
      <c r="K54" s="154"/>
      <c r="L54" s="154" t="str">
        <f t="shared" si="1"/>
        <v>Compliance Statement missing!</v>
      </c>
      <c r="M54" s="253" t="s">
        <v>554</v>
      </c>
      <c r="N54" s="253" t="str">
        <f>IFERROR(__xludf.DUMMYFUNCTION("VLOOKUP(C54,IMPORTRANGE(""https://docs.google.com/spreadsheets/d/1ihFlp3_ePlYtFuPbUNbYj1muErVpI73WHXbEwJDIA7Q/edit#gid=1493122344"",""MTR!C:O""),8,false)"),"#N/A")</f>
        <v>#N/A</v>
      </c>
      <c r="O54" s="253" t="str">
        <f>IFERROR(__xludf.DUMMYFUNCTION("VLOOKUP(C54,IMPORTRANGE(""https://docs.google.com/spreadsheets/d/1P8eX0NWBhUPS_hvzA11R6jkTNFrPrRYIx_dX_hYbxrk/edit?resourcekey=0-iw9bsKY2OqkUHCFMkCar3A&amp;gid=2055363397#gid=2055363397"",""MTR!C:O""),9,false)"),"#N/A")</f>
        <v>#N/A</v>
      </c>
      <c r="P54" s="253"/>
      <c r="Q54" s="253"/>
      <c r="R54" s="253"/>
      <c r="S54" s="154" t="s">
        <v>60</v>
      </c>
      <c r="T54" s="154" t="s">
        <v>60</v>
      </c>
      <c r="U54" s="154" t="s">
        <v>60</v>
      </c>
      <c r="V54" s="154" t="s">
        <v>60</v>
      </c>
      <c r="W54" s="154" t="s">
        <v>60</v>
      </c>
      <c r="X54" s="154" t="s">
        <v>60</v>
      </c>
      <c r="Y54" s="154" t="s">
        <v>60</v>
      </c>
      <c r="Z54" s="154" t="s">
        <v>60</v>
      </c>
      <c r="AA54" s="154" t="s">
        <v>60</v>
      </c>
      <c r="AB54" s="154"/>
      <c r="AC54" s="242" t="b">
        <f t="shared" si="2"/>
        <v>0</v>
      </c>
      <c r="AD54" s="154" t="s">
        <v>391</v>
      </c>
      <c r="AE54" s="243" t="b">
        <f t="shared" si="3"/>
        <v>0</v>
      </c>
      <c r="AF54" s="154"/>
      <c r="AG54" s="243" t="b">
        <f t="shared" si="4"/>
        <v>0</v>
      </c>
      <c r="AH54" s="154"/>
      <c r="AI54" s="243" t="str">
        <f t="shared" si="5"/>
        <v>N/A</v>
      </c>
      <c r="AJ54" s="157" t="str">
        <f t="shared" si="6"/>
        <v>Compliance Statement missing!</v>
      </c>
    </row>
    <row r="55" ht="12.75" customHeight="1">
      <c r="A55" s="244" t="s">
        <v>386</v>
      </c>
      <c r="B55" s="244" t="s">
        <v>496</v>
      </c>
      <c r="C55" s="255" t="s">
        <v>559</v>
      </c>
      <c r="D55" s="256" t="s">
        <v>42</v>
      </c>
      <c r="E55" s="257" t="s">
        <v>489</v>
      </c>
      <c r="F55" s="154" t="str">
        <f t="array" ref="F55">XLOOKUP(Cover!$D$12,$S$1:$AA$1,$S55:$AA55)</f>
        <v>Mandatory</v>
      </c>
      <c r="G55" s="154" t="s">
        <v>560</v>
      </c>
      <c r="H55" s="154"/>
      <c r="I55" s="154" t="s">
        <v>505</v>
      </c>
      <c r="J55" s="154"/>
      <c r="K55" s="154"/>
      <c r="L55" s="154" t="str">
        <f t="shared" si="1"/>
        <v>Compliance Statement missing!</v>
      </c>
      <c r="M55" s="253" t="s">
        <v>554</v>
      </c>
      <c r="N55" s="253" t="str">
        <f>IFERROR(__xludf.DUMMYFUNCTION("VLOOKUP(C55,IMPORTRANGE(""https://docs.google.com/spreadsheets/d/1ihFlp3_ePlYtFuPbUNbYj1muErVpI73WHXbEwJDIA7Q/edit#gid=1493122344"",""MTR!C:O""),8,false)"),"#N/A")</f>
        <v>#N/A</v>
      </c>
      <c r="O55" s="253" t="str">
        <f>IFERROR(__xludf.DUMMYFUNCTION("VLOOKUP(C55,IMPORTRANGE(""https://docs.google.com/spreadsheets/d/1P8eX0NWBhUPS_hvzA11R6jkTNFrPrRYIx_dX_hYbxrk/edit?resourcekey=0-iw9bsKY2OqkUHCFMkCar3A&amp;gid=2055363397#gid=2055363397"",""MTR!C:O""),9,false)"),"#N/A")</f>
        <v>#N/A</v>
      </c>
      <c r="P55" s="253"/>
      <c r="Q55" s="253"/>
      <c r="R55" s="253"/>
      <c r="S55" s="154" t="s">
        <v>60</v>
      </c>
      <c r="T55" s="154" t="s">
        <v>60</v>
      </c>
      <c r="U55" s="154" t="s">
        <v>60</v>
      </c>
      <c r="V55" s="154" t="s">
        <v>60</v>
      </c>
      <c r="W55" s="154" t="s">
        <v>60</v>
      </c>
      <c r="X55" s="154" t="s">
        <v>60</v>
      </c>
      <c r="Y55" s="154" t="s">
        <v>60</v>
      </c>
      <c r="Z55" s="154" t="s">
        <v>60</v>
      </c>
      <c r="AA55" s="154" t="s">
        <v>60</v>
      </c>
      <c r="AB55" s="154"/>
      <c r="AC55" s="242" t="b">
        <f t="shared" si="2"/>
        <v>0</v>
      </c>
      <c r="AD55" s="154" t="s">
        <v>391</v>
      </c>
      <c r="AE55" s="243" t="b">
        <f t="shared" si="3"/>
        <v>0</v>
      </c>
      <c r="AF55" s="154"/>
      <c r="AG55" s="243" t="b">
        <f t="shared" si="4"/>
        <v>0</v>
      </c>
      <c r="AH55" s="154"/>
      <c r="AI55" s="243" t="str">
        <f t="shared" si="5"/>
        <v>N/A</v>
      </c>
      <c r="AJ55" s="157" t="str">
        <f t="shared" si="6"/>
        <v>Compliance Statement missing!</v>
      </c>
    </row>
    <row r="56" ht="12.75" customHeight="1">
      <c r="A56" s="238" t="s">
        <v>386</v>
      </c>
      <c r="B56" s="238" t="s">
        <v>496</v>
      </c>
      <c r="C56" s="238" t="s">
        <v>561</v>
      </c>
      <c r="D56" s="238"/>
      <c r="E56" s="238"/>
      <c r="F56" s="154" t="str">
        <f t="array" ref="F56">XLOOKUP(Cover!$D$12,$S$1:$AA$1,$S56:$AA56)</f>
        <v>Heading</v>
      </c>
      <c r="G56" s="239" t="s">
        <v>562</v>
      </c>
      <c r="H56" s="240"/>
      <c r="I56" s="240" t="s">
        <v>505</v>
      </c>
      <c r="J56" s="240"/>
      <c r="K56" s="240"/>
      <c r="L56" s="154" t="str">
        <f t="shared" si="1"/>
        <v/>
      </c>
      <c r="M56" s="253" t="str">
        <f>IFERROR(__xludf.DUMMYFUNCTION("VLOOKUP(C56,IMPORTRANGE(""https://docs.google.com/spreadsheets/d/1P8eX0NWBhUPS_hvzA11R6jkTNFrPrRYIx_dX_hYbxrk/edit?resourcekey=0-iw9bsKY2OqkUHCFMkCar3A&amp;gid=2055363397#gid=2055363397"",""MTR!C:O""),11,false)"),"#N/A")</f>
        <v>#N/A</v>
      </c>
      <c r="N56" s="241" t="str">
        <f>IFERROR(__xludf.DUMMYFUNCTION("VLOOKUP(C56,IMPORTRANGE(""https://docs.google.com/spreadsheets/d/1ihFlp3_ePlYtFuPbUNbYj1muErVpI73WHXbEwJDIA7Q/edit#gid=1493122344"",""MTR!C:O""),8,false)"),"")</f>
        <v/>
      </c>
      <c r="O56" s="241" t="str">
        <f>IFERROR(__xludf.DUMMYFUNCTION("VLOOKUP(C56,IMPORTRANGE(""https://docs.google.com/spreadsheets/d/1P8eX0NWBhUPS_hvzA11R6jkTNFrPrRYIx_dX_hYbxrk/edit?resourcekey=0-iw9bsKY2OqkUHCFMkCar3A&amp;gid=2055363397#gid=2055363397"",""MTR!C:O""),9,false)"),"")</f>
        <v/>
      </c>
      <c r="P56" s="241"/>
      <c r="Q56" s="241"/>
      <c r="R56" s="241"/>
      <c r="S56" s="240" t="s">
        <v>390</v>
      </c>
      <c r="T56" s="240" t="s">
        <v>390</v>
      </c>
      <c r="U56" s="240" t="s">
        <v>390</v>
      </c>
      <c r="V56" s="240" t="s">
        <v>390</v>
      </c>
      <c r="W56" s="240" t="s">
        <v>390</v>
      </c>
      <c r="X56" s="240" t="s">
        <v>390</v>
      </c>
      <c r="Y56" s="240" t="s">
        <v>390</v>
      </c>
      <c r="Z56" s="240" t="s">
        <v>390</v>
      </c>
      <c r="AA56" s="240" t="s">
        <v>390</v>
      </c>
      <c r="AB56" s="240"/>
      <c r="AC56" s="242" t="b">
        <f t="shared" si="2"/>
        <v>0</v>
      </c>
      <c r="AD56" s="240" t="s">
        <v>391</v>
      </c>
      <c r="AE56" s="243" t="b">
        <f t="shared" si="3"/>
        <v>0</v>
      </c>
      <c r="AF56" s="240"/>
      <c r="AG56" s="243" t="b">
        <f t="shared" si="4"/>
        <v>0</v>
      </c>
      <c r="AH56" s="240"/>
      <c r="AI56" s="243" t="str">
        <f t="shared" si="5"/>
        <v>N/A</v>
      </c>
      <c r="AJ56" s="157" t="str">
        <f t="shared" si="6"/>
        <v/>
      </c>
    </row>
    <row r="57" ht="12.75" customHeight="1">
      <c r="A57" s="244" t="s">
        <v>386</v>
      </c>
      <c r="B57" s="244" t="s">
        <v>496</v>
      </c>
      <c r="C57" s="245" t="s">
        <v>563</v>
      </c>
      <c r="D57" s="155" t="s">
        <v>503</v>
      </c>
      <c r="E57" s="246" t="s">
        <v>92</v>
      </c>
      <c r="F57" s="154" t="str">
        <f t="array" ref="F57">XLOOKUP(Cover!$D$12,$S$1:$AA$1,$S57:$AA57)</f>
        <v>Mandatory</v>
      </c>
      <c r="G57" s="154" t="s">
        <v>564</v>
      </c>
      <c r="H57" s="154" t="s">
        <v>398</v>
      </c>
      <c r="I57" s="154" t="s">
        <v>505</v>
      </c>
      <c r="J57" s="154" t="s">
        <v>506</v>
      </c>
      <c r="K57" s="154" t="s">
        <v>565</v>
      </c>
      <c r="L57" s="154" t="str">
        <f t="shared" si="1"/>
        <v/>
      </c>
      <c r="M57" s="248" t="str">
        <f>IFERROR(__xludf.DUMMYFUNCTION("VLOOKUP(C57,IMPORTRANGE(""https://docs.google.com/spreadsheets/d/1P8eX0NWBhUPS_hvzA11R6jkTNFrPrRYIx_dX_hYbxrk/edit?resourcekey=0-iw9bsKY2OqkUHCFMkCar3A&amp;gid=2055363397#gid=2055363397"",""MTR!C:O""),11,false)"),"TAM")</f>
        <v>TAM</v>
      </c>
      <c r="N57" s="248" t="str">
        <f>IFERROR(__xludf.DUMMYFUNCTION("VLOOKUP(C57,IMPORTRANGE(""https://docs.google.com/spreadsheets/d/1ihFlp3_ePlYtFuPbUNbYj1muErVpI73WHXbEwJDIA7Q/edit#gid=1493122344"",""MTR!C:O""),8,false)"),"Partially Complies")</f>
        <v>Partially Complies</v>
      </c>
      <c r="O57" s="248" t="str">
        <f>IFERROR(__xludf.DUMMYFUNCTION("VLOOKUP(C57,IMPORTRANGE(""https://docs.google.com/spreadsheets/d/1P8eX0NWBhUPS_hvzA11R6jkTNFrPrRYIx_dX_hYbxrk/edit?resourcekey=0-iw9bsKY2OqkUHCFMkCar3A&amp;gid=2055363397#gid=2055363397"",""MTR!C:O""),9,false)"),"We cannot guarantee there will be no visible damage after drop events")</f>
        <v>We cannot guarantee there will be no visible damage after drop events</v>
      </c>
      <c r="P57" s="248"/>
      <c r="Q57" s="249" t="s">
        <v>506</v>
      </c>
      <c r="R57" s="249" t="s">
        <v>565</v>
      </c>
      <c r="S57" s="154" t="s">
        <v>60</v>
      </c>
      <c r="T57" s="154" t="s">
        <v>60</v>
      </c>
      <c r="U57" s="154" t="s">
        <v>60</v>
      </c>
      <c r="V57" s="154" t="s">
        <v>60</v>
      </c>
      <c r="W57" s="154" t="s">
        <v>60</v>
      </c>
      <c r="X57" s="154" t="s">
        <v>60</v>
      </c>
      <c r="Y57" s="154" t="s">
        <v>60</v>
      </c>
      <c r="Z57" s="154" t="s">
        <v>60</v>
      </c>
      <c r="AA57" s="154" t="s">
        <v>60</v>
      </c>
      <c r="AB57" s="154"/>
      <c r="AC57" s="242" t="b">
        <f t="shared" si="2"/>
        <v>1</v>
      </c>
      <c r="AD57" s="154" t="s">
        <v>391</v>
      </c>
      <c r="AE57" s="243" t="b">
        <f t="shared" si="3"/>
        <v>0</v>
      </c>
      <c r="AF57" s="154"/>
      <c r="AG57" s="243" t="b">
        <f t="shared" si="4"/>
        <v>0</v>
      </c>
      <c r="AH57" s="154"/>
      <c r="AI57" s="243" t="str">
        <f t="shared" si="5"/>
        <v>N/A</v>
      </c>
      <c r="AJ57" s="157" t="str">
        <f t="shared" si="6"/>
        <v/>
      </c>
    </row>
    <row r="58" ht="12.75" customHeight="1">
      <c r="A58" s="244" t="s">
        <v>386</v>
      </c>
      <c r="B58" s="244" t="s">
        <v>496</v>
      </c>
      <c r="C58" s="245" t="s">
        <v>566</v>
      </c>
      <c r="D58" s="155" t="s">
        <v>503</v>
      </c>
      <c r="E58" s="246" t="s">
        <v>92</v>
      </c>
      <c r="F58" s="154" t="str">
        <f t="array" ref="F58">XLOOKUP(Cover!$D$12,$S$1:$AA$1,$S58:$AA58)</f>
        <v>Mandatory</v>
      </c>
      <c r="G58" s="154" t="s">
        <v>567</v>
      </c>
      <c r="H58" s="154" t="s">
        <v>398</v>
      </c>
      <c r="I58" s="154" t="s">
        <v>505</v>
      </c>
      <c r="J58" s="154" t="s">
        <v>506</v>
      </c>
      <c r="K58" s="154" t="s">
        <v>565</v>
      </c>
      <c r="L58" s="154" t="str">
        <f t="shared" si="1"/>
        <v/>
      </c>
      <c r="M58" s="248" t="str">
        <f>IFERROR(__xludf.DUMMYFUNCTION("VLOOKUP(C58,IMPORTRANGE(""https://docs.google.com/spreadsheets/d/1P8eX0NWBhUPS_hvzA11R6jkTNFrPrRYIx_dX_hYbxrk/edit?resourcekey=0-iw9bsKY2OqkUHCFMkCar3A&amp;gid=2055363397#gid=2055363397"",""MTR!C:O""),11,false)"),"TAM")</f>
        <v>TAM</v>
      </c>
      <c r="N58" s="248" t="str">
        <f>IFERROR(__xludf.DUMMYFUNCTION("VLOOKUP(C58,IMPORTRANGE(""https://docs.google.com/spreadsheets/d/1ihFlp3_ePlYtFuPbUNbYj1muErVpI73WHXbEwJDIA7Q/edit#gid=1493122344"",""MTR!C:O""),8,false)"),"Partially Complies")</f>
        <v>Partially Complies</v>
      </c>
      <c r="O58" s="248" t="str">
        <f>IFERROR(__xludf.DUMMYFUNCTION("VLOOKUP(C58,IMPORTRANGE(""https://docs.google.com/spreadsheets/d/1P8eX0NWBhUPS_hvzA11R6jkTNFrPrRYIx_dX_hYbxrk/edit?resourcekey=0-iw9bsKY2OqkUHCFMkCar3A&amp;gid=2055363397#gid=2055363397"",""MTR!C:O""),9,false)"),"We cannot guarantee there will be no visible damage after drop events")</f>
        <v>We cannot guarantee there will be no visible damage after drop events</v>
      </c>
      <c r="P58" s="248"/>
      <c r="Q58" s="249" t="s">
        <v>506</v>
      </c>
      <c r="R58" s="249" t="s">
        <v>565</v>
      </c>
      <c r="S58" s="154" t="s">
        <v>60</v>
      </c>
      <c r="T58" s="154" t="s">
        <v>60</v>
      </c>
      <c r="U58" s="154" t="s">
        <v>60</v>
      </c>
      <c r="V58" s="154" t="s">
        <v>60</v>
      </c>
      <c r="W58" s="154" t="s">
        <v>60</v>
      </c>
      <c r="X58" s="154" t="s">
        <v>60</v>
      </c>
      <c r="Y58" s="154" t="s">
        <v>60</v>
      </c>
      <c r="Z58" s="154" t="s">
        <v>60</v>
      </c>
      <c r="AA58" s="154" t="s">
        <v>60</v>
      </c>
      <c r="AB58" s="154"/>
      <c r="AC58" s="242" t="b">
        <f t="shared" si="2"/>
        <v>1</v>
      </c>
      <c r="AD58" s="154" t="s">
        <v>391</v>
      </c>
      <c r="AE58" s="243" t="b">
        <f t="shared" si="3"/>
        <v>0</v>
      </c>
      <c r="AF58" s="154"/>
      <c r="AG58" s="243" t="b">
        <f t="shared" si="4"/>
        <v>0</v>
      </c>
      <c r="AH58" s="154"/>
      <c r="AI58" s="243" t="str">
        <f t="shared" si="5"/>
        <v>N/A</v>
      </c>
      <c r="AJ58" s="157" t="str">
        <f t="shared" si="6"/>
        <v/>
      </c>
    </row>
    <row r="59" ht="12.75" customHeight="1">
      <c r="A59" s="244" t="s">
        <v>386</v>
      </c>
      <c r="B59" s="244" t="s">
        <v>496</v>
      </c>
      <c r="C59" s="245" t="s">
        <v>568</v>
      </c>
      <c r="D59" s="155" t="s">
        <v>503</v>
      </c>
      <c r="E59" s="246" t="s">
        <v>92</v>
      </c>
      <c r="F59" s="154" t="str">
        <f t="array" ref="F59">XLOOKUP(Cover!$D$12,$S$1:$AA$1,$S59:$AA59)</f>
        <v>Mandatory</v>
      </c>
      <c r="G59" s="154" t="s">
        <v>569</v>
      </c>
      <c r="H59" s="154" t="s">
        <v>398</v>
      </c>
      <c r="I59" s="154" t="s">
        <v>505</v>
      </c>
      <c r="J59" s="154" t="s">
        <v>445</v>
      </c>
      <c r="K59" s="154"/>
      <c r="L59" s="154" t="str">
        <f t="shared" si="1"/>
        <v/>
      </c>
      <c r="M59" s="248" t="str">
        <f>IFERROR(__xludf.DUMMYFUNCTION("VLOOKUP(C59,IMPORTRANGE(""https://docs.google.com/spreadsheets/d/1P8eX0NWBhUPS_hvzA11R6jkTNFrPrRYIx_dX_hYbxrk/edit?resourcekey=0-iw9bsKY2OqkUHCFMkCar3A&amp;gid=2055363397#gid=2055363397"",""MTR!C:O""),11,false)"),"TAM")</f>
        <v>TAM</v>
      </c>
      <c r="N59" s="248" t="str">
        <f>IFERROR(__xludf.DUMMYFUNCTION("VLOOKUP(C59,IMPORTRANGE(""https://docs.google.com/spreadsheets/d/1ihFlp3_ePlYtFuPbUNbYj1muErVpI73WHXbEwJDIA7Q/edit#gid=1493122344"",""MTR!C:O""),8,false)"),"Complies")</f>
        <v>Complies</v>
      </c>
      <c r="O59" s="248" t="str">
        <f>IFERROR(__xludf.DUMMYFUNCTION("VLOOKUP(C59,IMPORTRANGE(""https://docs.google.com/spreadsheets/d/1P8eX0NWBhUPS_hvzA11R6jkTNFrPrRYIx_dX_hYbxrk/edit?resourcekey=0-iw9bsKY2OqkUHCFMkCar3A&amp;gid=2055363397#gid=2055363397"",""MTR!C:O""),9,false)"),"Complies")</f>
        <v>Complies</v>
      </c>
      <c r="P59" s="248"/>
      <c r="Q59" s="249" t="s">
        <v>445</v>
      </c>
      <c r="R59" s="249" t="s">
        <v>445</v>
      </c>
      <c r="S59" s="154" t="s">
        <v>60</v>
      </c>
      <c r="T59" s="154" t="s">
        <v>60</v>
      </c>
      <c r="U59" s="154" t="s">
        <v>60</v>
      </c>
      <c r="V59" s="154" t="s">
        <v>60</v>
      </c>
      <c r="W59" s="154" t="s">
        <v>60</v>
      </c>
      <c r="X59" s="154" t="s">
        <v>60</v>
      </c>
      <c r="Y59" s="154" t="s">
        <v>60</v>
      </c>
      <c r="Z59" s="154" t="s">
        <v>60</v>
      </c>
      <c r="AA59" s="154" t="s">
        <v>60</v>
      </c>
      <c r="AB59" s="154"/>
      <c r="AC59" s="242" t="b">
        <f t="shared" si="2"/>
        <v>1</v>
      </c>
      <c r="AD59" s="154" t="s">
        <v>391</v>
      </c>
      <c r="AE59" s="243" t="b">
        <f t="shared" si="3"/>
        <v>0</v>
      </c>
      <c r="AF59" s="154"/>
      <c r="AG59" s="243" t="b">
        <f t="shared" si="4"/>
        <v>0</v>
      </c>
      <c r="AH59" s="154"/>
      <c r="AI59" s="243" t="str">
        <f t="shared" si="5"/>
        <v>N/A</v>
      </c>
      <c r="AJ59" s="157" t="str">
        <f t="shared" si="6"/>
        <v/>
      </c>
    </row>
    <row r="60" ht="12.75" customHeight="1">
      <c r="A60" s="244" t="s">
        <v>386</v>
      </c>
      <c r="B60" s="244" t="s">
        <v>496</v>
      </c>
      <c r="C60" s="244" t="s">
        <v>570</v>
      </c>
      <c r="D60" s="154" t="s">
        <v>503</v>
      </c>
      <c r="E60" s="250"/>
      <c r="F60" s="154" t="str">
        <f t="array" ref="F60">XLOOKUP(Cover!$D$12,$S$1:$AA$1,$S60:$AA60)</f>
        <v>Mandatory</v>
      </c>
      <c r="G60" s="154" t="s">
        <v>571</v>
      </c>
      <c r="H60" s="154" t="s">
        <v>398</v>
      </c>
      <c r="I60" s="154" t="s">
        <v>505</v>
      </c>
      <c r="J60" s="154" t="s">
        <v>445</v>
      </c>
      <c r="K60" s="154"/>
      <c r="L60" s="154" t="str">
        <f t="shared" si="1"/>
        <v/>
      </c>
      <c r="M60" s="248" t="str">
        <f>IFERROR(__xludf.DUMMYFUNCTION("VLOOKUP(C60,IMPORTRANGE(""https://docs.google.com/spreadsheets/d/1P8eX0NWBhUPS_hvzA11R6jkTNFrPrRYIx_dX_hYbxrk/edit?resourcekey=0-iw9bsKY2OqkUHCFMkCar3A&amp;gid=2055363397#gid=2055363397"",""MTR!C:O""),11,false)"),"TAM")</f>
        <v>TAM</v>
      </c>
      <c r="N60" s="248" t="str">
        <f>IFERROR(__xludf.DUMMYFUNCTION("VLOOKUP(C60,IMPORTRANGE(""https://docs.google.com/spreadsheets/d/1ihFlp3_ePlYtFuPbUNbYj1muErVpI73WHXbEwJDIA7Q/edit#gid=1493122344"",""MTR!C:O""),8,false)"),"Complies")</f>
        <v>Complies</v>
      </c>
      <c r="O60" s="248" t="str">
        <f>IFERROR(__xludf.DUMMYFUNCTION("VLOOKUP(C60,IMPORTRANGE(""https://docs.google.com/spreadsheets/d/1P8eX0NWBhUPS_hvzA11R6jkTNFrPrRYIx_dX_hYbxrk/edit?resourcekey=0-iw9bsKY2OqkUHCFMkCar3A&amp;gid=2055363397#gid=2055363397"",""MTR!C:O""),9,false)"),"Complies")</f>
        <v>Complies</v>
      </c>
      <c r="P60" s="248"/>
      <c r="Q60" s="249" t="s">
        <v>445</v>
      </c>
      <c r="R60" s="249" t="s">
        <v>445</v>
      </c>
      <c r="S60" s="154" t="s">
        <v>60</v>
      </c>
      <c r="T60" s="154" t="s">
        <v>60</v>
      </c>
      <c r="U60" s="154" t="s">
        <v>60</v>
      </c>
      <c r="V60" s="154" t="s">
        <v>60</v>
      </c>
      <c r="W60" s="154" t="s">
        <v>60</v>
      </c>
      <c r="X60" s="154" t="s">
        <v>60</v>
      </c>
      <c r="Y60" s="154" t="s">
        <v>60</v>
      </c>
      <c r="Z60" s="154" t="s">
        <v>60</v>
      </c>
      <c r="AA60" s="154" t="s">
        <v>60</v>
      </c>
      <c r="AB60" s="154"/>
      <c r="AC60" s="242" t="b">
        <f t="shared" si="2"/>
        <v>1</v>
      </c>
      <c r="AD60" s="154" t="s">
        <v>391</v>
      </c>
      <c r="AE60" s="243" t="b">
        <f t="shared" si="3"/>
        <v>0</v>
      </c>
      <c r="AF60" s="154"/>
      <c r="AG60" s="243" t="b">
        <f t="shared" si="4"/>
        <v>0</v>
      </c>
      <c r="AH60" s="154"/>
      <c r="AI60" s="243" t="str">
        <f t="shared" si="5"/>
        <v>N/A</v>
      </c>
      <c r="AJ60" s="157" t="str">
        <f t="shared" si="6"/>
        <v/>
      </c>
    </row>
    <row r="61" ht="12.75" customHeight="1">
      <c r="A61" s="238" t="s">
        <v>386</v>
      </c>
      <c r="B61" s="238" t="s">
        <v>496</v>
      </c>
      <c r="C61" s="238" t="s">
        <v>572</v>
      </c>
      <c r="D61" s="238"/>
      <c r="E61" s="238"/>
      <c r="F61" s="154" t="str">
        <f t="array" ref="F61">XLOOKUP(Cover!$D$12,$S$1:$AA$1,$S61:$AA61)</f>
        <v>Heading</v>
      </c>
      <c r="G61" s="239" t="s">
        <v>573</v>
      </c>
      <c r="H61" s="240"/>
      <c r="I61" s="240" t="s">
        <v>499</v>
      </c>
      <c r="J61" s="240"/>
      <c r="K61" s="240"/>
      <c r="L61" s="154" t="str">
        <f t="shared" si="1"/>
        <v/>
      </c>
      <c r="M61" s="241" t="str">
        <f>IFERROR(__xludf.DUMMYFUNCTION("VLOOKUP(C61,IMPORTRANGE(""https://docs.google.com/spreadsheets/d/1P8eX0NWBhUPS_hvzA11R6jkTNFrPrRYIx_dX_hYbxrk/edit?resourcekey=0-iw9bsKY2OqkUHCFMkCar3A&amp;gid=2055363397#gid=2055363397"",""MTR!C:O""),11,false)"),"")</f>
        <v/>
      </c>
      <c r="N61" s="241" t="str">
        <f>IFERROR(__xludf.DUMMYFUNCTION("VLOOKUP(C61,IMPORTRANGE(""https://docs.google.com/spreadsheets/d/1ihFlp3_ePlYtFuPbUNbYj1muErVpI73WHXbEwJDIA7Q/edit#gid=1493122344"",""MTR!C:O""),8,false)"),"")</f>
        <v/>
      </c>
      <c r="O61" s="241" t="str">
        <f>IFERROR(__xludf.DUMMYFUNCTION("VLOOKUP(C61,IMPORTRANGE(""https://docs.google.com/spreadsheets/d/1P8eX0NWBhUPS_hvzA11R6jkTNFrPrRYIx_dX_hYbxrk/edit?resourcekey=0-iw9bsKY2OqkUHCFMkCar3A&amp;gid=2055363397#gid=2055363397"",""MTR!C:O""),9,false)"),"")</f>
        <v/>
      </c>
      <c r="P61" s="241"/>
      <c r="Q61" s="241"/>
      <c r="R61" s="241"/>
      <c r="S61" s="240" t="s">
        <v>390</v>
      </c>
      <c r="T61" s="240" t="s">
        <v>390</v>
      </c>
      <c r="U61" s="240" t="s">
        <v>390</v>
      </c>
      <c r="V61" s="240" t="s">
        <v>390</v>
      </c>
      <c r="W61" s="240" t="s">
        <v>390</v>
      </c>
      <c r="X61" s="240" t="s">
        <v>390</v>
      </c>
      <c r="Y61" s="240" t="s">
        <v>390</v>
      </c>
      <c r="Z61" s="240" t="s">
        <v>390</v>
      </c>
      <c r="AA61" s="240" t="s">
        <v>390</v>
      </c>
      <c r="AB61" s="240"/>
      <c r="AC61" s="242" t="b">
        <f t="shared" si="2"/>
        <v>0</v>
      </c>
      <c r="AD61" s="240" t="s">
        <v>391</v>
      </c>
      <c r="AE61" s="243" t="b">
        <f t="shared" si="3"/>
        <v>0</v>
      </c>
      <c r="AF61" s="240"/>
      <c r="AG61" s="243" t="b">
        <f t="shared" si="4"/>
        <v>0</v>
      </c>
      <c r="AH61" s="240"/>
      <c r="AI61" s="243" t="str">
        <f t="shared" si="5"/>
        <v>N/A</v>
      </c>
      <c r="AJ61" s="157" t="str">
        <f t="shared" si="6"/>
        <v/>
      </c>
    </row>
    <row r="62" ht="12.75" customHeight="1">
      <c r="A62" s="244" t="s">
        <v>386</v>
      </c>
      <c r="B62" s="244" t="s">
        <v>496</v>
      </c>
      <c r="C62" s="245" t="s">
        <v>574</v>
      </c>
      <c r="D62" s="155" t="s">
        <v>503</v>
      </c>
      <c r="E62" s="246" t="s">
        <v>92</v>
      </c>
      <c r="F62" s="154" t="str">
        <f t="array" ref="F62">XLOOKUP(Cover!$D$12,$S$1:$AA$1,$S62:$AA62)</f>
        <v>Mandatory</v>
      </c>
      <c r="G62" s="154" t="s">
        <v>575</v>
      </c>
      <c r="H62" s="154" t="s">
        <v>398</v>
      </c>
      <c r="I62" s="154" t="s">
        <v>553</v>
      </c>
      <c r="J62" s="247" t="s">
        <v>506</v>
      </c>
      <c r="K62" s="247" t="s">
        <v>576</v>
      </c>
      <c r="L62" s="154" t="str">
        <f t="shared" si="1"/>
        <v/>
      </c>
      <c r="M62" s="248" t="str">
        <f>IFERROR(__xludf.DUMMYFUNCTION("VLOOKUP(C62,IMPORTRANGE(""https://docs.google.com/spreadsheets/d/1P8eX0NWBhUPS_hvzA11R6jkTNFrPrRYIx_dX_hYbxrk/edit?resourcekey=0-iw9bsKY2OqkUHCFMkCar3A&amp;gid=2055363397#gid=2055363397"",""MTR!C:O""),11,false)"),"TAM")</f>
        <v>TAM</v>
      </c>
      <c r="N62" s="241" t="str">
        <f>IFERROR(__xludf.DUMMYFUNCTION("VLOOKUP(C62,IMPORTRANGE(""https://docs.google.com/spreadsheets/d/1ihFlp3_ePlYtFuPbUNbYj1muErVpI73WHXbEwJDIA7Q/edit#gid=1493122344"",""MTR!C:O""),8,false)"),"")</f>
        <v/>
      </c>
      <c r="O62" s="248" t="str">
        <f>IFERROR(__xludf.DUMMYFUNCTION("VLOOKUP(C62,IMPORTRANGE(""https://docs.google.com/spreadsheets/d/1P8eX0NWBhUPS_hvzA11R6jkTNFrPrRYIx_dX_hYbxrk/edit?resourcekey=0-iw9bsKY2OqkUHCFMkCar3A&amp;gid=2055363397#gid=2055363397"",""MTR!C:O""),9,false)"),"TBD")</f>
        <v>TBD</v>
      </c>
      <c r="P62" s="248"/>
      <c r="Q62" s="248"/>
      <c r="R62" s="249" t="s">
        <v>577</v>
      </c>
      <c r="S62" s="154" t="s">
        <v>60</v>
      </c>
      <c r="T62" s="154" t="s">
        <v>60</v>
      </c>
      <c r="U62" s="154" t="s">
        <v>60</v>
      </c>
      <c r="V62" s="154" t="s">
        <v>60</v>
      </c>
      <c r="W62" s="154" t="s">
        <v>60</v>
      </c>
      <c r="X62" s="154" t="s">
        <v>60</v>
      </c>
      <c r="Y62" s="154" t="s">
        <v>68</v>
      </c>
      <c r="Z62" s="154" t="s">
        <v>68</v>
      </c>
      <c r="AA62" s="154" t="s">
        <v>68</v>
      </c>
      <c r="AB62" s="154"/>
      <c r="AC62" s="242" t="b">
        <f t="shared" si="2"/>
        <v>1</v>
      </c>
      <c r="AD62" s="154" t="s">
        <v>445</v>
      </c>
      <c r="AE62" s="243" t="b">
        <f t="shared" si="3"/>
        <v>0</v>
      </c>
      <c r="AF62" s="154"/>
      <c r="AG62" s="243" t="b">
        <f t="shared" si="4"/>
        <v>0</v>
      </c>
      <c r="AH62" s="154"/>
      <c r="AI62" s="243" t="str">
        <f t="shared" si="5"/>
        <v>N/A</v>
      </c>
      <c r="AJ62" s="157" t="str">
        <f t="shared" si="6"/>
        <v/>
      </c>
    </row>
    <row r="63" ht="12.75" customHeight="1">
      <c r="A63" s="244" t="s">
        <v>386</v>
      </c>
      <c r="B63" s="244" t="s">
        <v>496</v>
      </c>
      <c r="C63" s="245" t="s">
        <v>578</v>
      </c>
      <c r="D63" s="155" t="s">
        <v>503</v>
      </c>
      <c r="E63" s="246" t="s">
        <v>92</v>
      </c>
      <c r="F63" s="154" t="str">
        <f t="array" ref="F63">XLOOKUP(Cover!$D$12,$S$1:$AA$1,$S63:$AA63)</f>
        <v>Mandatory</v>
      </c>
      <c r="G63" s="154" t="s">
        <v>579</v>
      </c>
      <c r="H63" s="154" t="s">
        <v>398</v>
      </c>
      <c r="I63" s="154" t="s">
        <v>553</v>
      </c>
      <c r="J63" s="247" t="s">
        <v>506</v>
      </c>
      <c r="K63" s="247" t="s">
        <v>576</v>
      </c>
      <c r="L63" s="154" t="str">
        <f t="shared" si="1"/>
        <v/>
      </c>
      <c r="M63" s="248" t="str">
        <f>IFERROR(__xludf.DUMMYFUNCTION("VLOOKUP(C63,IMPORTRANGE(""https://docs.google.com/spreadsheets/d/1P8eX0NWBhUPS_hvzA11R6jkTNFrPrRYIx_dX_hYbxrk/edit?resourcekey=0-iw9bsKY2OqkUHCFMkCar3A&amp;gid=2055363397#gid=2055363397"",""MTR!C:O""),11,false)"),"TAM")</f>
        <v>TAM</v>
      </c>
      <c r="N63" s="241" t="str">
        <f>IFERROR(__xludf.DUMMYFUNCTION("VLOOKUP(C63,IMPORTRANGE(""https://docs.google.com/spreadsheets/d/1ihFlp3_ePlYtFuPbUNbYj1muErVpI73WHXbEwJDIA7Q/edit#gid=1493122344"",""MTR!C:O""),8,false)"),"")</f>
        <v/>
      </c>
      <c r="O63" s="241" t="str">
        <f>IFERROR(__xludf.DUMMYFUNCTION("VLOOKUP(C63,IMPORTRANGE(""https://docs.google.com/spreadsheets/d/1P8eX0NWBhUPS_hvzA11R6jkTNFrPrRYIx_dX_hYbxrk/edit?resourcekey=0-iw9bsKY2OqkUHCFMkCar3A&amp;gid=2055363397#gid=2055363397"",""MTR!C:O""),9,false)"),"")</f>
        <v/>
      </c>
      <c r="P63" s="241"/>
      <c r="Q63" s="241"/>
      <c r="R63" s="251" t="s">
        <v>577</v>
      </c>
      <c r="S63" s="154" t="s">
        <v>60</v>
      </c>
      <c r="T63" s="154" t="s">
        <v>60</v>
      </c>
      <c r="U63" s="154" t="s">
        <v>60</v>
      </c>
      <c r="V63" s="154" t="s">
        <v>60</v>
      </c>
      <c r="W63" s="154" t="s">
        <v>60</v>
      </c>
      <c r="X63" s="154" t="s">
        <v>60</v>
      </c>
      <c r="Y63" s="154" t="s">
        <v>68</v>
      </c>
      <c r="Z63" s="154" t="s">
        <v>68</v>
      </c>
      <c r="AA63" s="154" t="s">
        <v>68</v>
      </c>
      <c r="AB63" s="154"/>
      <c r="AC63" s="242" t="b">
        <f t="shared" si="2"/>
        <v>1</v>
      </c>
      <c r="AD63" s="154" t="s">
        <v>391</v>
      </c>
      <c r="AE63" s="243" t="b">
        <f t="shared" si="3"/>
        <v>0</v>
      </c>
      <c r="AF63" s="154"/>
      <c r="AG63" s="243" t="b">
        <f t="shared" si="4"/>
        <v>0</v>
      </c>
      <c r="AH63" s="154"/>
      <c r="AI63" s="243" t="str">
        <f t="shared" si="5"/>
        <v>N/A</v>
      </c>
      <c r="AJ63" s="157" t="str">
        <f t="shared" si="6"/>
        <v/>
      </c>
    </row>
    <row r="64" ht="12.75" customHeight="1">
      <c r="A64" s="244" t="s">
        <v>386</v>
      </c>
      <c r="B64" s="244" t="s">
        <v>496</v>
      </c>
      <c r="C64" s="245" t="s">
        <v>580</v>
      </c>
      <c r="D64" s="155" t="s">
        <v>581</v>
      </c>
      <c r="E64" s="246" t="s">
        <v>92</v>
      </c>
      <c r="F64" s="154" t="str">
        <f t="array" ref="F64">XLOOKUP(Cover!$D$12,$S$1:$AA$1,$S64:$AA64)</f>
        <v>Mandatory</v>
      </c>
      <c r="G64" s="154" t="s">
        <v>582</v>
      </c>
      <c r="H64" s="154" t="s">
        <v>398</v>
      </c>
      <c r="I64" s="154" t="s">
        <v>389</v>
      </c>
      <c r="J64" s="154" t="s">
        <v>445</v>
      </c>
      <c r="K64" s="154"/>
      <c r="L64" s="154" t="str">
        <f t="shared" si="1"/>
        <v/>
      </c>
      <c r="M64" s="248" t="str">
        <f>IFERROR(__xludf.DUMMYFUNCTION("VLOOKUP(C64,IMPORTRANGE(""https://docs.google.com/spreadsheets/d/1P8eX0NWBhUPS_hvzA11R6jkTNFrPrRYIx_dX_hYbxrk/edit?resourcekey=0-iw9bsKY2OqkUHCFMkCar3A&amp;gid=2055363397#gid=2055363397"",""MTR!C:O""),11,false)"),"TAM")</f>
        <v>TAM</v>
      </c>
      <c r="N64" s="248" t="str">
        <f>IFERROR(__xludf.DUMMYFUNCTION("VLOOKUP(C64,IMPORTRANGE(""https://docs.google.com/spreadsheets/d/1ihFlp3_ePlYtFuPbUNbYj1muErVpI73WHXbEwJDIA7Q/edit#gid=1493122344"",""MTR!C:O""),8,false)"),"Complies")</f>
        <v>Complies</v>
      </c>
      <c r="O64" s="241" t="str">
        <f>IFERROR(__xludf.DUMMYFUNCTION("VLOOKUP(C64,IMPORTRANGE(""https://docs.google.com/spreadsheets/d/1P8eX0NWBhUPS_hvzA11R6jkTNFrPrRYIx_dX_hYbxrk/edit?resourcekey=0-iw9bsKY2OqkUHCFMkCar3A&amp;gid=2055363397#gid=2055363397"",""MTR!C:O""),9,false)"),"")</f>
        <v/>
      </c>
      <c r="P64" s="241"/>
      <c r="Q64" s="251" t="s">
        <v>445</v>
      </c>
      <c r="R64" s="241"/>
      <c r="S64" s="154" t="s">
        <v>60</v>
      </c>
      <c r="T64" s="154" t="s">
        <v>60</v>
      </c>
      <c r="U64" s="154" t="s">
        <v>60</v>
      </c>
      <c r="V64" s="154" t="s">
        <v>60</v>
      </c>
      <c r="W64" s="154" t="s">
        <v>60</v>
      </c>
      <c r="X64" s="154" t="s">
        <v>60</v>
      </c>
      <c r="Y64" s="154" t="s">
        <v>60</v>
      </c>
      <c r="Z64" s="154" t="s">
        <v>60</v>
      </c>
      <c r="AA64" s="154" t="s">
        <v>60</v>
      </c>
      <c r="AB64" s="154"/>
      <c r="AC64" s="242" t="b">
        <f t="shared" si="2"/>
        <v>1</v>
      </c>
      <c r="AD64" s="154" t="s">
        <v>391</v>
      </c>
      <c r="AE64" s="243" t="b">
        <f t="shared" si="3"/>
        <v>0</v>
      </c>
      <c r="AF64" s="154"/>
      <c r="AG64" s="243" t="b">
        <f t="shared" si="4"/>
        <v>0</v>
      </c>
      <c r="AH64" s="154"/>
      <c r="AI64" s="243" t="str">
        <f t="shared" si="5"/>
        <v>N/A</v>
      </c>
      <c r="AJ64" s="157" t="str">
        <f t="shared" si="6"/>
        <v/>
      </c>
    </row>
    <row r="65" ht="12.75" customHeight="1">
      <c r="A65" s="244" t="s">
        <v>386</v>
      </c>
      <c r="B65" s="244" t="s">
        <v>496</v>
      </c>
      <c r="C65" s="244" t="s">
        <v>583</v>
      </c>
      <c r="D65" s="154" t="s">
        <v>581</v>
      </c>
      <c r="E65" s="250"/>
      <c r="F65" s="154" t="str">
        <f t="array" ref="F65">XLOOKUP(Cover!$D$12,$S$1:$AA$1,$S65:$AA65)</f>
        <v>Mandatory</v>
      </c>
      <c r="G65" s="154" t="s">
        <v>584</v>
      </c>
      <c r="H65" s="154" t="s">
        <v>398</v>
      </c>
      <c r="I65" s="154" t="s">
        <v>499</v>
      </c>
      <c r="J65" s="247" t="s">
        <v>506</v>
      </c>
      <c r="K65" s="247" t="s">
        <v>585</v>
      </c>
      <c r="L65" s="154" t="str">
        <f t="shared" si="1"/>
        <v/>
      </c>
      <c r="M65" s="248" t="str">
        <f>IFERROR(__xludf.DUMMYFUNCTION("VLOOKUP(C65,IMPORTRANGE(""https://docs.google.com/spreadsheets/d/1P8eX0NWBhUPS_hvzA11R6jkTNFrPrRYIx_dX_hYbxrk/edit?resourcekey=0-iw9bsKY2OqkUHCFMkCar3A&amp;gid=2055363397#gid=2055363397"",""MTR!C:O""),11,false)"),"TAM")</f>
        <v>TAM</v>
      </c>
      <c r="N65" s="248" t="str">
        <f>IFERROR(__xludf.DUMMYFUNCTION("VLOOKUP(C65,IMPORTRANGE(""https://docs.google.com/spreadsheets/d/1ihFlp3_ePlYtFuPbUNbYj1muErVpI73WHXbEwJDIA7Q/edit#gid=1493122344"",""MTR!C:O""),8,false)"),"Complies")</f>
        <v>Complies</v>
      </c>
      <c r="O65" s="248" t="str">
        <f>IFERROR(__xludf.DUMMYFUNCTION("VLOOKUP(C65,IMPORTRANGE(""https://docs.google.com/spreadsheets/d/1P8eX0NWBhUPS_hvzA11R6jkTNFrPrRYIx_dX_hYbxrk/edit?resourcekey=0-iw9bsKY2OqkUHCFMkCar3A&amp;gid=2055363397#gid=2055363397"",""MTR!C:O""),9,false)"),"From a technical perspective, we triggered the Eco Rating questionnaire for Pixel Products.
Google has a strong focus on sustainability and this applies to our HW division. We increased our SW support to 5 years and we use recycled Alu.
Regarding score pu"&amp;"blishing, this is a commercial decision, not a technical one and as per requirement, we will be sharing this score once it's available.")</f>
        <v>From a technical perspective, we triggered the Eco Rating questionnaire for Pixel Products.
Google has a strong focus on sustainability and this applies to our HW division. We increased our SW support to 5 years and we use recycled Alu.
Regarding score publishing, this is a commercial decision, not a technical one and as per requirement, we will be sharing this score once it's available.</v>
      </c>
      <c r="P65" s="248"/>
      <c r="Q65" s="249" t="s">
        <v>445</v>
      </c>
      <c r="R65" s="249" t="s">
        <v>586</v>
      </c>
      <c r="S65" s="154" t="s">
        <v>60</v>
      </c>
      <c r="T65" s="154" t="s">
        <v>60</v>
      </c>
      <c r="U65" s="154" t="s">
        <v>60</v>
      </c>
      <c r="V65" s="154" t="s">
        <v>60</v>
      </c>
      <c r="W65" s="154" t="s">
        <v>60</v>
      </c>
      <c r="X65" s="154" t="s">
        <v>60</v>
      </c>
      <c r="Y65" s="154" t="s">
        <v>60</v>
      </c>
      <c r="Z65" s="154" t="s">
        <v>60</v>
      </c>
      <c r="AA65" s="154" t="s">
        <v>60</v>
      </c>
      <c r="AB65" s="154"/>
      <c r="AC65" s="242" t="b">
        <f t="shared" si="2"/>
        <v>1</v>
      </c>
      <c r="AD65" s="154" t="s">
        <v>391</v>
      </c>
      <c r="AE65" s="243" t="b">
        <f t="shared" si="3"/>
        <v>0</v>
      </c>
      <c r="AF65" s="154"/>
      <c r="AG65" s="243" t="b">
        <f t="shared" si="4"/>
        <v>0</v>
      </c>
      <c r="AH65" s="154"/>
      <c r="AI65" s="243" t="str">
        <f t="shared" si="5"/>
        <v>N/A</v>
      </c>
      <c r="AJ65" s="157" t="str">
        <f t="shared" si="6"/>
        <v/>
      </c>
    </row>
    <row r="66" ht="12.75" customHeight="1">
      <c r="A66" s="244" t="s">
        <v>386</v>
      </c>
      <c r="B66" s="244" t="s">
        <v>496</v>
      </c>
      <c r="C66" s="245" t="s">
        <v>587</v>
      </c>
      <c r="D66" s="155" t="s">
        <v>581</v>
      </c>
      <c r="E66" s="246" t="s">
        <v>92</v>
      </c>
      <c r="F66" s="154" t="str">
        <f t="array" ref="F66">XLOOKUP(Cover!$D$12,$S$1:$AA$1,$S66:$AA66)</f>
        <v>Mandatory</v>
      </c>
      <c r="G66" s="154" t="s">
        <v>588</v>
      </c>
      <c r="H66" s="154" t="s">
        <v>398</v>
      </c>
      <c r="I66" s="154" t="s">
        <v>389</v>
      </c>
      <c r="J66" s="154" t="s">
        <v>445</v>
      </c>
      <c r="K66" s="154" t="s">
        <v>589</v>
      </c>
      <c r="L66" s="154" t="str">
        <f t="shared" si="1"/>
        <v/>
      </c>
      <c r="M66" s="248" t="str">
        <f>IFERROR(__xludf.DUMMYFUNCTION("VLOOKUP(C66,IMPORTRANGE(""https://docs.google.com/spreadsheets/d/1P8eX0NWBhUPS_hvzA11R6jkTNFrPrRYIx_dX_hYbxrk/edit?resourcekey=0-iw9bsKY2OqkUHCFMkCar3A&amp;gid=2055363397#gid=2055363397"",""MTR!C:O""),11,false)"),"TAM")</f>
        <v>TAM</v>
      </c>
      <c r="N66" s="248" t="str">
        <f>IFERROR(__xludf.DUMMYFUNCTION("VLOOKUP(C66,IMPORTRANGE(""https://docs.google.com/spreadsheets/d/1ihFlp3_ePlYtFuPbUNbYj1muErVpI73WHXbEwJDIA7Q/edit#gid=1493122344"",""MTR!C:O""),8,false)"),"Complies")</f>
        <v>Complies</v>
      </c>
      <c r="O66" s="248" t="str">
        <f>IFERROR(__xludf.DUMMYFUNCTION("VLOOKUP(C66,IMPORTRANGE(""https://docs.google.com/spreadsheets/d/1P8eX0NWBhUPS_hvzA11R6jkTNFrPrRYIx_dX_hYbxrk/edit?resourcekey=0-iw9bsKY2OqkUHCFMkCar3A&amp;gid=2055363397#gid=2055363397"",""MTR!C:O""),9,false)"),"Google is not the direct manufacturer
Expect our suppliers to adopt these standards.")</f>
        <v>Google is not the direct manufacturer
Expect our suppliers to adopt these standards.</v>
      </c>
      <c r="P66" s="248"/>
      <c r="Q66" s="249" t="s">
        <v>445</v>
      </c>
      <c r="R66" s="249" t="s">
        <v>589</v>
      </c>
      <c r="S66" s="154" t="s">
        <v>60</v>
      </c>
      <c r="T66" s="154" t="s">
        <v>60</v>
      </c>
      <c r="U66" s="154" t="s">
        <v>60</v>
      </c>
      <c r="V66" s="154" t="s">
        <v>60</v>
      </c>
      <c r="W66" s="154" t="s">
        <v>60</v>
      </c>
      <c r="X66" s="154" t="s">
        <v>60</v>
      </c>
      <c r="Y66" s="154" t="s">
        <v>60</v>
      </c>
      <c r="Z66" s="154" t="s">
        <v>60</v>
      </c>
      <c r="AA66" s="154" t="s">
        <v>60</v>
      </c>
      <c r="AB66" s="154"/>
      <c r="AC66" s="242" t="b">
        <f t="shared" si="2"/>
        <v>1</v>
      </c>
      <c r="AD66" s="154" t="s">
        <v>391</v>
      </c>
      <c r="AE66" s="243" t="b">
        <f t="shared" si="3"/>
        <v>0</v>
      </c>
      <c r="AF66" s="154"/>
      <c r="AG66" s="243" t="b">
        <f t="shared" si="4"/>
        <v>0</v>
      </c>
      <c r="AH66" s="154"/>
      <c r="AI66" s="243" t="str">
        <f t="shared" si="5"/>
        <v>N/A</v>
      </c>
      <c r="AJ66" s="157" t="str">
        <f t="shared" si="6"/>
        <v/>
      </c>
    </row>
    <row r="67" ht="12.75" customHeight="1">
      <c r="A67" s="244" t="s">
        <v>386</v>
      </c>
      <c r="B67" s="244" t="s">
        <v>496</v>
      </c>
      <c r="C67" s="244" t="s">
        <v>590</v>
      </c>
      <c r="D67" s="154" t="s">
        <v>581</v>
      </c>
      <c r="E67" s="250"/>
      <c r="F67" s="154" t="str">
        <f t="array" ref="F67">XLOOKUP(Cover!$D$12,$S$1:$AA$1,$S67:$AA67)</f>
        <v>Mandatory</v>
      </c>
      <c r="G67" s="154" t="s">
        <v>591</v>
      </c>
      <c r="H67" s="154" t="s">
        <v>398</v>
      </c>
      <c r="I67" s="154" t="s">
        <v>499</v>
      </c>
      <c r="J67" s="247" t="s">
        <v>445</v>
      </c>
      <c r="K67" s="154"/>
      <c r="L67" s="154" t="str">
        <f t="shared" si="1"/>
        <v/>
      </c>
      <c r="M67" s="248" t="str">
        <f>IFERROR(__xludf.DUMMYFUNCTION("VLOOKUP(C67,IMPORTRANGE(""https://docs.google.com/spreadsheets/d/1P8eX0NWBhUPS_hvzA11R6jkTNFrPrRYIx_dX_hYbxrk/edit?resourcekey=0-iw9bsKY2OqkUHCFMkCar3A&amp;gid=2055363397#gid=2055363397"",""MTR!C:O""),11,false)"),"TAM")</f>
        <v>TAM</v>
      </c>
      <c r="N67" s="248" t="str">
        <f>IFERROR(__xludf.DUMMYFUNCTION("VLOOKUP(C67,IMPORTRANGE(""https://docs.google.com/spreadsheets/d/1ihFlp3_ePlYtFuPbUNbYj1muErVpI73WHXbEwJDIA7Q/edit#gid=1493122344"",""MTR!C:O""),8,false)"),"Complies")</f>
        <v>Complies</v>
      </c>
      <c r="O67" s="241" t="str">
        <f>IFERROR(__xludf.DUMMYFUNCTION("VLOOKUP(C67,IMPORTRANGE(""https://docs.google.com/spreadsheets/d/1P8eX0NWBhUPS_hvzA11R6jkTNFrPrRYIx_dX_hYbxrk/edit?resourcekey=0-iw9bsKY2OqkUHCFMkCar3A&amp;gid=2055363397#gid=2055363397"",""MTR!C:O""),9,false)"),"")</f>
        <v/>
      </c>
      <c r="P67" s="241"/>
      <c r="Q67" s="251" t="s">
        <v>445</v>
      </c>
      <c r="R67" s="241"/>
      <c r="S67" s="154" t="s">
        <v>60</v>
      </c>
      <c r="T67" s="154" t="s">
        <v>60</v>
      </c>
      <c r="U67" s="154" t="s">
        <v>60</v>
      </c>
      <c r="V67" s="154" t="s">
        <v>60</v>
      </c>
      <c r="W67" s="154" t="s">
        <v>60</v>
      </c>
      <c r="X67" s="154" t="s">
        <v>60</v>
      </c>
      <c r="Y67" s="154" t="s">
        <v>60</v>
      </c>
      <c r="Z67" s="154" t="s">
        <v>60</v>
      </c>
      <c r="AA67" s="154" t="s">
        <v>60</v>
      </c>
      <c r="AB67" s="154"/>
      <c r="AC67" s="242" t="b">
        <f t="shared" si="2"/>
        <v>1</v>
      </c>
      <c r="AD67" s="154" t="s">
        <v>391</v>
      </c>
      <c r="AE67" s="243" t="b">
        <f t="shared" si="3"/>
        <v>0</v>
      </c>
      <c r="AF67" s="154"/>
      <c r="AG67" s="243" t="b">
        <f t="shared" si="4"/>
        <v>0</v>
      </c>
      <c r="AH67" s="154"/>
      <c r="AI67" s="243" t="str">
        <f t="shared" si="5"/>
        <v>N/A</v>
      </c>
      <c r="AJ67" s="157" t="str">
        <f t="shared" si="6"/>
        <v/>
      </c>
    </row>
    <row r="68" ht="12.75" customHeight="1">
      <c r="A68" s="244" t="s">
        <v>386</v>
      </c>
      <c r="B68" s="244" t="s">
        <v>496</v>
      </c>
      <c r="C68" s="244" t="s">
        <v>592</v>
      </c>
      <c r="D68" s="154" t="s">
        <v>581</v>
      </c>
      <c r="E68" s="250"/>
      <c r="F68" s="154" t="str">
        <f t="array" ref="F68">XLOOKUP(Cover!$D$12,$S$1:$AA$1,$S68:$AA68)</f>
        <v>Mandatory</v>
      </c>
      <c r="G68" s="154" t="s">
        <v>593</v>
      </c>
      <c r="H68" s="154" t="s">
        <v>398</v>
      </c>
      <c r="I68" s="154" t="s">
        <v>499</v>
      </c>
      <c r="J68" s="247" t="s">
        <v>445</v>
      </c>
      <c r="K68" s="154"/>
      <c r="L68" s="154" t="str">
        <f t="shared" si="1"/>
        <v/>
      </c>
      <c r="M68" s="248" t="str">
        <f>IFERROR(__xludf.DUMMYFUNCTION("VLOOKUP(C68,IMPORTRANGE(""https://docs.google.com/spreadsheets/d/1P8eX0NWBhUPS_hvzA11R6jkTNFrPrRYIx_dX_hYbxrk/edit?resourcekey=0-iw9bsKY2OqkUHCFMkCar3A&amp;gid=2055363397#gid=2055363397"",""MTR!C:O""),11,false)"),"TAM")</f>
        <v>TAM</v>
      </c>
      <c r="N68" s="248" t="str">
        <f>IFERROR(__xludf.DUMMYFUNCTION("VLOOKUP(C68,IMPORTRANGE(""https://docs.google.com/spreadsheets/d/1ihFlp3_ePlYtFuPbUNbYj1muErVpI73WHXbEwJDIA7Q/edit#gid=1493122344"",""MTR!C:O""),8,false)"),"Complies")</f>
        <v>Complies</v>
      </c>
      <c r="O68" s="241" t="str">
        <f>IFERROR(__xludf.DUMMYFUNCTION("VLOOKUP(C68,IMPORTRANGE(""https://docs.google.com/spreadsheets/d/1P8eX0NWBhUPS_hvzA11R6jkTNFrPrRYIx_dX_hYbxrk/edit?resourcekey=0-iw9bsKY2OqkUHCFMkCar3A&amp;gid=2055363397#gid=2055363397"",""MTR!C:O""),9,false)"),"")</f>
        <v/>
      </c>
      <c r="P68" s="241"/>
      <c r="Q68" s="251" t="s">
        <v>445</v>
      </c>
      <c r="R68" s="241"/>
      <c r="S68" s="154" t="s">
        <v>60</v>
      </c>
      <c r="T68" s="154" t="s">
        <v>60</v>
      </c>
      <c r="U68" s="154" t="s">
        <v>60</v>
      </c>
      <c r="V68" s="154" t="s">
        <v>60</v>
      </c>
      <c r="W68" s="154" t="s">
        <v>60</v>
      </c>
      <c r="X68" s="154" t="s">
        <v>60</v>
      </c>
      <c r="Y68" s="154" t="s">
        <v>60</v>
      </c>
      <c r="Z68" s="154" t="s">
        <v>60</v>
      </c>
      <c r="AA68" s="154" t="s">
        <v>60</v>
      </c>
      <c r="AB68" s="154"/>
      <c r="AC68" s="242" t="b">
        <f t="shared" si="2"/>
        <v>1</v>
      </c>
      <c r="AD68" s="154" t="s">
        <v>391</v>
      </c>
      <c r="AE68" s="243" t="b">
        <f t="shared" si="3"/>
        <v>0</v>
      </c>
      <c r="AF68" s="154"/>
      <c r="AG68" s="243" t="b">
        <f t="shared" si="4"/>
        <v>0</v>
      </c>
      <c r="AH68" s="154"/>
      <c r="AI68" s="243" t="str">
        <f t="shared" si="5"/>
        <v>N/A</v>
      </c>
      <c r="AJ68" s="157" t="str">
        <f t="shared" si="6"/>
        <v/>
      </c>
    </row>
    <row r="69" ht="12.75" customHeight="1">
      <c r="A69" s="244" t="s">
        <v>386</v>
      </c>
      <c r="B69" s="244" t="s">
        <v>496</v>
      </c>
      <c r="C69" s="245" t="s">
        <v>594</v>
      </c>
      <c r="D69" s="155" t="s">
        <v>581</v>
      </c>
      <c r="E69" s="246" t="s">
        <v>92</v>
      </c>
      <c r="F69" s="154" t="str">
        <f t="array" ref="F69">XLOOKUP(Cover!$D$12,$S$1:$AA$1,$S69:$AA69)</f>
        <v>Mandatory</v>
      </c>
      <c r="G69" s="154" t="s">
        <v>595</v>
      </c>
      <c r="H69" s="154" t="s">
        <v>398</v>
      </c>
      <c r="I69" s="154" t="s">
        <v>499</v>
      </c>
      <c r="J69" s="247" t="s">
        <v>445</v>
      </c>
      <c r="K69" s="154"/>
      <c r="L69" s="154" t="str">
        <f t="shared" si="1"/>
        <v/>
      </c>
      <c r="M69" s="248" t="str">
        <f>IFERROR(__xludf.DUMMYFUNCTION("VLOOKUP(C69,IMPORTRANGE(""https://docs.google.com/spreadsheets/d/1P8eX0NWBhUPS_hvzA11R6jkTNFrPrRYIx_dX_hYbxrk/edit?resourcekey=0-iw9bsKY2OqkUHCFMkCar3A&amp;gid=2055363397#gid=2055363397"",""MTR!C:O""),11,false)"),"TAM")</f>
        <v>TAM</v>
      </c>
      <c r="N69" s="248" t="str">
        <f>IFERROR(__xludf.DUMMYFUNCTION("VLOOKUP(C69,IMPORTRANGE(""https://docs.google.com/spreadsheets/d/1ihFlp3_ePlYtFuPbUNbYj1muErVpI73WHXbEwJDIA7Q/edit#gid=1493122344"",""MTR!C:O""),8,false)"),"Complies")</f>
        <v>Complies</v>
      </c>
      <c r="O69" s="241" t="str">
        <f>IFERROR(__xludf.DUMMYFUNCTION("VLOOKUP(C69,IMPORTRANGE(""https://docs.google.com/spreadsheets/d/1P8eX0NWBhUPS_hvzA11R6jkTNFrPrRYIx_dX_hYbxrk/edit?resourcekey=0-iw9bsKY2OqkUHCFMkCar3A&amp;gid=2055363397#gid=2055363397"",""MTR!C:O""),9,false)"),"")</f>
        <v/>
      </c>
      <c r="P69" s="241"/>
      <c r="Q69" s="251" t="s">
        <v>445</v>
      </c>
      <c r="R69" s="241"/>
      <c r="S69" s="154" t="s">
        <v>60</v>
      </c>
      <c r="T69" s="154" t="s">
        <v>60</v>
      </c>
      <c r="U69" s="154" t="s">
        <v>60</v>
      </c>
      <c r="V69" s="154" t="s">
        <v>60</v>
      </c>
      <c r="W69" s="154" t="s">
        <v>60</v>
      </c>
      <c r="X69" s="154" t="s">
        <v>60</v>
      </c>
      <c r="Y69" s="154" t="s">
        <v>60</v>
      </c>
      <c r="Z69" s="154" t="s">
        <v>60</v>
      </c>
      <c r="AA69" s="154" t="s">
        <v>60</v>
      </c>
      <c r="AB69" s="154"/>
      <c r="AC69" s="242" t="b">
        <f t="shared" si="2"/>
        <v>1</v>
      </c>
      <c r="AD69" s="154" t="s">
        <v>391</v>
      </c>
      <c r="AE69" s="243" t="b">
        <f t="shared" si="3"/>
        <v>0</v>
      </c>
      <c r="AF69" s="154"/>
      <c r="AG69" s="243" t="b">
        <f t="shared" si="4"/>
        <v>0</v>
      </c>
      <c r="AH69" s="154"/>
      <c r="AI69" s="243" t="str">
        <f t="shared" si="5"/>
        <v>N/A</v>
      </c>
      <c r="AJ69" s="157" t="str">
        <f t="shared" si="6"/>
        <v/>
      </c>
    </row>
    <row r="70" ht="12.75" customHeight="1">
      <c r="A70" s="238" t="s">
        <v>386</v>
      </c>
      <c r="B70" s="238" t="s">
        <v>496</v>
      </c>
      <c r="C70" s="238" t="s">
        <v>596</v>
      </c>
      <c r="D70" s="238"/>
      <c r="E70" s="238"/>
      <c r="F70" s="154" t="str">
        <f t="array" ref="F70">XLOOKUP(Cover!$D$12,$S$1:$AA$1,$S70:$AA70)</f>
        <v>Heading</v>
      </c>
      <c r="G70" s="239" t="s">
        <v>597</v>
      </c>
      <c r="H70" s="240"/>
      <c r="I70" s="240" t="s">
        <v>499</v>
      </c>
      <c r="J70" s="240"/>
      <c r="K70" s="240"/>
      <c r="L70" s="154" t="str">
        <f t="shared" si="1"/>
        <v/>
      </c>
      <c r="M70" s="241" t="str">
        <f>IFERROR(__xludf.DUMMYFUNCTION("VLOOKUP(C70,IMPORTRANGE(""https://docs.google.com/spreadsheets/d/1P8eX0NWBhUPS_hvzA11R6jkTNFrPrRYIx_dX_hYbxrk/edit?resourcekey=0-iw9bsKY2OqkUHCFMkCar3A&amp;gid=2055363397#gid=2055363397"",""MTR!C:O""),11,false)"),"")</f>
        <v/>
      </c>
      <c r="N70" s="241" t="str">
        <f>IFERROR(__xludf.DUMMYFUNCTION("VLOOKUP(C70,IMPORTRANGE(""https://docs.google.com/spreadsheets/d/1ihFlp3_ePlYtFuPbUNbYj1muErVpI73WHXbEwJDIA7Q/edit#gid=1493122344"",""MTR!C:O""),8,false)"),"")</f>
        <v/>
      </c>
      <c r="O70" s="241" t="str">
        <f>IFERROR(__xludf.DUMMYFUNCTION("VLOOKUP(C70,IMPORTRANGE(""https://docs.google.com/spreadsheets/d/1P8eX0NWBhUPS_hvzA11R6jkTNFrPrRYIx_dX_hYbxrk/edit?resourcekey=0-iw9bsKY2OqkUHCFMkCar3A&amp;gid=2055363397#gid=2055363397"",""MTR!C:O""),9,false)"),"")</f>
        <v/>
      </c>
      <c r="P70" s="241"/>
      <c r="Q70" s="241"/>
      <c r="R70" s="241"/>
      <c r="S70" s="240" t="s">
        <v>390</v>
      </c>
      <c r="T70" s="240" t="s">
        <v>390</v>
      </c>
      <c r="U70" s="240" t="s">
        <v>390</v>
      </c>
      <c r="V70" s="240" t="s">
        <v>390</v>
      </c>
      <c r="W70" s="240" t="s">
        <v>390</v>
      </c>
      <c r="X70" s="240" t="s">
        <v>390</v>
      </c>
      <c r="Y70" s="240" t="s">
        <v>390</v>
      </c>
      <c r="Z70" s="240" t="s">
        <v>390</v>
      </c>
      <c r="AA70" s="240" t="s">
        <v>390</v>
      </c>
      <c r="AB70" s="240"/>
      <c r="AC70" s="242" t="b">
        <f t="shared" si="2"/>
        <v>0</v>
      </c>
      <c r="AD70" s="240" t="s">
        <v>391</v>
      </c>
      <c r="AE70" s="243" t="b">
        <f t="shared" si="3"/>
        <v>0</v>
      </c>
      <c r="AF70" s="240"/>
      <c r="AG70" s="243" t="b">
        <f t="shared" si="4"/>
        <v>0</v>
      </c>
      <c r="AH70" s="240"/>
      <c r="AI70" s="243" t="str">
        <f t="shared" si="5"/>
        <v>N/A</v>
      </c>
      <c r="AJ70" s="157" t="str">
        <f t="shared" si="6"/>
        <v/>
      </c>
    </row>
    <row r="71" ht="12.75" customHeight="1">
      <c r="A71" s="244" t="s">
        <v>386</v>
      </c>
      <c r="B71" s="244" t="s">
        <v>496</v>
      </c>
      <c r="C71" s="244" t="s">
        <v>598</v>
      </c>
      <c r="D71" s="154" t="s">
        <v>503</v>
      </c>
      <c r="E71" s="250"/>
      <c r="F71" s="154" t="str">
        <f t="array" ref="F71">XLOOKUP(Cover!$D$12,$S$1:$AA$1,$S71:$AA71)</f>
        <v>Mandatory</v>
      </c>
      <c r="G71" s="154" t="s">
        <v>599</v>
      </c>
      <c r="H71" s="154" t="s">
        <v>398</v>
      </c>
      <c r="I71" s="154" t="s">
        <v>499</v>
      </c>
      <c r="J71" s="247" t="s">
        <v>445</v>
      </c>
      <c r="K71" s="247" t="s">
        <v>600</v>
      </c>
      <c r="L71" s="154" t="str">
        <f t="shared" si="1"/>
        <v/>
      </c>
      <c r="M71" s="248" t="str">
        <f>IFERROR(__xludf.DUMMYFUNCTION("VLOOKUP(C71,IMPORTRANGE(""https://docs.google.com/spreadsheets/d/1P8eX0NWBhUPS_hvzA11R6jkTNFrPrRYIx_dX_hYbxrk/edit?resourcekey=0-iw9bsKY2OqkUHCFMkCar3A&amp;gid=2055363397#gid=2055363397"",""MTR!C:O""),11,false)"),"TAM")</f>
        <v>TAM</v>
      </c>
      <c r="N71" s="248" t="str">
        <f>IFERROR(__xludf.DUMMYFUNCTION("VLOOKUP(C71,IMPORTRANGE(""https://docs.google.com/spreadsheets/d/1ihFlp3_ePlYtFuPbUNbYj1muErVpI73WHXbEwJDIA7Q/edit#gid=1493122344"",""MTR!C:O""),8,false)"),"Complies")</f>
        <v>Complies</v>
      </c>
      <c r="O71" s="248" t="str">
        <f>IFERROR(__xludf.DUMMYFUNCTION("VLOOKUP(C71,IMPORTRANGE(""https://docs.google.com/spreadsheets/d/1P8eX0NWBhUPS_hvzA11R6jkTNFrPrRYIx_dX_hYbxrk/edit?resourcekey=0-iw9bsKY2OqkUHCFMkCar3A&amp;gid=2055363397#gid=2055363397"",""MTR!C:O""),9,false)"),"All homogenous materials must comply with the Google Restricted Substances Specification, 990-00012-00 Which include: Halogen-free, &lt;900 ppm Br, &lt;900 ppm Cl, &lt;1500 ppm Br + Cl combined")</f>
        <v>All homogenous materials must comply with the Google Restricted Substances Specification, 990-00012-00 Which include: Halogen-free, &lt;900 ppm Br, &lt;900 ppm Cl, &lt;1500 ppm Br + Cl combined</v>
      </c>
      <c r="P71" s="248"/>
      <c r="Q71" s="249" t="s">
        <v>445</v>
      </c>
      <c r="R71" s="249" t="s">
        <v>600</v>
      </c>
      <c r="S71" s="154" t="s">
        <v>60</v>
      </c>
      <c r="T71" s="154" t="s">
        <v>60</v>
      </c>
      <c r="U71" s="154" t="s">
        <v>60</v>
      </c>
      <c r="V71" s="154" t="s">
        <v>60</v>
      </c>
      <c r="W71" s="154" t="s">
        <v>60</v>
      </c>
      <c r="X71" s="154" t="s">
        <v>60</v>
      </c>
      <c r="Y71" s="154" t="s">
        <v>60</v>
      </c>
      <c r="Z71" s="154" t="s">
        <v>60</v>
      </c>
      <c r="AA71" s="154" t="s">
        <v>60</v>
      </c>
      <c r="AB71" s="154"/>
      <c r="AC71" s="242" t="b">
        <f t="shared" si="2"/>
        <v>1</v>
      </c>
      <c r="AD71" s="154" t="s">
        <v>391</v>
      </c>
      <c r="AE71" s="243" t="b">
        <f t="shared" si="3"/>
        <v>0</v>
      </c>
      <c r="AF71" s="154"/>
      <c r="AG71" s="243" t="b">
        <f t="shared" si="4"/>
        <v>0</v>
      </c>
      <c r="AH71" s="154"/>
      <c r="AI71" s="243" t="str">
        <f t="shared" si="5"/>
        <v>N/A</v>
      </c>
      <c r="AJ71" s="157" t="str">
        <f t="shared" si="6"/>
        <v/>
      </c>
    </row>
    <row r="72" ht="12.75" customHeight="1">
      <c r="A72" s="244" t="s">
        <v>386</v>
      </c>
      <c r="B72" s="244" t="s">
        <v>496</v>
      </c>
      <c r="C72" s="244" t="s">
        <v>601</v>
      </c>
      <c r="D72" s="154" t="s">
        <v>602</v>
      </c>
      <c r="E72" s="250"/>
      <c r="F72" s="154" t="str">
        <f t="array" ref="F72">XLOOKUP(Cover!$D$12,$S$1:$AA$1,$S72:$AA72)</f>
        <v>Mandatory</v>
      </c>
      <c r="G72" s="154" t="s">
        <v>603</v>
      </c>
      <c r="H72" s="154" t="s">
        <v>398</v>
      </c>
      <c r="I72" s="154" t="s">
        <v>499</v>
      </c>
      <c r="J72" s="247" t="s">
        <v>445</v>
      </c>
      <c r="K72" s="154"/>
      <c r="L72" s="154" t="str">
        <f t="shared" si="1"/>
        <v/>
      </c>
      <c r="M72" s="248" t="str">
        <f>IFERROR(__xludf.DUMMYFUNCTION("VLOOKUP(C72,IMPORTRANGE(""https://docs.google.com/spreadsheets/d/1P8eX0NWBhUPS_hvzA11R6jkTNFrPrRYIx_dX_hYbxrk/edit?resourcekey=0-iw9bsKY2OqkUHCFMkCar3A&amp;gid=2055363397#gid=2055363397"",""MTR!C:O""),11,false)"),"TAM")</f>
        <v>TAM</v>
      </c>
      <c r="N72" s="248" t="str">
        <f>IFERROR(__xludf.DUMMYFUNCTION("VLOOKUP(C72,IMPORTRANGE(""https://docs.google.com/spreadsheets/d/1ihFlp3_ePlYtFuPbUNbYj1muErVpI73WHXbEwJDIA7Q/edit#gid=1493122344"",""MTR!C:O""),8,false)"),"Complies")</f>
        <v>Complies</v>
      </c>
      <c r="O72" s="241" t="str">
        <f>IFERROR(__xludf.DUMMYFUNCTION("VLOOKUP(C72,IMPORTRANGE(""https://docs.google.com/spreadsheets/d/1P8eX0NWBhUPS_hvzA11R6jkTNFrPrRYIx_dX_hYbxrk/edit?resourcekey=0-iw9bsKY2OqkUHCFMkCar3A&amp;gid=2055363397#gid=2055363397"",""MTR!C:O""),9,false)"),"")</f>
        <v/>
      </c>
      <c r="P72" s="241"/>
      <c r="Q72" s="251" t="s">
        <v>445</v>
      </c>
      <c r="R72" s="241"/>
      <c r="S72" s="154" t="s">
        <v>60</v>
      </c>
      <c r="T72" s="154" t="s">
        <v>60</v>
      </c>
      <c r="U72" s="154" t="s">
        <v>60</v>
      </c>
      <c r="V72" s="154" t="s">
        <v>60</v>
      </c>
      <c r="W72" s="154" t="s">
        <v>60</v>
      </c>
      <c r="X72" s="154" t="s">
        <v>60</v>
      </c>
      <c r="Y72" s="154" t="s">
        <v>60</v>
      </c>
      <c r="Z72" s="154" t="s">
        <v>60</v>
      </c>
      <c r="AA72" s="154" t="s">
        <v>60</v>
      </c>
      <c r="AB72" s="154"/>
      <c r="AC72" s="242" t="b">
        <f t="shared" si="2"/>
        <v>1</v>
      </c>
      <c r="AD72" s="154" t="s">
        <v>391</v>
      </c>
      <c r="AE72" s="243" t="b">
        <f t="shared" si="3"/>
        <v>0</v>
      </c>
      <c r="AF72" s="154"/>
      <c r="AG72" s="243" t="b">
        <f t="shared" si="4"/>
        <v>0</v>
      </c>
      <c r="AH72" s="154"/>
      <c r="AI72" s="243" t="str">
        <f t="shared" si="5"/>
        <v>N/A</v>
      </c>
      <c r="AJ72" s="157" t="str">
        <f t="shared" si="6"/>
        <v/>
      </c>
    </row>
    <row r="73" ht="12.75" customHeight="1">
      <c r="A73" s="244" t="s">
        <v>386</v>
      </c>
      <c r="B73" s="244" t="s">
        <v>496</v>
      </c>
      <c r="C73" s="245" t="s">
        <v>604</v>
      </c>
      <c r="D73" s="155" t="s">
        <v>602</v>
      </c>
      <c r="E73" s="246" t="s">
        <v>92</v>
      </c>
      <c r="F73" s="154" t="str">
        <f t="array" ref="F73">XLOOKUP(Cover!$D$12,$S$1:$AA$1,$S73:$AA73)</f>
        <v>Mandatory</v>
      </c>
      <c r="G73" s="154" t="s">
        <v>605</v>
      </c>
      <c r="H73" s="154" t="s">
        <v>398</v>
      </c>
      <c r="I73" s="154" t="s">
        <v>499</v>
      </c>
      <c r="J73" s="247" t="s">
        <v>445</v>
      </c>
      <c r="K73" s="154"/>
      <c r="L73" s="154" t="str">
        <f t="shared" si="1"/>
        <v/>
      </c>
      <c r="M73" s="248" t="str">
        <f>IFERROR(__xludf.DUMMYFUNCTION("VLOOKUP(C73,IMPORTRANGE(""https://docs.google.com/spreadsheets/d/1P8eX0NWBhUPS_hvzA11R6jkTNFrPrRYIx_dX_hYbxrk/edit?resourcekey=0-iw9bsKY2OqkUHCFMkCar3A&amp;gid=2055363397#gid=2055363397"",""MTR!C:O""),11,false)"),"TAM")</f>
        <v>TAM</v>
      </c>
      <c r="N73" s="248" t="str">
        <f>IFERROR(__xludf.DUMMYFUNCTION("VLOOKUP(C73,IMPORTRANGE(""https://docs.google.com/spreadsheets/d/1ihFlp3_ePlYtFuPbUNbYj1muErVpI73WHXbEwJDIA7Q/edit#gid=1493122344"",""MTR!C:O""),8,false)"),"Complies")</f>
        <v>Complies</v>
      </c>
      <c r="O73" s="241" t="str">
        <f>IFERROR(__xludf.DUMMYFUNCTION("VLOOKUP(C73,IMPORTRANGE(""https://docs.google.com/spreadsheets/d/1P8eX0NWBhUPS_hvzA11R6jkTNFrPrRYIx_dX_hYbxrk/edit?resourcekey=0-iw9bsKY2OqkUHCFMkCar3A&amp;gid=2055363397#gid=2055363397"",""MTR!C:O""),9,false)"),"")</f>
        <v/>
      </c>
      <c r="P73" s="241"/>
      <c r="Q73" s="251" t="s">
        <v>445</v>
      </c>
      <c r="R73" s="241"/>
      <c r="S73" s="154" t="s">
        <v>60</v>
      </c>
      <c r="T73" s="154" t="s">
        <v>60</v>
      </c>
      <c r="U73" s="154" t="s">
        <v>60</v>
      </c>
      <c r="V73" s="154" t="s">
        <v>60</v>
      </c>
      <c r="W73" s="154" t="s">
        <v>60</v>
      </c>
      <c r="X73" s="154" t="s">
        <v>60</v>
      </c>
      <c r="Y73" s="154" t="s">
        <v>60</v>
      </c>
      <c r="Z73" s="154" t="s">
        <v>60</v>
      </c>
      <c r="AA73" s="154" t="s">
        <v>60</v>
      </c>
      <c r="AB73" s="154"/>
      <c r="AC73" s="242" t="b">
        <f t="shared" si="2"/>
        <v>1</v>
      </c>
      <c r="AD73" s="154" t="s">
        <v>391</v>
      </c>
      <c r="AE73" s="243" t="b">
        <f t="shared" si="3"/>
        <v>0</v>
      </c>
      <c r="AF73" s="154"/>
      <c r="AG73" s="243" t="b">
        <f t="shared" si="4"/>
        <v>0</v>
      </c>
      <c r="AH73" s="154"/>
      <c r="AI73" s="243" t="str">
        <f t="shared" si="5"/>
        <v>N/A</v>
      </c>
      <c r="AJ73" s="157" t="str">
        <f t="shared" si="6"/>
        <v/>
      </c>
    </row>
    <row r="74" ht="12.75" customHeight="1">
      <c r="A74" s="244" t="s">
        <v>386</v>
      </c>
      <c r="B74" s="244" t="s">
        <v>496</v>
      </c>
      <c r="C74" s="244" t="s">
        <v>606</v>
      </c>
      <c r="D74" s="154" t="s">
        <v>602</v>
      </c>
      <c r="E74" s="250"/>
      <c r="F74" s="154" t="str">
        <f t="array" ref="F74">XLOOKUP(Cover!$D$12,$S$1:$AA$1,$S74:$AA74)</f>
        <v>Mandatory</v>
      </c>
      <c r="G74" s="154" t="s">
        <v>607</v>
      </c>
      <c r="H74" s="154" t="s">
        <v>398</v>
      </c>
      <c r="I74" s="154" t="s">
        <v>389</v>
      </c>
      <c r="J74" s="247" t="s">
        <v>445</v>
      </c>
      <c r="K74" s="154"/>
      <c r="L74" s="154" t="str">
        <f t="shared" si="1"/>
        <v/>
      </c>
      <c r="M74" s="248" t="str">
        <f>IFERROR(__xludf.DUMMYFUNCTION("VLOOKUP(C74,IMPORTRANGE(""https://docs.google.com/spreadsheets/d/1P8eX0NWBhUPS_hvzA11R6jkTNFrPrRYIx_dX_hYbxrk/edit?resourcekey=0-iw9bsKY2OqkUHCFMkCar3A&amp;gid=2055363397#gid=2055363397"",""MTR!C:O""),11,false)"),"TAM")</f>
        <v>TAM</v>
      </c>
      <c r="N74" s="248" t="str">
        <f>IFERROR(__xludf.DUMMYFUNCTION("VLOOKUP(C74,IMPORTRANGE(""https://docs.google.com/spreadsheets/d/1ihFlp3_ePlYtFuPbUNbYj1muErVpI73WHXbEwJDIA7Q/edit#gid=1493122344"",""MTR!C:O""),8,false)"),"Complies")</f>
        <v>Complies</v>
      </c>
      <c r="O74" s="241" t="str">
        <f>IFERROR(__xludf.DUMMYFUNCTION("VLOOKUP(C74,IMPORTRANGE(""https://docs.google.com/spreadsheets/d/1P8eX0NWBhUPS_hvzA11R6jkTNFrPrRYIx_dX_hYbxrk/edit?resourcekey=0-iw9bsKY2OqkUHCFMkCar3A&amp;gid=2055363397#gid=2055363397"",""MTR!C:O""),9,false)"),"")</f>
        <v/>
      </c>
      <c r="P74" s="241"/>
      <c r="Q74" s="251" t="s">
        <v>445</v>
      </c>
      <c r="R74" s="241"/>
      <c r="S74" s="154" t="s">
        <v>60</v>
      </c>
      <c r="T74" s="154" t="s">
        <v>60</v>
      </c>
      <c r="U74" s="154" t="s">
        <v>60</v>
      </c>
      <c r="V74" s="154" t="s">
        <v>60</v>
      </c>
      <c r="W74" s="154" t="s">
        <v>60</v>
      </c>
      <c r="X74" s="154" t="s">
        <v>60</v>
      </c>
      <c r="Y74" s="154" t="s">
        <v>60</v>
      </c>
      <c r="Z74" s="154" t="s">
        <v>60</v>
      </c>
      <c r="AA74" s="154" t="s">
        <v>60</v>
      </c>
      <c r="AB74" s="154"/>
      <c r="AC74" s="242" t="b">
        <f t="shared" si="2"/>
        <v>1</v>
      </c>
      <c r="AD74" s="154" t="s">
        <v>391</v>
      </c>
      <c r="AE74" s="243" t="b">
        <f t="shared" si="3"/>
        <v>0</v>
      </c>
      <c r="AF74" s="154"/>
      <c r="AG74" s="243" t="b">
        <f t="shared" si="4"/>
        <v>0</v>
      </c>
      <c r="AH74" s="154"/>
      <c r="AI74" s="243" t="str">
        <f t="shared" si="5"/>
        <v>N/A</v>
      </c>
      <c r="AJ74" s="157" t="str">
        <f t="shared" si="6"/>
        <v/>
      </c>
    </row>
    <row r="75" ht="12.75" customHeight="1">
      <c r="A75" s="238" t="s">
        <v>386</v>
      </c>
      <c r="B75" s="238" t="s">
        <v>496</v>
      </c>
      <c r="C75" s="238" t="s">
        <v>608</v>
      </c>
      <c r="D75" s="238"/>
      <c r="E75" s="238"/>
      <c r="F75" s="154" t="str">
        <f t="array" ref="F75">XLOOKUP(Cover!$D$12,$S$1:$AA$1,$S75:$AA75)</f>
        <v>Heading</v>
      </c>
      <c r="G75" s="239" t="s">
        <v>609</v>
      </c>
      <c r="H75" s="240"/>
      <c r="I75" s="240" t="s">
        <v>499</v>
      </c>
      <c r="J75" s="240"/>
      <c r="K75" s="240"/>
      <c r="L75" s="154" t="str">
        <f t="shared" si="1"/>
        <v/>
      </c>
      <c r="M75" s="241" t="str">
        <f>IFERROR(__xludf.DUMMYFUNCTION("VLOOKUP(C75,IMPORTRANGE(""https://docs.google.com/spreadsheets/d/1P8eX0NWBhUPS_hvzA11R6jkTNFrPrRYIx_dX_hYbxrk/edit?resourcekey=0-iw9bsKY2OqkUHCFMkCar3A&amp;gid=2055363397#gid=2055363397"",""MTR!C:O""),11,false)"),"")</f>
        <v/>
      </c>
      <c r="N75" s="241" t="str">
        <f>IFERROR(__xludf.DUMMYFUNCTION("VLOOKUP(C75,IMPORTRANGE(""https://docs.google.com/spreadsheets/d/1ihFlp3_ePlYtFuPbUNbYj1muErVpI73WHXbEwJDIA7Q/edit#gid=1493122344"",""MTR!C:O""),8,false)"),"")</f>
        <v/>
      </c>
      <c r="O75" s="241" t="str">
        <f>IFERROR(__xludf.DUMMYFUNCTION("VLOOKUP(C75,IMPORTRANGE(""https://docs.google.com/spreadsheets/d/1P8eX0NWBhUPS_hvzA11R6jkTNFrPrRYIx_dX_hYbxrk/edit?resourcekey=0-iw9bsKY2OqkUHCFMkCar3A&amp;gid=2055363397#gid=2055363397"",""MTR!C:O""),9,false)"),"")</f>
        <v/>
      </c>
      <c r="P75" s="241"/>
      <c r="Q75" s="241"/>
      <c r="R75" s="241"/>
      <c r="S75" s="240" t="s">
        <v>390</v>
      </c>
      <c r="T75" s="240" t="s">
        <v>390</v>
      </c>
      <c r="U75" s="240" t="s">
        <v>390</v>
      </c>
      <c r="V75" s="240" t="s">
        <v>390</v>
      </c>
      <c r="W75" s="240" t="s">
        <v>390</v>
      </c>
      <c r="X75" s="240" t="s">
        <v>390</v>
      </c>
      <c r="Y75" s="240" t="s">
        <v>390</v>
      </c>
      <c r="Z75" s="240" t="s">
        <v>390</v>
      </c>
      <c r="AA75" s="240" t="s">
        <v>390</v>
      </c>
      <c r="AB75" s="240"/>
      <c r="AC75" s="242" t="b">
        <f t="shared" si="2"/>
        <v>0</v>
      </c>
      <c r="AD75" s="240" t="s">
        <v>391</v>
      </c>
      <c r="AE75" s="243" t="b">
        <f t="shared" si="3"/>
        <v>0</v>
      </c>
      <c r="AF75" s="240"/>
      <c r="AG75" s="243" t="b">
        <f t="shared" si="4"/>
        <v>0</v>
      </c>
      <c r="AH75" s="240"/>
      <c r="AI75" s="243" t="str">
        <f t="shared" si="5"/>
        <v>N/A</v>
      </c>
      <c r="AJ75" s="157" t="str">
        <f t="shared" si="6"/>
        <v/>
      </c>
    </row>
    <row r="76" ht="12.75" customHeight="1">
      <c r="A76" s="244" t="s">
        <v>386</v>
      </c>
      <c r="B76" s="244" t="s">
        <v>496</v>
      </c>
      <c r="C76" s="244" t="s">
        <v>610</v>
      </c>
      <c r="D76" s="154" t="s">
        <v>528</v>
      </c>
      <c r="E76" s="250"/>
      <c r="F76" s="154" t="str">
        <f t="array" ref="F76">XLOOKUP(Cover!$D$12,$S$1:$AA$1,$S76:$AA76)</f>
        <v>Mandatory</v>
      </c>
      <c r="G76" s="154" t="s">
        <v>611</v>
      </c>
      <c r="H76" s="154" t="s">
        <v>398</v>
      </c>
      <c r="I76" s="154" t="s">
        <v>550</v>
      </c>
      <c r="J76" s="247" t="s">
        <v>445</v>
      </c>
      <c r="K76" s="247" t="s">
        <v>612</v>
      </c>
      <c r="L76" s="154" t="str">
        <f t="shared" si="1"/>
        <v/>
      </c>
      <c r="M76" s="248" t="str">
        <f>IFERROR(__xludf.DUMMYFUNCTION("VLOOKUP(C76,IMPORTRANGE(""https://docs.google.com/spreadsheets/d/1P8eX0NWBhUPS_hvzA11R6jkTNFrPrRYIx_dX_hYbxrk/edit?resourcekey=0-iw9bsKY2OqkUHCFMkCar3A&amp;gid=2055363397#gid=2055363397"",""MTR!C:O""),11,false)"),"TAM")</f>
        <v>TAM</v>
      </c>
      <c r="N76" s="248" t="str">
        <f>IFERROR(__xludf.DUMMYFUNCTION("VLOOKUP(C76,IMPORTRANGE(""https://docs.google.com/spreadsheets/d/1ihFlp3_ePlYtFuPbUNbYj1muErVpI73WHXbEwJDIA7Q/edit#gid=1493122344"",""MTR!C:O""),8,false)"),"Complies")</f>
        <v>Complies</v>
      </c>
      <c r="O76" s="248" t="str">
        <f>IFERROR(__xludf.DUMMYFUNCTION("VLOOKUP(C76,IMPORTRANGE(""https://docs.google.com/spreadsheets/d/1P8eX0NWBhUPS_hvzA11R6jkTNFrPrRYIx_dX_hYbxrk/edit?resourcekey=0-iw9bsKY2OqkUHCFMkCar3A&amp;gid=2055363397#gid=2055363397"",""MTR!C:O""),9,false)"),"One physical removable 4FF SIM One eUISCC SIM")</f>
        <v>One physical removable 4FF SIM One eUISCC SIM</v>
      </c>
      <c r="P76" s="248"/>
      <c r="Q76" s="249" t="s">
        <v>445</v>
      </c>
      <c r="R76" s="249" t="s">
        <v>612</v>
      </c>
      <c r="S76" s="154" t="s">
        <v>60</v>
      </c>
      <c r="T76" s="154" t="s">
        <v>60</v>
      </c>
      <c r="U76" s="154" t="s">
        <v>60</v>
      </c>
      <c r="V76" s="154" t="s">
        <v>60</v>
      </c>
      <c r="W76" s="154" t="s">
        <v>60</v>
      </c>
      <c r="X76" s="154" t="s">
        <v>60</v>
      </c>
      <c r="Y76" s="154" t="s">
        <v>60</v>
      </c>
      <c r="Z76" s="154" t="s">
        <v>60</v>
      </c>
      <c r="AA76" s="154" t="s">
        <v>60</v>
      </c>
      <c r="AB76" s="154"/>
      <c r="AC76" s="242" t="b">
        <f t="shared" si="2"/>
        <v>1</v>
      </c>
      <c r="AD76" s="154" t="s">
        <v>391</v>
      </c>
      <c r="AE76" s="243" t="b">
        <f t="shared" si="3"/>
        <v>0</v>
      </c>
      <c r="AF76" s="154"/>
      <c r="AG76" s="243" t="b">
        <f t="shared" si="4"/>
        <v>0</v>
      </c>
      <c r="AH76" s="154"/>
      <c r="AI76" s="243" t="str">
        <f t="shared" si="5"/>
        <v>N/A</v>
      </c>
      <c r="AJ76" s="157" t="str">
        <f t="shared" si="6"/>
        <v/>
      </c>
    </row>
    <row r="77" ht="12.75" customHeight="1">
      <c r="A77" s="244" t="s">
        <v>386</v>
      </c>
      <c r="B77" s="244" t="s">
        <v>496</v>
      </c>
      <c r="C77" s="244" t="s">
        <v>613</v>
      </c>
      <c r="D77" s="154" t="s">
        <v>528</v>
      </c>
      <c r="E77" s="250"/>
      <c r="F77" s="154" t="str">
        <f t="array" ref="F77">XLOOKUP(Cover!$D$12,$S$1:$AA$1,$S77:$AA77)</f>
        <v>Mandatory</v>
      </c>
      <c r="G77" s="154" t="s">
        <v>614</v>
      </c>
      <c r="H77" s="154" t="s">
        <v>398</v>
      </c>
      <c r="I77" s="154" t="s">
        <v>550</v>
      </c>
      <c r="J77" s="247" t="s">
        <v>445</v>
      </c>
      <c r="K77" s="154"/>
      <c r="L77" s="154" t="str">
        <f t="shared" si="1"/>
        <v/>
      </c>
      <c r="M77" s="248" t="str">
        <f>IFERROR(__xludf.DUMMYFUNCTION("VLOOKUP(C77,IMPORTRANGE(""https://docs.google.com/spreadsheets/d/1P8eX0NWBhUPS_hvzA11R6jkTNFrPrRYIx_dX_hYbxrk/edit?resourcekey=0-iw9bsKY2OqkUHCFMkCar3A&amp;gid=2055363397#gid=2055363397"",""MTR!C:O""),11,false)"),"TAM")</f>
        <v>TAM</v>
      </c>
      <c r="N77" s="248" t="str">
        <f>IFERROR(__xludf.DUMMYFUNCTION("VLOOKUP(C77,IMPORTRANGE(""https://docs.google.com/spreadsheets/d/1ihFlp3_ePlYtFuPbUNbYj1muErVpI73WHXbEwJDIA7Q/edit#gid=1493122344"",""MTR!C:O""),8,false)"),"Complies")</f>
        <v>Complies</v>
      </c>
      <c r="O77" s="241" t="str">
        <f>IFERROR(__xludf.DUMMYFUNCTION("VLOOKUP(C77,IMPORTRANGE(""https://docs.google.com/spreadsheets/d/1P8eX0NWBhUPS_hvzA11R6jkTNFrPrRYIx_dX_hYbxrk/edit?resourcekey=0-iw9bsKY2OqkUHCFMkCar3A&amp;gid=2055363397#gid=2055363397"",""MTR!C:O""),9,false)"),"")</f>
        <v/>
      </c>
      <c r="P77" s="241"/>
      <c r="Q77" s="251" t="s">
        <v>445</v>
      </c>
      <c r="R77" s="241"/>
      <c r="S77" s="154" t="s">
        <v>60</v>
      </c>
      <c r="T77" s="154" t="s">
        <v>60</v>
      </c>
      <c r="U77" s="154" t="s">
        <v>60</v>
      </c>
      <c r="V77" s="154" t="s">
        <v>60</v>
      </c>
      <c r="W77" s="154" t="s">
        <v>60</v>
      </c>
      <c r="X77" s="154" t="s">
        <v>60</v>
      </c>
      <c r="Y77" s="154" t="s">
        <v>60</v>
      </c>
      <c r="Z77" s="154" t="s">
        <v>60</v>
      </c>
      <c r="AA77" s="154" t="s">
        <v>60</v>
      </c>
      <c r="AB77" s="154"/>
      <c r="AC77" s="242" t="b">
        <f t="shared" si="2"/>
        <v>1</v>
      </c>
      <c r="AD77" s="154" t="s">
        <v>391</v>
      </c>
      <c r="AE77" s="243" t="b">
        <f t="shared" si="3"/>
        <v>0</v>
      </c>
      <c r="AF77" s="154"/>
      <c r="AG77" s="243" t="b">
        <f t="shared" si="4"/>
        <v>0</v>
      </c>
      <c r="AH77" s="154"/>
      <c r="AI77" s="243" t="str">
        <f t="shared" si="5"/>
        <v>N/A</v>
      </c>
      <c r="AJ77" s="157" t="str">
        <f t="shared" si="6"/>
        <v/>
      </c>
    </row>
    <row r="78" ht="12.75" customHeight="1">
      <c r="A78" s="244" t="s">
        <v>386</v>
      </c>
      <c r="B78" s="244" t="s">
        <v>496</v>
      </c>
      <c r="C78" s="244" t="s">
        <v>615</v>
      </c>
      <c r="D78" s="154" t="s">
        <v>528</v>
      </c>
      <c r="E78" s="250"/>
      <c r="F78" s="154" t="str">
        <f t="array" ref="F78">XLOOKUP(Cover!$D$12,$S$1:$AA$1,$S78:$AA78)</f>
        <v>Mandatory</v>
      </c>
      <c r="G78" s="154" t="s">
        <v>616</v>
      </c>
      <c r="H78" s="154" t="s">
        <v>398</v>
      </c>
      <c r="I78" s="154" t="s">
        <v>550</v>
      </c>
      <c r="J78" s="247" t="s">
        <v>617</v>
      </c>
      <c r="K78" s="247" t="s">
        <v>618</v>
      </c>
      <c r="L78" s="154" t="str">
        <f t="shared" si="1"/>
        <v/>
      </c>
      <c r="M78" s="248" t="str">
        <f>IFERROR(__xludf.DUMMYFUNCTION("VLOOKUP(C78,IMPORTRANGE(""https://docs.google.com/spreadsheets/d/1P8eX0NWBhUPS_hvzA11R6jkTNFrPrRYIx_dX_hYbxrk/edit?resourcekey=0-iw9bsKY2OqkUHCFMkCar3A&amp;gid=2055363397#gid=2055363397"",""MTR!C:O""),11,false)"),"TAM")</f>
        <v>TAM</v>
      </c>
      <c r="N78" s="248" t="str">
        <f>IFERROR(__xludf.DUMMYFUNCTION("VLOOKUP(C78,IMPORTRANGE(""https://docs.google.com/spreadsheets/d/1ihFlp3_ePlYtFuPbUNbYj1muErVpI73WHXbEwJDIA7Q/edit#gid=1493122344"",""MTR!C:O""),8,false)"),"Not Applicable")</f>
        <v>Not Applicable</v>
      </c>
      <c r="O78" s="248" t="str">
        <f>IFERROR(__xludf.DUMMYFUNCTION("VLOOKUP(C78,IMPORTRANGE(""https://docs.google.com/spreadsheets/d/1P8eX0NWBhUPS_hvzA11R6jkTNFrPrRYIx_dX_hYbxrk/edit?resourcekey=0-iw9bsKY2OqkUHCFMkCar3A&amp;gid=2055363397#gid=2055363397"",""MTR!C:O""),9,false)"),"No secondary controls")</f>
        <v>No secondary controls</v>
      </c>
      <c r="P78" s="248"/>
      <c r="Q78" s="249" t="s">
        <v>617</v>
      </c>
      <c r="R78" s="249" t="s">
        <v>618</v>
      </c>
      <c r="S78" s="154" t="s">
        <v>60</v>
      </c>
      <c r="T78" s="154" t="s">
        <v>60</v>
      </c>
      <c r="U78" s="154" t="s">
        <v>60</v>
      </c>
      <c r="V78" s="154" t="s">
        <v>60</v>
      </c>
      <c r="W78" s="154" t="s">
        <v>60</v>
      </c>
      <c r="X78" s="154" t="s">
        <v>60</v>
      </c>
      <c r="Y78" s="154" t="s">
        <v>60</v>
      </c>
      <c r="Z78" s="154" t="s">
        <v>60</v>
      </c>
      <c r="AA78" s="154" t="s">
        <v>60</v>
      </c>
      <c r="AB78" s="154"/>
      <c r="AC78" s="242" t="b">
        <f t="shared" si="2"/>
        <v>1</v>
      </c>
      <c r="AD78" s="154" t="s">
        <v>391</v>
      </c>
      <c r="AE78" s="243" t="b">
        <f t="shared" si="3"/>
        <v>0</v>
      </c>
      <c r="AF78" s="154"/>
      <c r="AG78" s="243" t="b">
        <f t="shared" si="4"/>
        <v>0</v>
      </c>
      <c r="AH78" s="154"/>
      <c r="AI78" s="243" t="str">
        <f t="shared" si="5"/>
        <v>N/A</v>
      </c>
      <c r="AJ78" s="157" t="str">
        <f t="shared" si="6"/>
        <v/>
      </c>
    </row>
    <row r="79" ht="12.75" customHeight="1">
      <c r="A79" s="244" t="s">
        <v>386</v>
      </c>
      <c r="B79" s="244" t="s">
        <v>496</v>
      </c>
      <c r="C79" s="244" t="s">
        <v>619</v>
      </c>
      <c r="D79" s="154" t="s">
        <v>484</v>
      </c>
      <c r="E79" s="250"/>
      <c r="F79" s="154" t="str">
        <f t="array" ref="F79">XLOOKUP(Cover!$D$12,$S$1:$AA$1,$S79:$AA79)</f>
        <v>Mandatory</v>
      </c>
      <c r="G79" s="154" t="s">
        <v>620</v>
      </c>
      <c r="H79" s="154" t="s">
        <v>398</v>
      </c>
      <c r="I79" s="154" t="s">
        <v>505</v>
      </c>
      <c r="J79" s="154" t="s">
        <v>445</v>
      </c>
      <c r="K79" s="154"/>
      <c r="L79" s="154" t="str">
        <f t="shared" si="1"/>
        <v>Comments Vendor missing!
</v>
      </c>
      <c r="M79" s="248" t="str">
        <f>IFERROR(__xludf.DUMMYFUNCTION("VLOOKUP(C79,IMPORTRANGE(""https://docs.google.com/spreadsheets/d/1P8eX0NWBhUPS_hvzA11R6jkTNFrPrRYIx_dX_hYbxrk/edit?resourcekey=0-iw9bsKY2OqkUHCFMkCar3A&amp;gid=2055363397#gid=2055363397"",""MTR!C:O""),11,false)"),"TAM")</f>
        <v>TAM</v>
      </c>
      <c r="N79" s="248" t="str">
        <f>IFERROR(__xludf.DUMMYFUNCTION("VLOOKUP(C79,IMPORTRANGE(""https://docs.google.com/spreadsheets/d/1ihFlp3_ePlYtFuPbUNbYj1muErVpI73WHXbEwJDIA7Q/edit#gid=1493122344"",""MTR!C:O""),8,false)"),"Complies")</f>
        <v>Complies</v>
      </c>
      <c r="O79" s="241" t="str">
        <f>IFERROR(__xludf.DUMMYFUNCTION("VLOOKUP(C79,IMPORTRANGE(""https://docs.google.com/spreadsheets/d/1P8eX0NWBhUPS_hvzA11R6jkTNFrPrRYIx_dX_hYbxrk/edit?resourcekey=0-iw9bsKY2OqkUHCFMkCar3A&amp;gid=2055363397#gid=2055363397"",""MTR!C:O""),9,false)"),"")</f>
        <v/>
      </c>
      <c r="P79" s="241"/>
      <c r="Q79" s="251" t="s">
        <v>445</v>
      </c>
      <c r="R79" s="241"/>
      <c r="S79" s="154" t="s">
        <v>60</v>
      </c>
      <c r="T79" s="154" t="s">
        <v>60</v>
      </c>
      <c r="U79" s="154" t="s">
        <v>60</v>
      </c>
      <c r="V79" s="154" t="s">
        <v>60</v>
      </c>
      <c r="W79" s="154" t="s">
        <v>60</v>
      </c>
      <c r="X79" s="154" t="s">
        <v>60</v>
      </c>
      <c r="Y79" s="154" t="s">
        <v>60</v>
      </c>
      <c r="Z79" s="154" t="s">
        <v>60</v>
      </c>
      <c r="AA79" s="154" t="s">
        <v>60</v>
      </c>
      <c r="AB79" s="154"/>
      <c r="AC79" s="242" t="b">
        <f t="shared" si="2"/>
        <v>1</v>
      </c>
      <c r="AD79" s="154" t="s">
        <v>445</v>
      </c>
      <c r="AE79" s="243" t="b">
        <f t="shared" si="3"/>
        <v>0</v>
      </c>
      <c r="AF79" s="154"/>
      <c r="AG79" s="243" t="b">
        <f t="shared" si="4"/>
        <v>1</v>
      </c>
      <c r="AH79" s="154"/>
      <c r="AI79" s="243" t="str">
        <f t="shared" si="5"/>
        <v>N/A</v>
      </c>
      <c r="AJ79" s="157" t="str">
        <f t="shared" si="6"/>
        <v>Comments Vendor missing!
</v>
      </c>
    </row>
    <row r="80" ht="12.75" customHeight="1">
      <c r="A80" s="238" t="s">
        <v>621</v>
      </c>
      <c r="B80" s="238"/>
      <c r="C80" s="238" t="s">
        <v>622</v>
      </c>
      <c r="D80" s="238"/>
      <c r="E80" s="238"/>
      <c r="F80" s="154" t="str">
        <f t="array" ref="F80">XLOOKUP(Cover!$D$12,$S$1:$AA$1,$S80:$AA80)</f>
        <v>Heading</v>
      </c>
      <c r="G80" s="239" t="s">
        <v>623</v>
      </c>
      <c r="H80" s="240"/>
      <c r="I80" s="240" t="s">
        <v>389</v>
      </c>
      <c r="J80" s="240"/>
      <c r="K80" s="240"/>
      <c r="L80" s="154" t="str">
        <f t="shared" si="1"/>
        <v/>
      </c>
      <c r="M80" s="241" t="str">
        <f>IFERROR(__xludf.DUMMYFUNCTION("VLOOKUP(C80,IMPORTRANGE(""https://docs.google.com/spreadsheets/d/1P8eX0NWBhUPS_hvzA11R6jkTNFrPrRYIx_dX_hYbxrk/edit?resourcekey=0-iw9bsKY2OqkUHCFMkCar3A&amp;gid=2055363397#gid=2055363397"",""MTR!C:O""),11,false)"),"")</f>
        <v/>
      </c>
      <c r="N80" s="241" t="str">
        <f>IFERROR(__xludf.DUMMYFUNCTION("VLOOKUP(C80,IMPORTRANGE(""https://docs.google.com/spreadsheets/d/1ihFlp3_ePlYtFuPbUNbYj1muErVpI73WHXbEwJDIA7Q/edit#gid=1493122344"",""MTR!C:O""),8,false)"),"")</f>
        <v/>
      </c>
      <c r="O80" s="241" t="str">
        <f>IFERROR(__xludf.DUMMYFUNCTION("VLOOKUP(C80,IMPORTRANGE(""https://docs.google.com/spreadsheets/d/1P8eX0NWBhUPS_hvzA11R6jkTNFrPrRYIx_dX_hYbxrk/edit?resourcekey=0-iw9bsKY2OqkUHCFMkCar3A&amp;gid=2055363397#gid=2055363397"",""MTR!C:O""),9,false)"),"")</f>
        <v/>
      </c>
      <c r="P80" s="241"/>
      <c r="Q80" s="241"/>
      <c r="R80" s="241"/>
      <c r="S80" s="240" t="s">
        <v>390</v>
      </c>
      <c r="T80" s="240" t="s">
        <v>390</v>
      </c>
      <c r="U80" s="240" t="s">
        <v>390</v>
      </c>
      <c r="V80" s="240" t="s">
        <v>390</v>
      </c>
      <c r="W80" s="240" t="s">
        <v>390</v>
      </c>
      <c r="X80" s="240" t="s">
        <v>390</v>
      </c>
      <c r="Y80" s="240" t="s">
        <v>390</v>
      </c>
      <c r="Z80" s="240" t="s">
        <v>390</v>
      </c>
      <c r="AA80" s="240" t="s">
        <v>390</v>
      </c>
      <c r="AB80" s="240"/>
      <c r="AC80" s="242" t="b">
        <f t="shared" si="2"/>
        <v>0</v>
      </c>
      <c r="AD80" s="240" t="s">
        <v>391</v>
      </c>
      <c r="AE80" s="243" t="b">
        <f t="shared" si="3"/>
        <v>0</v>
      </c>
      <c r="AF80" s="240"/>
      <c r="AG80" s="243" t="b">
        <f t="shared" si="4"/>
        <v>0</v>
      </c>
      <c r="AH80" s="240"/>
      <c r="AI80" s="243" t="str">
        <f t="shared" si="5"/>
        <v>N/A</v>
      </c>
      <c r="AJ80" s="157" t="str">
        <f t="shared" si="6"/>
        <v/>
      </c>
    </row>
    <row r="81" ht="12.75" customHeight="1">
      <c r="A81" s="238" t="s">
        <v>621</v>
      </c>
      <c r="B81" s="238" t="s">
        <v>624</v>
      </c>
      <c r="C81" s="238" t="s">
        <v>625</v>
      </c>
      <c r="D81" s="238"/>
      <c r="E81" s="238"/>
      <c r="F81" s="154" t="str">
        <f t="array" ref="F81">XLOOKUP(Cover!$D$12,$S$1:$AA$1,$S81:$AA81)</f>
        <v>Heading</v>
      </c>
      <c r="G81" s="239" t="s">
        <v>626</v>
      </c>
      <c r="H81" s="240"/>
      <c r="I81" s="240" t="s">
        <v>389</v>
      </c>
      <c r="J81" s="240"/>
      <c r="K81" s="240"/>
      <c r="L81" s="154" t="str">
        <f t="shared" si="1"/>
        <v/>
      </c>
      <c r="M81" s="241" t="str">
        <f>IFERROR(__xludf.DUMMYFUNCTION("VLOOKUP(C81,IMPORTRANGE(""https://docs.google.com/spreadsheets/d/1P8eX0NWBhUPS_hvzA11R6jkTNFrPrRYIx_dX_hYbxrk/edit?resourcekey=0-iw9bsKY2OqkUHCFMkCar3A&amp;gid=2055363397#gid=2055363397"",""MTR!C:O""),11,false)"),"")</f>
        <v/>
      </c>
      <c r="N81" s="241" t="str">
        <f>IFERROR(__xludf.DUMMYFUNCTION("VLOOKUP(C81,IMPORTRANGE(""https://docs.google.com/spreadsheets/d/1ihFlp3_ePlYtFuPbUNbYj1muErVpI73WHXbEwJDIA7Q/edit#gid=1493122344"",""MTR!C:O""),8,false)"),"")</f>
        <v/>
      </c>
      <c r="O81" s="241" t="str">
        <f>IFERROR(__xludf.DUMMYFUNCTION("VLOOKUP(C81,IMPORTRANGE(""https://docs.google.com/spreadsheets/d/1P8eX0NWBhUPS_hvzA11R6jkTNFrPrRYIx_dX_hYbxrk/edit?resourcekey=0-iw9bsKY2OqkUHCFMkCar3A&amp;gid=2055363397#gid=2055363397"",""MTR!C:O""),9,false)"),"")</f>
        <v/>
      </c>
      <c r="P81" s="241"/>
      <c r="Q81" s="241"/>
      <c r="R81" s="241"/>
      <c r="S81" s="240" t="s">
        <v>390</v>
      </c>
      <c r="T81" s="240" t="s">
        <v>390</v>
      </c>
      <c r="U81" s="240" t="s">
        <v>390</v>
      </c>
      <c r="V81" s="240" t="s">
        <v>390</v>
      </c>
      <c r="W81" s="240" t="s">
        <v>390</v>
      </c>
      <c r="X81" s="240" t="s">
        <v>390</v>
      </c>
      <c r="Y81" s="240" t="s">
        <v>390</v>
      </c>
      <c r="Z81" s="240" t="s">
        <v>390</v>
      </c>
      <c r="AA81" s="240" t="s">
        <v>390</v>
      </c>
      <c r="AB81" s="240"/>
      <c r="AC81" s="242" t="b">
        <f t="shared" si="2"/>
        <v>0</v>
      </c>
      <c r="AD81" s="240" t="s">
        <v>391</v>
      </c>
      <c r="AE81" s="243" t="b">
        <f t="shared" si="3"/>
        <v>0</v>
      </c>
      <c r="AF81" s="240"/>
      <c r="AG81" s="243" t="b">
        <f t="shared" si="4"/>
        <v>0</v>
      </c>
      <c r="AH81" s="240"/>
      <c r="AI81" s="243" t="str">
        <f t="shared" si="5"/>
        <v>N/A</v>
      </c>
      <c r="AJ81" s="157" t="str">
        <f t="shared" si="6"/>
        <v/>
      </c>
    </row>
    <row r="82" ht="12.75" customHeight="1">
      <c r="A82" s="238" t="s">
        <v>621</v>
      </c>
      <c r="B82" s="238" t="s">
        <v>624</v>
      </c>
      <c r="C82" s="238" t="s">
        <v>627</v>
      </c>
      <c r="D82" s="238"/>
      <c r="E82" s="238"/>
      <c r="F82" s="154" t="str">
        <f t="array" ref="F82">XLOOKUP(Cover!$D$12,$S$1:$AA$1,$S82:$AA82)</f>
        <v>Heading</v>
      </c>
      <c r="G82" s="239" t="s">
        <v>628</v>
      </c>
      <c r="H82" s="240"/>
      <c r="I82" s="240" t="s">
        <v>389</v>
      </c>
      <c r="J82" s="240"/>
      <c r="K82" s="240"/>
      <c r="L82" s="154" t="str">
        <f t="shared" si="1"/>
        <v/>
      </c>
      <c r="M82" s="241" t="str">
        <f>IFERROR(__xludf.DUMMYFUNCTION("VLOOKUP(C82,IMPORTRANGE(""https://docs.google.com/spreadsheets/d/1P8eX0NWBhUPS_hvzA11R6jkTNFrPrRYIx_dX_hYbxrk/edit?resourcekey=0-iw9bsKY2OqkUHCFMkCar3A&amp;gid=2055363397#gid=2055363397"",""MTR!C:O""),11,false)"),"")</f>
        <v/>
      </c>
      <c r="N82" s="241" t="str">
        <f>IFERROR(__xludf.DUMMYFUNCTION("VLOOKUP(C82,IMPORTRANGE(""https://docs.google.com/spreadsheets/d/1ihFlp3_ePlYtFuPbUNbYj1muErVpI73WHXbEwJDIA7Q/edit#gid=1493122344"",""MTR!C:O""),8,false)"),"")</f>
        <v/>
      </c>
      <c r="O82" s="241" t="str">
        <f>IFERROR(__xludf.DUMMYFUNCTION("VLOOKUP(C82,IMPORTRANGE(""https://docs.google.com/spreadsheets/d/1P8eX0NWBhUPS_hvzA11R6jkTNFrPrRYIx_dX_hYbxrk/edit?resourcekey=0-iw9bsKY2OqkUHCFMkCar3A&amp;gid=2055363397#gid=2055363397"",""MTR!C:O""),9,false)"),"")</f>
        <v/>
      </c>
      <c r="P82" s="241"/>
      <c r="Q82" s="241"/>
      <c r="R82" s="241"/>
      <c r="S82" s="240" t="s">
        <v>390</v>
      </c>
      <c r="T82" s="240" t="s">
        <v>390</v>
      </c>
      <c r="U82" s="240" t="s">
        <v>390</v>
      </c>
      <c r="V82" s="240" t="s">
        <v>390</v>
      </c>
      <c r="W82" s="240" t="s">
        <v>390</v>
      </c>
      <c r="X82" s="240" t="s">
        <v>390</v>
      </c>
      <c r="Y82" s="240" t="s">
        <v>390</v>
      </c>
      <c r="Z82" s="240" t="s">
        <v>390</v>
      </c>
      <c r="AA82" s="240" t="s">
        <v>390</v>
      </c>
      <c r="AB82" s="240"/>
      <c r="AC82" s="242" t="b">
        <f t="shared" si="2"/>
        <v>0</v>
      </c>
      <c r="AD82" s="240" t="s">
        <v>391</v>
      </c>
      <c r="AE82" s="243" t="b">
        <f t="shared" si="3"/>
        <v>0</v>
      </c>
      <c r="AF82" s="240"/>
      <c r="AG82" s="243" t="b">
        <f t="shared" si="4"/>
        <v>0</v>
      </c>
      <c r="AH82" s="240"/>
      <c r="AI82" s="243" t="str">
        <f t="shared" si="5"/>
        <v>N/A</v>
      </c>
      <c r="AJ82" s="157" t="str">
        <f t="shared" si="6"/>
        <v/>
      </c>
    </row>
    <row r="83" ht="12.75" customHeight="1">
      <c r="A83" s="244" t="s">
        <v>621</v>
      </c>
      <c r="B83" s="244" t="s">
        <v>624</v>
      </c>
      <c r="C83" s="245" t="s">
        <v>629</v>
      </c>
      <c r="D83" s="155" t="s">
        <v>630</v>
      </c>
      <c r="E83" s="246" t="s">
        <v>92</v>
      </c>
      <c r="F83" s="154" t="str">
        <f t="array" ref="F83">XLOOKUP(Cover!$D$12,$S$1:$AA$1,$S83:$AA83)</f>
        <v>Mandatory</v>
      </c>
      <c r="G83" s="153" t="s">
        <v>631</v>
      </c>
      <c r="H83" s="154" t="s">
        <v>147</v>
      </c>
      <c r="I83" s="154" t="s">
        <v>632</v>
      </c>
      <c r="J83" s="247" t="s">
        <v>445</v>
      </c>
      <c r="K83" s="247" t="s">
        <v>633</v>
      </c>
      <c r="L83" s="154" t="str">
        <f t="shared" si="1"/>
        <v/>
      </c>
      <c r="M83" s="248" t="str">
        <f>IFERROR(__xludf.DUMMYFUNCTION("VLOOKUP(C83,IMPORTRANGE(""https://docs.google.com/spreadsheets/d/1P8eX0NWBhUPS_hvzA11R6jkTNFrPrRYIx_dX_hYbxrk/edit?resourcekey=0-iw9bsKY2OqkUHCFMkCar3A&amp;gid=2055363397#gid=2055363397"",""MTR!C:O""),11,false)"),"PMW-MCE-NAS")</f>
        <v>PMW-MCE-NAS</v>
      </c>
      <c r="N83" s="248" t="str">
        <f>IFERROR(__xludf.DUMMYFUNCTION("VLOOKUP(C83,IMPORTRANGE(""https://docs.google.com/spreadsheets/d/1ihFlp3_ePlYtFuPbUNbYj1muErVpI73WHXbEwJDIA7Q/edit#gid=1493122344"",""MTR!C:O""),8,false)"),"Complies")</f>
        <v>Complies</v>
      </c>
      <c r="O83" s="248" t="str">
        <f>IFERROR(__xludf.DUMMYFUNCTION("VLOOKUP(C83,IMPORTRANGE(""https://docs.google.com/spreadsheets/d/1P8eX0NWBhUPS_hvzA11R6jkTNFrPrRYIx_dX_hYbxrk/edit?resourcekey=0-iw9bsKY2OqkUHCFMkCar3A&amp;gid=2055363397#gid=2055363397"",""MTR!C:O""),9,false)"),"R8")</f>
        <v>R8</v>
      </c>
      <c r="P83" s="248"/>
      <c r="Q83" s="249" t="s">
        <v>445</v>
      </c>
      <c r="R83" s="249" t="s">
        <v>633</v>
      </c>
      <c r="S83" s="154" t="s">
        <v>60</v>
      </c>
      <c r="T83" s="154" t="s">
        <v>60</v>
      </c>
      <c r="U83" s="154" t="s">
        <v>60</v>
      </c>
      <c r="V83" s="154" t="s">
        <v>60</v>
      </c>
      <c r="W83" s="154" t="s">
        <v>60</v>
      </c>
      <c r="X83" s="154" t="s">
        <v>60</v>
      </c>
      <c r="Y83" s="154" t="s">
        <v>66</v>
      </c>
      <c r="Z83" s="154" t="s">
        <v>66</v>
      </c>
      <c r="AA83" s="154" t="s">
        <v>66</v>
      </c>
      <c r="AB83" s="154"/>
      <c r="AC83" s="242" t="b">
        <f t="shared" si="2"/>
        <v>1</v>
      </c>
      <c r="AD83" s="154" t="s">
        <v>391</v>
      </c>
      <c r="AE83" s="243" t="b">
        <f t="shared" si="3"/>
        <v>0</v>
      </c>
      <c r="AF83" s="154"/>
      <c r="AG83" s="243" t="b">
        <f t="shared" si="4"/>
        <v>0</v>
      </c>
      <c r="AH83" s="154"/>
      <c r="AI83" s="243" t="str">
        <f t="shared" si="5"/>
        <v>N/A</v>
      </c>
      <c r="AJ83" s="157" t="str">
        <f t="shared" si="6"/>
        <v/>
      </c>
    </row>
    <row r="84" ht="12.75" customHeight="1">
      <c r="A84" s="244" t="s">
        <v>621</v>
      </c>
      <c r="B84" s="244" t="s">
        <v>624</v>
      </c>
      <c r="C84" s="245" t="s">
        <v>634</v>
      </c>
      <c r="D84" s="155" t="s">
        <v>630</v>
      </c>
      <c r="E84" s="246" t="s">
        <v>92</v>
      </c>
      <c r="F84" s="154" t="str">
        <f t="array" ref="F84">XLOOKUP(Cover!$D$12,$S$1:$AA$1,$S84:$AA84)</f>
        <v>Information</v>
      </c>
      <c r="G84" s="153" t="s">
        <v>635</v>
      </c>
      <c r="H84" s="154"/>
      <c r="I84" s="154" t="s">
        <v>389</v>
      </c>
      <c r="J84" s="247" t="s">
        <v>445</v>
      </c>
      <c r="K84" s="247" t="s">
        <v>636</v>
      </c>
      <c r="L84" s="154" t="str">
        <f t="shared" si="1"/>
        <v/>
      </c>
      <c r="M84" s="248" t="str">
        <f>IFERROR(__xludf.DUMMYFUNCTION("VLOOKUP(C84,IMPORTRANGE(""https://docs.google.com/spreadsheets/d/1P8eX0NWBhUPS_hvzA11R6jkTNFrPrRYIx_dX_hYbxrk/edit?resourcekey=0-iw9bsKY2OqkUHCFMkCar3A&amp;gid=2055363397#gid=2055363397"",""MTR!C:O""),11,false)"),"PMW-MCE-NAS")</f>
        <v>PMW-MCE-NAS</v>
      </c>
      <c r="N84" s="248" t="str">
        <f>IFERROR(__xludf.DUMMYFUNCTION("VLOOKUP(C84,IMPORTRANGE(""https://docs.google.com/spreadsheets/d/1ihFlp3_ePlYtFuPbUNbYj1muErVpI73WHXbEwJDIA7Q/edit#gid=1493122344"",""MTR!C:O""),8,false)"),"Complies")</f>
        <v>Complies</v>
      </c>
      <c r="O84" s="248" t="str">
        <f>IFERROR(__xludf.DUMMYFUNCTION("VLOOKUP(C84,IMPORTRANGE(""https://docs.google.com/spreadsheets/d/1P8eX0NWBhUPS_hvzA11R6jkTNFrPrRYIx_dX_hYbxrk/edit?resourcekey=0-iw9bsKY2OqkUHCFMkCar3A&amp;gid=2055363397#gid=2055363397"",""MTR!C:O""),9,false)"),"R9")</f>
        <v>R9</v>
      </c>
      <c r="P84" s="248"/>
      <c r="Q84" s="249" t="s">
        <v>445</v>
      </c>
      <c r="R84" s="249" t="s">
        <v>636</v>
      </c>
      <c r="S84" s="154" t="s">
        <v>66</v>
      </c>
      <c r="T84" s="154" t="s">
        <v>66</v>
      </c>
      <c r="U84" s="154" t="s">
        <v>66</v>
      </c>
      <c r="V84" s="154" t="s">
        <v>66</v>
      </c>
      <c r="W84" s="154" t="s">
        <v>66</v>
      </c>
      <c r="X84" s="154" t="s">
        <v>66</v>
      </c>
      <c r="Y84" s="154" t="s">
        <v>66</v>
      </c>
      <c r="Z84" s="154" t="s">
        <v>66</v>
      </c>
      <c r="AA84" s="154" t="s">
        <v>66</v>
      </c>
      <c r="AB84" s="154"/>
      <c r="AC84" s="242" t="b">
        <f t="shared" si="2"/>
        <v>1</v>
      </c>
      <c r="AD84" s="154" t="s">
        <v>391</v>
      </c>
      <c r="AE84" s="243" t="b">
        <f t="shared" si="3"/>
        <v>0</v>
      </c>
      <c r="AF84" s="154"/>
      <c r="AG84" s="243" t="b">
        <f t="shared" si="4"/>
        <v>0</v>
      </c>
      <c r="AH84" s="154"/>
      <c r="AI84" s="243" t="str">
        <f t="shared" si="5"/>
        <v>N/A</v>
      </c>
      <c r="AJ84" s="157" t="str">
        <f t="shared" si="6"/>
        <v/>
      </c>
    </row>
    <row r="85" ht="12.75" customHeight="1">
      <c r="A85" s="244" t="s">
        <v>621</v>
      </c>
      <c r="B85" s="244" t="s">
        <v>624</v>
      </c>
      <c r="C85" s="245" t="s">
        <v>637</v>
      </c>
      <c r="D85" s="155" t="s">
        <v>459</v>
      </c>
      <c r="E85" s="246" t="s">
        <v>92</v>
      </c>
      <c r="F85" s="154" t="str">
        <f t="array" ref="F85">XLOOKUP(Cover!$D$12,$S$1:$AA$1,$S85:$AA85)</f>
        <v>Mandatory</v>
      </c>
      <c r="G85" s="153" t="s">
        <v>638</v>
      </c>
      <c r="H85" s="154" t="s">
        <v>639</v>
      </c>
      <c r="I85" s="154" t="s">
        <v>389</v>
      </c>
      <c r="J85" s="247" t="s">
        <v>445</v>
      </c>
      <c r="K85" s="247" t="s">
        <v>640</v>
      </c>
      <c r="L85" s="154" t="str">
        <f t="shared" si="1"/>
        <v/>
      </c>
      <c r="M85" s="248" t="str">
        <f>IFERROR(__xludf.DUMMYFUNCTION("VLOOKUP(C85,IMPORTRANGE(""https://docs.google.com/spreadsheets/d/1P8eX0NWBhUPS_hvzA11R6jkTNFrPrRYIx_dX_hYbxrk/edit?resourcekey=0-iw9bsKY2OqkUHCFMkCar3A&amp;gid=2055363397#gid=2055363397"",""MTR!C:O""),11,false)"),"PMW-MCE-NAS")</f>
        <v>PMW-MCE-NAS</v>
      </c>
      <c r="N85" s="248" t="str">
        <f>IFERROR(__xludf.DUMMYFUNCTION("VLOOKUP(C85,IMPORTRANGE(""https://docs.google.com/spreadsheets/d/1ihFlp3_ePlYtFuPbUNbYj1muErVpI73WHXbEwJDIA7Q/edit#gid=1493122344"",""MTR!C:O""),8,false)"),"Complies")</f>
        <v>Complies</v>
      </c>
      <c r="O85" s="248" t="str">
        <f>IFERROR(__xludf.DUMMYFUNCTION("VLOOKUP(C85,IMPORTRANGE(""https://docs.google.com/spreadsheets/d/1P8eX0NWBhUPS_hvzA11R6jkTNFrPrRYIx_dX_hYbxrk/edit?resourcekey=0-iw9bsKY2OqkUHCFMkCar3A&amp;gid=2055363397#gid=2055363397"",""MTR!C:O""),9,false)"),"R16")</f>
        <v>R16</v>
      </c>
      <c r="P85" s="248"/>
      <c r="Q85" s="249" t="s">
        <v>445</v>
      </c>
      <c r="R85" s="249" t="s">
        <v>640</v>
      </c>
      <c r="S85" s="154" t="s">
        <v>60</v>
      </c>
      <c r="T85" s="154" t="s">
        <v>60</v>
      </c>
      <c r="U85" s="154" t="s">
        <v>60</v>
      </c>
      <c r="V85" s="154" t="s">
        <v>60</v>
      </c>
      <c r="W85" s="154" t="s">
        <v>60</v>
      </c>
      <c r="X85" s="154" t="s">
        <v>60</v>
      </c>
      <c r="Y85" s="154" t="s">
        <v>60</v>
      </c>
      <c r="Z85" s="154" t="s">
        <v>60</v>
      </c>
      <c r="AA85" s="154" t="s">
        <v>60</v>
      </c>
      <c r="AB85" s="154"/>
      <c r="AC85" s="242" t="b">
        <f t="shared" si="2"/>
        <v>1</v>
      </c>
      <c r="AD85" s="154" t="s">
        <v>445</v>
      </c>
      <c r="AE85" s="243" t="b">
        <f t="shared" si="3"/>
        <v>0</v>
      </c>
      <c r="AF85" s="154"/>
      <c r="AG85" s="243" t="b">
        <f t="shared" si="4"/>
        <v>0</v>
      </c>
      <c r="AH85" s="154"/>
      <c r="AI85" s="243" t="str">
        <f t="shared" si="5"/>
        <v>N/A</v>
      </c>
      <c r="AJ85" s="157" t="str">
        <f t="shared" si="6"/>
        <v/>
      </c>
    </row>
    <row r="86" ht="12.75" customHeight="1">
      <c r="A86" s="244" t="s">
        <v>621</v>
      </c>
      <c r="B86" s="244" t="s">
        <v>624</v>
      </c>
      <c r="C86" s="244" t="s">
        <v>641</v>
      </c>
      <c r="D86" s="154" t="s">
        <v>642</v>
      </c>
      <c r="E86" s="250"/>
      <c r="F86" s="154" t="str">
        <f t="array" ref="F86">XLOOKUP(Cover!$D$12,$S$1:$AA$1,$S86:$AA86)</f>
        <v>Mandatory</v>
      </c>
      <c r="G86" s="153" t="s">
        <v>643</v>
      </c>
      <c r="H86" s="154" t="s">
        <v>644</v>
      </c>
      <c r="I86" s="154" t="s">
        <v>389</v>
      </c>
      <c r="J86" s="247" t="s">
        <v>445</v>
      </c>
      <c r="K86" s="154"/>
      <c r="L86" s="154" t="str">
        <f t="shared" si="1"/>
        <v/>
      </c>
      <c r="M86" s="248" t="str">
        <f>IFERROR(__xludf.DUMMYFUNCTION("VLOOKUP(C86,IMPORTRANGE(""https://docs.google.com/spreadsheets/d/1P8eX0NWBhUPS_hvzA11R6jkTNFrPrRYIx_dX_hYbxrk/edit?resourcekey=0-iw9bsKY2OqkUHCFMkCar3A&amp;gid=2055363397#gid=2055363397"",""MTR!C:O""),11,false)"),"PMW-MCE-AS")</f>
        <v>PMW-MCE-AS</v>
      </c>
      <c r="N86" s="248" t="str">
        <f>IFERROR(__xludf.DUMMYFUNCTION("VLOOKUP(C86,IMPORTRANGE(""https://docs.google.com/spreadsheets/d/1ihFlp3_ePlYtFuPbUNbYj1muErVpI73WHXbEwJDIA7Q/edit#gid=1493122344"",""MTR!C:O""),8,false)"),"Complies")</f>
        <v>Complies</v>
      </c>
      <c r="O86" s="241" t="str">
        <f>IFERROR(__xludf.DUMMYFUNCTION("VLOOKUP(C86,IMPORTRANGE(""https://docs.google.com/spreadsheets/d/1P8eX0NWBhUPS_hvzA11R6jkTNFrPrRYIx_dX_hYbxrk/edit?resourcekey=0-iw9bsKY2OqkUHCFMkCar3A&amp;gid=2055363397#gid=2055363397"",""MTR!C:O""),9,false)"),"")</f>
        <v/>
      </c>
      <c r="P86" s="241"/>
      <c r="Q86" s="251" t="s">
        <v>445</v>
      </c>
      <c r="R86" s="241"/>
      <c r="S86" s="154" t="s">
        <v>60</v>
      </c>
      <c r="T86" s="154" t="s">
        <v>60</v>
      </c>
      <c r="U86" s="154" t="s">
        <v>60</v>
      </c>
      <c r="V86" s="154" t="s">
        <v>60</v>
      </c>
      <c r="W86" s="154" t="s">
        <v>60</v>
      </c>
      <c r="X86" s="154" t="s">
        <v>60</v>
      </c>
      <c r="Y86" s="154" t="s">
        <v>60</v>
      </c>
      <c r="Z86" s="154" t="s">
        <v>60</v>
      </c>
      <c r="AA86" s="154" t="s">
        <v>60</v>
      </c>
      <c r="AB86" s="154"/>
      <c r="AC86" s="242" t="b">
        <f t="shared" si="2"/>
        <v>1</v>
      </c>
      <c r="AD86" s="154" t="s">
        <v>516</v>
      </c>
      <c r="AE86" s="243" t="b">
        <f t="shared" si="3"/>
        <v>0</v>
      </c>
      <c r="AF86" s="154"/>
      <c r="AG86" s="243" t="b">
        <f t="shared" si="4"/>
        <v>0</v>
      </c>
      <c r="AH86" s="154" t="s">
        <v>637</v>
      </c>
      <c r="AI86" s="243" t="str">
        <f t="shared" si="5"/>
        <v>Complies</v>
      </c>
      <c r="AJ86" s="157" t="str">
        <f t="shared" si="6"/>
        <v/>
      </c>
    </row>
    <row r="87" ht="12.75" customHeight="1">
      <c r="A87" s="244" t="s">
        <v>621</v>
      </c>
      <c r="B87" s="244" t="s">
        <v>624</v>
      </c>
      <c r="C87" s="245" t="s">
        <v>645</v>
      </c>
      <c r="D87" s="155" t="s">
        <v>422</v>
      </c>
      <c r="E87" s="246" t="s">
        <v>92</v>
      </c>
      <c r="F87" s="154" t="str">
        <f t="array" ref="F87">XLOOKUP(Cover!$D$12,$S$1:$AA$1,$S87:$AA87)</f>
        <v>Mandatory</v>
      </c>
      <c r="G87" s="153" t="s">
        <v>646</v>
      </c>
      <c r="H87" s="154" t="s">
        <v>647</v>
      </c>
      <c r="I87" s="154" t="s">
        <v>389</v>
      </c>
      <c r="J87" s="247" t="s">
        <v>445</v>
      </c>
      <c r="K87" s="154"/>
      <c r="L87" s="154" t="str">
        <f t="shared" si="1"/>
        <v/>
      </c>
      <c r="M87" s="248" t="str">
        <f>IFERROR(__xludf.DUMMYFUNCTION("VLOOKUP(C87,IMPORTRANGE(""https://docs.google.com/spreadsheets/d/1P8eX0NWBhUPS_hvzA11R6jkTNFrPrRYIx_dX_hYbxrk/edit?resourcekey=0-iw9bsKY2OqkUHCFMkCar3A&amp;gid=2055363397#gid=2055363397"",""MTR!C:O""),11,false)"),"PMW-MCE-AS")</f>
        <v>PMW-MCE-AS</v>
      </c>
      <c r="N87" s="248" t="str">
        <f>IFERROR(__xludf.DUMMYFUNCTION("VLOOKUP(C87,IMPORTRANGE(""https://docs.google.com/spreadsheets/d/1ihFlp3_ePlYtFuPbUNbYj1muErVpI73WHXbEwJDIA7Q/edit#gid=1493122344"",""MTR!C:O""),8,false)"),"Complies")</f>
        <v>Complies</v>
      </c>
      <c r="O87" s="241" t="str">
        <f>IFERROR(__xludf.DUMMYFUNCTION("VLOOKUP(C87,IMPORTRANGE(""https://docs.google.com/spreadsheets/d/1P8eX0NWBhUPS_hvzA11R6jkTNFrPrRYIx_dX_hYbxrk/edit?resourcekey=0-iw9bsKY2OqkUHCFMkCar3A&amp;gid=2055363397#gid=2055363397"",""MTR!C:O""),9,false)"),"")</f>
        <v/>
      </c>
      <c r="P87" s="241"/>
      <c r="Q87" s="251" t="s">
        <v>445</v>
      </c>
      <c r="R87" s="241"/>
      <c r="S87" s="154" t="s">
        <v>64</v>
      </c>
      <c r="T87" s="154" t="s">
        <v>64</v>
      </c>
      <c r="U87" s="154" t="s">
        <v>60</v>
      </c>
      <c r="V87" s="154" t="s">
        <v>60</v>
      </c>
      <c r="W87" s="154" t="s">
        <v>60</v>
      </c>
      <c r="X87" s="154" t="s">
        <v>60</v>
      </c>
      <c r="Y87" s="154" t="s">
        <v>64</v>
      </c>
      <c r="Z87" s="154" t="s">
        <v>60</v>
      </c>
      <c r="AA87" s="154" t="s">
        <v>60</v>
      </c>
      <c r="AB87" s="154"/>
      <c r="AC87" s="242" t="b">
        <f t="shared" si="2"/>
        <v>1</v>
      </c>
      <c r="AD87" s="154" t="s">
        <v>516</v>
      </c>
      <c r="AE87" s="243" t="b">
        <f t="shared" si="3"/>
        <v>0</v>
      </c>
      <c r="AF87" s="154"/>
      <c r="AG87" s="243" t="b">
        <f t="shared" si="4"/>
        <v>0</v>
      </c>
      <c r="AH87" s="154" t="s">
        <v>637</v>
      </c>
      <c r="AI87" s="243" t="str">
        <f t="shared" si="5"/>
        <v>Complies</v>
      </c>
      <c r="AJ87" s="157" t="str">
        <f t="shared" si="6"/>
        <v/>
      </c>
    </row>
    <row r="88" ht="12.75" customHeight="1">
      <c r="A88" s="244" t="s">
        <v>621</v>
      </c>
      <c r="B88" s="244" t="s">
        <v>624</v>
      </c>
      <c r="C88" s="244" t="s">
        <v>648</v>
      </c>
      <c r="D88" s="154" t="s">
        <v>649</v>
      </c>
      <c r="E88" s="250"/>
      <c r="F88" s="154" t="str">
        <f t="array" ref="F88">XLOOKUP(Cover!$D$12,$S$1:$AA$1,$S88:$AA88)</f>
        <v>Mandatory</v>
      </c>
      <c r="G88" s="153" t="s">
        <v>650</v>
      </c>
      <c r="H88" s="154" t="s">
        <v>651</v>
      </c>
      <c r="I88" s="154" t="s">
        <v>389</v>
      </c>
      <c r="J88" s="247" t="s">
        <v>445</v>
      </c>
      <c r="K88" s="154"/>
      <c r="L88" s="154" t="str">
        <f t="shared" si="1"/>
        <v/>
      </c>
      <c r="M88" s="248" t="str">
        <f>IFERROR(__xludf.DUMMYFUNCTION("VLOOKUP(C88,IMPORTRANGE(""https://docs.google.com/spreadsheets/d/1P8eX0NWBhUPS_hvzA11R6jkTNFrPrRYIx_dX_hYbxrk/edit?resourcekey=0-iw9bsKY2OqkUHCFMkCar3A&amp;gid=2055363397#gid=2055363397"",""MTR!C:O""),11,false)"),"PMW-MCE-AS")</f>
        <v>PMW-MCE-AS</v>
      </c>
      <c r="N88" s="248" t="str">
        <f>IFERROR(__xludf.DUMMYFUNCTION("VLOOKUP(C88,IMPORTRANGE(""https://docs.google.com/spreadsheets/d/1ihFlp3_ePlYtFuPbUNbYj1muErVpI73WHXbEwJDIA7Q/edit#gid=1493122344"",""MTR!C:O""),8,false)"),"Complies")</f>
        <v>Complies</v>
      </c>
      <c r="O88" s="241" t="str">
        <f>IFERROR(__xludf.DUMMYFUNCTION("VLOOKUP(C88,IMPORTRANGE(""https://docs.google.com/spreadsheets/d/1P8eX0NWBhUPS_hvzA11R6jkTNFrPrRYIx_dX_hYbxrk/edit?resourcekey=0-iw9bsKY2OqkUHCFMkCar3A&amp;gid=2055363397#gid=2055363397"",""MTR!C:O""),9,false)"),"")</f>
        <v/>
      </c>
      <c r="P88" s="241"/>
      <c r="Q88" s="251" t="s">
        <v>445</v>
      </c>
      <c r="R88" s="241"/>
      <c r="S88" s="154" t="s">
        <v>64</v>
      </c>
      <c r="T88" s="154" t="s">
        <v>64</v>
      </c>
      <c r="U88" s="154" t="s">
        <v>60</v>
      </c>
      <c r="V88" s="154" t="s">
        <v>60</v>
      </c>
      <c r="W88" s="154" t="s">
        <v>60</v>
      </c>
      <c r="X88" s="154" t="s">
        <v>60</v>
      </c>
      <c r="Y88" s="154" t="s">
        <v>64</v>
      </c>
      <c r="Z88" s="154" t="s">
        <v>60</v>
      </c>
      <c r="AA88" s="154" t="s">
        <v>60</v>
      </c>
      <c r="AB88" s="154"/>
      <c r="AC88" s="242" t="b">
        <f t="shared" si="2"/>
        <v>1</v>
      </c>
      <c r="AD88" s="154" t="s">
        <v>516</v>
      </c>
      <c r="AE88" s="243" t="b">
        <f t="shared" si="3"/>
        <v>0</v>
      </c>
      <c r="AF88" s="154"/>
      <c r="AG88" s="243" t="b">
        <f t="shared" si="4"/>
        <v>0</v>
      </c>
      <c r="AH88" s="154" t="s">
        <v>637</v>
      </c>
      <c r="AI88" s="243" t="str">
        <f t="shared" si="5"/>
        <v>Complies</v>
      </c>
      <c r="AJ88" s="157" t="str">
        <f t="shared" si="6"/>
        <v/>
      </c>
    </row>
    <row r="89" ht="12.75" customHeight="1">
      <c r="A89" s="244" t="s">
        <v>621</v>
      </c>
      <c r="B89" s="244" t="s">
        <v>624</v>
      </c>
      <c r="C89" s="245" t="s">
        <v>652</v>
      </c>
      <c r="D89" s="155" t="s">
        <v>542</v>
      </c>
      <c r="E89" s="246" t="s">
        <v>92</v>
      </c>
      <c r="F89" s="154" t="str">
        <f t="array" ref="F89">XLOOKUP(Cover!$D$12,$S$1:$AA$1,$S89:$AA89)</f>
        <v>Mandatory</v>
      </c>
      <c r="G89" s="153" t="s">
        <v>653</v>
      </c>
      <c r="H89" s="154" t="s">
        <v>654</v>
      </c>
      <c r="I89" s="154" t="s">
        <v>389</v>
      </c>
      <c r="J89" s="247" t="s">
        <v>445</v>
      </c>
      <c r="K89" s="247" t="s">
        <v>640</v>
      </c>
      <c r="L89" s="154" t="str">
        <f t="shared" si="1"/>
        <v/>
      </c>
      <c r="M89" s="248" t="str">
        <f>IFERROR(__xludf.DUMMYFUNCTION("VLOOKUP(C89,IMPORTRANGE(""https://docs.google.com/spreadsheets/d/1P8eX0NWBhUPS_hvzA11R6jkTNFrPrRYIx_dX_hYbxrk/edit?resourcekey=0-iw9bsKY2OqkUHCFMkCar3A&amp;gid=2055363397#gid=2055363397"",""MTR!C:O""),11,false)"),"PMW-MCE-NAS")</f>
        <v>PMW-MCE-NAS</v>
      </c>
      <c r="N89" s="248" t="str">
        <f>IFERROR(__xludf.DUMMYFUNCTION("VLOOKUP(C89,IMPORTRANGE(""https://docs.google.com/spreadsheets/d/1ihFlp3_ePlYtFuPbUNbYj1muErVpI73WHXbEwJDIA7Q/edit#gid=1493122344"",""MTR!C:O""),8,false)"),"Complies")</f>
        <v>Complies</v>
      </c>
      <c r="O89" s="248" t="str">
        <f>IFERROR(__xludf.DUMMYFUNCTION("VLOOKUP(C89,IMPORTRANGE(""https://docs.google.com/spreadsheets/d/1P8eX0NWBhUPS_hvzA11R6jkTNFrPrRYIx_dX_hYbxrk/edit?resourcekey=0-iw9bsKY2OqkUHCFMkCar3A&amp;gid=2055363397#gid=2055363397"",""MTR!C:O""),9,false)"),"R16")</f>
        <v>R16</v>
      </c>
      <c r="P89" s="248"/>
      <c r="Q89" s="249" t="s">
        <v>445</v>
      </c>
      <c r="R89" s="249" t="s">
        <v>640</v>
      </c>
      <c r="S89" s="154" t="s">
        <v>66</v>
      </c>
      <c r="T89" s="154" t="s">
        <v>66</v>
      </c>
      <c r="U89" s="154" t="s">
        <v>60</v>
      </c>
      <c r="V89" s="154" t="s">
        <v>60</v>
      </c>
      <c r="W89" s="154" t="s">
        <v>60</v>
      </c>
      <c r="X89" s="154" t="s">
        <v>60</v>
      </c>
      <c r="Y89" s="154" t="s">
        <v>66</v>
      </c>
      <c r="Z89" s="154" t="s">
        <v>60</v>
      </c>
      <c r="AA89" s="154" t="s">
        <v>60</v>
      </c>
      <c r="AB89" s="154"/>
      <c r="AC89" s="242" t="b">
        <f t="shared" si="2"/>
        <v>1</v>
      </c>
      <c r="AD89" s="154" t="s">
        <v>445</v>
      </c>
      <c r="AE89" s="243" t="b">
        <f t="shared" si="3"/>
        <v>0</v>
      </c>
      <c r="AF89" s="154"/>
      <c r="AG89" s="243" t="b">
        <f t="shared" si="4"/>
        <v>0</v>
      </c>
      <c r="AH89" s="154"/>
      <c r="AI89" s="243" t="str">
        <f t="shared" si="5"/>
        <v>N/A</v>
      </c>
      <c r="AJ89" s="157" t="str">
        <f t="shared" si="6"/>
        <v/>
      </c>
    </row>
    <row r="90" ht="12.75" customHeight="1">
      <c r="A90" s="244" t="s">
        <v>621</v>
      </c>
      <c r="B90" s="244" t="s">
        <v>624</v>
      </c>
      <c r="C90" s="245" t="s">
        <v>655</v>
      </c>
      <c r="D90" s="155" t="s">
        <v>422</v>
      </c>
      <c r="E90" s="246" t="s">
        <v>92</v>
      </c>
      <c r="F90" s="154" t="str">
        <f t="array" ref="F90">XLOOKUP(Cover!$D$12,$S$1:$AA$1,$S90:$AA90)</f>
        <v>Comments Vendor</v>
      </c>
      <c r="G90" s="153" t="s">
        <v>656</v>
      </c>
      <c r="H90" s="154" t="s">
        <v>398</v>
      </c>
      <c r="I90" s="154" t="s">
        <v>389</v>
      </c>
      <c r="J90" s="154"/>
      <c r="K90" s="247" t="s">
        <v>640</v>
      </c>
      <c r="L90" s="154" t="str">
        <f t="shared" si="1"/>
        <v/>
      </c>
      <c r="M90" s="248" t="str">
        <f>IFERROR(__xludf.DUMMYFUNCTION("VLOOKUP(C90,IMPORTRANGE(""https://docs.google.com/spreadsheets/d/1P8eX0NWBhUPS_hvzA11R6jkTNFrPrRYIx_dX_hYbxrk/edit?resourcekey=0-iw9bsKY2OqkUHCFMkCar3A&amp;gid=2055363397#gid=2055363397"",""MTR!C:O""),11,false)"),"PMW-MCE-NAS")</f>
        <v>PMW-MCE-NAS</v>
      </c>
      <c r="N90" s="241" t="str">
        <f>IFERROR(__xludf.DUMMYFUNCTION("VLOOKUP(C90,IMPORTRANGE(""https://docs.google.com/spreadsheets/d/1ihFlp3_ePlYtFuPbUNbYj1muErVpI73WHXbEwJDIA7Q/edit#gid=1493122344"",""MTR!C:O""),8,false)"),"")</f>
        <v/>
      </c>
      <c r="O90" s="248" t="str">
        <f>IFERROR(__xludf.DUMMYFUNCTION("VLOOKUP(C90,IMPORTRANGE(""https://docs.google.com/spreadsheets/d/1P8eX0NWBhUPS_hvzA11R6jkTNFrPrRYIx_dX_hYbxrk/edit?resourcekey=0-iw9bsKY2OqkUHCFMkCar3A&amp;gid=2055363397#gid=2055363397"",""MTR!C:O""),9,false)"),"R16")</f>
        <v>R16</v>
      </c>
      <c r="P90" s="248"/>
      <c r="Q90" s="248"/>
      <c r="R90" s="249" t="s">
        <v>640</v>
      </c>
      <c r="S90" s="154" t="s">
        <v>62</v>
      </c>
      <c r="T90" s="154" t="s">
        <v>62</v>
      </c>
      <c r="U90" s="154" t="s">
        <v>62</v>
      </c>
      <c r="V90" s="154" t="s">
        <v>62</v>
      </c>
      <c r="W90" s="154" t="s">
        <v>62</v>
      </c>
      <c r="X90" s="154" t="s">
        <v>62</v>
      </c>
      <c r="Y90" s="154" t="s">
        <v>62</v>
      </c>
      <c r="Z90" s="154" t="s">
        <v>62</v>
      </c>
      <c r="AA90" s="154" t="s">
        <v>62</v>
      </c>
      <c r="AB90" s="154"/>
      <c r="AC90" s="242" t="b">
        <f t="shared" si="2"/>
        <v>1</v>
      </c>
      <c r="AD90" s="154" t="s">
        <v>68</v>
      </c>
      <c r="AE90" s="243" t="b">
        <f t="shared" si="3"/>
        <v>1</v>
      </c>
      <c r="AF90" s="154"/>
      <c r="AG90" s="243" t="b">
        <f t="shared" si="4"/>
        <v>0</v>
      </c>
      <c r="AH90" s="154"/>
      <c r="AI90" s="243" t="str">
        <f t="shared" si="5"/>
        <v>N/A</v>
      </c>
      <c r="AJ90" s="157" t="str">
        <f t="shared" si="6"/>
        <v/>
      </c>
    </row>
    <row r="91" ht="12.75" customHeight="1">
      <c r="A91" s="238" t="s">
        <v>621</v>
      </c>
      <c r="B91" s="238" t="s">
        <v>624</v>
      </c>
      <c r="C91" s="238" t="s">
        <v>657</v>
      </c>
      <c r="D91" s="238"/>
      <c r="E91" s="238"/>
      <c r="F91" s="154" t="str">
        <f t="array" ref="F91">XLOOKUP(Cover!$D$12,$S$1:$AA$1,$S91:$AA91)</f>
        <v>Heading</v>
      </c>
      <c r="G91" s="239" t="s">
        <v>658</v>
      </c>
      <c r="H91" s="240"/>
      <c r="I91" s="240" t="s">
        <v>389</v>
      </c>
      <c r="J91" s="240"/>
      <c r="K91" s="240"/>
      <c r="L91" s="154" t="str">
        <f t="shared" si="1"/>
        <v/>
      </c>
      <c r="M91" s="241" t="str">
        <f>IFERROR(__xludf.DUMMYFUNCTION("VLOOKUP(C91,IMPORTRANGE(""https://docs.google.com/spreadsheets/d/1P8eX0NWBhUPS_hvzA11R6jkTNFrPrRYIx_dX_hYbxrk/edit?resourcekey=0-iw9bsKY2OqkUHCFMkCar3A&amp;gid=2055363397#gid=2055363397"",""MTR!C:O""),11,false)"),"")</f>
        <v/>
      </c>
      <c r="N91" s="241" t="str">
        <f>IFERROR(__xludf.DUMMYFUNCTION("VLOOKUP(C91,IMPORTRANGE(""https://docs.google.com/spreadsheets/d/1ihFlp3_ePlYtFuPbUNbYj1muErVpI73WHXbEwJDIA7Q/edit#gid=1493122344"",""MTR!C:O""),8,false)"),"")</f>
        <v/>
      </c>
      <c r="O91" s="241" t="str">
        <f>IFERROR(__xludf.DUMMYFUNCTION("VLOOKUP(C91,IMPORTRANGE(""https://docs.google.com/spreadsheets/d/1P8eX0NWBhUPS_hvzA11R6jkTNFrPrRYIx_dX_hYbxrk/edit?resourcekey=0-iw9bsKY2OqkUHCFMkCar3A&amp;gid=2055363397#gid=2055363397"",""MTR!C:O""),9,false)"),"")</f>
        <v/>
      </c>
      <c r="P91" s="241"/>
      <c r="Q91" s="241"/>
      <c r="R91" s="241"/>
      <c r="S91" s="240" t="s">
        <v>390</v>
      </c>
      <c r="T91" s="240" t="s">
        <v>390</v>
      </c>
      <c r="U91" s="240" t="s">
        <v>390</v>
      </c>
      <c r="V91" s="240" t="s">
        <v>390</v>
      </c>
      <c r="W91" s="240" t="s">
        <v>390</v>
      </c>
      <c r="X91" s="240" t="s">
        <v>390</v>
      </c>
      <c r="Y91" s="240" t="s">
        <v>390</v>
      </c>
      <c r="Z91" s="240" t="s">
        <v>390</v>
      </c>
      <c r="AA91" s="240" t="s">
        <v>390</v>
      </c>
      <c r="AB91" s="240"/>
      <c r="AC91" s="242" t="b">
        <f t="shared" si="2"/>
        <v>0</v>
      </c>
      <c r="AD91" s="240" t="s">
        <v>391</v>
      </c>
      <c r="AE91" s="243" t="b">
        <f t="shared" si="3"/>
        <v>0</v>
      </c>
      <c r="AF91" s="240"/>
      <c r="AG91" s="243" t="b">
        <f t="shared" si="4"/>
        <v>0</v>
      </c>
      <c r="AH91" s="240"/>
      <c r="AI91" s="243" t="str">
        <f t="shared" si="5"/>
        <v>N/A</v>
      </c>
      <c r="AJ91" s="157" t="str">
        <f t="shared" si="6"/>
        <v/>
      </c>
    </row>
    <row r="92" ht="12.75" customHeight="1">
      <c r="A92" s="238" t="s">
        <v>621</v>
      </c>
      <c r="B92" s="238" t="s">
        <v>624</v>
      </c>
      <c r="C92" s="238" t="s">
        <v>659</v>
      </c>
      <c r="D92" s="238"/>
      <c r="E92" s="238"/>
      <c r="F92" s="154" t="str">
        <f t="array" ref="F92">XLOOKUP(Cover!$D$12,$S$1:$AA$1,$S92:$AA92)</f>
        <v>Heading</v>
      </c>
      <c r="G92" s="239" t="s">
        <v>660</v>
      </c>
      <c r="H92" s="240"/>
      <c r="I92" s="240" t="s">
        <v>389</v>
      </c>
      <c r="J92" s="240"/>
      <c r="K92" s="240"/>
      <c r="L92" s="154" t="str">
        <f t="shared" si="1"/>
        <v/>
      </c>
      <c r="M92" s="241" t="str">
        <f>IFERROR(__xludf.DUMMYFUNCTION("VLOOKUP(C92,IMPORTRANGE(""https://docs.google.com/spreadsheets/d/1P8eX0NWBhUPS_hvzA11R6jkTNFrPrRYIx_dX_hYbxrk/edit?resourcekey=0-iw9bsKY2OqkUHCFMkCar3A&amp;gid=2055363397#gid=2055363397"",""MTR!C:O""),11,false)"),"")</f>
        <v/>
      </c>
      <c r="N92" s="241" t="str">
        <f>IFERROR(__xludf.DUMMYFUNCTION("VLOOKUP(C92,IMPORTRANGE(""https://docs.google.com/spreadsheets/d/1ihFlp3_ePlYtFuPbUNbYj1muErVpI73WHXbEwJDIA7Q/edit#gid=1493122344"",""MTR!C:O""),8,false)"),"")</f>
        <v/>
      </c>
      <c r="O92" s="241" t="str">
        <f>IFERROR(__xludf.DUMMYFUNCTION("VLOOKUP(C92,IMPORTRANGE(""https://docs.google.com/spreadsheets/d/1P8eX0NWBhUPS_hvzA11R6jkTNFrPrRYIx_dX_hYbxrk/edit?resourcekey=0-iw9bsKY2OqkUHCFMkCar3A&amp;gid=2055363397#gid=2055363397"",""MTR!C:O""),9,false)"),"")</f>
        <v/>
      </c>
      <c r="P92" s="241"/>
      <c r="Q92" s="241"/>
      <c r="R92" s="241"/>
      <c r="S92" s="240" t="s">
        <v>390</v>
      </c>
      <c r="T92" s="240" t="s">
        <v>390</v>
      </c>
      <c r="U92" s="240" t="s">
        <v>390</v>
      </c>
      <c r="V92" s="240" t="s">
        <v>390</v>
      </c>
      <c r="W92" s="240" t="s">
        <v>390</v>
      </c>
      <c r="X92" s="240" t="s">
        <v>390</v>
      </c>
      <c r="Y92" s="240" t="s">
        <v>390</v>
      </c>
      <c r="Z92" s="240" t="s">
        <v>390</v>
      </c>
      <c r="AA92" s="240" t="s">
        <v>390</v>
      </c>
      <c r="AB92" s="240"/>
      <c r="AC92" s="242" t="b">
        <f t="shared" si="2"/>
        <v>0</v>
      </c>
      <c r="AD92" s="240" t="s">
        <v>391</v>
      </c>
      <c r="AE92" s="243" t="b">
        <f t="shared" si="3"/>
        <v>0</v>
      </c>
      <c r="AF92" s="240"/>
      <c r="AG92" s="243" t="b">
        <f t="shared" si="4"/>
        <v>0</v>
      </c>
      <c r="AH92" s="240"/>
      <c r="AI92" s="243" t="str">
        <f t="shared" si="5"/>
        <v>N/A</v>
      </c>
      <c r="AJ92" s="157" t="str">
        <f t="shared" si="6"/>
        <v/>
      </c>
    </row>
    <row r="93" ht="12.75" customHeight="1">
      <c r="A93" s="244" t="s">
        <v>621</v>
      </c>
      <c r="B93" s="244" t="s">
        <v>624</v>
      </c>
      <c r="C93" s="244" t="s">
        <v>661</v>
      </c>
      <c r="D93" s="154" t="s">
        <v>443</v>
      </c>
      <c r="E93" s="250"/>
      <c r="F93" s="154" t="str">
        <f t="array" ref="F93">XLOOKUP(Cover!$D$12,$S$1:$AA$1,$S93:$AA93)</f>
        <v>Mandatory</v>
      </c>
      <c r="G93" s="153" t="s">
        <v>662</v>
      </c>
      <c r="H93" s="154" t="s">
        <v>147</v>
      </c>
      <c r="I93" s="154" t="s">
        <v>632</v>
      </c>
      <c r="J93" s="247" t="s">
        <v>445</v>
      </c>
      <c r="K93" s="154"/>
      <c r="L93" s="154" t="str">
        <f t="shared" si="1"/>
        <v/>
      </c>
      <c r="M93" s="248" t="str">
        <f>IFERROR(__xludf.DUMMYFUNCTION("VLOOKUP(C93,IMPORTRANGE(""https://docs.google.com/spreadsheets/d/1P8eX0NWBhUPS_hvzA11R6jkTNFrPrRYIx_dX_hYbxrk/edit?resourcekey=0-iw9bsKY2OqkUHCFMkCar3A&amp;gid=2055363397#gid=2055363397"",""MTR!C:O""),11,false)"),"PMW-L1")</f>
        <v>PMW-L1</v>
      </c>
      <c r="N93" s="248" t="str">
        <f>IFERROR(__xludf.DUMMYFUNCTION("VLOOKUP(C93,IMPORTRANGE(""https://docs.google.com/spreadsheets/d/1ihFlp3_ePlYtFuPbUNbYj1muErVpI73WHXbEwJDIA7Q/edit#gid=1493122344"",""MTR!C:O""),8,false)"),"Complies")</f>
        <v>Complies</v>
      </c>
      <c r="O93" s="241" t="str">
        <f>IFERROR(__xludf.DUMMYFUNCTION("VLOOKUP(C93,IMPORTRANGE(""https://docs.google.com/spreadsheets/d/1P8eX0NWBhUPS_hvzA11R6jkTNFrPrRYIx_dX_hYbxrk/edit?resourcekey=0-iw9bsKY2OqkUHCFMkCar3A&amp;gid=2055363397#gid=2055363397"",""MTR!C:O""),9,false)"),"")</f>
        <v/>
      </c>
      <c r="P93" s="241"/>
      <c r="Q93" s="251" t="s">
        <v>445</v>
      </c>
      <c r="R93" s="241"/>
      <c r="S93" s="154" t="s">
        <v>60</v>
      </c>
      <c r="T93" s="154" t="s">
        <v>60</v>
      </c>
      <c r="U93" s="154" t="s">
        <v>60</v>
      </c>
      <c r="V93" s="154" t="s">
        <v>60</v>
      </c>
      <c r="W93" s="154" t="s">
        <v>60</v>
      </c>
      <c r="X93" s="154" t="s">
        <v>60</v>
      </c>
      <c r="Y93" s="154" t="s">
        <v>66</v>
      </c>
      <c r="Z93" s="154" t="s">
        <v>66</v>
      </c>
      <c r="AA93" s="154" t="s">
        <v>66</v>
      </c>
      <c r="AB93" s="154"/>
      <c r="AC93" s="242" t="b">
        <f t="shared" si="2"/>
        <v>1</v>
      </c>
      <c r="AD93" s="154" t="s">
        <v>391</v>
      </c>
      <c r="AE93" s="243" t="b">
        <f t="shared" si="3"/>
        <v>0</v>
      </c>
      <c r="AF93" s="154"/>
      <c r="AG93" s="243" t="b">
        <f t="shared" si="4"/>
        <v>0</v>
      </c>
      <c r="AH93" s="154" t="s">
        <v>629</v>
      </c>
      <c r="AI93" s="243" t="str">
        <f t="shared" si="5"/>
        <v>Complies</v>
      </c>
      <c r="AJ93" s="157" t="str">
        <f t="shared" si="6"/>
        <v/>
      </c>
    </row>
    <row r="94" ht="12.75" customHeight="1">
      <c r="A94" s="244" t="s">
        <v>621</v>
      </c>
      <c r="B94" s="244" t="s">
        <v>624</v>
      </c>
      <c r="C94" s="244" t="s">
        <v>663</v>
      </c>
      <c r="D94" s="154" t="s">
        <v>443</v>
      </c>
      <c r="E94" s="250"/>
      <c r="F94" s="154" t="str">
        <f t="array" ref="F94">XLOOKUP(Cover!$D$12,$S$1:$AA$1,$S94:$AA94)</f>
        <v>Mandatory</v>
      </c>
      <c r="G94" s="153" t="s">
        <v>664</v>
      </c>
      <c r="H94" s="154" t="s">
        <v>147</v>
      </c>
      <c r="I94" s="154" t="s">
        <v>632</v>
      </c>
      <c r="J94" s="247" t="s">
        <v>445</v>
      </c>
      <c r="K94" s="154"/>
      <c r="L94" s="154" t="str">
        <f t="shared" si="1"/>
        <v/>
      </c>
      <c r="M94" s="248" t="str">
        <f>IFERROR(__xludf.DUMMYFUNCTION("VLOOKUP(C94,IMPORTRANGE(""https://docs.google.com/spreadsheets/d/1P8eX0NWBhUPS_hvzA11R6jkTNFrPrRYIx_dX_hYbxrk/edit?resourcekey=0-iw9bsKY2OqkUHCFMkCar3A&amp;gid=2055363397#gid=2055363397"",""MTR!C:O""),11,false)"),"PMW-L1")</f>
        <v>PMW-L1</v>
      </c>
      <c r="N94" s="248" t="str">
        <f>IFERROR(__xludf.DUMMYFUNCTION("VLOOKUP(C94,IMPORTRANGE(""https://docs.google.com/spreadsheets/d/1ihFlp3_ePlYtFuPbUNbYj1muErVpI73WHXbEwJDIA7Q/edit#gid=1493122344"",""MTR!C:O""),8,false)"),"Complies")</f>
        <v>Complies</v>
      </c>
      <c r="O94" s="241" t="str">
        <f>IFERROR(__xludf.DUMMYFUNCTION("VLOOKUP(C94,IMPORTRANGE(""https://docs.google.com/spreadsheets/d/1P8eX0NWBhUPS_hvzA11R6jkTNFrPrRYIx_dX_hYbxrk/edit?resourcekey=0-iw9bsKY2OqkUHCFMkCar3A&amp;gid=2055363397#gid=2055363397"",""MTR!C:O""),9,false)"),"")</f>
        <v/>
      </c>
      <c r="P94" s="241"/>
      <c r="Q94" s="251" t="s">
        <v>445</v>
      </c>
      <c r="R94" s="241"/>
      <c r="S94" s="154" t="s">
        <v>60</v>
      </c>
      <c r="T94" s="154" t="s">
        <v>60</v>
      </c>
      <c r="U94" s="154" t="s">
        <v>60</v>
      </c>
      <c r="V94" s="154" t="s">
        <v>60</v>
      </c>
      <c r="W94" s="154" t="s">
        <v>60</v>
      </c>
      <c r="X94" s="154" t="s">
        <v>60</v>
      </c>
      <c r="Y94" s="154" t="s">
        <v>66</v>
      </c>
      <c r="Z94" s="154" t="s">
        <v>66</v>
      </c>
      <c r="AA94" s="154" t="s">
        <v>66</v>
      </c>
      <c r="AB94" s="154"/>
      <c r="AC94" s="242" t="b">
        <f t="shared" si="2"/>
        <v>1</v>
      </c>
      <c r="AD94" s="154" t="s">
        <v>391</v>
      </c>
      <c r="AE94" s="243" t="b">
        <f t="shared" si="3"/>
        <v>0</v>
      </c>
      <c r="AF94" s="154"/>
      <c r="AG94" s="243" t="b">
        <f t="shared" si="4"/>
        <v>0</v>
      </c>
      <c r="AH94" s="154" t="s">
        <v>629</v>
      </c>
      <c r="AI94" s="243" t="str">
        <f t="shared" si="5"/>
        <v>Complies</v>
      </c>
      <c r="AJ94" s="157" t="str">
        <f t="shared" si="6"/>
        <v/>
      </c>
    </row>
    <row r="95" ht="12.75" customHeight="1">
      <c r="A95" s="244" t="s">
        <v>621</v>
      </c>
      <c r="B95" s="244" t="s">
        <v>624</v>
      </c>
      <c r="C95" s="244" t="s">
        <v>665</v>
      </c>
      <c r="D95" s="154" t="s">
        <v>443</v>
      </c>
      <c r="E95" s="250"/>
      <c r="F95" s="154" t="str">
        <f t="array" ref="F95">XLOOKUP(Cover!$D$12,$S$1:$AA$1,$S95:$AA95)</f>
        <v>Mandatory</v>
      </c>
      <c r="G95" s="153" t="s">
        <v>666</v>
      </c>
      <c r="H95" s="154" t="s">
        <v>667</v>
      </c>
      <c r="I95" s="154" t="s">
        <v>632</v>
      </c>
      <c r="J95" s="247" t="s">
        <v>506</v>
      </c>
      <c r="K95" s="247" t="s">
        <v>668</v>
      </c>
      <c r="L95" s="154" t="str">
        <f t="shared" si="1"/>
        <v/>
      </c>
      <c r="M95" s="248" t="str">
        <f>IFERROR(__xludf.DUMMYFUNCTION("VLOOKUP(C95,IMPORTRANGE(""https://docs.google.com/spreadsheets/d/1P8eX0NWBhUPS_hvzA11R6jkTNFrPrRYIx_dX_hYbxrk/edit?resourcekey=0-iw9bsKY2OqkUHCFMkCar3A&amp;gid=2055363397#gid=2055363397"",""MTR!C:O""),11,false)"),"PMW-L1")</f>
        <v>PMW-L1</v>
      </c>
      <c r="N95" s="248" t="str">
        <f>IFERROR(__xludf.DUMMYFUNCTION("VLOOKUP(C95,IMPORTRANGE(""https://docs.google.com/spreadsheets/d/1ihFlp3_ePlYtFuPbUNbYj1muErVpI73WHXbEwJDIA7Q/edit#gid=1493122344"",""MTR!C:O""),8,false)"),"Complies")</f>
        <v>Complies</v>
      </c>
      <c r="O95" s="248" t="str">
        <f>IFERROR(__xludf.DUMMYFUNCTION("VLOOKUP(C95,IMPORTRANGE(""https://docs.google.com/spreadsheets/d/1P8eX0NWBhUPS_hvzA11R6jkTNFrPrRYIx_dX_hYbxrk/edit?resourcekey=0-iw9bsKY2OqkUHCFMkCar3A&amp;gid=2055363397#gid=2055363397"",""MTR!C:O""),9,false)"),"Disabled for EMEA countries by default and will be enabled for countries that have GSM 850/1900 deployment in live network")</f>
        <v>Disabled for EMEA countries by default and will be enabled for countries that have GSM 850/1900 deployment in live network</v>
      </c>
      <c r="P95" s="248"/>
      <c r="Q95" s="249" t="s">
        <v>445</v>
      </c>
      <c r="R95" s="249" t="s">
        <v>668</v>
      </c>
      <c r="S95" s="154" t="s">
        <v>60</v>
      </c>
      <c r="T95" s="154" t="s">
        <v>60</v>
      </c>
      <c r="U95" s="154" t="s">
        <v>60</v>
      </c>
      <c r="V95" s="154" t="s">
        <v>60</v>
      </c>
      <c r="W95" s="154" t="s">
        <v>60</v>
      </c>
      <c r="X95" s="154" t="s">
        <v>60</v>
      </c>
      <c r="Y95" s="154" t="s">
        <v>66</v>
      </c>
      <c r="Z95" s="154" t="s">
        <v>66</v>
      </c>
      <c r="AA95" s="154" t="s">
        <v>66</v>
      </c>
      <c r="AB95" s="154"/>
      <c r="AC95" s="242" t="b">
        <f t="shared" si="2"/>
        <v>1</v>
      </c>
      <c r="AD95" s="154" t="s">
        <v>391</v>
      </c>
      <c r="AE95" s="243" t="b">
        <f t="shared" si="3"/>
        <v>0</v>
      </c>
      <c r="AF95" s="154"/>
      <c r="AG95" s="243" t="b">
        <f t="shared" si="4"/>
        <v>0</v>
      </c>
      <c r="AH95" s="154" t="s">
        <v>629</v>
      </c>
      <c r="AI95" s="243" t="str">
        <f t="shared" si="5"/>
        <v>Complies</v>
      </c>
      <c r="AJ95" s="157" t="str">
        <f t="shared" si="6"/>
        <v/>
      </c>
    </row>
    <row r="96" ht="12.75" customHeight="1">
      <c r="A96" s="244" t="s">
        <v>621</v>
      </c>
      <c r="B96" s="244" t="s">
        <v>624</v>
      </c>
      <c r="C96" s="244" t="s">
        <v>669</v>
      </c>
      <c r="D96" s="154" t="s">
        <v>443</v>
      </c>
      <c r="E96" s="250"/>
      <c r="F96" s="154" t="str">
        <f t="array" ref="F96">XLOOKUP(Cover!$D$12,$S$1:$AA$1,$S96:$AA96)</f>
        <v>Mandatory</v>
      </c>
      <c r="G96" s="153" t="s">
        <v>670</v>
      </c>
      <c r="H96" s="154" t="s">
        <v>667</v>
      </c>
      <c r="I96" s="154" t="s">
        <v>632</v>
      </c>
      <c r="J96" s="247" t="s">
        <v>506</v>
      </c>
      <c r="K96" s="247" t="s">
        <v>668</v>
      </c>
      <c r="L96" s="154" t="str">
        <f t="shared" si="1"/>
        <v/>
      </c>
      <c r="M96" s="248" t="str">
        <f>IFERROR(__xludf.DUMMYFUNCTION("VLOOKUP(C96,IMPORTRANGE(""https://docs.google.com/spreadsheets/d/1P8eX0NWBhUPS_hvzA11R6jkTNFrPrRYIx_dX_hYbxrk/edit?resourcekey=0-iw9bsKY2OqkUHCFMkCar3A&amp;gid=2055363397#gid=2055363397"",""MTR!C:O""),11,false)"),"PMW-L1")</f>
        <v>PMW-L1</v>
      </c>
      <c r="N96" s="248" t="str">
        <f>IFERROR(__xludf.DUMMYFUNCTION("VLOOKUP(C96,IMPORTRANGE(""https://docs.google.com/spreadsheets/d/1ihFlp3_ePlYtFuPbUNbYj1muErVpI73WHXbEwJDIA7Q/edit#gid=1493122344"",""MTR!C:O""),8,false)"),"Complies")</f>
        <v>Complies</v>
      </c>
      <c r="O96" s="248" t="str">
        <f>IFERROR(__xludf.DUMMYFUNCTION("VLOOKUP(C96,IMPORTRANGE(""https://docs.google.com/spreadsheets/d/1P8eX0NWBhUPS_hvzA11R6jkTNFrPrRYIx_dX_hYbxrk/edit?resourcekey=0-iw9bsKY2OqkUHCFMkCar3A&amp;gid=2055363397#gid=2055363397"",""MTR!C:O""),9,false)"),"Disabled for EMEA countries by default and will be enabled for countries that have GSM 850/1900 deployment in live network")</f>
        <v>Disabled for EMEA countries by default and will be enabled for countries that have GSM 850/1900 deployment in live network</v>
      </c>
      <c r="P96" s="248"/>
      <c r="Q96" s="249" t="s">
        <v>445</v>
      </c>
      <c r="R96" s="249" t="s">
        <v>668</v>
      </c>
      <c r="S96" s="154" t="s">
        <v>60</v>
      </c>
      <c r="T96" s="154" t="s">
        <v>60</v>
      </c>
      <c r="U96" s="154" t="s">
        <v>60</v>
      </c>
      <c r="V96" s="154" t="s">
        <v>60</v>
      </c>
      <c r="W96" s="154" t="s">
        <v>60</v>
      </c>
      <c r="X96" s="154" t="s">
        <v>60</v>
      </c>
      <c r="Y96" s="154" t="s">
        <v>66</v>
      </c>
      <c r="Z96" s="154" t="s">
        <v>66</v>
      </c>
      <c r="AA96" s="154" t="s">
        <v>66</v>
      </c>
      <c r="AB96" s="154"/>
      <c r="AC96" s="242" t="b">
        <f t="shared" si="2"/>
        <v>1</v>
      </c>
      <c r="AD96" s="154" t="s">
        <v>391</v>
      </c>
      <c r="AE96" s="243" t="b">
        <f t="shared" si="3"/>
        <v>0</v>
      </c>
      <c r="AF96" s="154"/>
      <c r="AG96" s="243" t="b">
        <f t="shared" si="4"/>
        <v>0</v>
      </c>
      <c r="AH96" s="154" t="s">
        <v>629</v>
      </c>
      <c r="AI96" s="243" t="str">
        <f t="shared" si="5"/>
        <v>Complies</v>
      </c>
      <c r="AJ96" s="157" t="str">
        <f t="shared" si="6"/>
        <v/>
      </c>
    </row>
    <row r="97" ht="12.75" customHeight="1">
      <c r="A97" s="238" t="s">
        <v>621</v>
      </c>
      <c r="B97" s="238" t="s">
        <v>624</v>
      </c>
      <c r="C97" s="238" t="s">
        <v>671</v>
      </c>
      <c r="D97" s="240"/>
      <c r="E97" s="252" t="s">
        <v>92</v>
      </c>
      <c r="F97" s="154" t="str">
        <f t="array" ref="F97">XLOOKUP(Cover!$D$12,$S$1:$AA$1,$S97:$AA97)</f>
        <v>Heading</v>
      </c>
      <c r="G97" s="239" t="s">
        <v>672</v>
      </c>
      <c r="H97" s="240"/>
      <c r="I97" s="240" t="s">
        <v>389</v>
      </c>
      <c r="J97" s="240"/>
      <c r="K97" s="240"/>
      <c r="L97" s="154" t="str">
        <f t="shared" si="1"/>
        <v/>
      </c>
      <c r="M97" s="241" t="str">
        <f>IFERROR(__xludf.DUMMYFUNCTION("VLOOKUP(C97,IMPORTRANGE(""https://docs.google.com/spreadsheets/d/1P8eX0NWBhUPS_hvzA11R6jkTNFrPrRYIx_dX_hYbxrk/edit?resourcekey=0-iw9bsKY2OqkUHCFMkCar3A&amp;gid=2055363397#gid=2055363397"",""MTR!C:O""),11,false)"),"")</f>
        <v/>
      </c>
      <c r="N97" s="241" t="str">
        <f>IFERROR(__xludf.DUMMYFUNCTION("VLOOKUP(C97,IMPORTRANGE(""https://docs.google.com/spreadsheets/d/1ihFlp3_ePlYtFuPbUNbYj1muErVpI73WHXbEwJDIA7Q/edit#gid=1493122344"",""MTR!C:O""),8,false)"),"")</f>
        <v/>
      </c>
      <c r="O97" s="241" t="str">
        <f>IFERROR(__xludf.DUMMYFUNCTION("VLOOKUP(C97,IMPORTRANGE(""https://docs.google.com/spreadsheets/d/1P8eX0NWBhUPS_hvzA11R6jkTNFrPrRYIx_dX_hYbxrk/edit?resourcekey=0-iw9bsKY2OqkUHCFMkCar3A&amp;gid=2055363397#gid=2055363397"",""MTR!C:O""),9,false)"),"")</f>
        <v/>
      </c>
      <c r="P97" s="241"/>
      <c r="Q97" s="241"/>
      <c r="R97" s="241"/>
      <c r="S97" s="240" t="s">
        <v>390</v>
      </c>
      <c r="T97" s="240" t="s">
        <v>390</v>
      </c>
      <c r="U97" s="240" t="s">
        <v>390</v>
      </c>
      <c r="V97" s="240" t="s">
        <v>390</v>
      </c>
      <c r="W97" s="240" t="s">
        <v>390</v>
      </c>
      <c r="X97" s="240" t="s">
        <v>390</v>
      </c>
      <c r="Y97" s="240" t="s">
        <v>390</v>
      </c>
      <c r="Z97" s="240" t="s">
        <v>390</v>
      </c>
      <c r="AA97" s="240" t="s">
        <v>390</v>
      </c>
      <c r="AB97" s="240"/>
      <c r="AC97" s="242" t="b">
        <f t="shared" si="2"/>
        <v>0</v>
      </c>
      <c r="AD97" s="240" t="s">
        <v>391</v>
      </c>
      <c r="AE97" s="243" t="b">
        <f t="shared" si="3"/>
        <v>0</v>
      </c>
      <c r="AF97" s="240"/>
      <c r="AG97" s="243" t="b">
        <f t="shared" si="4"/>
        <v>0</v>
      </c>
      <c r="AH97" s="240"/>
      <c r="AI97" s="243" t="str">
        <f t="shared" si="5"/>
        <v>N/A</v>
      </c>
      <c r="AJ97" s="157" t="str">
        <f t="shared" si="6"/>
        <v/>
      </c>
    </row>
    <row r="98" ht="12.75" customHeight="1">
      <c r="A98" s="238" t="s">
        <v>621</v>
      </c>
      <c r="B98" s="238" t="s">
        <v>624</v>
      </c>
      <c r="C98" s="238" t="s">
        <v>673</v>
      </c>
      <c r="D98" s="240"/>
      <c r="E98" s="252" t="s">
        <v>92</v>
      </c>
      <c r="F98" s="154" t="str">
        <f t="array" ref="F98">XLOOKUP(Cover!$D$12,$S$1:$AA$1,$S98:$AA98)</f>
        <v>Heading</v>
      </c>
      <c r="G98" s="239" t="s">
        <v>674</v>
      </c>
      <c r="H98" s="240"/>
      <c r="I98" s="240" t="s">
        <v>389</v>
      </c>
      <c r="J98" s="240"/>
      <c r="K98" s="240"/>
      <c r="L98" s="154" t="str">
        <f t="shared" si="1"/>
        <v/>
      </c>
      <c r="M98" s="241" t="str">
        <f>IFERROR(__xludf.DUMMYFUNCTION("VLOOKUP(C98,IMPORTRANGE(""https://docs.google.com/spreadsheets/d/1P8eX0NWBhUPS_hvzA11R6jkTNFrPrRYIx_dX_hYbxrk/edit?resourcekey=0-iw9bsKY2OqkUHCFMkCar3A&amp;gid=2055363397#gid=2055363397"",""MTR!C:O""),11,false)"),"")</f>
        <v/>
      </c>
      <c r="N98" s="241" t="str">
        <f>IFERROR(__xludf.DUMMYFUNCTION("VLOOKUP(C98,IMPORTRANGE(""https://docs.google.com/spreadsheets/d/1ihFlp3_ePlYtFuPbUNbYj1muErVpI73WHXbEwJDIA7Q/edit#gid=1493122344"",""MTR!C:O""),8,false)"),"")</f>
        <v/>
      </c>
      <c r="O98" s="241" t="str">
        <f>IFERROR(__xludf.DUMMYFUNCTION("VLOOKUP(C98,IMPORTRANGE(""https://docs.google.com/spreadsheets/d/1P8eX0NWBhUPS_hvzA11R6jkTNFrPrRYIx_dX_hYbxrk/edit?resourcekey=0-iw9bsKY2OqkUHCFMkCar3A&amp;gid=2055363397#gid=2055363397"",""MTR!C:O""),9,false)"),"")</f>
        <v/>
      </c>
      <c r="P98" s="241"/>
      <c r="Q98" s="241"/>
      <c r="R98" s="241"/>
      <c r="S98" s="240" t="s">
        <v>390</v>
      </c>
      <c r="T98" s="240" t="s">
        <v>390</v>
      </c>
      <c r="U98" s="240" t="s">
        <v>390</v>
      </c>
      <c r="V98" s="240" t="s">
        <v>390</v>
      </c>
      <c r="W98" s="240" t="s">
        <v>390</v>
      </c>
      <c r="X98" s="240" t="s">
        <v>390</v>
      </c>
      <c r="Y98" s="240" t="s">
        <v>390</v>
      </c>
      <c r="Z98" s="240" t="s">
        <v>390</v>
      </c>
      <c r="AA98" s="240" t="s">
        <v>390</v>
      </c>
      <c r="AB98" s="240"/>
      <c r="AC98" s="242" t="b">
        <f t="shared" si="2"/>
        <v>0</v>
      </c>
      <c r="AD98" s="240" t="s">
        <v>391</v>
      </c>
      <c r="AE98" s="243" t="b">
        <f t="shared" si="3"/>
        <v>0</v>
      </c>
      <c r="AF98" s="240"/>
      <c r="AG98" s="243" t="b">
        <f t="shared" si="4"/>
        <v>0</v>
      </c>
      <c r="AH98" s="240"/>
      <c r="AI98" s="243" t="str">
        <f t="shared" si="5"/>
        <v>N/A</v>
      </c>
      <c r="AJ98" s="157" t="str">
        <f t="shared" si="6"/>
        <v/>
      </c>
    </row>
    <row r="99" ht="12.75" customHeight="1">
      <c r="A99" s="244" t="s">
        <v>621</v>
      </c>
      <c r="B99" s="244" t="s">
        <v>624</v>
      </c>
      <c r="C99" s="244" t="s">
        <v>675</v>
      </c>
      <c r="D99" s="154" t="s">
        <v>459</v>
      </c>
      <c r="E99" s="250"/>
      <c r="F99" s="154" t="str">
        <f t="array" ref="F99">XLOOKUP(Cover!$D$12,$S$1:$AA$1,$S99:$AA99)</f>
        <v>Mandatory</v>
      </c>
      <c r="G99" s="153" t="s">
        <v>676</v>
      </c>
      <c r="H99" s="154" t="s">
        <v>639</v>
      </c>
      <c r="I99" s="154" t="s">
        <v>389</v>
      </c>
      <c r="J99" s="247" t="s">
        <v>445</v>
      </c>
      <c r="K99" s="154"/>
      <c r="L99" s="154" t="str">
        <f t="shared" si="1"/>
        <v/>
      </c>
      <c r="M99" s="248" t="str">
        <f>IFERROR(__xludf.DUMMYFUNCTION("VLOOKUP(C99,IMPORTRANGE(""https://docs.google.com/spreadsheets/d/1P8eX0NWBhUPS_hvzA11R6jkTNFrPrRYIx_dX_hYbxrk/edit?resourcekey=0-iw9bsKY2OqkUHCFMkCar3A&amp;gid=2055363397#gid=2055363397"",""MTR!C:O""),11,false)"),"PMW-L1")</f>
        <v>PMW-L1</v>
      </c>
      <c r="N99" s="248" t="str">
        <f>IFERROR(__xludf.DUMMYFUNCTION("VLOOKUP(C99,IMPORTRANGE(""https://docs.google.com/spreadsheets/d/1ihFlp3_ePlYtFuPbUNbYj1muErVpI73WHXbEwJDIA7Q/edit#gid=1493122344"",""MTR!C:O""),8,false)"),"Complies")</f>
        <v>Complies</v>
      </c>
      <c r="O99" s="241" t="str">
        <f>IFERROR(__xludf.DUMMYFUNCTION("VLOOKUP(C99,IMPORTRANGE(""https://docs.google.com/spreadsheets/d/1P8eX0NWBhUPS_hvzA11R6jkTNFrPrRYIx_dX_hYbxrk/edit?resourcekey=0-iw9bsKY2OqkUHCFMkCar3A&amp;gid=2055363397#gid=2055363397"",""MTR!C:O""),9,false)"),"")</f>
        <v/>
      </c>
      <c r="P99" s="241"/>
      <c r="Q99" s="251" t="s">
        <v>445</v>
      </c>
      <c r="R99" s="241"/>
      <c r="S99" s="154" t="s">
        <v>60</v>
      </c>
      <c r="T99" s="154" t="s">
        <v>60</v>
      </c>
      <c r="U99" s="154" t="s">
        <v>60</v>
      </c>
      <c r="V99" s="154" t="s">
        <v>60</v>
      </c>
      <c r="W99" s="154" t="s">
        <v>60</v>
      </c>
      <c r="X99" s="154" t="s">
        <v>60</v>
      </c>
      <c r="Y99" s="154" t="s">
        <v>60</v>
      </c>
      <c r="Z99" s="154" t="s">
        <v>60</v>
      </c>
      <c r="AA99" s="154" t="s">
        <v>60</v>
      </c>
      <c r="AB99" s="154"/>
      <c r="AC99" s="242" t="b">
        <f t="shared" si="2"/>
        <v>1</v>
      </c>
      <c r="AD99" s="154" t="s">
        <v>391</v>
      </c>
      <c r="AE99" s="243" t="b">
        <f t="shared" si="3"/>
        <v>0</v>
      </c>
      <c r="AF99" s="154"/>
      <c r="AG99" s="243" t="b">
        <f t="shared" si="4"/>
        <v>0</v>
      </c>
      <c r="AH99" s="154" t="s">
        <v>637</v>
      </c>
      <c r="AI99" s="243" t="str">
        <f t="shared" si="5"/>
        <v>Complies</v>
      </c>
      <c r="AJ99" s="157" t="str">
        <f t="shared" si="6"/>
        <v/>
      </c>
    </row>
    <row r="100" ht="12.75" customHeight="1">
      <c r="A100" s="244" t="s">
        <v>621</v>
      </c>
      <c r="B100" s="244" t="s">
        <v>624</v>
      </c>
      <c r="C100" s="244" t="s">
        <v>677</v>
      </c>
      <c r="D100" s="154" t="s">
        <v>459</v>
      </c>
      <c r="E100" s="250"/>
      <c r="F100" s="154" t="str">
        <f t="array" ref="F100">XLOOKUP(Cover!$D$12,$S$1:$AA$1,$S100:$AA100)</f>
        <v>Mandatory</v>
      </c>
      <c r="G100" s="153" t="s">
        <v>678</v>
      </c>
      <c r="H100" s="154" t="s">
        <v>679</v>
      </c>
      <c r="I100" s="154" t="s">
        <v>389</v>
      </c>
      <c r="J100" s="247" t="s">
        <v>506</v>
      </c>
      <c r="K100" s="247" t="s">
        <v>680</v>
      </c>
      <c r="L100" s="154" t="str">
        <f t="shared" si="1"/>
        <v/>
      </c>
      <c r="M100" s="248" t="str">
        <f>IFERROR(__xludf.DUMMYFUNCTION("VLOOKUP(C100,IMPORTRANGE(""https://docs.google.com/spreadsheets/d/1P8eX0NWBhUPS_hvzA11R6jkTNFrPrRYIx_dX_hYbxrk/edit?resourcekey=0-iw9bsKY2OqkUHCFMkCar3A&amp;gid=2055363397#gid=2055363397"",""MTR!C:O""),11,false)"),"PMW-L1")</f>
        <v>PMW-L1</v>
      </c>
      <c r="N100" s="248" t="str">
        <f>IFERROR(__xludf.DUMMYFUNCTION("VLOOKUP(C100,IMPORTRANGE(""https://docs.google.com/spreadsheets/d/1ihFlp3_ePlYtFuPbUNbYj1muErVpI73WHXbEwJDIA7Q/edit#gid=1493122344"",""MTR!C:O""),8,false)"),"Complies")</f>
        <v>Complies</v>
      </c>
      <c r="O100" s="248" t="str">
        <f>IFERROR(__xludf.DUMMYFUNCTION("VLOOKUP(C100,IMPORTRANGE(""https://docs.google.com/spreadsheets/d/1P8eX0NWBhUPS_hvzA11R6jkTNFrPrRYIx_dX_hYbxrk/edit?resourcekey=0-iw9bsKY2OqkUHCFMkCar3A&amp;gid=2055363397#gid=2055363397"",""MTR!C:O""),9,false)"),"Disabled for EMEA countries by default and will be enabled for countries that have LTE Band 2 deployment in live network")</f>
        <v>Disabled for EMEA countries by default and will be enabled for countries that have LTE Band 2 deployment in live network</v>
      </c>
      <c r="P100" s="248"/>
      <c r="Q100" s="249" t="s">
        <v>445</v>
      </c>
      <c r="R100" s="249" t="s">
        <v>680</v>
      </c>
      <c r="S100" s="154" t="s">
        <v>64</v>
      </c>
      <c r="T100" s="154" t="s">
        <v>64</v>
      </c>
      <c r="U100" s="154" t="s">
        <v>64</v>
      </c>
      <c r="V100" s="154" t="s">
        <v>64</v>
      </c>
      <c r="W100" s="154" t="s">
        <v>60</v>
      </c>
      <c r="X100" s="154" t="s">
        <v>60</v>
      </c>
      <c r="Y100" s="154" t="s">
        <v>64</v>
      </c>
      <c r="Z100" s="154" t="s">
        <v>64</v>
      </c>
      <c r="AA100" s="154" t="s">
        <v>60</v>
      </c>
      <c r="AB100" s="154"/>
      <c r="AC100" s="242" t="b">
        <f t="shared" si="2"/>
        <v>1</v>
      </c>
      <c r="AD100" s="154" t="s">
        <v>391</v>
      </c>
      <c r="AE100" s="243" t="b">
        <f t="shared" si="3"/>
        <v>0</v>
      </c>
      <c r="AF100" s="154"/>
      <c r="AG100" s="243" t="b">
        <f t="shared" si="4"/>
        <v>0</v>
      </c>
      <c r="AH100" s="154"/>
      <c r="AI100" s="243" t="str">
        <f t="shared" si="5"/>
        <v>N/A</v>
      </c>
      <c r="AJ100" s="157" t="str">
        <f t="shared" si="6"/>
        <v/>
      </c>
    </row>
    <row r="101" ht="12.75" customHeight="1">
      <c r="A101" s="244" t="s">
        <v>621</v>
      </c>
      <c r="B101" s="244" t="s">
        <v>624</v>
      </c>
      <c r="C101" s="244" t="s">
        <v>681</v>
      </c>
      <c r="D101" s="154" t="s">
        <v>459</v>
      </c>
      <c r="E101" s="250"/>
      <c r="F101" s="154" t="str">
        <f t="array" ref="F101">XLOOKUP(Cover!$D$12,$S$1:$AA$1,$S101:$AA101)</f>
        <v>Mandatory</v>
      </c>
      <c r="G101" s="153" t="s">
        <v>682</v>
      </c>
      <c r="H101" s="154" t="s">
        <v>639</v>
      </c>
      <c r="I101" s="154" t="s">
        <v>389</v>
      </c>
      <c r="J101" s="247" t="s">
        <v>445</v>
      </c>
      <c r="K101" s="154"/>
      <c r="L101" s="154" t="str">
        <f t="shared" si="1"/>
        <v/>
      </c>
      <c r="M101" s="248" t="str">
        <f>IFERROR(__xludf.DUMMYFUNCTION("VLOOKUP(C101,IMPORTRANGE(""https://docs.google.com/spreadsheets/d/1P8eX0NWBhUPS_hvzA11R6jkTNFrPrRYIx_dX_hYbxrk/edit?resourcekey=0-iw9bsKY2OqkUHCFMkCar3A&amp;gid=2055363397#gid=2055363397"",""MTR!C:O""),11,false)"),"PMW-L1")</f>
        <v>PMW-L1</v>
      </c>
      <c r="N101" s="248" t="str">
        <f>IFERROR(__xludf.DUMMYFUNCTION("VLOOKUP(C101,IMPORTRANGE(""https://docs.google.com/spreadsheets/d/1ihFlp3_ePlYtFuPbUNbYj1muErVpI73WHXbEwJDIA7Q/edit#gid=1493122344"",""MTR!C:O""),8,false)"),"Complies")</f>
        <v>Complies</v>
      </c>
      <c r="O101" s="241" t="str">
        <f>IFERROR(__xludf.DUMMYFUNCTION("VLOOKUP(C101,IMPORTRANGE(""https://docs.google.com/spreadsheets/d/1P8eX0NWBhUPS_hvzA11R6jkTNFrPrRYIx_dX_hYbxrk/edit?resourcekey=0-iw9bsKY2OqkUHCFMkCar3A&amp;gid=2055363397#gid=2055363397"",""MTR!C:O""),9,false)"),"")</f>
        <v/>
      </c>
      <c r="P101" s="241"/>
      <c r="Q101" s="251" t="s">
        <v>445</v>
      </c>
      <c r="R101" s="241"/>
      <c r="S101" s="154" t="s">
        <v>60</v>
      </c>
      <c r="T101" s="154" t="s">
        <v>60</v>
      </c>
      <c r="U101" s="154" t="s">
        <v>60</v>
      </c>
      <c r="V101" s="154" t="s">
        <v>60</v>
      </c>
      <c r="W101" s="154" t="s">
        <v>60</v>
      </c>
      <c r="X101" s="154" t="s">
        <v>60</v>
      </c>
      <c r="Y101" s="154" t="s">
        <v>60</v>
      </c>
      <c r="Z101" s="154" t="s">
        <v>60</v>
      </c>
      <c r="AA101" s="154" t="s">
        <v>60</v>
      </c>
      <c r="AB101" s="154"/>
      <c r="AC101" s="242" t="b">
        <f t="shared" si="2"/>
        <v>1</v>
      </c>
      <c r="AD101" s="154" t="s">
        <v>391</v>
      </c>
      <c r="AE101" s="243" t="b">
        <f t="shared" si="3"/>
        <v>0</v>
      </c>
      <c r="AF101" s="154"/>
      <c r="AG101" s="243" t="b">
        <f t="shared" si="4"/>
        <v>0</v>
      </c>
      <c r="AH101" s="154" t="s">
        <v>637</v>
      </c>
      <c r="AI101" s="243" t="str">
        <f t="shared" si="5"/>
        <v>Complies</v>
      </c>
      <c r="AJ101" s="157" t="str">
        <f t="shared" si="6"/>
        <v/>
      </c>
    </row>
    <row r="102" ht="12.75" customHeight="1">
      <c r="A102" s="244" t="s">
        <v>621</v>
      </c>
      <c r="B102" s="244" t="s">
        <v>624</v>
      </c>
      <c r="C102" s="245" t="s">
        <v>683</v>
      </c>
      <c r="D102" s="155" t="s">
        <v>459</v>
      </c>
      <c r="E102" s="246" t="s">
        <v>92</v>
      </c>
      <c r="F102" s="154" t="str">
        <f t="array" ref="F102">XLOOKUP(Cover!$D$12,$S$1:$AA$1,$S102:$AA102)</f>
        <v>Mandatory</v>
      </c>
      <c r="G102" s="153" t="s">
        <v>684</v>
      </c>
      <c r="H102" s="154" t="s">
        <v>679</v>
      </c>
      <c r="I102" s="154" t="s">
        <v>389</v>
      </c>
      <c r="J102" s="247" t="s">
        <v>506</v>
      </c>
      <c r="K102" s="247" t="s">
        <v>685</v>
      </c>
      <c r="L102" s="154" t="str">
        <f t="shared" si="1"/>
        <v/>
      </c>
      <c r="M102" s="248" t="str">
        <f>IFERROR(__xludf.DUMMYFUNCTION("VLOOKUP(C102,IMPORTRANGE(""https://docs.google.com/spreadsheets/d/1P8eX0NWBhUPS_hvzA11R6jkTNFrPrRYIx_dX_hYbxrk/edit?resourcekey=0-iw9bsKY2OqkUHCFMkCar3A&amp;gid=2055363397#gid=2055363397"",""MTR!C:O""),11,false)"),"PMW-L1")</f>
        <v>PMW-L1</v>
      </c>
      <c r="N102" s="248" t="str">
        <f>IFERROR(__xludf.DUMMYFUNCTION("VLOOKUP(C102,IMPORTRANGE(""https://docs.google.com/spreadsheets/d/1ihFlp3_ePlYtFuPbUNbYj1muErVpI73WHXbEwJDIA7Q/edit#gid=1493122344"",""MTR!C:O""),8,false)"),"Complies")</f>
        <v>Complies</v>
      </c>
      <c r="O102" s="248" t="str">
        <f>IFERROR(__xludf.DUMMYFUNCTION("VLOOKUP(C102,IMPORTRANGE(""https://docs.google.com/spreadsheets/d/1P8eX0NWBhUPS_hvzA11R6jkTNFrPrRYIx_dX_hYbxrk/edit?resourcekey=0-iw9bsKY2OqkUHCFMkCar3A&amp;gid=2055363397#gid=2055363397"",""MTR!C:O""),9,false)"),"Disabled for EMEA countries by default and will be enabled for countries that have LTE Band 4 deployment in live network")</f>
        <v>Disabled for EMEA countries by default and will be enabled for countries that have LTE Band 4 deployment in live network</v>
      </c>
      <c r="P102" s="248"/>
      <c r="Q102" s="249" t="s">
        <v>445</v>
      </c>
      <c r="R102" s="249" t="s">
        <v>685</v>
      </c>
      <c r="S102" s="154" t="s">
        <v>64</v>
      </c>
      <c r="T102" s="154" t="s">
        <v>64</v>
      </c>
      <c r="U102" s="154" t="s">
        <v>64</v>
      </c>
      <c r="V102" s="154" t="s">
        <v>64</v>
      </c>
      <c r="W102" s="154" t="s">
        <v>60</v>
      </c>
      <c r="X102" s="154" t="s">
        <v>60</v>
      </c>
      <c r="Y102" s="154" t="s">
        <v>64</v>
      </c>
      <c r="Z102" s="154" t="s">
        <v>64</v>
      </c>
      <c r="AA102" s="154" t="s">
        <v>60</v>
      </c>
      <c r="AB102" s="154"/>
      <c r="AC102" s="242" t="b">
        <f t="shared" si="2"/>
        <v>1</v>
      </c>
      <c r="AD102" s="154" t="s">
        <v>391</v>
      </c>
      <c r="AE102" s="243" t="b">
        <f t="shared" si="3"/>
        <v>0</v>
      </c>
      <c r="AF102" s="154"/>
      <c r="AG102" s="243" t="b">
        <f t="shared" si="4"/>
        <v>0</v>
      </c>
      <c r="AH102" s="154" t="s">
        <v>637</v>
      </c>
      <c r="AI102" s="243" t="str">
        <f t="shared" si="5"/>
        <v>Complies</v>
      </c>
      <c r="AJ102" s="157" t="str">
        <f t="shared" si="6"/>
        <v/>
      </c>
    </row>
    <row r="103" ht="12.75" customHeight="1">
      <c r="A103" s="244" t="s">
        <v>621</v>
      </c>
      <c r="B103" s="244" t="s">
        <v>624</v>
      </c>
      <c r="C103" s="244" t="s">
        <v>686</v>
      </c>
      <c r="D103" s="154" t="s">
        <v>459</v>
      </c>
      <c r="E103" s="250"/>
      <c r="F103" s="154" t="str">
        <f t="array" ref="F103">XLOOKUP(Cover!$D$12,$S$1:$AA$1,$S103:$AA103)</f>
        <v>Mandatory</v>
      </c>
      <c r="G103" s="153" t="s">
        <v>687</v>
      </c>
      <c r="H103" s="154" t="s">
        <v>679</v>
      </c>
      <c r="I103" s="154" t="s">
        <v>389</v>
      </c>
      <c r="J103" s="247" t="s">
        <v>506</v>
      </c>
      <c r="K103" s="247" t="s">
        <v>688</v>
      </c>
      <c r="L103" s="154" t="str">
        <f t="shared" si="1"/>
        <v/>
      </c>
      <c r="M103" s="248" t="str">
        <f>IFERROR(__xludf.DUMMYFUNCTION("VLOOKUP(C103,IMPORTRANGE(""https://docs.google.com/spreadsheets/d/1P8eX0NWBhUPS_hvzA11R6jkTNFrPrRYIx_dX_hYbxrk/edit?resourcekey=0-iw9bsKY2OqkUHCFMkCar3A&amp;gid=2055363397#gid=2055363397"",""MTR!C:O""),11,false)"),"PMW-L1")</f>
        <v>PMW-L1</v>
      </c>
      <c r="N103" s="248" t="str">
        <f>IFERROR(__xludf.DUMMYFUNCTION("VLOOKUP(C103,IMPORTRANGE(""https://docs.google.com/spreadsheets/d/1ihFlp3_ePlYtFuPbUNbYj1muErVpI73WHXbEwJDIA7Q/edit#gid=1493122344"",""MTR!C:O""),8,false)"),"Complies")</f>
        <v>Complies</v>
      </c>
      <c r="O103" s="248" t="str">
        <f>IFERROR(__xludf.DUMMYFUNCTION("VLOOKUP(C103,IMPORTRANGE(""https://docs.google.com/spreadsheets/d/1P8eX0NWBhUPS_hvzA11R6jkTNFrPrRYIx_dX_hYbxrk/edit?resourcekey=0-iw9bsKY2OqkUHCFMkCar3A&amp;gid=2055363397#gid=2055363397"",""MTR!C:O""),9,false)"),"Disabled for EMEA countries by default and will be enabled for countries that have LTE Band 5 deployment in live network")</f>
        <v>Disabled for EMEA countries by default and will be enabled for countries that have LTE Band 5 deployment in live network</v>
      </c>
      <c r="P103" s="248"/>
      <c r="Q103" s="249" t="s">
        <v>445</v>
      </c>
      <c r="R103" s="249" t="s">
        <v>688</v>
      </c>
      <c r="S103" s="154" t="s">
        <v>64</v>
      </c>
      <c r="T103" s="154" t="s">
        <v>64</v>
      </c>
      <c r="U103" s="154" t="s">
        <v>64</v>
      </c>
      <c r="V103" s="154" t="s">
        <v>64</v>
      </c>
      <c r="W103" s="154" t="s">
        <v>60</v>
      </c>
      <c r="X103" s="154" t="s">
        <v>60</v>
      </c>
      <c r="Y103" s="154" t="s">
        <v>64</v>
      </c>
      <c r="Z103" s="154" t="s">
        <v>64</v>
      </c>
      <c r="AA103" s="154" t="s">
        <v>60</v>
      </c>
      <c r="AB103" s="154"/>
      <c r="AC103" s="242" t="b">
        <f t="shared" si="2"/>
        <v>1</v>
      </c>
      <c r="AD103" s="154" t="s">
        <v>391</v>
      </c>
      <c r="AE103" s="243" t="b">
        <f t="shared" si="3"/>
        <v>0</v>
      </c>
      <c r="AF103" s="154"/>
      <c r="AG103" s="243" t="b">
        <f t="shared" si="4"/>
        <v>0</v>
      </c>
      <c r="AH103" s="154"/>
      <c r="AI103" s="243" t="str">
        <f t="shared" si="5"/>
        <v>N/A</v>
      </c>
      <c r="AJ103" s="157" t="str">
        <f t="shared" si="6"/>
        <v/>
      </c>
    </row>
    <row r="104" ht="12.75" customHeight="1">
      <c r="A104" s="244" t="s">
        <v>621</v>
      </c>
      <c r="B104" s="244" t="s">
        <v>624</v>
      </c>
      <c r="C104" s="244" t="s">
        <v>689</v>
      </c>
      <c r="D104" s="154" t="s">
        <v>459</v>
      </c>
      <c r="E104" s="250"/>
      <c r="F104" s="154" t="str">
        <f t="array" ref="F104">XLOOKUP(Cover!$D$12,$S$1:$AA$1,$S104:$AA104)</f>
        <v>Mandatory</v>
      </c>
      <c r="G104" s="153" t="s">
        <v>690</v>
      </c>
      <c r="H104" s="154" t="s">
        <v>639</v>
      </c>
      <c r="I104" s="154" t="s">
        <v>389</v>
      </c>
      <c r="J104" s="247" t="s">
        <v>445</v>
      </c>
      <c r="K104" s="154"/>
      <c r="L104" s="154" t="str">
        <f t="shared" si="1"/>
        <v/>
      </c>
      <c r="M104" s="248" t="str">
        <f>IFERROR(__xludf.DUMMYFUNCTION("VLOOKUP(C104,IMPORTRANGE(""https://docs.google.com/spreadsheets/d/1P8eX0NWBhUPS_hvzA11R6jkTNFrPrRYIx_dX_hYbxrk/edit?resourcekey=0-iw9bsKY2OqkUHCFMkCar3A&amp;gid=2055363397#gid=2055363397"",""MTR!C:O""),11,false)"),"PMW-L1")</f>
        <v>PMW-L1</v>
      </c>
      <c r="N104" s="248" t="str">
        <f>IFERROR(__xludf.DUMMYFUNCTION("VLOOKUP(C104,IMPORTRANGE(""https://docs.google.com/spreadsheets/d/1ihFlp3_ePlYtFuPbUNbYj1muErVpI73WHXbEwJDIA7Q/edit#gid=1493122344"",""MTR!C:O""),8,false)"),"Complies")</f>
        <v>Complies</v>
      </c>
      <c r="O104" s="241" t="str">
        <f>IFERROR(__xludf.DUMMYFUNCTION("VLOOKUP(C104,IMPORTRANGE(""https://docs.google.com/spreadsheets/d/1P8eX0NWBhUPS_hvzA11R6jkTNFrPrRYIx_dX_hYbxrk/edit?resourcekey=0-iw9bsKY2OqkUHCFMkCar3A&amp;gid=2055363397#gid=2055363397"",""MTR!C:O""),9,false)"),"")</f>
        <v/>
      </c>
      <c r="P104" s="241"/>
      <c r="Q104" s="251" t="s">
        <v>445</v>
      </c>
      <c r="R104" s="241"/>
      <c r="S104" s="154" t="s">
        <v>60</v>
      </c>
      <c r="T104" s="154" t="s">
        <v>60</v>
      </c>
      <c r="U104" s="154" t="s">
        <v>60</v>
      </c>
      <c r="V104" s="154" t="s">
        <v>60</v>
      </c>
      <c r="W104" s="154" t="s">
        <v>60</v>
      </c>
      <c r="X104" s="154" t="s">
        <v>60</v>
      </c>
      <c r="Y104" s="154" t="s">
        <v>60</v>
      </c>
      <c r="Z104" s="154" t="s">
        <v>60</v>
      </c>
      <c r="AA104" s="154" t="s">
        <v>60</v>
      </c>
      <c r="AB104" s="154"/>
      <c r="AC104" s="242" t="b">
        <f t="shared" si="2"/>
        <v>1</v>
      </c>
      <c r="AD104" s="154" t="s">
        <v>391</v>
      </c>
      <c r="AE104" s="243" t="b">
        <f t="shared" si="3"/>
        <v>0</v>
      </c>
      <c r="AF104" s="154"/>
      <c r="AG104" s="243" t="b">
        <f t="shared" si="4"/>
        <v>0</v>
      </c>
      <c r="AH104" s="154" t="s">
        <v>637</v>
      </c>
      <c r="AI104" s="243" t="str">
        <f t="shared" si="5"/>
        <v>Complies</v>
      </c>
      <c r="AJ104" s="157" t="str">
        <f t="shared" si="6"/>
        <v/>
      </c>
    </row>
    <row r="105" ht="12.75" customHeight="1">
      <c r="A105" s="244" t="s">
        <v>621</v>
      </c>
      <c r="B105" s="244" t="s">
        <v>624</v>
      </c>
      <c r="C105" s="244" t="s">
        <v>691</v>
      </c>
      <c r="D105" s="154" t="s">
        <v>459</v>
      </c>
      <c r="E105" s="250"/>
      <c r="F105" s="154" t="str">
        <f t="array" ref="F105">XLOOKUP(Cover!$D$12,$S$1:$AA$1,$S105:$AA105)</f>
        <v>Mandatory</v>
      </c>
      <c r="G105" s="153" t="s">
        <v>692</v>
      </c>
      <c r="H105" s="154" t="s">
        <v>639</v>
      </c>
      <c r="I105" s="154" t="s">
        <v>389</v>
      </c>
      <c r="J105" s="247" t="s">
        <v>445</v>
      </c>
      <c r="K105" s="154"/>
      <c r="L105" s="154" t="str">
        <f t="shared" si="1"/>
        <v/>
      </c>
      <c r="M105" s="248" t="str">
        <f>IFERROR(__xludf.DUMMYFUNCTION("VLOOKUP(C105,IMPORTRANGE(""https://docs.google.com/spreadsheets/d/1P8eX0NWBhUPS_hvzA11R6jkTNFrPrRYIx_dX_hYbxrk/edit?resourcekey=0-iw9bsKY2OqkUHCFMkCar3A&amp;gid=2055363397#gid=2055363397"",""MTR!C:O""),11,false)"),"PMW-L1")</f>
        <v>PMW-L1</v>
      </c>
      <c r="N105" s="248" t="str">
        <f>IFERROR(__xludf.DUMMYFUNCTION("VLOOKUP(C105,IMPORTRANGE(""https://docs.google.com/spreadsheets/d/1ihFlp3_ePlYtFuPbUNbYj1muErVpI73WHXbEwJDIA7Q/edit#gid=1493122344"",""MTR!C:O""),8,false)"),"Complies")</f>
        <v>Complies</v>
      </c>
      <c r="O105" s="241" t="str">
        <f>IFERROR(__xludf.DUMMYFUNCTION("VLOOKUP(C105,IMPORTRANGE(""https://docs.google.com/spreadsheets/d/1P8eX0NWBhUPS_hvzA11R6jkTNFrPrRYIx_dX_hYbxrk/edit?resourcekey=0-iw9bsKY2OqkUHCFMkCar3A&amp;gid=2055363397#gid=2055363397"",""MTR!C:O""),9,false)"),"")</f>
        <v/>
      </c>
      <c r="P105" s="241"/>
      <c r="Q105" s="251" t="s">
        <v>445</v>
      </c>
      <c r="R105" s="241"/>
      <c r="S105" s="154" t="s">
        <v>60</v>
      </c>
      <c r="T105" s="154" t="s">
        <v>60</v>
      </c>
      <c r="U105" s="154" t="s">
        <v>60</v>
      </c>
      <c r="V105" s="154" t="s">
        <v>60</v>
      </c>
      <c r="W105" s="154" t="s">
        <v>60</v>
      </c>
      <c r="X105" s="154" t="s">
        <v>60</v>
      </c>
      <c r="Y105" s="154" t="s">
        <v>60</v>
      </c>
      <c r="Z105" s="154" t="s">
        <v>60</v>
      </c>
      <c r="AA105" s="154" t="s">
        <v>60</v>
      </c>
      <c r="AB105" s="154"/>
      <c r="AC105" s="242" t="b">
        <f t="shared" si="2"/>
        <v>1</v>
      </c>
      <c r="AD105" s="154" t="s">
        <v>391</v>
      </c>
      <c r="AE105" s="243" t="b">
        <f t="shared" si="3"/>
        <v>0</v>
      </c>
      <c r="AF105" s="154"/>
      <c r="AG105" s="243" t="b">
        <f t="shared" si="4"/>
        <v>0</v>
      </c>
      <c r="AH105" s="154" t="s">
        <v>637</v>
      </c>
      <c r="AI105" s="243" t="str">
        <f t="shared" si="5"/>
        <v>Complies</v>
      </c>
      <c r="AJ105" s="157" t="str">
        <f t="shared" si="6"/>
        <v/>
      </c>
    </row>
    <row r="106" ht="12.75" customHeight="1">
      <c r="A106" s="244" t="s">
        <v>621</v>
      </c>
      <c r="B106" s="244" t="s">
        <v>624</v>
      </c>
      <c r="C106" s="244" t="s">
        <v>693</v>
      </c>
      <c r="D106" s="154" t="s">
        <v>484</v>
      </c>
      <c r="E106" s="250"/>
      <c r="F106" s="154" t="str">
        <f t="array" ref="F106">XLOOKUP(Cover!$D$12,$S$1:$AA$1,$S106:$AA106)</f>
        <v>Mandatory</v>
      </c>
      <c r="G106" s="153" t="s">
        <v>694</v>
      </c>
      <c r="H106" s="154" t="s">
        <v>679</v>
      </c>
      <c r="I106" s="154" t="s">
        <v>389</v>
      </c>
      <c r="J106" s="247" t="s">
        <v>506</v>
      </c>
      <c r="K106" s="247" t="s">
        <v>695</v>
      </c>
      <c r="L106" s="154" t="str">
        <f t="shared" si="1"/>
        <v/>
      </c>
      <c r="M106" s="248" t="str">
        <f>IFERROR(__xludf.DUMMYFUNCTION("VLOOKUP(C106,IMPORTRANGE(""https://docs.google.com/spreadsheets/d/1P8eX0NWBhUPS_hvzA11R6jkTNFrPrRYIx_dX_hYbxrk/edit?resourcekey=0-iw9bsKY2OqkUHCFMkCar3A&amp;gid=2055363397#gid=2055363397"",""MTR!C:O""),11,false)"),"PMW-L1")</f>
        <v>PMW-L1</v>
      </c>
      <c r="N106" s="248" t="str">
        <f>IFERROR(__xludf.DUMMYFUNCTION("VLOOKUP(C106,IMPORTRANGE(""https://docs.google.com/spreadsheets/d/1ihFlp3_ePlYtFuPbUNbYj1muErVpI73WHXbEwJDIA7Q/edit#gid=1493122344"",""MTR!C:O""),8,false)"),"Complies")</f>
        <v>Complies</v>
      </c>
      <c r="O106" s="248" t="str">
        <f>IFERROR(__xludf.DUMMYFUNCTION("VLOOKUP(C106,IMPORTRANGE(""https://docs.google.com/spreadsheets/d/1P8eX0NWBhUPS_hvzA11R6jkTNFrPrRYIx_dX_hYbxrk/edit?resourcekey=0-iw9bsKY2OqkUHCFMkCar3A&amp;gid=2055363397#gid=2055363397"",""MTR!C:O""),9,false)"),"Disabled for EMEA countries by default and will be enabled for countries that have LTE Band 12 deployment in live network")</f>
        <v>Disabled for EMEA countries by default and will be enabled for countries that have LTE Band 12 deployment in live network</v>
      </c>
      <c r="P106" s="248"/>
      <c r="Q106" s="249" t="s">
        <v>445</v>
      </c>
      <c r="R106" s="249" t="s">
        <v>695</v>
      </c>
      <c r="S106" s="154" t="s">
        <v>64</v>
      </c>
      <c r="T106" s="154" t="s">
        <v>64</v>
      </c>
      <c r="U106" s="154" t="s">
        <v>64</v>
      </c>
      <c r="V106" s="154" t="s">
        <v>64</v>
      </c>
      <c r="W106" s="154" t="s">
        <v>60</v>
      </c>
      <c r="X106" s="154" t="s">
        <v>60</v>
      </c>
      <c r="Y106" s="154" t="s">
        <v>64</v>
      </c>
      <c r="Z106" s="154" t="s">
        <v>64</v>
      </c>
      <c r="AA106" s="154" t="s">
        <v>60</v>
      </c>
      <c r="AB106" s="154"/>
      <c r="AC106" s="242" t="b">
        <f t="shared" si="2"/>
        <v>1</v>
      </c>
      <c r="AD106" s="154" t="s">
        <v>391</v>
      </c>
      <c r="AE106" s="243" t="b">
        <f t="shared" si="3"/>
        <v>0</v>
      </c>
      <c r="AF106" s="154"/>
      <c r="AG106" s="243" t="b">
        <f t="shared" si="4"/>
        <v>0</v>
      </c>
      <c r="AH106" s="154" t="s">
        <v>637</v>
      </c>
      <c r="AI106" s="243" t="str">
        <f t="shared" si="5"/>
        <v>Complies</v>
      </c>
      <c r="AJ106" s="157" t="str">
        <f t="shared" si="6"/>
        <v/>
      </c>
    </row>
    <row r="107" ht="12.75" customHeight="1">
      <c r="A107" s="244" t="s">
        <v>621</v>
      </c>
      <c r="B107" s="244" t="s">
        <v>624</v>
      </c>
      <c r="C107" s="244" t="s">
        <v>696</v>
      </c>
      <c r="D107" s="154" t="s">
        <v>459</v>
      </c>
      <c r="E107" s="250"/>
      <c r="F107" s="154" t="str">
        <f t="array" ref="F107">XLOOKUP(Cover!$D$12,$S$1:$AA$1,$S107:$AA107)</f>
        <v>Information</v>
      </c>
      <c r="G107" s="153" t="s">
        <v>697</v>
      </c>
      <c r="H107" s="154"/>
      <c r="I107" s="154" t="s">
        <v>389</v>
      </c>
      <c r="J107" s="247" t="s">
        <v>506</v>
      </c>
      <c r="K107" s="247" t="s">
        <v>698</v>
      </c>
      <c r="L107" s="154" t="str">
        <f t="shared" si="1"/>
        <v/>
      </c>
      <c r="M107" s="248" t="str">
        <f>IFERROR(__xludf.DUMMYFUNCTION("VLOOKUP(C107,IMPORTRANGE(""https://docs.google.com/spreadsheets/d/1P8eX0NWBhUPS_hvzA11R6jkTNFrPrRYIx_dX_hYbxrk/edit?resourcekey=0-iw9bsKY2OqkUHCFMkCar3A&amp;gid=2055363397#gid=2055363397"",""MTR!C:O""),11,false)"),"PMW-L1")</f>
        <v>PMW-L1</v>
      </c>
      <c r="N107" s="248" t="str">
        <f>IFERROR(__xludf.DUMMYFUNCTION("VLOOKUP(C107,IMPORTRANGE(""https://docs.google.com/spreadsheets/d/1ihFlp3_ePlYtFuPbUNbYj1muErVpI73WHXbEwJDIA7Q/edit#gid=1493122344"",""MTR!C:O""),8,false)"),"Complies")</f>
        <v>Complies</v>
      </c>
      <c r="O107" s="248" t="str">
        <f>IFERROR(__xludf.DUMMYFUNCTION("VLOOKUP(C107,IMPORTRANGE(""https://docs.google.com/spreadsheets/d/1P8eX0NWBhUPS_hvzA11R6jkTNFrPrRYIx_dX_hYbxrk/edit?resourcekey=0-iw9bsKY2OqkUHCFMkCar3A&amp;gid=2055363397#gid=2055363397"",""MTR!C:O""),9,false)"),"Disabled for EMEA countries by default and will be enabled for countries that have LTE Band 13 deployment in live network")</f>
        <v>Disabled for EMEA countries by default and will be enabled for countries that have LTE Band 13 deployment in live network</v>
      </c>
      <c r="P107" s="248"/>
      <c r="Q107" s="249" t="s">
        <v>445</v>
      </c>
      <c r="R107" s="249" t="s">
        <v>698</v>
      </c>
      <c r="S107" s="154" t="s">
        <v>66</v>
      </c>
      <c r="T107" s="154" t="s">
        <v>66</v>
      </c>
      <c r="U107" s="154" t="s">
        <v>66</v>
      </c>
      <c r="V107" s="154" t="s">
        <v>66</v>
      </c>
      <c r="W107" s="154" t="s">
        <v>66</v>
      </c>
      <c r="X107" s="154" t="s">
        <v>66</v>
      </c>
      <c r="Y107" s="154" t="s">
        <v>66</v>
      </c>
      <c r="Z107" s="154" t="s">
        <v>66</v>
      </c>
      <c r="AA107" s="154" t="s">
        <v>66</v>
      </c>
      <c r="AB107" s="154"/>
      <c r="AC107" s="242" t="b">
        <f t="shared" si="2"/>
        <v>1</v>
      </c>
      <c r="AD107" s="154" t="s">
        <v>391</v>
      </c>
      <c r="AE107" s="243" t="b">
        <f t="shared" si="3"/>
        <v>0</v>
      </c>
      <c r="AF107" s="154"/>
      <c r="AG107" s="243" t="b">
        <f t="shared" si="4"/>
        <v>0</v>
      </c>
      <c r="AH107" s="154"/>
      <c r="AI107" s="243" t="str">
        <f t="shared" si="5"/>
        <v>N/A</v>
      </c>
      <c r="AJ107" s="157" t="str">
        <f t="shared" si="6"/>
        <v/>
      </c>
    </row>
    <row r="108" ht="12.75" customHeight="1">
      <c r="A108" s="244" t="s">
        <v>621</v>
      </c>
      <c r="B108" s="244" t="s">
        <v>624</v>
      </c>
      <c r="C108" s="244" t="s">
        <v>699</v>
      </c>
      <c r="D108" s="154" t="s">
        <v>459</v>
      </c>
      <c r="E108" s="250"/>
      <c r="F108" s="154" t="str">
        <f t="array" ref="F108">XLOOKUP(Cover!$D$12,$S$1:$AA$1,$S108:$AA108)</f>
        <v>Mandatory</v>
      </c>
      <c r="G108" s="153" t="s">
        <v>700</v>
      </c>
      <c r="H108" s="154" t="s">
        <v>679</v>
      </c>
      <c r="I108" s="154" t="s">
        <v>389</v>
      </c>
      <c r="J108" s="247" t="s">
        <v>506</v>
      </c>
      <c r="K108" s="247" t="s">
        <v>701</v>
      </c>
      <c r="L108" s="154" t="str">
        <f t="shared" si="1"/>
        <v/>
      </c>
      <c r="M108" s="248" t="str">
        <f>IFERROR(__xludf.DUMMYFUNCTION("VLOOKUP(C108,IMPORTRANGE(""https://docs.google.com/spreadsheets/d/1P8eX0NWBhUPS_hvzA11R6jkTNFrPrRYIx_dX_hYbxrk/edit?resourcekey=0-iw9bsKY2OqkUHCFMkCar3A&amp;gid=2055363397#gid=2055363397"",""MTR!C:O""),11,false)"),"PMW-L1")</f>
        <v>PMW-L1</v>
      </c>
      <c r="N108" s="248" t="str">
        <f>IFERROR(__xludf.DUMMYFUNCTION("VLOOKUP(C108,IMPORTRANGE(""https://docs.google.com/spreadsheets/d/1ihFlp3_ePlYtFuPbUNbYj1muErVpI73WHXbEwJDIA7Q/edit#gid=1493122344"",""MTR!C:O""),8,false)"),"Complies")</f>
        <v>Complies</v>
      </c>
      <c r="O108" s="248" t="str">
        <f>IFERROR(__xludf.DUMMYFUNCTION("VLOOKUP(C108,IMPORTRANGE(""https://docs.google.com/spreadsheets/d/1P8eX0NWBhUPS_hvzA11R6jkTNFrPrRYIx_dX_hYbxrk/edit?resourcekey=0-iw9bsKY2OqkUHCFMkCar3A&amp;gid=2055363397#gid=2055363397"",""MTR!C:O""),9,false)"),"Disabled for EMEA countries by default and will be enabled for countries that have LTE Band 17 deployment in live network")</f>
        <v>Disabled for EMEA countries by default and will be enabled for countries that have LTE Band 17 deployment in live network</v>
      </c>
      <c r="P108" s="248"/>
      <c r="Q108" s="249" t="s">
        <v>445</v>
      </c>
      <c r="R108" s="249" t="s">
        <v>701</v>
      </c>
      <c r="S108" s="154" t="s">
        <v>64</v>
      </c>
      <c r="T108" s="154" t="s">
        <v>64</v>
      </c>
      <c r="U108" s="154" t="s">
        <v>64</v>
      </c>
      <c r="V108" s="154" t="s">
        <v>64</v>
      </c>
      <c r="W108" s="154" t="s">
        <v>60</v>
      </c>
      <c r="X108" s="154" t="s">
        <v>60</v>
      </c>
      <c r="Y108" s="154" t="s">
        <v>64</v>
      </c>
      <c r="Z108" s="154" t="s">
        <v>64</v>
      </c>
      <c r="AA108" s="154" t="s">
        <v>60</v>
      </c>
      <c r="AB108" s="154"/>
      <c r="AC108" s="242" t="b">
        <f t="shared" si="2"/>
        <v>1</v>
      </c>
      <c r="AD108" s="154" t="s">
        <v>391</v>
      </c>
      <c r="AE108" s="243" t="b">
        <f t="shared" si="3"/>
        <v>0</v>
      </c>
      <c r="AF108" s="154"/>
      <c r="AG108" s="243" t="b">
        <f t="shared" si="4"/>
        <v>0</v>
      </c>
      <c r="AH108" s="154" t="s">
        <v>637</v>
      </c>
      <c r="AI108" s="243" t="str">
        <f t="shared" si="5"/>
        <v>Complies</v>
      </c>
      <c r="AJ108" s="157" t="str">
        <f t="shared" si="6"/>
        <v/>
      </c>
    </row>
    <row r="109" ht="12.75" customHeight="1">
      <c r="A109" s="244" t="s">
        <v>621</v>
      </c>
      <c r="B109" s="244" t="s">
        <v>624</v>
      </c>
      <c r="C109" s="244" t="s">
        <v>702</v>
      </c>
      <c r="D109" s="154" t="s">
        <v>459</v>
      </c>
      <c r="E109" s="250"/>
      <c r="F109" s="154" t="str">
        <f t="array" ref="F109">XLOOKUP(Cover!$D$12,$S$1:$AA$1,$S109:$AA109)</f>
        <v>Mandatory</v>
      </c>
      <c r="G109" s="153" t="s">
        <v>703</v>
      </c>
      <c r="H109" s="154" t="s">
        <v>639</v>
      </c>
      <c r="I109" s="154" t="s">
        <v>389</v>
      </c>
      <c r="J109" s="247" t="s">
        <v>445</v>
      </c>
      <c r="K109" s="154"/>
      <c r="L109" s="154" t="str">
        <f t="shared" si="1"/>
        <v/>
      </c>
      <c r="M109" s="248" t="str">
        <f>IFERROR(__xludf.DUMMYFUNCTION("VLOOKUP(C109,IMPORTRANGE(""https://docs.google.com/spreadsheets/d/1P8eX0NWBhUPS_hvzA11R6jkTNFrPrRYIx_dX_hYbxrk/edit?resourcekey=0-iw9bsKY2OqkUHCFMkCar3A&amp;gid=2055363397#gid=2055363397"",""MTR!C:O""),11,false)"),"PMW-L1")</f>
        <v>PMW-L1</v>
      </c>
      <c r="N109" s="248" t="str">
        <f>IFERROR(__xludf.DUMMYFUNCTION("VLOOKUP(C109,IMPORTRANGE(""https://docs.google.com/spreadsheets/d/1ihFlp3_ePlYtFuPbUNbYj1muErVpI73WHXbEwJDIA7Q/edit#gid=1493122344"",""MTR!C:O""),8,false)"),"Complies")</f>
        <v>Complies</v>
      </c>
      <c r="O109" s="241" t="str">
        <f>IFERROR(__xludf.DUMMYFUNCTION("VLOOKUP(C109,IMPORTRANGE(""https://docs.google.com/spreadsheets/d/1P8eX0NWBhUPS_hvzA11R6jkTNFrPrRYIx_dX_hYbxrk/edit?resourcekey=0-iw9bsKY2OqkUHCFMkCar3A&amp;gid=2055363397#gid=2055363397"",""MTR!C:O""),9,false)"),"")</f>
        <v/>
      </c>
      <c r="P109" s="241"/>
      <c r="Q109" s="251" t="s">
        <v>445</v>
      </c>
      <c r="R109" s="241"/>
      <c r="S109" s="154" t="s">
        <v>60</v>
      </c>
      <c r="T109" s="154" t="s">
        <v>60</v>
      </c>
      <c r="U109" s="154" t="s">
        <v>60</v>
      </c>
      <c r="V109" s="154" t="s">
        <v>60</v>
      </c>
      <c r="W109" s="154" t="s">
        <v>60</v>
      </c>
      <c r="X109" s="154" t="s">
        <v>60</v>
      </c>
      <c r="Y109" s="154" t="s">
        <v>60</v>
      </c>
      <c r="Z109" s="154" t="s">
        <v>60</v>
      </c>
      <c r="AA109" s="154" t="s">
        <v>60</v>
      </c>
      <c r="AB109" s="154"/>
      <c r="AC109" s="242" t="b">
        <f t="shared" si="2"/>
        <v>1</v>
      </c>
      <c r="AD109" s="154" t="s">
        <v>391</v>
      </c>
      <c r="AE109" s="243" t="b">
        <f t="shared" si="3"/>
        <v>0</v>
      </c>
      <c r="AF109" s="154"/>
      <c r="AG109" s="243" t="b">
        <f t="shared" si="4"/>
        <v>0</v>
      </c>
      <c r="AH109" s="154" t="s">
        <v>637</v>
      </c>
      <c r="AI109" s="243" t="str">
        <f t="shared" si="5"/>
        <v>Complies</v>
      </c>
      <c r="AJ109" s="157" t="str">
        <f t="shared" si="6"/>
        <v/>
      </c>
    </row>
    <row r="110" ht="12.75" customHeight="1">
      <c r="A110" s="244" t="s">
        <v>621</v>
      </c>
      <c r="B110" s="244" t="s">
        <v>624</v>
      </c>
      <c r="C110" s="244" t="s">
        <v>704</v>
      </c>
      <c r="D110" s="154" t="s">
        <v>433</v>
      </c>
      <c r="E110" s="250"/>
      <c r="F110" s="154" t="str">
        <f t="array" ref="F110">XLOOKUP(Cover!$D$12,$S$1:$AA$1,$S110:$AA110)</f>
        <v>Information</v>
      </c>
      <c r="G110" s="153" t="s">
        <v>705</v>
      </c>
      <c r="H110" s="154"/>
      <c r="I110" s="154" t="s">
        <v>389</v>
      </c>
      <c r="J110" s="247" t="s">
        <v>506</v>
      </c>
      <c r="K110" s="247" t="s">
        <v>706</v>
      </c>
      <c r="L110" s="154" t="str">
        <f t="shared" si="1"/>
        <v/>
      </c>
      <c r="M110" s="248" t="str">
        <f>IFERROR(__xludf.DUMMYFUNCTION("VLOOKUP(C110,IMPORTRANGE(""https://docs.google.com/spreadsheets/d/1P8eX0NWBhUPS_hvzA11R6jkTNFrPrRYIx_dX_hYbxrk/edit?resourcekey=0-iw9bsKY2OqkUHCFMkCar3A&amp;gid=2055363397#gid=2055363397"",""MTR!C:O""),11,false)"),"PMW-L1")</f>
        <v>PMW-L1</v>
      </c>
      <c r="N110" s="248" t="str">
        <f>IFERROR(__xludf.DUMMYFUNCTION("VLOOKUP(C110,IMPORTRANGE(""https://docs.google.com/spreadsheets/d/1ihFlp3_ePlYtFuPbUNbYj1muErVpI73WHXbEwJDIA7Q/edit#gid=1493122344"",""MTR!C:O""),8,false)"),"Complies")</f>
        <v>Complies</v>
      </c>
      <c r="O110" s="248" t="str">
        <f>IFERROR(__xludf.DUMMYFUNCTION("VLOOKUP(C110,IMPORTRANGE(""https://docs.google.com/spreadsheets/d/1P8eX0NWBhUPS_hvzA11R6jkTNFrPrRYIx_dX_hYbxrk/edit?resourcekey=0-iw9bsKY2OqkUHCFMkCar3A&amp;gid=2055363397#gid=2055363397"",""MTR!C:O""),9,false)"),"Disabled for EMEA countries by default and will be enabled for countries that have LTE Band 25 deployment in live network")</f>
        <v>Disabled for EMEA countries by default and will be enabled for countries that have LTE Band 25 deployment in live network</v>
      </c>
      <c r="P110" s="248"/>
      <c r="Q110" s="249" t="s">
        <v>445</v>
      </c>
      <c r="R110" s="249" t="s">
        <v>706</v>
      </c>
      <c r="S110" s="154" t="s">
        <v>66</v>
      </c>
      <c r="T110" s="154" t="s">
        <v>66</v>
      </c>
      <c r="U110" s="154" t="s">
        <v>66</v>
      </c>
      <c r="V110" s="154" t="s">
        <v>66</v>
      </c>
      <c r="W110" s="154" t="s">
        <v>66</v>
      </c>
      <c r="X110" s="154" t="s">
        <v>66</v>
      </c>
      <c r="Y110" s="154" t="s">
        <v>66</v>
      </c>
      <c r="Z110" s="154" t="s">
        <v>66</v>
      </c>
      <c r="AA110" s="154" t="s">
        <v>66</v>
      </c>
      <c r="AB110" s="154"/>
      <c r="AC110" s="242" t="b">
        <f t="shared" si="2"/>
        <v>1</v>
      </c>
      <c r="AD110" s="154" t="s">
        <v>391</v>
      </c>
      <c r="AE110" s="243" t="b">
        <f t="shared" si="3"/>
        <v>0</v>
      </c>
      <c r="AF110" s="154"/>
      <c r="AG110" s="243" t="b">
        <f t="shared" si="4"/>
        <v>0</v>
      </c>
      <c r="AH110" s="154"/>
      <c r="AI110" s="243" t="str">
        <f t="shared" si="5"/>
        <v>N/A</v>
      </c>
      <c r="AJ110" s="157" t="str">
        <f t="shared" si="6"/>
        <v/>
      </c>
    </row>
    <row r="111" ht="12.75" customHeight="1">
      <c r="A111" s="244" t="s">
        <v>621</v>
      </c>
      <c r="B111" s="244" t="s">
        <v>624</v>
      </c>
      <c r="C111" s="244" t="s">
        <v>707</v>
      </c>
      <c r="D111" s="154" t="s">
        <v>433</v>
      </c>
      <c r="E111" s="250"/>
      <c r="F111" s="154" t="str">
        <f t="array" ref="F111">XLOOKUP(Cover!$D$12,$S$1:$AA$1,$S111:$AA111)</f>
        <v>Information</v>
      </c>
      <c r="G111" s="153" t="s">
        <v>708</v>
      </c>
      <c r="H111" s="154"/>
      <c r="I111" s="154" t="s">
        <v>389</v>
      </c>
      <c r="J111" s="247" t="s">
        <v>506</v>
      </c>
      <c r="K111" s="247" t="s">
        <v>709</v>
      </c>
      <c r="L111" s="154" t="str">
        <f t="shared" si="1"/>
        <v/>
      </c>
      <c r="M111" s="248" t="str">
        <f>IFERROR(__xludf.DUMMYFUNCTION("VLOOKUP(C111,IMPORTRANGE(""https://docs.google.com/spreadsheets/d/1P8eX0NWBhUPS_hvzA11R6jkTNFrPrRYIx_dX_hYbxrk/edit?resourcekey=0-iw9bsKY2OqkUHCFMkCar3A&amp;gid=2055363397#gid=2055363397"",""MTR!C:O""),11,false)"),"PMW-L1")</f>
        <v>PMW-L1</v>
      </c>
      <c r="N111" s="248" t="str">
        <f>IFERROR(__xludf.DUMMYFUNCTION("VLOOKUP(C111,IMPORTRANGE(""https://docs.google.com/spreadsheets/d/1ihFlp3_ePlYtFuPbUNbYj1muErVpI73WHXbEwJDIA7Q/edit#gid=1493122344"",""MTR!C:O""),8,false)"),"Complies")</f>
        <v>Complies</v>
      </c>
      <c r="O111" s="248" t="str">
        <f>IFERROR(__xludf.DUMMYFUNCTION("VLOOKUP(C111,IMPORTRANGE(""https://docs.google.com/spreadsheets/d/1P8eX0NWBhUPS_hvzA11R6jkTNFrPrRYIx_dX_hYbxrk/edit?resourcekey=0-iw9bsKY2OqkUHCFMkCar3A&amp;gid=2055363397#gid=2055363397"",""MTR!C:O""),9,false)"),"Disabled for EMEA countries by default and will be enabled for countries that have LTE Band 26 deployment in live network")</f>
        <v>Disabled for EMEA countries by default and will be enabled for countries that have LTE Band 26 deployment in live network</v>
      </c>
      <c r="P111" s="248"/>
      <c r="Q111" s="249" t="s">
        <v>445</v>
      </c>
      <c r="R111" s="249" t="s">
        <v>709</v>
      </c>
      <c r="S111" s="154" t="s">
        <v>66</v>
      </c>
      <c r="T111" s="154" t="s">
        <v>66</v>
      </c>
      <c r="U111" s="154" t="s">
        <v>66</v>
      </c>
      <c r="V111" s="154" t="s">
        <v>66</v>
      </c>
      <c r="W111" s="154" t="s">
        <v>66</v>
      </c>
      <c r="X111" s="154" t="s">
        <v>66</v>
      </c>
      <c r="Y111" s="154" t="s">
        <v>66</v>
      </c>
      <c r="Z111" s="154" t="s">
        <v>66</v>
      </c>
      <c r="AA111" s="154" t="s">
        <v>66</v>
      </c>
      <c r="AB111" s="154"/>
      <c r="AC111" s="242" t="b">
        <f t="shared" si="2"/>
        <v>1</v>
      </c>
      <c r="AD111" s="154" t="s">
        <v>391</v>
      </c>
      <c r="AE111" s="243" t="b">
        <f t="shared" si="3"/>
        <v>0</v>
      </c>
      <c r="AF111" s="154"/>
      <c r="AG111" s="243" t="b">
        <f t="shared" si="4"/>
        <v>0</v>
      </c>
      <c r="AH111" s="154"/>
      <c r="AI111" s="243" t="str">
        <f t="shared" si="5"/>
        <v>N/A</v>
      </c>
      <c r="AJ111" s="157" t="str">
        <f t="shared" si="6"/>
        <v/>
      </c>
    </row>
    <row r="112" ht="12.75" customHeight="1">
      <c r="A112" s="244" t="s">
        <v>621</v>
      </c>
      <c r="B112" s="244" t="s">
        <v>624</v>
      </c>
      <c r="C112" s="244" t="s">
        <v>710</v>
      </c>
      <c r="D112" s="154" t="s">
        <v>649</v>
      </c>
      <c r="E112" s="250"/>
      <c r="F112" s="154" t="str">
        <f t="array" ref="F112">XLOOKUP(Cover!$D$12,$S$1:$AA$1,$S112:$AA112)</f>
        <v>Mandatory</v>
      </c>
      <c r="G112" s="153" t="s">
        <v>711</v>
      </c>
      <c r="H112" s="154" t="s">
        <v>712</v>
      </c>
      <c r="I112" s="154" t="s">
        <v>389</v>
      </c>
      <c r="J112" s="247" t="s">
        <v>445</v>
      </c>
      <c r="K112" s="154"/>
      <c r="L112" s="154" t="str">
        <f t="shared" si="1"/>
        <v/>
      </c>
      <c r="M112" s="248" t="str">
        <f>IFERROR(__xludf.DUMMYFUNCTION("VLOOKUP(C112,IMPORTRANGE(""https://docs.google.com/spreadsheets/d/1P8eX0NWBhUPS_hvzA11R6jkTNFrPrRYIx_dX_hYbxrk/edit?resourcekey=0-iw9bsKY2OqkUHCFMkCar3A&amp;gid=2055363397#gid=2055363397"",""MTR!C:O""),11,false)"),"PMW-L1")</f>
        <v>PMW-L1</v>
      </c>
      <c r="N112" s="248" t="str">
        <f>IFERROR(__xludf.DUMMYFUNCTION("VLOOKUP(C112,IMPORTRANGE(""https://docs.google.com/spreadsheets/d/1ihFlp3_ePlYtFuPbUNbYj1muErVpI73WHXbEwJDIA7Q/edit#gid=1493122344"",""MTR!C:O""),8,false)"),"Complies")</f>
        <v>Complies</v>
      </c>
      <c r="O112" s="241" t="str">
        <f>IFERROR(__xludf.DUMMYFUNCTION("VLOOKUP(C112,IMPORTRANGE(""https://docs.google.com/spreadsheets/d/1P8eX0NWBhUPS_hvzA11R6jkTNFrPrRYIx_dX_hYbxrk/edit?resourcekey=0-iw9bsKY2OqkUHCFMkCar3A&amp;gid=2055363397#gid=2055363397"",""MTR!C:O""),9,false)"),"")</f>
        <v/>
      </c>
      <c r="P112" s="241"/>
      <c r="Q112" s="251" t="s">
        <v>445</v>
      </c>
      <c r="R112" s="241"/>
      <c r="S112" s="154" t="s">
        <v>64</v>
      </c>
      <c r="T112" s="154" t="s">
        <v>60</v>
      </c>
      <c r="U112" s="154" t="s">
        <v>60</v>
      </c>
      <c r="V112" s="154" t="s">
        <v>60</v>
      </c>
      <c r="W112" s="154" t="s">
        <v>60</v>
      </c>
      <c r="X112" s="154" t="s">
        <v>60</v>
      </c>
      <c r="Y112" s="154" t="s">
        <v>60</v>
      </c>
      <c r="Z112" s="154" t="s">
        <v>60</v>
      </c>
      <c r="AA112" s="154" t="s">
        <v>60</v>
      </c>
      <c r="AB112" s="154"/>
      <c r="AC112" s="242" t="b">
        <f t="shared" si="2"/>
        <v>1</v>
      </c>
      <c r="AD112" s="154" t="s">
        <v>391</v>
      </c>
      <c r="AE112" s="243" t="b">
        <f t="shared" si="3"/>
        <v>0</v>
      </c>
      <c r="AF112" s="154"/>
      <c r="AG112" s="243" t="b">
        <f t="shared" si="4"/>
        <v>0</v>
      </c>
      <c r="AH112" s="154"/>
      <c r="AI112" s="243" t="str">
        <f t="shared" si="5"/>
        <v>N/A</v>
      </c>
      <c r="AJ112" s="157" t="str">
        <f t="shared" si="6"/>
        <v/>
      </c>
    </row>
    <row r="113" ht="12.75" customHeight="1">
      <c r="A113" s="244" t="s">
        <v>621</v>
      </c>
      <c r="B113" s="244" t="s">
        <v>624</v>
      </c>
      <c r="C113" s="244" t="s">
        <v>713</v>
      </c>
      <c r="D113" s="154" t="s">
        <v>581</v>
      </c>
      <c r="E113" s="250"/>
      <c r="F113" s="154" t="str">
        <f t="array" ref="F113">XLOOKUP(Cover!$D$12,$S$1:$AA$1,$S113:$AA113)</f>
        <v>Mandatory</v>
      </c>
      <c r="G113" s="153" t="s">
        <v>714</v>
      </c>
      <c r="H113" s="154" t="s">
        <v>151</v>
      </c>
      <c r="I113" s="154" t="s">
        <v>389</v>
      </c>
      <c r="J113" s="247" t="s">
        <v>445</v>
      </c>
      <c r="K113" s="154"/>
      <c r="L113" s="154" t="str">
        <f t="shared" si="1"/>
        <v/>
      </c>
      <c r="M113" s="248" t="str">
        <f>IFERROR(__xludf.DUMMYFUNCTION("VLOOKUP(C113,IMPORTRANGE(""https://docs.google.com/spreadsheets/d/1P8eX0NWBhUPS_hvzA11R6jkTNFrPrRYIx_dX_hYbxrk/edit?resourcekey=0-iw9bsKY2OqkUHCFMkCar3A&amp;gid=2055363397#gid=2055363397"",""MTR!C:O""),11,false)"),"PMW-L1")</f>
        <v>PMW-L1</v>
      </c>
      <c r="N113" s="248" t="str">
        <f>IFERROR(__xludf.DUMMYFUNCTION("VLOOKUP(C113,IMPORTRANGE(""https://docs.google.com/spreadsheets/d/1ihFlp3_ePlYtFuPbUNbYj1muErVpI73WHXbEwJDIA7Q/edit#gid=1493122344"",""MTR!C:O""),8,false)"),"Complies")</f>
        <v>Complies</v>
      </c>
      <c r="O113" s="241" t="str">
        <f>IFERROR(__xludf.DUMMYFUNCTION("VLOOKUP(C113,IMPORTRANGE(""https://docs.google.com/spreadsheets/d/1P8eX0NWBhUPS_hvzA11R6jkTNFrPrRYIx_dX_hYbxrk/edit?resourcekey=0-iw9bsKY2OqkUHCFMkCar3A&amp;gid=2055363397#gid=2055363397"",""MTR!C:O""),9,false)"),"")</f>
        <v/>
      </c>
      <c r="P113" s="241"/>
      <c r="Q113" s="251" t="s">
        <v>445</v>
      </c>
      <c r="R113" s="241"/>
      <c r="S113" s="154" t="s">
        <v>66</v>
      </c>
      <c r="T113" s="154" t="s">
        <v>66</v>
      </c>
      <c r="U113" s="154" t="s">
        <v>60</v>
      </c>
      <c r="V113" s="154" t="s">
        <v>60</v>
      </c>
      <c r="W113" s="154" t="s">
        <v>60</v>
      </c>
      <c r="X113" s="154" t="s">
        <v>60</v>
      </c>
      <c r="Y113" s="154" t="s">
        <v>66</v>
      </c>
      <c r="Z113" s="154" t="s">
        <v>60</v>
      </c>
      <c r="AA113" s="154" t="s">
        <v>60</v>
      </c>
      <c r="AB113" s="154"/>
      <c r="AC113" s="242" t="b">
        <f t="shared" si="2"/>
        <v>1</v>
      </c>
      <c r="AD113" s="154" t="s">
        <v>391</v>
      </c>
      <c r="AE113" s="243" t="b">
        <f t="shared" si="3"/>
        <v>0</v>
      </c>
      <c r="AF113" s="154"/>
      <c r="AG113" s="243" t="b">
        <f t="shared" si="4"/>
        <v>0</v>
      </c>
      <c r="AH113" s="154"/>
      <c r="AI113" s="243" t="str">
        <f t="shared" si="5"/>
        <v>N/A</v>
      </c>
      <c r="AJ113" s="157" t="str">
        <f t="shared" si="6"/>
        <v/>
      </c>
    </row>
    <row r="114" ht="12.75" customHeight="1">
      <c r="A114" s="244" t="s">
        <v>621</v>
      </c>
      <c r="B114" s="244" t="s">
        <v>624</v>
      </c>
      <c r="C114" s="244" t="s">
        <v>715</v>
      </c>
      <c r="D114" s="154" t="s">
        <v>462</v>
      </c>
      <c r="E114" s="250"/>
      <c r="F114" s="154" t="str">
        <f t="array" ref="F114">XLOOKUP(Cover!$D$12,$S$1:$AA$1,$S114:$AA114)</f>
        <v>Information</v>
      </c>
      <c r="G114" s="153" t="s">
        <v>716</v>
      </c>
      <c r="H114" s="154"/>
      <c r="I114" s="154" t="s">
        <v>389</v>
      </c>
      <c r="J114" s="247" t="s">
        <v>516</v>
      </c>
      <c r="K114" s="247" t="s">
        <v>717</v>
      </c>
      <c r="L114" s="154" t="str">
        <f t="shared" si="1"/>
        <v/>
      </c>
      <c r="M114" s="248" t="str">
        <f>IFERROR(__xludf.DUMMYFUNCTION("VLOOKUP(C114,IMPORTRANGE(""https://docs.google.com/spreadsheets/d/1P8eX0NWBhUPS_hvzA11R6jkTNFrPrRYIx_dX_hYbxrk/edit?resourcekey=0-iw9bsKY2OqkUHCFMkCar3A&amp;gid=2055363397#gid=2055363397"",""MTR!C:O""),11,false)"),"PMW-L1")</f>
        <v>PMW-L1</v>
      </c>
      <c r="N114" s="248" t="str">
        <f>IFERROR(__xludf.DUMMYFUNCTION("VLOOKUP(C114,IMPORTRANGE(""https://docs.google.com/spreadsheets/d/1ihFlp3_ePlYtFuPbUNbYj1muErVpI73WHXbEwJDIA7Q/edit#gid=1493122344"",""MTR!C:O""),8,false)"),"Does Not Comply")</f>
        <v>Does Not Comply</v>
      </c>
      <c r="O114" s="248" t="str">
        <f>IFERROR(__xludf.DUMMYFUNCTION("VLOOKUP(C114,IMPORTRANGE(""https://docs.google.com/spreadsheets/d/1P8eX0NWBhUPS_hvzA11R6jkTNFrPrRYIx_dX_hYbxrk/edit?resourcekey=0-iw9bsKY2OqkUHCFMkCar3A&amp;gid=2055363397#gid=2055363397"",""MTR!C:O""),9,false)"),"Hardware design limitation")</f>
        <v>Hardware design limitation</v>
      </c>
      <c r="P114" s="248"/>
      <c r="Q114" s="249" t="s">
        <v>516</v>
      </c>
      <c r="R114" s="249" t="s">
        <v>717</v>
      </c>
      <c r="S114" s="154" t="s">
        <v>66</v>
      </c>
      <c r="T114" s="154" t="s">
        <v>66</v>
      </c>
      <c r="U114" s="154" t="s">
        <v>66</v>
      </c>
      <c r="V114" s="154" t="s">
        <v>66</v>
      </c>
      <c r="W114" s="154" t="s">
        <v>66</v>
      </c>
      <c r="X114" s="154" t="s">
        <v>66</v>
      </c>
      <c r="Y114" s="154" t="s">
        <v>66</v>
      </c>
      <c r="Z114" s="154" t="s">
        <v>66</v>
      </c>
      <c r="AA114" s="154" t="s">
        <v>66</v>
      </c>
      <c r="AB114" s="154"/>
      <c r="AC114" s="242" t="b">
        <f t="shared" si="2"/>
        <v>1</v>
      </c>
      <c r="AD114" s="154" t="s">
        <v>391</v>
      </c>
      <c r="AE114" s="243" t="b">
        <f t="shared" si="3"/>
        <v>0</v>
      </c>
      <c r="AF114" s="154"/>
      <c r="AG114" s="243" t="b">
        <f t="shared" si="4"/>
        <v>0</v>
      </c>
      <c r="AH114" s="154"/>
      <c r="AI114" s="243" t="str">
        <f t="shared" si="5"/>
        <v>N/A</v>
      </c>
      <c r="AJ114" s="157" t="str">
        <f t="shared" si="6"/>
        <v/>
      </c>
    </row>
    <row r="115" ht="12.75" customHeight="1">
      <c r="A115" s="244" t="s">
        <v>621</v>
      </c>
      <c r="B115" s="244" t="s">
        <v>624</v>
      </c>
      <c r="C115" s="244" t="s">
        <v>718</v>
      </c>
      <c r="D115" s="244" t="s">
        <v>492</v>
      </c>
      <c r="E115" s="244"/>
      <c r="F115" s="154" t="str">
        <f t="array" ref="F115">XLOOKUP(Cover!$D$12,$S$1:$AA$1,$S115:$AA115)</f>
        <v>Mandatory</v>
      </c>
      <c r="G115" s="153" t="s">
        <v>719</v>
      </c>
      <c r="H115" s="154" t="s">
        <v>679</v>
      </c>
      <c r="I115" s="154" t="s">
        <v>389</v>
      </c>
      <c r="J115" s="247" t="s">
        <v>506</v>
      </c>
      <c r="K115" s="247" t="s">
        <v>720</v>
      </c>
      <c r="L115" s="154" t="str">
        <f t="shared" si="1"/>
        <v/>
      </c>
      <c r="M115" s="248" t="str">
        <f>IFERROR(__xludf.DUMMYFUNCTION("VLOOKUP(C115,IMPORTRANGE(""https://docs.google.com/spreadsheets/d/1P8eX0NWBhUPS_hvzA11R6jkTNFrPrRYIx_dX_hYbxrk/edit?resourcekey=0-iw9bsKY2OqkUHCFMkCar3A&amp;gid=2055363397#gid=2055363397"",""MTR!C:O""),11,false)"),"PMW-L1")</f>
        <v>PMW-L1</v>
      </c>
      <c r="N115" s="248" t="str">
        <f>IFERROR(__xludf.DUMMYFUNCTION("VLOOKUP(C115,IMPORTRANGE(""https://docs.google.com/spreadsheets/d/1ihFlp3_ePlYtFuPbUNbYj1muErVpI73WHXbEwJDIA7Q/edit#gid=1493122344"",""MTR!C:O""),8,false)"),"Complies")</f>
        <v>Complies</v>
      </c>
      <c r="O115" s="248" t="str">
        <f>IFERROR(__xludf.DUMMYFUNCTION("VLOOKUP(C115,IMPORTRANGE(""https://docs.google.com/spreadsheets/d/1P8eX0NWBhUPS_hvzA11R6jkTNFrPrRYIx_dX_hYbxrk/edit?resourcekey=0-iw9bsKY2OqkUHCFMkCar3A&amp;gid=2055363397#gid=2055363397"",""MTR!C:O""),9,false)"),"Disabled for EMEA countries by default and will be enabled for countries that have LTE Band 66 deployment in live network")</f>
        <v>Disabled for EMEA countries by default and will be enabled for countries that have LTE Band 66 deployment in live network</v>
      </c>
      <c r="P115" s="248"/>
      <c r="Q115" s="249" t="s">
        <v>445</v>
      </c>
      <c r="R115" s="249" t="s">
        <v>720</v>
      </c>
      <c r="S115" s="154" t="s">
        <v>64</v>
      </c>
      <c r="T115" s="154" t="s">
        <v>64</v>
      </c>
      <c r="U115" s="154" t="s">
        <v>64</v>
      </c>
      <c r="V115" s="154" t="s">
        <v>64</v>
      </c>
      <c r="W115" s="154" t="s">
        <v>60</v>
      </c>
      <c r="X115" s="154" t="s">
        <v>60</v>
      </c>
      <c r="Y115" s="154" t="s">
        <v>64</v>
      </c>
      <c r="Z115" s="154" t="s">
        <v>64</v>
      </c>
      <c r="AA115" s="154" t="s">
        <v>60</v>
      </c>
      <c r="AB115" s="154"/>
      <c r="AC115" s="242" t="b">
        <f t="shared" si="2"/>
        <v>1</v>
      </c>
      <c r="AD115" s="154" t="s">
        <v>391</v>
      </c>
      <c r="AE115" s="243" t="b">
        <f t="shared" si="3"/>
        <v>0</v>
      </c>
      <c r="AF115" s="154"/>
      <c r="AG115" s="243" t="b">
        <f t="shared" si="4"/>
        <v>0</v>
      </c>
      <c r="AH115" s="154"/>
      <c r="AI115" s="243" t="str">
        <f t="shared" si="5"/>
        <v>N/A</v>
      </c>
      <c r="AJ115" s="157" t="str">
        <f t="shared" si="6"/>
        <v/>
      </c>
    </row>
    <row r="116" ht="12.75" customHeight="1">
      <c r="A116" s="244" t="s">
        <v>621</v>
      </c>
      <c r="B116" s="244" t="s">
        <v>624</v>
      </c>
      <c r="C116" s="244" t="s">
        <v>721</v>
      </c>
      <c r="D116" s="154" t="s">
        <v>542</v>
      </c>
      <c r="E116" s="250"/>
      <c r="F116" s="154" t="str">
        <f t="array" ref="F116">XLOOKUP(Cover!$D$12,$S$1:$AA$1,$S116:$AA116)</f>
        <v>Recommended</v>
      </c>
      <c r="G116" s="153" t="s">
        <v>722</v>
      </c>
      <c r="H116" s="154"/>
      <c r="I116" s="154" t="s">
        <v>389</v>
      </c>
      <c r="J116" s="247" t="s">
        <v>506</v>
      </c>
      <c r="K116" s="247" t="s">
        <v>723</v>
      </c>
      <c r="L116" s="154" t="str">
        <f t="shared" si="1"/>
        <v/>
      </c>
      <c r="M116" s="248" t="str">
        <f>IFERROR(__xludf.DUMMYFUNCTION("VLOOKUP(C116,IMPORTRANGE(""https://docs.google.com/spreadsheets/d/1P8eX0NWBhUPS_hvzA11R6jkTNFrPrRYIx_dX_hYbxrk/edit?resourcekey=0-iw9bsKY2OqkUHCFMkCar3A&amp;gid=2055363397#gid=2055363397"",""MTR!C:O""),11,false)"),"PMW-L1")</f>
        <v>PMW-L1</v>
      </c>
      <c r="N116" s="248" t="str">
        <f>IFERROR(__xludf.DUMMYFUNCTION("VLOOKUP(C116,IMPORTRANGE(""https://docs.google.com/spreadsheets/d/1ihFlp3_ePlYtFuPbUNbYj1muErVpI73WHXbEwJDIA7Q/edit#gid=1493122344"",""MTR!C:O""),8,false)"),"Complies")</f>
        <v>Complies</v>
      </c>
      <c r="O116" s="248" t="str">
        <f>IFERROR(__xludf.DUMMYFUNCTION("VLOOKUP(C116,IMPORTRANGE(""https://docs.google.com/spreadsheets/d/1P8eX0NWBhUPS_hvzA11R6jkTNFrPrRYIx_dX_hYbxrk/edit?resourcekey=0-iw9bsKY2OqkUHCFMkCar3A&amp;gid=2055363397#gid=2055363397"",""MTR!C:O""),9,false)"),"Disabled for EMEA countries by default and will be enabled for countries that have LTE Band 71 deployment in live network")</f>
        <v>Disabled for EMEA countries by default and will be enabled for countries that have LTE Band 71 deployment in live network</v>
      </c>
      <c r="P116" s="248"/>
      <c r="Q116" s="249" t="s">
        <v>445</v>
      </c>
      <c r="R116" s="249" t="s">
        <v>723</v>
      </c>
      <c r="S116" s="154" t="s">
        <v>64</v>
      </c>
      <c r="T116" s="154" t="s">
        <v>64</v>
      </c>
      <c r="U116" s="154" t="s">
        <v>64</v>
      </c>
      <c r="V116" s="154" t="s">
        <v>64</v>
      </c>
      <c r="W116" s="154" t="s">
        <v>64</v>
      </c>
      <c r="X116" s="154" t="s">
        <v>64</v>
      </c>
      <c r="Y116" s="154" t="s">
        <v>64</v>
      </c>
      <c r="Z116" s="154" t="s">
        <v>64</v>
      </c>
      <c r="AA116" s="154" t="s">
        <v>64</v>
      </c>
      <c r="AB116" s="154"/>
      <c r="AC116" s="242" t="b">
        <f t="shared" si="2"/>
        <v>1</v>
      </c>
      <c r="AD116" s="154" t="s">
        <v>391</v>
      </c>
      <c r="AE116" s="243" t="b">
        <f t="shared" si="3"/>
        <v>0</v>
      </c>
      <c r="AF116" s="154"/>
      <c r="AG116" s="243" t="b">
        <f t="shared" si="4"/>
        <v>0</v>
      </c>
      <c r="AH116" s="154"/>
      <c r="AI116" s="243" t="str">
        <f t="shared" si="5"/>
        <v>N/A</v>
      </c>
      <c r="AJ116" s="157" t="str">
        <f t="shared" si="6"/>
        <v/>
      </c>
    </row>
    <row r="117" ht="12.75" customHeight="1">
      <c r="A117" s="238" t="s">
        <v>621</v>
      </c>
      <c r="B117" s="238" t="s">
        <v>624</v>
      </c>
      <c r="C117" s="238" t="s">
        <v>724</v>
      </c>
      <c r="D117" s="240"/>
      <c r="E117" s="252" t="s">
        <v>92</v>
      </c>
      <c r="F117" s="154" t="str">
        <f t="array" ref="F117">XLOOKUP(Cover!$D$12,$S$1:$AA$1,$S117:$AA117)</f>
        <v>Heading</v>
      </c>
      <c r="G117" s="239" t="s">
        <v>725</v>
      </c>
      <c r="H117" s="240"/>
      <c r="I117" s="240" t="s">
        <v>389</v>
      </c>
      <c r="J117" s="240"/>
      <c r="K117" s="240"/>
      <c r="L117" s="154" t="str">
        <f t="shared" si="1"/>
        <v/>
      </c>
      <c r="M117" s="241" t="str">
        <f>IFERROR(__xludf.DUMMYFUNCTION("VLOOKUP(C117,IMPORTRANGE(""https://docs.google.com/spreadsheets/d/1P8eX0NWBhUPS_hvzA11R6jkTNFrPrRYIx_dX_hYbxrk/edit?resourcekey=0-iw9bsKY2OqkUHCFMkCar3A&amp;gid=2055363397#gid=2055363397"",""MTR!C:O""),11,false)"),"")</f>
        <v/>
      </c>
      <c r="N117" s="241" t="str">
        <f>IFERROR(__xludf.DUMMYFUNCTION("VLOOKUP(C117,IMPORTRANGE(""https://docs.google.com/spreadsheets/d/1ihFlp3_ePlYtFuPbUNbYj1muErVpI73WHXbEwJDIA7Q/edit#gid=1493122344"",""MTR!C:O""),8,false)"),"")</f>
        <v/>
      </c>
      <c r="O117" s="241" t="str">
        <f>IFERROR(__xludf.DUMMYFUNCTION("VLOOKUP(C117,IMPORTRANGE(""https://docs.google.com/spreadsheets/d/1P8eX0NWBhUPS_hvzA11R6jkTNFrPrRYIx_dX_hYbxrk/edit?resourcekey=0-iw9bsKY2OqkUHCFMkCar3A&amp;gid=2055363397#gid=2055363397"",""MTR!C:O""),9,false)"),"")</f>
        <v/>
      </c>
      <c r="P117" s="241"/>
      <c r="Q117" s="241"/>
      <c r="R117" s="241"/>
      <c r="S117" s="240" t="s">
        <v>390</v>
      </c>
      <c r="T117" s="240" t="s">
        <v>390</v>
      </c>
      <c r="U117" s="240" t="s">
        <v>390</v>
      </c>
      <c r="V117" s="240" t="s">
        <v>390</v>
      </c>
      <c r="W117" s="240" t="s">
        <v>390</v>
      </c>
      <c r="X117" s="240" t="s">
        <v>390</v>
      </c>
      <c r="Y117" s="240" t="s">
        <v>390</v>
      </c>
      <c r="Z117" s="240" t="s">
        <v>390</v>
      </c>
      <c r="AA117" s="240" t="s">
        <v>390</v>
      </c>
      <c r="AB117" s="240"/>
      <c r="AC117" s="242" t="b">
        <f t="shared" si="2"/>
        <v>0</v>
      </c>
      <c r="AD117" s="240" t="s">
        <v>391</v>
      </c>
      <c r="AE117" s="243" t="b">
        <f t="shared" si="3"/>
        <v>0</v>
      </c>
      <c r="AF117" s="240"/>
      <c r="AG117" s="243" t="b">
        <f t="shared" si="4"/>
        <v>0</v>
      </c>
      <c r="AH117" s="240"/>
      <c r="AI117" s="243" t="str">
        <f t="shared" si="5"/>
        <v>N/A</v>
      </c>
      <c r="AJ117" s="157" t="str">
        <f t="shared" si="6"/>
        <v/>
      </c>
    </row>
    <row r="118" ht="12.75" customHeight="1">
      <c r="A118" s="244" t="s">
        <v>621</v>
      </c>
      <c r="B118" s="244" t="s">
        <v>624</v>
      </c>
      <c r="C118" s="244" t="s">
        <v>726</v>
      </c>
      <c r="D118" s="154" t="s">
        <v>459</v>
      </c>
      <c r="E118" s="250"/>
      <c r="F118" s="154" t="str">
        <f t="array" ref="F118">XLOOKUP(Cover!$D$12,$S$1:$AA$1,$S118:$AA118)</f>
        <v>Information</v>
      </c>
      <c r="G118" s="153" t="s">
        <v>727</v>
      </c>
      <c r="H118" s="154"/>
      <c r="I118" s="154" t="s">
        <v>389</v>
      </c>
      <c r="J118" s="247" t="s">
        <v>516</v>
      </c>
      <c r="K118" s="247" t="s">
        <v>717</v>
      </c>
      <c r="L118" s="154" t="str">
        <f t="shared" si="1"/>
        <v/>
      </c>
      <c r="M118" s="248" t="str">
        <f>IFERROR(__xludf.DUMMYFUNCTION("VLOOKUP(C118,IMPORTRANGE(""https://docs.google.com/spreadsheets/d/1P8eX0NWBhUPS_hvzA11R6jkTNFrPrRYIx_dX_hYbxrk/edit?resourcekey=0-iw9bsKY2OqkUHCFMkCar3A&amp;gid=2055363397#gid=2055363397"",""MTR!C:O""),11,false)"),"PMW-L1")</f>
        <v>PMW-L1</v>
      </c>
      <c r="N118" s="248" t="str">
        <f>IFERROR(__xludf.DUMMYFUNCTION("VLOOKUP(C118,IMPORTRANGE(""https://docs.google.com/spreadsheets/d/1ihFlp3_ePlYtFuPbUNbYj1muErVpI73WHXbEwJDIA7Q/edit#gid=1493122344"",""MTR!C:O""),8,false)"),"Does Not Comply")</f>
        <v>Does Not Comply</v>
      </c>
      <c r="O118" s="248" t="str">
        <f>IFERROR(__xludf.DUMMYFUNCTION("VLOOKUP(C118,IMPORTRANGE(""https://docs.google.com/spreadsheets/d/1P8eX0NWBhUPS_hvzA11R6jkTNFrPrRYIx_dX_hYbxrk/edit?resourcekey=0-iw9bsKY2OqkUHCFMkCar3A&amp;gid=2055363397#gid=2055363397"",""MTR!C:O""),9,false)"),"Hardware design limitation")</f>
        <v>Hardware design limitation</v>
      </c>
      <c r="P118" s="248"/>
      <c r="Q118" s="249" t="s">
        <v>516</v>
      </c>
      <c r="R118" s="249" t="s">
        <v>717</v>
      </c>
      <c r="S118" s="154" t="s">
        <v>66</v>
      </c>
      <c r="T118" s="154" t="s">
        <v>66</v>
      </c>
      <c r="U118" s="154" t="s">
        <v>66</v>
      </c>
      <c r="V118" s="154" t="s">
        <v>66</v>
      </c>
      <c r="W118" s="154" t="s">
        <v>66</v>
      </c>
      <c r="X118" s="154" t="s">
        <v>66</v>
      </c>
      <c r="Y118" s="154" t="s">
        <v>66</v>
      </c>
      <c r="Z118" s="154" t="s">
        <v>66</v>
      </c>
      <c r="AA118" s="154" t="s">
        <v>66</v>
      </c>
      <c r="AB118" s="154"/>
      <c r="AC118" s="242" t="b">
        <f t="shared" si="2"/>
        <v>1</v>
      </c>
      <c r="AD118" s="154" t="s">
        <v>391</v>
      </c>
      <c r="AE118" s="243" t="b">
        <f t="shared" si="3"/>
        <v>0</v>
      </c>
      <c r="AF118" s="154"/>
      <c r="AG118" s="243" t="b">
        <f t="shared" si="4"/>
        <v>0</v>
      </c>
      <c r="AH118" s="154"/>
      <c r="AI118" s="243" t="str">
        <f t="shared" si="5"/>
        <v>N/A</v>
      </c>
      <c r="AJ118" s="157" t="str">
        <f t="shared" si="6"/>
        <v/>
      </c>
    </row>
    <row r="119" ht="12.75" customHeight="1">
      <c r="A119" s="244" t="s">
        <v>621</v>
      </c>
      <c r="B119" s="244" t="s">
        <v>624</v>
      </c>
      <c r="C119" s="244" t="s">
        <v>728</v>
      </c>
      <c r="D119" s="154" t="s">
        <v>459</v>
      </c>
      <c r="E119" s="250"/>
      <c r="F119" s="154" t="str">
        <f t="array" ref="F119">XLOOKUP(Cover!$D$12,$S$1:$AA$1,$S119:$AA119)</f>
        <v>Information</v>
      </c>
      <c r="G119" s="153" t="s">
        <v>729</v>
      </c>
      <c r="H119" s="154"/>
      <c r="I119" s="154" t="s">
        <v>389</v>
      </c>
      <c r="J119" s="247" t="s">
        <v>445</v>
      </c>
      <c r="K119" s="154"/>
      <c r="L119" s="154" t="str">
        <f t="shared" si="1"/>
        <v/>
      </c>
      <c r="M119" s="248" t="str">
        <f>IFERROR(__xludf.DUMMYFUNCTION("VLOOKUP(C119,IMPORTRANGE(""https://docs.google.com/spreadsheets/d/1P8eX0NWBhUPS_hvzA11R6jkTNFrPrRYIx_dX_hYbxrk/edit?resourcekey=0-iw9bsKY2OqkUHCFMkCar3A&amp;gid=2055363397#gid=2055363397"",""MTR!C:O""),11,false)"),"PMW-L1")</f>
        <v>PMW-L1</v>
      </c>
      <c r="N119" s="248" t="str">
        <f>IFERROR(__xludf.DUMMYFUNCTION("VLOOKUP(C119,IMPORTRANGE(""https://docs.google.com/spreadsheets/d/1ihFlp3_ePlYtFuPbUNbYj1muErVpI73WHXbEwJDIA7Q/edit#gid=1493122344"",""MTR!C:O""),8,false)"),"Complies")</f>
        <v>Complies</v>
      </c>
      <c r="O119" s="241" t="str">
        <f>IFERROR(__xludf.DUMMYFUNCTION("VLOOKUP(C119,IMPORTRANGE(""https://docs.google.com/spreadsheets/d/1P8eX0NWBhUPS_hvzA11R6jkTNFrPrRYIx_dX_hYbxrk/edit?resourcekey=0-iw9bsKY2OqkUHCFMkCar3A&amp;gid=2055363397#gid=2055363397"",""MTR!C:O""),9,false)"),"")</f>
        <v/>
      </c>
      <c r="P119" s="241"/>
      <c r="Q119" s="251" t="s">
        <v>445</v>
      </c>
      <c r="R119" s="241"/>
      <c r="S119" s="154" t="s">
        <v>66</v>
      </c>
      <c r="T119" s="154" t="s">
        <v>66</v>
      </c>
      <c r="U119" s="154" t="s">
        <v>66</v>
      </c>
      <c r="V119" s="154" t="s">
        <v>66</v>
      </c>
      <c r="W119" s="154" t="s">
        <v>66</v>
      </c>
      <c r="X119" s="154" t="s">
        <v>66</v>
      </c>
      <c r="Y119" s="154" t="s">
        <v>66</v>
      </c>
      <c r="Z119" s="154" t="s">
        <v>66</v>
      </c>
      <c r="AA119" s="154" t="s">
        <v>66</v>
      </c>
      <c r="AB119" s="154"/>
      <c r="AC119" s="242" t="b">
        <f t="shared" si="2"/>
        <v>1</v>
      </c>
      <c r="AD119" s="154" t="s">
        <v>391</v>
      </c>
      <c r="AE119" s="243" t="b">
        <f t="shared" si="3"/>
        <v>0</v>
      </c>
      <c r="AF119" s="154"/>
      <c r="AG119" s="243" t="b">
        <f t="shared" si="4"/>
        <v>0</v>
      </c>
      <c r="AH119" s="154"/>
      <c r="AI119" s="243" t="str">
        <f t="shared" si="5"/>
        <v>N/A</v>
      </c>
      <c r="AJ119" s="157" t="str">
        <f t="shared" si="6"/>
        <v/>
      </c>
    </row>
    <row r="120" ht="12.75" customHeight="1">
      <c r="A120" s="244" t="s">
        <v>621</v>
      </c>
      <c r="B120" s="244" t="s">
        <v>624</v>
      </c>
      <c r="C120" s="244" t="s">
        <v>730</v>
      </c>
      <c r="D120" s="154" t="s">
        <v>411</v>
      </c>
      <c r="E120" s="250"/>
      <c r="F120" s="154" t="str">
        <f t="array" ref="F120">XLOOKUP(Cover!$D$12,$S$1:$AA$1,$S120:$AA120)</f>
        <v>Information</v>
      </c>
      <c r="G120" s="153" t="s">
        <v>731</v>
      </c>
      <c r="H120" s="154"/>
      <c r="I120" s="154" t="s">
        <v>389</v>
      </c>
      <c r="J120" s="247" t="s">
        <v>516</v>
      </c>
      <c r="K120" s="247" t="s">
        <v>732</v>
      </c>
      <c r="L120" s="154" t="str">
        <f t="shared" si="1"/>
        <v/>
      </c>
      <c r="M120" s="248" t="str">
        <f>IFERROR(__xludf.DUMMYFUNCTION("VLOOKUP(C120,IMPORTRANGE(""https://docs.google.com/spreadsheets/d/1P8eX0NWBhUPS_hvzA11R6jkTNFrPrRYIx_dX_hYbxrk/edit?resourcekey=0-iw9bsKY2OqkUHCFMkCar3A&amp;gid=2055363397#gid=2055363397"",""MTR!C:O""),11,false)"),"PMW-L1")</f>
        <v>PMW-L1</v>
      </c>
      <c r="N120" s="248" t="str">
        <f>IFERROR(__xludf.DUMMYFUNCTION("VLOOKUP(C120,IMPORTRANGE(""https://docs.google.com/spreadsheets/d/1ihFlp3_ePlYtFuPbUNbYj1muErVpI73WHXbEwJDIA7Q/edit#gid=1493122344"",""MTR!C:O""),8,false)"),"Does Not Comply")</f>
        <v>Does Not Comply</v>
      </c>
      <c r="O120" s="248" t="str">
        <f>IFERROR(__xludf.DUMMYFUNCTION("VLOOKUP(C120,IMPORTRANGE(""https://docs.google.com/spreadsheets/d/1P8eX0NWBhUPS_hvzA11R6jkTNFrPrRYIx_dX_hYbxrk/edit?resourcekey=0-iw9bsKY2OqkUHCFMkCar3A&amp;gid=2055363397#gid=2055363397"",""MTR!C:O""),9,false)"),"Band 39 not supported in SKU")</f>
        <v>Band 39 not supported in SKU</v>
      </c>
      <c r="P120" s="248"/>
      <c r="Q120" s="249" t="s">
        <v>516</v>
      </c>
      <c r="R120" s="249" t="s">
        <v>732</v>
      </c>
      <c r="S120" s="154" t="s">
        <v>66</v>
      </c>
      <c r="T120" s="154" t="s">
        <v>66</v>
      </c>
      <c r="U120" s="154" t="s">
        <v>66</v>
      </c>
      <c r="V120" s="154" t="s">
        <v>66</v>
      </c>
      <c r="W120" s="154" t="s">
        <v>66</v>
      </c>
      <c r="X120" s="154" t="s">
        <v>66</v>
      </c>
      <c r="Y120" s="154" t="s">
        <v>66</v>
      </c>
      <c r="Z120" s="154" t="s">
        <v>66</v>
      </c>
      <c r="AA120" s="154" t="s">
        <v>66</v>
      </c>
      <c r="AB120" s="154"/>
      <c r="AC120" s="242" t="b">
        <f t="shared" si="2"/>
        <v>1</v>
      </c>
      <c r="AD120" s="154" t="s">
        <v>391</v>
      </c>
      <c r="AE120" s="243" t="b">
        <f t="shared" si="3"/>
        <v>0</v>
      </c>
      <c r="AF120" s="154"/>
      <c r="AG120" s="243" t="b">
        <f t="shared" si="4"/>
        <v>0</v>
      </c>
      <c r="AH120" s="154"/>
      <c r="AI120" s="243" t="str">
        <f t="shared" si="5"/>
        <v>N/A</v>
      </c>
      <c r="AJ120" s="157" t="str">
        <f t="shared" si="6"/>
        <v/>
      </c>
    </row>
    <row r="121" ht="12.75" customHeight="1">
      <c r="A121" s="244" t="s">
        <v>621</v>
      </c>
      <c r="B121" s="244" t="s">
        <v>624</v>
      </c>
      <c r="C121" s="244" t="s">
        <v>733</v>
      </c>
      <c r="D121" s="154" t="s">
        <v>459</v>
      </c>
      <c r="E121" s="250"/>
      <c r="F121" s="154" t="str">
        <f t="array" ref="F121">XLOOKUP(Cover!$D$12,$S$1:$AA$1,$S121:$AA121)</f>
        <v>Mandatory</v>
      </c>
      <c r="G121" s="153" t="s">
        <v>734</v>
      </c>
      <c r="H121" s="154" t="s">
        <v>679</v>
      </c>
      <c r="I121" s="154" t="s">
        <v>389</v>
      </c>
      <c r="J121" s="247" t="s">
        <v>445</v>
      </c>
      <c r="K121" s="154"/>
      <c r="L121" s="154" t="str">
        <f t="shared" si="1"/>
        <v/>
      </c>
      <c r="M121" s="248" t="str">
        <f>IFERROR(__xludf.DUMMYFUNCTION("VLOOKUP(C121,IMPORTRANGE(""https://docs.google.com/spreadsheets/d/1P8eX0NWBhUPS_hvzA11R6jkTNFrPrRYIx_dX_hYbxrk/edit?resourcekey=0-iw9bsKY2OqkUHCFMkCar3A&amp;gid=2055363397#gid=2055363397"",""MTR!C:O""),11,false)"),"PMW-L1")</f>
        <v>PMW-L1</v>
      </c>
      <c r="N121" s="248" t="str">
        <f>IFERROR(__xludf.DUMMYFUNCTION("VLOOKUP(C121,IMPORTRANGE(""https://docs.google.com/spreadsheets/d/1ihFlp3_ePlYtFuPbUNbYj1muErVpI73WHXbEwJDIA7Q/edit#gid=1493122344"",""MTR!C:O""),8,false)"),"Complies")</f>
        <v>Complies</v>
      </c>
      <c r="O121" s="241" t="str">
        <f>IFERROR(__xludf.DUMMYFUNCTION("VLOOKUP(C121,IMPORTRANGE(""https://docs.google.com/spreadsheets/d/1P8eX0NWBhUPS_hvzA11R6jkTNFrPrRYIx_dX_hYbxrk/edit?resourcekey=0-iw9bsKY2OqkUHCFMkCar3A&amp;gid=2055363397#gid=2055363397"",""MTR!C:O""),9,false)"),"")</f>
        <v/>
      </c>
      <c r="P121" s="241"/>
      <c r="Q121" s="251" t="s">
        <v>445</v>
      </c>
      <c r="R121" s="241"/>
      <c r="S121" s="154" t="s">
        <v>64</v>
      </c>
      <c r="T121" s="154" t="s">
        <v>64</v>
      </c>
      <c r="U121" s="154" t="s">
        <v>64</v>
      </c>
      <c r="V121" s="154" t="s">
        <v>64</v>
      </c>
      <c r="W121" s="154" t="s">
        <v>60</v>
      </c>
      <c r="X121" s="154" t="s">
        <v>60</v>
      </c>
      <c r="Y121" s="154" t="s">
        <v>64</v>
      </c>
      <c r="Z121" s="154" t="s">
        <v>64</v>
      </c>
      <c r="AA121" s="154" t="s">
        <v>60</v>
      </c>
      <c r="AB121" s="154"/>
      <c r="AC121" s="242" t="b">
        <f t="shared" si="2"/>
        <v>1</v>
      </c>
      <c r="AD121" s="154" t="s">
        <v>391</v>
      </c>
      <c r="AE121" s="243" t="b">
        <f t="shared" si="3"/>
        <v>0</v>
      </c>
      <c r="AF121" s="154"/>
      <c r="AG121" s="243" t="b">
        <f t="shared" si="4"/>
        <v>0</v>
      </c>
      <c r="AH121" s="154"/>
      <c r="AI121" s="243" t="str">
        <f t="shared" si="5"/>
        <v>N/A</v>
      </c>
      <c r="AJ121" s="157" t="str">
        <f t="shared" si="6"/>
        <v/>
      </c>
    </row>
    <row r="122" ht="12.75" customHeight="1">
      <c r="A122" s="244" t="s">
        <v>621</v>
      </c>
      <c r="B122" s="244" t="s">
        <v>624</v>
      </c>
      <c r="C122" s="244" t="s">
        <v>735</v>
      </c>
      <c r="D122" s="154" t="s">
        <v>649</v>
      </c>
      <c r="E122" s="250"/>
      <c r="F122" s="154" t="str">
        <f t="array" ref="F122">XLOOKUP(Cover!$D$12,$S$1:$AA$1,$S122:$AA122)</f>
        <v>Mandatory</v>
      </c>
      <c r="G122" s="153" t="s">
        <v>736</v>
      </c>
      <c r="H122" s="154" t="s">
        <v>679</v>
      </c>
      <c r="I122" s="154" t="s">
        <v>389</v>
      </c>
      <c r="J122" s="247" t="s">
        <v>506</v>
      </c>
      <c r="K122" s="247" t="s">
        <v>737</v>
      </c>
      <c r="L122" s="154" t="str">
        <f t="shared" si="1"/>
        <v/>
      </c>
      <c r="M122" s="248" t="str">
        <f>IFERROR(__xludf.DUMMYFUNCTION("VLOOKUP(C122,IMPORTRANGE(""https://docs.google.com/spreadsheets/d/1P8eX0NWBhUPS_hvzA11R6jkTNFrPrRYIx_dX_hYbxrk/edit?resourcekey=0-iw9bsKY2OqkUHCFMkCar3A&amp;gid=2055363397#gid=2055363397"",""MTR!C:O""),11,false)"),"PMW-L1")</f>
        <v>PMW-L1</v>
      </c>
      <c r="N122" s="248" t="str">
        <f>IFERROR(__xludf.DUMMYFUNCTION("VLOOKUP(C122,IMPORTRANGE(""https://docs.google.com/spreadsheets/d/1ihFlp3_ePlYtFuPbUNbYj1muErVpI73WHXbEwJDIA7Q/edit#gid=1493122344"",""MTR!C:O""),8,false)"),"Complies")</f>
        <v>Complies</v>
      </c>
      <c r="O122" s="248" t="str">
        <f>IFERROR(__xludf.DUMMYFUNCTION("VLOOKUP(C122,IMPORTRANGE(""https://docs.google.com/spreadsheets/d/1P8eX0NWBhUPS_hvzA11R6jkTNFrPrRYIx_dX_hYbxrk/edit?resourcekey=0-iw9bsKY2OqkUHCFMkCar3A&amp;gid=2055363397#gid=2055363397"",""MTR!C:O""),9,false)"),"Disabled for EMEA countries by default and will be enabled for countries that have LTE Band 41 deployment in live network")</f>
        <v>Disabled for EMEA countries by default and will be enabled for countries that have LTE Band 41 deployment in live network</v>
      </c>
      <c r="P122" s="248"/>
      <c r="Q122" s="249" t="s">
        <v>445</v>
      </c>
      <c r="R122" s="249" t="s">
        <v>737</v>
      </c>
      <c r="S122" s="154" t="s">
        <v>64</v>
      </c>
      <c r="T122" s="154" t="s">
        <v>64</v>
      </c>
      <c r="U122" s="154" t="s">
        <v>64</v>
      </c>
      <c r="V122" s="154" t="s">
        <v>64</v>
      </c>
      <c r="W122" s="154" t="s">
        <v>60</v>
      </c>
      <c r="X122" s="154" t="s">
        <v>60</v>
      </c>
      <c r="Y122" s="154" t="s">
        <v>64</v>
      </c>
      <c r="Z122" s="154" t="s">
        <v>64</v>
      </c>
      <c r="AA122" s="154" t="s">
        <v>60</v>
      </c>
      <c r="AB122" s="154"/>
      <c r="AC122" s="242" t="b">
        <f t="shared" si="2"/>
        <v>1</v>
      </c>
      <c r="AD122" s="154" t="s">
        <v>391</v>
      </c>
      <c r="AE122" s="243" t="b">
        <f t="shared" si="3"/>
        <v>0</v>
      </c>
      <c r="AF122" s="154"/>
      <c r="AG122" s="243" t="b">
        <f t="shared" si="4"/>
        <v>0</v>
      </c>
      <c r="AH122" s="154"/>
      <c r="AI122" s="243" t="str">
        <f t="shared" si="5"/>
        <v>N/A</v>
      </c>
      <c r="AJ122" s="157" t="str">
        <f t="shared" si="6"/>
        <v/>
      </c>
    </row>
    <row r="123" ht="12.75" customHeight="1">
      <c r="A123" s="244" t="s">
        <v>621</v>
      </c>
      <c r="B123" s="244" t="s">
        <v>624</v>
      </c>
      <c r="C123" s="244" t="s">
        <v>738</v>
      </c>
      <c r="D123" s="154" t="s">
        <v>739</v>
      </c>
      <c r="E123" s="250"/>
      <c r="F123" s="154" t="str">
        <f t="array" ref="F123">XLOOKUP(Cover!$D$12,$S$1:$AA$1,$S123:$AA123)</f>
        <v>Information</v>
      </c>
      <c r="G123" s="153" t="s">
        <v>740</v>
      </c>
      <c r="H123" s="154"/>
      <c r="I123" s="154" t="s">
        <v>389</v>
      </c>
      <c r="J123" s="247" t="s">
        <v>506</v>
      </c>
      <c r="K123" s="247" t="s">
        <v>741</v>
      </c>
      <c r="L123" s="154" t="str">
        <f t="shared" si="1"/>
        <v/>
      </c>
      <c r="M123" s="248" t="str">
        <f>IFERROR(__xludf.DUMMYFUNCTION("VLOOKUP(C123,IMPORTRANGE(""https://docs.google.com/spreadsheets/d/1P8eX0NWBhUPS_hvzA11R6jkTNFrPrRYIx_dX_hYbxrk/edit?resourcekey=0-iw9bsKY2OqkUHCFMkCar3A&amp;gid=2055363397#gid=2055363397"",""MTR!C:O""),11,false)"),"PMW-L1")</f>
        <v>PMW-L1</v>
      </c>
      <c r="N123" s="248" t="str">
        <f>IFERROR(__xludf.DUMMYFUNCTION("VLOOKUP(C123,IMPORTRANGE(""https://docs.google.com/spreadsheets/d/1ihFlp3_ePlYtFuPbUNbYj1muErVpI73WHXbEwJDIA7Q/edit#gid=1493122344"",""MTR!C:O""),8,false)"),"Complies")</f>
        <v>Complies</v>
      </c>
      <c r="O123" s="248" t="str">
        <f>IFERROR(__xludf.DUMMYFUNCTION("VLOOKUP(C123,IMPORTRANGE(""https://docs.google.com/spreadsheets/d/1P8eX0NWBhUPS_hvzA11R6jkTNFrPrRYIx_dX_hYbxrk/edit?resourcekey=0-iw9bsKY2OqkUHCFMkCar3A&amp;gid=2055363397#gid=2055363397"",""MTR!C:O""),9,false)"),"Disabled for EMEA countries by default and will be enabled for countries that have LTE Band 42 deployment in live network")</f>
        <v>Disabled for EMEA countries by default and will be enabled for countries that have LTE Band 42 deployment in live network</v>
      </c>
      <c r="P123" s="248"/>
      <c r="Q123" s="249" t="s">
        <v>445</v>
      </c>
      <c r="R123" s="249" t="s">
        <v>741</v>
      </c>
      <c r="S123" s="154" t="s">
        <v>66</v>
      </c>
      <c r="T123" s="154" t="s">
        <v>66</v>
      </c>
      <c r="U123" s="154" t="s">
        <v>66</v>
      </c>
      <c r="V123" s="154" t="s">
        <v>66</v>
      </c>
      <c r="W123" s="154" t="s">
        <v>66</v>
      </c>
      <c r="X123" s="154" t="s">
        <v>66</v>
      </c>
      <c r="Y123" s="154" t="s">
        <v>66</v>
      </c>
      <c r="Z123" s="154" t="s">
        <v>66</v>
      </c>
      <c r="AA123" s="154" t="s">
        <v>66</v>
      </c>
      <c r="AB123" s="154"/>
      <c r="AC123" s="242" t="b">
        <f t="shared" si="2"/>
        <v>1</v>
      </c>
      <c r="AD123" s="154" t="s">
        <v>391</v>
      </c>
      <c r="AE123" s="243" t="b">
        <f t="shared" si="3"/>
        <v>0</v>
      </c>
      <c r="AF123" s="154"/>
      <c r="AG123" s="243" t="b">
        <f t="shared" si="4"/>
        <v>0</v>
      </c>
      <c r="AH123" s="154"/>
      <c r="AI123" s="243" t="str">
        <f t="shared" si="5"/>
        <v>N/A</v>
      </c>
      <c r="AJ123" s="157" t="str">
        <f t="shared" si="6"/>
        <v/>
      </c>
    </row>
    <row r="124" ht="12.75" customHeight="1">
      <c r="A124" s="244" t="s">
        <v>621</v>
      </c>
      <c r="B124" s="244" t="s">
        <v>624</v>
      </c>
      <c r="C124" s="244" t="s">
        <v>742</v>
      </c>
      <c r="D124" s="154" t="s">
        <v>739</v>
      </c>
      <c r="E124" s="250"/>
      <c r="F124" s="154" t="str">
        <f t="array" ref="F124">XLOOKUP(Cover!$D$12,$S$1:$AA$1,$S124:$AA124)</f>
        <v>Information</v>
      </c>
      <c r="G124" s="153" t="s">
        <v>743</v>
      </c>
      <c r="H124" s="154"/>
      <c r="I124" s="154" t="s">
        <v>389</v>
      </c>
      <c r="J124" s="247" t="s">
        <v>516</v>
      </c>
      <c r="K124" s="247" t="s">
        <v>717</v>
      </c>
      <c r="L124" s="154" t="str">
        <f t="shared" si="1"/>
        <v/>
      </c>
      <c r="M124" s="248" t="str">
        <f>IFERROR(__xludf.DUMMYFUNCTION("VLOOKUP(C124,IMPORTRANGE(""https://docs.google.com/spreadsheets/d/1P8eX0NWBhUPS_hvzA11R6jkTNFrPrRYIx_dX_hYbxrk/edit?resourcekey=0-iw9bsKY2OqkUHCFMkCar3A&amp;gid=2055363397#gid=2055363397"",""MTR!C:O""),11,false)"),"PMW-L1")</f>
        <v>PMW-L1</v>
      </c>
      <c r="N124" s="248" t="str">
        <f>IFERROR(__xludf.DUMMYFUNCTION("VLOOKUP(C124,IMPORTRANGE(""https://docs.google.com/spreadsheets/d/1ihFlp3_ePlYtFuPbUNbYj1muErVpI73WHXbEwJDIA7Q/edit#gid=1493122344"",""MTR!C:O""),8,false)"),"Does Not Comply")</f>
        <v>Does Not Comply</v>
      </c>
      <c r="O124" s="248" t="str">
        <f>IFERROR(__xludf.DUMMYFUNCTION("VLOOKUP(C124,IMPORTRANGE(""https://docs.google.com/spreadsheets/d/1P8eX0NWBhUPS_hvzA11R6jkTNFrPrRYIx_dX_hYbxrk/edit?resourcekey=0-iw9bsKY2OqkUHCFMkCar3A&amp;gid=2055363397#gid=2055363397"",""MTR!C:O""),9,false)"),"Hardware design limitation")</f>
        <v>Hardware design limitation</v>
      </c>
      <c r="P124" s="248"/>
      <c r="Q124" s="249" t="s">
        <v>516</v>
      </c>
      <c r="R124" s="249" t="s">
        <v>717</v>
      </c>
      <c r="S124" s="154" t="s">
        <v>66</v>
      </c>
      <c r="T124" s="154" t="s">
        <v>66</v>
      </c>
      <c r="U124" s="154" t="s">
        <v>66</v>
      </c>
      <c r="V124" s="154" t="s">
        <v>66</v>
      </c>
      <c r="W124" s="154" t="s">
        <v>66</v>
      </c>
      <c r="X124" s="154" t="s">
        <v>66</v>
      </c>
      <c r="Y124" s="154" t="s">
        <v>66</v>
      </c>
      <c r="Z124" s="154" t="s">
        <v>66</v>
      </c>
      <c r="AA124" s="154" t="s">
        <v>66</v>
      </c>
      <c r="AB124" s="154"/>
      <c r="AC124" s="242" t="b">
        <f t="shared" si="2"/>
        <v>1</v>
      </c>
      <c r="AD124" s="154" t="s">
        <v>391</v>
      </c>
      <c r="AE124" s="243" t="b">
        <f t="shared" si="3"/>
        <v>0</v>
      </c>
      <c r="AF124" s="154"/>
      <c r="AG124" s="243" t="b">
        <f t="shared" si="4"/>
        <v>0</v>
      </c>
      <c r="AH124" s="154"/>
      <c r="AI124" s="243" t="str">
        <f t="shared" si="5"/>
        <v>N/A</v>
      </c>
      <c r="AJ124" s="157" t="str">
        <f t="shared" si="6"/>
        <v/>
      </c>
    </row>
    <row r="125" ht="12.75" customHeight="1">
      <c r="A125" s="244" t="s">
        <v>621</v>
      </c>
      <c r="B125" s="244" t="s">
        <v>624</v>
      </c>
      <c r="C125" s="244" t="s">
        <v>744</v>
      </c>
      <c r="D125" s="154" t="s">
        <v>462</v>
      </c>
      <c r="E125" s="250"/>
      <c r="F125" s="154" t="str">
        <f t="array" ref="F125">XLOOKUP(Cover!$D$12,$S$1:$AA$1,$S125:$AA125)</f>
        <v>Information</v>
      </c>
      <c r="G125" s="153" t="s">
        <v>745</v>
      </c>
      <c r="H125" s="154"/>
      <c r="I125" s="154" t="s">
        <v>389</v>
      </c>
      <c r="J125" s="247" t="s">
        <v>516</v>
      </c>
      <c r="K125" s="154"/>
      <c r="L125" s="154" t="str">
        <f t="shared" si="1"/>
        <v/>
      </c>
      <c r="M125" s="248" t="str">
        <f>IFERROR(__xludf.DUMMYFUNCTION("VLOOKUP(C125,IMPORTRANGE(""https://docs.google.com/spreadsheets/d/1P8eX0NWBhUPS_hvzA11R6jkTNFrPrRYIx_dX_hYbxrk/edit?resourcekey=0-iw9bsKY2OqkUHCFMkCar3A&amp;gid=2055363397#gid=2055363397"",""MTR!C:O""),11,false)"),"PMW-L1")</f>
        <v>PMW-L1</v>
      </c>
      <c r="N125" s="248" t="str">
        <f>IFERROR(__xludf.DUMMYFUNCTION("VLOOKUP(C125,IMPORTRANGE(""https://docs.google.com/spreadsheets/d/1ihFlp3_ePlYtFuPbUNbYj1muErVpI73WHXbEwJDIA7Q/edit#gid=1493122344"",""MTR!C:O""),8,false)"),"Does Not Comply")</f>
        <v>Does Not Comply</v>
      </c>
      <c r="O125" s="241" t="str">
        <f>IFERROR(__xludf.DUMMYFUNCTION("VLOOKUP(C125,IMPORTRANGE(""https://docs.google.com/spreadsheets/d/1P8eX0NWBhUPS_hvzA11R6jkTNFrPrRYIx_dX_hYbxrk/edit?resourcekey=0-iw9bsKY2OqkUHCFMkCar3A&amp;gid=2055363397#gid=2055363397"",""MTR!C:O""),9,false)"),"")</f>
        <v/>
      </c>
      <c r="P125" s="241"/>
      <c r="Q125" s="251" t="s">
        <v>516</v>
      </c>
      <c r="R125" s="241"/>
      <c r="S125" s="154" t="s">
        <v>66</v>
      </c>
      <c r="T125" s="154" t="s">
        <v>66</v>
      </c>
      <c r="U125" s="154" t="s">
        <v>66</v>
      </c>
      <c r="V125" s="154" t="s">
        <v>66</v>
      </c>
      <c r="W125" s="154" t="s">
        <v>66</v>
      </c>
      <c r="X125" s="154" t="s">
        <v>66</v>
      </c>
      <c r="Y125" s="154" t="s">
        <v>66</v>
      </c>
      <c r="Z125" s="154" t="s">
        <v>66</v>
      </c>
      <c r="AA125" s="154" t="s">
        <v>66</v>
      </c>
      <c r="AB125" s="154"/>
      <c r="AC125" s="242" t="b">
        <f t="shared" si="2"/>
        <v>1</v>
      </c>
      <c r="AD125" s="154" t="s">
        <v>391</v>
      </c>
      <c r="AE125" s="243" t="b">
        <f t="shared" si="3"/>
        <v>0</v>
      </c>
      <c r="AF125" s="154"/>
      <c r="AG125" s="243" t="b">
        <f t="shared" si="4"/>
        <v>0</v>
      </c>
      <c r="AH125" s="154"/>
      <c r="AI125" s="243" t="str">
        <f t="shared" si="5"/>
        <v>N/A</v>
      </c>
      <c r="AJ125" s="157" t="str">
        <f t="shared" si="6"/>
        <v/>
      </c>
    </row>
    <row r="126" ht="12.75" customHeight="1">
      <c r="A126" s="244" t="s">
        <v>621</v>
      </c>
      <c r="B126" s="244" t="s">
        <v>624</v>
      </c>
      <c r="C126" s="244" t="s">
        <v>746</v>
      </c>
      <c r="D126" s="154" t="s">
        <v>747</v>
      </c>
      <c r="E126" s="250"/>
      <c r="F126" s="154" t="str">
        <f t="array" ref="F126">XLOOKUP(Cover!$D$12,$S$1:$AA$1,$S126:$AA126)</f>
        <v>Information</v>
      </c>
      <c r="G126" s="153" t="s">
        <v>748</v>
      </c>
      <c r="H126" s="154"/>
      <c r="I126" s="154" t="s">
        <v>389</v>
      </c>
      <c r="J126" s="247" t="s">
        <v>516</v>
      </c>
      <c r="K126" s="154"/>
      <c r="L126" s="154" t="str">
        <f t="shared" si="1"/>
        <v/>
      </c>
      <c r="M126" s="248" t="str">
        <f>IFERROR(__xludf.DUMMYFUNCTION("VLOOKUP(C126,IMPORTRANGE(""https://docs.google.com/spreadsheets/d/1P8eX0NWBhUPS_hvzA11R6jkTNFrPrRYIx_dX_hYbxrk/edit?resourcekey=0-iw9bsKY2OqkUHCFMkCar3A&amp;gid=2055363397#gid=2055363397"",""MTR!C:O""),11,false)"),"PMW-L1")</f>
        <v>PMW-L1</v>
      </c>
      <c r="N126" s="248" t="str">
        <f>IFERROR(__xludf.DUMMYFUNCTION("VLOOKUP(C126,IMPORTRANGE(""https://docs.google.com/spreadsheets/d/1ihFlp3_ePlYtFuPbUNbYj1muErVpI73WHXbEwJDIA7Q/edit#gid=1493122344"",""MTR!C:O""),8,false)"),"Does Not Comply")</f>
        <v>Does Not Comply</v>
      </c>
      <c r="O126" s="241" t="str">
        <f>IFERROR(__xludf.DUMMYFUNCTION("VLOOKUP(C126,IMPORTRANGE(""https://docs.google.com/spreadsheets/d/1P8eX0NWBhUPS_hvzA11R6jkTNFrPrRYIx_dX_hYbxrk/edit?resourcekey=0-iw9bsKY2OqkUHCFMkCar3A&amp;gid=2055363397#gid=2055363397"",""MTR!C:O""),9,false)"),"")</f>
        <v/>
      </c>
      <c r="P126" s="241"/>
      <c r="Q126" s="251" t="s">
        <v>516</v>
      </c>
      <c r="R126" s="241"/>
      <c r="S126" s="154" t="s">
        <v>66</v>
      </c>
      <c r="T126" s="154" t="s">
        <v>66</v>
      </c>
      <c r="U126" s="154" t="s">
        <v>66</v>
      </c>
      <c r="V126" s="154" t="s">
        <v>66</v>
      </c>
      <c r="W126" s="154" t="s">
        <v>66</v>
      </c>
      <c r="X126" s="154" t="s">
        <v>66</v>
      </c>
      <c r="Y126" s="154" t="s">
        <v>66</v>
      </c>
      <c r="Z126" s="154" t="s">
        <v>66</v>
      </c>
      <c r="AA126" s="154" t="s">
        <v>66</v>
      </c>
      <c r="AB126" s="154"/>
      <c r="AC126" s="242" t="b">
        <f t="shared" si="2"/>
        <v>1</v>
      </c>
      <c r="AD126" s="154" t="s">
        <v>391</v>
      </c>
      <c r="AE126" s="243" t="b">
        <f t="shared" si="3"/>
        <v>0</v>
      </c>
      <c r="AF126" s="154"/>
      <c r="AG126" s="243" t="b">
        <f t="shared" si="4"/>
        <v>0</v>
      </c>
      <c r="AH126" s="154"/>
      <c r="AI126" s="243" t="str">
        <f t="shared" si="5"/>
        <v>N/A</v>
      </c>
      <c r="AJ126" s="157" t="str">
        <f t="shared" si="6"/>
        <v/>
      </c>
    </row>
    <row r="127" ht="12.75" customHeight="1">
      <c r="A127" s="244" t="s">
        <v>621</v>
      </c>
      <c r="B127" s="244" t="s">
        <v>624</v>
      </c>
      <c r="C127" s="244" t="s">
        <v>749</v>
      </c>
      <c r="D127" s="154" t="s">
        <v>642</v>
      </c>
      <c r="E127" s="250"/>
      <c r="F127" s="154" t="str">
        <f t="array" ref="F127">XLOOKUP(Cover!$D$12,$S$1:$AA$1,$S127:$AA127)</f>
        <v>Comments Vendor</v>
      </c>
      <c r="G127" s="154" t="s">
        <v>750</v>
      </c>
      <c r="H127" s="154"/>
      <c r="I127" s="154" t="s">
        <v>414</v>
      </c>
      <c r="J127" s="154"/>
      <c r="K127" s="247" t="s">
        <v>751</v>
      </c>
      <c r="L127" s="154" t="str">
        <f t="shared" si="1"/>
        <v/>
      </c>
      <c r="M127" s="248" t="str">
        <f>IFERROR(__xludf.DUMMYFUNCTION("VLOOKUP(C127,IMPORTRANGE(""https://docs.google.com/spreadsheets/d/1P8eX0NWBhUPS_hvzA11R6jkTNFrPrRYIx_dX_hYbxrk/edit?resourcekey=0-iw9bsKY2OqkUHCFMkCar3A&amp;gid=2055363397#gid=2055363397"",""MTR!C:O""),11,false)"),"PMW-L1")</f>
        <v>PMW-L1</v>
      </c>
      <c r="N127" s="241" t="str">
        <f>IFERROR(__xludf.DUMMYFUNCTION("VLOOKUP(C127,IMPORTRANGE(""https://docs.google.com/spreadsheets/d/1ihFlp3_ePlYtFuPbUNbYj1muErVpI73WHXbEwJDIA7Q/edit#gid=1493122344"",""MTR!C:O""),8,false)"),"")</f>
        <v/>
      </c>
      <c r="O127" s="248" t="str">
        <f>IFERROR(__xludf.DUMMYFUNCTION("VLOOKUP(C127,IMPORTRANGE(""https://docs.google.com/spreadsheets/d/1P8eX0NWBhUPS_hvzA11R6jkTNFrPrRYIx_dX_hYbxrk/edit?resourcekey=0-iw9bsKY2OqkUHCFMkCar3A&amp;gid=2055363397#gid=2055363397"",""MTR!C:O""),9,false)"),"2x2: B5/8/12/13/14/17/18/19/20/21/26/28/29/39)/71
4x4: B1/2/3/4/7/25/30/32/38(HPUE)/40/41(HPUE)/42/48/66/75")</f>
        <v>2x2: B5/8/12/13/14/17/18/19/20/21/26/28/29/39)/71
4x4: B1/2/3/4/7/25/30/32/38(HPUE)/40/41(HPUE)/42/48/66/75</v>
      </c>
      <c r="P127" s="248"/>
      <c r="Q127" s="248"/>
      <c r="R127" s="249" t="s">
        <v>752</v>
      </c>
      <c r="S127" s="154" t="s">
        <v>62</v>
      </c>
      <c r="T127" s="154" t="s">
        <v>62</v>
      </c>
      <c r="U127" s="154" t="s">
        <v>62</v>
      </c>
      <c r="V127" s="154" t="s">
        <v>62</v>
      </c>
      <c r="W127" s="154" t="s">
        <v>62</v>
      </c>
      <c r="X127" s="154" t="s">
        <v>62</v>
      </c>
      <c r="Y127" s="154" t="s">
        <v>62</v>
      </c>
      <c r="Z127" s="154" t="s">
        <v>62</v>
      </c>
      <c r="AA127" s="154" t="s">
        <v>62</v>
      </c>
      <c r="AB127" s="154"/>
      <c r="AC127" s="242" t="b">
        <f t="shared" si="2"/>
        <v>1</v>
      </c>
      <c r="AD127" s="154" t="s">
        <v>68</v>
      </c>
      <c r="AE127" s="243" t="b">
        <f t="shared" si="3"/>
        <v>1</v>
      </c>
      <c r="AF127" s="154"/>
      <c r="AG127" s="243" t="b">
        <f t="shared" si="4"/>
        <v>0</v>
      </c>
      <c r="AH127" s="154" t="s">
        <v>637</v>
      </c>
      <c r="AI127" s="243" t="str">
        <f t="shared" si="5"/>
        <v>Complies</v>
      </c>
      <c r="AJ127" s="157" t="str">
        <f t="shared" si="6"/>
        <v/>
      </c>
    </row>
    <row r="128" ht="12.75" customHeight="1">
      <c r="A128" s="244" t="s">
        <v>621</v>
      </c>
      <c r="B128" s="244" t="s">
        <v>624</v>
      </c>
      <c r="C128" s="244" t="s">
        <v>753</v>
      </c>
      <c r="D128" s="154" t="s">
        <v>433</v>
      </c>
      <c r="E128" s="250"/>
      <c r="F128" s="154" t="str">
        <f t="array" ref="F128">XLOOKUP(Cover!$D$12,$S$1:$AA$1,$S128:$AA128)</f>
        <v>Mandatory</v>
      </c>
      <c r="G128" s="154" t="s">
        <v>754</v>
      </c>
      <c r="H128" s="154" t="s">
        <v>712</v>
      </c>
      <c r="I128" s="154" t="s">
        <v>414</v>
      </c>
      <c r="J128" s="247" t="s">
        <v>445</v>
      </c>
      <c r="K128" s="154"/>
      <c r="L128" s="154" t="str">
        <f t="shared" si="1"/>
        <v/>
      </c>
      <c r="M128" s="248" t="str">
        <f>IFERROR(__xludf.DUMMYFUNCTION("VLOOKUP(C128,IMPORTRANGE(""https://docs.google.com/spreadsheets/d/1P8eX0NWBhUPS_hvzA11R6jkTNFrPrRYIx_dX_hYbxrk/edit?resourcekey=0-iw9bsKY2OqkUHCFMkCar3A&amp;gid=2055363397#gid=2055363397"",""MTR!C:O""),11,false)"),"TAM")</f>
        <v>TAM</v>
      </c>
      <c r="N128" s="248" t="str">
        <f>IFERROR(__xludf.DUMMYFUNCTION("VLOOKUP(C128,IMPORTRANGE(""https://docs.google.com/spreadsheets/d/1ihFlp3_ePlYtFuPbUNbYj1muErVpI73WHXbEwJDIA7Q/edit#gid=1493122344"",""MTR!C:O""),8,false)"),"Complies")</f>
        <v>Complies</v>
      </c>
      <c r="O128" s="241" t="str">
        <f>IFERROR(__xludf.DUMMYFUNCTION("VLOOKUP(C128,IMPORTRANGE(""https://docs.google.com/spreadsheets/d/1P8eX0NWBhUPS_hvzA11R6jkTNFrPrRYIx_dX_hYbxrk/edit?resourcekey=0-iw9bsKY2OqkUHCFMkCar3A&amp;gid=2055363397#gid=2055363397"",""MTR!C:O""),9,false)"),"")</f>
        <v/>
      </c>
      <c r="P128" s="241"/>
      <c r="Q128" s="251" t="s">
        <v>445</v>
      </c>
      <c r="R128" s="241"/>
      <c r="S128" s="154" t="s">
        <v>64</v>
      </c>
      <c r="T128" s="154" t="s">
        <v>60</v>
      </c>
      <c r="U128" s="154" t="s">
        <v>60</v>
      </c>
      <c r="V128" s="154" t="s">
        <v>60</v>
      </c>
      <c r="W128" s="154" t="s">
        <v>60</v>
      </c>
      <c r="X128" s="154" t="s">
        <v>60</v>
      </c>
      <c r="Y128" s="154" t="s">
        <v>60</v>
      </c>
      <c r="Z128" s="154" t="s">
        <v>60</v>
      </c>
      <c r="AA128" s="154" t="s">
        <v>60</v>
      </c>
      <c r="AB128" s="154"/>
      <c r="AC128" s="242" t="b">
        <f t="shared" si="2"/>
        <v>1</v>
      </c>
      <c r="AD128" s="154" t="s">
        <v>391</v>
      </c>
      <c r="AE128" s="243" t="b">
        <f t="shared" si="3"/>
        <v>0</v>
      </c>
      <c r="AF128" s="154"/>
      <c r="AG128" s="243" t="b">
        <f t="shared" si="4"/>
        <v>0</v>
      </c>
      <c r="AH128" s="154"/>
      <c r="AI128" s="243" t="str">
        <f t="shared" si="5"/>
        <v>N/A</v>
      </c>
      <c r="AJ128" s="157" t="str">
        <f t="shared" si="6"/>
        <v/>
      </c>
    </row>
    <row r="129" ht="12.75" customHeight="1">
      <c r="A129" s="244" t="s">
        <v>621</v>
      </c>
      <c r="B129" s="244" t="s">
        <v>624</v>
      </c>
      <c r="C129" s="244" t="s">
        <v>755</v>
      </c>
      <c r="D129" s="154" t="s">
        <v>433</v>
      </c>
      <c r="E129" s="250"/>
      <c r="F129" s="154" t="str">
        <f t="array" ref="F129">XLOOKUP(Cover!$D$12,$S$1:$AA$1,$S129:$AA129)</f>
        <v>Mandatory</v>
      </c>
      <c r="G129" s="154" t="s">
        <v>756</v>
      </c>
      <c r="H129" s="154" t="s">
        <v>712</v>
      </c>
      <c r="I129" s="154" t="s">
        <v>414</v>
      </c>
      <c r="J129" s="247" t="s">
        <v>445</v>
      </c>
      <c r="K129" s="154"/>
      <c r="L129" s="154" t="str">
        <f t="shared" si="1"/>
        <v/>
      </c>
      <c r="M129" s="248" t="str">
        <f>IFERROR(__xludf.DUMMYFUNCTION("VLOOKUP(C129,IMPORTRANGE(""https://docs.google.com/spreadsheets/d/1P8eX0NWBhUPS_hvzA11R6jkTNFrPrRYIx_dX_hYbxrk/edit?resourcekey=0-iw9bsKY2OqkUHCFMkCar3A&amp;gid=2055363397#gid=2055363397"",""MTR!C:O""),11,false)"),"TAM")</f>
        <v>TAM</v>
      </c>
      <c r="N129" s="248" t="str">
        <f>IFERROR(__xludf.DUMMYFUNCTION("VLOOKUP(C129,IMPORTRANGE(""https://docs.google.com/spreadsheets/d/1ihFlp3_ePlYtFuPbUNbYj1muErVpI73WHXbEwJDIA7Q/edit#gid=1493122344"",""MTR!C:O""),8,false)"),"Complies")</f>
        <v>Complies</v>
      </c>
      <c r="O129" s="241" t="str">
        <f>IFERROR(__xludf.DUMMYFUNCTION("VLOOKUP(C129,IMPORTRANGE(""https://docs.google.com/spreadsheets/d/1P8eX0NWBhUPS_hvzA11R6jkTNFrPrRYIx_dX_hYbxrk/edit?resourcekey=0-iw9bsKY2OqkUHCFMkCar3A&amp;gid=2055363397#gid=2055363397"",""MTR!C:O""),9,false)"),"")</f>
        <v/>
      </c>
      <c r="P129" s="241"/>
      <c r="Q129" s="251" t="s">
        <v>445</v>
      </c>
      <c r="R129" s="241"/>
      <c r="S129" s="154" t="s">
        <v>64</v>
      </c>
      <c r="T129" s="154" t="s">
        <v>60</v>
      </c>
      <c r="U129" s="154" t="s">
        <v>60</v>
      </c>
      <c r="V129" s="154" t="s">
        <v>60</v>
      </c>
      <c r="W129" s="154" t="s">
        <v>60</v>
      </c>
      <c r="X129" s="154" t="s">
        <v>60</v>
      </c>
      <c r="Y129" s="154" t="s">
        <v>60</v>
      </c>
      <c r="Z129" s="154" t="s">
        <v>60</v>
      </c>
      <c r="AA129" s="154" t="s">
        <v>60</v>
      </c>
      <c r="AB129" s="154"/>
      <c r="AC129" s="242" t="b">
        <f t="shared" si="2"/>
        <v>1</v>
      </c>
      <c r="AD129" s="154" t="s">
        <v>391</v>
      </c>
      <c r="AE129" s="243" t="b">
        <f t="shared" si="3"/>
        <v>0</v>
      </c>
      <c r="AF129" s="154"/>
      <c r="AG129" s="243" t="b">
        <f t="shared" si="4"/>
        <v>0</v>
      </c>
      <c r="AH129" s="154"/>
      <c r="AI129" s="243" t="str">
        <f t="shared" si="5"/>
        <v>N/A</v>
      </c>
      <c r="AJ129" s="157" t="str">
        <f t="shared" si="6"/>
        <v/>
      </c>
    </row>
    <row r="130" ht="12.75" customHeight="1">
      <c r="A130" s="238" t="s">
        <v>621</v>
      </c>
      <c r="B130" s="238" t="s">
        <v>624</v>
      </c>
      <c r="C130" s="238" t="s">
        <v>757</v>
      </c>
      <c r="D130" s="240"/>
      <c r="E130" s="252" t="s">
        <v>92</v>
      </c>
      <c r="F130" s="154" t="str">
        <f t="array" ref="F130">XLOOKUP(Cover!$D$12,$S$1:$AA$1,$S130:$AA130)</f>
        <v>Heading</v>
      </c>
      <c r="G130" s="239" t="s">
        <v>758</v>
      </c>
      <c r="H130" s="240"/>
      <c r="I130" s="240" t="s">
        <v>759</v>
      </c>
      <c r="J130" s="240"/>
      <c r="K130" s="240"/>
      <c r="L130" s="154" t="str">
        <f t="shared" si="1"/>
        <v/>
      </c>
      <c r="M130" s="241" t="str">
        <f>IFERROR(__xludf.DUMMYFUNCTION("VLOOKUP(C130,IMPORTRANGE(""https://docs.google.com/spreadsheets/d/1P8eX0NWBhUPS_hvzA11R6jkTNFrPrRYIx_dX_hYbxrk/edit?resourcekey=0-iw9bsKY2OqkUHCFMkCar3A&amp;gid=2055363397#gid=2055363397"",""MTR!C:O""),11,false)"),"")</f>
        <v/>
      </c>
      <c r="N130" s="241" t="str">
        <f>IFERROR(__xludf.DUMMYFUNCTION("VLOOKUP(C130,IMPORTRANGE(""https://docs.google.com/spreadsheets/d/1ihFlp3_ePlYtFuPbUNbYj1muErVpI73WHXbEwJDIA7Q/edit#gid=1493122344"",""MTR!C:O""),8,false)"),"")</f>
        <v/>
      </c>
      <c r="O130" s="241" t="str">
        <f>IFERROR(__xludf.DUMMYFUNCTION("VLOOKUP(C130,IMPORTRANGE(""https://docs.google.com/spreadsheets/d/1P8eX0NWBhUPS_hvzA11R6jkTNFrPrRYIx_dX_hYbxrk/edit?resourcekey=0-iw9bsKY2OqkUHCFMkCar3A&amp;gid=2055363397#gid=2055363397"",""MTR!C:O""),9,false)"),"")</f>
        <v/>
      </c>
      <c r="P130" s="241"/>
      <c r="Q130" s="241"/>
      <c r="R130" s="241"/>
      <c r="S130" s="240" t="s">
        <v>390</v>
      </c>
      <c r="T130" s="240" t="s">
        <v>390</v>
      </c>
      <c r="U130" s="240" t="s">
        <v>390</v>
      </c>
      <c r="V130" s="240" t="s">
        <v>390</v>
      </c>
      <c r="W130" s="240" t="s">
        <v>390</v>
      </c>
      <c r="X130" s="240" t="s">
        <v>390</v>
      </c>
      <c r="Y130" s="240" t="s">
        <v>390</v>
      </c>
      <c r="Z130" s="240" t="s">
        <v>390</v>
      </c>
      <c r="AA130" s="240" t="s">
        <v>390</v>
      </c>
      <c r="AB130" s="240"/>
      <c r="AC130" s="242" t="b">
        <f t="shared" si="2"/>
        <v>0</v>
      </c>
      <c r="AD130" s="240" t="s">
        <v>391</v>
      </c>
      <c r="AE130" s="243" t="b">
        <f t="shared" si="3"/>
        <v>0</v>
      </c>
      <c r="AF130" s="240"/>
      <c r="AG130" s="243" t="b">
        <f t="shared" si="4"/>
        <v>0</v>
      </c>
      <c r="AH130" s="240"/>
      <c r="AI130" s="243" t="str">
        <f t="shared" si="5"/>
        <v>N/A</v>
      </c>
      <c r="AJ130" s="157" t="str">
        <f t="shared" si="6"/>
        <v/>
      </c>
    </row>
    <row r="131" ht="12.75" customHeight="1">
      <c r="A131" s="238" t="s">
        <v>621</v>
      </c>
      <c r="B131" s="238" t="s">
        <v>624</v>
      </c>
      <c r="C131" s="238" t="s">
        <v>760</v>
      </c>
      <c r="D131" s="240"/>
      <c r="E131" s="252" t="s">
        <v>92</v>
      </c>
      <c r="F131" s="154" t="str">
        <f t="array" ref="F131">XLOOKUP(Cover!$D$12,$S$1:$AA$1,$S131:$AA131)</f>
        <v>Heading</v>
      </c>
      <c r="G131" s="239" t="s">
        <v>761</v>
      </c>
      <c r="H131" s="240"/>
      <c r="I131" s="240" t="s">
        <v>759</v>
      </c>
      <c r="J131" s="240"/>
      <c r="K131" s="240"/>
      <c r="L131" s="154" t="str">
        <f t="shared" si="1"/>
        <v/>
      </c>
      <c r="M131" s="241" t="str">
        <f>IFERROR(__xludf.DUMMYFUNCTION("VLOOKUP(C131,IMPORTRANGE(""https://docs.google.com/spreadsheets/d/1P8eX0NWBhUPS_hvzA11R6jkTNFrPrRYIx_dX_hYbxrk/edit?resourcekey=0-iw9bsKY2OqkUHCFMkCar3A&amp;gid=2055363397#gid=2055363397"",""MTR!C:O""),11,false)"),"")</f>
        <v/>
      </c>
      <c r="N131" s="241" t="str">
        <f>IFERROR(__xludf.DUMMYFUNCTION("VLOOKUP(C131,IMPORTRANGE(""https://docs.google.com/spreadsheets/d/1ihFlp3_ePlYtFuPbUNbYj1muErVpI73WHXbEwJDIA7Q/edit#gid=1493122344"",""MTR!C:O""),8,false)"),"")</f>
        <v/>
      </c>
      <c r="O131" s="241" t="str">
        <f>IFERROR(__xludf.DUMMYFUNCTION("VLOOKUP(C131,IMPORTRANGE(""https://docs.google.com/spreadsheets/d/1P8eX0NWBhUPS_hvzA11R6jkTNFrPrRYIx_dX_hYbxrk/edit?resourcekey=0-iw9bsKY2OqkUHCFMkCar3A&amp;gid=2055363397#gid=2055363397"",""MTR!C:O""),9,false)"),"")</f>
        <v/>
      </c>
      <c r="P131" s="241"/>
      <c r="Q131" s="241"/>
      <c r="R131" s="241"/>
      <c r="S131" s="240" t="s">
        <v>390</v>
      </c>
      <c r="T131" s="240" t="s">
        <v>390</v>
      </c>
      <c r="U131" s="240" t="s">
        <v>390</v>
      </c>
      <c r="V131" s="240" t="s">
        <v>390</v>
      </c>
      <c r="W131" s="240" t="s">
        <v>390</v>
      </c>
      <c r="X131" s="240" t="s">
        <v>390</v>
      </c>
      <c r="Y131" s="240" t="s">
        <v>390</v>
      </c>
      <c r="Z131" s="240" t="s">
        <v>390</v>
      </c>
      <c r="AA131" s="240" t="s">
        <v>390</v>
      </c>
      <c r="AB131" s="240"/>
      <c r="AC131" s="242" t="b">
        <f t="shared" si="2"/>
        <v>0</v>
      </c>
      <c r="AD131" s="240" t="s">
        <v>391</v>
      </c>
      <c r="AE131" s="243" t="b">
        <f t="shared" si="3"/>
        <v>0</v>
      </c>
      <c r="AF131" s="240"/>
      <c r="AG131" s="243" t="b">
        <f t="shared" si="4"/>
        <v>0</v>
      </c>
      <c r="AH131" s="240"/>
      <c r="AI131" s="243" t="str">
        <f t="shared" si="5"/>
        <v>N/A</v>
      </c>
      <c r="AJ131" s="157" t="str">
        <f t="shared" si="6"/>
        <v/>
      </c>
    </row>
    <row r="132" ht="12.75" customHeight="1">
      <c r="A132" s="244" t="s">
        <v>621</v>
      </c>
      <c r="B132" s="244" t="s">
        <v>624</v>
      </c>
      <c r="C132" s="244" t="s">
        <v>762</v>
      </c>
      <c r="D132" s="154" t="s">
        <v>542</v>
      </c>
      <c r="E132" s="250"/>
      <c r="F132" s="154" t="str">
        <f t="array" ref="F132">XLOOKUP(Cover!$D$12,$S$1:$AA$1,$S132:$AA132)</f>
        <v>Mandatory</v>
      </c>
      <c r="G132" s="153" t="s">
        <v>763</v>
      </c>
      <c r="H132" s="154" t="s">
        <v>654</v>
      </c>
      <c r="I132" s="154" t="s">
        <v>759</v>
      </c>
      <c r="J132" s="247" t="s">
        <v>445</v>
      </c>
      <c r="K132" s="154"/>
      <c r="L132" s="154" t="str">
        <f t="shared" si="1"/>
        <v/>
      </c>
      <c r="M132" s="248" t="str">
        <f>IFERROR(__xludf.DUMMYFUNCTION("VLOOKUP(C132,IMPORTRANGE(""https://docs.google.com/spreadsheets/d/1P8eX0NWBhUPS_hvzA11R6jkTNFrPrRYIx_dX_hYbxrk/edit?resourcekey=0-iw9bsKY2OqkUHCFMkCar3A&amp;gid=2055363397#gid=2055363397"",""MTR!C:O""),11,false)"),"PMW-L1")</f>
        <v>PMW-L1</v>
      </c>
      <c r="N132" s="248" t="str">
        <f>IFERROR(__xludf.DUMMYFUNCTION("VLOOKUP(C132,IMPORTRANGE(""https://docs.google.com/spreadsheets/d/1ihFlp3_ePlYtFuPbUNbYj1muErVpI73WHXbEwJDIA7Q/edit#gid=1493122344"",""MTR!C:O""),8,false)"),"Complies")</f>
        <v>Complies</v>
      </c>
      <c r="O132" s="241" t="str">
        <f>IFERROR(__xludf.DUMMYFUNCTION("VLOOKUP(C132,IMPORTRANGE(""https://docs.google.com/spreadsheets/d/1P8eX0NWBhUPS_hvzA11R6jkTNFrPrRYIx_dX_hYbxrk/edit?resourcekey=0-iw9bsKY2OqkUHCFMkCar3A&amp;gid=2055363397#gid=2055363397"",""MTR!C:O""),9,false)"),"")</f>
        <v/>
      </c>
      <c r="P132" s="241"/>
      <c r="Q132" s="251" t="s">
        <v>445</v>
      </c>
      <c r="R132" s="241"/>
      <c r="S132" s="154" t="s">
        <v>66</v>
      </c>
      <c r="T132" s="154" t="s">
        <v>66</v>
      </c>
      <c r="U132" s="154" t="s">
        <v>60</v>
      </c>
      <c r="V132" s="154" t="s">
        <v>60</v>
      </c>
      <c r="W132" s="154" t="s">
        <v>60</v>
      </c>
      <c r="X132" s="154" t="s">
        <v>60</v>
      </c>
      <c r="Y132" s="154" t="s">
        <v>68</v>
      </c>
      <c r="Z132" s="154" t="s">
        <v>60</v>
      </c>
      <c r="AA132" s="154" t="s">
        <v>60</v>
      </c>
      <c r="AB132" s="154"/>
      <c r="AC132" s="242" t="b">
        <f t="shared" si="2"/>
        <v>1</v>
      </c>
      <c r="AD132" s="154" t="s">
        <v>391</v>
      </c>
      <c r="AE132" s="243" t="b">
        <f t="shared" si="3"/>
        <v>0</v>
      </c>
      <c r="AF132" s="154"/>
      <c r="AG132" s="243" t="b">
        <f t="shared" si="4"/>
        <v>0</v>
      </c>
      <c r="AH132" s="154" t="s">
        <v>652</v>
      </c>
      <c r="AI132" s="243" t="str">
        <f t="shared" si="5"/>
        <v>Complies</v>
      </c>
      <c r="AJ132" s="157" t="str">
        <f t="shared" si="6"/>
        <v/>
      </c>
    </row>
    <row r="133" ht="12.75" customHeight="1">
      <c r="A133" s="244" t="s">
        <v>621</v>
      </c>
      <c r="B133" s="244" t="s">
        <v>624</v>
      </c>
      <c r="C133" s="244" t="s">
        <v>764</v>
      </c>
      <c r="D133" s="154" t="s">
        <v>503</v>
      </c>
      <c r="E133" s="250"/>
      <c r="F133" s="154" t="str">
        <f t="array" ref="F133">XLOOKUP(Cover!$D$12,$S$1:$AA$1,$S133:$AA133)</f>
        <v>Mandatory</v>
      </c>
      <c r="G133" s="154" t="s">
        <v>765</v>
      </c>
      <c r="H133" s="154" t="s">
        <v>654</v>
      </c>
      <c r="I133" s="154" t="s">
        <v>759</v>
      </c>
      <c r="J133" s="247" t="s">
        <v>445</v>
      </c>
      <c r="K133" s="247"/>
      <c r="L133" s="154" t="str">
        <f t="shared" si="1"/>
        <v/>
      </c>
      <c r="M133" s="248" t="str">
        <f>IFERROR(__xludf.DUMMYFUNCTION("VLOOKUP(C133,IMPORTRANGE(""https://docs.google.com/spreadsheets/d/1P8eX0NWBhUPS_hvzA11R6jkTNFrPrRYIx_dX_hYbxrk/edit?resourcekey=0-iw9bsKY2OqkUHCFMkCar3A&amp;gid=2055363397#gid=2055363397"",""MTR!C:O""),11,false)"),"PMW-MCE-AS")</f>
        <v>PMW-MCE-AS</v>
      </c>
      <c r="N133" s="248" t="str">
        <f>IFERROR(__xludf.DUMMYFUNCTION("VLOOKUP(C133,IMPORTRANGE(""https://docs.google.com/spreadsheets/d/1ihFlp3_ePlYtFuPbUNbYj1muErVpI73WHXbEwJDIA7Q/edit#gid=1493122344"",""MTR!C:O""),8,false)"),"Does Not Comply")</f>
        <v>Does Not Comply</v>
      </c>
      <c r="O133" s="248" t="str">
        <f>IFERROR(__xludf.DUMMYFUNCTION("VLOOKUP(C133,IMPORTRANGE(""https://docs.google.com/spreadsheets/d/1P8eX0NWBhUPS_hvzA11R6jkTNFrPrRYIx_dX_hYbxrk/edit?resourcekey=0-iw9bsKY2OqkUHCFMkCar3A&amp;gid=2055363397#gid=2055363397"",""MTR!C:O""),9,false)"),"[20240507]
n1 could support to 50MHZ")</f>
        <v>[20240507]
n1 could support to 50MHZ</v>
      </c>
      <c r="P133" s="248"/>
      <c r="Q133" s="249" t="s">
        <v>516</v>
      </c>
      <c r="R133" s="249" t="s">
        <v>766</v>
      </c>
      <c r="S133" s="154" t="s">
        <v>66</v>
      </c>
      <c r="T133" s="154" t="s">
        <v>66</v>
      </c>
      <c r="U133" s="154" t="s">
        <v>60</v>
      </c>
      <c r="V133" s="154" t="s">
        <v>60</v>
      </c>
      <c r="W133" s="154" t="s">
        <v>60</v>
      </c>
      <c r="X133" s="154" t="s">
        <v>60</v>
      </c>
      <c r="Y133" s="154" t="s">
        <v>68</v>
      </c>
      <c r="Z133" s="154" t="s">
        <v>60</v>
      </c>
      <c r="AA133" s="154" t="s">
        <v>60</v>
      </c>
      <c r="AB133" s="154"/>
      <c r="AC133" s="242" t="b">
        <f t="shared" si="2"/>
        <v>1</v>
      </c>
      <c r="AD133" s="154" t="s">
        <v>391</v>
      </c>
      <c r="AE133" s="243" t="b">
        <f t="shared" si="3"/>
        <v>0</v>
      </c>
      <c r="AF133" s="154"/>
      <c r="AG133" s="243" t="b">
        <f t="shared" si="4"/>
        <v>0</v>
      </c>
      <c r="AH133" s="154" t="s">
        <v>762</v>
      </c>
      <c r="AI133" s="243" t="str">
        <f t="shared" si="5"/>
        <v>Complies</v>
      </c>
      <c r="AJ133" s="157" t="str">
        <f t="shared" si="6"/>
        <v/>
      </c>
    </row>
    <row r="134" ht="12.75" customHeight="1">
      <c r="A134" s="244" t="s">
        <v>621</v>
      </c>
      <c r="B134" s="244" t="s">
        <v>624</v>
      </c>
      <c r="C134" s="244" t="s">
        <v>767</v>
      </c>
      <c r="D134" s="154" t="s">
        <v>546</v>
      </c>
      <c r="E134" s="250"/>
      <c r="F134" s="154" t="str">
        <f t="array" ref="F134">XLOOKUP(Cover!$D$12,$S$1:$AA$1,$S134:$AA134)</f>
        <v>Recommended</v>
      </c>
      <c r="G134" s="154" t="s">
        <v>768</v>
      </c>
      <c r="H134" s="154"/>
      <c r="I134" s="154" t="s">
        <v>759</v>
      </c>
      <c r="J134" s="247" t="s">
        <v>506</v>
      </c>
      <c r="K134" s="247" t="s">
        <v>769</v>
      </c>
      <c r="L134" s="154" t="str">
        <f t="shared" si="1"/>
        <v/>
      </c>
      <c r="M134" s="248" t="str">
        <f>IFERROR(__xludf.DUMMYFUNCTION("VLOOKUP(C134,IMPORTRANGE(""https://docs.google.com/spreadsheets/d/1P8eX0NWBhUPS_hvzA11R6jkTNFrPrRYIx_dX_hYbxrk/edit?resourcekey=0-iw9bsKY2OqkUHCFMkCar3A&amp;gid=2055363397#gid=2055363397"",""MTR!C:O""),11,false)"),"PMW-L1")</f>
        <v>PMW-L1</v>
      </c>
      <c r="N134" s="248" t="str">
        <f>IFERROR(__xludf.DUMMYFUNCTION("VLOOKUP(C134,IMPORTRANGE(""https://docs.google.com/spreadsheets/d/1ihFlp3_ePlYtFuPbUNbYj1muErVpI73WHXbEwJDIA7Q/edit#gid=1493122344"",""MTR!C:O""),8,false)"),"Does Not Comply")</f>
        <v>Does Not Comply</v>
      </c>
      <c r="O134" s="248" t="str">
        <f>IFERROR(__xludf.DUMMYFUNCTION("VLOOKUP(C134,IMPORTRANGE(""https://docs.google.com/spreadsheets/d/1P8eX0NWBhUPS_hvzA11R6jkTNFrPrRYIx_dX_hYbxrk/edit?resourcekey=0-iw9bsKY2OqkUHCFMkCar3A&amp;gid=2055363397#gid=2055363397"",""MTR!C:O""),9,false)"),"only 40, 50 MHz")</f>
        <v>only 40, 50 MHz</v>
      </c>
      <c r="P134" s="248"/>
      <c r="Q134" s="249" t="s">
        <v>516</v>
      </c>
      <c r="R134" s="249" t="s">
        <v>766</v>
      </c>
      <c r="S134" s="154" t="s">
        <v>66</v>
      </c>
      <c r="T134" s="154" t="s">
        <v>66</v>
      </c>
      <c r="U134" s="154" t="s">
        <v>64</v>
      </c>
      <c r="V134" s="154" t="s">
        <v>64</v>
      </c>
      <c r="W134" s="154" t="s">
        <v>64</v>
      </c>
      <c r="X134" s="154" t="s">
        <v>64</v>
      </c>
      <c r="Y134" s="154" t="s">
        <v>68</v>
      </c>
      <c r="Z134" s="154" t="s">
        <v>64</v>
      </c>
      <c r="AA134" s="154" t="s">
        <v>64</v>
      </c>
      <c r="AB134" s="154"/>
      <c r="AC134" s="242" t="b">
        <f t="shared" si="2"/>
        <v>1</v>
      </c>
      <c r="AD134" s="154" t="s">
        <v>391</v>
      </c>
      <c r="AE134" s="243" t="b">
        <f t="shared" si="3"/>
        <v>0</v>
      </c>
      <c r="AF134" s="154"/>
      <c r="AG134" s="243" t="b">
        <f t="shared" si="4"/>
        <v>0</v>
      </c>
      <c r="AH134" s="154" t="s">
        <v>762</v>
      </c>
      <c r="AI134" s="243" t="str">
        <f t="shared" si="5"/>
        <v>Complies</v>
      </c>
      <c r="AJ134" s="157" t="str">
        <f t="shared" si="6"/>
        <v/>
      </c>
    </row>
    <row r="135" ht="12.75" customHeight="1">
      <c r="A135" s="244" t="s">
        <v>621</v>
      </c>
      <c r="B135" s="244" t="s">
        <v>624</v>
      </c>
      <c r="C135" s="244" t="s">
        <v>770</v>
      </c>
      <c r="D135" s="154" t="s">
        <v>542</v>
      </c>
      <c r="E135" s="250"/>
      <c r="F135" s="154" t="str">
        <f t="array" ref="F135">XLOOKUP(Cover!$D$12,$S$1:$AA$1,$S135:$AA135)</f>
        <v>Mandatory</v>
      </c>
      <c r="G135" s="153" t="s">
        <v>771</v>
      </c>
      <c r="H135" s="154" t="s">
        <v>654</v>
      </c>
      <c r="I135" s="154" t="s">
        <v>759</v>
      </c>
      <c r="J135" s="247" t="s">
        <v>445</v>
      </c>
      <c r="K135" s="154"/>
      <c r="L135" s="154" t="str">
        <f t="shared" si="1"/>
        <v/>
      </c>
      <c r="M135" s="248" t="str">
        <f>IFERROR(__xludf.DUMMYFUNCTION("VLOOKUP(C135,IMPORTRANGE(""https://docs.google.com/spreadsheets/d/1P8eX0NWBhUPS_hvzA11R6jkTNFrPrRYIx_dX_hYbxrk/edit?resourcekey=0-iw9bsKY2OqkUHCFMkCar3A&amp;gid=2055363397#gid=2055363397"",""MTR!C:O""),11,false)"),"PMW-L1")</f>
        <v>PMW-L1</v>
      </c>
      <c r="N135" s="248" t="str">
        <f>IFERROR(__xludf.DUMMYFUNCTION("VLOOKUP(C135,IMPORTRANGE(""https://docs.google.com/spreadsheets/d/1ihFlp3_ePlYtFuPbUNbYj1muErVpI73WHXbEwJDIA7Q/edit#gid=1493122344"",""MTR!C:O""),8,false)"),"Complies")</f>
        <v>Complies</v>
      </c>
      <c r="O135" s="241" t="str">
        <f>IFERROR(__xludf.DUMMYFUNCTION("VLOOKUP(C135,IMPORTRANGE(""https://docs.google.com/spreadsheets/d/1P8eX0NWBhUPS_hvzA11R6jkTNFrPrRYIx_dX_hYbxrk/edit?resourcekey=0-iw9bsKY2OqkUHCFMkCar3A&amp;gid=2055363397#gid=2055363397"",""MTR!C:O""),9,false)"),"")</f>
        <v/>
      </c>
      <c r="P135" s="241"/>
      <c r="Q135" s="251" t="s">
        <v>445</v>
      </c>
      <c r="R135" s="241"/>
      <c r="S135" s="154" t="s">
        <v>66</v>
      </c>
      <c r="T135" s="154" t="s">
        <v>66</v>
      </c>
      <c r="U135" s="154" t="s">
        <v>60</v>
      </c>
      <c r="V135" s="154" t="s">
        <v>60</v>
      </c>
      <c r="W135" s="154" t="s">
        <v>60</v>
      </c>
      <c r="X135" s="154" t="s">
        <v>60</v>
      </c>
      <c r="Y135" s="154" t="s">
        <v>68</v>
      </c>
      <c r="Z135" s="154" t="s">
        <v>60</v>
      </c>
      <c r="AA135" s="154" t="s">
        <v>60</v>
      </c>
      <c r="AB135" s="154"/>
      <c r="AC135" s="242" t="b">
        <f t="shared" si="2"/>
        <v>1</v>
      </c>
      <c r="AD135" s="154" t="s">
        <v>391</v>
      </c>
      <c r="AE135" s="243" t="b">
        <f t="shared" si="3"/>
        <v>0</v>
      </c>
      <c r="AF135" s="154"/>
      <c r="AG135" s="243" t="b">
        <f t="shared" si="4"/>
        <v>0</v>
      </c>
      <c r="AH135" s="154" t="s">
        <v>652</v>
      </c>
      <c r="AI135" s="243" t="str">
        <f t="shared" si="5"/>
        <v>Complies</v>
      </c>
      <c r="AJ135" s="157" t="str">
        <f t="shared" si="6"/>
        <v/>
      </c>
    </row>
    <row r="136" ht="12.75" customHeight="1">
      <c r="A136" s="244" t="s">
        <v>621</v>
      </c>
      <c r="B136" s="244" t="s">
        <v>624</v>
      </c>
      <c r="C136" s="244" t="s">
        <v>772</v>
      </c>
      <c r="D136" s="154" t="s">
        <v>503</v>
      </c>
      <c r="E136" s="250"/>
      <c r="F136" s="154" t="str">
        <f t="array" ref="F136">XLOOKUP(Cover!$D$12,$S$1:$AA$1,$S136:$AA136)</f>
        <v>Mandatory</v>
      </c>
      <c r="G136" s="154" t="s">
        <v>773</v>
      </c>
      <c r="H136" s="154" t="s">
        <v>654</v>
      </c>
      <c r="I136" s="154" t="s">
        <v>759</v>
      </c>
      <c r="J136" s="247" t="s">
        <v>445</v>
      </c>
      <c r="K136" s="154"/>
      <c r="L136" s="154" t="str">
        <f t="shared" si="1"/>
        <v/>
      </c>
      <c r="M136" s="248" t="str">
        <f>IFERROR(__xludf.DUMMYFUNCTION("VLOOKUP(C136,IMPORTRANGE(""https://docs.google.com/spreadsheets/d/1P8eX0NWBhUPS_hvzA11R6jkTNFrPrRYIx_dX_hYbxrk/edit?resourcekey=0-iw9bsKY2OqkUHCFMkCar3A&amp;gid=2055363397#gid=2055363397"",""MTR!C:O""),11,false)"),"PMW-MCE-AS")</f>
        <v>PMW-MCE-AS</v>
      </c>
      <c r="N136" s="248" t="str">
        <f>IFERROR(__xludf.DUMMYFUNCTION("VLOOKUP(C136,IMPORTRANGE(""https://docs.google.com/spreadsheets/d/1ihFlp3_ePlYtFuPbUNbYj1muErVpI73WHXbEwJDIA7Q/edit#gid=1493122344"",""MTR!C:O""),8,false)"),"Complies")</f>
        <v>Complies</v>
      </c>
      <c r="O136" s="241" t="str">
        <f>IFERROR(__xludf.DUMMYFUNCTION("VLOOKUP(C136,IMPORTRANGE(""https://docs.google.com/spreadsheets/d/1P8eX0NWBhUPS_hvzA11R6jkTNFrPrRYIx_dX_hYbxrk/edit?resourcekey=0-iw9bsKY2OqkUHCFMkCar3A&amp;gid=2055363397#gid=2055363397"",""MTR!C:O""),9,false)"),"")</f>
        <v/>
      </c>
      <c r="P136" s="241"/>
      <c r="Q136" s="251" t="s">
        <v>445</v>
      </c>
      <c r="R136" s="241"/>
      <c r="S136" s="154" t="s">
        <v>66</v>
      </c>
      <c r="T136" s="154" t="s">
        <v>66</v>
      </c>
      <c r="U136" s="154" t="s">
        <v>60</v>
      </c>
      <c r="V136" s="154" t="s">
        <v>60</v>
      </c>
      <c r="W136" s="154" t="s">
        <v>60</v>
      </c>
      <c r="X136" s="154" t="s">
        <v>60</v>
      </c>
      <c r="Y136" s="154" t="s">
        <v>68</v>
      </c>
      <c r="Z136" s="154" t="s">
        <v>60</v>
      </c>
      <c r="AA136" s="154" t="s">
        <v>60</v>
      </c>
      <c r="AB136" s="154"/>
      <c r="AC136" s="242" t="b">
        <f t="shared" si="2"/>
        <v>1</v>
      </c>
      <c r="AD136" s="154" t="s">
        <v>391</v>
      </c>
      <c r="AE136" s="243" t="b">
        <f t="shared" si="3"/>
        <v>0</v>
      </c>
      <c r="AF136" s="154"/>
      <c r="AG136" s="243" t="b">
        <f t="shared" si="4"/>
        <v>0</v>
      </c>
      <c r="AH136" s="154" t="s">
        <v>770</v>
      </c>
      <c r="AI136" s="243" t="str">
        <f t="shared" si="5"/>
        <v>Complies</v>
      </c>
      <c r="AJ136" s="157" t="str">
        <f t="shared" si="6"/>
        <v/>
      </c>
    </row>
    <row r="137" ht="12.75" customHeight="1">
      <c r="A137" s="244" t="s">
        <v>621</v>
      </c>
      <c r="B137" s="244" t="s">
        <v>624</v>
      </c>
      <c r="C137" s="244" t="s">
        <v>774</v>
      </c>
      <c r="D137" s="154" t="s">
        <v>602</v>
      </c>
      <c r="E137" s="250"/>
      <c r="F137" s="154" t="str">
        <f t="array" ref="F137">XLOOKUP(Cover!$D$12,$S$1:$AA$1,$S137:$AA137)</f>
        <v>Recommended</v>
      </c>
      <c r="G137" s="154" t="s">
        <v>775</v>
      </c>
      <c r="H137" s="154"/>
      <c r="I137" s="154" t="s">
        <v>759</v>
      </c>
      <c r="J137" s="247" t="s">
        <v>445</v>
      </c>
      <c r="K137" s="154"/>
      <c r="L137" s="154" t="str">
        <f t="shared" si="1"/>
        <v/>
      </c>
      <c r="M137" s="248" t="str">
        <f>IFERROR(__xludf.DUMMYFUNCTION("VLOOKUP(C137,IMPORTRANGE(""https://docs.google.com/spreadsheets/d/1P8eX0NWBhUPS_hvzA11R6jkTNFrPrRYIx_dX_hYbxrk/edit?resourcekey=0-iw9bsKY2OqkUHCFMkCar3A&amp;gid=2055363397#gid=2055363397"",""MTR!C:O""),11,false)"),"PMW-L1")</f>
        <v>PMW-L1</v>
      </c>
      <c r="N137" s="248" t="str">
        <f>IFERROR(__xludf.DUMMYFUNCTION("VLOOKUP(C137,IMPORTRANGE(""https://docs.google.com/spreadsheets/d/1ihFlp3_ePlYtFuPbUNbYj1muErVpI73WHXbEwJDIA7Q/edit#gid=1493122344"",""MTR!C:O""),8,false)"),"Complies")</f>
        <v>Complies</v>
      </c>
      <c r="O137" s="241" t="str">
        <f>IFERROR(__xludf.DUMMYFUNCTION("VLOOKUP(C137,IMPORTRANGE(""https://docs.google.com/spreadsheets/d/1P8eX0NWBhUPS_hvzA11R6jkTNFrPrRYIx_dX_hYbxrk/edit?resourcekey=0-iw9bsKY2OqkUHCFMkCar3A&amp;gid=2055363397#gid=2055363397"",""MTR!C:O""),9,false)"),"")</f>
        <v/>
      </c>
      <c r="P137" s="241"/>
      <c r="Q137" s="251" t="s">
        <v>445</v>
      </c>
      <c r="R137" s="241"/>
      <c r="S137" s="154" t="s">
        <v>66</v>
      </c>
      <c r="T137" s="154" t="s">
        <v>66</v>
      </c>
      <c r="U137" s="154" t="s">
        <v>64</v>
      </c>
      <c r="V137" s="154" t="s">
        <v>64</v>
      </c>
      <c r="W137" s="154" t="s">
        <v>64</v>
      </c>
      <c r="X137" s="154" t="s">
        <v>64</v>
      </c>
      <c r="Y137" s="154" t="s">
        <v>68</v>
      </c>
      <c r="Z137" s="154" t="s">
        <v>64</v>
      </c>
      <c r="AA137" s="154" t="s">
        <v>64</v>
      </c>
      <c r="AB137" s="154"/>
      <c r="AC137" s="242" t="b">
        <f t="shared" si="2"/>
        <v>1</v>
      </c>
      <c r="AD137" s="154" t="s">
        <v>391</v>
      </c>
      <c r="AE137" s="243" t="b">
        <f t="shared" si="3"/>
        <v>0</v>
      </c>
      <c r="AF137" s="154"/>
      <c r="AG137" s="243" t="b">
        <f t="shared" si="4"/>
        <v>0</v>
      </c>
      <c r="AH137" s="154" t="s">
        <v>770</v>
      </c>
      <c r="AI137" s="243" t="str">
        <f t="shared" si="5"/>
        <v>Complies</v>
      </c>
      <c r="AJ137" s="157" t="str">
        <f t="shared" si="6"/>
        <v/>
      </c>
    </row>
    <row r="138" ht="12.75" customHeight="1">
      <c r="A138" s="244" t="s">
        <v>621</v>
      </c>
      <c r="B138" s="244" t="s">
        <v>624</v>
      </c>
      <c r="C138" s="244" t="s">
        <v>776</v>
      </c>
      <c r="D138" s="154" t="s">
        <v>542</v>
      </c>
      <c r="E138" s="250"/>
      <c r="F138" s="154" t="str">
        <f t="array" ref="F138">XLOOKUP(Cover!$D$12,$S$1:$AA$1,$S138:$AA138)</f>
        <v>Mandatory</v>
      </c>
      <c r="G138" s="153" t="s">
        <v>777</v>
      </c>
      <c r="H138" s="154" t="s">
        <v>654</v>
      </c>
      <c r="I138" s="154" t="s">
        <v>759</v>
      </c>
      <c r="J138" s="247" t="s">
        <v>445</v>
      </c>
      <c r="K138" s="154"/>
      <c r="L138" s="154" t="str">
        <f t="shared" si="1"/>
        <v/>
      </c>
      <c r="M138" s="248" t="str">
        <f>IFERROR(__xludf.DUMMYFUNCTION("VLOOKUP(C138,IMPORTRANGE(""https://docs.google.com/spreadsheets/d/1P8eX0NWBhUPS_hvzA11R6jkTNFrPrRYIx_dX_hYbxrk/edit?resourcekey=0-iw9bsKY2OqkUHCFMkCar3A&amp;gid=2055363397#gid=2055363397"",""MTR!C:O""),11,false)"),"PMW-L1")</f>
        <v>PMW-L1</v>
      </c>
      <c r="N138" s="248" t="str">
        <f>IFERROR(__xludf.DUMMYFUNCTION("VLOOKUP(C138,IMPORTRANGE(""https://docs.google.com/spreadsheets/d/1ihFlp3_ePlYtFuPbUNbYj1muErVpI73WHXbEwJDIA7Q/edit#gid=1493122344"",""MTR!C:O""),8,false)"),"Complies")</f>
        <v>Complies</v>
      </c>
      <c r="O138" s="241" t="str">
        <f>IFERROR(__xludf.DUMMYFUNCTION("VLOOKUP(C138,IMPORTRANGE(""https://docs.google.com/spreadsheets/d/1P8eX0NWBhUPS_hvzA11R6jkTNFrPrRYIx_dX_hYbxrk/edit?resourcekey=0-iw9bsKY2OqkUHCFMkCar3A&amp;gid=2055363397#gid=2055363397"",""MTR!C:O""),9,false)"),"")</f>
        <v/>
      </c>
      <c r="P138" s="241"/>
      <c r="Q138" s="251" t="s">
        <v>445</v>
      </c>
      <c r="R138" s="241"/>
      <c r="S138" s="154" t="s">
        <v>66</v>
      </c>
      <c r="T138" s="154" t="s">
        <v>66</v>
      </c>
      <c r="U138" s="154" t="s">
        <v>60</v>
      </c>
      <c r="V138" s="154" t="s">
        <v>60</v>
      </c>
      <c r="W138" s="154" t="s">
        <v>60</v>
      </c>
      <c r="X138" s="154" t="s">
        <v>60</v>
      </c>
      <c r="Y138" s="154" t="s">
        <v>68</v>
      </c>
      <c r="Z138" s="154" t="s">
        <v>60</v>
      </c>
      <c r="AA138" s="154" t="s">
        <v>60</v>
      </c>
      <c r="AB138" s="154"/>
      <c r="AC138" s="242" t="b">
        <f t="shared" si="2"/>
        <v>1</v>
      </c>
      <c r="AD138" s="154" t="s">
        <v>391</v>
      </c>
      <c r="AE138" s="243" t="b">
        <f t="shared" si="3"/>
        <v>0</v>
      </c>
      <c r="AF138" s="154"/>
      <c r="AG138" s="243" t="b">
        <f t="shared" si="4"/>
        <v>0</v>
      </c>
      <c r="AH138" s="154" t="s">
        <v>772</v>
      </c>
      <c r="AI138" s="243" t="str">
        <f t="shared" si="5"/>
        <v>Complies</v>
      </c>
      <c r="AJ138" s="157" t="str">
        <f t="shared" si="6"/>
        <v/>
      </c>
    </row>
    <row r="139" ht="12.75" customHeight="1">
      <c r="A139" s="244" t="s">
        <v>621</v>
      </c>
      <c r="B139" s="244" t="s">
        <v>624</v>
      </c>
      <c r="C139" s="244" t="s">
        <v>778</v>
      </c>
      <c r="D139" s="154" t="s">
        <v>503</v>
      </c>
      <c r="E139" s="250"/>
      <c r="F139" s="154" t="str">
        <f t="array" ref="F139">XLOOKUP(Cover!$D$12,$S$1:$AA$1,$S139:$AA139)</f>
        <v>Mandatory</v>
      </c>
      <c r="G139" s="154" t="s">
        <v>779</v>
      </c>
      <c r="H139" s="154" t="s">
        <v>654</v>
      </c>
      <c r="I139" s="154" t="s">
        <v>759</v>
      </c>
      <c r="J139" s="247" t="s">
        <v>445</v>
      </c>
      <c r="K139" s="154"/>
      <c r="L139" s="154" t="str">
        <f t="shared" si="1"/>
        <v/>
      </c>
      <c r="M139" s="248" t="str">
        <f>IFERROR(__xludf.DUMMYFUNCTION("VLOOKUP(C139,IMPORTRANGE(""https://docs.google.com/spreadsheets/d/1P8eX0NWBhUPS_hvzA11R6jkTNFrPrRYIx_dX_hYbxrk/edit?resourcekey=0-iw9bsKY2OqkUHCFMkCar3A&amp;gid=2055363397#gid=2055363397"",""MTR!C:O""),11,false)"),"PMW-MCE-AS")</f>
        <v>PMW-MCE-AS</v>
      </c>
      <c r="N139" s="248" t="str">
        <f>IFERROR(__xludf.DUMMYFUNCTION("VLOOKUP(C139,IMPORTRANGE(""https://docs.google.com/spreadsheets/d/1ihFlp3_ePlYtFuPbUNbYj1muErVpI73WHXbEwJDIA7Q/edit#gid=1493122344"",""MTR!C:O""),8,false)"),"Complies")</f>
        <v>Complies</v>
      </c>
      <c r="O139" s="241" t="str">
        <f>IFERROR(__xludf.DUMMYFUNCTION("VLOOKUP(C139,IMPORTRANGE(""https://docs.google.com/spreadsheets/d/1P8eX0NWBhUPS_hvzA11R6jkTNFrPrRYIx_dX_hYbxrk/edit?resourcekey=0-iw9bsKY2OqkUHCFMkCar3A&amp;gid=2055363397#gid=2055363397"",""MTR!C:O""),9,false)"),"")</f>
        <v/>
      </c>
      <c r="P139" s="241"/>
      <c r="Q139" s="251" t="s">
        <v>445</v>
      </c>
      <c r="R139" s="241"/>
      <c r="S139" s="154" t="s">
        <v>66</v>
      </c>
      <c r="T139" s="154" t="s">
        <v>66</v>
      </c>
      <c r="U139" s="154" t="s">
        <v>60</v>
      </c>
      <c r="V139" s="154" t="s">
        <v>60</v>
      </c>
      <c r="W139" s="154" t="s">
        <v>60</v>
      </c>
      <c r="X139" s="154" t="s">
        <v>60</v>
      </c>
      <c r="Y139" s="154" t="s">
        <v>68</v>
      </c>
      <c r="Z139" s="154" t="s">
        <v>60</v>
      </c>
      <c r="AA139" s="154" t="s">
        <v>60</v>
      </c>
      <c r="AB139" s="154"/>
      <c r="AC139" s="242" t="b">
        <f t="shared" si="2"/>
        <v>1</v>
      </c>
      <c r="AD139" s="154" t="s">
        <v>391</v>
      </c>
      <c r="AE139" s="243" t="b">
        <f t="shared" si="3"/>
        <v>0</v>
      </c>
      <c r="AF139" s="154"/>
      <c r="AG139" s="243" t="b">
        <f t="shared" si="4"/>
        <v>0</v>
      </c>
      <c r="AH139" s="154" t="s">
        <v>776</v>
      </c>
      <c r="AI139" s="243" t="str">
        <f t="shared" si="5"/>
        <v>Complies</v>
      </c>
      <c r="AJ139" s="157" t="str">
        <f t="shared" si="6"/>
        <v/>
      </c>
    </row>
    <row r="140" ht="12.75" customHeight="1">
      <c r="A140" s="244" t="s">
        <v>621</v>
      </c>
      <c r="B140" s="244" t="s">
        <v>624</v>
      </c>
      <c r="C140" s="244" t="s">
        <v>780</v>
      </c>
      <c r="D140" s="154" t="s">
        <v>781</v>
      </c>
      <c r="E140" s="250"/>
      <c r="F140" s="154" t="str">
        <f t="array" ref="F140">XLOOKUP(Cover!$D$12,$S$1:$AA$1,$S140:$AA140)</f>
        <v>Recommended</v>
      </c>
      <c r="G140" s="154" t="s">
        <v>782</v>
      </c>
      <c r="H140" s="154"/>
      <c r="I140" s="154" t="s">
        <v>759</v>
      </c>
      <c r="J140" s="247" t="s">
        <v>445</v>
      </c>
      <c r="K140" s="154"/>
      <c r="L140" s="154" t="str">
        <f t="shared" si="1"/>
        <v/>
      </c>
      <c r="M140" s="248" t="str">
        <f>IFERROR(__xludf.DUMMYFUNCTION("VLOOKUP(C140,IMPORTRANGE(""https://docs.google.com/spreadsheets/d/1P8eX0NWBhUPS_hvzA11R6jkTNFrPrRYIx_dX_hYbxrk/edit?resourcekey=0-iw9bsKY2OqkUHCFMkCar3A&amp;gid=2055363397#gid=2055363397"",""MTR!C:O""),11,false)"),"PMW-L1")</f>
        <v>PMW-L1</v>
      </c>
      <c r="N140" s="248" t="str">
        <f>IFERROR(__xludf.DUMMYFUNCTION("VLOOKUP(C140,IMPORTRANGE(""https://docs.google.com/spreadsheets/d/1ihFlp3_ePlYtFuPbUNbYj1muErVpI73WHXbEwJDIA7Q/edit#gid=1493122344"",""MTR!C:O""),8,false)"),"Complies")</f>
        <v>Complies</v>
      </c>
      <c r="O140" s="241" t="str">
        <f>IFERROR(__xludf.DUMMYFUNCTION("VLOOKUP(C140,IMPORTRANGE(""https://docs.google.com/spreadsheets/d/1P8eX0NWBhUPS_hvzA11R6jkTNFrPrRYIx_dX_hYbxrk/edit?resourcekey=0-iw9bsKY2OqkUHCFMkCar3A&amp;gid=2055363397#gid=2055363397"",""MTR!C:O""),9,false)"),"")</f>
        <v/>
      </c>
      <c r="P140" s="241"/>
      <c r="Q140" s="251" t="s">
        <v>445</v>
      </c>
      <c r="R140" s="241"/>
      <c r="S140" s="154" t="s">
        <v>66</v>
      </c>
      <c r="T140" s="154" t="s">
        <v>66</v>
      </c>
      <c r="U140" s="154" t="s">
        <v>64</v>
      </c>
      <c r="V140" s="154" t="s">
        <v>64</v>
      </c>
      <c r="W140" s="154" t="s">
        <v>64</v>
      </c>
      <c r="X140" s="154" t="s">
        <v>64</v>
      </c>
      <c r="Y140" s="154" t="s">
        <v>68</v>
      </c>
      <c r="Z140" s="154" t="s">
        <v>64</v>
      </c>
      <c r="AA140" s="154" t="s">
        <v>64</v>
      </c>
      <c r="AB140" s="154"/>
      <c r="AC140" s="242" t="b">
        <f t="shared" si="2"/>
        <v>1</v>
      </c>
      <c r="AD140" s="154" t="s">
        <v>391</v>
      </c>
      <c r="AE140" s="243" t="b">
        <f t="shared" si="3"/>
        <v>0</v>
      </c>
      <c r="AF140" s="154"/>
      <c r="AG140" s="243" t="b">
        <f t="shared" si="4"/>
        <v>0</v>
      </c>
      <c r="AH140" s="154" t="s">
        <v>776</v>
      </c>
      <c r="AI140" s="243" t="str">
        <f t="shared" si="5"/>
        <v>Complies</v>
      </c>
      <c r="AJ140" s="157" t="str">
        <f t="shared" si="6"/>
        <v/>
      </c>
    </row>
    <row r="141" ht="12.75" customHeight="1">
      <c r="A141" s="244" t="s">
        <v>621</v>
      </c>
      <c r="B141" s="244" t="s">
        <v>624</v>
      </c>
      <c r="C141" s="244" t="s">
        <v>783</v>
      </c>
      <c r="D141" s="154" t="s">
        <v>542</v>
      </c>
      <c r="E141" s="250"/>
      <c r="F141" s="154" t="str">
        <f t="array" ref="F141">XLOOKUP(Cover!$D$12,$S$1:$AA$1,$S141:$AA141)</f>
        <v>Recommended</v>
      </c>
      <c r="G141" s="153" t="s">
        <v>784</v>
      </c>
      <c r="H141" s="154"/>
      <c r="I141" s="154" t="s">
        <v>759</v>
      </c>
      <c r="J141" s="247" t="s">
        <v>445</v>
      </c>
      <c r="K141" s="154"/>
      <c r="L141" s="154" t="str">
        <f t="shared" si="1"/>
        <v/>
      </c>
      <c r="M141" s="248" t="str">
        <f>IFERROR(__xludf.DUMMYFUNCTION("VLOOKUP(C141,IMPORTRANGE(""https://docs.google.com/spreadsheets/d/1P8eX0NWBhUPS_hvzA11R6jkTNFrPrRYIx_dX_hYbxrk/edit?resourcekey=0-iw9bsKY2OqkUHCFMkCar3A&amp;gid=2055363397#gid=2055363397"",""MTR!C:O""),11,false)"),"PMW-L1")</f>
        <v>PMW-L1</v>
      </c>
      <c r="N141" s="248" t="str">
        <f>IFERROR(__xludf.DUMMYFUNCTION("VLOOKUP(C141,IMPORTRANGE(""https://docs.google.com/spreadsheets/d/1ihFlp3_ePlYtFuPbUNbYj1muErVpI73WHXbEwJDIA7Q/edit#gid=1493122344"",""MTR!C:O""),8,false)"),"Complies")</f>
        <v>Complies</v>
      </c>
      <c r="O141" s="241" t="str">
        <f>IFERROR(__xludf.DUMMYFUNCTION("VLOOKUP(C141,IMPORTRANGE(""https://docs.google.com/spreadsheets/d/1P8eX0NWBhUPS_hvzA11R6jkTNFrPrRYIx_dX_hYbxrk/edit?resourcekey=0-iw9bsKY2OqkUHCFMkCar3A&amp;gid=2055363397#gid=2055363397"",""MTR!C:O""),9,false)"),"")</f>
        <v/>
      </c>
      <c r="P141" s="241"/>
      <c r="Q141" s="251" t="s">
        <v>445</v>
      </c>
      <c r="R141" s="241"/>
      <c r="S141" s="154" t="s">
        <v>66</v>
      </c>
      <c r="T141" s="154" t="s">
        <v>66</v>
      </c>
      <c r="U141" s="154" t="s">
        <v>64</v>
      </c>
      <c r="V141" s="154" t="s">
        <v>64</v>
      </c>
      <c r="W141" s="154" t="s">
        <v>64</v>
      </c>
      <c r="X141" s="154" t="s">
        <v>64</v>
      </c>
      <c r="Y141" s="154" t="s">
        <v>68</v>
      </c>
      <c r="Z141" s="154" t="s">
        <v>64</v>
      </c>
      <c r="AA141" s="154" t="s">
        <v>64</v>
      </c>
      <c r="AB141" s="154"/>
      <c r="AC141" s="242" t="b">
        <f t="shared" si="2"/>
        <v>1</v>
      </c>
      <c r="AD141" s="154" t="s">
        <v>391</v>
      </c>
      <c r="AE141" s="243" t="b">
        <f t="shared" si="3"/>
        <v>0</v>
      </c>
      <c r="AF141" s="154"/>
      <c r="AG141" s="243" t="b">
        <f t="shared" si="4"/>
        <v>0</v>
      </c>
      <c r="AH141" s="154" t="s">
        <v>652</v>
      </c>
      <c r="AI141" s="243" t="str">
        <f t="shared" si="5"/>
        <v>Complies</v>
      </c>
      <c r="AJ141" s="157" t="str">
        <f t="shared" si="6"/>
        <v/>
      </c>
    </row>
    <row r="142" ht="12.75" customHeight="1">
      <c r="A142" s="244" t="s">
        <v>621</v>
      </c>
      <c r="B142" s="244" t="s">
        <v>624</v>
      </c>
      <c r="C142" s="245" t="s">
        <v>785</v>
      </c>
      <c r="D142" s="155" t="s">
        <v>503</v>
      </c>
      <c r="E142" s="246" t="s">
        <v>92</v>
      </c>
      <c r="F142" s="154" t="str">
        <f t="array" ref="F142">XLOOKUP(Cover!$D$12,$S$1:$AA$1,$S142:$AA142)</f>
        <v>Recommended</v>
      </c>
      <c r="G142" s="154" t="s">
        <v>786</v>
      </c>
      <c r="H142" s="154"/>
      <c r="I142" s="154" t="s">
        <v>759</v>
      </c>
      <c r="J142" s="247" t="s">
        <v>516</v>
      </c>
      <c r="K142" s="247" t="s">
        <v>787</v>
      </c>
      <c r="L142" s="154" t="str">
        <f t="shared" si="1"/>
        <v/>
      </c>
      <c r="M142" s="248" t="str">
        <f>IFERROR(__xludf.DUMMYFUNCTION("VLOOKUP(C142,IMPORTRANGE(""https://docs.google.com/spreadsheets/d/1P8eX0NWBhUPS_hvzA11R6jkTNFrPrRYIx_dX_hYbxrk/edit?resourcekey=0-iw9bsKY2OqkUHCFMkCar3A&amp;gid=2055363397#gid=2055363397"",""MTR!C:O""),11,false)"),"PMW-MCE-AS")</f>
        <v>PMW-MCE-AS</v>
      </c>
      <c r="N142" s="248" t="str">
        <f>IFERROR(__xludf.DUMMYFUNCTION("VLOOKUP(C142,IMPORTRANGE(""https://docs.google.com/spreadsheets/d/1ihFlp3_ePlYtFuPbUNbYj1muErVpI73WHXbEwJDIA7Q/edit#gid=1493122344"",""MTR!C:O""),8,false)"),"Does Not Comply")</f>
        <v>Does Not Comply</v>
      </c>
      <c r="O142" s="241" t="str">
        <f>IFERROR(__xludf.DUMMYFUNCTION("VLOOKUP(C142,IMPORTRANGE(""https://docs.google.com/spreadsheets/d/1P8eX0NWBhUPS_hvzA11R6jkTNFrPrRYIx_dX_hYbxrk/edit?resourcekey=0-iw9bsKY2OqkUHCFMkCar3A&amp;gid=2055363397#gid=2055363397"",""MTR!C:O""),9,false)"),"")</f>
        <v/>
      </c>
      <c r="P142" s="241"/>
      <c r="Q142" s="251" t="s">
        <v>516</v>
      </c>
      <c r="R142" s="241"/>
      <c r="S142" s="154" t="s">
        <v>66</v>
      </c>
      <c r="T142" s="154" t="s">
        <v>66</v>
      </c>
      <c r="U142" s="154" t="s">
        <v>64</v>
      </c>
      <c r="V142" s="154" t="s">
        <v>64</v>
      </c>
      <c r="W142" s="154" t="s">
        <v>64</v>
      </c>
      <c r="X142" s="154" t="s">
        <v>64</v>
      </c>
      <c r="Y142" s="154" t="s">
        <v>68</v>
      </c>
      <c r="Z142" s="154" t="s">
        <v>64</v>
      </c>
      <c r="AA142" s="154" t="s">
        <v>64</v>
      </c>
      <c r="AB142" s="154"/>
      <c r="AC142" s="242" t="b">
        <f t="shared" si="2"/>
        <v>1</v>
      </c>
      <c r="AD142" s="154" t="s">
        <v>391</v>
      </c>
      <c r="AE142" s="243" t="b">
        <f t="shared" si="3"/>
        <v>0</v>
      </c>
      <c r="AF142" s="154"/>
      <c r="AG142" s="243" t="b">
        <f t="shared" si="4"/>
        <v>0</v>
      </c>
      <c r="AH142" s="154" t="s">
        <v>783</v>
      </c>
      <c r="AI142" s="243" t="str">
        <f t="shared" si="5"/>
        <v>Complies</v>
      </c>
      <c r="AJ142" s="157" t="str">
        <f t="shared" si="6"/>
        <v/>
      </c>
    </row>
    <row r="143" ht="12.75" customHeight="1">
      <c r="A143" s="244" t="s">
        <v>621</v>
      </c>
      <c r="B143" s="244" t="s">
        <v>624</v>
      </c>
      <c r="C143" s="244" t="s">
        <v>788</v>
      </c>
      <c r="D143" s="154" t="s">
        <v>542</v>
      </c>
      <c r="E143" s="250"/>
      <c r="F143" s="154" t="str">
        <f t="array" ref="F143">XLOOKUP(Cover!$D$12,$S$1:$AA$1,$S143:$AA143)</f>
        <v>Recommended</v>
      </c>
      <c r="G143" s="153" t="s">
        <v>789</v>
      </c>
      <c r="H143" s="154"/>
      <c r="I143" s="154" t="s">
        <v>759</v>
      </c>
      <c r="J143" s="247" t="s">
        <v>445</v>
      </c>
      <c r="K143" s="154"/>
      <c r="L143" s="154" t="str">
        <f t="shared" si="1"/>
        <v/>
      </c>
      <c r="M143" s="248" t="str">
        <f>IFERROR(__xludf.DUMMYFUNCTION("VLOOKUP(C143,IMPORTRANGE(""https://docs.google.com/spreadsheets/d/1P8eX0NWBhUPS_hvzA11R6jkTNFrPrRYIx_dX_hYbxrk/edit?resourcekey=0-iw9bsKY2OqkUHCFMkCar3A&amp;gid=2055363397#gid=2055363397"",""MTR!C:O""),11,false)"),"PMW-L1")</f>
        <v>PMW-L1</v>
      </c>
      <c r="N143" s="248" t="str">
        <f>IFERROR(__xludf.DUMMYFUNCTION("VLOOKUP(C143,IMPORTRANGE(""https://docs.google.com/spreadsheets/d/1ihFlp3_ePlYtFuPbUNbYj1muErVpI73WHXbEwJDIA7Q/edit#gid=1493122344"",""MTR!C:O""),8,false)"),"Complies")</f>
        <v>Complies</v>
      </c>
      <c r="O143" s="241" t="str">
        <f>IFERROR(__xludf.DUMMYFUNCTION("VLOOKUP(C143,IMPORTRANGE(""https://docs.google.com/spreadsheets/d/1P8eX0NWBhUPS_hvzA11R6jkTNFrPrRYIx_dX_hYbxrk/edit?resourcekey=0-iw9bsKY2OqkUHCFMkCar3A&amp;gid=2055363397#gid=2055363397"",""MTR!C:O""),9,false)"),"")</f>
        <v/>
      </c>
      <c r="P143" s="241"/>
      <c r="Q143" s="251" t="s">
        <v>445</v>
      </c>
      <c r="R143" s="241"/>
      <c r="S143" s="154" t="s">
        <v>66</v>
      </c>
      <c r="T143" s="154" t="s">
        <v>66</v>
      </c>
      <c r="U143" s="154" t="s">
        <v>64</v>
      </c>
      <c r="V143" s="154" t="s">
        <v>64</v>
      </c>
      <c r="W143" s="154" t="s">
        <v>64</v>
      </c>
      <c r="X143" s="154" t="s">
        <v>64</v>
      </c>
      <c r="Y143" s="154" t="s">
        <v>68</v>
      </c>
      <c r="Z143" s="154" t="s">
        <v>64</v>
      </c>
      <c r="AA143" s="154" t="s">
        <v>64</v>
      </c>
      <c r="AB143" s="154"/>
      <c r="AC143" s="242" t="b">
        <f t="shared" si="2"/>
        <v>1</v>
      </c>
      <c r="AD143" s="154" t="s">
        <v>391</v>
      </c>
      <c r="AE143" s="243" t="b">
        <f t="shared" si="3"/>
        <v>0</v>
      </c>
      <c r="AF143" s="154"/>
      <c r="AG143" s="243" t="b">
        <f t="shared" si="4"/>
        <v>0</v>
      </c>
      <c r="AH143" s="154" t="s">
        <v>652</v>
      </c>
      <c r="AI143" s="243" t="str">
        <f t="shared" si="5"/>
        <v>Complies</v>
      </c>
      <c r="AJ143" s="157" t="str">
        <f t="shared" si="6"/>
        <v/>
      </c>
    </row>
    <row r="144" ht="12.75" customHeight="1">
      <c r="A144" s="244" t="s">
        <v>621</v>
      </c>
      <c r="B144" s="244" t="s">
        <v>624</v>
      </c>
      <c r="C144" s="244" t="s">
        <v>790</v>
      </c>
      <c r="D144" s="154" t="s">
        <v>542</v>
      </c>
      <c r="E144" s="250"/>
      <c r="F144" s="154" t="str">
        <f t="array" ref="F144">XLOOKUP(Cover!$D$12,$S$1:$AA$1,$S144:$AA144)</f>
        <v>Mandatory</v>
      </c>
      <c r="G144" s="153" t="s">
        <v>791</v>
      </c>
      <c r="H144" s="154" t="s">
        <v>654</v>
      </c>
      <c r="I144" s="154" t="s">
        <v>759</v>
      </c>
      <c r="J144" s="247" t="s">
        <v>445</v>
      </c>
      <c r="K144" s="154"/>
      <c r="L144" s="154" t="str">
        <f t="shared" si="1"/>
        <v/>
      </c>
      <c r="M144" s="248" t="str">
        <f>IFERROR(__xludf.DUMMYFUNCTION("VLOOKUP(C144,IMPORTRANGE(""https://docs.google.com/spreadsheets/d/1P8eX0NWBhUPS_hvzA11R6jkTNFrPrRYIx_dX_hYbxrk/edit?resourcekey=0-iw9bsKY2OqkUHCFMkCar3A&amp;gid=2055363397#gid=2055363397"",""MTR!C:O""),11,false)"),"PMW-L1")</f>
        <v>PMW-L1</v>
      </c>
      <c r="N144" s="248" t="str">
        <f>IFERROR(__xludf.DUMMYFUNCTION("VLOOKUP(C144,IMPORTRANGE(""https://docs.google.com/spreadsheets/d/1ihFlp3_ePlYtFuPbUNbYj1muErVpI73WHXbEwJDIA7Q/edit#gid=1493122344"",""MTR!C:O""),8,false)"),"Complies")</f>
        <v>Complies</v>
      </c>
      <c r="O144" s="241" t="str">
        <f>IFERROR(__xludf.DUMMYFUNCTION("VLOOKUP(C144,IMPORTRANGE(""https://docs.google.com/spreadsheets/d/1P8eX0NWBhUPS_hvzA11R6jkTNFrPrRYIx_dX_hYbxrk/edit?resourcekey=0-iw9bsKY2OqkUHCFMkCar3A&amp;gid=2055363397#gid=2055363397"",""MTR!C:O""),9,false)"),"")</f>
        <v/>
      </c>
      <c r="P144" s="241"/>
      <c r="Q144" s="251" t="s">
        <v>445</v>
      </c>
      <c r="R144" s="241"/>
      <c r="S144" s="154" t="s">
        <v>66</v>
      </c>
      <c r="T144" s="154" t="s">
        <v>66</v>
      </c>
      <c r="U144" s="154" t="s">
        <v>60</v>
      </c>
      <c r="V144" s="154" t="s">
        <v>60</v>
      </c>
      <c r="W144" s="154" t="s">
        <v>60</v>
      </c>
      <c r="X144" s="154" t="s">
        <v>60</v>
      </c>
      <c r="Y144" s="154" t="s">
        <v>68</v>
      </c>
      <c r="Z144" s="154" t="s">
        <v>60</v>
      </c>
      <c r="AA144" s="154" t="s">
        <v>60</v>
      </c>
      <c r="AB144" s="154"/>
      <c r="AC144" s="242" t="b">
        <f t="shared" si="2"/>
        <v>1</v>
      </c>
      <c r="AD144" s="154" t="s">
        <v>391</v>
      </c>
      <c r="AE144" s="243" t="b">
        <f t="shared" si="3"/>
        <v>0</v>
      </c>
      <c r="AF144" s="154"/>
      <c r="AG144" s="243" t="b">
        <f t="shared" si="4"/>
        <v>0</v>
      </c>
      <c r="AH144" s="154" t="s">
        <v>652</v>
      </c>
      <c r="AI144" s="243" t="str">
        <f t="shared" si="5"/>
        <v>Complies</v>
      </c>
      <c r="AJ144" s="157" t="str">
        <f t="shared" si="6"/>
        <v/>
      </c>
    </row>
    <row r="145" ht="12.75" customHeight="1">
      <c r="A145" s="244" t="s">
        <v>621</v>
      </c>
      <c r="B145" s="244" t="s">
        <v>624</v>
      </c>
      <c r="C145" s="244" t="s">
        <v>792</v>
      </c>
      <c r="D145" s="154" t="s">
        <v>546</v>
      </c>
      <c r="E145" s="250"/>
      <c r="F145" s="154" t="str">
        <f t="array" ref="F145">XLOOKUP(Cover!$D$12,$S$1:$AA$1,$S145:$AA145)</f>
        <v>Mandatory</v>
      </c>
      <c r="G145" s="154" t="s">
        <v>793</v>
      </c>
      <c r="H145" s="154" t="s">
        <v>654</v>
      </c>
      <c r="I145" s="154" t="s">
        <v>759</v>
      </c>
      <c r="J145" s="247" t="s">
        <v>445</v>
      </c>
      <c r="K145" s="154"/>
      <c r="L145" s="154" t="str">
        <f t="shared" si="1"/>
        <v/>
      </c>
      <c r="M145" s="248" t="str">
        <f>IFERROR(__xludf.DUMMYFUNCTION("VLOOKUP(C145,IMPORTRANGE(""https://docs.google.com/spreadsheets/d/1P8eX0NWBhUPS_hvzA11R6jkTNFrPrRYIx_dX_hYbxrk/edit?resourcekey=0-iw9bsKY2OqkUHCFMkCar3A&amp;gid=2055363397#gid=2055363397"",""MTR!C:O""),11,false)"),"PMW-L1")</f>
        <v>PMW-L1</v>
      </c>
      <c r="N145" s="248" t="str">
        <f>IFERROR(__xludf.DUMMYFUNCTION("VLOOKUP(C145,IMPORTRANGE(""https://docs.google.com/spreadsheets/d/1ihFlp3_ePlYtFuPbUNbYj1muErVpI73WHXbEwJDIA7Q/edit#gid=1493122344"",""MTR!C:O""),8,false)"),"Complies")</f>
        <v>Complies</v>
      </c>
      <c r="O145" s="241" t="str">
        <f>IFERROR(__xludf.DUMMYFUNCTION("VLOOKUP(C145,IMPORTRANGE(""https://docs.google.com/spreadsheets/d/1P8eX0NWBhUPS_hvzA11R6jkTNFrPrRYIx_dX_hYbxrk/edit?resourcekey=0-iw9bsKY2OqkUHCFMkCar3A&amp;gid=2055363397#gid=2055363397"",""MTR!C:O""),9,false)"),"")</f>
        <v/>
      </c>
      <c r="P145" s="241"/>
      <c r="Q145" s="251" t="s">
        <v>445</v>
      </c>
      <c r="R145" s="241"/>
      <c r="S145" s="154" t="s">
        <v>66</v>
      </c>
      <c r="T145" s="154" t="s">
        <v>66</v>
      </c>
      <c r="U145" s="154" t="s">
        <v>60</v>
      </c>
      <c r="V145" s="154" t="s">
        <v>60</v>
      </c>
      <c r="W145" s="154" t="s">
        <v>60</v>
      </c>
      <c r="X145" s="154" t="s">
        <v>60</v>
      </c>
      <c r="Y145" s="154" t="s">
        <v>68</v>
      </c>
      <c r="Z145" s="154" t="s">
        <v>60</v>
      </c>
      <c r="AA145" s="154" t="s">
        <v>60</v>
      </c>
      <c r="AB145" s="154"/>
      <c r="AC145" s="242" t="b">
        <f t="shared" si="2"/>
        <v>1</v>
      </c>
      <c r="AD145" s="154" t="s">
        <v>391</v>
      </c>
      <c r="AE145" s="243" t="b">
        <f t="shared" si="3"/>
        <v>0</v>
      </c>
      <c r="AF145" s="154"/>
      <c r="AG145" s="243" t="b">
        <f t="shared" si="4"/>
        <v>0</v>
      </c>
      <c r="AH145" s="154" t="s">
        <v>790</v>
      </c>
      <c r="AI145" s="243" t="str">
        <f t="shared" si="5"/>
        <v>Complies</v>
      </c>
      <c r="AJ145" s="157" t="str">
        <f t="shared" si="6"/>
        <v/>
      </c>
    </row>
    <row r="146" ht="12.75" customHeight="1">
      <c r="A146" s="244" t="s">
        <v>621</v>
      </c>
      <c r="B146" s="244" t="s">
        <v>624</v>
      </c>
      <c r="C146" s="244" t="s">
        <v>794</v>
      </c>
      <c r="D146" s="154" t="s">
        <v>546</v>
      </c>
      <c r="E146" s="250"/>
      <c r="F146" s="154" t="str">
        <f t="array" ref="F146">XLOOKUP(Cover!$D$12,$S$1:$AA$1,$S146:$AA146)</f>
        <v>Information</v>
      </c>
      <c r="G146" s="153" t="s">
        <v>795</v>
      </c>
      <c r="H146" s="154"/>
      <c r="I146" s="154" t="s">
        <v>759</v>
      </c>
      <c r="J146" s="247" t="s">
        <v>445</v>
      </c>
      <c r="K146" s="154"/>
      <c r="L146" s="154" t="str">
        <f t="shared" si="1"/>
        <v/>
      </c>
      <c r="M146" s="248" t="str">
        <f>IFERROR(__xludf.DUMMYFUNCTION("VLOOKUP(C146,IMPORTRANGE(""https://docs.google.com/spreadsheets/d/1P8eX0NWBhUPS_hvzA11R6jkTNFrPrRYIx_dX_hYbxrk/edit?resourcekey=0-iw9bsKY2OqkUHCFMkCar3A&amp;gid=2055363397#gid=2055363397"",""MTR!C:O""),11,false)"),"PMW-L1")</f>
        <v>PMW-L1</v>
      </c>
      <c r="N146" s="248" t="str">
        <f>IFERROR(__xludf.DUMMYFUNCTION("VLOOKUP(C146,IMPORTRANGE(""https://docs.google.com/spreadsheets/d/1ihFlp3_ePlYtFuPbUNbYj1muErVpI73WHXbEwJDIA7Q/edit#gid=1493122344"",""MTR!C:O""),8,false)"),"Complies")</f>
        <v>Complies</v>
      </c>
      <c r="O146" s="241" t="str">
        <f>IFERROR(__xludf.DUMMYFUNCTION("VLOOKUP(C146,IMPORTRANGE(""https://docs.google.com/spreadsheets/d/1P8eX0NWBhUPS_hvzA11R6jkTNFrPrRYIx_dX_hYbxrk/edit?resourcekey=0-iw9bsKY2OqkUHCFMkCar3A&amp;gid=2055363397#gid=2055363397"",""MTR!C:O""),9,false)"),"")</f>
        <v/>
      </c>
      <c r="P146" s="241"/>
      <c r="Q146" s="251" t="s">
        <v>445</v>
      </c>
      <c r="R146" s="241"/>
      <c r="S146" s="154" t="s">
        <v>66</v>
      </c>
      <c r="T146" s="154" t="s">
        <v>66</v>
      </c>
      <c r="U146" s="154" t="s">
        <v>66</v>
      </c>
      <c r="V146" s="154" t="s">
        <v>66</v>
      </c>
      <c r="W146" s="154" t="s">
        <v>66</v>
      </c>
      <c r="X146" s="154" t="s">
        <v>66</v>
      </c>
      <c r="Y146" s="154" t="s">
        <v>68</v>
      </c>
      <c r="Z146" s="154" t="s">
        <v>66</v>
      </c>
      <c r="AA146" s="154" t="s">
        <v>66</v>
      </c>
      <c r="AB146" s="154"/>
      <c r="AC146" s="242" t="b">
        <f t="shared" si="2"/>
        <v>1</v>
      </c>
      <c r="AD146" s="154" t="s">
        <v>391</v>
      </c>
      <c r="AE146" s="243" t="b">
        <f t="shared" si="3"/>
        <v>0</v>
      </c>
      <c r="AF146" s="154"/>
      <c r="AG146" s="243" t="b">
        <f t="shared" si="4"/>
        <v>0</v>
      </c>
      <c r="AH146" s="154" t="s">
        <v>652</v>
      </c>
      <c r="AI146" s="243" t="str">
        <f t="shared" si="5"/>
        <v>Complies</v>
      </c>
      <c r="AJ146" s="157" t="str">
        <f t="shared" si="6"/>
        <v/>
      </c>
    </row>
    <row r="147" ht="12.75" customHeight="1">
      <c r="A147" s="244" t="s">
        <v>621</v>
      </c>
      <c r="B147" s="244" t="s">
        <v>624</v>
      </c>
      <c r="C147" s="244" t="s">
        <v>796</v>
      </c>
      <c r="D147" s="154" t="s">
        <v>546</v>
      </c>
      <c r="E147" s="250"/>
      <c r="F147" s="154" t="str">
        <f t="array" ref="F147">XLOOKUP(Cover!$D$12,$S$1:$AA$1,$S147:$AA147)</f>
        <v>Information</v>
      </c>
      <c r="G147" s="153" t="s">
        <v>797</v>
      </c>
      <c r="H147" s="154"/>
      <c r="I147" s="154" t="s">
        <v>759</v>
      </c>
      <c r="J147" s="247" t="s">
        <v>445</v>
      </c>
      <c r="K147" s="154"/>
      <c r="L147" s="154" t="str">
        <f t="shared" si="1"/>
        <v/>
      </c>
      <c r="M147" s="248" t="str">
        <f>IFERROR(__xludf.DUMMYFUNCTION("VLOOKUP(C147,IMPORTRANGE(""https://docs.google.com/spreadsheets/d/1P8eX0NWBhUPS_hvzA11R6jkTNFrPrRYIx_dX_hYbxrk/edit?resourcekey=0-iw9bsKY2OqkUHCFMkCar3A&amp;gid=2055363397#gid=2055363397"",""MTR!C:O""),11,false)"),"PMW-L1")</f>
        <v>PMW-L1</v>
      </c>
      <c r="N147" s="248" t="str">
        <f>IFERROR(__xludf.DUMMYFUNCTION("VLOOKUP(C147,IMPORTRANGE(""https://docs.google.com/spreadsheets/d/1ihFlp3_ePlYtFuPbUNbYj1muErVpI73WHXbEwJDIA7Q/edit#gid=1493122344"",""MTR!C:O""),8,false)"),"Complies")</f>
        <v>Complies</v>
      </c>
      <c r="O147" s="241" t="str">
        <f>IFERROR(__xludf.DUMMYFUNCTION("VLOOKUP(C147,IMPORTRANGE(""https://docs.google.com/spreadsheets/d/1P8eX0NWBhUPS_hvzA11R6jkTNFrPrRYIx_dX_hYbxrk/edit?resourcekey=0-iw9bsKY2OqkUHCFMkCar3A&amp;gid=2055363397#gid=2055363397"",""MTR!C:O""),9,false)"),"")</f>
        <v/>
      </c>
      <c r="P147" s="241"/>
      <c r="Q147" s="251" t="s">
        <v>445</v>
      </c>
      <c r="R147" s="241"/>
      <c r="S147" s="154" t="s">
        <v>66</v>
      </c>
      <c r="T147" s="154" t="s">
        <v>66</v>
      </c>
      <c r="U147" s="154" t="s">
        <v>66</v>
      </c>
      <c r="V147" s="154" t="s">
        <v>66</v>
      </c>
      <c r="W147" s="154" t="s">
        <v>66</v>
      </c>
      <c r="X147" s="154" t="s">
        <v>66</v>
      </c>
      <c r="Y147" s="154" t="s">
        <v>68</v>
      </c>
      <c r="Z147" s="154" t="s">
        <v>66</v>
      </c>
      <c r="AA147" s="154" t="s">
        <v>66</v>
      </c>
      <c r="AB147" s="154"/>
      <c r="AC147" s="242" t="b">
        <f t="shared" si="2"/>
        <v>1</v>
      </c>
      <c r="AD147" s="154" t="s">
        <v>391</v>
      </c>
      <c r="AE147" s="243" t="b">
        <f t="shared" si="3"/>
        <v>0</v>
      </c>
      <c r="AF147" s="154"/>
      <c r="AG147" s="243" t="b">
        <f t="shared" si="4"/>
        <v>0</v>
      </c>
      <c r="AH147" s="154" t="s">
        <v>652</v>
      </c>
      <c r="AI147" s="243" t="str">
        <f t="shared" si="5"/>
        <v>Complies</v>
      </c>
      <c r="AJ147" s="157" t="str">
        <f t="shared" si="6"/>
        <v/>
      </c>
    </row>
    <row r="148" ht="12.75" customHeight="1">
      <c r="A148" s="238" t="s">
        <v>621</v>
      </c>
      <c r="B148" s="238" t="s">
        <v>624</v>
      </c>
      <c r="C148" s="238" t="s">
        <v>798</v>
      </c>
      <c r="D148" s="240"/>
      <c r="E148" s="252" t="s">
        <v>92</v>
      </c>
      <c r="F148" s="154" t="str">
        <f t="array" ref="F148">XLOOKUP(Cover!$D$12,$S$1:$AA$1,$S148:$AA148)</f>
        <v>Heading</v>
      </c>
      <c r="G148" s="239" t="s">
        <v>799</v>
      </c>
      <c r="H148" s="240"/>
      <c r="I148" s="240" t="s">
        <v>759</v>
      </c>
      <c r="J148" s="240"/>
      <c r="K148" s="240"/>
      <c r="L148" s="154" t="str">
        <f t="shared" si="1"/>
        <v/>
      </c>
      <c r="M148" s="241" t="str">
        <f>IFERROR(__xludf.DUMMYFUNCTION("VLOOKUP(C148,IMPORTRANGE(""https://docs.google.com/spreadsheets/d/1P8eX0NWBhUPS_hvzA11R6jkTNFrPrRYIx_dX_hYbxrk/edit?resourcekey=0-iw9bsKY2OqkUHCFMkCar3A&amp;gid=2055363397#gid=2055363397"",""MTR!C:O""),11,false)"),"")</f>
        <v/>
      </c>
      <c r="N148" s="241" t="str">
        <f>IFERROR(__xludf.DUMMYFUNCTION("VLOOKUP(C148,IMPORTRANGE(""https://docs.google.com/spreadsheets/d/1ihFlp3_ePlYtFuPbUNbYj1muErVpI73WHXbEwJDIA7Q/edit#gid=1493122344"",""MTR!C:O""),8,false)"),"")</f>
        <v/>
      </c>
      <c r="O148" s="241" t="str">
        <f>IFERROR(__xludf.DUMMYFUNCTION("VLOOKUP(C148,IMPORTRANGE(""https://docs.google.com/spreadsheets/d/1P8eX0NWBhUPS_hvzA11R6jkTNFrPrRYIx_dX_hYbxrk/edit?resourcekey=0-iw9bsKY2OqkUHCFMkCar3A&amp;gid=2055363397#gid=2055363397"",""MTR!C:O""),9,false)"),"")</f>
        <v/>
      </c>
      <c r="P148" s="241"/>
      <c r="Q148" s="241"/>
      <c r="R148" s="241"/>
      <c r="S148" s="240" t="s">
        <v>390</v>
      </c>
      <c r="T148" s="240" t="s">
        <v>390</v>
      </c>
      <c r="U148" s="240" t="s">
        <v>390</v>
      </c>
      <c r="V148" s="240" t="s">
        <v>390</v>
      </c>
      <c r="W148" s="240" t="s">
        <v>390</v>
      </c>
      <c r="X148" s="240" t="s">
        <v>390</v>
      </c>
      <c r="Y148" s="240" t="s">
        <v>390</v>
      </c>
      <c r="Z148" s="240" t="s">
        <v>390</v>
      </c>
      <c r="AA148" s="240" t="s">
        <v>390</v>
      </c>
      <c r="AB148" s="240"/>
      <c r="AC148" s="242" t="b">
        <f t="shared" si="2"/>
        <v>0</v>
      </c>
      <c r="AD148" s="240" t="s">
        <v>391</v>
      </c>
      <c r="AE148" s="243" t="b">
        <f t="shared" si="3"/>
        <v>0</v>
      </c>
      <c r="AF148" s="240"/>
      <c r="AG148" s="243" t="b">
        <f t="shared" si="4"/>
        <v>0</v>
      </c>
      <c r="AH148" s="240"/>
      <c r="AI148" s="243" t="str">
        <f t="shared" si="5"/>
        <v>N/A</v>
      </c>
      <c r="AJ148" s="157" t="str">
        <f t="shared" si="6"/>
        <v/>
      </c>
    </row>
    <row r="149" ht="12.75" customHeight="1">
      <c r="A149" s="244" t="s">
        <v>621</v>
      </c>
      <c r="B149" s="244" t="s">
        <v>624</v>
      </c>
      <c r="C149" s="244" t="s">
        <v>800</v>
      </c>
      <c r="D149" s="154" t="s">
        <v>542</v>
      </c>
      <c r="E149" s="250"/>
      <c r="F149" s="154" t="str">
        <f t="array" ref="F149">XLOOKUP(Cover!$D$12,$S$1:$AA$1,$S149:$AA149)</f>
        <v>Information</v>
      </c>
      <c r="G149" s="153" t="s">
        <v>801</v>
      </c>
      <c r="H149" s="154"/>
      <c r="I149" s="154" t="s">
        <v>759</v>
      </c>
      <c r="J149" s="247" t="s">
        <v>506</v>
      </c>
      <c r="K149" s="247" t="s">
        <v>802</v>
      </c>
      <c r="L149" s="154" t="str">
        <f t="shared" si="1"/>
        <v/>
      </c>
      <c r="M149" s="248" t="str">
        <f>IFERROR(__xludf.DUMMYFUNCTION("VLOOKUP(C149,IMPORTRANGE(""https://docs.google.com/spreadsheets/d/1P8eX0NWBhUPS_hvzA11R6jkTNFrPrRYIx_dX_hYbxrk/edit?resourcekey=0-iw9bsKY2OqkUHCFMkCar3A&amp;gid=2055363397#gid=2055363397"",""MTR!C:O""),11,false)"),"PMW-L1")</f>
        <v>PMW-L1</v>
      </c>
      <c r="N149" s="248" t="str">
        <f>IFERROR(__xludf.DUMMYFUNCTION("VLOOKUP(C149,IMPORTRANGE(""https://docs.google.com/spreadsheets/d/1ihFlp3_ePlYtFuPbUNbYj1muErVpI73WHXbEwJDIA7Q/edit#gid=1493122344"",""MTR!C:O""),8,false)"),"Partially Complies")</f>
        <v>Partially Complies</v>
      </c>
      <c r="O149" s="241" t="str">
        <f>IFERROR(__xludf.DUMMYFUNCTION("VLOOKUP(C149,IMPORTRANGE(""https://docs.google.com/spreadsheets/d/1P8eX0NWBhUPS_hvzA11R6jkTNFrPrRYIx_dX_hYbxrk/edit?resourcekey=0-iw9bsKY2OqkUHCFMkCar3A&amp;gid=2055363397#gid=2055363397"",""MTR!C:O""),9,false)"),"")</f>
        <v/>
      </c>
      <c r="P149" s="241"/>
      <c r="Q149" s="251" t="s">
        <v>506</v>
      </c>
      <c r="R149" s="251" t="s">
        <v>802</v>
      </c>
      <c r="S149" s="154" t="s">
        <v>66</v>
      </c>
      <c r="T149" s="154" t="s">
        <v>66</v>
      </c>
      <c r="U149" s="154" t="s">
        <v>66</v>
      </c>
      <c r="V149" s="154" t="s">
        <v>66</v>
      </c>
      <c r="W149" s="154" t="s">
        <v>66</v>
      </c>
      <c r="X149" s="154" t="s">
        <v>66</v>
      </c>
      <c r="Y149" s="154" t="s">
        <v>68</v>
      </c>
      <c r="Z149" s="154" t="s">
        <v>66</v>
      </c>
      <c r="AA149" s="154" t="s">
        <v>66</v>
      </c>
      <c r="AB149" s="154"/>
      <c r="AC149" s="242" t="b">
        <f t="shared" si="2"/>
        <v>1</v>
      </c>
      <c r="AD149" s="154" t="s">
        <v>391</v>
      </c>
      <c r="AE149" s="243" t="b">
        <f t="shared" si="3"/>
        <v>0</v>
      </c>
      <c r="AF149" s="154"/>
      <c r="AG149" s="243" t="b">
        <f t="shared" si="4"/>
        <v>0</v>
      </c>
      <c r="AH149" s="154" t="s">
        <v>652</v>
      </c>
      <c r="AI149" s="243" t="str">
        <f t="shared" si="5"/>
        <v>Complies</v>
      </c>
      <c r="AJ149" s="157" t="str">
        <f t="shared" si="6"/>
        <v/>
      </c>
    </row>
    <row r="150" ht="12.75" customHeight="1">
      <c r="A150" s="244" t="s">
        <v>621</v>
      </c>
      <c r="B150" s="244" t="s">
        <v>624</v>
      </c>
      <c r="C150" s="244" t="s">
        <v>803</v>
      </c>
      <c r="D150" s="154" t="s">
        <v>781</v>
      </c>
      <c r="E150" s="250"/>
      <c r="F150" s="154" t="str">
        <f t="array" ref="F150">XLOOKUP(Cover!$D$12,$S$1:$AA$1,$S150:$AA150)</f>
        <v>Information</v>
      </c>
      <c r="G150" s="154" t="s">
        <v>804</v>
      </c>
      <c r="H150" s="154"/>
      <c r="I150" s="154" t="s">
        <v>759</v>
      </c>
      <c r="J150" s="247" t="s">
        <v>445</v>
      </c>
      <c r="K150" s="154"/>
      <c r="L150" s="154" t="str">
        <f t="shared" si="1"/>
        <v/>
      </c>
      <c r="M150" s="248" t="str">
        <f>IFERROR(__xludf.DUMMYFUNCTION("VLOOKUP(C150,IMPORTRANGE(""https://docs.google.com/spreadsheets/d/1P8eX0NWBhUPS_hvzA11R6jkTNFrPrRYIx_dX_hYbxrk/edit?resourcekey=0-iw9bsKY2OqkUHCFMkCar3A&amp;gid=2055363397#gid=2055363397"",""MTR!C:O""),11,false)"),"PMW-L1")</f>
        <v>PMW-L1</v>
      </c>
      <c r="N150" s="248" t="str">
        <f>IFERROR(__xludf.DUMMYFUNCTION("VLOOKUP(C150,IMPORTRANGE(""https://docs.google.com/spreadsheets/d/1ihFlp3_ePlYtFuPbUNbYj1muErVpI73WHXbEwJDIA7Q/edit#gid=1493122344"",""MTR!C:O""),8,false)"),"Complies")</f>
        <v>Complies</v>
      </c>
      <c r="O150" s="241" t="str">
        <f>IFERROR(__xludf.DUMMYFUNCTION("VLOOKUP(C150,IMPORTRANGE(""https://docs.google.com/spreadsheets/d/1P8eX0NWBhUPS_hvzA11R6jkTNFrPrRYIx_dX_hYbxrk/edit?resourcekey=0-iw9bsKY2OqkUHCFMkCar3A&amp;gid=2055363397#gid=2055363397"",""MTR!C:O""),9,false)"),"")</f>
        <v/>
      </c>
      <c r="P150" s="241"/>
      <c r="Q150" s="251" t="s">
        <v>445</v>
      </c>
      <c r="R150" s="241"/>
      <c r="S150" s="154" t="s">
        <v>66</v>
      </c>
      <c r="T150" s="154" t="s">
        <v>66</v>
      </c>
      <c r="U150" s="154" t="s">
        <v>66</v>
      </c>
      <c r="V150" s="154" t="s">
        <v>66</v>
      </c>
      <c r="W150" s="154" t="s">
        <v>66</v>
      </c>
      <c r="X150" s="154" t="s">
        <v>66</v>
      </c>
      <c r="Y150" s="154" t="s">
        <v>68</v>
      </c>
      <c r="Z150" s="154" t="s">
        <v>66</v>
      </c>
      <c r="AA150" s="154" t="s">
        <v>66</v>
      </c>
      <c r="AB150" s="154"/>
      <c r="AC150" s="242" t="b">
        <f t="shared" si="2"/>
        <v>1</v>
      </c>
      <c r="AD150" s="154" t="s">
        <v>391</v>
      </c>
      <c r="AE150" s="243" t="b">
        <f t="shared" si="3"/>
        <v>0</v>
      </c>
      <c r="AF150" s="154"/>
      <c r="AG150" s="243" t="b">
        <f t="shared" si="4"/>
        <v>0</v>
      </c>
      <c r="AH150" s="154" t="s">
        <v>800</v>
      </c>
      <c r="AI150" s="243" t="str">
        <f t="shared" si="5"/>
        <v>Partially Complies</v>
      </c>
      <c r="AJ150" s="157" t="str">
        <f t="shared" si="6"/>
        <v/>
      </c>
    </row>
    <row r="151" ht="12.75" customHeight="1">
      <c r="A151" s="244" t="s">
        <v>621</v>
      </c>
      <c r="B151" s="244" t="s">
        <v>624</v>
      </c>
      <c r="C151" s="244" t="s">
        <v>805</v>
      </c>
      <c r="D151" s="154" t="s">
        <v>542</v>
      </c>
      <c r="E151" s="250"/>
      <c r="F151" s="154" t="str">
        <f t="array" ref="F151">XLOOKUP(Cover!$D$12,$S$1:$AA$1,$S151:$AA151)</f>
        <v>Mandatory</v>
      </c>
      <c r="G151" s="153" t="s">
        <v>806</v>
      </c>
      <c r="H151" s="154" t="s">
        <v>654</v>
      </c>
      <c r="I151" s="154" t="s">
        <v>759</v>
      </c>
      <c r="J151" s="247" t="s">
        <v>445</v>
      </c>
      <c r="K151" s="154"/>
      <c r="L151" s="154" t="str">
        <f t="shared" si="1"/>
        <v/>
      </c>
      <c r="M151" s="248" t="str">
        <f>IFERROR(__xludf.DUMMYFUNCTION("VLOOKUP(C151,IMPORTRANGE(""https://docs.google.com/spreadsheets/d/1P8eX0NWBhUPS_hvzA11R6jkTNFrPrRYIx_dX_hYbxrk/edit?resourcekey=0-iw9bsKY2OqkUHCFMkCar3A&amp;gid=2055363397#gid=2055363397"",""MTR!C:O""),11,false)"),"PMW-L1")</f>
        <v>PMW-L1</v>
      </c>
      <c r="N151" s="248" t="str">
        <f>IFERROR(__xludf.DUMMYFUNCTION("VLOOKUP(C151,IMPORTRANGE(""https://docs.google.com/spreadsheets/d/1ihFlp3_ePlYtFuPbUNbYj1muErVpI73WHXbEwJDIA7Q/edit#gid=1493122344"",""MTR!C:O""),8,false)"),"Complies")</f>
        <v>Complies</v>
      </c>
      <c r="O151" s="241" t="str">
        <f>IFERROR(__xludf.DUMMYFUNCTION("VLOOKUP(C151,IMPORTRANGE(""https://docs.google.com/spreadsheets/d/1P8eX0NWBhUPS_hvzA11R6jkTNFrPrRYIx_dX_hYbxrk/edit?resourcekey=0-iw9bsKY2OqkUHCFMkCar3A&amp;gid=2055363397#gid=2055363397"",""MTR!C:O""),9,false)"),"")</f>
        <v/>
      </c>
      <c r="P151" s="241"/>
      <c r="Q151" s="251" t="s">
        <v>445</v>
      </c>
      <c r="R151" s="241"/>
      <c r="S151" s="154" t="s">
        <v>66</v>
      </c>
      <c r="T151" s="154" t="s">
        <v>66</v>
      </c>
      <c r="U151" s="154" t="s">
        <v>60</v>
      </c>
      <c r="V151" s="154" t="s">
        <v>60</v>
      </c>
      <c r="W151" s="154" t="s">
        <v>60</v>
      </c>
      <c r="X151" s="154" t="s">
        <v>60</v>
      </c>
      <c r="Y151" s="154" t="s">
        <v>68</v>
      </c>
      <c r="Z151" s="154" t="s">
        <v>60</v>
      </c>
      <c r="AA151" s="154" t="s">
        <v>60</v>
      </c>
      <c r="AB151" s="154"/>
      <c r="AC151" s="242" t="b">
        <f t="shared" si="2"/>
        <v>1</v>
      </c>
      <c r="AD151" s="154" t="s">
        <v>391</v>
      </c>
      <c r="AE151" s="243" t="b">
        <f t="shared" si="3"/>
        <v>0</v>
      </c>
      <c r="AF151" s="154"/>
      <c r="AG151" s="243" t="b">
        <f t="shared" si="4"/>
        <v>0</v>
      </c>
      <c r="AH151" s="154" t="s">
        <v>652</v>
      </c>
      <c r="AI151" s="243" t="str">
        <f t="shared" si="5"/>
        <v>Complies</v>
      </c>
      <c r="AJ151" s="157" t="str">
        <f t="shared" si="6"/>
        <v/>
      </c>
    </row>
    <row r="152" ht="12.75" customHeight="1">
      <c r="A152" s="244" t="s">
        <v>621</v>
      </c>
      <c r="B152" s="244" t="s">
        <v>624</v>
      </c>
      <c r="C152" s="244" t="s">
        <v>807</v>
      </c>
      <c r="D152" s="154" t="s">
        <v>546</v>
      </c>
      <c r="E152" s="250"/>
      <c r="F152" s="154" t="str">
        <f t="array" ref="F152">XLOOKUP(Cover!$D$12,$S$1:$AA$1,$S152:$AA152)</f>
        <v>Information</v>
      </c>
      <c r="G152" s="153" t="s">
        <v>808</v>
      </c>
      <c r="H152" s="154"/>
      <c r="I152" s="154" t="s">
        <v>759</v>
      </c>
      <c r="J152" s="247" t="s">
        <v>516</v>
      </c>
      <c r="K152" s="247" t="s">
        <v>809</v>
      </c>
      <c r="L152" s="154" t="str">
        <f t="shared" si="1"/>
        <v/>
      </c>
      <c r="M152" s="248" t="str">
        <f>IFERROR(__xludf.DUMMYFUNCTION("VLOOKUP(C152,IMPORTRANGE(""https://docs.google.com/spreadsheets/d/1P8eX0NWBhUPS_hvzA11R6jkTNFrPrRYIx_dX_hYbxrk/edit?resourcekey=0-iw9bsKY2OqkUHCFMkCar3A&amp;gid=2055363397#gid=2055363397"",""MTR!C:O""),11,false)"),"PMW-L1")</f>
        <v>PMW-L1</v>
      </c>
      <c r="N152" s="248" t="str">
        <f>IFERROR(__xludf.DUMMYFUNCTION("VLOOKUP(C152,IMPORTRANGE(""https://docs.google.com/spreadsheets/d/1ihFlp3_ePlYtFuPbUNbYj1muErVpI73WHXbEwJDIA7Q/edit#gid=1493122344"",""MTR!C:O""),8,false)"),"Does Not Comply")</f>
        <v>Does Not Comply</v>
      </c>
      <c r="O152" s="248" t="str">
        <f>IFERROR(__xludf.DUMMYFUNCTION("VLOOKUP(C152,IMPORTRANGE(""https://docs.google.com/spreadsheets/d/1P8eX0NWBhUPS_hvzA11R6jkTNFrPrRYIx_dX_hYbxrk/edit?resourcekey=0-iw9bsKY2OqkUHCFMkCar3A&amp;gid=2055363397#gid=2055363397"",""MTR!C:O""),9,false)"),"NR TDD bands only support SCS 30kHz")</f>
        <v>NR TDD bands only support SCS 30kHz</v>
      </c>
      <c r="P152" s="248"/>
      <c r="Q152" s="249" t="s">
        <v>516</v>
      </c>
      <c r="R152" s="249" t="s">
        <v>809</v>
      </c>
      <c r="S152" s="154" t="s">
        <v>66</v>
      </c>
      <c r="T152" s="154" t="s">
        <v>66</v>
      </c>
      <c r="U152" s="154" t="s">
        <v>66</v>
      </c>
      <c r="V152" s="154" t="s">
        <v>66</v>
      </c>
      <c r="W152" s="154" t="s">
        <v>66</v>
      </c>
      <c r="X152" s="154" t="s">
        <v>66</v>
      </c>
      <c r="Y152" s="154" t="s">
        <v>68</v>
      </c>
      <c r="Z152" s="154" t="s">
        <v>66</v>
      </c>
      <c r="AA152" s="154" t="s">
        <v>66</v>
      </c>
      <c r="AB152" s="154"/>
      <c r="AC152" s="242" t="b">
        <f t="shared" si="2"/>
        <v>1</v>
      </c>
      <c r="AD152" s="154" t="s">
        <v>391</v>
      </c>
      <c r="AE152" s="243" t="b">
        <f t="shared" si="3"/>
        <v>0</v>
      </c>
      <c r="AF152" s="154"/>
      <c r="AG152" s="243" t="b">
        <f t="shared" si="4"/>
        <v>0</v>
      </c>
      <c r="AH152" s="154" t="s">
        <v>652</v>
      </c>
      <c r="AI152" s="243" t="str">
        <f t="shared" si="5"/>
        <v>Complies</v>
      </c>
      <c r="AJ152" s="157" t="str">
        <f t="shared" si="6"/>
        <v/>
      </c>
    </row>
    <row r="153" ht="12.75" customHeight="1">
      <c r="A153" s="244" t="s">
        <v>621</v>
      </c>
      <c r="B153" s="244" t="s">
        <v>624</v>
      </c>
      <c r="C153" s="244" t="s">
        <v>810</v>
      </c>
      <c r="D153" s="154" t="s">
        <v>546</v>
      </c>
      <c r="E153" s="250"/>
      <c r="F153" s="154" t="str">
        <f t="array" ref="F153">XLOOKUP(Cover!$D$12,$S$1:$AA$1,$S153:$AA153)</f>
        <v>Information</v>
      </c>
      <c r="G153" s="153" t="s">
        <v>811</v>
      </c>
      <c r="H153" s="154"/>
      <c r="I153" s="154" t="s">
        <v>759</v>
      </c>
      <c r="J153" s="247" t="s">
        <v>516</v>
      </c>
      <c r="K153" s="247" t="s">
        <v>809</v>
      </c>
      <c r="L153" s="154" t="str">
        <f t="shared" si="1"/>
        <v/>
      </c>
      <c r="M153" s="248" t="str">
        <f>IFERROR(__xludf.DUMMYFUNCTION("VLOOKUP(C153,IMPORTRANGE(""https://docs.google.com/spreadsheets/d/1P8eX0NWBhUPS_hvzA11R6jkTNFrPrRYIx_dX_hYbxrk/edit?resourcekey=0-iw9bsKY2OqkUHCFMkCar3A&amp;gid=2055363397#gid=2055363397"",""MTR!C:O""),11,false)"),"PMW-L1")</f>
        <v>PMW-L1</v>
      </c>
      <c r="N153" s="248" t="str">
        <f>IFERROR(__xludf.DUMMYFUNCTION("VLOOKUP(C153,IMPORTRANGE(""https://docs.google.com/spreadsheets/d/1ihFlp3_ePlYtFuPbUNbYj1muErVpI73WHXbEwJDIA7Q/edit#gid=1493122344"",""MTR!C:O""),8,false)"),"Does Not Comply")</f>
        <v>Does Not Comply</v>
      </c>
      <c r="O153" s="248" t="str">
        <f>IFERROR(__xludf.DUMMYFUNCTION("VLOOKUP(C153,IMPORTRANGE(""https://docs.google.com/spreadsheets/d/1P8eX0NWBhUPS_hvzA11R6jkTNFrPrRYIx_dX_hYbxrk/edit?resourcekey=0-iw9bsKY2OqkUHCFMkCar3A&amp;gid=2055363397#gid=2055363397"",""MTR!C:O""),9,false)"),"NR TDD bands only support SCS 30kHz")</f>
        <v>NR TDD bands only support SCS 30kHz</v>
      </c>
      <c r="P153" s="248"/>
      <c r="Q153" s="249" t="s">
        <v>516</v>
      </c>
      <c r="R153" s="249" t="s">
        <v>809</v>
      </c>
      <c r="S153" s="154" t="s">
        <v>66</v>
      </c>
      <c r="T153" s="154" t="s">
        <v>66</v>
      </c>
      <c r="U153" s="154" t="s">
        <v>66</v>
      </c>
      <c r="V153" s="154" t="s">
        <v>66</v>
      </c>
      <c r="W153" s="154" t="s">
        <v>66</v>
      </c>
      <c r="X153" s="154" t="s">
        <v>66</v>
      </c>
      <c r="Y153" s="154" t="s">
        <v>68</v>
      </c>
      <c r="Z153" s="154" t="s">
        <v>66</v>
      </c>
      <c r="AA153" s="154" t="s">
        <v>66</v>
      </c>
      <c r="AB153" s="154"/>
      <c r="AC153" s="242" t="b">
        <f t="shared" si="2"/>
        <v>1</v>
      </c>
      <c r="AD153" s="154" t="s">
        <v>391</v>
      </c>
      <c r="AE153" s="243" t="b">
        <f t="shared" si="3"/>
        <v>0</v>
      </c>
      <c r="AF153" s="154"/>
      <c r="AG153" s="243" t="b">
        <f t="shared" si="4"/>
        <v>0</v>
      </c>
      <c r="AH153" s="154" t="s">
        <v>652</v>
      </c>
      <c r="AI153" s="243" t="str">
        <f t="shared" si="5"/>
        <v>Complies</v>
      </c>
      <c r="AJ153" s="157" t="str">
        <f t="shared" si="6"/>
        <v/>
      </c>
    </row>
    <row r="154" ht="12.75" customHeight="1">
      <c r="A154" s="238" t="s">
        <v>621</v>
      </c>
      <c r="B154" s="238" t="s">
        <v>624</v>
      </c>
      <c r="C154" s="238" t="s">
        <v>812</v>
      </c>
      <c r="D154" s="240"/>
      <c r="E154" s="252" t="s">
        <v>92</v>
      </c>
      <c r="F154" s="154" t="str">
        <f t="array" ref="F154">XLOOKUP(Cover!$D$12,$S$1:$AA$1,$S154:$AA154)</f>
        <v>Heading</v>
      </c>
      <c r="G154" s="239" t="s">
        <v>813</v>
      </c>
      <c r="H154" s="240"/>
      <c r="I154" s="240" t="s">
        <v>759</v>
      </c>
      <c r="J154" s="240"/>
      <c r="K154" s="240"/>
      <c r="L154" s="154" t="str">
        <f t="shared" si="1"/>
        <v/>
      </c>
      <c r="M154" s="241" t="str">
        <f>IFERROR(__xludf.DUMMYFUNCTION("VLOOKUP(C154,IMPORTRANGE(""https://docs.google.com/spreadsheets/d/1P8eX0NWBhUPS_hvzA11R6jkTNFrPrRYIx_dX_hYbxrk/edit?resourcekey=0-iw9bsKY2OqkUHCFMkCar3A&amp;gid=2055363397#gid=2055363397"",""MTR!C:O""),11,false)"),"")</f>
        <v/>
      </c>
      <c r="N154" s="241" t="str">
        <f>IFERROR(__xludf.DUMMYFUNCTION("VLOOKUP(C154,IMPORTRANGE(""https://docs.google.com/spreadsheets/d/1ihFlp3_ePlYtFuPbUNbYj1muErVpI73WHXbEwJDIA7Q/edit#gid=1493122344"",""MTR!C:O""),8,false)"),"")</f>
        <v/>
      </c>
      <c r="O154" s="241" t="str">
        <f>IFERROR(__xludf.DUMMYFUNCTION("VLOOKUP(C154,IMPORTRANGE(""https://docs.google.com/spreadsheets/d/1P8eX0NWBhUPS_hvzA11R6jkTNFrPrRYIx_dX_hYbxrk/edit?resourcekey=0-iw9bsKY2OqkUHCFMkCar3A&amp;gid=2055363397#gid=2055363397"",""MTR!C:O""),9,false)"),"")</f>
        <v/>
      </c>
      <c r="P154" s="241"/>
      <c r="Q154" s="241"/>
      <c r="R154" s="241"/>
      <c r="S154" s="240" t="s">
        <v>390</v>
      </c>
      <c r="T154" s="240" t="s">
        <v>390</v>
      </c>
      <c r="U154" s="240" t="s">
        <v>390</v>
      </c>
      <c r="V154" s="240" t="s">
        <v>390</v>
      </c>
      <c r="W154" s="240" t="s">
        <v>390</v>
      </c>
      <c r="X154" s="240" t="s">
        <v>390</v>
      </c>
      <c r="Y154" s="240" t="s">
        <v>390</v>
      </c>
      <c r="Z154" s="240" t="s">
        <v>390</v>
      </c>
      <c r="AA154" s="240" t="s">
        <v>390</v>
      </c>
      <c r="AB154" s="240"/>
      <c r="AC154" s="242" t="b">
        <f t="shared" si="2"/>
        <v>0</v>
      </c>
      <c r="AD154" s="240" t="s">
        <v>391</v>
      </c>
      <c r="AE154" s="243" t="b">
        <f t="shared" si="3"/>
        <v>0</v>
      </c>
      <c r="AF154" s="240"/>
      <c r="AG154" s="243" t="b">
        <f t="shared" si="4"/>
        <v>0</v>
      </c>
      <c r="AH154" s="240"/>
      <c r="AI154" s="243" t="str">
        <f t="shared" si="5"/>
        <v>N/A</v>
      </c>
      <c r="AJ154" s="157" t="str">
        <f t="shared" si="6"/>
        <v/>
      </c>
    </row>
    <row r="155" ht="12.75" customHeight="1">
      <c r="A155" s="244" t="s">
        <v>621</v>
      </c>
      <c r="B155" s="244" t="s">
        <v>624</v>
      </c>
      <c r="C155" s="244" t="s">
        <v>814</v>
      </c>
      <c r="D155" s="154" t="s">
        <v>542</v>
      </c>
      <c r="E155" s="250"/>
      <c r="F155" s="154" t="str">
        <f t="array" ref="F155">XLOOKUP(Cover!$D$12,$S$1:$AA$1,$S155:$AA155)</f>
        <v>Mandatory</v>
      </c>
      <c r="G155" s="153" t="s">
        <v>815</v>
      </c>
      <c r="H155" s="154" t="s">
        <v>155</v>
      </c>
      <c r="I155" s="154" t="s">
        <v>759</v>
      </c>
      <c r="J155" s="247" t="s">
        <v>445</v>
      </c>
      <c r="K155" s="247"/>
      <c r="L155" s="154" t="str">
        <f t="shared" si="1"/>
        <v/>
      </c>
      <c r="M155" s="248" t="str">
        <f>IFERROR(__xludf.DUMMYFUNCTION("VLOOKUP(C155,IMPORTRANGE(""https://docs.google.com/spreadsheets/d/1P8eX0NWBhUPS_hvzA11R6jkTNFrPrRYIx_dX_hYbxrk/edit?resourcekey=0-iw9bsKY2OqkUHCFMkCar3A&amp;gid=2055363397#gid=2055363397"",""MTR!C:O""),11,false)"),"PMW-L1")</f>
        <v>PMW-L1</v>
      </c>
      <c r="N155" s="248" t="str">
        <f>IFERROR(__xludf.DUMMYFUNCTION("VLOOKUP(C155,IMPORTRANGE(""https://docs.google.com/spreadsheets/d/1ihFlp3_ePlYtFuPbUNbYj1muErVpI73WHXbEwJDIA7Q/edit#gid=1493122344"",""MTR!C:O""),8,false)"),"Partially Complies")</f>
        <v>Partially Complies</v>
      </c>
      <c r="O155" s="241" t="str">
        <f>IFERROR(__xludf.DUMMYFUNCTION("VLOOKUP(C155,IMPORTRANGE(""https://docs.google.com/spreadsheets/d/1P8eX0NWBhUPS_hvzA11R6jkTNFrPrRYIx_dX_hYbxrk/edit?resourcekey=0-iw9bsKY2OqkUHCFMkCar3A&amp;gid=2055363397#gid=2055363397"",""MTR!C:O""),9,false)"),"")</f>
        <v/>
      </c>
      <c r="P155" s="241"/>
      <c r="Q155" s="251" t="s">
        <v>506</v>
      </c>
      <c r="R155" s="251" t="s">
        <v>816</v>
      </c>
      <c r="S155" s="154" t="s">
        <v>66</v>
      </c>
      <c r="T155" s="154" t="s">
        <v>66</v>
      </c>
      <c r="U155" s="154" t="s">
        <v>64</v>
      </c>
      <c r="V155" s="154" t="s">
        <v>64</v>
      </c>
      <c r="W155" s="154" t="s">
        <v>60</v>
      </c>
      <c r="X155" s="154" t="s">
        <v>60</v>
      </c>
      <c r="Y155" s="154" t="s">
        <v>68</v>
      </c>
      <c r="Z155" s="154" t="s">
        <v>64</v>
      </c>
      <c r="AA155" s="154" t="s">
        <v>60</v>
      </c>
      <c r="AB155" s="154"/>
      <c r="AC155" s="242" t="b">
        <f t="shared" si="2"/>
        <v>1</v>
      </c>
      <c r="AD155" s="154" t="s">
        <v>391</v>
      </c>
      <c r="AE155" s="243" t="b">
        <f t="shared" si="3"/>
        <v>0</v>
      </c>
      <c r="AF155" s="154"/>
      <c r="AG155" s="243" t="b">
        <f t="shared" si="4"/>
        <v>0</v>
      </c>
      <c r="AH155" s="154" t="s">
        <v>652</v>
      </c>
      <c r="AI155" s="243" t="str">
        <f t="shared" si="5"/>
        <v>Complies</v>
      </c>
      <c r="AJ155" s="157" t="str">
        <f t="shared" si="6"/>
        <v/>
      </c>
    </row>
    <row r="156" ht="12.75" customHeight="1">
      <c r="A156" s="244" t="s">
        <v>621</v>
      </c>
      <c r="B156" s="244" t="s">
        <v>624</v>
      </c>
      <c r="C156" s="244" t="s">
        <v>817</v>
      </c>
      <c r="D156" s="154" t="s">
        <v>503</v>
      </c>
      <c r="E156" s="250"/>
      <c r="F156" s="154" t="str">
        <f t="array" ref="F156">XLOOKUP(Cover!$D$12,$S$1:$AA$1,$S156:$AA156)</f>
        <v>Recommended</v>
      </c>
      <c r="G156" s="154" t="s">
        <v>818</v>
      </c>
      <c r="H156" s="154"/>
      <c r="I156" s="154" t="s">
        <v>759</v>
      </c>
      <c r="J156" s="247" t="s">
        <v>516</v>
      </c>
      <c r="K156" s="247" t="s">
        <v>819</v>
      </c>
      <c r="L156" s="154" t="str">
        <f t="shared" si="1"/>
        <v/>
      </c>
      <c r="M156" s="248" t="str">
        <f>IFERROR(__xludf.DUMMYFUNCTION("VLOOKUP(C156,IMPORTRANGE(""https://docs.google.com/spreadsheets/d/1P8eX0NWBhUPS_hvzA11R6jkTNFrPrRYIx_dX_hYbxrk/edit?resourcekey=0-iw9bsKY2OqkUHCFMkCar3A&amp;gid=2055363397#gid=2055363397"",""MTR!C:O""),11,false)"),"PMW-MCE-AS")</f>
        <v>PMW-MCE-AS</v>
      </c>
      <c r="N156" s="248" t="str">
        <f>IFERROR(__xludf.DUMMYFUNCTION("VLOOKUP(C156,IMPORTRANGE(""https://docs.google.com/spreadsheets/d/1ihFlp3_ePlYtFuPbUNbYj1muErVpI73WHXbEwJDIA7Q/edit#gid=1493122344"",""MTR!C:O""),8,false)"),"Does Not Comply")</f>
        <v>Does Not Comply</v>
      </c>
      <c r="O156" s="248" t="str">
        <f>IFERROR(__xludf.DUMMYFUNCTION("VLOOKUP(C156,IMPORTRANGE(""https://docs.google.com/spreadsheets/d/1P8eX0NWBhUPS_hvzA11R6jkTNFrPrRYIx_dX_hYbxrk/edit?resourcekey=0-iw9bsKY2OqkUHCFMkCar3A&amp;gid=2055363397#gid=2055363397"",""MTR!C:O""),9,false)"),"n75 could support to 50Mhz ")</f>
        <v>n75 could support to 50Mhz </v>
      </c>
      <c r="P156" s="248"/>
      <c r="Q156" s="249" t="s">
        <v>516</v>
      </c>
      <c r="R156" s="248"/>
      <c r="S156" s="154" t="s">
        <v>66</v>
      </c>
      <c r="T156" s="154" t="s">
        <v>66</v>
      </c>
      <c r="U156" s="154" t="s">
        <v>64</v>
      </c>
      <c r="V156" s="154" t="s">
        <v>64</v>
      </c>
      <c r="W156" s="154" t="s">
        <v>64</v>
      </c>
      <c r="X156" s="154" t="s">
        <v>64</v>
      </c>
      <c r="Y156" s="154" t="s">
        <v>68</v>
      </c>
      <c r="Z156" s="154" t="s">
        <v>64</v>
      </c>
      <c r="AA156" s="154" t="s">
        <v>64</v>
      </c>
      <c r="AB156" s="154"/>
      <c r="AC156" s="242" t="b">
        <f t="shared" si="2"/>
        <v>1</v>
      </c>
      <c r="AD156" s="154" t="s">
        <v>391</v>
      </c>
      <c r="AE156" s="243" t="b">
        <f t="shared" si="3"/>
        <v>0</v>
      </c>
      <c r="AF156" s="154"/>
      <c r="AG156" s="243" t="b">
        <f t="shared" si="4"/>
        <v>0</v>
      </c>
      <c r="AH156" s="154" t="s">
        <v>814</v>
      </c>
      <c r="AI156" s="243" t="str">
        <f t="shared" si="5"/>
        <v>Complies</v>
      </c>
      <c r="AJ156" s="157" t="str">
        <f t="shared" si="6"/>
        <v/>
      </c>
    </row>
    <row r="157" ht="12.75" customHeight="1">
      <c r="A157" s="244" t="s">
        <v>621</v>
      </c>
      <c r="B157" s="244" t="s">
        <v>624</v>
      </c>
      <c r="C157" s="244" t="s">
        <v>820</v>
      </c>
      <c r="D157" s="154" t="s">
        <v>503</v>
      </c>
      <c r="E157" s="250"/>
      <c r="F157" s="154" t="str">
        <f t="array" ref="F157">XLOOKUP(Cover!$D$12,$S$1:$AA$1,$S157:$AA157)</f>
        <v>Information</v>
      </c>
      <c r="G157" s="153" t="s">
        <v>821</v>
      </c>
      <c r="H157" s="154"/>
      <c r="I157" s="154" t="s">
        <v>759</v>
      </c>
      <c r="J157" s="247" t="s">
        <v>516</v>
      </c>
      <c r="K157" s="154"/>
      <c r="L157" s="154" t="str">
        <f t="shared" si="1"/>
        <v/>
      </c>
      <c r="M157" s="248" t="str">
        <f>IFERROR(__xludf.DUMMYFUNCTION("VLOOKUP(C157,IMPORTRANGE(""https://docs.google.com/spreadsheets/d/1P8eX0NWBhUPS_hvzA11R6jkTNFrPrRYIx_dX_hYbxrk/edit?resourcekey=0-iw9bsKY2OqkUHCFMkCar3A&amp;gid=2055363397#gid=2055363397"",""MTR!C:O""),11,false)"),"PMW-MCE-AS")</f>
        <v>PMW-MCE-AS</v>
      </c>
      <c r="N157" s="248" t="str">
        <f>IFERROR(__xludf.DUMMYFUNCTION("VLOOKUP(C157,IMPORTRANGE(""https://docs.google.com/spreadsheets/d/1ihFlp3_ePlYtFuPbUNbYj1muErVpI73WHXbEwJDIA7Q/edit#gid=1493122344"",""MTR!C:O""),8,false)"),"Does Not Comply")</f>
        <v>Does Not Comply</v>
      </c>
      <c r="O157" s="241" t="str">
        <f>IFERROR(__xludf.DUMMYFUNCTION("VLOOKUP(C157,IMPORTRANGE(""https://docs.google.com/spreadsheets/d/1P8eX0NWBhUPS_hvzA11R6jkTNFrPrRYIx_dX_hYbxrk/edit?resourcekey=0-iw9bsKY2OqkUHCFMkCar3A&amp;gid=2055363397#gid=2055363397"",""MTR!C:O""),9,false)"),"")</f>
        <v/>
      </c>
      <c r="P157" s="241"/>
      <c r="Q157" s="251" t="s">
        <v>516</v>
      </c>
      <c r="R157" s="241"/>
      <c r="S157" s="154" t="s">
        <v>66</v>
      </c>
      <c r="T157" s="154" t="s">
        <v>66</v>
      </c>
      <c r="U157" s="154" t="s">
        <v>66</v>
      </c>
      <c r="V157" s="154" t="s">
        <v>66</v>
      </c>
      <c r="W157" s="154" t="s">
        <v>66</v>
      </c>
      <c r="X157" s="154" t="s">
        <v>66</v>
      </c>
      <c r="Y157" s="154" t="s">
        <v>68</v>
      </c>
      <c r="Z157" s="154" t="s">
        <v>66</v>
      </c>
      <c r="AA157" s="154" t="s">
        <v>66</v>
      </c>
      <c r="AB157" s="154"/>
      <c r="AC157" s="242" t="b">
        <f t="shared" si="2"/>
        <v>1</v>
      </c>
      <c r="AD157" s="154" t="s">
        <v>391</v>
      </c>
      <c r="AE157" s="243" t="b">
        <f t="shared" si="3"/>
        <v>0</v>
      </c>
      <c r="AF157" s="154"/>
      <c r="AG157" s="243" t="b">
        <f t="shared" si="4"/>
        <v>0</v>
      </c>
      <c r="AH157" s="154" t="s">
        <v>814</v>
      </c>
      <c r="AI157" s="243" t="str">
        <f t="shared" si="5"/>
        <v>Complies</v>
      </c>
      <c r="AJ157" s="157" t="str">
        <f t="shared" si="6"/>
        <v/>
      </c>
    </row>
    <row r="158" ht="12.75" customHeight="1">
      <c r="A158" s="244" t="s">
        <v>621</v>
      </c>
      <c r="B158" s="244" t="s">
        <v>624</v>
      </c>
      <c r="C158" s="244" t="s">
        <v>822</v>
      </c>
      <c r="D158" s="154" t="s">
        <v>503</v>
      </c>
      <c r="E158" s="250"/>
      <c r="F158" s="154" t="str">
        <f t="array" ref="F158">XLOOKUP(Cover!$D$12,$S$1:$AA$1,$S158:$AA158)</f>
        <v>Information</v>
      </c>
      <c r="G158" s="153" t="s">
        <v>823</v>
      </c>
      <c r="H158" s="154"/>
      <c r="I158" s="154" t="s">
        <v>759</v>
      </c>
      <c r="J158" s="247" t="s">
        <v>516</v>
      </c>
      <c r="K158" s="154"/>
      <c r="L158" s="154" t="str">
        <f t="shared" si="1"/>
        <v/>
      </c>
      <c r="M158" s="248" t="str">
        <f>IFERROR(__xludf.DUMMYFUNCTION("VLOOKUP(C158,IMPORTRANGE(""https://docs.google.com/spreadsheets/d/1P8eX0NWBhUPS_hvzA11R6jkTNFrPrRYIx_dX_hYbxrk/edit?resourcekey=0-iw9bsKY2OqkUHCFMkCar3A&amp;gid=2055363397#gid=2055363397"",""MTR!C:O""),11,false)"),"PMW-MCE-AS")</f>
        <v>PMW-MCE-AS</v>
      </c>
      <c r="N158" s="248" t="str">
        <f>IFERROR(__xludf.DUMMYFUNCTION("VLOOKUP(C158,IMPORTRANGE(""https://docs.google.com/spreadsheets/d/1ihFlp3_ePlYtFuPbUNbYj1muErVpI73WHXbEwJDIA7Q/edit#gid=1493122344"",""MTR!C:O""),8,false)"),"Does Not Comply")</f>
        <v>Does Not Comply</v>
      </c>
      <c r="O158" s="241" t="str">
        <f>IFERROR(__xludf.DUMMYFUNCTION("VLOOKUP(C158,IMPORTRANGE(""https://docs.google.com/spreadsheets/d/1P8eX0NWBhUPS_hvzA11R6jkTNFrPrRYIx_dX_hYbxrk/edit?resourcekey=0-iw9bsKY2OqkUHCFMkCar3A&amp;gid=2055363397#gid=2055363397"",""MTR!C:O""),9,false)"),"")</f>
        <v/>
      </c>
      <c r="P158" s="241"/>
      <c r="Q158" s="251" t="s">
        <v>516</v>
      </c>
      <c r="R158" s="241"/>
      <c r="S158" s="154" t="s">
        <v>66</v>
      </c>
      <c r="T158" s="154" t="s">
        <v>66</v>
      </c>
      <c r="U158" s="154" t="s">
        <v>66</v>
      </c>
      <c r="V158" s="154" t="s">
        <v>66</v>
      </c>
      <c r="W158" s="154" t="s">
        <v>66</v>
      </c>
      <c r="X158" s="154" t="s">
        <v>66</v>
      </c>
      <c r="Y158" s="154" t="s">
        <v>68</v>
      </c>
      <c r="Z158" s="154" t="s">
        <v>66</v>
      </c>
      <c r="AA158" s="154" t="s">
        <v>66</v>
      </c>
      <c r="AB158" s="154"/>
      <c r="AC158" s="242" t="b">
        <f t="shared" si="2"/>
        <v>1</v>
      </c>
      <c r="AD158" s="154" t="s">
        <v>391</v>
      </c>
      <c r="AE158" s="243" t="b">
        <f t="shared" si="3"/>
        <v>0</v>
      </c>
      <c r="AF158" s="154"/>
      <c r="AG158" s="243" t="b">
        <f t="shared" si="4"/>
        <v>0</v>
      </c>
      <c r="AH158" s="154" t="s">
        <v>814</v>
      </c>
      <c r="AI158" s="243" t="str">
        <f t="shared" si="5"/>
        <v>Complies</v>
      </c>
      <c r="AJ158" s="157" t="str">
        <f t="shared" si="6"/>
        <v/>
      </c>
    </row>
    <row r="159" ht="12.75" customHeight="1">
      <c r="A159" s="238" t="s">
        <v>621</v>
      </c>
      <c r="B159" s="238" t="s">
        <v>624</v>
      </c>
      <c r="C159" s="238" t="s">
        <v>824</v>
      </c>
      <c r="D159" s="240"/>
      <c r="E159" s="252" t="s">
        <v>489</v>
      </c>
      <c r="F159" s="154" t="str">
        <f t="array" ref="F159">XLOOKUP(Cover!$D$12,$S$1:$AA$1,$S159:$AA159)</f>
        <v>Heading</v>
      </c>
      <c r="G159" s="239" t="s">
        <v>825</v>
      </c>
      <c r="H159" s="240"/>
      <c r="I159" s="240" t="s">
        <v>759</v>
      </c>
      <c r="J159" s="240"/>
      <c r="K159" s="240"/>
      <c r="L159" s="154" t="str">
        <f t="shared" si="1"/>
        <v/>
      </c>
      <c r="M159" s="253" t="str">
        <f>IFERROR(__xludf.DUMMYFUNCTION("VLOOKUP(C159,IMPORTRANGE(""https://docs.google.com/spreadsheets/d/1P8eX0NWBhUPS_hvzA11R6jkTNFrPrRYIx_dX_hYbxrk/edit?resourcekey=0-iw9bsKY2OqkUHCFMkCar3A&amp;gid=2055363397#gid=2055363397"",""MTR!C:O""),11,false)"),"#N/A")</f>
        <v>#N/A</v>
      </c>
      <c r="N159" s="253" t="str">
        <f>IFERROR(__xludf.DUMMYFUNCTION("VLOOKUP(C159,IMPORTRANGE(""https://docs.google.com/spreadsheets/d/1ihFlp3_ePlYtFuPbUNbYj1muErVpI73WHXbEwJDIA7Q/edit#gid=1493122344"",""MTR!C:O""),8,false)"),"#N/A")</f>
        <v>#N/A</v>
      </c>
      <c r="O159" s="253" t="str">
        <f>IFERROR(__xludf.DUMMYFUNCTION("VLOOKUP(C159,IMPORTRANGE(""https://docs.google.com/spreadsheets/d/1P8eX0NWBhUPS_hvzA11R6jkTNFrPrRYIx_dX_hYbxrk/edit?resourcekey=0-iw9bsKY2OqkUHCFMkCar3A&amp;gid=2055363397#gid=2055363397"",""MTR!C:O""),9,false)"),"#N/A")</f>
        <v>#N/A</v>
      </c>
      <c r="P159" s="253"/>
      <c r="Q159" s="253"/>
      <c r="R159" s="253"/>
      <c r="S159" s="240" t="s">
        <v>390</v>
      </c>
      <c r="T159" s="240" t="s">
        <v>390</v>
      </c>
      <c r="U159" s="240" t="s">
        <v>390</v>
      </c>
      <c r="V159" s="240" t="s">
        <v>390</v>
      </c>
      <c r="W159" s="240" t="s">
        <v>390</v>
      </c>
      <c r="X159" s="240" t="s">
        <v>390</v>
      </c>
      <c r="Y159" s="240" t="s">
        <v>390</v>
      </c>
      <c r="Z159" s="240" t="s">
        <v>390</v>
      </c>
      <c r="AA159" s="240" t="s">
        <v>390</v>
      </c>
      <c r="AB159" s="240"/>
      <c r="AC159" s="242" t="b">
        <f t="shared" si="2"/>
        <v>0</v>
      </c>
      <c r="AD159" s="240" t="s">
        <v>391</v>
      </c>
      <c r="AE159" s="243" t="b">
        <f t="shared" si="3"/>
        <v>0</v>
      </c>
      <c r="AF159" s="240"/>
      <c r="AG159" s="243" t="b">
        <f t="shared" si="4"/>
        <v>0</v>
      </c>
      <c r="AH159" s="240"/>
      <c r="AI159" s="243" t="str">
        <f t="shared" si="5"/>
        <v>N/A</v>
      </c>
      <c r="AJ159" s="157" t="str">
        <f t="shared" si="6"/>
        <v/>
      </c>
    </row>
    <row r="160" ht="12.75" customHeight="1">
      <c r="A160" s="244" t="s">
        <v>621</v>
      </c>
      <c r="B160" s="244" t="s">
        <v>624</v>
      </c>
      <c r="C160" s="245" t="s">
        <v>826</v>
      </c>
      <c r="D160" s="155" t="s">
        <v>542</v>
      </c>
      <c r="E160" s="246" t="s">
        <v>489</v>
      </c>
      <c r="F160" s="154" t="str">
        <f t="array" ref="F160">XLOOKUP(Cover!$D$12,$S$1:$AA$1,$S160:$AA160)</f>
        <v>Information</v>
      </c>
      <c r="G160" s="153" t="s">
        <v>827</v>
      </c>
      <c r="H160" s="154"/>
      <c r="I160" s="154" t="s">
        <v>759</v>
      </c>
      <c r="J160" s="247" t="s">
        <v>516</v>
      </c>
      <c r="K160" s="247" t="s">
        <v>717</v>
      </c>
      <c r="L160" s="154" t="str">
        <f t="shared" si="1"/>
        <v/>
      </c>
      <c r="M160" s="253" t="s">
        <v>828</v>
      </c>
      <c r="N160" s="253" t="str">
        <f>IFERROR(__xludf.DUMMYFUNCTION("VLOOKUP(C160,IMPORTRANGE(""https://docs.google.com/spreadsheets/d/1ihFlp3_ePlYtFuPbUNbYj1muErVpI73WHXbEwJDIA7Q/edit#gid=1493122344"",""MTR!C:O""),8,false)"),"#N/A")</f>
        <v>#N/A</v>
      </c>
      <c r="O160" s="253" t="str">
        <f>IFERROR(__xludf.DUMMYFUNCTION("VLOOKUP(C160,IMPORTRANGE(""https://docs.google.com/spreadsheets/d/1P8eX0NWBhUPS_hvzA11R6jkTNFrPrRYIx_dX_hYbxrk/edit?resourcekey=0-iw9bsKY2OqkUHCFMkCar3A&amp;gid=2055363397#gid=2055363397"",""MTR!C:O""),9,false)"),"#N/A")</f>
        <v>#N/A</v>
      </c>
      <c r="P160" s="253"/>
      <c r="Q160" s="253"/>
      <c r="R160" s="253"/>
      <c r="S160" s="154" t="s">
        <v>66</v>
      </c>
      <c r="T160" s="154" t="s">
        <v>66</v>
      </c>
      <c r="U160" s="154" t="s">
        <v>66</v>
      </c>
      <c r="V160" s="154" t="s">
        <v>66</v>
      </c>
      <c r="W160" s="154" t="s">
        <v>66</v>
      </c>
      <c r="X160" s="154" t="s">
        <v>66</v>
      </c>
      <c r="Y160" s="154" t="s">
        <v>68</v>
      </c>
      <c r="Z160" s="154" t="s">
        <v>66</v>
      </c>
      <c r="AA160" s="154" t="s">
        <v>66</v>
      </c>
      <c r="AB160" s="154"/>
      <c r="AC160" s="242" t="b">
        <f t="shared" si="2"/>
        <v>1</v>
      </c>
      <c r="AD160" s="154" t="s">
        <v>68</v>
      </c>
      <c r="AE160" s="243" t="b">
        <f t="shared" si="3"/>
        <v>0</v>
      </c>
      <c r="AF160" s="154"/>
      <c r="AG160" s="243" t="b">
        <f t="shared" si="4"/>
        <v>0</v>
      </c>
      <c r="AH160" s="154" t="s">
        <v>652</v>
      </c>
      <c r="AI160" s="243" t="str">
        <f t="shared" si="5"/>
        <v>Complies</v>
      </c>
      <c r="AJ160" s="157" t="str">
        <f t="shared" si="6"/>
        <v/>
      </c>
    </row>
    <row r="161" ht="12.75" customHeight="1">
      <c r="A161" s="244" t="s">
        <v>621</v>
      </c>
      <c r="B161" s="244" t="s">
        <v>624</v>
      </c>
      <c r="C161" s="245" t="s">
        <v>829</v>
      </c>
      <c r="D161" s="155" t="s">
        <v>542</v>
      </c>
      <c r="E161" s="246" t="s">
        <v>489</v>
      </c>
      <c r="F161" s="154" t="str">
        <f t="array" ref="F161">XLOOKUP(Cover!$D$12,$S$1:$AA$1,$S161:$AA161)</f>
        <v>Information</v>
      </c>
      <c r="G161" s="153" t="s">
        <v>830</v>
      </c>
      <c r="H161" s="154"/>
      <c r="I161" s="154" t="s">
        <v>759</v>
      </c>
      <c r="J161" s="247" t="s">
        <v>516</v>
      </c>
      <c r="K161" s="247" t="s">
        <v>717</v>
      </c>
      <c r="L161" s="154" t="str">
        <f t="shared" si="1"/>
        <v/>
      </c>
      <c r="M161" s="253" t="s">
        <v>828</v>
      </c>
      <c r="N161" s="253" t="str">
        <f>IFERROR(__xludf.DUMMYFUNCTION("VLOOKUP(C161,IMPORTRANGE(""https://docs.google.com/spreadsheets/d/1ihFlp3_ePlYtFuPbUNbYj1muErVpI73WHXbEwJDIA7Q/edit#gid=1493122344"",""MTR!C:O""),8,false)"),"#N/A")</f>
        <v>#N/A</v>
      </c>
      <c r="O161" s="253" t="str">
        <f>IFERROR(__xludf.DUMMYFUNCTION("VLOOKUP(C161,IMPORTRANGE(""https://docs.google.com/spreadsheets/d/1P8eX0NWBhUPS_hvzA11R6jkTNFrPrRYIx_dX_hYbxrk/edit?resourcekey=0-iw9bsKY2OqkUHCFMkCar3A&amp;gid=2055363397#gid=2055363397"",""MTR!C:O""),9,false)"),"#N/A")</f>
        <v>#N/A</v>
      </c>
      <c r="P161" s="253"/>
      <c r="Q161" s="253"/>
      <c r="R161" s="253"/>
      <c r="S161" s="154" t="s">
        <v>66</v>
      </c>
      <c r="T161" s="154" t="s">
        <v>66</v>
      </c>
      <c r="U161" s="154" t="s">
        <v>66</v>
      </c>
      <c r="V161" s="154" t="s">
        <v>66</v>
      </c>
      <c r="W161" s="154" t="s">
        <v>66</v>
      </c>
      <c r="X161" s="154" t="s">
        <v>66</v>
      </c>
      <c r="Y161" s="154" t="s">
        <v>68</v>
      </c>
      <c r="Z161" s="154" t="s">
        <v>66</v>
      </c>
      <c r="AA161" s="154" t="s">
        <v>66</v>
      </c>
      <c r="AB161" s="154"/>
      <c r="AC161" s="242" t="b">
        <f t="shared" si="2"/>
        <v>1</v>
      </c>
      <c r="AD161" s="154" t="s">
        <v>68</v>
      </c>
      <c r="AE161" s="243" t="b">
        <f t="shared" si="3"/>
        <v>0</v>
      </c>
      <c r="AF161" s="154"/>
      <c r="AG161" s="243" t="b">
        <f t="shared" si="4"/>
        <v>0</v>
      </c>
      <c r="AH161" s="154" t="s">
        <v>652</v>
      </c>
      <c r="AI161" s="243" t="str">
        <f t="shared" si="5"/>
        <v>Complies</v>
      </c>
      <c r="AJ161" s="157" t="str">
        <f t="shared" si="6"/>
        <v/>
      </c>
    </row>
    <row r="162" ht="12.75" customHeight="1">
      <c r="A162" s="244" t="s">
        <v>621</v>
      </c>
      <c r="B162" s="244" t="s">
        <v>624</v>
      </c>
      <c r="C162" s="245" t="s">
        <v>831</v>
      </c>
      <c r="D162" s="155" t="s">
        <v>542</v>
      </c>
      <c r="E162" s="246" t="s">
        <v>489</v>
      </c>
      <c r="F162" s="154" t="str">
        <f t="array" ref="F162">XLOOKUP(Cover!$D$12,$S$1:$AA$1,$S162:$AA162)</f>
        <v>Information</v>
      </c>
      <c r="G162" s="153" t="s">
        <v>832</v>
      </c>
      <c r="H162" s="154"/>
      <c r="I162" s="154" t="s">
        <v>759</v>
      </c>
      <c r="J162" s="247" t="s">
        <v>516</v>
      </c>
      <c r="K162" s="247" t="s">
        <v>717</v>
      </c>
      <c r="L162" s="154" t="str">
        <f t="shared" si="1"/>
        <v/>
      </c>
      <c r="M162" s="253" t="s">
        <v>828</v>
      </c>
      <c r="N162" s="253" t="str">
        <f>IFERROR(__xludf.DUMMYFUNCTION("VLOOKUP(C162,IMPORTRANGE(""https://docs.google.com/spreadsheets/d/1ihFlp3_ePlYtFuPbUNbYj1muErVpI73WHXbEwJDIA7Q/edit#gid=1493122344"",""MTR!C:O""),8,false)"),"#N/A")</f>
        <v>#N/A</v>
      </c>
      <c r="O162" s="253" t="str">
        <f>IFERROR(__xludf.DUMMYFUNCTION("VLOOKUP(C162,IMPORTRANGE(""https://docs.google.com/spreadsheets/d/1P8eX0NWBhUPS_hvzA11R6jkTNFrPrRYIx_dX_hYbxrk/edit?resourcekey=0-iw9bsKY2OqkUHCFMkCar3A&amp;gid=2055363397#gid=2055363397"",""MTR!C:O""),9,false)"),"#N/A")</f>
        <v>#N/A</v>
      </c>
      <c r="P162" s="253"/>
      <c r="Q162" s="253"/>
      <c r="R162" s="253"/>
      <c r="S162" s="154" t="s">
        <v>66</v>
      </c>
      <c r="T162" s="154" t="s">
        <v>66</v>
      </c>
      <c r="U162" s="154" t="s">
        <v>66</v>
      </c>
      <c r="V162" s="154" t="s">
        <v>66</v>
      </c>
      <c r="W162" s="154" t="s">
        <v>66</v>
      </c>
      <c r="X162" s="154" t="s">
        <v>66</v>
      </c>
      <c r="Y162" s="154" t="s">
        <v>68</v>
      </c>
      <c r="Z162" s="154" t="s">
        <v>66</v>
      </c>
      <c r="AA162" s="154" t="s">
        <v>66</v>
      </c>
      <c r="AB162" s="154"/>
      <c r="AC162" s="242" t="b">
        <f t="shared" si="2"/>
        <v>1</v>
      </c>
      <c r="AD162" s="154" t="s">
        <v>68</v>
      </c>
      <c r="AE162" s="243" t="b">
        <f t="shared" si="3"/>
        <v>0</v>
      </c>
      <c r="AF162" s="154"/>
      <c r="AG162" s="243" t="b">
        <f t="shared" si="4"/>
        <v>0</v>
      </c>
      <c r="AH162" s="154" t="s">
        <v>652</v>
      </c>
      <c r="AI162" s="243" t="str">
        <f t="shared" si="5"/>
        <v>Complies</v>
      </c>
      <c r="AJ162" s="157" t="str">
        <f t="shared" si="6"/>
        <v/>
      </c>
    </row>
    <row r="163" ht="12.75" customHeight="1">
      <c r="A163" s="244" t="s">
        <v>621</v>
      </c>
      <c r="B163" s="244" t="s">
        <v>624</v>
      </c>
      <c r="C163" s="245" t="s">
        <v>833</v>
      </c>
      <c r="D163" s="155" t="s">
        <v>542</v>
      </c>
      <c r="E163" s="246" t="s">
        <v>489</v>
      </c>
      <c r="F163" s="154" t="str">
        <f t="array" ref="F163">XLOOKUP(Cover!$D$12,$S$1:$AA$1,$S163:$AA163)</f>
        <v>Information</v>
      </c>
      <c r="G163" s="153" t="s">
        <v>834</v>
      </c>
      <c r="H163" s="154"/>
      <c r="I163" s="154" t="s">
        <v>759</v>
      </c>
      <c r="J163" s="247" t="s">
        <v>516</v>
      </c>
      <c r="K163" s="247" t="s">
        <v>717</v>
      </c>
      <c r="L163" s="154" t="str">
        <f t="shared" si="1"/>
        <v/>
      </c>
      <c r="M163" s="253" t="s">
        <v>828</v>
      </c>
      <c r="N163" s="253" t="str">
        <f>IFERROR(__xludf.DUMMYFUNCTION("VLOOKUP(C163,IMPORTRANGE(""https://docs.google.com/spreadsheets/d/1ihFlp3_ePlYtFuPbUNbYj1muErVpI73WHXbEwJDIA7Q/edit#gid=1493122344"",""MTR!C:O""),8,false)"),"#N/A")</f>
        <v>#N/A</v>
      </c>
      <c r="O163" s="253" t="str">
        <f>IFERROR(__xludf.DUMMYFUNCTION("VLOOKUP(C163,IMPORTRANGE(""https://docs.google.com/spreadsheets/d/1P8eX0NWBhUPS_hvzA11R6jkTNFrPrRYIx_dX_hYbxrk/edit?resourcekey=0-iw9bsKY2OqkUHCFMkCar3A&amp;gid=2055363397#gid=2055363397"",""MTR!C:O""),9,false)"),"#N/A")</f>
        <v>#N/A</v>
      </c>
      <c r="P163" s="253"/>
      <c r="Q163" s="253"/>
      <c r="R163" s="253"/>
      <c r="S163" s="154" t="s">
        <v>66</v>
      </c>
      <c r="T163" s="154" t="s">
        <v>66</v>
      </c>
      <c r="U163" s="154" t="s">
        <v>66</v>
      </c>
      <c r="V163" s="154" t="s">
        <v>66</v>
      </c>
      <c r="W163" s="154" t="s">
        <v>66</v>
      </c>
      <c r="X163" s="154" t="s">
        <v>66</v>
      </c>
      <c r="Y163" s="154" t="s">
        <v>68</v>
      </c>
      <c r="Z163" s="154" t="s">
        <v>66</v>
      </c>
      <c r="AA163" s="154" t="s">
        <v>66</v>
      </c>
      <c r="AB163" s="154"/>
      <c r="AC163" s="242" t="b">
        <f t="shared" si="2"/>
        <v>1</v>
      </c>
      <c r="AD163" s="154" t="s">
        <v>68</v>
      </c>
      <c r="AE163" s="243" t="b">
        <f t="shared" si="3"/>
        <v>0</v>
      </c>
      <c r="AF163" s="154"/>
      <c r="AG163" s="243" t="b">
        <f t="shared" si="4"/>
        <v>0</v>
      </c>
      <c r="AH163" s="154" t="s">
        <v>652</v>
      </c>
      <c r="AI163" s="243" t="str">
        <f t="shared" si="5"/>
        <v>Complies</v>
      </c>
      <c r="AJ163" s="157" t="str">
        <f t="shared" si="6"/>
        <v/>
      </c>
    </row>
    <row r="164" ht="12.75" customHeight="1">
      <c r="A164" s="244" t="s">
        <v>621</v>
      </c>
      <c r="B164" s="244" t="s">
        <v>624</v>
      </c>
      <c r="C164" s="245" t="s">
        <v>835</v>
      </c>
      <c r="D164" s="155" t="s">
        <v>542</v>
      </c>
      <c r="E164" s="246" t="s">
        <v>489</v>
      </c>
      <c r="F164" s="154" t="str">
        <f t="array" ref="F164">XLOOKUP(Cover!$D$12,$S$1:$AA$1,$S164:$AA164)</f>
        <v>Information</v>
      </c>
      <c r="G164" s="153" t="s">
        <v>836</v>
      </c>
      <c r="H164" s="154"/>
      <c r="I164" s="154" t="s">
        <v>759</v>
      </c>
      <c r="J164" s="247" t="s">
        <v>516</v>
      </c>
      <c r="K164" s="247" t="s">
        <v>717</v>
      </c>
      <c r="L164" s="154" t="str">
        <f t="shared" si="1"/>
        <v/>
      </c>
      <c r="M164" s="253" t="s">
        <v>828</v>
      </c>
      <c r="N164" s="253" t="str">
        <f>IFERROR(__xludf.DUMMYFUNCTION("VLOOKUP(C164,IMPORTRANGE(""https://docs.google.com/spreadsheets/d/1ihFlp3_ePlYtFuPbUNbYj1muErVpI73WHXbEwJDIA7Q/edit#gid=1493122344"",""MTR!C:O""),8,false)"),"#N/A")</f>
        <v>#N/A</v>
      </c>
      <c r="O164" s="253" t="str">
        <f>IFERROR(__xludf.DUMMYFUNCTION("VLOOKUP(C164,IMPORTRANGE(""https://docs.google.com/spreadsheets/d/1P8eX0NWBhUPS_hvzA11R6jkTNFrPrRYIx_dX_hYbxrk/edit?resourcekey=0-iw9bsKY2OqkUHCFMkCar3A&amp;gid=2055363397#gid=2055363397"",""MTR!C:O""),9,false)"),"#N/A")</f>
        <v>#N/A</v>
      </c>
      <c r="P164" s="253"/>
      <c r="Q164" s="253"/>
      <c r="R164" s="253"/>
      <c r="S164" s="154" t="s">
        <v>66</v>
      </c>
      <c r="T164" s="154" t="s">
        <v>66</v>
      </c>
      <c r="U164" s="154" t="s">
        <v>66</v>
      </c>
      <c r="V164" s="154" t="s">
        <v>66</v>
      </c>
      <c r="W164" s="154" t="s">
        <v>66</v>
      </c>
      <c r="X164" s="154" t="s">
        <v>66</v>
      </c>
      <c r="Y164" s="154" t="s">
        <v>68</v>
      </c>
      <c r="Z164" s="154" t="s">
        <v>66</v>
      </c>
      <c r="AA164" s="154" t="s">
        <v>66</v>
      </c>
      <c r="AB164" s="154"/>
      <c r="AC164" s="242" t="b">
        <f t="shared" si="2"/>
        <v>1</v>
      </c>
      <c r="AD164" s="154" t="s">
        <v>68</v>
      </c>
      <c r="AE164" s="243" t="b">
        <f t="shared" si="3"/>
        <v>0</v>
      </c>
      <c r="AF164" s="154"/>
      <c r="AG164" s="243" t="b">
        <f t="shared" si="4"/>
        <v>0</v>
      </c>
      <c r="AH164" s="154" t="s">
        <v>652</v>
      </c>
      <c r="AI164" s="243" t="str">
        <f t="shared" si="5"/>
        <v>Complies</v>
      </c>
      <c r="AJ164" s="157" t="str">
        <f t="shared" si="6"/>
        <v/>
      </c>
    </row>
    <row r="165" ht="12.75" customHeight="1">
      <c r="A165" s="238" t="s">
        <v>621</v>
      </c>
      <c r="B165" s="238" t="s">
        <v>624</v>
      </c>
      <c r="C165" s="238" t="s">
        <v>837</v>
      </c>
      <c r="D165" s="240"/>
      <c r="E165" s="252" t="s">
        <v>92</v>
      </c>
      <c r="F165" s="154" t="str">
        <f t="array" ref="F165">XLOOKUP(Cover!$D$12,$S$1:$AA$1,$S165:$AA165)</f>
        <v>Heading</v>
      </c>
      <c r="G165" s="239" t="s">
        <v>838</v>
      </c>
      <c r="H165" s="240"/>
      <c r="I165" s="240" t="s">
        <v>759</v>
      </c>
      <c r="J165" s="240"/>
      <c r="K165" s="240"/>
      <c r="L165" s="154" t="str">
        <f t="shared" si="1"/>
        <v/>
      </c>
      <c r="M165" s="241" t="str">
        <f>IFERROR(__xludf.DUMMYFUNCTION("VLOOKUP(C165,IMPORTRANGE(""https://docs.google.com/spreadsheets/d/1P8eX0NWBhUPS_hvzA11R6jkTNFrPrRYIx_dX_hYbxrk/edit?resourcekey=0-iw9bsKY2OqkUHCFMkCar3A&amp;gid=2055363397#gid=2055363397"",""MTR!C:O""),11,false)"),"")</f>
        <v/>
      </c>
      <c r="N165" s="241" t="str">
        <f>IFERROR(__xludf.DUMMYFUNCTION("VLOOKUP(C165,IMPORTRANGE(""https://docs.google.com/spreadsheets/d/1ihFlp3_ePlYtFuPbUNbYj1muErVpI73WHXbEwJDIA7Q/edit#gid=1493122344"",""MTR!C:O""),8,false)"),"")</f>
        <v/>
      </c>
      <c r="O165" s="241" t="str">
        <f>IFERROR(__xludf.DUMMYFUNCTION("VLOOKUP(C165,IMPORTRANGE(""https://docs.google.com/spreadsheets/d/1P8eX0NWBhUPS_hvzA11R6jkTNFrPrRYIx_dX_hYbxrk/edit?resourcekey=0-iw9bsKY2OqkUHCFMkCar3A&amp;gid=2055363397#gid=2055363397"",""MTR!C:O""),9,false)"),"")</f>
        <v/>
      </c>
      <c r="P165" s="241"/>
      <c r="Q165" s="241"/>
      <c r="R165" s="241"/>
      <c r="S165" s="240" t="s">
        <v>390</v>
      </c>
      <c r="T165" s="240" t="s">
        <v>390</v>
      </c>
      <c r="U165" s="240" t="s">
        <v>390</v>
      </c>
      <c r="V165" s="240" t="s">
        <v>390</v>
      </c>
      <c r="W165" s="240" t="s">
        <v>390</v>
      </c>
      <c r="X165" s="240" t="s">
        <v>390</v>
      </c>
      <c r="Y165" s="240" t="s">
        <v>390</v>
      </c>
      <c r="Z165" s="240" t="s">
        <v>390</v>
      </c>
      <c r="AA165" s="240" t="s">
        <v>390</v>
      </c>
      <c r="AB165" s="240"/>
      <c r="AC165" s="242" t="b">
        <f t="shared" si="2"/>
        <v>0</v>
      </c>
      <c r="AD165" s="240" t="s">
        <v>391</v>
      </c>
      <c r="AE165" s="243" t="b">
        <f t="shared" si="3"/>
        <v>0</v>
      </c>
      <c r="AF165" s="240"/>
      <c r="AG165" s="243" t="b">
        <f t="shared" si="4"/>
        <v>0</v>
      </c>
      <c r="AH165" s="240"/>
      <c r="AI165" s="243" t="str">
        <f t="shared" si="5"/>
        <v>N/A</v>
      </c>
      <c r="AJ165" s="157" t="str">
        <f t="shared" si="6"/>
        <v/>
      </c>
    </row>
    <row r="166" ht="12.75" customHeight="1">
      <c r="A166" s="244" t="s">
        <v>621</v>
      </c>
      <c r="B166" s="244" t="s">
        <v>624</v>
      </c>
      <c r="C166" s="244" t="s">
        <v>839</v>
      </c>
      <c r="D166" s="154" t="s">
        <v>781</v>
      </c>
      <c r="E166" s="250"/>
      <c r="F166" s="154" t="str">
        <f t="array" ref="F166">XLOOKUP(Cover!$D$12,$S$1:$AA$1,$S166:$AA166)</f>
        <v>Information</v>
      </c>
      <c r="G166" s="153" t="s">
        <v>840</v>
      </c>
      <c r="H166" s="154"/>
      <c r="I166" s="154" t="s">
        <v>759</v>
      </c>
      <c r="J166" s="247" t="s">
        <v>516</v>
      </c>
      <c r="K166" s="247" t="s">
        <v>717</v>
      </c>
      <c r="L166" s="154" t="str">
        <f t="shared" si="1"/>
        <v/>
      </c>
      <c r="M166" s="248" t="str">
        <f>IFERROR(__xludf.DUMMYFUNCTION("VLOOKUP(C166,IMPORTRANGE(""https://docs.google.com/spreadsheets/d/1P8eX0NWBhUPS_hvzA11R6jkTNFrPrRYIx_dX_hYbxrk/edit?resourcekey=0-iw9bsKY2OqkUHCFMkCar3A&amp;gid=2055363397#gid=2055363397"",""MTR!C:O""),11,false)"),"PMW-L1")</f>
        <v>PMW-L1</v>
      </c>
      <c r="N166" s="248" t="str">
        <f>IFERROR(__xludf.DUMMYFUNCTION("VLOOKUP(C166,IMPORTRANGE(""https://docs.google.com/spreadsheets/d/1ihFlp3_ePlYtFuPbUNbYj1muErVpI73WHXbEwJDIA7Q/edit#gid=1493122344"",""MTR!C:O""),8,false)"),"Does Not Comply")</f>
        <v>Does Not Comply</v>
      </c>
      <c r="O166" s="248" t="str">
        <f>IFERROR(__xludf.DUMMYFUNCTION("VLOOKUP(C166,IMPORTRANGE(""https://docs.google.com/spreadsheets/d/1P8eX0NWBhUPS_hvzA11R6jkTNFrPrRYIx_dX_hYbxrk/edit?resourcekey=0-iw9bsKY2OqkUHCFMkCar3A&amp;gid=2055363397#gid=2055363397"",""MTR!C:O""),9,false)"),"Hardware design limitation")</f>
        <v>Hardware design limitation</v>
      </c>
      <c r="P166" s="248"/>
      <c r="Q166" s="249" t="s">
        <v>516</v>
      </c>
      <c r="R166" s="249" t="s">
        <v>717</v>
      </c>
      <c r="S166" s="154" t="s">
        <v>66</v>
      </c>
      <c r="T166" s="154" t="s">
        <v>66</v>
      </c>
      <c r="U166" s="154" t="s">
        <v>66</v>
      </c>
      <c r="V166" s="154" t="s">
        <v>66</v>
      </c>
      <c r="W166" s="154" t="s">
        <v>66</v>
      </c>
      <c r="X166" s="154" t="s">
        <v>66</v>
      </c>
      <c r="Y166" s="154" t="s">
        <v>68</v>
      </c>
      <c r="Z166" s="154" t="s">
        <v>66</v>
      </c>
      <c r="AA166" s="154" t="s">
        <v>66</v>
      </c>
      <c r="AB166" s="154"/>
      <c r="AC166" s="242" t="b">
        <f t="shared" si="2"/>
        <v>1</v>
      </c>
      <c r="AD166" s="154" t="s">
        <v>68</v>
      </c>
      <c r="AE166" s="243" t="b">
        <f t="shared" si="3"/>
        <v>0</v>
      </c>
      <c r="AF166" s="154"/>
      <c r="AG166" s="243" t="b">
        <f t="shared" si="4"/>
        <v>0</v>
      </c>
      <c r="AH166" s="154" t="s">
        <v>652</v>
      </c>
      <c r="AI166" s="243" t="str">
        <f t="shared" si="5"/>
        <v>Complies</v>
      </c>
      <c r="AJ166" s="157" t="str">
        <f t="shared" si="6"/>
        <v/>
      </c>
    </row>
    <row r="167" ht="12.75" customHeight="1">
      <c r="A167" s="244" t="s">
        <v>621</v>
      </c>
      <c r="B167" s="244" t="s">
        <v>624</v>
      </c>
      <c r="C167" s="245" t="s">
        <v>841</v>
      </c>
      <c r="D167" s="155" t="s">
        <v>781</v>
      </c>
      <c r="E167" s="246" t="s">
        <v>92</v>
      </c>
      <c r="F167" s="154" t="str">
        <f t="array" ref="F167">XLOOKUP(Cover!$D$12,$S$1:$AA$1,$S167:$AA167)</f>
        <v>Information</v>
      </c>
      <c r="G167" s="153" t="s">
        <v>842</v>
      </c>
      <c r="H167" s="154"/>
      <c r="I167" s="154" t="s">
        <v>759</v>
      </c>
      <c r="J167" s="247" t="s">
        <v>516</v>
      </c>
      <c r="K167" s="247" t="s">
        <v>717</v>
      </c>
      <c r="L167" s="154" t="str">
        <f t="shared" si="1"/>
        <v/>
      </c>
      <c r="M167" s="248" t="str">
        <f>IFERROR(__xludf.DUMMYFUNCTION("VLOOKUP(C167,IMPORTRANGE(""https://docs.google.com/spreadsheets/d/1P8eX0NWBhUPS_hvzA11R6jkTNFrPrRYIx_dX_hYbxrk/edit?resourcekey=0-iw9bsKY2OqkUHCFMkCar3A&amp;gid=2055363397#gid=2055363397"",""MTR!C:O""),11,false)"),"PMW-L1")</f>
        <v>PMW-L1</v>
      </c>
      <c r="N167" s="248" t="str">
        <f>IFERROR(__xludf.DUMMYFUNCTION("VLOOKUP(C167,IMPORTRANGE(""https://docs.google.com/spreadsheets/d/1ihFlp3_ePlYtFuPbUNbYj1muErVpI73WHXbEwJDIA7Q/edit#gid=1493122344"",""MTR!C:O""),8,false)"),"Does Not Comply")</f>
        <v>Does Not Comply</v>
      </c>
      <c r="O167" s="248" t="str">
        <f>IFERROR(__xludf.DUMMYFUNCTION("VLOOKUP(C167,IMPORTRANGE(""https://docs.google.com/spreadsheets/d/1P8eX0NWBhUPS_hvzA11R6jkTNFrPrRYIx_dX_hYbxrk/edit?resourcekey=0-iw9bsKY2OqkUHCFMkCar3A&amp;gid=2055363397#gid=2055363397"",""MTR!C:O""),9,false)"),"Hardware design limitation")</f>
        <v>Hardware design limitation</v>
      </c>
      <c r="P167" s="248"/>
      <c r="Q167" s="249" t="s">
        <v>516</v>
      </c>
      <c r="R167" s="249" t="s">
        <v>717</v>
      </c>
      <c r="S167" s="154" t="s">
        <v>66</v>
      </c>
      <c r="T167" s="154" t="s">
        <v>66</v>
      </c>
      <c r="U167" s="154" t="s">
        <v>66</v>
      </c>
      <c r="V167" s="154" t="s">
        <v>66</v>
      </c>
      <c r="W167" s="154" t="s">
        <v>66</v>
      </c>
      <c r="X167" s="154" t="s">
        <v>66</v>
      </c>
      <c r="Y167" s="154" t="s">
        <v>68</v>
      </c>
      <c r="Z167" s="154" t="s">
        <v>66</v>
      </c>
      <c r="AA167" s="154" t="s">
        <v>66</v>
      </c>
      <c r="AB167" s="154"/>
      <c r="AC167" s="242" t="b">
        <f t="shared" si="2"/>
        <v>1</v>
      </c>
      <c r="AD167" s="154" t="s">
        <v>68</v>
      </c>
      <c r="AE167" s="243" t="b">
        <f t="shared" si="3"/>
        <v>0</v>
      </c>
      <c r="AF167" s="154"/>
      <c r="AG167" s="243" t="b">
        <f t="shared" si="4"/>
        <v>0</v>
      </c>
      <c r="AH167" s="154" t="s">
        <v>652</v>
      </c>
      <c r="AI167" s="243" t="str">
        <f t="shared" si="5"/>
        <v>Complies</v>
      </c>
      <c r="AJ167" s="157" t="str">
        <f t="shared" si="6"/>
        <v/>
      </c>
    </row>
    <row r="168" ht="12.75" customHeight="1">
      <c r="A168" s="244" t="s">
        <v>621</v>
      </c>
      <c r="B168" s="244" t="s">
        <v>624</v>
      </c>
      <c r="C168" s="244" t="s">
        <v>843</v>
      </c>
      <c r="D168" s="154" t="s">
        <v>781</v>
      </c>
      <c r="E168" s="250"/>
      <c r="F168" s="154" t="str">
        <f t="array" ref="F168">XLOOKUP(Cover!$D$12,$S$1:$AA$1,$S168:$AA168)</f>
        <v>Information</v>
      </c>
      <c r="G168" s="153" t="s">
        <v>844</v>
      </c>
      <c r="H168" s="154"/>
      <c r="I168" s="154" t="s">
        <v>759</v>
      </c>
      <c r="J168" s="247" t="s">
        <v>516</v>
      </c>
      <c r="K168" s="247" t="s">
        <v>717</v>
      </c>
      <c r="L168" s="154" t="str">
        <f t="shared" si="1"/>
        <v/>
      </c>
      <c r="M168" s="248" t="str">
        <f>IFERROR(__xludf.DUMMYFUNCTION("VLOOKUP(C168,IMPORTRANGE(""https://docs.google.com/spreadsheets/d/1P8eX0NWBhUPS_hvzA11R6jkTNFrPrRYIx_dX_hYbxrk/edit?resourcekey=0-iw9bsKY2OqkUHCFMkCar3A&amp;gid=2055363397#gid=2055363397"",""MTR!C:O""),11,false)"),"PMW-L1")</f>
        <v>PMW-L1</v>
      </c>
      <c r="N168" s="248" t="str">
        <f>IFERROR(__xludf.DUMMYFUNCTION("VLOOKUP(C168,IMPORTRANGE(""https://docs.google.com/spreadsheets/d/1ihFlp3_ePlYtFuPbUNbYj1muErVpI73WHXbEwJDIA7Q/edit#gid=1493122344"",""MTR!C:O""),8,false)"),"Does Not Comply")</f>
        <v>Does Not Comply</v>
      </c>
      <c r="O168" s="248" t="str">
        <f>IFERROR(__xludf.DUMMYFUNCTION("VLOOKUP(C168,IMPORTRANGE(""https://docs.google.com/spreadsheets/d/1P8eX0NWBhUPS_hvzA11R6jkTNFrPrRYIx_dX_hYbxrk/edit?resourcekey=0-iw9bsKY2OqkUHCFMkCar3A&amp;gid=2055363397#gid=2055363397"",""MTR!C:O""),9,false)"),"Hardware design limitation")</f>
        <v>Hardware design limitation</v>
      </c>
      <c r="P168" s="248"/>
      <c r="Q168" s="249" t="s">
        <v>516</v>
      </c>
      <c r="R168" s="249" t="s">
        <v>717</v>
      </c>
      <c r="S168" s="154" t="s">
        <v>66</v>
      </c>
      <c r="T168" s="154" t="s">
        <v>66</v>
      </c>
      <c r="U168" s="154" t="s">
        <v>66</v>
      </c>
      <c r="V168" s="154" t="s">
        <v>66</v>
      </c>
      <c r="W168" s="154" t="s">
        <v>66</v>
      </c>
      <c r="X168" s="154" t="s">
        <v>66</v>
      </c>
      <c r="Y168" s="154" t="s">
        <v>68</v>
      </c>
      <c r="Z168" s="154" t="s">
        <v>66</v>
      </c>
      <c r="AA168" s="154" t="s">
        <v>66</v>
      </c>
      <c r="AB168" s="154"/>
      <c r="AC168" s="242" t="b">
        <f t="shared" si="2"/>
        <v>1</v>
      </c>
      <c r="AD168" s="154" t="s">
        <v>68</v>
      </c>
      <c r="AE168" s="243" t="b">
        <f t="shared" si="3"/>
        <v>0</v>
      </c>
      <c r="AF168" s="154"/>
      <c r="AG168" s="243" t="b">
        <f t="shared" si="4"/>
        <v>0</v>
      </c>
      <c r="AH168" s="154" t="s">
        <v>652</v>
      </c>
      <c r="AI168" s="243" t="str">
        <f t="shared" si="5"/>
        <v>Complies</v>
      </c>
      <c r="AJ168" s="157" t="str">
        <f t="shared" si="6"/>
        <v/>
      </c>
    </row>
    <row r="169" ht="12.75" customHeight="1">
      <c r="A169" s="244" t="s">
        <v>621</v>
      </c>
      <c r="B169" s="244" t="s">
        <v>624</v>
      </c>
      <c r="C169" s="245" t="s">
        <v>845</v>
      </c>
      <c r="D169" s="155" t="s">
        <v>781</v>
      </c>
      <c r="E169" s="246" t="s">
        <v>92</v>
      </c>
      <c r="F169" s="154" t="str">
        <f t="array" ref="F169">XLOOKUP(Cover!$D$12,$S$1:$AA$1,$S169:$AA169)</f>
        <v>Information</v>
      </c>
      <c r="G169" s="153" t="s">
        <v>846</v>
      </c>
      <c r="H169" s="154"/>
      <c r="I169" s="154" t="s">
        <v>759</v>
      </c>
      <c r="J169" s="247" t="s">
        <v>516</v>
      </c>
      <c r="K169" s="247" t="s">
        <v>717</v>
      </c>
      <c r="L169" s="154" t="str">
        <f t="shared" si="1"/>
        <v/>
      </c>
      <c r="M169" s="248" t="str">
        <f>IFERROR(__xludf.DUMMYFUNCTION("VLOOKUP(C169,IMPORTRANGE(""https://docs.google.com/spreadsheets/d/1P8eX0NWBhUPS_hvzA11R6jkTNFrPrRYIx_dX_hYbxrk/edit?resourcekey=0-iw9bsKY2OqkUHCFMkCar3A&amp;gid=2055363397#gid=2055363397"",""MTR!C:O""),11,false)"),"PMW-L1")</f>
        <v>PMW-L1</v>
      </c>
      <c r="N169" s="248" t="str">
        <f>IFERROR(__xludf.DUMMYFUNCTION("VLOOKUP(C169,IMPORTRANGE(""https://docs.google.com/spreadsheets/d/1ihFlp3_ePlYtFuPbUNbYj1muErVpI73WHXbEwJDIA7Q/edit#gid=1493122344"",""MTR!C:O""),8,false)"),"Does Not Comply")</f>
        <v>Does Not Comply</v>
      </c>
      <c r="O169" s="248" t="str">
        <f>IFERROR(__xludf.DUMMYFUNCTION("VLOOKUP(C169,IMPORTRANGE(""https://docs.google.com/spreadsheets/d/1P8eX0NWBhUPS_hvzA11R6jkTNFrPrRYIx_dX_hYbxrk/edit?resourcekey=0-iw9bsKY2OqkUHCFMkCar3A&amp;gid=2055363397#gid=2055363397"",""MTR!C:O""),9,false)"),"Hardware design limitation")</f>
        <v>Hardware design limitation</v>
      </c>
      <c r="P169" s="248"/>
      <c r="Q169" s="249" t="s">
        <v>516</v>
      </c>
      <c r="R169" s="249" t="s">
        <v>717</v>
      </c>
      <c r="S169" s="154" t="s">
        <v>66</v>
      </c>
      <c r="T169" s="154" t="s">
        <v>66</v>
      </c>
      <c r="U169" s="154" t="s">
        <v>66</v>
      </c>
      <c r="V169" s="154" t="s">
        <v>66</v>
      </c>
      <c r="W169" s="154" t="s">
        <v>66</v>
      </c>
      <c r="X169" s="154" t="s">
        <v>66</v>
      </c>
      <c r="Y169" s="154" t="s">
        <v>68</v>
      </c>
      <c r="Z169" s="154" t="s">
        <v>66</v>
      </c>
      <c r="AA169" s="154" t="s">
        <v>66</v>
      </c>
      <c r="AB169" s="154"/>
      <c r="AC169" s="242" t="b">
        <f t="shared" si="2"/>
        <v>1</v>
      </c>
      <c r="AD169" s="154" t="s">
        <v>68</v>
      </c>
      <c r="AE169" s="243" t="b">
        <f t="shared" si="3"/>
        <v>0</v>
      </c>
      <c r="AF169" s="154"/>
      <c r="AG169" s="243" t="b">
        <f t="shared" si="4"/>
        <v>0</v>
      </c>
      <c r="AH169" s="154" t="s">
        <v>652</v>
      </c>
      <c r="AI169" s="243" t="str">
        <f t="shared" si="5"/>
        <v>Complies</v>
      </c>
      <c r="AJ169" s="157" t="str">
        <f t="shared" si="6"/>
        <v/>
      </c>
    </row>
    <row r="170" ht="12.75" customHeight="1">
      <c r="A170" s="238" t="s">
        <v>621</v>
      </c>
      <c r="B170" s="238" t="s">
        <v>624</v>
      </c>
      <c r="C170" s="238" t="s">
        <v>847</v>
      </c>
      <c r="D170" s="240"/>
      <c r="E170" s="252" t="s">
        <v>92</v>
      </c>
      <c r="F170" s="154" t="str">
        <f t="array" ref="F170">XLOOKUP(Cover!$D$12,$S$1:$AA$1,$S170:$AA170)</f>
        <v>Heading</v>
      </c>
      <c r="G170" s="239" t="s">
        <v>848</v>
      </c>
      <c r="H170" s="240"/>
      <c r="I170" s="240" t="s">
        <v>759</v>
      </c>
      <c r="J170" s="240"/>
      <c r="K170" s="240"/>
      <c r="L170" s="154" t="str">
        <f t="shared" si="1"/>
        <v/>
      </c>
      <c r="M170" s="241" t="str">
        <f>IFERROR(__xludf.DUMMYFUNCTION("VLOOKUP(C170,IMPORTRANGE(""https://docs.google.com/spreadsheets/d/1P8eX0NWBhUPS_hvzA11R6jkTNFrPrRYIx_dX_hYbxrk/edit?resourcekey=0-iw9bsKY2OqkUHCFMkCar3A&amp;gid=2055363397#gid=2055363397"",""MTR!C:O""),11,false)"),"")</f>
        <v/>
      </c>
      <c r="N170" s="241" t="str">
        <f>IFERROR(__xludf.DUMMYFUNCTION("VLOOKUP(C170,IMPORTRANGE(""https://docs.google.com/spreadsheets/d/1ihFlp3_ePlYtFuPbUNbYj1muErVpI73WHXbEwJDIA7Q/edit#gid=1493122344"",""MTR!C:O""),8,false)"),"")</f>
        <v/>
      </c>
      <c r="O170" s="241" t="str">
        <f>IFERROR(__xludf.DUMMYFUNCTION("VLOOKUP(C170,IMPORTRANGE(""https://docs.google.com/spreadsheets/d/1P8eX0NWBhUPS_hvzA11R6jkTNFrPrRYIx_dX_hYbxrk/edit?resourcekey=0-iw9bsKY2OqkUHCFMkCar3A&amp;gid=2055363397#gid=2055363397"",""MTR!C:O""),9,false)"),"")</f>
        <v/>
      </c>
      <c r="P170" s="241"/>
      <c r="Q170" s="241"/>
      <c r="R170" s="241"/>
      <c r="S170" s="240" t="s">
        <v>390</v>
      </c>
      <c r="T170" s="240" t="s">
        <v>390</v>
      </c>
      <c r="U170" s="240" t="s">
        <v>390</v>
      </c>
      <c r="V170" s="240" t="s">
        <v>390</v>
      </c>
      <c r="W170" s="240" t="s">
        <v>390</v>
      </c>
      <c r="X170" s="240" t="s">
        <v>390</v>
      </c>
      <c r="Y170" s="240" t="s">
        <v>390</v>
      </c>
      <c r="Z170" s="240" t="s">
        <v>390</v>
      </c>
      <c r="AA170" s="240" t="s">
        <v>390</v>
      </c>
      <c r="AB170" s="240"/>
      <c r="AC170" s="242" t="b">
        <f t="shared" si="2"/>
        <v>0</v>
      </c>
      <c r="AD170" s="240" t="s">
        <v>391</v>
      </c>
      <c r="AE170" s="243" t="b">
        <f t="shared" si="3"/>
        <v>0</v>
      </c>
      <c r="AF170" s="240"/>
      <c r="AG170" s="243" t="b">
        <f t="shared" si="4"/>
        <v>0</v>
      </c>
      <c r="AH170" s="240"/>
      <c r="AI170" s="243" t="str">
        <f t="shared" si="5"/>
        <v>N/A</v>
      </c>
      <c r="AJ170" s="157" t="str">
        <f t="shared" si="6"/>
        <v/>
      </c>
    </row>
    <row r="171" ht="12.75" customHeight="1">
      <c r="A171" s="244" t="s">
        <v>621</v>
      </c>
      <c r="B171" s="244" t="s">
        <v>624</v>
      </c>
      <c r="C171" s="245" t="s">
        <v>849</v>
      </c>
      <c r="D171" s="155" t="s">
        <v>546</v>
      </c>
      <c r="E171" s="246" t="s">
        <v>92</v>
      </c>
      <c r="F171" s="154" t="str">
        <f t="array" ref="F171">XLOOKUP(Cover!$D$12,$S$1:$AA$1,$S171:$AA171)</f>
        <v>Information</v>
      </c>
      <c r="G171" s="153" t="s">
        <v>850</v>
      </c>
      <c r="H171" s="154"/>
      <c r="I171" s="154" t="s">
        <v>759</v>
      </c>
      <c r="J171" s="247" t="s">
        <v>506</v>
      </c>
      <c r="K171" s="247" t="s">
        <v>851</v>
      </c>
      <c r="L171" s="154" t="str">
        <f t="shared" si="1"/>
        <v/>
      </c>
      <c r="M171" s="248" t="str">
        <f>IFERROR(__xludf.DUMMYFUNCTION("VLOOKUP(C171,IMPORTRANGE(""https://docs.google.com/spreadsheets/d/1P8eX0NWBhUPS_hvzA11R6jkTNFrPrRYIx_dX_hYbxrk/edit?resourcekey=0-iw9bsKY2OqkUHCFMkCar3A&amp;gid=2055363397#gid=2055363397"",""MTR!C:O""),11,false)"),"PMW-L1")</f>
        <v>PMW-L1</v>
      </c>
      <c r="N171" s="248" t="str">
        <f>IFERROR(__xludf.DUMMYFUNCTION("VLOOKUP(C171,IMPORTRANGE(""https://docs.google.com/spreadsheets/d/1ihFlp3_ePlYtFuPbUNbYj1muErVpI73WHXbEwJDIA7Q/edit#gid=1493122344"",""MTR!C:O""),8,false)"),"Does Not Comply")</f>
        <v>Does Not Comply</v>
      </c>
      <c r="O171" s="248" t="str">
        <f>IFERROR(__xludf.DUMMYFUNCTION("VLOOKUP(C171,IMPORTRANGE(""https://docs.google.com/spreadsheets/d/1P8eX0NWBhUPS_hvzA11R6jkTNFrPrRYIx_dX_hYbxrk/edit?resourcekey=0-iw9bsKY2OqkUHCFMkCar3A&amp;gid=2055363397#gid=2055363397"",""MTR!C:O""),9,false)"),"n5 does not support SCS 30 KHz.
Disabled for EMEA countries by default and will be enabled for countries that have NR n5 deployment in live network")</f>
        <v>n5 does not support SCS 30 KHz.
Disabled for EMEA countries by default and will be enabled for countries that have NR n5 deployment in live network</v>
      </c>
      <c r="P171" s="248"/>
      <c r="Q171" s="249" t="s">
        <v>516</v>
      </c>
      <c r="R171" s="249" t="s">
        <v>852</v>
      </c>
      <c r="S171" s="154" t="s">
        <v>66</v>
      </c>
      <c r="T171" s="154" t="s">
        <v>66</v>
      </c>
      <c r="U171" s="154" t="s">
        <v>66</v>
      </c>
      <c r="V171" s="154" t="s">
        <v>66</v>
      </c>
      <c r="W171" s="154" t="s">
        <v>66</v>
      </c>
      <c r="X171" s="154" t="s">
        <v>66</v>
      </c>
      <c r="Y171" s="154" t="s">
        <v>68</v>
      </c>
      <c r="Z171" s="154" t="s">
        <v>66</v>
      </c>
      <c r="AA171" s="154" t="s">
        <v>66</v>
      </c>
      <c r="AB171" s="154"/>
      <c r="AC171" s="242" t="b">
        <f t="shared" si="2"/>
        <v>1</v>
      </c>
      <c r="AD171" s="154" t="s">
        <v>391</v>
      </c>
      <c r="AE171" s="243" t="b">
        <f t="shared" si="3"/>
        <v>0</v>
      </c>
      <c r="AF171" s="154"/>
      <c r="AG171" s="243" t="b">
        <f t="shared" si="4"/>
        <v>0</v>
      </c>
      <c r="AH171" s="154"/>
      <c r="AI171" s="243" t="str">
        <f t="shared" si="5"/>
        <v>N/A</v>
      </c>
      <c r="AJ171" s="157" t="str">
        <f t="shared" si="6"/>
        <v/>
      </c>
    </row>
    <row r="172" ht="12.75" customHeight="1">
      <c r="A172" s="244" t="s">
        <v>621</v>
      </c>
      <c r="B172" s="244" t="s">
        <v>624</v>
      </c>
      <c r="C172" s="245" t="s">
        <v>853</v>
      </c>
      <c r="D172" s="155" t="s">
        <v>781</v>
      </c>
      <c r="E172" s="246" t="s">
        <v>92</v>
      </c>
      <c r="F172" s="154" t="str">
        <f t="array" ref="F172">XLOOKUP(Cover!$D$12,$S$1:$AA$1,$S172:$AA172)</f>
        <v>Information</v>
      </c>
      <c r="G172" s="153" t="s">
        <v>854</v>
      </c>
      <c r="H172" s="154"/>
      <c r="I172" s="154" t="s">
        <v>759</v>
      </c>
      <c r="J172" s="247" t="s">
        <v>506</v>
      </c>
      <c r="K172" s="247" t="s">
        <v>855</v>
      </c>
      <c r="L172" s="154" t="str">
        <f t="shared" si="1"/>
        <v/>
      </c>
      <c r="M172" s="248" t="str">
        <f>IFERROR(__xludf.DUMMYFUNCTION("VLOOKUP(C172,IMPORTRANGE(""https://docs.google.com/spreadsheets/d/1P8eX0NWBhUPS_hvzA11R6jkTNFrPrRYIx_dX_hYbxrk/edit?resourcekey=0-iw9bsKY2OqkUHCFMkCar3A&amp;gid=2055363397#gid=2055363397"",""MTR!C:O""),11,false)"),"PMW-L1")</f>
        <v>PMW-L1</v>
      </c>
      <c r="N172" s="248" t="str">
        <f>IFERROR(__xludf.DUMMYFUNCTION("VLOOKUP(C172,IMPORTRANGE(""https://docs.google.com/spreadsheets/d/1ihFlp3_ePlYtFuPbUNbYj1muErVpI73WHXbEwJDIA7Q/edit#gid=1493122344"",""MTR!C:O""),8,false)"),"Does Not Comply")</f>
        <v>Does Not Comply</v>
      </c>
      <c r="O172" s="248" t="str">
        <f>IFERROR(__xludf.DUMMYFUNCTION("VLOOKUP(C172,IMPORTRANGE(""https://docs.google.com/spreadsheets/d/1P8eX0NWBhUPS_hvzA11R6jkTNFrPrRYIx_dX_hYbxrk/edit?resourcekey=0-iw9bsKY2OqkUHCFMkCar3A&amp;gid=2055363397#gid=2055363397"",""MTR!C:O""),9,false)"),"n40 does not support bandiwdth of 5, 15 and 25 MHz.
SCS only supports 30 KHz.
Disabled for EMEA countries by default and will be enabled for countries that have NR n40 deployment in live network")</f>
        <v>n40 does not support bandiwdth of 5, 15 and 25 MHz.
SCS only supports 30 KHz.
Disabled for EMEA countries by default and will be enabled for countries that have NR n40 deployment in live network</v>
      </c>
      <c r="P172" s="248"/>
      <c r="Q172" s="249" t="s">
        <v>516</v>
      </c>
      <c r="R172" s="249" t="s">
        <v>856</v>
      </c>
      <c r="S172" s="154" t="s">
        <v>66</v>
      </c>
      <c r="T172" s="154" t="s">
        <v>66</v>
      </c>
      <c r="U172" s="154" t="s">
        <v>66</v>
      </c>
      <c r="V172" s="154" t="s">
        <v>66</v>
      </c>
      <c r="W172" s="154" t="s">
        <v>66</v>
      </c>
      <c r="X172" s="154" t="s">
        <v>66</v>
      </c>
      <c r="Y172" s="154" t="s">
        <v>68</v>
      </c>
      <c r="Z172" s="154" t="s">
        <v>66</v>
      </c>
      <c r="AA172" s="154" t="s">
        <v>66</v>
      </c>
      <c r="AB172" s="154"/>
      <c r="AC172" s="242" t="b">
        <f t="shared" si="2"/>
        <v>1</v>
      </c>
      <c r="AD172" s="154" t="s">
        <v>391</v>
      </c>
      <c r="AE172" s="243" t="b">
        <f t="shared" si="3"/>
        <v>0</v>
      </c>
      <c r="AF172" s="154"/>
      <c r="AG172" s="243" t="b">
        <f t="shared" si="4"/>
        <v>0</v>
      </c>
      <c r="AH172" s="154" t="s">
        <v>652</v>
      </c>
      <c r="AI172" s="243" t="str">
        <f t="shared" si="5"/>
        <v>Complies</v>
      </c>
      <c r="AJ172" s="157" t="str">
        <f t="shared" si="6"/>
        <v/>
      </c>
    </row>
    <row r="173" ht="12.75" customHeight="1">
      <c r="A173" s="244" t="s">
        <v>621</v>
      </c>
      <c r="B173" s="244" t="s">
        <v>624</v>
      </c>
      <c r="C173" s="245" t="s">
        <v>857</v>
      </c>
      <c r="D173" s="155" t="s">
        <v>747</v>
      </c>
      <c r="E173" s="246" t="s">
        <v>92</v>
      </c>
      <c r="F173" s="154" t="str">
        <f t="array" ref="F173">XLOOKUP(Cover!$D$12,$S$1:$AA$1,$S173:$AA173)</f>
        <v>Mandatory</v>
      </c>
      <c r="G173" s="153" t="s">
        <v>858</v>
      </c>
      <c r="H173" s="154" t="s">
        <v>679</v>
      </c>
      <c r="I173" s="154" t="s">
        <v>759</v>
      </c>
      <c r="J173" s="247" t="s">
        <v>506</v>
      </c>
      <c r="K173" s="247" t="s">
        <v>859</v>
      </c>
      <c r="L173" s="154" t="str">
        <f t="shared" si="1"/>
        <v/>
      </c>
      <c r="M173" s="248" t="str">
        <f>IFERROR(__xludf.DUMMYFUNCTION("VLOOKUP(C173,IMPORTRANGE(""https://docs.google.com/spreadsheets/d/1P8eX0NWBhUPS_hvzA11R6jkTNFrPrRYIx_dX_hYbxrk/edit?resourcekey=0-iw9bsKY2OqkUHCFMkCar3A&amp;gid=2055363397#gid=2055363397"",""MTR!C:O""),11,false)"),"PMW-L1")</f>
        <v>PMW-L1</v>
      </c>
      <c r="N173" s="248" t="str">
        <f>IFERROR(__xludf.DUMMYFUNCTION("VLOOKUP(C173,IMPORTRANGE(""https://docs.google.com/spreadsheets/d/1ihFlp3_ePlYtFuPbUNbYj1muErVpI73WHXbEwJDIA7Q/edit#gid=1493122344"",""MTR!C:O""),8,false)"),"Does Not Comply")</f>
        <v>Does Not Comply</v>
      </c>
      <c r="O173" s="248" t="str">
        <f>IFERROR(__xludf.DUMMYFUNCTION("VLOOKUP(C173,IMPORTRANGE(""https://docs.google.com/spreadsheets/d/1P8eX0NWBhUPS_hvzA11R6jkTNFrPrRYIx_dX_hYbxrk/edit?resourcekey=0-iw9bsKY2OqkUHCFMkCar3A&amp;gid=2055363397#gid=2055363397"",""MTR!C:O""),9,false)"),"n41 does not support bandwidth of 25 MHz.
SCS only supports 30 KHz.
Disabled for EMEA countries by default and will be enabled for countries that have NR n41 deployment in live network.")</f>
        <v>n41 does not support bandwidth of 25 MHz.
SCS only supports 30 KHz.
Disabled for EMEA countries by default and will be enabled for countries that have NR n41 deployment in live network.</v>
      </c>
      <c r="P173" s="248"/>
      <c r="Q173" s="249" t="s">
        <v>516</v>
      </c>
      <c r="R173" s="249" t="s">
        <v>859</v>
      </c>
      <c r="S173" s="154" t="s">
        <v>66</v>
      </c>
      <c r="T173" s="154" t="s">
        <v>66</v>
      </c>
      <c r="U173" s="154" t="s">
        <v>64</v>
      </c>
      <c r="V173" s="154" t="s">
        <v>64</v>
      </c>
      <c r="W173" s="154" t="s">
        <v>60</v>
      </c>
      <c r="X173" s="154" t="s">
        <v>60</v>
      </c>
      <c r="Y173" s="154" t="s">
        <v>68</v>
      </c>
      <c r="Z173" s="154" t="s">
        <v>64</v>
      </c>
      <c r="AA173" s="154" t="s">
        <v>60</v>
      </c>
      <c r="AB173" s="154"/>
      <c r="AC173" s="242" t="b">
        <f t="shared" si="2"/>
        <v>1</v>
      </c>
      <c r="AD173" s="154" t="s">
        <v>391</v>
      </c>
      <c r="AE173" s="243" t="b">
        <f t="shared" si="3"/>
        <v>0</v>
      </c>
      <c r="AF173" s="154"/>
      <c r="AG173" s="243" t="b">
        <f t="shared" si="4"/>
        <v>0</v>
      </c>
      <c r="AH173" s="154" t="s">
        <v>652</v>
      </c>
      <c r="AI173" s="243" t="str">
        <f t="shared" si="5"/>
        <v>Complies</v>
      </c>
      <c r="AJ173" s="157" t="str">
        <f t="shared" si="6"/>
        <v/>
      </c>
    </row>
    <row r="174" ht="12.75" customHeight="1">
      <c r="A174" s="244" t="s">
        <v>621</v>
      </c>
      <c r="B174" s="244" t="s">
        <v>624</v>
      </c>
      <c r="C174" s="245" t="s">
        <v>860</v>
      </c>
      <c r="D174" s="155" t="s">
        <v>861</v>
      </c>
      <c r="E174" s="246" t="s">
        <v>92</v>
      </c>
      <c r="F174" s="154" t="str">
        <f t="array" ref="F174">XLOOKUP(Cover!$D$12,$S$1:$AA$1,$S174:$AA174)</f>
        <v>Information</v>
      </c>
      <c r="G174" s="153" t="s">
        <v>862</v>
      </c>
      <c r="H174" s="154"/>
      <c r="I174" s="154" t="s">
        <v>759</v>
      </c>
      <c r="J174" s="247" t="s">
        <v>516</v>
      </c>
      <c r="K174" s="247" t="s">
        <v>717</v>
      </c>
      <c r="L174" s="154" t="str">
        <f t="shared" si="1"/>
        <v/>
      </c>
      <c r="M174" s="248" t="str">
        <f>IFERROR(__xludf.DUMMYFUNCTION("VLOOKUP(C174,IMPORTRANGE(""https://docs.google.com/spreadsheets/d/1P8eX0NWBhUPS_hvzA11R6jkTNFrPrRYIx_dX_hYbxrk/edit?resourcekey=0-iw9bsKY2OqkUHCFMkCar3A&amp;gid=2055363397#gid=2055363397"",""MTR!C:O""),11,false)"),"PMW-L1")</f>
        <v>PMW-L1</v>
      </c>
      <c r="N174" s="248" t="str">
        <f>IFERROR(__xludf.DUMMYFUNCTION("VLOOKUP(C174,IMPORTRANGE(""https://docs.google.com/spreadsheets/d/1ihFlp3_ePlYtFuPbUNbYj1muErVpI73WHXbEwJDIA7Q/edit#gid=1493122344"",""MTR!C:O""),8,false)"),"Does Not Comply")</f>
        <v>Does Not Comply</v>
      </c>
      <c r="O174" s="248" t="str">
        <f>IFERROR(__xludf.DUMMYFUNCTION("VLOOKUP(C174,IMPORTRANGE(""https://docs.google.com/spreadsheets/d/1P8eX0NWBhUPS_hvzA11R6jkTNFrPrRYIx_dX_hYbxrk/edit?resourcekey=0-iw9bsKY2OqkUHCFMkCar3A&amp;gid=2055363397#gid=2055363397"",""MTR!C:O""),9,false)"),"Hardware design limitation")</f>
        <v>Hardware design limitation</v>
      </c>
      <c r="P174" s="248"/>
      <c r="Q174" s="249" t="s">
        <v>516</v>
      </c>
      <c r="R174" s="249" t="s">
        <v>717</v>
      </c>
      <c r="S174" s="154" t="s">
        <v>66</v>
      </c>
      <c r="T174" s="154" t="s">
        <v>66</v>
      </c>
      <c r="U174" s="154" t="s">
        <v>66</v>
      </c>
      <c r="V174" s="154" t="s">
        <v>66</v>
      </c>
      <c r="W174" s="154" t="s">
        <v>66</v>
      </c>
      <c r="X174" s="154" t="s">
        <v>66</v>
      </c>
      <c r="Y174" s="154" t="s">
        <v>68</v>
      </c>
      <c r="Z174" s="154" t="s">
        <v>66</v>
      </c>
      <c r="AA174" s="154" t="s">
        <v>66</v>
      </c>
      <c r="AB174" s="154"/>
      <c r="AC174" s="242" t="b">
        <f t="shared" si="2"/>
        <v>1</v>
      </c>
      <c r="AD174" s="154" t="s">
        <v>391</v>
      </c>
      <c r="AE174" s="243" t="b">
        <f t="shared" si="3"/>
        <v>0</v>
      </c>
      <c r="AF174" s="154"/>
      <c r="AG174" s="243" t="b">
        <f t="shared" si="4"/>
        <v>0</v>
      </c>
      <c r="AH174" s="154" t="s">
        <v>652</v>
      </c>
      <c r="AI174" s="243" t="str">
        <f t="shared" si="5"/>
        <v>Complies</v>
      </c>
      <c r="AJ174" s="157" t="str">
        <f t="shared" si="6"/>
        <v/>
      </c>
    </row>
    <row r="175" ht="12.75" customHeight="1">
      <c r="A175" s="244" t="s">
        <v>621</v>
      </c>
      <c r="B175" s="244" t="s">
        <v>624</v>
      </c>
      <c r="C175" s="245" t="s">
        <v>863</v>
      </c>
      <c r="D175" s="155" t="s">
        <v>861</v>
      </c>
      <c r="E175" s="246" t="s">
        <v>92</v>
      </c>
      <c r="F175" s="154" t="str">
        <f t="array" ref="F175">XLOOKUP(Cover!$D$12,$S$1:$AA$1,$S175:$AA175)</f>
        <v>Information</v>
      </c>
      <c r="G175" s="153" t="s">
        <v>864</v>
      </c>
      <c r="H175" s="154"/>
      <c r="I175" s="154" t="s">
        <v>759</v>
      </c>
      <c r="J175" s="247" t="s">
        <v>506</v>
      </c>
      <c r="K175" s="247" t="s">
        <v>865</v>
      </c>
      <c r="L175" s="154" t="str">
        <f t="shared" si="1"/>
        <v/>
      </c>
      <c r="M175" s="248" t="str">
        <f>IFERROR(__xludf.DUMMYFUNCTION("VLOOKUP(C175,IMPORTRANGE(""https://docs.google.com/spreadsheets/d/1P8eX0NWBhUPS_hvzA11R6jkTNFrPrRYIx_dX_hYbxrk/edit?resourcekey=0-iw9bsKY2OqkUHCFMkCar3A&amp;gid=2055363397#gid=2055363397"",""MTR!C:O""),11,false)"),"PMW-L1")</f>
        <v>PMW-L1</v>
      </c>
      <c r="N175" s="248" t="str">
        <f>IFERROR(__xludf.DUMMYFUNCTION("VLOOKUP(C175,IMPORTRANGE(""https://docs.google.com/spreadsheets/d/1ihFlp3_ePlYtFuPbUNbYj1muErVpI73WHXbEwJDIA7Q/edit#gid=1493122344"",""MTR!C:O""),8,false)"),"Does Not Comply")</f>
        <v>Does Not Comply</v>
      </c>
      <c r="O175" s="248" t="str">
        <f>IFERROR(__xludf.DUMMYFUNCTION("VLOOKUP(C175,IMPORTRANGE(""https://docs.google.com/spreadsheets/d/1P8eX0NWBhUPS_hvzA11R6jkTNFrPrRYIx_dX_hYbxrk/edit?resourcekey=0-iw9bsKY2OqkUHCFMkCar3A&amp;gid=2055363397#gid=2055363397"",""MTR!C:O""),9,false)"),"SCS only supports 15 KHz.
Disabled for EMEA countries by default and will be enabled for countries that have NR n66 deployment in live network")</f>
        <v>SCS only supports 15 KHz.
Disabled for EMEA countries by default and will be enabled for countries that have NR n66 deployment in live network</v>
      </c>
      <c r="P175" s="248"/>
      <c r="Q175" s="249" t="s">
        <v>516</v>
      </c>
      <c r="R175" s="249" t="s">
        <v>866</v>
      </c>
      <c r="S175" s="154" t="s">
        <v>66</v>
      </c>
      <c r="T175" s="154" t="s">
        <v>66</v>
      </c>
      <c r="U175" s="154" t="s">
        <v>66</v>
      </c>
      <c r="V175" s="154" t="s">
        <v>66</v>
      </c>
      <c r="W175" s="154" t="s">
        <v>66</v>
      </c>
      <c r="X175" s="154" t="s">
        <v>66</v>
      </c>
      <c r="Y175" s="154" t="s">
        <v>68</v>
      </c>
      <c r="Z175" s="154" t="s">
        <v>66</v>
      </c>
      <c r="AA175" s="154" t="s">
        <v>66</v>
      </c>
      <c r="AB175" s="154"/>
      <c r="AC175" s="242" t="b">
        <f t="shared" si="2"/>
        <v>1</v>
      </c>
      <c r="AD175" s="154" t="s">
        <v>391</v>
      </c>
      <c r="AE175" s="243" t="b">
        <f t="shared" si="3"/>
        <v>0</v>
      </c>
      <c r="AF175" s="154"/>
      <c r="AG175" s="243" t="b">
        <f t="shared" si="4"/>
        <v>0</v>
      </c>
      <c r="AH175" s="154"/>
      <c r="AI175" s="243" t="str">
        <f t="shared" si="5"/>
        <v>N/A</v>
      </c>
      <c r="AJ175" s="157" t="str">
        <f t="shared" si="6"/>
        <v/>
      </c>
    </row>
    <row r="176" ht="12.75" customHeight="1">
      <c r="A176" s="244" t="s">
        <v>621</v>
      </c>
      <c r="B176" s="244" t="s">
        <v>624</v>
      </c>
      <c r="C176" s="245" t="s">
        <v>867</v>
      </c>
      <c r="D176" s="155" t="s">
        <v>546</v>
      </c>
      <c r="E176" s="246" t="s">
        <v>92</v>
      </c>
      <c r="F176" s="154" t="str">
        <f t="array" ref="F176">XLOOKUP(Cover!$D$12,$S$1:$AA$1,$S176:$AA176)</f>
        <v>Recommended</v>
      </c>
      <c r="G176" s="153" t="s">
        <v>868</v>
      </c>
      <c r="H176" s="154"/>
      <c r="I176" s="154" t="s">
        <v>759</v>
      </c>
      <c r="J176" s="247" t="s">
        <v>516</v>
      </c>
      <c r="K176" s="247" t="s">
        <v>869</v>
      </c>
      <c r="L176" s="154" t="str">
        <f t="shared" si="1"/>
        <v/>
      </c>
      <c r="M176" s="248" t="str">
        <f>IFERROR(__xludf.DUMMYFUNCTION("VLOOKUP(C176,IMPORTRANGE(""https://docs.google.com/spreadsheets/d/1P8eX0NWBhUPS_hvzA11R6jkTNFrPrRYIx_dX_hYbxrk/edit?resourcekey=0-iw9bsKY2OqkUHCFMkCar3A&amp;gid=2055363397#gid=2055363397"",""MTR!C:O""),11,false)"),"PMW-L1")</f>
        <v>PMW-L1</v>
      </c>
      <c r="N176" s="248" t="str">
        <f>IFERROR(__xludf.DUMMYFUNCTION("VLOOKUP(C176,IMPORTRANGE(""https://docs.google.com/spreadsheets/d/1ihFlp3_ePlYtFuPbUNbYj1muErVpI73WHXbEwJDIA7Q/edit#gid=1493122344"",""MTR!C:O""),8,false)"),"Does Not Comply")</f>
        <v>Does Not Comply</v>
      </c>
      <c r="O176" s="248" t="str">
        <f>IFERROR(__xludf.DUMMYFUNCTION("VLOOKUP(C176,IMPORTRANGE(""https://docs.google.com/spreadsheets/d/1P8eX0NWBhUPS_hvzA11R6jkTNFrPrRYIx_dX_hYbxrk/edit?resourcekey=0-iw9bsKY2OqkUHCFMkCar3A&amp;gid=2055363397#gid=2055363397"",""MTR!C:O""),9,false)"),"SCS only supports 15 KHz.
Disabled for EMEA countries by default and will be enabled for countries that have NR n71 deployment in live network")</f>
        <v>SCS only supports 15 KHz.
Disabled for EMEA countries by default and will be enabled for countries that have NR n71 deployment in live network</v>
      </c>
      <c r="P176" s="248"/>
      <c r="Q176" s="249" t="s">
        <v>516</v>
      </c>
      <c r="R176" s="249" t="s">
        <v>870</v>
      </c>
      <c r="S176" s="154" t="s">
        <v>66</v>
      </c>
      <c r="T176" s="154" t="s">
        <v>66</v>
      </c>
      <c r="U176" s="154" t="s">
        <v>64</v>
      </c>
      <c r="V176" s="154" t="s">
        <v>64</v>
      </c>
      <c r="W176" s="154" t="s">
        <v>64</v>
      </c>
      <c r="X176" s="154" t="s">
        <v>64</v>
      </c>
      <c r="Y176" s="154" t="s">
        <v>68</v>
      </c>
      <c r="Z176" s="154" t="s">
        <v>64</v>
      </c>
      <c r="AA176" s="154" t="s">
        <v>64</v>
      </c>
      <c r="AB176" s="154"/>
      <c r="AC176" s="242" t="b">
        <f t="shared" si="2"/>
        <v>1</v>
      </c>
      <c r="AD176" s="154" t="s">
        <v>391</v>
      </c>
      <c r="AE176" s="243" t="b">
        <f t="shared" si="3"/>
        <v>0</v>
      </c>
      <c r="AF176" s="154"/>
      <c r="AG176" s="243" t="b">
        <f t="shared" si="4"/>
        <v>0</v>
      </c>
      <c r="AH176" s="154"/>
      <c r="AI176" s="243" t="str">
        <f t="shared" si="5"/>
        <v>N/A</v>
      </c>
      <c r="AJ176" s="157" t="str">
        <f t="shared" si="6"/>
        <v/>
      </c>
    </row>
    <row r="177" ht="12.75" customHeight="1">
      <c r="A177" s="244" t="s">
        <v>621</v>
      </c>
      <c r="B177" s="244" t="s">
        <v>624</v>
      </c>
      <c r="C177" s="245" t="s">
        <v>871</v>
      </c>
      <c r="D177" s="155" t="s">
        <v>542</v>
      </c>
      <c r="E177" s="246" t="s">
        <v>92</v>
      </c>
      <c r="F177" s="154" t="str">
        <f t="array" ref="F177">XLOOKUP(Cover!$D$12,$S$1:$AA$1,$S177:$AA177)</f>
        <v>Information</v>
      </c>
      <c r="G177" s="153" t="s">
        <v>872</v>
      </c>
      <c r="H177" s="154"/>
      <c r="I177" s="154" t="s">
        <v>759</v>
      </c>
      <c r="J177" s="247" t="s">
        <v>506</v>
      </c>
      <c r="K177" s="247" t="s">
        <v>873</v>
      </c>
      <c r="L177" s="154" t="str">
        <f t="shared" si="1"/>
        <v/>
      </c>
      <c r="M177" s="248" t="str">
        <f>IFERROR(__xludf.DUMMYFUNCTION("VLOOKUP(C177,IMPORTRANGE(""https://docs.google.com/spreadsheets/d/1P8eX0NWBhUPS_hvzA11R6jkTNFrPrRYIx_dX_hYbxrk/edit?resourcekey=0-iw9bsKY2OqkUHCFMkCar3A&amp;gid=2055363397#gid=2055363397"",""MTR!C:O""),11,false)"),"PMW-L1")</f>
        <v>PMW-L1</v>
      </c>
      <c r="N177" s="248" t="str">
        <f>IFERROR(__xludf.DUMMYFUNCTION("VLOOKUP(C177,IMPORTRANGE(""https://docs.google.com/spreadsheets/d/1ihFlp3_ePlYtFuPbUNbYj1muErVpI73WHXbEwJDIA7Q/edit#gid=1493122344"",""MTR!C:O""),8,false)"),"Does Not Comply")</f>
        <v>Does Not Comply</v>
      </c>
      <c r="O177" s="248" t="str">
        <f>IFERROR(__xludf.DUMMYFUNCTION("VLOOKUP(C177,IMPORTRANGE(""https://docs.google.com/spreadsheets/d/1P8eX0NWBhUPS_hvzA11R6jkTNFrPrRYIx_dX_hYbxrk/edit?resourcekey=0-iw9bsKY2OqkUHCFMkCar3A&amp;gid=2055363397#gid=2055363397"",""MTR!C:O""),9,false)"),"SCS only supports 30 KHz.
Disabled for EMEA countries by default and will be enabled for countries that have NR n77 deployment in live network")</f>
        <v>SCS only supports 30 KHz.
Disabled for EMEA countries by default and will be enabled for countries that have NR n77 deployment in live network</v>
      </c>
      <c r="P177" s="248"/>
      <c r="Q177" s="249" t="s">
        <v>516</v>
      </c>
      <c r="R177" s="249" t="s">
        <v>873</v>
      </c>
      <c r="S177" s="154" t="s">
        <v>66</v>
      </c>
      <c r="T177" s="154" t="s">
        <v>66</v>
      </c>
      <c r="U177" s="154" t="s">
        <v>66</v>
      </c>
      <c r="V177" s="154" t="s">
        <v>66</v>
      </c>
      <c r="W177" s="154" t="s">
        <v>66</v>
      </c>
      <c r="X177" s="154" t="s">
        <v>66</v>
      </c>
      <c r="Y177" s="154" t="s">
        <v>68</v>
      </c>
      <c r="Z177" s="154" t="s">
        <v>66</v>
      </c>
      <c r="AA177" s="154" t="s">
        <v>66</v>
      </c>
      <c r="AB177" s="154"/>
      <c r="AC177" s="242" t="b">
        <f t="shared" si="2"/>
        <v>1</v>
      </c>
      <c r="AD177" s="154" t="s">
        <v>391</v>
      </c>
      <c r="AE177" s="243" t="b">
        <f t="shared" si="3"/>
        <v>0</v>
      </c>
      <c r="AF177" s="154"/>
      <c r="AG177" s="243" t="b">
        <f t="shared" si="4"/>
        <v>0</v>
      </c>
      <c r="AH177" s="154" t="s">
        <v>652</v>
      </c>
      <c r="AI177" s="243" t="str">
        <f t="shared" si="5"/>
        <v>Complies</v>
      </c>
      <c r="AJ177" s="157" t="str">
        <f t="shared" si="6"/>
        <v/>
      </c>
    </row>
    <row r="178" ht="12.75" customHeight="1">
      <c r="A178" s="244" t="s">
        <v>621</v>
      </c>
      <c r="B178" s="244" t="s">
        <v>624</v>
      </c>
      <c r="C178" s="245" t="s">
        <v>874</v>
      </c>
      <c r="D178" s="155" t="s">
        <v>546</v>
      </c>
      <c r="E178" s="246" t="s">
        <v>92</v>
      </c>
      <c r="F178" s="154" t="str">
        <f t="array" ref="F178">XLOOKUP(Cover!$D$12,$S$1:$AA$1,$S178:$AA178)</f>
        <v>Information</v>
      </c>
      <c r="G178" s="153" t="s">
        <v>875</v>
      </c>
      <c r="H178" s="154"/>
      <c r="I178" s="154" t="s">
        <v>759</v>
      </c>
      <c r="J178" s="247" t="s">
        <v>506</v>
      </c>
      <c r="K178" s="247" t="s">
        <v>876</v>
      </c>
      <c r="L178" s="154" t="str">
        <f t="shared" si="1"/>
        <v/>
      </c>
      <c r="M178" s="248" t="str">
        <f>IFERROR(__xludf.DUMMYFUNCTION("VLOOKUP(C178,IMPORTRANGE(""https://docs.google.com/spreadsheets/d/1P8eX0NWBhUPS_hvzA11R6jkTNFrPrRYIx_dX_hYbxrk/edit?resourcekey=0-iw9bsKY2OqkUHCFMkCar3A&amp;gid=2055363397#gid=2055363397"",""MTR!C:O""),11,false)"),"PMW-L1")</f>
        <v>PMW-L1</v>
      </c>
      <c r="N178" s="248" t="str">
        <f>IFERROR(__xludf.DUMMYFUNCTION("VLOOKUP(C178,IMPORTRANGE(""https://docs.google.com/spreadsheets/d/1ihFlp3_ePlYtFuPbUNbYj1muErVpI73WHXbEwJDIA7Q/edit#gid=1493122344"",""MTR!C:O""),8,false)"),"Does Not Comply")</f>
        <v>Does Not Comply</v>
      </c>
      <c r="O178" s="248" t="str">
        <f>IFERROR(__xludf.DUMMYFUNCTION("VLOOKUP(C178,IMPORTRANGE(""https://docs.google.com/spreadsheets/d/1P8eX0NWBhUPS_hvzA11R6jkTNFrPrRYIx_dX_hYbxrk/edit?resourcekey=0-iw9bsKY2OqkUHCFMkCar3A&amp;gid=2055363397#gid=2055363397"",""MTR!C:O""),9,false)"),"SCS only supports 30 KHz. Bandwidth of 40, 50, 60, 80, 90, 100 MHz
Disabled for EMEA countries by default and will be enabled for countries that have NR n79 deployment in live network")</f>
        <v>SCS only supports 30 KHz. Bandwidth of 40, 50, 60, 80, 90, 100 MHz
Disabled for EMEA countries by default and will be enabled for countries that have NR n79 deployment in live network</v>
      </c>
      <c r="P178" s="248"/>
      <c r="Q178" s="249" t="s">
        <v>516</v>
      </c>
      <c r="R178" s="248"/>
      <c r="S178" s="154" t="s">
        <v>66</v>
      </c>
      <c r="T178" s="154" t="s">
        <v>66</v>
      </c>
      <c r="U178" s="154" t="s">
        <v>66</v>
      </c>
      <c r="V178" s="154" t="s">
        <v>66</v>
      </c>
      <c r="W178" s="154" t="s">
        <v>66</v>
      </c>
      <c r="X178" s="154" t="s">
        <v>66</v>
      </c>
      <c r="Y178" s="154" t="s">
        <v>68</v>
      </c>
      <c r="Z178" s="154" t="s">
        <v>66</v>
      </c>
      <c r="AA178" s="154" t="s">
        <v>66</v>
      </c>
      <c r="AB178" s="154"/>
      <c r="AC178" s="242" t="b">
        <f t="shared" si="2"/>
        <v>1</v>
      </c>
      <c r="AD178" s="154" t="s">
        <v>391</v>
      </c>
      <c r="AE178" s="243" t="b">
        <f t="shared" si="3"/>
        <v>0</v>
      </c>
      <c r="AF178" s="154"/>
      <c r="AG178" s="243" t="b">
        <f t="shared" si="4"/>
        <v>0</v>
      </c>
      <c r="AH178" s="154"/>
      <c r="AI178" s="243" t="str">
        <f t="shared" si="5"/>
        <v>N/A</v>
      </c>
      <c r="AJ178" s="157" t="str">
        <f t="shared" si="6"/>
        <v/>
      </c>
    </row>
    <row r="179" ht="12.75" customHeight="1">
      <c r="A179" s="244" t="s">
        <v>621</v>
      </c>
      <c r="B179" s="244" t="s">
        <v>624</v>
      </c>
      <c r="C179" s="244" t="s">
        <v>877</v>
      </c>
      <c r="D179" s="154" t="s">
        <v>546</v>
      </c>
      <c r="E179" s="250"/>
      <c r="F179" s="154" t="str">
        <f t="array" ref="F179">XLOOKUP(Cover!$D$12,$S$1:$AA$1,$S179:$AA179)</f>
        <v>Information</v>
      </c>
      <c r="G179" s="153" t="s">
        <v>878</v>
      </c>
      <c r="H179" s="154"/>
      <c r="I179" s="154" t="s">
        <v>759</v>
      </c>
      <c r="J179" s="247" t="s">
        <v>516</v>
      </c>
      <c r="K179" s="247" t="s">
        <v>879</v>
      </c>
      <c r="L179" s="154" t="str">
        <f t="shared" si="1"/>
        <v/>
      </c>
      <c r="M179" s="248" t="str">
        <f>IFERROR(__xludf.DUMMYFUNCTION("VLOOKUP(C179,IMPORTRANGE(""https://docs.google.com/spreadsheets/d/1P8eX0NWBhUPS_hvzA11R6jkTNFrPrRYIx_dX_hYbxrk/edit?resourcekey=0-iw9bsKY2OqkUHCFMkCar3A&amp;gid=2055363397#gid=2055363397"",""MTR!C:O""),11,false)"),"PMW-L1")</f>
        <v>PMW-L1</v>
      </c>
      <c r="N179" s="248" t="str">
        <f>IFERROR(__xludf.DUMMYFUNCTION("VLOOKUP(C179,IMPORTRANGE(""https://docs.google.com/spreadsheets/d/1ihFlp3_ePlYtFuPbUNbYj1muErVpI73WHXbEwJDIA7Q/edit#gid=1493122344"",""MTR!C:O""),8,false)"),"Does Not Comply")</f>
        <v>Does Not Comply</v>
      </c>
      <c r="O179" s="248" t="str">
        <f>IFERROR(__xludf.DUMMYFUNCTION("VLOOKUP(C179,IMPORTRANGE(""https://docs.google.com/spreadsheets/d/1P8eX0NWBhUPS_hvzA11R6jkTNFrPrRYIx_dX_hYbxrk/edit?resourcekey=0-iw9bsKY2OqkUHCFMkCar3A&amp;gid=2055363397#gid=2055363397"",""MTR!C:O""),9,false)"),"n257 supports bandwidth 50 and 100 MHz.
Disabled for EMEA countries by default and will be enabled for countries that have NR n257 deployment in live network.")</f>
        <v>n257 supports bandwidth 50 and 100 MHz.
Disabled for EMEA countries by default and will be enabled for countries that have NR n257 deployment in live network.</v>
      </c>
      <c r="P179" s="248"/>
      <c r="Q179" s="249" t="s">
        <v>516</v>
      </c>
      <c r="R179" s="249" t="s">
        <v>880</v>
      </c>
      <c r="S179" s="154" t="s">
        <v>68</v>
      </c>
      <c r="T179" s="154" t="s">
        <v>68</v>
      </c>
      <c r="U179" s="154" t="s">
        <v>66</v>
      </c>
      <c r="V179" s="154" t="s">
        <v>66</v>
      </c>
      <c r="W179" s="154" t="s">
        <v>66</v>
      </c>
      <c r="X179" s="154" t="s">
        <v>66</v>
      </c>
      <c r="Y179" s="154" t="s">
        <v>68</v>
      </c>
      <c r="Z179" s="154" t="s">
        <v>66</v>
      </c>
      <c r="AA179" s="154" t="s">
        <v>66</v>
      </c>
      <c r="AB179" s="154"/>
      <c r="AC179" s="242" t="b">
        <f t="shared" si="2"/>
        <v>1</v>
      </c>
      <c r="AD179" s="154" t="s">
        <v>445</v>
      </c>
      <c r="AE179" s="243" t="b">
        <f t="shared" si="3"/>
        <v>0</v>
      </c>
      <c r="AF179" s="154"/>
      <c r="AG179" s="243" t="b">
        <f t="shared" si="4"/>
        <v>0</v>
      </c>
      <c r="AH179" s="154"/>
      <c r="AI179" s="243" t="str">
        <f t="shared" si="5"/>
        <v>N/A</v>
      </c>
      <c r="AJ179" s="157" t="str">
        <f t="shared" si="6"/>
        <v/>
      </c>
    </row>
    <row r="180" ht="12.75" customHeight="1">
      <c r="A180" s="244" t="s">
        <v>621</v>
      </c>
      <c r="B180" s="244" t="s">
        <v>624</v>
      </c>
      <c r="C180" s="244" t="s">
        <v>881</v>
      </c>
      <c r="D180" s="154" t="s">
        <v>781</v>
      </c>
      <c r="E180" s="250"/>
      <c r="F180" s="154" t="str">
        <f t="array" ref="F180">XLOOKUP(Cover!$D$12,$S$1:$AA$1,$S180:$AA180)</f>
        <v>Information</v>
      </c>
      <c r="G180" s="153" t="s">
        <v>882</v>
      </c>
      <c r="H180" s="154"/>
      <c r="I180" s="154" t="s">
        <v>759</v>
      </c>
      <c r="J180" s="247" t="s">
        <v>516</v>
      </c>
      <c r="K180" s="247" t="s">
        <v>883</v>
      </c>
      <c r="L180" s="154" t="str">
        <f t="shared" si="1"/>
        <v/>
      </c>
      <c r="M180" s="248" t="str">
        <f>IFERROR(__xludf.DUMMYFUNCTION("VLOOKUP(C180,IMPORTRANGE(""https://docs.google.com/spreadsheets/d/1P8eX0NWBhUPS_hvzA11R6jkTNFrPrRYIx_dX_hYbxrk/edit?resourcekey=0-iw9bsKY2OqkUHCFMkCar3A&amp;gid=2055363397#gid=2055363397"",""MTR!C:O""),11,false)"),"PMW-L1")</f>
        <v>PMW-L1</v>
      </c>
      <c r="N180" s="248" t="str">
        <f>IFERROR(__xludf.DUMMYFUNCTION("VLOOKUP(C180,IMPORTRANGE(""https://docs.google.com/spreadsheets/d/1ihFlp3_ePlYtFuPbUNbYj1muErVpI73WHXbEwJDIA7Q/edit#gid=1493122344"",""MTR!C:O""),8,false)"),"Does Not Comply")</f>
        <v>Does Not Comply</v>
      </c>
      <c r="O180" s="248" t="str">
        <f>IFERROR(__xludf.DUMMYFUNCTION("VLOOKUP(C180,IMPORTRANGE(""https://docs.google.com/spreadsheets/d/1P8eX0NWBhUPS_hvzA11R6jkTNFrPrRYIx_dX_hYbxrk/edit?resourcekey=0-iw9bsKY2OqkUHCFMkCar3A&amp;gid=2055363397#gid=2055363397"",""MTR!C:O""),9,false)"),"n258 supports bandwidth 50 and 100 MHz.
Disabled for EMEA countries by default and will be enabled for countries that have NR n257 deployment in live network.")</f>
        <v>n258 supports bandwidth 50 and 100 MHz.
Disabled for EMEA countries by default and will be enabled for countries that have NR n257 deployment in live network.</v>
      </c>
      <c r="P180" s="248"/>
      <c r="Q180" s="249" t="s">
        <v>516</v>
      </c>
      <c r="R180" s="249" t="s">
        <v>884</v>
      </c>
      <c r="S180" s="154" t="s">
        <v>68</v>
      </c>
      <c r="T180" s="154" t="s">
        <v>68</v>
      </c>
      <c r="U180" s="154" t="s">
        <v>66</v>
      </c>
      <c r="V180" s="154" t="s">
        <v>66</v>
      </c>
      <c r="W180" s="154" t="s">
        <v>66</v>
      </c>
      <c r="X180" s="154" t="s">
        <v>66</v>
      </c>
      <c r="Y180" s="154" t="s">
        <v>68</v>
      </c>
      <c r="Z180" s="154" t="s">
        <v>66</v>
      </c>
      <c r="AA180" s="154" t="s">
        <v>66</v>
      </c>
      <c r="AB180" s="154"/>
      <c r="AC180" s="242" t="b">
        <f t="shared" si="2"/>
        <v>1</v>
      </c>
      <c r="AD180" s="154" t="s">
        <v>445</v>
      </c>
      <c r="AE180" s="243" t="b">
        <f t="shared" si="3"/>
        <v>0</v>
      </c>
      <c r="AF180" s="154"/>
      <c r="AG180" s="243" t="b">
        <f t="shared" si="4"/>
        <v>0</v>
      </c>
      <c r="AH180" s="154" t="s">
        <v>652</v>
      </c>
      <c r="AI180" s="243" t="str">
        <f t="shared" si="5"/>
        <v>Complies</v>
      </c>
      <c r="AJ180" s="157" t="str">
        <f t="shared" si="6"/>
        <v/>
      </c>
    </row>
    <row r="181" ht="12.75" customHeight="1">
      <c r="A181" s="244" t="s">
        <v>621</v>
      </c>
      <c r="B181" s="244" t="s">
        <v>624</v>
      </c>
      <c r="C181" s="244" t="s">
        <v>885</v>
      </c>
      <c r="D181" s="154" t="s">
        <v>861</v>
      </c>
      <c r="E181" s="250"/>
      <c r="F181" s="154" t="str">
        <f t="array" ref="F181">XLOOKUP(Cover!$D$12,$S$1:$AA$1,$S181:$AA181)</f>
        <v>Information</v>
      </c>
      <c r="G181" s="153" t="s">
        <v>886</v>
      </c>
      <c r="H181" s="154"/>
      <c r="I181" s="154" t="s">
        <v>759</v>
      </c>
      <c r="J181" s="247" t="s">
        <v>516</v>
      </c>
      <c r="K181" s="247" t="s">
        <v>887</v>
      </c>
      <c r="L181" s="154" t="str">
        <f t="shared" si="1"/>
        <v/>
      </c>
      <c r="M181" s="248" t="str">
        <f>IFERROR(__xludf.DUMMYFUNCTION("VLOOKUP(C181,IMPORTRANGE(""https://docs.google.com/spreadsheets/d/1P8eX0NWBhUPS_hvzA11R6jkTNFrPrRYIx_dX_hYbxrk/edit?resourcekey=0-iw9bsKY2OqkUHCFMkCar3A&amp;gid=2055363397#gid=2055363397"",""MTR!C:O""),11,false)"),"PMW-L1")</f>
        <v>PMW-L1</v>
      </c>
      <c r="N181" s="248" t="str">
        <f>IFERROR(__xludf.DUMMYFUNCTION("VLOOKUP(C181,IMPORTRANGE(""https://docs.google.com/spreadsheets/d/1ihFlp3_ePlYtFuPbUNbYj1muErVpI73WHXbEwJDIA7Q/edit#gid=1493122344"",""MTR!C:O""),8,false)"),"Does Not Comply")</f>
        <v>Does Not Comply</v>
      </c>
      <c r="O181" s="248" t="str">
        <f>IFERROR(__xludf.DUMMYFUNCTION("VLOOKUP(C181,IMPORTRANGE(""https://docs.google.com/spreadsheets/d/1P8eX0NWBhUPS_hvzA11R6jkTNFrPrRYIx_dX_hYbxrk/edit?resourcekey=0-iw9bsKY2OqkUHCFMkCar3A&amp;gid=2055363397#gid=2055363397"",""MTR!C:O""),9,false)"),"does not support n259")</f>
        <v>does not support n259</v>
      </c>
      <c r="P181" s="248"/>
      <c r="Q181" s="249" t="s">
        <v>516</v>
      </c>
      <c r="R181" s="249" t="s">
        <v>887</v>
      </c>
      <c r="S181" s="154" t="s">
        <v>68</v>
      </c>
      <c r="T181" s="154" t="s">
        <v>68</v>
      </c>
      <c r="U181" s="154" t="s">
        <v>66</v>
      </c>
      <c r="V181" s="154" t="s">
        <v>66</v>
      </c>
      <c r="W181" s="154" t="s">
        <v>66</v>
      </c>
      <c r="X181" s="154" t="s">
        <v>66</v>
      </c>
      <c r="Y181" s="154" t="s">
        <v>68</v>
      </c>
      <c r="Z181" s="154" t="s">
        <v>66</v>
      </c>
      <c r="AA181" s="154" t="s">
        <v>66</v>
      </c>
      <c r="AB181" s="154"/>
      <c r="AC181" s="242" t="b">
        <f t="shared" si="2"/>
        <v>1</v>
      </c>
      <c r="AD181" s="154" t="s">
        <v>445</v>
      </c>
      <c r="AE181" s="243" t="b">
        <f t="shared" si="3"/>
        <v>0</v>
      </c>
      <c r="AF181" s="154"/>
      <c r="AG181" s="243" t="b">
        <f t="shared" si="4"/>
        <v>0</v>
      </c>
      <c r="AH181" s="154" t="s">
        <v>652</v>
      </c>
      <c r="AI181" s="243" t="str">
        <f t="shared" si="5"/>
        <v>Complies</v>
      </c>
      <c r="AJ181" s="157" t="str">
        <f t="shared" si="6"/>
        <v/>
      </c>
    </row>
    <row r="182" ht="12.75" customHeight="1">
      <c r="A182" s="244" t="s">
        <v>621</v>
      </c>
      <c r="B182" s="244" t="s">
        <v>624</v>
      </c>
      <c r="C182" s="244" t="s">
        <v>888</v>
      </c>
      <c r="D182" s="154" t="s">
        <v>546</v>
      </c>
      <c r="E182" s="250"/>
      <c r="F182" s="154" t="str">
        <f t="array" ref="F182">XLOOKUP(Cover!$D$12,$S$1:$AA$1,$S182:$AA182)</f>
        <v>Information</v>
      </c>
      <c r="G182" s="153" t="s">
        <v>889</v>
      </c>
      <c r="H182" s="154"/>
      <c r="I182" s="154" t="s">
        <v>759</v>
      </c>
      <c r="J182" s="247" t="s">
        <v>516</v>
      </c>
      <c r="K182" s="247" t="s">
        <v>890</v>
      </c>
      <c r="L182" s="154" t="str">
        <f t="shared" si="1"/>
        <v/>
      </c>
      <c r="M182" s="248" t="str">
        <f>IFERROR(__xludf.DUMMYFUNCTION("VLOOKUP(C182,IMPORTRANGE(""https://docs.google.com/spreadsheets/d/1P8eX0NWBhUPS_hvzA11R6jkTNFrPrRYIx_dX_hYbxrk/edit?resourcekey=0-iw9bsKY2OqkUHCFMkCar3A&amp;gid=2055363397#gid=2055363397"",""MTR!C:O""),11,false)"),"PMW-L1")</f>
        <v>PMW-L1</v>
      </c>
      <c r="N182" s="248" t="str">
        <f>IFERROR(__xludf.DUMMYFUNCTION("VLOOKUP(C182,IMPORTRANGE(""https://docs.google.com/spreadsheets/d/1ihFlp3_ePlYtFuPbUNbYj1muErVpI73WHXbEwJDIA7Q/edit#gid=1493122344"",""MTR!C:O""),8,false)"),"Does Not Comply")</f>
        <v>Does Not Comply</v>
      </c>
      <c r="O182" s="248" t="str">
        <f>IFERROR(__xludf.DUMMYFUNCTION("VLOOKUP(C182,IMPORTRANGE(""https://docs.google.com/spreadsheets/d/1P8eX0NWBhUPS_hvzA11R6jkTNFrPrRYIx_dX_hYbxrk/edit?resourcekey=0-iw9bsKY2OqkUHCFMkCar3A&amp;gid=2055363397#gid=2055363397"",""MTR!C:O""),9,false)"),"n260 supports bandwidth 50 and 100 MHz.
Disabled for EMEA countries by default and will be enabled for countries that have NR n257 deployment in live network.")</f>
        <v>n260 supports bandwidth 50 and 100 MHz.
Disabled for EMEA countries by default and will be enabled for countries that have NR n257 deployment in live network.</v>
      </c>
      <c r="P182" s="248"/>
      <c r="Q182" s="249" t="s">
        <v>516</v>
      </c>
      <c r="R182" s="249" t="s">
        <v>891</v>
      </c>
      <c r="S182" s="154" t="s">
        <v>68</v>
      </c>
      <c r="T182" s="154" t="s">
        <v>68</v>
      </c>
      <c r="U182" s="154" t="s">
        <v>66</v>
      </c>
      <c r="V182" s="154" t="s">
        <v>66</v>
      </c>
      <c r="W182" s="154" t="s">
        <v>66</v>
      </c>
      <c r="X182" s="154" t="s">
        <v>66</v>
      </c>
      <c r="Y182" s="154" t="s">
        <v>68</v>
      </c>
      <c r="Z182" s="154" t="s">
        <v>66</v>
      </c>
      <c r="AA182" s="154" t="s">
        <v>66</v>
      </c>
      <c r="AB182" s="154"/>
      <c r="AC182" s="242" t="b">
        <f t="shared" si="2"/>
        <v>1</v>
      </c>
      <c r="AD182" s="154" t="s">
        <v>445</v>
      </c>
      <c r="AE182" s="243" t="b">
        <f t="shared" si="3"/>
        <v>0</v>
      </c>
      <c r="AF182" s="154"/>
      <c r="AG182" s="243" t="b">
        <f t="shared" si="4"/>
        <v>0</v>
      </c>
      <c r="AH182" s="154"/>
      <c r="AI182" s="243" t="str">
        <f t="shared" si="5"/>
        <v>N/A</v>
      </c>
      <c r="AJ182" s="157" t="str">
        <f t="shared" si="6"/>
        <v/>
      </c>
    </row>
    <row r="183" ht="12.75" customHeight="1">
      <c r="A183" s="244" t="s">
        <v>621</v>
      </c>
      <c r="B183" s="244" t="s">
        <v>624</v>
      </c>
      <c r="C183" s="244" t="s">
        <v>892</v>
      </c>
      <c r="D183" s="154" t="s">
        <v>546</v>
      </c>
      <c r="E183" s="250"/>
      <c r="F183" s="154" t="str">
        <f t="array" ref="F183">XLOOKUP(Cover!$D$12,$S$1:$AA$1,$S183:$AA183)</f>
        <v>Information</v>
      </c>
      <c r="G183" s="153" t="s">
        <v>893</v>
      </c>
      <c r="H183" s="154"/>
      <c r="I183" s="154" t="s">
        <v>759</v>
      </c>
      <c r="J183" s="247" t="s">
        <v>516</v>
      </c>
      <c r="K183" s="247" t="s">
        <v>894</v>
      </c>
      <c r="L183" s="154" t="str">
        <f t="shared" si="1"/>
        <v/>
      </c>
      <c r="M183" s="248" t="str">
        <f>IFERROR(__xludf.DUMMYFUNCTION("VLOOKUP(C183,IMPORTRANGE(""https://docs.google.com/spreadsheets/d/1P8eX0NWBhUPS_hvzA11R6jkTNFrPrRYIx_dX_hYbxrk/edit?resourcekey=0-iw9bsKY2OqkUHCFMkCar3A&amp;gid=2055363397#gid=2055363397"",""MTR!C:O""),11,false)"),"PMW-L1")</f>
        <v>PMW-L1</v>
      </c>
      <c r="N183" s="248" t="str">
        <f>IFERROR(__xludf.DUMMYFUNCTION("VLOOKUP(C183,IMPORTRANGE(""https://docs.google.com/spreadsheets/d/1ihFlp3_ePlYtFuPbUNbYj1muErVpI73WHXbEwJDIA7Q/edit#gid=1493122344"",""MTR!C:O""),8,false)"),"Does Not Comply")</f>
        <v>Does Not Comply</v>
      </c>
      <c r="O183" s="248" t="str">
        <f>IFERROR(__xludf.DUMMYFUNCTION("VLOOKUP(C183,IMPORTRANGE(""https://docs.google.com/spreadsheets/d/1P8eX0NWBhUPS_hvzA11R6jkTNFrPrRYIx_dX_hYbxrk/edit?resourcekey=0-iw9bsKY2OqkUHCFMkCar3A&amp;gid=2055363397#gid=2055363397"",""MTR!C:O""),9,false)"),"n261 supports bandwidth 50 and 100 MHz.
Disabled for EMEA countries by default and will be enabled for countries that have NR n257 deployment in live network.")</f>
        <v>n261 supports bandwidth 50 and 100 MHz.
Disabled for EMEA countries by default and will be enabled for countries that have NR n257 deployment in live network.</v>
      </c>
      <c r="P183" s="248"/>
      <c r="Q183" s="249" t="s">
        <v>516</v>
      </c>
      <c r="R183" s="249" t="s">
        <v>895</v>
      </c>
      <c r="S183" s="154" t="s">
        <v>68</v>
      </c>
      <c r="T183" s="154" t="s">
        <v>68</v>
      </c>
      <c r="U183" s="154" t="s">
        <v>66</v>
      </c>
      <c r="V183" s="154" t="s">
        <v>66</v>
      </c>
      <c r="W183" s="154" t="s">
        <v>66</v>
      </c>
      <c r="X183" s="154" t="s">
        <v>66</v>
      </c>
      <c r="Y183" s="154" t="s">
        <v>68</v>
      </c>
      <c r="Z183" s="154" t="s">
        <v>66</v>
      </c>
      <c r="AA183" s="154" t="s">
        <v>66</v>
      </c>
      <c r="AB183" s="154"/>
      <c r="AC183" s="242" t="b">
        <f t="shared" si="2"/>
        <v>1</v>
      </c>
      <c r="AD183" s="154" t="s">
        <v>445</v>
      </c>
      <c r="AE183" s="243" t="b">
        <f t="shared" si="3"/>
        <v>0</v>
      </c>
      <c r="AF183" s="154"/>
      <c r="AG183" s="243" t="b">
        <f t="shared" si="4"/>
        <v>0</v>
      </c>
      <c r="AH183" s="154"/>
      <c r="AI183" s="243" t="str">
        <f t="shared" si="5"/>
        <v>N/A</v>
      </c>
      <c r="AJ183" s="157" t="str">
        <f t="shared" si="6"/>
        <v/>
      </c>
    </row>
    <row r="184" ht="12.75" customHeight="1">
      <c r="A184" s="244" t="s">
        <v>621</v>
      </c>
      <c r="B184" s="244" t="s">
        <v>624</v>
      </c>
      <c r="C184" s="244" t="s">
        <v>896</v>
      </c>
      <c r="D184" s="154" t="s">
        <v>542</v>
      </c>
      <c r="E184" s="250"/>
      <c r="F184" s="154" t="str">
        <f t="array" ref="F184">XLOOKUP(Cover!$D$12,$S$1:$AA$1,$S184:$AA184)</f>
        <v>Comments Vendor</v>
      </c>
      <c r="G184" s="154" t="s">
        <v>897</v>
      </c>
      <c r="H184" s="154"/>
      <c r="I184" s="154" t="s">
        <v>759</v>
      </c>
      <c r="J184" s="154"/>
      <c r="K184" s="247" t="s">
        <v>898</v>
      </c>
      <c r="L184" s="154" t="str">
        <f t="shared" si="1"/>
        <v/>
      </c>
      <c r="M184" s="248" t="str">
        <f>IFERROR(__xludf.DUMMYFUNCTION("VLOOKUP(C184,IMPORTRANGE(""https://docs.google.com/spreadsheets/d/1P8eX0NWBhUPS_hvzA11R6jkTNFrPrRYIx_dX_hYbxrk/edit?resourcekey=0-iw9bsKY2OqkUHCFMkCar3A&amp;gid=2055363397#gid=2055363397"",""MTR!C:O""),11,false)"),"PMW-L1")</f>
        <v>PMW-L1</v>
      </c>
      <c r="N184" s="241" t="str">
        <f>IFERROR(__xludf.DUMMYFUNCTION("VLOOKUP(C184,IMPORTRANGE(""https://docs.google.com/spreadsheets/d/1ihFlp3_ePlYtFuPbUNbYj1muErVpI73WHXbEwJDIA7Q/edit#gid=1493122344"",""MTR!C:O""),8,false)"),"")</f>
        <v/>
      </c>
      <c r="O184" s="248" t="str">
        <f>IFERROR(__xludf.DUMMYFUNCTION("VLOOKUP(C184,IMPORTRANGE(""https://docs.google.com/spreadsheets/d/1P8eX0NWBhUPS_hvzA11R6jkTNFrPrRYIx_dX_hYbxrk/edit?resourcekey=0-iw9bsKY2OqkUHCFMkCar3A&amp;gid=2055363397#gid=2055363397"",""MTR!C:O""),9,false)"),"n1, n2, n3, n5, n7, n8, n12, n20, n28, n38, n40, n41, n66, n75, n76, n77, n78")</f>
        <v>n1, n2, n3, n5, n7, n8, n12, n20, n28, n38, n40, n41, n66, n75, n76, n77, n78</v>
      </c>
      <c r="P184" s="248"/>
      <c r="Q184" s="248"/>
      <c r="R184" s="249" t="s">
        <v>898</v>
      </c>
      <c r="S184" s="154" t="s">
        <v>62</v>
      </c>
      <c r="T184" s="154" t="s">
        <v>62</v>
      </c>
      <c r="U184" s="154" t="s">
        <v>62</v>
      </c>
      <c r="V184" s="154" t="s">
        <v>62</v>
      </c>
      <c r="W184" s="154" t="s">
        <v>62</v>
      </c>
      <c r="X184" s="154" t="s">
        <v>62</v>
      </c>
      <c r="Y184" s="154" t="s">
        <v>62</v>
      </c>
      <c r="Z184" s="154" t="s">
        <v>62</v>
      </c>
      <c r="AA184" s="154" t="s">
        <v>62</v>
      </c>
      <c r="AB184" s="154"/>
      <c r="AC184" s="242" t="b">
        <f t="shared" si="2"/>
        <v>1</v>
      </c>
      <c r="AD184" s="154" t="s">
        <v>68</v>
      </c>
      <c r="AE184" s="243" t="b">
        <f t="shared" si="3"/>
        <v>1</v>
      </c>
      <c r="AF184" s="154"/>
      <c r="AG184" s="243" t="b">
        <f t="shared" si="4"/>
        <v>0</v>
      </c>
      <c r="AH184" s="154" t="s">
        <v>652</v>
      </c>
      <c r="AI184" s="243" t="str">
        <f t="shared" si="5"/>
        <v>Complies</v>
      </c>
      <c r="AJ184" s="157" t="str">
        <f t="shared" si="6"/>
        <v/>
      </c>
    </row>
    <row r="185" ht="12.75" customHeight="1">
      <c r="A185" s="244" t="s">
        <v>621</v>
      </c>
      <c r="B185" s="244" t="s">
        <v>624</v>
      </c>
      <c r="C185" s="244" t="s">
        <v>899</v>
      </c>
      <c r="D185" s="154" t="s">
        <v>542</v>
      </c>
      <c r="E185" s="250"/>
      <c r="F185" s="154" t="str">
        <f t="array" ref="F185">XLOOKUP(Cover!$D$12,$S$1:$AA$1,$S185:$AA185)</f>
        <v>Comments Vendor</v>
      </c>
      <c r="G185" s="154" t="s">
        <v>900</v>
      </c>
      <c r="H185" s="154"/>
      <c r="I185" s="154" t="s">
        <v>759</v>
      </c>
      <c r="J185" s="154"/>
      <c r="K185" s="247" t="s">
        <v>901</v>
      </c>
      <c r="L185" s="154" t="str">
        <f t="shared" si="1"/>
        <v/>
      </c>
      <c r="M185" s="248" t="str">
        <f>IFERROR(__xludf.DUMMYFUNCTION("VLOOKUP(C185,IMPORTRANGE(""https://docs.google.com/spreadsheets/d/1P8eX0NWBhUPS_hvzA11R6jkTNFrPrRYIx_dX_hYbxrk/edit?resourcekey=0-iw9bsKY2OqkUHCFMkCar3A&amp;gid=2055363397#gid=2055363397"",""MTR!C:O""),11,false)"),"PMW-L1")</f>
        <v>PMW-L1</v>
      </c>
      <c r="N185" s="241" t="str">
        <f>IFERROR(__xludf.DUMMYFUNCTION("VLOOKUP(C185,IMPORTRANGE(""https://docs.google.com/spreadsheets/d/1ihFlp3_ePlYtFuPbUNbYj1muErVpI73WHXbEwJDIA7Q/edit#gid=1493122344"",""MTR!C:O""),8,false)"),"")</f>
        <v/>
      </c>
      <c r="O185" s="248" t="str">
        <f>IFERROR(__xludf.DUMMYFUNCTION("VLOOKUP(C185,IMPORTRANGE(""https://docs.google.com/spreadsheets/d/1P8eX0NWBhUPS_hvzA11R6jkTNFrPrRYIx_dX_hYbxrk/edit?resourcekey=0-iw9bsKY2OqkUHCFMkCar3A&amp;gid=2055363397#gid=2055363397"",""MTR!C:O""),9,false)"),"hardware capablity supports n257, n258, n260, n261 but disabled for EMEA countries by default and will be enabled for countries that have n257, n258, n260 and n261 deployment in live network")</f>
        <v>hardware capablity supports n257, n258, n260, n261 but disabled for EMEA countries by default and will be enabled for countries that have n257, n258, n260 and n261 deployment in live network</v>
      </c>
      <c r="P185" s="248"/>
      <c r="Q185" s="248"/>
      <c r="R185" s="249" t="s">
        <v>902</v>
      </c>
      <c r="S185" s="154" t="s">
        <v>62</v>
      </c>
      <c r="T185" s="154" t="s">
        <v>62</v>
      </c>
      <c r="U185" s="154" t="s">
        <v>62</v>
      </c>
      <c r="V185" s="154" t="s">
        <v>62</v>
      </c>
      <c r="W185" s="154" t="s">
        <v>62</v>
      </c>
      <c r="X185" s="154" t="s">
        <v>62</v>
      </c>
      <c r="Y185" s="154" t="s">
        <v>62</v>
      </c>
      <c r="Z185" s="154" t="s">
        <v>62</v>
      </c>
      <c r="AA185" s="154" t="s">
        <v>62</v>
      </c>
      <c r="AB185" s="154"/>
      <c r="AC185" s="242" t="b">
        <f t="shared" si="2"/>
        <v>1</v>
      </c>
      <c r="AD185" s="154" t="s">
        <v>68</v>
      </c>
      <c r="AE185" s="243" t="b">
        <f t="shared" si="3"/>
        <v>1</v>
      </c>
      <c r="AF185" s="154"/>
      <c r="AG185" s="243" t="b">
        <f t="shared" si="4"/>
        <v>0</v>
      </c>
      <c r="AH185" s="154" t="s">
        <v>652</v>
      </c>
      <c r="AI185" s="243" t="str">
        <f t="shared" si="5"/>
        <v>Complies</v>
      </c>
      <c r="AJ185" s="157" t="str">
        <f t="shared" si="6"/>
        <v/>
      </c>
    </row>
    <row r="186" ht="12.75" customHeight="1">
      <c r="A186" s="238" t="s">
        <v>621</v>
      </c>
      <c r="B186" s="238" t="s">
        <v>624</v>
      </c>
      <c r="C186" s="238" t="s">
        <v>903</v>
      </c>
      <c r="D186" s="238"/>
      <c r="E186" s="238"/>
      <c r="F186" s="154" t="str">
        <f t="array" ref="F186">XLOOKUP(Cover!$D$12,$S$1:$AA$1,$S186:$AA186)</f>
        <v>Heading</v>
      </c>
      <c r="G186" s="239" t="s">
        <v>904</v>
      </c>
      <c r="H186" s="240"/>
      <c r="I186" s="240" t="s">
        <v>389</v>
      </c>
      <c r="J186" s="240"/>
      <c r="K186" s="240"/>
      <c r="L186" s="154" t="str">
        <f t="shared" si="1"/>
        <v/>
      </c>
      <c r="M186" s="241" t="str">
        <f>IFERROR(__xludf.DUMMYFUNCTION("VLOOKUP(C186,IMPORTRANGE(""https://docs.google.com/spreadsheets/d/1P8eX0NWBhUPS_hvzA11R6jkTNFrPrRYIx_dX_hYbxrk/edit?resourcekey=0-iw9bsKY2OqkUHCFMkCar3A&amp;gid=2055363397#gid=2055363397"",""MTR!C:O""),11,false)"),"")</f>
        <v/>
      </c>
      <c r="N186" s="241" t="str">
        <f>IFERROR(__xludf.DUMMYFUNCTION("VLOOKUP(C186,IMPORTRANGE(""https://docs.google.com/spreadsheets/d/1ihFlp3_ePlYtFuPbUNbYj1muErVpI73WHXbEwJDIA7Q/edit#gid=1493122344"",""MTR!C:O""),8,false)"),"")</f>
        <v/>
      </c>
      <c r="O186" s="241" t="str">
        <f>IFERROR(__xludf.DUMMYFUNCTION("VLOOKUP(C186,IMPORTRANGE(""https://docs.google.com/spreadsheets/d/1P8eX0NWBhUPS_hvzA11R6jkTNFrPrRYIx_dX_hYbxrk/edit?resourcekey=0-iw9bsKY2OqkUHCFMkCar3A&amp;gid=2055363397#gid=2055363397"",""MTR!C:O""),9,false)"),"")</f>
        <v/>
      </c>
      <c r="P186" s="241"/>
      <c r="Q186" s="241"/>
      <c r="R186" s="241"/>
      <c r="S186" s="240" t="s">
        <v>390</v>
      </c>
      <c r="T186" s="240" t="s">
        <v>390</v>
      </c>
      <c r="U186" s="240" t="s">
        <v>390</v>
      </c>
      <c r="V186" s="240" t="s">
        <v>390</v>
      </c>
      <c r="W186" s="240" t="s">
        <v>390</v>
      </c>
      <c r="X186" s="240" t="s">
        <v>390</v>
      </c>
      <c r="Y186" s="240" t="s">
        <v>390</v>
      </c>
      <c r="Z186" s="240" t="s">
        <v>390</v>
      </c>
      <c r="AA186" s="240" t="s">
        <v>390</v>
      </c>
      <c r="AB186" s="240"/>
      <c r="AC186" s="242" t="b">
        <f t="shared" si="2"/>
        <v>0</v>
      </c>
      <c r="AD186" s="240" t="s">
        <v>391</v>
      </c>
      <c r="AE186" s="243" t="b">
        <f t="shared" si="3"/>
        <v>0</v>
      </c>
      <c r="AF186" s="240"/>
      <c r="AG186" s="243" t="b">
        <f t="shared" si="4"/>
        <v>0</v>
      </c>
      <c r="AH186" s="240"/>
      <c r="AI186" s="243" t="str">
        <f t="shared" si="5"/>
        <v>N/A</v>
      </c>
      <c r="AJ186" s="157" t="str">
        <f t="shared" si="6"/>
        <v/>
      </c>
    </row>
    <row r="187" ht="12.75" customHeight="1">
      <c r="A187" s="244" t="s">
        <v>621</v>
      </c>
      <c r="B187" s="244" t="s">
        <v>624</v>
      </c>
      <c r="C187" s="244" t="s">
        <v>905</v>
      </c>
      <c r="D187" s="244" t="s">
        <v>781</v>
      </c>
      <c r="E187" s="244"/>
      <c r="F187" s="154" t="str">
        <f t="array" ref="F187">XLOOKUP(Cover!$D$12,$S$1:$AA$1,$S187:$AA187)</f>
        <v>Comment</v>
      </c>
      <c r="G187" s="153" t="s">
        <v>906</v>
      </c>
      <c r="H187" s="154"/>
      <c r="I187" s="154" t="s">
        <v>389</v>
      </c>
      <c r="J187" s="154"/>
      <c r="K187" s="154"/>
      <c r="L187" s="154" t="str">
        <f t="shared" si="1"/>
        <v/>
      </c>
      <c r="M187" s="241" t="str">
        <f>IFERROR(__xludf.DUMMYFUNCTION("VLOOKUP(C187,IMPORTRANGE(""https://docs.google.com/spreadsheets/d/1P8eX0NWBhUPS_hvzA11R6jkTNFrPrRYIx_dX_hYbxrk/edit?resourcekey=0-iw9bsKY2OqkUHCFMkCar3A&amp;gid=2055363397#gid=2055363397"",""MTR!C:O""),11,false)"),"")</f>
        <v/>
      </c>
      <c r="N187" s="241" t="str">
        <f>IFERROR(__xludf.DUMMYFUNCTION("VLOOKUP(C187,IMPORTRANGE(""https://docs.google.com/spreadsheets/d/1ihFlp3_ePlYtFuPbUNbYj1muErVpI73WHXbEwJDIA7Q/edit#gid=1493122344"",""MTR!C:O""),8,false)"),"")</f>
        <v/>
      </c>
      <c r="O187" s="241" t="str">
        <f>IFERROR(__xludf.DUMMYFUNCTION("VLOOKUP(C187,IMPORTRANGE(""https://docs.google.com/spreadsheets/d/1P8eX0NWBhUPS_hvzA11R6jkTNFrPrRYIx_dX_hYbxrk/edit?resourcekey=0-iw9bsKY2OqkUHCFMkCar3A&amp;gid=2055363397#gid=2055363397"",""MTR!C:O""),9,false)"),"")</f>
        <v/>
      </c>
      <c r="P187" s="241"/>
      <c r="Q187" s="241"/>
      <c r="R187" s="241"/>
      <c r="S187" s="154" t="s">
        <v>35</v>
      </c>
      <c r="T187" s="154" t="s">
        <v>35</v>
      </c>
      <c r="U187" s="154" t="s">
        <v>35</v>
      </c>
      <c r="V187" s="154" t="s">
        <v>35</v>
      </c>
      <c r="W187" s="154" t="s">
        <v>35</v>
      </c>
      <c r="X187" s="154" t="s">
        <v>35</v>
      </c>
      <c r="Y187" s="154" t="s">
        <v>35</v>
      </c>
      <c r="Z187" s="154" t="s">
        <v>35</v>
      </c>
      <c r="AA187" s="154" t="s">
        <v>35</v>
      </c>
      <c r="AB187" s="154"/>
      <c r="AC187" s="242" t="b">
        <f t="shared" si="2"/>
        <v>0</v>
      </c>
      <c r="AD187" s="154" t="s">
        <v>391</v>
      </c>
      <c r="AE187" s="243" t="b">
        <f t="shared" si="3"/>
        <v>0</v>
      </c>
      <c r="AF187" s="154"/>
      <c r="AG187" s="243" t="b">
        <f t="shared" si="4"/>
        <v>0</v>
      </c>
      <c r="AH187" s="154"/>
      <c r="AI187" s="243" t="str">
        <f t="shared" si="5"/>
        <v>N/A</v>
      </c>
      <c r="AJ187" s="157" t="str">
        <f t="shared" si="6"/>
        <v/>
      </c>
    </row>
    <row r="188" ht="12.75" customHeight="1">
      <c r="A188" s="244" t="s">
        <v>621</v>
      </c>
      <c r="B188" s="244" t="s">
        <v>624</v>
      </c>
      <c r="C188" s="244" t="s">
        <v>907</v>
      </c>
      <c r="D188" s="154" t="s">
        <v>781</v>
      </c>
      <c r="E188" s="250"/>
      <c r="F188" s="154" t="str">
        <f t="array" ref="F188">XLOOKUP(Cover!$D$12,$S$1:$AA$1,$S188:$AA188)</f>
        <v>Mandatory</v>
      </c>
      <c r="G188" s="154" t="s">
        <v>908</v>
      </c>
      <c r="H188" s="154" t="s">
        <v>398</v>
      </c>
      <c r="I188" s="154" t="s">
        <v>389</v>
      </c>
      <c r="J188" s="247" t="s">
        <v>445</v>
      </c>
      <c r="K188" s="154"/>
      <c r="L188" s="154" t="str">
        <f t="shared" si="1"/>
        <v/>
      </c>
      <c r="M188" s="248" t="str">
        <f>IFERROR(__xludf.DUMMYFUNCTION("VLOOKUP(C188,IMPORTRANGE(""https://docs.google.com/spreadsheets/d/1P8eX0NWBhUPS_hvzA11R6jkTNFrPrRYIx_dX_hYbxrk/edit?resourcekey=0-iw9bsKY2OqkUHCFMkCar3A&amp;gid=2055363397#gid=2055363397"",""MTR!C:O""),11,false)"),"TAM")</f>
        <v>TAM</v>
      </c>
      <c r="N188" s="248" t="str">
        <f>IFERROR(__xludf.DUMMYFUNCTION("VLOOKUP(C188,IMPORTRANGE(""https://docs.google.com/spreadsheets/d/1ihFlp3_ePlYtFuPbUNbYj1muErVpI73WHXbEwJDIA7Q/edit#gid=1493122344"",""MTR!C:O""),8,false)"),"Complies")</f>
        <v>Complies</v>
      </c>
      <c r="O188" s="241" t="str">
        <f>IFERROR(__xludf.DUMMYFUNCTION("VLOOKUP(C188,IMPORTRANGE(""https://docs.google.com/spreadsheets/d/1P8eX0NWBhUPS_hvzA11R6jkTNFrPrRYIx_dX_hYbxrk/edit?resourcekey=0-iw9bsKY2OqkUHCFMkCar3A&amp;gid=2055363397#gid=2055363397"",""MTR!C:O""),9,false)"),"")</f>
        <v/>
      </c>
      <c r="P188" s="241"/>
      <c r="Q188" s="251" t="s">
        <v>445</v>
      </c>
      <c r="R188" s="241"/>
      <c r="S188" s="154" t="s">
        <v>60</v>
      </c>
      <c r="T188" s="154" t="s">
        <v>60</v>
      </c>
      <c r="U188" s="154" t="s">
        <v>60</v>
      </c>
      <c r="V188" s="154" t="s">
        <v>60</v>
      </c>
      <c r="W188" s="154" t="s">
        <v>60</v>
      </c>
      <c r="X188" s="154" t="s">
        <v>60</v>
      </c>
      <c r="Y188" s="154" t="s">
        <v>60</v>
      </c>
      <c r="Z188" s="154" t="s">
        <v>60</v>
      </c>
      <c r="AA188" s="154" t="s">
        <v>60</v>
      </c>
      <c r="AB188" s="154"/>
      <c r="AC188" s="242" t="b">
        <f t="shared" si="2"/>
        <v>1</v>
      </c>
      <c r="AD188" s="154" t="s">
        <v>516</v>
      </c>
      <c r="AE188" s="243" t="b">
        <f t="shared" si="3"/>
        <v>0</v>
      </c>
      <c r="AF188" s="154"/>
      <c r="AG188" s="243" t="b">
        <f t="shared" si="4"/>
        <v>0</v>
      </c>
      <c r="AH188" s="154"/>
      <c r="AI188" s="243" t="str">
        <f t="shared" si="5"/>
        <v>N/A</v>
      </c>
      <c r="AJ188" s="157" t="str">
        <f t="shared" si="6"/>
        <v/>
      </c>
    </row>
    <row r="189" ht="12.75" customHeight="1">
      <c r="A189" s="244" t="s">
        <v>621</v>
      </c>
      <c r="B189" s="244" t="s">
        <v>624</v>
      </c>
      <c r="C189" s="244" t="s">
        <v>909</v>
      </c>
      <c r="D189" s="154" t="s">
        <v>781</v>
      </c>
      <c r="E189" s="250"/>
      <c r="F189" s="154" t="str">
        <f t="array" ref="F189">XLOOKUP(Cover!$D$12,$S$1:$AA$1,$S189:$AA189)</f>
        <v>Mandatory</v>
      </c>
      <c r="G189" s="154" t="s">
        <v>910</v>
      </c>
      <c r="H189" s="154" t="s">
        <v>398</v>
      </c>
      <c r="I189" s="154" t="s">
        <v>389</v>
      </c>
      <c r="J189" s="247" t="s">
        <v>445</v>
      </c>
      <c r="K189" s="247" t="s">
        <v>911</v>
      </c>
      <c r="L189" s="154" t="str">
        <f t="shared" si="1"/>
        <v/>
      </c>
      <c r="M189" s="248" t="str">
        <f>IFERROR(__xludf.DUMMYFUNCTION("VLOOKUP(C189,IMPORTRANGE(""https://docs.google.com/spreadsheets/d/1P8eX0NWBhUPS_hvzA11R6jkTNFrPrRYIx_dX_hYbxrk/edit?resourcekey=0-iw9bsKY2OqkUHCFMkCar3A&amp;gid=2055363397#gid=2055363397"",""MTR!C:O""),11,false)"),"TAM")</f>
        <v>TAM</v>
      </c>
      <c r="N189" s="248" t="str">
        <f>IFERROR(__xludf.DUMMYFUNCTION("VLOOKUP(C189,IMPORTRANGE(""https://docs.google.com/spreadsheets/d/1ihFlp3_ePlYtFuPbUNbYj1muErVpI73WHXbEwJDIA7Q/edit#gid=1493122344"",""MTR!C:O""),8,false)"),"Complies")</f>
        <v>Complies</v>
      </c>
      <c r="O189" s="248" t="str">
        <f>IFERROR(__xludf.DUMMYFUNCTION("VLOOKUP(C189,IMPORTRANGE(""https://docs.google.com/spreadsheets/d/1P8eX0NWBhUPS_hvzA11R6jkTNFrPrRYIx_dX_hYbxrk/edit?resourcekey=0-iw9bsKY2OqkUHCFMkCar3A&amp;gid=2055363397#gid=2055363397"",""MTR!C:O""),9,false)"),"no deviation")</f>
        <v>no deviation</v>
      </c>
      <c r="P189" s="248"/>
      <c r="Q189" s="249" t="s">
        <v>445</v>
      </c>
      <c r="R189" s="249" t="s">
        <v>911</v>
      </c>
      <c r="S189" s="154" t="s">
        <v>60</v>
      </c>
      <c r="T189" s="154" t="s">
        <v>60</v>
      </c>
      <c r="U189" s="154" t="s">
        <v>60</v>
      </c>
      <c r="V189" s="154" t="s">
        <v>60</v>
      </c>
      <c r="W189" s="154" t="s">
        <v>60</v>
      </c>
      <c r="X189" s="154" t="s">
        <v>60</v>
      </c>
      <c r="Y189" s="154" t="s">
        <v>60</v>
      </c>
      <c r="Z189" s="154" t="s">
        <v>60</v>
      </c>
      <c r="AA189" s="154" t="s">
        <v>60</v>
      </c>
      <c r="AB189" s="154"/>
      <c r="AC189" s="242" t="b">
        <f t="shared" si="2"/>
        <v>1</v>
      </c>
      <c r="AD189" s="154" t="s">
        <v>516</v>
      </c>
      <c r="AE189" s="243" t="b">
        <f t="shared" si="3"/>
        <v>0</v>
      </c>
      <c r="AF189" s="154"/>
      <c r="AG189" s="243" t="b">
        <f t="shared" si="4"/>
        <v>0</v>
      </c>
      <c r="AH189" s="154"/>
      <c r="AI189" s="243" t="str">
        <f t="shared" si="5"/>
        <v>N/A</v>
      </c>
      <c r="AJ189" s="157" t="str">
        <f t="shared" si="6"/>
        <v/>
      </c>
    </row>
    <row r="190" ht="12.75" customHeight="1">
      <c r="A190" s="244" t="s">
        <v>621</v>
      </c>
      <c r="B190" s="244" t="s">
        <v>624</v>
      </c>
      <c r="C190" s="244" t="s">
        <v>912</v>
      </c>
      <c r="D190" s="154" t="s">
        <v>781</v>
      </c>
      <c r="E190" s="250"/>
      <c r="F190" s="154" t="str">
        <f t="array" ref="F190">XLOOKUP(Cover!$D$12,$S$1:$AA$1,$S190:$AA190)</f>
        <v>Mandatory</v>
      </c>
      <c r="G190" s="154" t="s">
        <v>913</v>
      </c>
      <c r="H190" s="154" t="s">
        <v>398</v>
      </c>
      <c r="I190" s="154" t="s">
        <v>389</v>
      </c>
      <c r="J190" s="247" t="s">
        <v>445</v>
      </c>
      <c r="K190" s="247" t="s">
        <v>911</v>
      </c>
      <c r="L190" s="154" t="str">
        <f t="shared" si="1"/>
        <v/>
      </c>
      <c r="M190" s="248" t="str">
        <f>IFERROR(__xludf.DUMMYFUNCTION("VLOOKUP(C190,IMPORTRANGE(""https://docs.google.com/spreadsheets/d/1P8eX0NWBhUPS_hvzA11R6jkTNFrPrRYIx_dX_hYbxrk/edit?resourcekey=0-iw9bsKY2OqkUHCFMkCar3A&amp;gid=2055363397#gid=2055363397"",""MTR!C:O""),11,false)"),"TAM")</f>
        <v>TAM</v>
      </c>
      <c r="N190" s="248" t="str">
        <f>IFERROR(__xludf.DUMMYFUNCTION("VLOOKUP(C190,IMPORTRANGE(""https://docs.google.com/spreadsheets/d/1ihFlp3_ePlYtFuPbUNbYj1muErVpI73WHXbEwJDIA7Q/edit#gid=1493122344"",""MTR!C:O""),8,false)"),"Complies")</f>
        <v>Complies</v>
      </c>
      <c r="O190" s="248" t="str">
        <f>IFERROR(__xludf.DUMMYFUNCTION("VLOOKUP(C190,IMPORTRANGE(""https://docs.google.com/spreadsheets/d/1P8eX0NWBhUPS_hvzA11R6jkTNFrPrRYIx_dX_hYbxrk/edit?resourcekey=0-iw9bsKY2OqkUHCFMkCar3A&amp;gid=2055363397#gid=2055363397"",""MTR!C:O""),9,false)"),"no deviation")</f>
        <v>no deviation</v>
      </c>
      <c r="P190" s="248"/>
      <c r="Q190" s="249" t="s">
        <v>445</v>
      </c>
      <c r="R190" s="249" t="s">
        <v>911</v>
      </c>
      <c r="S190" s="154" t="s">
        <v>60</v>
      </c>
      <c r="T190" s="154" t="s">
        <v>60</v>
      </c>
      <c r="U190" s="154" t="s">
        <v>60</v>
      </c>
      <c r="V190" s="154" t="s">
        <v>60</v>
      </c>
      <c r="W190" s="154" t="s">
        <v>60</v>
      </c>
      <c r="X190" s="154" t="s">
        <v>60</v>
      </c>
      <c r="Y190" s="154" t="s">
        <v>60</v>
      </c>
      <c r="Z190" s="154" t="s">
        <v>60</v>
      </c>
      <c r="AA190" s="154" t="s">
        <v>60</v>
      </c>
      <c r="AB190" s="154"/>
      <c r="AC190" s="242" t="b">
        <f t="shared" si="2"/>
        <v>1</v>
      </c>
      <c r="AD190" s="154" t="s">
        <v>516</v>
      </c>
      <c r="AE190" s="243" t="b">
        <f t="shared" si="3"/>
        <v>0</v>
      </c>
      <c r="AF190" s="154"/>
      <c r="AG190" s="243" t="b">
        <f t="shared" si="4"/>
        <v>0</v>
      </c>
      <c r="AH190" s="154"/>
      <c r="AI190" s="243" t="str">
        <f t="shared" si="5"/>
        <v>N/A</v>
      </c>
      <c r="AJ190" s="157" t="str">
        <f t="shared" si="6"/>
        <v/>
      </c>
    </row>
    <row r="191" ht="12.75" customHeight="1">
      <c r="A191" s="244" t="s">
        <v>621</v>
      </c>
      <c r="B191" s="244" t="s">
        <v>624</v>
      </c>
      <c r="C191" s="244" t="s">
        <v>914</v>
      </c>
      <c r="D191" s="154" t="s">
        <v>781</v>
      </c>
      <c r="E191" s="250"/>
      <c r="F191" s="154" t="str">
        <f t="array" ref="F191">XLOOKUP(Cover!$D$12,$S$1:$AA$1,$S191:$AA191)</f>
        <v>Mandatory</v>
      </c>
      <c r="G191" s="154" t="s">
        <v>915</v>
      </c>
      <c r="H191" s="154" t="s">
        <v>398</v>
      </c>
      <c r="I191" s="154" t="s">
        <v>759</v>
      </c>
      <c r="J191" s="247" t="s">
        <v>445</v>
      </c>
      <c r="K191" s="154"/>
      <c r="L191" s="154" t="str">
        <f t="shared" si="1"/>
        <v/>
      </c>
      <c r="M191" s="248" t="str">
        <f>IFERROR(__xludf.DUMMYFUNCTION("VLOOKUP(C191,IMPORTRANGE(""https://docs.google.com/spreadsheets/d/1P8eX0NWBhUPS_hvzA11R6jkTNFrPrRYIx_dX_hYbxrk/edit?resourcekey=0-iw9bsKY2OqkUHCFMkCar3A&amp;gid=2055363397#gid=2055363397"",""MTR!C:O""),11,false)"),"TAM")</f>
        <v>TAM</v>
      </c>
      <c r="N191" s="248" t="str">
        <f>IFERROR(__xludf.DUMMYFUNCTION("VLOOKUP(C191,IMPORTRANGE(""https://docs.google.com/spreadsheets/d/1ihFlp3_ePlYtFuPbUNbYj1muErVpI73WHXbEwJDIA7Q/edit#gid=1493122344"",""MTR!C:O""),8,false)"),"Complies")</f>
        <v>Complies</v>
      </c>
      <c r="O191" s="241" t="str">
        <f>IFERROR(__xludf.DUMMYFUNCTION("VLOOKUP(C191,IMPORTRANGE(""https://docs.google.com/spreadsheets/d/1P8eX0NWBhUPS_hvzA11R6jkTNFrPrRYIx_dX_hYbxrk/edit?resourcekey=0-iw9bsKY2OqkUHCFMkCar3A&amp;gid=2055363397#gid=2055363397"",""MTR!C:O""),9,false)"),"")</f>
        <v/>
      </c>
      <c r="P191" s="241"/>
      <c r="Q191" s="251" t="s">
        <v>445</v>
      </c>
      <c r="R191" s="241"/>
      <c r="S191" s="154" t="s">
        <v>68</v>
      </c>
      <c r="T191" s="154" t="s">
        <v>68</v>
      </c>
      <c r="U191" s="154" t="s">
        <v>60</v>
      </c>
      <c r="V191" s="154" t="s">
        <v>60</v>
      </c>
      <c r="W191" s="154" t="s">
        <v>60</v>
      </c>
      <c r="X191" s="154" t="s">
        <v>60</v>
      </c>
      <c r="Y191" s="154" t="s">
        <v>68</v>
      </c>
      <c r="Z191" s="154" t="s">
        <v>60</v>
      </c>
      <c r="AA191" s="154" t="s">
        <v>60</v>
      </c>
      <c r="AB191" s="154"/>
      <c r="AC191" s="242" t="b">
        <f t="shared" si="2"/>
        <v>1</v>
      </c>
      <c r="AD191" s="154" t="s">
        <v>516</v>
      </c>
      <c r="AE191" s="243" t="b">
        <f t="shared" si="3"/>
        <v>0</v>
      </c>
      <c r="AF191" s="154"/>
      <c r="AG191" s="243" t="b">
        <f t="shared" si="4"/>
        <v>0</v>
      </c>
      <c r="AH191" s="154"/>
      <c r="AI191" s="243" t="str">
        <f t="shared" si="5"/>
        <v>N/A</v>
      </c>
      <c r="AJ191" s="157" t="str">
        <f t="shared" si="6"/>
        <v/>
      </c>
    </row>
    <row r="192" ht="12.75" customHeight="1">
      <c r="A192" s="244" t="s">
        <v>621</v>
      </c>
      <c r="B192" s="244" t="s">
        <v>624</v>
      </c>
      <c r="C192" s="244" t="s">
        <v>916</v>
      </c>
      <c r="D192" s="154" t="s">
        <v>781</v>
      </c>
      <c r="E192" s="250"/>
      <c r="F192" s="154" t="str">
        <f t="array" ref="F192">XLOOKUP(Cover!$D$12,$S$1:$AA$1,$S192:$AA192)</f>
        <v>Mandatory</v>
      </c>
      <c r="G192" s="154" t="s">
        <v>917</v>
      </c>
      <c r="H192" s="154" t="s">
        <v>398</v>
      </c>
      <c r="I192" s="154" t="s">
        <v>389</v>
      </c>
      <c r="J192" s="247" t="s">
        <v>445</v>
      </c>
      <c r="K192" s="247" t="s">
        <v>918</v>
      </c>
      <c r="L192" s="154" t="str">
        <f t="shared" si="1"/>
        <v/>
      </c>
      <c r="M192" s="248" t="str">
        <f>IFERROR(__xludf.DUMMYFUNCTION("VLOOKUP(C192,IMPORTRANGE(""https://docs.google.com/spreadsheets/d/1P8eX0NWBhUPS_hvzA11R6jkTNFrPrRYIx_dX_hYbxrk/edit?resourcekey=0-iw9bsKY2OqkUHCFMkCar3A&amp;gid=2055363397#gid=2055363397"",""MTR!C:O""),11,false)"),"TAM")</f>
        <v>TAM</v>
      </c>
      <c r="N192" s="248" t="str">
        <f>IFERROR(__xludf.DUMMYFUNCTION("VLOOKUP(C192,IMPORTRANGE(""https://docs.google.com/spreadsheets/d/1ihFlp3_ePlYtFuPbUNbYj1muErVpI73WHXbEwJDIA7Q/edit#gid=1493122344"",""MTR!C:O""),8,false)"),"Complies")</f>
        <v>Complies</v>
      </c>
      <c r="O192" s="248" t="str">
        <f>IFERROR(__xludf.DUMMYFUNCTION("VLOOKUP(C192,IMPORTRANGE(""https://docs.google.com/spreadsheets/d/1P8eX0NWBhUPS_hvzA11R6jkTNFrPrRYIx_dX_hYbxrk/edit?resourcekey=0-iw9bsKY2OqkUHCFMkCar3A&amp;gid=2055363397#gid=2055363397"",""MTR!C:O""),9,false)"),"The official GCF Report will be ready before product launch. A copy will be provided before TA")</f>
        <v>The official GCF Report will be ready before product launch. A copy will be provided before TA</v>
      </c>
      <c r="P192" s="248"/>
      <c r="Q192" s="249" t="s">
        <v>445</v>
      </c>
      <c r="R192" s="249" t="s">
        <v>918</v>
      </c>
      <c r="S192" s="154" t="s">
        <v>60</v>
      </c>
      <c r="T192" s="154" t="s">
        <v>60</v>
      </c>
      <c r="U192" s="154" t="s">
        <v>60</v>
      </c>
      <c r="V192" s="154" t="s">
        <v>60</v>
      </c>
      <c r="W192" s="154" t="s">
        <v>60</v>
      </c>
      <c r="X192" s="154" t="s">
        <v>60</v>
      </c>
      <c r="Y192" s="154" t="s">
        <v>60</v>
      </c>
      <c r="Z192" s="154" t="s">
        <v>60</v>
      </c>
      <c r="AA192" s="154" t="s">
        <v>60</v>
      </c>
      <c r="AB192" s="154"/>
      <c r="AC192" s="242" t="b">
        <f t="shared" si="2"/>
        <v>1</v>
      </c>
      <c r="AD192" s="154" t="s">
        <v>391</v>
      </c>
      <c r="AE192" s="243" t="b">
        <f t="shared" si="3"/>
        <v>0</v>
      </c>
      <c r="AF192" s="154"/>
      <c r="AG192" s="243" t="b">
        <f t="shared" si="4"/>
        <v>0</v>
      </c>
      <c r="AH192" s="154"/>
      <c r="AI192" s="243" t="str">
        <f t="shared" si="5"/>
        <v>N/A</v>
      </c>
      <c r="AJ192" s="157" t="str">
        <f t="shared" si="6"/>
        <v/>
      </c>
    </row>
    <row r="193" ht="12.75" customHeight="1">
      <c r="A193" s="244" t="s">
        <v>621</v>
      </c>
      <c r="B193" s="244" t="s">
        <v>624</v>
      </c>
      <c r="C193" s="244" t="s">
        <v>919</v>
      </c>
      <c r="D193" s="154" t="s">
        <v>781</v>
      </c>
      <c r="E193" s="250"/>
      <c r="F193" s="154" t="str">
        <f t="array" ref="F193">XLOOKUP(Cover!$D$12,$S$1:$AA$1,$S193:$AA193)</f>
        <v>Mandatory</v>
      </c>
      <c r="G193" s="154" t="s">
        <v>920</v>
      </c>
      <c r="H193" s="154" t="s">
        <v>398</v>
      </c>
      <c r="I193" s="154" t="s">
        <v>389</v>
      </c>
      <c r="J193" s="247" t="s">
        <v>445</v>
      </c>
      <c r="K193" s="247" t="s">
        <v>918</v>
      </c>
      <c r="L193" s="154" t="str">
        <f t="shared" si="1"/>
        <v/>
      </c>
      <c r="M193" s="248" t="str">
        <f>IFERROR(__xludf.DUMMYFUNCTION("VLOOKUP(C193,IMPORTRANGE(""https://docs.google.com/spreadsheets/d/1P8eX0NWBhUPS_hvzA11R6jkTNFrPrRYIx_dX_hYbxrk/edit?resourcekey=0-iw9bsKY2OqkUHCFMkCar3A&amp;gid=2055363397#gid=2055363397"",""MTR!C:O""),11,false)"),"TAM")</f>
        <v>TAM</v>
      </c>
      <c r="N193" s="248" t="str">
        <f>IFERROR(__xludf.DUMMYFUNCTION("VLOOKUP(C193,IMPORTRANGE(""https://docs.google.com/spreadsheets/d/1ihFlp3_ePlYtFuPbUNbYj1muErVpI73WHXbEwJDIA7Q/edit#gid=1493122344"",""MTR!C:O""),8,false)"),"Complies")</f>
        <v>Complies</v>
      </c>
      <c r="O193" s="248" t="str">
        <f>IFERROR(__xludf.DUMMYFUNCTION("VLOOKUP(C193,IMPORTRANGE(""https://docs.google.com/spreadsheets/d/1P8eX0NWBhUPS_hvzA11R6jkTNFrPrRYIx_dX_hYbxrk/edit?resourcekey=0-iw9bsKY2OqkUHCFMkCar3A&amp;gid=2055363397#gid=2055363397"",""MTR!C:O""),9,false)"),"The official GCF Report will be ready before product launch. A copy will be provided before TA")</f>
        <v>The official GCF Report will be ready before product launch. A copy will be provided before TA</v>
      </c>
      <c r="P193" s="248"/>
      <c r="Q193" s="249" t="s">
        <v>445</v>
      </c>
      <c r="R193" s="249" t="s">
        <v>918</v>
      </c>
      <c r="S193" s="154" t="s">
        <v>60</v>
      </c>
      <c r="T193" s="154" t="s">
        <v>60</v>
      </c>
      <c r="U193" s="154" t="s">
        <v>60</v>
      </c>
      <c r="V193" s="154" t="s">
        <v>60</v>
      </c>
      <c r="W193" s="154" t="s">
        <v>60</v>
      </c>
      <c r="X193" s="154" t="s">
        <v>60</v>
      </c>
      <c r="Y193" s="154" t="s">
        <v>60</v>
      </c>
      <c r="Z193" s="154" t="s">
        <v>60</v>
      </c>
      <c r="AA193" s="154" t="s">
        <v>60</v>
      </c>
      <c r="AB193" s="154"/>
      <c r="AC193" s="242" t="b">
        <f t="shared" si="2"/>
        <v>1</v>
      </c>
      <c r="AD193" s="154" t="s">
        <v>391</v>
      </c>
      <c r="AE193" s="243" t="b">
        <f t="shared" si="3"/>
        <v>0</v>
      </c>
      <c r="AF193" s="154"/>
      <c r="AG193" s="243" t="b">
        <f t="shared" si="4"/>
        <v>0</v>
      </c>
      <c r="AH193" s="154"/>
      <c r="AI193" s="243" t="str">
        <f t="shared" si="5"/>
        <v>N/A</v>
      </c>
      <c r="AJ193" s="157" t="str">
        <f t="shared" si="6"/>
        <v/>
      </c>
    </row>
    <row r="194" ht="12.75" customHeight="1">
      <c r="A194" s="244" t="s">
        <v>621</v>
      </c>
      <c r="B194" s="244" t="s">
        <v>624</v>
      </c>
      <c r="C194" s="244" t="s">
        <v>921</v>
      </c>
      <c r="D194" s="154" t="s">
        <v>781</v>
      </c>
      <c r="E194" s="250"/>
      <c r="F194" s="154" t="str">
        <f t="array" ref="F194">XLOOKUP(Cover!$D$12,$S$1:$AA$1,$S194:$AA194)</f>
        <v>Mandatory</v>
      </c>
      <c r="G194" s="154" t="s">
        <v>922</v>
      </c>
      <c r="H194" s="154" t="s">
        <v>398</v>
      </c>
      <c r="I194" s="154" t="s">
        <v>389</v>
      </c>
      <c r="J194" s="247" t="s">
        <v>445</v>
      </c>
      <c r="K194" s="247" t="s">
        <v>911</v>
      </c>
      <c r="L194" s="154" t="str">
        <f t="shared" si="1"/>
        <v/>
      </c>
      <c r="M194" s="248" t="str">
        <f>IFERROR(__xludf.DUMMYFUNCTION("VLOOKUP(C194,IMPORTRANGE(""https://docs.google.com/spreadsheets/d/1P8eX0NWBhUPS_hvzA11R6jkTNFrPrRYIx_dX_hYbxrk/edit?resourcekey=0-iw9bsKY2OqkUHCFMkCar3A&amp;gid=2055363397#gid=2055363397"",""MTR!C:O""),11,false)"),"TAM")</f>
        <v>TAM</v>
      </c>
      <c r="N194" s="248" t="str">
        <f>IFERROR(__xludf.DUMMYFUNCTION("VLOOKUP(C194,IMPORTRANGE(""https://docs.google.com/spreadsheets/d/1ihFlp3_ePlYtFuPbUNbYj1muErVpI73WHXbEwJDIA7Q/edit#gid=1493122344"",""MTR!C:O""),8,false)"),"Complies")</f>
        <v>Complies</v>
      </c>
      <c r="O194" s="248" t="str">
        <f>IFERROR(__xludf.DUMMYFUNCTION("VLOOKUP(C194,IMPORTRANGE(""https://docs.google.com/spreadsheets/d/1P8eX0NWBhUPS_hvzA11R6jkTNFrPrRYIx_dX_hYbxrk/edit?resourcekey=0-iw9bsKY2OqkUHCFMkCar3A&amp;gid=2055363397#gid=2055363397"",""MTR!C:O""),9,false)"),"no deviation")</f>
        <v>no deviation</v>
      </c>
      <c r="P194" s="248"/>
      <c r="Q194" s="249" t="s">
        <v>445</v>
      </c>
      <c r="R194" s="249" t="s">
        <v>911</v>
      </c>
      <c r="S194" s="154" t="s">
        <v>60</v>
      </c>
      <c r="T194" s="154" t="s">
        <v>60</v>
      </c>
      <c r="U194" s="154" t="s">
        <v>60</v>
      </c>
      <c r="V194" s="154" t="s">
        <v>60</v>
      </c>
      <c r="W194" s="154" t="s">
        <v>60</v>
      </c>
      <c r="X194" s="154" t="s">
        <v>60</v>
      </c>
      <c r="Y194" s="154" t="s">
        <v>60</v>
      </c>
      <c r="Z194" s="154" t="s">
        <v>60</v>
      </c>
      <c r="AA194" s="154" t="s">
        <v>60</v>
      </c>
      <c r="AB194" s="154"/>
      <c r="AC194" s="242" t="b">
        <f t="shared" si="2"/>
        <v>1</v>
      </c>
      <c r="AD194" s="154" t="s">
        <v>516</v>
      </c>
      <c r="AE194" s="243" t="b">
        <f t="shared" si="3"/>
        <v>0</v>
      </c>
      <c r="AF194" s="154"/>
      <c r="AG194" s="243" t="b">
        <f t="shared" si="4"/>
        <v>0</v>
      </c>
      <c r="AH194" s="154"/>
      <c r="AI194" s="243" t="str">
        <f t="shared" si="5"/>
        <v>N/A</v>
      </c>
      <c r="AJ194" s="157" t="str">
        <f t="shared" si="6"/>
        <v/>
      </c>
    </row>
    <row r="195" ht="12.75" customHeight="1">
      <c r="A195" s="244" t="s">
        <v>621</v>
      </c>
      <c r="B195" s="244" t="s">
        <v>624</v>
      </c>
      <c r="C195" s="244" t="s">
        <v>923</v>
      </c>
      <c r="D195" s="154" t="s">
        <v>781</v>
      </c>
      <c r="E195" s="250"/>
      <c r="F195" s="154" t="str">
        <f t="array" ref="F195">XLOOKUP(Cover!$D$12,$S$1:$AA$1,$S195:$AA195)</f>
        <v>Mandatory</v>
      </c>
      <c r="G195" s="154" t="s">
        <v>924</v>
      </c>
      <c r="H195" s="154" t="s">
        <v>398</v>
      </c>
      <c r="I195" s="154" t="s">
        <v>389</v>
      </c>
      <c r="J195" s="247" t="s">
        <v>445</v>
      </c>
      <c r="K195" s="247" t="s">
        <v>911</v>
      </c>
      <c r="L195" s="154" t="str">
        <f t="shared" si="1"/>
        <v/>
      </c>
      <c r="M195" s="248" t="str">
        <f>IFERROR(__xludf.DUMMYFUNCTION("VLOOKUP(C195,IMPORTRANGE(""https://docs.google.com/spreadsheets/d/1P8eX0NWBhUPS_hvzA11R6jkTNFrPrRYIx_dX_hYbxrk/edit?resourcekey=0-iw9bsKY2OqkUHCFMkCar3A&amp;gid=2055363397#gid=2055363397"",""MTR!C:O""),11,false)"),"TAM")</f>
        <v>TAM</v>
      </c>
      <c r="N195" s="248" t="str">
        <f>IFERROR(__xludf.DUMMYFUNCTION("VLOOKUP(C195,IMPORTRANGE(""https://docs.google.com/spreadsheets/d/1ihFlp3_ePlYtFuPbUNbYj1muErVpI73WHXbEwJDIA7Q/edit#gid=1493122344"",""MTR!C:O""),8,false)"),"Complies")</f>
        <v>Complies</v>
      </c>
      <c r="O195" s="248" t="str">
        <f>IFERROR(__xludf.DUMMYFUNCTION("VLOOKUP(C195,IMPORTRANGE(""https://docs.google.com/spreadsheets/d/1P8eX0NWBhUPS_hvzA11R6jkTNFrPrRYIx_dX_hYbxrk/edit?resourcekey=0-iw9bsKY2OqkUHCFMkCar3A&amp;gid=2055363397#gid=2055363397"",""MTR!C:O""),9,false)"),"no deviation")</f>
        <v>no deviation</v>
      </c>
      <c r="P195" s="248"/>
      <c r="Q195" s="249" t="s">
        <v>445</v>
      </c>
      <c r="R195" s="249" t="s">
        <v>911</v>
      </c>
      <c r="S195" s="154" t="s">
        <v>60</v>
      </c>
      <c r="T195" s="154" t="s">
        <v>60</v>
      </c>
      <c r="U195" s="154" t="s">
        <v>60</v>
      </c>
      <c r="V195" s="154" t="s">
        <v>60</v>
      </c>
      <c r="W195" s="154" t="s">
        <v>60</v>
      </c>
      <c r="X195" s="154" t="s">
        <v>60</v>
      </c>
      <c r="Y195" s="154" t="s">
        <v>60</v>
      </c>
      <c r="Z195" s="154" t="s">
        <v>60</v>
      </c>
      <c r="AA195" s="154" t="s">
        <v>60</v>
      </c>
      <c r="AB195" s="154"/>
      <c r="AC195" s="242" t="b">
        <f t="shared" si="2"/>
        <v>1</v>
      </c>
      <c r="AD195" s="154" t="s">
        <v>516</v>
      </c>
      <c r="AE195" s="243" t="b">
        <f t="shared" si="3"/>
        <v>0</v>
      </c>
      <c r="AF195" s="154"/>
      <c r="AG195" s="243" t="b">
        <f t="shared" si="4"/>
        <v>0</v>
      </c>
      <c r="AH195" s="154"/>
      <c r="AI195" s="243" t="str">
        <f t="shared" si="5"/>
        <v>N/A</v>
      </c>
      <c r="AJ195" s="157" t="str">
        <f t="shared" si="6"/>
        <v/>
      </c>
    </row>
    <row r="196" ht="12.75" customHeight="1">
      <c r="A196" s="238" t="s">
        <v>621</v>
      </c>
      <c r="B196" s="238" t="s">
        <v>925</v>
      </c>
      <c r="C196" s="238" t="s">
        <v>926</v>
      </c>
      <c r="D196" s="238"/>
      <c r="E196" s="238"/>
      <c r="F196" s="154" t="str">
        <f t="array" ref="F196">XLOOKUP(Cover!$D$12,$S$1:$AA$1,$S196:$AA196)</f>
        <v>Heading</v>
      </c>
      <c r="G196" s="239" t="s">
        <v>927</v>
      </c>
      <c r="H196" s="240"/>
      <c r="I196" s="240" t="s">
        <v>414</v>
      </c>
      <c r="J196" s="240"/>
      <c r="K196" s="240"/>
      <c r="L196" s="154" t="str">
        <f t="shared" si="1"/>
        <v/>
      </c>
      <c r="M196" s="241" t="str">
        <f>IFERROR(__xludf.DUMMYFUNCTION("VLOOKUP(C196,IMPORTRANGE(""https://docs.google.com/spreadsheets/d/1P8eX0NWBhUPS_hvzA11R6jkTNFrPrRYIx_dX_hYbxrk/edit?resourcekey=0-iw9bsKY2OqkUHCFMkCar3A&amp;gid=2055363397#gid=2055363397"",""MTR!C:O""),11,false)"),"")</f>
        <v/>
      </c>
      <c r="N196" s="241" t="str">
        <f>IFERROR(__xludf.DUMMYFUNCTION("VLOOKUP(C196,IMPORTRANGE(""https://docs.google.com/spreadsheets/d/1ihFlp3_ePlYtFuPbUNbYj1muErVpI73WHXbEwJDIA7Q/edit#gid=1493122344"",""MTR!C:O""),8,false)"),"")</f>
        <v/>
      </c>
      <c r="O196" s="241" t="str">
        <f>IFERROR(__xludf.DUMMYFUNCTION("VLOOKUP(C196,IMPORTRANGE(""https://docs.google.com/spreadsheets/d/1P8eX0NWBhUPS_hvzA11R6jkTNFrPrRYIx_dX_hYbxrk/edit?resourcekey=0-iw9bsKY2OqkUHCFMkCar3A&amp;gid=2055363397#gid=2055363397"",""MTR!C:O""),9,false)"),"")</f>
        <v/>
      </c>
      <c r="P196" s="241"/>
      <c r="Q196" s="241"/>
      <c r="R196" s="241"/>
      <c r="S196" s="240" t="s">
        <v>390</v>
      </c>
      <c r="T196" s="240" t="s">
        <v>390</v>
      </c>
      <c r="U196" s="240" t="s">
        <v>390</v>
      </c>
      <c r="V196" s="240" t="s">
        <v>390</v>
      </c>
      <c r="W196" s="240" t="s">
        <v>390</v>
      </c>
      <c r="X196" s="240" t="s">
        <v>390</v>
      </c>
      <c r="Y196" s="240" t="s">
        <v>390</v>
      </c>
      <c r="Z196" s="240" t="s">
        <v>390</v>
      </c>
      <c r="AA196" s="240" t="s">
        <v>390</v>
      </c>
      <c r="AB196" s="240"/>
      <c r="AC196" s="242" t="b">
        <f t="shared" si="2"/>
        <v>0</v>
      </c>
      <c r="AD196" s="240" t="s">
        <v>391</v>
      </c>
      <c r="AE196" s="243" t="b">
        <f t="shared" si="3"/>
        <v>0</v>
      </c>
      <c r="AF196" s="240"/>
      <c r="AG196" s="243" t="b">
        <f t="shared" si="4"/>
        <v>0</v>
      </c>
      <c r="AH196" s="240"/>
      <c r="AI196" s="243" t="str">
        <f t="shared" si="5"/>
        <v>N/A</v>
      </c>
      <c r="AJ196" s="157" t="str">
        <f t="shared" si="6"/>
        <v/>
      </c>
    </row>
    <row r="197" ht="12.75" customHeight="1">
      <c r="A197" s="244" t="s">
        <v>621</v>
      </c>
      <c r="B197" s="244" t="s">
        <v>925</v>
      </c>
      <c r="C197" s="255" t="s">
        <v>928</v>
      </c>
      <c r="D197" s="256" t="s">
        <v>42</v>
      </c>
      <c r="E197" s="257" t="s">
        <v>489</v>
      </c>
      <c r="F197" s="154" t="str">
        <f t="array" ref="F197">XLOOKUP(Cover!$D$12,$S$1:$AA$1,$S197:$AA197)</f>
        <v>Comment</v>
      </c>
      <c r="G197" s="154" t="s">
        <v>929</v>
      </c>
      <c r="H197" s="154"/>
      <c r="I197" s="154" t="s">
        <v>414</v>
      </c>
      <c r="J197" s="154"/>
      <c r="K197" s="154"/>
      <c r="L197" s="154" t="str">
        <f t="shared" si="1"/>
        <v/>
      </c>
      <c r="M197" s="253" t="str">
        <f>IFERROR(__xludf.DUMMYFUNCTION("VLOOKUP(C197,IMPORTRANGE(""https://docs.google.com/spreadsheets/d/1P8eX0NWBhUPS_hvzA11R6jkTNFrPrRYIx_dX_hYbxrk/edit?resourcekey=0-iw9bsKY2OqkUHCFMkCar3A&amp;gid=2055363397#gid=2055363397"",""MTR!C:O""),11,false)"),"#N/A")</f>
        <v>#N/A</v>
      </c>
      <c r="N197" s="253" t="str">
        <f>IFERROR(__xludf.DUMMYFUNCTION("VLOOKUP(C197,IMPORTRANGE(""https://docs.google.com/spreadsheets/d/1ihFlp3_ePlYtFuPbUNbYj1muErVpI73WHXbEwJDIA7Q/edit#gid=1493122344"",""MTR!C:O""),8,false)"),"#N/A")</f>
        <v>#N/A</v>
      </c>
      <c r="O197" s="253" t="str">
        <f>IFERROR(__xludf.DUMMYFUNCTION("VLOOKUP(C197,IMPORTRANGE(""https://docs.google.com/spreadsheets/d/1P8eX0NWBhUPS_hvzA11R6jkTNFrPrRYIx_dX_hYbxrk/edit?resourcekey=0-iw9bsKY2OqkUHCFMkCar3A&amp;gid=2055363397#gid=2055363397"",""MTR!C:O""),9,false)"),"#N/A")</f>
        <v>#N/A</v>
      </c>
      <c r="P197" s="253"/>
      <c r="Q197" s="253"/>
      <c r="R197" s="253"/>
      <c r="S197" s="154" t="s">
        <v>35</v>
      </c>
      <c r="T197" s="154" t="s">
        <v>35</v>
      </c>
      <c r="U197" s="154" t="s">
        <v>35</v>
      </c>
      <c r="V197" s="154" t="s">
        <v>35</v>
      </c>
      <c r="W197" s="154" t="s">
        <v>35</v>
      </c>
      <c r="X197" s="154" t="s">
        <v>35</v>
      </c>
      <c r="Y197" s="154" t="s">
        <v>35</v>
      </c>
      <c r="Z197" s="154" t="s">
        <v>35</v>
      </c>
      <c r="AA197" s="154" t="s">
        <v>35</v>
      </c>
      <c r="AB197" s="154"/>
      <c r="AC197" s="242" t="b">
        <f t="shared" si="2"/>
        <v>0</v>
      </c>
      <c r="AD197" s="154" t="s">
        <v>391</v>
      </c>
      <c r="AE197" s="243" t="b">
        <f t="shared" si="3"/>
        <v>0</v>
      </c>
      <c r="AF197" s="154"/>
      <c r="AG197" s="243" t="b">
        <f t="shared" si="4"/>
        <v>0</v>
      </c>
      <c r="AH197" s="154"/>
      <c r="AI197" s="243" t="str">
        <f t="shared" si="5"/>
        <v>N/A</v>
      </c>
      <c r="AJ197" s="157" t="str">
        <f t="shared" si="6"/>
        <v/>
      </c>
    </row>
    <row r="198" ht="12.75" customHeight="1">
      <c r="A198" s="238" t="s">
        <v>621</v>
      </c>
      <c r="B198" s="238" t="s">
        <v>930</v>
      </c>
      <c r="C198" s="238" t="s">
        <v>931</v>
      </c>
      <c r="D198" s="238"/>
      <c r="E198" s="238"/>
      <c r="F198" s="154" t="str">
        <f t="array" ref="F198">XLOOKUP(Cover!$D$12,$S$1:$AA$1,$S198:$AA198)</f>
        <v>Heading</v>
      </c>
      <c r="G198" s="239" t="s">
        <v>932</v>
      </c>
      <c r="H198" s="240"/>
      <c r="I198" s="240" t="s">
        <v>632</v>
      </c>
      <c r="J198" s="240"/>
      <c r="K198" s="240"/>
      <c r="L198" s="154" t="str">
        <f t="shared" si="1"/>
        <v/>
      </c>
      <c r="M198" s="241" t="str">
        <f>IFERROR(__xludf.DUMMYFUNCTION("VLOOKUP(C198,IMPORTRANGE(""https://docs.google.com/spreadsheets/d/1P8eX0NWBhUPS_hvzA11R6jkTNFrPrRYIx_dX_hYbxrk/edit?resourcekey=0-iw9bsKY2OqkUHCFMkCar3A&amp;gid=2055363397#gid=2055363397"",""MTR!C:O""),11,false)"),"")</f>
        <v/>
      </c>
      <c r="N198" s="241" t="str">
        <f>IFERROR(__xludf.DUMMYFUNCTION("VLOOKUP(C198,IMPORTRANGE(""https://docs.google.com/spreadsheets/d/1ihFlp3_ePlYtFuPbUNbYj1muErVpI73WHXbEwJDIA7Q/edit#gid=1493122344"",""MTR!C:O""),8,false)"),"")</f>
        <v/>
      </c>
      <c r="O198" s="241" t="str">
        <f>IFERROR(__xludf.DUMMYFUNCTION("VLOOKUP(C198,IMPORTRANGE(""https://docs.google.com/spreadsheets/d/1P8eX0NWBhUPS_hvzA11R6jkTNFrPrRYIx_dX_hYbxrk/edit?resourcekey=0-iw9bsKY2OqkUHCFMkCar3A&amp;gid=2055363397#gid=2055363397"",""MTR!C:O""),9,false)"),"")</f>
        <v/>
      </c>
      <c r="P198" s="241"/>
      <c r="Q198" s="241"/>
      <c r="R198" s="241"/>
      <c r="S198" s="240" t="s">
        <v>390</v>
      </c>
      <c r="T198" s="240" t="s">
        <v>390</v>
      </c>
      <c r="U198" s="240" t="s">
        <v>390</v>
      </c>
      <c r="V198" s="240" t="s">
        <v>390</v>
      </c>
      <c r="W198" s="240" t="s">
        <v>390</v>
      </c>
      <c r="X198" s="240" t="s">
        <v>390</v>
      </c>
      <c r="Y198" s="240" t="s">
        <v>390</v>
      </c>
      <c r="Z198" s="240" t="s">
        <v>390</v>
      </c>
      <c r="AA198" s="240" t="s">
        <v>390</v>
      </c>
      <c r="AB198" s="240"/>
      <c r="AC198" s="242" t="b">
        <f t="shared" si="2"/>
        <v>0</v>
      </c>
      <c r="AD198" s="240" t="s">
        <v>391</v>
      </c>
      <c r="AE198" s="243" t="b">
        <f t="shared" si="3"/>
        <v>0</v>
      </c>
      <c r="AF198" s="240"/>
      <c r="AG198" s="243" t="b">
        <f t="shared" si="4"/>
        <v>0</v>
      </c>
      <c r="AH198" s="240"/>
      <c r="AI198" s="243" t="str">
        <f t="shared" si="5"/>
        <v>N/A</v>
      </c>
      <c r="AJ198" s="157" t="str">
        <f t="shared" si="6"/>
        <v/>
      </c>
    </row>
    <row r="199" ht="12.75" customHeight="1">
      <c r="A199" s="244" t="s">
        <v>621</v>
      </c>
      <c r="B199" s="244" t="s">
        <v>930</v>
      </c>
      <c r="C199" s="244" t="s">
        <v>933</v>
      </c>
      <c r="D199" s="154" t="s">
        <v>443</v>
      </c>
      <c r="E199" s="250"/>
      <c r="F199" s="154" t="str">
        <f t="array" ref="F199">XLOOKUP(Cover!$D$12,$S$1:$AA$1,$S199:$AA199)</f>
        <v>Mandatory</v>
      </c>
      <c r="G199" s="153" t="s">
        <v>934</v>
      </c>
      <c r="H199" s="154" t="s">
        <v>147</v>
      </c>
      <c r="I199" s="154" t="s">
        <v>632</v>
      </c>
      <c r="J199" s="247" t="s">
        <v>506</v>
      </c>
      <c r="K199" s="247" t="s">
        <v>935</v>
      </c>
      <c r="L199" s="154" t="str">
        <f t="shared" si="1"/>
        <v/>
      </c>
      <c r="M199" s="248" t="str">
        <f>IFERROR(__xludf.DUMMYFUNCTION("VLOOKUP(C199,IMPORTRANGE(""https://docs.google.com/spreadsheets/d/1P8eX0NWBhUPS_hvzA11R6jkTNFrPrRYIx_dX_hYbxrk/edit?resourcekey=0-iw9bsKY2OqkUHCFMkCar3A&amp;gid=2055363397#gid=2055363397"",""MTR!C:O""),11,false)"),"PMW-MCE-AS")</f>
        <v>PMW-MCE-AS</v>
      </c>
      <c r="N199" s="248" t="str">
        <f>IFERROR(__xludf.DUMMYFUNCTION("VLOOKUP(C199,IMPORTRANGE(""https://docs.google.com/spreadsheets/d/1ihFlp3_ePlYtFuPbUNbYj1muErVpI73WHXbEwJDIA7Q/edit#gid=1493122344"",""MTR!C:O""),8,false)"),"Complies")</f>
        <v>Complies</v>
      </c>
      <c r="O199" s="248" t="str">
        <f>IFERROR(__xludf.DUMMYFUNCTION("VLOOKUP(C199,IMPORTRANGE(""https://docs.google.com/spreadsheets/d/1P8eX0NWBhUPS_hvzA11R6jkTNFrPrRYIx_dX_hYbxrk/edit?resourcekey=0-iw9bsKY2OqkUHCFMkCar3A&amp;gid=2055363397#gid=2055363397"",""MTR!C:O""),9,false)"),"MCS 33")</f>
        <v>MCS 33</v>
      </c>
      <c r="P199" s="248"/>
      <c r="Q199" s="249" t="s">
        <v>445</v>
      </c>
      <c r="R199" s="249" t="s">
        <v>936</v>
      </c>
      <c r="S199" s="154" t="s">
        <v>60</v>
      </c>
      <c r="T199" s="154" t="s">
        <v>60</v>
      </c>
      <c r="U199" s="154" t="s">
        <v>60</v>
      </c>
      <c r="V199" s="154" t="s">
        <v>60</v>
      </c>
      <c r="W199" s="154" t="s">
        <v>60</v>
      </c>
      <c r="X199" s="154" t="s">
        <v>60</v>
      </c>
      <c r="Y199" s="154" t="s">
        <v>60</v>
      </c>
      <c r="Z199" s="154" t="s">
        <v>60</v>
      </c>
      <c r="AA199" s="154" t="s">
        <v>60</v>
      </c>
      <c r="AB199" s="154"/>
      <c r="AC199" s="242" t="b">
        <f t="shared" si="2"/>
        <v>1</v>
      </c>
      <c r="AD199" s="154" t="s">
        <v>445</v>
      </c>
      <c r="AE199" s="243" t="b">
        <f t="shared" si="3"/>
        <v>0</v>
      </c>
      <c r="AF199" s="154"/>
      <c r="AG199" s="243" t="b">
        <f t="shared" si="4"/>
        <v>0</v>
      </c>
      <c r="AH199" s="154" t="s">
        <v>629</v>
      </c>
      <c r="AI199" s="243" t="str">
        <f t="shared" si="5"/>
        <v>Complies</v>
      </c>
      <c r="AJ199" s="157" t="str">
        <f t="shared" si="6"/>
        <v/>
      </c>
    </row>
    <row r="200" ht="12.75" customHeight="1">
      <c r="A200" s="244" t="s">
        <v>621</v>
      </c>
      <c r="B200" s="244" t="s">
        <v>930</v>
      </c>
      <c r="C200" s="244" t="s">
        <v>937</v>
      </c>
      <c r="D200" s="244" t="s">
        <v>443</v>
      </c>
      <c r="E200" s="244"/>
      <c r="F200" s="154" t="str">
        <f t="array" ref="F200">XLOOKUP(Cover!$D$12,$S$1:$AA$1,$S200:$AA200)</f>
        <v>Recommended</v>
      </c>
      <c r="G200" s="153" t="s">
        <v>938</v>
      </c>
      <c r="H200" s="154"/>
      <c r="I200" s="154" t="s">
        <v>632</v>
      </c>
      <c r="J200" s="247" t="s">
        <v>506</v>
      </c>
      <c r="K200" s="247" t="s">
        <v>935</v>
      </c>
      <c r="L200" s="154" t="str">
        <f t="shared" si="1"/>
        <v/>
      </c>
      <c r="M200" s="248" t="str">
        <f>IFERROR(__xludf.DUMMYFUNCTION("VLOOKUP(C200,IMPORTRANGE(""https://docs.google.com/spreadsheets/d/1P8eX0NWBhUPS_hvzA11R6jkTNFrPrRYIx_dX_hYbxrk/edit?resourcekey=0-iw9bsKY2OqkUHCFMkCar3A&amp;gid=2055363397#gid=2055363397"",""MTR!C:O""),11,false)"),"PMW-MCE-AS")</f>
        <v>PMW-MCE-AS</v>
      </c>
      <c r="N200" s="248" t="str">
        <f>IFERROR(__xludf.DUMMYFUNCTION("VLOOKUP(C200,IMPORTRANGE(""https://docs.google.com/spreadsheets/d/1ihFlp3_ePlYtFuPbUNbYj1muErVpI73WHXbEwJDIA7Q/edit#gid=1493122344"",""MTR!C:O""),8,false)"),"Complies")</f>
        <v>Complies</v>
      </c>
      <c r="O200" s="248" t="str">
        <f>IFERROR(__xludf.DUMMYFUNCTION("VLOOKUP(C200,IMPORTRANGE(""https://docs.google.com/spreadsheets/d/1P8eX0NWBhUPS_hvzA11R6jkTNFrPrRYIx_dX_hYbxrk/edit?resourcekey=0-iw9bsKY2OqkUHCFMkCar3A&amp;gid=2055363397#gid=2055363397"",""MTR!C:O""),9,false)"),"MCS 33")</f>
        <v>MCS 33</v>
      </c>
      <c r="P200" s="248"/>
      <c r="Q200" s="249" t="s">
        <v>445</v>
      </c>
      <c r="R200" s="249" t="s">
        <v>936</v>
      </c>
      <c r="S200" s="154" t="s">
        <v>64</v>
      </c>
      <c r="T200" s="154" t="s">
        <v>64</v>
      </c>
      <c r="U200" s="154" t="s">
        <v>64</v>
      </c>
      <c r="V200" s="154" t="s">
        <v>64</v>
      </c>
      <c r="W200" s="154" t="s">
        <v>64</v>
      </c>
      <c r="X200" s="154" t="s">
        <v>64</v>
      </c>
      <c r="Y200" s="154" t="s">
        <v>64</v>
      </c>
      <c r="Z200" s="154" t="s">
        <v>64</v>
      </c>
      <c r="AA200" s="154" t="s">
        <v>64</v>
      </c>
      <c r="AB200" s="154"/>
      <c r="AC200" s="242" t="b">
        <f t="shared" si="2"/>
        <v>1</v>
      </c>
      <c r="AD200" s="154" t="s">
        <v>445</v>
      </c>
      <c r="AE200" s="243" t="b">
        <f t="shared" si="3"/>
        <v>0</v>
      </c>
      <c r="AF200" s="154"/>
      <c r="AG200" s="243" t="b">
        <f t="shared" si="4"/>
        <v>0</v>
      </c>
      <c r="AH200" s="154" t="s">
        <v>629</v>
      </c>
      <c r="AI200" s="243" t="str">
        <f t="shared" si="5"/>
        <v>Complies</v>
      </c>
      <c r="AJ200" s="157" t="str">
        <f t="shared" si="6"/>
        <v/>
      </c>
    </row>
    <row r="201" ht="12.75" customHeight="1">
      <c r="A201" s="244" t="s">
        <v>621</v>
      </c>
      <c r="B201" s="244" t="s">
        <v>930</v>
      </c>
      <c r="C201" s="244" t="s">
        <v>939</v>
      </c>
      <c r="D201" s="154" t="s">
        <v>642</v>
      </c>
      <c r="E201" s="250"/>
      <c r="F201" s="154" t="str">
        <f t="array" ref="F201">XLOOKUP(Cover!$D$12,$S$1:$AA$1,$S201:$AA201)</f>
        <v>Recommended</v>
      </c>
      <c r="G201" s="153" t="s">
        <v>940</v>
      </c>
      <c r="H201" s="154"/>
      <c r="I201" s="154" t="s">
        <v>632</v>
      </c>
      <c r="J201" s="247" t="s">
        <v>445</v>
      </c>
      <c r="K201" s="247" t="s">
        <v>941</v>
      </c>
      <c r="L201" s="154" t="str">
        <f t="shared" si="1"/>
        <v/>
      </c>
      <c r="M201" s="248" t="str">
        <f>IFERROR(__xludf.DUMMYFUNCTION("VLOOKUP(C201,IMPORTRANGE(""https://docs.google.com/spreadsheets/d/1P8eX0NWBhUPS_hvzA11R6jkTNFrPrRYIx_dX_hYbxrk/edit?resourcekey=0-iw9bsKY2OqkUHCFMkCar3A&amp;gid=2055363397#gid=2055363397"",""MTR!C:O""),11,false)"),"PMW-MCE-AS")</f>
        <v>PMW-MCE-AS</v>
      </c>
      <c r="N201" s="248" t="str">
        <f>IFERROR(__xludf.DUMMYFUNCTION("VLOOKUP(C201,IMPORTRANGE(""https://docs.google.com/spreadsheets/d/1ihFlp3_ePlYtFuPbUNbYj1muErVpI73WHXbEwJDIA7Q/edit#gid=1493122344"",""MTR!C:O""),8,false)"),"Complies")</f>
        <v>Complies</v>
      </c>
      <c r="O201" s="248" t="str">
        <f>IFERROR(__xludf.DUMMYFUNCTION("VLOOKUP(C201,IMPORTRANGE(""https://docs.google.com/spreadsheets/d/1P8eX0NWBhUPS_hvzA11R6jkTNFrPrRYIx_dX_hYbxrk/edit?resourcekey=0-iw9bsKY2OqkUHCFMkCar3A&amp;gid=2055363397#gid=2055363397"",""MTR!C:O""),9,false)"),"VAMOS I enable")</f>
        <v>VAMOS I enable</v>
      </c>
      <c r="P201" s="248"/>
      <c r="Q201" s="249" t="s">
        <v>445</v>
      </c>
      <c r="R201" s="249" t="s">
        <v>941</v>
      </c>
      <c r="S201" s="154" t="s">
        <v>64</v>
      </c>
      <c r="T201" s="154" t="s">
        <v>64</v>
      </c>
      <c r="U201" s="154" t="s">
        <v>64</v>
      </c>
      <c r="V201" s="154" t="s">
        <v>64</v>
      </c>
      <c r="W201" s="154" t="s">
        <v>64</v>
      </c>
      <c r="X201" s="154" t="s">
        <v>64</v>
      </c>
      <c r="Y201" s="154" t="s">
        <v>64</v>
      </c>
      <c r="Z201" s="154" t="s">
        <v>64</v>
      </c>
      <c r="AA201" s="154" t="s">
        <v>64</v>
      </c>
      <c r="AB201" s="154"/>
      <c r="AC201" s="242" t="b">
        <f t="shared" si="2"/>
        <v>1</v>
      </c>
      <c r="AD201" s="154" t="s">
        <v>445</v>
      </c>
      <c r="AE201" s="243" t="b">
        <f t="shared" si="3"/>
        <v>0</v>
      </c>
      <c r="AF201" s="154"/>
      <c r="AG201" s="243" t="b">
        <f t="shared" si="4"/>
        <v>0</v>
      </c>
      <c r="AH201" s="154" t="s">
        <v>629</v>
      </c>
      <c r="AI201" s="243" t="str">
        <f t="shared" si="5"/>
        <v>Complies</v>
      </c>
      <c r="AJ201" s="157" t="str">
        <f t="shared" si="6"/>
        <v/>
      </c>
    </row>
    <row r="202" ht="12.75" customHeight="1">
      <c r="A202" s="238" t="s">
        <v>621</v>
      </c>
      <c r="B202" s="238" t="s">
        <v>942</v>
      </c>
      <c r="C202" s="238" t="s">
        <v>943</v>
      </c>
      <c r="D202" s="240"/>
      <c r="E202" s="252" t="s">
        <v>92</v>
      </c>
      <c r="F202" s="154" t="str">
        <f t="array" ref="F202">XLOOKUP(Cover!$D$12,$S$1:$AA$1,$S202:$AA202)</f>
        <v>Heading</v>
      </c>
      <c r="G202" s="239" t="s">
        <v>944</v>
      </c>
      <c r="H202" s="240"/>
      <c r="I202" s="240" t="s">
        <v>389</v>
      </c>
      <c r="J202" s="240"/>
      <c r="K202" s="240"/>
      <c r="L202" s="154" t="str">
        <f t="shared" si="1"/>
        <v/>
      </c>
      <c r="M202" s="241" t="str">
        <f>IFERROR(__xludf.DUMMYFUNCTION("VLOOKUP(C202,IMPORTRANGE(""https://docs.google.com/spreadsheets/d/1P8eX0NWBhUPS_hvzA11R6jkTNFrPrRYIx_dX_hYbxrk/edit?resourcekey=0-iw9bsKY2OqkUHCFMkCar3A&amp;gid=2055363397#gid=2055363397"",""MTR!C:O""),11,false)"),"")</f>
        <v/>
      </c>
      <c r="N202" s="241" t="str">
        <f>IFERROR(__xludf.DUMMYFUNCTION("VLOOKUP(C202,IMPORTRANGE(""https://docs.google.com/spreadsheets/d/1ihFlp3_ePlYtFuPbUNbYj1muErVpI73WHXbEwJDIA7Q/edit#gid=1493122344"",""MTR!C:O""),8,false)"),"")</f>
        <v/>
      </c>
      <c r="O202" s="241" t="str">
        <f>IFERROR(__xludf.DUMMYFUNCTION("VLOOKUP(C202,IMPORTRANGE(""https://docs.google.com/spreadsheets/d/1P8eX0NWBhUPS_hvzA11R6jkTNFrPrRYIx_dX_hYbxrk/edit?resourcekey=0-iw9bsKY2OqkUHCFMkCar3A&amp;gid=2055363397#gid=2055363397"",""MTR!C:O""),9,false)"),"")</f>
        <v/>
      </c>
      <c r="P202" s="241"/>
      <c r="Q202" s="241"/>
      <c r="R202" s="241"/>
      <c r="S202" s="240" t="s">
        <v>390</v>
      </c>
      <c r="T202" s="240" t="s">
        <v>390</v>
      </c>
      <c r="U202" s="240" t="s">
        <v>390</v>
      </c>
      <c r="V202" s="240" t="s">
        <v>390</v>
      </c>
      <c r="W202" s="240" t="s">
        <v>390</v>
      </c>
      <c r="X202" s="240" t="s">
        <v>390</v>
      </c>
      <c r="Y202" s="240" t="s">
        <v>390</v>
      </c>
      <c r="Z202" s="240" t="s">
        <v>390</v>
      </c>
      <c r="AA202" s="240" t="s">
        <v>390</v>
      </c>
      <c r="AB202" s="240"/>
      <c r="AC202" s="242" t="b">
        <f t="shared" si="2"/>
        <v>0</v>
      </c>
      <c r="AD202" s="240" t="s">
        <v>391</v>
      </c>
      <c r="AE202" s="243" t="b">
        <f t="shared" si="3"/>
        <v>0</v>
      </c>
      <c r="AF202" s="240"/>
      <c r="AG202" s="243" t="b">
        <f t="shared" si="4"/>
        <v>0</v>
      </c>
      <c r="AH202" s="240"/>
      <c r="AI202" s="243" t="str">
        <f t="shared" si="5"/>
        <v>N/A</v>
      </c>
      <c r="AJ202" s="157" t="str">
        <f t="shared" si="6"/>
        <v/>
      </c>
    </row>
    <row r="203" ht="12.75" customHeight="1">
      <c r="A203" s="238" t="s">
        <v>621</v>
      </c>
      <c r="B203" s="238" t="s">
        <v>942</v>
      </c>
      <c r="C203" s="238" t="s">
        <v>945</v>
      </c>
      <c r="D203" s="240"/>
      <c r="E203" s="252" t="s">
        <v>92</v>
      </c>
      <c r="F203" s="154" t="str">
        <f t="array" ref="F203">XLOOKUP(Cover!$D$12,$S$1:$AA$1,$S203:$AA203)</f>
        <v>Heading</v>
      </c>
      <c r="G203" s="239" t="s">
        <v>946</v>
      </c>
      <c r="H203" s="240"/>
      <c r="I203" s="240" t="s">
        <v>389</v>
      </c>
      <c r="J203" s="240"/>
      <c r="K203" s="240"/>
      <c r="L203" s="154" t="str">
        <f t="shared" si="1"/>
        <v/>
      </c>
      <c r="M203" s="241" t="str">
        <f>IFERROR(__xludf.DUMMYFUNCTION("VLOOKUP(C203,IMPORTRANGE(""https://docs.google.com/spreadsheets/d/1P8eX0NWBhUPS_hvzA11R6jkTNFrPrRYIx_dX_hYbxrk/edit?resourcekey=0-iw9bsKY2OqkUHCFMkCar3A&amp;gid=2055363397#gid=2055363397"",""MTR!C:O""),11,false)"),"")</f>
        <v/>
      </c>
      <c r="N203" s="241" t="str">
        <f>IFERROR(__xludf.DUMMYFUNCTION("VLOOKUP(C203,IMPORTRANGE(""https://docs.google.com/spreadsheets/d/1ihFlp3_ePlYtFuPbUNbYj1muErVpI73WHXbEwJDIA7Q/edit#gid=1493122344"",""MTR!C:O""),8,false)"),"")</f>
        <v/>
      </c>
      <c r="O203" s="241" t="str">
        <f>IFERROR(__xludf.DUMMYFUNCTION("VLOOKUP(C203,IMPORTRANGE(""https://docs.google.com/spreadsheets/d/1P8eX0NWBhUPS_hvzA11R6jkTNFrPrRYIx_dX_hYbxrk/edit?resourcekey=0-iw9bsKY2OqkUHCFMkCar3A&amp;gid=2055363397#gid=2055363397"",""MTR!C:O""),9,false)"),"")</f>
        <v/>
      </c>
      <c r="P203" s="241"/>
      <c r="Q203" s="241"/>
      <c r="R203" s="241"/>
      <c r="S203" s="240" t="s">
        <v>390</v>
      </c>
      <c r="T203" s="240" t="s">
        <v>390</v>
      </c>
      <c r="U203" s="240" t="s">
        <v>390</v>
      </c>
      <c r="V203" s="240" t="s">
        <v>390</v>
      </c>
      <c r="W203" s="240" t="s">
        <v>390</v>
      </c>
      <c r="X203" s="240" t="s">
        <v>390</v>
      </c>
      <c r="Y203" s="240" t="s">
        <v>390</v>
      </c>
      <c r="Z203" s="240" t="s">
        <v>390</v>
      </c>
      <c r="AA203" s="240" t="s">
        <v>390</v>
      </c>
      <c r="AB203" s="240"/>
      <c r="AC203" s="242" t="b">
        <f t="shared" si="2"/>
        <v>0</v>
      </c>
      <c r="AD203" s="240" t="s">
        <v>391</v>
      </c>
      <c r="AE203" s="243" t="b">
        <f t="shared" si="3"/>
        <v>0</v>
      </c>
      <c r="AF203" s="240"/>
      <c r="AG203" s="243" t="b">
        <f t="shared" si="4"/>
        <v>0</v>
      </c>
      <c r="AH203" s="240"/>
      <c r="AI203" s="243" t="str">
        <f t="shared" si="5"/>
        <v>N/A</v>
      </c>
      <c r="AJ203" s="157" t="str">
        <f t="shared" si="6"/>
        <v/>
      </c>
    </row>
    <row r="204" ht="12.75" customHeight="1">
      <c r="A204" s="238" t="s">
        <v>621</v>
      </c>
      <c r="B204" s="238" t="s">
        <v>942</v>
      </c>
      <c r="C204" s="238" t="s">
        <v>947</v>
      </c>
      <c r="D204" s="240"/>
      <c r="E204" s="252" t="s">
        <v>92</v>
      </c>
      <c r="F204" s="154" t="str">
        <f t="array" ref="F204">XLOOKUP(Cover!$D$12,$S$1:$AA$1,$S204:$AA204)</f>
        <v>Heading</v>
      </c>
      <c r="G204" s="239" t="s">
        <v>948</v>
      </c>
      <c r="H204" s="240"/>
      <c r="I204" s="240" t="s">
        <v>389</v>
      </c>
      <c r="J204" s="240"/>
      <c r="K204" s="240"/>
      <c r="L204" s="154" t="str">
        <f t="shared" si="1"/>
        <v/>
      </c>
      <c r="M204" s="241" t="str">
        <f>IFERROR(__xludf.DUMMYFUNCTION("VLOOKUP(C204,IMPORTRANGE(""https://docs.google.com/spreadsheets/d/1P8eX0NWBhUPS_hvzA11R6jkTNFrPrRYIx_dX_hYbxrk/edit?resourcekey=0-iw9bsKY2OqkUHCFMkCar3A&amp;gid=2055363397#gid=2055363397"",""MTR!C:O""),11,false)"),"")</f>
        <v/>
      </c>
      <c r="N204" s="241" t="str">
        <f>IFERROR(__xludf.DUMMYFUNCTION("VLOOKUP(C204,IMPORTRANGE(""https://docs.google.com/spreadsheets/d/1ihFlp3_ePlYtFuPbUNbYj1muErVpI73WHXbEwJDIA7Q/edit#gid=1493122344"",""MTR!C:O""),8,false)"),"")</f>
        <v/>
      </c>
      <c r="O204" s="241" t="str">
        <f>IFERROR(__xludf.DUMMYFUNCTION("VLOOKUP(C204,IMPORTRANGE(""https://docs.google.com/spreadsheets/d/1P8eX0NWBhUPS_hvzA11R6jkTNFrPrRYIx_dX_hYbxrk/edit?resourcekey=0-iw9bsKY2OqkUHCFMkCar3A&amp;gid=2055363397#gid=2055363397"",""MTR!C:O""),9,false)"),"")</f>
        <v/>
      </c>
      <c r="P204" s="241"/>
      <c r="Q204" s="241"/>
      <c r="R204" s="241"/>
      <c r="S204" s="240" t="s">
        <v>390</v>
      </c>
      <c r="T204" s="240" t="s">
        <v>390</v>
      </c>
      <c r="U204" s="240" t="s">
        <v>390</v>
      </c>
      <c r="V204" s="240" t="s">
        <v>390</v>
      </c>
      <c r="W204" s="240" t="s">
        <v>390</v>
      </c>
      <c r="X204" s="240" t="s">
        <v>390</v>
      </c>
      <c r="Y204" s="240" t="s">
        <v>390</v>
      </c>
      <c r="Z204" s="240" t="s">
        <v>390</v>
      </c>
      <c r="AA204" s="240" t="s">
        <v>390</v>
      </c>
      <c r="AB204" s="240"/>
      <c r="AC204" s="242" t="b">
        <f t="shared" si="2"/>
        <v>0</v>
      </c>
      <c r="AD204" s="240" t="s">
        <v>391</v>
      </c>
      <c r="AE204" s="243" t="b">
        <f t="shared" si="3"/>
        <v>0</v>
      </c>
      <c r="AF204" s="240"/>
      <c r="AG204" s="243" t="b">
        <f t="shared" si="4"/>
        <v>0</v>
      </c>
      <c r="AH204" s="240"/>
      <c r="AI204" s="243" t="str">
        <f t="shared" si="5"/>
        <v>N/A</v>
      </c>
      <c r="AJ204" s="157" t="str">
        <f t="shared" si="6"/>
        <v/>
      </c>
    </row>
    <row r="205" ht="12.75" customHeight="1">
      <c r="A205" s="244" t="s">
        <v>621</v>
      </c>
      <c r="B205" s="244" t="s">
        <v>942</v>
      </c>
      <c r="C205" s="245" t="s">
        <v>949</v>
      </c>
      <c r="D205" s="155" t="s">
        <v>433</v>
      </c>
      <c r="E205" s="246" t="s">
        <v>92</v>
      </c>
      <c r="F205" s="154" t="str">
        <f t="array" ref="F205">XLOOKUP(Cover!$D$12,$S$1:$AA$1,$S205:$AA205)</f>
        <v>Comments Vendor</v>
      </c>
      <c r="G205" s="153" t="s">
        <v>950</v>
      </c>
      <c r="H205" s="154" t="s">
        <v>144</v>
      </c>
      <c r="I205" s="154" t="s">
        <v>389</v>
      </c>
      <c r="J205" s="154"/>
      <c r="K205" s="247" t="s">
        <v>951</v>
      </c>
      <c r="L205" s="154" t="str">
        <f t="shared" si="1"/>
        <v/>
      </c>
      <c r="M205" s="248" t="str">
        <f>IFERROR(__xludf.DUMMYFUNCTION("VLOOKUP(C205,IMPORTRANGE(""https://docs.google.com/spreadsheets/d/1P8eX0NWBhUPS_hvzA11R6jkTNFrPrRYIx_dX_hYbxrk/edit?resourcekey=0-iw9bsKY2OqkUHCFMkCar3A&amp;gid=2055363397#gid=2055363397"",""MTR!C:O""),11,false)"),"PMW-MCE-AS")</f>
        <v>PMW-MCE-AS</v>
      </c>
      <c r="N205" s="241" t="str">
        <f>IFERROR(__xludf.DUMMYFUNCTION("VLOOKUP(C205,IMPORTRANGE(""https://docs.google.com/spreadsheets/d/1ihFlp3_ePlYtFuPbUNbYj1muErVpI73WHXbEwJDIA7Q/edit#gid=1493122344"",""MTR!C:O""),8,false)"),"")</f>
        <v/>
      </c>
      <c r="O205" s="248" t="str">
        <f>IFERROR(__xludf.DUMMYFUNCTION("VLOOKUP(C205,IMPORTRANGE(""https://docs.google.com/spreadsheets/d/1P8eX0NWBhUPS_hvzA11R6jkTNFrPrRYIx_dX_hYbxrk/edit?resourcekey=0-iw9bsKY2OqkUHCFMkCar3A&amp;gid=2055363397#gid=2055363397"",""MTR!C:O""),9,false)"),"DL CAT 16
[2024/05/06] 
P24 Max LTE DL could reach 20
But for DTAG, UEcap would set DL cat 16 to NW.
Need to create bug to change LTE cat setting in DTAG Confpack")</f>
        <v>DL CAT 16
[2024/05/06] 
P24 Max LTE DL could reach 20
But for DTAG, UEcap would set DL cat 16 to NW.
Need to create bug to change LTE cat setting in DTAG Confpack</v>
      </c>
      <c r="P205" s="248"/>
      <c r="Q205" s="248"/>
      <c r="R205" s="249" t="s">
        <v>951</v>
      </c>
      <c r="S205" s="154" t="s">
        <v>62</v>
      </c>
      <c r="T205" s="154" t="s">
        <v>62</v>
      </c>
      <c r="U205" s="154" t="s">
        <v>62</v>
      </c>
      <c r="V205" s="154" t="s">
        <v>62</v>
      </c>
      <c r="W205" s="154" t="s">
        <v>62</v>
      </c>
      <c r="X205" s="154" t="s">
        <v>62</v>
      </c>
      <c r="Y205" s="154" t="s">
        <v>62</v>
      </c>
      <c r="Z205" s="154" t="s">
        <v>62</v>
      </c>
      <c r="AA205" s="154" t="s">
        <v>62</v>
      </c>
      <c r="AB205" s="154"/>
      <c r="AC205" s="242" t="b">
        <f t="shared" si="2"/>
        <v>1</v>
      </c>
      <c r="AD205" s="154" t="s">
        <v>68</v>
      </c>
      <c r="AE205" s="243" t="b">
        <f t="shared" si="3"/>
        <v>1</v>
      </c>
      <c r="AF205" s="154"/>
      <c r="AG205" s="243" t="b">
        <f t="shared" si="4"/>
        <v>0</v>
      </c>
      <c r="AH205" s="154" t="s">
        <v>637</v>
      </c>
      <c r="AI205" s="243" t="str">
        <f t="shared" si="5"/>
        <v>Complies</v>
      </c>
      <c r="AJ205" s="157" t="str">
        <f t="shared" si="6"/>
        <v/>
      </c>
    </row>
    <row r="206" ht="12.75" customHeight="1">
      <c r="A206" s="244" t="s">
        <v>621</v>
      </c>
      <c r="B206" s="244" t="s">
        <v>942</v>
      </c>
      <c r="C206" s="245" t="s">
        <v>952</v>
      </c>
      <c r="D206" s="155" t="s">
        <v>433</v>
      </c>
      <c r="E206" s="246" t="s">
        <v>92</v>
      </c>
      <c r="F206" s="154" t="str">
        <f t="array" ref="F206">XLOOKUP(Cover!$D$12,$S$1:$AA$1,$S206:$AA206)</f>
        <v>Comments Vendor</v>
      </c>
      <c r="G206" s="153" t="s">
        <v>953</v>
      </c>
      <c r="H206" s="154" t="s">
        <v>144</v>
      </c>
      <c r="I206" s="154" t="s">
        <v>389</v>
      </c>
      <c r="J206" s="154"/>
      <c r="K206" s="247" t="s">
        <v>954</v>
      </c>
      <c r="L206" s="154" t="str">
        <f t="shared" si="1"/>
        <v/>
      </c>
      <c r="M206" s="248" t="str">
        <f>IFERROR(__xludf.DUMMYFUNCTION("VLOOKUP(C206,IMPORTRANGE(""https://docs.google.com/spreadsheets/d/1P8eX0NWBhUPS_hvzA11R6jkTNFrPrRYIx_dX_hYbxrk/edit?resourcekey=0-iw9bsKY2OqkUHCFMkCar3A&amp;gid=2055363397#gid=2055363397"",""MTR!C:O""),11,false)"),"PMW-MCE-AS")</f>
        <v>PMW-MCE-AS</v>
      </c>
      <c r="N206" s="241" t="str">
        <f>IFERROR(__xludf.DUMMYFUNCTION("VLOOKUP(C206,IMPORTRANGE(""https://docs.google.com/spreadsheets/d/1ihFlp3_ePlYtFuPbUNbYj1muErVpI73WHXbEwJDIA7Q/edit#gid=1493122344"",""MTR!C:O""),8,false)"),"")</f>
        <v/>
      </c>
      <c r="O206" s="248" t="str">
        <f>IFERROR(__xludf.DUMMYFUNCTION("VLOOKUP(C206,IMPORTRANGE(""https://docs.google.com/spreadsheets/d/1P8eX0NWBhUPS_hvzA11R6jkTNFrPrRYIx_dX_hYbxrk/edit?resourcekey=0-iw9bsKY2OqkUHCFMkCar3A&amp;gid=2055363397#gid=2055363397"",""MTR!C:O""),9,false)"),"UL CAT 16
[2024/05/06]
P24 Max LTE UL could reach 18
But for DTAG, UEcap would set DL cat 18 to NW.
Need to create bug to change LTE cat setting in DTAG Confpack")</f>
        <v>UL CAT 16
[2024/05/06]
P24 Max LTE UL could reach 18
But for DTAG, UEcap would set DL cat 18 to NW.
Need to create bug to change LTE cat setting in DTAG Confpack</v>
      </c>
      <c r="P206" s="248"/>
      <c r="Q206" s="248"/>
      <c r="R206" s="249" t="s">
        <v>954</v>
      </c>
      <c r="S206" s="154" t="s">
        <v>62</v>
      </c>
      <c r="T206" s="154" t="s">
        <v>62</v>
      </c>
      <c r="U206" s="154" t="s">
        <v>62</v>
      </c>
      <c r="V206" s="154" t="s">
        <v>62</v>
      </c>
      <c r="W206" s="154" t="s">
        <v>62</v>
      </c>
      <c r="X206" s="154" t="s">
        <v>62</v>
      </c>
      <c r="Y206" s="154" t="s">
        <v>62</v>
      </c>
      <c r="Z206" s="154" t="s">
        <v>62</v>
      </c>
      <c r="AA206" s="154" t="s">
        <v>62</v>
      </c>
      <c r="AB206" s="154"/>
      <c r="AC206" s="242" t="b">
        <f t="shared" si="2"/>
        <v>1</v>
      </c>
      <c r="AD206" s="154" t="s">
        <v>68</v>
      </c>
      <c r="AE206" s="243" t="b">
        <f t="shared" si="3"/>
        <v>1</v>
      </c>
      <c r="AF206" s="154"/>
      <c r="AG206" s="243" t="b">
        <f t="shared" si="4"/>
        <v>0</v>
      </c>
      <c r="AH206" s="154" t="s">
        <v>637</v>
      </c>
      <c r="AI206" s="243" t="str">
        <f t="shared" si="5"/>
        <v>Complies</v>
      </c>
      <c r="AJ206" s="157" t="str">
        <f t="shared" si="6"/>
        <v/>
      </c>
    </row>
    <row r="207" ht="12.75" customHeight="1">
      <c r="A207" s="238" t="s">
        <v>621</v>
      </c>
      <c r="B207" s="238" t="s">
        <v>942</v>
      </c>
      <c r="C207" s="238" t="s">
        <v>955</v>
      </c>
      <c r="D207" s="240"/>
      <c r="E207" s="252" t="s">
        <v>92</v>
      </c>
      <c r="F207" s="154" t="str">
        <f t="array" ref="F207">XLOOKUP(Cover!$D$12,$S$1:$AA$1,$S207:$AA207)</f>
        <v>Heading</v>
      </c>
      <c r="G207" s="239" t="s">
        <v>956</v>
      </c>
      <c r="H207" s="240"/>
      <c r="I207" s="240" t="s">
        <v>389</v>
      </c>
      <c r="J207" s="240"/>
      <c r="K207" s="240"/>
      <c r="L207" s="154" t="str">
        <f t="shared" si="1"/>
        <v/>
      </c>
      <c r="M207" s="241" t="str">
        <f>IFERROR(__xludf.DUMMYFUNCTION("VLOOKUP(C207,IMPORTRANGE(""https://docs.google.com/spreadsheets/d/1P8eX0NWBhUPS_hvzA11R6jkTNFrPrRYIx_dX_hYbxrk/edit?resourcekey=0-iw9bsKY2OqkUHCFMkCar3A&amp;gid=2055363397#gid=2055363397"",""MTR!C:O""),11,false)"),"")</f>
        <v/>
      </c>
      <c r="N207" s="241" t="str">
        <f>IFERROR(__xludf.DUMMYFUNCTION("VLOOKUP(C207,IMPORTRANGE(""https://docs.google.com/spreadsheets/d/1ihFlp3_ePlYtFuPbUNbYj1muErVpI73WHXbEwJDIA7Q/edit#gid=1493122344"",""MTR!C:O""),8,false)"),"")</f>
        <v/>
      </c>
      <c r="O207" s="241" t="str">
        <f>IFERROR(__xludf.DUMMYFUNCTION("VLOOKUP(C207,IMPORTRANGE(""https://docs.google.com/spreadsheets/d/1P8eX0NWBhUPS_hvzA11R6jkTNFrPrRYIx_dX_hYbxrk/edit?resourcekey=0-iw9bsKY2OqkUHCFMkCar3A&amp;gid=2055363397#gid=2055363397"",""MTR!C:O""),9,false)"),"")</f>
        <v/>
      </c>
      <c r="P207" s="241"/>
      <c r="Q207" s="241"/>
      <c r="R207" s="241"/>
      <c r="S207" s="240" t="s">
        <v>390</v>
      </c>
      <c r="T207" s="240" t="s">
        <v>390</v>
      </c>
      <c r="U207" s="240" t="s">
        <v>390</v>
      </c>
      <c r="V207" s="240" t="s">
        <v>390</v>
      </c>
      <c r="W207" s="240" t="s">
        <v>390</v>
      </c>
      <c r="X207" s="240" t="s">
        <v>390</v>
      </c>
      <c r="Y207" s="240" t="s">
        <v>390</v>
      </c>
      <c r="Z207" s="240" t="s">
        <v>390</v>
      </c>
      <c r="AA207" s="240" t="s">
        <v>390</v>
      </c>
      <c r="AB207" s="240"/>
      <c r="AC207" s="242" t="b">
        <f t="shared" si="2"/>
        <v>0</v>
      </c>
      <c r="AD207" s="240" t="s">
        <v>391</v>
      </c>
      <c r="AE207" s="243" t="b">
        <f t="shared" si="3"/>
        <v>0</v>
      </c>
      <c r="AF207" s="240"/>
      <c r="AG207" s="243" t="b">
        <f t="shared" si="4"/>
        <v>0</v>
      </c>
      <c r="AH207" s="240"/>
      <c r="AI207" s="243" t="str">
        <f t="shared" si="5"/>
        <v>N/A</v>
      </c>
      <c r="AJ207" s="157" t="str">
        <f t="shared" si="6"/>
        <v/>
      </c>
    </row>
    <row r="208" ht="12.75" customHeight="1">
      <c r="A208" s="244" t="s">
        <v>621</v>
      </c>
      <c r="B208" s="244" t="s">
        <v>942</v>
      </c>
      <c r="C208" s="244" t="s">
        <v>957</v>
      </c>
      <c r="D208" s="154" t="s">
        <v>433</v>
      </c>
      <c r="E208" s="250"/>
      <c r="F208" s="154" t="str">
        <f t="array" ref="F208">XLOOKUP(Cover!$D$12,$S$1:$AA$1,$S208:$AA208)</f>
        <v>Mandatory</v>
      </c>
      <c r="G208" s="154" t="s">
        <v>958</v>
      </c>
      <c r="H208" s="154" t="s">
        <v>959</v>
      </c>
      <c r="I208" s="154" t="s">
        <v>389</v>
      </c>
      <c r="J208" s="247" t="s">
        <v>445</v>
      </c>
      <c r="K208" s="247" t="s">
        <v>960</v>
      </c>
      <c r="L208" s="154" t="str">
        <f t="shared" si="1"/>
        <v/>
      </c>
      <c r="M208" s="248" t="str">
        <f>IFERROR(__xludf.DUMMYFUNCTION("VLOOKUP(C208,IMPORTRANGE(""https://docs.google.com/spreadsheets/d/1P8eX0NWBhUPS_hvzA11R6jkTNFrPrRYIx_dX_hYbxrk/edit?resourcekey=0-iw9bsKY2OqkUHCFMkCar3A&amp;gid=2055363397#gid=2055363397"",""MTR!C:O""),11,false)"),"PMW-L1")</f>
        <v>PMW-L1</v>
      </c>
      <c r="N208" s="248" t="str">
        <f>IFERROR(__xludf.DUMMYFUNCTION("VLOOKUP(C208,IMPORTRANGE(""https://docs.google.com/spreadsheets/d/1ihFlp3_ePlYtFuPbUNbYj1muErVpI73WHXbEwJDIA7Q/edit#gid=1493122344"",""MTR!C:O""),8,false)"),"Complies")</f>
        <v>Complies</v>
      </c>
      <c r="O208" s="248" t="str">
        <f>IFERROR(__xludf.DUMMYFUNCTION("VLOOKUP(C208,IMPORTRANGE(""https://docs.google.com/spreadsheets/d/1P8eX0NWBhUPS_hvzA11R6jkTNFrPrRYIx_dX_hYbxrk/edit?resourcekey=0-iw9bsKY2OqkUHCFMkCar3A&amp;gid=2055363397#gid=2055363397"",""MTR!C:O""),9,false)"),"All LTE Bands support DL 256 QAM")</f>
        <v>All LTE Bands support DL 256 QAM</v>
      </c>
      <c r="P208" s="248"/>
      <c r="Q208" s="249" t="s">
        <v>445</v>
      </c>
      <c r="R208" s="249" t="s">
        <v>960</v>
      </c>
      <c r="S208" s="154" t="s">
        <v>66</v>
      </c>
      <c r="T208" s="154" t="s">
        <v>66</v>
      </c>
      <c r="U208" s="154" t="s">
        <v>60</v>
      </c>
      <c r="V208" s="154" t="s">
        <v>60</v>
      </c>
      <c r="W208" s="154" t="s">
        <v>60</v>
      </c>
      <c r="X208" s="154" t="s">
        <v>60</v>
      </c>
      <c r="Y208" s="154" t="s">
        <v>66</v>
      </c>
      <c r="Z208" s="154" t="s">
        <v>60</v>
      </c>
      <c r="AA208" s="154" t="s">
        <v>60</v>
      </c>
      <c r="AB208" s="154"/>
      <c r="AC208" s="242" t="b">
        <f t="shared" si="2"/>
        <v>1</v>
      </c>
      <c r="AD208" s="154" t="s">
        <v>391</v>
      </c>
      <c r="AE208" s="243" t="b">
        <f t="shared" si="3"/>
        <v>0</v>
      </c>
      <c r="AF208" s="154"/>
      <c r="AG208" s="243" t="b">
        <f t="shared" si="4"/>
        <v>0</v>
      </c>
      <c r="AH208" s="154" t="s">
        <v>637</v>
      </c>
      <c r="AI208" s="243" t="str">
        <f t="shared" si="5"/>
        <v>Complies</v>
      </c>
      <c r="AJ208" s="157" t="str">
        <f t="shared" si="6"/>
        <v/>
      </c>
    </row>
    <row r="209" ht="12.75" customHeight="1">
      <c r="A209" s="244" t="s">
        <v>621</v>
      </c>
      <c r="B209" s="244" t="s">
        <v>942</v>
      </c>
      <c r="C209" s="244" t="s">
        <v>961</v>
      </c>
      <c r="D209" s="154" t="s">
        <v>462</v>
      </c>
      <c r="E209" s="250"/>
      <c r="F209" s="154" t="str">
        <f t="array" ref="F209">XLOOKUP(Cover!$D$12,$S$1:$AA$1,$S209:$AA209)</f>
        <v>Mandatory</v>
      </c>
      <c r="G209" s="154" t="s">
        <v>962</v>
      </c>
      <c r="H209" s="154" t="s">
        <v>959</v>
      </c>
      <c r="I209" s="154" t="s">
        <v>389</v>
      </c>
      <c r="J209" s="247" t="s">
        <v>445</v>
      </c>
      <c r="K209" s="154"/>
      <c r="L209" s="154" t="str">
        <f t="shared" si="1"/>
        <v/>
      </c>
      <c r="M209" s="248" t="str">
        <f>IFERROR(__xludf.DUMMYFUNCTION("VLOOKUP(C209,IMPORTRANGE(""https://docs.google.com/spreadsheets/d/1P8eX0NWBhUPS_hvzA11R6jkTNFrPrRYIx_dX_hYbxrk/edit?resourcekey=0-iw9bsKY2OqkUHCFMkCar3A&amp;gid=2055363397#gid=2055363397"",""MTR!C:O""),11,false)"),"PMW-L1")</f>
        <v>PMW-L1</v>
      </c>
      <c r="N209" s="248" t="str">
        <f>IFERROR(__xludf.DUMMYFUNCTION("VLOOKUP(C209,IMPORTRANGE(""https://docs.google.com/spreadsheets/d/1ihFlp3_ePlYtFuPbUNbYj1muErVpI73WHXbEwJDIA7Q/edit#gid=1493122344"",""MTR!C:O""),8,false)"),"Complies")</f>
        <v>Complies</v>
      </c>
      <c r="O209" s="241" t="str">
        <f>IFERROR(__xludf.DUMMYFUNCTION("VLOOKUP(C209,IMPORTRANGE(""https://docs.google.com/spreadsheets/d/1P8eX0NWBhUPS_hvzA11R6jkTNFrPrRYIx_dX_hYbxrk/edit?resourcekey=0-iw9bsKY2OqkUHCFMkCar3A&amp;gid=2055363397#gid=2055363397"",""MTR!C:O""),9,false)"),"")</f>
        <v/>
      </c>
      <c r="P209" s="241"/>
      <c r="Q209" s="251" t="s">
        <v>445</v>
      </c>
      <c r="R209" s="241"/>
      <c r="S209" s="154" t="s">
        <v>66</v>
      </c>
      <c r="T209" s="154" t="s">
        <v>66</v>
      </c>
      <c r="U209" s="154" t="s">
        <v>60</v>
      </c>
      <c r="V209" s="154" t="s">
        <v>60</v>
      </c>
      <c r="W209" s="154" t="s">
        <v>60</v>
      </c>
      <c r="X209" s="154" t="s">
        <v>60</v>
      </c>
      <c r="Y209" s="154" t="s">
        <v>66</v>
      </c>
      <c r="Z209" s="154" t="s">
        <v>60</v>
      </c>
      <c r="AA209" s="154" t="s">
        <v>60</v>
      </c>
      <c r="AB209" s="154"/>
      <c r="AC209" s="242" t="b">
        <f t="shared" si="2"/>
        <v>1</v>
      </c>
      <c r="AD209" s="154" t="s">
        <v>391</v>
      </c>
      <c r="AE209" s="243" t="b">
        <f t="shared" si="3"/>
        <v>0</v>
      </c>
      <c r="AF209" s="154"/>
      <c r="AG209" s="243" t="b">
        <f t="shared" si="4"/>
        <v>0</v>
      </c>
      <c r="AH209" s="154"/>
      <c r="AI209" s="243" t="str">
        <f t="shared" si="5"/>
        <v>N/A</v>
      </c>
      <c r="AJ209" s="157" t="str">
        <f t="shared" si="6"/>
        <v/>
      </c>
    </row>
    <row r="210" ht="12.75" customHeight="1">
      <c r="A210" s="244" t="s">
        <v>621</v>
      </c>
      <c r="B210" s="244" t="s">
        <v>942</v>
      </c>
      <c r="C210" s="244" t="s">
        <v>963</v>
      </c>
      <c r="D210" s="154" t="s">
        <v>433</v>
      </c>
      <c r="E210" s="250"/>
      <c r="F210" s="154" t="str">
        <f t="array" ref="F210">XLOOKUP(Cover!$D$12,$S$1:$AA$1,$S210:$AA210)</f>
        <v>Mandatory</v>
      </c>
      <c r="G210" s="154" t="s">
        <v>964</v>
      </c>
      <c r="H210" s="154" t="s">
        <v>647</v>
      </c>
      <c r="I210" s="154" t="s">
        <v>389</v>
      </c>
      <c r="J210" s="247" t="s">
        <v>445</v>
      </c>
      <c r="K210" s="247" t="s">
        <v>965</v>
      </c>
      <c r="L210" s="154" t="str">
        <f t="shared" si="1"/>
        <v/>
      </c>
      <c r="M210" s="248" t="str">
        <f>IFERROR(__xludf.DUMMYFUNCTION("VLOOKUP(C210,IMPORTRANGE(""https://docs.google.com/spreadsheets/d/1P8eX0NWBhUPS_hvzA11R6jkTNFrPrRYIx_dX_hYbxrk/edit?resourcekey=0-iw9bsKY2OqkUHCFMkCar3A&amp;gid=2055363397#gid=2055363397"",""MTR!C:O""),11,false)"),"PMW-L1")</f>
        <v>PMW-L1</v>
      </c>
      <c r="N210" s="248" t="str">
        <f>IFERROR(__xludf.DUMMYFUNCTION("VLOOKUP(C210,IMPORTRANGE(""https://docs.google.com/spreadsheets/d/1ihFlp3_ePlYtFuPbUNbYj1muErVpI73WHXbEwJDIA7Q/edit#gid=1493122344"",""MTR!C:O""),8,false)"),"Complies")</f>
        <v>Complies</v>
      </c>
      <c r="O210" s="248" t="str">
        <f>IFERROR(__xludf.DUMMYFUNCTION("VLOOKUP(C210,IMPORTRANGE(""https://docs.google.com/spreadsheets/d/1P8eX0NWBhUPS_hvzA11R6jkTNFrPrRYIx_dX_hYbxrk/edit?resourcekey=0-iw9bsKY2OqkUHCFMkCar3A&amp;gid=2055363397#gid=2055363397"",""MTR!C:O""),9,false)"),"All LTE Bands support UL 64 QAM")</f>
        <v>All LTE Bands support UL 64 QAM</v>
      </c>
      <c r="P210" s="248"/>
      <c r="Q210" s="249" t="s">
        <v>445</v>
      </c>
      <c r="R210" s="249" t="s">
        <v>965</v>
      </c>
      <c r="S210" s="154" t="s">
        <v>66</v>
      </c>
      <c r="T210" s="154" t="s">
        <v>66</v>
      </c>
      <c r="U210" s="154" t="s">
        <v>60</v>
      </c>
      <c r="V210" s="154" t="s">
        <v>60</v>
      </c>
      <c r="W210" s="154" t="s">
        <v>60</v>
      </c>
      <c r="X210" s="154" t="s">
        <v>60</v>
      </c>
      <c r="Y210" s="154" t="s">
        <v>66</v>
      </c>
      <c r="Z210" s="154" t="s">
        <v>60</v>
      </c>
      <c r="AA210" s="154" t="s">
        <v>60</v>
      </c>
      <c r="AB210" s="154"/>
      <c r="AC210" s="242" t="b">
        <f t="shared" si="2"/>
        <v>1</v>
      </c>
      <c r="AD210" s="154" t="s">
        <v>391</v>
      </c>
      <c r="AE210" s="243" t="b">
        <f t="shared" si="3"/>
        <v>0</v>
      </c>
      <c r="AF210" s="154"/>
      <c r="AG210" s="243" t="b">
        <f t="shared" si="4"/>
        <v>0</v>
      </c>
      <c r="AH210" s="154" t="s">
        <v>637</v>
      </c>
      <c r="AI210" s="243" t="str">
        <f t="shared" si="5"/>
        <v>Complies</v>
      </c>
      <c r="AJ210" s="157" t="str">
        <f t="shared" si="6"/>
        <v/>
      </c>
    </row>
    <row r="211" ht="12.75" customHeight="1">
      <c r="A211" s="244" t="s">
        <v>621</v>
      </c>
      <c r="B211" s="244" t="s">
        <v>942</v>
      </c>
      <c r="C211" s="244" t="s">
        <v>966</v>
      </c>
      <c r="D211" s="154" t="s">
        <v>967</v>
      </c>
      <c r="E211" s="250"/>
      <c r="F211" s="154" t="str">
        <f t="array" ref="F211">XLOOKUP(Cover!$D$12,$S$1:$AA$1,$S211:$AA211)</f>
        <v>Mandatory</v>
      </c>
      <c r="G211" s="154" t="s">
        <v>968</v>
      </c>
      <c r="H211" s="154" t="s">
        <v>959</v>
      </c>
      <c r="I211" s="154" t="s">
        <v>389</v>
      </c>
      <c r="J211" s="247" t="s">
        <v>445</v>
      </c>
      <c r="K211" s="247" t="s">
        <v>969</v>
      </c>
      <c r="L211" s="154" t="str">
        <f t="shared" si="1"/>
        <v/>
      </c>
      <c r="M211" s="248" t="str">
        <f>IFERROR(__xludf.DUMMYFUNCTION("VLOOKUP(C211,IMPORTRANGE(""https://docs.google.com/spreadsheets/d/1P8eX0NWBhUPS_hvzA11R6jkTNFrPrRYIx_dX_hYbxrk/edit?resourcekey=0-iw9bsKY2OqkUHCFMkCar3A&amp;gid=2055363397#gid=2055363397"",""MTR!C:O""),11,false)"),"PMW-L1")</f>
        <v>PMW-L1</v>
      </c>
      <c r="N211" s="248" t="str">
        <f>IFERROR(__xludf.DUMMYFUNCTION("VLOOKUP(C211,IMPORTRANGE(""https://docs.google.com/spreadsheets/d/1ihFlp3_ePlYtFuPbUNbYj1muErVpI73WHXbEwJDIA7Q/edit#gid=1493122344"",""MTR!C:O""),8,false)"),"Complies")</f>
        <v>Complies</v>
      </c>
      <c r="O211" s="248" t="str">
        <f>IFERROR(__xludf.DUMMYFUNCTION("VLOOKUP(C211,IMPORTRANGE(""https://docs.google.com/spreadsheets/d/1P8eX0NWBhUPS_hvzA11R6jkTNFrPrRYIx_dX_hYbxrk/edit?resourcekey=0-iw9bsKY2OqkUHCFMkCar3A&amp;gid=2055363397#gid=2055363397"",""MTR!C:O""),9,false)"),"Baseband features, supported for all bands.")</f>
        <v>Baseband features, supported for all bands.</v>
      </c>
      <c r="P211" s="248"/>
      <c r="Q211" s="249" t="s">
        <v>445</v>
      </c>
      <c r="R211" s="249" t="s">
        <v>969</v>
      </c>
      <c r="S211" s="154" t="s">
        <v>66</v>
      </c>
      <c r="T211" s="154" t="s">
        <v>66</v>
      </c>
      <c r="U211" s="154" t="s">
        <v>60</v>
      </c>
      <c r="V211" s="154" t="s">
        <v>60</v>
      </c>
      <c r="W211" s="154" t="s">
        <v>60</v>
      </c>
      <c r="X211" s="154" t="s">
        <v>60</v>
      </c>
      <c r="Y211" s="154" t="s">
        <v>66</v>
      </c>
      <c r="Z211" s="154" t="s">
        <v>60</v>
      </c>
      <c r="AA211" s="154" t="s">
        <v>60</v>
      </c>
      <c r="AB211" s="154"/>
      <c r="AC211" s="242" t="b">
        <f t="shared" si="2"/>
        <v>1</v>
      </c>
      <c r="AD211" s="154" t="s">
        <v>391</v>
      </c>
      <c r="AE211" s="243" t="b">
        <f t="shared" si="3"/>
        <v>0</v>
      </c>
      <c r="AF211" s="154"/>
      <c r="AG211" s="243" t="b">
        <f t="shared" si="4"/>
        <v>0</v>
      </c>
      <c r="AH211" s="154" t="s">
        <v>637</v>
      </c>
      <c r="AI211" s="243" t="str">
        <f t="shared" si="5"/>
        <v>Complies</v>
      </c>
      <c r="AJ211" s="157" t="str">
        <f t="shared" si="6"/>
        <v/>
      </c>
    </row>
    <row r="212" ht="12.75" customHeight="1">
      <c r="A212" s="244" t="s">
        <v>621</v>
      </c>
      <c r="B212" s="244" t="s">
        <v>942</v>
      </c>
      <c r="C212" s="244" t="s">
        <v>970</v>
      </c>
      <c r="D212" s="154" t="s">
        <v>602</v>
      </c>
      <c r="E212" s="250"/>
      <c r="F212" s="154" t="str">
        <f t="array" ref="F212">XLOOKUP(Cover!$D$12,$S$1:$AA$1,$S212:$AA212)</f>
        <v>Information</v>
      </c>
      <c r="G212" s="154" t="s">
        <v>971</v>
      </c>
      <c r="H212" s="154"/>
      <c r="I212" s="154" t="s">
        <v>389</v>
      </c>
      <c r="J212" s="247" t="s">
        <v>516</v>
      </c>
      <c r="K212" s="154"/>
      <c r="L212" s="154" t="str">
        <f t="shared" si="1"/>
        <v/>
      </c>
      <c r="M212" s="248" t="str">
        <f>IFERROR(__xludf.DUMMYFUNCTION("VLOOKUP(C212,IMPORTRANGE(""https://docs.google.com/spreadsheets/d/1P8eX0NWBhUPS_hvzA11R6jkTNFrPrRYIx_dX_hYbxrk/edit?resourcekey=0-iw9bsKY2OqkUHCFMkCar3A&amp;gid=2055363397#gid=2055363397"",""MTR!C:O""),11,false)"),"PMW-L1")</f>
        <v>PMW-L1</v>
      </c>
      <c r="N212" s="248" t="str">
        <f>IFERROR(__xludf.DUMMYFUNCTION("VLOOKUP(C212,IMPORTRANGE(""https://docs.google.com/spreadsheets/d/1ihFlp3_ePlYtFuPbUNbYj1muErVpI73WHXbEwJDIA7Q/edit#gid=1493122344"",""MTR!C:O""),8,false)"),"Does Not Comply")</f>
        <v>Does Not Comply</v>
      </c>
      <c r="O212" s="241" t="str">
        <f>IFERROR(__xludf.DUMMYFUNCTION("VLOOKUP(C212,IMPORTRANGE(""https://docs.google.com/spreadsheets/d/1P8eX0NWBhUPS_hvzA11R6jkTNFrPrRYIx_dX_hYbxrk/edit?resourcekey=0-iw9bsKY2OqkUHCFMkCar3A&amp;gid=2055363397#gid=2055363397"",""MTR!C:O""),9,false)"),"")</f>
        <v/>
      </c>
      <c r="P212" s="241"/>
      <c r="Q212" s="251" t="s">
        <v>516</v>
      </c>
      <c r="R212" s="241"/>
      <c r="S212" s="154" t="s">
        <v>66</v>
      </c>
      <c r="T212" s="154" t="s">
        <v>66</v>
      </c>
      <c r="U212" s="154" t="s">
        <v>66</v>
      </c>
      <c r="V212" s="154" t="s">
        <v>66</v>
      </c>
      <c r="W212" s="154" t="s">
        <v>66</v>
      </c>
      <c r="X212" s="154" t="s">
        <v>66</v>
      </c>
      <c r="Y212" s="154" t="s">
        <v>66</v>
      </c>
      <c r="Z212" s="154" t="s">
        <v>66</v>
      </c>
      <c r="AA212" s="154" t="s">
        <v>66</v>
      </c>
      <c r="AB212" s="154"/>
      <c r="AC212" s="242" t="b">
        <f t="shared" si="2"/>
        <v>1</v>
      </c>
      <c r="AD212" s="154" t="s">
        <v>391</v>
      </c>
      <c r="AE212" s="243" t="b">
        <f t="shared" si="3"/>
        <v>0</v>
      </c>
      <c r="AF212" s="154"/>
      <c r="AG212" s="243" t="b">
        <f t="shared" si="4"/>
        <v>0</v>
      </c>
      <c r="AH212" s="154" t="s">
        <v>637</v>
      </c>
      <c r="AI212" s="243" t="str">
        <f t="shared" si="5"/>
        <v>Complies</v>
      </c>
      <c r="AJ212" s="157" t="str">
        <f t="shared" si="6"/>
        <v/>
      </c>
    </row>
    <row r="213" ht="12.75" customHeight="1">
      <c r="A213" s="244" t="s">
        <v>621</v>
      </c>
      <c r="B213" s="244" t="s">
        <v>942</v>
      </c>
      <c r="C213" s="244" t="s">
        <v>972</v>
      </c>
      <c r="D213" s="154" t="s">
        <v>602</v>
      </c>
      <c r="E213" s="250"/>
      <c r="F213" s="154" t="str">
        <f t="array" ref="F213">XLOOKUP(Cover!$D$12,$S$1:$AA$1,$S213:$AA213)</f>
        <v>Information</v>
      </c>
      <c r="G213" s="154" t="s">
        <v>973</v>
      </c>
      <c r="H213" s="154"/>
      <c r="I213" s="154" t="s">
        <v>389</v>
      </c>
      <c r="J213" s="247" t="s">
        <v>516</v>
      </c>
      <c r="K213" s="154"/>
      <c r="L213" s="154" t="str">
        <f t="shared" si="1"/>
        <v/>
      </c>
      <c r="M213" s="248" t="str">
        <f>IFERROR(__xludf.DUMMYFUNCTION("VLOOKUP(C213,IMPORTRANGE(""https://docs.google.com/spreadsheets/d/1P8eX0NWBhUPS_hvzA11R6jkTNFrPrRYIx_dX_hYbxrk/edit?resourcekey=0-iw9bsKY2OqkUHCFMkCar3A&amp;gid=2055363397#gid=2055363397"",""MTR!C:O""),11,false)"),"PMW-L1")</f>
        <v>PMW-L1</v>
      </c>
      <c r="N213" s="248" t="str">
        <f>IFERROR(__xludf.DUMMYFUNCTION("VLOOKUP(C213,IMPORTRANGE(""https://docs.google.com/spreadsheets/d/1ihFlp3_ePlYtFuPbUNbYj1muErVpI73WHXbEwJDIA7Q/edit#gid=1493122344"",""MTR!C:O""),8,false)"),"Does Not Comply")</f>
        <v>Does Not Comply</v>
      </c>
      <c r="O213" s="241" t="str">
        <f>IFERROR(__xludf.DUMMYFUNCTION("VLOOKUP(C213,IMPORTRANGE(""https://docs.google.com/spreadsheets/d/1P8eX0NWBhUPS_hvzA11R6jkTNFrPrRYIx_dX_hYbxrk/edit?resourcekey=0-iw9bsKY2OqkUHCFMkCar3A&amp;gid=2055363397#gid=2055363397"",""MTR!C:O""),9,false)"),"")</f>
        <v/>
      </c>
      <c r="P213" s="241"/>
      <c r="Q213" s="251" t="s">
        <v>516</v>
      </c>
      <c r="R213" s="241"/>
      <c r="S213" s="154" t="s">
        <v>66</v>
      </c>
      <c r="T213" s="154" t="s">
        <v>66</v>
      </c>
      <c r="U213" s="154" t="s">
        <v>66</v>
      </c>
      <c r="V213" s="154" t="s">
        <v>66</v>
      </c>
      <c r="W213" s="154" t="s">
        <v>66</v>
      </c>
      <c r="X213" s="154" t="s">
        <v>66</v>
      </c>
      <c r="Y213" s="154" t="s">
        <v>66</v>
      </c>
      <c r="Z213" s="154" t="s">
        <v>66</v>
      </c>
      <c r="AA213" s="154" t="s">
        <v>66</v>
      </c>
      <c r="AB213" s="154"/>
      <c r="AC213" s="242" t="b">
        <f t="shared" si="2"/>
        <v>1</v>
      </c>
      <c r="AD213" s="154" t="s">
        <v>391</v>
      </c>
      <c r="AE213" s="243" t="b">
        <f t="shared" si="3"/>
        <v>0</v>
      </c>
      <c r="AF213" s="154"/>
      <c r="AG213" s="243" t="b">
        <f t="shared" si="4"/>
        <v>0</v>
      </c>
      <c r="AH213" s="154"/>
      <c r="AI213" s="243" t="str">
        <f t="shared" si="5"/>
        <v>N/A</v>
      </c>
      <c r="AJ213" s="157" t="str">
        <f t="shared" si="6"/>
        <v/>
      </c>
    </row>
    <row r="214" ht="12.75" customHeight="1">
      <c r="A214" s="238" t="s">
        <v>621</v>
      </c>
      <c r="B214" s="238" t="s">
        <v>942</v>
      </c>
      <c r="C214" s="238" t="s">
        <v>974</v>
      </c>
      <c r="D214" s="240"/>
      <c r="E214" s="252" t="s">
        <v>92</v>
      </c>
      <c r="F214" s="154" t="str">
        <f t="array" ref="F214">XLOOKUP(Cover!$D$12,$S$1:$AA$1,$S214:$AA214)</f>
        <v>Heading</v>
      </c>
      <c r="G214" s="239" t="s">
        <v>975</v>
      </c>
      <c r="H214" s="240"/>
      <c r="I214" s="240" t="s">
        <v>759</v>
      </c>
      <c r="J214" s="240"/>
      <c r="K214" s="240"/>
      <c r="L214" s="154" t="str">
        <f t="shared" si="1"/>
        <v/>
      </c>
      <c r="M214" s="241" t="str">
        <f>IFERROR(__xludf.DUMMYFUNCTION("VLOOKUP(C214,IMPORTRANGE(""https://docs.google.com/spreadsheets/d/1P8eX0NWBhUPS_hvzA11R6jkTNFrPrRYIx_dX_hYbxrk/edit?resourcekey=0-iw9bsKY2OqkUHCFMkCar3A&amp;gid=2055363397#gid=2055363397"",""MTR!C:O""),11,false)"),"")</f>
        <v/>
      </c>
      <c r="N214" s="241" t="str">
        <f>IFERROR(__xludf.DUMMYFUNCTION("VLOOKUP(C214,IMPORTRANGE(""https://docs.google.com/spreadsheets/d/1ihFlp3_ePlYtFuPbUNbYj1muErVpI73WHXbEwJDIA7Q/edit#gid=1493122344"",""MTR!C:O""),8,false)"),"")</f>
        <v/>
      </c>
      <c r="O214" s="241" t="str">
        <f>IFERROR(__xludf.DUMMYFUNCTION("VLOOKUP(C214,IMPORTRANGE(""https://docs.google.com/spreadsheets/d/1P8eX0NWBhUPS_hvzA11R6jkTNFrPrRYIx_dX_hYbxrk/edit?resourcekey=0-iw9bsKY2OqkUHCFMkCar3A&amp;gid=2055363397#gid=2055363397"",""MTR!C:O""),9,false)"),"")</f>
        <v/>
      </c>
      <c r="P214" s="241"/>
      <c r="Q214" s="241"/>
      <c r="R214" s="241"/>
      <c r="S214" s="240" t="s">
        <v>390</v>
      </c>
      <c r="T214" s="240" t="s">
        <v>390</v>
      </c>
      <c r="U214" s="240" t="s">
        <v>390</v>
      </c>
      <c r="V214" s="240" t="s">
        <v>390</v>
      </c>
      <c r="W214" s="240" t="s">
        <v>390</v>
      </c>
      <c r="X214" s="240" t="s">
        <v>390</v>
      </c>
      <c r="Y214" s="240" t="s">
        <v>390</v>
      </c>
      <c r="Z214" s="240" t="s">
        <v>390</v>
      </c>
      <c r="AA214" s="240" t="s">
        <v>390</v>
      </c>
      <c r="AB214" s="240"/>
      <c r="AC214" s="242" t="b">
        <f t="shared" si="2"/>
        <v>0</v>
      </c>
      <c r="AD214" s="240" t="s">
        <v>391</v>
      </c>
      <c r="AE214" s="243" t="b">
        <f t="shared" si="3"/>
        <v>0</v>
      </c>
      <c r="AF214" s="240"/>
      <c r="AG214" s="243" t="b">
        <f t="shared" si="4"/>
        <v>0</v>
      </c>
      <c r="AH214" s="240"/>
      <c r="AI214" s="243" t="str">
        <f t="shared" si="5"/>
        <v>N/A</v>
      </c>
      <c r="AJ214" s="157" t="str">
        <f t="shared" si="6"/>
        <v/>
      </c>
    </row>
    <row r="215" ht="12.75" customHeight="1">
      <c r="A215" s="244" t="s">
        <v>621</v>
      </c>
      <c r="B215" s="244" t="s">
        <v>942</v>
      </c>
      <c r="C215" s="244" t="s">
        <v>976</v>
      </c>
      <c r="D215" s="154" t="s">
        <v>433</v>
      </c>
      <c r="E215" s="250"/>
      <c r="F215" s="154" t="str">
        <f t="array" ref="F215">XLOOKUP(Cover!$D$12,$S$1:$AA$1,$S215:$AA215)</f>
        <v>Mandatory</v>
      </c>
      <c r="G215" s="154" t="s">
        <v>977</v>
      </c>
      <c r="H215" s="154" t="s">
        <v>651</v>
      </c>
      <c r="I215" s="154" t="s">
        <v>759</v>
      </c>
      <c r="J215" s="247" t="s">
        <v>445</v>
      </c>
      <c r="K215" s="247" t="s">
        <v>978</v>
      </c>
      <c r="L215" s="154" t="str">
        <f t="shared" si="1"/>
        <v/>
      </c>
      <c r="M215" s="248" t="str">
        <f>IFERROR(__xludf.DUMMYFUNCTION("VLOOKUP(C215,IMPORTRANGE(""https://docs.google.com/spreadsheets/d/1P8eX0NWBhUPS_hvzA11R6jkTNFrPrRYIx_dX_hYbxrk/edit?resourcekey=0-iw9bsKY2OqkUHCFMkCar3A&amp;gid=2055363397#gid=2055363397"",""MTR!C:O""),11,false)"),"PMW-L1")</f>
        <v>PMW-L1</v>
      </c>
      <c r="N215" s="248" t="str">
        <f>IFERROR(__xludf.DUMMYFUNCTION("VLOOKUP(C215,IMPORTRANGE(""https://docs.google.com/spreadsheets/d/1ihFlp3_ePlYtFuPbUNbYj1muErVpI73WHXbEwJDIA7Q/edit#gid=1493122344"",""MTR!C:O""),8,false)"),"Complies")</f>
        <v>Complies</v>
      </c>
      <c r="O215" s="248" t="str">
        <f>IFERROR(__xludf.DUMMYFUNCTION("VLOOKUP(C215,IMPORTRANGE(""https://docs.google.com/spreadsheets/d/1P8eX0NWBhUPS_hvzA11R6jkTNFrPrRYIx_dX_hYbxrk/edit?resourcekey=0-iw9bsKY2OqkUHCFMkCar3A&amp;gid=2055363397#gid=2055363397"",""MTR!C:O""),9,false)"),"MIMO 4x4 DL supported for following bands, B1/2/3/4/7/25/30/38/40/41/42/48/66")</f>
        <v>MIMO 4x4 DL supported for following bands, B1/2/3/4/7/25/30/38/40/41/42/48/66</v>
      </c>
      <c r="P215" s="248"/>
      <c r="Q215" s="249" t="s">
        <v>445</v>
      </c>
      <c r="R215" s="249" t="s">
        <v>978</v>
      </c>
      <c r="S215" s="154" t="s">
        <v>66</v>
      </c>
      <c r="T215" s="154" t="s">
        <v>66</v>
      </c>
      <c r="U215" s="154" t="s">
        <v>60</v>
      </c>
      <c r="V215" s="154" t="s">
        <v>60</v>
      </c>
      <c r="W215" s="154" t="s">
        <v>60</v>
      </c>
      <c r="X215" s="154" t="s">
        <v>60</v>
      </c>
      <c r="Y215" s="154" t="s">
        <v>66</v>
      </c>
      <c r="Z215" s="154" t="s">
        <v>60</v>
      </c>
      <c r="AA215" s="154" t="s">
        <v>60</v>
      </c>
      <c r="AB215" s="154"/>
      <c r="AC215" s="242" t="b">
        <f t="shared" si="2"/>
        <v>1</v>
      </c>
      <c r="AD215" s="154" t="s">
        <v>391</v>
      </c>
      <c r="AE215" s="243" t="b">
        <f t="shared" si="3"/>
        <v>0</v>
      </c>
      <c r="AF215" s="154"/>
      <c r="AG215" s="243" t="b">
        <f t="shared" si="4"/>
        <v>0</v>
      </c>
      <c r="AH215" s="154"/>
      <c r="AI215" s="243" t="str">
        <f t="shared" si="5"/>
        <v>N/A</v>
      </c>
      <c r="AJ215" s="157" t="str">
        <f t="shared" si="6"/>
        <v/>
      </c>
    </row>
    <row r="216" ht="12.75" customHeight="1">
      <c r="A216" s="244" t="s">
        <v>621</v>
      </c>
      <c r="B216" s="244" t="s">
        <v>942</v>
      </c>
      <c r="C216" s="244" t="s">
        <v>979</v>
      </c>
      <c r="D216" s="244" t="s">
        <v>649</v>
      </c>
      <c r="E216" s="244"/>
      <c r="F216" s="154" t="str">
        <f t="array" ref="F216">XLOOKUP(Cover!$D$12,$S$1:$AA$1,$S216:$AA216)</f>
        <v>Recommended</v>
      </c>
      <c r="G216" s="154" t="s">
        <v>980</v>
      </c>
      <c r="H216" s="154"/>
      <c r="I216" s="154" t="s">
        <v>759</v>
      </c>
      <c r="J216" s="247" t="s">
        <v>445</v>
      </c>
      <c r="K216" s="247" t="s">
        <v>981</v>
      </c>
      <c r="L216" s="154" t="str">
        <f t="shared" si="1"/>
        <v/>
      </c>
      <c r="M216" s="248" t="str">
        <f>IFERROR(__xludf.DUMMYFUNCTION("VLOOKUP(C216,IMPORTRANGE(""https://docs.google.com/spreadsheets/d/1P8eX0NWBhUPS_hvzA11R6jkTNFrPrRYIx_dX_hYbxrk/edit?resourcekey=0-iw9bsKY2OqkUHCFMkCar3A&amp;gid=2055363397#gid=2055363397"",""MTR!C:O""),11,false)"),"PMW-L1")</f>
        <v>PMW-L1</v>
      </c>
      <c r="N216" s="248" t="str">
        <f>IFERROR(__xludf.DUMMYFUNCTION("VLOOKUP(C216,IMPORTRANGE(""https://docs.google.com/spreadsheets/d/1ihFlp3_ePlYtFuPbUNbYj1muErVpI73WHXbEwJDIA7Q/edit#gid=1493122344"",""MTR!C:O""),8,false)"),"Complies")</f>
        <v>Complies</v>
      </c>
      <c r="O216" s="248" t="str">
        <f>IFERROR(__xludf.DUMMYFUNCTION("VLOOKUP(C216,IMPORTRANGE(""https://docs.google.com/spreadsheets/d/1P8eX0NWBhUPS_hvzA11R6jkTNFrPrRYIx_dX_hYbxrk/edit?resourcekey=0-iw9bsKY2OqkUHCFMkCar3A&amp;gid=2055363397#gid=2055363397"",""MTR!C:O""),9,false)"),"Rel 10 TM9 with 8 CSI ports supported with maximum 4 layers")</f>
        <v>Rel 10 TM9 with 8 CSI ports supported with maximum 4 layers</v>
      </c>
      <c r="P216" s="248"/>
      <c r="Q216" s="249" t="s">
        <v>445</v>
      </c>
      <c r="R216" s="249" t="s">
        <v>981</v>
      </c>
      <c r="S216" s="154" t="s">
        <v>66</v>
      </c>
      <c r="T216" s="154" t="s">
        <v>66</v>
      </c>
      <c r="U216" s="154" t="s">
        <v>64</v>
      </c>
      <c r="V216" s="154" t="s">
        <v>64</v>
      </c>
      <c r="W216" s="154" t="s">
        <v>64</v>
      </c>
      <c r="X216" s="154" t="s">
        <v>64</v>
      </c>
      <c r="Y216" s="154" t="s">
        <v>66</v>
      </c>
      <c r="Z216" s="154" t="s">
        <v>64</v>
      </c>
      <c r="AA216" s="154" t="s">
        <v>64</v>
      </c>
      <c r="AB216" s="154"/>
      <c r="AC216" s="242" t="b">
        <f t="shared" si="2"/>
        <v>1</v>
      </c>
      <c r="AD216" s="154" t="s">
        <v>391</v>
      </c>
      <c r="AE216" s="243" t="b">
        <f t="shared" si="3"/>
        <v>0</v>
      </c>
      <c r="AF216" s="154"/>
      <c r="AG216" s="243" t="b">
        <f t="shared" si="4"/>
        <v>0</v>
      </c>
      <c r="AH216" s="154"/>
      <c r="AI216" s="243" t="str">
        <f t="shared" si="5"/>
        <v>N/A</v>
      </c>
      <c r="AJ216" s="157" t="str">
        <f t="shared" si="6"/>
        <v/>
      </c>
    </row>
    <row r="217" ht="12.75" customHeight="1">
      <c r="A217" s="238" t="s">
        <v>621</v>
      </c>
      <c r="B217" s="238" t="s">
        <v>942</v>
      </c>
      <c r="C217" s="238" t="s">
        <v>982</v>
      </c>
      <c r="D217" s="240"/>
      <c r="E217" s="252" t="s">
        <v>92</v>
      </c>
      <c r="F217" s="154" t="str">
        <f t="array" ref="F217">XLOOKUP(Cover!$D$12,$S$1:$AA$1,$S217:$AA217)</f>
        <v>Heading</v>
      </c>
      <c r="G217" s="239" t="s">
        <v>983</v>
      </c>
      <c r="H217" s="240"/>
      <c r="I217" s="240" t="s">
        <v>759</v>
      </c>
      <c r="J217" s="240"/>
      <c r="K217" s="240"/>
      <c r="L217" s="154" t="str">
        <f t="shared" si="1"/>
        <v/>
      </c>
      <c r="M217" s="241" t="str">
        <f>IFERROR(__xludf.DUMMYFUNCTION("VLOOKUP(C217,IMPORTRANGE(""https://docs.google.com/spreadsheets/d/1P8eX0NWBhUPS_hvzA11R6jkTNFrPrRYIx_dX_hYbxrk/edit?resourcekey=0-iw9bsKY2OqkUHCFMkCar3A&amp;gid=2055363397#gid=2055363397"",""MTR!C:O""),11,false)"),"")</f>
        <v/>
      </c>
      <c r="N217" s="241" t="str">
        <f>IFERROR(__xludf.DUMMYFUNCTION("VLOOKUP(C217,IMPORTRANGE(""https://docs.google.com/spreadsheets/d/1ihFlp3_ePlYtFuPbUNbYj1muErVpI73WHXbEwJDIA7Q/edit#gid=1493122344"",""MTR!C:O""),8,false)"),"")</f>
        <v/>
      </c>
      <c r="O217" s="241" t="str">
        <f>IFERROR(__xludf.DUMMYFUNCTION("VLOOKUP(C217,IMPORTRANGE(""https://docs.google.com/spreadsheets/d/1P8eX0NWBhUPS_hvzA11R6jkTNFrPrRYIx_dX_hYbxrk/edit?resourcekey=0-iw9bsKY2OqkUHCFMkCar3A&amp;gid=2055363397#gid=2055363397"",""MTR!C:O""),9,false)"),"")</f>
        <v/>
      </c>
      <c r="P217" s="241"/>
      <c r="Q217" s="241"/>
      <c r="R217" s="241"/>
      <c r="S217" s="240" t="s">
        <v>390</v>
      </c>
      <c r="T217" s="240" t="s">
        <v>390</v>
      </c>
      <c r="U217" s="240" t="s">
        <v>390</v>
      </c>
      <c r="V217" s="240" t="s">
        <v>390</v>
      </c>
      <c r="W217" s="240" t="s">
        <v>390</v>
      </c>
      <c r="X217" s="240" t="s">
        <v>390</v>
      </c>
      <c r="Y217" s="240" t="s">
        <v>390</v>
      </c>
      <c r="Z217" s="240" t="s">
        <v>390</v>
      </c>
      <c r="AA217" s="240" t="s">
        <v>390</v>
      </c>
      <c r="AB217" s="240"/>
      <c r="AC217" s="242" t="b">
        <f t="shared" si="2"/>
        <v>0</v>
      </c>
      <c r="AD217" s="240" t="s">
        <v>391</v>
      </c>
      <c r="AE217" s="243" t="b">
        <f t="shared" si="3"/>
        <v>0</v>
      </c>
      <c r="AF217" s="240"/>
      <c r="AG217" s="243" t="b">
        <f t="shared" si="4"/>
        <v>0</v>
      </c>
      <c r="AH217" s="240"/>
      <c r="AI217" s="243" t="str">
        <f t="shared" si="5"/>
        <v>N/A</v>
      </c>
      <c r="AJ217" s="157" t="str">
        <f t="shared" si="6"/>
        <v/>
      </c>
    </row>
    <row r="218" ht="12.75" customHeight="1">
      <c r="A218" s="244" t="s">
        <v>621</v>
      </c>
      <c r="B218" s="244" t="s">
        <v>942</v>
      </c>
      <c r="C218" s="244" t="s">
        <v>984</v>
      </c>
      <c r="D218" s="154" t="s">
        <v>581</v>
      </c>
      <c r="E218" s="250"/>
      <c r="F218" s="154" t="str">
        <f t="array" ref="F218">XLOOKUP(Cover!$D$12,$S$1:$AA$1,$S218:$AA218)</f>
        <v>Mandatory</v>
      </c>
      <c r="G218" s="153" t="s">
        <v>985</v>
      </c>
      <c r="H218" s="154" t="s">
        <v>959</v>
      </c>
      <c r="I218" s="154" t="s">
        <v>759</v>
      </c>
      <c r="J218" s="247" t="s">
        <v>445</v>
      </c>
      <c r="K218" s="154"/>
      <c r="L218" s="154" t="str">
        <f t="shared" si="1"/>
        <v/>
      </c>
      <c r="M218" s="248" t="str">
        <f>IFERROR(__xludf.DUMMYFUNCTION("VLOOKUP(C218,IMPORTRANGE(""https://docs.google.com/spreadsheets/d/1P8eX0NWBhUPS_hvzA11R6jkTNFrPrRYIx_dX_hYbxrk/edit?resourcekey=0-iw9bsKY2OqkUHCFMkCar3A&amp;gid=2055363397#gid=2055363397"",""MTR!C:O""),11,false)"),"PMW-L1")</f>
        <v>PMW-L1</v>
      </c>
      <c r="N218" s="248" t="str">
        <f>IFERROR(__xludf.DUMMYFUNCTION("VLOOKUP(C218,IMPORTRANGE(""https://docs.google.com/spreadsheets/d/1ihFlp3_ePlYtFuPbUNbYj1muErVpI73WHXbEwJDIA7Q/edit#gid=1493122344"",""MTR!C:O""),8,false)"),"Complies")</f>
        <v>Complies</v>
      </c>
      <c r="O218" s="241" t="str">
        <f>IFERROR(__xludf.DUMMYFUNCTION("VLOOKUP(C218,IMPORTRANGE(""https://docs.google.com/spreadsheets/d/1P8eX0NWBhUPS_hvzA11R6jkTNFrPrRYIx_dX_hYbxrk/edit?resourcekey=0-iw9bsKY2OqkUHCFMkCar3A&amp;gid=2055363397#gid=2055363397"",""MTR!C:O""),9,false)"),"")</f>
        <v/>
      </c>
      <c r="P218" s="241"/>
      <c r="Q218" s="251" t="s">
        <v>445</v>
      </c>
      <c r="R218" s="241"/>
      <c r="S218" s="154" t="s">
        <v>66</v>
      </c>
      <c r="T218" s="154" t="s">
        <v>66</v>
      </c>
      <c r="U218" s="154" t="s">
        <v>60</v>
      </c>
      <c r="V218" s="154" t="s">
        <v>60</v>
      </c>
      <c r="W218" s="154" t="s">
        <v>60</v>
      </c>
      <c r="X218" s="154" t="s">
        <v>60</v>
      </c>
      <c r="Y218" s="154" t="s">
        <v>66</v>
      </c>
      <c r="Z218" s="154" t="s">
        <v>60</v>
      </c>
      <c r="AA218" s="154" t="s">
        <v>60</v>
      </c>
      <c r="AB218" s="154"/>
      <c r="AC218" s="242" t="b">
        <f t="shared" si="2"/>
        <v>1</v>
      </c>
      <c r="AD218" s="154" t="s">
        <v>391</v>
      </c>
      <c r="AE218" s="243" t="b">
        <f t="shared" si="3"/>
        <v>0</v>
      </c>
      <c r="AF218" s="154"/>
      <c r="AG218" s="243" t="b">
        <f t="shared" si="4"/>
        <v>0</v>
      </c>
      <c r="AH218" s="154" t="s">
        <v>675</v>
      </c>
      <c r="AI218" s="243" t="str">
        <f t="shared" si="5"/>
        <v>Complies</v>
      </c>
      <c r="AJ218" s="157" t="str">
        <f t="shared" si="6"/>
        <v/>
      </c>
    </row>
    <row r="219" ht="12.75" customHeight="1">
      <c r="A219" s="244" t="s">
        <v>621</v>
      </c>
      <c r="B219" s="244" t="s">
        <v>942</v>
      </c>
      <c r="C219" s="244" t="s">
        <v>986</v>
      </c>
      <c r="D219" s="154" t="s">
        <v>484</v>
      </c>
      <c r="E219" s="250"/>
      <c r="F219" s="154" t="str">
        <f t="array" ref="F219">XLOOKUP(Cover!$D$12,$S$1:$AA$1,$S219:$AA219)</f>
        <v>Mandatory</v>
      </c>
      <c r="G219" s="153" t="s">
        <v>987</v>
      </c>
      <c r="H219" s="154" t="s">
        <v>959</v>
      </c>
      <c r="I219" s="154" t="s">
        <v>759</v>
      </c>
      <c r="J219" s="247" t="s">
        <v>445</v>
      </c>
      <c r="K219" s="154"/>
      <c r="L219" s="154" t="str">
        <f t="shared" si="1"/>
        <v/>
      </c>
      <c r="M219" s="248" t="str">
        <f>IFERROR(__xludf.DUMMYFUNCTION("VLOOKUP(C219,IMPORTRANGE(""https://docs.google.com/spreadsheets/d/1P8eX0NWBhUPS_hvzA11R6jkTNFrPrRYIx_dX_hYbxrk/edit?resourcekey=0-iw9bsKY2OqkUHCFMkCar3A&amp;gid=2055363397#gid=2055363397"",""MTR!C:O""),11,false)"),"PMW-L1")</f>
        <v>PMW-L1</v>
      </c>
      <c r="N219" s="248" t="str">
        <f>IFERROR(__xludf.DUMMYFUNCTION("VLOOKUP(C219,IMPORTRANGE(""https://docs.google.com/spreadsheets/d/1ihFlp3_ePlYtFuPbUNbYj1muErVpI73WHXbEwJDIA7Q/edit#gid=1493122344"",""MTR!C:O""),8,false)"),"Complies")</f>
        <v>Complies</v>
      </c>
      <c r="O219" s="241" t="str">
        <f>IFERROR(__xludf.DUMMYFUNCTION("VLOOKUP(C219,IMPORTRANGE(""https://docs.google.com/spreadsheets/d/1P8eX0NWBhUPS_hvzA11R6jkTNFrPrRYIx_dX_hYbxrk/edit?resourcekey=0-iw9bsKY2OqkUHCFMkCar3A&amp;gid=2055363397#gid=2055363397"",""MTR!C:O""),9,false)"),"")</f>
        <v/>
      </c>
      <c r="P219" s="241"/>
      <c r="Q219" s="251" t="s">
        <v>445</v>
      </c>
      <c r="R219" s="241"/>
      <c r="S219" s="154" t="s">
        <v>66</v>
      </c>
      <c r="T219" s="154" t="s">
        <v>66</v>
      </c>
      <c r="U219" s="154" t="s">
        <v>60</v>
      </c>
      <c r="V219" s="154" t="s">
        <v>60</v>
      </c>
      <c r="W219" s="154" t="s">
        <v>60</v>
      </c>
      <c r="X219" s="154" t="s">
        <v>60</v>
      </c>
      <c r="Y219" s="154" t="s">
        <v>66</v>
      </c>
      <c r="Z219" s="154" t="s">
        <v>60</v>
      </c>
      <c r="AA219" s="154" t="s">
        <v>60</v>
      </c>
      <c r="AB219" s="154"/>
      <c r="AC219" s="242" t="b">
        <f t="shared" si="2"/>
        <v>1</v>
      </c>
      <c r="AD219" s="154" t="s">
        <v>391</v>
      </c>
      <c r="AE219" s="243" t="b">
        <f t="shared" si="3"/>
        <v>0</v>
      </c>
      <c r="AF219" s="154"/>
      <c r="AG219" s="243" t="b">
        <f t="shared" si="4"/>
        <v>0</v>
      </c>
      <c r="AH219" s="154" t="s">
        <v>681</v>
      </c>
      <c r="AI219" s="243" t="str">
        <f t="shared" si="5"/>
        <v>Complies</v>
      </c>
      <c r="AJ219" s="157" t="str">
        <f t="shared" si="6"/>
        <v/>
      </c>
    </row>
    <row r="220" ht="12.75" customHeight="1">
      <c r="A220" s="244" t="s">
        <v>621</v>
      </c>
      <c r="B220" s="244" t="s">
        <v>942</v>
      </c>
      <c r="C220" s="244" t="s">
        <v>988</v>
      </c>
      <c r="D220" s="154" t="s">
        <v>484</v>
      </c>
      <c r="E220" s="250"/>
      <c r="F220" s="154" t="str">
        <f t="array" ref="F220">XLOOKUP(Cover!$D$12,$S$1:$AA$1,$S220:$AA220)</f>
        <v>Mandatory</v>
      </c>
      <c r="G220" s="153" t="s">
        <v>989</v>
      </c>
      <c r="H220" s="154" t="s">
        <v>959</v>
      </c>
      <c r="I220" s="154" t="s">
        <v>759</v>
      </c>
      <c r="J220" s="247" t="s">
        <v>445</v>
      </c>
      <c r="K220" s="154"/>
      <c r="L220" s="154" t="str">
        <f t="shared" si="1"/>
        <v/>
      </c>
      <c r="M220" s="248" t="str">
        <f>IFERROR(__xludf.DUMMYFUNCTION("VLOOKUP(C220,IMPORTRANGE(""https://docs.google.com/spreadsheets/d/1P8eX0NWBhUPS_hvzA11R6jkTNFrPrRYIx_dX_hYbxrk/edit?resourcekey=0-iw9bsKY2OqkUHCFMkCar3A&amp;gid=2055363397#gid=2055363397"",""MTR!C:O""),11,false)"),"PMW-L1")</f>
        <v>PMW-L1</v>
      </c>
      <c r="N220" s="248" t="str">
        <f>IFERROR(__xludf.DUMMYFUNCTION("VLOOKUP(C220,IMPORTRANGE(""https://docs.google.com/spreadsheets/d/1ihFlp3_ePlYtFuPbUNbYj1muErVpI73WHXbEwJDIA7Q/edit#gid=1493122344"",""MTR!C:O""),8,false)"),"Complies")</f>
        <v>Complies</v>
      </c>
      <c r="O220" s="241" t="str">
        <f>IFERROR(__xludf.DUMMYFUNCTION("VLOOKUP(C220,IMPORTRANGE(""https://docs.google.com/spreadsheets/d/1P8eX0NWBhUPS_hvzA11R6jkTNFrPrRYIx_dX_hYbxrk/edit?resourcekey=0-iw9bsKY2OqkUHCFMkCar3A&amp;gid=2055363397#gid=2055363397"",""MTR!C:O""),9,false)"),"")</f>
        <v/>
      </c>
      <c r="P220" s="241"/>
      <c r="Q220" s="251" t="s">
        <v>445</v>
      </c>
      <c r="R220" s="241"/>
      <c r="S220" s="154" t="s">
        <v>66</v>
      </c>
      <c r="T220" s="154" t="s">
        <v>66</v>
      </c>
      <c r="U220" s="154" t="s">
        <v>60</v>
      </c>
      <c r="V220" s="154" t="s">
        <v>60</v>
      </c>
      <c r="W220" s="154" t="s">
        <v>60</v>
      </c>
      <c r="X220" s="154" t="s">
        <v>60</v>
      </c>
      <c r="Y220" s="154" t="s">
        <v>66</v>
      </c>
      <c r="Z220" s="154" t="s">
        <v>60</v>
      </c>
      <c r="AA220" s="154" t="s">
        <v>60</v>
      </c>
      <c r="AB220" s="154"/>
      <c r="AC220" s="242" t="b">
        <f t="shared" si="2"/>
        <v>1</v>
      </c>
      <c r="AD220" s="154" t="s">
        <v>391</v>
      </c>
      <c r="AE220" s="243" t="b">
        <f t="shared" si="3"/>
        <v>0</v>
      </c>
      <c r="AF220" s="154"/>
      <c r="AG220" s="243" t="b">
        <f t="shared" si="4"/>
        <v>0</v>
      </c>
      <c r="AH220" s="154" t="s">
        <v>689</v>
      </c>
      <c r="AI220" s="243" t="str">
        <f t="shared" si="5"/>
        <v>Complies</v>
      </c>
      <c r="AJ220" s="157" t="str">
        <f t="shared" si="6"/>
        <v/>
      </c>
    </row>
    <row r="221" ht="12.75" customHeight="1">
      <c r="A221" s="244" t="s">
        <v>621</v>
      </c>
      <c r="B221" s="244" t="s">
        <v>942</v>
      </c>
      <c r="C221" s="244" t="s">
        <v>990</v>
      </c>
      <c r="D221" s="154" t="s">
        <v>581</v>
      </c>
      <c r="E221" s="250"/>
      <c r="F221" s="154" t="str">
        <f t="array" ref="F221">XLOOKUP(Cover!$D$12,$S$1:$AA$1,$S221:$AA221)</f>
        <v>Recommended</v>
      </c>
      <c r="G221" s="153" t="s">
        <v>991</v>
      </c>
      <c r="H221" s="154"/>
      <c r="I221" s="154" t="s">
        <v>759</v>
      </c>
      <c r="J221" s="247" t="s">
        <v>516</v>
      </c>
      <c r="K221" s="247" t="s">
        <v>992</v>
      </c>
      <c r="L221" s="154" t="str">
        <f t="shared" si="1"/>
        <v/>
      </c>
      <c r="M221" s="248" t="str">
        <f>IFERROR(__xludf.DUMMYFUNCTION("VLOOKUP(C221,IMPORTRANGE(""https://docs.google.com/spreadsheets/d/1P8eX0NWBhUPS_hvzA11R6jkTNFrPrRYIx_dX_hYbxrk/edit?resourcekey=0-iw9bsKY2OqkUHCFMkCar3A&amp;gid=2055363397#gid=2055363397"",""MTR!C:O""),11,false)"),"PMW-L1")</f>
        <v>PMW-L1</v>
      </c>
      <c r="N221" s="248" t="str">
        <f>IFERROR(__xludf.DUMMYFUNCTION("VLOOKUP(C221,IMPORTRANGE(""https://docs.google.com/spreadsheets/d/1ihFlp3_ePlYtFuPbUNbYj1muErVpI73WHXbEwJDIA7Q/edit#gid=1493122344"",""MTR!C:O""),8,false)"),"Does Not Comply")</f>
        <v>Does Not Comply</v>
      </c>
      <c r="O221" s="248" t="str">
        <f>IFERROR(__xludf.DUMMYFUNCTION("VLOOKUP(C221,IMPORTRANGE(""https://docs.google.com/spreadsheets/d/1P8eX0NWBhUPS_hvzA11R6jkTNFrPrRYIx_dX_hYbxrk/edit?resourcekey=0-iw9bsKY2OqkUHCFMkCar3A&amp;gid=2055363397#gid=2055363397"",""MTR!C:O""),9,false)"),"Limited to 2x2 support")</f>
        <v>Limited to 2x2 support</v>
      </c>
      <c r="P221" s="248"/>
      <c r="Q221" s="249" t="s">
        <v>516</v>
      </c>
      <c r="R221" s="249" t="s">
        <v>992</v>
      </c>
      <c r="S221" s="154" t="s">
        <v>66</v>
      </c>
      <c r="T221" s="154" t="s">
        <v>66</v>
      </c>
      <c r="U221" s="154" t="s">
        <v>64</v>
      </c>
      <c r="V221" s="154" t="s">
        <v>64</v>
      </c>
      <c r="W221" s="154" t="s">
        <v>64</v>
      </c>
      <c r="X221" s="154" t="s">
        <v>64</v>
      </c>
      <c r="Y221" s="154" t="s">
        <v>66</v>
      </c>
      <c r="Z221" s="154" t="s">
        <v>64</v>
      </c>
      <c r="AA221" s="154" t="s">
        <v>64</v>
      </c>
      <c r="AB221" s="154"/>
      <c r="AC221" s="242" t="b">
        <f t="shared" si="2"/>
        <v>1</v>
      </c>
      <c r="AD221" s="154" t="s">
        <v>391</v>
      </c>
      <c r="AE221" s="243" t="b">
        <f t="shared" si="3"/>
        <v>0</v>
      </c>
      <c r="AF221" s="154"/>
      <c r="AG221" s="243" t="b">
        <f t="shared" si="4"/>
        <v>0</v>
      </c>
      <c r="AH221" s="154" t="s">
        <v>691</v>
      </c>
      <c r="AI221" s="243" t="str">
        <f t="shared" si="5"/>
        <v>Complies</v>
      </c>
      <c r="AJ221" s="157" t="str">
        <f t="shared" si="6"/>
        <v/>
      </c>
    </row>
    <row r="222" ht="12.75" customHeight="1">
      <c r="A222" s="244" t="s">
        <v>621</v>
      </c>
      <c r="B222" s="244" t="s">
        <v>942</v>
      </c>
      <c r="C222" s="244" t="s">
        <v>993</v>
      </c>
      <c r="D222" s="154" t="s">
        <v>484</v>
      </c>
      <c r="E222" s="250"/>
      <c r="F222" s="154" t="str">
        <f t="array" ref="F222">XLOOKUP(Cover!$D$12,$S$1:$AA$1,$S222:$AA222)</f>
        <v>Recommended</v>
      </c>
      <c r="G222" s="153" t="s">
        <v>994</v>
      </c>
      <c r="H222" s="154"/>
      <c r="I222" s="154" t="s">
        <v>759</v>
      </c>
      <c r="J222" s="247" t="s">
        <v>516</v>
      </c>
      <c r="K222" s="247" t="s">
        <v>992</v>
      </c>
      <c r="L222" s="154" t="str">
        <f t="shared" si="1"/>
        <v/>
      </c>
      <c r="M222" s="248" t="str">
        <f>IFERROR(__xludf.DUMMYFUNCTION("VLOOKUP(C222,IMPORTRANGE(""https://docs.google.com/spreadsheets/d/1P8eX0NWBhUPS_hvzA11R6jkTNFrPrRYIx_dX_hYbxrk/edit?resourcekey=0-iw9bsKY2OqkUHCFMkCar3A&amp;gid=2055363397#gid=2055363397"",""MTR!C:O""),11,false)"),"PMW-L1")</f>
        <v>PMW-L1</v>
      </c>
      <c r="N222" s="248" t="str">
        <f>IFERROR(__xludf.DUMMYFUNCTION("VLOOKUP(C222,IMPORTRANGE(""https://docs.google.com/spreadsheets/d/1ihFlp3_ePlYtFuPbUNbYj1muErVpI73WHXbEwJDIA7Q/edit#gid=1493122344"",""MTR!C:O""),8,false)"),"Does Not Comply")</f>
        <v>Does Not Comply</v>
      </c>
      <c r="O222" s="248" t="str">
        <f>IFERROR(__xludf.DUMMYFUNCTION("VLOOKUP(C222,IMPORTRANGE(""https://docs.google.com/spreadsheets/d/1P8eX0NWBhUPS_hvzA11R6jkTNFrPrRYIx_dX_hYbxrk/edit?resourcekey=0-iw9bsKY2OqkUHCFMkCar3A&amp;gid=2055363397#gid=2055363397"",""MTR!C:O""),9,false)"),"Limited to 2x2 support")</f>
        <v>Limited to 2x2 support</v>
      </c>
      <c r="P222" s="248"/>
      <c r="Q222" s="249" t="s">
        <v>516</v>
      </c>
      <c r="R222" s="249" t="s">
        <v>992</v>
      </c>
      <c r="S222" s="154" t="s">
        <v>66</v>
      </c>
      <c r="T222" s="154" t="s">
        <v>66</v>
      </c>
      <c r="U222" s="154" t="s">
        <v>64</v>
      </c>
      <c r="V222" s="154" t="s">
        <v>64</v>
      </c>
      <c r="W222" s="154" t="s">
        <v>64</v>
      </c>
      <c r="X222" s="154" t="s">
        <v>64</v>
      </c>
      <c r="Y222" s="154" t="s">
        <v>66</v>
      </c>
      <c r="Z222" s="154" t="s">
        <v>64</v>
      </c>
      <c r="AA222" s="154" t="s">
        <v>64</v>
      </c>
      <c r="AB222" s="154"/>
      <c r="AC222" s="242" t="b">
        <f t="shared" si="2"/>
        <v>1</v>
      </c>
      <c r="AD222" s="154" t="s">
        <v>391</v>
      </c>
      <c r="AE222" s="243" t="b">
        <f t="shared" si="3"/>
        <v>0</v>
      </c>
      <c r="AF222" s="154"/>
      <c r="AG222" s="243" t="b">
        <f t="shared" si="4"/>
        <v>0</v>
      </c>
      <c r="AH222" s="154" t="s">
        <v>702</v>
      </c>
      <c r="AI222" s="243" t="str">
        <f t="shared" si="5"/>
        <v>Complies</v>
      </c>
      <c r="AJ222" s="157" t="str">
        <f t="shared" si="6"/>
        <v/>
      </c>
    </row>
    <row r="223" ht="12.75" customHeight="1">
      <c r="A223" s="244" t="s">
        <v>621</v>
      </c>
      <c r="B223" s="244" t="s">
        <v>942</v>
      </c>
      <c r="C223" s="244" t="s">
        <v>995</v>
      </c>
      <c r="D223" s="154" t="s">
        <v>581</v>
      </c>
      <c r="E223" s="250"/>
      <c r="F223" s="154" t="str">
        <f t="array" ref="F223">XLOOKUP(Cover!$D$12,$S$1:$AA$1,$S223:$AA223)</f>
        <v>Information</v>
      </c>
      <c r="G223" s="153" t="s">
        <v>996</v>
      </c>
      <c r="H223" s="154"/>
      <c r="I223" s="154" t="s">
        <v>759</v>
      </c>
      <c r="J223" s="247" t="s">
        <v>516</v>
      </c>
      <c r="K223" s="247" t="s">
        <v>992</v>
      </c>
      <c r="L223" s="154" t="str">
        <f t="shared" si="1"/>
        <v/>
      </c>
      <c r="M223" s="248" t="str">
        <f>IFERROR(__xludf.DUMMYFUNCTION("VLOOKUP(C223,IMPORTRANGE(""https://docs.google.com/spreadsheets/d/1P8eX0NWBhUPS_hvzA11R6jkTNFrPrRYIx_dX_hYbxrk/edit?resourcekey=0-iw9bsKY2OqkUHCFMkCar3A&amp;gid=2055363397#gid=2055363397"",""MTR!C:O""),11,false)"),"PMW-L1")</f>
        <v>PMW-L1</v>
      </c>
      <c r="N223" s="248" t="str">
        <f>IFERROR(__xludf.DUMMYFUNCTION("VLOOKUP(C223,IMPORTRANGE(""https://docs.google.com/spreadsheets/d/1ihFlp3_ePlYtFuPbUNbYj1muErVpI73WHXbEwJDIA7Q/edit#gid=1493122344"",""MTR!C:O""),8,false)"),"Does Not Comply")</f>
        <v>Does Not Comply</v>
      </c>
      <c r="O223" s="248" t="str">
        <f>IFERROR(__xludf.DUMMYFUNCTION("VLOOKUP(C223,IMPORTRANGE(""https://docs.google.com/spreadsheets/d/1P8eX0NWBhUPS_hvzA11R6jkTNFrPrRYIx_dX_hYbxrk/edit?resourcekey=0-iw9bsKY2OqkUHCFMkCar3A&amp;gid=2055363397#gid=2055363397"",""MTR!C:O""),9,false)"),"Limited to 2x2 support")</f>
        <v>Limited to 2x2 support</v>
      </c>
      <c r="P223" s="248"/>
      <c r="Q223" s="249" t="s">
        <v>516</v>
      </c>
      <c r="R223" s="249" t="s">
        <v>992</v>
      </c>
      <c r="S223" s="154" t="s">
        <v>66</v>
      </c>
      <c r="T223" s="154" t="s">
        <v>66</v>
      </c>
      <c r="U223" s="154" t="s">
        <v>66</v>
      </c>
      <c r="V223" s="154" t="s">
        <v>66</v>
      </c>
      <c r="W223" s="154" t="s">
        <v>66</v>
      </c>
      <c r="X223" s="154" t="s">
        <v>66</v>
      </c>
      <c r="Y223" s="154" t="s">
        <v>66</v>
      </c>
      <c r="Z223" s="154" t="s">
        <v>66</v>
      </c>
      <c r="AA223" s="154" t="s">
        <v>66</v>
      </c>
      <c r="AB223" s="154"/>
      <c r="AC223" s="242" t="b">
        <f t="shared" si="2"/>
        <v>1</v>
      </c>
      <c r="AD223" s="154" t="s">
        <v>391</v>
      </c>
      <c r="AE223" s="243" t="b">
        <f t="shared" si="3"/>
        <v>0</v>
      </c>
      <c r="AF223" s="154"/>
      <c r="AG223" s="243" t="b">
        <f t="shared" si="4"/>
        <v>0</v>
      </c>
      <c r="AH223" s="154" t="s">
        <v>710</v>
      </c>
      <c r="AI223" s="243" t="str">
        <f t="shared" si="5"/>
        <v>Complies</v>
      </c>
      <c r="AJ223" s="157" t="str">
        <f t="shared" si="6"/>
        <v/>
      </c>
    </row>
    <row r="224" ht="12.75" customHeight="1">
      <c r="A224" s="244" t="s">
        <v>621</v>
      </c>
      <c r="B224" s="244" t="s">
        <v>942</v>
      </c>
      <c r="C224" s="244" t="s">
        <v>997</v>
      </c>
      <c r="D224" s="154" t="s">
        <v>967</v>
      </c>
      <c r="E224" s="250"/>
      <c r="F224" s="154" t="str">
        <f t="array" ref="F224">XLOOKUP(Cover!$D$12,$S$1:$AA$1,$S224:$AA224)</f>
        <v>Recommended</v>
      </c>
      <c r="G224" s="153" t="s">
        <v>998</v>
      </c>
      <c r="H224" s="154"/>
      <c r="I224" s="154" t="s">
        <v>759</v>
      </c>
      <c r="J224" s="247" t="s">
        <v>516</v>
      </c>
      <c r="K224" s="247" t="s">
        <v>992</v>
      </c>
      <c r="L224" s="154" t="str">
        <f t="shared" si="1"/>
        <v/>
      </c>
      <c r="M224" s="248" t="str">
        <f>IFERROR(__xludf.DUMMYFUNCTION("VLOOKUP(C224,IMPORTRANGE(""https://docs.google.com/spreadsheets/d/1P8eX0NWBhUPS_hvzA11R6jkTNFrPrRYIx_dX_hYbxrk/edit?resourcekey=0-iw9bsKY2OqkUHCFMkCar3A&amp;gid=2055363397#gid=2055363397"",""MTR!C:O""),11,false)"),"PMW-L1")</f>
        <v>PMW-L1</v>
      </c>
      <c r="N224" s="248" t="str">
        <f>IFERROR(__xludf.DUMMYFUNCTION("VLOOKUP(C224,IMPORTRANGE(""https://docs.google.com/spreadsheets/d/1ihFlp3_ePlYtFuPbUNbYj1muErVpI73WHXbEwJDIA7Q/edit#gid=1493122344"",""MTR!C:O""),8,false)"),"Does Not Comply")</f>
        <v>Does Not Comply</v>
      </c>
      <c r="O224" s="248" t="str">
        <f>IFERROR(__xludf.DUMMYFUNCTION("VLOOKUP(C224,IMPORTRANGE(""https://docs.google.com/spreadsheets/d/1P8eX0NWBhUPS_hvzA11R6jkTNFrPrRYIx_dX_hYbxrk/edit?resourcekey=0-iw9bsKY2OqkUHCFMkCar3A&amp;gid=2055363397#gid=2055363397"",""MTR!C:O""),9,false)"),"Limited to 2x2 support")</f>
        <v>Limited to 2x2 support</v>
      </c>
      <c r="P224" s="248"/>
      <c r="Q224" s="249" t="s">
        <v>516</v>
      </c>
      <c r="R224" s="249" t="s">
        <v>992</v>
      </c>
      <c r="S224" s="154" t="s">
        <v>66</v>
      </c>
      <c r="T224" s="154" t="s">
        <v>66</v>
      </c>
      <c r="U224" s="154" t="s">
        <v>64</v>
      </c>
      <c r="V224" s="154" t="s">
        <v>64</v>
      </c>
      <c r="W224" s="154" t="s">
        <v>64</v>
      </c>
      <c r="X224" s="154" t="s">
        <v>64</v>
      </c>
      <c r="Y224" s="154" t="s">
        <v>66</v>
      </c>
      <c r="Z224" s="154" t="s">
        <v>64</v>
      </c>
      <c r="AA224" s="154" t="s">
        <v>64</v>
      </c>
      <c r="AB224" s="154"/>
      <c r="AC224" s="242" t="b">
        <f t="shared" si="2"/>
        <v>1</v>
      </c>
      <c r="AD224" s="154" t="s">
        <v>391</v>
      </c>
      <c r="AE224" s="243" t="b">
        <f t="shared" si="3"/>
        <v>0</v>
      </c>
      <c r="AF224" s="154"/>
      <c r="AG224" s="243" t="b">
        <f t="shared" si="4"/>
        <v>0</v>
      </c>
      <c r="AH224" s="154" t="s">
        <v>713</v>
      </c>
      <c r="AI224" s="243" t="str">
        <f t="shared" si="5"/>
        <v>Complies</v>
      </c>
      <c r="AJ224" s="157" t="str">
        <f t="shared" si="6"/>
        <v/>
      </c>
    </row>
    <row r="225" ht="12.75" customHeight="1">
      <c r="A225" s="244" t="s">
        <v>621</v>
      </c>
      <c r="B225" s="244" t="s">
        <v>942</v>
      </c>
      <c r="C225" s="245" t="s">
        <v>999</v>
      </c>
      <c r="D225" s="155" t="s">
        <v>642</v>
      </c>
      <c r="E225" s="246" t="s">
        <v>92</v>
      </c>
      <c r="F225" s="154" t="str">
        <f t="array" ref="F225">XLOOKUP(Cover!$D$12,$S$1:$AA$1,$S225:$AA225)</f>
        <v>Mandatory</v>
      </c>
      <c r="G225" s="153" t="s">
        <v>1000</v>
      </c>
      <c r="H225" s="154" t="s">
        <v>647</v>
      </c>
      <c r="I225" s="154" t="s">
        <v>759</v>
      </c>
      <c r="J225" s="247" t="s">
        <v>445</v>
      </c>
      <c r="K225" s="154"/>
      <c r="L225" s="154" t="str">
        <f t="shared" si="1"/>
        <v/>
      </c>
      <c r="M225" s="248" t="str">
        <f>IFERROR(__xludf.DUMMYFUNCTION("VLOOKUP(C225,IMPORTRANGE(""https://docs.google.com/spreadsheets/d/1P8eX0NWBhUPS_hvzA11R6jkTNFrPrRYIx_dX_hYbxrk/edit?resourcekey=0-iw9bsKY2OqkUHCFMkCar3A&amp;gid=2055363397#gid=2055363397"",""MTR!C:O""),11,false)"),"PMW-L1")</f>
        <v>PMW-L1</v>
      </c>
      <c r="N225" s="248" t="str">
        <f>IFERROR(__xludf.DUMMYFUNCTION("VLOOKUP(C225,IMPORTRANGE(""https://docs.google.com/spreadsheets/d/1ihFlp3_ePlYtFuPbUNbYj1muErVpI73WHXbEwJDIA7Q/edit#gid=1493122344"",""MTR!C:O""),8,false)"),"Complies")</f>
        <v>Complies</v>
      </c>
      <c r="O225" s="241" t="str">
        <f>IFERROR(__xludf.DUMMYFUNCTION("VLOOKUP(C225,IMPORTRANGE(""https://docs.google.com/spreadsheets/d/1P8eX0NWBhUPS_hvzA11R6jkTNFrPrRYIx_dX_hYbxrk/edit?resourcekey=0-iw9bsKY2OqkUHCFMkCar3A&amp;gid=2055363397#gid=2055363397"",""MTR!C:O""),9,false)"),"")</f>
        <v/>
      </c>
      <c r="P225" s="241"/>
      <c r="Q225" s="251" t="s">
        <v>445</v>
      </c>
      <c r="R225" s="241"/>
      <c r="S225" s="154" t="s">
        <v>66</v>
      </c>
      <c r="T225" s="154" t="s">
        <v>66</v>
      </c>
      <c r="U225" s="154" t="s">
        <v>60</v>
      </c>
      <c r="V225" s="154" t="s">
        <v>60</v>
      </c>
      <c r="W225" s="154" t="s">
        <v>60</v>
      </c>
      <c r="X225" s="154" t="s">
        <v>60</v>
      </c>
      <c r="Y225" s="154" t="s">
        <v>66</v>
      </c>
      <c r="Z225" s="154" t="s">
        <v>60</v>
      </c>
      <c r="AA225" s="154" t="s">
        <v>60</v>
      </c>
      <c r="AB225" s="154"/>
      <c r="AC225" s="242" t="b">
        <f t="shared" si="2"/>
        <v>1</v>
      </c>
      <c r="AD225" s="154" t="s">
        <v>68</v>
      </c>
      <c r="AE225" s="243" t="b">
        <f t="shared" si="3"/>
        <v>0</v>
      </c>
      <c r="AF225" s="154"/>
      <c r="AG225" s="243" t="b">
        <f t="shared" si="4"/>
        <v>0</v>
      </c>
      <c r="AH225" s="154"/>
      <c r="AI225" s="243" t="str">
        <f t="shared" si="5"/>
        <v>N/A</v>
      </c>
      <c r="AJ225" s="157" t="str">
        <f t="shared" si="6"/>
        <v/>
      </c>
    </row>
    <row r="226" ht="12.75" customHeight="1">
      <c r="A226" s="238" t="s">
        <v>621</v>
      </c>
      <c r="B226" s="238" t="s">
        <v>942</v>
      </c>
      <c r="C226" s="238" t="s">
        <v>1001</v>
      </c>
      <c r="D226" s="240"/>
      <c r="E226" s="252" t="s">
        <v>92</v>
      </c>
      <c r="F226" s="154" t="str">
        <f t="array" ref="F226">XLOOKUP(Cover!$D$12,$S$1:$AA$1,$S226:$AA226)</f>
        <v>Heading</v>
      </c>
      <c r="G226" s="239" t="s">
        <v>1002</v>
      </c>
      <c r="H226" s="240"/>
      <c r="I226" s="240" t="s">
        <v>759</v>
      </c>
      <c r="J226" s="240"/>
      <c r="K226" s="240"/>
      <c r="L226" s="154" t="str">
        <f t="shared" si="1"/>
        <v/>
      </c>
      <c r="M226" s="241" t="str">
        <f>IFERROR(__xludf.DUMMYFUNCTION("VLOOKUP(C226,IMPORTRANGE(""https://docs.google.com/spreadsheets/d/1P8eX0NWBhUPS_hvzA11R6jkTNFrPrRYIx_dX_hYbxrk/edit?resourcekey=0-iw9bsKY2OqkUHCFMkCar3A&amp;gid=2055363397#gid=2055363397"",""MTR!C:O""),11,false)"),"")</f>
        <v/>
      </c>
      <c r="N226" s="241" t="str">
        <f>IFERROR(__xludf.DUMMYFUNCTION("VLOOKUP(C226,IMPORTRANGE(""https://docs.google.com/spreadsheets/d/1ihFlp3_ePlYtFuPbUNbYj1muErVpI73WHXbEwJDIA7Q/edit#gid=1493122344"",""MTR!C:O""),8,false)"),"")</f>
        <v/>
      </c>
      <c r="O226" s="241" t="str">
        <f>IFERROR(__xludf.DUMMYFUNCTION("VLOOKUP(C226,IMPORTRANGE(""https://docs.google.com/spreadsheets/d/1P8eX0NWBhUPS_hvzA11R6jkTNFrPrRYIx_dX_hYbxrk/edit?resourcekey=0-iw9bsKY2OqkUHCFMkCar3A&amp;gid=2055363397#gid=2055363397"",""MTR!C:O""),9,false)"),"")</f>
        <v/>
      </c>
      <c r="P226" s="241"/>
      <c r="Q226" s="241"/>
      <c r="R226" s="241"/>
      <c r="S226" s="240" t="s">
        <v>390</v>
      </c>
      <c r="T226" s="240" t="s">
        <v>390</v>
      </c>
      <c r="U226" s="240" t="s">
        <v>390</v>
      </c>
      <c r="V226" s="240" t="s">
        <v>390</v>
      </c>
      <c r="W226" s="240" t="s">
        <v>390</v>
      </c>
      <c r="X226" s="240" t="s">
        <v>390</v>
      </c>
      <c r="Y226" s="240" t="s">
        <v>390</v>
      </c>
      <c r="Z226" s="240" t="s">
        <v>390</v>
      </c>
      <c r="AA226" s="240" t="s">
        <v>390</v>
      </c>
      <c r="AB226" s="240"/>
      <c r="AC226" s="242" t="b">
        <f t="shared" si="2"/>
        <v>0</v>
      </c>
      <c r="AD226" s="240" t="s">
        <v>391</v>
      </c>
      <c r="AE226" s="243" t="b">
        <f t="shared" si="3"/>
        <v>0</v>
      </c>
      <c r="AF226" s="240"/>
      <c r="AG226" s="243" t="b">
        <f t="shared" si="4"/>
        <v>0</v>
      </c>
      <c r="AH226" s="240"/>
      <c r="AI226" s="243" t="str">
        <f t="shared" si="5"/>
        <v>N/A</v>
      </c>
      <c r="AJ226" s="157" t="str">
        <f t="shared" si="6"/>
        <v/>
      </c>
    </row>
    <row r="227" ht="12.75" customHeight="1">
      <c r="A227" s="244" t="s">
        <v>621</v>
      </c>
      <c r="B227" s="244" t="s">
        <v>942</v>
      </c>
      <c r="C227" s="244" t="s">
        <v>1003</v>
      </c>
      <c r="D227" s="154" t="s">
        <v>492</v>
      </c>
      <c r="E227" s="250"/>
      <c r="F227" s="154" t="str">
        <f t="array" ref="F227">XLOOKUP(Cover!$D$12,$S$1:$AA$1,$S227:$AA227)</f>
        <v>Mandatory</v>
      </c>
      <c r="G227" s="153" t="s">
        <v>1004</v>
      </c>
      <c r="H227" s="154" t="s">
        <v>1005</v>
      </c>
      <c r="I227" s="154" t="s">
        <v>759</v>
      </c>
      <c r="J227" s="247" t="s">
        <v>445</v>
      </c>
      <c r="K227" s="154"/>
      <c r="L227" s="154" t="str">
        <f t="shared" si="1"/>
        <v/>
      </c>
      <c r="M227" s="248" t="str">
        <f>IFERROR(__xludf.DUMMYFUNCTION("VLOOKUP(C227,IMPORTRANGE(""https://docs.google.com/spreadsheets/d/1P8eX0NWBhUPS_hvzA11R6jkTNFrPrRYIx_dX_hYbxrk/edit?resourcekey=0-iw9bsKY2OqkUHCFMkCar3A&amp;gid=2055363397#gid=2055363397"",""MTR!C:O""),11,false)"),"PMW-L1")</f>
        <v>PMW-L1</v>
      </c>
      <c r="N227" s="248" t="str">
        <f>IFERROR(__xludf.DUMMYFUNCTION("VLOOKUP(C227,IMPORTRANGE(""https://docs.google.com/spreadsheets/d/1ihFlp3_ePlYtFuPbUNbYj1muErVpI73WHXbEwJDIA7Q/edit#gid=1493122344"",""MTR!C:O""),8,false)"),"Complies")</f>
        <v>Complies</v>
      </c>
      <c r="O227" s="241" t="str">
        <f>IFERROR(__xludf.DUMMYFUNCTION("VLOOKUP(C227,IMPORTRANGE(""https://docs.google.com/spreadsheets/d/1P8eX0NWBhUPS_hvzA11R6jkTNFrPrRYIx_dX_hYbxrk/edit?resourcekey=0-iw9bsKY2OqkUHCFMkCar3A&amp;gid=2055363397#gid=2055363397"",""MTR!C:O""),9,false)"),"")</f>
        <v/>
      </c>
      <c r="P227" s="241"/>
      <c r="Q227" s="251" t="s">
        <v>445</v>
      </c>
      <c r="R227" s="241"/>
      <c r="S227" s="154" t="s">
        <v>66</v>
      </c>
      <c r="T227" s="154" t="s">
        <v>66</v>
      </c>
      <c r="U227" s="154" t="s">
        <v>60</v>
      </c>
      <c r="V227" s="154" t="s">
        <v>60</v>
      </c>
      <c r="W227" s="154" t="s">
        <v>60</v>
      </c>
      <c r="X227" s="154" t="s">
        <v>60</v>
      </c>
      <c r="Y227" s="154" t="s">
        <v>66</v>
      </c>
      <c r="Z227" s="154" t="s">
        <v>60</v>
      </c>
      <c r="AA227" s="154" t="s">
        <v>60</v>
      </c>
      <c r="AB227" s="154"/>
      <c r="AC227" s="242" t="b">
        <f t="shared" si="2"/>
        <v>1</v>
      </c>
      <c r="AD227" s="154" t="s">
        <v>516</v>
      </c>
      <c r="AE227" s="243" t="b">
        <f t="shared" si="3"/>
        <v>0</v>
      </c>
      <c r="AF227" s="154"/>
      <c r="AG227" s="243" t="b">
        <f t="shared" si="4"/>
        <v>0</v>
      </c>
      <c r="AH227" s="154"/>
      <c r="AI227" s="243" t="str">
        <f t="shared" si="5"/>
        <v>N/A</v>
      </c>
      <c r="AJ227" s="157" t="str">
        <f t="shared" si="6"/>
        <v/>
      </c>
    </row>
    <row r="228" ht="12.75" customHeight="1">
      <c r="A228" s="244" t="s">
        <v>621</v>
      </c>
      <c r="B228" s="244" t="s">
        <v>942</v>
      </c>
      <c r="C228" s="244" t="s">
        <v>1006</v>
      </c>
      <c r="D228" s="154" t="s">
        <v>484</v>
      </c>
      <c r="E228" s="250"/>
      <c r="F228" s="154" t="str">
        <f t="array" ref="F228">XLOOKUP(Cover!$D$12,$S$1:$AA$1,$S228:$AA228)</f>
        <v>Mandatory</v>
      </c>
      <c r="G228" s="153" t="s">
        <v>1007</v>
      </c>
      <c r="H228" s="154" t="s">
        <v>1005</v>
      </c>
      <c r="I228" s="154" t="s">
        <v>759</v>
      </c>
      <c r="J228" s="247" t="s">
        <v>445</v>
      </c>
      <c r="K228" s="154"/>
      <c r="L228" s="154" t="str">
        <f t="shared" si="1"/>
        <v/>
      </c>
      <c r="M228" s="248" t="str">
        <f>IFERROR(__xludf.DUMMYFUNCTION("VLOOKUP(C228,IMPORTRANGE(""https://docs.google.com/spreadsheets/d/1P8eX0NWBhUPS_hvzA11R6jkTNFrPrRYIx_dX_hYbxrk/edit?resourcekey=0-iw9bsKY2OqkUHCFMkCar3A&amp;gid=2055363397#gid=2055363397"",""MTR!C:O""),11,false)"),"PMW-L1")</f>
        <v>PMW-L1</v>
      </c>
      <c r="N228" s="248" t="str">
        <f>IFERROR(__xludf.DUMMYFUNCTION("VLOOKUP(C228,IMPORTRANGE(""https://docs.google.com/spreadsheets/d/1ihFlp3_ePlYtFuPbUNbYj1muErVpI73WHXbEwJDIA7Q/edit#gid=1493122344"",""MTR!C:O""),8,false)"),"Complies")</f>
        <v>Complies</v>
      </c>
      <c r="O228" s="241" t="str">
        <f>IFERROR(__xludf.DUMMYFUNCTION("VLOOKUP(C228,IMPORTRANGE(""https://docs.google.com/spreadsheets/d/1P8eX0NWBhUPS_hvzA11R6jkTNFrPrRYIx_dX_hYbxrk/edit?resourcekey=0-iw9bsKY2OqkUHCFMkCar3A&amp;gid=2055363397#gid=2055363397"",""MTR!C:O""),9,false)"),"")</f>
        <v/>
      </c>
      <c r="P228" s="241"/>
      <c r="Q228" s="251" t="s">
        <v>445</v>
      </c>
      <c r="R228" s="241"/>
      <c r="S228" s="154" t="s">
        <v>66</v>
      </c>
      <c r="T228" s="154" t="s">
        <v>66</v>
      </c>
      <c r="U228" s="154" t="s">
        <v>64</v>
      </c>
      <c r="V228" s="154" t="s">
        <v>60</v>
      </c>
      <c r="W228" s="154" t="s">
        <v>60</v>
      </c>
      <c r="X228" s="154" t="s">
        <v>60</v>
      </c>
      <c r="Y228" s="154" t="s">
        <v>66</v>
      </c>
      <c r="Z228" s="154" t="s">
        <v>64</v>
      </c>
      <c r="AA228" s="154" t="s">
        <v>60</v>
      </c>
      <c r="AB228" s="154"/>
      <c r="AC228" s="242" t="b">
        <f t="shared" si="2"/>
        <v>1</v>
      </c>
      <c r="AD228" s="154" t="s">
        <v>68</v>
      </c>
      <c r="AE228" s="243" t="b">
        <f t="shared" si="3"/>
        <v>0</v>
      </c>
      <c r="AF228" s="154"/>
      <c r="AG228" s="243" t="b">
        <f t="shared" si="4"/>
        <v>0</v>
      </c>
      <c r="AH228" s="154"/>
      <c r="AI228" s="243" t="str">
        <f t="shared" si="5"/>
        <v>N/A</v>
      </c>
      <c r="AJ228" s="157" t="str">
        <f t="shared" si="6"/>
        <v/>
      </c>
    </row>
    <row r="229" ht="12.75" customHeight="1">
      <c r="A229" s="238" t="s">
        <v>621</v>
      </c>
      <c r="B229" s="238" t="s">
        <v>942</v>
      </c>
      <c r="C229" s="238" t="s">
        <v>1008</v>
      </c>
      <c r="D229" s="240"/>
      <c r="E229" s="252" t="s">
        <v>92</v>
      </c>
      <c r="F229" s="154" t="str">
        <f t="array" ref="F229">XLOOKUP(Cover!$D$12,$S$1:$AA$1,$S229:$AA229)</f>
        <v>Heading</v>
      </c>
      <c r="G229" s="239" t="s">
        <v>1009</v>
      </c>
      <c r="H229" s="240"/>
      <c r="I229" s="240" t="s">
        <v>759</v>
      </c>
      <c r="J229" s="240"/>
      <c r="K229" s="240"/>
      <c r="L229" s="154" t="str">
        <f t="shared" si="1"/>
        <v/>
      </c>
      <c r="M229" s="241" t="str">
        <f>IFERROR(__xludf.DUMMYFUNCTION("VLOOKUP(C229,IMPORTRANGE(""https://docs.google.com/spreadsheets/d/1P8eX0NWBhUPS_hvzA11R6jkTNFrPrRYIx_dX_hYbxrk/edit?resourcekey=0-iw9bsKY2OqkUHCFMkCar3A&amp;gid=2055363397#gid=2055363397"",""MTR!C:O""),11,false)"),"")</f>
        <v/>
      </c>
      <c r="N229" s="241" t="str">
        <f>IFERROR(__xludf.DUMMYFUNCTION("VLOOKUP(C229,IMPORTRANGE(""https://docs.google.com/spreadsheets/d/1ihFlp3_ePlYtFuPbUNbYj1muErVpI73WHXbEwJDIA7Q/edit#gid=1493122344"",""MTR!C:O""),8,false)"),"")</f>
        <v/>
      </c>
      <c r="O229" s="241" t="str">
        <f>IFERROR(__xludf.DUMMYFUNCTION("VLOOKUP(C229,IMPORTRANGE(""https://docs.google.com/spreadsheets/d/1P8eX0NWBhUPS_hvzA11R6jkTNFrPrRYIx_dX_hYbxrk/edit?resourcekey=0-iw9bsKY2OqkUHCFMkCar3A&amp;gid=2055363397#gid=2055363397"",""MTR!C:O""),9,false)"),"")</f>
        <v/>
      </c>
      <c r="P229" s="241"/>
      <c r="Q229" s="241"/>
      <c r="R229" s="241"/>
      <c r="S229" s="240" t="s">
        <v>390</v>
      </c>
      <c r="T229" s="240" t="s">
        <v>390</v>
      </c>
      <c r="U229" s="240" t="s">
        <v>390</v>
      </c>
      <c r="V229" s="240" t="s">
        <v>390</v>
      </c>
      <c r="W229" s="240" t="s">
        <v>390</v>
      </c>
      <c r="X229" s="240" t="s">
        <v>390</v>
      </c>
      <c r="Y229" s="240" t="s">
        <v>390</v>
      </c>
      <c r="Z229" s="240" t="s">
        <v>390</v>
      </c>
      <c r="AA229" s="240" t="s">
        <v>390</v>
      </c>
      <c r="AB229" s="240"/>
      <c r="AC229" s="242" t="b">
        <f t="shared" si="2"/>
        <v>0</v>
      </c>
      <c r="AD229" s="240" t="s">
        <v>391</v>
      </c>
      <c r="AE229" s="243" t="b">
        <f t="shared" si="3"/>
        <v>0</v>
      </c>
      <c r="AF229" s="240"/>
      <c r="AG229" s="243" t="b">
        <f t="shared" si="4"/>
        <v>0</v>
      </c>
      <c r="AH229" s="240"/>
      <c r="AI229" s="243" t="str">
        <f t="shared" si="5"/>
        <v>N/A</v>
      </c>
      <c r="AJ229" s="157" t="str">
        <f t="shared" si="6"/>
        <v/>
      </c>
    </row>
    <row r="230" ht="12.75" customHeight="1">
      <c r="A230" s="244" t="s">
        <v>621</v>
      </c>
      <c r="B230" s="244" t="s">
        <v>942</v>
      </c>
      <c r="C230" s="244" t="s">
        <v>1010</v>
      </c>
      <c r="D230" s="154" t="s">
        <v>484</v>
      </c>
      <c r="E230" s="250"/>
      <c r="F230" s="154" t="str">
        <f t="array" ref="F230">XLOOKUP(Cover!$D$12,$S$1:$AA$1,$S230:$AA230)</f>
        <v>Mandatory</v>
      </c>
      <c r="G230" s="153" t="s">
        <v>1011</v>
      </c>
      <c r="H230" s="154" t="s">
        <v>1012</v>
      </c>
      <c r="I230" s="154" t="s">
        <v>759</v>
      </c>
      <c r="J230" s="247" t="s">
        <v>506</v>
      </c>
      <c r="K230" s="247" t="s">
        <v>1013</v>
      </c>
      <c r="L230" s="154" t="str">
        <f t="shared" si="1"/>
        <v/>
      </c>
      <c r="M230" s="248" t="str">
        <f>IFERROR(__xludf.DUMMYFUNCTION("VLOOKUP(C230,IMPORTRANGE(""https://docs.google.com/spreadsheets/d/1P8eX0NWBhUPS_hvzA11R6jkTNFrPrRYIx_dX_hYbxrk/edit?resourcekey=0-iw9bsKY2OqkUHCFMkCar3A&amp;gid=2055363397#gid=2055363397"",""MTR!C:O""),11,false)"),"PMW-L1")</f>
        <v>PMW-L1</v>
      </c>
      <c r="N230" s="248" t="str">
        <f>IFERROR(__xludf.DUMMYFUNCTION("VLOOKUP(C230,IMPORTRANGE(""https://docs.google.com/spreadsheets/d/1ihFlp3_ePlYtFuPbUNbYj1muErVpI73WHXbEwJDIA7Q/edit#gid=1493122344"",""MTR!C:O""),8,false)"),"Partially Complies")</f>
        <v>Partially Complies</v>
      </c>
      <c r="O230" s="248" t="str">
        <f>IFERROR(__xludf.DUMMYFUNCTION("VLOOKUP(C230,IMPORTRANGE(""https://docs.google.com/spreadsheets/d/1P8eX0NWBhUPS_hvzA11R6jkTNFrPrRYIx_dX_hYbxrk/edit?resourcekey=0-iw9bsKY2OqkUHCFMkCar3A&amp;gid=2055363397#gid=2055363397"",""MTR!C:O""),9,false)"),"B8, B20, B28 and B32 don't support 4x4 MIMO")</f>
        <v>B8, B20, B28 and B32 don't support 4x4 MIMO</v>
      </c>
      <c r="P230" s="248"/>
      <c r="Q230" s="249" t="s">
        <v>506</v>
      </c>
      <c r="R230" s="249" t="s">
        <v>1013</v>
      </c>
      <c r="S230" s="154" t="s">
        <v>66</v>
      </c>
      <c r="T230" s="154" t="s">
        <v>66</v>
      </c>
      <c r="U230" s="154" t="s">
        <v>60</v>
      </c>
      <c r="V230" s="154" t="s">
        <v>60</v>
      </c>
      <c r="W230" s="154" t="s">
        <v>60</v>
      </c>
      <c r="X230" s="154" t="s">
        <v>60</v>
      </c>
      <c r="Y230" s="154" t="s">
        <v>66</v>
      </c>
      <c r="Z230" s="154" t="s">
        <v>60</v>
      </c>
      <c r="AA230" s="154" t="s">
        <v>60</v>
      </c>
      <c r="AB230" s="154"/>
      <c r="AC230" s="242" t="b">
        <f t="shared" si="2"/>
        <v>1</v>
      </c>
      <c r="AD230" s="154" t="s">
        <v>516</v>
      </c>
      <c r="AE230" s="243" t="b">
        <f t="shared" si="3"/>
        <v>0</v>
      </c>
      <c r="AF230" s="154"/>
      <c r="AG230" s="243" t="b">
        <f t="shared" si="4"/>
        <v>0</v>
      </c>
      <c r="AH230" s="154"/>
      <c r="AI230" s="243" t="str">
        <f t="shared" si="5"/>
        <v>N/A</v>
      </c>
      <c r="AJ230" s="157" t="str">
        <f t="shared" si="6"/>
        <v/>
      </c>
    </row>
    <row r="231" ht="12.75" customHeight="1">
      <c r="A231" s="244" t="s">
        <v>621</v>
      </c>
      <c r="B231" s="244" t="s">
        <v>942</v>
      </c>
      <c r="C231" s="244" t="s">
        <v>1014</v>
      </c>
      <c r="D231" s="154" t="s">
        <v>967</v>
      </c>
      <c r="E231" s="250"/>
      <c r="F231" s="154" t="str">
        <f t="array" ref="F231">XLOOKUP(Cover!$D$12,$S$1:$AA$1,$S231:$AA231)</f>
        <v>Mandatory</v>
      </c>
      <c r="G231" s="153" t="s">
        <v>1015</v>
      </c>
      <c r="H231" s="154" t="s">
        <v>1005</v>
      </c>
      <c r="I231" s="154" t="s">
        <v>759</v>
      </c>
      <c r="J231" s="247" t="s">
        <v>506</v>
      </c>
      <c r="K231" s="247" t="s">
        <v>1013</v>
      </c>
      <c r="L231" s="154" t="str">
        <f t="shared" si="1"/>
        <v/>
      </c>
      <c r="M231" s="248" t="str">
        <f>IFERROR(__xludf.DUMMYFUNCTION("VLOOKUP(C231,IMPORTRANGE(""https://docs.google.com/spreadsheets/d/1P8eX0NWBhUPS_hvzA11R6jkTNFrPrRYIx_dX_hYbxrk/edit?resourcekey=0-iw9bsKY2OqkUHCFMkCar3A&amp;gid=2055363397#gid=2055363397"",""MTR!C:O""),11,false)"),"PMW-L1")</f>
        <v>PMW-L1</v>
      </c>
      <c r="N231" s="248" t="str">
        <f>IFERROR(__xludf.DUMMYFUNCTION("VLOOKUP(C231,IMPORTRANGE(""https://docs.google.com/spreadsheets/d/1ihFlp3_ePlYtFuPbUNbYj1muErVpI73WHXbEwJDIA7Q/edit#gid=1493122344"",""MTR!C:O""),8,false)"),"Partially Complies")</f>
        <v>Partially Complies</v>
      </c>
      <c r="O231" s="248" t="str">
        <f>IFERROR(__xludf.DUMMYFUNCTION("VLOOKUP(C231,IMPORTRANGE(""https://docs.google.com/spreadsheets/d/1P8eX0NWBhUPS_hvzA11R6jkTNFrPrRYIx_dX_hYbxrk/edit?resourcekey=0-iw9bsKY2OqkUHCFMkCar3A&amp;gid=2055363397#gid=2055363397"",""MTR!C:O""),9,false)"),"B8, B20, B28 and B32 don't support 4x4 MIMO")</f>
        <v>B8, B20, B28 and B32 don't support 4x4 MIMO</v>
      </c>
      <c r="P231" s="248"/>
      <c r="Q231" s="249" t="s">
        <v>506</v>
      </c>
      <c r="R231" s="249" t="s">
        <v>1013</v>
      </c>
      <c r="S231" s="154" t="s">
        <v>66</v>
      </c>
      <c r="T231" s="154" t="s">
        <v>66</v>
      </c>
      <c r="U231" s="154" t="s">
        <v>64</v>
      </c>
      <c r="V231" s="154" t="s">
        <v>60</v>
      </c>
      <c r="W231" s="154" t="s">
        <v>60</v>
      </c>
      <c r="X231" s="154" t="s">
        <v>60</v>
      </c>
      <c r="Y231" s="154" t="s">
        <v>66</v>
      </c>
      <c r="Z231" s="154" t="s">
        <v>64</v>
      </c>
      <c r="AA231" s="154" t="s">
        <v>60</v>
      </c>
      <c r="AB231" s="154"/>
      <c r="AC231" s="242" t="b">
        <f t="shared" si="2"/>
        <v>1</v>
      </c>
      <c r="AD231" s="154" t="s">
        <v>516</v>
      </c>
      <c r="AE231" s="243" t="b">
        <f t="shared" si="3"/>
        <v>0</v>
      </c>
      <c r="AF231" s="154"/>
      <c r="AG231" s="243" t="b">
        <f t="shared" si="4"/>
        <v>0</v>
      </c>
      <c r="AH231" s="154"/>
      <c r="AI231" s="243" t="str">
        <f t="shared" si="5"/>
        <v>N/A</v>
      </c>
      <c r="AJ231" s="157" t="str">
        <f t="shared" si="6"/>
        <v/>
      </c>
    </row>
    <row r="232" ht="12.75" customHeight="1">
      <c r="A232" s="244" t="s">
        <v>621</v>
      </c>
      <c r="B232" s="244" t="s">
        <v>942</v>
      </c>
      <c r="C232" s="244" t="s">
        <v>1016</v>
      </c>
      <c r="D232" s="154" t="s">
        <v>411</v>
      </c>
      <c r="E232" s="250"/>
      <c r="F232" s="154" t="str">
        <f t="array" ref="F232">XLOOKUP(Cover!$D$12,$S$1:$AA$1,$S232:$AA232)</f>
        <v>Mandatory</v>
      </c>
      <c r="G232" s="153" t="s">
        <v>1017</v>
      </c>
      <c r="H232" s="154" t="s">
        <v>1018</v>
      </c>
      <c r="I232" s="154" t="s">
        <v>759</v>
      </c>
      <c r="J232" s="247" t="s">
        <v>506</v>
      </c>
      <c r="K232" s="247" t="s">
        <v>1019</v>
      </c>
      <c r="L232" s="154" t="str">
        <f t="shared" si="1"/>
        <v/>
      </c>
      <c r="M232" s="248" t="str">
        <f>IFERROR(__xludf.DUMMYFUNCTION("VLOOKUP(C232,IMPORTRANGE(""https://docs.google.com/spreadsheets/d/1P8eX0NWBhUPS_hvzA11R6jkTNFrPrRYIx_dX_hYbxrk/edit?resourcekey=0-iw9bsKY2OqkUHCFMkCar3A&amp;gid=2055363397#gid=2055363397"",""MTR!C:O""),11,false)"),"PMW-L1")</f>
        <v>PMW-L1</v>
      </c>
      <c r="N232" s="248" t="str">
        <f>IFERROR(__xludf.DUMMYFUNCTION("VLOOKUP(C232,IMPORTRANGE(""https://docs.google.com/spreadsheets/d/1ihFlp3_ePlYtFuPbUNbYj1muErVpI73WHXbEwJDIA7Q/edit#gid=1493122344"",""MTR!C:O""),8,false)"),"Partially Complies")</f>
        <v>Partially Complies</v>
      </c>
      <c r="O232" s="241" t="str">
        <f>IFERROR(__xludf.DUMMYFUNCTION("VLOOKUP(C232,IMPORTRANGE(""https://docs.google.com/spreadsheets/d/1P8eX0NWBhUPS_hvzA11R6jkTNFrPrRYIx_dX_hYbxrk/edit?resourcekey=0-iw9bsKY2OqkUHCFMkCar3A&amp;gid=2055363397#gid=2055363397"",""MTR!C:O""),9,false)"),"")</f>
        <v/>
      </c>
      <c r="P232" s="241"/>
      <c r="Q232" s="251" t="s">
        <v>506</v>
      </c>
      <c r="R232" s="251" t="s">
        <v>1019</v>
      </c>
      <c r="S232" s="154" t="s">
        <v>66</v>
      </c>
      <c r="T232" s="154" t="s">
        <v>66</v>
      </c>
      <c r="U232" s="154" t="s">
        <v>66</v>
      </c>
      <c r="V232" s="154" t="s">
        <v>66</v>
      </c>
      <c r="W232" s="154" t="s">
        <v>60</v>
      </c>
      <c r="X232" s="154" t="s">
        <v>60</v>
      </c>
      <c r="Y232" s="154" t="s">
        <v>66</v>
      </c>
      <c r="Z232" s="154" t="s">
        <v>66</v>
      </c>
      <c r="AA232" s="154" t="s">
        <v>60</v>
      </c>
      <c r="AB232" s="154"/>
      <c r="AC232" s="242" t="b">
        <f t="shared" si="2"/>
        <v>1</v>
      </c>
      <c r="AD232" s="154" t="s">
        <v>68</v>
      </c>
      <c r="AE232" s="243" t="b">
        <f t="shared" si="3"/>
        <v>0</v>
      </c>
      <c r="AF232" s="154"/>
      <c r="AG232" s="243" t="b">
        <f t="shared" si="4"/>
        <v>0</v>
      </c>
      <c r="AH232" s="154"/>
      <c r="AI232" s="243" t="str">
        <f t="shared" si="5"/>
        <v>N/A</v>
      </c>
      <c r="AJ232" s="157" t="str">
        <f t="shared" si="6"/>
        <v/>
      </c>
    </row>
    <row r="233" ht="12.75" customHeight="1">
      <c r="A233" s="238" t="s">
        <v>621</v>
      </c>
      <c r="B233" s="238" t="s">
        <v>942</v>
      </c>
      <c r="C233" s="238" t="s">
        <v>1020</v>
      </c>
      <c r="D233" s="240"/>
      <c r="E233" s="252" t="s">
        <v>92</v>
      </c>
      <c r="F233" s="154" t="str">
        <f t="array" ref="F233">XLOOKUP(Cover!$D$12,$S$1:$AA$1,$S233:$AA233)</f>
        <v>Heading</v>
      </c>
      <c r="G233" s="239" t="s">
        <v>1021</v>
      </c>
      <c r="H233" s="240"/>
      <c r="I233" s="240" t="s">
        <v>759</v>
      </c>
      <c r="J233" s="240"/>
      <c r="K233" s="240"/>
      <c r="L233" s="154" t="str">
        <f t="shared" si="1"/>
        <v/>
      </c>
      <c r="M233" s="241" t="str">
        <f>IFERROR(__xludf.DUMMYFUNCTION("VLOOKUP(C233,IMPORTRANGE(""https://docs.google.com/spreadsheets/d/1P8eX0NWBhUPS_hvzA11R6jkTNFrPrRYIx_dX_hYbxrk/edit?resourcekey=0-iw9bsKY2OqkUHCFMkCar3A&amp;gid=2055363397#gid=2055363397"",""MTR!C:O""),11,false)"),"")</f>
        <v/>
      </c>
      <c r="N233" s="241" t="str">
        <f>IFERROR(__xludf.DUMMYFUNCTION("VLOOKUP(C233,IMPORTRANGE(""https://docs.google.com/spreadsheets/d/1ihFlp3_ePlYtFuPbUNbYj1muErVpI73WHXbEwJDIA7Q/edit#gid=1493122344"",""MTR!C:O""),8,false)"),"")</f>
        <v/>
      </c>
      <c r="O233" s="241" t="str">
        <f>IFERROR(__xludf.DUMMYFUNCTION("VLOOKUP(C233,IMPORTRANGE(""https://docs.google.com/spreadsheets/d/1P8eX0NWBhUPS_hvzA11R6jkTNFrPrRYIx_dX_hYbxrk/edit?resourcekey=0-iw9bsKY2OqkUHCFMkCar3A&amp;gid=2055363397#gid=2055363397"",""MTR!C:O""),9,false)"),"")</f>
        <v/>
      </c>
      <c r="P233" s="241"/>
      <c r="Q233" s="241"/>
      <c r="R233" s="241"/>
      <c r="S233" s="240" t="s">
        <v>390</v>
      </c>
      <c r="T233" s="240" t="s">
        <v>390</v>
      </c>
      <c r="U233" s="240" t="s">
        <v>390</v>
      </c>
      <c r="V233" s="240" t="s">
        <v>390</v>
      </c>
      <c r="W233" s="240" t="s">
        <v>390</v>
      </c>
      <c r="X233" s="240" t="s">
        <v>390</v>
      </c>
      <c r="Y233" s="240" t="s">
        <v>390</v>
      </c>
      <c r="Z233" s="240" t="s">
        <v>390</v>
      </c>
      <c r="AA233" s="240" t="s">
        <v>390</v>
      </c>
      <c r="AB233" s="240"/>
      <c r="AC233" s="242" t="b">
        <f t="shared" si="2"/>
        <v>0</v>
      </c>
      <c r="AD233" s="240" t="s">
        <v>391</v>
      </c>
      <c r="AE233" s="243" t="b">
        <f t="shared" si="3"/>
        <v>0</v>
      </c>
      <c r="AF233" s="240"/>
      <c r="AG233" s="243" t="b">
        <f t="shared" si="4"/>
        <v>0</v>
      </c>
      <c r="AH233" s="240"/>
      <c r="AI233" s="243" t="str">
        <f t="shared" si="5"/>
        <v>N/A</v>
      </c>
      <c r="AJ233" s="157" t="str">
        <f t="shared" si="6"/>
        <v/>
      </c>
    </row>
    <row r="234" ht="12.75" customHeight="1">
      <c r="A234" s="244" t="s">
        <v>621</v>
      </c>
      <c r="B234" s="244" t="s">
        <v>942</v>
      </c>
      <c r="C234" s="244" t="s">
        <v>1022</v>
      </c>
      <c r="D234" s="154" t="s">
        <v>492</v>
      </c>
      <c r="E234" s="250"/>
      <c r="F234" s="154" t="str">
        <f t="array" ref="F234">XLOOKUP(Cover!$D$12,$S$1:$AA$1,$S234:$AA234)</f>
        <v>Mandatory</v>
      </c>
      <c r="G234" s="153" t="s">
        <v>1023</v>
      </c>
      <c r="H234" s="154" t="s">
        <v>1012</v>
      </c>
      <c r="I234" s="154" t="s">
        <v>759</v>
      </c>
      <c r="J234" s="247" t="s">
        <v>506</v>
      </c>
      <c r="K234" s="247" t="s">
        <v>1024</v>
      </c>
      <c r="L234" s="154" t="str">
        <f t="shared" si="1"/>
        <v/>
      </c>
      <c r="M234" s="248" t="str">
        <f>IFERROR(__xludf.DUMMYFUNCTION("VLOOKUP(C234,IMPORTRANGE(""https://docs.google.com/spreadsheets/d/1P8eX0NWBhUPS_hvzA11R6jkTNFrPrRYIx_dX_hYbxrk/edit?resourcekey=0-iw9bsKY2OqkUHCFMkCar3A&amp;gid=2055363397#gid=2055363397"",""MTR!C:O""),11,false)"),"PMW-L1")</f>
        <v>PMW-L1</v>
      </c>
      <c r="N234" s="248" t="str">
        <f>IFERROR(__xludf.DUMMYFUNCTION("VLOOKUP(C234,IMPORTRANGE(""https://docs.google.com/spreadsheets/d/1ihFlp3_ePlYtFuPbUNbYj1muErVpI73WHXbEwJDIA7Q/edit#gid=1493122344"",""MTR!C:O""),8,false)"),"Partially Complies")</f>
        <v>Partially Complies</v>
      </c>
      <c r="O234" s="248" t="str">
        <f>IFERROR(__xludf.DUMMYFUNCTION("VLOOKUP(C234,IMPORTRANGE(""https://docs.google.com/spreadsheets/d/1P8eX0NWBhUPS_hvzA11R6jkTNFrPrRYIx_dX_hYbxrk/edit?resourcekey=0-iw9bsKY2OqkUHCFMkCar3A&amp;gid=2055363397#gid=2055363397"",""MTR!C:O""),9,false)"),"B8, B20, B28 and B32 don't support 4x4 MIMO")</f>
        <v>B8, B20, B28 and B32 don't support 4x4 MIMO</v>
      </c>
      <c r="P234" s="248"/>
      <c r="Q234" s="249" t="s">
        <v>506</v>
      </c>
      <c r="R234" s="249" t="s">
        <v>1013</v>
      </c>
      <c r="S234" s="154" t="s">
        <v>66</v>
      </c>
      <c r="T234" s="154" t="s">
        <v>66</v>
      </c>
      <c r="U234" s="154" t="s">
        <v>66</v>
      </c>
      <c r="V234" s="154" t="s">
        <v>60</v>
      </c>
      <c r="W234" s="154" t="s">
        <v>60</v>
      </c>
      <c r="X234" s="154" t="s">
        <v>60</v>
      </c>
      <c r="Y234" s="154" t="s">
        <v>66</v>
      </c>
      <c r="Z234" s="154" t="s">
        <v>66</v>
      </c>
      <c r="AA234" s="154" t="s">
        <v>60</v>
      </c>
      <c r="AB234" s="154"/>
      <c r="AC234" s="242" t="b">
        <f t="shared" si="2"/>
        <v>1</v>
      </c>
      <c r="AD234" s="154" t="s">
        <v>516</v>
      </c>
      <c r="AE234" s="243" t="b">
        <f t="shared" si="3"/>
        <v>0</v>
      </c>
      <c r="AF234" s="154"/>
      <c r="AG234" s="243" t="b">
        <f t="shared" si="4"/>
        <v>0</v>
      </c>
      <c r="AH234" s="154"/>
      <c r="AI234" s="243" t="str">
        <f t="shared" si="5"/>
        <v>N/A</v>
      </c>
      <c r="AJ234" s="157" t="str">
        <f t="shared" si="6"/>
        <v/>
      </c>
    </row>
    <row r="235" ht="12.75" customHeight="1">
      <c r="A235" s="244" t="s">
        <v>621</v>
      </c>
      <c r="B235" s="244" t="s">
        <v>942</v>
      </c>
      <c r="C235" s="244" t="s">
        <v>1025</v>
      </c>
      <c r="D235" s="154" t="s">
        <v>967</v>
      </c>
      <c r="E235" s="250"/>
      <c r="F235" s="154" t="str">
        <f t="array" ref="F235">XLOOKUP(Cover!$D$12,$S$1:$AA$1,$S235:$AA235)</f>
        <v>Mandatory</v>
      </c>
      <c r="G235" s="153" t="s">
        <v>1026</v>
      </c>
      <c r="H235" s="154" t="s">
        <v>1018</v>
      </c>
      <c r="I235" s="154" t="s">
        <v>759</v>
      </c>
      <c r="J235" s="247" t="s">
        <v>506</v>
      </c>
      <c r="K235" s="247" t="s">
        <v>1027</v>
      </c>
      <c r="L235" s="154" t="str">
        <f t="shared" si="1"/>
        <v/>
      </c>
      <c r="M235" s="248" t="str">
        <f>IFERROR(__xludf.DUMMYFUNCTION("VLOOKUP(C235,IMPORTRANGE(""https://docs.google.com/spreadsheets/d/1P8eX0NWBhUPS_hvzA11R6jkTNFrPrRYIx_dX_hYbxrk/edit?resourcekey=0-iw9bsKY2OqkUHCFMkCar3A&amp;gid=2055363397#gid=2055363397"",""MTR!C:O""),11,false)"),"PMW-L1")</f>
        <v>PMW-L1</v>
      </c>
      <c r="N235" s="248" t="str">
        <f>IFERROR(__xludf.DUMMYFUNCTION("VLOOKUP(C235,IMPORTRANGE(""https://docs.google.com/spreadsheets/d/1ihFlp3_ePlYtFuPbUNbYj1muErVpI73WHXbEwJDIA7Q/edit#gid=1493122344"",""MTR!C:O""),8,false)"),"Partially Complies")</f>
        <v>Partially Complies</v>
      </c>
      <c r="O235" s="248" t="str">
        <f>IFERROR(__xludf.DUMMYFUNCTION("VLOOKUP(C235,IMPORTRANGE(""https://docs.google.com/spreadsheets/d/1P8eX0NWBhUPS_hvzA11R6jkTNFrPrRYIx_dX_hYbxrk/edit?resourcekey=0-iw9bsKY2OqkUHCFMkCar3A&amp;gid=2055363397#gid=2055363397"",""MTR!C:O""),9,false)"),"B8, B20, B28 and B32 don't support 4x4 MIMO. ")</f>
        <v>B8, B20, B28 and B32 don't support 4x4 MIMO. </v>
      </c>
      <c r="P235" s="248"/>
      <c r="Q235" s="249" t="s">
        <v>506</v>
      </c>
      <c r="R235" s="249" t="s">
        <v>1028</v>
      </c>
      <c r="S235" s="154" t="s">
        <v>66</v>
      </c>
      <c r="T235" s="154" t="s">
        <v>66</v>
      </c>
      <c r="U235" s="154" t="s">
        <v>66</v>
      </c>
      <c r="V235" s="154" t="s">
        <v>66</v>
      </c>
      <c r="W235" s="154" t="s">
        <v>60</v>
      </c>
      <c r="X235" s="154" t="s">
        <v>60</v>
      </c>
      <c r="Y235" s="154" t="s">
        <v>66</v>
      </c>
      <c r="Z235" s="154" t="s">
        <v>66</v>
      </c>
      <c r="AA235" s="154" t="s">
        <v>60</v>
      </c>
      <c r="AB235" s="154"/>
      <c r="AC235" s="242" t="b">
        <f t="shared" si="2"/>
        <v>1</v>
      </c>
      <c r="AD235" s="154" t="s">
        <v>516</v>
      </c>
      <c r="AE235" s="243" t="b">
        <f t="shared" si="3"/>
        <v>0</v>
      </c>
      <c r="AF235" s="154"/>
      <c r="AG235" s="243" t="b">
        <f t="shared" si="4"/>
        <v>0</v>
      </c>
      <c r="AH235" s="154"/>
      <c r="AI235" s="243" t="str">
        <f t="shared" si="5"/>
        <v>N/A</v>
      </c>
      <c r="AJ235" s="157" t="str">
        <f t="shared" si="6"/>
        <v/>
      </c>
    </row>
    <row r="236" ht="12.75" customHeight="1">
      <c r="A236" s="244" t="s">
        <v>621</v>
      </c>
      <c r="B236" s="244" t="s">
        <v>942</v>
      </c>
      <c r="C236" s="244" t="s">
        <v>1029</v>
      </c>
      <c r="D236" s="154" t="s">
        <v>411</v>
      </c>
      <c r="E236" s="250"/>
      <c r="F236" s="154" t="str">
        <f t="array" ref="F236">XLOOKUP(Cover!$D$12,$S$1:$AA$1,$S236:$AA236)</f>
        <v>Mandatory</v>
      </c>
      <c r="G236" s="153" t="s">
        <v>1030</v>
      </c>
      <c r="H236" s="154" t="s">
        <v>175</v>
      </c>
      <c r="I236" s="154" t="s">
        <v>759</v>
      </c>
      <c r="J236" s="247" t="s">
        <v>506</v>
      </c>
      <c r="K236" s="247" t="s">
        <v>1019</v>
      </c>
      <c r="L236" s="154" t="str">
        <f t="shared" si="1"/>
        <v/>
      </c>
      <c r="M236" s="248" t="str">
        <f>IFERROR(__xludf.DUMMYFUNCTION("VLOOKUP(C236,IMPORTRANGE(""https://docs.google.com/spreadsheets/d/1P8eX0NWBhUPS_hvzA11R6jkTNFrPrRYIx_dX_hYbxrk/edit?resourcekey=0-iw9bsKY2OqkUHCFMkCar3A&amp;gid=2055363397#gid=2055363397"",""MTR!C:O""),11,false)"),"PMW-L1")</f>
        <v>PMW-L1</v>
      </c>
      <c r="N236" s="248" t="str">
        <f>IFERROR(__xludf.DUMMYFUNCTION("VLOOKUP(C236,IMPORTRANGE(""https://docs.google.com/spreadsheets/d/1ihFlp3_ePlYtFuPbUNbYj1muErVpI73WHXbEwJDIA7Q/edit#gid=1493122344"",""MTR!C:O""),8,false)"),"Partially Complies")</f>
        <v>Partially Complies</v>
      </c>
      <c r="O236" s="241" t="str">
        <f>IFERROR(__xludf.DUMMYFUNCTION("VLOOKUP(C236,IMPORTRANGE(""https://docs.google.com/spreadsheets/d/1P8eX0NWBhUPS_hvzA11R6jkTNFrPrRYIx_dX_hYbxrk/edit?resourcekey=0-iw9bsKY2OqkUHCFMkCar3A&amp;gid=2055363397#gid=2055363397"",""MTR!C:O""),9,false)"),"")</f>
        <v/>
      </c>
      <c r="P236" s="241"/>
      <c r="Q236" s="251" t="s">
        <v>506</v>
      </c>
      <c r="R236" s="251" t="s">
        <v>1019</v>
      </c>
      <c r="S236" s="154" t="s">
        <v>66</v>
      </c>
      <c r="T236" s="154" t="s">
        <v>66</v>
      </c>
      <c r="U236" s="154" t="s">
        <v>66</v>
      </c>
      <c r="V236" s="154" t="s">
        <v>66</v>
      </c>
      <c r="W236" s="154" t="s">
        <v>66</v>
      </c>
      <c r="X236" s="154" t="s">
        <v>60</v>
      </c>
      <c r="Y236" s="154" t="s">
        <v>66</v>
      </c>
      <c r="Z236" s="154" t="s">
        <v>66</v>
      </c>
      <c r="AA236" s="154" t="s">
        <v>60</v>
      </c>
      <c r="AB236" s="154"/>
      <c r="AC236" s="242" t="b">
        <f t="shared" si="2"/>
        <v>1</v>
      </c>
      <c r="AD236" s="154" t="s">
        <v>68</v>
      </c>
      <c r="AE236" s="243" t="b">
        <f t="shared" si="3"/>
        <v>0</v>
      </c>
      <c r="AF236" s="154"/>
      <c r="AG236" s="243" t="b">
        <f t="shared" si="4"/>
        <v>0</v>
      </c>
      <c r="AH236" s="154"/>
      <c r="AI236" s="243" t="str">
        <f t="shared" si="5"/>
        <v>N/A</v>
      </c>
      <c r="AJ236" s="157" t="str">
        <f t="shared" si="6"/>
        <v/>
      </c>
    </row>
    <row r="237" ht="12.75" customHeight="1">
      <c r="A237" s="238" t="s">
        <v>621</v>
      </c>
      <c r="B237" s="238" t="s">
        <v>942</v>
      </c>
      <c r="C237" s="238" t="s">
        <v>1031</v>
      </c>
      <c r="D237" s="240"/>
      <c r="E237" s="252" t="s">
        <v>92</v>
      </c>
      <c r="F237" s="154" t="str">
        <f t="array" ref="F237">XLOOKUP(Cover!$D$12,$S$1:$AA$1,$S237:$AA237)</f>
        <v>Heading</v>
      </c>
      <c r="G237" s="239" t="s">
        <v>1032</v>
      </c>
      <c r="H237" s="240"/>
      <c r="I237" s="240" t="s">
        <v>759</v>
      </c>
      <c r="J237" s="240"/>
      <c r="K237" s="240"/>
      <c r="L237" s="154" t="str">
        <f t="shared" si="1"/>
        <v/>
      </c>
      <c r="M237" s="241" t="str">
        <f>IFERROR(__xludf.DUMMYFUNCTION("VLOOKUP(C237,IMPORTRANGE(""https://docs.google.com/spreadsheets/d/1P8eX0NWBhUPS_hvzA11R6jkTNFrPrRYIx_dX_hYbxrk/edit?resourcekey=0-iw9bsKY2OqkUHCFMkCar3A&amp;gid=2055363397#gid=2055363397"",""MTR!C:O""),11,false)"),"")</f>
        <v/>
      </c>
      <c r="N237" s="241" t="str">
        <f>IFERROR(__xludf.DUMMYFUNCTION("VLOOKUP(C237,IMPORTRANGE(""https://docs.google.com/spreadsheets/d/1ihFlp3_ePlYtFuPbUNbYj1muErVpI73WHXbEwJDIA7Q/edit#gid=1493122344"",""MTR!C:O""),8,false)"),"")</f>
        <v/>
      </c>
      <c r="O237" s="241" t="str">
        <f>IFERROR(__xludf.DUMMYFUNCTION("VLOOKUP(C237,IMPORTRANGE(""https://docs.google.com/spreadsheets/d/1P8eX0NWBhUPS_hvzA11R6jkTNFrPrRYIx_dX_hYbxrk/edit?resourcekey=0-iw9bsKY2OqkUHCFMkCar3A&amp;gid=2055363397#gid=2055363397"",""MTR!C:O""),9,false)"),"")</f>
        <v/>
      </c>
      <c r="P237" s="241"/>
      <c r="Q237" s="241"/>
      <c r="R237" s="241"/>
      <c r="S237" s="240" t="s">
        <v>390</v>
      </c>
      <c r="T237" s="240" t="s">
        <v>390</v>
      </c>
      <c r="U237" s="240" t="s">
        <v>390</v>
      </c>
      <c r="V237" s="240" t="s">
        <v>390</v>
      </c>
      <c r="W237" s="240" t="s">
        <v>390</v>
      </c>
      <c r="X237" s="240" t="s">
        <v>390</v>
      </c>
      <c r="Y237" s="240" t="s">
        <v>390</v>
      </c>
      <c r="Z237" s="240" t="s">
        <v>390</v>
      </c>
      <c r="AA237" s="240" t="s">
        <v>390</v>
      </c>
      <c r="AB237" s="240"/>
      <c r="AC237" s="242" t="b">
        <f t="shared" si="2"/>
        <v>0</v>
      </c>
      <c r="AD237" s="240" t="s">
        <v>391</v>
      </c>
      <c r="AE237" s="243" t="b">
        <f t="shared" si="3"/>
        <v>0</v>
      </c>
      <c r="AF237" s="240"/>
      <c r="AG237" s="243" t="b">
        <f t="shared" si="4"/>
        <v>0</v>
      </c>
      <c r="AH237" s="240"/>
      <c r="AI237" s="243" t="str">
        <f t="shared" si="5"/>
        <v>N/A</v>
      </c>
      <c r="AJ237" s="157" t="str">
        <f t="shared" si="6"/>
        <v/>
      </c>
    </row>
    <row r="238" ht="12.75" customHeight="1">
      <c r="A238" s="244" t="s">
        <v>621</v>
      </c>
      <c r="B238" s="244" t="s">
        <v>942</v>
      </c>
      <c r="C238" s="244" t="s">
        <v>1033</v>
      </c>
      <c r="D238" s="154" t="s">
        <v>581</v>
      </c>
      <c r="E238" s="250"/>
      <c r="F238" s="154" t="str">
        <f t="array" ref="F238">XLOOKUP(Cover!$D$12,$S$1:$AA$1,$S238:$AA238)</f>
        <v>Mandatory</v>
      </c>
      <c r="G238" s="153" t="s">
        <v>1034</v>
      </c>
      <c r="H238" s="154" t="s">
        <v>1018</v>
      </c>
      <c r="I238" s="154" t="s">
        <v>759</v>
      </c>
      <c r="J238" s="247" t="s">
        <v>506</v>
      </c>
      <c r="K238" s="247" t="s">
        <v>1024</v>
      </c>
      <c r="L238" s="154" t="str">
        <f t="shared" si="1"/>
        <v/>
      </c>
      <c r="M238" s="248" t="str">
        <f>IFERROR(__xludf.DUMMYFUNCTION("VLOOKUP(C238,IMPORTRANGE(""https://docs.google.com/spreadsheets/d/1P8eX0NWBhUPS_hvzA11R6jkTNFrPrRYIx_dX_hYbxrk/edit?resourcekey=0-iw9bsKY2OqkUHCFMkCar3A&amp;gid=2055363397#gid=2055363397"",""MTR!C:O""),11,false)"),"PMW-L1")</f>
        <v>PMW-L1</v>
      </c>
      <c r="N238" s="248" t="str">
        <f>IFERROR(__xludf.DUMMYFUNCTION("VLOOKUP(C238,IMPORTRANGE(""https://docs.google.com/spreadsheets/d/1ihFlp3_ePlYtFuPbUNbYj1muErVpI73WHXbEwJDIA7Q/edit#gid=1493122344"",""MTR!C:O""),8,false)"),"Partially Complies")</f>
        <v>Partially Complies</v>
      </c>
      <c r="O238" s="248" t="str">
        <f>IFERROR(__xludf.DUMMYFUNCTION("VLOOKUP(C238,IMPORTRANGE(""https://docs.google.com/spreadsheets/d/1P8eX0NWBhUPS_hvzA11R6jkTNFrPrRYIx_dX_hYbxrk/edit?resourcekey=0-iw9bsKY2OqkUHCFMkCar3A&amp;gid=2055363397#gid=2055363397"",""MTR!C:O""),9,false)"),"B8, B20, B28 don't support 4x4 MIMO")</f>
        <v>B8, B20, B28 don't support 4x4 MIMO</v>
      </c>
      <c r="P238" s="248"/>
      <c r="Q238" s="249" t="s">
        <v>506</v>
      </c>
      <c r="R238" s="249" t="s">
        <v>1013</v>
      </c>
      <c r="S238" s="154" t="s">
        <v>66</v>
      </c>
      <c r="T238" s="154" t="s">
        <v>66</v>
      </c>
      <c r="U238" s="154" t="s">
        <v>66</v>
      </c>
      <c r="V238" s="154" t="s">
        <v>66</v>
      </c>
      <c r="W238" s="154" t="s">
        <v>60</v>
      </c>
      <c r="X238" s="154" t="s">
        <v>60</v>
      </c>
      <c r="Y238" s="154" t="s">
        <v>66</v>
      </c>
      <c r="Z238" s="154" t="s">
        <v>66</v>
      </c>
      <c r="AA238" s="154" t="s">
        <v>60</v>
      </c>
      <c r="AB238" s="154"/>
      <c r="AC238" s="242" t="b">
        <f t="shared" si="2"/>
        <v>1</v>
      </c>
      <c r="AD238" s="154" t="s">
        <v>516</v>
      </c>
      <c r="AE238" s="243" t="b">
        <f t="shared" si="3"/>
        <v>0</v>
      </c>
      <c r="AF238" s="154"/>
      <c r="AG238" s="243" t="b">
        <f t="shared" si="4"/>
        <v>0</v>
      </c>
      <c r="AH238" s="154"/>
      <c r="AI238" s="243" t="str">
        <f t="shared" si="5"/>
        <v>N/A</v>
      </c>
      <c r="AJ238" s="157" t="str">
        <f t="shared" si="6"/>
        <v/>
      </c>
    </row>
    <row r="239" ht="12.75" customHeight="1">
      <c r="A239" s="244" t="s">
        <v>621</v>
      </c>
      <c r="B239" s="244" t="s">
        <v>942</v>
      </c>
      <c r="C239" s="244" t="s">
        <v>1035</v>
      </c>
      <c r="D239" s="154" t="s">
        <v>967</v>
      </c>
      <c r="E239" s="250"/>
      <c r="F239" s="154" t="str">
        <f t="array" ref="F239">XLOOKUP(Cover!$D$12,$S$1:$AA$1,$S239:$AA239)</f>
        <v>Mandatory</v>
      </c>
      <c r="G239" s="153" t="s">
        <v>1036</v>
      </c>
      <c r="H239" s="154" t="s">
        <v>1018</v>
      </c>
      <c r="I239" s="154" t="s">
        <v>759</v>
      </c>
      <c r="J239" s="247" t="s">
        <v>506</v>
      </c>
      <c r="K239" s="247" t="s">
        <v>1037</v>
      </c>
      <c r="L239" s="154" t="str">
        <f t="shared" si="1"/>
        <v/>
      </c>
      <c r="M239" s="248" t="str">
        <f>IFERROR(__xludf.DUMMYFUNCTION("VLOOKUP(C239,IMPORTRANGE(""https://docs.google.com/spreadsheets/d/1P8eX0NWBhUPS_hvzA11R6jkTNFrPrRYIx_dX_hYbxrk/edit?resourcekey=0-iw9bsKY2OqkUHCFMkCar3A&amp;gid=2055363397#gid=2055363397"",""MTR!C:O""),11,false)"),"PMW-L1")</f>
        <v>PMW-L1</v>
      </c>
      <c r="N239" s="248" t="str">
        <f>IFERROR(__xludf.DUMMYFUNCTION("VLOOKUP(C239,IMPORTRANGE(""https://docs.google.com/spreadsheets/d/1ihFlp3_ePlYtFuPbUNbYj1muErVpI73WHXbEwJDIA7Q/edit#gid=1493122344"",""MTR!C:O""),8,false)"),"Does Not Comply")</f>
        <v>Does Not Comply</v>
      </c>
      <c r="O239" s="248" t="str">
        <f>IFERROR(__xludf.DUMMYFUNCTION("VLOOKUP(C239,IMPORTRANGE(""https://docs.google.com/spreadsheets/d/1P8eX0NWBhUPS_hvzA11R6jkTNFrPrRYIx_dX_hYbxrk/edit?resourcekey=0-iw9bsKY2OqkUHCFMkCar3A&amp;gid=2055363397#gid=2055363397"",""MTR!C:O""),9,false)"),"B8, B20, B28 don't support 4x4 MIMO")</f>
        <v>B8, B20, B28 don't support 4x4 MIMO</v>
      </c>
      <c r="P239" s="248"/>
      <c r="Q239" s="249" t="s">
        <v>516</v>
      </c>
      <c r="R239" s="249" t="s">
        <v>1019</v>
      </c>
      <c r="S239" s="154" t="s">
        <v>66</v>
      </c>
      <c r="T239" s="154" t="s">
        <v>66</v>
      </c>
      <c r="U239" s="154" t="s">
        <v>66</v>
      </c>
      <c r="V239" s="154" t="s">
        <v>66</v>
      </c>
      <c r="W239" s="154" t="s">
        <v>60</v>
      </c>
      <c r="X239" s="154" t="s">
        <v>60</v>
      </c>
      <c r="Y239" s="154" t="s">
        <v>66</v>
      </c>
      <c r="Z239" s="154" t="s">
        <v>66</v>
      </c>
      <c r="AA239" s="154" t="s">
        <v>60</v>
      </c>
      <c r="AB239" s="154"/>
      <c r="AC239" s="242" t="b">
        <f t="shared" si="2"/>
        <v>1</v>
      </c>
      <c r="AD239" s="154" t="s">
        <v>516</v>
      </c>
      <c r="AE239" s="243" t="b">
        <f t="shared" si="3"/>
        <v>0</v>
      </c>
      <c r="AF239" s="154"/>
      <c r="AG239" s="243" t="b">
        <f t="shared" si="4"/>
        <v>0</v>
      </c>
      <c r="AH239" s="154"/>
      <c r="AI239" s="243" t="str">
        <f t="shared" si="5"/>
        <v>N/A</v>
      </c>
      <c r="AJ239" s="157" t="str">
        <f t="shared" si="6"/>
        <v/>
      </c>
    </row>
    <row r="240" ht="12.75" customHeight="1">
      <c r="A240" s="244" t="s">
        <v>621</v>
      </c>
      <c r="B240" s="244" t="s">
        <v>942</v>
      </c>
      <c r="C240" s="244" t="s">
        <v>1038</v>
      </c>
      <c r="D240" s="154" t="s">
        <v>542</v>
      </c>
      <c r="E240" s="250"/>
      <c r="F240" s="154" t="str">
        <f t="array" ref="F240">XLOOKUP(Cover!$D$12,$S$1:$AA$1,$S240:$AA240)</f>
        <v>Mandatory</v>
      </c>
      <c r="G240" s="153" t="s">
        <v>1039</v>
      </c>
      <c r="H240" s="154" t="s">
        <v>175</v>
      </c>
      <c r="I240" s="154" t="s">
        <v>759</v>
      </c>
      <c r="J240" s="247" t="s">
        <v>506</v>
      </c>
      <c r="K240" s="247" t="s">
        <v>1037</v>
      </c>
      <c r="L240" s="154" t="str">
        <f t="shared" si="1"/>
        <v/>
      </c>
      <c r="M240" s="248" t="str">
        <f>IFERROR(__xludf.DUMMYFUNCTION("VLOOKUP(C240,IMPORTRANGE(""https://docs.google.com/spreadsheets/d/1P8eX0NWBhUPS_hvzA11R6jkTNFrPrRYIx_dX_hYbxrk/edit?resourcekey=0-iw9bsKY2OqkUHCFMkCar3A&amp;gid=2055363397#gid=2055363397"",""MTR!C:O""),11,false)"),"PMW-L1")</f>
        <v>PMW-L1</v>
      </c>
      <c r="N240" s="248" t="str">
        <f>IFERROR(__xludf.DUMMYFUNCTION("VLOOKUP(C240,IMPORTRANGE(""https://docs.google.com/spreadsheets/d/1ihFlp3_ePlYtFuPbUNbYj1muErVpI73WHXbEwJDIA7Q/edit#gid=1493122344"",""MTR!C:O""),8,false)"),"Does Not Comply")</f>
        <v>Does Not Comply</v>
      </c>
      <c r="O240" s="248" t="str">
        <f>IFERROR(__xludf.DUMMYFUNCTION("VLOOKUP(C240,IMPORTRANGE(""https://docs.google.com/spreadsheets/d/1P8eX0NWBhUPS_hvzA11R6jkTNFrPrRYIx_dX_hYbxrk/edit?resourcekey=0-iw9bsKY2OqkUHCFMkCar3A&amp;gid=2055363397#gid=2055363397"",""MTR!C:O""),9,false)"),"B8, B20, B28 don't support 4x4 MIMO")</f>
        <v>B8, B20, B28 don't support 4x4 MIMO</v>
      </c>
      <c r="P240" s="248"/>
      <c r="Q240" s="249" t="s">
        <v>516</v>
      </c>
      <c r="R240" s="249" t="s">
        <v>1019</v>
      </c>
      <c r="S240" s="154" t="s">
        <v>66</v>
      </c>
      <c r="T240" s="154" t="s">
        <v>66</v>
      </c>
      <c r="U240" s="154" t="s">
        <v>66</v>
      </c>
      <c r="V240" s="154" t="s">
        <v>66</v>
      </c>
      <c r="W240" s="154" t="s">
        <v>66</v>
      </c>
      <c r="X240" s="154" t="s">
        <v>60</v>
      </c>
      <c r="Y240" s="154" t="s">
        <v>66</v>
      </c>
      <c r="Z240" s="154" t="s">
        <v>66</v>
      </c>
      <c r="AA240" s="154" t="s">
        <v>60</v>
      </c>
      <c r="AB240" s="154"/>
      <c r="AC240" s="242" t="b">
        <f t="shared" si="2"/>
        <v>1</v>
      </c>
      <c r="AD240" s="154" t="s">
        <v>516</v>
      </c>
      <c r="AE240" s="243" t="b">
        <f t="shared" si="3"/>
        <v>0</v>
      </c>
      <c r="AF240" s="154"/>
      <c r="AG240" s="243" t="b">
        <f t="shared" si="4"/>
        <v>0</v>
      </c>
      <c r="AH240" s="154"/>
      <c r="AI240" s="243" t="str">
        <f t="shared" si="5"/>
        <v>N/A</v>
      </c>
      <c r="AJ240" s="157" t="str">
        <f t="shared" si="6"/>
        <v/>
      </c>
    </row>
    <row r="241" ht="12.75" customHeight="1">
      <c r="A241" s="238" t="s">
        <v>621</v>
      </c>
      <c r="B241" s="238" t="s">
        <v>942</v>
      </c>
      <c r="C241" s="238" t="s">
        <v>1040</v>
      </c>
      <c r="D241" s="240"/>
      <c r="E241" s="252" t="s">
        <v>92</v>
      </c>
      <c r="F241" s="154" t="str">
        <f t="array" ref="F241">XLOOKUP(Cover!$D$12,$S$1:$AA$1,$S241:$AA241)</f>
        <v>Heading</v>
      </c>
      <c r="G241" s="239" t="s">
        <v>1041</v>
      </c>
      <c r="H241" s="240"/>
      <c r="I241" s="240" t="s">
        <v>759</v>
      </c>
      <c r="J241" s="240"/>
      <c r="K241" s="240"/>
      <c r="L241" s="154" t="str">
        <f t="shared" si="1"/>
        <v/>
      </c>
      <c r="M241" s="241" t="str">
        <f>IFERROR(__xludf.DUMMYFUNCTION("VLOOKUP(C241,IMPORTRANGE(""https://docs.google.com/spreadsheets/d/1P8eX0NWBhUPS_hvzA11R6jkTNFrPrRYIx_dX_hYbxrk/edit?resourcekey=0-iw9bsKY2OqkUHCFMkCar3A&amp;gid=2055363397#gid=2055363397"",""MTR!C:O""),11,false)"),"")</f>
        <v/>
      </c>
      <c r="N241" s="241" t="str">
        <f>IFERROR(__xludf.DUMMYFUNCTION("VLOOKUP(C241,IMPORTRANGE(""https://docs.google.com/spreadsheets/d/1ihFlp3_ePlYtFuPbUNbYj1muErVpI73WHXbEwJDIA7Q/edit#gid=1493122344"",""MTR!C:O""),8,false)"),"")</f>
        <v/>
      </c>
      <c r="O241" s="241" t="str">
        <f>IFERROR(__xludf.DUMMYFUNCTION("VLOOKUP(C241,IMPORTRANGE(""https://docs.google.com/spreadsheets/d/1P8eX0NWBhUPS_hvzA11R6jkTNFrPrRYIx_dX_hYbxrk/edit?resourcekey=0-iw9bsKY2OqkUHCFMkCar3A&amp;gid=2055363397#gid=2055363397"",""MTR!C:O""),9,false)"),"")</f>
        <v/>
      </c>
      <c r="P241" s="241"/>
      <c r="Q241" s="241"/>
      <c r="R241" s="241"/>
      <c r="S241" s="240" t="s">
        <v>390</v>
      </c>
      <c r="T241" s="240" t="s">
        <v>390</v>
      </c>
      <c r="U241" s="240" t="s">
        <v>390</v>
      </c>
      <c r="V241" s="240" t="s">
        <v>390</v>
      </c>
      <c r="W241" s="240" t="s">
        <v>390</v>
      </c>
      <c r="X241" s="240" t="s">
        <v>390</v>
      </c>
      <c r="Y241" s="240" t="s">
        <v>390</v>
      </c>
      <c r="Z241" s="240" t="s">
        <v>390</v>
      </c>
      <c r="AA241" s="240" t="s">
        <v>390</v>
      </c>
      <c r="AB241" s="240"/>
      <c r="AC241" s="242" t="b">
        <f t="shared" si="2"/>
        <v>0</v>
      </c>
      <c r="AD241" s="240" t="s">
        <v>391</v>
      </c>
      <c r="AE241" s="243" t="b">
        <f t="shared" si="3"/>
        <v>0</v>
      </c>
      <c r="AF241" s="240"/>
      <c r="AG241" s="243" t="b">
        <f t="shared" si="4"/>
        <v>0</v>
      </c>
      <c r="AH241" s="240"/>
      <c r="AI241" s="243" t="str">
        <f t="shared" si="5"/>
        <v>N/A</v>
      </c>
      <c r="AJ241" s="157" t="str">
        <f t="shared" si="6"/>
        <v/>
      </c>
    </row>
    <row r="242" ht="12.75" customHeight="1">
      <c r="A242" s="244" t="s">
        <v>621</v>
      </c>
      <c r="B242" s="244" t="s">
        <v>942</v>
      </c>
      <c r="C242" s="244" t="s">
        <v>1042</v>
      </c>
      <c r="D242" s="154" t="s">
        <v>542</v>
      </c>
      <c r="E242" s="250"/>
      <c r="F242" s="154" t="str">
        <f t="array" ref="F242">XLOOKUP(Cover!$D$12,$S$1:$AA$1,$S242:$AA242)</f>
        <v>Mandatory</v>
      </c>
      <c r="G242" s="153" t="s">
        <v>1043</v>
      </c>
      <c r="H242" s="154" t="s">
        <v>175</v>
      </c>
      <c r="I242" s="154" t="s">
        <v>759</v>
      </c>
      <c r="J242" s="247" t="s">
        <v>506</v>
      </c>
      <c r="K242" s="247" t="s">
        <v>1037</v>
      </c>
      <c r="L242" s="154" t="str">
        <f t="shared" si="1"/>
        <v/>
      </c>
      <c r="M242" s="248" t="str">
        <f>IFERROR(__xludf.DUMMYFUNCTION("VLOOKUP(C242,IMPORTRANGE(""https://docs.google.com/spreadsheets/d/1P8eX0NWBhUPS_hvzA11R6jkTNFrPrRYIx_dX_hYbxrk/edit?resourcekey=0-iw9bsKY2OqkUHCFMkCar3A&amp;gid=2055363397#gid=2055363397"",""MTR!C:O""),11,false)"),"PMW-L1")</f>
        <v>PMW-L1</v>
      </c>
      <c r="N242" s="248" t="str">
        <f>IFERROR(__xludf.DUMMYFUNCTION("VLOOKUP(C242,IMPORTRANGE(""https://docs.google.com/spreadsheets/d/1ihFlp3_ePlYtFuPbUNbYj1muErVpI73WHXbEwJDIA7Q/edit#gid=1493122344"",""MTR!C:O""),8,false)"),"Does Not Comply")</f>
        <v>Does Not Comply</v>
      </c>
      <c r="O242" s="248" t="str">
        <f>IFERROR(__xludf.DUMMYFUNCTION("VLOOKUP(C242,IMPORTRANGE(""https://docs.google.com/spreadsheets/d/1P8eX0NWBhUPS_hvzA11R6jkTNFrPrRYIx_dX_hYbxrk/edit?resourcekey=0-iw9bsKY2OqkUHCFMkCar3A&amp;gid=2055363397#gid=2055363397"",""MTR!C:O""),9,false)"),"B8, B20, B28 don't support 4x4 MIMO")</f>
        <v>B8, B20, B28 don't support 4x4 MIMO</v>
      </c>
      <c r="P242" s="248"/>
      <c r="Q242" s="249" t="s">
        <v>516</v>
      </c>
      <c r="R242" s="249" t="s">
        <v>1019</v>
      </c>
      <c r="S242" s="154" t="s">
        <v>66</v>
      </c>
      <c r="T242" s="154" t="s">
        <v>66</v>
      </c>
      <c r="U242" s="154" t="s">
        <v>66</v>
      </c>
      <c r="V242" s="154" t="s">
        <v>66</v>
      </c>
      <c r="W242" s="154" t="s">
        <v>64</v>
      </c>
      <c r="X242" s="154" t="s">
        <v>60</v>
      </c>
      <c r="Y242" s="154" t="s">
        <v>66</v>
      </c>
      <c r="Z242" s="154" t="s">
        <v>66</v>
      </c>
      <c r="AA242" s="154" t="s">
        <v>60</v>
      </c>
      <c r="AB242" s="154"/>
      <c r="AC242" s="242" t="b">
        <f t="shared" si="2"/>
        <v>1</v>
      </c>
      <c r="AD242" s="154" t="s">
        <v>516</v>
      </c>
      <c r="AE242" s="243" t="b">
        <f t="shared" si="3"/>
        <v>0</v>
      </c>
      <c r="AF242" s="154"/>
      <c r="AG242" s="243" t="b">
        <f t="shared" si="4"/>
        <v>0</v>
      </c>
      <c r="AH242" s="154"/>
      <c r="AI242" s="243" t="str">
        <f t="shared" si="5"/>
        <v>N/A</v>
      </c>
      <c r="AJ242" s="157" t="str">
        <f t="shared" si="6"/>
        <v/>
      </c>
    </row>
    <row r="243" ht="12.75" customHeight="1">
      <c r="A243" s="244" t="s">
        <v>621</v>
      </c>
      <c r="B243" s="244" t="s">
        <v>942</v>
      </c>
      <c r="C243" s="244" t="s">
        <v>1044</v>
      </c>
      <c r="D243" s="154" t="s">
        <v>542</v>
      </c>
      <c r="E243" s="250"/>
      <c r="F243" s="154" t="str">
        <f t="array" ref="F243">XLOOKUP(Cover!$D$12,$S$1:$AA$1,$S243:$AA243)</f>
        <v>Mandatory</v>
      </c>
      <c r="G243" s="153" t="s">
        <v>1045</v>
      </c>
      <c r="H243" s="154" t="s">
        <v>175</v>
      </c>
      <c r="I243" s="154" t="s">
        <v>759</v>
      </c>
      <c r="J243" s="247" t="s">
        <v>506</v>
      </c>
      <c r="K243" s="247" t="s">
        <v>1037</v>
      </c>
      <c r="L243" s="154" t="str">
        <f t="shared" si="1"/>
        <v/>
      </c>
      <c r="M243" s="248" t="str">
        <f>IFERROR(__xludf.DUMMYFUNCTION("VLOOKUP(C243,IMPORTRANGE(""https://docs.google.com/spreadsheets/d/1P8eX0NWBhUPS_hvzA11R6jkTNFrPrRYIx_dX_hYbxrk/edit?resourcekey=0-iw9bsKY2OqkUHCFMkCar3A&amp;gid=2055363397#gid=2055363397"",""MTR!C:O""),11,false)"),"PMW-L1")</f>
        <v>PMW-L1</v>
      </c>
      <c r="N243" s="248" t="str">
        <f>IFERROR(__xludf.DUMMYFUNCTION("VLOOKUP(C243,IMPORTRANGE(""https://docs.google.com/spreadsheets/d/1ihFlp3_ePlYtFuPbUNbYj1muErVpI73WHXbEwJDIA7Q/edit#gid=1493122344"",""MTR!C:O""),8,false)"),"Does Not Comply")</f>
        <v>Does Not Comply</v>
      </c>
      <c r="O243" s="248" t="str">
        <f>IFERROR(__xludf.DUMMYFUNCTION("VLOOKUP(C243,IMPORTRANGE(""https://docs.google.com/spreadsheets/d/1P8eX0NWBhUPS_hvzA11R6jkTNFrPrRYIx_dX_hYbxrk/edit?resourcekey=0-iw9bsKY2OqkUHCFMkCar3A&amp;gid=2055363397#gid=2055363397"",""MTR!C:O""),9,false)"),"B8, B20, B28 don't support 4x4 MIMO")</f>
        <v>B8, B20, B28 don't support 4x4 MIMO</v>
      </c>
      <c r="P243" s="248"/>
      <c r="Q243" s="249" t="s">
        <v>516</v>
      </c>
      <c r="R243" s="249" t="s">
        <v>1019</v>
      </c>
      <c r="S243" s="154" t="s">
        <v>66</v>
      </c>
      <c r="T243" s="154" t="s">
        <v>66</v>
      </c>
      <c r="U243" s="154" t="s">
        <v>66</v>
      </c>
      <c r="V243" s="154" t="s">
        <v>66</v>
      </c>
      <c r="W243" s="154" t="s">
        <v>66</v>
      </c>
      <c r="X243" s="154" t="s">
        <v>60</v>
      </c>
      <c r="Y243" s="154" t="s">
        <v>66</v>
      </c>
      <c r="Z243" s="154" t="s">
        <v>66</v>
      </c>
      <c r="AA243" s="154" t="s">
        <v>60</v>
      </c>
      <c r="AB243" s="154"/>
      <c r="AC243" s="242" t="b">
        <f t="shared" si="2"/>
        <v>1</v>
      </c>
      <c r="AD243" s="154" t="s">
        <v>516</v>
      </c>
      <c r="AE243" s="243" t="b">
        <f t="shared" si="3"/>
        <v>0</v>
      </c>
      <c r="AF243" s="154"/>
      <c r="AG243" s="243" t="b">
        <f t="shared" si="4"/>
        <v>0</v>
      </c>
      <c r="AH243" s="154"/>
      <c r="AI243" s="243" t="str">
        <f t="shared" si="5"/>
        <v>N/A</v>
      </c>
      <c r="AJ243" s="157" t="str">
        <f t="shared" si="6"/>
        <v/>
      </c>
    </row>
    <row r="244" ht="12.75" customHeight="1">
      <c r="A244" s="238" t="s">
        <v>621</v>
      </c>
      <c r="B244" s="238" t="s">
        <v>942</v>
      </c>
      <c r="C244" s="238" t="s">
        <v>1046</v>
      </c>
      <c r="D244" s="240"/>
      <c r="E244" s="252" t="s">
        <v>92</v>
      </c>
      <c r="F244" s="154" t="str">
        <f t="array" ref="F244">XLOOKUP(Cover!$D$12,$S$1:$AA$1,$S244:$AA244)</f>
        <v>Heading</v>
      </c>
      <c r="G244" s="239" t="s">
        <v>1047</v>
      </c>
      <c r="H244" s="240"/>
      <c r="I244" s="240" t="s">
        <v>759</v>
      </c>
      <c r="J244" s="240"/>
      <c r="K244" s="240"/>
      <c r="L244" s="154" t="str">
        <f t="shared" si="1"/>
        <v/>
      </c>
      <c r="M244" s="241" t="str">
        <f>IFERROR(__xludf.DUMMYFUNCTION("VLOOKUP(C244,IMPORTRANGE(""https://docs.google.com/spreadsheets/d/1P8eX0NWBhUPS_hvzA11R6jkTNFrPrRYIx_dX_hYbxrk/edit?resourcekey=0-iw9bsKY2OqkUHCFMkCar3A&amp;gid=2055363397#gid=2055363397"",""MTR!C:O""),11,false)"),"")</f>
        <v/>
      </c>
      <c r="N244" s="241" t="str">
        <f>IFERROR(__xludf.DUMMYFUNCTION("VLOOKUP(C244,IMPORTRANGE(""https://docs.google.com/spreadsheets/d/1ihFlp3_ePlYtFuPbUNbYj1muErVpI73WHXbEwJDIA7Q/edit#gid=1493122344"",""MTR!C:O""),8,false)"),"")</f>
        <v/>
      </c>
      <c r="O244" s="241" t="str">
        <f>IFERROR(__xludf.DUMMYFUNCTION("VLOOKUP(C244,IMPORTRANGE(""https://docs.google.com/spreadsheets/d/1P8eX0NWBhUPS_hvzA11R6jkTNFrPrRYIx_dX_hYbxrk/edit?resourcekey=0-iw9bsKY2OqkUHCFMkCar3A&amp;gid=2055363397#gid=2055363397"",""MTR!C:O""),9,false)"),"")</f>
        <v/>
      </c>
      <c r="P244" s="241"/>
      <c r="Q244" s="241"/>
      <c r="R244" s="241"/>
      <c r="S244" s="240" t="s">
        <v>390</v>
      </c>
      <c r="T244" s="240" t="s">
        <v>390</v>
      </c>
      <c r="U244" s="240" t="s">
        <v>390</v>
      </c>
      <c r="V244" s="240" t="s">
        <v>390</v>
      </c>
      <c r="W244" s="240" t="s">
        <v>390</v>
      </c>
      <c r="X244" s="240" t="s">
        <v>390</v>
      </c>
      <c r="Y244" s="240" t="s">
        <v>390</v>
      </c>
      <c r="Z244" s="240" t="s">
        <v>390</v>
      </c>
      <c r="AA244" s="240" t="s">
        <v>390</v>
      </c>
      <c r="AB244" s="240"/>
      <c r="AC244" s="242" t="b">
        <f t="shared" si="2"/>
        <v>0</v>
      </c>
      <c r="AD244" s="240" t="s">
        <v>391</v>
      </c>
      <c r="AE244" s="243" t="b">
        <f t="shared" si="3"/>
        <v>0</v>
      </c>
      <c r="AF244" s="240"/>
      <c r="AG244" s="243" t="b">
        <f t="shared" si="4"/>
        <v>0</v>
      </c>
      <c r="AH244" s="240"/>
      <c r="AI244" s="243" t="str">
        <f t="shared" si="5"/>
        <v>N/A</v>
      </c>
      <c r="AJ244" s="157" t="str">
        <f t="shared" si="6"/>
        <v/>
      </c>
    </row>
    <row r="245" ht="12.75" customHeight="1">
      <c r="A245" s="244" t="s">
        <v>621</v>
      </c>
      <c r="B245" s="244" t="s">
        <v>942</v>
      </c>
      <c r="C245" s="244" t="s">
        <v>1048</v>
      </c>
      <c r="D245" s="154" t="s">
        <v>542</v>
      </c>
      <c r="E245" s="250"/>
      <c r="F245" s="154" t="str">
        <f t="array" ref="F245">XLOOKUP(Cover!$D$12,$S$1:$AA$1,$S245:$AA245)</f>
        <v>Mandatory</v>
      </c>
      <c r="G245" s="153" t="s">
        <v>1049</v>
      </c>
      <c r="H245" s="154" t="s">
        <v>175</v>
      </c>
      <c r="I245" s="154" t="s">
        <v>759</v>
      </c>
      <c r="J245" s="247" t="s">
        <v>506</v>
      </c>
      <c r="K245" s="247" t="s">
        <v>1050</v>
      </c>
      <c r="L245" s="154" t="str">
        <f t="shared" si="1"/>
        <v/>
      </c>
      <c r="M245" s="248" t="str">
        <f>IFERROR(__xludf.DUMMYFUNCTION("VLOOKUP(C245,IMPORTRANGE(""https://docs.google.com/spreadsheets/d/1P8eX0NWBhUPS_hvzA11R6jkTNFrPrRYIx_dX_hYbxrk/edit?resourcekey=0-iw9bsKY2OqkUHCFMkCar3A&amp;gid=2055363397#gid=2055363397"",""MTR!C:O""),11,false)"),"PMW-L1")</f>
        <v>PMW-L1</v>
      </c>
      <c r="N245" s="248" t="str">
        <f>IFERROR(__xludf.DUMMYFUNCTION("VLOOKUP(C245,IMPORTRANGE(""https://docs.google.com/spreadsheets/d/1ihFlp3_ePlYtFuPbUNbYj1muErVpI73WHXbEwJDIA7Q/edit#gid=1493122344"",""MTR!C:O""),8,false)"),"Does Not Comply")</f>
        <v>Does Not Comply</v>
      </c>
      <c r="O245" s="248" t="str">
        <f>IFERROR(__xludf.DUMMYFUNCTION("VLOOKUP(C245,IMPORTRANGE(""https://docs.google.com/spreadsheets/d/1P8eX0NWBhUPS_hvzA11R6jkTNFrPrRYIx_dX_hYbxrk/edit?resourcekey=0-iw9bsKY2OqkUHCFMkCar3A&amp;gid=2055363397#gid=2055363397"",""MTR!C:O""),9,false)"),"B8, B20, B28 don't support 4x4 MIMO")</f>
        <v>B8, B20, B28 don't support 4x4 MIMO</v>
      </c>
      <c r="P245" s="248"/>
      <c r="Q245" s="249" t="s">
        <v>516</v>
      </c>
      <c r="R245" s="249" t="s">
        <v>1019</v>
      </c>
      <c r="S245" s="154" t="s">
        <v>66</v>
      </c>
      <c r="T245" s="154" t="s">
        <v>66</v>
      </c>
      <c r="U245" s="154" t="s">
        <v>66</v>
      </c>
      <c r="V245" s="154" t="s">
        <v>66</v>
      </c>
      <c r="W245" s="154" t="s">
        <v>66</v>
      </c>
      <c r="X245" s="154" t="s">
        <v>60</v>
      </c>
      <c r="Y245" s="154" t="s">
        <v>66</v>
      </c>
      <c r="Z245" s="154" t="s">
        <v>66</v>
      </c>
      <c r="AA245" s="154" t="s">
        <v>60</v>
      </c>
      <c r="AB245" s="154"/>
      <c r="AC245" s="242" t="b">
        <f t="shared" si="2"/>
        <v>1</v>
      </c>
      <c r="AD245" s="154" t="s">
        <v>516</v>
      </c>
      <c r="AE245" s="243" t="b">
        <f t="shared" si="3"/>
        <v>0</v>
      </c>
      <c r="AF245" s="154"/>
      <c r="AG245" s="243" t="b">
        <f t="shared" si="4"/>
        <v>0</v>
      </c>
      <c r="AH245" s="154"/>
      <c r="AI245" s="243" t="str">
        <f t="shared" si="5"/>
        <v>N/A</v>
      </c>
      <c r="AJ245" s="157" t="str">
        <f t="shared" si="6"/>
        <v/>
      </c>
    </row>
    <row r="246" ht="12.75" customHeight="1">
      <c r="A246" s="244" t="s">
        <v>621</v>
      </c>
      <c r="B246" s="244" t="s">
        <v>942</v>
      </c>
      <c r="C246" s="244" t="s">
        <v>1051</v>
      </c>
      <c r="D246" s="154" t="s">
        <v>542</v>
      </c>
      <c r="E246" s="250"/>
      <c r="F246" s="154" t="str">
        <f t="array" ref="F246">XLOOKUP(Cover!$D$12,$S$1:$AA$1,$S246:$AA246)</f>
        <v>Mandatory</v>
      </c>
      <c r="G246" s="153" t="s">
        <v>1052</v>
      </c>
      <c r="H246" s="154" t="s">
        <v>175</v>
      </c>
      <c r="I246" s="154" t="s">
        <v>759</v>
      </c>
      <c r="J246" s="247" t="s">
        <v>506</v>
      </c>
      <c r="K246" s="247" t="s">
        <v>1050</v>
      </c>
      <c r="L246" s="154" t="str">
        <f t="shared" si="1"/>
        <v/>
      </c>
      <c r="M246" s="248" t="str">
        <f>IFERROR(__xludf.DUMMYFUNCTION("VLOOKUP(C246,IMPORTRANGE(""https://docs.google.com/spreadsheets/d/1P8eX0NWBhUPS_hvzA11R6jkTNFrPrRYIx_dX_hYbxrk/edit?resourcekey=0-iw9bsKY2OqkUHCFMkCar3A&amp;gid=2055363397#gid=2055363397"",""MTR!C:O""),11,false)"),"PMW-L1")</f>
        <v>PMW-L1</v>
      </c>
      <c r="N246" s="248" t="str">
        <f>IFERROR(__xludf.DUMMYFUNCTION("VLOOKUP(C246,IMPORTRANGE(""https://docs.google.com/spreadsheets/d/1ihFlp3_ePlYtFuPbUNbYj1muErVpI73WHXbEwJDIA7Q/edit#gid=1493122344"",""MTR!C:O""),8,false)"),"Does Not Comply")</f>
        <v>Does Not Comply</v>
      </c>
      <c r="O246" s="248" t="str">
        <f>IFERROR(__xludf.DUMMYFUNCTION("VLOOKUP(C246,IMPORTRANGE(""https://docs.google.com/spreadsheets/d/1P8eX0NWBhUPS_hvzA11R6jkTNFrPrRYIx_dX_hYbxrk/edit?resourcekey=0-iw9bsKY2OqkUHCFMkCar3A&amp;gid=2055363397#gid=2055363397"",""MTR!C:O""),9,false)"),"B8, B20, B28 don't support 4x4 MIMO")</f>
        <v>B8, B20, B28 don't support 4x4 MIMO</v>
      </c>
      <c r="P246" s="248"/>
      <c r="Q246" s="249" t="s">
        <v>516</v>
      </c>
      <c r="R246" s="249" t="s">
        <v>1019</v>
      </c>
      <c r="S246" s="154" t="s">
        <v>66</v>
      </c>
      <c r="T246" s="154" t="s">
        <v>66</v>
      </c>
      <c r="U246" s="154" t="s">
        <v>66</v>
      </c>
      <c r="V246" s="154" t="s">
        <v>66</v>
      </c>
      <c r="W246" s="154" t="s">
        <v>66</v>
      </c>
      <c r="X246" s="154" t="s">
        <v>60</v>
      </c>
      <c r="Y246" s="154" t="s">
        <v>66</v>
      </c>
      <c r="Z246" s="154" t="s">
        <v>66</v>
      </c>
      <c r="AA246" s="154" t="s">
        <v>60</v>
      </c>
      <c r="AB246" s="154"/>
      <c r="AC246" s="242" t="b">
        <f t="shared" si="2"/>
        <v>1</v>
      </c>
      <c r="AD246" s="154" t="s">
        <v>516</v>
      </c>
      <c r="AE246" s="243" t="b">
        <f t="shared" si="3"/>
        <v>0</v>
      </c>
      <c r="AF246" s="154"/>
      <c r="AG246" s="243" t="b">
        <f t="shared" si="4"/>
        <v>0</v>
      </c>
      <c r="AH246" s="154"/>
      <c r="AI246" s="243" t="str">
        <f t="shared" si="5"/>
        <v>N/A</v>
      </c>
      <c r="AJ246" s="157" t="str">
        <f t="shared" si="6"/>
        <v/>
      </c>
    </row>
    <row r="247" ht="12.75" customHeight="1">
      <c r="A247" s="238" t="s">
        <v>621</v>
      </c>
      <c r="B247" s="238" t="s">
        <v>942</v>
      </c>
      <c r="C247" s="238" t="s">
        <v>1053</v>
      </c>
      <c r="D247" s="240"/>
      <c r="E247" s="252" t="s">
        <v>92</v>
      </c>
      <c r="F247" s="154" t="str">
        <f t="array" ref="F247">XLOOKUP(Cover!$D$12,$S$1:$AA$1,$S247:$AA247)</f>
        <v>Heading</v>
      </c>
      <c r="G247" s="239" t="s">
        <v>1054</v>
      </c>
      <c r="H247" s="240"/>
      <c r="I247" s="240" t="s">
        <v>759</v>
      </c>
      <c r="J247" s="240"/>
      <c r="K247" s="240"/>
      <c r="L247" s="154" t="str">
        <f t="shared" si="1"/>
        <v/>
      </c>
      <c r="M247" s="241" t="str">
        <f>IFERROR(__xludf.DUMMYFUNCTION("VLOOKUP(C247,IMPORTRANGE(""https://docs.google.com/spreadsheets/d/1P8eX0NWBhUPS_hvzA11R6jkTNFrPrRYIx_dX_hYbxrk/edit?resourcekey=0-iw9bsKY2OqkUHCFMkCar3A&amp;gid=2055363397#gid=2055363397"",""MTR!C:O""),11,false)"),"")</f>
        <v/>
      </c>
      <c r="N247" s="241" t="str">
        <f>IFERROR(__xludf.DUMMYFUNCTION("VLOOKUP(C247,IMPORTRANGE(""https://docs.google.com/spreadsheets/d/1ihFlp3_ePlYtFuPbUNbYj1muErVpI73WHXbEwJDIA7Q/edit#gid=1493122344"",""MTR!C:O""),8,false)"),"")</f>
        <v/>
      </c>
      <c r="O247" s="241" t="str">
        <f>IFERROR(__xludf.DUMMYFUNCTION("VLOOKUP(C247,IMPORTRANGE(""https://docs.google.com/spreadsheets/d/1P8eX0NWBhUPS_hvzA11R6jkTNFrPrRYIx_dX_hYbxrk/edit?resourcekey=0-iw9bsKY2OqkUHCFMkCar3A&amp;gid=2055363397#gid=2055363397"",""MTR!C:O""),9,false)"),"")</f>
        <v/>
      </c>
      <c r="P247" s="241"/>
      <c r="Q247" s="241"/>
      <c r="R247" s="241"/>
      <c r="S247" s="240" t="s">
        <v>390</v>
      </c>
      <c r="T247" s="240" t="s">
        <v>390</v>
      </c>
      <c r="U247" s="240" t="s">
        <v>390</v>
      </c>
      <c r="V247" s="240" t="s">
        <v>390</v>
      </c>
      <c r="W247" s="240" t="s">
        <v>390</v>
      </c>
      <c r="X247" s="240" t="s">
        <v>390</v>
      </c>
      <c r="Y247" s="240" t="s">
        <v>390</v>
      </c>
      <c r="Z247" s="240" t="s">
        <v>390</v>
      </c>
      <c r="AA247" s="240" t="s">
        <v>390</v>
      </c>
      <c r="AB247" s="240"/>
      <c r="AC247" s="242" t="b">
        <f t="shared" si="2"/>
        <v>0</v>
      </c>
      <c r="AD247" s="240" t="s">
        <v>391</v>
      </c>
      <c r="AE247" s="243" t="b">
        <f t="shared" si="3"/>
        <v>0</v>
      </c>
      <c r="AF247" s="240"/>
      <c r="AG247" s="243" t="b">
        <f t="shared" si="4"/>
        <v>0</v>
      </c>
      <c r="AH247" s="240"/>
      <c r="AI247" s="243" t="str">
        <f t="shared" si="5"/>
        <v>N/A</v>
      </c>
      <c r="AJ247" s="157" t="str">
        <f t="shared" si="6"/>
        <v/>
      </c>
    </row>
    <row r="248" ht="12.75" customHeight="1">
      <c r="A248" s="244" t="s">
        <v>621</v>
      </c>
      <c r="B248" s="244" t="s">
        <v>942</v>
      </c>
      <c r="C248" s="244" t="s">
        <v>1055</v>
      </c>
      <c r="D248" s="154" t="s">
        <v>542</v>
      </c>
      <c r="E248" s="250"/>
      <c r="F248" s="154" t="str">
        <f t="array" ref="F248">XLOOKUP(Cover!$D$12,$S$1:$AA$1,$S248:$AA248)</f>
        <v>Information</v>
      </c>
      <c r="G248" s="153" t="s">
        <v>1056</v>
      </c>
      <c r="H248" s="154"/>
      <c r="I248" s="154" t="s">
        <v>759</v>
      </c>
      <c r="J248" s="247" t="s">
        <v>516</v>
      </c>
      <c r="K248" s="247" t="s">
        <v>1057</v>
      </c>
      <c r="L248" s="154" t="str">
        <f t="shared" si="1"/>
        <v/>
      </c>
      <c r="M248" s="248" t="str">
        <f>IFERROR(__xludf.DUMMYFUNCTION("VLOOKUP(C248,IMPORTRANGE(""https://docs.google.com/spreadsheets/d/1P8eX0NWBhUPS_hvzA11R6jkTNFrPrRYIx_dX_hYbxrk/edit?resourcekey=0-iw9bsKY2OqkUHCFMkCar3A&amp;gid=2055363397#gid=2055363397"",""MTR!C:O""),11,false)"),"PMW-L1")</f>
        <v>PMW-L1</v>
      </c>
      <c r="N248" s="248" t="str">
        <f>IFERROR(__xludf.DUMMYFUNCTION("VLOOKUP(C248,IMPORTRANGE(""https://docs.google.com/spreadsheets/d/1ihFlp3_ePlYtFuPbUNbYj1muErVpI73WHXbEwJDIA7Q/edit#gid=1493122344"",""MTR!C:O""),8,false)"),"Does Not Comply")</f>
        <v>Does Not Comply</v>
      </c>
      <c r="O248" s="248" t="str">
        <f>IFERROR(__xludf.DUMMYFUNCTION("VLOOKUP(C248,IMPORTRANGE(""https://docs.google.com/spreadsheets/d/1P8eX0NWBhUPS_hvzA11R6jkTNFrPrRYIx_dX_hYbxrk/edit?resourcekey=0-iw9bsKY2OqkUHCFMkCar3A&amp;gid=2055363397#gid=2055363397"",""MTR!C:O""),9,false)"),"B8, B20, B28 don't support 4x4 MIMO")</f>
        <v>B8, B20, B28 don't support 4x4 MIMO</v>
      </c>
      <c r="P248" s="248"/>
      <c r="Q248" s="249" t="s">
        <v>516</v>
      </c>
      <c r="R248" s="249" t="s">
        <v>1057</v>
      </c>
      <c r="S248" s="154" t="s">
        <v>66</v>
      </c>
      <c r="T248" s="154" t="s">
        <v>66</v>
      </c>
      <c r="U248" s="154" t="s">
        <v>66</v>
      </c>
      <c r="V248" s="154" t="s">
        <v>66</v>
      </c>
      <c r="W248" s="154" t="s">
        <v>66</v>
      </c>
      <c r="X248" s="154" t="s">
        <v>66</v>
      </c>
      <c r="Y248" s="154" t="s">
        <v>66</v>
      </c>
      <c r="Z248" s="154" t="s">
        <v>66</v>
      </c>
      <c r="AA248" s="154" t="s">
        <v>66</v>
      </c>
      <c r="AB248" s="154"/>
      <c r="AC248" s="242" t="b">
        <f t="shared" si="2"/>
        <v>1</v>
      </c>
      <c r="AD248" s="154" t="s">
        <v>516</v>
      </c>
      <c r="AE248" s="243" t="b">
        <f t="shared" si="3"/>
        <v>0</v>
      </c>
      <c r="AF248" s="154"/>
      <c r="AG248" s="243" t="b">
        <f t="shared" si="4"/>
        <v>0</v>
      </c>
      <c r="AH248" s="154"/>
      <c r="AI248" s="243" t="str">
        <f t="shared" si="5"/>
        <v>N/A</v>
      </c>
      <c r="AJ248" s="157" t="str">
        <f t="shared" si="6"/>
        <v/>
      </c>
    </row>
    <row r="249" ht="12.75" customHeight="1">
      <c r="A249" s="238" t="s">
        <v>621</v>
      </c>
      <c r="B249" s="238" t="s">
        <v>942</v>
      </c>
      <c r="C249" s="238" t="s">
        <v>1058</v>
      </c>
      <c r="D249" s="240"/>
      <c r="E249" s="252" t="s">
        <v>92</v>
      </c>
      <c r="F249" s="154" t="str">
        <f t="array" ref="F249">XLOOKUP(Cover!$D$12,$S$1:$AA$1,$S249:$AA249)</f>
        <v>Heading</v>
      </c>
      <c r="G249" s="239" t="s">
        <v>1059</v>
      </c>
      <c r="H249" s="240"/>
      <c r="I249" s="240" t="s">
        <v>759</v>
      </c>
      <c r="J249" s="240"/>
      <c r="K249" s="240"/>
      <c r="L249" s="154" t="str">
        <f t="shared" si="1"/>
        <v/>
      </c>
      <c r="M249" s="241" t="str">
        <f>IFERROR(__xludf.DUMMYFUNCTION("VLOOKUP(C249,IMPORTRANGE(""https://docs.google.com/spreadsheets/d/1P8eX0NWBhUPS_hvzA11R6jkTNFrPrRYIx_dX_hYbxrk/edit?resourcekey=0-iw9bsKY2OqkUHCFMkCar3A&amp;gid=2055363397#gid=2055363397"",""MTR!C:O""),11,false)"),"")</f>
        <v/>
      </c>
      <c r="N249" s="241" t="str">
        <f>IFERROR(__xludf.DUMMYFUNCTION("VLOOKUP(C249,IMPORTRANGE(""https://docs.google.com/spreadsheets/d/1ihFlp3_ePlYtFuPbUNbYj1muErVpI73WHXbEwJDIA7Q/edit#gid=1493122344"",""MTR!C:O""),8,false)"),"")</f>
        <v/>
      </c>
      <c r="O249" s="241" t="str">
        <f>IFERROR(__xludf.DUMMYFUNCTION("VLOOKUP(C249,IMPORTRANGE(""https://docs.google.com/spreadsheets/d/1P8eX0NWBhUPS_hvzA11R6jkTNFrPrRYIx_dX_hYbxrk/edit?resourcekey=0-iw9bsKY2OqkUHCFMkCar3A&amp;gid=2055363397#gid=2055363397"",""MTR!C:O""),9,false)"),"")</f>
        <v/>
      </c>
      <c r="P249" s="241"/>
      <c r="Q249" s="241"/>
      <c r="R249" s="241"/>
      <c r="S249" s="240" t="s">
        <v>390</v>
      </c>
      <c r="T249" s="240" t="s">
        <v>390</v>
      </c>
      <c r="U249" s="240" t="s">
        <v>390</v>
      </c>
      <c r="V249" s="240" t="s">
        <v>390</v>
      </c>
      <c r="W249" s="240" t="s">
        <v>390</v>
      </c>
      <c r="X249" s="240" t="s">
        <v>390</v>
      </c>
      <c r="Y249" s="240" t="s">
        <v>390</v>
      </c>
      <c r="Z249" s="240" t="s">
        <v>390</v>
      </c>
      <c r="AA249" s="240" t="s">
        <v>390</v>
      </c>
      <c r="AB249" s="240"/>
      <c r="AC249" s="242" t="b">
        <f t="shared" si="2"/>
        <v>0</v>
      </c>
      <c r="AD249" s="240" t="s">
        <v>391</v>
      </c>
      <c r="AE249" s="243" t="b">
        <f t="shared" si="3"/>
        <v>0</v>
      </c>
      <c r="AF249" s="240"/>
      <c r="AG249" s="243" t="b">
        <f t="shared" si="4"/>
        <v>0</v>
      </c>
      <c r="AH249" s="240"/>
      <c r="AI249" s="243" t="str">
        <f t="shared" si="5"/>
        <v>N/A</v>
      </c>
      <c r="AJ249" s="157" t="str">
        <f t="shared" si="6"/>
        <v/>
      </c>
    </row>
    <row r="250" ht="12.75" customHeight="1">
      <c r="A250" s="244" t="s">
        <v>621</v>
      </c>
      <c r="B250" s="244" t="s">
        <v>942</v>
      </c>
      <c r="C250" s="244" t="s">
        <v>1060</v>
      </c>
      <c r="D250" s="154" t="s">
        <v>602</v>
      </c>
      <c r="E250" s="250"/>
      <c r="F250" s="154" t="str">
        <f t="array" ref="F250">XLOOKUP(Cover!$D$12,$S$1:$AA$1,$S250:$AA250)</f>
        <v>Information</v>
      </c>
      <c r="G250" s="153" t="s">
        <v>1061</v>
      </c>
      <c r="H250" s="154"/>
      <c r="I250" s="154" t="s">
        <v>759</v>
      </c>
      <c r="J250" s="247" t="s">
        <v>516</v>
      </c>
      <c r="K250" s="247" t="s">
        <v>1057</v>
      </c>
      <c r="L250" s="154" t="str">
        <f t="shared" si="1"/>
        <v/>
      </c>
      <c r="M250" s="248" t="str">
        <f>IFERROR(__xludf.DUMMYFUNCTION("VLOOKUP(C250,IMPORTRANGE(""https://docs.google.com/spreadsheets/d/1P8eX0NWBhUPS_hvzA11R6jkTNFrPrRYIx_dX_hYbxrk/edit?resourcekey=0-iw9bsKY2OqkUHCFMkCar3A&amp;gid=2055363397#gid=2055363397"",""MTR!C:O""),11,false)"),"PMW-L1")</f>
        <v>PMW-L1</v>
      </c>
      <c r="N250" s="248" t="str">
        <f>IFERROR(__xludf.DUMMYFUNCTION("VLOOKUP(C250,IMPORTRANGE(""https://docs.google.com/spreadsheets/d/1ihFlp3_ePlYtFuPbUNbYj1muErVpI73WHXbEwJDIA7Q/edit#gid=1493122344"",""MTR!C:O""),8,false)"),"Does Not Comply")</f>
        <v>Does Not Comply</v>
      </c>
      <c r="O250" s="248" t="str">
        <f>IFERROR(__xludf.DUMMYFUNCTION("VLOOKUP(C250,IMPORTRANGE(""https://docs.google.com/spreadsheets/d/1P8eX0NWBhUPS_hvzA11R6jkTNFrPrRYIx_dX_hYbxrk/edit?resourcekey=0-iw9bsKY2OqkUHCFMkCar3A&amp;gid=2055363397#gid=2055363397"",""MTR!C:O""),9,false)"),"B8, B20, B28 don't support 4x4 MIMO")</f>
        <v>B8, B20, B28 don't support 4x4 MIMO</v>
      </c>
      <c r="P250" s="248"/>
      <c r="Q250" s="249" t="s">
        <v>516</v>
      </c>
      <c r="R250" s="249" t="s">
        <v>1057</v>
      </c>
      <c r="S250" s="154" t="s">
        <v>66</v>
      </c>
      <c r="T250" s="154" t="s">
        <v>66</v>
      </c>
      <c r="U250" s="154" t="s">
        <v>66</v>
      </c>
      <c r="V250" s="154" t="s">
        <v>66</v>
      </c>
      <c r="W250" s="154" t="s">
        <v>66</v>
      </c>
      <c r="X250" s="154" t="s">
        <v>66</v>
      </c>
      <c r="Y250" s="154" t="s">
        <v>66</v>
      </c>
      <c r="Z250" s="154" t="s">
        <v>66</v>
      </c>
      <c r="AA250" s="154" t="s">
        <v>66</v>
      </c>
      <c r="AB250" s="154"/>
      <c r="AC250" s="242" t="b">
        <f t="shared" si="2"/>
        <v>1</v>
      </c>
      <c r="AD250" s="154" t="s">
        <v>516</v>
      </c>
      <c r="AE250" s="243" t="b">
        <f t="shared" si="3"/>
        <v>0</v>
      </c>
      <c r="AF250" s="154"/>
      <c r="AG250" s="243" t="b">
        <f t="shared" si="4"/>
        <v>0</v>
      </c>
      <c r="AH250" s="154"/>
      <c r="AI250" s="243" t="str">
        <f t="shared" si="5"/>
        <v>N/A</v>
      </c>
      <c r="AJ250" s="157" t="str">
        <f t="shared" si="6"/>
        <v/>
      </c>
    </row>
    <row r="251" ht="12.75" customHeight="1">
      <c r="A251" s="238" t="s">
        <v>621</v>
      </c>
      <c r="B251" s="238" t="s">
        <v>942</v>
      </c>
      <c r="C251" s="238" t="s">
        <v>1062</v>
      </c>
      <c r="D251" s="240"/>
      <c r="E251" s="252" t="s">
        <v>92</v>
      </c>
      <c r="F251" s="154" t="str">
        <f t="array" ref="F251">XLOOKUP(Cover!$D$12,$S$1:$AA$1,$S251:$AA251)</f>
        <v>Heading</v>
      </c>
      <c r="G251" s="239" t="s">
        <v>1063</v>
      </c>
      <c r="H251" s="240"/>
      <c r="I251" s="240" t="s">
        <v>759</v>
      </c>
      <c r="J251" s="240"/>
      <c r="K251" s="240"/>
      <c r="L251" s="154" t="str">
        <f t="shared" si="1"/>
        <v/>
      </c>
      <c r="M251" s="241" t="str">
        <f>IFERROR(__xludf.DUMMYFUNCTION("VLOOKUP(C251,IMPORTRANGE(""https://docs.google.com/spreadsheets/d/1P8eX0NWBhUPS_hvzA11R6jkTNFrPrRYIx_dX_hYbxrk/edit?resourcekey=0-iw9bsKY2OqkUHCFMkCar3A&amp;gid=2055363397#gid=2055363397"",""MTR!C:O""),11,false)"),"")</f>
        <v/>
      </c>
      <c r="N251" s="241" t="str">
        <f>IFERROR(__xludf.DUMMYFUNCTION("VLOOKUP(C251,IMPORTRANGE(""https://docs.google.com/spreadsheets/d/1ihFlp3_ePlYtFuPbUNbYj1muErVpI73WHXbEwJDIA7Q/edit#gid=1493122344"",""MTR!C:O""),8,false)"),"")</f>
        <v/>
      </c>
      <c r="O251" s="241" t="str">
        <f>IFERROR(__xludf.DUMMYFUNCTION("VLOOKUP(C251,IMPORTRANGE(""https://docs.google.com/spreadsheets/d/1P8eX0NWBhUPS_hvzA11R6jkTNFrPrRYIx_dX_hYbxrk/edit?resourcekey=0-iw9bsKY2OqkUHCFMkCar3A&amp;gid=2055363397#gid=2055363397"",""MTR!C:O""),9,false)"),"")</f>
        <v/>
      </c>
      <c r="P251" s="241"/>
      <c r="Q251" s="241"/>
      <c r="R251" s="241"/>
      <c r="S251" s="240" t="s">
        <v>390</v>
      </c>
      <c r="T251" s="240" t="s">
        <v>390</v>
      </c>
      <c r="U251" s="240" t="s">
        <v>390</v>
      </c>
      <c r="V251" s="240" t="s">
        <v>390</v>
      </c>
      <c r="W251" s="240" t="s">
        <v>390</v>
      </c>
      <c r="X251" s="240" t="s">
        <v>390</v>
      </c>
      <c r="Y251" s="240" t="s">
        <v>390</v>
      </c>
      <c r="Z251" s="240" t="s">
        <v>390</v>
      </c>
      <c r="AA251" s="240" t="s">
        <v>390</v>
      </c>
      <c r="AB251" s="240"/>
      <c r="AC251" s="242" t="b">
        <f t="shared" si="2"/>
        <v>0</v>
      </c>
      <c r="AD251" s="240" t="s">
        <v>391</v>
      </c>
      <c r="AE251" s="243" t="b">
        <f t="shared" si="3"/>
        <v>0</v>
      </c>
      <c r="AF251" s="240"/>
      <c r="AG251" s="243" t="b">
        <f t="shared" si="4"/>
        <v>0</v>
      </c>
      <c r="AH251" s="240"/>
      <c r="AI251" s="243" t="str">
        <f t="shared" si="5"/>
        <v>N/A</v>
      </c>
      <c r="AJ251" s="157" t="str">
        <f t="shared" si="6"/>
        <v/>
      </c>
    </row>
    <row r="252" ht="12.75" customHeight="1">
      <c r="A252" s="244" t="s">
        <v>621</v>
      </c>
      <c r="B252" s="244" t="s">
        <v>942</v>
      </c>
      <c r="C252" s="255" t="s">
        <v>1064</v>
      </c>
      <c r="D252" s="256" t="s">
        <v>42</v>
      </c>
      <c r="E252" s="257" t="s">
        <v>489</v>
      </c>
      <c r="F252" s="154" t="str">
        <f t="array" ref="F252">XLOOKUP(Cover!$D$12,$S$1:$AA$1,$S252:$AA252)</f>
        <v>Comments Vendor</v>
      </c>
      <c r="G252" s="153" t="s">
        <v>1065</v>
      </c>
      <c r="H252" s="154"/>
      <c r="I252" s="154" t="s">
        <v>759</v>
      </c>
      <c r="J252" s="154"/>
      <c r="K252" s="247" t="s">
        <v>1066</v>
      </c>
      <c r="L252" s="154" t="str">
        <f t="shared" si="1"/>
        <v/>
      </c>
      <c r="M252" s="253" t="s">
        <v>828</v>
      </c>
      <c r="N252" s="253" t="str">
        <f>IFERROR(__xludf.DUMMYFUNCTION("VLOOKUP(C252,IMPORTRANGE(""https://docs.google.com/spreadsheets/d/1ihFlp3_ePlYtFuPbUNbYj1muErVpI73WHXbEwJDIA7Q/edit#gid=1493122344"",""MTR!C:O""),8,false)"),"#N/A")</f>
        <v>#N/A</v>
      </c>
      <c r="O252" s="253" t="str">
        <f>IFERROR(__xludf.DUMMYFUNCTION("VLOOKUP(C252,IMPORTRANGE(""https://docs.google.com/spreadsheets/d/1P8eX0NWBhUPS_hvzA11R6jkTNFrPrRYIx_dX_hYbxrk/edit?resourcekey=0-iw9bsKY2OqkUHCFMkCar3A&amp;gid=2055363397#gid=2055363397"",""MTR!C:O""),9,false)"),"#N/A")</f>
        <v>#N/A</v>
      </c>
      <c r="P252" s="253"/>
      <c r="Q252" s="253"/>
      <c r="R252" s="253"/>
      <c r="S252" s="154" t="s">
        <v>62</v>
      </c>
      <c r="T252" s="154" t="s">
        <v>62</v>
      </c>
      <c r="U252" s="154" t="s">
        <v>62</v>
      </c>
      <c r="V252" s="154" t="s">
        <v>62</v>
      </c>
      <c r="W252" s="154" t="s">
        <v>62</v>
      </c>
      <c r="X252" s="154" t="s">
        <v>62</v>
      </c>
      <c r="Y252" s="154" t="s">
        <v>62</v>
      </c>
      <c r="Z252" s="154" t="s">
        <v>62</v>
      </c>
      <c r="AA252" s="154" t="s">
        <v>62</v>
      </c>
      <c r="AB252" s="154"/>
      <c r="AC252" s="242" t="b">
        <f t="shared" si="2"/>
        <v>1</v>
      </c>
      <c r="AD252" s="154" t="s">
        <v>400</v>
      </c>
      <c r="AE252" s="243" t="b">
        <f t="shared" si="3"/>
        <v>1</v>
      </c>
      <c r="AF252" s="154" t="s">
        <v>1067</v>
      </c>
      <c r="AG252" s="243" t="b">
        <f t="shared" si="4"/>
        <v>0</v>
      </c>
      <c r="AH252" s="154" t="s">
        <v>999</v>
      </c>
      <c r="AI252" s="243" t="str">
        <f t="shared" si="5"/>
        <v>Complies</v>
      </c>
      <c r="AJ252" s="157" t="str">
        <f t="shared" si="6"/>
        <v/>
      </c>
    </row>
    <row r="253" ht="12.75" customHeight="1">
      <c r="A253" s="244" t="s">
        <v>621</v>
      </c>
      <c r="B253" s="244" t="s">
        <v>942</v>
      </c>
      <c r="C253" s="244" t="s">
        <v>1068</v>
      </c>
      <c r="D253" s="154" t="s">
        <v>1069</v>
      </c>
      <c r="E253" s="250"/>
      <c r="F253" s="154" t="str">
        <f t="array" ref="F253">XLOOKUP(Cover!$D$12,$S$1:$AA$1,$S253:$AA253)</f>
        <v>Comments Vendor</v>
      </c>
      <c r="G253" s="153" t="s">
        <v>1070</v>
      </c>
      <c r="H253" s="154"/>
      <c r="I253" s="154" t="s">
        <v>759</v>
      </c>
      <c r="J253" s="154"/>
      <c r="K253" s="247" t="s">
        <v>1071</v>
      </c>
      <c r="L253" s="154" t="str">
        <f t="shared" si="1"/>
        <v/>
      </c>
      <c r="M253" s="248" t="str">
        <f>IFERROR(__xludf.DUMMYFUNCTION("VLOOKUP(C253,IMPORTRANGE(""https://docs.google.com/spreadsheets/d/1P8eX0NWBhUPS_hvzA11R6jkTNFrPrRYIx_dX_hYbxrk/edit?resourcekey=0-iw9bsKY2OqkUHCFMkCar3A&amp;gid=2055363397#gid=2055363397"",""MTR!C:O""),11,false)"),"TAM")</f>
        <v>TAM</v>
      </c>
      <c r="N253" s="241" t="str">
        <f>IFERROR(__xludf.DUMMYFUNCTION("VLOOKUP(C253,IMPORTRANGE(""https://docs.google.com/spreadsheets/d/1ihFlp3_ePlYtFuPbUNbYj1muErVpI73WHXbEwJDIA7Q/edit#gid=1493122344"",""MTR!C:O""),8,false)"),"")</f>
        <v/>
      </c>
      <c r="O253" s="248" t="str">
        <f>IFERROR(__xludf.DUMMYFUNCTION("VLOOKUP(C253,IMPORTRANGE(""https://docs.google.com/spreadsheets/d/1P8eX0NWBhUPS_hvzA11R6jkTNFrPrRYIx_dX_hYbxrk/edit?resourcekey=0-iw9bsKY2OqkUHCFMkCar3A&amp;gid=2055363397#gid=2055363397"",""MTR!C:O""),9,false)"),"Up to 5 inter-band LTE CA")</f>
        <v>Up to 5 inter-band LTE CA</v>
      </c>
      <c r="P253" s="248"/>
      <c r="Q253" s="248"/>
      <c r="R253" s="249" t="s">
        <v>1071</v>
      </c>
      <c r="S253" s="154" t="s">
        <v>62</v>
      </c>
      <c r="T253" s="154" t="s">
        <v>62</v>
      </c>
      <c r="U253" s="154" t="s">
        <v>62</v>
      </c>
      <c r="V253" s="154" t="s">
        <v>62</v>
      </c>
      <c r="W253" s="154" t="s">
        <v>62</v>
      </c>
      <c r="X253" s="154" t="s">
        <v>62</v>
      </c>
      <c r="Y253" s="154" t="s">
        <v>62</v>
      </c>
      <c r="Z253" s="154" t="s">
        <v>62</v>
      </c>
      <c r="AA253" s="154" t="s">
        <v>62</v>
      </c>
      <c r="AB253" s="154"/>
      <c r="AC253" s="242" t="b">
        <f t="shared" si="2"/>
        <v>1</v>
      </c>
      <c r="AD253" s="154" t="s">
        <v>400</v>
      </c>
      <c r="AE253" s="243" t="b">
        <f t="shared" si="3"/>
        <v>1</v>
      </c>
      <c r="AF253" s="154" t="s">
        <v>1072</v>
      </c>
      <c r="AG253" s="243" t="b">
        <f t="shared" si="4"/>
        <v>0</v>
      </c>
      <c r="AH253" s="154" t="s">
        <v>999</v>
      </c>
      <c r="AI253" s="243" t="str">
        <f t="shared" si="5"/>
        <v>Complies</v>
      </c>
      <c r="AJ253" s="157" t="str">
        <f t="shared" si="6"/>
        <v/>
      </c>
    </row>
    <row r="254" ht="12.75" customHeight="1">
      <c r="A254" s="244" t="s">
        <v>621</v>
      </c>
      <c r="B254" s="244" t="s">
        <v>942</v>
      </c>
      <c r="C254" s="244" t="s">
        <v>1073</v>
      </c>
      <c r="D254" s="154" t="s">
        <v>1069</v>
      </c>
      <c r="E254" s="250"/>
      <c r="F254" s="154" t="str">
        <f t="array" ref="F254">XLOOKUP(Cover!$D$12,$S$1:$AA$1,$S254:$AA254)</f>
        <v>Comments Vendor</v>
      </c>
      <c r="G254" s="153" t="s">
        <v>1074</v>
      </c>
      <c r="H254" s="154"/>
      <c r="I254" s="154" t="s">
        <v>759</v>
      </c>
      <c r="J254" s="154"/>
      <c r="K254" s="247" t="s">
        <v>1075</v>
      </c>
      <c r="L254" s="154" t="str">
        <f t="shared" si="1"/>
        <v/>
      </c>
      <c r="M254" s="248" t="str">
        <f>IFERROR(__xludf.DUMMYFUNCTION("VLOOKUP(C254,IMPORTRANGE(""https://docs.google.com/spreadsheets/d/1P8eX0NWBhUPS_hvzA11R6jkTNFrPrRYIx_dX_hYbxrk/edit?resourcekey=0-iw9bsKY2OqkUHCFMkCar3A&amp;gid=2055363397#gid=2055363397"",""MTR!C:O""),11,false)"),"TAM")</f>
        <v>TAM</v>
      </c>
      <c r="N254" s="241" t="str">
        <f>IFERROR(__xludf.DUMMYFUNCTION("VLOOKUP(C254,IMPORTRANGE(""https://docs.google.com/spreadsheets/d/1ihFlp3_ePlYtFuPbUNbYj1muErVpI73WHXbEwJDIA7Q/edit#gid=1493122344"",""MTR!C:O""),8,false)"),"")</f>
        <v/>
      </c>
      <c r="O254" s="248" t="str">
        <f>IFERROR(__xludf.DUMMYFUNCTION("VLOOKUP(C254,IMPORTRANGE(""https://docs.google.com/spreadsheets/d/1P8eX0NWBhUPS_hvzA11R6jkTNFrPrRYIx_dX_hYbxrk/edit?resourcekey=0-iw9bsKY2OqkUHCFMkCar3A&amp;gid=2055363397#gid=2055363397"",""MTR!C:O""),9,false)"),"24 layers")</f>
        <v>24 layers</v>
      </c>
      <c r="P254" s="248"/>
      <c r="Q254" s="248"/>
      <c r="R254" s="249" t="s">
        <v>1075</v>
      </c>
      <c r="S254" s="154" t="s">
        <v>62</v>
      </c>
      <c r="T254" s="154" t="s">
        <v>62</v>
      </c>
      <c r="U254" s="154" t="s">
        <v>62</v>
      </c>
      <c r="V254" s="154" t="s">
        <v>62</v>
      </c>
      <c r="W254" s="154" t="s">
        <v>62</v>
      </c>
      <c r="X254" s="154" t="s">
        <v>62</v>
      </c>
      <c r="Y254" s="154" t="s">
        <v>62</v>
      </c>
      <c r="Z254" s="154" t="s">
        <v>62</v>
      </c>
      <c r="AA254" s="154" t="s">
        <v>62</v>
      </c>
      <c r="AB254" s="154"/>
      <c r="AC254" s="242" t="b">
        <f t="shared" si="2"/>
        <v>1</v>
      </c>
      <c r="AD254" s="154" t="s">
        <v>400</v>
      </c>
      <c r="AE254" s="243" t="b">
        <f t="shared" si="3"/>
        <v>1</v>
      </c>
      <c r="AF254" s="154" t="s">
        <v>1076</v>
      </c>
      <c r="AG254" s="243" t="b">
        <f t="shared" si="4"/>
        <v>0</v>
      </c>
      <c r="AH254" s="154" t="s">
        <v>999</v>
      </c>
      <c r="AI254" s="243" t="str">
        <f t="shared" si="5"/>
        <v>Complies</v>
      </c>
      <c r="AJ254" s="157" t="str">
        <f t="shared" si="6"/>
        <v/>
      </c>
    </row>
    <row r="255" ht="12.75" customHeight="1">
      <c r="A255" s="244" t="s">
        <v>621</v>
      </c>
      <c r="B255" s="244" t="s">
        <v>942</v>
      </c>
      <c r="C255" s="244" t="s">
        <v>1077</v>
      </c>
      <c r="D255" s="154" t="s">
        <v>411</v>
      </c>
      <c r="E255" s="250"/>
      <c r="F255" s="154" t="str">
        <f t="array" ref="F255">XLOOKUP(Cover!$D$12,$S$1:$AA$1,$S255:$AA255)</f>
        <v>Information</v>
      </c>
      <c r="G255" s="153" t="s">
        <v>1078</v>
      </c>
      <c r="H255" s="154"/>
      <c r="I255" s="154" t="s">
        <v>759</v>
      </c>
      <c r="J255" s="247" t="s">
        <v>516</v>
      </c>
      <c r="K255" s="154"/>
      <c r="L255" s="154" t="str">
        <f t="shared" si="1"/>
        <v/>
      </c>
      <c r="M255" s="248" t="str">
        <f>IFERROR(__xludf.DUMMYFUNCTION("VLOOKUP(C255,IMPORTRANGE(""https://docs.google.com/spreadsheets/d/1P8eX0NWBhUPS_hvzA11R6jkTNFrPrRYIx_dX_hYbxrk/edit?resourcekey=0-iw9bsKY2OqkUHCFMkCar3A&amp;gid=2055363397#gid=2055363397"",""MTR!C:O""),11,false)"),"TAM")</f>
        <v>TAM</v>
      </c>
      <c r="N255" s="248" t="str">
        <f>IFERROR(__xludf.DUMMYFUNCTION("VLOOKUP(C255,IMPORTRANGE(""https://docs.google.com/spreadsheets/d/1ihFlp3_ePlYtFuPbUNbYj1muErVpI73WHXbEwJDIA7Q/edit#gid=1493122344"",""MTR!C:O""),8,false)"),"Does Not Comply")</f>
        <v>Does Not Comply</v>
      </c>
      <c r="O255" s="241" t="str">
        <f>IFERROR(__xludf.DUMMYFUNCTION("VLOOKUP(C255,IMPORTRANGE(""https://docs.google.com/spreadsheets/d/1P8eX0NWBhUPS_hvzA11R6jkTNFrPrRYIx_dX_hYbxrk/edit?resourcekey=0-iw9bsKY2OqkUHCFMkCar3A&amp;gid=2055363397#gid=2055363397"",""MTR!C:O""),9,false)"),"")</f>
        <v/>
      </c>
      <c r="P255" s="241"/>
      <c r="Q255" s="251" t="s">
        <v>516</v>
      </c>
      <c r="R255" s="241"/>
      <c r="S255" s="154" t="s">
        <v>66</v>
      </c>
      <c r="T255" s="154" t="s">
        <v>66</v>
      </c>
      <c r="U255" s="154" t="s">
        <v>66</v>
      </c>
      <c r="V255" s="154" t="s">
        <v>66</v>
      </c>
      <c r="W255" s="154" t="s">
        <v>66</v>
      </c>
      <c r="X255" s="154" t="s">
        <v>66</v>
      </c>
      <c r="Y255" s="154" t="s">
        <v>66</v>
      </c>
      <c r="Z255" s="154" t="s">
        <v>66</v>
      </c>
      <c r="AA255" s="154" t="s">
        <v>66</v>
      </c>
      <c r="AB255" s="154"/>
      <c r="AC255" s="242" t="b">
        <f t="shared" si="2"/>
        <v>1</v>
      </c>
      <c r="AD255" s="154" t="s">
        <v>445</v>
      </c>
      <c r="AE255" s="243" t="b">
        <f t="shared" si="3"/>
        <v>0</v>
      </c>
      <c r="AF255" s="154"/>
      <c r="AG255" s="243" t="b">
        <f t="shared" si="4"/>
        <v>0</v>
      </c>
      <c r="AH255" s="154" t="s">
        <v>1029</v>
      </c>
      <c r="AI255" s="243" t="str">
        <f t="shared" si="5"/>
        <v>Partially Complies</v>
      </c>
      <c r="AJ255" s="157" t="str">
        <f t="shared" si="6"/>
        <v/>
      </c>
    </row>
    <row r="256" ht="12.75" customHeight="1">
      <c r="A256" s="244" t="s">
        <v>621</v>
      </c>
      <c r="B256" s="244" t="s">
        <v>942</v>
      </c>
      <c r="C256" s="244" t="s">
        <v>1079</v>
      </c>
      <c r="D256" s="154" t="s">
        <v>581</v>
      </c>
      <c r="E256" s="250"/>
      <c r="F256" s="154" t="str">
        <f t="array" ref="F256">XLOOKUP(Cover!$D$12,$S$1:$AA$1,$S256:$AA256)</f>
        <v>Mandatory</v>
      </c>
      <c r="G256" s="153" t="s">
        <v>1080</v>
      </c>
      <c r="H256" s="154" t="s">
        <v>959</v>
      </c>
      <c r="I256" s="154" t="s">
        <v>759</v>
      </c>
      <c r="J256" s="247" t="s">
        <v>506</v>
      </c>
      <c r="K256" s="247" t="s">
        <v>1081</v>
      </c>
      <c r="L256" s="154" t="str">
        <f t="shared" si="1"/>
        <v/>
      </c>
      <c r="M256" s="253" t="str">
        <f>IFERROR(__xludf.DUMMYFUNCTION("VLOOKUP(C256,IMPORTRANGE(""https://docs.google.com/spreadsheets/d/1P8eX0NWBhUPS_hvzA11R6jkTNFrPrRYIx_dX_hYbxrk/edit?resourcekey=0-iw9bsKY2OqkUHCFMkCar3A&amp;gid=2055363397#gid=2055363397"",""MTR!C:O""),11,false)"),"#N/A")</f>
        <v>#N/A</v>
      </c>
      <c r="N256" s="248" t="str">
        <f>IFERROR(__xludf.DUMMYFUNCTION("VLOOKUP(C256,IMPORTRANGE(""https://docs.google.com/spreadsheets/d/1ihFlp3_ePlYtFuPbUNbYj1muErVpI73WHXbEwJDIA7Q/edit#gid=1493122344"",""MTR!C:O""),8,false)"),"Partially Complies")</f>
        <v>Partially Complies</v>
      </c>
      <c r="O256" s="253" t="str">
        <f>IFERROR(__xludf.DUMMYFUNCTION("VLOOKUP(C256,IMPORTRANGE(""https://docs.google.com/spreadsheets/d/1P8eX0NWBhUPS_hvzA11R6jkTNFrPrRYIx_dX_hYbxrk/edit?resourcekey=0-iw9bsKY2OqkUHCFMkCar3A&amp;gid=2055363397#gid=2055363397"",""MTR!C:O""),9,false)"),"#N/A")</f>
        <v>#N/A</v>
      </c>
      <c r="P256" s="253"/>
      <c r="Q256" s="259" t="s">
        <v>506</v>
      </c>
      <c r="R256" s="259" t="s">
        <v>1081</v>
      </c>
      <c r="S256" s="154" t="s">
        <v>66</v>
      </c>
      <c r="T256" s="154" t="s">
        <v>66</v>
      </c>
      <c r="U256" s="154" t="s">
        <v>60</v>
      </c>
      <c r="V256" s="154" t="s">
        <v>60</v>
      </c>
      <c r="W256" s="154" t="s">
        <v>60</v>
      </c>
      <c r="X256" s="154" t="s">
        <v>60</v>
      </c>
      <c r="Y256" s="154" t="s">
        <v>66</v>
      </c>
      <c r="Z256" s="154" t="s">
        <v>60</v>
      </c>
      <c r="AA256" s="154" t="s">
        <v>60</v>
      </c>
      <c r="AB256" s="154"/>
      <c r="AC256" s="242" t="b">
        <f t="shared" si="2"/>
        <v>1</v>
      </c>
      <c r="AD256" s="154" t="s">
        <v>445</v>
      </c>
      <c r="AE256" s="243" t="b">
        <f t="shared" si="3"/>
        <v>0</v>
      </c>
      <c r="AF256" s="154"/>
      <c r="AG256" s="243" t="b">
        <f t="shared" si="4"/>
        <v>0</v>
      </c>
      <c r="AH256" s="154"/>
      <c r="AI256" s="243" t="str">
        <f t="shared" si="5"/>
        <v>N/A</v>
      </c>
      <c r="AJ256" s="157" t="str">
        <f t="shared" si="6"/>
        <v/>
      </c>
    </row>
    <row r="257" ht="12.75" customHeight="1">
      <c r="A257" s="244" t="s">
        <v>621</v>
      </c>
      <c r="B257" s="244" t="s">
        <v>942</v>
      </c>
      <c r="C257" s="244" t="s">
        <v>1082</v>
      </c>
      <c r="D257" s="154" t="s">
        <v>642</v>
      </c>
      <c r="E257" s="250"/>
      <c r="F257" s="154" t="str">
        <f t="array" ref="F257">XLOOKUP(Cover!$D$12,$S$1:$AA$1,$S257:$AA257)</f>
        <v>Recommended</v>
      </c>
      <c r="G257" s="154" t="s">
        <v>1083</v>
      </c>
      <c r="H257" s="154"/>
      <c r="I257" s="154" t="s">
        <v>759</v>
      </c>
      <c r="J257" s="247" t="s">
        <v>617</v>
      </c>
      <c r="K257" s="247" t="s">
        <v>1084</v>
      </c>
      <c r="L257" s="154" t="str">
        <f t="shared" si="1"/>
        <v/>
      </c>
      <c r="M257" s="248" t="str">
        <f>IFERROR(__xludf.DUMMYFUNCTION("VLOOKUP(C257,IMPORTRANGE(""https://docs.google.com/spreadsheets/d/1P8eX0NWBhUPS_hvzA11R6jkTNFrPrRYIx_dX_hYbxrk/edit?resourcekey=0-iw9bsKY2OqkUHCFMkCar3A&amp;gid=2055363397#gid=2055363397"",""MTR!C:O""),11,false)"),"PMW-MCE-AS")</f>
        <v>PMW-MCE-AS</v>
      </c>
      <c r="N257" s="248" t="str">
        <f>IFERROR(__xludf.DUMMYFUNCTION("VLOOKUP(C257,IMPORTRANGE(""https://docs.google.com/spreadsheets/d/1ihFlp3_ePlYtFuPbUNbYj1muErVpI73WHXbEwJDIA7Q/edit#gid=1493122344"",""MTR!C:O""),8,false)"),"Not Applicable")</f>
        <v>Not Applicable</v>
      </c>
      <c r="O257" s="241" t="str">
        <f>IFERROR(__xludf.DUMMYFUNCTION("VLOOKUP(C257,IMPORTRANGE(""https://docs.google.com/spreadsheets/d/1P8eX0NWBhUPS_hvzA11R6jkTNFrPrRYIx_dX_hYbxrk/edit?resourcekey=0-iw9bsKY2OqkUHCFMkCar3A&amp;gid=2055363397#gid=2055363397"",""MTR!C:O""),9,false)"),"")</f>
        <v/>
      </c>
      <c r="P257" s="241"/>
      <c r="Q257" s="251" t="s">
        <v>617</v>
      </c>
      <c r="R257" s="241"/>
      <c r="S257" s="154" t="s">
        <v>66</v>
      </c>
      <c r="T257" s="154" t="s">
        <v>66</v>
      </c>
      <c r="U257" s="154" t="s">
        <v>64</v>
      </c>
      <c r="V257" s="154" t="s">
        <v>64</v>
      </c>
      <c r="W257" s="154" t="s">
        <v>64</v>
      </c>
      <c r="X257" s="154" t="s">
        <v>64</v>
      </c>
      <c r="Y257" s="154" t="s">
        <v>66</v>
      </c>
      <c r="Z257" s="154" t="s">
        <v>64</v>
      </c>
      <c r="AA257" s="154" t="s">
        <v>64</v>
      </c>
      <c r="AB257" s="154"/>
      <c r="AC257" s="242" t="b">
        <f t="shared" si="2"/>
        <v>1</v>
      </c>
      <c r="AD257" s="154" t="s">
        <v>391</v>
      </c>
      <c r="AE257" s="243" t="b">
        <f t="shared" si="3"/>
        <v>0</v>
      </c>
      <c r="AF257" s="154"/>
      <c r="AG257" s="243" t="b">
        <f t="shared" si="4"/>
        <v>0</v>
      </c>
      <c r="AH257" s="154"/>
      <c r="AI257" s="243" t="str">
        <f t="shared" si="5"/>
        <v>N/A</v>
      </c>
      <c r="AJ257" s="157" t="str">
        <f t="shared" si="6"/>
        <v/>
      </c>
    </row>
    <row r="258" ht="12.75" customHeight="1">
      <c r="A258" s="238" t="s">
        <v>621</v>
      </c>
      <c r="B258" s="238" t="s">
        <v>942</v>
      </c>
      <c r="C258" s="238" t="s">
        <v>1085</v>
      </c>
      <c r="D258" s="240"/>
      <c r="E258" s="252" t="s">
        <v>92</v>
      </c>
      <c r="F258" s="154" t="str">
        <f t="array" ref="F258">XLOOKUP(Cover!$D$12,$S$1:$AA$1,$S258:$AA258)</f>
        <v>Heading</v>
      </c>
      <c r="G258" s="239" t="s">
        <v>1086</v>
      </c>
      <c r="H258" s="240"/>
      <c r="I258" s="240" t="s">
        <v>389</v>
      </c>
      <c r="J258" s="240"/>
      <c r="K258" s="240"/>
      <c r="L258" s="154" t="str">
        <f t="shared" si="1"/>
        <v/>
      </c>
      <c r="M258" s="241" t="str">
        <f>IFERROR(__xludf.DUMMYFUNCTION("VLOOKUP(C258,IMPORTRANGE(""https://docs.google.com/spreadsheets/d/1P8eX0NWBhUPS_hvzA11R6jkTNFrPrRYIx_dX_hYbxrk/edit?resourcekey=0-iw9bsKY2OqkUHCFMkCar3A&amp;gid=2055363397#gid=2055363397"",""MTR!C:O""),11,false)"),"")</f>
        <v/>
      </c>
      <c r="N258" s="241" t="str">
        <f>IFERROR(__xludf.DUMMYFUNCTION("VLOOKUP(C258,IMPORTRANGE(""https://docs.google.com/spreadsheets/d/1ihFlp3_ePlYtFuPbUNbYj1muErVpI73WHXbEwJDIA7Q/edit#gid=1493122344"",""MTR!C:O""),8,false)"),"")</f>
        <v/>
      </c>
      <c r="O258" s="241" t="str">
        <f>IFERROR(__xludf.DUMMYFUNCTION("VLOOKUP(C258,IMPORTRANGE(""https://docs.google.com/spreadsheets/d/1P8eX0NWBhUPS_hvzA11R6jkTNFrPrRYIx_dX_hYbxrk/edit?resourcekey=0-iw9bsKY2OqkUHCFMkCar3A&amp;gid=2055363397#gid=2055363397"",""MTR!C:O""),9,false)"),"")</f>
        <v/>
      </c>
      <c r="P258" s="241"/>
      <c r="Q258" s="241"/>
      <c r="R258" s="241"/>
      <c r="S258" s="240" t="s">
        <v>390</v>
      </c>
      <c r="T258" s="240" t="s">
        <v>390</v>
      </c>
      <c r="U258" s="240" t="s">
        <v>390</v>
      </c>
      <c r="V258" s="240" t="s">
        <v>390</v>
      </c>
      <c r="W258" s="240" t="s">
        <v>390</v>
      </c>
      <c r="X258" s="240" t="s">
        <v>390</v>
      </c>
      <c r="Y258" s="240" t="s">
        <v>390</v>
      </c>
      <c r="Z258" s="240" t="s">
        <v>390</v>
      </c>
      <c r="AA258" s="240" t="s">
        <v>390</v>
      </c>
      <c r="AB258" s="240"/>
      <c r="AC258" s="242" t="b">
        <f t="shared" si="2"/>
        <v>0</v>
      </c>
      <c r="AD258" s="240" t="s">
        <v>391</v>
      </c>
      <c r="AE258" s="243" t="b">
        <f t="shared" si="3"/>
        <v>0</v>
      </c>
      <c r="AF258" s="240"/>
      <c r="AG258" s="243" t="b">
        <f t="shared" si="4"/>
        <v>0</v>
      </c>
      <c r="AH258" s="240"/>
      <c r="AI258" s="243" t="str">
        <f t="shared" si="5"/>
        <v>N/A</v>
      </c>
      <c r="AJ258" s="157" t="str">
        <f t="shared" si="6"/>
        <v/>
      </c>
    </row>
    <row r="259" ht="12.75" customHeight="1">
      <c r="A259" s="238" t="s">
        <v>621</v>
      </c>
      <c r="B259" s="238" t="s">
        <v>942</v>
      </c>
      <c r="C259" s="238" t="s">
        <v>1087</v>
      </c>
      <c r="D259" s="240"/>
      <c r="E259" s="252" t="s">
        <v>92</v>
      </c>
      <c r="F259" s="154" t="str">
        <f t="array" ref="F259">XLOOKUP(Cover!$D$12,$S$1:$AA$1,$S259:$AA259)</f>
        <v>Heading</v>
      </c>
      <c r="G259" s="239" t="s">
        <v>1088</v>
      </c>
      <c r="H259" s="240"/>
      <c r="I259" s="240" t="s">
        <v>389</v>
      </c>
      <c r="J259" s="240"/>
      <c r="K259" s="240"/>
      <c r="L259" s="154" t="str">
        <f t="shared" si="1"/>
        <v/>
      </c>
      <c r="M259" s="241" t="str">
        <f>IFERROR(__xludf.DUMMYFUNCTION("VLOOKUP(C259,IMPORTRANGE(""https://docs.google.com/spreadsheets/d/1P8eX0NWBhUPS_hvzA11R6jkTNFrPrRYIx_dX_hYbxrk/edit?resourcekey=0-iw9bsKY2OqkUHCFMkCar3A&amp;gid=2055363397#gid=2055363397"",""MTR!C:O""),11,false)"),"")</f>
        <v/>
      </c>
      <c r="N259" s="241" t="str">
        <f>IFERROR(__xludf.DUMMYFUNCTION("VLOOKUP(C259,IMPORTRANGE(""https://docs.google.com/spreadsheets/d/1ihFlp3_ePlYtFuPbUNbYj1muErVpI73WHXbEwJDIA7Q/edit#gid=1493122344"",""MTR!C:O""),8,false)"),"")</f>
        <v/>
      </c>
      <c r="O259" s="241" t="str">
        <f>IFERROR(__xludf.DUMMYFUNCTION("VLOOKUP(C259,IMPORTRANGE(""https://docs.google.com/spreadsheets/d/1P8eX0NWBhUPS_hvzA11R6jkTNFrPrRYIx_dX_hYbxrk/edit?resourcekey=0-iw9bsKY2OqkUHCFMkCar3A&amp;gid=2055363397#gid=2055363397"",""MTR!C:O""),9,false)"),"")</f>
        <v/>
      </c>
      <c r="P259" s="241"/>
      <c r="Q259" s="241"/>
      <c r="R259" s="241"/>
      <c r="S259" s="240" t="s">
        <v>390</v>
      </c>
      <c r="T259" s="240" t="s">
        <v>390</v>
      </c>
      <c r="U259" s="240" t="s">
        <v>390</v>
      </c>
      <c r="V259" s="240" t="s">
        <v>390</v>
      </c>
      <c r="W259" s="240" t="s">
        <v>390</v>
      </c>
      <c r="X259" s="240" t="s">
        <v>390</v>
      </c>
      <c r="Y259" s="240" t="s">
        <v>390</v>
      </c>
      <c r="Z259" s="240" t="s">
        <v>390</v>
      </c>
      <c r="AA259" s="240" t="s">
        <v>390</v>
      </c>
      <c r="AB259" s="240"/>
      <c r="AC259" s="242" t="b">
        <f t="shared" si="2"/>
        <v>0</v>
      </c>
      <c r="AD259" s="240" t="s">
        <v>391</v>
      </c>
      <c r="AE259" s="243" t="b">
        <f t="shared" si="3"/>
        <v>0</v>
      </c>
      <c r="AF259" s="240"/>
      <c r="AG259" s="243" t="b">
        <f t="shared" si="4"/>
        <v>0</v>
      </c>
      <c r="AH259" s="240"/>
      <c r="AI259" s="243" t="str">
        <f t="shared" si="5"/>
        <v>N/A</v>
      </c>
      <c r="AJ259" s="157" t="str">
        <f t="shared" si="6"/>
        <v/>
      </c>
    </row>
    <row r="260" ht="12.75" customHeight="1">
      <c r="A260" s="244" t="s">
        <v>621</v>
      </c>
      <c r="B260" s="244" t="s">
        <v>942</v>
      </c>
      <c r="C260" s="244" t="s">
        <v>1089</v>
      </c>
      <c r="D260" s="154" t="s">
        <v>492</v>
      </c>
      <c r="E260" s="250"/>
      <c r="F260" s="154" t="str">
        <f t="array" ref="F260">XLOOKUP(Cover!$D$12,$S$1:$AA$1,$S260:$AA260)</f>
        <v>Recommended</v>
      </c>
      <c r="G260" s="154" t="s">
        <v>1090</v>
      </c>
      <c r="H260" s="154"/>
      <c r="I260" s="154" t="s">
        <v>389</v>
      </c>
      <c r="J260" s="247" t="s">
        <v>516</v>
      </c>
      <c r="K260" s="154"/>
      <c r="L260" s="154" t="str">
        <f t="shared" si="1"/>
        <v/>
      </c>
      <c r="M260" s="248" t="str">
        <f>IFERROR(__xludf.DUMMYFUNCTION("VLOOKUP(C260,IMPORTRANGE(""https://docs.google.com/spreadsheets/d/1P8eX0NWBhUPS_hvzA11R6jkTNFrPrRYIx_dX_hYbxrk/edit?resourcekey=0-iw9bsKY2OqkUHCFMkCar3A&amp;gid=2055363397#gid=2055363397"",""MTR!C:O""),11,false)"),"PMW-MCE-AS")</f>
        <v>PMW-MCE-AS</v>
      </c>
      <c r="N260" s="248" t="str">
        <f>IFERROR(__xludf.DUMMYFUNCTION("VLOOKUP(C260,IMPORTRANGE(""https://docs.google.com/spreadsheets/d/1ihFlp3_ePlYtFuPbUNbYj1muErVpI73WHXbEwJDIA7Q/edit#gid=1493122344"",""MTR!C:O""),8,false)"),"Does Not Comply")</f>
        <v>Does Not Comply</v>
      </c>
      <c r="O260" s="241" t="str">
        <f>IFERROR(__xludf.DUMMYFUNCTION("VLOOKUP(C260,IMPORTRANGE(""https://docs.google.com/spreadsheets/d/1P8eX0NWBhUPS_hvzA11R6jkTNFrPrRYIx_dX_hYbxrk/edit?resourcekey=0-iw9bsKY2OqkUHCFMkCar3A&amp;gid=2055363397#gid=2055363397"",""MTR!C:O""),9,false)"),"")</f>
        <v/>
      </c>
      <c r="P260" s="241"/>
      <c r="Q260" s="251" t="s">
        <v>516</v>
      </c>
      <c r="R260" s="241"/>
      <c r="S260" s="154" t="s">
        <v>66</v>
      </c>
      <c r="T260" s="154" t="s">
        <v>66</v>
      </c>
      <c r="U260" s="154" t="s">
        <v>64</v>
      </c>
      <c r="V260" s="154" t="s">
        <v>64</v>
      </c>
      <c r="W260" s="154" t="s">
        <v>64</v>
      </c>
      <c r="X260" s="154" t="s">
        <v>64</v>
      </c>
      <c r="Y260" s="154" t="s">
        <v>66</v>
      </c>
      <c r="Z260" s="154" t="s">
        <v>64</v>
      </c>
      <c r="AA260" s="154" t="s">
        <v>64</v>
      </c>
      <c r="AB260" s="154"/>
      <c r="AC260" s="242" t="b">
        <f t="shared" si="2"/>
        <v>1</v>
      </c>
      <c r="AD260" s="154" t="s">
        <v>391</v>
      </c>
      <c r="AE260" s="243" t="b">
        <f t="shared" si="3"/>
        <v>0</v>
      </c>
      <c r="AF260" s="154"/>
      <c r="AG260" s="243" t="b">
        <f t="shared" si="4"/>
        <v>0</v>
      </c>
      <c r="AH260" s="154"/>
      <c r="AI260" s="243" t="str">
        <f t="shared" si="5"/>
        <v>N/A</v>
      </c>
      <c r="AJ260" s="157" t="str">
        <f t="shared" si="6"/>
        <v/>
      </c>
    </row>
    <row r="261" ht="12.75" customHeight="1">
      <c r="A261" s="238" t="s">
        <v>621</v>
      </c>
      <c r="B261" s="238" t="s">
        <v>942</v>
      </c>
      <c r="C261" s="238" t="s">
        <v>1091</v>
      </c>
      <c r="D261" s="240"/>
      <c r="E261" s="252" t="s">
        <v>92</v>
      </c>
      <c r="F261" s="154" t="str">
        <f t="array" ref="F261">XLOOKUP(Cover!$D$12,$S$1:$AA$1,$S261:$AA261)</f>
        <v>Heading</v>
      </c>
      <c r="G261" s="239" t="s">
        <v>1092</v>
      </c>
      <c r="H261" s="240"/>
      <c r="I261" s="240" t="s">
        <v>389</v>
      </c>
      <c r="J261" s="240"/>
      <c r="K261" s="240"/>
      <c r="L261" s="154" t="str">
        <f t="shared" si="1"/>
        <v/>
      </c>
      <c r="M261" s="241" t="str">
        <f>IFERROR(__xludf.DUMMYFUNCTION("VLOOKUP(C261,IMPORTRANGE(""https://docs.google.com/spreadsheets/d/1P8eX0NWBhUPS_hvzA11R6jkTNFrPrRYIx_dX_hYbxrk/edit?resourcekey=0-iw9bsKY2OqkUHCFMkCar3A&amp;gid=2055363397#gid=2055363397"",""MTR!C:O""),11,false)"),"")</f>
        <v/>
      </c>
      <c r="N261" s="241" t="str">
        <f>IFERROR(__xludf.DUMMYFUNCTION("VLOOKUP(C261,IMPORTRANGE(""https://docs.google.com/spreadsheets/d/1ihFlp3_ePlYtFuPbUNbYj1muErVpI73WHXbEwJDIA7Q/edit#gid=1493122344"",""MTR!C:O""),8,false)"),"")</f>
        <v/>
      </c>
      <c r="O261" s="241" t="str">
        <f>IFERROR(__xludf.DUMMYFUNCTION("VLOOKUP(C261,IMPORTRANGE(""https://docs.google.com/spreadsheets/d/1P8eX0NWBhUPS_hvzA11R6jkTNFrPrRYIx_dX_hYbxrk/edit?resourcekey=0-iw9bsKY2OqkUHCFMkCar3A&amp;gid=2055363397#gid=2055363397"",""MTR!C:O""),9,false)"),"")</f>
        <v/>
      </c>
      <c r="P261" s="241"/>
      <c r="Q261" s="241"/>
      <c r="R261" s="241"/>
      <c r="S261" s="240" t="s">
        <v>390</v>
      </c>
      <c r="T261" s="240" t="s">
        <v>390</v>
      </c>
      <c r="U261" s="240" t="s">
        <v>390</v>
      </c>
      <c r="V261" s="240" t="s">
        <v>390</v>
      </c>
      <c r="W261" s="240" t="s">
        <v>390</v>
      </c>
      <c r="X261" s="240" t="s">
        <v>390</v>
      </c>
      <c r="Y261" s="240" t="s">
        <v>390</v>
      </c>
      <c r="Z261" s="240" t="s">
        <v>390</v>
      </c>
      <c r="AA261" s="240" t="s">
        <v>390</v>
      </c>
      <c r="AB261" s="240"/>
      <c r="AC261" s="242" t="b">
        <f t="shared" si="2"/>
        <v>0</v>
      </c>
      <c r="AD261" s="240" t="s">
        <v>391</v>
      </c>
      <c r="AE261" s="243" t="b">
        <f t="shared" si="3"/>
        <v>0</v>
      </c>
      <c r="AF261" s="240"/>
      <c r="AG261" s="243" t="b">
        <f t="shared" si="4"/>
        <v>0</v>
      </c>
      <c r="AH261" s="240"/>
      <c r="AI261" s="243" t="str">
        <f t="shared" si="5"/>
        <v>N/A</v>
      </c>
      <c r="AJ261" s="157" t="str">
        <f t="shared" si="6"/>
        <v/>
      </c>
    </row>
    <row r="262" ht="12.75" customHeight="1">
      <c r="A262" s="244" t="s">
        <v>621</v>
      </c>
      <c r="B262" s="244" t="s">
        <v>942</v>
      </c>
      <c r="C262" s="245" t="s">
        <v>1093</v>
      </c>
      <c r="D262" s="155" t="s">
        <v>649</v>
      </c>
      <c r="E262" s="246" t="s">
        <v>92</v>
      </c>
      <c r="F262" s="154" t="str">
        <f t="array" ref="F262">XLOOKUP(Cover!$D$12,$S$1:$AA$1,$S262:$AA262)</f>
        <v>Mandatory</v>
      </c>
      <c r="G262" s="247" t="s">
        <v>1094</v>
      </c>
      <c r="H262" s="154" t="s">
        <v>959</v>
      </c>
      <c r="I262" s="154" t="s">
        <v>389</v>
      </c>
      <c r="J262" s="247" t="s">
        <v>516</v>
      </c>
      <c r="K262" s="247" t="s">
        <v>1095</v>
      </c>
      <c r="L262" s="154" t="str">
        <f t="shared" si="1"/>
        <v/>
      </c>
      <c r="M262" s="248" t="str">
        <f>IFERROR(__xludf.DUMMYFUNCTION("VLOOKUP(C262,IMPORTRANGE(""https://docs.google.com/spreadsheets/d/1P8eX0NWBhUPS_hvzA11R6jkTNFrPrRYIx_dX_hYbxrk/edit?resourcekey=0-iw9bsKY2OqkUHCFMkCar3A&amp;gid=2055363397#gid=2055363397"",""MTR!C:O""),11,false)"),"PMW-L1")</f>
        <v>PMW-L1</v>
      </c>
      <c r="N262" s="248" t="str">
        <f>IFERROR(__xludf.DUMMYFUNCTION("VLOOKUP(C262,IMPORTRANGE(""https://docs.google.com/spreadsheets/d/1ihFlp3_ePlYtFuPbUNbYj1muErVpI73WHXbEwJDIA7Q/edit#gid=1493122344"",""MTR!C:O""),8,false)"),"Complies")</f>
        <v>Complies</v>
      </c>
      <c r="O262" s="248" t="str">
        <f>IFERROR(__xludf.DUMMYFUNCTION("VLOOKUP(C262,IMPORTRANGE(""https://docs.google.com/spreadsheets/d/1P8eX0NWBhUPS_hvzA11R6jkTNFrPrRYIx_dX_hYbxrk/edit?resourcekey=0-iw9bsKY2OqkUHCFMkCar3A&amp;gid=2055363397#gid=2055363397"",""MTR!C:O""),9,false)"),"No specific band combination limitations")</f>
        <v>No specific band combination limitations</v>
      </c>
      <c r="P262" s="248"/>
      <c r="Q262" s="249" t="s">
        <v>445</v>
      </c>
      <c r="R262" s="249" t="s">
        <v>1096</v>
      </c>
      <c r="S262" s="154" t="s">
        <v>66</v>
      </c>
      <c r="T262" s="154" t="s">
        <v>66</v>
      </c>
      <c r="U262" s="154" t="s">
        <v>60</v>
      </c>
      <c r="V262" s="154" t="s">
        <v>60</v>
      </c>
      <c r="W262" s="154" t="s">
        <v>60</v>
      </c>
      <c r="X262" s="154" t="s">
        <v>60</v>
      </c>
      <c r="Y262" s="154" t="s">
        <v>66</v>
      </c>
      <c r="Z262" s="154" t="s">
        <v>60</v>
      </c>
      <c r="AA262" s="154" t="s">
        <v>60</v>
      </c>
      <c r="AB262" s="154"/>
      <c r="AC262" s="242" t="b">
        <f t="shared" si="2"/>
        <v>1</v>
      </c>
      <c r="AD262" s="154" t="s">
        <v>391</v>
      </c>
      <c r="AE262" s="243" t="b">
        <f t="shared" si="3"/>
        <v>0</v>
      </c>
      <c r="AF262" s="154"/>
      <c r="AG262" s="243" t="b">
        <f t="shared" si="4"/>
        <v>0</v>
      </c>
      <c r="AH262" s="154"/>
      <c r="AI262" s="243" t="str">
        <f t="shared" si="5"/>
        <v>N/A</v>
      </c>
      <c r="AJ262" s="157" t="str">
        <f t="shared" si="6"/>
        <v/>
      </c>
    </row>
    <row r="263" ht="12.75" customHeight="1">
      <c r="A263" s="244" t="s">
        <v>621</v>
      </c>
      <c r="B263" s="244" t="s">
        <v>942</v>
      </c>
      <c r="C263" s="244" t="s">
        <v>1097</v>
      </c>
      <c r="D263" s="154" t="s">
        <v>649</v>
      </c>
      <c r="E263" s="250"/>
      <c r="F263" s="154" t="str">
        <f t="array" ref="F263">XLOOKUP(Cover!$D$12,$S$1:$AA$1,$S263:$AA263)</f>
        <v>Recommended</v>
      </c>
      <c r="G263" s="154" t="s">
        <v>1098</v>
      </c>
      <c r="H263" s="154"/>
      <c r="I263" s="154" t="s">
        <v>389</v>
      </c>
      <c r="J263" s="247" t="s">
        <v>445</v>
      </c>
      <c r="K263" s="154"/>
      <c r="L263" s="154" t="str">
        <f t="shared" si="1"/>
        <v/>
      </c>
      <c r="M263" s="248" t="str">
        <f>IFERROR(__xludf.DUMMYFUNCTION("VLOOKUP(C263,IMPORTRANGE(""https://docs.google.com/spreadsheets/d/1P8eX0NWBhUPS_hvzA11R6jkTNFrPrRYIx_dX_hYbxrk/edit?resourcekey=0-iw9bsKY2OqkUHCFMkCar3A&amp;gid=2055363397#gid=2055363397"",""MTR!C:O""),11,false)"),"PMW-L1")</f>
        <v>PMW-L1</v>
      </c>
      <c r="N263" s="248" t="str">
        <f>IFERROR(__xludf.DUMMYFUNCTION("VLOOKUP(C263,IMPORTRANGE(""https://docs.google.com/spreadsheets/d/1ihFlp3_ePlYtFuPbUNbYj1muErVpI73WHXbEwJDIA7Q/edit#gid=1493122344"",""MTR!C:O""),8,false)"),"Complies")</f>
        <v>Complies</v>
      </c>
      <c r="O263" s="241" t="str">
        <f>IFERROR(__xludf.DUMMYFUNCTION("VLOOKUP(C263,IMPORTRANGE(""https://docs.google.com/spreadsheets/d/1P8eX0NWBhUPS_hvzA11R6jkTNFrPrRYIx_dX_hYbxrk/edit?resourcekey=0-iw9bsKY2OqkUHCFMkCar3A&amp;gid=2055363397#gid=2055363397"",""MTR!C:O""),9,false)"),"")</f>
        <v/>
      </c>
      <c r="P263" s="241"/>
      <c r="Q263" s="251" t="s">
        <v>445</v>
      </c>
      <c r="R263" s="241"/>
      <c r="S263" s="154" t="s">
        <v>66</v>
      </c>
      <c r="T263" s="154" t="s">
        <v>66</v>
      </c>
      <c r="U263" s="154" t="s">
        <v>64</v>
      </c>
      <c r="V263" s="154" t="s">
        <v>64</v>
      </c>
      <c r="W263" s="154" t="s">
        <v>64</v>
      </c>
      <c r="X263" s="154" t="s">
        <v>64</v>
      </c>
      <c r="Y263" s="154" t="s">
        <v>66</v>
      </c>
      <c r="Z263" s="154" t="s">
        <v>64</v>
      </c>
      <c r="AA263" s="154" t="s">
        <v>64</v>
      </c>
      <c r="AB263" s="154"/>
      <c r="AC263" s="242" t="b">
        <f t="shared" si="2"/>
        <v>1</v>
      </c>
      <c r="AD263" s="154" t="s">
        <v>391</v>
      </c>
      <c r="AE263" s="243" t="b">
        <f t="shared" si="3"/>
        <v>0</v>
      </c>
      <c r="AF263" s="154"/>
      <c r="AG263" s="243" t="b">
        <f t="shared" si="4"/>
        <v>0</v>
      </c>
      <c r="AH263" s="154"/>
      <c r="AI263" s="243" t="str">
        <f t="shared" si="5"/>
        <v>N/A</v>
      </c>
      <c r="AJ263" s="157" t="str">
        <f t="shared" si="6"/>
        <v/>
      </c>
    </row>
    <row r="264" ht="12.75" customHeight="1">
      <c r="A264" s="244" t="s">
        <v>621</v>
      </c>
      <c r="B264" s="244" t="s">
        <v>942</v>
      </c>
      <c r="C264" s="244" t="s">
        <v>1099</v>
      </c>
      <c r="D264" s="154" t="s">
        <v>967</v>
      </c>
      <c r="E264" s="250"/>
      <c r="F264" s="154" t="str">
        <f t="array" ref="F264">XLOOKUP(Cover!$D$12,$S$1:$AA$1,$S264:$AA264)</f>
        <v>Information</v>
      </c>
      <c r="G264" s="154" t="s">
        <v>1100</v>
      </c>
      <c r="H264" s="154"/>
      <c r="I264" s="154" t="s">
        <v>389</v>
      </c>
      <c r="J264" s="247" t="s">
        <v>506</v>
      </c>
      <c r="K264" s="247" t="s">
        <v>1101</v>
      </c>
      <c r="L264" s="154" t="str">
        <f t="shared" si="1"/>
        <v/>
      </c>
      <c r="M264" s="248" t="str">
        <f>IFERROR(__xludf.DUMMYFUNCTION("VLOOKUP(C264,IMPORTRANGE(""https://docs.google.com/spreadsheets/d/1P8eX0NWBhUPS_hvzA11R6jkTNFrPrRYIx_dX_hYbxrk/edit?resourcekey=0-iw9bsKY2OqkUHCFMkCar3A&amp;gid=2055363397#gid=2055363397"",""MTR!C:O""),11,false)"),"PMW-L1")</f>
        <v>PMW-L1</v>
      </c>
      <c r="N264" s="248" t="str">
        <f>IFERROR(__xludf.DUMMYFUNCTION("VLOOKUP(C264,IMPORTRANGE(""https://docs.google.com/spreadsheets/d/1ihFlp3_ePlYtFuPbUNbYj1muErVpI73WHXbEwJDIA7Q/edit#gid=1493122344"",""MTR!C:O""),8,false)"),"Complies")</f>
        <v>Complies</v>
      </c>
      <c r="O264" s="248" t="str">
        <f>IFERROR(__xludf.DUMMYFUNCTION("VLOOKUP(C264,IMPORTRANGE(""https://docs.google.com/spreadsheets/d/1P8eX0NWBhUPS_hvzA11R6jkTNFrPrRYIx_dX_hYbxrk/edit?resourcekey=0-iw9bsKY2OqkUHCFMkCar3A&amp;gid=2055363397#gid=2055363397"",""MTR!C:O""),9,false)"),"Support but disabled by default, please discuss with Google TAM for feature enablement plans if the feature is deployed in live network")</f>
        <v>Support but disabled by default, please discuss with Google TAM for feature enablement plans if the feature is deployed in live network</v>
      </c>
      <c r="P264" s="248"/>
      <c r="Q264" s="249" t="s">
        <v>445</v>
      </c>
      <c r="R264" s="249" t="s">
        <v>1102</v>
      </c>
      <c r="S264" s="154" t="s">
        <v>66</v>
      </c>
      <c r="T264" s="154" t="s">
        <v>66</v>
      </c>
      <c r="U264" s="154" t="s">
        <v>66</v>
      </c>
      <c r="V264" s="154" t="s">
        <v>66</v>
      </c>
      <c r="W264" s="154" t="s">
        <v>66</v>
      </c>
      <c r="X264" s="154" t="s">
        <v>66</v>
      </c>
      <c r="Y264" s="154" t="s">
        <v>66</v>
      </c>
      <c r="Z264" s="154" t="s">
        <v>66</v>
      </c>
      <c r="AA264" s="154" t="s">
        <v>66</v>
      </c>
      <c r="AB264" s="154"/>
      <c r="AC264" s="242" t="b">
        <f t="shared" si="2"/>
        <v>1</v>
      </c>
      <c r="AD264" s="154" t="s">
        <v>391</v>
      </c>
      <c r="AE264" s="243" t="b">
        <f t="shared" si="3"/>
        <v>0</v>
      </c>
      <c r="AF264" s="154"/>
      <c r="AG264" s="243" t="b">
        <f t="shared" si="4"/>
        <v>0</v>
      </c>
      <c r="AH264" s="154" t="s">
        <v>637</v>
      </c>
      <c r="AI264" s="243" t="str">
        <f t="shared" si="5"/>
        <v>Complies</v>
      </c>
      <c r="AJ264" s="157" t="str">
        <f t="shared" si="6"/>
        <v/>
      </c>
    </row>
    <row r="265" ht="12.75" customHeight="1">
      <c r="A265" s="238" t="s">
        <v>621</v>
      </c>
      <c r="B265" s="238" t="s">
        <v>942</v>
      </c>
      <c r="C265" s="238" t="s">
        <v>1103</v>
      </c>
      <c r="D265" s="240"/>
      <c r="E265" s="252" t="s">
        <v>92</v>
      </c>
      <c r="F265" s="154" t="str">
        <f t="array" ref="F265">XLOOKUP(Cover!$D$12,$S$1:$AA$1,$S265:$AA265)</f>
        <v>Heading</v>
      </c>
      <c r="G265" s="239" t="s">
        <v>1104</v>
      </c>
      <c r="H265" s="240"/>
      <c r="I265" s="240" t="s">
        <v>759</v>
      </c>
      <c r="J265" s="240"/>
      <c r="K265" s="240"/>
      <c r="L265" s="154" t="str">
        <f t="shared" si="1"/>
        <v/>
      </c>
      <c r="M265" s="241" t="str">
        <f>IFERROR(__xludf.DUMMYFUNCTION("VLOOKUP(C265,IMPORTRANGE(""https://docs.google.com/spreadsheets/d/1P8eX0NWBhUPS_hvzA11R6jkTNFrPrRYIx_dX_hYbxrk/edit?resourcekey=0-iw9bsKY2OqkUHCFMkCar3A&amp;gid=2055363397#gid=2055363397"",""MTR!C:O""),11,false)"),"")</f>
        <v/>
      </c>
      <c r="N265" s="241" t="str">
        <f>IFERROR(__xludf.DUMMYFUNCTION("VLOOKUP(C265,IMPORTRANGE(""https://docs.google.com/spreadsheets/d/1ihFlp3_ePlYtFuPbUNbYj1muErVpI73WHXbEwJDIA7Q/edit#gid=1493122344"",""MTR!C:O""),8,false)"),"")</f>
        <v/>
      </c>
      <c r="O265" s="241" t="str">
        <f>IFERROR(__xludf.DUMMYFUNCTION("VLOOKUP(C265,IMPORTRANGE(""https://docs.google.com/spreadsheets/d/1P8eX0NWBhUPS_hvzA11R6jkTNFrPrRYIx_dX_hYbxrk/edit?resourcekey=0-iw9bsKY2OqkUHCFMkCar3A&amp;gid=2055363397#gid=2055363397"",""MTR!C:O""),9,false)"),"")</f>
        <v/>
      </c>
      <c r="P265" s="241"/>
      <c r="Q265" s="241"/>
      <c r="R265" s="241"/>
      <c r="S265" s="240" t="s">
        <v>390</v>
      </c>
      <c r="T265" s="240" t="s">
        <v>390</v>
      </c>
      <c r="U265" s="240" t="s">
        <v>390</v>
      </c>
      <c r="V265" s="240" t="s">
        <v>390</v>
      </c>
      <c r="W265" s="240" t="s">
        <v>390</v>
      </c>
      <c r="X265" s="240" t="s">
        <v>390</v>
      </c>
      <c r="Y265" s="240" t="s">
        <v>390</v>
      </c>
      <c r="Z265" s="240" t="s">
        <v>390</v>
      </c>
      <c r="AA265" s="240" t="s">
        <v>390</v>
      </c>
      <c r="AB265" s="240"/>
      <c r="AC265" s="242" t="b">
        <f t="shared" si="2"/>
        <v>0</v>
      </c>
      <c r="AD265" s="240" t="s">
        <v>391</v>
      </c>
      <c r="AE265" s="243" t="b">
        <f t="shared" si="3"/>
        <v>0</v>
      </c>
      <c r="AF265" s="240"/>
      <c r="AG265" s="243" t="b">
        <f t="shared" si="4"/>
        <v>0</v>
      </c>
      <c r="AH265" s="240"/>
      <c r="AI265" s="243" t="str">
        <f t="shared" si="5"/>
        <v>N/A</v>
      </c>
      <c r="AJ265" s="157" t="str">
        <f t="shared" si="6"/>
        <v/>
      </c>
    </row>
    <row r="266" ht="12.75" customHeight="1">
      <c r="A266" s="238" t="s">
        <v>621</v>
      </c>
      <c r="B266" s="238" t="s">
        <v>942</v>
      </c>
      <c r="C266" s="238" t="s">
        <v>1105</v>
      </c>
      <c r="D266" s="240"/>
      <c r="E266" s="252" t="s">
        <v>92</v>
      </c>
      <c r="F266" s="154" t="str">
        <f t="array" ref="F266">XLOOKUP(Cover!$D$12,$S$1:$AA$1,$S266:$AA266)</f>
        <v>Heading</v>
      </c>
      <c r="G266" s="239" t="s">
        <v>1106</v>
      </c>
      <c r="H266" s="240"/>
      <c r="I266" s="240" t="s">
        <v>389</v>
      </c>
      <c r="J266" s="240"/>
      <c r="K266" s="240"/>
      <c r="L266" s="154" t="str">
        <f t="shared" si="1"/>
        <v/>
      </c>
      <c r="M266" s="241" t="str">
        <f>IFERROR(__xludf.DUMMYFUNCTION("VLOOKUP(C266,IMPORTRANGE(""https://docs.google.com/spreadsheets/d/1P8eX0NWBhUPS_hvzA11R6jkTNFrPrRYIx_dX_hYbxrk/edit?resourcekey=0-iw9bsKY2OqkUHCFMkCar3A&amp;gid=2055363397#gid=2055363397"",""MTR!C:O""),11,false)"),"")</f>
        <v/>
      </c>
      <c r="N266" s="241" t="str">
        <f>IFERROR(__xludf.DUMMYFUNCTION("VLOOKUP(C266,IMPORTRANGE(""https://docs.google.com/spreadsheets/d/1ihFlp3_ePlYtFuPbUNbYj1muErVpI73WHXbEwJDIA7Q/edit#gid=1493122344"",""MTR!C:O""),8,false)"),"")</f>
        <v/>
      </c>
      <c r="O266" s="241" t="str">
        <f>IFERROR(__xludf.DUMMYFUNCTION("VLOOKUP(C266,IMPORTRANGE(""https://docs.google.com/spreadsheets/d/1P8eX0NWBhUPS_hvzA11R6jkTNFrPrRYIx_dX_hYbxrk/edit?resourcekey=0-iw9bsKY2OqkUHCFMkCar3A&amp;gid=2055363397#gid=2055363397"",""MTR!C:O""),9,false)"),"")</f>
        <v/>
      </c>
      <c r="P266" s="241"/>
      <c r="Q266" s="241"/>
      <c r="R266" s="241"/>
      <c r="S266" s="240" t="s">
        <v>390</v>
      </c>
      <c r="T266" s="240" t="s">
        <v>390</v>
      </c>
      <c r="U266" s="240" t="s">
        <v>390</v>
      </c>
      <c r="V266" s="240" t="s">
        <v>390</v>
      </c>
      <c r="W266" s="240" t="s">
        <v>390</v>
      </c>
      <c r="X266" s="240" t="s">
        <v>390</v>
      </c>
      <c r="Y266" s="240" t="s">
        <v>390</v>
      </c>
      <c r="Z266" s="240" t="s">
        <v>390</v>
      </c>
      <c r="AA266" s="240" t="s">
        <v>390</v>
      </c>
      <c r="AB266" s="240"/>
      <c r="AC266" s="242" t="b">
        <f t="shared" si="2"/>
        <v>0</v>
      </c>
      <c r="AD266" s="240" t="s">
        <v>391</v>
      </c>
      <c r="AE266" s="243" t="b">
        <f t="shared" si="3"/>
        <v>0</v>
      </c>
      <c r="AF266" s="240"/>
      <c r="AG266" s="243" t="b">
        <f t="shared" si="4"/>
        <v>0</v>
      </c>
      <c r="AH266" s="240"/>
      <c r="AI266" s="243" t="str">
        <f t="shared" si="5"/>
        <v>N/A</v>
      </c>
      <c r="AJ266" s="157" t="str">
        <f t="shared" si="6"/>
        <v/>
      </c>
    </row>
    <row r="267" ht="12.75" customHeight="1">
      <c r="A267" s="244" t="s">
        <v>621</v>
      </c>
      <c r="B267" s="244" t="s">
        <v>942</v>
      </c>
      <c r="C267" s="244" t="s">
        <v>1107</v>
      </c>
      <c r="D267" s="154" t="s">
        <v>484</v>
      </c>
      <c r="E267" s="250"/>
      <c r="F267" s="154" t="str">
        <f t="array" ref="F267">XLOOKUP(Cover!$D$12,$S$1:$AA$1,$S267:$AA267)</f>
        <v>Information</v>
      </c>
      <c r="G267" s="153" t="s">
        <v>1108</v>
      </c>
      <c r="H267" s="154"/>
      <c r="I267" s="154" t="s">
        <v>632</v>
      </c>
      <c r="J267" s="247" t="s">
        <v>445</v>
      </c>
      <c r="K267" s="154"/>
      <c r="L267" s="154" t="str">
        <f t="shared" si="1"/>
        <v/>
      </c>
      <c r="M267" s="248" t="str">
        <f>IFERROR(__xludf.DUMMYFUNCTION("VLOOKUP(C267,IMPORTRANGE(""https://docs.google.com/spreadsheets/d/1P8eX0NWBhUPS_hvzA11R6jkTNFrPrRYIx_dX_hYbxrk/edit?resourcekey=0-iw9bsKY2OqkUHCFMkCar3A&amp;gid=2055363397#gid=2055363397"",""MTR!C:O""),11,false)"),"PMW-MCE-AS")</f>
        <v>PMW-MCE-AS</v>
      </c>
      <c r="N267" s="248" t="str">
        <f>IFERROR(__xludf.DUMMYFUNCTION("VLOOKUP(C267,IMPORTRANGE(""https://docs.google.com/spreadsheets/d/1ihFlp3_ePlYtFuPbUNbYj1muErVpI73WHXbEwJDIA7Q/edit#gid=1493122344"",""MTR!C:O""),8,false)"),"Complies")</f>
        <v>Complies</v>
      </c>
      <c r="O267" s="241" t="str">
        <f>IFERROR(__xludf.DUMMYFUNCTION("VLOOKUP(C267,IMPORTRANGE(""https://docs.google.com/spreadsheets/d/1P8eX0NWBhUPS_hvzA11R6jkTNFrPrRYIx_dX_hYbxrk/edit?resourcekey=0-iw9bsKY2OqkUHCFMkCar3A&amp;gid=2055363397#gid=2055363397"",""MTR!C:O""),9,false)"),"")</f>
        <v/>
      </c>
      <c r="P267" s="241"/>
      <c r="Q267" s="251" t="s">
        <v>445</v>
      </c>
      <c r="R267" s="241"/>
      <c r="S267" s="154" t="s">
        <v>66</v>
      </c>
      <c r="T267" s="154" t="s">
        <v>66</v>
      </c>
      <c r="U267" s="154" t="s">
        <v>66</v>
      </c>
      <c r="V267" s="154" t="s">
        <v>66</v>
      </c>
      <c r="W267" s="154" t="s">
        <v>66</v>
      </c>
      <c r="X267" s="154" t="s">
        <v>66</v>
      </c>
      <c r="Y267" s="154" t="s">
        <v>66</v>
      </c>
      <c r="Z267" s="154" t="s">
        <v>66</v>
      </c>
      <c r="AA267" s="154" t="s">
        <v>66</v>
      </c>
      <c r="AB267" s="154"/>
      <c r="AC267" s="242" t="b">
        <f t="shared" si="2"/>
        <v>1</v>
      </c>
      <c r="AD267" s="154" t="s">
        <v>516</v>
      </c>
      <c r="AE267" s="243" t="b">
        <f t="shared" si="3"/>
        <v>0</v>
      </c>
      <c r="AF267" s="154"/>
      <c r="AG267" s="243" t="b">
        <f t="shared" si="4"/>
        <v>0</v>
      </c>
      <c r="AH267" s="154" t="s">
        <v>637</v>
      </c>
      <c r="AI267" s="243" t="str">
        <f t="shared" si="5"/>
        <v>Complies</v>
      </c>
      <c r="AJ267" s="157" t="str">
        <f t="shared" si="6"/>
        <v/>
      </c>
    </row>
    <row r="268" ht="12.75" customHeight="1">
      <c r="A268" s="244" t="s">
        <v>621</v>
      </c>
      <c r="B268" s="244" t="s">
        <v>942</v>
      </c>
      <c r="C268" s="244" t="s">
        <v>1109</v>
      </c>
      <c r="D268" s="154" t="s">
        <v>459</v>
      </c>
      <c r="E268" s="250"/>
      <c r="F268" s="154" t="str">
        <f t="array" ref="F268">XLOOKUP(Cover!$D$12,$S$1:$AA$1,$S268:$AA268)</f>
        <v>Information</v>
      </c>
      <c r="G268" s="153" t="s">
        <v>1110</v>
      </c>
      <c r="H268" s="154"/>
      <c r="I268" s="154" t="s">
        <v>389</v>
      </c>
      <c r="J268" s="247" t="s">
        <v>516</v>
      </c>
      <c r="K268" s="154"/>
      <c r="L268" s="154" t="str">
        <f t="shared" si="1"/>
        <v/>
      </c>
      <c r="M268" s="248" t="str">
        <f>IFERROR(__xludf.DUMMYFUNCTION("VLOOKUP(C268,IMPORTRANGE(""https://docs.google.com/spreadsheets/d/1P8eX0NWBhUPS_hvzA11R6jkTNFrPrRYIx_dX_hYbxrk/edit?resourcekey=0-iw9bsKY2OqkUHCFMkCar3A&amp;gid=2055363397#gid=2055363397"",""MTR!C:O""),11,false)"),"PMW-MCE-AS")</f>
        <v>PMW-MCE-AS</v>
      </c>
      <c r="N268" s="248" t="str">
        <f>IFERROR(__xludf.DUMMYFUNCTION("VLOOKUP(C268,IMPORTRANGE(""https://docs.google.com/spreadsheets/d/1ihFlp3_ePlYtFuPbUNbYj1muErVpI73WHXbEwJDIA7Q/edit#gid=1493122344"",""MTR!C:O""),8,false)"),"Does Not Comply")</f>
        <v>Does Not Comply</v>
      </c>
      <c r="O268" s="241" t="str">
        <f>IFERROR(__xludf.DUMMYFUNCTION("VLOOKUP(C268,IMPORTRANGE(""https://docs.google.com/spreadsheets/d/1P8eX0NWBhUPS_hvzA11R6jkTNFrPrRYIx_dX_hYbxrk/edit?resourcekey=0-iw9bsKY2OqkUHCFMkCar3A&amp;gid=2055363397#gid=2055363397"",""MTR!C:O""),9,false)"),"")</f>
        <v/>
      </c>
      <c r="P268" s="241"/>
      <c r="Q268" s="251" t="s">
        <v>516</v>
      </c>
      <c r="R268" s="241"/>
      <c r="S268" s="154" t="s">
        <v>66</v>
      </c>
      <c r="T268" s="154" t="s">
        <v>66</v>
      </c>
      <c r="U268" s="154" t="s">
        <v>66</v>
      </c>
      <c r="V268" s="154" t="s">
        <v>66</v>
      </c>
      <c r="W268" s="154" t="s">
        <v>66</v>
      </c>
      <c r="X268" s="154" t="s">
        <v>66</v>
      </c>
      <c r="Y268" s="154" t="s">
        <v>66</v>
      </c>
      <c r="Z268" s="154" t="s">
        <v>66</v>
      </c>
      <c r="AA268" s="154" t="s">
        <v>66</v>
      </c>
      <c r="AB268" s="154"/>
      <c r="AC268" s="242" t="b">
        <f t="shared" si="2"/>
        <v>1</v>
      </c>
      <c r="AD268" s="154" t="s">
        <v>391</v>
      </c>
      <c r="AE268" s="243" t="b">
        <f t="shared" si="3"/>
        <v>0</v>
      </c>
      <c r="AF268" s="154"/>
      <c r="AG268" s="243" t="b">
        <f t="shared" si="4"/>
        <v>0</v>
      </c>
      <c r="AH268" s="154" t="s">
        <v>637</v>
      </c>
      <c r="AI268" s="243" t="str">
        <f t="shared" si="5"/>
        <v>Complies</v>
      </c>
      <c r="AJ268" s="157" t="str">
        <f t="shared" si="6"/>
        <v/>
      </c>
    </row>
    <row r="269" ht="12.75" customHeight="1">
      <c r="A269" s="244" t="s">
        <v>621</v>
      </c>
      <c r="B269" s="244" t="s">
        <v>942</v>
      </c>
      <c r="C269" s="244" t="s">
        <v>1111</v>
      </c>
      <c r="D269" s="154" t="s">
        <v>459</v>
      </c>
      <c r="E269" s="250"/>
      <c r="F269" s="154" t="str">
        <f t="array" ref="F269">XLOOKUP(Cover!$D$12,$S$1:$AA$1,$S269:$AA269)</f>
        <v>Information</v>
      </c>
      <c r="G269" s="153" t="s">
        <v>1112</v>
      </c>
      <c r="H269" s="154"/>
      <c r="I269" s="154" t="s">
        <v>632</v>
      </c>
      <c r="J269" s="247" t="s">
        <v>617</v>
      </c>
      <c r="K269" s="154"/>
      <c r="L269" s="154" t="str">
        <f t="shared" si="1"/>
        <v/>
      </c>
      <c r="M269" s="248" t="str">
        <f>IFERROR(__xludf.DUMMYFUNCTION("VLOOKUP(C269,IMPORTRANGE(""https://docs.google.com/spreadsheets/d/1P8eX0NWBhUPS_hvzA11R6jkTNFrPrRYIx_dX_hYbxrk/edit?resourcekey=0-iw9bsKY2OqkUHCFMkCar3A&amp;gid=2055363397#gid=2055363397"",""MTR!C:O""),11,false)"),"PMW-MCE-AS")</f>
        <v>PMW-MCE-AS</v>
      </c>
      <c r="N269" s="248" t="str">
        <f>IFERROR(__xludf.DUMMYFUNCTION("VLOOKUP(C269,IMPORTRANGE(""https://docs.google.com/spreadsheets/d/1ihFlp3_ePlYtFuPbUNbYj1muErVpI73WHXbEwJDIA7Q/edit#gid=1493122344"",""MTR!C:O""),8,false)"),"Not Applicable")</f>
        <v>Not Applicable</v>
      </c>
      <c r="O269" s="241" t="str">
        <f>IFERROR(__xludf.DUMMYFUNCTION("VLOOKUP(C269,IMPORTRANGE(""https://docs.google.com/spreadsheets/d/1P8eX0NWBhUPS_hvzA11R6jkTNFrPrRYIx_dX_hYbxrk/edit?resourcekey=0-iw9bsKY2OqkUHCFMkCar3A&amp;gid=2055363397#gid=2055363397"",""MTR!C:O""),9,false)"),"")</f>
        <v/>
      </c>
      <c r="P269" s="241"/>
      <c r="Q269" s="251" t="s">
        <v>617</v>
      </c>
      <c r="R269" s="241"/>
      <c r="S269" s="154" t="s">
        <v>66</v>
      </c>
      <c r="T269" s="154" t="s">
        <v>66</v>
      </c>
      <c r="U269" s="154" t="s">
        <v>66</v>
      </c>
      <c r="V269" s="154" t="s">
        <v>66</v>
      </c>
      <c r="W269" s="154" t="s">
        <v>66</v>
      </c>
      <c r="X269" s="154" t="s">
        <v>66</v>
      </c>
      <c r="Y269" s="154" t="s">
        <v>66</v>
      </c>
      <c r="Z269" s="154" t="s">
        <v>66</v>
      </c>
      <c r="AA269" s="154" t="s">
        <v>66</v>
      </c>
      <c r="AB269" s="154"/>
      <c r="AC269" s="242" t="b">
        <f t="shared" si="2"/>
        <v>1</v>
      </c>
      <c r="AD269" s="154" t="s">
        <v>391</v>
      </c>
      <c r="AE269" s="243" t="b">
        <f t="shared" si="3"/>
        <v>0</v>
      </c>
      <c r="AF269" s="154"/>
      <c r="AG269" s="243" t="b">
        <f t="shared" si="4"/>
        <v>0</v>
      </c>
      <c r="AH269" s="154" t="s">
        <v>637</v>
      </c>
      <c r="AI269" s="243" t="str">
        <f t="shared" si="5"/>
        <v>Complies</v>
      </c>
      <c r="AJ269" s="157" t="str">
        <f t="shared" si="6"/>
        <v/>
      </c>
    </row>
    <row r="270" ht="12.75" customHeight="1">
      <c r="A270" s="244" t="s">
        <v>621</v>
      </c>
      <c r="B270" s="244" t="s">
        <v>942</v>
      </c>
      <c r="C270" s="244" t="s">
        <v>1113</v>
      </c>
      <c r="D270" s="154" t="s">
        <v>459</v>
      </c>
      <c r="E270" s="250"/>
      <c r="F270" s="154" t="str">
        <f t="array" ref="F270">XLOOKUP(Cover!$D$12,$S$1:$AA$1,$S270:$AA270)</f>
        <v>Information</v>
      </c>
      <c r="G270" s="153" t="s">
        <v>1114</v>
      </c>
      <c r="H270" s="154"/>
      <c r="I270" s="154" t="s">
        <v>632</v>
      </c>
      <c r="J270" s="247" t="s">
        <v>617</v>
      </c>
      <c r="K270" s="154"/>
      <c r="L270" s="154" t="str">
        <f t="shared" si="1"/>
        <v/>
      </c>
      <c r="M270" s="248" t="str">
        <f>IFERROR(__xludf.DUMMYFUNCTION("VLOOKUP(C270,IMPORTRANGE(""https://docs.google.com/spreadsheets/d/1P8eX0NWBhUPS_hvzA11R6jkTNFrPrRYIx_dX_hYbxrk/edit?resourcekey=0-iw9bsKY2OqkUHCFMkCar3A&amp;gid=2055363397#gid=2055363397"",""MTR!C:O""),11,false)"),"PMW-MCE-AS")</f>
        <v>PMW-MCE-AS</v>
      </c>
      <c r="N270" s="248" t="str">
        <f>IFERROR(__xludf.DUMMYFUNCTION("VLOOKUP(C270,IMPORTRANGE(""https://docs.google.com/spreadsheets/d/1ihFlp3_ePlYtFuPbUNbYj1muErVpI73WHXbEwJDIA7Q/edit#gid=1493122344"",""MTR!C:O""),8,false)"),"Not Applicable")</f>
        <v>Not Applicable</v>
      </c>
      <c r="O270" s="241" t="str">
        <f>IFERROR(__xludf.DUMMYFUNCTION("VLOOKUP(C270,IMPORTRANGE(""https://docs.google.com/spreadsheets/d/1P8eX0NWBhUPS_hvzA11R6jkTNFrPrRYIx_dX_hYbxrk/edit?resourcekey=0-iw9bsKY2OqkUHCFMkCar3A&amp;gid=2055363397#gid=2055363397"",""MTR!C:O""),9,false)"),"")</f>
        <v/>
      </c>
      <c r="P270" s="241"/>
      <c r="Q270" s="251" t="s">
        <v>617</v>
      </c>
      <c r="R270" s="241"/>
      <c r="S270" s="154" t="s">
        <v>66</v>
      </c>
      <c r="T270" s="154" t="s">
        <v>66</v>
      </c>
      <c r="U270" s="154" t="s">
        <v>66</v>
      </c>
      <c r="V270" s="154" t="s">
        <v>66</v>
      </c>
      <c r="W270" s="154" t="s">
        <v>66</v>
      </c>
      <c r="X270" s="154" t="s">
        <v>66</v>
      </c>
      <c r="Y270" s="154" t="s">
        <v>66</v>
      </c>
      <c r="Z270" s="154" t="s">
        <v>66</v>
      </c>
      <c r="AA270" s="154" t="s">
        <v>66</v>
      </c>
      <c r="AB270" s="154"/>
      <c r="AC270" s="242" t="b">
        <f t="shared" si="2"/>
        <v>1</v>
      </c>
      <c r="AD270" s="154" t="s">
        <v>391</v>
      </c>
      <c r="AE270" s="243" t="b">
        <f t="shared" si="3"/>
        <v>0</v>
      </c>
      <c r="AF270" s="154"/>
      <c r="AG270" s="243" t="b">
        <f t="shared" si="4"/>
        <v>0</v>
      </c>
      <c r="AH270" s="154" t="s">
        <v>637</v>
      </c>
      <c r="AI270" s="243" t="str">
        <f t="shared" si="5"/>
        <v>Complies</v>
      </c>
      <c r="AJ270" s="157" t="str">
        <f t="shared" si="6"/>
        <v/>
      </c>
    </row>
    <row r="271" ht="12.75" customHeight="1">
      <c r="A271" s="244" t="s">
        <v>621</v>
      </c>
      <c r="B271" s="244" t="s">
        <v>942</v>
      </c>
      <c r="C271" s="244" t="s">
        <v>1115</v>
      </c>
      <c r="D271" s="244" t="s">
        <v>462</v>
      </c>
      <c r="E271" s="244"/>
      <c r="F271" s="154" t="str">
        <f t="array" ref="F271">XLOOKUP(Cover!$D$12,$S$1:$AA$1,$S271:$AA271)</f>
        <v>Recommended</v>
      </c>
      <c r="G271" s="153" t="s">
        <v>1116</v>
      </c>
      <c r="H271" s="154"/>
      <c r="I271" s="154" t="s">
        <v>389</v>
      </c>
      <c r="J271" s="247" t="s">
        <v>445</v>
      </c>
      <c r="K271" s="154"/>
      <c r="L271" s="154" t="str">
        <f t="shared" si="1"/>
        <v/>
      </c>
      <c r="M271" s="248" t="str">
        <f>IFERROR(__xludf.DUMMYFUNCTION("VLOOKUP(C271,IMPORTRANGE(""https://docs.google.com/spreadsheets/d/1P8eX0NWBhUPS_hvzA11R6jkTNFrPrRYIx_dX_hYbxrk/edit?resourcekey=0-iw9bsKY2OqkUHCFMkCar3A&amp;gid=2055363397#gid=2055363397"",""MTR!C:O""),11,false)"),"PMW-MCE-AS")</f>
        <v>PMW-MCE-AS</v>
      </c>
      <c r="N271" s="248" t="str">
        <f>IFERROR(__xludf.DUMMYFUNCTION("VLOOKUP(C271,IMPORTRANGE(""https://docs.google.com/spreadsheets/d/1ihFlp3_ePlYtFuPbUNbYj1muErVpI73WHXbEwJDIA7Q/edit#gid=1493122344"",""MTR!C:O""),8,false)"),"Complies")</f>
        <v>Complies</v>
      </c>
      <c r="O271" s="241" t="str">
        <f>IFERROR(__xludf.DUMMYFUNCTION("VLOOKUP(C271,IMPORTRANGE(""https://docs.google.com/spreadsheets/d/1P8eX0NWBhUPS_hvzA11R6jkTNFrPrRYIx_dX_hYbxrk/edit?resourcekey=0-iw9bsKY2OqkUHCFMkCar3A&amp;gid=2055363397#gid=2055363397"",""MTR!C:O""),9,false)"),"")</f>
        <v/>
      </c>
      <c r="P271" s="241"/>
      <c r="Q271" s="251" t="s">
        <v>445</v>
      </c>
      <c r="R271" s="241"/>
      <c r="S271" s="154" t="s">
        <v>66</v>
      </c>
      <c r="T271" s="154" t="s">
        <v>66</v>
      </c>
      <c r="U271" s="154" t="s">
        <v>64</v>
      </c>
      <c r="V271" s="154" t="s">
        <v>64</v>
      </c>
      <c r="W271" s="154" t="s">
        <v>64</v>
      </c>
      <c r="X271" s="154" t="s">
        <v>64</v>
      </c>
      <c r="Y271" s="154" t="s">
        <v>66</v>
      </c>
      <c r="Z271" s="154" t="s">
        <v>64</v>
      </c>
      <c r="AA271" s="154" t="s">
        <v>64</v>
      </c>
      <c r="AB271" s="154"/>
      <c r="AC271" s="242" t="b">
        <f t="shared" si="2"/>
        <v>1</v>
      </c>
      <c r="AD271" s="154" t="s">
        <v>391</v>
      </c>
      <c r="AE271" s="243" t="b">
        <f t="shared" si="3"/>
        <v>0</v>
      </c>
      <c r="AF271" s="154"/>
      <c r="AG271" s="243" t="b">
        <f t="shared" si="4"/>
        <v>0</v>
      </c>
      <c r="AH271" s="154" t="s">
        <v>637</v>
      </c>
      <c r="AI271" s="243" t="str">
        <f t="shared" si="5"/>
        <v>Complies</v>
      </c>
      <c r="AJ271" s="157" t="str">
        <f t="shared" si="6"/>
        <v/>
      </c>
    </row>
    <row r="272" ht="12.75" customHeight="1">
      <c r="A272" s="244" t="s">
        <v>621</v>
      </c>
      <c r="B272" s="244" t="s">
        <v>942</v>
      </c>
      <c r="C272" s="244" t="s">
        <v>1117</v>
      </c>
      <c r="D272" s="244" t="s">
        <v>649</v>
      </c>
      <c r="E272" s="244"/>
      <c r="F272" s="154" t="str">
        <f t="array" ref="F272">XLOOKUP(Cover!$D$12,$S$1:$AA$1,$S272:$AA272)</f>
        <v>Recommended</v>
      </c>
      <c r="G272" s="154" t="s">
        <v>1118</v>
      </c>
      <c r="H272" s="154"/>
      <c r="I272" s="154" t="s">
        <v>389</v>
      </c>
      <c r="J272" s="247" t="s">
        <v>445</v>
      </c>
      <c r="K272" s="154"/>
      <c r="L272" s="154" t="str">
        <f t="shared" si="1"/>
        <v/>
      </c>
      <c r="M272" s="248" t="str">
        <f>IFERROR(__xludf.DUMMYFUNCTION("VLOOKUP(C272,IMPORTRANGE(""https://docs.google.com/spreadsheets/d/1P8eX0NWBhUPS_hvzA11R6jkTNFrPrRYIx_dX_hYbxrk/edit?resourcekey=0-iw9bsKY2OqkUHCFMkCar3A&amp;gid=2055363397#gid=2055363397"",""MTR!C:O""),11,false)"),"PMW-MCE-AS")</f>
        <v>PMW-MCE-AS</v>
      </c>
      <c r="N272" s="248" t="str">
        <f>IFERROR(__xludf.DUMMYFUNCTION("VLOOKUP(C272,IMPORTRANGE(""https://docs.google.com/spreadsheets/d/1ihFlp3_ePlYtFuPbUNbYj1muErVpI73WHXbEwJDIA7Q/edit#gid=1493122344"",""MTR!C:O""),8,false)"),"Complies")</f>
        <v>Complies</v>
      </c>
      <c r="O272" s="241" t="str">
        <f>IFERROR(__xludf.DUMMYFUNCTION("VLOOKUP(C272,IMPORTRANGE(""https://docs.google.com/spreadsheets/d/1P8eX0NWBhUPS_hvzA11R6jkTNFrPrRYIx_dX_hYbxrk/edit?resourcekey=0-iw9bsKY2OqkUHCFMkCar3A&amp;gid=2055363397#gid=2055363397"",""MTR!C:O""),9,false)"),"")</f>
        <v/>
      </c>
      <c r="P272" s="241"/>
      <c r="Q272" s="251" t="s">
        <v>445</v>
      </c>
      <c r="R272" s="241"/>
      <c r="S272" s="154" t="s">
        <v>64</v>
      </c>
      <c r="T272" s="154" t="s">
        <v>64</v>
      </c>
      <c r="U272" s="154" t="s">
        <v>64</v>
      </c>
      <c r="V272" s="154" t="s">
        <v>64</v>
      </c>
      <c r="W272" s="154" t="s">
        <v>64</v>
      </c>
      <c r="X272" s="154" t="s">
        <v>64</v>
      </c>
      <c r="Y272" s="154" t="s">
        <v>64</v>
      </c>
      <c r="Z272" s="154" t="s">
        <v>64</v>
      </c>
      <c r="AA272" s="154" t="s">
        <v>64</v>
      </c>
      <c r="AB272" s="154"/>
      <c r="AC272" s="242" t="b">
        <f t="shared" si="2"/>
        <v>1</v>
      </c>
      <c r="AD272" s="154" t="s">
        <v>391</v>
      </c>
      <c r="AE272" s="243" t="b">
        <f t="shared" si="3"/>
        <v>0</v>
      </c>
      <c r="AF272" s="154"/>
      <c r="AG272" s="243" t="b">
        <f t="shared" si="4"/>
        <v>0</v>
      </c>
      <c r="AH272" s="154" t="s">
        <v>637</v>
      </c>
      <c r="AI272" s="243" t="str">
        <f t="shared" si="5"/>
        <v>Complies</v>
      </c>
      <c r="AJ272" s="157" t="str">
        <f t="shared" si="6"/>
        <v/>
      </c>
    </row>
    <row r="273" ht="12.75" customHeight="1">
      <c r="A273" s="244" t="s">
        <v>621</v>
      </c>
      <c r="B273" s="244" t="s">
        <v>942</v>
      </c>
      <c r="C273" s="244" t="s">
        <v>1119</v>
      </c>
      <c r="D273" s="244" t="s">
        <v>1120</v>
      </c>
      <c r="E273" s="244"/>
      <c r="F273" s="154" t="str">
        <f t="array" ref="F273">XLOOKUP(Cover!$D$12,$S$1:$AA$1,$S273:$AA273)</f>
        <v>Mandatory</v>
      </c>
      <c r="G273" s="154" t="s">
        <v>1121</v>
      </c>
      <c r="H273" s="154" t="s">
        <v>1122</v>
      </c>
      <c r="I273" s="154" t="s">
        <v>389</v>
      </c>
      <c r="J273" s="247" t="s">
        <v>445</v>
      </c>
      <c r="K273" s="154"/>
      <c r="L273" s="154" t="str">
        <f t="shared" si="1"/>
        <v/>
      </c>
      <c r="M273" s="248" t="str">
        <f>IFERROR(__xludf.DUMMYFUNCTION("VLOOKUP(C273,IMPORTRANGE(""https://docs.google.com/spreadsheets/d/1P8eX0NWBhUPS_hvzA11R6jkTNFrPrRYIx_dX_hYbxrk/edit?resourcekey=0-iw9bsKY2OqkUHCFMkCar3A&amp;gid=2055363397#gid=2055363397"",""MTR!C:O""),11,false)"),"PMW-MCE-AS")</f>
        <v>PMW-MCE-AS</v>
      </c>
      <c r="N273" s="248" t="str">
        <f>IFERROR(__xludf.DUMMYFUNCTION("VLOOKUP(C273,IMPORTRANGE(""https://docs.google.com/spreadsheets/d/1ihFlp3_ePlYtFuPbUNbYj1muErVpI73WHXbEwJDIA7Q/edit#gid=1493122344"",""MTR!C:O""),8,false)"),"Complies")</f>
        <v>Complies</v>
      </c>
      <c r="O273" s="241" t="str">
        <f>IFERROR(__xludf.DUMMYFUNCTION("VLOOKUP(C273,IMPORTRANGE(""https://docs.google.com/spreadsheets/d/1P8eX0NWBhUPS_hvzA11R6jkTNFrPrRYIx_dX_hYbxrk/edit?resourcekey=0-iw9bsKY2OqkUHCFMkCar3A&amp;gid=2055363397#gid=2055363397"",""MTR!C:O""),9,false)"),"")</f>
        <v/>
      </c>
      <c r="P273" s="241"/>
      <c r="Q273" s="251" t="s">
        <v>445</v>
      </c>
      <c r="R273" s="241"/>
      <c r="S273" s="154" t="s">
        <v>64</v>
      </c>
      <c r="T273" s="154" t="s">
        <v>64</v>
      </c>
      <c r="U273" s="154" t="s">
        <v>60</v>
      </c>
      <c r="V273" s="154" t="s">
        <v>60</v>
      </c>
      <c r="W273" s="154" t="s">
        <v>60</v>
      </c>
      <c r="X273" s="154" t="s">
        <v>60</v>
      </c>
      <c r="Y273" s="154" t="s">
        <v>64</v>
      </c>
      <c r="Z273" s="154" t="s">
        <v>60</v>
      </c>
      <c r="AA273" s="154" t="s">
        <v>60</v>
      </c>
      <c r="AB273" s="154"/>
      <c r="AC273" s="242" t="b">
        <f t="shared" si="2"/>
        <v>1</v>
      </c>
      <c r="AD273" s="154" t="s">
        <v>391</v>
      </c>
      <c r="AE273" s="243" t="b">
        <f t="shared" si="3"/>
        <v>0</v>
      </c>
      <c r="AF273" s="154"/>
      <c r="AG273" s="243" t="b">
        <f t="shared" si="4"/>
        <v>0</v>
      </c>
      <c r="AH273" s="154"/>
      <c r="AI273" s="243" t="str">
        <f t="shared" si="5"/>
        <v>N/A</v>
      </c>
      <c r="AJ273" s="157" t="str">
        <f t="shared" si="6"/>
        <v/>
      </c>
    </row>
    <row r="274" ht="12.75" customHeight="1">
      <c r="A274" s="244" t="s">
        <v>621</v>
      </c>
      <c r="B274" s="244" t="s">
        <v>942</v>
      </c>
      <c r="C274" s="244" t="s">
        <v>1123</v>
      </c>
      <c r="D274" s="244" t="s">
        <v>462</v>
      </c>
      <c r="E274" s="244"/>
      <c r="F274" s="154" t="str">
        <f t="array" ref="F274">XLOOKUP(Cover!$D$12,$S$1:$AA$1,$S274:$AA274)</f>
        <v>Mandatory</v>
      </c>
      <c r="G274" s="247" t="s">
        <v>1124</v>
      </c>
      <c r="H274" s="154" t="s">
        <v>1122</v>
      </c>
      <c r="I274" s="154" t="s">
        <v>389</v>
      </c>
      <c r="J274" s="247" t="s">
        <v>516</v>
      </c>
      <c r="K274" s="247" t="s">
        <v>1125</v>
      </c>
      <c r="L274" s="154" t="str">
        <f t="shared" si="1"/>
        <v/>
      </c>
      <c r="M274" s="248" t="str">
        <f>IFERROR(__xludf.DUMMYFUNCTION("VLOOKUP(C274,IMPORTRANGE(""https://docs.google.com/spreadsheets/d/1P8eX0NWBhUPS_hvzA11R6jkTNFrPrRYIx_dX_hYbxrk/edit?resourcekey=0-iw9bsKY2OqkUHCFMkCar3A&amp;gid=2055363397#gid=2055363397"",""MTR!C:O""),11,false)"),"PMW-MCE-AS")</f>
        <v>PMW-MCE-AS</v>
      </c>
      <c r="N274" s="248" t="str">
        <f>IFERROR(__xludf.DUMMYFUNCTION("VLOOKUP(C274,IMPORTRANGE(""https://docs.google.com/spreadsheets/d/1ihFlp3_ePlYtFuPbUNbYj1muErVpI73WHXbEwJDIA7Q/edit#gid=1493122344"",""MTR!C:O""),8,false)"),"Does Not Comply")</f>
        <v>Does Not Comply</v>
      </c>
      <c r="O274" s="248" t="str">
        <f>IFERROR(__xludf.DUMMYFUNCTION("VLOOKUP(C274,IMPORTRANGE(""https://docs.google.com/spreadsheets/d/1P8eX0NWBhUPS_hvzA11R6jkTNFrPrRYIx_dX_hYbxrk/edit?resourcekey=0-iw9bsKY2OqkUHCFMkCar3A&amp;gid=2055363397#gid=2055363397"",""MTR!C:O""),9,false)"),"LTE Rel.12 feature Increases EUTRAN Monitoring is not supported.")</f>
        <v>LTE Rel.12 feature Increases EUTRAN Monitoring is not supported.</v>
      </c>
      <c r="P274" s="248"/>
      <c r="Q274" s="249" t="s">
        <v>516</v>
      </c>
      <c r="R274" s="249" t="s">
        <v>1125</v>
      </c>
      <c r="S274" s="154" t="s">
        <v>66</v>
      </c>
      <c r="T274" s="154" t="s">
        <v>66</v>
      </c>
      <c r="U274" s="154" t="s">
        <v>60</v>
      </c>
      <c r="V274" s="154" t="s">
        <v>60</v>
      </c>
      <c r="W274" s="154" t="s">
        <v>60</v>
      </c>
      <c r="X274" s="154" t="s">
        <v>60</v>
      </c>
      <c r="Y274" s="154" t="s">
        <v>66</v>
      </c>
      <c r="Z274" s="154" t="s">
        <v>60</v>
      </c>
      <c r="AA274" s="154" t="s">
        <v>60</v>
      </c>
      <c r="AB274" s="154"/>
      <c r="AC274" s="242" t="b">
        <f t="shared" si="2"/>
        <v>1</v>
      </c>
      <c r="AD274" s="154" t="s">
        <v>391</v>
      </c>
      <c r="AE274" s="243" t="b">
        <f t="shared" si="3"/>
        <v>0</v>
      </c>
      <c r="AF274" s="154"/>
      <c r="AG274" s="243" t="b">
        <f t="shared" si="4"/>
        <v>0</v>
      </c>
      <c r="AH274" s="154" t="s">
        <v>637</v>
      </c>
      <c r="AI274" s="243" t="str">
        <f t="shared" si="5"/>
        <v>Complies</v>
      </c>
      <c r="AJ274" s="157" t="str">
        <f t="shared" si="6"/>
        <v/>
      </c>
    </row>
    <row r="275" ht="12.75" customHeight="1">
      <c r="A275" s="244" t="s">
        <v>621</v>
      </c>
      <c r="B275" s="244" t="s">
        <v>942</v>
      </c>
      <c r="C275" s="244" t="s">
        <v>1126</v>
      </c>
      <c r="D275" s="244" t="s">
        <v>462</v>
      </c>
      <c r="E275" s="244"/>
      <c r="F275" s="154" t="str">
        <f t="array" ref="F275">XLOOKUP(Cover!$D$12,$S$1:$AA$1,$S275:$AA275)</f>
        <v>Mandatory</v>
      </c>
      <c r="G275" s="154" t="s">
        <v>1127</v>
      </c>
      <c r="H275" s="154" t="s">
        <v>1122</v>
      </c>
      <c r="I275" s="154" t="s">
        <v>389</v>
      </c>
      <c r="J275" s="247" t="s">
        <v>445</v>
      </c>
      <c r="K275" s="154"/>
      <c r="L275" s="154" t="str">
        <f t="shared" si="1"/>
        <v/>
      </c>
      <c r="M275" s="248" t="str">
        <f>IFERROR(__xludf.DUMMYFUNCTION("VLOOKUP(C275,IMPORTRANGE(""https://docs.google.com/spreadsheets/d/1P8eX0NWBhUPS_hvzA11R6jkTNFrPrRYIx_dX_hYbxrk/edit?resourcekey=0-iw9bsKY2OqkUHCFMkCar3A&amp;gid=2055363397#gid=2055363397"",""MTR!C:O""),11,false)"),"PMW-MCE-AS")</f>
        <v>PMW-MCE-AS</v>
      </c>
      <c r="N275" s="248" t="str">
        <f>IFERROR(__xludf.DUMMYFUNCTION("VLOOKUP(C275,IMPORTRANGE(""https://docs.google.com/spreadsheets/d/1ihFlp3_ePlYtFuPbUNbYj1muErVpI73WHXbEwJDIA7Q/edit#gid=1493122344"",""MTR!C:O""),8,false)"),"Complies")</f>
        <v>Complies</v>
      </c>
      <c r="O275" s="241" t="str">
        <f>IFERROR(__xludf.DUMMYFUNCTION("VLOOKUP(C275,IMPORTRANGE(""https://docs.google.com/spreadsheets/d/1P8eX0NWBhUPS_hvzA11R6jkTNFrPrRYIx_dX_hYbxrk/edit?resourcekey=0-iw9bsKY2OqkUHCFMkCar3A&amp;gid=2055363397#gid=2055363397"",""MTR!C:O""),9,false)"),"")</f>
        <v/>
      </c>
      <c r="P275" s="241"/>
      <c r="Q275" s="251" t="s">
        <v>445</v>
      </c>
      <c r="R275" s="241"/>
      <c r="S275" s="154" t="s">
        <v>66</v>
      </c>
      <c r="T275" s="154" t="s">
        <v>66</v>
      </c>
      <c r="U275" s="154" t="s">
        <v>60</v>
      </c>
      <c r="V275" s="154" t="s">
        <v>60</v>
      </c>
      <c r="W275" s="154" t="s">
        <v>60</v>
      </c>
      <c r="X275" s="154" t="s">
        <v>60</v>
      </c>
      <c r="Y275" s="154" t="s">
        <v>66</v>
      </c>
      <c r="Z275" s="154" t="s">
        <v>60</v>
      </c>
      <c r="AA275" s="154" t="s">
        <v>60</v>
      </c>
      <c r="AB275" s="154"/>
      <c r="AC275" s="242" t="b">
        <f t="shared" si="2"/>
        <v>1</v>
      </c>
      <c r="AD275" s="154" t="s">
        <v>391</v>
      </c>
      <c r="AE275" s="243" t="b">
        <f t="shared" si="3"/>
        <v>0</v>
      </c>
      <c r="AF275" s="154"/>
      <c r="AG275" s="243" t="b">
        <f t="shared" si="4"/>
        <v>0</v>
      </c>
      <c r="AH275" s="154" t="s">
        <v>637</v>
      </c>
      <c r="AI275" s="243" t="str">
        <f t="shared" si="5"/>
        <v>Complies</v>
      </c>
      <c r="AJ275" s="157" t="str">
        <f t="shared" si="6"/>
        <v/>
      </c>
    </row>
    <row r="276" ht="12.75" customHeight="1">
      <c r="A276" s="244" t="s">
        <v>621</v>
      </c>
      <c r="B276" s="244" t="s">
        <v>942</v>
      </c>
      <c r="C276" s="244" t="s">
        <v>1128</v>
      </c>
      <c r="D276" s="244" t="s">
        <v>462</v>
      </c>
      <c r="E276" s="244"/>
      <c r="F276" s="154" t="str">
        <f t="array" ref="F276">XLOOKUP(Cover!$D$12,$S$1:$AA$1,$S276:$AA276)</f>
        <v>Mandatory</v>
      </c>
      <c r="G276" s="154" t="s">
        <v>1129</v>
      </c>
      <c r="H276" s="154" t="s">
        <v>1122</v>
      </c>
      <c r="I276" s="154" t="s">
        <v>389</v>
      </c>
      <c r="J276" s="247" t="s">
        <v>516</v>
      </c>
      <c r="K276" s="154"/>
      <c r="L276" s="154" t="str">
        <f t="shared" si="1"/>
        <v/>
      </c>
      <c r="M276" s="248" t="str">
        <f>IFERROR(__xludf.DUMMYFUNCTION("VLOOKUP(C276,IMPORTRANGE(""https://docs.google.com/spreadsheets/d/1P8eX0NWBhUPS_hvzA11R6jkTNFrPrRYIx_dX_hYbxrk/edit?resourcekey=0-iw9bsKY2OqkUHCFMkCar3A&amp;gid=2055363397#gid=2055363397"",""MTR!C:O""),11,false)"),"PMW-MCE-AS")</f>
        <v>PMW-MCE-AS</v>
      </c>
      <c r="N276" s="248" t="str">
        <f>IFERROR(__xludf.DUMMYFUNCTION("VLOOKUP(C276,IMPORTRANGE(""https://docs.google.com/spreadsheets/d/1ihFlp3_ePlYtFuPbUNbYj1muErVpI73WHXbEwJDIA7Q/edit#gid=1493122344"",""MTR!C:O""),8,false)"),"Does Not Comply")</f>
        <v>Does Not Comply</v>
      </c>
      <c r="O276" s="241" t="str">
        <f>IFERROR(__xludf.DUMMYFUNCTION("VLOOKUP(C276,IMPORTRANGE(""https://docs.google.com/spreadsheets/d/1P8eX0NWBhUPS_hvzA11R6jkTNFrPrRYIx_dX_hYbxrk/edit?resourcekey=0-iw9bsKY2OqkUHCFMkCar3A&amp;gid=2055363397#gid=2055363397"",""MTR!C:O""),9,false)"),"")</f>
        <v/>
      </c>
      <c r="P276" s="241"/>
      <c r="Q276" s="251" t="s">
        <v>516</v>
      </c>
      <c r="R276" s="241"/>
      <c r="S276" s="154" t="s">
        <v>66</v>
      </c>
      <c r="T276" s="154" t="s">
        <v>66</v>
      </c>
      <c r="U276" s="154" t="s">
        <v>60</v>
      </c>
      <c r="V276" s="154" t="s">
        <v>60</v>
      </c>
      <c r="W276" s="154" t="s">
        <v>60</v>
      </c>
      <c r="X276" s="154" t="s">
        <v>60</v>
      </c>
      <c r="Y276" s="154" t="s">
        <v>66</v>
      </c>
      <c r="Z276" s="154" t="s">
        <v>60</v>
      </c>
      <c r="AA276" s="154" t="s">
        <v>60</v>
      </c>
      <c r="AB276" s="154"/>
      <c r="AC276" s="242" t="b">
        <f t="shared" si="2"/>
        <v>1</v>
      </c>
      <c r="AD276" s="154" t="s">
        <v>391</v>
      </c>
      <c r="AE276" s="243" t="b">
        <f t="shared" si="3"/>
        <v>0</v>
      </c>
      <c r="AF276" s="154"/>
      <c r="AG276" s="243" t="b">
        <f t="shared" si="4"/>
        <v>0</v>
      </c>
      <c r="AH276" s="154"/>
      <c r="AI276" s="243" t="str">
        <f t="shared" si="5"/>
        <v>N/A</v>
      </c>
      <c r="AJ276" s="157" t="str">
        <f t="shared" si="6"/>
        <v/>
      </c>
    </row>
    <row r="277" ht="12.75" customHeight="1">
      <c r="A277" s="238" t="s">
        <v>621</v>
      </c>
      <c r="B277" s="238" t="s">
        <v>942</v>
      </c>
      <c r="C277" s="238" t="s">
        <v>1130</v>
      </c>
      <c r="D277" s="240"/>
      <c r="E277" s="252" t="s">
        <v>92</v>
      </c>
      <c r="F277" s="154" t="str">
        <f t="array" ref="F277">XLOOKUP(Cover!$D$12,$S$1:$AA$1,$S277:$AA277)</f>
        <v>Heading</v>
      </c>
      <c r="G277" s="239" t="s">
        <v>1131</v>
      </c>
      <c r="H277" s="240"/>
      <c r="I277" s="240" t="s">
        <v>389</v>
      </c>
      <c r="J277" s="240"/>
      <c r="K277" s="240"/>
      <c r="L277" s="154" t="str">
        <f t="shared" si="1"/>
        <v/>
      </c>
      <c r="M277" s="241" t="str">
        <f>IFERROR(__xludf.DUMMYFUNCTION("VLOOKUP(C277,IMPORTRANGE(""https://docs.google.com/spreadsheets/d/1P8eX0NWBhUPS_hvzA11R6jkTNFrPrRYIx_dX_hYbxrk/edit?resourcekey=0-iw9bsKY2OqkUHCFMkCar3A&amp;gid=2055363397#gid=2055363397"",""MTR!C:O""),11,false)"),"")</f>
        <v/>
      </c>
      <c r="N277" s="241" t="str">
        <f>IFERROR(__xludf.DUMMYFUNCTION("VLOOKUP(C277,IMPORTRANGE(""https://docs.google.com/spreadsheets/d/1ihFlp3_ePlYtFuPbUNbYj1muErVpI73WHXbEwJDIA7Q/edit#gid=1493122344"",""MTR!C:O""),8,false)"),"")</f>
        <v/>
      </c>
      <c r="O277" s="241" t="str">
        <f>IFERROR(__xludf.DUMMYFUNCTION("VLOOKUP(C277,IMPORTRANGE(""https://docs.google.com/spreadsheets/d/1P8eX0NWBhUPS_hvzA11R6jkTNFrPrRYIx_dX_hYbxrk/edit?resourcekey=0-iw9bsKY2OqkUHCFMkCar3A&amp;gid=2055363397#gid=2055363397"",""MTR!C:O""),9,false)"),"")</f>
        <v/>
      </c>
      <c r="P277" s="241"/>
      <c r="Q277" s="241"/>
      <c r="R277" s="241"/>
      <c r="S277" s="240" t="s">
        <v>390</v>
      </c>
      <c r="T277" s="240" t="s">
        <v>390</v>
      </c>
      <c r="U277" s="240" t="s">
        <v>390</v>
      </c>
      <c r="V277" s="240" t="s">
        <v>390</v>
      </c>
      <c r="W277" s="240" t="s">
        <v>390</v>
      </c>
      <c r="X277" s="240" t="s">
        <v>390</v>
      </c>
      <c r="Y277" s="240" t="s">
        <v>390</v>
      </c>
      <c r="Z277" s="240" t="s">
        <v>390</v>
      </c>
      <c r="AA277" s="240" t="s">
        <v>390</v>
      </c>
      <c r="AB277" s="240"/>
      <c r="AC277" s="242" t="b">
        <f t="shared" si="2"/>
        <v>0</v>
      </c>
      <c r="AD277" s="240" t="s">
        <v>391</v>
      </c>
      <c r="AE277" s="243" t="b">
        <f t="shared" si="3"/>
        <v>0</v>
      </c>
      <c r="AF277" s="240"/>
      <c r="AG277" s="243" t="b">
        <f t="shared" si="4"/>
        <v>0</v>
      </c>
      <c r="AH277" s="240"/>
      <c r="AI277" s="243" t="str">
        <f t="shared" si="5"/>
        <v>N/A</v>
      </c>
      <c r="AJ277" s="157" t="str">
        <f t="shared" si="6"/>
        <v/>
      </c>
    </row>
    <row r="278" ht="12.75" customHeight="1">
      <c r="A278" s="238" t="s">
        <v>621</v>
      </c>
      <c r="B278" s="238" t="s">
        <v>942</v>
      </c>
      <c r="C278" s="238" t="s">
        <v>1132</v>
      </c>
      <c r="D278" s="240"/>
      <c r="E278" s="252" t="s">
        <v>92</v>
      </c>
      <c r="F278" s="154" t="str">
        <f t="array" ref="F278">XLOOKUP(Cover!$D$12,$S$1:$AA$1,$S278:$AA278)</f>
        <v>Heading</v>
      </c>
      <c r="G278" s="239" t="s">
        <v>1133</v>
      </c>
      <c r="H278" s="240"/>
      <c r="I278" s="240" t="s">
        <v>389</v>
      </c>
      <c r="J278" s="240"/>
      <c r="K278" s="240"/>
      <c r="L278" s="154" t="str">
        <f t="shared" si="1"/>
        <v/>
      </c>
      <c r="M278" s="241" t="str">
        <f>IFERROR(__xludf.DUMMYFUNCTION("VLOOKUP(C278,IMPORTRANGE(""https://docs.google.com/spreadsheets/d/1P8eX0NWBhUPS_hvzA11R6jkTNFrPrRYIx_dX_hYbxrk/edit?resourcekey=0-iw9bsKY2OqkUHCFMkCar3A&amp;gid=2055363397#gid=2055363397"",""MTR!C:O""),11,false)"),"")</f>
        <v/>
      </c>
      <c r="N278" s="241" t="str">
        <f>IFERROR(__xludf.DUMMYFUNCTION("VLOOKUP(C278,IMPORTRANGE(""https://docs.google.com/spreadsheets/d/1ihFlp3_ePlYtFuPbUNbYj1muErVpI73WHXbEwJDIA7Q/edit#gid=1493122344"",""MTR!C:O""),8,false)"),"")</f>
        <v/>
      </c>
      <c r="O278" s="241" t="str">
        <f>IFERROR(__xludf.DUMMYFUNCTION("VLOOKUP(C278,IMPORTRANGE(""https://docs.google.com/spreadsheets/d/1P8eX0NWBhUPS_hvzA11R6jkTNFrPrRYIx_dX_hYbxrk/edit?resourcekey=0-iw9bsKY2OqkUHCFMkCar3A&amp;gid=2055363397#gid=2055363397"",""MTR!C:O""),9,false)"),"")</f>
        <v/>
      </c>
      <c r="P278" s="241"/>
      <c r="Q278" s="241"/>
      <c r="R278" s="241"/>
      <c r="S278" s="240" t="s">
        <v>390</v>
      </c>
      <c r="T278" s="240" t="s">
        <v>390</v>
      </c>
      <c r="U278" s="240" t="s">
        <v>390</v>
      </c>
      <c r="V278" s="240" t="s">
        <v>390</v>
      </c>
      <c r="W278" s="240" t="s">
        <v>390</v>
      </c>
      <c r="X278" s="240" t="s">
        <v>390</v>
      </c>
      <c r="Y278" s="240" t="s">
        <v>390</v>
      </c>
      <c r="Z278" s="240" t="s">
        <v>390</v>
      </c>
      <c r="AA278" s="240" t="s">
        <v>390</v>
      </c>
      <c r="AB278" s="240"/>
      <c r="AC278" s="242" t="b">
        <f t="shared" si="2"/>
        <v>0</v>
      </c>
      <c r="AD278" s="240" t="s">
        <v>391</v>
      </c>
      <c r="AE278" s="243" t="b">
        <f t="shared" si="3"/>
        <v>0</v>
      </c>
      <c r="AF278" s="240"/>
      <c r="AG278" s="243" t="b">
        <f t="shared" si="4"/>
        <v>0</v>
      </c>
      <c r="AH278" s="240"/>
      <c r="AI278" s="243" t="str">
        <f t="shared" si="5"/>
        <v>N/A</v>
      </c>
      <c r="AJ278" s="157" t="str">
        <f t="shared" si="6"/>
        <v/>
      </c>
    </row>
    <row r="279" ht="12.75" customHeight="1">
      <c r="A279" s="238" t="s">
        <v>621</v>
      </c>
      <c r="B279" s="238" t="s">
        <v>942</v>
      </c>
      <c r="C279" s="238" t="s">
        <v>1134</v>
      </c>
      <c r="D279" s="240"/>
      <c r="E279" s="252" t="s">
        <v>92</v>
      </c>
      <c r="F279" s="154" t="str">
        <f t="array" ref="F279">XLOOKUP(Cover!$D$12,$S$1:$AA$1,$S279:$AA279)</f>
        <v>Heading</v>
      </c>
      <c r="G279" s="239" t="s">
        <v>1135</v>
      </c>
      <c r="H279" s="240"/>
      <c r="I279" s="240" t="s">
        <v>389</v>
      </c>
      <c r="J279" s="240"/>
      <c r="K279" s="240"/>
      <c r="L279" s="154" t="str">
        <f t="shared" si="1"/>
        <v/>
      </c>
      <c r="M279" s="241" t="str">
        <f>IFERROR(__xludf.DUMMYFUNCTION("VLOOKUP(C279,IMPORTRANGE(""https://docs.google.com/spreadsheets/d/1P8eX0NWBhUPS_hvzA11R6jkTNFrPrRYIx_dX_hYbxrk/edit?resourcekey=0-iw9bsKY2OqkUHCFMkCar3A&amp;gid=2055363397#gid=2055363397"",""MTR!C:O""),11,false)"),"")</f>
        <v/>
      </c>
      <c r="N279" s="241" t="str">
        <f>IFERROR(__xludf.DUMMYFUNCTION("VLOOKUP(C279,IMPORTRANGE(""https://docs.google.com/spreadsheets/d/1ihFlp3_ePlYtFuPbUNbYj1muErVpI73WHXbEwJDIA7Q/edit#gid=1493122344"",""MTR!C:O""),8,false)"),"")</f>
        <v/>
      </c>
      <c r="O279" s="241" t="str">
        <f>IFERROR(__xludf.DUMMYFUNCTION("VLOOKUP(C279,IMPORTRANGE(""https://docs.google.com/spreadsheets/d/1P8eX0NWBhUPS_hvzA11R6jkTNFrPrRYIx_dX_hYbxrk/edit?resourcekey=0-iw9bsKY2OqkUHCFMkCar3A&amp;gid=2055363397#gid=2055363397"",""MTR!C:O""),9,false)"),"")</f>
        <v/>
      </c>
      <c r="P279" s="241"/>
      <c r="Q279" s="241"/>
      <c r="R279" s="241"/>
      <c r="S279" s="240" t="s">
        <v>390</v>
      </c>
      <c r="T279" s="240" t="s">
        <v>390</v>
      </c>
      <c r="U279" s="240" t="s">
        <v>390</v>
      </c>
      <c r="V279" s="240" t="s">
        <v>390</v>
      </c>
      <c r="W279" s="240" t="s">
        <v>390</v>
      </c>
      <c r="X279" s="240" t="s">
        <v>390</v>
      </c>
      <c r="Y279" s="240" t="s">
        <v>390</v>
      </c>
      <c r="Z279" s="240" t="s">
        <v>390</v>
      </c>
      <c r="AA279" s="240" t="s">
        <v>390</v>
      </c>
      <c r="AB279" s="240"/>
      <c r="AC279" s="242" t="b">
        <f t="shared" si="2"/>
        <v>0</v>
      </c>
      <c r="AD279" s="240" t="s">
        <v>391</v>
      </c>
      <c r="AE279" s="243" t="b">
        <f t="shared" si="3"/>
        <v>0</v>
      </c>
      <c r="AF279" s="240"/>
      <c r="AG279" s="243" t="b">
        <f t="shared" si="4"/>
        <v>0</v>
      </c>
      <c r="AH279" s="240"/>
      <c r="AI279" s="243" t="str">
        <f t="shared" si="5"/>
        <v>N/A</v>
      </c>
      <c r="AJ279" s="157" t="str">
        <f t="shared" si="6"/>
        <v/>
      </c>
    </row>
    <row r="280" ht="12.75" customHeight="1">
      <c r="A280" s="238" t="s">
        <v>621</v>
      </c>
      <c r="B280" s="238" t="s">
        <v>942</v>
      </c>
      <c r="C280" s="238" t="s">
        <v>1136</v>
      </c>
      <c r="D280" s="240"/>
      <c r="E280" s="252" t="s">
        <v>92</v>
      </c>
      <c r="F280" s="154" t="str">
        <f t="array" ref="F280">XLOOKUP(Cover!$D$12,$S$1:$AA$1,$S280:$AA280)</f>
        <v>Heading</v>
      </c>
      <c r="G280" s="239" t="s">
        <v>1137</v>
      </c>
      <c r="H280" s="240"/>
      <c r="I280" s="240" t="s">
        <v>389</v>
      </c>
      <c r="J280" s="240"/>
      <c r="K280" s="240"/>
      <c r="L280" s="154" t="str">
        <f t="shared" si="1"/>
        <v/>
      </c>
      <c r="M280" s="241" t="str">
        <f>IFERROR(__xludf.DUMMYFUNCTION("VLOOKUP(C280,IMPORTRANGE(""https://docs.google.com/spreadsheets/d/1P8eX0NWBhUPS_hvzA11R6jkTNFrPrRYIx_dX_hYbxrk/edit?resourcekey=0-iw9bsKY2OqkUHCFMkCar3A&amp;gid=2055363397#gid=2055363397"",""MTR!C:O""),11,false)"),"")</f>
        <v/>
      </c>
      <c r="N280" s="241" t="str">
        <f>IFERROR(__xludf.DUMMYFUNCTION("VLOOKUP(C280,IMPORTRANGE(""https://docs.google.com/spreadsheets/d/1ihFlp3_ePlYtFuPbUNbYj1muErVpI73WHXbEwJDIA7Q/edit#gid=1493122344"",""MTR!C:O""),8,false)"),"")</f>
        <v/>
      </c>
      <c r="O280" s="241" t="str">
        <f>IFERROR(__xludf.DUMMYFUNCTION("VLOOKUP(C280,IMPORTRANGE(""https://docs.google.com/spreadsheets/d/1P8eX0NWBhUPS_hvzA11R6jkTNFrPrRYIx_dX_hYbxrk/edit?resourcekey=0-iw9bsKY2OqkUHCFMkCar3A&amp;gid=2055363397#gid=2055363397"",""MTR!C:O""),9,false)"),"")</f>
        <v/>
      </c>
      <c r="P280" s="241"/>
      <c r="Q280" s="241"/>
      <c r="R280" s="241"/>
      <c r="S280" s="240" t="s">
        <v>390</v>
      </c>
      <c r="T280" s="240" t="s">
        <v>390</v>
      </c>
      <c r="U280" s="240" t="s">
        <v>390</v>
      </c>
      <c r="V280" s="240" t="s">
        <v>390</v>
      </c>
      <c r="W280" s="240" t="s">
        <v>390</v>
      </c>
      <c r="X280" s="240" t="s">
        <v>390</v>
      </c>
      <c r="Y280" s="240" t="s">
        <v>390</v>
      </c>
      <c r="Z280" s="240" t="s">
        <v>390</v>
      </c>
      <c r="AA280" s="240" t="s">
        <v>390</v>
      </c>
      <c r="AB280" s="240"/>
      <c r="AC280" s="242" t="b">
        <f t="shared" si="2"/>
        <v>0</v>
      </c>
      <c r="AD280" s="240" t="s">
        <v>391</v>
      </c>
      <c r="AE280" s="243" t="b">
        <f t="shared" si="3"/>
        <v>0</v>
      </c>
      <c r="AF280" s="240"/>
      <c r="AG280" s="243" t="b">
        <f t="shared" si="4"/>
        <v>0</v>
      </c>
      <c r="AH280" s="240"/>
      <c r="AI280" s="243" t="str">
        <f t="shared" si="5"/>
        <v>N/A</v>
      </c>
      <c r="AJ280" s="157" t="str">
        <f t="shared" si="6"/>
        <v/>
      </c>
    </row>
    <row r="281" ht="12.75" customHeight="1">
      <c r="A281" s="244" t="s">
        <v>621</v>
      </c>
      <c r="B281" s="244" t="s">
        <v>942</v>
      </c>
      <c r="C281" s="244" t="s">
        <v>1138</v>
      </c>
      <c r="D281" s="244" t="s">
        <v>861</v>
      </c>
      <c r="E281" s="244"/>
      <c r="F281" s="154" t="str">
        <f t="array" ref="F281">XLOOKUP(Cover!$D$12,$S$1:$AA$1,$S281:$AA281)</f>
        <v>Comment</v>
      </c>
      <c r="G281" s="154" t="s">
        <v>1139</v>
      </c>
      <c r="H281" s="154"/>
      <c r="I281" s="154" t="s">
        <v>389</v>
      </c>
      <c r="J281" s="154"/>
      <c r="K281" s="154"/>
      <c r="L281" s="154" t="str">
        <f t="shared" si="1"/>
        <v/>
      </c>
      <c r="M281" s="241" t="str">
        <f>IFERROR(__xludf.DUMMYFUNCTION("VLOOKUP(C281,IMPORTRANGE(""https://docs.google.com/spreadsheets/d/1P8eX0NWBhUPS_hvzA11R6jkTNFrPrRYIx_dX_hYbxrk/edit?resourcekey=0-iw9bsKY2OqkUHCFMkCar3A&amp;gid=2055363397#gid=2055363397"",""MTR!C:O""),11,false)"),"")</f>
        <v/>
      </c>
      <c r="N281" s="241" t="str">
        <f>IFERROR(__xludf.DUMMYFUNCTION("VLOOKUP(C281,IMPORTRANGE(""https://docs.google.com/spreadsheets/d/1ihFlp3_ePlYtFuPbUNbYj1muErVpI73WHXbEwJDIA7Q/edit#gid=1493122344"",""MTR!C:O""),8,false)"),"")</f>
        <v/>
      </c>
      <c r="O281" s="241" t="str">
        <f>IFERROR(__xludf.DUMMYFUNCTION("VLOOKUP(C281,IMPORTRANGE(""https://docs.google.com/spreadsheets/d/1P8eX0NWBhUPS_hvzA11R6jkTNFrPrRYIx_dX_hYbxrk/edit?resourcekey=0-iw9bsKY2OqkUHCFMkCar3A&amp;gid=2055363397#gid=2055363397"",""MTR!C:O""),9,false)"),"")</f>
        <v/>
      </c>
      <c r="P281" s="241"/>
      <c r="Q281" s="241"/>
      <c r="R281" s="241"/>
      <c r="S281" s="154" t="s">
        <v>35</v>
      </c>
      <c r="T281" s="154" t="s">
        <v>35</v>
      </c>
      <c r="U281" s="154" t="s">
        <v>35</v>
      </c>
      <c r="V281" s="154" t="s">
        <v>35</v>
      </c>
      <c r="W281" s="154" t="s">
        <v>35</v>
      </c>
      <c r="X281" s="154" t="s">
        <v>35</v>
      </c>
      <c r="Y281" s="154" t="s">
        <v>35</v>
      </c>
      <c r="Z281" s="154" t="s">
        <v>35</v>
      </c>
      <c r="AA281" s="154" t="s">
        <v>35</v>
      </c>
      <c r="AB281" s="154"/>
      <c r="AC281" s="242" t="b">
        <f t="shared" si="2"/>
        <v>0</v>
      </c>
      <c r="AD281" s="154" t="s">
        <v>391</v>
      </c>
      <c r="AE281" s="243" t="b">
        <f t="shared" si="3"/>
        <v>0</v>
      </c>
      <c r="AF281" s="154"/>
      <c r="AG281" s="243" t="b">
        <f t="shared" si="4"/>
        <v>0</v>
      </c>
      <c r="AH281" s="154"/>
      <c r="AI281" s="243" t="str">
        <f t="shared" si="5"/>
        <v>N/A</v>
      </c>
      <c r="AJ281" s="157" t="str">
        <f t="shared" si="6"/>
        <v/>
      </c>
    </row>
    <row r="282" ht="12.75" customHeight="1">
      <c r="A282" s="244" t="s">
        <v>621</v>
      </c>
      <c r="B282" s="244" t="s">
        <v>942</v>
      </c>
      <c r="C282" s="244" t="s">
        <v>1140</v>
      </c>
      <c r="D282" s="154" t="s">
        <v>459</v>
      </c>
      <c r="E282" s="250"/>
      <c r="F282" s="154" t="str">
        <f t="array" ref="F282">XLOOKUP(Cover!$D$12,$S$1:$AA$1,$S282:$AA282)</f>
        <v>Recommended</v>
      </c>
      <c r="G282" s="154" t="s">
        <v>1141</v>
      </c>
      <c r="H282" s="154"/>
      <c r="I282" s="154" t="s">
        <v>389</v>
      </c>
      <c r="J282" s="247" t="s">
        <v>445</v>
      </c>
      <c r="K282" s="154"/>
      <c r="L282" s="154" t="str">
        <f t="shared" si="1"/>
        <v/>
      </c>
      <c r="M282" s="248" t="str">
        <f>IFERROR(__xludf.DUMMYFUNCTION("VLOOKUP(C282,IMPORTRANGE(""https://docs.google.com/spreadsheets/d/1P8eX0NWBhUPS_hvzA11R6jkTNFrPrRYIx_dX_hYbxrk/edit?resourcekey=0-iw9bsKY2OqkUHCFMkCar3A&amp;gid=2055363397#gid=2055363397"",""MTR!C:O""),11,false)"),"PMW-MCE-AS")</f>
        <v>PMW-MCE-AS</v>
      </c>
      <c r="N282" s="248" t="str">
        <f>IFERROR(__xludf.DUMMYFUNCTION("VLOOKUP(C282,IMPORTRANGE(""https://docs.google.com/spreadsheets/d/1ihFlp3_ePlYtFuPbUNbYj1muErVpI73WHXbEwJDIA7Q/edit#gid=1493122344"",""MTR!C:O""),8,false)"),"Complies")</f>
        <v>Complies</v>
      </c>
      <c r="O282" s="241" t="str">
        <f>IFERROR(__xludf.DUMMYFUNCTION("VLOOKUP(C282,IMPORTRANGE(""https://docs.google.com/spreadsheets/d/1P8eX0NWBhUPS_hvzA11R6jkTNFrPrRYIx_dX_hYbxrk/edit?resourcekey=0-iw9bsKY2OqkUHCFMkCar3A&amp;gid=2055363397#gid=2055363397"",""MTR!C:O""),9,false)"),"")</f>
        <v/>
      </c>
      <c r="P282" s="241"/>
      <c r="Q282" s="251" t="s">
        <v>445</v>
      </c>
      <c r="R282" s="241"/>
      <c r="S282" s="154" t="s">
        <v>64</v>
      </c>
      <c r="T282" s="154" t="s">
        <v>64</v>
      </c>
      <c r="U282" s="154" t="s">
        <v>64</v>
      </c>
      <c r="V282" s="154" t="s">
        <v>64</v>
      </c>
      <c r="W282" s="154" t="s">
        <v>64</v>
      </c>
      <c r="X282" s="154" t="s">
        <v>64</v>
      </c>
      <c r="Y282" s="154" t="s">
        <v>64</v>
      </c>
      <c r="Z282" s="154" t="s">
        <v>64</v>
      </c>
      <c r="AA282" s="154" t="s">
        <v>64</v>
      </c>
      <c r="AB282" s="154"/>
      <c r="AC282" s="242" t="b">
        <f t="shared" si="2"/>
        <v>1</v>
      </c>
      <c r="AD282" s="154" t="s">
        <v>391</v>
      </c>
      <c r="AE282" s="243" t="b">
        <f t="shared" si="3"/>
        <v>0</v>
      </c>
      <c r="AF282" s="154"/>
      <c r="AG282" s="243" t="b">
        <f t="shared" si="4"/>
        <v>0</v>
      </c>
      <c r="AH282" s="154"/>
      <c r="AI282" s="243" t="str">
        <f t="shared" si="5"/>
        <v>N/A</v>
      </c>
      <c r="AJ282" s="157" t="str">
        <f t="shared" si="6"/>
        <v/>
      </c>
    </row>
    <row r="283" ht="12.75" customHeight="1">
      <c r="A283" s="244" t="s">
        <v>621</v>
      </c>
      <c r="B283" s="244" t="s">
        <v>942</v>
      </c>
      <c r="C283" s="244" t="s">
        <v>1142</v>
      </c>
      <c r="D283" s="154" t="s">
        <v>459</v>
      </c>
      <c r="E283" s="250"/>
      <c r="F283" s="154" t="str">
        <f t="array" ref="F283">XLOOKUP(Cover!$D$12,$S$1:$AA$1,$S283:$AA283)</f>
        <v>Recommended</v>
      </c>
      <c r="G283" s="154" t="s">
        <v>1143</v>
      </c>
      <c r="H283" s="154"/>
      <c r="I283" s="154" t="s">
        <v>389</v>
      </c>
      <c r="J283" s="247" t="s">
        <v>445</v>
      </c>
      <c r="K283" s="154"/>
      <c r="L283" s="154" t="str">
        <f t="shared" si="1"/>
        <v/>
      </c>
      <c r="M283" s="248" t="str">
        <f>IFERROR(__xludf.DUMMYFUNCTION("VLOOKUP(C283,IMPORTRANGE(""https://docs.google.com/spreadsheets/d/1P8eX0NWBhUPS_hvzA11R6jkTNFrPrRYIx_dX_hYbxrk/edit?resourcekey=0-iw9bsKY2OqkUHCFMkCar3A&amp;gid=2055363397#gid=2055363397"",""MTR!C:O""),11,false)"),"PMW-MCE-AS")</f>
        <v>PMW-MCE-AS</v>
      </c>
      <c r="N283" s="248" t="str">
        <f>IFERROR(__xludf.DUMMYFUNCTION("VLOOKUP(C283,IMPORTRANGE(""https://docs.google.com/spreadsheets/d/1ihFlp3_ePlYtFuPbUNbYj1muErVpI73WHXbEwJDIA7Q/edit#gid=1493122344"",""MTR!C:O""),8,false)"),"Complies")</f>
        <v>Complies</v>
      </c>
      <c r="O283" s="241" t="str">
        <f>IFERROR(__xludf.DUMMYFUNCTION("VLOOKUP(C283,IMPORTRANGE(""https://docs.google.com/spreadsheets/d/1P8eX0NWBhUPS_hvzA11R6jkTNFrPrRYIx_dX_hYbxrk/edit?resourcekey=0-iw9bsKY2OqkUHCFMkCar3A&amp;gid=2055363397#gid=2055363397"",""MTR!C:O""),9,false)"),"")</f>
        <v/>
      </c>
      <c r="P283" s="241"/>
      <c r="Q283" s="251" t="s">
        <v>445</v>
      </c>
      <c r="R283" s="241"/>
      <c r="S283" s="154" t="s">
        <v>64</v>
      </c>
      <c r="T283" s="154" t="s">
        <v>64</v>
      </c>
      <c r="U283" s="154" t="s">
        <v>64</v>
      </c>
      <c r="V283" s="154" t="s">
        <v>64</v>
      </c>
      <c r="W283" s="154" t="s">
        <v>64</v>
      </c>
      <c r="X283" s="154" t="s">
        <v>64</v>
      </c>
      <c r="Y283" s="154" t="s">
        <v>64</v>
      </c>
      <c r="Z283" s="154" t="s">
        <v>64</v>
      </c>
      <c r="AA283" s="154" t="s">
        <v>64</v>
      </c>
      <c r="AB283" s="154"/>
      <c r="AC283" s="242" t="b">
        <f t="shared" si="2"/>
        <v>1</v>
      </c>
      <c r="AD283" s="154" t="s">
        <v>391</v>
      </c>
      <c r="AE283" s="243" t="b">
        <f t="shared" si="3"/>
        <v>0</v>
      </c>
      <c r="AF283" s="154"/>
      <c r="AG283" s="243" t="b">
        <f t="shared" si="4"/>
        <v>0</v>
      </c>
      <c r="AH283" s="154"/>
      <c r="AI283" s="243" t="str">
        <f t="shared" si="5"/>
        <v>N/A</v>
      </c>
      <c r="AJ283" s="157" t="str">
        <f t="shared" si="6"/>
        <v/>
      </c>
    </row>
    <row r="284" ht="12.75" customHeight="1">
      <c r="A284" s="244" t="s">
        <v>621</v>
      </c>
      <c r="B284" s="244" t="s">
        <v>942</v>
      </c>
      <c r="C284" s="244" t="s">
        <v>1144</v>
      </c>
      <c r="D284" s="154" t="s">
        <v>459</v>
      </c>
      <c r="E284" s="250"/>
      <c r="F284" s="154" t="str">
        <f t="array" ref="F284">XLOOKUP(Cover!$D$12,$S$1:$AA$1,$S284:$AA284)</f>
        <v>Mandatory</v>
      </c>
      <c r="G284" s="153" t="s">
        <v>1145</v>
      </c>
      <c r="H284" s="154" t="s">
        <v>347</v>
      </c>
      <c r="I284" s="154" t="s">
        <v>389</v>
      </c>
      <c r="J284" s="247" t="s">
        <v>445</v>
      </c>
      <c r="K284" s="154"/>
      <c r="L284" s="154" t="str">
        <f t="shared" si="1"/>
        <v/>
      </c>
      <c r="M284" s="248" t="str">
        <f>IFERROR(__xludf.DUMMYFUNCTION("VLOOKUP(C284,IMPORTRANGE(""https://docs.google.com/spreadsheets/d/1P8eX0NWBhUPS_hvzA11R6jkTNFrPrRYIx_dX_hYbxrk/edit?resourcekey=0-iw9bsKY2OqkUHCFMkCar3A&amp;gid=2055363397#gid=2055363397"",""MTR!C:O""),11,false)"),"PMW-MCE-AS")</f>
        <v>PMW-MCE-AS</v>
      </c>
      <c r="N284" s="248" t="str">
        <f>IFERROR(__xludf.DUMMYFUNCTION("VLOOKUP(C284,IMPORTRANGE(""https://docs.google.com/spreadsheets/d/1ihFlp3_ePlYtFuPbUNbYj1muErVpI73WHXbEwJDIA7Q/edit#gid=1493122344"",""MTR!C:O""),8,false)"),"Complies")</f>
        <v>Complies</v>
      </c>
      <c r="O284" s="241" t="str">
        <f>IFERROR(__xludf.DUMMYFUNCTION("VLOOKUP(C284,IMPORTRANGE(""https://docs.google.com/spreadsheets/d/1P8eX0NWBhUPS_hvzA11R6jkTNFrPrRYIx_dX_hYbxrk/edit?resourcekey=0-iw9bsKY2OqkUHCFMkCar3A&amp;gid=2055363397#gid=2055363397"",""MTR!C:O""),9,false)"),"")</f>
        <v/>
      </c>
      <c r="P284" s="241"/>
      <c r="Q284" s="251" t="s">
        <v>445</v>
      </c>
      <c r="R284" s="241"/>
      <c r="S284" s="154" t="s">
        <v>60</v>
      </c>
      <c r="T284" s="154" t="s">
        <v>60</v>
      </c>
      <c r="U284" s="154" t="s">
        <v>60</v>
      </c>
      <c r="V284" s="154" t="s">
        <v>60</v>
      </c>
      <c r="W284" s="154" t="s">
        <v>60</v>
      </c>
      <c r="X284" s="154" t="s">
        <v>60</v>
      </c>
      <c r="Y284" s="154" t="s">
        <v>64</v>
      </c>
      <c r="Z284" s="154" t="s">
        <v>64</v>
      </c>
      <c r="AA284" s="154" t="s">
        <v>64</v>
      </c>
      <c r="AB284" s="154"/>
      <c r="AC284" s="242" t="b">
        <f t="shared" si="2"/>
        <v>1</v>
      </c>
      <c r="AD284" s="154" t="s">
        <v>391</v>
      </c>
      <c r="AE284" s="243" t="b">
        <f t="shared" si="3"/>
        <v>0</v>
      </c>
      <c r="AF284" s="154"/>
      <c r="AG284" s="243" t="b">
        <f t="shared" si="4"/>
        <v>0</v>
      </c>
      <c r="AH284" s="154"/>
      <c r="AI284" s="243" t="str">
        <f t="shared" si="5"/>
        <v>N/A</v>
      </c>
      <c r="AJ284" s="157" t="str">
        <f t="shared" si="6"/>
        <v/>
      </c>
    </row>
    <row r="285" ht="12.75" customHeight="1">
      <c r="A285" s="244" t="s">
        <v>621</v>
      </c>
      <c r="B285" s="244" t="s">
        <v>942</v>
      </c>
      <c r="C285" s="244" t="s">
        <v>1146</v>
      </c>
      <c r="D285" s="154" t="s">
        <v>459</v>
      </c>
      <c r="E285" s="250"/>
      <c r="F285" s="154" t="str">
        <f t="array" ref="F285">XLOOKUP(Cover!$D$12,$S$1:$AA$1,$S285:$AA285)</f>
        <v>Recommended</v>
      </c>
      <c r="G285" s="154" t="s">
        <v>1147</v>
      </c>
      <c r="H285" s="154"/>
      <c r="I285" s="154" t="s">
        <v>389</v>
      </c>
      <c r="J285" s="247" t="s">
        <v>445</v>
      </c>
      <c r="K285" s="154"/>
      <c r="L285" s="154" t="str">
        <f t="shared" si="1"/>
        <v/>
      </c>
      <c r="M285" s="248" t="str">
        <f>IFERROR(__xludf.DUMMYFUNCTION("VLOOKUP(C285,IMPORTRANGE(""https://docs.google.com/spreadsheets/d/1P8eX0NWBhUPS_hvzA11R6jkTNFrPrRYIx_dX_hYbxrk/edit?resourcekey=0-iw9bsKY2OqkUHCFMkCar3A&amp;gid=2055363397#gid=2055363397"",""MTR!C:O""),11,false)"),"PMW-MCE-AS")</f>
        <v>PMW-MCE-AS</v>
      </c>
      <c r="N285" s="248" t="str">
        <f>IFERROR(__xludf.DUMMYFUNCTION("VLOOKUP(C285,IMPORTRANGE(""https://docs.google.com/spreadsheets/d/1ihFlp3_ePlYtFuPbUNbYj1muErVpI73WHXbEwJDIA7Q/edit#gid=1493122344"",""MTR!C:O""),8,false)"),"Complies")</f>
        <v>Complies</v>
      </c>
      <c r="O285" s="241" t="str">
        <f>IFERROR(__xludf.DUMMYFUNCTION("VLOOKUP(C285,IMPORTRANGE(""https://docs.google.com/spreadsheets/d/1P8eX0NWBhUPS_hvzA11R6jkTNFrPrRYIx_dX_hYbxrk/edit?resourcekey=0-iw9bsKY2OqkUHCFMkCar3A&amp;gid=2055363397#gid=2055363397"",""MTR!C:O""),9,false)"),"")</f>
        <v/>
      </c>
      <c r="P285" s="241"/>
      <c r="Q285" s="251" t="s">
        <v>445</v>
      </c>
      <c r="R285" s="241"/>
      <c r="S285" s="154" t="s">
        <v>64</v>
      </c>
      <c r="T285" s="154" t="s">
        <v>64</v>
      </c>
      <c r="U285" s="154" t="s">
        <v>64</v>
      </c>
      <c r="V285" s="154" t="s">
        <v>64</v>
      </c>
      <c r="W285" s="154" t="s">
        <v>64</v>
      </c>
      <c r="X285" s="154" t="s">
        <v>64</v>
      </c>
      <c r="Y285" s="154" t="s">
        <v>64</v>
      </c>
      <c r="Z285" s="154" t="s">
        <v>64</v>
      </c>
      <c r="AA285" s="154" t="s">
        <v>64</v>
      </c>
      <c r="AB285" s="154"/>
      <c r="AC285" s="242" t="b">
        <f t="shared" si="2"/>
        <v>1</v>
      </c>
      <c r="AD285" s="154" t="s">
        <v>391</v>
      </c>
      <c r="AE285" s="243" t="b">
        <f t="shared" si="3"/>
        <v>0</v>
      </c>
      <c r="AF285" s="154"/>
      <c r="AG285" s="243" t="b">
        <f t="shared" si="4"/>
        <v>0</v>
      </c>
      <c r="AH285" s="154"/>
      <c r="AI285" s="243" t="str">
        <f t="shared" si="5"/>
        <v>N/A</v>
      </c>
      <c r="AJ285" s="157" t="str">
        <f t="shared" si="6"/>
        <v/>
      </c>
    </row>
    <row r="286" ht="12.75" customHeight="1">
      <c r="A286" s="244" t="s">
        <v>621</v>
      </c>
      <c r="B286" s="244" t="s">
        <v>942</v>
      </c>
      <c r="C286" s="244" t="s">
        <v>1148</v>
      </c>
      <c r="D286" s="154" t="s">
        <v>459</v>
      </c>
      <c r="E286" s="250"/>
      <c r="F286" s="154" t="str">
        <f t="array" ref="F286">XLOOKUP(Cover!$D$12,$S$1:$AA$1,$S286:$AA286)</f>
        <v>Mandatory</v>
      </c>
      <c r="G286" s="153" t="s">
        <v>1149</v>
      </c>
      <c r="H286" s="154" t="s">
        <v>144</v>
      </c>
      <c r="I286" s="154" t="s">
        <v>389</v>
      </c>
      <c r="J286" s="247" t="s">
        <v>445</v>
      </c>
      <c r="K286" s="154"/>
      <c r="L286" s="154" t="str">
        <f t="shared" si="1"/>
        <v/>
      </c>
      <c r="M286" s="248" t="str">
        <f>IFERROR(__xludf.DUMMYFUNCTION("VLOOKUP(C286,IMPORTRANGE(""https://docs.google.com/spreadsheets/d/1P8eX0NWBhUPS_hvzA11R6jkTNFrPrRYIx_dX_hYbxrk/edit?resourcekey=0-iw9bsKY2OqkUHCFMkCar3A&amp;gid=2055363397#gid=2055363397"",""MTR!C:O""),11,false)"),"PMW-MCE-AS")</f>
        <v>PMW-MCE-AS</v>
      </c>
      <c r="N286" s="248" t="str">
        <f>IFERROR(__xludf.DUMMYFUNCTION("VLOOKUP(C286,IMPORTRANGE(""https://docs.google.com/spreadsheets/d/1ihFlp3_ePlYtFuPbUNbYj1muErVpI73WHXbEwJDIA7Q/edit#gid=1493122344"",""MTR!C:O""),8,false)"),"Complies")</f>
        <v>Complies</v>
      </c>
      <c r="O286" s="241" t="str">
        <f>IFERROR(__xludf.DUMMYFUNCTION("VLOOKUP(C286,IMPORTRANGE(""https://docs.google.com/spreadsheets/d/1P8eX0NWBhUPS_hvzA11R6jkTNFrPrRYIx_dX_hYbxrk/edit?resourcekey=0-iw9bsKY2OqkUHCFMkCar3A&amp;gid=2055363397#gid=2055363397"",""MTR!C:O""),9,false)"),"")</f>
        <v/>
      </c>
      <c r="P286" s="241"/>
      <c r="Q286" s="251" t="s">
        <v>445</v>
      </c>
      <c r="R286" s="241"/>
      <c r="S286" s="154" t="s">
        <v>60</v>
      </c>
      <c r="T286" s="154" t="s">
        <v>60</v>
      </c>
      <c r="U286" s="154" t="s">
        <v>60</v>
      </c>
      <c r="V286" s="154" t="s">
        <v>60</v>
      </c>
      <c r="W286" s="154" t="s">
        <v>60</v>
      </c>
      <c r="X286" s="154" t="s">
        <v>60</v>
      </c>
      <c r="Y286" s="154" t="s">
        <v>60</v>
      </c>
      <c r="Z286" s="154" t="s">
        <v>60</v>
      </c>
      <c r="AA286" s="154" t="s">
        <v>60</v>
      </c>
      <c r="AB286" s="154"/>
      <c r="AC286" s="242" t="b">
        <f t="shared" si="2"/>
        <v>1</v>
      </c>
      <c r="AD286" s="154" t="s">
        <v>391</v>
      </c>
      <c r="AE286" s="243" t="b">
        <f t="shared" si="3"/>
        <v>0</v>
      </c>
      <c r="AF286" s="154"/>
      <c r="AG286" s="243" t="b">
        <f t="shared" si="4"/>
        <v>0</v>
      </c>
      <c r="AH286" s="154"/>
      <c r="AI286" s="243" t="str">
        <f t="shared" si="5"/>
        <v>N/A</v>
      </c>
      <c r="AJ286" s="157" t="str">
        <f t="shared" si="6"/>
        <v/>
      </c>
    </row>
    <row r="287" ht="12.75" customHeight="1">
      <c r="A287" s="244" t="s">
        <v>621</v>
      </c>
      <c r="B287" s="244" t="s">
        <v>942</v>
      </c>
      <c r="C287" s="244" t="s">
        <v>1150</v>
      </c>
      <c r="D287" s="154" t="s">
        <v>459</v>
      </c>
      <c r="E287" s="250"/>
      <c r="F287" s="154" t="str">
        <f t="array" ref="F287">XLOOKUP(Cover!$D$12,$S$1:$AA$1,$S287:$AA287)</f>
        <v>Mandatory</v>
      </c>
      <c r="G287" s="153" t="s">
        <v>1151</v>
      </c>
      <c r="H287" s="154" t="s">
        <v>347</v>
      </c>
      <c r="I287" s="154" t="s">
        <v>389</v>
      </c>
      <c r="J287" s="247" t="s">
        <v>445</v>
      </c>
      <c r="K287" s="154"/>
      <c r="L287" s="154" t="str">
        <f t="shared" si="1"/>
        <v/>
      </c>
      <c r="M287" s="248" t="str">
        <f>IFERROR(__xludf.DUMMYFUNCTION("VLOOKUP(C287,IMPORTRANGE(""https://docs.google.com/spreadsheets/d/1P8eX0NWBhUPS_hvzA11R6jkTNFrPrRYIx_dX_hYbxrk/edit?resourcekey=0-iw9bsKY2OqkUHCFMkCar3A&amp;gid=2055363397#gid=2055363397"",""MTR!C:O""),11,false)"),"PMW-MCE-AS")</f>
        <v>PMW-MCE-AS</v>
      </c>
      <c r="N287" s="248" t="str">
        <f>IFERROR(__xludf.DUMMYFUNCTION("VLOOKUP(C287,IMPORTRANGE(""https://docs.google.com/spreadsheets/d/1ihFlp3_ePlYtFuPbUNbYj1muErVpI73WHXbEwJDIA7Q/edit#gid=1493122344"",""MTR!C:O""),8,false)"),"Complies")</f>
        <v>Complies</v>
      </c>
      <c r="O287" s="241" t="str">
        <f>IFERROR(__xludf.DUMMYFUNCTION("VLOOKUP(C287,IMPORTRANGE(""https://docs.google.com/spreadsheets/d/1P8eX0NWBhUPS_hvzA11R6jkTNFrPrRYIx_dX_hYbxrk/edit?resourcekey=0-iw9bsKY2OqkUHCFMkCar3A&amp;gid=2055363397#gid=2055363397"",""MTR!C:O""),9,false)"),"")</f>
        <v/>
      </c>
      <c r="P287" s="241"/>
      <c r="Q287" s="251" t="s">
        <v>445</v>
      </c>
      <c r="R287" s="241"/>
      <c r="S287" s="154" t="s">
        <v>60</v>
      </c>
      <c r="T287" s="154" t="s">
        <v>60</v>
      </c>
      <c r="U287" s="154" t="s">
        <v>60</v>
      </c>
      <c r="V287" s="154" t="s">
        <v>60</v>
      </c>
      <c r="W287" s="154" t="s">
        <v>60</v>
      </c>
      <c r="X287" s="154" t="s">
        <v>60</v>
      </c>
      <c r="Y287" s="154" t="s">
        <v>64</v>
      </c>
      <c r="Z287" s="154" t="s">
        <v>64</v>
      </c>
      <c r="AA287" s="154" t="s">
        <v>64</v>
      </c>
      <c r="AB287" s="154"/>
      <c r="AC287" s="242" t="b">
        <f t="shared" si="2"/>
        <v>1</v>
      </c>
      <c r="AD287" s="154" t="s">
        <v>391</v>
      </c>
      <c r="AE287" s="243" t="b">
        <f t="shared" si="3"/>
        <v>0</v>
      </c>
      <c r="AF287" s="154"/>
      <c r="AG287" s="243" t="b">
        <f t="shared" si="4"/>
        <v>0</v>
      </c>
      <c r="AH287" s="154"/>
      <c r="AI287" s="243" t="str">
        <f t="shared" si="5"/>
        <v>N/A</v>
      </c>
      <c r="AJ287" s="157" t="str">
        <f t="shared" si="6"/>
        <v/>
      </c>
    </row>
    <row r="288" ht="12.75" customHeight="1">
      <c r="A288" s="244" t="s">
        <v>621</v>
      </c>
      <c r="B288" s="244" t="s">
        <v>942</v>
      </c>
      <c r="C288" s="244" t="s">
        <v>1152</v>
      </c>
      <c r="D288" s="154" t="s">
        <v>459</v>
      </c>
      <c r="E288" s="250"/>
      <c r="F288" s="154" t="str">
        <f t="array" ref="F288">XLOOKUP(Cover!$D$12,$S$1:$AA$1,$S288:$AA288)</f>
        <v>Mandatory</v>
      </c>
      <c r="G288" s="153" t="s">
        <v>1153</v>
      </c>
      <c r="H288" s="154" t="s">
        <v>347</v>
      </c>
      <c r="I288" s="154" t="s">
        <v>389</v>
      </c>
      <c r="J288" s="247" t="s">
        <v>445</v>
      </c>
      <c r="K288" s="154"/>
      <c r="L288" s="154" t="str">
        <f t="shared" si="1"/>
        <v/>
      </c>
      <c r="M288" s="248" t="str">
        <f>IFERROR(__xludf.DUMMYFUNCTION("VLOOKUP(C288,IMPORTRANGE(""https://docs.google.com/spreadsheets/d/1P8eX0NWBhUPS_hvzA11R6jkTNFrPrRYIx_dX_hYbxrk/edit?resourcekey=0-iw9bsKY2OqkUHCFMkCar3A&amp;gid=2055363397#gid=2055363397"",""MTR!C:O""),11,false)"),"PMW-MCE-AS")</f>
        <v>PMW-MCE-AS</v>
      </c>
      <c r="N288" s="248" t="str">
        <f>IFERROR(__xludf.DUMMYFUNCTION("VLOOKUP(C288,IMPORTRANGE(""https://docs.google.com/spreadsheets/d/1ihFlp3_ePlYtFuPbUNbYj1muErVpI73WHXbEwJDIA7Q/edit#gid=1493122344"",""MTR!C:O""),8,false)"),"Complies")</f>
        <v>Complies</v>
      </c>
      <c r="O288" s="241" t="str">
        <f>IFERROR(__xludf.DUMMYFUNCTION("VLOOKUP(C288,IMPORTRANGE(""https://docs.google.com/spreadsheets/d/1P8eX0NWBhUPS_hvzA11R6jkTNFrPrRYIx_dX_hYbxrk/edit?resourcekey=0-iw9bsKY2OqkUHCFMkCar3A&amp;gid=2055363397#gid=2055363397"",""MTR!C:O""),9,false)"),"")</f>
        <v/>
      </c>
      <c r="P288" s="241"/>
      <c r="Q288" s="251" t="s">
        <v>445</v>
      </c>
      <c r="R288" s="241"/>
      <c r="S288" s="154" t="s">
        <v>60</v>
      </c>
      <c r="T288" s="154" t="s">
        <v>60</v>
      </c>
      <c r="U288" s="154" t="s">
        <v>60</v>
      </c>
      <c r="V288" s="154" t="s">
        <v>60</v>
      </c>
      <c r="W288" s="154" t="s">
        <v>60</v>
      </c>
      <c r="X288" s="154" t="s">
        <v>60</v>
      </c>
      <c r="Y288" s="154" t="s">
        <v>64</v>
      </c>
      <c r="Z288" s="154" t="s">
        <v>64</v>
      </c>
      <c r="AA288" s="154" t="s">
        <v>64</v>
      </c>
      <c r="AB288" s="154"/>
      <c r="AC288" s="242" t="b">
        <f t="shared" si="2"/>
        <v>1</v>
      </c>
      <c r="AD288" s="154" t="s">
        <v>391</v>
      </c>
      <c r="AE288" s="243" t="b">
        <f t="shared" si="3"/>
        <v>0</v>
      </c>
      <c r="AF288" s="154"/>
      <c r="AG288" s="243" t="b">
        <f t="shared" si="4"/>
        <v>0</v>
      </c>
      <c r="AH288" s="154"/>
      <c r="AI288" s="243" t="str">
        <f t="shared" si="5"/>
        <v>N/A</v>
      </c>
      <c r="AJ288" s="157" t="str">
        <f t="shared" si="6"/>
        <v/>
      </c>
    </row>
    <row r="289" ht="12.75" customHeight="1">
      <c r="A289" s="244" t="s">
        <v>621</v>
      </c>
      <c r="B289" s="244" t="s">
        <v>942</v>
      </c>
      <c r="C289" s="244" t="s">
        <v>1154</v>
      </c>
      <c r="D289" s="154" t="s">
        <v>459</v>
      </c>
      <c r="E289" s="250"/>
      <c r="F289" s="154" t="str">
        <f t="array" ref="F289">XLOOKUP(Cover!$D$12,$S$1:$AA$1,$S289:$AA289)</f>
        <v>Information</v>
      </c>
      <c r="G289" s="154" t="s">
        <v>1155</v>
      </c>
      <c r="H289" s="154"/>
      <c r="I289" s="154" t="s">
        <v>389</v>
      </c>
      <c r="J289" s="247" t="s">
        <v>445</v>
      </c>
      <c r="K289" s="154"/>
      <c r="L289" s="154" t="str">
        <f t="shared" si="1"/>
        <v/>
      </c>
      <c r="M289" s="248" t="str">
        <f>IFERROR(__xludf.DUMMYFUNCTION("VLOOKUP(C289,IMPORTRANGE(""https://docs.google.com/spreadsheets/d/1P8eX0NWBhUPS_hvzA11R6jkTNFrPrRYIx_dX_hYbxrk/edit?resourcekey=0-iw9bsKY2OqkUHCFMkCar3A&amp;gid=2055363397#gid=2055363397"",""MTR!C:O""),11,false)"),"PMW-MCE-AS")</f>
        <v>PMW-MCE-AS</v>
      </c>
      <c r="N289" s="248" t="str">
        <f>IFERROR(__xludf.DUMMYFUNCTION("VLOOKUP(C289,IMPORTRANGE(""https://docs.google.com/spreadsheets/d/1ihFlp3_ePlYtFuPbUNbYj1muErVpI73WHXbEwJDIA7Q/edit#gid=1493122344"",""MTR!C:O""),8,false)"),"Complies")</f>
        <v>Complies</v>
      </c>
      <c r="O289" s="241" t="str">
        <f>IFERROR(__xludf.DUMMYFUNCTION("VLOOKUP(C289,IMPORTRANGE(""https://docs.google.com/spreadsheets/d/1P8eX0NWBhUPS_hvzA11R6jkTNFrPrRYIx_dX_hYbxrk/edit?resourcekey=0-iw9bsKY2OqkUHCFMkCar3A&amp;gid=2055363397#gid=2055363397"",""MTR!C:O""),9,false)"),"")</f>
        <v/>
      </c>
      <c r="P289" s="241"/>
      <c r="Q289" s="251" t="s">
        <v>445</v>
      </c>
      <c r="R289" s="241"/>
      <c r="S289" s="154" t="s">
        <v>66</v>
      </c>
      <c r="T289" s="154" t="s">
        <v>66</v>
      </c>
      <c r="U289" s="154" t="s">
        <v>66</v>
      </c>
      <c r="V289" s="154" t="s">
        <v>66</v>
      </c>
      <c r="W289" s="154" t="s">
        <v>66</v>
      </c>
      <c r="X289" s="154" t="s">
        <v>66</v>
      </c>
      <c r="Y289" s="154" t="s">
        <v>66</v>
      </c>
      <c r="Z289" s="154" t="s">
        <v>66</v>
      </c>
      <c r="AA289" s="154" t="s">
        <v>66</v>
      </c>
      <c r="AB289" s="154"/>
      <c r="AC289" s="242" t="b">
        <f t="shared" si="2"/>
        <v>1</v>
      </c>
      <c r="AD289" s="154" t="s">
        <v>391</v>
      </c>
      <c r="AE289" s="243" t="b">
        <f t="shared" si="3"/>
        <v>0</v>
      </c>
      <c r="AF289" s="154"/>
      <c r="AG289" s="243" t="b">
        <f t="shared" si="4"/>
        <v>0</v>
      </c>
      <c r="AH289" s="154"/>
      <c r="AI289" s="243" t="str">
        <f t="shared" si="5"/>
        <v>N/A</v>
      </c>
      <c r="AJ289" s="157" t="str">
        <f t="shared" si="6"/>
        <v/>
      </c>
    </row>
    <row r="290" ht="12.75" customHeight="1">
      <c r="A290" s="244" t="s">
        <v>621</v>
      </c>
      <c r="B290" s="244" t="s">
        <v>942</v>
      </c>
      <c r="C290" s="244" t="s">
        <v>1156</v>
      </c>
      <c r="D290" s="154" t="s">
        <v>459</v>
      </c>
      <c r="E290" s="250"/>
      <c r="F290" s="154" t="str">
        <f t="array" ref="F290">XLOOKUP(Cover!$D$12,$S$1:$AA$1,$S290:$AA290)</f>
        <v>Mandatory</v>
      </c>
      <c r="G290" s="154" t="s">
        <v>1157</v>
      </c>
      <c r="H290" s="154" t="s">
        <v>347</v>
      </c>
      <c r="I290" s="154" t="s">
        <v>389</v>
      </c>
      <c r="J290" s="247" t="s">
        <v>445</v>
      </c>
      <c r="K290" s="154"/>
      <c r="L290" s="154" t="str">
        <f t="shared" si="1"/>
        <v/>
      </c>
      <c r="M290" s="248" t="str">
        <f>IFERROR(__xludf.DUMMYFUNCTION("VLOOKUP(C290,IMPORTRANGE(""https://docs.google.com/spreadsheets/d/1P8eX0NWBhUPS_hvzA11R6jkTNFrPrRYIx_dX_hYbxrk/edit?resourcekey=0-iw9bsKY2OqkUHCFMkCar3A&amp;gid=2055363397#gid=2055363397"",""MTR!C:O""),11,false)"),"PMW-MCE-AS")</f>
        <v>PMW-MCE-AS</v>
      </c>
      <c r="N290" s="248" t="str">
        <f>IFERROR(__xludf.DUMMYFUNCTION("VLOOKUP(C290,IMPORTRANGE(""https://docs.google.com/spreadsheets/d/1ihFlp3_ePlYtFuPbUNbYj1muErVpI73WHXbEwJDIA7Q/edit#gid=1493122344"",""MTR!C:O""),8,false)"),"Complies")</f>
        <v>Complies</v>
      </c>
      <c r="O290" s="241" t="str">
        <f>IFERROR(__xludf.DUMMYFUNCTION("VLOOKUP(C290,IMPORTRANGE(""https://docs.google.com/spreadsheets/d/1P8eX0NWBhUPS_hvzA11R6jkTNFrPrRYIx_dX_hYbxrk/edit?resourcekey=0-iw9bsKY2OqkUHCFMkCar3A&amp;gid=2055363397#gid=2055363397"",""MTR!C:O""),9,false)"),"")</f>
        <v/>
      </c>
      <c r="P290" s="241"/>
      <c r="Q290" s="251" t="s">
        <v>445</v>
      </c>
      <c r="R290" s="241"/>
      <c r="S290" s="154" t="s">
        <v>60</v>
      </c>
      <c r="T290" s="154" t="s">
        <v>60</v>
      </c>
      <c r="U290" s="154" t="s">
        <v>60</v>
      </c>
      <c r="V290" s="154" t="s">
        <v>60</v>
      </c>
      <c r="W290" s="154" t="s">
        <v>60</v>
      </c>
      <c r="X290" s="154" t="s">
        <v>60</v>
      </c>
      <c r="Y290" s="154" t="s">
        <v>64</v>
      </c>
      <c r="Z290" s="154" t="s">
        <v>64</v>
      </c>
      <c r="AA290" s="154" t="s">
        <v>64</v>
      </c>
      <c r="AB290" s="154"/>
      <c r="AC290" s="242" t="b">
        <f t="shared" si="2"/>
        <v>1</v>
      </c>
      <c r="AD290" s="154" t="s">
        <v>391</v>
      </c>
      <c r="AE290" s="243" t="b">
        <f t="shared" si="3"/>
        <v>0</v>
      </c>
      <c r="AF290" s="154"/>
      <c r="AG290" s="243" t="b">
        <f t="shared" si="4"/>
        <v>0</v>
      </c>
      <c r="AH290" s="154"/>
      <c r="AI290" s="243" t="str">
        <f t="shared" si="5"/>
        <v>N/A</v>
      </c>
      <c r="AJ290" s="157" t="str">
        <f t="shared" si="6"/>
        <v/>
      </c>
    </row>
    <row r="291" ht="12.75" customHeight="1">
      <c r="A291" s="244" t="s">
        <v>621</v>
      </c>
      <c r="B291" s="244" t="s">
        <v>942</v>
      </c>
      <c r="C291" s="244" t="s">
        <v>1158</v>
      </c>
      <c r="D291" s="154" t="s">
        <v>459</v>
      </c>
      <c r="E291" s="250"/>
      <c r="F291" s="154" t="str">
        <f t="array" ref="F291">XLOOKUP(Cover!$D$12,$S$1:$AA$1,$S291:$AA291)</f>
        <v>Information</v>
      </c>
      <c r="G291" s="154" t="s">
        <v>1159</v>
      </c>
      <c r="H291" s="154"/>
      <c r="I291" s="154" t="s">
        <v>389</v>
      </c>
      <c r="J291" s="247" t="s">
        <v>445</v>
      </c>
      <c r="K291" s="154"/>
      <c r="L291" s="154" t="str">
        <f t="shared" si="1"/>
        <v/>
      </c>
      <c r="M291" s="248" t="str">
        <f>IFERROR(__xludf.DUMMYFUNCTION("VLOOKUP(C291,IMPORTRANGE(""https://docs.google.com/spreadsheets/d/1P8eX0NWBhUPS_hvzA11R6jkTNFrPrRYIx_dX_hYbxrk/edit?resourcekey=0-iw9bsKY2OqkUHCFMkCar3A&amp;gid=2055363397#gid=2055363397"",""MTR!C:O""),11,false)"),"PMW-MCE-AS")</f>
        <v>PMW-MCE-AS</v>
      </c>
      <c r="N291" s="248" t="str">
        <f>IFERROR(__xludf.DUMMYFUNCTION("VLOOKUP(C291,IMPORTRANGE(""https://docs.google.com/spreadsheets/d/1ihFlp3_ePlYtFuPbUNbYj1muErVpI73WHXbEwJDIA7Q/edit#gid=1493122344"",""MTR!C:O""),8,false)"),"Complies")</f>
        <v>Complies</v>
      </c>
      <c r="O291" s="241" t="str">
        <f>IFERROR(__xludf.DUMMYFUNCTION("VLOOKUP(C291,IMPORTRANGE(""https://docs.google.com/spreadsheets/d/1P8eX0NWBhUPS_hvzA11R6jkTNFrPrRYIx_dX_hYbxrk/edit?resourcekey=0-iw9bsKY2OqkUHCFMkCar3A&amp;gid=2055363397#gid=2055363397"",""MTR!C:O""),9,false)"),"")</f>
        <v/>
      </c>
      <c r="P291" s="241"/>
      <c r="Q291" s="251" t="s">
        <v>445</v>
      </c>
      <c r="R291" s="241"/>
      <c r="S291" s="154" t="s">
        <v>66</v>
      </c>
      <c r="T291" s="154" t="s">
        <v>66</v>
      </c>
      <c r="U291" s="154" t="s">
        <v>66</v>
      </c>
      <c r="V291" s="154" t="s">
        <v>66</v>
      </c>
      <c r="W291" s="154" t="s">
        <v>66</v>
      </c>
      <c r="X291" s="154" t="s">
        <v>66</v>
      </c>
      <c r="Y291" s="154" t="s">
        <v>66</v>
      </c>
      <c r="Z291" s="154" t="s">
        <v>66</v>
      </c>
      <c r="AA291" s="154" t="s">
        <v>66</v>
      </c>
      <c r="AB291" s="154"/>
      <c r="AC291" s="242" t="b">
        <f t="shared" si="2"/>
        <v>1</v>
      </c>
      <c r="AD291" s="154" t="s">
        <v>391</v>
      </c>
      <c r="AE291" s="243" t="b">
        <f t="shared" si="3"/>
        <v>0</v>
      </c>
      <c r="AF291" s="154"/>
      <c r="AG291" s="243" t="b">
        <f t="shared" si="4"/>
        <v>0</v>
      </c>
      <c r="AH291" s="154"/>
      <c r="AI291" s="243" t="str">
        <f t="shared" si="5"/>
        <v>N/A</v>
      </c>
      <c r="AJ291" s="157" t="str">
        <f t="shared" si="6"/>
        <v/>
      </c>
    </row>
    <row r="292" ht="12.75" customHeight="1">
      <c r="A292" s="244" t="s">
        <v>621</v>
      </c>
      <c r="B292" s="244" t="s">
        <v>942</v>
      </c>
      <c r="C292" s="244" t="s">
        <v>1160</v>
      </c>
      <c r="D292" s="154" t="s">
        <v>459</v>
      </c>
      <c r="E292" s="250"/>
      <c r="F292" s="154" t="str">
        <f t="array" ref="F292">XLOOKUP(Cover!$D$12,$S$1:$AA$1,$S292:$AA292)</f>
        <v>Information</v>
      </c>
      <c r="G292" s="154" t="s">
        <v>1161</v>
      </c>
      <c r="H292" s="154"/>
      <c r="I292" s="154" t="s">
        <v>389</v>
      </c>
      <c r="J292" s="247" t="s">
        <v>516</v>
      </c>
      <c r="K292" s="247" t="s">
        <v>1162</v>
      </c>
      <c r="L292" s="154" t="str">
        <f t="shared" si="1"/>
        <v/>
      </c>
      <c r="M292" s="248" t="str">
        <f>IFERROR(__xludf.DUMMYFUNCTION("VLOOKUP(C292,IMPORTRANGE(""https://docs.google.com/spreadsheets/d/1P8eX0NWBhUPS_hvzA11R6jkTNFrPrRYIx_dX_hYbxrk/edit?resourcekey=0-iw9bsKY2OqkUHCFMkCar3A&amp;gid=2055363397#gid=2055363397"",""MTR!C:O""),11,false)"),"PMW-MCE-AS")</f>
        <v>PMW-MCE-AS</v>
      </c>
      <c r="N292" s="248" t="str">
        <f>IFERROR(__xludf.DUMMYFUNCTION("VLOOKUP(C292,IMPORTRANGE(""https://docs.google.com/spreadsheets/d/1ihFlp3_ePlYtFuPbUNbYj1muErVpI73WHXbEwJDIA7Q/edit#gid=1493122344"",""MTR!C:O""),8,false)"),"Does Not Comply")</f>
        <v>Does Not Comply</v>
      </c>
      <c r="O292" s="241" t="str">
        <f>IFERROR(__xludf.DUMMYFUNCTION("VLOOKUP(C292,IMPORTRANGE(""https://docs.google.com/spreadsheets/d/1P8eX0NWBhUPS_hvzA11R6jkTNFrPrRYIx_dX_hYbxrk/edit?resourcekey=0-iw9bsKY2OqkUHCFMkCar3A&amp;gid=2055363397#gid=2055363397"",""MTR!C:O""),9,false)"),"")</f>
        <v/>
      </c>
      <c r="P292" s="241"/>
      <c r="Q292" s="251" t="s">
        <v>516</v>
      </c>
      <c r="R292" s="251" t="s">
        <v>1162</v>
      </c>
      <c r="S292" s="154" t="s">
        <v>66</v>
      </c>
      <c r="T292" s="154" t="s">
        <v>66</v>
      </c>
      <c r="U292" s="154" t="s">
        <v>66</v>
      </c>
      <c r="V292" s="154" t="s">
        <v>66</v>
      </c>
      <c r="W292" s="154" t="s">
        <v>66</v>
      </c>
      <c r="X292" s="154" t="s">
        <v>66</v>
      </c>
      <c r="Y292" s="154" t="s">
        <v>66</v>
      </c>
      <c r="Z292" s="154" t="s">
        <v>66</v>
      </c>
      <c r="AA292" s="154" t="s">
        <v>66</v>
      </c>
      <c r="AB292" s="154"/>
      <c r="AC292" s="242" t="b">
        <f t="shared" si="2"/>
        <v>1</v>
      </c>
      <c r="AD292" s="154" t="s">
        <v>391</v>
      </c>
      <c r="AE292" s="243" t="b">
        <f t="shared" si="3"/>
        <v>0</v>
      </c>
      <c r="AF292" s="154"/>
      <c r="AG292" s="243" t="b">
        <f t="shared" si="4"/>
        <v>0</v>
      </c>
      <c r="AH292" s="154"/>
      <c r="AI292" s="243" t="str">
        <f t="shared" si="5"/>
        <v>N/A</v>
      </c>
      <c r="AJ292" s="157" t="str">
        <f t="shared" si="6"/>
        <v/>
      </c>
    </row>
    <row r="293" ht="12.75" customHeight="1">
      <c r="A293" s="244" t="s">
        <v>621</v>
      </c>
      <c r="B293" s="244" t="s">
        <v>942</v>
      </c>
      <c r="C293" s="244" t="s">
        <v>1163</v>
      </c>
      <c r="D293" s="154" t="s">
        <v>459</v>
      </c>
      <c r="E293" s="250"/>
      <c r="F293" s="154" t="str">
        <f t="array" ref="F293">XLOOKUP(Cover!$D$12,$S$1:$AA$1,$S293:$AA293)</f>
        <v>Information</v>
      </c>
      <c r="G293" s="154" t="s">
        <v>1164</v>
      </c>
      <c r="H293" s="154"/>
      <c r="I293" s="154" t="s">
        <v>389</v>
      </c>
      <c r="J293" s="247" t="s">
        <v>516</v>
      </c>
      <c r="K293" s="247" t="s">
        <v>1162</v>
      </c>
      <c r="L293" s="154" t="str">
        <f t="shared" si="1"/>
        <v/>
      </c>
      <c r="M293" s="248" t="str">
        <f>IFERROR(__xludf.DUMMYFUNCTION("VLOOKUP(C293,IMPORTRANGE(""https://docs.google.com/spreadsheets/d/1P8eX0NWBhUPS_hvzA11R6jkTNFrPrRYIx_dX_hYbxrk/edit?resourcekey=0-iw9bsKY2OqkUHCFMkCar3A&amp;gid=2055363397#gid=2055363397"",""MTR!C:O""),11,false)"),"PMW-MCE-AS")</f>
        <v>PMW-MCE-AS</v>
      </c>
      <c r="N293" s="248" t="str">
        <f>IFERROR(__xludf.DUMMYFUNCTION("VLOOKUP(C293,IMPORTRANGE(""https://docs.google.com/spreadsheets/d/1ihFlp3_ePlYtFuPbUNbYj1muErVpI73WHXbEwJDIA7Q/edit#gid=1493122344"",""MTR!C:O""),8,false)"),"Does Not Comply")</f>
        <v>Does Not Comply</v>
      </c>
      <c r="O293" s="241" t="str">
        <f>IFERROR(__xludf.DUMMYFUNCTION("VLOOKUP(C293,IMPORTRANGE(""https://docs.google.com/spreadsheets/d/1P8eX0NWBhUPS_hvzA11R6jkTNFrPrRYIx_dX_hYbxrk/edit?resourcekey=0-iw9bsKY2OqkUHCFMkCar3A&amp;gid=2055363397#gid=2055363397"",""MTR!C:O""),9,false)"),"")</f>
        <v/>
      </c>
      <c r="P293" s="241"/>
      <c r="Q293" s="251" t="s">
        <v>516</v>
      </c>
      <c r="R293" s="251" t="s">
        <v>1162</v>
      </c>
      <c r="S293" s="154" t="s">
        <v>66</v>
      </c>
      <c r="T293" s="154" t="s">
        <v>66</v>
      </c>
      <c r="U293" s="154" t="s">
        <v>66</v>
      </c>
      <c r="V293" s="154" t="s">
        <v>66</v>
      </c>
      <c r="W293" s="154" t="s">
        <v>66</v>
      </c>
      <c r="X293" s="154" t="s">
        <v>66</v>
      </c>
      <c r="Y293" s="154" t="s">
        <v>66</v>
      </c>
      <c r="Z293" s="154" t="s">
        <v>66</v>
      </c>
      <c r="AA293" s="154" t="s">
        <v>66</v>
      </c>
      <c r="AB293" s="154"/>
      <c r="AC293" s="242" t="b">
        <f t="shared" si="2"/>
        <v>1</v>
      </c>
      <c r="AD293" s="154" t="s">
        <v>391</v>
      </c>
      <c r="AE293" s="243" t="b">
        <f t="shared" si="3"/>
        <v>0</v>
      </c>
      <c r="AF293" s="154"/>
      <c r="AG293" s="243" t="b">
        <f t="shared" si="4"/>
        <v>0</v>
      </c>
      <c r="AH293" s="154"/>
      <c r="AI293" s="243" t="str">
        <f t="shared" si="5"/>
        <v>N/A</v>
      </c>
      <c r="AJ293" s="157" t="str">
        <f t="shared" si="6"/>
        <v/>
      </c>
    </row>
    <row r="294" ht="12.75" customHeight="1">
      <c r="A294" s="244" t="s">
        <v>621</v>
      </c>
      <c r="B294" s="244" t="s">
        <v>942</v>
      </c>
      <c r="C294" s="244" t="s">
        <v>1165</v>
      </c>
      <c r="D294" s="154" t="s">
        <v>459</v>
      </c>
      <c r="E294" s="250"/>
      <c r="F294" s="154" t="str">
        <f t="array" ref="F294">XLOOKUP(Cover!$D$12,$S$1:$AA$1,$S294:$AA294)</f>
        <v>Mandatory</v>
      </c>
      <c r="G294" s="153" t="s">
        <v>1166</v>
      </c>
      <c r="H294" s="154" t="s">
        <v>144</v>
      </c>
      <c r="I294" s="154" t="s">
        <v>389</v>
      </c>
      <c r="J294" s="247" t="s">
        <v>445</v>
      </c>
      <c r="K294" s="154"/>
      <c r="L294" s="154" t="str">
        <f t="shared" si="1"/>
        <v/>
      </c>
      <c r="M294" s="248" t="str">
        <f>IFERROR(__xludf.DUMMYFUNCTION("VLOOKUP(C294,IMPORTRANGE(""https://docs.google.com/spreadsheets/d/1P8eX0NWBhUPS_hvzA11R6jkTNFrPrRYIx_dX_hYbxrk/edit?resourcekey=0-iw9bsKY2OqkUHCFMkCar3A&amp;gid=2055363397#gid=2055363397"",""MTR!C:O""),11,false)"),"PMW-MCE-AS")</f>
        <v>PMW-MCE-AS</v>
      </c>
      <c r="N294" s="248" t="str">
        <f>IFERROR(__xludf.DUMMYFUNCTION("VLOOKUP(C294,IMPORTRANGE(""https://docs.google.com/spreadsheets/d/1ihFlp3_ePlYtFuPbUNbYj1muErVpI73WHXbEwJDIA7Q/edit#gid=1493122344"",""MTR!C:O""),8,false)"),"Complies")</f>
        <v>Complies</v>
      </c>
      <c r="O294" s="241" t="str">
        <f>IFERROR(__xludf.DUMMYFUNCTION("VLOOKUP(C294,IMPORTRANGE(""https://docs.google.com/spreadsheets/d/1P8eX0NWBhUPS_hvzA11R6jkTNFrPrRYIx_dX_hYbxrk/edit?resourcekey=0-iw9bsKY2OqkUHCFMkCar3A&amp;gid=2055363397#gid=2055363397"",""MTR!C:O""),9,false)"),"")</f>
        <v/>
      </c>
      <c r="P294" s="241"/>
      <c r="Q294" s="251" t="s">
        <v>445</v>
      </c>
      <c r="R294" s="241"/>
      <c r="S294" s="154" t="s">
        <v>60</v>
      </c>
      <c r="T294" s="154" t="s">
        <v>60</v>
      </c>
      <c r="U294" s="154" t="s">
        <v>60</v>
      </c>
      <c r="V294" s="154" t="s">
        <v>60</v>
      </c>
      <c r="W294" s="154" t="s">
        <v>60</v>
      </c>
      <c r="X294" s="154" t="s">
        <v>60</v>
      </c>
      <c r="Y294" s="154" t="s">
        <v>60</v>
      </c>
      <c r="Z294" s="154" t="s">
        <v>60</v>
      </c>
      <c r="AA294" s="154" t="s">
        <v>60</v>
      </c>
      <c r="AB294" s="154"/>
      <c r="AC294" s="242" t="b">
        <f t="shared" si="2"/>
        <v>1</v>
      </c>
      <c r="AD294" s="154" t="s">
        <v>391</v>
      </c>
      <c r="AE294" s="243" t="b">
        <f t="shared" si="3"/>
        <v>0</v>
      </c>
      <c r="AF294" s="154"/>
      <c r="AG294" s="243" t="b">
        <f t="shared" si="4"/>
        <v>0</v>
      </c>
      <c r="AH294" s="154" t="s">
        <v>637</v>
      </c>
      <c r="AI294" s="243" t="str">
        <f t="shared" si="5"/>
        <v>Complies</v>
      </c>
      <c r="AJ294" s="157" t="str">
        <f t="shared" si="6"/>
        <v/>
      </c>
    </row>
    <row r="295" ht="12.75" customHeight="1">
      <c r="A295" s="244" t="s">
        <v>621</v>
      </c>
      <c r="B295" s="244" t="s">
        <v>942</v>
      </c>
      <c r="C295" s="244" t="s">
        <v>1167</v>
      </c>
      <c r="D295" s="154" t="s">
        <v>459</v>
      </c>
      <c r="E295" s="250"/>
      <c r="F295" s="154" t="str">
        <f t="array" ref="F295">XLOOKUP(Cover!$D$12,$S$1:$AA$1,$S295:$AA295)</f>
        <v>Mandatory</v>
      </c>
      <c r="G295" s="153" t="s">
        <v>1168</v>
      </c>
      <c r="H295" s="154" t="s">
        <v>144</v>
      </c>
      <c r="I295" s="154" t="s">
        <v>389</v>
      </c>
      <c r="J295" s="247" t="s">
        <v>445</v>
      </c>
      <c r="K295" s="154"/>
      <c r="L295" s="154" t="str">
        <f t="shared" si="1"/>
        <v/>
      </c>
      <c r="M295" s="248" t="str">
        <f>IFERROR(__xludf.DUMMYFUNCTION("VLOOKUP(C295,IMPORTRANGE(""https://docs.google.com/spreadsheets/d/1P8eX0NWBhUPS_hvzA11R6jkTNFrPrRYIx_dX_hYbxrk/edit?resourcekey=0-iw9bsKY2OqkUHCFMkCar3A&amp;gid=2055363397#gid=2055363397"",""MTR!C:O""),11,false)"),"PMW-MCE-AS")</f>
        <v>PMW-MCE-AS</v>
      </c>
      <c r="N295" s="248" t="str">
        <f>IFERROR(__xludf.DUMMYFUNCTION("VLOOKUP(C295,IMPORTRANGE(""https://docs.google.com/spreadsheets/d/1ihFlp3_ePlYtFuPbUNbYj1muErVpI73WHXbEwJDIA7Q/edit#gid=1493122344"",""MTR!C:O""),8,false)"),"Complies")</f>
        <v>Complies</v>
      </c>
      <c r="O295" s="241" t="str">
        <f>IFERROR(__xludf.DUMMYFUNCTION("VLOOKUP(C295,IMPORTRANGE(""https://docs.google.com/spreadsheets/d/1P8eX0NWBhUPS_hvzA11R6jkTNFrPrRYIx_dX_hYbxrk/edit?resourcekey=0-iw9bsKY2OqkUHCFMkCar3A&amp;gid=2055363397#gid=2055363397"",""MTR!C:O""),9,false)"),"")</f>
        <v/>
      </c>
      <c r="P295" s="241"/>
      <c r="Q295" s="251" t="s">
        <v>445</v>
      </c>
      <c r="R295" s="241"/>
      <c r="S295" s="154" t="s">
        <v>60</v>
      </c>
      <c r="T295" s="154" t="s">
        <v>60</v>
      </c>
      <c r="U295" s="154" t="s">
        <v>60</v>
      </c>
      <c r="V295" s="154" t="s">
        <v>60</v>
      </c>
      <c r="W295" s="154" t="s">
        <v>60</v>
      </c>
      <c r="X295" s="154" t="s">
        <v>60</v>
      </c>
      <c r="Y295" s="154" t="s">
        <v>60</v>
      </c>
      <c r="Z295" s="154" t="s">
        <v>60</v>
      </c>
      <c r="AA295" s="154" t="s">
        <v>60</v>
      </c>
      <c r="AB295" s="154"/>
      <c r="AC295" s="242" t="b">
        <f t="shared" si="2"/>
        <v>1</v>
      </c>
      <c r="AD295" s="154" t="s">
        <v>391</v>
      </c>
      <c r="AE295" s="243" t="b">
        <f t="shared" si="3"/>
        <v>0</v>
      </c>
      <c r="AF295" s="154"/>
      <c r="AG295" s="243" t="b">
        <f t="shared" si="4"/>
        <v>0</v>
      </c>
      <c r="AH295" s="154" t="s">
        <v>637</v>
      </c>
      <c r="AI295" s="243" t="str">
        <f t="shared" si="5"/>
        <v>Complies</v>
      </c>
      <c r="AJ295" s="157" t="str">
        <f t="shared" si="6"/>
        <v/>
      </c>
    </row>
    <row r="296" ht="12.75" customHeight="1">
      <c r="A296" s="244" t="s">
        <v>621</v>
      </c>
      <c r="B296" s="244" t="s">
        <v>942</v>
      </c>
      <c r="C296" s="244" t="s">
        <v>1169</v>
      </c>
      <c r="D296" s="154" t="s">
        <v>459</v>
      </c>
      <c r="E296" s="250"/>
      <c r="F296" s="154" t="str">
        <f t="array" ref="F296">XLOOKUP(Cover!$D$12,$S$1:$AA$1,$S296:$AA296)</f>
        <v>Mandatory</v>
      </c>
      <c r="G296" s="154" t="s">
        <v>1170</v>
      </c>
      <c r="H296" s="154" t="s">
        <v>144</v>
      </c>
      <c r="I296" s="154" t="s">
        <v>389</v>
      </c>
      <c r="J296" s="247" t="s">
        <v>445</v>
      </c>
      <c r="K296" s="154"/>
      <c r="L296" s="154" t="str">
        <f t="shared" si="1"/>
        <v/>
      </c>
      <c r="M296" s="248" t="str">
        <f>IFERROR(__xludf.DUMMYFUNCTION("VLOOKUP(C296,IMPORTRANGE(""https://docs.google.com/spreadsheets/d/1P8eX0NWBhUPS_hvzA11R6jkTNFrPrRYIx_dX_hYbxrk/edit?resourcekey=0-iw9bsKY2OqkUHCFMkCar3A&amp;gid=2055363397#gid=2055363397"",""MTR!C:O""),11,false)"),"PMW-MCE-AS")</f>
        <v>PMW-MCE-AS</v>
      </c>
      <c r="N296" s="248" t="str">
        <f>IFERROR(__xludf.DUMMYFUNCTION("VLOOKUP(C296,IMPORTRANGE(""https://docs.google.com/spreadsheets/d/1ihFlp3_ePlYtFuPbUNbYj1muErVpI73WHXbEwJDIA7Q/edit#gid=1493122344"",""MTR!C:O""),8,false)"),"Complies")</f>
        <v>Complies</v>
      </c>
      <c r="O296" s="241" t="str">
        <f>IFERROR(__xludf.DUMMYFUNCTION("VLOOKUP(C296,IMPORTRANGE(""https://docs.google.com/spreadsheets/d/1P8eX0NWBhUPS_hvzA11R6jkTNFrPrRYIx_dX_hYbxrk/edit?resourcekey=0-iw9bsKY2OqkUHCFMkCar3A&amp;gid=2055363397#gid=2055363397"",""MTR!C:O""),9,false)"),"")</f>
        <v/>
      </c>
      <c r="P296" s="241"/>
      <c r="Q296" s="251" t="s">
        <v>445</v>
      </c>
      <c r="R296" s="241"/>
      <c r="S296" s="154" t="s">
        <v>60</v>
      </c>
      <c r="T296" s="154" t="s">
        <v>60</v>
      </c>
      <c r="U296" s="154" t="s">
        <v>60</v>
      </c>
      <c r="V296" s="154" t="s">
        <v>60</v>
      </c>
      <c r="W296" s="154" t="s">
        <v>60</v>
      </c>
      <c r="X296" s="154" t="s">
        <v>60</v>
      </c>
      <c r="Y296" s="154" t="s">
        <v>60</v>
      </c>
      <c r="Z296" s="154" t="s">
        <v>60</v>
      </c>
      <c r="AA296" s="154" t="s">
        <v>60</v>
      </c>
      <c r="AB296" s="154"/>
      <c r="AC296" s="242" t="b">
        <f t="shared" si="2"/>
        <v>1</v>
      </c>
      <c r="AD296" s="154" t="s">
        <v>391</v>
      </c>
      <c r="AE296" s="243" t="b">
        <f t="shared" si="3"/>
        <v>0</v>
      </c>
      <c r="AF296" s="154"/>
      <c r="AG296" s="243" t="b">
        <f t="shared" si="4"/>
        <v>0</v>
      </c>
      <c r="AH296" s="154"/>
      <c r="AI296" s="243" t="str">
        <f t="shared" si="5"/>
        <v>N/A</v>
      </c>
      <c r="AJ296" s="157" t="str">
        <f t="shared" si="6"/>
        <v/>
      </c>
    </row>
    <row r="297" ht="12.75" customHeight="1">
      <c r="A297" s="244" t="s">
        <v>621</v>
      </c>
      <c r="B297" s="244" t="s">
        <v>942</v>
      </c>
      <c r="C297" s="244" t="s">
        <v>1171</v>
      </c>
      <c r="D297" s="154" t="s">
        <v>459</v>
      </c>
      <c r="E297" s="250"/>
      <c r="F297" s="154" t="str">
        <f t="array" ref="F297">XLOOKUP(Cover!$D$12,$S$1:$AA$1,$S297:$AA297)</f>
        <v>Mandatory</v>
      </c>
      <c r="G297" s="153" t="s">
        <v>1172</v>
      </c>
      <c r="H297" s="154" t="s">
        <v>144</v>
      </c>
      <c r="I297" s="154" t="s">
        <v>389</v>
      </c>
      <c r="J297" s="247" t="s">
        <v>445</v>
      </c>
      <c r="K297" s="154"/>
      <c r="L297" s="154" t="str">
        <f t="shared" si="1"/>
        <v/>
      </c>
      <c r="M297" s="248" t="str">
        <f>IFERROR(__xludf.DUMMYFUNCTION("VLOOKUP(C297,IMPORTRANGE(""https://docs.google.com/spreadsheets/d/1P8eX0NWBhUPS_hvzA11R6jkTNFrPrRYIx_dX_hYbxrk/edit?resourcekey=0-iw9bsKY2OqkUHCFMkCar3A&amp;gid=2055363397#gid=2055363397"",""MTR!C:O""),11,false)"),"PMW-MCE-AS")</f>
        <v>PMW-MCE-AS</v>
      </c>
      <c r="N297" s="248" t="str">
        <f>IFERROR(__xludf.DUMMYFUNCTION("VLOOKUP(C297,IMPORTRANGE(""https://docs.google.com/spreadsheets/d/1ihFlp3_ePlYtFuPbUNbYj1muErVpI73WHXbEwJDIA7Q/edit#gid=1493122344"",""MTR!C:O""),8,false)"),"Complies")</f>
        <v>Complies</v>
      </c>
      <c r="O297" s="241" t="str">
        <f>IFERROR(__xludf.DUMMYFUNCTION("VLOOKUP(C297,IMPORTRANGE(""https://docs.google.com/spreadsheets/d/1P8eX0NWBhUPS_hvzA11R6jkTNFrPrRYIx_dX_hYbxrk/edit?resourcekey=0-iw9bsKY2OqkUHCFMkCar3A&amp;gid=2055363397#gid=2055363397"",""MTR!C:O""),9,false)"),"")</f>
        <v/>
      </c>
      <c r="P297" s="241"/>
      <c r="Q297" s="251" t="s">
        <v>445</v>
      </c>
      <c r="R297" s="241"/>
      <c r="S297" s="154" t="s">
        <v>60</v>
      </c>
      <c r="T297" s="154" t="s">
        <v>60</v>
      </c>
      <c r="U297" s="154" t="s">
        <v>60</v>
      </c>
      <c r="V297" s="154" t="s">
        <v>60</v>
      </c>
      <c r="W297" s="154" t="s">
        <v>60</v>
      </c>
      <c r="X297" s="154" t="s">
        <v>60</v>
      </c>
      <c r="Y297" s="154" t="s">
        <v>60</v>
      </c>
      <c r="Z297" s="154" t="s">
        <v>60</v>
      </c>
      <c r="AA297" s="154" t="s">
        <v>60</v>
      </c>
      <c r="AB297" s="154"/>
      <c r="AC297" s="242" t="b">
        <f t="shared" si="2"/>
        <v>1</v>
      </c>
      <c r="AD297" s="154" t="s">
        <v>391</v>
      </c>
      <c r="AE297" s="243" t="b">
        <f t="shared" si="3"/>
        <v>0</v>
      </c>
      <c r="AF297" s="154"/>
      <c r="AG297" s="243" t="b">
        <f t="shared" si="4"/>
        <v>0</v>
      </c>
      <c r="AH297" s="154" t="s">
        <v>637</v>
      </c>
      <c r="AI297" s="243" t="str">
        <f t="shared" si="5"/>
        <v>Complies</v>
      </c>
      <c r="AJ297" s="157" t="str">
        <f t="shared" si="6"/>
        <v/>
      </c>
    </row>
    <row r="298" ht="12.75" customHeight="1">
      <c r="A298" s="244" t="s">
        <v>621</v>
      </c>
      <c r="B298" s="244" t="s">
        <v>942</v>
      </c>
      <c r="C298" s="244" t="s">
        <v>1173</v>
      </c>
      <c r="D298" s="154" t="s">
        <v>459</v>
      </c>
      <c r="E298" s="250"/>
      <c r="F298" s="154" t="str">
        <f t="array" ref="F298">XLOOKUP(Cover!$D$12,$S$1:$AA$1,$S298:$AA298)</f>
        <v>Mandatory</v>
      </c>
      <c r="G298" s="153" t="s">
        <v>1174</v>
      </c>
      <c r="H298" s="154" t="s">
        <v>144</v>
      </c>
      <c r="I298" s="154" t="s">
        <v>389</v>
      </c>
      <c r="J298" s="247" t="s">
        <v>445</v>
      </c>
      <c r="K298" s="154"/>
      <c r="L298" s="154" t="str">
        <f t="shared" si="1"/>
        <v/>
      </c>
      <c r="M298" s="248" t="str">
        <f>IFERROR(__xludf.DUMMYFUNCTION("VLOOKUP(C298,IMPORTRANGE(""https://docs.google.com/spreadsheets/d/1P8eX0NWBhUPS_hvzA11R6jkTNFrPrRYIx_dX_hYbxrk/edit?resourcekey=0-iw9bsKY2OqkUHCFMkCar3A&amp;gid=2055363397#gid=2055363397"",""MTR!C:O""),11,false)"),"PMW-MCE-AS")</f>
        <v>PMW-MCE-AS</v>
      </c>
      <c r="N298" s="248" t="str">
        <f>IFERROR(__xludf.DUMMYFUNCTION("VLOOKUP(C298,IMPORTRANGE(""https://docs.google.com/spreadsheets/d/1ihFlp3_ePlYtFuPbUNbYj1muErVpI73WHXbEwJDIA7Q/edit#gid=1493122344"",""MTR!C:O""),8,false)"),"Complies")</f>
        <v>Complies</v>
      </c>
      <c r="O298" s="241" t="str">
        <f>IFERROR(__xludf.DUMMYFUNCTION("VLOOKUP(C298,IMPORTRANGE(""https://docs.google.com/spreadsheets/d/1P8eX0NWBhUPS_hvzA11R6jkTNFrPrRYIx_dX_hYbxrk/edit?resourcekey=0-iw9bsKY2OqkUHCFMkCar3A&amp;gid=2055363397#gid=2055363397"",""MTR!C:O""),9,false)"),"")</f>
        <v/>
      </c>
      <c r="P298" s="241"/>
      <c r="Q298" s="251" t="s">
        <v>445</v>
      </c>
      <c r="R298" s="241"/>
      <c r="S298" s="154" t="s">
        <v>60</v>
      </c>
      <c r="T298" s="154" t="s">
        <v>60</v>
      </c>
      <c r="U298" s="154" t="s">
        <v>60</v>
      </c>
      <c r="V298" s="154" t="s">
        <v>60</v>
      </c>
      <c r="W298" s="154" t="s">
        <v>60</v>
      </c>
      <c r="X298" s="154" t="s">
        <v>60</v>
      </c>
      <c r="Y298" s="154" t="s">
        <v>60</v>
      </c>
      <c r="Z298" s="154" t="s">
        <v>60</v>
      </c>
      <c r="AA298" s="154" t="s">
        <v>60</v>
      </c>
      <c r="AB298" s="154"/>
      <c r="AC298" s="242" t="b">
        <f t="shared" si="2"/>
        <v>1</v>
      </c>
      <c r="AD298" s="154" t="s">
        <v>391</v>
      </c>
      <c r="AE298" s="243" t="b">
        <f t="shared" si="3"/>
        <v>0</v>
      </c>
      <c r="AF298" s="154"/>
      <c r="AG298" s="243" t="b">
        <f t="shared" si="4"/>
        <v>0</v>
      </c>
      <c r="AH298" s="154" t="s">
        <v>637</v>
      </c>
      <c r="AI298" s="243" t="str">
        <f t="shared" si="5"/>
        <v>Complies</v>
      </c>
      <c r="AJ298" s="157" t="str">
        <f t="shared" si="6"/>
        <v/>
      </c>
    </row>
    <row r="299" ht="12.75" customHeight="1">
      <c r="A299" s="244" t="s">
        <v>621</v>
      </c>
      <c r="B299" s="244" t="s">
        <v>942</v>
      </c>
      <c r="C299" s="244" t="s">
        <v>1175</v>
      </c>
      <c r="D299" s="154" t="s">
        <v>459</v>
      </c>
      <c r="E299" s="250"/>
      <c r="F299" s="154" t="str">
        <f t="array" ref="F299">XLOOKUP(Cover!$D$12,$S$1:$AA$1,$S299:$AA299)</f>
        <v>Mandatory</v>
      </c>
      <c r="G299" s="153" t="s">
        <v>1176</v>
      </c>
      <c r="H299" s="154" t="s">
        <v>144</v>
      </c>
      <c r="I299" s="154" t="s">
        <v>389</v>
      </c>
      <c r="J299" s="247" t="s">
        <v>445</v>
      </c>
      <c r="K299" s="154"/>
      <c r="L299" s="154" t="str">
        <f t="shared" si="1"/>
        <v/>
      </c>
      <c r="M299" s="248" t="str">
        <f>IFERROR(__xludf.DUMMYFUNCTION("VLOOKUP(C299,IMPORTRANGE(""https://docs.google.com/spreadsheets/d/1P8eX0NWBhUPS_hvzA11R6jkTNFrPrRYIx_dX_hYbxrk/edit?resourcekey=0-iw9bsKY2OqkUHCFMkCar3A&amp;gid=2055363397#gid=2055363397"",""MTR!C:O""),11,false)"),"PMW-MCE-AS")</f>
        <v>PMW-MCE-AS</v>
      </c>
      <c r="N299" s="248" t="str">
        <f>IFERROR(__xludf.DUMMYFUNCTION("VLOOKUP(C299,IMPORTRANGE(""https://docs.google.com/spreadsheets/d/1ihFlp3_ePlYtFuPbUNbYj1muErVpI73WHXbEwJDIA7Q/edit#gid=1493122344"",""MTR!C:O""),8,false)"),"Complies")</f>
        <v>Complies</v>
      </c>
      <c r="O299" s="241" t="str">
        <f>IFERROR(__xludf.DUMMYFUNCTION("VLOOKUP(C299,IMPORTRANGE(""https://docs.google.com/spreadsheets/d/1P8eX0NWBhUPS_hvzA11R6jkTNFrPrRYIx_dX_hYbxrk/edit?resourcekey=0-iw9bsKY2OqkUHCFMkCar3A&amp;gid=2055363397#gid=2055363397"",""MTR!C:O""),9,false)"),"")</f>
        <v/>
      </c>
      <c r="P299" s="241"/>
      <c r="Q299" s="251" t="s">
        <v>445</v>
      </c>
      <c r="R299" s="241"/>
      <c r="S299" s="154" t="s">
        <v>60</v>
      </c>
      <c r="T299" s="154" t="s">
        <v>60</v>
      </c>
      <c r="U299" s="154" t="s">
        <v>60</v>
      </c>
      <c r="V299" s="154" t="s">
        <v>60</v>
      </c>
      <c r="W299" s="154" t="s">
        <v>60</v>
      </c>
      <c r="X299" s="154" t="s">
        <v>60</v>
      </c>
      <c r="Y299" s="154" t="s">
        <v>60</v>
      </c>
      <c r="Z299" s="154" t="s">
        <v>60</v>
      </c>
      <c r="AA299" s="154" t="s">
        <v>60</v>
      </c>
      <c r="AB299" s="154"/>
      <c r="AC299" s="242" t="b">
        <f t="shared" si="2"/>
        <v>1</v>
      </c>
      <c r="AD299" s="154" t="s">
        <v>391</v>
      </c>
      <c r="AE299" s="243" t="b">
        <f t="shared" si="3"/>
        <v>0</v>
      </c>
      <c r="AF299" s="154"/>
      <c r="AG299" s="243" t="b">
        <f t="shared" si="4"/>
        <v>0</v>
      </c>
      <c r="AH299" s="154" t="s">
        <v>637</v>
      </c>
      <c r="AI299" s="243" t="str">
        <f t="shared" si="5"/>
        <v>Complies</v>
      </c>
      <c r="AJ299" s="157" t="str">
        <f t="shared" si="6"/>
        <v/>
      </c>
    </row>
    <row r="300" ht="12.75" customHeight="1">
      <c r="A300" s="244" t="s">
        <v>621</v>
      </c>
      <c r="B300" s="244" t="s">
        <v>942</v>
      </c>
      <c r="C300" s="244" t="s">
        <v>1177</v>
      </c>
      <c r="D300" s="154" t="s">
        <v>459</v>
      </c>
      <c r="E300" s="250"/>
      <c r="F300" s="154" t="str">
        <f t="array" ref="F300">XLOOKUP(Cover!$D$12,$S$1:$AA$1,$S300:$AA300)</f>
        <v>Mandatory</v>
      </c>
      <c r="G300" s="154" t="s">
        <v>1178</v>
      </c>
      <c r="H300" s="154" t="s">
        <v>144</v>
      </c>
      <c r="I300" s="154" t="s">
        <v>389</v>
      </c>
      <c r="J300" s="247" t="s">
        <v>445</v>
      </c>
      <c r="K300" s="154"/>
      <c r="L300" s="154" t="str">
        <f t="shared" si="1"/>
        <v/>
      </c>
      <c r="M300" s="248" t="str">
        <f>IFERROR(__xludf.DUMMYFUNCTION("VLOOKUP(C300,IMPORTRANGE(""https://docs.google.com/spreadsheets/d/1P8eX0NWBhUPS_hvzA11R6jkTNFrPrRYIx_dX_hYbxrk/edit?resourcekey=0-iw9bsKY2OqkUHCFMkCar3A&amp;gid=2055363397#gid=2055363397"",""MTR!C:O""),11,false)"),"PMW-MCE-AS")</f>
        <v>PMW-MCE-AS</v>
      </c>
      <c r="N300" s="248" t="str">
        <f>IFERROR(__xludf.DUMMYFUNCTION("VLOOKUP(C300,IMPORTRANGE(""https://docs.google.com/spreadsheets/d/1ihFlp3_ePlYtFuPbUNbYj1muErVpI73WHXbEwJDIA7Q/edit#gid=1493122344"",""MTR!C:O""),8,false)"),"Complies")</f>
        <v>Complies</v>
      </c>
      <c r="O300" s="241" t="str">
        <f>IFERROR(__xludf.DUMMYFUNCTION("VLOOKUP(C300,IMPORTRANGE(""https://docs.google.com/spreadsheets/d/1P8eX0NWBhUPS_hvzA11R6jkTNFrPrRYIx_dX_hYbxrk/edit?resourcekey=0-iw9bsKY2OqkUHCFMkCar3A&amp;gid=2055363397#gid=2055363397"",""MTR!C:O""),9,false)"),"")</f>
        <v/>
      </c>
      <c r="P300" s="241"/>
      <c r="Q300" s="251" t="s">
        <v>445</v>
      </c>
      <c r="R300" s="241"/>
      <c r="S300" s="154" t="s">
        <v>60</v>
      </c>
      <c r="T300" s="154" t="s">
        <v>60</v>
      </c>
      <c r="U300" s="154" t="s">
        <v>60</v>
      </c>
      <c r="V300" s="154" t="s">
        <v>60</v>
      </c>
      <c r="W300" s="154" t="s">
        <v>60</v>
      </c>
      <c r="X300" s="154" t="s">
        <v>60</v>
      </c>
      <c r="Y300" s="154" t="s">
        <v>60</v>
      </c>
      <c r="Z300" s="154" t="s">
        <v>60</v>
      </c>
      <c r="AA300" s="154" t="s">
        <v>60</v>
      </c>
      <c r="AB300" s="154"/>
      <c r="AC300" s="242" t="b">
        <f t="shared" si="2"/>
        <v>1</v>
      </c>
      <c r="AD300" s="154" t="s">
        <v>391</v>
      </c>
      <c r="AE300" s="243" t="b">
        <f t="shared" si="3"/>
        <v>0</v>
      </c>
      <c r="AF300" s="154"/>
      <c r="AG300" s="243" t="b">
        <f t="shared" si="4"/>
        <v>0</v>
      </c>
      <c r="AH300" s="154"/>
      <c r="AI300" s="243" t="str">
        <f t="shared" si="5"/>
        <v>N/A</v>
      </c>
      <c r="AJ300" s="157" t="str">
        <f t="shared" si="6"/>
        <v/>
      </c>
    </row>
    <row r="301" ht="12.75" customHeight="1">
      <c r="A301" s="244" t="s">
        <v>621</v>
      </c>
      <c r="B301" s="244" t="s">
        <v>942</v>
      </c>
      <c r="C301" s="244" t="s">
        <v>1179</v>
      </c>
      <c r="D301" s="154" t="s">
        <v>459</v>
      </c>
      <c r="E301" s="250"/>
      <c r="F301" s="154" t="str">
        <f t="array" ref="F301">XLOOKUP(Cover!$D$12,$S$1:$AA$1,$S301:$AA301)</f>
        <v>Recommended</v>
      </c>
      <c r="G301" s="153" t="s">
        <v>1180</v>
      </c>
      <c r="H301" s="154"/>
      <c r="I301" s="154" t="s">
        <v>389</v>
      </c>
      <c r="J301" s="247" t="s">
        <v>445</v>
      </c>
      <c r="K301" s="154"/>
      <c r="L301" s="154" t="str">
        <f t="shared" si="1"/>
        <v/>
      </c>
      <c r="M301" s="248" t="str">
        <f>IFERROR(__xludf.DUMMYFUNCTION("VLOOKUP(C301,IMPORTRANGE(""https://docs.google.com/spreadsheets/d/1P8eX0NWBhUPS_hvzA11R6jkTNFrPrRYIx_dX_hYbxrk/edit?resourcekey=0-iw9bsKY2OqkUHCFMkCar3A&amp;gid=2055363397#gid=2055363397"",""MTR!C:O""),11,false)"),"PMW-MCE-AS")</f>
        <v>PMW-MCE-AS</v>
      </c>
      <c r="N301" s="248" t="str">
        <f>IFERROR(__xludf.DUMMYFUNCTION("VLOOKUP(C301,IMPORTRANGE(""https://docs.google.com/spreadsheets/d/1ihFlp3_ePlYtFuPbUNbYj1muErVpI73WHXbEwJDIA7Q/edit#gid=1493122344"",""MTR!C:O""),8,false)"),"Complies")</f>
        <v>Complies</v>
      </c>
      <c r="O301" s="241" t="str">
        <f>IFERROR(__xludf.DUMMYFUNCTION("VLOOKUP(C301,IMPORTRANGE(""https://docs.google.com/spreadsheets/d/1P8eX0NWBhUPS_hvzA11R6jkTNFrPrRYIx_dX_hYbxrk/edit?resourcekey=0-iw9bsKY2OqkUHCFMkCar3A&amp;gid=2055363397#gid=2055363397"",""MTR!C:O""),9,false)"),"")</f>
        <v/>
      </c>
      <c r="P301" s="241"/>
      <c r="Q301" s="251" t="s">
        <v>445</v>
      </c>
      <c r="R301" s="241"/>
      <c r="S301" s="154" t="s">
        <v>64</v>
      </c>
      <c r="T301" s="154" t="s">
        <v>64</v>
      </c>
      <c r="U301" s="154" t="s">
        <v>64</v>
      </c>
      <c r="V301" s="154" t="s">
        <v>64</v>
      </c>
      <c r="W301" s="154" t="s">
        <v>64</v>
      </c>
      <c r="X301" s="154" t="s">
        <v>64</v>
      </c>
      <c r="Y301" s="154" t="s">
        <v>64</v>
      </c>
      <c r="Z301" s="154" t="s">
        <v>64</v>
      </c>
      <c r="AA301" s="154" t="s">
        <v>64</v>
      </c>
      <c r="AB301" s="154"/>
      <c r="AC301" s="242" t="b">
        <f t="shared" si="2"/>
        <v>1</v>
      </c>
      <c r="AD301" s="154" t="s">
        <v>391</v>
      </c>
      <c r="AE301" s="243" t="b">
        <f t="shared" si="3"/>
        <v>0</v>
      </c>
      <c r="AF301" s="154"/>
      <c r="AG301" s="243" t="b">
        <f t="shared" si="4"/>
        <v>0</v>
      </c>
      <c r="AH301" s="154" t="s">
        <v>637</v>
      </c>
      <c r="AI301" s="243" t="str">
        <f t="shared" si="5"/>
        <v>Complies</v>
      </c>
      <c r="AJ301" s="157" t="str">
        <f t="shared" si="6"/>
        <v/>
      </c>
    </row>
    <row r="302" ht="12.75" customHeight="1">
      <c r="A302" s="244" t="s">
        <v>621</v>
      </c>
      <c r="B302" s="244" t="s">
        <v>942</v>
      </c>
      <c r="C302" s="244" t="s">
        <v>1181</v>
      </c>
      <c r="D302" s="154" t="s">
        <v>459</v>
      </c>
      <c r="E302" s="250"/>
      <c r="F302" s="154" t="str">
        <f t="array" ref="F302">XLOOKUP(Cover!$D$12,$S$1:$AA$1,$S302:$AA302)</f>
        <v>Information</v>
      </c>
      <c r="G302" s="153" t="s">
        <v>1182</v>
      </c>
      <c r="H302" s="154"/>
      <c r="I302" s="154" t="s">
        <v>389</v>
      </c>
      <c r="J302" s="247" t="s">
        <v>445</v>
      </c>
      <c r="K302" s="154"/>
      <c r="L302" s="154" t="str">
        <f t="shared" si="1"/>
        <v/>
      </c>
      <c r="M302" s="248" t="str">
        <f>IFERROR(__xludf.DUMMYFUNCTION("VLOOKUP(C302,IMPORTRANGE(""https://docs.google.com/spreadsheets/d/1P8eX0NWBhUPS_hvzA11R6jkTNFrPrRYIx_dX_hYbxrk/edit?resourcekey=0-iw9bsKY2OqkUHCFMkCar3A&amp;gid=2055363397#gid=2055363397"",""MTR!C:O""),11,false)"),"PMW-MCE-AS")</f>
        <v>PMW-MCE-AS</v>
      </c>
      <c r="N302" s="248" t="str">
        <f>IFERROR(__xludf.DUMMYFUNCTION("VLOOKUP(C302,IMPORTRANGE(""https://docs.google.com/spreadsheets/d/1ihFlp3_ePlYtFuPbUNbYj1muErVpI73WHXbEwJDIA7Q/edit#gid=1493122344"",""MTR!C:O""),8,false)"),"Complies")</f>
        <v>Complies</v>
      </c>
      <c r="O302" s="241" t="str">
        <f>IFERROR(__xludf.DUMMYFUNCTION("VLOOKUP(C302,IMPORTRANGE(""https://docs.google.com/spreadsheets/d/1P8eX0NWBhUPS_hvzA11R6jkTNFrPrRYIx_dX_hYbxrk/edit?resourcekey=0-iw9bsKY2OqkUHCFMkCar3A&amp;gid=2055363397#gid=2055363397"",""MTR!C:O""),9,false)"),"")</f>
        <v/>
      </c>
      <c r="P302" s="241"/>
      <c r="Q302" s="251" t="s">
        <v>445</v>
      </c>
      <c r="R302" s="241"/>
      <c r="S302" s="154" t="s">
        <v>66</v>
      </c>
      <c r="T302" s="154" t="s">
        <v>66</v>
      </c>
      <c r="U302" s="154" t="s">
        <v>66</v>
      </c>
      <c r="V302" s="154" t="s">
        <v>66</v>
      </c>
      <c r="W302" s="154" t="s">
        <v>66</v>
      </c>
      <c r="X302" s="154" t="s">
        <v>66</v>
      </c>
      <c r="Y302" s="154" t="s">
        <v>66</v>
      </c>
      <c r="Z302" s="154" t="s">
        <v>66</v>
      </c>
      <c r="AA302" s="154" t="s">
        <v>66</v>
      </c>
      <c r="AB302" s="154"/>
      <c r="AC302" s="242" t="b">
        <f t="shared" si="2"/>
        <v>1</v>
      </c>
      <c r="AD302" s="154" t="s">
        <v>391</v>
      </c>
      <c r="AE302" s="243" t="b">
        <f t="shared" si="3"/>
        <v>0</v>
      </c>
      <c r="AF302" s="154"/>
      <c r="AG302" s="243" t="b">
        <f t="shared" si="4"/>
        <v>0</v>
      </c>
      <c r="AH302" s="154" t="s">
        <v>637</v>
      </c>
      <c r="AI302" s="243" t="str">
        <f t="shared" si="5"/>
        <v>Complies</v>
      </c>
      <c r="AJ302" s="157" t="str">
        <f t="shared" si="6"/>
        <v/>
      </c>
    </row>
    <row r="303" ht="12.75" customHeight="1">
      <c r="A303" s="244" t="s">
        <v>621</v>
      </c>
      <c r="B303" s="244" t="s">
        <v>942</v>
      </c>
      <c r="C303" s="244" t="s">
        <v>1183</v>
      </c>
      <c r="D303" s="154" t="s">
        <v>459</v>
      </c>
      <c r="E303" s="250"/>
      <c r="F303" s="154" t="str">
        <f t="array" ref="F303">XLOOKUP(Cover!$D$12,$S$1:$AA$1,$S303:$AA303)</f>
        <v>Information</v>
      </c>
      <c r="G303" s="154" t="s">
        <v>1184</v>
      </c>
      <c r="H303" s="154"/>
      <c r="I303" s="154" t="s">
        <v>389</v>
      </c>
      <c r="J303" s="247" t="s">
        <v>445</v>
      </c>
      <c r="K303" s="154"/>
      <c r="L303" s="154" t="str">
        <f t="shared" si="1"/>
        <v/>
      </c>
      <c r="M303" s="248" t="str">
        <f>IFERROR(__xludf.DUMMYFUNCTION("VLOOKUP(C303,IMPORTRANGE(""https://docs.google.com/spreadsheets/d/1P8eX0NWBhUPS_hvzA11R6jkTNFrPrRYIx_dX_hYbxrk/edit?resourcekey=0-iw9bsKY2OqkUHCFMkCar3A&amp;gid=2055363397#gid=2055363397"",""MTR!C:O""),11,false)"),"PMW-MCE-AS")</f>
        <v>PMW-MCE-AS</v>
      </c>
      <c r="N303" s="248" t="str">
        <f>IFERROR(__xludf.DUMMYFUNCTION("VLOOKUP(C303,IMPORTRANGE(""https://docs.google.com/spreadsheets/d/1ihFlp3_ePlYtFuPbUNbYj1muErVpI73WHXbEwJDIA7Q/edit#gid=1493122344"",""MTR!C:O""),8,false)"),"Complies")</f>
        <v>Complies</v>
      </c>
      <c r="O303" s="241" t="str">
        <f>IFERROR(__xludf.DUMMYFUNCTION("VLOOKUP(C303,IMPORTRANGE(""https://docs.google.com/spreadsheets/d/1P8eX0NWBhUPS_hvzA11R6jkTNFrPrRYIx_dX_hYbxrk/edit?resourcekey=0-iw9bsKY2OqkUHCFMkCar3A&amp;gid=2055363397#gid=2055363397"",""MTR!C:O""),9,false)"),"")</f>
        <v/>
      </c>
      <c r="P303" s="241"/>
      <c r="Q303" s="251" t="s">
        <v>445</v>
      </c>
      <c r="R303" s="241"/>
      <c r="S303" s="154" t="s">
        <v>66</v>
      </c>
      <c r="T303" s="154" t="s">
        <v>66</v>
      </c>
      <c r="U303" s="154" t="s">
        <v>66</v>
      </c>
      <c r="V303" s="154" t="s">
        <v>66</v>
      </c>
      <c r="W303" s="154" t="s">
        <v>66</v>
      </c>
      <c r="X303" s="154" t="s">
        <v>66</v>
      </c>
      <c r="Y303" s="154" t="s">
        <v>66</v>
      </c>
      <c r="Z303" s="154" t="s">
        <v>66</v>
      </c>
      <c r="AA303" s="154" t="s">
        <v>66</v>
      </c>
      <c r="AB303" s="154"/>
      <c r="AC303" s="242" t="b">
        <f t="shared" si="2"/>
        <v>1</v>
      </c>
      <c r="AD303" s="154" t="s">
        <v>391</v>
      </c>
      <c r="AE303" s="243" t="b">
        <f t="shared" si="3"/>
        <v>0</v>
      </c>
      <c r="AF303" s="154"/>
      <c r="AG303" s="243" t="b">
        <f t="shared" si="4"/>
        <v>0</v>
      </c>
      <c r="AH303" s="154"/>
      <c r="AI303" s="243" t="str">
        <f t="shared" si="5"/>
        <v>N/A</v>
      </c>
      <c r="AJ303" s="157" t="str">
        <f t="shared" si="6"/>
        <v/>
      </c>
    </row>
    <row r="304" ht="12.75" customHeight="1">
      <c r="A304" s="244" t="s">
        <v>621</v>
      </c>
      <c r="B304" s="244" t="s">
        <v>942</v>
      </c>
      <c r="C304" s="244" t="s">
        <v>1185</v>
      </c>
      <c r="D304" s="154" t="s">
        <v>459</v>
      </c>
      <c r="E304" s="250"/>
      <c r="F304" s="154" t="str">
        <f t="array" ref="F304">XLOOKUP(Cover!$D$12,$S$1:$AA$1,$S304:$AA304)</f>
        <v>Mandatory</v>
      </c>
      <c r="G304" s="154" t="s">
        <v>1186</v>
      </c>
      <c r="H304" s="154" t="s">
        <v>347</v>
      </c>
      <c r="I304" s="154" t="s">
        <v>389</v>
      </c>
      <c r="J304" s="247" t="s">
        <v>445</v>
      </c>
      <c r="K304" s="154"/>
      <c r="L304" s="154" t="str">
        <f t="shared" si="1"/>
        <v/>
      </c>
      <c r="M304" s="248" t="str">
        <f>IFERROR(__xludf.DUMMYFUNCTION("VLOOKUP(C304,IMPORTRANGE(""https://docs.google.com/spreadsheets/d/1P8eX0NWBhUPS_hvzA11R6jkTNFrPrRYIx_dX_hYbxrk/edit?resourcekey=0-iw9bsKY2OqkUHCFMkCar3A&amp;gid=2055363397#gid=2055363397"",""MTR!C:O""),11,false)"),"PMW-MCE-AS")</f>
        <v>PMW-MCE-AS</v>
      </c>
      <c r="N304" s="248" t="str">
        <f>IFERROR(__xludf.DUMMYFUNCTION("VLOOKUP(C304,IMPORTRANGE(""https://docs.google.com/spreadsheets/d/1ihFlp3_ePlYtFuPbUNbYj1muErVpI73WHXbEwJDIA7Q/edit#gid=1493122344"",""MTR!C:O""),8,false)"),"Complies")</f>
        <v>Complies</v>
      </c>
      <c r="O304" s="241" t="str">
        <f>IFERROR(__xludf.DUMMYFUNCTION("VLOOKUP(C304,IMPORTRANGE(""https://docs.google.com/spreadsheets/d/1P8eX0NWBhUPS_hvzA11R6jkTNFrPrRYIx_dX_hYbxrk/edit?resourcekey=0-iw9bsKY2OqkUHCFMkCar3A&amp;gid=2055363397#gid=2055363397"",""MTR!C:O""),9,false)"),"")</f>
        <v/>
      </c>
      <c r="P304" s="241"/>
      <c r="Q304" s="251" t="s">
        <v>445</v>
      </c>
      <c r="R304" s="241"/>
      <c r="S304" s="154" t="s">
        <v>60</v>
      </c>
      <c r="T304" s="154" t="s">
        <v>60</v>
      </c>
      <c r="U304" s="154" t="s">
        <v>60</v>
      </c>
      <c r="V304" s="154" t="s">
        <v>60</v>
      </c>
      <c r="W304" s="154" t="s">
        <v>60</v>
      </c>
      <c r="X304" s="154" t="s">
        <v>60</v>
      </c>
      <c r="Y304" s="154" t="s">
        <v>60</v>
      </c>
      <c r="Z304" s="154" t="s">
        <v>60</v>
      </c>
      <c r="AA304" s="154" t="s">
        <v>60</v>
      </c>
      <c r="AB304" s="154"/>
      <c r="AC304" s="242" t="b">
        <f t="shared" si="2"/>
        <v>1</v>
      </c>
      <c r="AD304" s="154" t="s">
        <v>391</v>
      </c>
      <c r="AE304" s="243" t="b">
        <f t="shared" si="3"/>
        <v>0</v>
      </c>
      <c r="AF304" s="154"/>
      <c r="AG304" s="243" t="b">
        <f t="shared" si="4"/>
        <v>0</v>
      </c>
      <c r="AH304" s="154"/>
      <c r="AI304" s="243" t="str">
        <f t="shared" si="5"/>
        <v>N/A</v>
      </c>
      <c r="AJ304" s="157" t="str">
        <f t="shared" si="6"/>
        <v/>
      </c>
    </row>
    <row r="305" ht="12.75" customHeight="1">
      <c r="A305" s="244" t="s">
        <v>621</v>
      </c>
      <c r="B305" s="244" t="s">
        <v>942</v>
      </c>
      <c r="C305" s="244" t="s">
        <v>1187</v>
      </c>
      <c r="D305" s="154" t="s">
        <v>459</v>
      </c>
      <c r="E305" s="250"/>
      <c r="F305" s="154" t="str">
        <f t="array" ref="F305">XLOOKUP(Cover!$D$12,$S$1:$AA$1,$S305:$AA305)</f>
        <v>Information</v>
      </c>
      <c r="G305" s="154" t="s">
        <v>1188</v>
      </c>
      <c r="H305" s="154"/>
      <c r="I305" s="154" t="s">
        <v>389</v>
      </c>
      <c r="J305" s="247" t="s">
        <v>516</v>
      </c>
      <c r="K305" s="247" t="s">
        <v>1162</v>
      </c>
      <c r="L305" s="154" t="str">
        <f t="shared" si="1"/>
        <v/>
      </c>
      <c r="M305" s="248" t="str">
        <f>IFERROR(__xludf.DUMMYFUNCTION("VLOOKUP(C305,IMPORTRANGE(""https://docs.google.com/spreadsheets/d/1P8eX0NWBhUPS_hvzA11R6jkTNFrPrRYIx_dX_hYbxrk/edit?resourcekey=0-iw9bsKY2OqkUHCFMkCar3A&amp;gid=2055363397#gid=2055363397"",""MTR!C:O""),11,false)"),"PMW-MCE-AS")</f>
        <v>PMW-MCE-AS</v>
      </c>
      <c r="N305" s="248" t="str">
        <f>IFERROR(__xludf.DUMMYFUNCTION("VLOOKUP(C305,IMPORTRANGE(""https://docs.google.com/spreadsheets/d/1ihFlp3_ePlYtFuPbUNbYj1muErVpI73WHXbEwJDIA7Q/edit#gid=1493122344"",""MTR!C:O""),8,false)"),"Does Not Comply")</f>
        <v>Does Not Comply</v>
      </c>
      <c r="O305" s="241" t="str">
        <f>IFERROR(__xludf.DUMMYFUNCTION("VLOOKUP(C305,IMPORTRANGE(""https://docs.google.com/spreadsheets/d/1P8eX0NWBhUPS_hvzA11R6jkTNFrPrRYIx_dX_hYbxrk/edit?resourcekey=0-iw9bsKY2OqkUHCFMkCar3A&amp;gid=2055363397#gid=2055363397"",""MTR!C:O""),9,false)"),"")</f>
        <v/>
      </c>
      <c r="P305" s="241"/>
      <c r="Q305" s="251" t="s">
        <v>516</v>
      </c>
      <c r="R305" s="251" t="s">
        <v>1162</v>
      </c>
      <c r="S305" s="154" t="s">
        <v>66</v>
      </c>
      <c r="T305" s="154" t="s">
        <v>66</v>
      </c>
      <c r="U305" s="154" t="s">
        <v>66</v>
      </c>
      <c r="V305" s="154" t="s">
        <v>66</v>
      </c>
      <c r="W305" s="154" t="s">
        <v>66</v>
      </c>
      <c r="X305" s="154" t="s">
        <v>66</v>
      </c>
      <c r="Y305" s="154" t="s">
        <v>66</v>
      </c>
      <c r="Z305" s="154" t="s">
        <v>66</v>
      </c>
      <c r="AA305" s="154" t="s">
        <v>66</v>
      </c>
      <c r="AB305" s="154"/>
      <c r="AC305" s="242" t="b">
        <f t="shared" si="2"/>
        <v>1</v>
      </c>
      <c r="AD305" s="154" t="s">
        <v>391</v>
      </c>
      <c r="AE305" s="243" t="b">
        <f t="shared" si="3"/>
        <v>0</v>
      </c>
      <c r="AF305" s="154"/>
      <c r="AG305" s="243" t="b">
        <f t="shared" si="4"/>
        <v>0</v>
      </c>
      <c r="AH305" s="154"/>
      <c r="AI305" s="243" t="str">
        <f t="shared" si="5"/>
        <v>N/A</v>
      </c>
      <c r="AJ305" s="157" t="str">
        <f t="shared" si="6"/>
        <v/>
      </c>
    </row>
    <row r="306" ht="12.75" customHeight="1">
      <c r="A306" s="244" t="s">
        <v>621</v>
      </c>
      <c r="B306" s="244" t="s">
        <v>942</v>
      </c>
      <c r="C306" s="244" t="s">
        <v>1189</v>
      </c>
      <c r="D306" s="154" t="s">
        <v>459</v>
      </c>
      <c r="E306" s="250"/>
      <c r="F306" s="154" t="str">
        <f t="array" ref="F306">XLOOKUP(Cover!$D$12,$S$1:$AA$1,$S306:$AA306)</f>
        <v>Mandatory</v>
      </c>
      <c r="G306" s="153" t="s">
        <v>1190</v>
      </c>
      <c r="H306" s="154" t="s">
        <v>144</v>
      </c>
      <c r="I306" s="154" t="s">
        <v>389</v>
      </c>
      <c r="J306" s="247" t="s">
        <v>445</v>
      </c>
      <c r="K306" s="154"/>
      <c r="L306" s="154" t="str">
        <f t="shared" si="1"/>
        <v/>
      </c>
      <c r="M306" s="248" t="str">
        <f>IFERROR(__xludf.DUMMYFUNCTION("VLOOKUP(C306,IMPORTRANGE(""https://docs.google.com/spreadsheets/d/1P8eX0NWBhUPS_hvzA11R6jkTNFrPrRYIx_dX_hYbxrk/edit?resourcekey=0-iw9bsKY2OqkUHCFMkCar3A&amp;gid=2055363397#gid=2055363397"",""MTR!C:O""),11,false)"),"PMW-MCE-AS")</f>
        <v>PMW-MCE-AS</v>
      </c>
      <c r="N306" s="248" t="str">
        <f>IFERROR(__xludf.DUMMYFUNCTION("VLOOKUP(C306,IMPORTRANGE(""https://docs.google.com/spreadsheets/d/1ihFlp3_ePlYtFuPbUNbYj1muErVpI73WHXbEwJDIA7Q/edit#gid=1493122344"",""MTR!C:O""),8,false)"),"Complies")</f>
        <v>Complies</v>
      </c>
      <c r="O306" s="241" t="str">
        <f>IFERROR(__xludf.DUMMYFUNCTION("VLOOKUP(C306,IMPORTRANGE(""https://docs.google.com/spreadsheets/d/1P8eX0NWBhUPS_hvzA11R6jkTNFrPrRYIx_dX_hYbxrk/edit?resourcekey=0-iw9bsKY2OqkUHCFMkCar3A&amp;gid=2055363397#gid=2055363397"",""MTR!C:O""),9,false)"),"")</f>
        <v/>
      </c>
      <c r="P306" s="241"/>
      <c r="Q306" s="251" t="s">
        <v>445</v>
      </c>
      <c r="R306" s="241"/>
      <c r="S306" s="154" t="s">
        <v>60</v>
      </c>
      <c r="T306" s="154" t="s">
        <v>60</v>
      </c>
      <c r="U306" s="154" t="s">
        <v>60</v>
      </c>
      <c r="V306" s="154" t="s">
        <v>60</v>
      </c>
      <c r="W306" s="154" t="s">
        <v>60</v>
      </c>
      <c r="X306" s="154" t="s">
        <v>60</v>
      </c>
      <c r="Y306" s="154" t="s">
        <v>60</v>
      </c>
      <c r="Z306" s="154" t="s">
        <v>60</v>
      </c>
      <c r="AA306" s="154" t="s">
        <v>60</v>
      </c>
      <c r="AB306" s="154"/>
      <c r="AC306" s="242" t="b">
        <f t="shared" si="2"/>
        <v>1</v>
      </c>
      <c r="AD306" s="154" t="s">
        <v>391</v>
      </c>
      <c r="AE306" s="243" t="b">
        <f t="shared" si="3"/>
        <v>0</v>
      </c>
      <c r="AF306" s="154"/>
      <c r="AG306" s="243" t="b">
        <f t="shared" si="4"/>
        <v>0</v>
      </c>
      <c r="AH306" s="154" t="s">
        <v>637</v>
      </c>
      <c r="AI306" s="243" t="str">
        <f t="shared" si="5"/>
        <v>Complies</v>
      </c>
      <c r="AJ306" s="157" t="str">
        <f t="shared" si="6"/>
        <v/>
      </c>
    </row>
    <row r="307" ht="12.75" customHeight="1">
      <c r="A307" s="244" t="s">
        <v>621</v>
      </c>
      <c r="B307" s="244" t="s">
        <v>942</v>
      </c>
      <c r="C307" s="244" t="s">
        <v>1191</v>
      </c>
      <c r="D307" s="154" t="s">
        <v>459</v>
      </c>
      <c r="E307" s="250"/>
      <c r="F307" s="154" t="str">
        <f t="array" ref="F307">XLOOKUP(Cover!$D$12,$S$1:$AA$1,$S307:$AA307)</f>
        <v>Information</v>
      </c>
      <c r="G307" s="154" t="s">
        <v>1192</v>
      </c>
      <c r="H307" s="154"/>
      <c r="I307" s="154" t="s">
        <v>389</v>
      </c>
      <c r="J307" s="247" t="s">
        <v>516</v>
      </c>
      <c r="K307" s="247" t="s">
        <v>1162</v>
      </c>
      <c r="L307" s="154" t="str">
        <f t="shared" si="1"/>
        <v/>
      </c>
      <c r="M307" s="248" t="str">
        <f>IFERROR(__xludf.DUMMYFUNCTION("VLOOKUP(C307,IMPORTRANGE(""https://docs.google.com/spreadsheets/d/1P8eX0NWBhUPS_hvzA11R6jkTNFrPrRYIx_dX_hYbxrk/edit?resourcekey=0-iw9bsKY2OqkUHCFMkCar3A&amp;gid=2055363397#gid=2055363397"",""MTR!C:O""),11,false)"),"PMW-MCE-AS")</f>
        <v>PMW-MCE-AS</v>
      </c>
      <c r="N307" s="248" t="str">
        <f>IFERROR(__xludf.DUMMYFUNCTION("VLOOKUP(C307,IMPORTRANGE(""https://docs.google.com/spreadsheets/d/1ihFlp3_ePlYtFuPbUNbYj1muErVpI73WHXbEwJDIA7Q/edit#gid=1493122344"",""MTR!C:O""),8,false)"),"Does Not Comply")</f>
        <v>Does Not Comply</v>
      </c>
      <c r="O307" s="241" t="str">
        <f>IFERROR(__xludf.DUMMYFUNCTION("VLOOKUP(C307,IMPORTRANGE(""https://docs.google.com/spreadsheets/d/1P8eX0NWBhUPS_hvzA11R6jkTNFrPrRYIx_dX_hYbxrk/edit?resourcekey=0-iw9bsKY2OqkUHCFMkCar3A&amp;gid=2055363397#gid=2055363397"",""MTR!C:O""),9,false)"),"")</f>
        <v/>
      </c>
      <c r="P307" s="241"/>
      <c r="Q307" s="251" t="s">
        <v>516</v>
      </c>
      <c r="R307" s="251" t="s">
        <v>1162</v>
      </c>
      <c r="S307" s="154" t="s">
        <v>66</v>
      </c>
      <c r="T307" s="154" t="s">
        <v>66</v>
      </c>
      <c r="U307" s="154" t="s">
        <v>66</v>
      </c>
      <c r="V307" s="154" t="s">
        <v>66</v>
      </c>
      <c r="W307" s="154" t="s">
        <v>66</v>
      </c>
      <c r="X307" s="154" t="s">
        <v>66</v>
      </c>
      <c r="Y307" s="154" t="s">
        <v>66</v>
      </c>
      <c r="Z307" s="154" t="s">
        <v>66</v>
      </c>
      <c r="AA307" s="154" t="s">
        <v>66</v>
      </c>
      <c r="AB307" s="154"/>
      <c r="AC307" s="242" t="b">
        <f t="shared" si="2"/>
        <v>1</v>
      </c>
      <c r="AD307" s="154" t="s">
        <v>391</v>
      </c>
      <c r="AE307" s="243" t="b">
        <f t="shared" si="3"/>
        <v>0</v>
      </c>
      <c r="AF307" s="154"/>
      <c r="AG307" s="243" t="b">
        <f t="shared" si="4"/>
        <v>0</v>
      </c>
      <c r="AH307" s="154" t="s">
        <v>637</v>
      </c>
      <c r="AI307" s="243" t="str">
        <f t="shared" si="5"/>
        <v>Complies</v>
      </c>
      <c r="AJ307" s="157" t="str">
        <f t="shared" si="6"/>
        <v/>
      </c>
    </row>
    <row r="308" ht="12.75" customHeight="1">
      <c r="A308" s="244" t="s">
        <v>621</v>
      </c>
      <c r="B308" s="244" t="s">
        <v>942</v>
      </c>
      <c r="C308" s="244" t="s">
        <v>1193</v>
      </c>
      <c r="D308" s="154" t="s">
        <v>459</v>
      </c>
      <c r="E308" s="250"/>
      <c r="F308" s="154" t="str">
        <f t="array" ref="F308">XLOOKUP(Cover!$D$12,$S$1:$AA$1,$S308:$AA308)</f>
        <v>Information</v>
      </c>
      <c r="G308" s="154" t="s">
        <v>1194</v>
      </c>
      <c r="H308" s="154"/>
      <c r="I308" s="154" t="s">
        <v>389</v>
      </c>
      <c r="J308" s="247" t="s">
        <v>445</v>
      </c>
      <c r="K308" s="154"/>
      <c r="L308" s="154" t="str">
        <f t="shared" si="1"/>
        <v/>
      </c>
      <c r="M308" s="248" t="str">
        <f>IFERROR(__xludf.DUMMYFUNCTION("VLOOKUP(C308,IMPORTRANGE(""https://docs.google.com/spreadsheets/d/1P8eX0NWBhUPS_hvzA11R6jkTNFrPrRYIx_dX_hYbxrk/edit?resourcekey=0-iw9bsKY2OqkUHCFMkCar3A&amp;gid=2055363397#gid=2055363397"",""MTR!C:O""),11,false)"),"PMW-MCE-AS")</f>
        <v>PMW-MCE-AS</v>
      </c>
      <c r="N308" s="248" t="str">
        <f>IFERROR(__xludf.DUMMYFUNCTION("VLOOKUP(C308,IMPORTRANGE(""https://docs.google.com/spreadsheets/d/1ihFlp3_ePlYtFuPbUNbYj1muErVpI73WHXbEwJDIA7Q/edit#gid=1493122344"",""MTR!C:O""),8,false)"),"Complies")</f>
        <v>Complies</v>
      </c>
      <c r="O308" s="241" t="str">
        <f>IFERROR(__xludf.DUMMYFUNCTION("VLOOKUP(C308,IMPORTRANGE(""https://docs.google.com/spreadsheets/d/1P8eX0NWBhUPS_hvzA11R6jkTNFrPrRYIx_dX_hYbxrk/edit?resourcekey=0-iw9bsKY2OqkUHCFMkCar3A&amp;gid=2055363397#gid=2055363397"",""MTR!C:O""),9,false)"),"")</f>
        <v/>
      </c>
      <c r="P308" s="241"/>
      <c r="Q308" s="251" t="s">
        <v>445</v>
      </c>
      <c r="R308" s="241"/>
      <c r="S308" s="154" t="s">
        <v>66</v>
      </c>
      <c r="T308" s="154" t="s">
        <v>66</v>
      </c>
      <c r="U308" s="154" t="s">
        <v>66</v>
      </c>
      <c r="V308" s="154" t="s">
        <v>66</v>
      </c>
      <c r="W308" s="154" t="s">
        <v>66</v>
      </c>
      <c r="X308" s="154" t="s">
        <v>66</v>
      </c>
      <c r="Y308" s="154" t="s">
        <v>66</v>
      </c>
      <c r="Z308" s="154" t="s">
        <v>66</v>
      </c>
      <c r="AA308" s="154" t="s">
        <v>66</v>
      </c>
      <c r="AB308" s="154"/>
      <c r="AC308" s="242" t="b">
        <f t="shared" si="2"/>
        <v>1</v>
      </c>
      <c r="AD308" s="154" t="s">
        <v>391</v>
      </c>
      <c r="AE308" s="243" t="b">
        <f t="shared" si="3"/>
        <v>0</v>
      </c>
      <c r="AF308" s="154"/>
      <c r="AG308" s="243" t="b">
        <f t="shared" si="4"/>
        <v>0</v>
      </c>
      <c r="AH308" s="154"/>
      <c r="AI308" s="243" t="str">
        <f t="shared" si="5"/>
        <v>N/A</v>
      </c>
      <c r="AJ308" s="157" t="str">
        <f t="shared" si="6"/>
        <v/>
      </c>
    </row>
    <row r="309" ht="12.75" customHeight="1">
      <c r="A309" s="244" t="s">
        <v>621</v>
      </c>
      <c r="B309" s="244" t="s">
        <v>942</v>
      </c>
      <c r="C309" s="244" t="s">
        <v>1195</v>
      </c>
      <c r="D309" s="154" t="s">
        <v>459</v>
      </c>
      <c r="E309" s="250"/>
      <c r="F309" s="154" t="str">
        <f t="array" ref="F309">XLOOKUP(Cover!$D$12,$S$1:$AA$1,$S309:$AA309)</f>
        <v>Mandatory</v>
      </c>
      <c r="G309" s="154" t="s">
        <v>1196</v>
      </c>
      <c r="H309" s="154" t="s">
        <v>347</v>
      </c>
      <c r="I309" s="154" t="s">
        <v>389</v>
      </c>
      <c r="J309" s="247" t="s">
        <v>445</v>
      </c>
      <c r="K309" s="154"/>
      <c r="L309" s="154" t="str">
        <f t="shared" si="1"/>
        <v/>
      </c>
      <c r="M309" s="248" t="str">
        <f>IFERROR(__xludf.DUMMYFUNCTION("VLOOKUP(C309,IMPORTRANGE(""https://docs.google.com/spreadsheets/d/1P8eX0NWBhUPS_hvzA11R6jkTNFrPrRYIx_dX_hYbxrk/edit?resourcekey=0-iw9bsKY2OqkUHCFMkCar3A&amp;gid=2055363397#gid=2055363397"",""MTR!C:O""),11,false)"),"PMW-MCE-AS")</f>
        <v>PMW-MCE-AS</v>
      </c>
      <c r="N309" s="248" t="str">
        <f>IFERROR(__xludf.DUMMYFUNCTION("VLOOKUP(C309,IMPORTRANGE(""https://docs.google.com/spreadsheets/d/1ihFlp3_ePlYtFuPbUNbYj1muErVpI73WHXbEwJDIA7Q/edit#gid=1493122344"",""MTR!C:O""),8,false)"),"Complies")</f>
        <v>Complies</v>
      </c>
      <c r="O309" s="241" t="str">
        <f>IFERROR(__xludf.DUMMYFUNCTION("VLOOKUP(C309,IMPORTRANGE(""https://docs.google.com/spreadsheets/d/1P8eX0NWBhUPS_hvzA11R6jkTNFrPrRYIx_dX_hYbxrk/edit?resourcekey=0-iw9bsKY2OqkUHCFMkCar3A&amp;gid=2055363397#gid=2055363397"",""MTR!C:O""),9,false)"),"")</f>
        <v/>
      </c>
      <c r="P309" s="241"/>
      <c r="Q309" s="251" t="s">
        <v>445</v>
      </c>
      <c r="R309" s="241"/>
      <c r="S309" s="154" t="s">
        <v>60</v>
      </c>
      <c r="T309" s="154" t="s">
        <v>60</v>
      </c>
      <c r="U309" s="154" t="s">
        <v>60</v>
      </c>
      <c r="V309" s="154" t="s">
        <v>60</v>
      </c>
      <c r="W309" s="154" t="s">
        <v>60</v>
      </c>
      <c r="X309" s="154" t="s">
        <v>60</v>
      </c>
      <c r="Y309" s="154" t="s">
        <v>60</v>
      </c>
      <c r="Z309" s="154" t="s">
        <v>60</v>
      </c>
      <c r="AA309" s="154" t="s">
        <v>60</v>
      </c>
      <c r="AB309" s="154"/>
      <c r="AC309" s="242" t="b">
        <f t="shared" si="2"/>
        <v>1</v>
      </c>
      <c r="AD309" s="154" t="s">
        <v>391</v>
      </c>
      <c r="AE309" s="243" t="b">
        <f t="shared" si="3"/>
        <v>0</v>
      </c>
      <c r="AF309" s="154"/>
      <c r="AG309" s="243" t="b">
        <f t="shared" si="4"/>
        <v>0</v>
      </c>
      <c r="AH309" s="154"/>
      <c r="AI309" s="243" t="str">
        <f t="shared" si="5"/>
        <v>N/A</v>
      </c>
      <c r="AJ309" s="157" t="str">
        <f t="shared" si="6"/>
        <v/>
      </c>
    </row>
    <row r="310" ht="12.75" customHeight="1">
      <c r="A310" s="244" t="s">
        <v>621</v>
      </c>
      <c r="B310" s="244" t="s">
        <v>942</v>
      </c>
      <c r="C310" s="244" t="s">
        <v>1197</v>
      </c>
      <c r="D310" s="154" t="s">
        <v>459</v>
      </c>
      <c r="E310" s="250"/>
      <c r="F310" s="154" t="str">
        <f t="array" ref="F310">XLOOKUP(Cover!$D$12,$S$1:$AA$1,$S310:$AA310)</f>
        <v>Mandatory</v>
      </c>
      <c r="G310" s="154" t="s">
        <v>1198</v>
      </c>
      <c r="H310" s="154" t="s">
        <v>347</v>
      </c>
      <c r="I310" s="154" t="s">
        <v>389</v>
      </c>
      <c r="J310" s="247" t="s">
        <v>445</v>
      </c>
      <c r="K310" s="154"/>
      <c r="L310" s="154" t="str">
        <f t="shared" si="1"/>
        <v/>
      </c>
      <c r="M310" s="248" t="str">
        <f>IFERROR(__xludf.DUMMYFUNCTION("VLOOKUP(C310,IMPORTRANGE(""https://docs.google.com/spreadsheets/d/1P8eX0NWBhUPS_hvzA11R6jkTNFrPrRYIx_dX_hYbxrk/edit?resourcekey=0-iw9bsKY2OqkUHCFMkCar3A&amp;gid=2055363397#gid=2055363397"",""MTR!C:O""),11,false)"),"PMW-MCE-AS")</f>
        <v>PMW-MCE-AS</v>
      </c>
      <c r="N310" s="248" t="str">
        <f>IFERROR(__xludf.DUMMYFUNCTION("VLOOKUP(C310,IMPORTRANGE(""https://docs.google.com/spreadsheets/d/1ihFlp3_ePlYtFuPbUNbYj1muErVpI73WHXbEwJDIA7Q/edit#gid=1493122344"",""MTR!C:O""),8,false)"),"Complies")</f>
        <v>Complies</v>
      </c>
      <c r="O310" s="241" t="str">
        <f>IFERROR(__xludf.DUMMYFUNCTION("VLOOKUP(C310,IMPORTRANGE(""https://docs.google.com/spreadsheets/d/1P8eX0NWBhUPS_hvzA11R6jkTNFrPrRYIx_dX_hYbxrk/edit?resourcekey=0-iw9bsKY2OqkUHCFMkCar3A&amp;gid=2055363397#gid=2055363397"",""MTR!C:O""),9,false)"),"")</f>
        <v/>
      </c>
      <c r="P310" s="241"/>
      <c r="Q310" s="251" t="s">
        <v>445</v>
      </c>
      <c r="R310" s="241"/>
      <c r="S310" s="154" t="s">
        <v>60</v>
      </c>
      <c r="T310" s="154" t="s">
        <v>60</v>
      </c>
      <c r="U310" s="154" t="s">
        <v>60</v>
      </c>
      <c r="V310" s="154" t="s">
        <v>60</v>
      </c>
      <c r="W310" s="154" t="s">
        <v>60</v>
      </c>
      <c r="X310" s="154" t="s">
        <v>60</v>
      </c>
      <c r="Y310" s="154" t="s">
        <v>60</v>
      </c>
      <c r="Z310" s="154" t="s">
        <v>60</v>
      </c>
      <c r="AA310" s="154" t="s">
        <v>60</v>
      </c>
      <c r="AB310" s="154"/>
      <c r="AC310" s="242" t="b">
        <f t="shared" si="2"/>
        <v>1</v>
      </c>
      <c r="AD310" s="154" t="s">
        <v>391</v>
      </c>
      <c r="AE310" s="243" t="b">
        <f t="shared" si="3"/>
        <v>0</v>
      </c>
      <c r="AF310" s="154"/>
      <c r="AG310" s="243" t="b">
        <f t="shared" si="4"/>
        <v>0</v>
      </c>
      <c r="AH310" s="154"/>
      <c r="AI310" s="243" t="str">
        <f t="shared" si="5"/>
        <v>N/A</v>
      </c>
      <c r="AJ310" s="157" t="str">
        <f t="shared" si="6"/>
        <v/>
      </c>
    </row>
    <row r="311" ht="12.75" customHeight="1">
      <c r="A311" s="244" t="s">
        <v>621</v>
      </c>
      <c r="B311" s="244" t="s">
        <v>942</v>
      </c>
      <c r="C311" s="244" t="s">
        <v>1199</v>
      </c>
      <c r="D311" s="244" t="s">
        <v>459</v>
      </c>
      <c r="E311" s="244"/>
      <c r="F311" s="154" t="str">
        <f t="array" ref="F311">XLOOKUP(Cover!$D$12,$S$1:$AA$1,$S311:$AA311)</f>
        <v>Information</v>
      </c>
      <c r="G311" s="153" t="s">
        <v>1200</v>
      </c>
      <c r="H311" s="154" t="s">
        <v>144</v>
      </c>
      <c r="I311" s="154" t="s">
        <v>389</v>
      </c>
      <c r="J311" s="247" t="s">
        <v>445</v>
      </c>
      <c r="K311" s="154"/>
      <c r="L311" s="154" t="str">
        <f t="shared" si="1"/>
        <v/>
      </c>
      <c r="M311" s="248" t="str">
        <f>IFERROR(__xludf.DUMMYFUNCTION("VLOOKUP(C311,IMPORTRANGE(""https://docs.google.com/spreadsheets/d/1P8eX0NWBhUPS_hvzA11R6jkTNFrPrRYIx_dX_hYbxrk/edit?resourcekey=0-iw9bsKY2OqkUHCFMkCar3A&amp;gid=2055363397#gid=2055363397"",""MTR!C:O""),11,false)"),"PMW-MCE-AS")</f>
        <v>PMW-MCE-AS</v>
      </c>
      <c r="N311" s="248" t="str">
        <f>IFERROR(__xludf.DUMMYFUNCTION("VLOOKUP(C311,IMPORTRANGE(""https://docs.google.com/spreadsheets/d/1ihFlp3_ePlYtFuPbUNbYj1muErVpI73WHXbEwJDIA7Q/edit#gid=1493122344"",""MTR!C:O""),8,false)"),"Complies")</f>
        <v>Complies</v>
      </c>
      <c r="O311" s="241" t="str">
        <f>IFERROR(__xludf.DUMMYFUNCTION("VLOOKUP(C311,IMPORTRANGE(""https://docs.google.com/spreadsheets/d/1P8eX0NWBhUPS_hvzA11R6jkTNFrPrRYIx_dX_hYbxrk/edit?resourcekey=0-iw9bsKY2OqkUHCFMkCar3A&amp;gid=2055363397#gid=2055363397"",""MTR!C:O""),9,false)"),"")</f>
        <v/>
      </c>
      <c r="P311" s="241"/>
      <c r="Q311" s="251" t="s">
        <v>445</v>
      </c>
      <c r="R311" s="241"/>
      <c r="S311" s="154" t="s">
        <v>66</v>
      </c>
      <c r="T311" s="154" t="s">
        <v>66</v>
      </c>
      <c r="U311" s="154" t="s">
        <v>66</v>
      </c>
      <c r="V311" s="154" t="s">
        <v>66</v>
      </c>
      <c r="W311" s="154" t="s">
        <v>66</v>
      </c>
      <c r="X311" s="154" t="s">
        <v>66</v>
      </c>
      <c r="Y311" s="154" t="s">
        <v>66</v>
      </c>
      <c r="Z311" s="154" t="s">
        <v>66</v>
      </c>
      <c r="AA311" s="154" t="s">
        <v>66</v>
      </c>
      <c r="AB311" s="154"/>
      <c r="AC311" s="242" t="b">
        <f t="shared" si="2"/>
        <v>1</v>
      </c>
      <c r="AD311" s="154" t="s">
        <v>391</v>
      </c>
      <c r="AE311" s="243" t="b">
        <f t="shared" si="3"/>
        <v>0</v>
      </c>
      <c r="AF311" s="154"/>
      <c r="AG311" s="243" t="b">
        <f t="shared" si="4"/>
        <v>0</v>
      </c>
      <c r="AH311" s="154"/>
      <c r="AI311" s="243" t="str">
        <f t="shared" si="5"/>
        <v>N/A</v>
      </c>
      <c r="AJ311" s="157" t="str">
        <f t="shared" si="6"/>
        <v/>
      </c>
    </row>
    <row r="312" ht="12.75" customHeight="1">
      <c r="A312" s="244" t="s">
        <v>621</v>
      </c>
      <c r="B312" s="244" t="s">
        <v>942</v>
      </c>
      <c r="C312" s="244" t="s">
        <v>1201</v>
      </c>
      <c r="D312" s="154" t="s">
        <v>459</v>
      </c>
      <c r="E312" s="250"/>
      <c r="F312" s="154" t="str">
        <f t="array" ref="F312">XLOOKUP(Cover!$D$12,$S$1:$AA$1,$S312:$AA312)</f>
        <v>Information</v>
      </c>
      <c r="G312" s="153" t="s">
        <v>1202</v>
      </c>
      <c r="H312" s="154"/>
      <c r="I312" s="154" t="s">
        <v>389</v>
      </c>
      <c r="J312" s="247" t="s">
        <v>445</v>
      </c>
      <c r="K312" s="154"/>
      <c r="L312" s="154" t="str">
        <f t="shared" si="1"/>
        <v/>
      </c>
      <c r="M312" s="248" t="str">
        <f>IFERROR(__xludf.DUMMYFUNCTION("VLOOKUP(C312,IMPORTRANGE(""https://docs.google.com/spreadsheets/d/1P8eX0NWBhUPS_hvzA11R6jkTNFrPrRYIx_dX_hYbxrk/edit?resourcekey=0-iw9bsKY2OqkUHCFMkCar3A&amp;gid=2055363397#gid=2055363397"",""MTR!C:O""),11,false)"),"PMW-MCE-AS")</f>
        <v>PMW-MCE-AS</v>
      </c>
      <c r="N312" s="248" t="str">
        <f>IFERROR(__xludf.DUMMYFUNCTION("VLOOKUP(C312,IMPORTRANGE(""https://docs.google.com/spreadsheets/d/1ihFlp3_ePlYtFuPbUNbYj1muErVpI73WHXbEwJDIA7Q/edit#gid=1493122344"",""MTR!C:O""),8,false)"),"Complies")</f>
        <v>Complies</v>
      </c>
      <c r="O312" s="241" t="str">
        <f>IFERROR(__xludf.DUMMYFUNCTION("VLOOKUP(C312,IMPORTRANGE(""https://docs.google.com/spreadsheets/d/1P8eX0NWBhUPS_hvzA11R6jkTNFrPrRYIx_dX_hYbxrk/edit?resourcekey=0-iw9bsKY2OqkUHCFMkCar3A&amp;gid=2055363397#gid=2055363397"",""MTR!C:O""),9,false)"),"")</f>
        <v/>
      </c>
      <c r="P312" s="241"/>
      <c r="Q312" s="251" t="s">
        <v>445</v>
      </c>
      <c r="R312" s="241"/>
      <c r="S312" s="154" t="s">
        <v>66</v>
      </c>
      <c r="T312" s="154" t="s">
        <v>66</v>
      </c>
      <c r="U312" s="154" t="s">
        <v>66</v>
      </c>
      <c r="V312" s="154" t="s">
        <v>66</v>
      </c>
      <c r="W312" s="154" t="s">
        <v>66</v>
      </c>
      <c r="X312" s="154" t="s">
        <v>66</v>
      </c>
      <c r="Y312" s="154" t="s">
        <v>66</v>
      </c>
      <c r="Z312" s="154" t="s">
        <v>66</v>
      </c>
      <c r="AA312" s="154" t="s">
        <v>66</v>
      </c>
      <c r="AB312" s="154"/>
      <c r="AC312" s="242" t="b">
        <f t="shared" si="2"/>
        <v>1</v>
      </c>
      <c r="AD312" s="154" t="s">
        <v>391</v>
      </c>
      <c r="AE312" s="243" t="b">
        <f t="shared" si="3"/>
        <v>0</v>
      </c>
      <c r="AF312" s="154"/>
      <c r="AG312" s="243" t="b">
        <f t="shared" si="4"/>
        <v>0</v>
      </c>
      <c r="AH312" s="154" t="s">
        <v>637</v>
      </c>
      <c r="AI312" s="243" t="str">
        <f t="shared" si="5"/>
        <v>Complies</v>
      </c>
      <c r="AJ312" s="157" t="str">
        <f t="shared" si="6"/>
        <v/>
      </c>
    </row>
    <row r="313" ht="12.75" customHeight="1">
      <c r="A313" s="244" t="s">
        <v>621</v>
      </c>
      <c r="B313" s="244" t="s">
        <v>942</v>
      </c>
      <c r="C313" s="244" t="s">
        <v>1203</v>
      </c>
      <c r="D313" s="154" t="s">
        <v>459</v>
      </c>
      <c r="E313" s="250"/>
      <c r="F313" s="154" t="str">
        <f t="array" ref="F313">XLOOKUP(Cover!$D$12,$S$1:$AA$1,$S313:$AA313)</f>
        <v>Information</v>
      </c>
      <c r="G313" s="153" t="s">
        <v>1204</v>
      </c>
      <c r="H313" s="154"/>
      <c r="I313" s="154" t="s">
        <v>420</v>
      </c>
      <c r="J313" s="247" t="s">
        <v>516</v>
      </c>
      <c r="K313" s="247" t="s">
        <v>1205</v>
      </c>
      <c r="L313" s="154" t="str">
        <f t="shared" si="1"/>
        <v/>
      </c>
      <c r="M313" s="248" t="str">
        <f>IFERROR(__xludf.DUMMYFUNCTION("VLOOKUP(C313,IMPORTRANGE(""https://docs.google.com/spreadsheets/d/1P8eX0NWBhUPS_hvzA11R6jkTNFrPrRYIx_dX_hYbxrk/edit?resourcekey=0-iw9bsKY2OqkUHCFMkCar3A&amp;gid=2055363397#gid=2055363397"",""MTR!C:O""),11,false)"),"PMW-MCE-AS")</f>
        <v>PMW-MCE-AS</v>
      </c>
      <c r="N313" s="248" t="str">
        <f>IFERROR(__xludf.DUMMYFUNCTION("VLOOKUP(C313,IMPORTRANGE(""https://docs.google.com/spreadsheets/d/1ihFlp3_ePlYtFuPbUNbYj1muErVpI73WHXbEwJDIA7Q/edit#gid=1493122344"",""MTR!C:O""),8,false)"),"Does Not Comply")</f>
        <v>Does Not Comply</v>
      </c>
      <c r="O313" s="241" t="str">
        <f>IFERROR(__xludf.DUMMYFUNCTION("VLOOKUP(C313,IMPORTRANGE(""https://docs.google.com/spreadsheets/d/1P8eX0NWBhUPS_hvzA11R6jkTNFrPrRYIx_dX_hYbxrk/edit?resourcekey=0-iw9bsKY2OqkUHCFMkCar3A&amp;gid=2055363397#gid=2055363397"",""MTR!C:O""),9,false)"),"")</f>
        <v/>
      </c>
      <c r="P313" s="241"/>
      <c r="Q313" s="251" t="s">
        <v>516</v>
      </c>
      <c r="R313" s="251" t="s">
        <v>1205</v>
      </c>
      <c r="S313" s="154" t="s">
        <v>66</v>
      </c>
      <c r="T313" s="154" t="s">
        <v>66</v>
      </c>
      <c r="U313" s="154" t="s">
        <v>66</v>
      </c>
      <c r="V313" s="154" t="s">
        <v>66</v>
      </c>
      <c r="W313" s="154" t="s">
        <v>66</v>
      </c>
      <c r="X313" s="154" t="s">
        <v>66</v>
      </c>
      <c r="Y313" s="154" t="s">
        <v>66</v>
      </c>
      <c r="Z313" s="154" t="s">
        <v>66</v>
      </c>
      <c r="AA313" s="154" t="s">
        <v>66</v>
      </c>
      <c r="AB313" s="154"/>
      <c r="AC313" s="242" t="b">
        <f t="shared" si="2"/>
        <v>1</v>
      </c>
      <c r="AD313" s="154" t="s">
        <v>391</v>
      </c>
      <c r="AE313" s="243" t="b">
        <f t="shared" si="3"/>
        <v>0</v>
      </c>
      <c r="AF313" s="154"/>
      <c r="AG313" s="243" t="b">
        <f t="shared" si="4"/>
        <v>0</v>
      </c>
      <c r="AH313" s="154" t="s">
        <v>637</v>
      </c>
      <c r="AI313" s="243" t="str">
        <f t="shared" si="5"/>
        <v>Complies</v>
      </c>
      <c r="AJ313" s="157" t="str">
        <f t="shared" si="6"/>
        <v/>
      </c>
    </row>
    <row r="314" ht="12.75" customHeight="1">
      <c r="A314" s="238" t="s">
        <v>621</v>
      </c>
      <c r="B314" s="238" t="s">
        <v>942</v>
      </c>
      <c r="C314" s="238" t="s">
        <v>1206</v>
      </c>
      <c r="D314" s="240"/>
      <c r="E314" s="252" t="s">
        <v>92</v>
      </c>
      <c r="F314" s="154" t="str">
        <f t="array" ref="F314">XLOOKUP(Cover!$D$12,$S$1:$AA$1,$S314:$AA314)</f>
        <v>Heading</v>
      </c>
      <c r="G314" s="239" t="s">
        <v>1207</v>
      </c>
      <c r="H314" s="240"/>
      <c r="I314" s="240" t="s">
        <v>389</v>
      </c>
      <c r="J314" s="240"/>
      <c r="K314" s="240"/>
      <c r="L314" s="154" t="str">
        <f t="shared" si="1"/>
        <v/>
      </c>
      <c r="M314" s="241" t="str">
        <f>IFERROR(__xludf.DUMMYFUNCTION("VLOOKUP(C314,IMPORTRANGE(""https://docs.google.com/spreadsheets/d/1P8eX0NWBhUPS_hvzA11R6jkTNFrPrRYIx_dX_hYbxrk/edit?resourcekey=0-iw9bsKY2OqkUHCFMkCar3A&amp;gid=2055363397#gid=2055363397"",""MTR!C:O""),11,false)"),"")</f>
        <v/>
      </c>
      <c r="N314" s="241" t="str">
        <f>IFERROR(__xludf.DUMMYFUNCTION("VLOOKUP(C314,IMPORTRANGE(""https://docs.google.com/spreadsheets/d/1ihFlp3_ePlYtFuPbUNbYj1muErVpI73WHXbEwJDIA7Q/edit#gid=1493122344"",""MTR!C:O""),8,false)"),"")</f>
        <v/>
      </c>
      <c r="O314" s="241" t="str">
        <f>IFERROR(__xludf.DUMMYFUNCTION("VLOOKUP(C314,IMPORTRANGE(""https://docs.google.com/spreadsheets/d/1P8eX0NWBhUPS_hvzA11R6jkTNFrPrRYIx_dX_hYbxrk/edit?resourcekey=0-iw9bsKY2OqkUHCFMkCar3A&amp;gid=2055363397#gid=2055363397"",""MTR!C:O""),9,false)"),"")</f>
        <v/>
      </c>
      <c r="P314" s="241"/>
      <c r="Q314" s="241"/>
      <c r="R314" s="241"/>
      <c r="S314" s="240" t="s">
        <v>390</v>
      </c>
      <c r="T314" s="240" t="s">
        <v>390</v>
      </c>
      <c r="U314" s="240" t="s">
        <v>390</v>
      </c>
      <c r="V314" s="240" t="s">
        <v>390</v>
      </c>
      <c r="W314" s="240" t="s">
        <v>390</v>
      </c>
      <c r="X314" s="240" t="s">
        <v>390</v>
      </c>
      <c r="Y314" s="240" t="s">
        <v>390</v>
      </c>
      <c r="Z314" s="240" t="s">
        <v>390</v>
      </c>
      <c r="AA314" s="240" t="s">
        <v>390</v>
      </c>
      <c r="AB314" s="240"/>
      <c r="AC314" s="242" t="b">
        <f t="shared" si="2"/>
        <v>0</v>
      </c>
      <c r="AD314" s="240" t="s">
        <v>391</v>
      </c>
      <c r="AE314" s="243" t="b">
        <f t="shared" si="3"/>
        <v>0</v>
      </c>
      <c r="AF314" s="240"/>
      <c r="AG314" s="243" t="b">
        <f t="shared" si="4"/>
        <v>0</v>
      </c>
      <c r="AH314" s="240"/>
      <c r="AI314" s="243" t="str">
        <f t="shared" si="5"/>
        <v>N/A</v>
      </c>
      <c r="AJ314" s="157" t="str">
        <f t="shared" si="6"/>
        <v/>
      </c>
    </row>
    <row r="315" ht="12.75" customHeight="1">
      <c r="A315" s="244" t="s">
        <v>621</v>
      </c>
      <c r="B315" s="244" t="s">
        <v>942</v>
      </c>
      <c r="C315" s="244" t="s">
        <v>1208</v>
      </c>
      <c r="D315" s="244" t="s">
        <v>861</v>
      </c>
      <c r="E315" s="244"/>
      <c r="F315" s="154" t="str">
        <f t="array" ref="F315">XLOOKUP(Cover!$D$12,$S$1:$AA$1,$S315:$AA315)</f>
        <v>Comment</v>
      </c>
      <c r="G315" s="154" t="s">
        <v>1209</v>
      </c>
      <c r="H315" s="154"/>
      <c r="I315" s="154" t="s">
        <v>389</v>
      </c>
      <c r="J315" s="154"/>
      <c r="K315" s="154"/>
      <c r="L315" s="154" t="str">
        <f t="shared" si="1"/>
        <v/>
      </c>
      <c r="M315" s="241" t="str">
        <f>IFERROR(__xludf.DUMMYFUNCTION("VLOOKUP(C315,IMPORTRANGE(""https://docs.google.com/spreadsheets/d/1P8eX0NWBhUPS_hvzA11R6jkTNFrPrRYIx_dX_hYbxrk/edit?resourcekey=0-iw9bsKY2OqkUHCFMkCar3A&amp;gid=2055363397#gid=2055363397"",""MTR!C:O""),11,false)"),"")</f>
        <v/>
      </c>
      <c r="N315" s="241" t="str">
        <f>IFERROR(__xludf.DUMMYFUNCTION("VLOOKUP(C315,IMPORTRANGE(""https://docs.google.com/spreadsheets/d/1ihFlp3_ePlYtFuPbUNbYj1muErVpI73WHXbEwJDIA7Q/edit#gid=1493122344"",""MTR!C:O""),8,false)"),"")</f>
        <v/>
      </c>
      <c r="O315" s="241" t="str">
        <f>IFERROR(__xludf.DUMMYFUNCTION("VLOOKUP(C315,IMPORTRANGE(""https://docs.google.com/spreadsheets/d/1P8eX0NWBhUPS_hvzA11R6jkTNFrPrRYIx_dX_hYbxrk/edit?resourcekey=0-iw9bsKY2OqkUHCFMkCar3A&amp;gid=2055363397#gid=2055363397"",""MTR!C:O""),9,false)"),"")</f>
        <v/>
      </c>
      <c r="P315" s="241"/>
      <c r="Q315" s="241"/>
      <c r="R315" s="241"/>
      <c r="S315" s="154" t="s">
        <v>35</v>
      </c>
      <c r="T315" s="154" t="s">
        <v>35</v>
      </c>
      <c r="U315" s="154" t="s">
        <v>35</v>
      </c>
      <c r="V315" s="154" t="s">
        <v>35</v>
      </c>
      <c r="W315" s="154" t="s">
        <v>35</v>
      </c>
      <c r="X315" s="154" t="s">
        <v>35</v>
      </c>
      <c r="Y315" s="154" t="s">
        <v>35</v>
      </c>
      <c r="Z315" s="154" t="s">
        <v>35</v>
      </c>
      <c r="AA315" s="154" t="s">
        <v>35</v>
      </c>
      <c r="AB315" s="154"/>
      <c r="AC315" s="242" t="b">
        <f t="shared" si="2"/>
        <v>0</v>
      </c>
      <c r="AD315" s="154" t="s">
        <v>391</v>
      </c>
      <c r="AE315" s="243" t="b">
        <f t="shared" si="3"/>
        <v>0</v>
      </c>
      <c r="AF315" s="154"/>
      <c r="AG315" s="243" t="b">
        <f t="shared" si="4"/>
        <v>0</v>
      </c>
      <c r="AH315" s="154"/>
      <c r="AI315" s="243" t="str">
        <f t="shared" si="5"/>
        <v>N/A</v>
      </c>
      <c r="AJ315" s="157" t="str">
        <f t="shared" si="6"/>
        <v/>
      </c>
    </row>
    <row r="316" ht="12.75" customHeight="1">
      <c r="A316" s="244" t="s">
        <v>621</v>
      </c>
      <c r="B316" s="244" t="s">
        <v>942</v>
      </c>
      <c r="C316" s="244" t="s">
        <v>1210</v>
      </c>
      <c r="D316" s="154" t="s">
        <v>1211</v>
      </c>
      <c r="E316" s="250"/>
      <c r="F316" s="154" t="str">
        <f t="array" ref="F316">XLOOKUP(Cover!$D$12,$S$1:$AA$1,$S316:$AA316)</f>
        <v>Information</v>
      </c>
      <c r="G316" s="154" t="s">
        <v>1212</v>
      </c>
      <c r="H316" s="154"/>
      <c r="I316" s="154" t="s">
        <v>389</v>
      </c>
      <c r="J316" s="247" t="s">
        <v>445</v>
      </c>
      <c r="K316" s="154"/>
      <c r="L316" s="154" t="str">
        <f t="shared" si="1"/>
        <v/>
      </c>
      <c r="M316" s="248" t="str">
        <f>IFERROR(__xludf.DUMMYFUNCTION("VLOOKUP(C316,IMPORTRANGE(""https://docs.google.com/spreadsheets/d/1P8eX0NWBhUPS_hvzA11R6jkTNFrPrRYIx_dX_hYbxrk/edit?resourcekey=0-iw9bsKY2OqkUHCFMkCar3A&amp;gid=2055363397#gid=2055363397"",""MTR!C:O""),11,false)"),"PMW-MCE-AS")</f>
        <v>PMW-MCE-AS</v>
      </c>
      <c r="N316" s="248" t="str">
        <f>IFERROR(__xludf.DUMMYFUNCTION("VLOOKUP(C316,IMPORTRANGE(""https://docs.google.com/spreadsheets/d/1ihFlp3_ePlYtFuPbUNbYj1muErVpI73WHXbEwJDIA7Q/edit#gid=1493122344"",""MTR!C:O""),8,false)"),"Complies")</f>
        <v>Complies</v>
      </c>
      <c r="O316" s="241" t="str">
        <f>IFERROR(__xludf.DUMMYFUNCTION("VLOOKUP(C316,IMPORTRANGE(""https://docs.google.com/spreadsheets/d/1P8eX0NWBhUPS_hvzA11R6jkTNFrPrRYIx_dX_hYbxrk/edit?resourcekey=0-iw9bsKY2OqkUHCFMkCar3A&amp;gid=2055363397#gid=2055363397"",""MTR!C:O""),9,false)"),"")</f>
        <v/>
      </c>
      <c r="P316" s="241"/>
      <c r="Q316" s="251" t="s">
        <v>445</v>
      </c>
      <c r="R316" s="241"/>
      <c r="S316" s="154" t="s">
        <v>66</v>
      </c>
      <c r="T316" s="154" t="s">
        <v>66</v>
      </c>
      <c r="U316" s="154" t="s">
        <v>66</v>
      </c>
      <c r="V316" s="154" t="s">
        <v>66</v>
      </c>
      <c r="W316" s="154" t="s">
        <v>66</v>
      </c>
      <c r="X316" s="154" t="s">
        <v>66</v>
      </c>
      <c r="Y316" s="154" t="s">
        <v>66</v>
      </c>
      <c r="Z316" s="154" t="s">
        <v>66</v>
      </c>
      <c r="AA316" s="154" t="s">
        <v>66</v>
      </c>
      <c r="AB316" s="154"/>
      <c r="AC316" s="242" t="b">
        <f t="shared" si="2"/>
        <v>1</v>
      </c>
      <c r="AD316" s="154" t="s">
        <v>391</v>
      </c>
      <c r="AE316" s="243" t="b">
        <f t="shared" si="3"/>
        <v>0</v>
      </c>
      <c r="AF316" s="154"/>
      <c r="AG316" s="243" t="b">
        <f t="shared" si="4"/>
        <v>0</v>
      </c>
      <c r="AH316" s="154"/>
      <c r="AI316" s="243" t="str">
        <f t="shared" si="5"/>
        <v>N/A</v>
      </c>
      <c r="AJ316" s="157" t="str">
        <f t="shared" si="6"/>
        <v/>
      </c>
    </row>
    <row r="317" ht="12.75" customHeight="1">
      <c r="A317" s="244" t="s">
        <v>621</v>
      </c>
      <c r="B317" s="244" t="s">
        <v>942</v>
      </c>
      <c r="C317" s="244" t="s">
        <v>1213</v>
      </c>
      <c r="D317" s="154" t="s">
        <v>1211</v>
      </c>
      <c r="E317" s="250"/>
      <c r="F317" s="154" t="str">
        <f t="array" ref="F317">XLOOKUP(Cover!$D$12,$S$1:$AA$1,$S317:$AA317)</f>
        <v>Recommended</v>
      </c>
      <c r="G317" s="154" t="s">
        <v>1214</v>
      </c>
      <c r="H317" s="154"/>
      <c r="I317" s="154" t="s">
        <v>389</v>
      </c>
      <c r="J317" s="247" t="s">
        <v>445</v>
      </c>
      <c r="K317" s="154"/>
      <c r="L317" s="154" t="str">
        <f t="shared" si="1"/>
        <v/>
      </c>
      <c r="M317" s="248" t="str">
        <f>IFERROR(__xludf.DUMMYFUNCTION("VLOOKUP(C317,IMPORTRANGE(""https://docs.google.com/spreadsheets/d/1P8eX0NWBhUPS_hvzA11R6jkTNFrPrRYIx_dX_hYbxrk/edit?resourcekey=0-iw9bsKY2OqkUHCFMkCar3A&amp;gid=2055363397#gid=2055363397"",""MTR!C:O""),11,false)"),"PMW-MCE-AS")</f>
        <v>PMW-MCE-AS</v>
      </c>
      <c r="N317" s="248" t="str">
        <f>IFERROR(__xludf.DUMMYFUNCTION("VLOOKUP(C317,IMPORTRANGE(""https://docs.google.com/spreadsheets/d/1ihFlp3_ePlYtFuPbUNbYj1muErVpI73WHXbEwJDIA7Q/edit#gid=1493122344"",""MTR!C:O""),8,false)"),"Complies")</f>
        <v>Complies</v>
      </c>
      <c r="O317" s="241" t="str">
        <f>IFERROR(__xludf.DUMMYFUNCTION("VLOOKUP(C317,IMPORTRANGE(""https://docs.google.com/spreadsheets/d/1P8eX0NWBhUPS_hvzA11R6jkTNFrPrRYIx_dX_hYbxrk/edit?resourcekey=0-iw9bsKY2OqkUHCFMkCar3A&amp;gid=2055363397#gid=2055363397"",""MTR!C:O""),9,false)"),"")</f>
        <v/>
      </c>
      <c r="P317" s="241"/>
      <c r="Q317" s="251" t="s">
        <v>445</v>
      </c>
      <c r="R317" s="241"/>
      <c r="S317" s="154" t="s">
        <v>64</v>
      </c>
      <c r="T317" s="154" t="s">
        <v>64</v>
      </c>
      <c r="U317" s="154" t="s">
        <v>64</v>
      </c>
      <c r="V317" s="154" t="s">
        <v>64</v>
      </c>
      <c r="W317" s="154" t="s">
        <v>64</v>
      </c>
      <c r="X317" s="154" t="s">
        <v>64</v>
      </c>
      <c r="Y317" s="154" t="s">
        <v>64</v>
      </c>
      <c r="Z317" s="154" t="s">
        <v>64</v>
      </c>
      <c r="AA317" s="154" t="s">
        <v>64</v>
      </c>
      <c r="AB317" s="154"/>
      <c r="AC317" s="242" t="b">
        <f t="shared" si="2"/>
        <v>1</v>
      </c>
      <c r="AD317" s="154" t="s">
        <v>391</v>
      </c>
      <c r="AE317" s="243" t="b">
        <f t="shared" si="3"/>
        <v>0</v>
      </c>
      <c r="AF317" s="154"/>
      <c r="AG317" s="243" t="b">
        <f t="shared" si="4"/>
        <v>0</v>
      </c>
      <c r="AH317" s="154"/>
      <c r="AI317" s="243" t="str">
        <f t="shared" si="5"/>
        <v>N/A</v>
      </c>
      <c r="AJ317" s="157" t="str">
        <f t="shared" si="6"/>
        <v/>
      </c>
    </row>
    <row r="318" ht="12.75" customHeight="1">
      <c r="A318" s="244" t="s">
        <v>621</v>
      </c>
      <c r="B318" s="244" t="s">
        <v>942</v>
      </c>
      <c r="C318" s="244" t="s">
        <v>1215</v>
      </c>
      <c r="D318" s="154" t="s">
        <v>1211</v>
      </c>
      <c r="E318" s="250"/>
      <c r="F318" s="154" t="str">
        <f t="array" ref="F318">XLOOKUP(Cover!$D$12,$S$1:$AA$1,$S318:$AA318)</f>
        <v>Information</v>
      </c>
      <c r="G318" s="154" t="s">
        <v>1216</v>
      </c>
      <c r="H318" s="154"/>
      <c r="I318" s="154" t="s">
        <v>389</v>
      </c>
      <c r="J318" s="247" t="s">
        <v>516</v>
      </c>
      <c r="K318" s="247" t="s">
        <v>1162</v>
      </c>
      <c r="L318" s="154" t="str">
        <f t="shared" si="1"/>
        <v/>
      </c>
      <c r="M318" s="248" t="str">
        <f>IFERROR(__xludf.DUMMYFUNCTION("VLOOKUP(C318,IMPORTRANGE(""https://docs.google.com/spreadsheets/d/1P8eX0NWBhUPS_hvzA11R6jkTNFrPrRYIx_dX_hYbxrk/edit?resourcekey=0-iw9bsKY2OqkUHCFMkCar3A&amp;gid=2055363397#gid=2055363397"",""MTR!C:O""),11,false)"),"PMW-MCE-AS")</f>
        <v>PMW-MCE-AS</v>
      </c>
      <c r="N318" s="248" t="str">
        <f>IFERROR(__xludf.DUMMYFUNCTION("VLOOKUP(C318,IMPORTRANGE(""https://docs.google.com/spreadsheets/d/1ihFlp3_ePlYtFuPbUNbYj1muErVpI73WHXbEwJDIA7Q/edit#gid=1493122344"",""MTR!C:O""),8,false)"),"Does Not Comply")</f>
        <v>Does Not Comply</v>
      </c>
      <c r="O318" s="241" t="str">
        <f>IFERROR(__xludf.DUMMYFUNCTION("VLOOKUP(C318,IMPORTRANGE(""https://docs.google.com/spreadsheets/d/1P8eX0NWBhUPS_hvzA11R6jkTNFrPrRYIx_dX_hYbxrk/edit?resourcekey=0-iw9bsKY2OqkUHCFMkCar3A&amp;gid=2055363397#gid=2055363397"",""MTR!C:O""),9,false)"),"")</f>
        <v/>
      </c>
      <c r="P318" s="241"/>
      <c r="Q318" s="251" t="s">
        <v>516</v>
      </c>
      <c r="R318" s="251" t="s">
        <v>1162</v>
      </c>
      <c r="S318" s="154" t="s">
        <v>66</v>
      </c>
      <c r="T318" s="154" t="s">
        <v>66</v>
      </c>
      <c r="U318" s="154" t="s">
        <v>66</v>
      </c>
      <c r="V318" s="154" t="s">
        <v>66</v>
      </c>
      <c r="W318" s="154" t="s">
        <v>66</v>
      </c>
      <c r="X318" s="154" t="s">
        <v>66</v>
      </c>
      <c r="Y318" s="154" t="s">
        <v>66</v>
      </c>
      <c r="Z318" s="154" t="s">
        <v>66</v>
      </c>
      <c r="AA318" s="154" t="s">
        <v>66</v>
      </c>
      <c r="AB318" s="154"/>
      <c r="AC318" s="242" t="b">
        <f t="shared" si="2"/>
        <v>1</v>
      </c>
      <c r="AD318" s="154" t="s">
        <v>391</v>
      </c>
      <c r="AE318" s="243" t="b">
        <f t="shared" si="3"/>
        <v>0</v>
      </c>
      <c r="AF318" s="154"/>
      <c r="AG318" s="243" t="b">
        <f t="shared" si="4"/>
        <v>0</v>
      </c>
      <c r="AH318" s="154"/>
      <c r="AI318" s="243" t="str">
        <f t="shared" si="5"/>
        <v>N/A</v>
      </c>
      <c r="AJ318" s="157" t="str">
        <f t="shared" si="6"/>
        <v/>
      </c>
    </row>
    <row r="319" ht="12.75" customHeight="1">
      <c r="A319" s="244" t="s">
        <v>621</v>
      </c>
      <c r="B319" s="244" t="s">
        <v>942</v>
      </c>
      <c r="C319" s="244" t="s">
        <v>1217</v>
      </c>
      <c r="D319" s="154" t="s">
        <v>1211</v>
      </c>
      <c r="E319" s="250"/>
      <c r="F319" s="154" t="str">
        <f t="array" ref="F319">XLOOKUP(Cover!$D$12,$S$1:$AA$1,$S319:$AA319)</f>
        <v>Information</v>
      </c>
      <c r="G319" s="154" t="s">
        <v>1218</v>
      </c>
      <c r="H319" s="154"/>
      <c r="I319" s="154" t="s">
        <v>389</v>
      </c>
      <c r="J319" s="247" t="s">
        <v>516</v>
      </c>
      <c r="K319" s="247" t="s">
        <v>1162</v>
      </c>
      <c r="L319" s="154" t="str">
        <f t="shared" si="1"/>
        <v/>
      </c>
      <c r="M319" s="248" t="str">
        <f>IFERROR(__xludf.DUMMYFUNCTION("VLOOKUP(C319,IMPORTRANGE(""https://docs.google.com/spreadsheets/d/1P8eX0NWBhUPS_hvzA11R6jkTNFrPrRYIx_dX_hYbxrk/edit?resourcekey=0-iw9bsKY2OqkUHCFMkCar3A&amp;gid=2055363397#gid=2055363397"",""MTR!C:O""),11,false)"),"PMW-MCE-AS")</f>
        <v>PMW-MCE-AS</v>
      </c>
      <c r="N319" s="248" t="str">
        <f>IFERROR(__xludf.DUMMYFUNCTION("VLOOKUP(C319,IMPORTRANGE(""https://docs.google.com/spreadsheets/d/1ihFlp3_ePlYtFuPbUNbYj1muErVpI73WHXbEwJDIA7Q/edit#gid=1493122344"",""MTR!C:O""),8,false)"),"Does Not Comply")</f>
        <v>Does Not Comply</v>
      </c>
      <c r="O319" s="241" t="str">
        <f>IFERROR(__xludf.DUMMYFUNCTION("VLOOKUP(C319,IMPORTRANGE(""https://docs.google.com/spreadsheets/d/1P8eX0NWBhUPS_hvzA11R6jkTNFrPrRYIx_dX_hYbxrk/edit?resourcekey=0-iw9bsKY2OqkUHCFMkCar3A&amp;gid=2055363397#gid=2055363397"",""MTR!C:O""),9,false)"),"")</f>
        <v/>
      </c>
      <c r="P319" s="241"/>
      <c r="Q319" s="251" t="s">
        <v>516</v>
      </c>
      <c r="R319" s="251" t="s">
        <v>1162</v>
      </c>
      <c r="S319" s="154" t="s">
        <v>66</v>
      </c>
      <c r="T319" s="154" t="s">
        <v>66</v>
      </c>
      <c r="U319" s="154" t="s">
        <v>66</v>
      </c>
      <c r="V319" s="154" t="s">
        <v>66</v>
      </c>
      <c r="W319" s="154" t="s">
        <v>66</v>
      </c>
      <c r="X319" s="154" t="s">
        <v>66</v>
      </c>
      <c r="Y319" s="154" t="s">
        <v>66</v>
      </c>
      <c r="Z319" s="154" t="s">
        <v>66</v>
      </c>
      <c r="AA319" s="154" t="s">
        <v>66</v>
      </c>
      <c r="AB319" s="154"/>
      <c r="AC319" s="242" t="b">
        <f t="shared" si="2"/>
        <v>1</v>
      </c>
      <c r="AD319" s="154" t="s">
        <v>391</v>
      </c>
      <c r="AE319" s="243" t="b">
        <f t="shared" si="3"/>
        <v>0</v>
      </c>
      <c r="AF319" s="154"/>
      <c r="AG319" s="243" t="b">
        <f t="shared" si="4"/>
        <v>0</v>
      </c>
      <c r="AH319" s="154"/>
      <c r="AI319" s="243" t="str">
        <f t="shared" si="5"/>
        <v>N/A</v>
      </c>
      <c r="AJ319" s="157" t="str">
        <f t="shared" si="6"/>
        <v/>
      </c>
    </row>
    <row r="320" ht="12.75" customHeight="1">
      <c r="A320" s="244" t="s">
        <v>621</v>
      </c>
      <c r="B320" s="244" t="s">
        <v>942</v>
      </c>
      <c r="C320" s="244" t="s">
        <v>1219</v>
      </c>
      <c r="D320" s="154" t="s">
        <v>462</v>
      </c>
      <c r="E320" s="250"/>
      <c r="F320" s="154" t="str">
        <f t="array" ref="F320">XLOOKUP(Cover!$D$12,$S$1:$AA$1,$S320:$AA320)</f>
        <v>Information</v>
      </c>
      <c r="G320" s="154" t="s">
        <v>1220</v>
      </c>
      <c r="H320" s="154"/>
      <c r="I320" s="154" t="s">
        <v>389</v>
      </c>
      <c r="J320" s="247" t="s">
        <v>516</v>
      </c>
      <c r="K320" s="247" t="s">
        <v>1162</v>
      </c>
      <c r="L320" s="154" t="str">
        <f t="shared" si="1"/>
        <v/>
      </c>
      <c r="M320" s="248" t="str">
        <f>IFERROR(__xludf.DUMMYFUNCTION("VLOOKUP(C320,IMPORTRANGE(""https://docs.google.com/spreadsheets/d/1P8eX0NWBhUPS_hvzA11R6jkTNFrPrRYIx_dX_hYbxrk/edit?resourcekey=0-iw9bsKY2OqkUHCFMkCar3A&amp;gid=2055363397#gid=2055363397"",""MTR!C:O""),11,false)"),"PMW-MCE-AS")</f>
        <v>PMW-MCE-AS</v>
      </c>
      <c r="N320" s="248" t="str">
        <f>IFERROR(__xludf.DUMMYFUNCTION("VLOOKUP(C320,IMPORTRANGE(""https://docs.google.com/spreadsheets/d/1ihFlp3_ePlYtFuPbUNbYj1muErVpI73WHXbEwJDIA7Q/edit#gid=1493122344"",""MTR!C:O""),8,false)"),"Does Not Comply")</f>
        <v>Does Not Comply</v>
      </c>
      <c r="O320" s="241" t="str">
        <f>IFERROR(__xludf.DUMMYFUNCTION("VLOOKUP(C320,IMPORTRANGE(""https://docs.google.com/spreadsheets/d/1P8eX0NWBhUPS_hvzA11R6jkTNFrPrRYIx_dX_hYbxrk/edit?resourcekey=0-iw9bsKY2OqkUHCFMkCar3A&amp;gid=2055363397#gid=2055363397"",""MTR!C:O""),9,false)"),"")</f>
        <v/>
      </c>
      <c r="P320" s="241"/>
      <c r="Q320" s="251" t="s">
        <v>516</v>
      </c>
      <c r="R320" s="251" t="s">
        <v>1162</v>
      </c>
      <c r="S320" s="154" t="s">
        <v>66</v>
      </c>
      <c r="T320" s="154" t="s">
        <v>66</v>
      </c>
      <c r="U320" s="154" t="s">
        <v>66</v>
      </c>
      <c r="V320" s="154" t="s">
        <v>66</v>
      </c>
      <c r="W320" s="154" t="s">
        <v>66</v>
      </c>
      <c r="X320" s="154" t="s">
        <v>66</v>
      </c>
      <c r="Y320" s="154" t="s">
        <v>66</v>
      </c>
      <c r="Z320" s="154" t="s">
        <v>66</v>
      </c>
      <c r="AA320" s="154" t="s">
        <v>66</v>
      </c>
      <c r="AB320" s="154"/>
      <c r="AC320" s="242" t="b">
        <f t="shared" si="2"/>
        <v>1</v>
      </c>
      <c r="AD320" s="154" t="s">
        <v>391</v>
      </c>
      <c r="AE320" s="243" t="b">
        <f t="shared" si="3"/>
        <v>0</v>
      </c>
      <c r="AF320" s="154"/>
      <c r="AG320" s="243" t="b">
        <f t="shared" si="4"/>
        <v>0</v>
      </c>
      <c r="AH320" s="154" t="s">
        <v>637</v>
      </c>
      <c r="AI320" s="243" t="str">
        <f t="shared" si="5"/>
        <v>Complies</v>
      </c>
      <c r="AJ320" s="157" t="str">
        <f t="shared" si="6"/>
        <v/>
      </c>
    </row>
    <row r="321" ht="12.75" customHeight="1">
      <c r="A321" s="244" t="s">
        <v>621</v>
      </c>
      <c r="B321" s="244" t="s">
        <v>942</v>
      </c>
      <c r="C321" s="244" t="s">
        <v>1221</v>
      </c>
      <c r="D321" s="154" t="s">
        <v>462</v>
      </c>
      <c r="E321" s="250"/>
      <c r="F321" s="154" t="str">
        <f t="array" ref="F321">XLOOKUP(Cover!$D$12,$S$1:$AA$1,$S321:$AA321)</f>
        <v>Information</v>
      </c>
      <c r="G321" s="154" t="s">
        <v>1222</v>
      </c>
      <c r="H321" s="154"/>
      <c r="I321" s="154" t="s">
        <v>389</v>
      </c>
      <c r="J321" s="247" t="s">
        <v>516</v>
      </c>
      <c r="K321" s="247" t="s">
        <v>1162</v>
      </c>
      <c r="L321" s="154" t="str">
        <f t="shared" si="1"/>
        <v/>
      </c>
      <c r="M321" s="248" t="str">
        <f>IFERROR(__xludf.DUMMYFUNCTION("VLOOKUP(C321,IMPORTRANGE(""https://docs.google.com/spreadsheets/d/1P8eX0NWBhUPS_hvzA11R6jkTNFrPrRYIx_dX_hYbxrk/edit?resourcekey=0-iw9bsKY2OqkUHCFMkCar3A&amp;gid=2055363397#gid=2055363397"",""MTR!C:O""),11,false)"),"PMW-MCE-AS")</f>
        <v>PMW-MCE-AS</v>
      </c>
      <c r="N321" s="248" t="str">
        <f>IFERROR(__xludf.DUMMYFUNCTION("VLOOKUP(C321,IMPORTRANGE(""https://docs.google.com/spreadsheets/d/1ihFlp3_ePlYtFuPbUNbYj1muErVpI73WHXbEwJDIA7Q/edit#gid=1493122344"",""MTR!C:O""),8,false)"),"Does Not Comply")</f>
        <v>Does Not Comply</v>
      </c>
      <c r="O321" s="241" t="str">
        <f>IFERROR(__xludf.DUMMYFUNCTION("VLOOKUP(C321,IMPORTRANGE(""https://docs.google.com/spreadsheets/d/1P8eX0NWBhUPS_hvzA11R6jkTNFrPrRYIx_dX_hYbxrk/edit?resourcekey=0-iw9bsKY2OqkUHCFMkCar3A&amp;gid=2055363397#gid=2055363397"",""MTR!C:O""),9,false)"),"")</f>
        <v/>
      </c>
      <c r="P321" s="241"/>
      <c r="Q321" s="251" t="s">
        <v>516</v>
      </c>
      <c r="R321" s="251" t="s">
        <v>1162</v>
      </c>
      <c r="S321" s="154" t="s">
        <v>66</v>
      </c>
      <c r="T321" s="154" t="s">
        <v>66</v>
      </c>
      <c r="U321" s="154" t="s">
        <v>66</v>
      </c>
      <c r="V321" s="154" t="s">
        <v>66</v>
      </c>
      <c r="W321" s="154" t="s">
        <v>66</v>
      </c>
      <c r="X321" s="154" t="s">
        <v>66</v>
      </c>
      <c r="Y321" s="154" t="s">
        <v>66</v>
      </c>
      <c r="Z321" s="154" t="s">
        <v>66</v>
      </c>
      <c r="AA321" s="154" t="s">
        <v>66</v>
      </c>
      <c r="AB321" s="154"/>
      <c r="AC321" s="242" t="b">
        <f t="shared" si="2"/>
        <v>1</v>
      </c>
      <c r="AD321" s="154" t="s">
        <v>391</v>
      </c>
      <c r="AE321" s="243" t="b">
        <f t="shared" si="3"/>
        <v>0</v>
      </c>
      <c r="AF321" s="154"/>
      <c r="AG321" s="243" t="b">
        <f t="shared" si="4"/>
        <v>0</v>
      </c>
      <c r="AH321" s="154" t="s">
        <v>637</v>
      </c>
      <c r="AI321" s="243" t="str">
        <f t="shared" si="5"/>
        <v>Complies</v>
      </c>
      <c r="AJ321" s="157" t="str">
        <f t="shared" si="6"/>
        <v/>
      </c>
    </row>
    <row r="322" ht="12.75" customHeight="1">
      <c r="A322" s="244" t="s">
        <v>621</v>
      </c>
      <c r="B322" s="244" t="s">
        <v>942</v>
      </c>
      <c r="C322" s="244" t="s">
        <v>1223</v>
      </c>
      <c r="D322" s="154" t="s">
        <v>462</v>
      </c>
      <c r="E322" s="250"/>
      <c r="F322" s="154" t="str">
        <f t="array" ref="F322">XLOOKUP(Cover!$D$12,$S$1:$AA$1,$S322:$AA322)</f>
        <v>Information</v>
      </c>
      <c r="G322" s="154" t="s">
        <v>1224</v>
      </c>
      <c r="H322" s="154"/>
      <c r="I322" s="154" t="s">
        <v>389</v>
      </c>
      <c r="J322" s="247" t="s">
        <v>516</v>
      </c>
      <c r="K322" s="247" t="s">
        <v>1162</v>
      </c>
      <c r="L322" s="154" t="str">
        <f t="shared" si="1"/>
        <v/>
      </c>
      <c r="M322" s="248" t="str">
        <f>IFERROR(__xludf.DUMMYFUNCTION("VLOOKUP(C322,IMPORTRANGE(""https://docs.google.com/spreadsheets/d/1P8eX0NWBhUPS_hvzA11R6jkTNFrPrRYIx_dX_hYbxrk/edit?resourcekey=0-iw9bsKY2OqkUHCFMkCar3A&amp;gid=2055363397#gid=2055363397"",""MTR!C:O""),11,false)"),"PMW-MCE-AS")</f>
        <v>PMW-MCE-AS</v>
      </c>
      <c r="N322" s="248" t="str">
        <f>IFERROR(__xludf.DUMMYFUNCTION("VLOOKUP(C322,IMPORTRANGE(""https://docs.google.com/spreadsheets/d/1ihFlp3_ePlYtFuPbUNbYj1muErVpI73WHXbEwJDIA7Q/edit#gid=1493122344"",""MTR!C:O""),8,false)"),"Does Not Comply")</f>
        <v>Does Not Comply</v>
      </c>
      <c r="O322" s="241" t="str">
        <f>IFERROR(__xludf.DUMMYFUNCTION("VLOOKUP(C322,IMPORTRANGE(""https://docs.google.com/spreadsheets/d/1P8eX0NWBhUPS_hvzA11R6jkTNFrPrRYIx_dX_hYbxrk/edit?resourcekey=0-iw9bsKY2OqkUHCFMkCar3A&amp;gid=2055363397#gid=2055363397"",""MTR!C:O""),9,false)"),"")</f>
        <v/>
      </c>
      <c r="P322" s="241"/>
      <c r="Q322" s="251" t="s">
        <v>516</v>
      </c>
      <c r="R322" s="251" t="s">
        <v>1162</v>
      </c>
      <c r="S322" s="154" t="s">
        <v>66</v>
      </c>
      <c r="T322" s="154" t="s">
        <v>66</v>
      </c>
      <c r="U322" s="154" t="s">
        <v>66</v>
      </c>
      <c r="V322" s="154" t="s">
        <v>66</v>
      </c>
      <c r="W322" s="154" t="s">
        <v>66</v>
      </c>
      <c r="X322" s="154" t="s">
        <v>66</v>
      </c>
      <c r="Y322" s="154" t="s">
        <v>66</v>
      </c>
      <c r="Z322" s="154" t="s">
        <v>66</v>
      </c>
      <c r="AA322" s="154" t="s">
        <v>66</v>
      </c>
      <c r="AB322" s="154"/>
      <c r="AC322" s="242" t="b">
        <f t="shared" si="2"/>
        <v>1</v>
      </c>
      <c r="AD322" s="154" t="s">
        <v>391</v>
      </c>
      <c r="AE322" s="243" t="b">
        <f t="shared" si="3"/>
        <v>0</v>
      </c>
      <c r="AF322" s="154"/>
      <c r="AG322" s="243" t="b">
        <f t="shared" si="4"/>
        <v>0</v>
      </c>
      <c r="AH322" s="154" t="s">
        <v>637</v>
      </c>
      <c r="AI322" s="243" t="str">
        <f t="shared" si="5"/>
        <v>Complies</v>
      </c>
      <c r="AJ322" s="157" t="str">
        <f t="shared" si="6"/>
        <v/>
      </c>
    </row>
    <row r="323" ht="12.75" customHeight="1">
      <c r="A323" s="244" t="s">
        <v>621</v>
      </c>
      <c r="B323" s="244" t="s">
        <v>942</v>
      </c>
      <c r="C323" s="244" t="s">
        <v>1225</v>
      </c>
      <c r="D323" s="154" t="s">
        <v>462</v>
      </c>
      <c r="E323" s="250"/>
      <c r="F323" s="154" t="str">
        <f t="array" ref="F323">XLOOKUP(Cover!$D$12,$S$1:$AA$1,$S323:$AA323)</f>
        <v>Information</v>
      </c>
      <c r="G323" s="154" t="s">
        <v>1226</v>
      </c>
      <c r="H323" s="154"/>
      <c r="I323" s="154" t="s">
        <v>389</v>
      </c>
      <c r="J323" s="247" t="s">
        <v>516</v>
      </c>
      <c r="K323" s="247" t="s">
        <v>1162</v>
      </c>
      <c r="L323" s="154" t="str">
        <f t="shared" si="1"/>
        <v/>
      </c>
      <c r="M323" s="248" t="str">
        <f>IFERROR(__xludf.DUMMYFUNCTION("VLOOKUP(C323,IMPORTRANGE(""https://docs.google.com/spreadsheets/d/1P8eX0NWBhUPS_hvzA11R6jkTNFrPrRYIx_dX_hYbxrk/edit?resourcekey=0-iw9bsKY2OqkUHCFMkCar3A&amp;gid=2055363397#gid=2055363397"",""MTR!C:O""),11,false)"),"PMW-MCE-AS")</f>
        <v>PMW-MCE-AS</v>
      </c>
      <c r="N323" s="248" t="str">
        <f>IFERROR(__xludf.DUMMYFUNCTION("VLOOKUP(C323,IMPORTRANGE(""https://docs.google.com/spreadsheets/d/1ihFlp3_ePlYtFuPbUNbYj1muErVpI73WHXbEwJDIA7Q/edit#gid=1493122344"",""MTR!C:O""),8,false)"),"Does Not Comply")</f>
        <v>Does Not Comply</v>
      </c>
      <c r="O323" s="241" t="str">
        <f>IFERROR(__xludf.DUMMYFUNCTION("VLOOKUP(C323,IMPORTRANGE(""https://docs.google.com/spreadsheets/d/1P8eX0NWBhUPS_hvzA11R6jkTNFrPrRYIx_dX_hYbxrk/edit?resourcekey=0-iw9bsKY2OqkUHCFMkCar3A&amp;gid=2055363397#gid=2055363397"",""MTR!C:O""),9,false)"),"")</f>
        <v/>
      </c>
      <c r="P323" s="241"/>
      <c r="Q323" s="251" t="s">
        <v>516</v>
      </c>
      <c r="R323" s="251" t="s">
        <v>1162</v>
      </c>
      <c r="S323" s="154" t="s">
        <v>66</v>
      </c>
      <c r="T323" s="154" t="s">
        <v>66</v>
      </c>
      <c r="U323" s="154" t="s">
        <v>66</v>
      </c>
      <c r="V323" s="154" t="s">
        <v>66</v>
      </c>
      <c r="W323" s="154" t="s">
        <v>66</v>
      </c>
      <c r="X323" s="154" t="s">
        <v>66</v>
      </c>
      <c r="Y323" s="154" t="s">
        <v>66</v>
      </c>
      <c r="Z323" s="154" t="s">
        <v>66</v>
      </c>
      <c r="AA323" s="154" t="s">
        <v>66</v>
      </c>
      <c r="AB323" s="154"/>
      <c r="AC323" s="242" t="b">
        <f t="shared" si="2"/>
        <v>1</v>
      </c>
      <c r="AD323" s="154" t="s">
        <v>391</v>
      </c>
      <c r="AE323" s="243" t="b">
        <f t="shared" si="3"/>
        <v>0</v>
      </c>
      <c r="AF323" s="154"/>
      <c r="AG323" s="243" t="b">
        <f t="shared" si="4"/>
        <v>0</v>
      </c>
      <c r="AH323" s="154" t="s">
        <v>637</v>
      </c>
      <c r="AI323" s="243" t="str">
        <f t="shared" si="5"/>
        <v>Complies</v>
      </c>
      <c r="AJ323" s="157" t="str">
        <f t="shared" si="6"/>
        <v/>
      </c>
    </row>
    <row r="324" ht="12.75" customHeight="1">
      <c r="A324" s="244" t="s">
        <v>621</v>
      </c>
      <c r="B324" s="244" t="s">
        <v>942</v>
      </c>
      <c r="C324" s="244" t="s">
        <v>1227</v>
      </c>
      <c r="D324" s="154" t="s">
        <v>649</v>
      </c>
      <c r="E324" s="250"/>
      <c r="F324" s="154" t="str">
        <f t="array" ref="F324">XLOOKUP(Cover!$D$12,$S$1:$AA$1,$S324:$AA324)</f>
        <v>Information</v>
      </c>
      <c r="G324" s="154" t="s">
        <v>1228</v>
      </c>
      <c r="H324" s="154"/>
      <c r="I324" s="154" t="s">
        <v>389</v>
      </c>
      <c r="J324" s="247" t="s">
        <v>445</v>
      </c>
      <c r="K324" s="154"/>
      <c r="L324" s="154" t="str">
        <f t="shared" si="1"/>
        <v/>
      </c>
      <c r="M324" s="248" t="str">
        <f>IFERROR(__xludf.DUMMYFUNCTION("VLOOKUP(C324,IMPORTRANGE(""https://docs.google.com/spreadsheets/d/1P8eX0NWBhUPS_hvzA11R6jkTNFrPrRYIx_dX_hYbxrk/edit?resourcekey=0-iw9bsKY2OqkUHCFMkCar3A&amp;gid=2055363397#gid=2055363397"",""MTR!C:O""),11,false)"),"PMW-MCE-AS")</f>
        <v>PMW-MCE-AS</v>
      </c>
      <c r="N324" s="248" t="str">
        <f>IFERROR(__xludf.DUMMYFUNCTION("VLOOKUP(C324,IMPORTRANGE(""https://docs.google.com/spreadsheets/d/1ihFlp3_ePlYtFuPbUNbYj1muErVpI73WHXbEwJDIA7Q/edit#gid=1493122344"",""MTR!C:O""),8,false)"),"Complies")</f>
        <v>Complies</v>
      </c>
      <c r="O324" s="241" t="str">
        <f>IFERROR(__xludf.DUMMYFUNCTION("VLOOKUP(C324,IMPORTRANGE(""https://docs.google.com/spreadsheets/d/1P8eX0NWBhUPS_hvzA11R6jkTNFrPrRYIx_dX_hYbxrk/edit?resourcekey=0-iw9bsKY2OqkUHCFMkCar3A&amp;gid=2055363397#gid=2055363397"",""MTR!C:O""),9,false)"),"")</f>
        <v/>
      </c>
      <c r="P324" s="241"/>
      <c r="Q324" s="251" t="s">
        <v>445</v>
      </c>
      <c r="R324" s="241"/>
      <c r="S324" s="154" t="s">
        <v>66</v>
      </c>
      <c r="T324" s="154" t="s">
        <v>66</v>
      </c>
      <c r="U324" s="154" t="s">
        <v>66</v>
      </c>
      <c r="V324" s="154" t="s">
        <v>66</v>
      </c>
      <c r="W324" s="154" t="s">
        <v>66</v>
      </c>
      <c r="X324" s="154" t="s">
        <v>66</v>
      </c>
      <c r="Y324" s="154" t="s">
        <v>66</v>
      </c>
      <c r="Z324" s="154" t="s">
        <v>66</v>
      </c>
      <c r="AA324" s="154" t="s">
        <v>66</v>
      </c>
      <c r="AB324" s="154"/>
      <c r="AC324" s="242" t="b">
        <f t="shared" si="2"/>
        <v>1</v>
      </c>
      <c r="AD324" s="154" t="s">
        <v>391</v>
      </c>
      <c r="AE324" s="243" t="b">
        <f t="shared" si="3"/>
        <v>0</v>
      </c>
      <c r="AF324" s="154"/>
      <c r="AG324" s="243" t="b">
        <f t="shared" si="4"/>
        <v>0</v>
      </c>
      <c r="AH324" s="154"/>
      <c r="AI324" s="243" t="str">
        <f t="shared" si="5"/>
        <v>N/A</v>
      </c>
      <c r="AJ324" s="157" t="str">
        <f t="shared" si="6"/>
        <v/>
      </c>
    </row>
    <row r="325" ht="12.75" customHeight="1">
      <c r="A325" s="244" t="s">
        <v>621</v>
      </c>
      <c r="B325" s="244" t="s">
        <v>942</v>
      </c>
      <c r="C325" s="244" t="s">
        <v>1229</v>
      </c>
      <c r="D325" s="154" t="s">
        <v>492</v>
      </c>
      <c r="E325" s="250"/>
      <c r="F325" s="154" t="str">
        <f t="array" ref="F325">XLOOKUP(Cover!$D$12,$S$1:$AA$1,$S325:$AA325)</f>
        <v>Information</v>
      </c>
      <c r="G325" s="154" t="s">
        <v>1230</v>
      </c>
      <c r="H325" s="154"/>
      <c r="I325" s="154" t="s">
        <v>389</v>
      </c>
      <c r="J325" s="247" t="s">
        <v>516</v>
      </c>
      <c r="K325" s="247" t="s">
        <v>1162</v>
      </c>
      <c r="L325" s="154" t="str">
        <f t="shared" si="1"/>
        <v/>
      </c>
      <c r="M325" s="248" t="str">
        <f>IFERROR(__xludf.DUMMYFUNCTION("VLOOKUP(C325,IMPORTRANGE(""https://docs.google.com/spreadsheets/d/1P8eX0NWBhUPS_hvzA11R6jkTNFrPrRYIx_dX_hYbxrk/edit?resourcekey=0-iw9bsKY2OqkUHCFMkCar3A&amp;gid=2055363397#gid=2055363397"",""MTR!C:O""),11,false)"),"PMW-MCE-AS")</f>
        <v>PMW-MCE-AS</v>
      </c>
      <c r="N325" s="248" t="str">
        <f>IFERROR(__xludf.DUMMYFUNCTION("VLOOKUP(C325,IMPORTRANGE(""https://docs.google.com/spreadsheets/d/1ihFlp3_ePlYtFuPbUNbYj1muErVpI73WHXbEwJDIA7Q/edit#gid=1493122344"",""MTR!C:O""),8,false)"),"Does Not Comply")</f>
        <v>Does Not Comply</v>
      </c>
      <c r="O325" s="241" t="str">
        <f>IFERROR(__xludf.DUMMYFUNCTION("VLOOKUP(C325,IMPORTRANGE(""https://docs.google.com/spreadsheets/d/1P8eX0NWBhUPS_hvzA11R6jkTNFrPrRYIx_dX_hYbxrk/edit?resourcekey=0-iw9bsKY2OqkUHCFMkCar3A&amp;gid=2055363397#gid=2055363397"",""MTR!C:O""),9,false)"),"")</f>
        <v/>
      </c>
      <c r="P325" s="241"/>
      <c r="Q325" s="251" t="s">
        <v>516</v>
      </c>
      <c r="R325" s="251" t="s">
        <v>1162</v>
      </c>
      <c r="S325" s="154" t="s">
        <v>66</v>
      </c>
      <c r="T325" s="154" t="s">
        <v>66</v>
      </c>
      <c r="U325" s="154" t="s">
        <v>66</v>
      </c>
      <c r="V325" s="154" t="s">
        <v>66</v>
      </c>
      <c r="W325" s="154" t="s">
        <v>66</v>
      </c>
      <c r="X325" s="154" t="s">
        <v>66</v>
      </c>
      <c r="Y325" s="154" t="s">
        <v>66</v>
      </c>
      <c r="Z325" s="154" t="s">
        <v>66</v>
      </c>
      <c r="AA325" s="154" t="s">
        <v>66</v>
      </c>
      <c r="AB325" s="154"/>
      <c r="AC325" s="242" t="b">
        <f t="shared" si="2"/>
        <v>1</v>
      </c>
      <c r="AD325" s="154" t="s">
        <v>391</v>
      </c>
      <c r="AE325" s="243" t="b">
        <f t="shared" si="3"/>
        <v>0</v>
      </c>
      <c r="AF325" s="154"/>
      <c r="AG325" s="243" t="b">
        <f t="shared" si="4"/>
        <v>0</v>
      </c>
      <c r="AH325" s="154"/>
      <c r="AI325" s="243" t="str">
        <f t="shared" si="5"/>
        <v>N/A</v>
      </c>
      <c r="AJ325" s="157" t="str">
        <f t="shared" si="6"/>
        <v/>
      </c>
    </row>
    <row r="326" ht="12.75" customHeight="1">
      <c r="A326" s="238" t="s">
        <v>621</v>
      </c>
      <c r="B326" s="238" t="s">
        <v>942</v>
      </c>
      <c r="C326" s="238" t="s">
        <v>1231</v>
      </c>
      <c r="D326" s="240"/>
      <c r="E326" s="252" t="s">
        <v>92</v>
      </c>
      <c r="F326" s="154" t="str">
        <f t="array" ref="F326">XLOOKUP(Cover!$D$12,$S$1:$AA$1,$S326:$AA326)</f>
        <v>Heading</v>
      </c>
      <c r="G326" s="239" t="s">
        <v>1232</v>
      </c>
      <c r="H326" s="240"/>
      <c r="I326" s="240" t="s">
        <v>389</v>
      </c>
      <c r="J326" s="240"/>
      <c r="K326" s="240"/>
      <c r="L326" s="154" t="str">
        <f t="shared" si="1"/>
        <v/>
      </c>
      <c r="M326" s="241" t="str">
        <f>IFERROR(__xludf.DUMMYFUNCTION("VLOOKUP(C326,IMPORTRANGE(""https://docs.google.com/spreadsheets/d/1P8eX0NWBhUPS_hvzA11R6jkTNFrPrRYIx_dX_hYbxrk/edit?resourcekey=0-iw9bsKY2OqkUHCFMkCar3A&amp;gid=2055363397#gid=2055363397"",""MTR!C:O""),11,false)"),"")</f>
        <v/>
      </c>
      <c r="N326" s="241" t="str">
        <f>IFERROR(__xludf.DUMMYFUNCTION("VLOOKUP(C326,IMPORTRANGE(""https://docs.google.com/spreadsheets/d/1ihFlp3_ePlYtFuPbUNbYj1muErVpI73WHXbEwJDIA7Q/edit#gid=1493122344"",""MTR!C:O""),8,false)"),"")</f>
        <v/>
      </c>
      <c r="O326" s="241" t="str">
        <f>IFERROR(__xludf.DUMMYFUNCTION("VLOOKUP(C326,IMPORTRANGE(""https://docs.google.com/spreadsheets/d/1P8eX0NWBhUPS_hvzA11R6jkTNFrPrRYIx_dX_hYbxrk/edit?resourcekey=0-iw9bsKY2OqkUHCFMkCar3A&amp;gid=2055363397#gid=2055363397"",""MTR!C:O""),9,false)"),"")</f>
        <v/>
      </c>
      <c r="P326" s="241"/>
      <c r="Q326" s="241"/>
      <c r="R326" s="241"/>
      <c r="S326" s="240" t="s">
        <v>390</v>
      </c>
      <c r="T326" s="240" t="s">
        <v>390</v>
      </c>
      <c r="U326" s="240" t="s">
        <v>390</v>
      </c>
      <c r="V326" s="240" t="s">
        <v>390</v>
      </c>
      <c r="W326" s="240" t="s">
        <v>390</v>
      </c>
      <c r="X326" s="240" t="s">
        <v>390</v>
      </c>
      <c r="Y326" s="240" t="s">
        <v>390</v>
      </c>
      <c r="Z326" s="240" t="s">
        <v>390</v>
      </c>
      <c r="AA326" s="240" t="s">
        <v>390</v>
      </c>
      <c r="AB326" s="240"/>
      <c r="AC326" s="242" t="b">
        <f t="shared" si="2"/>
        <v>0</v>
      </c>
      <c r="AD326" s="240" t="s">
        <v>391</v>
      </c>
      <c r="AE326" s="243" t="b">
        <f t="shared" si="3"/>
        <v>0</v>
      </c>
      <c r="AF326" s="240"/>
      <c r="AG326" s="243" t="b">
        <f t="shared" si="4"/>
        <v>0</v>
      </c>
      <c r="AH326" s="240"/>
      <c r="AI326" s="243" t="str">
        <f t="shared" si="5"/>
        <v>N/A</v>
      </c>
      <c r="AJ326" s="157" t="str">
        <f t="shared" si="6"/>
        <v/>
      </c>
    </row>
    <row r="327" ht="12.75" customHeight="1">
      <c r="A327" s="244" t="s">
        <v>621</v>
      </c>
      <c r="B327" s="244" t="s">
        <v>942</v>
      </c>
      <c r="C327" s="244" t="s">
        <v>1233</v>
      </c>
      <c r="D327" s="244" t="s">
        <v>861</v>
      </c>
      <c r="E327" s="244"/>
      <c r="F327" s="154" t="str">
        <f t="array" ref="F327">XLOOKUP(Cover!$D$12,$S$1:$AA$1,$S327:$AA327)</f>
        <v>Comment</v>
      </c>
      <c r="G327" s="154" t="s">
        <v>1234</v>
      </c>
      <c r="H327" s="154"/>
      <c r="I327" s="154" t="s">
        <v>389</v>
      </c>
      <c r="J327" s="154"/>
      <c r="K327" s="154"/>
      <c r="L327" s="154" t="str">
        <f t="shared" si="1"/>
        <v/>
      </c>
      <c r="M327" s="241" t="str">
        <f>IFERROR(__xludf.DUMMYFUNCTION("VLOOKUP(C327,IMPORTRANGE(""https://docs.google.com/spreadsheets/d/1P8eX0NWBhUPS_hvzA11R6jkTNFrPrRYIx_dX_hYbxrk/edit?resourcekey=0-iw9bsKY2OqkUHCFMkCar3A&amp;gid=2055363397#gid=2055363397"",""MTR!C:O""),11,false)"),"")</f>
        <v/>
      </c>
      <c r="N327" s="241" t="str">
        <f>IFERROR(__xludf.DUMMYFUNCTION("VLOOKUP(C327,IMPORTRANGE(""https://docs.google.com/spreadsheets/d/1ihFlp3_ePlYtFuPbUNbYj1muErVpI73WHXbEwJDIA7Q/edit#gid=1493122344"",""MTR!C:O""),8,false)"),"")</f>
        <v/>
      </c>
      <c r="O327" s="241" t="str">
        <f>IFERROR(__xludf.DUMMYFUNCTION("VLOOKUP(C327,IMPORTRANGE(""https://docs.google.com/spreadsheets/d/1P8eX0NWBhUPS_hvzA11R6jkTNFrPrRYIx_dX_hYbxrk/edit?resourcekey=0-iw9bsKY2OqkUHCFMkCar3A&amp;gid=2055363397#gid=2055363397"",""MTR!C:O""),9,false)"),"")</f>
        <v/>
      </c>
      <c r="P327" s="241"/>
      <c r="Q327" s="241"/>
      <c r="R327" s="241"/>
      <c r="S327" s="154" t="s">
        <v>35</v>
      </c>
      <c r="T327" s="154" t="s">
        <v>35</v>
      </c>
      <c r="U327" s="154" t="s">
        <v>35</v>
      </c>
      <c r="V327" s="154" t="s">
        <v>35</v>
      </c>
      <c r="W327" s="154" t="s">
        <v>35</v>
      </c>
      <c r="X327" s="154" t="s">
        <v>35</v>
      </c>
      <c r="Y327" s="154" t="s">
        <v>35</v>
      </c>
      <c r="Z327" s="154" t="s">
        <v>35</v>
      </c>
      <c r="AA327" s="154" t="s">
        <v>35</v>
      </c>
      <c r="AB327" s="154"/>
      <c r="AC327" s="242" t="b">
        <f t="shared" si="2"/>
        <v>0</v>
      </c>
      <c r="AD327" s="154" t="s">
        <v>391</v>
      </c>
      <c r="AE327" s="243" t="b">
        <f t="shared" si="3"/>
        <v>0</v>
      </c>
      <c r="AF327" s="154"/>
      <c r="AG327" s="243" t="b">
        <f t="shared" si="4"/>
        <v>0</v>
      </c>
      <c r="AH327" s="154"/>
      <c r="AI327" s="243" t="str">
        <f t="shared" si="5"/>
        <v>N/A</v>
      </c>
      <c r="AJ327" s="157" t="str">
        <f t="shared" si="6"/>
        <v/>
      </c>
    </row>
    <row r="328" ht="12.75" customHeight="1">
      <c r="A328" s="244" t="s">
        <v>621</v>
      </c>
      <c r="B328" s="244" t="s">
        <v>942</v>
      </c>
      <c r="C328" s="244" t="s">
        <v>1235</v>
      </c>
      <c r="D328" s="154" t="s">
        <v>642</v>
      </c>
      <c r="E328" s="250"/>
      <c r="F328" s="154" t="str">
        <f t="array" ref="F328">XLOOKUP(Cover!$D$12,$S$1:$AA$1,$S328:$AA328)</f>
        <v>Information</v>
      </c>
      <c r="G328" s="153" t="s">
        <v>1236</v>
      </c>
      <c r="H328" s="154"/>
      <c r="I328" s="154" t="s">
        <v>389</v>
      </c>
      <c r="J328" s="247" t="s">
        <v>516</v>
      </c>
      <c r="K328" s="247" t="s">
        <v>1162</v>
      </c>
      <c r="L328" s="154" t="str">
        <f t="shared" si="1"/>
        <v/>
      </c>
      <c r="M328" s="248" t="str">
        <f>IFERROR(__xludf.DUMMYFUNCTION("VLOOKUP(C328,IMPORTRANGE(""https://docs.google.com/spreadsheets/d/1P8eX0NWBhUPS_hvzA11R6jkTNFrPrRYIx_dX_hYbxrk/edit?resourcekey=0-iw9bsKY2OqkUHCFMkCar3A&amp;gid=2055363397#gid=2055363397"",""MTR!C:O""),11,false)"),"PMW-MCE-AS")</f>
        <v>PMW-MCE-AS</v>
      </c>
      <c r="N328" s="248" t="str">
        <f>IFERROR(__xludf.DUMMYFUNCTION("VLOOKUP(C328,IMPORTRANGE(""https://docs.google.com/spreadsheets/d/1ihFlp3_ePlYtFuPbUNbYj1muErVpI73WHXbEwJDIA7Q/edit#gid=1493122344"",""MTR!C:O""),8,false)"),"Does Not Comply")</f>
        <v>Does Not Comply</v>
      </c>
      <c r="O328" s="241" t="str">
        <f>IFERROR(__xludf.DUMMYFUNCTION("VLOOKUP(C328,IMPORTRANGE(""https://docs.google.com/spreadsheets/d/1P8eX0NWBhUPS_hvzA11R6jkTNFrPrRYIx_dX_hYbxrk/edit?resourcekey=0-iw9bsKY2OqkUHCFMkCar3A&amp;gid=2055363397#gid=2055363397"",""MTR!C:O""),9,false)"),"")</f>
        <v/>
      </c>
      <c r="P328" s="241"/>
      <c r="Q328" s="251" t="s">
        <v>516</v>
      </c>
      <c r="R328" s="251" t="s">
        <v>1162</v>
      </c>
      <c r="S328" s="154" t="s">
        <v>66</v>
      </c>
      <c r="T328" s="154" t="s">
        <v>66</v>
      </c>
      <c r="U328" s="154" t="s">
        <v>66</v>
      </c>
      <c r="V328" s="154" t="s">
        <v>66</v>
      </c>
      <c r="W328" s="154" t="s">
        <v>66</v>
      </c>
      <c r="X328" s="154" t="s">
        <v>66</v>
      </c>
      <c r="Y328" s="154" t="s">
        <v>66</v>
      </c>
      <c r="Z328" s="154" t="s">
        <v>66</v>
      </c>
      <c r="AA328" s="154" t="s">
        <v>66</v>
      </c>
      <c r="AB328" s="154"/>
      <c r="AC328" s="242" t="b">
        <f t="shared" si="2"/>
        <v>1</v>
      </c>
      <c r="AD328" s="154" t="s">
        <v>391</v>
      </c>
      <c r="AE328" s="243" t="b">
        <f t="shared" si="3"/>
        <v>0</v>
      </c>
      <c r="AF328" s="154"/>
      <c r="AG328" s="243" t="b">
        <f t="shared" si="4"/>
        <v>0</v>
      </c>
      <c r="AH328" s="154" t="s">
        <v>637</v>
      </c>
      <c r="AI328" s="243" t="str">
        <f t="shared" si="5"/>
        <v>Complies</v>
      </c>
      <c r="AJ328" s="157" t="str">
        <f t="shared" si="6"/>
        <v/>
      </c>
    </row>
    <row r="329" ht="12.75" customHeight="1">
      <c r="A329" s="244" t="s">
        <v>621</v>
      </c>
      <c r="B329" s="244" t="s">
        <v>942</v>
      </c>
      <c r="C329" s="244" t="s">
        <v>1237</v>
      </c>
      <c r="D329" s="154" t="s">
        <v>642</v>
      </c>
      <c r="E329" s="250"/>
      <c r="F329" s="154" t="str">
        <f t="array" ref="F329">XLOOKUP(Cover!$D$12,$S$1:$AA$1,$S329:$AA329)</f>
        <v>Information</v>
      </c>
      <c r="G329" s="154" t="s">
        <v>1238</v>
      </c>
      <c r="H329" s="154"/>
      <c r="I329" s="154" t="s">
        <v>389</v>
      </c>
      <c r="J329" s="247" t="s">
        <v>516</v>
      </c>
      <c r="K329" s="247" t="s">
        <v>1162</v>
      </c>
      <c r="L329" s="154" t="str">
        <f t="shared" si="1"/>
        <v/>
      </c>
      <c r="M329" s="248" t="str">
        <f>IFERROR(__xludf.DUMMYFUNCTION("VLOOKUP(C329,IMPORTRANGE(""https://docs.google.com/spreadsheets/d/1P8eX0NWBhUPS_hvzA11R6jkTNFrPrRYIx_dX_hYbxrk/edit?resourcekey=0-iw9bsKY2OqkUHCFMkCar3A&amp;gid=2055363397#gid=2055363397"",""MTR!C:O""),11,false)"),"PMW-MCE-AS")</f>
        <v>PMW-MCE-AS</v>
      </c>
      <c r="N329" s="248" t="str">
        <f>IFERROR(__xludf.DUMMYFUNCTION("VLOOKUP(C329,IMPORTRANGE(""https://docs.google.com/spreadsheets/d/1ihFlp3_ePlYtFuPbUNbYj1muErVpI73WHXbEwJDIA7Q/edit#gid=1493122344"",""MTR!C:O""),8,false)"),"Does Not Comply")</f>
        <v>Does Not Comply</v>
      </c>
      <c r="O329" s="241" t="str">
        <f>IFERROR(__xludf.DUMMYFUNCTION("VLOOKUP(C329,IMPORTRANGE(""https://docs.google.com/spreadsheets/d/1P8eX0NWBhUPS_hvzA11R6jkTNFrPrRYIx_dX_hYbxrk/edit?resourcekey=0-iw9bsKY2OqkUHCFMkCar3A&amp;gid=2055363397#gid=2055363397"",""MTR!C:O""),9,false)"),"")</f>
        <v/>
      </c>
      <c r="P329" s="241"/>
      <c r="Q329" s="251" t="s">
        <v>516</v>
      </c>
      <c r="R329" s="251" t="s">
        <v>1162</v>
      </c>
      <c r="S329" s="154" t="s">
        <v>66</v>
      </c>
      <c r="T329" s="154" t="s">
        <v>66</v>
      </c>
      <c r="U329" s="154" t="s">
        <v>66</v>
      </c>
      <c r="V329" s="154" t="s">
        <v>66</v>
      </c>
      <c r="W329" s="154" t="s">
        <v>66</v>
      </c>
      <c r="X329" s="154" t="s">
        <v>66</v>
      </c>
      <c r="Y329" s="154" t="s">
        <v>66</v>
      </c>
      <c r="Z329" s="154" t="s">
        <v>66</v>
      </c>
      <c r="AA329" s="154" t="s">
        <v>66</v>
      </c>
      <c r="AB329" s="154"/>
      <c r="AC329" s="242" t="b">
        <f t="shared" si="2"/>
        <v>1</v>
      </c>
      <c r="AD329" s="154" t="s">
        <v>391</v>
      </c>
      <c r="AE329" s="243" t="b">
        <f t="shared" si="3"/>
        <v>0</v>
      </c>
      <c r="AF329" s="154"/>
      <c r="AG329" s="243" t="b">
        <f t="shared" si="4"/>
        <v>0</v>
      </c>
      <c r="AH329" s="154"/>
      <c r="AI329" s="243" t="str">
        <f t="shared" si="5"/>
        <v>N/A</v>
      </c>
      <c r="AJ329" s="157" t="str">
        <f t="shared" si="6"/>
        <v/>
      </c>
    </row>
    <row r="330" ht="12.75" customHeight="1">
      <c r="A330" s="244" t="s">
        <v>621</v>
      </c>
      <c r="B330" s="244" t="s">
        <v>942</v>
      </c>
      <c r="C330" s="244" t="s">
        <v>1239</v>
      </c>
      <c r="D330" s="154" t="s">
        <v>642</v>
      </c>
      <c r="E330" s="250"/>
      <c r="F330" s="154" t="str">
        <f t="array" ref="F330">XLOOKUP(Cover!$D$12,$S$1:$AA$1,$S330:$AA330)</f>
        <v>Recommended</v>
      </c>
      <c r="G330" s="154" t="s">
        <v>1240</v>
      </c>
      <c r="H330" s="154"/>
      <c r="I330" s="154" t="s">
        <v>389</v>
      </c>
      <c r="J330" s="247" t="s">
        <v>445</v>
      </c>
      <c r="K330" s="154"/>
      <c r="L330" s="154" t="str">
        <f t="shared" si="1"/>
        <v/>
      </c>
      <c r="M330" s="248" t="str">
        <f>IFERROR(__xludf.DUMMYFUNCTION("VLOOKUP(C330,IMPORTRANGE(""https://docs.google.com/spreadsheets/d/1P8eX0NWBhUPS_hvzA11R6jkTNFrPrRYIx_dX_hYbxrk/edit?resourcekey=0-iw9bsKY2OqkUHCFMkCar3A&amp;gid=2055363397#gid=2055363397"",""MTR!C:O""),11,false)"),"PMW-MCE-AS")</f>
        <v>PMW-MCE-AS</v>
      </c>
      <c r="N330" s="248" t="str">
        <f>IFERROR(__xludf.DUMMYFUNCTION("VLOOKUP(C330,IMPORTRANGE(""https://docs.google.com/spreadsheets/d/1ihFlp3_ePlYtFuPbUNbYj1muErVpI73WHXbEwJDIA7Q/edit#gid=1493122344"",""MTR!C:O""),8,false)"),"Complies")</f>
        <v>Complies</v>
      </c>
      <c r="O330" s="241" t="str">
        <f>IFERROR(__xludf.DUMMYFUNCTION("VLOOKUP(C330,IMPORTRANGE(""https://docs.google.com/spreadsheets/d/1P8eX0NWBhUPS_hvzA11R6jkTNFrPrRYIx_dX_hYbxrk/edit?resourcekey=0-iw9bsKY2OqkUHCFMkCar3A&amp;gid=2055363397#gid=2055363397"",""MTR!C:O""),9,false)"),"")</f>
        <v/>
      </c>
      <c r="P330" s="241"/>
      <c r="Q330" s="251" t="s">
        <v>445</v>
      </c>
      <c r="R330" s="241"/>
      <c r="S330" s="154" t="s">
        <v>64</v>
      </c>
      <c r="T330" s="154" t="s">
        <v>66</v>
      </c>
      <c r="U330" s="154" t="s">
        <v>64</v>
      </c>
      <c r="V330" s="154" t="s">
        <v>64</v>
      </c>
      <c r="W330" s="154" t="s">
        <v>64</v>
      </c>
      <c r="X330" s="154" t="s">
        <v>64</v>
      </c>
      <c r="Y330" s="154" t="s">
        <v>66</v>
      </c>
      <c r="Z330" s="154" t="s">
        <v>64</v>
      </c>
      <c r="AA330" s="154" t="s">
        <v>64</v>
      </c>
      <c r="AB330" s="154"/>
      <c r="AC330" s="242" t="b">
        <f t="shared" si="2"/>
        <v>1</v>
      </c>
      <c r="AD330" s="154" t="s">
        <v>391</v>
      </c>
      <c r="AE330" s="243" t="b">
        <f t="shared" si="3"/>
        <v>0</v>
      </c>
      <c r="AF330" s="154"/>
      <c r="AG330" s="243" t="b">
        <f t="shared" si="4"/>
        <v>0</v>
      </c>
      <c r="AH330" s="154"/>
      <c r="AI330" s="243" t="str">
        <f t="shared" si="5"/>
        <v>N/A</v>
      </c>
      <c r="AJ330" s="157" t="str">
        <f t="shared" si="6"/>
        <v/>
      </c>
    </row>
    <row r="331" ht="12.75" customHeight="1">
      <c r="A331" s="244" t="s">
        <v>621</v>
      </c>
      <c r="B331" s="244" t="s">
        <v>942</v>
      </c>
      <c r="C331" s="244" t="s">
        <v>1241</v>
      </c>
      <c r="D331" s="154" t="s">
        <v>642</v>
      </c>
      <c r="E331" s="250"/>
      <c r="F331" s="154" t="str">
        <f t="array" ref="F331">XLOOKUP(Cover!$D$12,$S$1:$AA$1,$S331:$AA331)</f>
        <v>Information</v>
      </c>
      <c r="G331" s="153" t="s">
        <v>1242</v>
      </c>
      <c r="H331" s="154"/>
      <c r="I331" s="154" t="s">
        <v>389</v>
      </c>
      <c r="J331" s="247" t="s">
        <v>516</v>
      </c>
      <c r="K331" s="247" t="s">
        <v>1162</v>
      </c>
      <c r="L331" s="154" t="str">
        <f t="shared" si="1"/>
        <v/>
      </c>
      <c r="M331" s="248" t="str">
        <f>IFERROR(__xludf.DUMMYFUNCTION("VLOOKUP(C331,IMPORTRANGE(""https://docs.google.com/spreadsheets/d/1P8eX0NWBhUPS_hvzA11R6jkTNFrPrRYIx_dX_hYbxrk/edit?resourcekey=0-iw9bsKY2OqkUHCFMkCar3A&amp;gid=2055363397#gid=2055363397"",""MTR!C:O""),11,false)"),"PMW-MCE-AS")</f>
        <v>PMW-MCE-AS</v>
      </c>
      <c r="N331" s="248" t="str">
        <f>IFERROR(__xludf.DUMMYFUNCTION("VLOOKUP(C331,IMPORTRANGE(""https://docs.google.com/spreadsheets/d/1ihFlp3_ePlYtFuPbUNbYj1muErVpI73WHXbEwJDIA7Q/edit#gid=1493122344"",""MTR!C:O""),8,false)"),"Does Not Comply")</f>
        <v>Does Not Comply</v>
      </c>
      <c r="O331" s="241" t="str">
        <f>IFERROR(__xludf.DUMMYFUNCTION("VLOOKUP(C331,IMPORTRANGE(""https://docs.google.com/spreadsheets/d/1P8eX0NWBhUPS_hvzA11R6jkTNFrPrRYIx_dX_hYbxrk/edit?resourcekey=0-iw9bsKY2OqkUHCFMkCar3A&amp;gid=2055363397#gid=2055363397"",""MTR!C:O""),9,false)"),"")</f>
        <v/>
      </c>
      <c r="P331" s="241"/>
      <c r="Q331" s="251" t="s">
        <v>516</v>
      </c>
      <c r="R331" s="251" t="s">
        <v>1162</v>
      </c>
      <c r="S331" s="154" t="s">
        <v>66</v>
      </c>
      <c r="T331" s="154" t="s">
        <v>66</v>
      </c>
      <c r="U331" s="154" t="s">
        <v>66</v>
      </c>
      <c r="V331" s="154" t="s">
        <v>66</v>
      </c>
      <c r="W331" s="154" t="s">
        <v>66</v>
      </c>
      <c r="X331" s="154" t="s">
        <v>66</v>
      </c>
      <c r="Y331" s="154" t="s">
        <v>66</v>
      </c>
      <c r="Z331" s="154" t="s">
        <v>66</v>
      </c>
      <c r="AA331" s="154" t="s">
        <v>66</v>
      </c>
      <c r="AB331" s="154"/>
      <c r="AC331" s="242" t="b">
        <f t="shared" si="2"/>
        <v>1</v>
      </c>
      <c r="AD331" s="154" t="s">
        <v>391</v>
      </c>
      <c r="AE331" s="243" t="b">
        <f t="shared" si="3"/>
        <v>0</v>
      </c>
      <c r="AF331" s="154"/>
      <c r="AG331" s="243" t="b">
        <f t="shared" si="4"/>
        <v>0</v>
      </c>
      <c r="AH331" s="154"/>
      <c r="AI331" s="243" t="str">
        <f t="shared" si="5"/>
        <v>N/A</v>
      </c>
      <c r="AJ331" s="157" t="str">
        <f t="shared" si="6"/>
        <v/>
      </c>
    </row>
    <row r="332" ht="12.75" customHeight="1">
      <c r="A332" s="244" t="s">
        <v>621</v>
      </c>
      <c r="B332" s="244" t="s">
        <v>942</v>
      </c>
      <c r="C332" s="244" t="s">
        <v>1243</v>
      </c>
      <c r="D332" s="154" t="s">
        <v>642</v>
      </c>
      <c r="E332" s="250"/>
      <c r="F332" s="154" t="str">
        <f t="array" ref="F332">XLOOKUP(Cover!$D$12,$S$1:$AA$1,$S332:$AA332)</f>
        <v>Information</v>
      </c>
      <c r="G332" s="154" t="s">
        <v>1244</v>
      </c>
      <c r="H332" s="154"/>
      <c r="I332" s="154" t="s">
        <v>389</v>
      </c>
      <c r="J332" s="247" t="s">
        <v>445</v>
      </c>
      <c r="K332" s="154"/>
      <c r="L332" s="154" t="str">
        <f t="shared" si="1"/>
        <v/>
      </c>
      <c r="M332" s="248" t="str">
        <f>IFERROR(__xludf.DUMMYFUNCTION("VLOOKUP(C332,IMPORTRANGE(""https://docs.google.com/spreadsheets/d/1P8eX0NWBhUPS_hvzA11R6jkTNFrPrRYIx_dX_hYbxrk/edit?resourcekey=0-iw9bsKY2OqkUHCFMkCar3A&amp;gid=2055363397#gid=2055363397"",""MTR!C:O""),11,false)"),"PMW-MCE-AS")</f>
        <v>PMW-MCE-AS</v>
      </c>
      <c r="N332" s="248" t="str">
        <f>IFERROR(__xludf.DUMMYFUNCTION("VLOOKUP(C332,IMPORTRANGE(""https://docs.google.com/spreadsheets/d/1ihFlp3_ePlYtFuPbUNbYj1muErVpI73WHXbEwJDIA7Q/edit#gid=1493122344"",""MTR!C:O""),8,false)"),"Complies")</f>
        <v>Complies</v>
      </c>
      <c r="O332" s="241" t="str">
        <f>IFERROR(__xludf.DUMMYFUNCTION("VLOOKUP(C332,IMPORTRANGE(""https://docs.google.com/spreadsheets/d/1P8eX0NWBhUPS_hvzA11R6jkTNFrPrRYIx_dX_hYbxrk/edit?resourcekey=0-iw9bsKY2OqkUHCFMkCar3A&amp;gid=2055363397#gid=2055363397"",""MTR!C:O""),9,false)"),"")</f>
        <v/>
      </c>
      <c r="P332" s="241"/>
      <c r="Q332" s="251" t="s">
        <v>445</v>
      </c>
      <c r="R332" s="241"/>
      <c r="S332" s="154" t="s">
        <v>66</v>
      </c>
      <c r="T332" s="154" t="s">
        <v>66</v>
      </c>
      <c r="U332" s="154" t="s">
        <v>66</v>
      </c>
      <c r="V332" s="154" t="s">
        <v>66</v>
      </c>
      <c r="W332" s="154" t="s">
        <v>66</v>
      </c>
      <c r="X332" s="154" t="s">
        <v>66</v>
      </c>
      <c r="Y332" s="154" t="s">
        <v>66</v>
      </c>
      <c r="Z332" s="154" t="s">
        <v>66</v>
      </c>
      <c r="AA332" s="154" t="s">
        <v>66</v>
      </c>
      <c r="AB332" s="154"/>
      <c r="AC332" s="242" t="b">
        <f t="shared" si="2"/>
        <v>1</v>
      </c>
      <c r="AD332" s="154" t="s">
        <v>391</v>
      </c>
      <c r="AE332" s="243" t="b">
        <f t="shared" si="3"/>
        <v>0</v>
      </c>
      <c r="AF332" s="154"/>
      <c r="AG332" s="243" t="b">
        <f t="shared" si="4"/>
        <v>0</v>
      </c>
      <c r="AH332" s="154"/>
      <c r="AI332" s="243" t="str">
        <f t="shared" si="5"/>
        <v>N/A</v>
      </c>
      <c r="AJ332" s="157" t="str">
        <f t="shared" si="6"/>
        <v/>
      </c>
    </row>
    <row r="333" ht="12.75" customHeight="1">
      <c r="A333" s="244" t="s">
        <v>621</v>
      </c>
      <c r="B333" s="244" t="s">
        <v>942</v>
      </c>
      <c r="C333" s="244" t="s">
        <v>1245</v>
      </c>
      <c r="D333" s="154" t="s">
        <v>642</v>
      </c>
      <c r="E333" s="250"/>
      <c r="F333" s="154" t="str">
        <f t="array" ref="F333">XLOOKUP(Cover!$D$12,$S$1:$AA$1,$S333:$AA333)</f>
        <v>Information</v>
      </c>
      <c r="G333" s="154" t="s">
        <v>1246</v>
      </c>
      <c r="H333" s="154"/>
      <c r="I333" s="154" t="s">
        <v>389</v>
      </c>
      <c r="J333" s="247" t="s">
        <v>516</v>
      </c>
      <c r="K333" s="247" t="s">
        <v>1247</v>
      </c>
      <c r="L333" s="154" t="str">
        <f t="shared" si="1"/>
        <v/>
      </c>
      <c r="M333" s="248" t="str">
        <f>IFERROR(__xludf.DUMMYFUNCTION("VLOOKUP(C333,IMPORTRANGE(""https://docs.google.com/spreadsheets/d/1P8eX0NWBhUPS_hvzA11R6jkTNFrPrRYIx_dX_hYbxrk/edit?resourcekey=0-iw9bsKY2OqkUHCFMkCar3A&amp;gid=2055363397#gid=2055363397"",""MTR!C:O""),11,false)"),"PMW-MCE-AS")</f>
        <v>PMW-MCE-AS</v>
      </c>
      <c r="N333" s="248" t="str">
        <f>IFERROR(__xludf.DUMMYFUNCTION("VLOOKUP(C333,IMPORTRANGE(""https://docs.google.com/spreadsheets/d/1ihFlp3_ePlYtFuPbUNbYj1muErVpI73WHXbEwJDIA7Q/edit#gid=1493122344"",""MTR!C:O""),8,false)"),"Does Not Comply")</f>
        <v>Does Not Comply</v>
      </c>
      <c r="O333" s="241" t="str">
        <f>IFERROR(__xludf.DUMMYFUNCTION("VLOOKUP(C333,IMPORTRANGE(""https://docs.google.com/spreadsheets/d/1P8eX0NWBhUPS_hvzA11R6jkTNFrPrRYIx_dX_hYbxrk/edit?resourcekey=0-iw9bsKY2OqkUHCFMkCar3A&amp;gid=2055363397#gid=2055363397"",""MTR!C:O""),9,false)"),"")</f>
        <v/>
      </c>
      <c r="P333" s="241"/>
      <c r="Q333" s="251" t="s">
        <v>516</v>
      </c>
      <c r="R333" s="251" t="s">
        <v>1247</v>
      </c>
      <c r="S333" s="154" t="s">
        <v>66</v>
      </c>
      <c r="T333" s="154" t="s">
        <v>66</v>
      </c>
      <c r="U333" s="154" t="s">
        <v>66</v>
      </c>
      <c r="V333" s="154" t="s">
        <v>66</v>
      </c>
      <c r="W333" s="154" t="s">
        <v>66</v>
      </c>
      <c r="X333" s="154" t="s">
        <v>66</v>
      </c>
      <c r="Y333" s="154" t="s">
        <v>66</v>
      </c>
      <c r="Z333" s="154" t="s">
        <v>66</v>
      </c>
      <c r="AA333" s="154" t="s">
        <v>66</v>
      </c>
      <c r="AB333" s="154"/>
      <c r="AC333" s="242" t="b">
        <f t="shared" si="2"/>
        <v>1</v>
      </c>
      <c r="AD333" s="154" t="s">
        <v>391</v>
      </c>
      <c r="AE333" s="243" t="b">
        <f t="shared" si="3"/>
        <v>0</v>
      </c>
      <c r="AF333" s="154"/>
      <c r="AG333" s="243" t="b">
        <f t="shared" si="4"/>
        <v>0</v>
      </c>
      <c r="AH333" s="154"/>
      <c r="AI333" s="243" t="str">
        <f t="shared" si="5"/>
        <v>N/A</v>
      </c>
      <c r="AJ333" s="157" t="str">
        <f t="shared" si="6"/>
        <v/>
      </c>
    </row>
    <row r="334" ht="12.75" customHeight="1">
      <c r="A334" s="244" t="s">
        <v>621</v>
      </c>
      <c r="B334" s="244" t="s">
        <v>942</v>
      </c>
      <c r="C334" s="244" t="s">
        <v>1248</v>
      </c>
      <c r="D334" s="154" t="s">
        <v>642</v>
      </c>
      <c r="E334" s="250"/>
      <c r="F334" s="154" t="str">
        <f t="array" ref="F334">XLOOKUP(Cover!$D$12,$S$1:$AA$1,$S334:$AA334)</f>
        <v>Information</v>
      </c>
      <c r="G334" s="154" t="s">
        <v>1249</v>
      </c>
      <c r="H334" s="154"/>
      <c r="I334" s="154" t="s">
        <v>389</v>
      </c>
      <c r="J334" s="247" t="s">
        <v>445</v>
      </c>
      <c r="K334" s="154"/>
      <c r="L334" s="154" t="str">
        <f t="shared" si="1"/>
        <v/>
      </c>
      <c r="M334" s="248" t="str">
        <f>IFERROR(__xludf.DUMMYFUNCTION("VLOOKUP(C334,IMPORTRANGE(""https://docs.google.com/spreadsheets/d/1P8eX0NWBhUPS_hvzA11R6jkTNFrPrRYIx_dX_hYbxrk/edit?resourcekey=0-iw9bsKY2OqkUHCFMkCar3A&amp;gid=2055363397#gid=2055363397"",""MTR!C:O""),11,false)"),"PMW-MCE-AS")</f>
        <v>PMW-MCE-AS</v>
      </c>
      <c r="N334" s="248" t="str">
        <f>IFERROR(__xludf.DUMMYFUNCTION("VLOOKUP(C334,IMPORTRANGE(""https://docs.google.com/spreadsheets/d/1ihFlp3_ePlYtFuPbUNbYj1muErVpI73WHXbEwJDIA7Q/edit#gid=1493122344"",""MTR!C:O""),8,false)"),"Complies")</f>
        <v>Complies</v>
      </c>
      <c r="O334" s="241" t="str">
        <f>IFERROR(__xludf.DUMMYFUNCTION("VLOOKUP(C334,IMPORTRANGE(""https://docs.google.com/spreadsheets/d/1P8eX0NWBhUPS_hvzA11R6jkTNFrPrRYIx_dX_hYbxrk/edit?resourcekey=0-iw9bsKY2OqkUHCFMkCar3A&amp;gid=2055363397#gid=2055363397"",""MTR!C:O""),9,false)"),"")</f>
        <v/>
      </c>
      <c r="P334" s="241"/>
      <c r="Q334" s="251" t="s">
        <v>445</v>
      </c>
      <c r="R334" s="241"/>
      <c r="S334" s="154" t="s">
        <v>66</v>
      </c>
      <c r="T334" s="154" t="s">
        <v>66</v>
      </c>
      <c r="U334" s="154" t="s">
        <v>66</v>
      </c>
      <c r="V334" s="154" t="s">
        <v>66</v>
      </c>
      <c r="W334" s="154" t="s">
        <v>66</v>
      </c>
      <c r="X334" s="154" t="s">
        <v>66</v>
      </c>
      <c r="Y334" s="154" t="s">
        <v>66</v>
      </c>
      <c r="Z334" s="154" t="s">
        <v>66</v>
      </c>
      <c r="AA334" s="154" t="s">
        <v>66</v>
      </c>
      <c r="AB334" s="154"/>
      <c r="AC334" s="242" t="b">
        <f t="shared" si="2"/>
        <v>1</v>
      </c>
      <c r="AD334" s="154" t="s">
        <v>391</v>
      </c>
      <c r="AE334" s="243" t="b">
        <f t="shared" si="3"/>
        <v>0</v>
      </c>
      <c r="AF334" s="154"/>
      <c r="AG334" s="243" t="b">
        <f t="shared" si="4"/>
        <v>0</v>
      </c>
      <c r="AH334" s="154"/>
      <c r="AI334" s="243" t="str">
        <f t="shared" si="5"/>
        <v>N/A</v>
      </c>
      <c r="AJ334" s="157" t="str">
        <f t="shared" si="6"/>
        <v/>
      </c>
    </row>
    <row r="335" ht="12.75" customHeight="1">
      <c r="A335" s="244" t="s">
        <v>621</v>
      </c>
      <c r="B335" s="244" t="s">
        <v>942</v>
      </c>
      <c r="C335" s="244" t="s">
        <v>1250</v>
      </c>
      <c r="D335" s="154" t="s">
        <v>642</v>
      </c>
      <c r="E335" s="250"/>
      <c r="F335" s="154" t="str">
        <f t="array" ref="F335">XLOOKUP(Cover!$D$12,$S$1:$AA$1,$S335:$AA335)</f>
        <v>Information</v>
      </c>
      <c r="G335" s="154" t="s">
        <v>1251</v>
      </c>
      <c r="H335" s="154"/>
      <c r="I335" s="154" t="s">
        <v>389</v>
      </c>
      <c r="J335" s="247" t="s">
        <v>516</v>
      </c>
      <c r="K335" s="247" t="s">
        <v>1247</v>
      </c>
      <c r="L335" s="154" t="str">
        <f t="shared" si="1"/>
        <v/>
      </c>
      <c r="M335" s="248" t="str">
        <f>IFERROR(__xludf.DUMMYFUNCTION("VLOOKUP(C335,IMPORTRANGE(""https://docs.google.com/spreadsheets/d/1P8eX0NWBhUPS_hvzA11R6jkTNFrPrRYIx_dX_hYbxrk/edit?resourcekey=0-iw9bsKY2OqkUHCFMkCar3A&amp;gid=2055363397#gid=2055363397"",""MTR!C:O""),11,false)"),"PMW-MCE-AS")</f>
        <v>PMW-MCE-AS</v>
      </c>
      <c r="N335" s="248" t="str">
        <f>IFERROR(__xludf.DUMMYFUNCTION("VLOOKUP(C335,IMPORTRANGE(""https://docs.google.com/spreadsheets/d/1ihFlp3_ePlYtFuPbUNbYj1muErVpI73WHXbEwJDIA7Q/edit#gid=1493122344"",""MTR!C:O""),8,false)"),"Does Not Comply")</f>
        <v>Does Not Comply</v>
      </c>
      <c r="O335" s="241" t="str">
        <f>IFERROR(__xludf.DUMMYFUNCTION("VLOOKUP(C335,IMPORTRANGE(""https://docs.google.com/spreadsheets/d/1P8eX0NWBhUPS_hvzA11R6jkTNFrPrRYIx_dX_hYbxrk/edit?resourcekey=0-iw9bsKY2OqkUHCFMkCar3A&amp;gid=2055363397#gid=2055363397"",""MTR!C:O""),9,false)"),"")</f>
        <v/>
      </c>
      <c r="P335" s="241"/>
      <c r="Q335" s="251" t="s">
        <v>516</v>
      </c>
      <c r="R335" s="251" t="s">
        <v>1247</v>
      </c>
      <c r="S335" s="154" t="s">
        <v>66</v>
      </c>
      <c r="T335" s="154" t="s">
        <v>66</v>
      </c>
      <c r="U335" s="154" t="s">
        <v>66</v>
      </c>
      <c r="V335" s="154" t="s">
        <v>66</v>
      </c>
      <c r="W335" s="154" t="s">
        <v>66</v>
      </c>
      <c r="X335" s="154" t="s">
        <v>66</v>
      </c>
      <c r="Y335" s="154" t="s">
        <v>66</v>
      </c>
      <c r="Z335" s="154" t="s">
        <v>66</v>
      </c>
      <c r="AA335" s="154" t="s">
        <v>66</v>
      </c>
      <c r="AB335" s="154"/>
      <c r="AC335" s="242" t="b">
        <f t="shared" si="2"/>
        <v>1</v>
      </c>
      <c r="AD335" s="154" t="s">
        <v>391</v>
      </c>
      <c r="AE335" s="243" t="b">
        <f t="shared" si="3"/>
        <v>0</v>
      </c>
      <c r="AF335" s="154"/>
      <c r="AG335" s="243" t="b">
        <f t="shared" si="4"/>
        <v>0</v>
      </c>
      <c r="AH335" s="154"/>
      <c r="AI335" s="243" t="str">
        <f t="shared" si="5"/>
        <v>N/A</v>
      </c>
      <c r="AJ335" s="157" t="str">
        <f t="shared" si="6"/>
        <v/>
      </c>
    </row>
    <row r="336" ht="12.75" customHeight="1">
      <c r="A336" s="244" t="s">
        <v>621</v>
      </c>
      <c r="B336" s="244" t="s">
        <v>942</v>
      </c>
      <c r="C336" s="244" t="s">
        <v>1252</v>
      </c>
      <c r="D336" s="154" t="s">
        <v>642</v>
      </c>
      <c r="E336" s="250"/>
      <c r="F336" s="154" t="str">
        <f t="array" ref="F336">XLOOKUP(Cover!$D$12,$S$1:$AA$1,$S336:$AA336)</f>
        <v>Information</v>
      </c>
      <c r="G336" s="154" t="s">
        <v>1253</v>
      </c>
      <c r="H336" s="154"/>
      <c r="I336" s="154" t="s">
        <v>389</v>
      </c>
      <c r="J336" s="247" t="s">
        <v>516</v>
      </c>
      <c r="K336" s="247" t="s">
        <v>1247</v>
      </c>
      <c r="L336" s="154" t="str">
        <f t="shared" si="1"/>
        <v/>
      </c>
      <c r="M336" s="248" t="str">
        <f>IFERROR(__xludf.DUMMYFUNCTION("VLOOKUP(C336,IMPORTRANGE(""https://docs.google.com/spreadsheets/d/1P8eX0NWBhUPS_hvzA11R6jkTNFrPrRYIx_dX_hYbxrk/edit?resourcekey=0-iw9bsKY2OqkUHCFMkCar3A&amp;gid=2055363397#gid=2055363397"",""MTR!C:O""),11,false)"),"PMW-MCE-AS")</f>
        <v>PMW-MCE-AS</v>
      </c>
      <c r="N336" s="248" t="str">
        <f>IFERROR(__xludf.DUMMYFUNCTION("VLOOKUP(C336,IMPORTRANGE(""https://docs.google.com/spreadsheets/d/1ihFlp3_ePlYtFuPbUNbYj1muErVpI73WHXbEwJDIA7Q/edit#gid=1493122344"",""MTR!C:O""),8,false)"),"Does Not Comply")</f>
        <v>Does Not Comply</v>
      </c>
      <c r="O336" s="241" t="str">
        <f>IFERROR(__xludf.DUMMYFUNCTION("VLOOKUP(C336,IMPORTRANGE(""https://docs.google.com/spreadsheets/d/1P8eX0NWBhUPS_hvzA11R6jkTNFrPrRYIx_dX_hYbxrk/edit?resourcekey=0-iw9bsKY2OqkUHCFMkCar3A&amp;gid=2055363397#gid=2055363397"",""MTR!C:O""),9,false)"),"")</f>
        <v/>
      </c>
      <c r="P336" s="241"/>
      <c r="Q336" s="251" t="s">
        <v>516</v>
      </c>
      <c r="R336" s="251" t="s">
        <v>1247</v>
      </c>
      <c r="S336" s="154" t="s">
        <v>66</v>
      </c>
      <c r="T336" s="154" t="s">
        <v>66</v>
      </c>
      <c r="U336" s="154" t="s">
        <v>66</v>
      </c>
      <c r="V336" s="154" t="s">
        <v>66</v>
      </c>
      <c r="W336" s="154" t="s">
        <v>66</v>
      </c>
      <c r="X336" s="154" t="s">
        <v>66</v>
      </c>
      <c r="Y336" s="154" t="s">
        <v>66</v>
      </c>
      <c r="Z336" s="154" t="s">
        <v>66</v>
      </c>
      <c r="AA336" s="154" t="s">
        <v>66</v>
      </c>
      <c r="AB336" s="154"/>
      <c r="AC336" s="242" t="b">
        <f t="shared" si="2"/>
        <v>1</v>
      </c>
      <c r="AD336" s="154" t="s">
        <v>391</v>
      </c>
      <c r="AE336" s="243" t="b">
        <f t="shared" si="3"/>
        <v>0</v>
      </c>
      <c r="AF336" s="154"/>
      <c r="AG336" s="243" t="b">
        <f t="shared" si="4"/>
        <v>0</v>
      </c>
      <c r="AH336" s="154"/>
      <c r="AI336" s="243" t="str">
        <f t="shared" si="5"/>
        <v>N/A</v>
      </c>
      <c r="AJ336" s="157" t="str">
        <f t="shared" si="6"/>
        <v/>
      </c>
    </row>
    <row r="337" ht="12.75" customHeight="1">
      <c r="A337" s="244" t="s">
        <v>621</v>
      </c>
      <c r="B337" s="244" t="s">
        <v>942</v>
      </c>
      <c r="C337" s="244" t="s">
        <v>1254</v>
      </c>
      <c r="D337" s="154" t="s">
        <v>642</v>
      </c>
      <c r="E337" s="250"/>
      <c r="F337" s="154" t="str">
        <f t="array" ref="F337">XLOOKUP(Cover!$D$12,$S$1:$AA$1,$S337:$AA337)</f>
        <v>Information</v>
      </c>
      <c r="G337" s="154" t="s">
        <v>1255</v>
      </c>
      <c r="H337" s="154"/>
      <c r="I337" s="154" t="s">
        <v>389</v>
      </c>
      <c r="J337" s="247" t="s">
        <v>516</v>
      </c>
      <c r="K337" s="247" t="s">
        <v>1247</v>
      </c>
      <c r="L337" s="154" t="str">
        <f t="shared" si="1"/>
        <v/>
      </c>
      <c r="M337" s="248" t="str">
        <f>IFERROR(__xludf.DUMMYFUNCTION("VLOOKUP(C337,IMPORTRANGE(""https://docs.google.com/spreadsheets/d/1P8eX0NWBhUPS_hvzA11R6jkTNFrPrRYIx_dX_hYbxrk/edit?resourcekey=0-iw9bsKY2OqkUHCFMkCar3A&amp;gid=2055363397#gid=2055363397"",""MTR!C:O""),11,false)"),"PMW-MCE-AS")</f>
        <v>PMW-MCE-AS</v>
      </c>
      <c r="N337" s="248" t="str">
        <f>IFERROR(__xludf.DUMMYFUNCTION("VLOOKUP(C337,IMPORTRANGE(""https://docs.google.com/spreadsheets/d/1ihFlp3_ePlYtFuPbUNbYj1muErVpI73WHXbEwJDIA7Q/edit#gid=1493122344"",""MTR!C:O""),8,false)"),"Does Not Comply")</f>
        <v>Does Not Comply</v>
      </c>
      <c r="O337" s="241" t="str">
        <f>IFERROR(__xludf.DUMMYFUNCTION("VLOOKUP(C337,IMPORTRANGE(""https://docs.google.com/spreadsheets/d/1P8eX0NWBhUPS_hvzA11R6jkTNFrPrRYIx_dX_hYbxrk/edit?resourcekey=0-iw9bsKY2OqkUHCFMkCar3A&amp;gid=2055363397#gid=2055363397"",""MTR!C:O""),9,false)"),"")</f>
        <v/>
      </c>
      <c r="P337" s="241"/>
      <c r="Q337" s="251" t="s">
        <v>516</v>
      </c>
      <c r="R337" s="251" t="s">
        <v>1247</v>
      </c>
      <c r="S337" s="154" t="s">
        <v>66</v>
      </c>
      <c r="T337" s="154" t="s">
        <v>66</v>
      </c>
      <c r="U337" s="154" t="s">
        <v>66</v>
      </c>
      <c r="V337" s="154" t="s">
        <v>66</v>
      </c>
      <c r="W337" s="154" t="s">
        <v>66</v>
      </c>
      <c r="X337" s="154" t="s">
        <v>66</v>
      </c>
      <c r="Y337" s="154" t="s">
        <v>66</v>
      </c>
      <c r="Z337" s="154" t="s">
        <v>66</v>
      </c>
      <c r="AA337" s="154" t="s">
        <v>66</v>
      </c>
      <c r="AB337" s="154"/>
      <c r="AC337" s="242" t="b">
        <f t="shared" si="2"/>
        <v>1</v>
      </c>
      <c r="AD337" s="154" t="s">
        <v>391</v>
      </c>
      <c r="AE337" s="243" t="b">
        <f t="shared" si="3"/>
        <v>0</v>
      </c>
      <c r="AF337" s="154"/>
      <c r="AG337" s="243" t="b">
        <f t="shared" si="4"/>
        <v>0</v>
      </c>
      <c r="AH337" s="154"/>
      <c r="AI337" s="243" t="str">
        <f t="shared" si="5"/>
        <v>N/A</v>
      </c>
      <c r="AJ337" s="157" t="str">
        <f t="shared" si="6"/>
        <v/>
      </c>
    </row>
    <row r="338" ht="12.75" customHeight="1">
      <c r="A338" s="244" t="s">
        <v>621</v>
      </c>
      <c r="B338" s="244" t="s">
        <v>942</v>
      </c>
      <c r="C338" s="244" t="s">
        <v>1256</v>
      </c>
      <c r="D338" s="154" t="s">
        <v>642</v>
      </c>
      <c r="E338" s="250"/>
      <c r="F338" s="154" t="str">
        <f t="array" ref="F338">XLOOKUP(Cover!$D$12,$S$1:$AA$1,$S338:$AA338)</f>
        <v>Mandatory</v>
      </c>
      <c r="G338" s="154" t="s">
        <v>1257</v>
      </c>
      <c r="H338" s="154" t="s">
        <v>144</v>
      </c>
      <c r="I338" s="154" t="s">
        <v>389</v>
      </c>
      <c r="J338" s="247" t="s">
        <v>445</v>
      </c>
      <c r="K338" s="154"/>
      <c r="L338" s="154" t="str">
        <f t="shared" si="1"/>
        <v/>
      </c>
      <c r="M338" s="248" t="str">
        <f>IFERROR(__xludf.DUMMYFUNCTION("VLOOKUP(C338,IMPORTRANGE(""https://docs.google.com/spreadsheets/d/1P8eX0NWBhUPS_hvzA11R6jkTNFrPrRYIx_dX_hYbxrk/edit?resourcekey=0-iw9bsKY2OqkUHCFMkCar3A&amp;gid=2055363397#gid=2055363397"",""MTR!C:O""),11,false)"),"PMW-MCE-AS")</f>
        <v>PMW-MCE-AS</v>
      </c>
      <c r="N338" s="248" t="str">
        <f>IFERROR(__xludf.DUMMYFUNCTION("VLOOKUP(C338,IMPORTRANGE(""https://docs.google.com/spreadsheets/d/1ihFlp3_ePlYtFuPbUNbYj1muErVpI73WHXbEwJDIA7Q/edit#gid=1493122344"",""MTR!C:O""),8,false)"),"Complies")</f>
        <v>Complies</v>
      </c>
      <c r="O338" s="241" t="str">
        <f>IFERROR(__xludf.DUMMYFUNCTION("VLOOKUP(C338,IMPORTRANGE(""https://docs.google.com/spreadsheets/d/1P8eX0NWBhUPS_hvzA11R6jkTNFrPrRYIx_dX_hYbxrk/edit?resourcekey=0-iw9bsKY2OqkUHCFMkCar3A&amp;gid=2055363397#gid=2055363397"",""MTR!C:O""),9,false)"),"")</f>
        <v/>
      </c>
      <c r="P338" s="241"/>
      <c r="Q338" s="251" t="s">
        <v>445</v>
      </c>
      <c r="R338" s="241"/>
      <c r="S338" s="154" t="s">
        <v>66</v>
      </c>
      <c r="T338" s="154" t="s">
        <v>66</v>
      </c>
      <c r="U338" s="154" t="s">
        <v>60</v>
      </c>
      <c r="V338" s="154" t="s">
        <v>60</v>
      </c>
      <c r="W338" s="154" t="s">
        <v>60</v>
      </c>
      <c r="X338" s="154" t="s">
        <v>60</v>
      </c>
      <c r="Y338" s="154" t="s">
        <v>66</v>
      </c>
      <c r="Z338" s="154" t="s">
        <v>60</v>
      </c>
      <c r="AA338" s="154" t="s">
        <v>60</v>
      </c>
      <c r="AB338" s="154"/>
      <c r="AC338" s="242" t="b">
        <f t="shared" si="2"/>
        <v>1</v>
      </c>
      <c r="AD338" s="154" t="s">
        <v>391</v>
      </c>
      <c r="AE338" s="243" t="b">
        <f t="shared" si="3"/>
        <v>0</v>
      </c>
      <c r="AF338" s="154"/>
      <c r="AG338" s="243" t="b">
        <f t="shared" si="4"/>
        <v>0</v>
      </c>
      <c r="AH338" s="154"/>
      <c r="AI338" s="243" t="str">
        <f t="shared" si="5"/>
        <v>N/A</v>
      </c>
      <c r="AJ338" s="157" t="str">
        <f t="shared" si="6"/>
        <v/>
      </c>
    </row>
    <row r="339" ht="12.75" customHeight="1">
      <c r="A339" s="244" t="s">
        <v>621</v>
      </c>
      <c r="B339" s="244" t="s">
        <v>942</v>
      </c>
      <c r="C339" s="244" t="s">
        <v>1258</v>
      </c>
      <c r="D339" s="154" t="s">
        <v>642</v>
      </c>
      <c r="E339" s="250"/>
      <c r="F339" s="154" t="str">
        <f t="array" ref="F339">XLOOKUP(Cover!$D$12,$S$1:$AA$1,$S339:$AA339)</f>
        <v>Information</v>
      </c>
      <c r="G339" s="154" t="s">
        <v>1259</v>
      </c>
      <c r="H339" s="154"/>
      <c r="I339" s="154" t="s">
        <v>389</v>
      </c>
      <c r="J339" s="247" t="s">
        <v>445</v>
      </c>
      <c r="K339" s="154"/>
      <c r="L339" s="154" t="str">
        <f t="shared" si="1"/>
        <v/>
      </c>
      <c r="M339" s="248" t="str">
        <f>IFERROR(__xludf.DUMMYFUNCTION("VLOOKUP(C339,IMPORTRANGE(""https://docs.google.com/spreadsheets/d/1P8eX0NWBhUPS_hvzA11R6jkTNFrPrRYIx_dX_hYbxrk/edit?resourcekey=0-iw9bsKY2OqkUHCFMkCar3A&amp;gid=2055363397#gid=2055363397"",""MTR!C:O""),11,false)"),"PMW-MCE-AS")</f>
        <v>PMW-MCE-AS</v>
      </c>
      <c r="N339" s="248" t="str">
        <f>IFERROR(__xludf.DUMMYFUNCTION("VLOOKUP(C339,IMPORTRANGE(""https://docs.google.com/spreadsheets/d/1ihFlp3_ePlYtFuPbUNbYj1muErVpI73WHXbEwJDIA7Q/edit#gid=1493122344"",""MTR!C:O""),8,false)"),"Complies")</f>
        <v>Complies</v>
      </c>
      <c r="O339" s="241" t="str">
        <f>IFERROR(__xludf.DUMMYFUNCTION("VLOOKUP(C339,IMPORTRANGE(""https://docs.google.com/spreadsheets/d/1P8eX0NWBhUPS_hvzA11R6jkTNFrPrRYIx_dX_hYbxrk/edit?resourcekey=0-iw9bsKY2OqkUHCFMkCar3A&amp;gid=2055363397#gid=2055363397"",""MTR!C:O""),9,false)"),"")</f>
        <v/>
      </c>
      <c r="P339" s="241"/>
      <c r="Q339" s="251" t="s">
        <v>445</v>
      </c>
      <c r="R339" s="241"/>
      <c r="S339" s="154" t="s">
        <v>66</v>
      </c>
      <c r="T339" s="154" t="s">
        <v>66</v>
      </c>
      <c r="U339" s="154" t="s">
        <v>66</v>
      </c>
      <c r="V339" s="154" t="s">
        <v>66</v>
      </c>
      <c r="W339" s="154" t="s">
        <v>66</v>
      </c>
      <c r="X339" s="154" t="s">
        <v>66</v>
      </c>
      <c r="Y339" s="154" t="s">
        <v>66</v>
      </c>
      <c r="Z339" s="154" t="s">
        <v>66</v>
      </c>
      <c r="AA339" s="154" t="s">
        <v>66</v>
      </c>
      <c r="AB339" s="154"/>
      <c r="AC339" s="242" t="b">
        <f t="shared" si="2"/>
        <v>1</v>
      </c>
      <c r="AD339" s="154" t="s">
        <v>391</v>
      </c>
      <c r="AE339" s="243" t="b">
        <f t="shared" si="3"/>
        <v>0</v>
      </c>
      <c r="AF339" s="154"/>
      <c r="AG339" s="243" t="b">
        <f t="shared" si="4"/>
        <v>0</v>
      </c>
      <c r="AH339" s="154"/>
      <c r="AI339" s="243" t="str">
        <f t="shared" si="5"/>
        <v>N/A</v>
      </c>
      <c r="AJ339" s="157" t="str">
        <f t="shared" si="6"/>
        <v/>
      </c>
    </row>
    <row r="340" ht="12.75" customHeight="1">
      <c r="A340" s="244" t="s">
        <v>621</v>
      </c>
      <c r="B340" s="244" t="s">
        <v>942</v>
      </c>
      <c r="C340" s="244" t="s">
        <v>1260</v>
      </c>
      <c r="D340" s="154" t="s">
        <v>642</v>
      </c>
      <c r="E340" s="250"/>
      <c r="F340" s="154" t="str">
        <f t="array" ref="F340">XLOOKUP(Cover!$D$12,$S$1:$AA$1,$S340:$AA340)</f>
        <v>Information</v>
      </c>
      <c r="G340" s="154" t="s">
        <v>1261</v>
      </c>
      <c r="H340" s="154"/>
      <c r="I340" s="154" t="s">
        <v>389</v>
      </c>
      <c r="J340" s="247" t="s">
        <v>516</v>
      </c>
      <c r="K340" s="247" t="s">
        <v>1162</v>
      </c>
      <c r="L340" s="154" t="str">
        <f t="shared" si="1"/>
        <v/>
      </c>
      <c r="M340" s="248" t="str">
        <f>IFERROR(__xludf.DUMMYFUNCTION("VLOOKUP(C340,IMPORTRANGE(""https://docs.google.com/spreadsheets/d/1P8eX0NWBhUPS_hvzA11R6jkTNFrPrRYIx_dX_hYbxrk/edit?resourcekey=0-iw9bsKY2OqkUHCFMkCar3A&amp;gid=2055363397#gid=2055363397"",""MTR!C:O""),11,false)"),"PMW-MCE-AS")</f>
        <v>PMW-MCE-AS</v>
      </c>
      <c r="N340" s="248" t="str">
        <f>IFERROR(__xludf.DUMMYFUNCTION("VLOOKUP(C340,IMPORTRANGE(""https://docs.google.com/spreadsheets/d/1ihFlp3_ePlYtFuPbUNbYj1muErVpI73WHXbEwJDIA7Q/edit#gid=1493122344"",""MTR!C:O""),8,false)"),"Does Not Comply")</f>
        <v>Does Not Comply</v>
      </c>
      <c r="O340" s="241" t="str">
        <f>IFERROR(__xludf.DUMMYFUNCTION("VLOOKUP(C340,IMPORTRANGE(""https://docs.google.com/spreadsheets/d/1P8eX0NWBhUPS_hvzA11R6jkTNFrPrRYIx_dX_hYbxrk/edit?resourcekey=0-iw9bsKY2OqkUHCFMkCar3A&amp;gid=2055363397#gid=2055363397"",""MTR!C:O""),9,false)"),"")</f>
        <v/>
      </c>
      <c r="P340" s="241"/>
      <c r="Q340" s="251" t="s">
        <v>516</v>
      </c>
      <c r="R340" s="251" t="s">
        <v>1162</v>
      </c>
      <c r="S340" s="154" t="s">
        <v>66</v>
      </c>
      <c r="T340" s="154" t="s">
        <v>66</v>
      </c>
      <c r="U340" s="154" t="s">
        <v>66</v>
      </c>
      <c r="V340" s="154" t="s">
        <v>66</v>
      </c>
      <c r="W340" s="154" t="s">
        <v>66</v>
      </c>
      <c r="X340" s="154" t="s">
        <v>66</v>
      </c>
      <c r="Y340" s="154" t="s">
        <v>66</v>
      </c>
      <c r="Z340" s="154" t="s">
        <v>66</v>
      </c>
      <c r="AA340" s="154" t="s">
        <v>66</v>
      </c>
      <c r="AB340" s="154"/>
      <c r="AC340" s="242" t="b">
        <f t="shared" si="2"/>
        <v>1</v>
      </c>
      <c r="AD340" s="154" t="s">
        <v>391</v>
      </c>
      <c r="AE340" s="243" t="b">
        <f t="shared" si="3"/>
        <v>0</v>
      </c>
      <c r="AF340" s="154"/>
      <c r="AG340" s="243" t="b">
        <f t="shared" si="4"/>
        <v>0</v>
      </c>
      <c r="AH340" s="154"/>
      <c r="AI340" s="243" t="str">
        <f t="shared" si="5"/>
        <v>N/A</v>
      </c>
      <c r="AJ340" s="157" t="str">
        <f t="shared" si="6"/>
        <v/>
      </c>
    </row>
    <row r="341" ht="12.75" customHeight="1">
      <c r="A341" s="244" t="s">
        <v>621</v>
      </c>
      <c r="B341" s="244" t="s">
        <v>942</v>
      </c>
      <c r="C341" s="244" t="s">
        <v>1262</v>
      </c>
      <c r="D341" s="154" t="s">
        <v>642</v>
      </c>
      <c r="E341" s="250"/>
      <c r="F341" s="154" t="str">
        <f t="array" ref="F341">XLOOKUP(Cover!$D$12,$S$1:$AA$1,$S341:$AA341)</f>
        <v>Information</v>
      </c>
      <c r="G341" s="153" t="s">
        <v>1263</v>
      </c>
      <c r="H341" s="154"/>
      <c r="I341" s="154" t="s">
        <v>389</v>
      </c>
      <c r="J341" s="247" t="s">
        <v>445</v>
      </c>
      <c r="K341" s="154"/>
      <c r="L341" s="154" t="str">
        <f t="shared" si="1"/>
        <v/>
      </c>
      <c r="M341" s="248" t="str">
        <f>IFERROR(__xludf.DUMMYFUNCTION("VLOOKUP(C341,IMPORTRANGE(""https://docs.google.com/spreadsheets/d/1P8eX0NWBhUPS_hvzA11R6jkTNFrPrRYIx_dX_hYbxrk/edit?resourcekey=0-iw9bsKY2OqkUHCFMkCar3A&amp;gid=2055363397#gid=2055363397"",""MTR!C:O""),11,false)"),"PMW-MCE-AS")</f>
        <v>PMW-MCE-AS</v>
      </c>
      <c r="N341" s="248" t="str">
        <f>IFERROR(__xludf.DUMMYFUNCTION("VLOOKUP(C341,IMPORTRANGE(""https://docs.google.com/spreadsheets/d/1ihFlp3_ePlYtFuPbUNbYj1muErVpI73WHXbEwJDIA7Q/edit#gid=1493122344"",""MTR!C:O""),8,false)"),"Complies")</f>
        <v>Complies</v>
      </c>
      <c r="O341" s="241" t="str">
        <f>IFERROR(__xludf.DUMMYFUNCTION("VLOOKUP(C341,IMPORTRANGE(""https://docs.google.com/spreadsheets/d/1P8eX0NWBhUPS_hvzA11R6jkTNFrPrRYIx_dX_hYbxrk/edit?resourcekey=0-iw9bsKY2OqkUHCFMkCar3A&amp;gid=2055363397#gid=2055363397"",""MTR!C:O""),9,false)"),"")</f>
        <v/>
      </c>
      <c r="P341" s="241"/>
      <c r="Q341" s="251" t="s">
        <v>445</v>
      </c>
      <c r="R341" s="241"/>
      <c r="S341" s="154" t="s">
        <v>66</v>
      </c>
      <c r="T341" s="154" t="s">
        <v>66</v>
      </c>
      <c r="U341" s="154" t="s">
        <v>66</v>
      </c>
      <c r="V341" s="154" t="s">
        <v>66</v>
      </c>
      <c r="W341" s="154" t="s">
        <v>66</v>
      </c>
      <c r="X341" s="154" t="s">
        <v>66</v>
      </c>
      <c r="Y341" s="154" t="s">
        <v>66</v>
      </c>
      <c r="Z341" s="154" t="s">
        <v>66</v>
      </c>
      <c r="AA341" s="154" t="s">
        <v>66</v>
      </c>
      <c r="AB341" s="154"/>
      <c r="AC341" s="242" t="b">
        <f t="shared" si="2"/>
        <v>1</v>
      </c>
      <c r="AD341" s="154" t="s">
        <v>391</v>
      </c>
      <c r="AE341" s="243" t="b">
        <f t="shared" si="3"/>
        <v>0</v>
      </c>
      <c r="AF341" s="154"/>
      <c r="AG341" s="243" t="b">
        <f t="shared" si="4"/>
        <v>0</v>
      </c>
      <c r="AH341" s="154" t="s">
        <v>637</v>
      </c>
      <c r="AI341" s="243" t="str">
        <f t="shared" si="5"/>
        <v>Complies</v>
      </c>
      <c r="AJ341" s="157" t="str">
        <f t="shared" si="6"/>
        <v/>
      </c>
    </row>
    <row r="342" ht="12.75" customHeight="1">
      <c r="A342" s="244" t="s">
        <v>621</v>
      </c>
      <c r="B342" s="244" t="s">
        <v>942</v>
      </c>
      <c r="C342" s="244" t="s">
        <v>1264</v>
      </c>
      <c r="D342" s="154" t="s">
        <v>642</v>
      </c>
      <c r="E342" s="250"/>
      <c r="F342" s="154" t="str">
        <f t="array" ref="F342">XLOOKUP(Cover!$D$12,$S$1:$AA$1,$S342:$AA342)</f>
        <v>Information</v>
      </c>
      <c r="G342" s="154" t="s">
        <v>1265</v>
      </c>
      <c r="H342" s="154"/>
      <c r="I342" s="154" t="s">
        <v>389</v>
      </c>
      <c r="J342" s="247" t="s">
        <v>516</v>
      </c>
      <c r="K342" s="247" t="s">
        <v>1162</v>
      </c>
      <c r="L342" s="154" t="str">
        <f t="shared" si="1"/>
        <v/>
      </c>
      <c r="M342" s="248" t="str">
        <f>IFERROR(__xludf.DUMMYFUNCTION("VLOOKUP(C342,IMPORTRANGE(""https://docs.google.com/spreadsheets/d/1P8eX0NWBhUPS_hvzA11R6jkTNFrPrRYIx_dX_hYbxrk/edit?resourcekey=0-iw9bsKY2OqkUHCFMkCar3A&amp;gid=2055363397#gid=2055363397"",""MTR!C:O""),11,false)"),"PMW-MCE-AS")</f>
        <v>PMW-MCE-AS</v>
      </c>
      <c r="N342" s="248" t="str">
        <f>IFERROR(__xludf.DUMMYFUNCTION("VLOOKUP(C342,IMPORTRANGE(""https://docs.google.com/spreadsheets/d/1ihFlp3_ePlYtFuPbUNbYj1muErVpI73WHXbEwJDIA7Q/edit#gid=1493122344"",""MTR!C:O""),8,false)"),"Does Not Comply")</f>
        <v>Does Not Comply</v>
      </c>
      <c r="O342" s="241" t="str">
        <f>IFERROR(__xludf.DUMMYFUNCTION("VLOOKUP(C342,IMPORTRANGE(""https://docs.google.com/spreadsheets/d/1P8eX0NWBhUPS_hvzA11R6jkTNFrPrRYIx_dX_hYbxrk/edit?resourcekey=0-iw9bsKY2OqkUHCFMkCar3A&amp;gid=2055363397#gid=2055363397"",""MTR!C:O""),9,false)"),"")</f>
        <v/>
      </c>
      <c r="P342" s="241"/>
      <c r="Q342" s="251" t="s">
        <v>516</v>
      </c>
      <c r="R342" s="251" t="s">
        <v>1162</v>
      </c>
      <c r="S342" s="154" t="s">
        <v>66</v>
      </c>
      <c r="T342" s="154" t="s">
        <v>66</v>
      </c>
      <c r="U342" s="154" t="s">
        <v>66</v>
      </c>
      <c r="V342" s="154" t="s">
        <v>66</v>
      </c>
      <c r="W342" s="154" t="s">
        <v>66</v>
      </c>
      <c r="X342" s="154" t="s">
        <v>66</v>
      </c>
      <c r="Y342" s="154" t="s">
        <v>66</v>
      </c>
      <c r="Z342" s="154" t="s">
        <v>66</v>
      </c>
      <c r="AA342" s="154" t="s">
        <v>66</v>
      </c>
      <c r="AB342" s="154"/>
      <c r="AC342" s="242" t="b">
        <f t="shared" si="2"/>
        <v>1</v>
      </c>
      <c r="AD342" s="154" t="s">
        <v>391</v>
      </c>
      <c r="AE342" s="243" t="b">
        <f t="shared" si="3"/>
        <v>0</v>
      </c>
      <c r="AF342" s="154"/>
      <c r="AG342" s="243" t="b">
        <f t="shared" si="4"/>
        <v>0</v>
      </c>
      <c r="AH342" s="154"/>
      <c r="AI342" s="243" t="str">
        <f t="shared" si="5"/>
        <v>N/A</v>
      </c>
      <c r="AJ342" s="157" t="str">
        <f t="shared" si="6"/>
        <v/>
      </c>
    </row>
    <row r="343" ht="12.75" customHeight="1">
      <c r="A343" s="244" t="s">
        <v>621</v>
      </c>
      <c r="B343" s="244" t="s">
        <v>942</v>
      </c>
      <c r="C343" s="244" t="s">
        <v>1266</v>
      </c>
      <c r="D343" s="154" t="s">
        <v>642</v>
      </c>
      <c r="E343" s="250"/>
      <c r="F343" s="154" t="str">
        <f t="array" ref="F343">XLOOKUP(Cover!$D$12,$S$1:$AA$1,$S343:$AA343)</f>
        <v>Information</v>
      </c>
      <c r="G343" s="154" t="s">
        <v>1267</v>
      </c>
      <c r="H343" s="154"/>
      <c r="I343" s="154" t="s">
        <v>389</v>
      </c>
      <c r="J343" s="247" t="s">
        <v>516</v>
      </c>
      <c r="K343" s="247" t="s">
        <v>1162</v>
      </c>
      <c r="L343" s="154" t="str">
        <f t="shared" si="1"/>
        <v/>
      </c>
      <c r="M343" s="248" t="str">
        <f>IFERROR(__xludf.DUMMYFUNCTION("VLOOKUP(C343,IMPORTRANGE(""https://docs.google.com/spreadsheets/d/1P8eX0NWBhUPS_hvzA11R6jkTNFrPrRYIx_dX_hYbxrk/edit?resourcekey=0-iw9bsKY2OqkUHCFMkCar3A&amp;gid=2055363397#gid=2055363397"",""MTR!C:O""),11,false)"),"PMW-MCE-AS")</f>
        <v>PMW-MCE-AS</v>
      </c>
      <c r="N343" s="248" t="str">
        <f>IFERROR(__xludf.DUMMYFUNCTION("VLOOKUP(C343,IMPORTRANGE(""https://docs.google.com/spreadsheets/d/1ihFlp3_ePlYtFuPbUNbYj1muErVpI73WHXbEwJDIA7Q/edit#gid=1493122344"",""MTR!C:O""),8,false)"),"Does Not Comply")</f>
        <v>Does Not Comply</v>
      </c>
      <c r="O343" s="241" t="str">
        <f>IFERROR(__xludf.DUMMYFUNCTION("VLOOKUP(C343,IMPORTRANGE(""https://docs.google.com/spreadsheets/d/1P8eX0NWBhUPS_hvzA11R6jkTNFrPrRYIx_dX_hYbxrk/edit?resourcekey=0-iw9bsKY2OqkUHCFMkCar3A&amp;gid=2055363397#gid=2055363397"",""MTR!C:O""),9,false)"),"")</f>
        <v/>
      </c>
      <c r="P343" s="241"/>
      <c r="Q343" s="251" t="s">
        <v>516</v>
      </c>
      <c r="R343" s="251" t="s">
        <v>1162</v>
      </c>
      <c r="S343" s="154" t="s">
        <v>66</v>
      </c>
      <c r="T343" s="154" t="s">
        <v>66</v>
      </c>
      <c r="U343" s="154" t="s">
        <v>66</v>
      </c>
      <c r="V343" s="154" t="s">
        <v>66</v>
      </c>
      <c r="W343" s="154" t="s">
        <v>66</v>
      </c>
      <c r="X343" s="154" t="s">
        <v>66</v>
      </c>
      <c r="Y343" s="154" t="s">
        <v>66</v>
      </c>
      <c r="Z343" s="154" t="s">
        <v>66</v>
      </c>
      <c r="AA343" s="154" t="s">
        <v>66</v>
      </c>
      <c r="AB343" s="154"/>
      <c r="AC343" s="242" t="b">
        <f t="shared" si="2"/>
        <v>1</v>
      </c>
      <c r="AD343" s="154" t="s">
        <v>391</v>
      </c>
      <c r="AE343" s="243" t="b">
        <f t="shared" si="3"/>
        <v>0</v>
      </c>
      <c r="AF343" s="154"/>
      <c r="AG343" s="243" t="b">
        <f t="shared" si="4"/>
        <v>0</v>
      </c>
      <c r="AH343" s="154"/>
      <c r="AI343" s="243" t="str">
        <f t="shared" si="5"/>
        <v>N/A</v>
      </c>
      <c r="AJ343" s="157" t="str">
        <f t="shared" si="6"/>
        <v/>
      </c>
    </row>
    <row r="344" ht="12.75" customHeight="1">
      <c r="A344" s="238" t="s">
        <v>621</v>
      </c>
      <c r="B344" s="238" t="s">
        <v>942</v>
      </c>
      <c r="C344" s="238" t="s">
        <v>1268</v>
      </c>
      <c r="D344" s="240"/>
      <c r="E344" s="252" t="s">
        <v>92</v>
      </c>
      <c r="F344" s="154" t="str">
        <f t="array" ref="F344">XLOOKUP(Cover!$D$12,$S$1:$AA$1,$S344:$AA344)</f>
        <v>Heading</v>
      </c>
      <c r="G344" s="239" t="s">
        <v>1269</v>
      </c>
      <c r="H344" s="240"/>
      <c r="I344" s="240" t="s">
        <v>389</v>
      </c>
      <c r="J344" s="240"/>
      <c r="K344" s="240"/>
      <c r="L344" s="154" t="str">
        <f t="shared" si="1"/>
        <v/>
      </c>
      <c r="M344" s="241" t="str">
        <f>IFERROR(__xludf.DUMMYFUNCTION("VLOOKUP(C344,IMPORTRANGE(""https://docs.google.com/spreadsheets/d/1P8eX0NWBhUPS_hvzA11R6jkTNFrPrRYIx_dX_hYbxrk/edit?resourcekey=0-iw9bsKY2OqkUHCFMkCar3A&amp;gid=2055363397#gid=2055363397"",""MTR!C:O""),11,false)"),"")</f>
        <v/>
      </c>
      <c r="N344" s="241" t="str">
        <f>IFERROR(__xludf.DUMMYFUNCTION("VLOOKUP(C344,IMPORTRANGE(""https://docs.google.com/spreadsheets/d/1ihFlp3_ePlYtFuPbUNbYj1muErVpI73WHXbEwJDIA7Q/edit#gid=1493122344"",""MTR!C:O""),8,false)"),"")</f>
        <v/>
      </c>
      <c r="O344" s="241" t="str">
        <f>IFERROR(__xludf.DUMMYFUNCTION("VLOOKUP(C344,IMPORTRANGE(""https://docs.google.com/spreadsheets/d/1P8eX0NWBhUPS_hvzA11R6jkTNFrPrRYIx_dX_hYbxrk/edit?resourcekey=0-iw9bsKY2OqkUHCFMkCar3A&amp;gid=2055363397#gid=2055363397"",""MTR!C:O""),9,false)"),"")</f>
        <v/>
      </c>
      <c r="P344" s="241"/>
      <c r="Q344" s="241"/>
      <c r="R344" s="241"/>
      <c r="S344" s="240" t="s">
        <v>390</v>
      </c>
      <c r="T344" s="240" t="s">
        <v>390</v>
      </c>
      <c r="U344" s="240" t="s">
        <v>390</v>
      </c>
      <c r="V344" s="240" t="s">
        <v>390</v>
      </c>
      <c r="W344" s="240" t="s">
        <v>390</v>
      </c>
      <c r="X344" s="240" t="s">
        <v>390</v>
      </c>
      <c r="Y344" s="240" t="s">
        <v>390</v>
      </c>
      <c r="Z344" s="240" t="s">
        <v>390</v>
      </c>
      <c r="AA344" s="240" t="s">
        <v>390</v>
      </c>
      <c r="AB344" s="240"/>
      <c r="AC344" s="242" t="b">
        <f t="shared" si="2"/>
        <v>0</v>
      </c>
      <c r="AD344" s="240" t="s">
        <v>391</v>
      </c>
      <c r="AE344" s="243" t="b">
        <f t="shared" si="3"/>
        <v>0</v>
      </c>
      <c r="AF344" s="240"/>
      <c r="AG344" s="243" t="b">
        <f t="shared" si="4"/>
        <v>0</v>
      </c>
      <c r="AH344" s="240"/>
      <c r="AI344" s="243" t="str">
        <f t="shared" si="5"/>
        <v>N/A</v>
      </c>
      <c r="AJ344" s="157" t="str">
        <f t="shared" si="6"/>
        <v/>
      </c>
    </row>
    <row r="345" ht="12.75" customHeight="1">
      <c r="A345" s="244" t="s">
        <v>621</v>
      </c>
      <c r="B345" s="244" t="s">
        <v>942</v>
      </c>
      <c r="C345" s="244" t="s">
        <v>1270</v>
      </c>
      <c r="D345" s="154" t="s">
        <v>459</v>
      </c>
      <c r="E345" s="250"/>
      <c r="F345" s="154" t="str">
        <f t="array" ref="F345">XLOOKUP(Cover!$D$12,$S$1:$AA$1,$S345:$AA345)</f>
        <v>Mandatory</v>
      </c>
      <c r="G345" s="153" t="s">
        <v>1271</v>
      </c>
      <c r="H345" s="154" t="s">
        <v>347</v>
      </c>
      <c r="I345" s="154" t="s">
        <v>389</v>
      </c>
      <c r="J345" s="247" t="s">
        <v>506</v>
      </c>
      <c r="K345" s="247" t="s">
        <v>1272</v>
      </c>
      <c r="L345" s="154" t="str">
        <f t="shared" si="1"/>
        <v/>
      </c>
      <c r="M345" s="248" t="str">
        <f>IFERROR(__xludf.DUMMYFUNCTION("VLOOKUP(C345,IMPORTRANGE(""https://docs.google.com/spreadsheets/d/1P8eX0NWBhUPS_hvzA11R6jkTNFrPrRYIx_dX_hYbxrk/edit?resourcekey=0-iw9bsKY2OqkUHCFMkCar3A&amp;gid=2055363397#gid=2055363397"",""MTR!C:O""),11,false)"),"PMW-MCE-NAS")</f>
        <v>PMW-MCE-NAS</v>
      </c>
      <c r="N345" s="248" t="str">
        <f>IFERROR(__xludf.DUMMYFUNCTION("VLOOKUP(C345,IMPORTRANGE(""https://docs.google.com/spreadsheets/d/1ihFlp3_ePlYtFuPbUNbYj1muErVpI73WHXbEwJDIA7Q/edit#gid=1493122344"",""MTR!C:O""),8,false)"),"Partially Complies")</f>
        <v>Partially Complies</v>
      </c>
      <c r="O345" s="248" t="str">
        <f>IFERROR(__xludf.DUMMYFUNCTION("VLOOKUP(C345,IMPORTRANGE(""https://docs.google.com/spreadsheets/d/1P8eX0NWBhUPS_hvzA11R6jkTNFrPrRYIx_dX_hYbxrk/edit?resourcekey=0-iw9bsKY2OqkUHCFMkCar3A&amp;gid=2055363397#gid=2055363397"",""MTR!C:O""),9,false)"),"Profile 0x0001, 0x0002, 0x0004")</f>
        <v>Profile 0x0001, 0x0002, 0x0004</v>
      </c>
      <c r="P345" s="248"/>
      <c r="Q345" s="249" t="s">
        <v>506</v>
      </c>
      <c r="R345" s="249" t="s">
        <v>1272</v>
      </c>
      <c r="S345" s="154" t="s">
        <v>60</v>
      </c>
      <c r="T345" s="154" t="s">
        <v>60</v>
      </c>
      <c r="U345" s="154" t="s">
        <v>60</v>
      </c>
      <c r="V345" s="154" t="s">
        <v>60</v>
      </c>
      <c r="W345" s="154" t="s">
        <v>60</v>
      </c>
      <c r="X345" s="154" t="s">
        <v>60</v>
      </c>
      <c r="Y345" s="154" t="s">
        <v>60</v>
      </c>
      <c r="Z345" s="154" t="s">
        <v>60</v>
      </c>
      <c r="AA345" s="154" t="s">
        <v>60</v>
      </c>
      <c r="AB345" s="154"/>
      <c r="AC345" s="242" t="b">
        <f t="shared" si="2"/>
        <v>1</v>
      </c>
      <c r="AD345" s="154" t="s">
        <v>391</v>
      </c>
      <c r="AE345" s="243" t="b">
        <f t="shared" si="3"/>
        <v>0</v>
      </c>
      <c r="AF345" s="154"/>
      <c r="AG345" s="243" t="b">
        <f t="shared" si="4"/>
        <v>0</v>
      </c>
      <c r="AH345" s="154"/>
      <c r="AI345" s="243" t="str">
        <f t="shared" si="5"/>
        <v>N/A</v>
      </c>
      <c r="AJ345" s="157" t="str">
        <f t="shared" si="6"/>
        <v/>
      </c>
    </row>
    <row r="346" ht="12.75" customHeight="1">
      <c r="A346" s="244" t="s">
        <v>621</v>
      </c>
      <c r="B346" s="244" t="s">
        <v>942</v>
      </c>
      <c r="C346" s="244" t="s">
        <v>1273</v>
      </c>
      <c r="D346" s="154" t="s">
        <v>649</v>
      </c>
      <c r="E346" s="250"/>
      <c r="F346" s="154" t="str">
        <f t="array" ref="F346">XLOOKUP(Cover!$D$12,$S$1:$AA$1,$S346:$AA346)</f>
        <v>Recommended</v>
      </c>
      <c r="G346" s="154" t="s">
        <v>1274</v>
      </c>
      <c r="H346" s="154"/>
      <c r="I346" s="154" t="s">
        <v>389</v>
      </c>
      <c r="J346" s="247" t="s">
        <v>445</v>
      </c>
      <c r="K346" s="154"/>
      <c r="L346" s="154" t="str">
        <f t="shared" si="1"/>
        <v/>
      </c>
      <c r="M346" s="248" t="str">
        <f>IFERROR(__xludf.DUMMYFUNCTION("VLOOKUP(C346,IMPORTRANGE(""https://docs.google.com/spreadsheets/d/1P8eX0NWBhUPS_hvzA11R6jkTNFrPrRYIx_dX_hYbxrk/edit?resourcekey=0-iw9bsKY2OqkUHCFMkCar3A&amp;gid=2055363397#gid=2055363397"",""MTR!C:O""),11,false)"),"PMW-MCE-AS")</f>
        <v>PMW-MCE-AS</v>
      </c>
      <c r="N346" s="248" t="str">
        <f>IFERROR(__xludf.DUMMYFUNCTION("VLOOKUP(C346,IMPORTRANGE(""https://docs.google.com/spreadsheets/d/1ihFlp3_ePlYtFuPbUNbYj1muErVpI73WHXbEwJDIA7Q/edit#gid=1493122344"",""MTR!C:O""),8,false)"),"Complies")</f>
        <v>Complies</v>
      </c>
      <c r="O346" s="241" t="str">
        <f>IFERROR(__xludf.DUMMYFUNCTION("VLOOKUP(C346,IMPORTRANGE(""https://docs.google.com/spreadsheets/d/1P8eX0NWBhUPS_hvzA11R6jkTNFrPrRYIx_dX_hYbxrk/edit?resourcekey=0-iw9bsKY2OqkUHCFMkCar3A&amp;gid=2055363397#gid=2055363397"",""MTR!C:O""),9,false)"),"")</f>
        <v/>
      </c>
      <c r="P346" s="241"/>
      <c r="Q346" s="251" t="s">
        <v>445</v>
      </c>
      <c r="R346" s="241"/>
      <c r="S346" s="154" t="s">
        <v>64</v>
      </c>
      <c r="T346" s="154" t="s">
        <v>64</v>
      </c>
      <c r="U346" s="154" t="s">
        <v>64</v>
      </c>
      <c r="V346" s="154" t="s">
        <v>64</v>
      </c>
      <c r="W346" s="154" t="s">
        <v>64</v>
      </c>
      <c r="X346" s="154" t="s">
        <v>64</v>
      </c>
      <c r="Y346" s="154" t="s">
        <v>64</v>
      </c>
      <c r="Z346" s="154" t="s">
        <v>64</v>
      </c>
      <c r="AA346" s="154" t="s">
        <v>64</v>
      </c>
      <c r="AB346" s="154"/>
      <c r="AC346" s="242" t="b">
        <f t="shared" si="2"/>
        <v>1</v>
      </c>
      <c r="AD346" s="154" t="s">
        <v>391</v>
      </c>
      <c r="AE346" s="243" t="b">
        <f t="shared" si="3"/>
        <v>0</v>
      </c>
      <c r="AF346" s="154"/>
      <c r="AG346" s="243" t="b">
        <f t="shared" si="4"/>
        <v>0</v>
      </c>
      <c r="AH346" s="154" t="s">
        <v>637</v>
      </c>
      <c r="AI346" s="243" t="str">
        <f t="shared" si="5"/>
        <v>Complies</v>
      </c>
      <c r="AJ346" s="157" t="str">
        <f t="shared" si="6"/>
        <v/>
      </c>
    </row>
    <row r="347" ht="12.75" customHeight="1">
      <c r="A347" s="244" t="s">
        <v>621</v>
      </c>
      <c r="B347" s="244" t="s">
        <v>942</v>
      </c>
      <c r="C347" s="244" t="s">
        <v>1275</v>
      </c>
      <c r="D347" s="154" t="s">
        <v>967</v>
      </c>
      <c r="E347" s="250"/>
      <c r="F347" s="154" t="str">
        <f t="array" ref="F347">XLOOKUP(Cover!$D$12,$S$1:$AA$1,$S347:$AA347)</f>
        <v>Information</v>
      </c>
      <c r="G347" s="154" t="s">
        <v>1276</v>
      </c>
      <c r="H347" s="154"/>
      <c r="I347" s="154" t="s">
        <v>389</v>
      </c>
      <c r="J347" s="247" t="s">
        <v>516</v>
      </c>
      <c r="K347" s="154"/>
      <c r="L347" s="154" t="str">
        <f t="shared" si="1"/>
        <v/>
      </c>
      <c r="M347" s="248" t="str">
        <f>IFERROR(__xludf.DUMMYFUNCTION("VLOOKUP(C347,IMPORTRANGE(""https://docs.google.com/spreadsheets/d/1P8eX0NWBhUPS_hvzA11R6jkTNFrPrRYIx_dX_hYbxrk/edit?resourcekey=0-iw9bsKY2OqkUHCFMkCar3A&amp;gid=2055363397#gid=2055363397"",""MTR!C:O""),11,false)"),"PMW-MCE-AS")</f>
        <v>PMW-MCE-AS</v>
      </c>
      <c r="N347" s="248" t="str">
        <f>IFERROR(__xludf.DUMMYFUNCTION("VLOOKUP(C347,IMPORTRANGE(""https://docs.google.com/spreadsheets/d/1ihFlp3_ePlYtFuPbUNbYj1muErVpI73WHXbEwJDIA7Q/edit#gid=1493122344"",""MTR!C:O""),8,false)"),"Does Not Comply")</f>
        <v>Does Not Comply</v>
      </c>
      <c r="O347" s="241" t="str">
        <f>IFERROR(__xludf.DUMMYFUNCTION("VLOOKUP(C347,IMPORTRANGE(""https://docs.google.com/spreadsheets/d/1P8eX0NWBhUPS_hvzA11R6jkTNFrPrRYIx_dX_hYbxrk/edit?resourcekey=0-iw9bsKY2OqkUHCFMkCar3A&amp;gid=2055363397#gid=2055363397"",""MTR!C:O""),9,false)"),"")</f>
        <v/>
      </c>
      <c r="P347" s="241"/>
      <c r="Q347" s="251" t="s">
        <v>516</v>
      </c>
      <c r="R347" s="241"/>
      <c r="S347" s="154" t="s">
        <v>66</v>
      </c>
      <c r="T347" s="154" t="s">
        <v>66</v>
      </c>
      <c r="U347" s="154" t="s">
        <v>66</v>
      </c>
      <c r="V347" s="154" t="s">
        <v>66</v>
      </c>
      <c r="W347" s="154" t="s">
        <v>66</v>
      </c>
      <c r="X347" s="154" t="s">
        <v>66</v>
      </c>
      <c r="Y347" s="154" t="s">
        <v>66</v>
      </c>
      <c r="Z347" s="154" t="s">
        <v>66</v>
      </c>
      <c r="AA347" s="154" t="s">
        <v>66</v>
      </c>
      <c r="AB347" s="154"/>
      <c r="AC347" s="242" t="b">
        <f t="shared" si="2"/>
        <v>1</v>
      </c>
      <c r="AD347" s="154" t="s">
        <v>391</v>
      </c>
      <c r="AE347" s="243" t="b">
        <f t="shared" si="3"/>
        <v>0</v>
      </c>
      <c r="AF347" s="154"/>
      <c r="AG347" s="243" t="b">
        <f t="shared" si="4"/>
        <v>0</v>
      </c>
      <c r="AH347" s="154" t="s">
        <v>637</v>
      </c>
      <c r="AI347" s="243" t="str">
        <f t="shared" si="5"/>
        <v>Complies</v>
      </c>
      <c r="AJ347" s="157" t="str">
        <f t="shared" si="6"/>
        <v/>
      </c>
    </row>
    <row r="348" ht="12.75" customHeight="1">
      <c r="A348" s="244" t="s">
        <v>621</v>
      </c>
      <c r="B348" s="244" t="s">
        <v>942</v>
      </c>
      <c r="C348" s="244" t="s">
        <v>1277</v>
      </c>
      <c r="D348" s="154" t="s">
        <v>602</v>
      </c>
      <c r="E348" s="250"/>
      <c r="F348" s="154" t="str">
        <f t="array" ref="F348">XLOOKUP(Cover!$D$12,$S$1:$AA$1,$S348:$AA348)</f>
        <v>Information</v>
      </c>
      <c r="G348" s="154" t="s">
        <v>1278</v>
      </c>
      <c r="H348" s="154"/>
      <c r="I348" s="154" t="s">
        <v>389</v>
      </c>
      <c r="J348" s="247" t="s">
        <v>516</v>
      </c>
      <c r="K348" s="154"/>
      <c r="L348" s="154" t="str">
        <f t="shared" si="1"/>
        <v/>
      </c>
      <c r="M348" s="248" t="str">
        <f>IFERROR(__xludf.DUMMYFUNCTION("VLOOKUP(C348,IMPORTRANGE(""https://docs.google.com/spreadsheets/d/1P8eX0NWBhUPS_hvzA11R6jkTNFrPrRYIx_dX_hYbxrk/edit?resourcekey=0-iw9bsKY2OqkUHCFMkCar3A&amp;gid=2055363397#gid=2055363397"",""MTR!C:O""),11,false)"),"PMW-MCE-AS")</f>
        <v>PMW-MCE-AS</v>
      </c>
      <c r="N348" s="248" t="str">
        <f>IFERROR(__xludf.DUMMYFUNCTION("VLOOKUP(C348,IMPORTRANGE(""https://docs.google.com/spreadsheets/d/1ihFlp3_ePlYtFuPbUNbYj1muErVpI73WHXbEwJDIA7Q/edit#gid=1493122344"",""MTR!C:O""),8,false)"),"Does Not Comply")</f>
        <v>Does Not Comply</v>
      </c>
      <c r="O348" s="241" t="str">
        <f>IFERROR(__xludf.DUMMYFUNCTION("VLOOKUP(C348,IMPORTRANGE(""https://docs.google.com/spreadsheets/d/1P8eX0NWBhUPS_hvzA11R6jkTNFrPrRYIx_dX_hYbxrk/edit?resourcekey=0-iw9bsKY2OqkUHCFMkCar3A&amp;gid=2055363397#gid=2055363397"",""MTR!C:O""),9,false)"),"")</f>
        <v/>
      </c>
      <c r="P348" s="241"/>
      <c r="Q348" s="251" t="s">
        <v>516</v>
      </c>
      <c r="R348" s="241"/>
      <c r="S348" s="154" t="s">
        <v>66</v>
      </c>
      <c r="T348" s="154" t="s">
        <v>66</v>
      </c>
      <c r="U348" s="154" t="s">
        <v>66</v>
      </c>
      <c r="V348" s="154" t="s">
        <v>66</v>
      </c>
      <c r="W348" s="154" t="s">
        <v>66</v>
      </c>
      <c r="X348" s="154" t="s">
        <v>66</v>
      </c>
      <c r="Y348" s="154" t="s">
        <v>66</v>
      </c>
      <c r="Z348" s="154" t="s">
        <v>66</v>
      </c>
      <c r="AA348" s="154" t="s">
        <v>66</v>
      </c>
      <c r="AB348" s="154"/>
      <c r="AC348" s="242" t="b">
        <f t="shared" si="2"/>
        <v>1</v>
      </c>
      <c r="AD348" s="154" t="s">
        <v>391</v>
      </c>
      <c r="AE348" s="243" t="b">
        <f t="shared" si="3"/>
        <v>0</v>
      </c>
      <c r="AF348" s="154"/>
      <c r="AG348" s="243" t="b">
        <f t="shared" si="4"/>
        <v>0</v>
      </c>
      <c r="AH348" s="154"/>
      <c r="AI348" s="243" t="str">
        <f t="shared" si="5"/>
        <v>N/A</v>
      </c>
      <c r="AJ348" s="157" t="str">
        <f t="shared" si="6"/>
        <v/>
      </c>
    </row>
    <row r="349" ht="12.75" customHeight="1">
      <c r="A349" s="238" t="s">
        <v>621</v>
      </c>
      <c r="B349" s="238" t="s">
        <v>942</v>
      </c>
      <c r="C349" s="238" t="s">
        <v>1279</v>
      </c>
      <c r="D349" s="240"/>
      <c r="E349" s="252" t="s">
        <v>92</v>
      </c>
      <c r="F349" s="154" t="str">
        <f t="array" ref="F349">XLOOKUP(Cover!$D$12,$S$1:$AA$1,$S349:$AA349)</f>
        <v>Heading</v>
      </c>
      <c r="G349" s="239" t="s">
        <v>1280</v>
      </c>
      <c r="H349" s="240"/>
      <c r="I349" s="240" t="s">
        <v>632</v>
      </c>
      <c r="J349" s="240"/>
      <c r="K349" s="240"/>
      <c r="L349" s="154" t="str">
        <f t="shared" si="1"/>
        <v/>
      </c>
      <c r="M349" s="241" t="str">
        <f>IFERROR(__xludf.DUMMYFUNCTION("VLOOKUP(C349,IMPORTRANGE(""https://docs.google.com/spreadsheets/d/1P8eX0NWBhUPS_hvzA11R6jkTNFrPrRYIx_dX_hYbxrk/edit?resourcekey=0-iw9bsKY2OqkUHCFMkCar3A&amp;gid=2055363397#gid=2055363397"",""MTR!C:O""),11,false)"),"")</f>
        <v/>
      </c>
      <c r="N349" s="241" t="str">
        <f>IFERROR(__xludf.DUMMYFUNCTION("VLOOKUP(C349,IMPORTRANGE(""https://docs.google.com/spreadsheets/d/1ihFlp3_ePlYtFuPbUNbYj1muErVpI73WHXbEwJDIA7Q/edit#gid=1493122344"",""MTR!C:O""),8,false)"),"")</f>
        <v/>
      </c>
      <c r="O349" s="241" t="str">
        <f>IFERROR(__xludf.DUMMYFUNCTION("VLOOKUP(C349,IMPORTRANGE(""https://docs.google.com/spreadsheets/d/1P8eX0NWBhUPS_hvzA11R6jkTNFrPrRYIx_dX_hYbxrk/edit?resourcekey=0-iw9bsKY2OqkUHCFMkCar3A&amp;gid=2055363397#gid=2055363397"",""MTR!C:O""),9,false)"),"")</f>
        <v/>
      </c>
      <c r="P349" s="241"/>
      <c r="Q349" s="241"/>
      <c r="R349" s="241"/>
      <c r="S349" s="240" t="s">
        <v>390</v>
      </c>
      <c r="T349" s="240" t="s">
        <v>390</v>
      </c>
      <c r="U349" s="240" t="s">
        <v>390</v>
      </c>
      <c r="V349" s="240" t="s">
        <v>390</v>
      </c>
      <c r="W349" s="240" t="s">
        <v>390</v>
      </c>
      <c r="X349" s="240" t="s">
        <v>390</v>
      </c>
      <c r="Y349" s="240" t="s">
        <v>390</v>
      </c>
      <c r="Z349" s="240" t="s">
        <v>390</v>
      </c>
      <c r="AA349" s="240" t="s">
        <v>390</v>
      </c>
      <c r="AB349" s="240"/>
      <c r="AC349" s="242" t="b">
        <f t="shared" si="2"/>
        <v>0</v>
      </c>
      <c r="AD349" s="240" t="s">
        <v>391</v>
      </c>
      <c r="AE349" s="243" t="b">
        <f t="shared" si="3"/>
        <v>0</v>
      </c>
      <c r="AF349" s="240"/>
      <c r="AG349" s="243" t="b">
        <f t="shared" si="4"/>
        <v>0</v>
      </c>
      <c r="AH349" s="240"/>
      <c r="AI349" s="243" t="str">
        <f t="shared" si="5"/>
        <v>N/A</v>
      </c>
      <c r="AJ349" s="157" t="str">
        <f t="shared" si="6"/>
        <v/>
      </c>
    </row>
    <row r="350" ht="12.75" customHeight="1">
      <c r="A350" s="244" t="s">
        <v>621</v>
      </c>
      <c r="B350" s="244" t="s">
        <v>942</v>
      </c>
      <c r="C350" s="244" t="s">
        <v>1281</v>
      </c>
      <c r="D350" s="244" t="s">
        <v>1282</v>
      </c>
      <c r="E350" s="244"/>
      <c r="F350" s="154" t="str">
        <f t="array" ref="F350">XLOOKUP(Cover!$D$12,$S$1:$AA$1,$S350:$AA350)</f>
        <v>Mandatory</v>
      </c>
      <c r="G350" s="154" t="s">
        <v>1283</v>
      </c>
      <c r="H350" s="154" t="s">
        <v>347</v>
      </c>
      <c r="I350" s="154" t="s">
        <v>632</v>
      </c>
      <c r="J350" s="247" t="s">
        <v>445</v>
      </c>
      <c r="K350" s="154"/>
      <c r="L350" s="154" t="str">
        <f t="shared" si="1"/>
        <v/>
      </c>
      <c r="M350" s="248" t="str">
        <f>IFERROR(__xludf.DUMMYFUNCTION("VLOOKUP(C350,IMPORTRANGE(""https://docs.google.com/spreadsheets/d/1P8eX0NWBhUPS_hvzA11R6jkTNFrPrRYIx_dX_hYbxrk/edit?resourcekey=0-iw9bsKY2OqkUHCFMkCar3A&amp;gid=2055363397#gid=2055363397"",""MTR!C:O""),11,false)"),"PMW-MCE-AS")</f>
        <v>PMW-MCE-AS</v>
      </c>
      <c r="N350" s="248" t="str">
        <f>IFERROR(__xludf.DUMMYFUNCTION("VLOOKUP(C350,IMPORTRANGE(""https://docs.google.com/spreadsheets/d/1ihFlp3_ePlYtFuPbUNbYj1muErVpI73WHXbEwJDIA7Q/edit#gid=1493122344"",""MTR!C:O""),8,false)"),"Complies")</f>
        <v>Complies</v>
      </c>
      <c r="O350" s="241" t="str">
        <f>IFERROR(__xludf.DUMMYFUNCTION("VLOOKUP(C350,IMPORTRANGE(""https://docs.google.com/spreadsheets/d/1P8eX0NWBhUPS_hvzA11R6jkTNFrPrRYIx_dX_hYbxrk/edit?resourcekey=0-iw9bsKY2OqkUHCFMkCar3A&amp;gid=2055363397#gid=2055363397"",""MTR!C:O""),9,false)"),"")</f>
        <v/>
      </c>
      <c r="P350" s="241"/>
      <c r="Q350" s="251" t="s">
        <v>445</v>
      </c>
      <c r="R350" s="241"/>
      <c r="S350" s="154" t="s">
        <v>60</v>
      </c>
      <c r="T350" s="154" t="s">
        <v>60</v>
      </c>
      <c r="U350" s="154" t="s">
        <v>60</v>
      </c>
      <c r="V350" s="154" t="s">
        <v>60</v>
      </c>
      <c r="W350" s="154" t="s">
        <v>60</v>
      </c>
      <c r="X350" s="154" t="s">
        <v>60</v>
      </c>
      <c r="Y350" s="154" t="s">
        <v>60</v>
      </c>
      <c r="Z350" s="154" t="s">
        <v>60</v>
      </c>
      <c r="AA350" s="154" t="s">
        <v>60</v>
      </c>
      <c r="AB350" s="154"/>
      <c r="AC350" s="242" t="b">
        <f t="shared" si="2"/>
        <v>1</v>
      </c>
      <c r="AD350" s="154" t="s">
        <v>391</v>
      </c>
      <c r="AE350" s="243" t="b">
        <f t="shared" si="3"/>
        <v>0</v>
      </c>
      <c r="AF350" s="154"/>
      <c r="AG350" s="243" t="b">
        <f t="shared" si="4"/>
        <v>0</v>
      </c>
      <c r="AH350" s="154" t="s">
        <v>637</v>
      </c>
      <c r="AI350" s="243" t="str">
        <f t="shared" si="5"/>
        <v>Complies</v>
      </c>
      <c r="AJ350" s="157" t="str">
        <f t="shared" si="6"/>
        <v/>
      </c>
    </row>
    <row r="351" ht="12.75" customHeight="1">
      <c r="A351" s="244" t="s">
        <v>621</v>
      </c>
      <c r="B351" s="244" t="s">
        <v>942</v>
      </c>
      <c r="C351" s="244" t="s">
        <v>1284</v>
      </c>
      <c r="D351" s="154" t="s">
        <v>649</v>
      </c>
      <c r="E351" s="250"/>
      <c r="F351" s="154" t="str">
        <f t="array" ref="F351">XLOOKUP(Cover!$D$12,$S$1:$AA$1,$S351:$AA351)</f>
        <v>Information</v>
      </c>
      <c r="G351" s="154" t="s">
        <v>1285</v>
      </c>
      <c r="H351" s="154"/>
      <c r="I351" s="154" t="s">
        <v>632</v>
      </c>
      <c r="J351" s="247" t="s">
        <v>516</v>
      </c>
      <c r="K351" s="154"/>
      <c r="L351" s="154" t="str">
        <f t="shared" si="1"/>
        <v/>
      </c>
      <c r="M351" s="248" t="str">
        <f>IFERROR(__xludf.DUMMYFUNCTION("VLOOKUP(C351,IMPORTRANGE(""https://docs.google.com/spreadsheets/d/1P8eX0NWBhUPS_hvzA11R6jkTNFrPrRYIx_dX_hYbxrk/edit?resourcekey=0-iw9bsKY2OqkUHCFMkCar3A&amp;gid=2055363397#gid=2055363397"",""MTR!C:O""),11,false)"),"PMW-IMS")</f>
        <v>PMW-IMS</v>
      </c>
      <c r="N351" s="248" t="str">
        <f>IFERROR(__xludf.DUMMYFUNCTION("VLOOKUP(C351,IMPORTRANGE(""https://docs.google.com/spreadsheets/d/1ihFlp3_ePlYtFuPbUNbYj1muErVpI73WHXbEwJDIA7Q/edit#gid=1493122344"",""MTR!C:O""),8,false)"),"Does Not Comply")</f>
        <v>Does Not Comply</v>
      </c>
      <c r="O351" s="241" t="str">
        <f>IFERROR(__xludf.DUMMYFUNCTION("VLOOKUP(C351,IMPORTRANGE(""https://docs.google.com/spreadsheets/d/1P8eX0NWBhUPS_hvzA11R6jkTNFrPrRYIx_dX_hYbxrk/edit?resourcekey=0-iw9bsKY2OqkUHCFMkCar3A&amp;gid=2055363397#gid=2055363397"",""MTR!C:O""),9,false)"),"")</f>
        <v/>
      </c>
      <c r="P351" s="241"/>
      <c r="Q351" s="251" t="s">
        <v>516</v>
      </c>
      <c r="R351" s="241"/>
      <c r="S351" s="154" t="s">
        <v>66</v>
      </c>
      <c r="T351" s="154" t="s">
        <v>66</v>
      </c>
      <c r="U351" s="154" t="s">
        <v>66</v>
      </c>
      <c r="V351" s="154" t="s">
        <v>66</v>
      </c>
      <c r="W351" s="154" t="s">
        <v>66</v>
      </c>
      <c r="X351" s="154" t="s">
        <v>66</v>
      </c>
      <c r="Y351" s="154" t="s">
        <v>66</v>
      </c>
      <c r="Z351" s="154" t="s">
        <v>66</v>
      </c>
      <c r="AA351" s="154" t="s">
        <v>66</v>
      </c>
      <c r="AB351" s="154"/>
      <c r="AC351" s="242" t="b">
        <f t="shared" si="2"/>
        <v>1</v>
      </c>
      <c r="AD351" s="154" t="s">
        <v>391</v>
      </c>
      <c r="AE351" s="243" t="b">
        <f t="shared" si="3"/>
        <v>0</v>
      </c>
      <c r="AF351" s="154"/>
      <c r="AG351" s="243" t="b">
        <f t="shared" si="4"/>
        <v>0</v>
      </c>
      <c r="AH351" s="154"/>
      <c r="AI351" s="243" t="str">
        <f t="shared" si="5"/>
        <v>N/A</v>
      </c>
      <c r="AJ351" s="157" t="str">
        <f t="shared" si="6"/>
        <v/>
      </c>
    </row>
    <row r="352" ht="12.75" customHeight="1">
      <c r="A352" s="244" t="s">
        <v>621</v>
      </c>
      <c r="B352" s="244" t="s">
        <v>942</v>
      </c>
      <c r="C352" s="244" t="s">
        <v>1286</v>
      </c>
      <c r="D352" s="244" t="s">
        <v>967</v>
      </c>
      <c r="E352" s="244"/>
      <c r="F352" s="154" t="str">
        <f t="array" ref="F352">XLOOKUP(Cover!$D$12,$S$1:$AA$1,$S352:$AA352)</f>
        <v>Mandatory</v>
      </c>
      <c r="G352" s="154" t="s">
        <v>1287</v>
      </c>
      <c r="H352" s="154" t="s">
        <v>347</v>
      </c>
      <c r="I352" s="154" t="s">
        <v>632</v>
      </c>
      <c r="J352" s="247" t="s">
        <v>445</v>
      </c>
      <c r="K352" s="154"/>
      <c r="L352" s="154" t="str">
        <f t="shared" si="1"/>
        <v/>
      </c>
      <c r="M352" s="248" t="str">
        <f>IFERROR(__xludf.DUMMYFUNCTION("VLOOKUP(C352,IMPORTRANGE(""https://docs.google.com/spreadsheets/d/1P8eX0NWBhUPS_hvzA11R6jkTNFrPrRYIx_dX_hYbxrk/edit?resourcekey=0-iw9bsKY2OqkUHCFMkCar3A&amp;gid=2055363397#gid=2055363397"",""MTR!C:O""),11,false)"),"PMW-MCE-AS")</f>
        <v>PMW-MCE-AS</v>
      </c>
      <c r="N352" s="248" t="str">
        <f>IFERROR(__xludf.DUMMYFUNCTION("VLOOKUP(C352,IMPORTRANGE(""https://docs.google.com/spreadsheets/d/1ihFlp3_ePlYtFuPbUNbYj1muErVpI73WHXbEwJDIA7Q/edit#gid=1493122344"",""MTR!C:O""),8,false)"),"Complies")</f>
        <v>Complies</v>
      </c>
      <c r="O352" s="241" t="str">
        <f>IFERROR(__xludf.DUMMYFUNCTION("VLOOKUP(C352,IMPORTRANGE(""https://docs.google.com/spreadsheets/d/1P8eX0NWBhUPS_hvzA11R6jkTNFrPrRYIx_dX_hYbxrk/edit?resourcekey=0-iw9bsKY2OqkUHCFMkCar3A&amp;gid=2055363397#gid=2055363397"",""MTR!C:O""),9,false)"),"")</f>
        <v/>
      </c>
      <c r="P352" s="241"/>
      <c r="Q352" s="251" t="s">
        <v>445</v>
      </c>
      <c r="R352" s="241"/>
      <c r="S352" s="154" t="s">
        <v>60</v>
      </c>
      <c r="T352" s="154" t="s">
        <v>60</v>
      </c>
      <c r="U352" s="154" t="s">
        <v>60</v>
      </c>
      <c r="V352" s="154" t="s">
        <v>60</v>
      </c>
      <c r="W352" s="154" t="s">
        <v>60</v>
      </c>
      <c r="X352" s="154" t="s">
        <v>60</v>
      </c>
      <c r="Y352" s="154" t="s">
        <v>60</v>
      </c>
      <c r="Z352" s="154" t="s">
        <v>60</v>
      </c>
      <c r="AA352" s="154" t="s">
        <v>60</v>
      </c>
      <c r="AB352" s="154"/>
      <c r="AC352" s="242" t="b">
        <f t="shared" si="2"/>
        <v>1</v>
      </c>
      <c r="AD352" s="154" t="s">
        <v>391</v>
      </c>
      <c r="AE352" s="243" t="b">
        <f t="shared" si="3"/>
        <v>0</v>
      </c>
      <c r="AF352" s="154"/>
      <c r="AG352" s="243" t="b">
        <f t="shared" si="4"/>
        <v>0</v>
      </c>
      <c r="AH352" s="154" t="s">
        <v>637</v>
      </c>
      <c r="AI352" s="243" t="str">
        <f t="shared" si="5"/>
        <v>Complies</v>
      </c>
      <c r="AJ352" s="157" t="str">
        <f t="shared" si="6"/>
        <v/>
      </c>
    </row>
    <row r="353" ht="12.75" customHeight="1">
      <c r="A353" s="244" t="s">
        <v>621</v>
      </c>
      <c r="B353" s="244" t="s">
        <v>942</v>
      </c>
      <c r="C353" s="244" t="s">
        <v>1288</v>
      </c>
      <c r="D353" s="154" t="s">
        <v>411</v>
      </c>
      <c r="E353" s="250"/>
      <c r="F353" s="154" t="str">
        <f t="array" ref="F353">XLOOKUP(Cover!$D$12,$S$1:$AA$1,$S353:$AA353)</f>
        <v>Recommended</v>
      </c>
      <c r="G353" s="154" t="s">
        <v>1289</v>
      </c>
      <c r="H353" s="154"/>
      <c r="I353" s="154" t="s">
        <v>632</v>
      </c>
      <c r="J353" s="247" t="s">
        <v>506</v>
      </c>
      <c r="K353" s="247" t="s">
        <v>1290</v>
      </c>
      <c r="L353" s="154" t="str">
        <f t="shared" si="1"/>
        <v/>
      </c>
      <c r="M353" s="248" t="str">
        <f>IFERROR(__xludf.DUMMYFUNCTION("VLOOKUP(C353,IMPORTRANGE(""https://docs.google.com/spreadsheets/d/1P8eX0NWBhUPS_hvzA11R6jkTNFrPrRYIx_dX_hYbxrk/edit?resourcekey=0-iw9bsKY2OqkUHCFMkCar3A&amp;gid=2055363397#gid=2055363397"",""MTR!C:O""),11,false)"),"PMW-MCE-AS")</f>
        <v>PMW-MCE-AS</v>
      </c>
      <c r="N353" s="248" t="str">
        <f>IFERROR(__xludf.DUMMYFUNCTION("VLOOKUP(C353,IMPORTRANGE(""https://docs.google.com/spreadsheets/d/1ihFlp3_ePlYtFuPbUNbYj1muErVpI73WHXbEwJDIA7Q/edit#gid=1493122344"",""MTR!C:O""),8,false)"),"Does Not Comply")</f>
        <v>Does Not Comply</v>
      </c>
      <c r="O353" s="248" t="str">
        <f>IFERROR(__xludf.DUMMYFUNCTION("VLOOKUP(C353,IMPORTRANGE(""https://docs.google.com/spreadsheets/d/1P8eX0NWBhUPS_hvzA11R6jkTNFrPrRYIx_dX_hYbxrk/edit?resourcekey=0-iw9bsKY2OqkUHCFMkCar3A&amp;gid=2055363397#gid=2055363397"",""MTR!C:O""),9,false)"),"UE could support. But default disable")</f>
        <v>UE could support. But default disable</v>
      </c>
      <c r="P353" s="248"/>
      <c r="Q353" s="249" t="s">
        <v>516</v>
      </c>
      <c r="R353" s="249" t="s">
        <v>1291</v>
      </c>
      <c r="S353" s="154" t="s">
        <v>64</v>
      </c>
      <c r="T353" s="154" t="s">
        <v>64</v>
      </c>
      <c r="U353" s="154" t="s">
        <v>64</v>
      </c>
      <c r="V353" s="154" t="s">
        <v>64</v>
      </c>
      <c r="W353" s="154" t="s">
        <v>64</v>
      </c>
      <c r="X353" s="154" t="s">
        <v>64</v>
      </c>
      <c r="Y353" s="154" t="s">
        <v>64</v>
      </c>
      <c r="Z353" s="154" t="s">
        <v>64</v>
      </c>
      <c r="AA353" s="154" t="s">
        <v>64</v>
      </c>
      <c r="AB353" s="154"/>
      <c r="AC353" s="242" t="b">
        <f t="shared" si="2"/>
        <v>1</v>
      </c>
      <c r="AD353" s="154" t="s">
        <v>391</v>
      </c>
      <c r="AE353" s="243" t="b">
        <f t="shared" si="3"/>
        <v>0</v>
      </c>
      <c r="AF353" s="154"/>
      <c r="AG353" s="243" t="b">
        <f t="shared" si="4"/>
        <v>0</v>
      </c>
      <c r="AH353" s="154"/>
      <c r="AI353" s="243" t="str">
        <f t="shared" si="5"/>
        <v>N/A</v>
      </c>
      <c r="AJ353" s="157" t="str">
        <f t="shared" si="6"/>
        <v/>
      </c>
    </row>
    <row r="354" ht="12.75" customHeight="1">
      <c r="A354" s="244" t="s">
        <v>621</v>
      </c>
      <c r="B354" s="244" t="s">
        <v>942</v>
      </c>
      <c r="C354" s="244" t="s">
        <v>1292</v>
      </c>
      <c r="D354" s="154" t="s">
        <v>411</v>
      </c>
      <c r="E354" s="250"/>
      <c r="F354" s="154" t="str">
        <f t="array" ref="F354">XLOOKUP(Cover!$D$12,$S$1:$AA$1,$S354:$AA354)</f>
        <v>Recommended</v>
      </c>
      <c r="G354" s="154" t="s">
        <v>1293</v>
      </c>
      <c r="H354" s="154"/>
      <c r="I354" s="154" t="s">
        <v>632</v>
      </c>
      <c r="J354" s="247" t="s">
        <v>506</v>
      </c>
      <c r="K354" s="247" t="s">
        <v>1290</v>
      </c>
      <c r="L354" s="154" t="str">
        <f t="shared" si="1"/>
        <v/>
      </c>
      <c r="M354" s="248" t="str">
        <f>IFERROR(__xludf.DUMMYFUNCTION("VLOOKUP(C354,IMPORTRANGE(""https://docs.google.com/spreadsheets/d/1P8eX0NWBhUPS_hvzA11R6jkTNFrPrRYIx_dX_hYbxrk/edit?resourcekey=0-iw9bsKY2OqkUHCFMkCar3A&amp;gid=2055363397#gid=2055363397"",""MTR!C:O""),11,false)"),"PMW-MCE-AS")</f>
        <v>PMW-MCE-AS</v>
      </c>
      <c r="N354" s="248" t="str">
        <f>IFERROR(__xludf.DUMMYFUNCTION("VLOOKUP(C354,IMPORTRANGE(""https://docs.google.com/spreadsheets/d/1ihFlp3_ePlYtFuPbUNbYj1muErVpI73WHXbEwJDIA7Q/edit#gid=1493122344"",""MTR!C:O""),8,false)"),"Does Not Comply")</f>
        <v>Does Not Comply</v>
      </c>
      <c r="O354" s="248" t="str">
        <f>IFERROR(__xludf.DUMMYFUNCTION("VLOOKUP(C354,IMPORTRANGE(""https://docs.google.com/spreadsheets/d/1P8eX0NWBhUPS_hvzA11R6jkTNFrPrRYIx_dX_hYbxrk/edit?resourcekey=0-iw9bsKY2OqkUHCFMkCar3A&amp;gid=2055363397#gid=2055363397"",""MTR!C:O""),9,false)"),"UE could support. But default disable")</f>
        <v>UE could support. But default disable</v>
      </c>
      <c r="P354" s="248"/>
      <c r="Q354" s="249" t="s">
        <v>516</v>
      </c>
      <c r="R354" s="249" t="s">
        <v>1291</v>
      </c>
      <c r="S354" s="154" t="s">
        <v>64</v>
      </c>
      <c r="T354" s="154" t="s">
        <v>64</v>
      </c>
      <c r="U354" s="154" t="s">
        <v>64</v>
      </c>
      <c r="V354" s="154" t="s">
        <v>64</v>
      </c>
      <c r="W354" s="154" t="s">
        <v>64</v>
      </c>
      <c r="X354" s="154" t="s">
        <v>64</v>
      </c>
      <c r="Y354" s="154" t="s">
        <v>64</v>
      </c>
      <c r="Z354" s="154" t="s">
        <v>64</v>
      </c>
      <c r="AA354" s="154" t="s">
        <v>64</v>
      </c>
      <c r="AB354" s="154"/>
      <c r="AC354" s="242" t="b">
        <f t="shared" si="2"/>
        <v>1</v>
      </c>
      <c r="AD354" s="154" t="s">
        <v>391</v>
      </c>
      <c r="AE354" s="243" t="b">
        <f t="shared" si="3"/>
        <v>0</v>
      </c>
      <c r="AF354" s="154"/>
      <c r="AG354" s="243" t="b">
        <f t="shared" si="4"/>
        <v>0</v>
      </c>
      <c r="AH354" s="154"/>
      <c r="AI354" s="243" t="str">
        <f t="shared" si="5"/>
        <v>N/A</v>
      </c>
      <c r="AJ354" s="157" t="str">
        <f t="shared" si="6"/>
        <v/>
      </c>
    </row>
    <row r="355" ht="12.75" customHeight="1">
      <c r="A355" s="244" t="s">
        <v>621</v>
      </c>
      <c r="B355" s="244" t="s">
        <v>942</v>
      </c>
      <c r="C355" s="255" t="s">
        <v>1294</v>
      </c>
      <c r="D355" s="256" t="s">
        <v>42</v>
      </c>
      <c r="E355" s="257" t="s">
        <v>489</v>
      </c>
      <c r="F355" s="154" t="str">
        <f t="array" ref="F355">XLOOKUP(Cover!$D$12,$S$1:$AA$1,$S355:$AA355)</f>
        <v>Recommended</v>
      </c>
      <c r="G355" s="247" t="s">
        <v>1295</v>
      </c>
      <c r="H355" s="154"/>
      <c r="I355" s="154" t="s">
        <v>632</v>
      </c>
      <c r="J355" s="247" t="s">
        <v>516</v>
      </c>
      <c r="K355" s="154"/>
      <c r="L355" s="154" t="str">
        <f t="shared" si="1"/>
        <v/>
      </c>
      <c r="M355" s="253" t="s">
        <v>828</v>
      </c>
      <c r="N355" s="253" t="str">
        <f>IFERROR(__xludf.DUMMYFUNCTION("VLOOKUP(C355,IMPORTRANGE(""https://docs.google.com/spreadsheets/d/1ihFlp3_ePlYtFuPbUNbYj1muErVpI73WHXbEwJDIA7Q/edit#gid=1493122344"",""MTR!C:O""),8,false)"),"#N/A")</f>
        <v>#N/A</v>
      </c>
      <c r="O355" s="253" t="str">
        <f>IFERROR(__xludf.DUMMYFUNCTION("VLOOKUP(C355,IMPORTRANGE(""https://docs.google.com/spreadsheets/d/1P8eX0NWBhUPS_hvzA11R6jkTNFrPrRYIx_dX_hYbxrk/edit?resourcekey=0-iw9bsKY2OqkUHCFMkCar3A&amp;gid=2055363397#gid=2055363397"",""MTR!C:O""),9,false)"),"#N/A")</f>
        <v>#N/A</v>
      </c>
      <c r="P355" s="253"/>
      <c r="Q355" s="253"/>
      <c r="R355" s="253"/>
      <c r="S355" s="154" t="s">
        <v>64</v>
      </c>
      <c r="T355" s="154" t="s">
        <v>64</v>
      </c>
      <c r="U355" s="154" t="s">
        <v>64</v>
      </c>
      <c r="V355" s="154" t="s">
        <v>64</v>
      </c>
      <c r="W355" s="154" t="s">
        <v>64</v>
      </c>
      <c r="X355" s="154" t="s">
        <v>64</v>
      </c>
      <c r="Y355" s="154" t="s">
        <v>64</v>
      </c>
      <c r="Z355" s="154" t="s">
        <v>64</v>
      </c>
      <c r="AA355" s="154" t="s">
        <v>64</v>
      </c>
      <c r="AB355" s="154"/>
      <c r="AC355" s="242" t="b">
        <f t="shared" si="2"/>
        <v>1</v>
      </c>
      <c r="AD355" s="154" t="s">
        <v>391</v>
      </c>
      <c r="AE355" s="243" t="b">
        <f t="shared" si="3"/>
        <v>0</v>
      </c>
      <c r="AF355" s="154"/>
      <c r="AG355" s="243" t="b">
        <f t="shared" si="4"/>
        <v>0</v>
      </c>
      <c r="AH355" s="154"/>
      <c r="AI355" s="243" t="str">
        <f t="shared" si="5"/>
        <v>N/A</v>
      </c>
      <c r="AJ355" s="157" t="str">
        <f t="shared" si="6"/>
        <v/>
      </c>
    </row>
    <row r="356" ht="12.75" customHeight="1">
      <c r="A356" s="238" t="s">
        <v>621</v>
      </c>
      <c r="B356" s="238" t="s">
        <v>942</v>
      </c>
      <c r="C356" s="238" t="s">
        <v>1296</v>
      </c>
      <c r="D356" s="240"/>
      <c r="E356" s="252" t="s">
        <v>92</v>
      </c>
      <c r="F356" s="154" t="str">
        <f t="array" ref="F356">XLOOKUP(Cover!$D$12,$S$1:$AA$1,$S356:$AA356)</f>
        <v>Heading</v>
      </c>
      <c r="G356" s="239" t="s">
        <v>1297</v>
      </c>
      <c r="H356" s="240"/>
      <c r="I356" s="240" t="s">
        <v>759</v>
      </c>
      <c r="J356" s="240"/>
      <c r="K356" s="240"/>
      <c r="L356" s="154" t="str">
        <f t="shared" si="1"/>
        <v/>
      </c>
      <c r="M356" s="241" t="str">
        <f>IFERROR(__xludf.DUMMYFUNCTION("VLOOKUP(C356,IMPORTRANGE(""https://docs.google.com/spreadsheets/d/1P8eX0NWBhUPS_hvzA11R6jkTNFrPrRYIx_dX_hYbxrk/edit?resourcekey=0-iw9bsKY2OqkUHCFMkCar3A&amp;gid=2055363397#gid=2055363397"",""MTR!C:O""),11,false)"),"")</f>
        <v/>
      </c>
      <c r="N356" s="241" t="str">
        <f>IFERROR(__xludf.DUMMYFUNCTION("VLOOKUP(C356,IMPORTRANGE(""https://docs.google.com/spreadsheets/d/1ihFlp3_ePlYtFuPbUNbYj1muErVpI73WHXbEwJDIA7Q/edit#gid=1493122344"",""MTR!C:O""),8,false)"),"")</f>
        <v/>
      </c>
      <c r="O356" s="241" t="str">
        <f>IFERROR(__xludf.DUMMYFUNCTION("VLOOKUP(C356,IMPORTRANGE(""https://docs.google.com/spreadsheets/d/1P8eX0NWBhUPS_hvzA11R6jkTNFrPrRYIx_dX_hYbxrk/edit?resourcekey=0-iw9bsKY2OqkUHCFMkCar3A&amp;gid=2055363397#gid=2055363397"",""MTR!C:O""),9,false)"),"")</f>
        <v/>
      </c>
      <c r="P356" s="241"/>
      <c r="Q356" s="241"/>
      <c r="R356" s="241"/>
      <c r="S356" s="240" t="s">
        <v>390</v>
      </c>
      <c r="T356" s="240" t="s">
        <v>390</v>
      </c>
      <c r="U356" s="240" t="s">
        <v>390</v>
      </c>
      <c r="V356" s="240" t="s">
        <v>390</v>
      </c>
      <c r="W356" s="240" t="s">
        <v>390</v>
      </c>
      <c r="X356" s="240" t="s">
        <v>390</v>
      </c>
      <c r="Y356" s="240" t="s">
        <v>390</v>
      </c>
      <c r="Z356" s="240" t="s">
        <v>390</v>
      </c>
      <c r="AA356" s="240" t="s">
        <v>390</v>
      </c>
      <c r="AB356" s="240"/>
      <c r="AC356" s="242" t="b">
        <f t="shared" si="2"/>
        <v>0</v>
      </c>
      <c r="AD356" s="240" t="s">
        <v>391</v>
      </c>
      <c r="AE356" s="243" t="b">
        <f t="shared" si="3"/>
        <v>0</v>
      </c>
      <c r="AF356" s="240"/>
      <c r="AG356" s="243" t="b">
        <f t="shared" si="4"/>
        <v>0</v>
      </c>
      <c r="AH356" s="240"/>
      <c r="AI356" s="243" t="str">
        <f t="shared" si="5"/>
        <v>N/A</v>
      </c>
      <c r="AJ356" s="157" t="str">
        <f t="shared" si="6"/>
        <v/>
      </c>
    </row>
    <row r="357" ht="12.75" customHeight="1">
      <c r="A357" s="244" t="s">
        <v>621</v>
      </c>
      <c r="B357" s="244" t="s">
        <v>942</v>
      </c>
      <c r="C357" s="244" t="s">
        <v>1298</v>
      </c>
      <c r="D357" s="244" t="s">
        <v>484</v>
      </c>
      <c r="E357" s="244"/>
      <c r="F357" s="154" t="str">
        <f t="array" ref="F357">XLOOKUP(Cover!$D$12,$S$1:$AA$1,$S357:$AA357)</f>
        <v>Mandatory</v>
      </c>
      <c r="G357" s="154" t="s">
        <v>1299</v>
      </c>
      <c r="H357" s="154" t="s">
        <v>651</v>
      </c>
      <c r="I357" s="154" t="s">
        <v>759</v>
      </c>
      <c r="J357" s="247" t="s">
        <v>445</v>
      </c>
      <c r="K357" s="154"/>
      <c r="L357" s="154" t="str">
        <f t="shared" si="1"/>
        <v/>
      </c>
      <c r="M357" s="248" t="str">
        <f>IFERROR(__xludf.DUMMYFUNCTION("VLOOKUP(C357,IMPORTRANGE(""https://docs.google.com/spreadsheets/d/1P8eX0NWBhUPS_hvzA11R6jkTNFrPrRYIx_dX_hYbxrk/edit?resourcekey=0-iw9bsKY2OqkUHCFMkCar3A&amp;gid=2055363397#gid=2055363397"",""MTR!C:O""),11,false)"),"PMW-MCE-AS")</f>
        <v>PMW-MCE-AS</v>
      </c>
      <c r="N357" s="248" t="str">
        <f>IFERROR(__xludf.DUMMYFUNCTION("VLOOKUP(C357,IMPORTRANGE(""https://docs.google.com/spreadsheets/d/1ihFlp3_ePlYtFuPbUNbYj1muErVpI73WHXbEwJDIA7Q/edit#gid=1493122344"",""MTR!C:O""),8,false)"),"Complies")</f>
        <v>Complies</v>
      </c>
      <c r="O357" s="241" t="str">
        <f>IFERROR(__xludf.DUMMYFUNCTION("VLOOKUP(C357,IMPORTRANGE(""https://docs.google.com/spreadsheets/d/1P8eX0NWBhUPS_hvzA11R6jkTNFrPrRYIx_dX_hYbxrk/edit?resourcekey=0-iw9bsKY2OqkUHCFMkCar3A&amp;gid=2055363397#gid=2055363397"",""MTR!C:O""),9,false)"),"")</f>
        <v/>
      </c>
      <c r="P357" s="241"/>
      <c r="Q357" s="251" t="s">
        <v>445</v>
      </c>
      <c r="R357" s="241"/>
      <c r="S357" s="154" t="s">
        <v>66</v>
      </c>
      <c r="T357" s="154" t="s">
        <v>66</v>
      </c>
      <c r="U357" s="154" t="s">
        <v>60</v>
      </c>
      <c r="V357" s="154" t="s">
        <v>60</v>
      </c>
      <c r="W357" s="154" t="s">
        <v>60</v>
      </c>
      <c r="X357" s="154" t="s">
        <v>60</v>
      </c>
      <c r="Y357" s="154" t="s">
        <v>66</v>
      </c>
      <c r="Z357" s="154" t="s">
        <v>60</v>
      </c>
      <c r="AA357" s="154" t="s">
        <v>60</v>
      </c>
      <c r="AB357" s="154"/>
      <c r="AC357" s="242" t="b">
        <f t="shared" si="2"/>
        <v>1</v>
      </c>
      <c r="AD357" s="154" t="s">
        <v>391</v>
      </c>
      <c r="AE357" s="243" t="b">
        <f t="shared" si="3"/>
        <v>0</v>
      </c>
      <c r="AF357" s="154"/>
      <c r="AG357" s="243" t="b">
        <f t="shared" si="4"/>
        <v>0</v>
      </c>
      <c r="AH357" s="154" t="s">
        <v>637</v>
      </c>
      <c r="AI357" s="243" t="str">
        <f t="shared" si="5"/>
        <v>Complies</v>
      </c>
      <c r="AJ357" s="157" t="str">
        <f t="shared" si="6"/>
        <v/>
      </c>
    </row>
    <row r="358" ht="12.75" customHeight="1">
      <c r="A358" s="244" t="s">
        <v>621</v>
      </c>
      <c r="B358" s="244" t="s">
        <v>942</v>
      </c>
      <c r="C358" s="244" t="s">
        <v>1300</v>
      </c>
      <c r="D358" s="244" t="s">
        <v>967</v>
      </c>
      <c r="E358" s="244"/>
      <c r="F358" s="154" t="str">
        <f t="array" ref="F358">XLOOKUP(Cover!$D$12,$S$1:$AA$1,$S358:$AA358)</f>
        <v>Mandatory</v>
      </c>
      <c r="G358" s="154" t="s">
        <v>1301</v>
      </c>
      <c r="H358" s="154" t="s">
        <v>1005</v>
      </c>
      <c r="I358" s="154" t="s">
        <v>759</v>
      </c>
      <c r="J358" s="247" t="s">
        <v>445</v>
      </c>
      <c r="K358" s="154"/>
      <c r="L358" s="154" t="str">
        <f t="shared" si="1"/>
        <v/>
      </c>
      <c r="M358" s="248" t="str">
        <f>IFERROR(__xludf.DUMMYFUNCTION("VLOOKUP(C358,IMPORTRANGE(""https://docs.google.com/spreadsheets/d/1P8eX0NWBhUPS_hvzA11R6jkTNFrPrRYIx_dX_hYbxrk/edit?resourcekey=0-iw9bsKY2OqkUHCFMkCar3A&amp;gid=2055363397#gid=2055363397"",""MTR!C:O""),11,false)"),"PMW-MCE-AS")</f>
        <v>PMW-MCE-AS</v>
      </c>
      <c r="N358" s="248" t="str">
        <f>IFERROR(__xludf.DUMMYFUNCTION("VLOOKUP(C358,IMPORTRANGE(""https://docs.google.com/spreadsheets/d/1ihFlp3_ePlYtFuPbUNbYj1muErVpI73WHXbEwJDIA7Q/edit#gid=1493122344"",""MTR!C:O""),8,false)"),"Complies")</f>
        <v>Complies</v>
      </c>
      <c r="O358" s="241" t="str">
        <f>IFERROR(__xludf.DUMMYFUNCTION("VLOOKUP(C358,IMPORTRANGE(""https://docs.google.com/spreadsheets/d/1P8eX0NWBhUPS_hvzA11R6jkTNFrPrRYIx_dX_hYbxrk/edit?resourcekey=0-iw9bsKY2OqkUHCFMkCar3A&amp;gid=2055363397#gid=2055363397"",""MTR!C:O""),9,false)"),"")</f>
        <v/>
      </c>
      <c r="P358" s="241"/>
      <c r="Q358" s="251" t="s">
        <v>445</v>
      </c>
      <c r="R358" s="241"/>
      <c r="S358" s="154" t="s">
        <v>66</v>
      </c>
      <c r="T358" s="154" t="s">
        <v>66</v>
      </c>
      <c r="U358" s="154" t="s">
        <v>60</v>
      </c>
      <c r="V358" s="154" t="s">
        <v>60</v>
      </c>
      <c r="W358" s="154" t="s">
        <v>60</v>
      </c>
      <c r="X358" s="154" t="s">
        <v>60</v>
      </c>
      <c r="Y358" s="154" t="s">
        <v>66</v>
      </c>
      <c r="Z358" s="154" t="s">
        <v>60</v>
      </c>
      <c r="AA358" s="154" t="s">
        <v>60</v>
      </c>
      <c r="AB358" s="154"/>
      <c r="AC358" s="242" t="b">
        <f t="shared" si="2"/>
        <v>1</v>
      </c>
      <c r="AD358" s="154" t="s">
        <v>391</v>
      </c>
      <c r="AE358" s="243" t="b">
        <f t="shared" si="3"/>
        <v>0</v>
      </c>
      <c r="AF358" s="154"/>
      <c r="AG358" s="243" t="b">
        <f t="shared" si="4"/>
        <v>0</v>
      </c>
      <c r="AH358" s="154" t="s">
        <v>637</v>
      </c>
      <c r="AI358" s="243" t="str">
        <f t="shared" si="5"/>
        <v>Complies</v>
      </c>
      <c r="AJ358" s="157" t="str">
        <f t="shared" si="6"/>
        <v/>
      </c>
    </row>
    <row r="359" ht="12.75" customHeight="1">
      <c r="A359" s="244" t="s">
        <v>621</v>
      </c>
      <c r="B359" s="244" t="s">
        <v>942</v>
      </c>
      <c r="C359" s="244" t="s">
        <v>1302</v>
      </c>
      <c r="D359" s="244" t="s">
        <v>781</v>
      </c>
      <c r="E359" s="244"/>
      <c r="F359" s="154" t="str">
        <f t="array" ref="F359">XLOOKUP(Cover!$D$12,$S$1:$AA$1,$S359:$AA359)</f>
        <v>Mandatory</v>
      </c>
      <c r="G359" s="154" t="s">
        <v>1303</v>
      </c>
      <c r="H359" s="154" t="s">
        <v>1012</v>
      </c>
      <c r="I359" s="154" t="s">
        <v>759</v>
      </c>
      <c r="J359" s="247" t="s">
        <v>445</v>
      </c>
      <c r="K359" s="154"/>
      <c r="L359" s="154" t="str">
        <f t="shared" si="1"/>
        <v/>
      </c>
      <c r="M359" s="248" t="str">
        <f>IFERROR(__xludf.DUMMYFUNCTION("VLOOKUP(C359,IMPORTRANGE(""https://docs.google.com/spreadsheets/d/1P8eX0NWBhUPS_hvzA11R6jkTNFrPrRYIx_dX_hYbxrk/edit?resourcekey=0-iw9bsKY2OqkUHCFMkCar3A&amp;gid=2055363397#gid=2055363397"",""MTR!C:O""),11,false)"),"PMW-MCE-AS")</f>
        <v>PMW-MCE-AS</v>
      </c>
      <c r="N359" s="248" t="str">
        <f>IFERROR(__xludf.DUMMYFUNCTION("VLOOKUP(C359,IMPORTRANGE(""https://docs.google.com/spreadsheets/d/1ihFlp3_ePlYtFuPbUNbYj1muErVpI73WHXbEwJDIA7Q/edit#gid=1493122344"",""MTR!C:O""),8,false)"),"Complies")</f>
        <v>Complies</v>
      </c>
      <c r="O359" s="241" t="str">
        <f>IFERROR(__xludf.DUMMYFUNCTION("VLOOKUP(C359,IMPORTRANGE(""https://docs.google.com/spreadsheets/d/1P8eX0NWBhUPS_hvzA11R6jkTNFrPrRYIx_dX_hYbxrk/edit?resourcekey=0-iw9bsKY2OqkUHCFMkCar3A&amp;gid=2055363397#gid=2055363397"",""MTR!C:O""),9,false)"),"")</f>
        <v/>
      </c>
      <c r="P359" s="241"/>
      <c r="Q359" s="251" t="s">
        <v>445</v>
      </c>
      <c r="R359" s="241"/>
      <c r="S359" s="154" t="s">
        <v>66</v>
      </c>
      <c r="T359" s="154" t="s">
        <v>66</v>
      </c>
      <c r="U359" s="154" t="s">
        <v>60</v>
      </c>
      <c r="V359" s="154" t="s">
        <v>60</v>
      </c>
      <c r="W359" s="154" t="s">
        <v>60</v>
      </c>
      <c r="X359" s="154" t="s">
        <v>60</v>
      </c>
      <c r="Y359" s="154" t="s">
        <v>66</v>
      </c>
      <c r="Z359" s="154" t="s">
        <v>60</v>
      </c>
      <c r="AA359" s="154" t="s">
        <v>60</v>
      </c>
      <c r="AB359" s="154"/>
      <c r="AC359" s="242" t="b">
        <f t="shared" si="2"/>
        <v>1</v>
      </c>
      <c r="AD359" s="154" t="s">
        <v>391</v>
      </c>
      <c r="AE359" s="243" t="b">
        <f t="shared" si="3"/>
        <v>0</v>
      </c>
      <c r="AF359" s="154"/>
      <c r="AG359" s="243" t="b">
        <f t="shared" si="4"/>
        <v>0</v>
      </c>
      <c r="AH359" s="154" t="s">
        <v>637</v>
      </c>
      <c r="AI359" s="243" t="str">
        <f t="shared" si="5"/>
        <v>Complies</v>
      </c>
      <c r="AJ359" s="157" t="str">
        <f t="shared" si="6"/>
        <v/>
      </c>
    </row>
    <row r="360" ht="12.75" customHeight="1">
      <c r="A360" s="244" t="s">
        <v>621</v>
      </c>
      <c r="B360" s="244" t="s">
        <v>942</v>
      </c>
      <c r="C360" s="244" t="s">
        <v>1304</v>
      </c>
      <c r="D360" s="154" t="s">
        <v>781</v>
      </c>
      <c r="E360" s="250"/>
      <c r="F360" s="154" t="str">
        <f t="array" ref="F360">XLOOKUP(Cover!$D$12,$S$1:$AA$1,$S360:$AA360)</f>
        <v>Recommended</v>
      </c>
      <c r="G360" s="154" t="s">
        <v>1305</v>
      </c>
      <c r="H360" s="154"/>
      <c r="I360" s="154" t="s">
        <v>759</v>
      </c>
      <c r="J360" s="247" t="s">
        <v>445</v>
      </c>
      <c r="K360" s="154"/>
      <c r="L360" s="154" t="str">
        <f t="shared" si="1"/>
        <v/>
      </c>
      <c r="M360" s="248" t="str">
        <f>IFERROR(__xludf.DUMMYFUNCTION("VLOOKUP(C360,IMPORTRANGE(""https://docs.google.com/spreadsheets/d/1P8eX0NWBhUPS_hvzA11R6jkTNFrPrRYIx_dX_hYbxrk/edit?resourcekey=0-iw9bsKY2OqkUHCFMkCar3A&amp;gid=2055363397#gid=2055363397"",""MTR!C:O""),11,false)"),"PMW-MCE-AS")</f>
        <v>PMW-MCE-AS</v>
      </c>
      <c r="N360" s="248" t="str">
        <f>IFERROR(__xludf.DUMMYFUNCTION("VLOOKUP(C360,IMPORTRANGE(""https://docs.google.com/spreadsheets/d/1ihFlp3_ePlYtFuPbUNbYj1muErVpI73WHXbEwJDIA7Q/edit#gid=1493122344"",""MTR!C:O""),8,false)"),"Complies")</f>
        <v>Complies</v>
      </c>
      <c r="O360" s="241" t="str">
        <f>IFERROR(__xludf.DUMMYFUNCTION("VLOOKUP(C360,IMPORTRANGE(""https://docs.google.com/spreadsheets/d/1P8eX0NWBhUPS_hvzA11R6jkTNFrPrRYIx_dX_hYbxrk/edit?resourcekey=0-iw9bsKY2OqkUHCFMkCar3A&amp;gid=2055363397#gid=2055363397"",""MTR!C:O""),9,false)"),"")</f>
        <v/>
      </c>
      <c r="P360" s="241"/>
      <c r="Q360" s="251" t="s">
        <v>445</v>
      </c>
      <c r="R360" s="241"/>
      <c r="S360" s="154" t="s">
        <v>66</v>
      </c>
      <c r="T360" s="154" t="s">
        <v>66</v>
      </c>
      <c r="U360" s="154" t="s">
        <v>64</v>
      </c>
      <c r="V360" s="154" t="s">
        <v>64</v>
      </c>
      <c r="W360" s="154" t="s">
        <v>64</v>
      </c>
      <c r="X360" s="154" t="s">
        <v>64</v>
      </c>
      <c r="Y360" s="154" t="s">
        <v>66</v>
      </c>
      <c r="Z360" s="154" t="s">
        <v>64</v>
      </c>
      <c r="AA360" s="154" t="s">
        <v>64</v>
      </c>
      <c r="AB360" s="154"/>
      <c r="AC360" s="242" t="b">
        <f t="shared" si="2"/>
        <v>1</v>
      </c>
      <c r="AD360" s="154" t="s">
        <v>391</v>
      </c>
      <c r="AE360" s="243" t="b">
        <f t="shared" si="3"/>
        <v>0</v>
      </c>
      <c r="AF360" s="154"/>
      <c r="AG360" s="243" t="b">
        <f t="shared" si="4"/>
        <v>0</v>
      </c>
      <c r="AH360" s="154" t="s">
        <v>637</v>
      </c>
      <c r="AI360" s="243" t="str">
        <f t="shared" si="5"/>
        <v>Complies</v>
      </c>
      <c r="AJ360" s="157" t="str">
        <f t="shared" si="6"/>
        <v/>
      </c>
    </row>
    <row r="361" ht="12.75" customHeight="1">
      <c r="A361" s="244" t="s">
        <v>621</v>
      </c>
      <c r="B361" s="244" t="s">
        <v>942</v>
      </c>
      <c r="C361" s="244" t="s">
        <v>1306</v>
      </c>
      <c r="D361" s="154" t="s">
        <v>781</v>
      </c>
      <c r="E361" s="250"/>
      <c r="F361" s="154" t="str">
        <f t="array" ref="F361">XLOOKUP(Cover!$D$12,$S$1:$AA$1,$S361:$AA361)</f>
        <v>Recommended</v>
      </c>
      <c r="G361" s="154" t="s">
        <v>1307</v>
      </c>
      <c r="H361" s="154"/>
      <c r="I361" s="154" t="s">
        <v>759</v>
      </c>
      <c r="J361" s="247" t="s">
        <v>445</v>
      </c>
      <c r="K361" s="154"/>
      <c r="L361" s="154" t="str">
        <f t="shared" si="1"/>
        <v/>
      </c>
      <c r="M361" s="248" t="str">
        <f>IFERROR(__xludf.DUMMYFUNCTION("VLOOKUP(C361,IMPORTRANGE(""https://docs.google.com/spreadsheets/d/1P8eX0NWBhUPS_hvzA11R6jkTNFrPrRYIx_dX_hYbxrk/edit?resourcekey=0-iw9bsKY2OqkUHCFMkCar3A&amp;gid=2055363397#gid=2055363397"",""MTR!C:O""),11,false)"),"PMW-MCE-AS")</f>
        <v>PMW-MCE-AS</v>
      </c>
      <c r="N361" s="248" t="str">
        <f>IFERROR(__xludf.DUMMYFUNCTION("VLOOKUP(C361,IMPORTRANGE(""https://docs.google.com/spreadsheets/d/1ihFlp3_ePlYtFuPbUNbYj1muErVpI73WHXbEwJDIA7Q/edit#gid=1493122344"",""MTR!C:O""),8,false)"),"Complies")</f>
        <v>Complies</v>
      </c>
      <c r="O361" s="241" t="str">
        <f>IFERROR(__xludf.DUMMYFUNCTION("VLOOKUP(C361,IMPORTRANGE(""https://docs.google.com/spreadsheets/d/1P8eX0NWBhUPS_hvzA11R6jkTNFrPrRYIx_dX_hYbxrk/edit?resourcekey=0-iw9bsKY2OqkUHCFMkCar3A&amp;gid=2055363397#gid=2055363397"",""MTR!C:O""),9,false)"),"")</f>
        <v/>
      </c>
      <c r="P361" s="241"/>
      <c r="Q361" s="251" t="s">
        <v>445</v>
      </c>
      <c r="R361" s="241"/>
      <c r="S361" s="154" t="s">
        <v>66</v>
      </c>
      <c r="T361" s="154" t="s">
        <v>66</v>
      </c>
      <c r="U361" s="154" t="s">
        <v>64</v>
      </c>
      <c r="V361" s="154" t="s">
        <v>64</v>
      </c>
      <c r="W361" s="154" t="s">
        <v>64</v>
      </c>
      <c r="X361" s="154" t="s">
        <v>64</v>
      </c>
      <c r="Y361" s="154" t="s">
        <v>66</v>
      </c>
      <c r="Z361" s="154" t="s">
        <v>64</v>
      </c>
      <c r="AA361" s="154" t="s">
        <v>64</v>
      </c>
      <c r="AB361" s="154"/>
      <c r="AC361" s="242" t="b">
        <f t="shared" si="2"/>
        <v>1</v>
      </c>
      <c r="AD361" s="154" t="s">
        <v>391</v>
      </c>
      <c r="AE361" s="243" t="b">
        <f t="shared" si="3"/>
        <v>0</v>
      </c>
      <c r="AF361" s="154"/>
      <c r="AG361" s="243" t="b">
        <f t="shared" si="4"/>
        <v>0</v>
      </c>
      <c r="AH361" s="154" t="s">
        <v>637</v>
      </c>
      <c r="AI361" s="243" t="str">
        <f t="shared" si="5"/>
        <v>Complies</v>
      </c>
      <c r="AJ361" s="157" t="str">
        <f t="shared" si="6"/>
        <v/>
      </c>
    </row>
    <row r="362" ht="12.75" customHeight="1">
      <c r="A362" s="244" t="s">
        <v>621</v>
      </c>
      <c r="B362" s="244" t="s">
        <v>942</v>
      </c>
      <c r="C362" s="244" t="s">
        <v>1308</v>
      </c>
      <c r="D362" s="154" t="s">
        <v>781</v>
      </c>
      <c r="E362" s="250"/>
      <c r="F362" s="154" t="str">
        <f t="array" ref="F362">XLOOKUP(Cover!$D$12,$S$1:$AA$1,$S362:$AA362)</f>
        <v>Recommended</v>
      </c>
      <c r="G362" s="154" t="s">
        <v>1309</v>
      </c>
      <c r="H362" s="154"/>
      <c r="I362" s="154" t="s">
        <v>759</v>
      </c>
      <c r="J362" s="247" t="s">
        <v>445</v>
      </c>
      <c r="K362" s="154"/>
      <c r="L362" s="154" t="str">
        <f t="shared" si="1"/>
        <v/>
      </c>
      <c r="M362" s="248" t="str">
        <f>IFERROR(__xludf.DUMMYFUNCTION("VLOOKUP(C362,IMPORTRANGE(""https://docs.google.com/spreadsheets/d/1P8eX0NWBhUPS_hvzA11R6jkTNFrPrRYIx_dX_hYbxrk/edit?resourcekey=0-iw9bsKY2OqkUHCFMkCar3A&amp;gid=2055363397#gid=2055363397"",""MTR!C:O""),11,false)"),"PMW-MCE-AS")</f>
        <v>PMW-MCE-AS</v>
      </c>
      <c r="N362" s="248" t="str">
        <f>IFERROR(__xludf.DUMMYFUNCTION("VLOOKUP(C362,IMPORTRANGE(""https://docs.google.com/spreadsheets/d/1ihFlp3_ePlYtFuPbUNbYj1muErVpI73WHXbEwJDIA7Q/edit#gid=1493122344"",""MTR!C:O""),8,false)"),"Complies")</f>
        <v>Complies</v>
      </c>
      <c r="O362" s="241" t="str">
        <f>IFERROR(__xludf.DUMMYFUNCTION("VLOOKUP(C362,IMPORTRANGE(""https://docs.google.com/spreadsheets/d/1P8eX0NWBhUPS_hvzA11R6jkTNFrPrRYIx_dX_hYbxrk/edit?resourcekey=0-iw9bsKY2OqkUHCFMkCar3A&amp;gid=2055363397#gid=2055363397"",""MTR!C:O""),9,false)"),"")</f>
        <v/>
      </c>
      <c r="P362" s="241"/>
      <c r="Q362" s="251" t="s">
        <v>445</v>
      </c>
      <c r="R362" s="241"/>
      <c r="S362" s="154" t="s">
        <v>66</v>
      </c>
      <c r="T362" s="154" t="s">
        <v>66</v>
      </c>
      <c r="U362" s="154" t="s">
        <v>64</v>
      </c>
      <c r="V362" s="154" t="s">
        <v>64</v>
      </c>
      <c r="W362" s="154" t="s">
        <v>64</v>
      </c>
      <c r="X362" s="154" t="s">
        <v>64</v>
      </c>
      <c r="Y362" s="154" t="s">
        <v>66</v>
      </c>
      <c r="Z362" s="154" t="s">
        <v>64</v>
      </c>
      <c r="AA362" s="154" t="s">
        <v>64</v>
      </c>
      <c r="AB362" s="154"/>
      <c r="AC362" s="242" t="b">
        <f t="shared" si="2"/>
        <v>1</v>
      </c>
      <c r="AD362" s="154" t="s">
        <v>391</v>
      </c>
      <c r="AE362" s="243" t="b">
        <f t="shared" si="3"/>
        <v>0</v>
      </c>
      <c r="AF362" s="154"/>
      <c r="AG362" s="243" t="b">
        <f t="shared" si="4"/>
        <v>0</v>
      </c>
      <c r="AH362" s="154" t="s">
        <v>637</v>
      </c>
      <c r="AI362" s="243" t="str">
        <f t="shared" si="5"/>
        <v>Complies</v>
      </c>
      <c r="AJ362" s="157" t="str">
        <f t="shared" si="6"/>
        <v/>
      </c>
    </row>
    <row r="363" ht="12.75" customHeight="1">
      <c r="A363" s="244" t="s">
        <v>621</v>
      </c>
      <c r="B363" s="244" t="s">
        <v>942</v>
      </c>
      <c r="C363" s="244" t="s">
        <v>1310</v>
      </c>
      <c r="D363" s="154" t="s">
        <v>781</v>
      </c>
      <c r="E363" s="250"/>
      <c r="F363" s="154" t="str">
        <f t="array" ref="F363">XLOOKUP(Cover!$D$12,$S$1:$AA$1,$S363:$AA363)</f>
        <v>Recommended</v>
      </c>
      <c r="G363" s="154" t="s">
        <v>1311</v>
      </c>
      <c r="H363" s="154"/>
      <c r="I363" s="154" t="s">
        <v>759</v>
      </c>
      <c r="J363" s="247" t="s">
        <v>516</v>
      </c>
      <c r="K363" s="154"/>
      <c r="L363" s="154" t="str">
        <f t="shared" si="1"/>
        <v/>
      </c>
      <c r="M363" s="248" t="str">
        <f>IFERROR(__xludf.DUMMYFUNCTION("VLOOKUP(C363,IMPORTRANGE(""https://docs.google.com/spreadsheets/d/1P8eX0NWBhUPS_hvzA11R6jkTNFrPrRYIx_dX_hYbxrk/edit?resourcekey=0-iw9bsKY2OqkUHCFMkCar3A&amp;gid=2055363397#gid=2055363397"",""MTR!C:O""),11,false)"),"PMW-MCE-AS")</f>
        <v>PMW-MCE-AS</v>
      </c>
      <c r="N363" s="248" t="str">
        <f>IFERROR(__xludf.DUMMYFUNCTION("VLOOKUP(C363,IMPORTRANGE(""https://docs.google.com/spreadsheets/d/1ihFlp3_ePlYtFuPbUNbYj1muErVpI73WHXbEwJDIA7Q/edit#gid=1493122344"",""MTR!C:O""),8,false)"),"Does Not Comply")</f>
        <v>Does Not Comply</v>
      </c>
      <c r="O363" s="241" t="str">
        <f>IFERROR(__xludf.DUMMYFUNCTION("VLOOKUP(C363,IMPORTRANGE(""https://docs.google.com/spreadsheets/d/1P8eX0NWBhUPS_hvzA11R6jkTNFrPrRYIx_dX_hYbxrk/edit?resourcekey=0-iw9bsKY2OqkUHCFMkCar3A&amp;gid=2055363397#gid=2055363397"",""MTR!C:O""),9,false)"),"")</f>
        <v/>
      </c>
      <c r="P363" s="241"/>
      <c r="Q363" s="251" t="s">
        <v>516</v>
      </c>
      <c r="R363" s="241"/>
      <c r="S363" s="154" t="s">
        <v>66</v>
      </c>
      <c r="T363" s="154" t="s">
        <v>66</v>
      </c>
      <c r="U363" s="154" t="s">
        <v>64</v>
      </c>
      <c r="V363" s="154" t="s">
        <v>64</v>
      </c>
      <c r="W363" s="154" t="s">
        <v>64</v>
      </c>
      <c r="X363" s="154" t="s">
        <v>64</v>
      </c>
      <c r="Y363" s="154" t="s">
        <v>66</v>
      </c>
      <c r="Z363" s="154" t="s">
        <v>64</v>
      </c>
      <c r="AA363" s="154" t="s">
        <v>64</v>
      </c>
      <c r="AB363" s="154"/>
      <c r="AC363" s="242" t="b">
        <f t="shared" si="2"/>
        <v>1</v>
      </c>
      <c r="AD363" s="154" t="s">
        <v>391</v>
      </c>
      <c r="AE363" s="243" t="b">
        <f t="shared" si="3"/>
        <v>0</v>
      </c>
      <c r="AF363" s="154"/>
      <c r="AG363" s="243" t="b">
        <f t="shared" si="4"/>
        <v>0</v>
      </c>
      <c r="AH363" s="154" t="s">
        <v>637</v>
      </c>
      <c r="AI363" s="243" t="str">
        <f t="shared" si="5"/>
        <v>Complies</v>
      </c>
      <c r="AJ363" s="157" t="str">
        <f t="shared" si="6"/>
        <v/>
      </c>
    </row>
    <row r="364" ht="12.75" customHeight="1">
      <c r="A364" s="244" t="s">
        <v>621</v>
      </c>
      <c r="B364" s="244" t="s">
        <v>942</v>
      </c>
      <c r="C364" s="244" t="s">
        <v>1312</v>
      </c>
      <c r="D364" s="154" t="s">
        <v>781</v>
      </c>
      <c r="E364" s="250"/>
      <c r="F364" s="154" t="str">
        <f t="array" ref="F364">XLOOKUP(Cover!$D$12,$S$1:$AA$1,$S364:$AA364)</f>
        <v>Information</v>
      </c>
      <c r="G364" s="154" t="s">
        <v>1313</v>
      </c>
      <c r="H364" s="154"/>
      <c r="I364" s="154" t="s">
        <v>759</v>
      </c>
      <c r="J364" s="247" t="s">
        <v>445</v>
      </c>
      <c r="K364" s="154"/>
      <c r="L364" s="154" t="str">
        <f t="shared" si="1"/>
        <v/>
      </c>
      <c r="M364" s="253" t="str">
        <f>IFERROR(__xludf.DUMMYFUNCTION("VLOOKUP(C364,IMPORTRANGE(""https://docs.google.com/spreadsheets/d/1P8eX0NWBhUPS_hvzA11R6jkTNFrPrRYIx_dX_hYbxrk/edit?resourcekey=0-iw9bsKY2OqkUHCFMkCar3A&amp;gid=2055363397#gid=2055363397"",""MTR!C:O""),11,false)"),"#N/A")</f>
        <v>#N/A</v>
      </c>
      <c r="N364" s="248" t="str">
        <f>IFERROR(__xludf.DUMMYFUNCTION("VLOOKUP(C364,IMPORTRANGE(""https://docs.google.com/spreadsheets/d/1ihFlp3_ePlYtFuPbUNbYj1muErVpI73WHXbEwJDIA7Q/edit#gid=1493122344"",""MTR!C:O""),8,false)"),"Complies")</f>
        <v>Complies</v>
      </c>
      <c r="O364" s="241" t="str">
        <f>IFERROR(__xludf.DUMMYFUNCTION("VLOOKUP(C364,IMPORTRANGE(""https://docs.google.com/spreadsheets/d/1P8eX0NWBhUPS_hvzA11R6jkTNFrPrRYIx_dX_hYbxrk/edit?resourcekey=0-iw9bsKY2OqkUHCFMkCar3A&amp;gid=2055363397#gid=2055363397"",""MTR!C:O""),9,false)"),"")</f>
        <v/>
      </c>
      <c r="P364" s="241"/>
      <c r="Q364" s="251" t="s">
        <v>445</v>
      </c>
      <c r="R364" s="241"/>
      <c r="S364" s="154" t="s">
        <v>66</v>
      </c>
      <c r="T364" s="154" t="s">
        <v>66</v>
      </c>
      <c r="U364" s="154" t="s">
        <v>66</v>
      </c>
      <c r="V364" s="154" t="s">
        <v>66</v>
      </c>
      <c r="W364" s="154" t="s">
        <v>66</v>
      </c>
      <c r="X364" s="154" t="s">
        <v>66</v>
      </c>
      <c r="Y364" s="154" t="s">
        <v>66</v>
      </c>
      <c r="Z364" s="154" t="s">
        <v>66</v>
      </c>
      <c r="AA364" s="154" t="s">
        <v>66</v>
      </c>
      <c r="AB364" s="154"/>
      <c r="AC364" s="242" t="b">
        <f t="shared" si="2"/>
        <v>1</v>
      </c>
      <c r="AD364" s="154" t="s">
        <v>391</v>
      </c>
      <c r="AE364" s="243" t="b">
        <f t="shared" si="3"/>
        <v>0</v>
      </c>
      <c r="AF364" s="154"/>
      <c r="AG364" s="243" t="b">
        <f t="shared" si="4"/>
        <v>0</v>
      </c>
      <c r="AH364" s="154" t="s">
        <v>637</v>
      </c>
      <c r="AI364" s="243" t="str">
        <f t="shared" si="5"/>
        <v>Complies</v>
      </c>
      <c r="AJ364" s="157" t="str">
        <f t="shared" si="6"/>
        <v/>
      </c>
    </row>
    <row r="365" ht="12.75" customHeight="1">
      <c r="A365" s="244" t="s">
        <v>621</v>
      </c>
      <c r="B365" s="244" t="s">
        <v>942</v>
      </c>
      <c r="C365" s="244" t="s">
        <v>1314</v>
      </c>
      <c r="D365" s="244" t="s">
        <v>1315</v>
      </c>
      <c r="E365" s="244"/>
      <c r="F365" s="154" t="str">
        <f t="array" ref="F365">XLOOKUP(Cover!$D$12,$S$1:$AA$1,$S365:$AA365)</f>
        <v>Mandatory</v>
      </c>
      <c r="G365" s="154" t="s">
        <v>1316</v>
      </c>
      <c r="H365" s="154" t="s">
        <v>1018</v>
      </c>
      <c r="I365" s="154" t="s">
        <v>759</v>
      </c>
      <c r="J365" s="247" t="s">
        <v>445</v>
      </c>
      <c r="K365" s="247" t="s">
        <v>1317</v>
      </c>
      <c r="L365" s="154" t="str">
        <f t="shared" si="1"/>
        <v/>
      </c>
      <c r="M365" s="248" t="str">
        <f>IFERROR(__xludf.DUMMYFUNCTION("VLOOKUP(C365,IMPORTRANGE(""https://docs.google.com/spreadsheets/d/1P8eX0NWBhUPS_hvzA11R6jkTNFrPrRYIx_dX_hYbxrk/edit?resourcekey=0-iw9bsKY2OqkUHCFMkCar3A&amp;gid=2055363397#gid=2055363397"",""MTR!C:O""),11,false)"),"PMW-MCE-AS")</f>
        <v>PMW-MCE-AS</v>
      </c>
      <c r="N365" s="248" t="str">
        <f>IFERROR(__xludf.DUMMYFUNCTION("VLOOKUP(C365,IMPORTRANGE(""https://docs.google.com/spreadsheets/d/1ihFlp3_ePlYtFuPbUNbYj1muErVpI73WHXbEwJDIA7Q/edit#gid=1493122344"",""MTR!C:O""),8,false)"),"Complies")</f>
        <v>Complies</v>
      </c>
      <c r="O365" s="241" t="str">
        <f>IFERROR(__xludf.DUMMYFUNCTION("VLOOKUP(C365,IMPORTRANGE(""https://docs.google.com/spreadsheets/d/1P8eX0NWBhUPS_hvzA11R6jkTNFrPrRYIx_dX_hYbxrk/edit?resourcekey=0-iw9bsKY2OqkUHCFMkCar3A&amp;gid=2055363397#gid=2055363397"",""MTR!C:O""),9,false)"),"")</f>
        <v/>
      </c>
      <c r="P365" s="241"/>
      <c r="Q365" s="251" t="s">
        <v>445</v>
      </c>
      <c r="R365" s="251" t="s">
        <v>1317</v>
      </c>
      <c r="S365" s="154" t="s">
        <v>66</v>
      </c>
      <c r="T365" s="154" t="s">
        <v>66</v>
      </c>
      <c r="U365" s="154" t="s">
        <v>60</v>
      </c>
      <c r="V365" s="154" t="s">
        <v>60</v>
      </c>
      <c r="W365" s="154" t="s">
        <v>60</v>
      </c>
      <c r="X365" s="154" t="s">
        <v>60</v>
      </c>
      <c r="Y365" s="154" t="s">
        <v>66</v>
      </c>
      <c r="Z365" s="154" t="s">
        <v>60</v>
      </c>
      <c r="AA365" s="154" t="s">
        <v>60</v>
      </c>
      <c r="AB365" s="154"/>
      <c r="AC365" s="242" t="b">
        <f t="shared" si="2"/>
        <v>1</v>
      </c>
      <c r="AD365" s="154" t="s">
        <v>391</v>
      </c>
      <c r="AE365" s="243" t="b">
        <f t="shared" si="3"/>
        <v>0</v>
      </c>
      <c r="AF365" s="154"/>
      <c r="AG365" s="243" t="b">
        <f t="shared" si="4"/>
        <v>0</v>
      </c>
      <c r="AH365" s="154"/>
      <c r="AI365" s="243" t="str">
        <f t="shared" si="5"/>
        <v>N/A</v>
      </c>
      <c r="AJ365" s="157" t="str">
        <f t="shared" si="6"/>
        <v/>
      </c>
    </row>
    <row r="366" ht="12.75" customHeight="1">
      <c r="A366" s="238" t="s">
        <v>621</v>
      </c>
      <c r="B366" s="238" t="s">
        <v>942</v>
      </c>
      <c r="C366" s="238" t="s">
        <v>1318</v>
      </c>
      <c r="D366" s="240"/>
      <c r="E366" s="252" t="s">
        <v>92</v>
      </c>
      <c r="F366" s="154" t="str">
        <f t="array" ref="F366">XLOOKUP(Cover!$D$12,$S$1:$AA$1,$S366:$AA366)</f>
        <v>Heading</v>
      </c>
      <c r="G366" s="239" t="s">
        <v>1319</v>
      </c>
      <c r="H366" s="240"/>
      <c r="I366" s="240" t="s">
        <v>389</v>
      </c>
      <c r="J366" s="240"/>
      <c r="K366" s="240"/>
      <c r="L366" s="154" t="str">
        <f t="shared" si="1"/>
        <v/>
      </c>
      <c r="M366" s="241" t="str">
        <f>IFERROR(__xludf.DUMMYFUNCTION("VLOOKUP(C366,IMPORTRANGE(""https://docs.google.com/spreadsheets/d/1P8eX0NWBhUPS_hvzA11R6jkTNFrPrRYIx_dX_hYbxrk/edit?resourcekey=0-iw9bsKY2OqkUHCFMkCar3A&amp;gid=2055363397#gid=2055363397"",""MTR!C:O""),11,false)"),"")</f>
        <v/>
      </c>
      <c r="N366" s="241" t="str">
        <f>IFERROR(__xludf.DUMMYFUNCTION("VLOOKUP(C366,IMPORTRANGE(""https://docs.google.com/spreadsheets/d/1ihFlp3_ePlYtFuPbUNbYj1muErVpI73WHXbEwJDIA7Q/edit#gid=1493122344"",""MTR!C:O""),8,false)"),"")</f>
        <v/>
      </c>
      <c r="O366" s="241" t="str">
        <f>IFERROR(__xludf.DUMMYFUNCTION("VLOOKUP(C366,IMPORTRANGE(""https://docs.google.com/spreadsheets/d/1P8eX0NWBhUPS_hvzA11R6jkTNFrPrRYIx_dX_hYbxrk/edit?resourcekey=0-iw9bsKY2OqkUHCFMkCar3A&amp;gid=2055363397#gid=2055363397"",""MTR!C:O""),9,false)"),"")</f>
        <v/>
      </c>
      <c r="P366" s="241"/>
      <c r="Q366" s="241"/>
      <c r="R366" s="241"/>
      <c r="S366" s="240" t="s">
        <v>390</v>
      </c>
      <c r="T366" s="240" t="s">
        <v>390</v>
      </c>
      <c r="U366" s="240" t="s">
        <v>390</v>
      </c>
      <c r="V366" s="240" t="s">
        <v>390</v>
      </c>
      <c r="W366" s="240" t="s">
        <v>390</v>
      </c>
      <c r="X366" s="240" t="s">
        <v>390</v>
      </c>
      <c r="Y366" s="240" t="s">
        <v>390</v>
      </c>
      <c r="Z366" s="240" t="s">
        <v>390</v>
      </c>
      <c r="AA366" s="240" t="s">
        <v>390</v>
      </c>
      <c r="AB366" s="240"/>
      <c r="AC366" s="242" t="b">
        <f t="shared" si="2"/>
        <v>0</v>
      </c>
      <c r="AD366" s="240" t="s">
        <v>391</v>
      </c>
      <c r="AE366" s="243" t="b">
        <f t="shared" si="3"/>
        <v>0</v>
      </c>
      <c r="AF366" s="240"/>
      <c r="AG366" s="243" t="b">
        <f t="shared" si="4"/>
        <v>0</v>
      </c>
      <c r="AH366" s="240"/>
      <c r="AI366" s="243" t="str">
        <f t="shared" si="5"/>
        <v>N/A</v>
      </c>
      <c r="AJ366" s="157" t="str">
        <f t="shared" si="6"/>
        <v/>
      </c>
    </row>
    <row r="367" ht="12.75" customHeight="1">
      <c r="A367" s="238" t="s">
        <v>621</v>
      </c>
      <c r="B367" s="238" t="s">
        <v>942</v>
      </c>
      <c r="C367" s="238" t="s">
        <v>1320</v>
      </c>
      <c r="D367" s="240"/>
      <c r="E367" s="252" t="s">
        <v>92</v>
      </c>
      <c r="F367" s="154" t="str">
        <f t="array" ref="F367">XLOOKUP(Cover!$D$12,$S$1:$AA$1,$S367:$AA367)</f>
        <v>Heading</v>
      </c>
      <c r="G367" s="239" t="s">
        <v>1321</v>
      </c>
      <c r="H367" s="240"/>
      <c r="I367" s="240" t="s">
        <v>389</v>
      </c>
      <c r="J367" s="240"/>
      <c r="K367" s="240"/>
      <c r="L367" s="154" t="str">
        <f t="shared" si="1"/>
        <v/>
      </c>
      <c r="M367" s="241" t="str">
        <f>IFERROR(__xludf.DUMMYFUNCTION("VLOOKUP(C367,IMPORTRANGE(""https://docs.google.com/spreadsheets/d/1P8eX0NWBhUPS_hvzA11R6jkTNFrPrRYIx_dX_hYbxrk/edit?resourcekey=0-iw9bsKY2OqkUHCFMkCar3A&amp;gid=2055363397#gid=2055363397"",""MTR!C:O""),11,false)"),"")</f>
        <v/>
      </c>
      <c r="N367" s="241" t="str">
        <f>IFERROR(__xludf.DUMMYFUNCTION("VLOOKUP(C367,IMPORTRANGE(""https://docs.google.com/spreadsheets/d/1ihFlp3_ePlYtFuPbUNbYj1muErVpI73WHXbEwJDIA7Q/edit#gid=1493122344"",""MTR!C:O""),8,false)"),"")</f>
        <v/>
      </c>
      <c r="O367" s="241" t="str">
        <f>IFERROR(__xludf.DUMMYFUNCTION("VLOOKUP(C367,IMPORTRANGE(""https://docs.google.com/spreadsheets/d/1P8eX0NWBhUPS_hvzA11R6jkTNFrPrRYIx_dX_hYbxrk/edit?resourcekey=0-iw9bsKY2OqkUHCFMkCar3A&amp;gid=2055363397#gid=2055363397"",""MTR!C:O""),9,false)"),"")</f>
        <v/>
      </c>
      <c r="P367" s="241"/>
      <c r="Q367" s="241"/>
      <c r="R367" s="241"/>
      <c r="S367" s="240" t="s">
        <v>390</v>
      </c>
      <c r="T367" s="240" t="s">
        <v>390</v>
      </c>
      <c r="U367" s="240" t="s">
        <v>390</v>
      </c>
      <c r="V367" s="240" t="s">
        <v>390</v>
      </c>
      <c r="W367" s="240" t="s">
        <v>390</v>
      </c>
      <c r="X367" s="240" t="s">
        <v>390</v>
      </c>
      <c r="Y367" s="240" t="s">
        <v>390</v>
      </c>
      <c r="Z367" s="240" t="s">
        <v>390</v>
      </c>
      <c r="AA367" s="240" t="s">
        <v>390</v>
      </c>
      <c r="AB367" s="240"/>
      <c r="AC367" s="242" t="b">
        <f t="shared" si="2"/>
        <v>0</v>
      </c>
      <c r="AD367" s="240" t="s">
        <v>391</v>
      </c>
      <c r="AE367" s="243" t="b">
        <f t="shared" si="3"/>
        <v>0</v>
      </c>
      <c r="AF367" s="240"/>
      <c r="AG367" s="243" t="b">
        <f t="shared" si="4"/>
        <v>0</v>
      </c>
      <c r="AH367" s="240"/>
      <c r="AI367" s="243" t="str">
        <f t="shared" si="5"/>
        <v>N/A</v>
      </c>
      <c r="AJ367" s="157" t="str">
        <f t="shared" si="6"/>
        <v/>
      </c>
    </row>
    <row r="368" ht="12.75" customHeight="1">
      <c r="A368" s="244" t="s">
        <v>621</v>
      </c>
      <c r="B368" s="244" t="s">
        <v>942</v>
      </c>
      <c r="C368" s="244" t="s">
        <v>1322</v>
      </c>
      <c r="D368" s="154" t="s">
        <v>642</v>
      </c>
      <c r="E368" s="250"/>
      <c r="F368" s="154" t="str">
        <f t="array" ref="F368">XLOOKUP(Cover!$D$12,$S$1:$AA$1,$S368:$AA368)</f>
        <v>Mandatory</v>
      </c>
      <c r="G368" s="153" t="s">
        <v>1323</v>
      </c>
      <c r="H368" s="154" t="s">
        <v>144</v>
      </c>
      <c r="I368" s="154" t="s">
        <v>389</v>
      </c>
      <c r="J368" s="247" t="s">
        <v>445</v>
      </c>
      <c r="K368" s="154"/>
      <c r="L368" s="154" t="str">
        <f t="shared" si="1"/>
        <v/>
      </c>
      <c r="M368" s="248" t="str">
        <f>IFERROR(__xludf.DUMMYFUNCTION("VLOOKUP(C368,IMPORTRANGE(""https://docs.google.com/spreadsheets/d/1P8eX0NWBhUPS_hvzA11R6jkTNFrPrRYIx_dX_hYbxrk/edit?resourcekey=0-iw9bsKY2OqkUHCFMkCar3A&amp;gid=2055363397#gid=2055363397"",""MTR!C:O""),11,false)"),"PMW-MCE-NAS")</f>
        <v>PMW-MCE-NAS</v>
      </c>
      <c r="N368" s="248" t="str">
        <f>IFERROR(__xludf.DUMMYFUNCTION("VLOOKUP(C368,IMPORTRANGE(""https://docs.google.com/spreadsheets/d/1ihFlp3_ePlYtFuPbUNbYj1muErVpI73WHXbEwJDIA7Q/edit#gid=1493122344"",""MTR!C:O""),8,false)"),"Complies")</f>
        <v>Complies</v>
      </c>
      <c r="O368" s="241" t="str">
        <f>IFERROR(__xludf.DUMMYFUNCTION("VLOOKUP(C368,IMPORTRANGE(""https://docs.google.com/spreadsheets/d/1P8eX0NWBhUPS_hvzA11R6jkTNFrPrRYIx_dX_hYbxrk/edit?resourcekey=0-iw9bsKY2OqkUHCFMkCar3A&amp;gid=2055363397#gid=2055363397"",""MTR!C:O""),9,false)"),"")</f>
        <v/>
      </c>
      <c r="P368" s="241"/>
      <c r="Q368" s="251" t="s">
        <v>445</v>
      </c>
      <c r="R368" s="241"/>
      <c r="S368" s="154" t="s">
        <v>60</v>
      </c>
      <c r="T368" s="154" t="s">
        <v>60</v>
      </c>
      <c r="U368" s="154" t="s">
        <v>60</v>
      </c>
      <c r="V368" s="154" t="s">
        <v>60</v>
      </c>
      <c r="W368" s="154" t="s">
        <v>60</v>
      </c>
      <c r="X368" s="154" t="s">
        <v>60</v>
      </c>
      <c r="Y368" s="154" t="s">
        <v>60</v>
      </c>
      <c r="Z368" s="154" t="s">
        <v>60</v>
      </c>
      <c r="AA368" s="154" t="s">
        <v>60</v>
      </c>
      <c r="AB368" s="154"/>
      <c r="AC368" s="242" t="b">
        <f t="shared" si="2"/>
        <v>1</v>
      </c>
      <c r="AD368" s="154" t="s">
        <v>516</v>
      </c>
      <c r="AE368" s="243" t="b">
        <f t="shared" si="3"/>
        <v>0</v>
      </c>
      <c r="AF368" s="154"/>
      <c r="AG368" s="243" t="b">
        <f t="shared" si="4"/>
        <v>0</v>
      </c>
      <c r="AH368" s="154" t="s">
        <v>637</v>
      </c>
      <c r="AI368" s="243" t="str">
        <f t="shared" si="5"/>
        <v>Complies</v>
      </c>
      <c r="AJ368" s="157" t="str">
        <f t="shared" si="6"/>
        <v/>
      </c>
    </row>
    <row r="369" ht="12.75" customHeight="1">
      <c r="A369" s="238" t="s">
        <v>621</v>
      </c>
      <c r="B369" s="238" t="s">
        <v>942</v>
      </c>
      <c r="C369" s="238" t="s">
        <v>1324</v>
      </c>
      <c r="D369" s="240"/>
      <c r="E369" s="252" t="s">
        <v>92</v>
      </c>
      <c r="F369" s="154" t="str">
        <f t="array" ref="F369">XLOOKUP(Cover!$D$12,$S$1:$AA$1,$S369:$AA369)</f>
        <v>Heading</v>
      </c>
      <c r="G369" s="239" t="s">
        <v>1325</v>
      </c>
      <c r="H369" s="240"/>
      <c r="I369" s="240" t="s">
        <v>389</v>
      </c>
      <c r="J369" s="240"/>
      <c r="K369" s="240"/>
      <c r="L369" s="154" t="str">
        <f t="shared" si="1"/>
        <v/>
      </c>
      <c r="M369" s="241" t="str">
        <f>IFERROR(__xludf.DUMMYFUNCTION("VLOOKUP(C369,IMPORTRANGE(""https://docs.google.com/spreadsheets/d/1P8eX0NWBhUPS_hvzA11R6jkTNFrPrRYIx_dX_hYbxrk/edit?resourcekey=0-iw9bsKY2OqkUHCFMkCar3A&amp;gid=2055363397#gid=2055363397"",""MTR!C:O""),11,false)"),"")</f>
        <v/>
      </c>
      <c r="N369" s="241" t="str">
        <f>IFERROR(__xludf.DUMMYFUNCTION("VLOOKUP(C369,IMPORTRANGE(""https://docs.google.com/spreadsheets/d/1ihFlp3_ePlYtFuPbUNbYj1muErVpI73WHXbEwJDIA7Q/edit#gid=1493122344"",""MTR!C:O""),8,false)"),"")</f>
        <v/>
      </c>
      <c r="O369" s="241" t="str">
        <f>IFERROR(__xludf.DUMMYFUNCTION("VLOOKUP(C369,IMPORTRANGE(""https://docs.google.com/spreadsheets/d/1P8eX0NWBhUPS_hvzA11R6jkTNFrPrRYIx_dX_hYbxrk/edit?resourcekey=0-iw9bsKY2OqkUHCFMkCar3A&amp;gid=2055363397#gid=2055363397"",""MTR!C:O""),9,false)"),"")</f>
        <v/>
      </c>
      <c r="P369" s="241"/>
      <c r="Q369" s="241"/>
      <c r="R369" s="241"/>
      <c r="S369" s="240" t="s">
        <v>390</v>
      </c>
      <c r="T369" s="240" t="s">
        <v>390</v>
      </c>
      <c r="U369" s="240" t="s">
        <v>390</v>
      </c>
      <c r="V369" s="240" t="s">
        <v>390</v>
      </c>
      <c r="W369" s="240" t="s">
        <v>390</v>
      </c>
      <c r="X369" s="240" t="s">
        <v>390</v>
      </c>
      <c r="Y369" s="240" t="s">
        <v>390</v>
      </c>
      <c r="Z369" s="240" t="s">
        <v>390</v>
      </c>
      <c r="AA369" s="240" t="s">
        <v>390</v>
      </c>
      <c r="AB369" s="240"/>
      <c r="AC369" s="242" t="b">
        <f t="shared" si="2"/>
        <v>0</v>
      </c>
      <c r="AD369" s="240" t="s">
        <v>391</v>
      </c>
      <c r="AE369" s="243" t="b">
        <f t="shared" si="3"/>
        <v>0</v>
      </c>
      <c r="AF369" s="240"/>
      <c r="AG369" s="243" t="b">
        <f t="shared" si="4"/>
        <v>0</v>
      </c>
      <c r="AH369" s="240"/>
      <c r="AI369" s="243" t="str">
        <f t="shared" si="5"/>
        <v>N/A</v>
      </c>
      <c r="AJ369" s="157" t="str">
        <f t="shared" si="6"/>
        <v/>
      </c>
    </row>
    <row r="370" ht="12.75" customHeight="1">
      <c r="A370" s="244" t="s">
        <v>621</v>
      </c>
      <c r="B370" s="244" t="s">
        <v>942</v>
      </c>
      <c r="C370" s="244" t="s">
        <v>1326</v>
      </c>
      <c r="D370" s="154" t="s">
        <v>642</v>
      </c>
      <c r="E370" s="250"/>
      <c r="F370" s="154" t="str">
        <f t="array" ref="F370">XLOOKUP(Cover!$D$12,$S$1:$AA$1,$S370:$AA370)</f>
        <v>Recommended</v>
      </c>
      <c r="G370" s="154" t="s">
        <v>1327</v>
      </c>
      <c r="H370" s="154"/>
      <c r="I370" s="154" t="s">
        <v>389</v>
      </c>
      <c r="J370" s="247" t="s">
        <v>516</v>
      </c>
      <c r="K370" s="154"/>
      <c r="L370" s="154" t="str">
        <f t="shared" si="1"/>
        <v/>
      </c>
      <c r="M370" s="248" t="str">
        <f>IFERROR(__xludf.DUMMYFUNCTION("VLOOKUP(C370,IMPORTRANGE(""https://docs.google.com/spreadsheets/d/1P8eX0NWBhUPS_hvzA11R6jkTNFrPrRYIx_dX_hYbxrk/edit?resourcekey=0-iw9bsKY2OqkUHCFMkCar3A&amp;gid=2055363397#gid=2055363397"",""MTR!C:O""),11,false)"),"PMW-MCE-AS")</f>
        <v>PMW-MCE-AS</v>
      </c>
      <c r="N370" s="248" t="str">
        <f>IFERROR(__xludf.DUMMYFUNCTION("VLOOKUP(C370,IMPORTRANGE(""https://docs.google.com/spreadsheets/d/1ihFlp3_ePlYtFuPbUNbYj1muErVpI73WHXbEwJDIA7Q/edit#gid=1493122344"",""MTR!C:O""),8,false)"),"Does Not Comply")</f>
        <v>Does Not Comply</v>
      </c>
      <c r="O370" s="241" t="str">
        <f>IFERROR(__xludf.DUMMYFUNCTION("VLOOKUP(C370,IMPORTRANGE(""https://docs.google.com/spreadsheets/d/1P8eX0NWBhUPS_hvzA11R6jkTNFrPrRYIx_dX_hYbxrk/edit?resourcekey=0-iw9bsKY2OqkUHCFMkCar3A&amp;gid=2055363397#gid=2055363397"",""MTR!C:O""),9,false)"),"")</f>
        <v/>
      </c>
      <c r="P370" s="241"/>
      <c r="Q370" s="251" t="s">
        <v>516</v>
      </c>
      <c r="R370" s="241"/>
      <c r="S370" s="154" t="s">
        <v>64</v>
      </c>
      <c r="T370" s="154" t="s">
        <v>64</v>
      </c>
      <c r="U370" s="154" t="s">
        <v>64</v>
      </c>
      <c r="V370" s="154" t="s">
        <v>64</v>
      </c>
      <c r="W370" s="154" t="s">
        <v>64</v>
      </c>
      <c r="X370" s="154" t="s">
        <v>64</v>
      </c>
      <c r="Y370" s="154" t="s">
        <v>64</v>
      </c>
      <c r="Z370" s="154" t="s">
        <v>64</v>
      </c>
      <c r="AA370" s="154" t="s">
        <v>64</v>
      </c>
      <c r="AB370" s="154"/>
      <c r="AC370" s="242" t="b">
        <f t="shared" si="2"/>
        <v>1</v>
      </c>
      <c r="AD370" s="154" t="s">
        <v>391</v>
      </c>
      <c r="AE370" s="243" t="b">
        <f t="shared" si="3"/>
        <v>0</v>
      </c>
      <c r="AF370" s="154"/>
      <c r="AG370" s="243" t="b">
        <f t="shared" si="4"/>
        <v>0</v>
      </c>
      <c r="AH370" s="154" t="s">
        <v>637</v>
      </c>
      <c r="AI370" s="243" t="str">
        <f t="shared" si="5"/>
        <v>Complies</v>
      </c>
      <c r="AJ370" s="157" t="str">
        <f t="shared" si="6"/>
        <v/>
      </c>
    </row>
    <row r="371" ht="12.75" customHeight="1">
      <c r="A371" s="244" t="s">
        <v>621</v>
      </c>
      <c r="B371" s="244" t="s">
        <v>942</v>
      </c>
      <c r="C371" s="244" t="s">
        <v>1328</v>
      </c>
      <c r="D371" s="154" t="s">
        <v>1211</v>
      </c>
      <c r="E371" s="250"/>
      <c r="F371" s="154" t="str">
        <f t="array" ref="F371">XLOOKUP(Cover!$D$12,$S$1:$AA$1,$S371:$AA371)</f>
        <v>Recommended</v>
      </c>
      <c r="G371" s="154" t="s">
        <v>1329</v>
      </c>
      <c r="H371" s="154"/>
      <c r="I371" s="154" t="s">
        <v>389</v>
      </c>
      <c r="J371" s="247" t="s">
        <v>516</v>
      </c>
      <c r="K371" s="154"/>
      <c r="L371" s="154" t="str">
        <f t="shared" si="1"/>
        <v/>
      </c>
      <c r="M371" s="248" t="str">
        <f>IFERROR(__xludf.DUMMYFUNCTION("VLOOKUP(C371,IMPORTRANGE(""https://docs.google.com/spreadsheets/d/1P8eX0NWBhUPS_hvzA11R6jkTNFrPrRYIx_dX_hYbxrk/edit?resourcekey=0-iw9bsKY2OqkUHCFMkCar3A&amp;gid=2055363397#gid=2055363397"",""MTR!C:O""),11,false)"),"PMW-MCE-AS")</f>
        <v>PMW-MCE-AS</v>
      </c>
      <c r="N371" s="248" t="str">
        <f>IFERROR(__xludf.DUMMYFUNCTION("VLOOKUP(C371,IMPORTRANGE(""https://docs.google.com/spreadsheets/d/1ihFlp3_ePlYtFuPbUNbYj1muErVpI73WHXbEwJDIA7Q/edit#gid=1493122344"",""MTR!C:O""),8,false)"),"Does Not Comply")</f>
        <v>Does Not Comply</v>
      </c>
      <c r="O371" s="241" t="str">
        <f>IFERROR(__xludf.DUMMYFUNCTION("VLOOKUP(C371,IMPORTRANGE(""https://docs.google.com/spreadsheets/d/1P8eX0NWBhUPS_hvzA11R6jkTNFrPrRYIx_dX_hYbxrk/edit?resourcekey=0-iw9bsKY2OqkUHCFMkCar3A&amp;gid=2055363397#gid=2055363397"",""MTR!C:O""),9,false)"),"")</f>
        <v/>
      </c>
      <c r="P371" s="241"/>
      <c r="Q371" s="251" t="s">
        <v>516</v>
      </c>
      <c r="R371" s="241"/>
      <c r="S371" s="154" t="s">
        <v>64</v>
      </c>
      <c r="T371" s="154" t="s">
        <v>64</v>
      </c>
      <c r="U371" s="154" t="s">
        <v>64</v>
      </c>
      <c r="V371" s="154" t="s">
        <v>64</v>
      </c>
      <c r="W371" s="154" t="s">
        <v>64</v>
      </c>
      <c r="X371" s="154" t="s">
        <v>64</v>
      </c>
      <c r="Y371" s="154" t="s">
        <v>64</v>
      </c>
      <c r="Z371" s="154" t="s">
        <v>64</v>
      </c>
      <c r="AA371" s="154" t="s">
        <v>64</v>
      </c>
      <c r="AB371" s="154"/>
      <c r="AC371" s="242" t="b">
        <f t="shared" si="2"/>
        <v>1</v>
      </c>
      <c r="AD371" s="154" t="s">
        <v>391</v>
      </c>
      <c r="AE371" s="243" t="b">
        <f t="shared" si="3"/>
        <v>0</v>
      </c>
      <c r="AF371" s="154"/>
      <c r="AG371" s="243" t="b">
        <f t="shared" si="4"/>
        <v>0</v>
      </c>
      <c r="AH371" s="154" t="s">
        <v>637</v>
      </c>
      <c r="AI371" s="243" t="str">
        <f t="shared" si="5"/>
        <v>Complies</v>
      </c>
      <c r="AJ371" s="157" t="str">
        <f t="shared" si="6"/>
        <v/>
      </c>
    </row>
    <row r="372" ht="12.75" customHeight="1">
      <c r="A372" s="244" t="s">
        <v>621</v>
      </c>
      <c r="B372" s="244" t="s">
        <v>942</v>
      </c>
      <c r="C372" s="244" t="s">
        <v>1330</v>
      </c>
      <c r="D372" s="154" t="s">
        <v>642</v>
      </c>
      <c r="E372" s="250"/>
      <c r="F372" s="154" t="str">
        <f t="array" ref="F372">XLOOKUP(Cover!$D$12,$S$1:$AA$1,$S372:$AA372)</f>
        <v>Recommended</v>
      </c>
      <c r="G372" s="154" t="s">
        <v>1331</v>
      </c>
      <c r="H372" s="154"/>
      <c r="I372" s="154" t="s">
        <v>389</v>
      </c>
      <c r="J372" s="247" t="s">
        <v>445</v>
      </c>
      <c r="K372" s="260" t="s">
        <v>1332</v>
      </c>
      <c r="L372" s="154" t="str">
        <f t="shared" si="1"/>
        <v/>
      </c>
      <c r="M372" s="248" t="str">
        <f>IFERROR(__xludf.DUMMYFUNCTION("VLOOKUP(C372,IMPORTRANGE(""https://docs.google.com/spreadsheets/d/1P8eX0NWBhUPS_hvzA11R6jkTNFrPrRYIx_dX_hYbxrk/edit?resourcekey=0-iw9bsKY2OqkUHCFMkCar3A&amp;gid=2055363397#gid=2055363397"",""MTR!C:O""),11,false)"),"PMW-MCE-AS")</f>
        <v>PMW-MCE-AS</v>
      </c>
      <c r="N372" s="248" t="str">
        <f>IFERROR(__xludf.DUMMYFUNCTION("VLOOKUP(C372,IMPORTRANGE(""https://docs.google.com/spreadsheets/d/1ihFlp3_ePlYtFuPbUNbYj1muErVpI73WHXbEwJDIA7Q/edit#gid=1493122344"",""MTR!C:O""),8,false)"),"Does Not Comply")</f>
        <v>Does Not Comply</v>
      </c>
      <c r="O372" s="241" t="str">
        <f>IFERROR(__xludf.DUMMYFUNCTION("VLOOKUP(C372,IMPORTRANGE(""https://docs.google.com/spreadsheets/d/1P8eX0NWBhUPS_hvzA11R6jkTNFrPrRYIx_dX_hYbxrk/edit?resourcekey=0-iw9bsKY2OqkUHCFMkCar3A&amp;gid=2055363397#gid=2055363397"",""MTR!C:O""),9,false)"),"")</f>
        <v/>
      </c>
      <c r="P372" s="241"/>
      <c r="Q372" s="251" t="s">
        <v>516</v>
      </c>
      <c r="R372" s="241"/>
      <c r="S372" s="154" t="s">
        <v>64</v>
      </c>
      <c r="T372" s="154" t="s">
        <v>64</v>
      </c>
      <c r="U372" s="154" t="s">
        <v>64</v>
      </c>
      <c r="V372" s="154" t="s">
        <v>64</v>
      </c>
      <c r="W372" s="154" t="s">
        <v>64</v>
      </c>
      <c r="X372" s="154" t="s">
        <v>64</v>
      </c>
      <c r="Y372" s="154" t="s">
        <v>64</v>
      </c>
      <c r="Z372" s="154" t="s">
        <v>64</v>
      </c>
      <c r="AA372" s="154" t="s">
        <v>64</v>
      </c>
      <c r="AB372" s="154"/>
      <c r="AC372" s="242" t="b">
        <f t="shared" si="2"/>
        <v>1</v>
      </c>
      <c r="AD372" s="154" t="s">
        <v>391</v>
      </c>
      <c r="AE372" s="243" t="b">
        <f t="shared" si="3"/>
        <v>0</v>
      </c>
      <c r="AF372" s="154"/>
      <c r="AG372" s="243" t="b">
        <f t="shared" si="4"/>
        <v>0</v>
      </c>
      <c r="AH372" s="154" t="s">
        <v>637</v>
      </c>
      <c r="AI372" s="243" t="str">
        <f t="shared" si="5"/>
        <v>Complies</v>
      </c>
      <c r="AJ372" s="157" t="str">
        <f t="shared" si="6"/>
        <v/>
      </c>
    </row>
    <row r="373" ht="12.75" customHeight="1">
      <c r="A373" s="244" t="s">
        <v>621</v>
      </c>
      <c r="B373" s="244" t="s">
        <v>942</v>
      </c>
      <c r="C373" s="244" t="s">
        <v>1333</v>
      </c>
      <c r="D373" s="154" t="s">
        <v>642</v>
      </c>
      <c r="E373" s="250"/>
      <c r="F373" s="154" t="str">
        <f t="array" ref="F373">XLOOKUP(Cover!$D$12,$S$1:$AA$1,$S373:$AA373)</f>
        <v>Recommended</v>
      </c>
      <c r="G373" s="154" t="s">
        <v>1334</v>
      </c>
      <c r="H373" s="154"/>
      <c r="I373" s="154" t="s">
        <v>632</v>
      </c>
      <c r="J373" s="247" t="s">
        <v>516</v>
      </c>
      <c r="K373" s="154"/>
      <c r="L373" s="154" t="str">
        <f t="shared" si="1"/>
        <v/>
      </c>
      <c r="M373" s="248" t="str">
        <f>IFERROR(__xludf.DUMMYFUNCTION("VLOOKUP(C373,IMPORTRANGE(""https://docs.google.com/spreadsheets/d/1P8eX0NWBhUPS_hvzA11R6jkTNFrPrRYIx_dX_hYbxrk/edit?resourcekey=0-iw9bsKY2OqkUHCFMkCar3A&amp;gid=2055363397#gid=2055363397"",""MTR!C:O""),11,false)"),"PMW-MCE-AS")</f>
        <v>PMW-MCE-AS</v>
      </c>
      <c r="N373" s="248" t="str">
        <f>IFERROR(__xludf.DUMMYFUNCTION("VLOOKUP(C373,IMPORTRANGE(""https://docs.google.com/spreadsheets/d/1ihFlp3_ePlYtFuPbUNbYj1muErVpI73WHXbEwJDIA7Q/edit#gid=1493122344"",""MTR!C:O""),8,false)"),"Does Not Comply")</f>
        <v>Does Not Comply</v>
      </c>
      <c r="O373" s="241" t="str">
        <f>IFERROR(__xludf.DUMMYFUNCTION("VLOOKUP(C373,IMPORTRANGE(""https://docs.google.com/spreadsheets/d/1P8eX0NWBhUPS_hvzA11R6jkTNFrPrRYIx_dX_hYbxrk/edit?resourcekey=0-iw9bsKY2OqkUHCFMkCar3A&amp;gid=2055363397#gid=2055363397"",""MTR!C:O""),9,false)"),"")</f>
        <v/>
      </c>
      <c r="P373" s="241"/>
      <c r="Q373" s="251" t="s">
        <v>516</v>
      </c>
      <c r="R373" s="241"/>
      <c r="S373" s="154" t="s">
        <v>64</v>
      </c>
      <c r="T373" s="154" t="s">
        <v>64</v>
      </c>
      <c r="U373" s="154" t="s">
        <v>64</v>
      </c>
      <c r="V373" s="154" t="s">
        <v>64</v>
      </c>
      <c r="W373" s="154" t="s">
        <v>64</v>
      </c>
      <c r="X373" s="154" t="s">
        <v>64</v>
      </c>
      <c r="Y373" s="154" t="s">
        <v>64</v>
      </c>
      <c r="Z373" s="154" t="s">
        <v>64</v>
      </c>
      <c r="AA373" s="154" t="s">
        <v>64</v>
      </c>
      <c r="AB373" s="154"/>
      <c r="AC373" s="242" t="b">
        <f t="shared" si="2"/>
        <v>1</v>
      </c>
      <c r="AD373" s="154" t="s">
        <v>391</v>
      </c>
      <c r="AE373" s="243" t="b">
        <f t="shared" si="3"/>
        <v>0</v>
      </c>
      <c r="AF373" s="154"/>
      <c r="AG373" s="243" t="b">
        <f t="shared" si="4"/>
        <v>0</v>
      </c>
      <c r="AH373" s="154" t="s">
        <v>637</v>
      </c>
      <c r="AI373" s="243" t="str">
        <f t="shared" si="5"/>
        <v>Complies</v>
      </c>
      <c r="AJ373" s="157" t="str">
        <f t="shared" si="6"/>
        <v/>
      </c>
    </row>
    <row r="374" ht="12.75" customHeight="1">
      <c r="A374" s="238" t="s">
        <v>621</v>
      </c>
      <c r="B374" s="238" t="s">
        <v>942</v>
      </c>
      <c r="C374" s="238" t="s">
        <v>1335</v>
      </c>
      <c r="D374" s="240"/>
      <c r="E374" s="252" t="s">
        <v>92</v>
      </c>
      <c r="F374" s="154" t="str">
        <f t="array" ref="F374">XLOOKUP(Cover!$D$12,$S$1:$AA$1,$S374:$AA374)</f>
        <v>Heading</v>
      </c>
      <c r="G374" s="239" t="s">
        <v>1336</v>
      </c>
      <c r="H374" s="240"/>
      <c r="I374" s="240" t="s">
        <v>759</v>
      </c>
      <c r="J374" s="240"/>
      <c r="K374" s="240"/>
      <c r="L374" s="154" t="str">
        <f t="shared" si="1"/>
        <v/>
      </c>
      <c r="M374" s="241" t="str">
        <f>IFERROR(__xludf.DUMMYFUNCTION("VLOOKUP(C374,IMPORTRANGE(""https://docs.google.com/spreadsheets/d/1P8eX0NWBhUPS_hvzA11R6jkTNFrPrRYIx_dX_hYbxrk/edit?resourcekey=0-iw9bsKY2OqkUHCFMkCar3A&amp;gid=2055363397#gid=2055363397"",""MTR!C:O""),11,false)"),"")</f>
        <v/>
      </c>
      <c r="N374" s="241" t="str">
        <f>IFERROR(__xludf.DUMMYFUNCTION("VLOOKUP(C374,IMPORTRANGE(""https://docs.google.com/spreadsheets/d/1ihFlp3_ePlYtFuPbUNbYj1muErVpI73WHXbEwJDIA7Q/edit#gid=1493122344"",""MTR!C:O""),8,false)"),"")</f>
        <v/>
      </c>
      <c r="O374" s="241" t="str">
        <f>IFERROR(__xludf.DUMMYFUNCTION("VLOOKUP(C374,IMPORTRANGE(""https://docs.google.com/spreadsheets/d/1P8eX0NWBhUPS_hvzA11R6jkTNFrPrRYIx_dX_hYbxrk/edit?resourcekey=0-iw9bsKY2OqkUHCFMkCar3A&amp;gid=2055363397#gid=2055363397"",""MTR!C:O""),9,false)"),"")</f>
        <v/>
      </c>
      <c r="P374" s="241"/>
      <c r="Q374" s="241"/>
      <c r="R374" s="241"/>
      <c r="S374" s="240" t="s">
        <v>390</v>
      </c>
      <c r="T374" s="240" t="s">
        <v>390</v>
      </c>
      <c r="U374" s="240" t="s">
        <v>390</v>
      </c>
      <c r="V374" s="240" t="s">
        <v>390</v>
      </c>
      <c r="W374" s="240" t="s">
        <v>390</v>
      </c>
      <c r="X374" s="240" t="s">
        <v>390</v>
      </c>
      <c r="Y374" s="240" t="s">
        <v>390</v>
      </c>
      <c r="Z374" s="240" t="s">
        <v>390</v>
      </c>
      <c r="AA374" s="240" t="s">
        <v>390</v>
      </c>
      <c r="AB374" s="240"/>
      <c r="AC374" s="242" t="b">
        <f t="shared" si="2"/>
        <v>0</v>
      </c>
      <c r="AD374" s="240" t="s">
        <v>391</v>
      </c>
      <c r="AE374" s="243" t="b">
        <f t="shared" si="3"/>
        <v>0</v>
      </c>
      <c r="AF374" s="240"/>
      <c r="AG374" s="243" t="b">
        <f t="shared" si="4"/>
        <v>0</v>
      </c>
      <c r="AH374" s="240"/>
      <c r="AI374" s="243" t="str">
        <f t="shared" si="5"/>
        <v>N/A</v>
      </c>
      <c r="AJ374" s="157" t="str">
        <f t="shared" si="6"/>
        <v/>
      </c>
    </row>
    <row r="375" ht="12.75" customHeight="1">
      <c r="A375" s="238" t="s">
        <v>621</v>
      </c>
      <c r="B375" s="238" t="s">
        <v>942</v>
      </c>
      <c r="C375" s="238" t="s">
        <v>1337</v>
      </c>
      <c r="D375" s="240"/>
      <c r="E375" s="252" t="s">
        <v>92</v>
      </c>
      <c r="F375" s="154" t="str">
        <f t="array" ref="F375">XLOOKUP(Cover!$D$12,$S$1:$AA$1,$S375:$AA375)</f>
        <v>Heading</v>
      </c>
      <c r="G375" s="239" t="s">
        <v>1338</v>
      </c>
      <c r="H375" s="240"/>
      <c r="I375" s="240" t="s">
        <v>759</v>
      </c>
      <c r="J375" s="240"/>
      <c r="K375" s="240"/>
      <c r="L375" s="154" t="str">
        <f t="shared" si="1"/>
        <v/>
      </c>
      <c r="M375" s="241" t="str">
        <f>IFERROR(__xludf.DUMMYFUNCTION("VLOOKUP(C375,IMPORTRANGE(""https://docs.google.com/spreadsheets/d/1P8eX0NWBhUPS_hvzA11R6jkTNFrPrRYIx_dX_hYbxrk/edit?resourcekey=0-iw9bsKY2OqkUHCFMkCar3A&amp;gid=2055363397#gid=2055363397"",""MTR!C:O""),11,false)"),"")</f>
        <v/>
      </c>
      <c r="N375" s="241" t="str">
        <f>IFERROR(__xludf.DUMMYFUNCTION("VLOOKUP(C375,IMPORTRANGE(""https://docs.google.com/spreadsheets/d/1ihFlp3_ePlYtFuPbUNbYj1muErVpI73WHXbEwJDIA7Q/edit#gid=1493122344"",""MTR!C:O""),8,false)"),"")</f>
        <v/>
      </c>
      <c r="O375" s="241" t="str">
        <f>IFERROR(__xludf.DUMMYFUNCTION("VLOOKUP(C375,IMPORTRANGE(""https://docs.google.com/spreadsheets/d/1P8eX0NWBhUPS_hvzA11R6jkTNFrPrRYIx_dX_hYbxrk/edit?resourcekey=0-iw9bsKY2OqkUHCFMkCar3A&amp;gid=2055363397#gid=2055363397"",""MTR!C:O""),9,false)"),"")</f>
        <v/>
      </c>
      <c r="P375" s="241"/>
      <c r="Q375" s="241"/>
      <c r="R375" s="241"/>
      <c r="S375" s="240" t="s">
        <v>390</v>
      </c>
      <c r="T375" s="240" t="s">
        <v>390</v>
      </c>
      <c r="U375" s="240" t="s">
        <v>390</v>
      </c>
      <c r="V375" s="240" t="s">
        <v>390</v>
      </c>
      <c r="W375" s="240" t="s">
        <v>390</v>
      </c>
      <c r="X375" s="240" t="s">
        <v>390</v>
      </c>
      <c r="Y375" s="240" t="s">
        <v>390</v>
      </c>
      <c r="Z375" s="240" t="s">
        <v>390</v>
      </c>
      <c r="AA375" s="240" t="s">
        <v>390</v>
      </c>
      <c r="AB375" s="240"/>
      <c r="AC375" s="242" t="b">
        <f t="shared" si="2"/>
        <v>0</v>
      </c>
      <c r="AD375" s="240" t="s">
        <v>391</v>
      </c>
      <c r="AE375" s="243" t="b">
        <f t="shared" si="3"/>
        <v>0</v>
      </c>
      <c r="AF375" s="240"/>
      <c r="AG375" s="243" t="b">
        <f t="shared" si="4"/>
        <v>0</v>
      </c>
      <c r="AH375" s="240"/>
      <c r="AI375" s="243" t="str">
        <f t="shared" si="5"/>
        <v>N/A</v>
      </c>
      <c r="AJ375" s="157" t="str">
        <f t="shared" si="6"/>
        <v/>
      </c>
    </row>
    <row r="376" ht="12.75" customHeight="1">
      <c r="A376" s="238" t="s">
        <v>621</v>
      </c>
      <c r="B376" s="238" t="s">
        <v>1339</v>
      </c>
      <c r="C376" s="238" t="s">
        <v>1340</v>
      </c>
      <c r="D376" s="240"/>
      <c r="E376" s="252" t="s">
        <v>92</v>
      </c>
      <c r="F376" s="154" t="str">
        <f t="array" ref="F376">XLOOKUP(Cover!$D$12,$S$1:$AA$1,$S376:$AA376)</f>
        <v>Heading</v>
      </c>
      <c r="G376" s="239" t="s">
        <v>1341</v>
      </c>
      <c r="H376" s="240"/>
      <c r="I376" s="240" t="s">
        <v>759</v>
      </c>
      <c r="J376" s="240"/>
      <c r="K376" s="240"/>
      <c r="L376" s="154" t="str">
        <f t="shared" si="1"/>
        <v/>
      </c>
      <c r="M376" s="241" t="str">
        <f>IFERROR(__xludf.DUMMYFUNCTION("VLOOKUP(C376,IMPORTRANGE(""https://docs.google.com/spreadsheets/d/1P8eX0NWBhUPS_hvzA11R6jkTNFrPrRYIx_dX_hYbxrk/edit?resourcekey=0-iw9bsKY2OqkUHCFMkCar3A&amp;gid=2055363397#gid=2055363397"",""MTR!C:O""),11,false)"),"")</f>
        <v/>
      </c>
      <c r="N376" s="241" t="str">
        <f>IFERROR(__xludf.DUMMYFUNCTION("VLOOKUP(C376,IMPORTRANGE(""https://docs.google.com/spreadsheets/d/1ihFlp3_ePlYtFuPbUNbYj1muErVpI73WHXbEwJDIA7Q/edit#gid=1493122344"",""MTR!C:O""),8,false)"),"")</f>
        <v/>
      </c>
      <c r="O376" s="241" t="str">
        <f>IFERROR(__xludf.DUMMYFUNCTION("VLOOKUP(C376,IMPORTRANGE(""https://docs.google.com/spreadsheets/d/1P8eX0NWBhUPS_hvzA11R6jkTNFrPrRYIx_dX_hYbxrk/edit?resourcekey=0-iw9bsKY2OqkUHCFMkCar3A&amp;gid=2055363397#gid=2055363397"",""MTR!C:O""),9,false)"),"")</f>
        <v/>
      </c>
      <c r="P376" s="241"/>
      <c r="Q376" s="241"/>
      <c r="R376" s="241"/>
      <c r="S376" s="240" t="s">
        <v>390</v>
      </c>
      <c r="T376" s="240" t="s">
        <v>390</v>
      </c>
      <c r="U376" s="240" t="s">
        <v>390</v>
      </c>
      <c r="V376" s="240" t="s">
        <v>390</v>
      </c>
      <c r="W376" s="240" t="s">
        <v>390</v>
      </c>
      <c r="X376" s="240" t="s">
        <v>390</v>
      </c>
      <c r="Y376" s="240" t="s">
        <v>390</v>
      </c>
      <c r="Z376" s="240" t="s">
        <v>390</v>
      </c>
      <c r="AA376" s="240" t="s">
        <v>390</v>
      </c>
      <c r="AB376" s="240"/>
      <c r="AC376" s="242" t="b">
        <f t="shared" si="2"/>
        <v>0</v>
      </c>
      <c r="AD376" s="240" t="s">
        <v>391</v>
      </c>
      <c r="AE376" s="243" t="b">
        <f t="shared" si="3"/>
        <v>0</v>
      </c>
      <c r="AF376" s="240"/>
      <c r="AG376" s="243" t="b">
        <f t="shared" si="4"/>
        <v>0</v>
      </c>
      <c r="AH376" s="240"/>
      <c r="AI376" s="243" t="str">
        <f t="shared" si="5"/>
        <v>N/A</v>
      </c>
      <c r="AJ376" s="157" t="str">
        <f t="shared" si="6"/>
        <v/>
      </c>
    </row>
    <row r="377" ht="12.75" customHeight="1">
      <c r="A377" s="238" t="s">
        <v>621</v>
      </c>
      <c r="B377" s="238" t="s">
        <v>1339</v>
      </c>
      <c r="C377" s="238" t="s">
        <v>1342</v>
      </c>
      <c r="D377" s="240"/>
      <c r="E377" s="252" t="s">
        <v>92</v>
      </c>
      <c r="F377" s="154" t="str">
        <f t="array" ref="F377">XLOOKUP(Cover!$D$12,$S$1:$AA$1,$S377:$AA377)</f>
        <v>Heading</v>
      </c>
      <c r="G377" s="239" t="s">
        <v>1343</v>
      </c>
      <c r="H377" s="240"/>
      <c r="I377" s="240" t="s">
        <v>759</v>
      </c>
      <c r="J377" s="240"/>
      <c r="K377" s="240"/>
      <c r="L377" s="154" t="str">
        <f t="shared" si="1"/>
        <v/>
      </c>
      <c r="M377" s="241" t="str">
        <f>IFERROR(__xludf.DUMMYFUNCTION("VLOOKUP(C377,IMPORTRANGE(""https://docs.google.com/spreadsheets/d/1P8eX0NWBhUPS_hvzA11R6jkTNFrPrRYIx_dX_hYbxrk/edit?resourcekey=0-iw9bsKY2OqkUHCFMkCar3A&amp;gid=2055363397#gid=2055363397"",""MTR!C:O""),11,false)"),"")</f>
        <v/>
      </c>
      <c r="N377" s="241" t="str">
        <f>IFERROR(__xludf.DUMMYFUNCTION("VLOOKUP(C377,IMPORTRANGE(""https://docs.google.com/spreadsheets/d/1ihFlp3_ePlYtFuPbUNbYj1muErVpI73WHXbEwJDIA7Q/edit#gid=1493122344"",""MTR!C:O""),8,false)"),"")</f>
        <v/>
      </c>
      <c r="O377" s="241" t="str">
        <f>IFERROR(__xludf.DUMMYFUNCTION("VLOOKUP(C377,IMPORTRANGE(""https://docs.google.com/spreadsheets/d/1P8eX0NWBhUPS_hvzA11R6jkTNFrPrRYIx_dX_hYbxrk/edit?resourcekey=0-iw9bsKY2OqkUHCFMkCar3A&amp;gid=2055363397#gid=2055363397"",""MTR!C:O""),9,false)"),"")</f>
        <v/>
      </c>
      <c r="P377" s="241"/>
      <c r="Q377" s="241"/>
      <c r="R377" s="241"/>
      <c r="S377" s="240" t="s">
        <v>390</v>
      </c>
      <c r="T377" s="240" t="s">
        <v>390</v>
      </c>
      <c r="U377" s="240" t="s">
        <v>390</v>
      </c>
      <c r="V377" s="240" t="s">
        <v>390</v>
      </c>
      <c r="W377" s="240" t="s">
        <v>390</v>
      </c>
      <c r="X377" s="240" t="s">
        <v>390</v>
      </c>
      <c r="Y377" s="240" t="s">
        <v>390</v>
      </c>
      <c r="Z377" s="240" t="s">
        <v>390</v>
      </c>
      <c r="AA377" s="240" t="s">
        <v>390</v>
      </c>
      <c r="AB377" s="240"/>
      <c r="AC377" s="242" t="b">
        <f t="shared" si="2"/>
        <v>0</v>
      </c>
      <c r="AD377" s="240" t="s">
        <v>391</v>
      </c>
      <c r="AE377" s="243" t="b">
        <f t="shared" si="3"/>
        <v>0</v>
      </c>
      <c r="AF377" s="240"/>
      <c r="AG377" s="243" t="b">
        <f t="shared" si="4"/>
        <v>0</v>
      </c>
      <c r="AH377" s="240"/>
      <c r="AI377" s="243" t="str">
        <f t="shared" si="5"/>
        <v>N/A</v>
      </c>
      <c r="AJ377" s="157" t="str">
        <f t="shared" si="6"/>
        <v/>
      </c>
    </row>
    <row r="378" ht="12.75" customHeight="1">
      <c r="A378" s="244" t="s">
        <v>621</v>
      </c>
      <c r="B378" s="244" t="s">
        <v>1339</v>
      </c>
      <c r="C378" s="245" t="s">
        <v>1344</v>
      </c>
      <c r="D378" s="155" t="s">
        <v>542</v>
      </c>
      <c r="E378" s="246" t="s">
        <v>92</v>
      </c>
      <c r="F378" s="154" t="str">
        <f t="array" ref="F378">XLOOKUP(Cover!$D$12,$S$1:$AA$1,$S378:$AA378)</f>
        <v>Mandatory</v>
      </c>
      <c r="G378" s="153" t="s">
        <v>1345</v>
      </c>
      <c r="H378" s="154" t="s">
        <v>232</v>
      </c>
      <c r="I378" s="154" t="s">
        <v>759</v>
      </c>
      <c r="J378" s="247" t="s">
        <v>445</v>
      </c>
      <c r="K378" s="154"/>
      <c r="L378" s="154" t="str">
        <f t="shared" si="1"/>
        <v/>
      </c>
      <c r="M378" s="248" t="str">
        <f>IFERROR(__xludf.DUMMYFUNCTION("VLOOKUP(C378,IMPORTRANGE(""https://docs.google.com/spreadsheets/d/1P8eX0NWBhUPS_hvzA11R6jkTNFrPrRYIx_dX_hYbxrk/edit?resourcekey=0-iw9bsKY2OqkUHCFMkCar3A&amp;gid=2055363397#gid=2055363397"",""MTR!C:O""),11,false)"),"PMW-MCE-AS")</f>
        <v>PMW-MCE-AS</v>
      </c>
      <c r="N378" s="248" t="str">
        <f>IFERROR(__xludf.DUMMYFUNCTION("VLOOKUP(C378,IMPORTRANGE(""https://docs.google.com/spreadsheets/d/1ihFlp3_ePlYtFuPbUNbYj1muErVpI73WHXbEwJDIA7Q/edit#gid=1493122344"",""MTR!C:O""),8,false)"),"Complies")</f>
        <v>Complies</v>
      </c>
      <c r="O378" s="241" t="str">
        <f>IFERROR(__xludf.DUMMYFUNCTION("VLOOKUP(C378,IMPORTRANGE(""https://docs.google.com/spreadsheets/d/1P8eX0NWBhUPS_hvzA11R6jkTNFrPrRYIx_dX_hYbxrk/edit?resourcekey=0-iw9bsKY2OqkUHCFMkCar3A&amp;gid=2055363397#gid=2055363397"",""MTR!C:O""),9,false)"),"")</f>
        <v/>
      </c>
      <c r="P378" s="241"/>
      <c r="Q378" s="251" t="s">
        <v>445</v>
      </c>
      <c r="R378" s="241"/>
      <c r="S378" s="154" t="s">
        <v>66</v>
      </c>
      <c r="T378" s="154" t="s">
        <v>66</v>
      </c>
      <c r="U378" s="154" t="s">
        <v>60</v>
      </c>
      <c r="V378" s="154" t="s">
        <v>60</v>
      </c>
      <c r="W378" s="154" t="s">
        <v>60</v>
      </c>
      <c r="X378" s="154" t="s">
        <v>60</v>
      </c>
      <c r="Y378" s="154" t="s">
        <v>66</v>
      </c>
      <c r="Z378" s="154" t="s">
        <v>60</v>
      </c>
      <c r="AA378" s="154" t="s">
        <v>60</v>
      </c>
      <c r="AB378" s="154"/>
      <c r="AC378" s="242" t="b">
        <f t="shared" si="2"/>
        <v>1</v>
      </c>
      <c r="AD378" s="154" t="s">
        <v>391</v>
      </c>
      <c r="AE378" s="243" t="b">
        <f t="shared" si="3"/>
        <v>0</v>
      </c>
      <c r="AF378" s="154"/>
      <c r="AG378" s="243" t="b">
        <f t="shared" si="4"/>
        <v>0</v>
      </c>
      <c r="AH378" s="154" t="s">
        <v>652</v>
      </c>
      <c r="AI378" s="243" t="str">
        <f t="shared" si="5"/>
        <v>Complies</v>
      </c>
      <c r="AJ378" s="157" t="str">
        <f t="shared" si="6"/>
        <v/>
      </c>
    </row>
    <row r="379" ht="12.75" customHeight="1">
      <c r="A379" s="244" t="s">
        <v>621</v>
      </c>
      <c r="B379" s="244" t="s">
        <v>1339</v>
      </c>
      <c r="C379" s="245" t="s">
        <v>1346</v>
      </c>
      <c r="D379" s="155" t="s">
        <v>542</v>
      </c>
      <c r="E379" s="246" t="s">
        <v>92</v>
      </c>
      <c r="F379" s="154" t="str">
        <f t="array" ref="F379">XLOOKUP(Cover!$D$12,$S$1:$AA$1,$S379:$AA379)</f>
        <v>Mandatory</v>
      </c>
      <c r="G379" s="153" t="s">
        <v>1347</v>
      </c>
      <c r="H379" s="154" t="s">
        <v>234</v>
      </c>
      <c r="I379" s="154" t="s">
        <v>759</v>
      </c>
      <c r="J379" s="247" t="s">
        <v>506</v>
      </c>
      <c r="K379" s="247" t="s">
        <v>1348</v>
      </c>
      <c r="L379" s="154" t="str">
        <f t="shared" si="1"/>
        <v/>
      </c>
      <c r="M379" s="248" t="str">
        <f>IFERROR(__xludf.DUMMYFUNCTION("VLOOKUP(C379,IMPORTRANGE(""https://docs.google.com/spreadsheets/d/1P8eX0NWBhUPS_hvzA11R6jkTNFrPrRYIx_dX_hYbxrk/edit?resourcekey=0-iw9bsKY2OqkUHCFMkCar3A&amp;gid=2055363397#gid=2055363397"",""MTR!C:O""),11,false)"),"PMW-MCE-AS")</f>
        <v>PMW-MCE-AS</v>
      </c>
      <c r="N379" s="248" t="str">
        <f>IFERROR(__xludf.DUMMYFUNCTION("VLOOKUP(C379,IMPORTRANGE(""https://docs.google.com/spreadsheets/d/1ihFlp3_ePlYtFuPbUNbYj1muErVpI73WHXbEwJDIA7Q/edit#gid=1493122344"",""MTR!C:O""),8,false)"),"Partially Complies")</f>
        <v>Partially Complies</v>
      </c>
      <c r="O379" s="248" t="str">
        <f>IFERROR(__xludf.DUMMYFUNCTION("VLOOKUP(C379,IMPORTRANGE(""https://docs.google.com/spreadsheets/d/1P8eX0NWBhUPS_hvzA11R6jkTNFrPrRYIx_dX_hYbxrk/edit?resourcekey=0-iw9bsKY2OqkUHCFMkCar3A&amp;gid=2055363397#gid=2055363397"",""MTR!C:O""),9,false)"),"5G SA was disabled by default")</f>
        <v>5G SA was disabled by default</v>
      </c>
      <c r="P379" s="248"/>
      <c r="Q379" s="249" t="s">
        <v>506</v>
      </c>
      <c r="R379" s="249" t="s">
        <v>1348</v>
      </c>
      <c r="S379" s="154" t="s">
        <v>66</v>
      </c>
      <c r="T379" s="154" t="s">
        <v>66</v>
      </c>
      <c r="U379" s="154" t="s">
        <v>60</v>
      </c>
      <c r="V379" s="154" t="s">
        <v>60</v>
      </c>
      <c r="W379" s="154" t="s">
        <v>60</v>
      </c>
      <c r="X379" s="154" t="s">
        <v>60</v>
      </c>
      <c r="Y379" s="154" t="s">
        <v>66</v>
      </c>
      <c r="Z379" s="154" t="s">
        <v>60</v>
      </c>
      <c r="AA379" s="154" t="s">
        <v>60</v>
      </c>
      <c r="AB379" s="154"/>
      <c r="AC379" s="242" t="b">
        <f t="shared" si="2"/>
        <v>1</v>
      </c>
      <c r="AD379" s="154" t="s">
        <v>68</v>
      </c>
      <c r="AE379" s="243" t="b">
        <f t="shared" si="3"/>
        <v>0</v>
      </c>
      <c r="AF379" s="154"/>
      <c r="AG379" s="243" t="b">
        <f t="shared" si="4"/>
        <v>0</v>
      </c>
      <c r="AH379" s="154" t="s">
        <v>652</v>
      </c>
      <c r="AI379" s="243" t="str">
        <f t="shared" si="5"/>
        <v>Complies</v>
      </c>
      <c r="AJ379" s="157" t="str">
        <f t="shared" si="6"/>
        <v/>
      </c>
    </row>
    <row r="380" ht="12.75" customHeight="1">
      <c r="A380" s="238" t="s">
        <v>621</v>
      </c>
      <c r="B380" s="238" t="s">
        <v>1339</v>
      </c>
      <c r="C380" s="238" t="s">
        <v>1349</v>
      </c>
      <c r="D380" s="240"/>
      <c r="E380" s="252" t="s">
        <v>92</v>
      </c>
      <c r="F380" s="154" t="str">
        <f t="array" ref="F380">XLOOKUP(Cover!$D$12,$S$1:$AA$1,$S380:$AA380)</f>
        <v>Heading</v>
      </c>
      <c r="G380" s="239" t="s">
        <v>1350</v>
      </c>
      <c r="H380" s="240"/>
      <c r="I380" s="240" t="s">
        <v>759</v>
      </c>
      <c r="J380" s="240"/>
      <c r="K380" s="240"/>
      <c r="L380" s="154" t="str">
        <f t="shared" si="1"/>
        <v/>
      </c>
      <c r="M380" s="241" t="str">
        <f>IFERROR(__xludf.DUMMYFUNCTION("VLOOKUP(C380,IMPORTRANGE(""https://docs.google.com/spreadsheets/d/1P8eX0NWBhUPS_hvzA11R6jkTNFrPrRYIx_dX_hYbxrk/edit?resourcekey=0-iw9bsKY2OqkUHCFMkCar3A&amp;gid=2055363397#gid=2055363397"",""MTR!C:O""),11,false)"),"")</f>
        <v/>
      </c>
      <c r="N380" s="241" t="str">
        <f>IFERROR(__xludf.DUMMYFUNCTION("VLOOKUP(C380,IMPORTRANGE(""https://docs.google.com/spreadsheets/d/1ihFlp3_ePlYtFuPbUNbYj1muErVpI73WHXbEwJDIA7Q/edit#gid=1493122344"",""MTR!C:O""),8,false)"),"")</f>
        <v/>
      </c>
      <c r="O380" s="241" t="str">
        <f>IFERROR(__xludf.DUMMYFUNCTION("VLOOKUP(C380,IMPORTRANGE(""https://docs.google.com/spreadsheets/d/1P8eX0NWBhUPS_hvzA11R6jkTNFrPrRYIx_dX_hYbxrk/edit?resourcekey=0-iw9bsKY2OqkUHCFMkCar3A&amp;gid=2055363397#gid=2055363397"",""MTR!C:O""),9,false)"),"")</f>
        <v/>
      </c>
      <c r="P380" s="241"/>
      <c r="Q380" s="241"/>
      <c r="R380" s="241"/>
      <c r="S380" s="240" t="s">
        <v>390</v>
      </c>
      <c r="T380" s="240" t="s">
        <v>390</v>
      </c>
      <c r="U380" s="240" t="s">
        <v>390</v>
      </c>
      <c r="V380" s="240" t="s">
        <v>390</v>
      </c>
      <c r="W380" s="240" t="s">
        <v>390</v>
      </c>
      <c r="X380" s="240" t="s">
        <v>390</v>
      </c>
      <c r="Y380" s="240" t="s">
        <v>390</v>
      </c>
      <c r="Z380" s="240" t="s">
        <v>390</v>
      </c>
      <c r="AA380" s="240" t="s">
        <v>390</v>
      </c>
      <c r="AB380" s="240"/>
      <c r="AC380" s="242" t="b">
        <f t="shared" si="2"/>
        <v>0</v>
      </c>
      <c r="AD380" s="240" t="s">
        <v>391</v>
      </c>
      <c r="AE380" s="243" t="b">
        <f t="shared" si="3"/>
        <v>0</v>
      </c>
      <c r="AF380" s="240"/>
      <c r="AG380" s="243" t="b">
        <f t="shared" si="4"/>
        <v>0</v>
      </c>
      <c r="AH380" s="240"/>
      <c r="AI380" s="243" t="str">
        <f t="shared" si="5"/>
        <v>N/A</v>
      </c>
      <c r="AJ380" s="157" t="str">
        <f t="shared" si="6"/>
        <v/>
      </c>
    </row>
    <row r="381" ht="12.75" customHeight="1">
      <c r="A381" s="238" t="s">
        <v>621</v>
      </c>
      <c r="B381" s="238" t="s">
        <v>1339</v>
      </c>
      <c r="C381" s="238" t="s">
        <v>1351</v>
      </c>
      <c r="D381" s="240"/>
      <c r="E381" s="252" t="s">
        <v>92</v>
      </c>
      <c r="F381" s="154" t="str">
        <f t="array" ref="F381">XLOOKUP(Cover!$D$12,$S$1:$AA$1,$S381:$AA381)</f>
        <v>Heading</v>
      </c>
      <c r="G381" s="239" t="s">
        <v>1352</v>
      </c>
      <c r="H381" s="240"/>
      <c r="I381" s="240" t="s">
        <v>759</v>
      </c>
      <c r="J381" s="240"/>
      <c r="K381" s="240"/>
      <c r="L381" s="154" t="str">
        <f t="shared" si="1"/>
        <v/>
      </c>
      <c r="M381" s="241" t="str">
        <f>IFERROR(__xludf.DUMMYFUNCTION("VLOOKUP(C381,IMPORTRANGE(""https://docs.google.com/spreadsheets/d/1P8eX0NWBhUPS_hvzA11R6jkTNFrPrRYIx_dX_hYbxrk/edit?resourcekey=0-iw9bsKY2OqkUHCFMkCar3A&amp;gid=2055363397#gid=2055363397"",""MTR!C:O""),11,false)"),"")</f>
        <v/>
      </c>
      <c r="N381" s="241" t="str">
        <f>IFERROR(__xludf.DUMMYFUNCTION("VLOOKUP(C381,IMPORTRANGE(""https://docs.google.com/spreadsheets/d/1ihFlp3_ePlYtFuPbUNbYj1muErVpI73WHXbEwJDIA7Q/edit#gid=1493122344"",""MTR!C:O""),8,false)"),"")</f>
        <v/>
      </c>
      <c r="O381" s="241" t="str">
        <f>IFERROR(__xludf.DUMMYFUNCTION("VLOOKUP(C381,IMPORTRANGE(""https://docs.google.com/spreadsheets/d/1P8eX0NWBhUPS_hvzA11R6jkTNFrPrRYIx_dX_hYbxrk/edit?resourcekey=0-iw9bsKY2OqkUHCFMkCar3A&amp;gid=2055363397#gid=2055363397"",""MTR!C:O""),9,false)"),"")</f>
        <v/>
      </c>
      <c r="P381" s="241"/>
      <c r="Q381" s="241"/>
      <c r="R381" s="241"/>
      <c r="S381" s="240" t="s">
        <v>390</v>
      </c>
      <c r="T381" s="240" t="s">
        <v>390</v>
      </c>
      <c r="U381" s="240" t="s">
        <v>390</v>
      </c>
      <c r="V381" s="240" t="s">
        <v>390</v>
      </c>
      <c r="W381" s="240" t="s">
        <v>390</v>
      </c>
      <c r="X381" s="240" t="s">
        <v>390</v>
      </c>
      <c r="Y381" s="240" t="s">
        <v>390</v>
      </c>
      <c r="Z381" s="240" t="s">
        <v>390</v>
      </c>
      <c r="AA381" s="240" t="s">
        <v>390</v>
      </c>
      <c r="AB381" s="240"/>
      <c r="AC381" s="242" t="b">
        <f t="shared" si="2"/>
        <v>0</v>
      </c>
      <c r="AD381" s="240" t="s">
        <v>391</v>
      </c>
      <c r="AE381" s="243" t="b">
        <f t="shared" si="3"/>
        <v>0</v>
      </c>
      <c r="AF381" s="240"/>
      <c r="AG381" s="243" t="b">
        <f t="shared" si="4"/>
        <v>0</v>
      </c>
      <c r="AH381" s="240"/>
      <c r="AI381" s="243" t="str">
        <f t="shared" si="5"/>
        <v>N/A</v>
      </c>
      <c r="AJ381" s="157" t="str">
        <f t="shared" si="6"/>
        <v/>
      </c>
    </row>
    <row r="382" ht="12.75" customHeight="1">
      <c r="A382" s="244" t="s">
        <v>621</v>
      </c>
      <c r="B382" s="244" t="s">
        <v>1339</v>
      </c>
      <c r="C382" s="244" t="s">
        <v>1353</v>
      </c>
      <c r="D382" s="244" t="s">
        <v>546</v>
      </c>
      <c r="E382" s="244"/>
      <c r="F382" s="154" t="str">
        <f t="array" ref="F382">XLOOKUP(Cover!$D$12,$S$1:$AA$1,$S382:$AA382)</f>
        <v>Comment</v>
      </c>
      <c r="G382" s="153" t="s">
        <v>1354</v>
      </c>
      <c r="H382" s="154"/>
      <c r="I382" s="154" t="s">
        <v>759</v>
      </c>
      <c r="J382" s="154"/>
      <c r="K382" s="154"/>
      <c r="L382" s="154" t="str">
        <f t="shared" si="1"/>
        <v/>
      </c>
      <c r="M382" s="241" t="str">
        <f>IFERROR(__xludf.DUMMYFUNCTION("VLOOKUP(C382,IMPORTRANGE(""https://docs.google.com/spreadsheets/d/1P8eX0NWBhUPS_hvzA11R6jkTNFrPrRYIx_dX_hYbxrk/edit?resourcekey=0-iw9bsKY2OqkUHCFMkCar3A&amp;gid=2055363397#gid=2055363397"",""MTR!C:O""),11,false)"),"")</f>
        <v/>
      </c>
      <c r="N382" s="241" t="str">
        <f>IFERROR(__xludf.DUMMYFUNCTION("VLOOKUP(C382,IMPORTRANGE(""https://docs.google.com/spreadsheets/d/1ihFlp3_ePlYtFuPbUNbYj1muErVpI73WHXbEwJDIA7Q/edit#gid=1493122344"",""MTR!C:O""),8,false)"),"")</f>
        <v/>
      </c>
      <c r="O382" s="241" t="str">
        <f>IFERROR(__xludf.DUMMYFUNCTION("VLOOKUP(C382,IMPORTRANGE(""https://docs.google.com/spreadsheets/d/1P8eX0NWBhUPS_hvzA11R6jkTNFrPrRYIx_dX_hYbxrk/edit?resourcekey=0-iw9bsKY2OqkUHCFMkCar3A&amp;gid=2055363397#gid=2055363397"",""MTR!C:O""),9,false)"),"")</f>
        <v/>
      </c>
      <c r="P382" s="241"/>
      <c r="Q382" s="241"/>
      <c r="R382" s="241"/>
      <c r="S382" s="154" t="s">
        <v>35</v>
      </c>
      <c r="T382" s="154" t="s">
        <v>35</v>
      </c>
      <c r="U382" s="154" t="s">
        <v>35</v>
      </c>
      <c r="V382" s="154" t="s">
        <v>35</v>
      </c>
      <c r="W382" s="154" t="s">
        <v>35</v>
      </c>
      <c r="X382" s="154" t="s">
        <v>35</v>
      </c>
      <c r="Y382" s="154" t="s">
        <v>35</v>
      </c>
      <c r="Z382" s="154" t="s">
        <v>35</v>
      </c>
      <c r="AA382" s="154" t="s">
        <v>35</v>
      </c>
      <c r="AB382" s="154"/>
      <c r="AC382" s="242" t="b">
        <f t="shared" si="2"/>
        <v>0</v>
      </c>
      <c r="AD382" s="154" t="s">
        <v>391</v>
      </c>
      <c r="AE382" s="243" t="b">
        <f t="shared" si="3"/>
        <v>0</v>
      </c>
      <c r="AF382" s="154"/>
      <c r="AG382" s="243" t="b">
        <f t="shared" si="4"/>
        <v>0</v>
      </c>
      <c r="AH382" s="154" t="s">
        <v>652</v>
      </c>
      <c r="AI382" s="243" t="str">
        <f t="shared" si="5"/>
        <v>Complies</v>
      </c>
      <c r="AJ382" s="157" t="str">
        <f t="shared" si="6"/>
        <v/>
      </c>
    </row>
    <row r="383" ht="12.75" customHeight="1">
      <c r="A383" s="238" t="s">
        <v>621</v>
      </c>
      <c r="B383" s="238" t="s">
        <v>1339</v>
      </c>
      <c r="C383" s="238" t="s">
        <v>1355</v>
      </c>
      <c r="D383" s="240"/>
      <c r="E383" s="252" t="s">
        <v>92</v>
      </c>
      <c r="F383" s="154" t="str">
        <f t="array" ref="F383">XLOOKUP(Cover!$D$12,$S$1:$AA$1,$S383:$AA383)</f>
        <v>Heading</v>
      </c>
      <c r="G383" s="239" t="s">
        <v>1356</v>
      </c>
      <c r="H383" s="240"/>
      <c r="I383" s="240" t="s">
        <v>759</v>
      </c>
      <c r="J383" s="240"/>
      <c r="K383" s="240"/>
      <c r="L383" s="154" t="str">
        <f t="shared" si="1"/>
        <v/>
      </c>
      <c r="M383" s="241" t="str">
        <f>IFERROR(__xludf.DUMMYFUNCTION("VLOOKUP(C383,IMPORTRANGE(""https://docs.google.com/spreadsheets/d/1P8eX0NWBhUPS_hvzA11R6jkTNFrPrRYIx_dX_hYbxrk/edit?resourcekey=0-iw9bsKY2OqkUHCFMkCar3A&amp;gid=2055363397#gid=2055363397"",""MTR!C:O""),11,false)"),"")</f>
        <v/>
      </c>
      <c r="N383" s="241" t="str">
        <f>IFERROR(__xludf.DUMMYFUNCTION("VLOOKUP(C383,IMPORTRANGE(""https://docs.google.com/spreadsheets/d/1ihFlp3_ePlYtFuPbUNbYj1muErVpI73WHXbEwJDIA7Q/edit#gid=1493122344"",""MTR!C:O""),8,false)"),"")</f>
        <v/>
      </c>
      <c r="O383" s="241" t="str">
        <f>IFERROR(__xludf.DUMMYFUNCTION("VLOOKUP(C383,IMPORTRANGE(""https://docs.google.com/spreadsheets/d/1P8eX0NWBhUPS_hvzA11R6jkTNFrPrRYIx_dX_hYbxrk/edit?resourcekey=0-iw9bsKY2OqkUHCFMkCar3A&amp;gid=2055363397#gid=2055363397"",""MTR!C:O""),9,false)"),"")</f>
        <v/>
      </c>
      <c r="P383" s="241"/>
      <c r="Q383" s="241"/>
      <c r="R383" s="241"/>
      <c r="S383" s="240" t="s">
        <v>390</v>
      </c>
      <c r="T383" s="240" t="s">
        <v>390</v>
      </c>
      <c r="U383" s="240" t="s">
        <v>390</v>
      </c>
      <c r="V383" s="240" t="s">
        <v>390</v>
      </c>
      <c r="W383" s="240" t="s">
        <v>390</v>
      </c>
      <c r="X383" s="240" t="s">
        <v>390</v>
      </c>
      <c r="Y383" s="240" t="s">
        <v>390</v>
      </c>
      <c r="Z383" s="240" t="s">
        <v>390</v>
      </c>
      <c r="AA383" s="240" t="s">
        <v>390</v>
      </c>
      <c r="AB383" s="240"/>
      <c r="AC383" s="242" t="b">
        <f t="shared" si="2"/>
        <v>0</v>
      </c>
      <c r="AD383" s="240" t="s">
        <v>391</v>
      </c>
      <c r="AE383" s="243" t="b">
        <f t="shared" si="3"/>
        <v>0</v>
      </c>
      <c r="AF383" s="240"/>
      <c r="AG383" s="243" t="b">
        <f t="shared" si="4"/>
        <v>0</v>
      </c>
      <c r="AH383" s="240"/>
      <c r="AI383" s="243" t="str">
        <f t="shared" si="5"/>
        <v>N/A</v>
      </c>
      <c r="AJ383" s="157" t="str">
        <f t="shared" si="6"/>
        <v/>
      </c>
    </row>
    <row r="384" ht="12.75" customHeight="1">
      <c r="A384" s="244" t="s">
        <v>621</v>
      </c>
      <c r="B384" s="244" t="s">
        <v>1339</v>
      </c>
      <c r="C384" s="244" t="s">
        <v>1357</v>
      </c>
      <c r="D384" s="154" t="s">
        <v>747</v>
      </c>
      <c r="E384" s="250"/>
      <c r="F384" s="154" t="str">
        <f t="array" ref="F384">XLOOKUP(Cover!$D$12,$S$1:$AA$1,$S384:$AA384)</f>
        <v>Mandatory</v>
      </c>
      <c r="G384" s="153" t="s">
        <v>1358</v>
      </c>
      <c r="H384" s="154" t="s">
        <v>654</v>
      </c>
      <c r="I384" s="154" t="s">
        <v>759</v>
      </c>
      <c r="J384" s="247" t="s">
        <v>445</v>
      </c>
      <c r="K384" s="247" t="s">
        <v>1359</v>
      </c>
      <c r="L384" s="154" t="str">
        <f t="shared" si="1"/>
        <v/>
      </c>
      <c r="M384" s="248" t="str">
        <f>IFERROR(__xludf.DUMMYFUNCTION("VLOOKUP(C384,IMPORTRANGE(""https://docs.google.com/spreadsheets/d/1P8eX0NWBhUPS_hvzA11R6jkTNFrPrRYIx_dX_hYbxrk/edit?resourcekey=0-iw9bsKY2OqkUHCFMkCar3A&amp;gid=2055363397#gid=2055363397"",""MTR!C:O""),11,false)"),"PMW-L1")</f>
        <v>PMW-L1</v>
      </c>
      <c r="N384" s="248" t="str">
        <f>IFERROR(__xludf.DUMMYFUNCTION("VLOOKUP(C384,IMPORTRANGE(""https://docs.google.com/spreadsheets/d/1ihFlp3_ePlYtFuPbUNbYj1muErVpI73WHXbEwJDIA7Q/edit#gid=1493122344"",""MTR!C:O""),8,false)"),"Complies")</f>
        <v>Complies</v>
      </c>
      <c r="O384" s="248" t="str">
        <f>IFERROR(__xludf.DUMMYFUNCTION("VLOOKUP(C384,IMPORTRANGE(""https://docs.google.com/spreadsheets/d/1P8eX0NWBhUPS_hvzA11R6jkTNFrPrRYIx_dX_hYbxrk/edit?resourcekey=0-iw9bsKY2OqkUHCFMkCar3A&amp;gid=2055363397#gid=2055363397"",""MTR!C:O""),9,false)"),"DC_8A_n1A
DC_20A_n1A
DC_8A-20A_n1A")</f>
        <v>DC_8A_n1A
DC_20A_n1A
DC_8A-20A_n1A</v>
      </c>
      <c r="P384" s="248"/>
      <c r="Q384" s="249" t="s">
        <v>445</v>
      </c>
      <c r="R384" s="249" t="s">
        <v>1359</v>
      </c>
      <c r="S384" s="154" t="s">
        <v>66</v>
      </c>
      <c r="T384" s="154" t="s">
        <v>66</v>
      </c>
      <c r="U384" s="154" t="s">
        <v>60</v>
      </c>
      <c r="V384" s="154" t="s">
        <v>60</v>
      </c>
      <c r="W384" s="154" t="s">
        <v>60</v>
      </c>
      <c r="X384" s="154" t="s">
        <v>60</v>
      </c>
      <c r="Y384" s="154" t="s">
        <v>66</v>
      </c>
      <c r="Z384" s="154" t="s">
        <v>60</v>
      </c>
      <c r="AA384" s="154" t="s">
        <v>60</v>
      </c>
      <c r="AB384" s="154"/>
      <c r="AC384" s="242" t="b">
        <f t="shared" si="2"/>
        <v>1</v>
      </c>
      <c r="AD384" s="154" t="s">
        <v>391</v>
      </c>
      <c r="AE384" s="243" t="b">
        <f t="shared" si="3"/>
        <v>0</v>
      </c>
      <c r="AF384" s="154"/>
      <c r="AG384" s="243" t="b">
        <f t="shared" si="4"/>
        <v>0</v>
      </c>
      <c r="AH384" s="154" t="s">
        <v>762</v>
      </c>
      <c r="AI384" s="243" t="str">
        <f t="shared" si="5"/>
        <v>Complies</v>
      </c>
      <c r="AJ384" s="157" t="str">
        <f t="shared" si="6"/>
        <v/>
      </c>
    </row>
    <row r="385" ht="12.75" customHeight="1">
      <c r="A385" s="244" t="s">
        <v>621</v>
      </c>
      <c r="B385" s="244" t="s">
        <v>1339</v>
      </c>
      <c r="C385" s="244" t="s">
        <v>1360</v>
      </c>
      <c r="D385" s="154" t="s">
        <v>602</v>
      </c>
      <c r="E385" s="250"/>
      <c r="F385" s="154" t="str">
        <f t="array" ref="F385">XLOOKUP(Cover!$D$12,$S$1:$AA$1,$S385:$AA385)</f>
        <v>Mandatory</v>
      </c>
      <c r="G385" s="153" t="s">
        <v>1361</v>
      </c>
      <c r="H385" s="154" t="s">
        <v>654</v>
      </c>
      <c r="I385" s="154" t="s">
        <v>759</v>
      </c>
      <c r="J385" s="247" t="s">
        <v>445</v>
      </c>
      <c r="K385" s="154"/>
      <c r="L385" s="154" t="str">
        <f t="shared" si="1"/>
        <v/>
      </c>
      <c r="M385" s="248" t="str">
        <f>IFERROR(__xludf.DUMMYFUNCTION("VLOOKUP(C385,IMPORTRANGE(""https://docs.google.com/spreadsheets/d/1P8eX0NWBhUPS_hvzA11R6jkTNFrPrRYIx_dX_hYbxrk/edit?resourcekey=0-iw9bsKY2OqkUHCFMkCar3A&amp;gid=2055363397#gid=2055363397"",""MTR!C:O""),11,false)"),"PMW-L1")</f>
        <v>PMW-L1</v>
      </c>
      <c r="N385" s="248" t="str">
        <f>IFERROR(__xludf.DUMMYFUNCTION("VLOOKUP(C385,IMPORTRANGE(""https://docs.google.com/spreadsheets/d/1ihFlp3_ePlYtFuPbUNbYj1muErVpI73WHXbEwJDIA7Q/edit#gid=1493122344"",""MTR!C:O""),8,false)"),"Complies")</f>
        <v>Complies</v>
      </c>
      <c r="O385" s="241" t="str">
        <f>IFERROR(__xludf.DUMMYFUNCTION("VLOOKUP(C385,IMPORTRANGE(""https://docs.google.com/spreadsheets/d/1P8eX0NWBhUPS_hvzA11R6jkTNFrPrRYIx_dX_hYbxrk/edit?resourcekey=0-iw9bsKY2OqkUHCFMkCar3A&amp;gid=2055363397#gid=2055363397"",""MTR!C:O""),9,false)"),"")</f>
        <v/>
      </c>
      <c r="P385" s="241"/>
      <c r="Q385" s="251" t="s">
        <v>445</v>
      </c>
      <c r="R385" s="241"/>
      <c r="S385" s="154" t="s">
        <v>66</v>
      </c>
      <c r="T385" s="154" t="s">
        <v>66</v>
      </c>
      <c r="U385" s="154" t="s">
        <v>60</v>
      </c>
      <c r="V385" s="154" t="s">
        <v>60</v>
      </c>
      <c r="W385" s="154" t="s">
        <v>60</v>
      </c>
      <c r="X385" s="154" t="s">
        <v>60</v>
      </c>
      <c r="Y385" s="154" t="s">
        <v>66</v>
      </c>
      <c r="Z385" s="154" t="s">
        <v>60</v>
      </c>
      <c r="AA385" s="154" t="s">
        <v>60</v>
      </c>
      <c r="AB385" s="154"/>
      <c r="AC385" s="242" t="b">
        <f t="shared" si="2"/>
        <v>1</v>
      </c>
      <c r="AD385" s="154" t="s">
        <v>391</v>
      </c>
      <c r="AE385" s="243" t="b">
        <f t="shared" si="3"/>
        <v>0</v>
      </c>
      <c r="AF385" s="154"/>
      <c r="AG385" s="243" t="b">
        <f t="shared" si="4"/>
        <v>0</v>
      </c>
      <c r="AH385" s="154" t="s">
        <v>762</v>
      </c>
      <c r="AI385" s="243" t="str">
        <f t="shared" si="5"/>
        <v>Complies</v>
      </c>
      <c r="AJ385" s="157" t="str">
        <f t="shared" si="6"/>
        <v/>
      </c>
    </row>
    <row r="386" ht="12.75" customHeight="1">
      <c r="A386" s="244" t="s">
        <v>621</v>
      </c>
      <c r="B386" s="244" t="s">
        <v>1339</v>
      </c>
      <c r="C386" s="244" t="s">
        <v>1362</v>
      </c>
      <c r="D386" s="154" t="s">
        <v>503</v>
      </c>
      <c r="E386" s="250"/>
      <c r="F386" s="154" t="str">
        <f t="array" ref="F386">XLOOKUP(Cover!$D$12,$S$1:$AA$1,$S386:$AA386)</f>
        <v>Mandatory</v>
      </c>
      <c r="G386" s="153" t="s">
        <v>1363</v>
      </c>
      <c r="H386" s="154" t="s">
        <v>654</v>
      </c>
      <c r="I386" s="154" t="s">
        <v>759</v>
      </c>
      <c r="J386" s="247" t="s">
        <v>516</v>
      </c>
      <c r="K386" s="247" t="s">
        <v>1364</v>
      </c>
      <c r="L386" s="154" t="str">
        <f t="shared" si="1"/>
        <v/>
      </c>
      <c r="M386" s="248" t="str">
        <f>IFERROR(__xludf.DUMMYFUNCTION("VLOOKUP(C386,IMPORTRANGE(""https://docs.google.com/spreadsheets/d/1P8eX0NWBhUPS_hvzA11R6jkTNFrPrRYIx_dX_hYbxrk/edit?resourcekey=0-iw9bsKY2OqkUHCFMkCar3A&amp;gid=2055363397#gid=2055363397"",""MTR!C:O""),11,false)"),"PMW-MCE-AS")</f>
        <v>PMW-MCE-AS</v>
      </c>
      <c r="N386" s="248" t="str">
        <f>IFERROR(__xludf.DUMMYFUNCTION("VLOOKUP(C386,IMPORTRANGE(""https://docs.google.com/spreadsheets/d/1ihFlp3_ePlYtFuPbUNbYj1muErVpI73WHXbEwJDIA7Q/edit#gid=1493122344"",""MTR!C:O""),8,false)"),"Does Not Comply")</f>
        <v>Does Not Comply</v>
      </c>
      <c r="O386" s="248" t="str">
        <f>IFERROR(__xludf.DUMMYFUNCTION("VLOOKUP(C386,IMPORTRANGE(""https://docs.google.com/spreadsheets/d/1P8eX0NWBhUPS_hvzA11R6jkTNFrPrRYIx_dX_hYbxrk/edit?resourcekey=0-iw9bsKY2OqkUHCFMkCar3A&amp;gid=2055363397#gid=2055363397"",""MTR!C:O""),9,false)"),"2024/5/7
ENDC with n1 support up to BW 50M")</f>
        <v>2024/5/7
ENDC with n1 support up to BW 50M</v>
      </c>
      <c r="P386" s="248"/>
      <c r="Q386" s="249" t="s">
        <v>516</v>
      </c>
      <c r="R386" s="249" t="s">
        <v>1364</v>
      </c>
      <c r="S386" s="154" t="s">
        <v>66</v>
      </c>
      <c r="T386" s="154" t="s">
        <v>66</v>
      </c>
      <c r="U386" s="154" t="s">
        <v>60</v>
      </c>
      <c r="V386" s="154" t="s">
        <v>60</v>
      </c>
      <c r="W386" s="154" t="s">
        <v>60</v>
      </c>
      <c r="X386" s="154" t="s">
        <v>60</v>
      </c>
      <c r="Y386" s="154" t="s">
        <v>66</v>
      </c>
      <c r="Z386" s="154" t="s">
        <v>60</v>
      </c>
      <c r="AA386" s="154" t="s">
        <v>60</v>
      </c>
      <c r="AB386" s="154"/>
      <c r="AC386" s="242" t="b">
        <f t="shared" si="2"/>
        <v>1</v>
      </c>
      <c r="AD386" s="154" t="s">
        <v>391</v>
      </c>
      <c r="AE386" s="243" t="b">
        <f t="shared" si="3"/>
        <v>0</v>
      </c>
      <c r="AF386" s="154"/>
      <c r="AG386" s="243" t="b">
        <f t="shared" si="4"/>
        <v>0</v>
      </c>
      <c r="AH386" s="154" t="s">
        <v>762</v>
      </c>
      <c r="AI386" s="243" t="str">
        <f t="shared" si="5"/>
        <v>Complies</v>
      </c>
      <c r="AJ386" s="157" t="str">
        <f t="shared" si="6"/>
        <v/>
      </c>
    </row>
    <row r="387" ht="12.75" customHeight="1">
      <c r="A387" s="244" t="s">
        <v>621</v>
      </c>
      <c r="B387" s="244" t="s">
        <v>1339</v>
      </c>
      <c r="C387" s="244" t="s">
        <v>1365</v>
      </c>
      <c r="D387" s="154" t="s">
        <v>747</v>
      </c>
      <c r="E387" s="250"/>
      <c r="F387" s="154" t="str">
        <f t="array" ref="F387">XLOOKUP(Cover!$D$12,$S$1:$AA$1,$S387:$AA387)</f>
        <v>Mandatory</v>
      </c>
      <c r="G387" s="153" t="s">
        <v>1366</v>
      </c>
      <c r="H387" s="154" t="s">
        <v>175</v>
      </c>
      <c r="I387" s="154" t="s">
        <v>759</v>
      </c>
      <c r="J387" s="247" t="s">
        <v>445</v>
      </c>
      <c r="K387" s="247" t="s">
        <v>1367</v>
      </c>
      <c r="L387" s="154" t="str">
        <f t="shared" si="1"/>
        <v/>
      </c>
      <c r="M387" s="248" t="str">
        <f>IFERROR(__xludf.DUMMYFUNCTION("VLOOKUP(C387,IMPORTRANGE(""https://docs.google.com/spreadsheets/d/1P8eX0NWBhUPS_hvzA11R6jkTNFrPrRYIx_dX_hYbxrk/edit?resourcekey=0-iw9bsKY2OqkUHCFMkCar3A&amp;gid=2055363397#gid=2055363397"",""MTR!C:O""),11,false)"),"PMW-L1")</f>
        <v>PMW-L1</v>
      </c>
      <c r="N387" s="248" t="str">
        <f>IFERROR(__xludf.DUMMYFUNCTION("VLOOKUP(C387,IMPORTRANGE(""https://docs.google.com/spreadsheets/d/1ihFlp3_ePlYtFuPbUNbYj1muErVpI73WHXbEwJDIA7Q/edit#gid=1493122344"",""MTR!C:O""),8,false)"),"Complies")</f>
        <v>Complies</v>
      </c>
      <c r="O387" s="248" t="str">
        <f>IFERROR(__xludf.DUMMYFUNCTION("VLOOKUP(C387,IMPORTRANGE(""https://docs.google.com/spreadsheets/d/1P8eX0NWBhUPS_hvzA11R6jkTNFrPrRYIx_dX_hYbxrk/edit?resourcekey=0-iw9bsKY2OqkUHCFMkCar3A&amp;gid=2055363397#gid=2055363397"",""MTR!C:O""),9,false)"),"Please refef to sheet EN-DC for more detailed information")</f>
        <v>Please refef to sheet EN-DC for more detailed information</v>
      </c>
      <c r="P387" s="248"/>
      <c r="Q387" s="249" t="s">
        <v>445</v>
      </c>
      <c r="R387" s="249" t="s">
        <v>1367</v>
      </c>
      <c r="S387" s="154" t="s">
        <v>66</v>
      </c>
      <c r="T387" s="154" t="s">
        <v>66</v>
      </c>
      <c r="U387" s="154" t="s">
        <v>66</v>
      </c>
      <c r="V387" s="154" t="s">
        <v>66</v>
      </c>
      <c r="W387" s="154" t="s">
        <v>66</v>
      </c>
      <c r="X387" s="154" t="s">
        <v>60</v>
      </c>
      <c r="Y387" s="154" t="s">
        <v>66</v>
      </c>
      <c r="Z387" s="154" t="s">
        <v>66</v>
      </c>
      <c r="AA387" s="154" t="s">
        <v>60</v>
      </c>
      <c r="AB387" s="154"/>
      <c r="AC387" s="242" t="b">
        <f t="shared" si="2"/>
        <v>1</v>
      </c>
      <c r="AD387" s="154" t="s">
        <v>391</v>
      </c>
      <c r="AE387" s="243" t="b">
        <f t="shared" si="3"/>
        <v>0</v>
      </c>
      <c r="AF387" s="154" t="s">
        <v>1368</v>
      </c>
      <c r="AG387" s="243" t="b">
        <f t="shared" si="4"/>
        <v>0</v>
      </c>
      <c r="AH387" s="154" t="s">
        <v>762</v>
      </c>
      <c r="AI387" s="243" t="str">
        <f t="shared" si="5"/>
        <v>Complies</v>
      </c>
      <c r="AJ387" s="157" t="str">
        <f t="shared" si="6"/>
        <v/>
      </c>
    </row>
    <row r="388" ht="12.75" customHeight="1">
      <c r="A388" s="244" t="s">
        <v>621</v>
      </c>
      <c r="B388" s="244" t="s">
        <v>1339</v>
      </c>
      <c r="C388" s="245" t="s">
        <v>1369</v>
      </c>
      <c r="D388" s="155" t="s">
        <v>546</v>
      </c>
      <c r="E388" s="246" t="s">
        <v>92</v>
      </c>
      <c r="F388" s="154" t="str">
        <f t="array" ref="F388">XLOOKUP(Cover!$D$12,$S$1:$AA$1,$S388:$AA388)</f>
        <v>Mandatory</v>
      </c>
      <c r="G388" s="153" t="s">
        <v>1370</v>
      </c>
      <c r="H388" s="154" t="s">
        <v>175</v>
      </c>
      <c r="I388" s="154" t="s">
        <v>759</v>
      </c>
      <c r="J388" s="247" t="s">
        <v>445</v>
      </c>
      <c r="K388" s="247" t="s">
        <v>1367</v>
      </c>
      <c r="L388" s="154" t="str">
        <f t="shared" si="1"/>
        <v/>
      </c>
      <c r="M388" s="248" t="str">
        <f>IFERROR(__xludf.DUMMYFUNCTION("VLOOKUP(C388,IMPORTRANGE(""https://docs.google.com/spreadsheets/d/1P8eX0NWBhUPS_hvzA11R6jkTNFrPrRYIx_dX_hYbxrk/edit?resourcekey=0-iw9bsKY2OqkUHCFMkCar3A&amp;gid=2055363397#gid=2055363397"",""MTR!C:O""),11,false)"),"PMW-L1")</f>
        <v>PMW-L1</v>
      </c>
      <c r="N388" s="248" t="str">
        <f>IFERROR(__xludf.DUMMYFUNCTION("VLOOKUP(C388,IMPORTRANGE(""https://docs.google.com/spreadsheets/d/1ihFlp3_ePlYtFuPbUNbYj1muErVpI73WHXbEwJDIA7Q/edit#gid=1493122344"",""MTR!C:O""),8,false)"),"Complies")</f>
        <v>Complies</v>
      </c>
      <c r="O388" s="248" t="str">
        <f>IFERROR(__xludf.DUMMYFUNCTION("VLOOKUP(C388,IMPORTRANGE(""https://docs.google.com/spreadsheets/d/1P8eX0NWBhUPS_hvzA11R6jkTNFrPrRYIx_dX_hYbxrk/edit?resourcekey=0-iw9bsKY2OqkUHCFMkCar3A&amp;gid=2055363397#gid=2055363397"",""MTR!C:O""),9,false)"),"Please refef to sheet EN-DC for more detailed information")</f>
        <v>Please refef to sheet EN-DC for more detailed information</v>
      </c>
      <c r="P388" s="248"/>
      <c r="Q388" s="249" t="s">
        <v>445</v>
      </c>
      <c r="R388" s="249" t="s">
        <v>1367</v>
      </c>
      <c r="S388" s="154" t="s">
        <v>66</v>
      </c>
      <c r="T388" s="154" t="s">
        <v>66</v>
      </c>
      <c r="U388" s="154" t="s">
        <v>66</v>
      </c>
      <c r="V388" s="154" t="s">
        <v>66</v>
      </c>
      <c r="W388" s="154" t="s">
        <v>66</v>
      </c>
      <c r="X388" s="154" t="s">
        <v>60</v>
      </c>
      <c r="Y388" s="154" t="s">
        <v>66</v>
      </c>
      <c r="Z388" s="154" t="s">
        <v>66</v>
      </c>
      <c r="AA388" s="154" t="s">
        <v>60</v>
      </c>
      <c r="AB388" s="154"/>
      <c r="AC388" s="242" t="b">
        <f t="shared" si="2"/>
        <v>1</v>
      </c>
      <c r="AD388" s="154" t="s">
        <v>391</v>
      </c>
      <c r="AE388" s="243" t="b">
        <f t="shared" si="3"/>
        <v>0</v>
      </c>
      <c r="AF388" s="154" t="s">
        <v>1371</v>
      </c>
      <c r="AG388" s="243" t="b">
        <f t="shared" si="4"/>
        <v>0</v>
      </c>
      <c r="AH388" s="154" t="s">
        <v>762</v>
      </c>
      <c r="AI388" s="243" t="str">
        <f t="shared" si="5"/>
        <v>Complies</v>
      </c>
      <c r="AJ388" s="157" t="str">
        <f t="shared" si="6"/>
        <v/>
      </c>
    </row>
    <row r="389" ht="12.75" customHeight="1">
      <c r="A389" s="244" t="s">
        <v>621</v>
      </c>
      <c r="B389" s="244" t="s">
        <v>1339</v>
      </c>
      <c r="C389" s="245" t="s">
        <v>1372</v>
      </c>
      <c r="D389" s="155" t="s">
        <v>546</v>
      </c>
      <c r="E389" s="246" t="s">
        <v>92</v>
      </c>
      <c r="F389" s="154" t="str">
        <f t="array" ref="F389">XLOOKUP(Cover!$D$12,$S$1:$AA$1,$S389:$AA389)</f>
        <v>Mandatory</v>
      </c>
      <c r="G389" s="153" t="s">
        <v>1373</v>
      </c>
      <c r="H389" s="154" t="s">
        <v>175</v>
      </c>
      <c r="I389" s="154" t="s">
        <v>759</v>
      </c>
      <c r="J389" s="247" t="s">
        <v>445</v>
      </c>
      <c r="K389" s="247" t="s">
        <v>1367</v>
      </c>
      <c r="L389" s="154" t="str">
        <f t="shared" si="1"/>
        <v/>
      </c>
      <c r="M389" s="248" t="str">
        <f>IFERROR(__xludf.DUMMYFUNCTION("VLOOKUP(C389,IMPORTRANGE(""https://docs.google.com/spreadsheets/d/1P8eX0NWBhUPS_hvzA11R6jkTNFrPrRYIx_dX_hYbxrk/edit?resourcekey=0-iw9bsKY2OqkUHCFMkCar3A&amp;gid=2055363397#gid=2055363397"",""MTR!C:O""),11,false)"),"PMW-L1")</f>
        <v>PMW-L1</v>
      </c>
      <c r="N389" s="248" t="str">
        <f>IFERROR(__xludf.DUMMYFUNCTION("VLOOKUP(C389,IMPORTRANGE(""https://docs.google.com/spreadsheets/d/1ihFlp3_ePlYtFuPbUNbYj1muErVpI73WHXbEwJDIA7Q/edit#gid=1493122344"",""MTR!C:O""),8,false)"),"Complies")</f>
        <v>Complies</v>
      </c>
      <c r="O389" s="248" t="str">
        <f>IFERROR(__xludf.DUMMYFUNCTION("VLOOKUP(C389,IMPORTRANGE(""https://docs.google.com/spreadsheets/d/1P8eX0NWBhUPS_hvzA11R6jkTNFrPrRYIx_dX_hYbxrk/edit?resourcekey=0-iw9bsKY2OqkUHCFMkCar3A&amp;gid=2055363397#gid=2055363397"",""MTR!C:O""),9,false)"),"Please refef to sheet EN-DC for more detailed information")</f>
        <v>Please refef to sheet EN-DC for more detailed information</v>
      </c>
      <c r="P389" s="248"/>
      <c r="Q389" s="249" t="s">
        <v>445</v>
      </c>
      <c r="R389" s="249" t="s">
        <v>1367</v>
      </c>
      <c r="S389" s="154" t="s">
        <v>66</v>
      </c>
      <c r="T389" s="154" t="s">
        <v>66</v>
      </c>
      <c r="U389" s="154" t="s">
        <v>66</v>
      </c>
      <c r="V389" s="154" t="s">
        <v>66</v>
      </c>
      <c r="W389" s="154" t="s">
        <v>66</v>
      </c>
      <c r="X389" s="154" t="s">
        <v>60</v>
      </c>
      <c r="Y389" s="154" t="s">
        <v>66</v>
      </c>
      <c r="Z389" s="154" t="s">
        <v>66</v>
      </c>
      <c r="AA389" s="154" t="s">
        <v>60</v>
      </c>
      <c r="AB389" s="154"/>
      <c r="AC389" s="242" t="b">
        <f t="shared" si="2"/>
        <v>1</v>
      </c>
      <c r="AD389" s="154" t="s">
        <v>391</v>
      </c>
      <c r="AE389" s="243" t="b">
        <f t="shared" si="3"/>
        <v>0</v>
      </c>
      <c r="AF389" s="154" t="s">
        <v>1374</v>
      </c>
      <c r="AG389" s="243" t="b">
        <f t="shared" si="4"/>
        <v>0</v>
      </c>
      <c r="AH389" s="154" t="s">
        <v>762</v>
      </c>
      <c r="AI389" s="243" t="str">
        <f t="shared" si="5"/>
        <v>Complies</v>
      </c>
      <c r="AJ389" s="157" t="str">
        <f t="shared" si="6"/>
        <v/>
      </c>
    </row>
    <row r="390" ht="12.75" customHeight="1">
      <c r="A390" s="244" t="s">
        <v>621</v>
      </c>
      <c r="B390" s="244" t="s">
        <v>1339</v>
      </c>
      <c r="C390" s="245" t="s">
        <v>1375</v>
      </c>
      <c r="D390" s="155" t="s">
        <v>546</v>
      </c>
      <c r="E390" s="246" t="s">
        <v>92</v>
      </c>
      <c r="F390" s="154" t="str">
        <f t="array" ref="F390">XLOOKUP(Cover!$D$12,$S$1:$AA$1,$S390:$AA390)</f>
        <v>Mandatory</v>
      </c>
      <c r="G390" s="153" t="s">
        <v>1376</v>
      </c>
      <c r="H390" s="154" t="s">
        <v>1018</v>
      </c>
      <c r="I390" s="154" t="s">
        <v>759</v>
      </c>
      <c r="J390" s="247" t="s">
        <v>445</v>
      </c>
      <c r="K390" s="247" t="s">
        <v>1367</v>
      </c>
      <c r="L390" s="154" t="str">
        <f t="shared" si="1"/>
        <v/>
      </c>
      <c r="M390" s="248" t="str">
        <f>IFERROR(__xludf.DUMMYFUNCTION("VLOOKUP(C390,IMPORTRANGE(""https://docs.google.com/spreadsheets/d/1P8eX0NWBhUPS_hvzA11R6jkTNFrPrRYIx_dX_hYbxrk/edit?resourcekey=0-iw9bsKY2OqkUHCFMkCar3A&amp;gid=2055363397#gid=2055363397"",""MTR!C:O""),11,false)"),"PMW-L1")</f>
        <v>PMW-L1</v>
      </c>
      <c r="N390" s="248" t="str">
        <f>IFERROR(__xludf.DUMMYFUNCTION("VLOOKUP(C390,IMPORTRANGE(""https://docs.google.com/spreadsheets/d/1ihFlp3_ePlYtFuPbUNbYj1muErVpI73WHXbEwJDIA7Q/edit#gid=1493122344"",""MTR!C:O""),8,false)"),"Complies")</f>
        <v>Complies</v>
      </c>
      <c r="O390" s="248" t="str">
        <f>IFERROR(__xludf.DUMMYFUNCTION("VLOOKUP(C390,IMPORTRANGE(""https://docs.google.com/spreadsheets/d/1P8eX0NWBhUPS_hvzA11R6jkTNFrPrRYIx_dX_hYbxrk/edit?resourcekey=0-iw9bsKY2OqkUHCFMkCar3A&amp;gid=2055363397#gid=2055363397"",""MTR!C:O""),9,false)"),"Please refef to sheet EN-DC for more detailed information")</f>
        <v>Please refef to sheet EN-DC for more detailed information</v>
      </c>
      <c r="P390" s="248"/>
      <c r="Q390" s="249" t="s">
        <v>445</v>
      </c>
      <c r="R390" s="249" t="s">
        <v>1367</v>
      </c>
      <c r="S390" s="154" t="s">
        <v>66</v>
      </c>
      <c r="T390" s="154" t="s">
        <v>66</v>
      </c>
      <c r="U390" s="154" t="s">
        <v>66</v>
      </c>
      <c r="V390" s="154" t="s">
        <v>66</v>
      </c>
      <c r="W390" s="154" t="s">
        <v>60</v>
      </c>
      <c r="X390" s="154" t="s">
        <v>60</v>
      </c>
      <c r="Y390" s="154" t="s">
        <v>66</v>
      </c>
      <c r="Z390" s="154" t="s">
        <v>66</v>
      </c>
      <c r="AA390" s="154" t="s">
        <v>60</v>
      </c>
      <c r="AB390" s="154"/>
      <c r="AC390" s="242" t="b">
        <f t="shared" si="2"/>
        <v>1</v>
      </c>
      <c r="AD390" s="154" t="s">
        <v>391</v>
      </c>
      <c r="AE390" s="243" t="b">
        <f t="shared" si="3"/>
        <v>0</v>
      </c>
      <c r="AF390" s="154" t="s">
        <v>1377</v>
      </c>
      <c r="AG390" s="243" t="b">
        <f t="shared" si="4"/>
        <v>0</v>
      </c>
      <c r="AH390" s="154" t="s">
        <v>762</v>
      </c>
      <c r="AI390" s="243" t="str">
        <f t="shared" si="5"/>
        <v>Complies</v>
      </c>
      <c r="AJ390" s="157" t="str">
        <f t="shared" si="6"/>
        <v/>
      </c>
    </row>
    <row r="391" ht="12.75" customHeight="1">
      <c r="A391" s="244" t="s">
        <v>621</v>
      </c>
      <c r="B391" s="244" t="s">
        <v>1339</v>
      </c>
      <c r="C391" s="245" t="s">
        <v>1378</v>
      </c>
      <c r="D391" s="155" t="s">
        <v>747</v>
      </c>
      <c r="E391" s="246" t="s">
        <v>92</v>
      </c>
      <c r="F391" s="154" t="str">
        <f t="array" ref="F391">XLOOKUP(Cover!$D$12,$S$1:$AA$1,$S391:$AA391)</f>
        <v>Mandatory</v>
      </c>
      <c r="G391" s="153" t="s">
        <v>1379</v>
      </c>
      <c r="H391" s="154" t="s">
        <v>1012</v>
      </c>
      <c r="I391" s="154" t="s">
        <v>759</v>
      </c>
      <c r="J391" s="247" t="s">
        <v>445</v>
      </c>
      <c r="K391" s="247" t="s">
        <v>1367</v>
      </c>
      <c r="L391" s="154" t="str">
        <f t="shared" si="1"/>
        <v/>
      </c>
      <c r="M391" s="248" t="str">
        <f>IFERROR(__xludf.DUMMYFUNCTION("VLOOKUP(C391,IMPORTRANGE(""https://docs.google.com/spreadsheets/d/1P8eX0NWBhUPS_hvzA11R6jkTNFrPrRYIx_dX_hYbxrk/edit?resourcekey=0-iw9bsKY2OqkUHCFMkCar3A&amp;gid=2055363397#gid=2055363397"",""MTR!C:O""),11,false)"),"PMW-L1")</f>
        <v>PMW-L1</v>
      </c>
      <c r="N391" s="248" t="str">
        <f>IFERROR(__xludf.DUMMYFUNCTION("VLOOKUP(C391,IMPORTRANGE(""https://docs.google.com/spreadsheets/d/1ihFlp3_ePlYtFuPbUNbYj1muErVpI73WHXbEwJDIA7Q/edit#gid=1493122344"",""MTR!C:O""),8,false)"),"Complies")</f>
        <v>Complies</v>
      </c>
      <c r="O391" s="248" t="str">
        <f>IFERROR(__xludf.DUMMYFUNCTION("VLOOKUP(C391,IMPORTRANGE(""https://docs.google.com/spreadsheets/d/1P8eX0NWBhUPS_hvzA11R6jkTNFrPrRYIx_dX_hYbxrk/edit?resourcekey=0-iw9bsKY2OqkUHCFMkCar3A&amp;gid=2055363397#gid=2055363397"",""MTR!C:O""),9,false)"),"Please refef to sheet EN-DC for more detailed information")</f>
        <v>Please refef to sheet EN-DC for more detailed information</v>
      </c>
      <c r="P391" s="248"/>
      <c r="Q391" s="249" t="s">
        <v>445</v>
      </c>
      <c r="R391" s="249" t="s">
        <v>1367</v>
      </c>
      <c r="S391" s="154" t="s">
        <v>66</v>
      </c>
      <c r="T391" s="154" t="s">
        <v>66</v>
      </c>
      <c r="U391" s="154" t="s">
        <v>66</v>
      </c>
      <c r="V391" s="154" t="s">
        <v>60</v>
      </c>
      <c r="W391" s="154" t="s">
        <v>60</v>
      </c>
      <c r="X391" s="154" t="s">
        <v>60</v>
      </c>
      <c r="Y391" s="154" t="s">
        <v>66</v>
      </c>
      <c r="Z391" s="154" t="s">
        <v>66</v>
      </c>
      <c r="AA391" s="154" t="s">
        <v>60</v>
      </c>
      <c r="AB391" s="154"/>
      <c r="AC391" s="242" t="b">
        <f t="shared" si="2"/>
        <v>1</v>
      </c>
      <c r="AD391" s="154" t="s">
        <v>391</v>
      </c>
      <c r="AE391" s="243" t="b">
        <f t="shared" si="3"/>
        <v>0</v>
      </c>
      <c r="AF391" s="154" t="s">
        <v>1380</v>
      </c>
      <c r="AG391" s="243" t="b">
        <f t="shared" si="4"/>
        <v>0</v>
      </c>
      <c r="AH391" s="154" t="s">
        <v>762</v>
      </c>
      <c r="AI391" s="243" t="str">
        <f t="shared" si="5"/>
        <v>Complies</v>
      </c>
      <c r="AJ391" s="157" t="str">
        <f t="shared" si="6"/>
        <v/>
      </c>
    </row>
    <row r="392" ht="12.75" customHeight="1">
      <c r="A392" s="244" t="s">
        <v>621</v>
      </c>
      <c r="B392" s="244" t="s">
        <v>1339</v>
      </c>
      <c r="C392" s="245" t="s">
        <v>1381</v>
      </c>
      <c r="D392" s="155" t="s">
        <v>546</v>
      </c>
      <c r="E392" s="246" t="s">
        <v>92</v>
      </c>
      <c r="F392" s="154" t="str">
        <f t="array" ref="F392">XLOOKUP(Cover!$D$12,$S$1:$AA$1,$S392:$AA392)</f>
        <v>Mandatory</v>
      </c>
      <c r="G392" s="153" t="s">
        <v>1382</v>
      </c>
      <c r="H392" s="154" t="s">
        <v>1012</v>
      </c>
      <c r="I392" s="154" t="s">
        <v>759</v>
      </c>
      <c r="J392" s="247" t="s">
        <v>445</v>
      </c>
      <c r="K392" s="247" t="s">
        <v>1367</v>
      </c>
      <c r="L392" s="154" t="str">
        <f t="shared" si="1"/>
        <v/>
      </c>
      <c r="M392" s="248" t="str">
        <f>IFERROR(__xludf.DUMMYFUNCTION("VLOOKUP(C392,IMPORTRANGE(""https://docs.google.com/spreadsheets/d/1P8eX0NWBhUPS_hvzA11R6jkTNFrPrRYIx_dX_hYbxrk/edit?resourcekey=0-iw9bsKY2OqkUHCFMkCar3A&amp;gid=2055363397#gid=2055363397"",""MTR!C:O""),11,false)"),"PMW-L1")</f>
        <v>PMW-L1</v>
      </c>
      <c r="N392" s="248" t="str">
        <f>IFERROR(__xludf.DUMMYFUNCTION("VLOOKUP(C392,IMPORTRANGE(""https://docs.google.com/spreadsheets/d/1ihFlp3_ePlYtFuPbUNbYj1muErVpI73WHXbEwJDIA7Q/edit#gid=1493122344"",""MTR!C:O""),8,false)"),"Complies")</f>
        <v>Complies</v>
      </c>
      <c r="O392" s="248" t="str">
        <f>IFERROR(__xludf.DUMMYFUNCTION("VLOOKUP(C392,IMPORTRANGE(""https://docs.google.com/spreadsheets/d/1P8eX0NWBhUPS_hvzA11R6jkTNFrPrRYIx_dX_hYbxrk/edit?resourcekey=0-iw9bsKY2OqkUHCFMkCar3A&amp;gid=2055363397#gid=2055363397"",""MTR!C:O""),9,false)"),"Please refef to sheet EN-DC for more detailed information")</f>
        <v>Please refef to sheet EN-DC for more detailed information</v>
      </c>
      <c r="P392" s="248"/>
      <c r="Q392" s="249" t="s">
        <v>445</v>
      </c>
      <c r="R392" s="249" t="s">
        <v>1367</v>
      </c>
      <c r="S392" s="154" t="s">
        <v>66</v>
      </c>
      <c r="T392" s="154" t="s">
        <v>66</v>
      </c>
      <c r="U392" s="154" t="s">
        <v>66</v>
      </c>
      <c r="V392" s="154" t="s">
        <v>60</v>
      </c>
      <c r="W392" s="154" t="s">
        <v>60</v>
      </c>
      <c r="X392" s="154" t="s">
        <v>60</v>
      </c>
      <c r="Y392" s="154" t="s">
        <v>66</v>
      </c>
      <c r="Z392" s="154" t="s">
        <v>66</v>
      </c>
      <c r="AA392" s="154" t="s">
        <v>60</v>
      </c>
      <c r="AB392" s="154"/>
      <c r="AC392" s="242" t="b">
        <f t="shared" si="2"/>
        <v>1</v>
      </c>
      <c r="AD392" s="154" t="s">
        <v>391</v>
      </c>
      <c r="AE392" s="243" t="b">
        <f t="shared" si="3"/>
        <v>0</v>
      </c>
      <c r="AF392" s="154" t="s">
        <v>1383</v>
      </c>
      <c r="AG392" s="243" t="b">
        <f t="shared" si="4"/>
        <v>0</v>
      </c>
      <c r="AH392" s="154" t="s">
        <v>762</v>
      </c>
      <c r="AI392" s="243" t="str">
        <f t="shared" si="5"/>
        <v>Complies</v>
      </c>
      <c r="AJ392" s="157" t="str">
        <f t="shared" si="6"/>
        <v/>
      </c>
    </row>
    <row r="393" ht="12.75" customHeight="1">
      <c r="A393" s="244" t="s">
        <v>621</v>
      </c>
      <c r="B393" s="244" t="s">
        <v>1339</v>
      </c>
      <c r="C393" s="245" t="s">
        <v>1384</v>
      </c>
      <c r="D393" s="155" t="s">
        <v>781</v>
      </c>
      <c r="E393" s="246" t="s">
        <v>92</v>
      </c>
      <c r="F393" s="154" t="str">
        <f t="array" ref="F393">XLOOKUP(Cover!$D$12,$S$1:$AA$1,$S393:$AA393)</f>
        <v>Mandatory</v>
      </c>
      <c r="G393" s="153" t="s">
        <v>1385</v>
      </c>
      <c r="H393" s="154" t="s">
        <v>1122</v>
      </c>
      <c r="I393" s="154" t="s">
        <v>759</v>
      </c>
      <c r="J393" s="247" t="s">
        <v>445</v>
      </c>
      <c r="K393" s="247" t="s">
        <v>1367</v>
      </c>
      <c r="L393" s="154" t="str">
        <f t="shared" si="1"/>
        <v/>
      </c>
      <c r="M393" s="248" t="str">
        <f>IFERROR(__xludf.DUMMYFUNCTION("VLOOKUP(C393,IMPORTRANGE(""https://docs.google.com/spreadsheets/d/1P8eX0NWBhUPS_hvzA11R6jkTNFrPrRYIx_dX_hYbxrk/edit?resourcekey=0-iw9bsKY2OqkUHCFMkCar3A&amp;gid=2055363397#gid=2055363397"",""MTR!C:O""),11,false)"),"PMW-L1")</f>
        <v>PMW-L1</v>
      </c>
      <c r="N393" s="248" t="str">
        <f>IFERROR(__xludf.DUMMYFUNCTION("VLOOKUP(C393,IMPORTRANGE(""https://docs.google.com/spreadsheets/d/1ihFlp3_ePlYtFuPbUNbYj1muErVpI73WHXbEwJDIA7Q/edit#gid=1493122344"",""MTR!C:O""),8,false)"),"Complies")</f>
        <v>Complies</v>
      </c>
      <c r="O393" s="248" t="str">
        <f>IFERROR(__xludf.DUMMYFUNCTION("VLOOKUP(C393,IMPORTRANGE(""https://docs.google.com/spreadsheets/d/1P8eX0NWBhUPS_hvzA11R6jkTNFrPrRYIx_dX_hYbxrk/edit?resourcekey=0-iw9bsKY2OqkUHCFMkCar3A&amp;gid=2055363397#gid=2055363397"",""MTR!C:O""),9,false)"),"Please refef to sheet EN-DC for more detailed information")</f>
        <v>Please refef to sheet EN-DC for more detailed information</v>
      </c>
      <c r="P393" s="248"/>
      <c r="Q393" s="249" t="s">
        <v>445</v>
      </c>
      <c r="R393" s="249" t="s">
        <v>1367</v>
      </c>
      <c r="S393" s="154" t="s">
        <v>66</v>
      </c>
      <c r="T393" s="154" t="s">
        <v>66</v>
      </c>
      <c r="U393" s="154" t="s">
        <v>60</v>
      </c>
      <c r="V393" s="154" t="s">
        <v>60</v>
      </c>
      <c r="W393" s="154" t="s">
        <v>60</v>
      </c>
      <c r="X393" s="154" t="s">
        <v>60</v>
      </c>
      <c r="Y393" s="154" t="s">
        <v>66</v>
      </c>
      <c r="Z393" s="154" t="s">
        <v>60</v>
      </c>
      <c r="AA393" s="154" t="s">
        <v>60</v>
      </c>
      <c r="AB393" s="154"/>
      <c r="AC393" s="242" t="b">
        <f t="shared" si="2"/>
        <v>1</v>
      </c>
      <c r="AD393" s="154" t="s">
        <v>391</v>
      </c>
      <c r="AE393" s="243" t="b">
        <f t="shared" si="3"/>
        <v>0</v>
      </c>
      <c r="AF393" s="154" t="s">
        <v>1386</v>
      </c>
      <c r="AG393" s="243" t="b">
        <f t="shared" si="4"/>
        <v>0</v>
      </c>
      <c r="AH393" s="154" t="s">
        <v>762</v>
      </c>
      <c r="AI393" s="243" t="str">
        <f t="shared" si="5"/>
        <v>Complies</v>
      </c>
      <c r="AJ393" s="157" t="str">
        <f t="shared" si="6"/>
        <v/>
      </c>
    </row>
    <row r="394" ht="12.75" customHeight="1">
      <c r="A394" s="244" t="s">
        <v>621</v>
      </c>
      <c r="B394" s="244" t="s">
        <v>1339</v>
      </c>
      <c r="C394" s="244" t="s">
        <v>1387</v>
      </c>
      <c r="D394" s="154" t="s">
        <v>747</v>
      </c>
      <c r="E394" s="250"/>
      <c r="F394" s="154" t="str">
        <f t="array" ref="F394">XLOOKUP(Cover!$D$12,$S$1:$AA$1,$S394:$AA394)</f>
        <v>Comments Vendor</v>
      </c>
      <c r="G394" s="154" t="s">
        <v>1388</v>
      </c>
      <c r="H394" s="154" t="s">
        <v>232</v>
      </c>
      <c r="I394" s="154" t="s">
        <v>759</v>
      </c>
      <c r="J394" s="154"/>
      <c r="K394" s="247" t="s">
        <v>1389</v>
      </c>
      <c r="L394" s="154" t="str">
        <f t="shared" si="1"/>
        <v/>
      </c>
      <c r="M394" s="248" t="str">
        <f>IFERROR(__xludf.DUMMYFUNCTION("VLOOKUP(C394,IMPORTRANGE(""https://docs.google.com/spreadsheets/d/1P8eX0NWBhUPS_hvzA11R6jkTNFrPrRYIx_dX_hYbxrk/edit?resourcekey=0-iw9bsKY2OqkUHCFMkCar3A&amp;gid=2055363397#gid=2055363397"",""MTR!C:O""),11,false)"),"PMW-AS")</f>
        <v>PMW-AS</v>
      </c>
      <c r="N394" s="241" t="str">
        <f>IFERROR(__xludf.DUMMYFUNCTION("VLOOKUP(C394,IMPORTRANGE(""https://docs.google.com/spreadsheets/d/1ihFlp3_ePlYtFuPbUNbYj1muErVpI73WHXbEwJDIA7Q/edit#gid=1493122344"",""MTR!C:O""),8,false)"),"")</f>
        <v/>
      </c>
      <c r="O394" s="248" t="str">
        <f>IFERROR(__xludf.DUMMYFUNCTION("VLOOKUP(C394,IMPORTRANGE(""https://docs.google.com/spreadsheets/d/1P8eX0NWBhUPS_hvzA11R6jkTNFrPrRYIx_dX_hYbxrk/edit?resourcekey=0-iw9bsKY2OqkUHCFMkCar3A&amp;gid=2055363397#gid=2055363397"",""MTR!C:O""),9,false)"),"16 layers with,
- DC_3C(4x4)-7C(4x4)-20A(2x2)_n1A(4x4)
- DC_3C(4x4)-7C(4x4)-20A(2x2)_n1A(4x4)
- DC_3C(4x4)-7C(4x4)-20A(2x2)_n1A(4x4)
")</f>
        <v>16 layers with,
- DC_3C(4x4)-7C(4x4)-20A(2x2)_n1A(4x4)
- DC_3C(4x4)-7C(4x4)-20A(2x2)_n1A(4x4)
- DC_3C(4x4)-7C(4x4)-20A(2x2)_n1A(4x4)
</v>
      </c>
      <c r="P394" s="248"/>
      <c r="Q394" s="248"/>
      <c r="R394" s="249" t="s">
        <v>1389</v>
      </c>
      <c r="S394" s="154" t="s">
        <v>62</v>
      </c>
      <c r="T394" s="154" t="s">
        <v>62</v>
      </c>
      <c r="U394" s="154" t="s">
        <v>62</v>
      </c>
      <c r="V394" s="154" t="s">
        <v>62</v>
      </c>
      <c r="W394" s="154" t="s">
        <v>62</v>
      </c>
      <c r="X394" s="154" t="s">
        <v>62</v>
      </c>
      <c r="Y394" s="154" t="s">
        <v>62</v>
      </c>
      <c r="Z394" s="154" t="s">
        <v>62</v>
      </c>
      <c r="AA394" s="154" t="s">
        <v>62</v>
      </c>
      <c r="AB394" s="154"/>
      <c r="AC394" s="242" t="b">
        <f t="shared" si="2"/>
        <v>1</v>
      </c>
      <c r="AD394" s="154" t="s">
        <v>400</v>
      </c>
      <c r="AE394" s="243" t="b">
        <f t="shared" si="3"/>
        <v>1</v>
      </c>
      <c r="AF394" s="154" t="s">
        <v>1390</v>
      </c>
      <c r="AG394" s="243" t="b">
        <f t="shared" si="4"/>
        <v>0</v>
      </c>
      <c r="AH394" s="154" t="s">
        <v>762</v>
      </c>
      <c r="AI394" s="243" t="str">
        <f t="shared" si="5"/>
        <v>Complies</v>
      </c>
      <c r="AJ394" s="157" t="str">
        <f t="shared" si="6"/>
        <v/>
      </c>
    </row>
    <row r="395" ht="12.75" customHeight="1">
      <c r="A395" s="244" t="s">
        <v>621</v>
      </c>
      <c r="B395" s="244" t="s">
        <v>1339</v>
      </c>
      <c r="C395" s="255" t="s">
        <v>1391</v>
      </c>
      <c r="D395" s="256" t="s">
        <v>42</v>
      </c>
      <c r="E395" s="257" t="s">
        <v>489</v>
      </c>
      <c r="F395" s="154" t="str">
        <f t="array" ref="F395">XLOOKUP(Cover!$D$12,$S$1:$AA$1,$S395:$AA395)</f>
        <v>Mandatory</v>
      </c>
      <c r="G395" s="254" t="s">
        <v>1392</v>
      </c>
      <c r="H395" s="154" t="s">
        <v>175</v>
      </c>
      <c r="I395" s="154" t="s">
        <v>759</v>
      </c>
      <c r="J395" s="247" t="s">
        <v>516</v>
      </c>
      <c r="K395" s="247" t="s">
        <v>1393</v>
      </c>
      <c r="L395" s="154" t="str">
        <f t="shared" si="1"/>
        <v/>
      </c>
      <c r="M395" s="253" t="s">
        <v>828</v>
      </c>
      <c r="N395" s="253" t="str">
        <f>IFERROR(__xludf.DUMMYFUNCTION("VLOOKUP(C395,IMPORTRANGE(""https://docs.google.com/spreadsheets/d/1ihFlp3_ePlYtFuPbUNbYj1muErVpI73WHXbEwJDIA7Q/edit#gid=1493122344"",""MTR!C:O""),8,false)"),"#N/A")</f>
        <v>#N/A</v>
      </c>
      <c r="O395" s="253" t="str">
        <f>IFERROR(__xludf.DUMMYFUNCTION("VLOOKUP(C395,IMPORTRANGE(""https://docs.google.com/spreadsheets/d/1P8eX0NWBhUPS_hvzA11R6jkTNFrPrRYIx_dX_hYbxrk/edit?resourcekey=0-iw9bsKY2OqkUHCFMkCar3A&amp;gid=2055363397#gid=2055363397"",""MTR!C:O""),9,false)"),"#N/A")</f>
        <v>#N/A</v>
      </c>
      <c r="P395" s="253"/>
      <c r="Q395" s="253"/>
      <c r="R395" s="253"/>
      <c r="S395" s="154" t="s">
        <v>66</v>
      </c>
      <c r="T395" s="154" t="s">
        <v>66</v>
      </c>
      <c r="U395" s="154" t="s">
        <v>66</v>
      </c>
      <c r="V395" s="154" t="s">
        <v>66</v>
      </c>
      <c r="W395" s="154" t="s">
        <v>66</v>
      </c>
      <c r="X395" s="154" t="s">
        <v>60</v>
      </c>
      <c r="Y395" s="154" t="s">
        <v>66</v>
      </c>
      <c r="Z395" s="154" t="s">
        <v>66</v>
      </c>
      <c r="AA395" s="154" t="s">
        <v>60</v>
      </c>
      <c r="AB395" s="154"/>
      <c r="AC395" s="242" t="b">
        <f t="shared" si="2"/>
        <v>1</v>
      </c>
      <c r="AD395" s="154" t="s">
        <v>391</v>
      </c>
      <c r="AE395" s="243" t="b">
        <f t="shared" si="3"/>
        <v>0</v>
      </c>
      <c r="AF395" s="154" t="s">
        <v>1368</v>
      </c>
      <c r="AG395" s="243" t="b">
        <f t="shared" si="4"/>
        <v>0</v>
      </c>
      <c r="AH395" s="154" t="s">
        <v>762</v>
      </c>
      <c r="AI395" s="243" t="str">
        <f t="shared" si="5"/>
        <v>Complies</v>
      </c>
      <c r="AJ395" s="157" t="str">
        <f t="shared" si="6"/>
        <v/>
      </c>
    </row>
    <row r="396" ht="12.75" customHeight="1">
      <c r="A396" s="238" t="s">
        <v>621</v>
      </c>
      <c r="B396" s="238" t="s">
        <v>1339</v>
      </c>
      <c r="C396" s="238" t="s">
        <v>1394</v>
      </c>
      <c r="D396" s="240"/>
      <c r="E396" s="252" t="s">
        <v>92</v>
      </c>
      <c r="F396" s="154" t="str">
        <f t="array" ref="F396">XLOOKUP(Cover!$D$12,$S$1:$AA$1,$S396:$AA396)</f>
        <v>Heading</v>
      </c>
      <c r="G396" s="239" t="s">
        <v>1395</v>
      </c>
      <c r="H396" s="240"/>
      <c r="I396" s="240" t="s">
        <v>759</v>
      </c>
      <c r="J396" s="240"/>
      <c r="K396" s="240"/>
      <c r="L396" s="154" t="str">
        <f t="shared" si="1"/>
        <v/>
      </c>
      <c r="M396" s="241" t="str">
        <f>IFERROR(__xludf.DUMMYFUNCTION("VLOOKUP(C396,IMPORTRANGE(""https://docs.google.com/spreadsheets/d/1P8eX0NWBhUPS_hvzA11R6jkTNFrPrRYIx_dX_hYbxrk/edit?resourcekey=0-iw9bsKY2OqkUHCFMkCar3A&amp;gid=2055363397#gid=2055363397"",""MTR!C:O""),11,false)"),"")</f>
        <v/>
      </c>
      <c r="N396" s="241" t="str">
        <f>IFERROR(__xludf.DUMMYFUNCTION("VLOOKUP(C396,IMPORTRANGE(""https://docs.google.com/spreadsheets/d/1ihFlp3_ePlYtFuPbUNbYj1muErVpI73WHXbEwJDIA7Q/edit#gid=1493122344"",""MTR!C:O""),8,false)"),"")</f>
        <v/>
      </c>
      <c r="O396" s="241" t="str">
        <f>IFERROR(__xludf.DUMMYFUNCTION("VLOOKUP(C396,IMPORTRANGE(""https://docs.google.com/spreadsheets/d/1P8eX0NWBhUPS_hvzA11R6jkTNFrPrRYIx_dX_hYbxrk/edit?resourcekey=0-iw9bsKY2OqkUHCFMkCar3A&amp;gid=2055363397#gid=2055363397"",""MTR!C:O""),9,false)"),"")</f>
        <v/>
      </c>
      <c r="P396" s="241"/>
      <c r="Q396" s="241"/>
      <c r="R396" s="241"/>
      <c r="S396" s="240" t="s">
        <v>390</v>
      </c>
      <c r="T396" s="240" t="s">
        <v>390</v>
      </c>
      <c r="U396" s="240" t="s">
        <v>390</v>
      </c>
      <c r="V396" s="240" t="s">
        <v>390</v>
      </c>
      <c r="W396" s="240" t="s">
        <v>390</v>
      </c>
      <c r="X396" s="240" t="s">
        <v>390</v>
      </c>
      <c r="Y396" s="240" t="s">
        <v>390</v>
      </c>
      <c r="Z396" s="240" t="s">
        <v>390</v>
      </c>
      <c r="AA396" s="240" t="s">
        <v>390</v>
      </c>
      <c r="AB396" s="240"/>
      <c r="AC396" s="242" t="b">
        <f t="shared" si="2"/>
        <v>0</v>
      </c>
      <c r="AD396" s="240" t="s">
        <v>391</v>
      </c>
      <c r="AE396" s="243" t="b">
        <f t="shared" si="3"/>
        <v>0</v>
      </c>
      <c r="AF396" s="240"/>
      <c r="AG396" s="243" t="b">
        <f t="shared" si="4"/>
        <v>0</v>
      </c>
      <c r="AH396" s="240"/>
      <c r="AI396" s="243" t="str">
        <f t="shared" si="5"/>
        <v>N/A</v>
      </c>
      <c r="AJ396" s="157" t="str">
        <f t="shared" si="6"/>
        <v/>
      </c>
    </row>
    <row r="397" ht="12.75" customHeight="1">
      <c r="A397" s="244" t="s">
        <v>621</v>
      </c>
      <c r="B397" s="244" t="s">
        <v>1339</v>
      </c>
      <c r="C397" s="244" t="s">
        <v>1396</v>
      </c>
      <c r="D397" s="154" t="s">
        <v>602</v>
      </c>
      <c r="E397" s="250"/>
      <c r="F397" s="154" t="str">
        <f t="array" ref="F397">XLOOKUP(Cover!$D$12,$S$1:$AA$1,$S397:$AA397)</f>
        <v>Mandatory</v>
      </c>
      <c r="G397" s="153" t="s">
        <v>1397</v>
      </c>
      <c r="H397" s="154" t="s">
        <v>654</v>
      </c>
      <c r="I397" s="154" t="s">
        <v>759</v>
      </c>
      <c r="J397" s="247" t="s">
        <v>445</v>
      </c>
      <c r="K397" s="247" t="s">
        <v>1398</v>
      </c>
      <c r="L397" s="154" t="str">
        <f t="shared" si="1"/>
        <v/>
      </c>
      <c r="M397" s="248" t="str">
        <f>IFERROR(__xludf.DUMMYFUNCTION("VLOOKUP(C397,IMPORTRANGE(""https://docs.google.com/spreadsheets/d/1P8eX0NWBhUPS_hvzA11R6jkTNFrPrRYIx_dX_hYbxrk/edit?resourcekey=0-iw9bsKY2OqkUHCFMkCar3A&amp;gid=2055363397#gid=2055363397"",""MTR!C:O""),11,false)"),"PMW-L1")</f>
        <v>PMW-L1</v>
      </c>
      <c r="N397" s="248" t="str">
        <f>IFERROR(__xludf.DUMMYFUNCTION("VLOOKUP(C397,IMPORTRANGE(""https://docs.google.com/spreadsheets/d/1ihFlp3_ePlYtFuPbUNbYj1muErVpI73WHXbEwJDIA7Q/edit#gid=1493122344"",""MTR!C:O""),8,false)"),"Complies")</f>
        <v>Complies</v>
      </c>
      <c r="O397" s="248" t="str">
        <f>IFERROR(__xludf.DUMMYFUNCTION("VLOOKUP(C397,IMPORTRANGE(""https://docs.google.com/spreadsheets/d/1P8eX0NWBhUPS_hvzA11R6jkTNFrPrRYIx_dX_hYbxrk/edit?resourcekey=0-iw9bsKY2OqkUHCFMkCar3A&amp;gid=2055363397#gid=2055363397"",""MTR!C:O""),9,false)"),"DC_8A_n3A
DC_20A_n3A
DC_8A-20A_n3A")</f>
        <v>DC_8A_n3A
DC_20A_n3A
DC_8A-20A_n3A</v>
      </c>
      <c r="P397" s="248"/>
      <c r="Q397" s="249" t="s">
        <v>445</v>
      </c>
      <c r="R397" s="249" t="s">
        <v>1398</v>
      </c>
      <c r="S397" s="154" t="s">
        <v>66</v>
      </c>
      <c r="T397" s="154" t="s">
        <v>66</v>
      </c>
      <c r="U397" s="154" t="s">
        <v>60</v>
      </c>
      <c r="V397" s="154" t="s">
        <v>60</v>
      </c>
      <c r="W397" s="154" t="s">
        <v>60</v>
      </c>
      <c r="X397" s="154" t="s">
        <v>60</v>
      </c>
      <c r="Y397" s="154" t="s">
        <v>66</v>
      </c>
      <c r="Z397" s="154" t="s">
        <v>60</v>
      </c>
      <c r="AA397" s="154" t="s">
        <v>60</v>
      </c>
      <c r="AB397" s="154"/>
      <c r="AC397" s="242" t="b">
        <f t="shared" si="2"/>
        <v>1</v>
      </c>
      <c r="AD397" s="154" t="s">
        <v>391</v>
      </c>
      <c r="AE397" s="243" t="b">
        <f t="shared" si="3"/>
        <v>0</v>
      </c>
      <c r="AF397" s="154"/>
      <c r="AG397" s="243" t="b">
        <f t="shared" si="4"/>
        <v>0</v>
      </c>
      <c r="AH397" s="154" t="s">
        <v>770</v>
      </c>
      <c r="AI397" s="243" t="str">
        <f t="shared" si="5"/>
        <v>Complies</v>
      </c>
      <c r="AJ397" s="157" t="str">
        <f t="shared" si="6"/>
        <v/>
      </c>
    </row>
    <row r="398" ht="12.75" customHeight="1">
      <c r="A398" s="244" t="s">
        <v>621</v>
      </c>
      <c r="B398" s="244" t="s">
        <v>1339</v>
      </c>
      <c r="C398" s="244" t="s">
        <v>1399</v>
      </c>
      <c r="D398" s="154" t="s">
        <v>747</v>
      </c>
      <c r="E398" s="250"/>
      <c r="F398" s="154" t="str">
        <f t="array" ref="F398">XLOOKUP(Cover!$D$12,$S$1:$AA$1,$S398:$AA398)</f>
        <v>Mandatory</v>
      </c>
      <c r="G398" s="153" t="s">
        <v>1400</v>
      </c>
      <c r="H398" s="154" t="s">
        <v>654</v>
      </c>
      <c r="I398" s="154" t="s">
        <v>759</v>
      </c>
      <c r="J398" s="247" t="s">
        <v>445</v>
      </c>
      <c r="K398" s="154"/>
      <c r="L398" s="154" t="str">
        <f t="shared" si="1"/>
        <v/>
      </c>
      <c r="M398" s="248" t="str">
        <f>IFERROR(__xludf.DUMMYFUNCTION("VLOOKUP(C398,IMPORTRANGE(""https://docs.google.com/spreadsheets/d/1P8eX0NWBhUPS_hvzA11R6jkTNFrPrRYIx_dX_hYbxrk/edit?resourcekey=0-iw9bsKY2OqkUHCFMkCar3A&amp;gid=2055363397#gid=2055363397"",""MTR!C:O""),11,false)"),"PMW-L1")</f>
        <v>PMW-L1</v>
      </c>
      <c r="N398" s="248" t="str">
        <f>IFERROR(__xludf.DUMMYFUNCTION("VLOOKUP(C398,IMPORTRANGE(""https://docs.google.com/spreadsheets/d/1ihFlp3_ePlYtFuPbUNbYj1muErVpI73WHXbEwJDIA7Q/edit#gid=1493122344"",""MTR!C:O""),8,false)"),"Complies")</f>
        <v>Complies</v>
      </c>
      <c r="O398" s="241" t="str">
        <f>IFERROR(__xludf.DUMMYFUNCTION("VLOOKUP(C398,IMPORTRANGE(""https://docs.google.com/spreadsheets/d/1P8eX0NWBhUPS_hvzA11R6jkTNFrPrRYIx_dX_hYbxrk/edit?resourcekey=0-iw9bsKY2OqkUHCFMkCar3A&amp;gid=2055363397#gid=2055363397"",""MTR!C:O""),9,false)"),"")</f>
        <v/>
      </c>
      <c r="P398" s="241"/>
      <c r="Q398" s="251" t="s">
        <v>445</v>
      </c>
      <c r="R398" s="241"/>
      <c r="S398" s="154" t="s">
        <v>66</v>
      </c>
      <c r="T398" s="154" t="s">
        <v>66</v>
      </c>
      <c r="U398" s="154" t="s">
        <v>60</v>
      </c>
      <c r="V398" s="154" t="s">
        <v>60</v>
      </c>
      <c r="W398" s="154" t="s">
        <v>60</v>
      </c>
      <c r="X398" s="154" t="s">
        <v>60</v>
      </c>
      <c r="Y398" s="154" t="s">
        <v>66</v>
      </c>
      <c r="Z398" s="154" t="s">
        <v>60</v>
      </c>
      <c r="AA398" s="154" t="s">
        <v>60</v>
      </c>
      <c r="AB398" s="154"/>
      <c r="AC398" s="242" t="b">
        <f t="shared" si="2"/>
        <v>1</v>
      </c>
      <c r="AD398" s="154" t="s">
        <v>391</v>
      </c>
      <c r="AE398" s="243" t="b">
        <f t="shared" si="3"/>
        <v>0</v>
      </c>
      <c r="AF398" s="154"/>
      <c r="AG398" s="243" t="b">
        <f t="shared" si="4"/>
        <v>0</v>
      </c>
      <c r="AH398" s="154" t="s">
        <v>770</v>
      </c>
      <c r="AI398" s="243" t="str">
        <f t="shared" si="5"/>
        <v>Complies</v>
      </c>
      <c r="AJ398" s="157" t="str">
        <f t="shared" si="6"/>
        <v/>
      </c>
    </row>
    <row r="399" ht="12.75" customHeight="1">
      <c r="A399" s="244" t="s">
        <v>621</v>
      </c>
      <c r="B399" s="244" t="s">
        <v>1339</v>
      </c>
      <c r="C399" s="244" t="s">
        <v>1401</v>
      </c>
      <c r="D399" s="154" t="s">
        <v>503</v>
      </c>
      <c r="E399" s="250"/>
      <c r="F399" s="154" t="str">
        <f t="array" ref="F399">XLOOKUP(Cover!$D$12,$S$1:$AA$1,$S399:$AA399)</f>
        <v>Mandatory</v>
      </c>
      <c r="G399" s="153" t="s">
        <v>1402</v>
      </c>
      <c r="H399" s="154" t="s">
        <v>654</v>
      </c>
      <c r="I399" s="154" t="s">
        <v>759</v>
      </c>
      <c r="J399" s="247" t="s">
        <v>445</v>
      </c>
      <c r="K399" s="154"/>
      <c r="L399" s="154" t="str">
        <f t="shared" si="1"/>
        <v/>
      </c>
      <c r="M399" s="248" t="str">
        <f>IFERROR(__xludf.DUMMYFUNCTION("VLOOKUP(C399,IMPORTRANGE(""https://docs.google.com/spreadsheets/d/1P8eX0NWBhUPS_hvzA11R6jkTNFrPrRYIx_dX_hYbxrk/edit?resourcekey=0-iw9bsKY2OqkUHCFMkCar3A&amp;gid=2055363397#gid=2055363397"",""MTR!C:O""),11,false)"),"PMW-MCE-AS")</f>
        <v>PMW-MCE-AS</v>
      </c>
      <c r="N399" s="248" t="str">
        <f>IFERROR(__xludf.DUMMYFUNCTION("VLOOKUP(C399,IMPORTRANGE(""https://docs.google.com/spreadsheets/d/1ihFlp3_ePlYtFuPbUNbYj1muErVpI73WHXbEwJDIA7Q/edit#gid=1493122344"",""MTR!C:O""),8,false)"),"Complies")</f>
        <v>Complies</v>
      </c>
      <c r="O399" s="241" t="str">
        <f>IFERROR(__xludf.DUMMYFUNCTION("VLOOKUP(C399,IMPORTRANGE(""https://docs.google.com/spreadsheets/d/1P8eX0NWBhUPS_hvzA11R6jkTNFrPrRYIx_dX_hYbxrk/edit?resourcekey=0-iw9bsKY2OqkUHCFMkCar3A&amp;gid=2055363397#gid=2055363397"",""MTR!C:O""),9,false)"),"")</f>
        <v/>
      </c>
      <c r="P399" s="241"/>
      <c r="Q399" s="251" t="s">
        <v>445</v>
      </c>
      <c r="R399" s="241"/>
      <c r="S399" s="154" t="s">
        <v>66</v>
      </c>
      <c r="T399" s="154" t="s">
        <v>66</v>
      </c>
      <c r="U399" s="154" t="s">
        <v>60</v>
      </c>
      <c r="V399" s="154" t="s">
        <v>60</v>
      </c>
      <c r="W399" s="154" t="s">
        <v>60</v>
      </c>
      <c r="X399" s="154" t="s">
        <v>60</v>
      </c>
      <c r="Y399" s="154" t="s">
        <v>66</v>
      </c>
      <c r="Z399" s="154" t="s">
        <v>60</v>
      </c>
      <c r="AA399" s="154" t="s">
        <v>60</v>
      </c>
      <c r="AB399" s="154"/>
      <c r="AC399" s="242" t="b">
        <f t="shared" si="2"/>
        <v>1</v>
      </c>
      <c r="AD399" s="154" t="s">
        <v>391</v>
      </c>
      <c r="AE399" s="243" t="b">
        <f t="shared" si="3"/>
        <v>0</v>
      </c>
      <c r="AF399" s="154"/>
      <c r="AG399" s="243" t="b">
        <f t="shared" si="4"/>
        <v>0</v>
      </c>
      <c r="AH399" s="154" t="s">
        <v>770</v>
      </c>
      <c r="AI399" s="243" t="str">
        <f t="shared" si="5"/>
        <v>Complies</v>
      </c>
      <c r="AJ399" s="157" t="str">
        <f t="shared" si="6"/>
        <v/>
      </c>
    </row>
    <row r="400" ht="12.75" customHeight="1">
      <c r="A400" s="244" t="s">
        <v>621</v>
      </c>
      <c r="B400" s="244" t="s">
        <v>1339</v>
      </c>
      <c r="C400" s="244" t="s">
        <v>1403</v>
      </c>
      <c r="D400" s="154" t="s">
        <v>747</v>
      </c>
      <c r="E400" s="250"/>
      <c r="F400" s="154" t="str">
        <f t="array" ref="F400">XLOOKUP(Cover!$D$12,$S$1:$AA$1,$S400:$AA400)</f>
        <v>Recommended</v>
      </c>
      <c r="G400" s="153" t="s">
        <v>1404</v>
      </c>
      <c r="H400" s="154"/>
      <c r="I400" s="154" t="s">
        <v>759</v>
      </c>
      <c r="J400" s="247" t="s">
        <v>445</v>
      </c>
      <c r="K400" s="154"/>
      <c r="L400" s="154" t="str">
        <f t="shared" si="1"/>
        <v/>
      </c>
      <c r="M400" s="248" t="str">
        <f>IFERROR(__xludf.DUMMYFUNCTION("VLOOKUP(C400,IMPORTRANGE(""https://docs.google.com/spreadsheets/d/1P8eX0NWBhUPS_hvzA11R6jkTNFrPrRYIx_dX_hYbxrk/edit?resourcekey=0-iw9bsKY2OqkUHCFMkCar3A&amp;gid=2055363397#gid=2055363397"",""MTR!C:O""),11,false)"),"PMW-L1")</f>
        <v>PMW-L1</v>
      </c>
      <c r="N400" s="248" t="str">
        <f>IFERROR(__xludf.DUMMYFUNCTION("VLOOKUP(C400,IMPORTRANGE(""https://docs.google.com/spreadsheets/d/1ihFlp3_ePlYtFuPbUNbYj1muErVpI73WHXbEwJDIA7Q/edit#gid=1493122344"",""MTR!C:O""),8,false)"),"Complies")</f>
        <v>Complies</v>
      </c>
      <c r="O400" s="241" t="str">
        <f>IFERROR(__xludf.DUMMYFUNCTION("VLOOKUP(C400,IMPORTRANGE(""https://docs.google.com/spreadsheets/d/1P8eX0NWBhUPS_hvzA11R6jkTNFrPrRYIx_dX_hYbxrk/edit?resourcekey=0-iw9bsKY2OqkUHCFMkCar3A&amp;gid=2055363397#gid=2055363397"",""MTR!C:O""),9,false)"),"")</f>
        <v/>
      </c>
      <c r="P400" s="241"/>
      <c r="Q400" s="251" t="s">
        <v>445</v>
      </c>
      <c r="R400" s="241"/>
      <c r="S400" s="154" t="s">
        <v>66</v>
      </c>
      <c r="T400" s="154" t="s">
        <v>66</v>
      </c>
      <c r="U400" s="154" t="s">
        <v>66</v>
      </c>
      <c r="V400" s="154" t="s">
        <v>66</v>
      </c>
      <c r="W400" s="154" t="s">
        <v>66</v>
      </c>
      <c r="X400" s="154" t="s">
        <v>64</v>
      </c>
      <c r="Y400" s="154" t="s">
        <v>66</v>
      </c>
      <c r="Z400" s="154" t="s">
        <v>66</v>
      </c>
      <c r="AA400" s="154" t="s">
        <v>64</v>
      </c>
      <c r="AB400" s="154"/>
      <c r="AC400" s="242" t="b">
        <f t="shared" si="2"/>
        <v>1</v>
      </c>
      <c r="AD400" s="154" t="s">
        <v>391</v>
      </c>
      <c r="AE400" s="243" t="b">
        <f t="shared" si="3"/>
        <v>0</v>
      </c>
      <c r="AF400" s="154"/>
      <c r="AG400" s="243" t="b">
        <f t="shared" si="4"/>
        <v>0</v>
      </c>
      <c r="AH400" s="154" t="s">
        <v>770</v>
      </c>
      <c r="AI400" s="243" t="str">
        <f t="shared" si="5"/>
        <v>Complies</v>
      </c>
      <c r="AJ400" s="157" t="str">
        <f t="shared" si="6"/>
        <v/>
      </c>
    </row>
    <row r="401" ht="12.75" customHeight="1">
      <c r="A401" s="244" t="s">
        <v>621</v>
      </c>
      <c r="B401" s="244" t="s">
        <v>1339</v>
      </c>
      <c r="C401" s="244" t="s">
        <v>1405</v>
      </c>
      <c r="D401" s="154" t="s">
        <v>546</v>
      </c>
      <c r="E401" s="250"/>
      <c r="F401" s="154" t="str">
        <f t="array" ref="F401">XLOOKUP(Cover!$D$12,$S$1:$AA$1,$S401:$AA401)</f>
        <v>Mandatory</v>
      </c>
      <c r="G401" s="153" t="s">
        <v>1406</v>
      </c>
      <c r="H401" s="154" t="s">
        <v>175</v>
      </c>
      <c r="I401" s="154" t="s">
        <v>759</v>
      </c>
      <c r="J401" s="247" t="s">
        <v>445</v>
      </c>
      <c r="K401" s="247" t="s">
        <v>1367</v>
      </c>
      <c r="L401" s="154" t="str">
        <f t="shared" si="1"/>
        <v/>
      </c>
      <c r="M401" s="248" t="str">
        <f>IFERROR(__xludf.DUMMYFUNCTION("VLOOKUP(C401,IMPORTRANGE(""https://docs.google.com/spreadsheets/d/1P8eX0NWBhUPS_hvzA11R6jkTNFrPrRYIx_dX_hYbxrk/edit?resourcekey=0-iw9bsKY2OqkUHCFMkCar3A&amp;gid=2055363397#gid=2055363397"",""MTR!C:O""),11,false)"),"PMW-L1")</f>
        <v>PMW-L1</v>
      </c>
      <c r="N401" s="248" t="str">
        <f>IFERROR(__xludf.DUMMYFUNCTION("VLOOKUP(C401,IMPORTRANGE(""https://docs.google.com/spreadsheets/d/1ihFlp3_ePlYtFuPbUNbYj1muErVpI73WHXbEwJDIA7Q/edit#gid=1493122344"",""MTR!C:O""),8,false)"),"Complies")</f>
        <v>Complies</v>
      </c>
      <c r="O401" s="248" t="str">
        <f>IFERROR(__xludf.DUMMYFUNCTION("VLOOKUP(C401,IMPORTRANGE(""https://docs.google.com/spreadsheets/d/1P8eX0NWBhUPS_hvzA11R6jkTNFrPrRYIx_dX_hYbxrk/edit?resourcekey=0-iw9bsKY2OqkUHCFMkCar3A&amp;gid=2055363397#gid=2055363397"",""MTR!C:O""),9,false)"),"Please refef to sheet EN-DC for more detailed information")</f>
        <v>Please refef to sheet EN-DC for more detailed information</v>
      </c>
      <c r="P401" s="248"/>
      <c r="Q401" s="249" t="s">
        <v>445</v>
      </c>
      <c r="R401" s="249" t="s">
        <v>1367</v>
      </c>
      <c r="S401" s="154" t="s">
        <v>66</v>
      </c>
      <c r="T401" s="154" t="s">
        <v>66</v>
      </c>
      <c r="U401" s="154" t="s">
        <v>66</v>
      </c>
      <c r="V401" s="154" t="s">
        <v>66</v>
      </c>
      <c r="W401" s="154" t="s">
        <v>66</v>
      </c>
      <c r="X401" s="154" t="s">
        <v>60</v>
      </c>
      <c r="Y401" s="154" t="s">
        <v>66</v>
      </c>
      <c r="Z401" s="154" t="s">
        <v>66</v>
      </c>
      <c r="AA401" s="154" t="s">
        <v>60</v>
      </c>
      <c r="AB401" s="154"/>
      <c r="AC401" s="242" t="b">
        <f t="shared" si="2"/>
        <v>1</v>
      </c>
      <c r="AD401" s="154" t="s">
        <v>391</v>
      </c>
      <c r="AE401" s="243" t="b">
        <f t="shared" si="3"/>
        <v>0</v>
      </c>
      <c r="AF401" s="154" t="s">
        <v>1407</v>
      </c>
      <c r="AG401" s="243" t="b">
        <f t="shared" si="4"/>
        <v>0</v>
      </c>
      <c r="AH401" s="154" t="s">
        <v>770</v>
      </c>
      <c r="AI401" s="243" t="str">
        <f t="shared" si="5"/>
        <v>Complies</v>
      </c>
      <c r="AJ401" s="157" t="str">
        <f t="shared" si="6"/>
        <v/>
      </c>
    </row>
    <row r="402" ht="12.75" customHeight="1">
      <c r="A402" s="244" t="s">
        <v>621</v>
      </c>
      <c r="B402" s="244" t="s">
        <v>1339</v>
      </c>
      <c r="C402" s="245" t="s">
        <v>1408</v>
      </c>
      <c r="D402" s="155" t="s">
        <v>546</v>
      </c>
      <c r="E402" s="246" t="s">
        <v>92</v>
      </c>
      <c r="F402" s="154" t="str">
        <f t="array" ref="F402">XLOOKUP(Cover!$D$12,$S$1:$AA$1,$S402:$AA402)</f>
        <v>Mandatory</v>
      </c>
      <c r="G402" s="153" t="s">
        <v>1409</v>
      </c>
      <c r="H402" s="154" t="s">
        <v>175</v>
      </c>
      <c r="I402" s="154" t="s">
        <v>759</v>
      </c>
      <c r="J402" s="247" t="s">
        <v>445</v>
      </c>
      <c r="K402" s="247" t="s">
        <v>1367</v>
      </c>
      <c r="L402" s="154" t="str">
        <f t="shared" si="1"/>
        <v/>
      </c>
      <c r="M402" s="248" t="str">
        <f>IFERROR(__xludf.DUMMYFUNCTION("VLOOKUP(C402,IMPORTRANGE(""https://docs.google.com/spreadsheets/d/1P8eX0NWBhUPS_hvzA11R6jkTNFrPrRYIx_dX_hYbxrk/edit?resourcekey=0-iw9bsKY2OqkUHCFMkCar3A&amp;gid=2055363397#gid=2055363397"",""MTR!C:O""),11,false)"),"PMW-L1")</f>
        <v>PMW-L1</v>
      </c>
      <c r="N402" s="248" t="str">
        <f>IFERROR(__xludf.DUMMYFUNCTION("VLOOKUP(C402,IMPORTRANGE(""https://docs.google.com/spreadsheets/d/1ihFlp3_ePlYtFuPbUNbYj1muErVpI73WHXbEwJDIA7Q/edit#gid=1493122344"",""MTR!C:O""),8,false)"),"Complies")</f>
        <v>Complies</v>
      </c>
      <c r="O402" s="248" t="str">
        <f>IFERROR(__xludf.DUMMYFUNCTION("VLOOKUP(C402,IMPORTRANGE(""https://docs.google.com/spreadsheets/d/1P8eX0NWBhUPS_hvzA11R6jkTNFrPrRYIx_dX_hYbxrk/edit?resourcekey=0-iw9bsKY2OqkUHCFMkCar3A&amp;gid=2055363397#gid=2055363397"",""MTR!C:O""),9,false)"),"Please refef to sheet EN-DC for more detailed information")</f>
        <v>Please refef to sheet EN-DC for more detailed information</v>
      </c>
      <c r="P402" s="248"/>
      <c r="Q402" s="249" t="s">
        <v>445</v>
      </c>
      <c r="R402" s="249" t="s">
        <v>1367</v>
      </c>
      <c r="S402" s="154" t="s">
        <v>66</v>
      </c>
      <c r="T402" s="154" t="s">
        <v>66</v>
      </c>
      <c r="U402" s="154" t="s">
        <v>66</v>
      </c>
      <c r="V402" s="154" t="s">
        <v>66</v>
      </c>
      <c r="W402" s="154" t="s">
        <v>66</v>
      </c>
      <c r="X402" s="154" t="s">
        <v>60</v>
      </c>
      <c r="Y402" s="154" t="s">
        <v>66</v>
      </c>
      <c r="Z402" s="154" t="s">
        <v>66</v>
      </c>
      <c r="AA402" s="154" t="s">
        <v>60</v>
      </c>
      <c r="AB402" s="154"/>
      <c r="AC402" s="242" t="b">
        <f t="shared" si="2"/>
        <v>1</v>
      </c>
      <c r="AD402" s="154" t="s">
        <v>391</v>
      </c>
      <c r="AE402" s="243" t="b">
        <f t="shared" si="3"/>
        <v>0</v>
      </c>
      <c r="AF402" s="154" t="s">
        <v>1410</v>
      </c>
      <c r="AG402" s="243" t="b">
        <f t="shared" si="4"/>
        <v>0</v>
      </c>
      <c r="AH402" s="154" t="s">
        <v>770</v>
      </c>
      <c r="AI402" s="243" t="str">
        <f t="shared" si="5"/>
        <v>Complies</v>
      </c>
      <c r="AJ402" s="157" t="str">
        <f t="shared" si="6"/>
        <v/>
      </c>
    </row>
    <row r="403" ht="12.75" customHeight="1">
      <c r="A403" s="244" t="s">
        <v>621</v>
      </c>
      <c r="B403" s="244" t="s">
        <v>1339</v>
      </c>
      <c r="C403" s="245" t="s">
        <v>1411</v>
      </c>
      <c r="D403" s="155" t="s">
        <v>546</v>
      </c>
      <c r="E403" s="246" t="s">
        <v>92</v>
      </c>
      <c r="F403" s="154" t="str">
        <f t="array" ref="F403">XLOOKUP(Cover!$D$12,$S$1:$AA$1,$S403:$AA403)</f>
        <v>Mandatory</v>
      </c>
      <c r="G403" s="153" t="s">
        <v>1412</v>
      </c>
      <c r="H403" s="154" t="s">
        <v>1018</v>
      </c>
      <c r="I403" s="154" t="s">
        <v>759</v>
      </c>
      <c r="J403" s="247" t="s">
        <v>445</v>
      </c>
      <c r="K403" s="247" t="s">
        <v>1367</v>
      </c>
      <c r="L403" s="154" t="str">
        <f t="shared" si="1"/>
        <v/>
      </c>
      <c r="M403" s="248" t="str">
        <f>IFERROR(__xludf.DUMMYFUNCTION("VLOOKUP(C403,IMPORTRANGE(""https://docs.google.com/spreadsheets/d/1P8eX0NWBhUPS_hvzA11R6jkTNFrPrRYIx_dX_hYbxrk/edit?resourcekey=0-iw9bsKY2OqkUHCFMkCar3A&amp;gid=2055363397#gid=2055363397"",""MTR!C:O""),11,false)"),"PMW-L1")</f>
        <v>PMW-L1</v>
      </c>
      <c r="N403" s="248" t="str">
        <f>IFERROR(__xludf.DUMMYFUNCTION("VLOOKUP(C403,IMPORTRANGE(""https://docs.google.com/spreadsheets/d/1ihFlp3_ePlYtFuPbUNbYj1muErVpI73WHXbEwJDIA7Q/edit#gid=1493122344"",""MTR!C:O""),8,false)"),"Complies")</f>
        <v>Complies</v>
      </c>
      <c r="O403" s="248" t="str">
        <f>IFERROR(__xludf.DUMMYFUNCTION("VLOOKUP(C403,IMPORTRANGE(""https://docs.google.com/spreadsheets/d/1P8eX0NWBhUPS_hvzA11R6jkTNFrPrRYIx_dX_hYbxrk/edit?resourcekey=0-iw9bsKY2OqkUHCFMkCar3A&amp;gid=2055363397#gid=2055363397"",""MTR!C:O""),9,false)"),"Please refef to sheet EN-DC for more detailed information")</f>
        <v>Please refef to sheet EN-DC for more detailed information</v>
      </c>
      <c r="P403" s="248"/>
      <c r="Q403" s="249" t="s">
        <v>445</v>
      </c>
      <c r="R403" s="249" t="s">
        <v>1367</v>
      </c>
      <c r="S403" s="154" t="s">
        <v>66</v>
      </c>
      <c r="T403" s="154" t="s">
        <v>66</v>
      </c>
      <c r="U403" s="154" t="s">
        <v>66</v>
      </c>
      <c r="V403" s="154" t="s">
        <v>66</v>
      </c>
      <c r="W403" s="154" t="s">
        <v>60</v>
      </c>
      <c r="X403" s="154" t="s">
        <v>60</v>
      </c>
      <c r="Y403" s="154" t="s">
        <v>66</v>
      </c>
      <c r="Z403" s="154" t="s">
        <v>66</v>
      </c>
      <c r="AA403" s="154" t="s">
        <v>60</v>
      </c>
      <c r="AB403" s="154"/>
      <c r="AC403" s="242" t="b">
        <f t="shared" si="2"/>
        <v>1</v>
      </c>
      <c r="AD403" s="154" t="s">
        <v>391</v>
      </c>
      <c r="AE403" s="243" t="b">
        <f t="shared" si="3"/>
        <v>0</v>
      </c>
      <c r="AF403" s="154" t="s">
        <v>1413</v>
      </c>
      <c r="AG403" s="243" t="b">
        <f t="shared" si="4"/>
        <v>0</v>
      </c>
      <c r="AH403" s="154" t="s">
        <v>770</v>
      </c>
      <c r="AI403" s="243" t="str">
        <f t="shared" si="5"/>
        <v>Complies</v>
      </c>
      <c r="AJ403" s="157" t="str">
        <f t="shared" si="6"/>
        <v/>
      </c>
    </row>
    <row r="404" ht="12.75" customHeight="1">
      <c r="A404" s="244" t="s">
        <v>621</v>
      </c>
      <c r="B404" s="244" t="s">
        <v>1339</v>
      </c>
      <c r="C404" s="245" t="s">
        <v>1414</v>
      </c>
      <c r="D404" s="155" t="s">
        <v>747</v>
      </c>
      <c r="E404" s="246" t="s">
        <v>92</v>
      </c>
      <c r="F404" s="154" t="str">
        <f t="array" ref="F404">XLOOKUP(Cover!$D$12,$S$1:$AA$1,$S404:$AA404)</f>
        <v>Mandatory</v>
      </c>
      <c r="G404" s="153" t="s">
        <v>1415</v>
      </c>
      <c r="H404" s="154" t="s">
        <v>1012</v>
      </c>
      <c r="I404" s="154" t="s">
        <v>759</v>
      </c>
      <c r="J404" s="247" t="s">
        <v>445</v>
      </c>
      <c r="K404" s="247" t="s">
        <v>1367</v>
      </c>
      <c r="L404" s="154" t="str">
        <f t="shared" si="1"/>
        <v/>
      </c>
      <c r="M404" s="248" t="str">
        <f>IFERROR(__xludf.DUMMYFUNCTION("VLOOKUP(C404,IMPORTRANGE(""https://docs.google.com/spreadsheets/d/1P8eX0NWBhUPS_hvzA11R6jkTNFrPrRYIx_dX_hYbxrk/edit?resourcekey=0-iw9bsKY2OqkUHCFMkCar3A&amp;gid=2055363397#gid=2055363397"",""MTR!C:O""),11,false)"),"PMW-L1")</f>
        <v>PMW-L1</v>
      </c>
      <c r="N404" s="248" t="str">
        <f>IFERROR(__xludf.DUMMYFUNCTION("VLOOKUP(C404,IMPORTRANGE(""https://docs.google.com/spreadsheets/d/1ihFlp3_ePlYtFuPbUNbYj1muErVpI73WHXbEwJDIA7Q/edit#gid=1493122344"",""MTR!C:O""),8,false)"),"Complies")</f>
        <v>Complies</v>
      </c>
      <c r="O404" s="248" t="str">
        <f>IFERROR(__xludf.DUMMYFUNCTION("VLOOKUP(C404,IMPORTRANGE(""https://docs.google.com/spreadsheets/d/1P8eX0NWBhUPS_hvzA11R6jkTNFrPrRYIx_dX_hYbxrk/edit?resourcekey=0-iw9bsKY2OqkUHCFMkCar3A&amp;gid=2055363397#gid=2055363397"",""MTR!C:O""),9,false)"),"Please refef to sheet EN-DC for more detailed information")</f>
        <v>Please refef to sheet EN-DC for more detailed information</v>
      </c>
      <c r="P404" s="248"/>
      <c r="Q404" s="249" t="s">
        <v>445</v>
      </c>
      <c r="R404" s="249" t="s">
        <v>1367</v>
      </c>
      <c r="S404" s="154" t="s">
        <v>66</v>
      </c>
      <c r="T404" s="154" t="s">
        <v>66</v>
      </c>
      <c r="U404" s="154" t="s">
        <v>66</v>
      </c>
      <c r="V404" s="154" t="s">
        <v>60</v>
      </c>
      <c r="W404" s="154" t="s">
        <v>60</v>
      </c>
      <c r="X404" s="154" t="s">
        <v>60</v>
      </c>
      <c r="Y404" s="154" t="s">
        <v>66</v>
      </c>
      <c r="Z404" s="154" t="s">
        <v>66</v>
      </c>
      <c r="AA404" s="154" t="s">
        <v>60</v>
      </c>
      <c r="AB404" s="154"/>
      <c r="AC404" s="242" t="b">
        <f t="shared" si="2"/>
        <v>1</v>
      </c>
      <c r="AD404" s="154" t="s">
        <v>391</v>
      </c>
      <c r="AE404" s="243" t="b">
        <f t="shared" si="3"/>
        <v>0</v>
      </c>
      <c r="AF404" s="154" t="s">
        <v>1416</v>
      </c>
      <c r="AG404" s="243" t="b">
        <f t="shared" si="4"/>
        <v>0</v>
      </c>
      <c r="AH404" s="154" t="s">
        <v>770</v>
      </c>
      <c r="AI404" s="243" t="str">
        <f t="shared" si="5"/>
        <v>Complies</v>
      </c>
      <c r="AJ404" s="157" t="str">
        <f t="shared" si="6"/>
        <v/>
      </c>
    </row>
    <row r="405" ht="12.75" customHeight="1">
      <c r="A405" s="244" t="s">
        <v>621</v>
      </c>
      <c r="B405" s="244" t="s">
        <v>1339</v>
      </c>
      <c r="C405" s="245" t="s">
        <v>1417</v>
      </c>
      <c r="D405" s="155" t="s">
        <v>546</v>
      </c>
      <c r="E405" s="246" t="s">
        <v>92</v>
      </c>
      <c r="F405" s="154" t="str">
        <f t="array" ref="F405">XLOOKUP(Cover!$D$12,$S$1:$AA$1,$S405:$AA405)</f>
        <v>Mandatory</v>
      </c>
      <c r="G405" s="153" t="s">
        <v>1418</v>
      </c>
      <c r="H405" s="154" t="s">
        <v>1012</v>
      </c>
      <c r="I405" s="154" t="s">
        <v>759</v>
      </c>
      <c r="J405" s="247" t="s">
        <v>445</v>
      </c>
      <c r="K405" s="247" t="s">
        <v>1367</v>
      </c>
      <c r="L405" s="154" t="str">
        <f t="shared" si="1"/>
        <v/>
      </c>
      <c r="M405" s="248" t="str">
        <f>IFERROR(__xludf.DUMMYFUNCTION("VLOOKUP(C405,IMPORTRANGE(""https://docs.google.com/spreadsheets/d/1P8eX0NWBhUPS_hvzA11R6jkTNFrPrRYIx_dX_hYbxrk/edit?resourcekey=0-iw9bsKY2OqkUHCFMkCar3A&amp;gid=2055363397#gid=2055363397"",""MTR!C:O""),11,false)"),"PMW-L1")</f>
        <v>PMW-L1</v>
      </c>
      <c r="N405" s="248" t="str">
        <f>IFERROR(__xludf.DUMMYFUNCTION("VLOOKUP(C405,IMPORTRANGE(""https://docs.google.com/spreadsheets/d/1ihFlp3_ePlYtFuPbUNbYj1muErVpI73WHXbEwJDIA7Q/edit#gid=1493122344"",""MTR!C:O""),8,false)"),"Complies")</f>
        <v>Complies</v>
      </c>
      <c r="O405" s="248" t="str">
        <f>IFERROR(__xludf.DUMMYFUNCTION("VLOOKUP(C405,IMPORTRANGE(""https://docs.google.com/spreadsheets/d/1P8eX0NWBhUPS_hvzA11R6jkTNFrPrRYIx_dX_hYbxrk/edit?resourcekey=0-iw9bsKY2OqkUHCFMkCar3A&amp;gid=2055363397#gid=2055363397"",""MTR!C:O""),9,false)"),"Please refef to sheet EN-DC for more detailed information")</f>
        <v>Please refef to sheet EN-DC for more detailed information</v>
      </c>
      <c r="P405" s="248"/>
      <c r="Q405" s="249" t="s">
        <v>445</v>
      </c>
      <c r="R405" s="249" t="s">
        <v>1367</v>
      </c>
      <c r="S405" s="154" t="s">
        <v>66</v>
      </c>
      <c r="T405" s="154" t="s">
        <v>66</v>
      </c>
      <c r="U405" s="154" t="s">
        <v>66</v>
      </c>
      <c r="V405" s="154" t="s">
        <v>60</v>
      </c>
      <c r="W405" s="154" t="s">
        <v>60</v>
      </c>
      <c r="X405" s="154" t="s">
        <v>60</v>
      </c>
      <c r="Y405" s="154" t="s">
        <v>66</v>
      </c>
      <c r="Z405" s="154" t="s">
        <v>66</v>
      </c>
      <c r="AA405" s="154" t="s">
        <v>60</v>
      </c>
      <c r="AB405" s="154"/>
      <c r="AC405" s="242" t="b">
        <f t="shared" si="2"/>
        <v>1</v>
      </c>
      <c r="AD405" s="154" t="s">
        <v>391</v>
      </c>
      <c r="AE405" s="243" t="b">
        <f t="shared" si="3"/>
        <v>0</v>
      </c>
      <c r="AF405" s="154" t="s">
        <v>1419</v>
      </c>
      <c r="AG405" s="243" t="b">
        <f t="shared" si="4"/>
        <v>0</v>
      </c>
      <c r="AH405" s="154" t="s">
        <v>770</v>
      </c>
      <c r="AI405" s="243" t="str">
        <f t="shared" si="5"/>
        <v>Complies</v>
      </c>
      <c r="AJ405" s="157" t="str">
        <f t="shared" si="6"/>
        <v/>
      </c>
    </row>
    <row r="406" ht="12.75" customHeight="1">
      <c r="A406" s="244" t="s">
        <v>621</v>
      </c>
      <c r="B406" s="244" t="s">
        <v>1339</v>
      </c>
      <c r="C406" s="245" t="s">
        <v>1420</v>
      </c>
      <c r="D406" s="155" t="s">
        <v>781</v>
      </c>
      <c r="E406" s="246" t="s">
        <v>92</v>
      </c>
      <c r="F406" s="154" t="str">
        <f t="array" ref="F406">XLOOKUP(Cover!$D$12,$S$1:$AA$1,$S406:$AA406)</f>
        <v>Mandatory</v>
      </c>
      <c r="G406" s="153" t="s">
        <v>1421</v>
      </c>
      <c r="H406" s="154" t="s">
        <v>1122</v>
      </c>
      <c r="I406" s="154" t="s">
        <v>759</v>
      </c>
      <c r="J406" s="247" t="s">
        <v>445</v>
      </c>
      <c r="K406" s="247" t="s">
        <v>1367</v>
      </c>
      <c r="L406" s="154" t="str">
        <f t="shared" si="1"/>
        <v/>
      </c>
      <c r="M406" s="248" t="str">
        <f>IFERROR(__xludf.DUMMYFUNCTION("VLOOKUP(C406,IMPORTRANGE(""https://docs.google.com/spreadsheets/d/1P8eX0NWBhUPS_hvzA11R6jkTNFrPrRYIx_dX_hYbxrk/edit?resourcekey=0-iw9bsKY2OqkUHCFMkCar3A&amp;gid=2055363397#gid=2055363397"",""MTR!C:O""),11,false)"),"PMW-L1")</f>
        <v>PMW-L1</v>
      </c>
      <c r="N406" s="248" t="str">
        <f>IFERROR(__xludf.DUMMYFUNCTION("VLOOKUP(C406,IMPORTRANGE(""https://docs.google.com/spreadsheets/d/1ihFlp3_ePlYtFuPbUNbYj1muErVpI73WHXbEwJDIA7Q/edit#gid=1493122344"",""MTR!C:O""),8,false)"),"Complies")</f>
        <v>Complies</v>
      </c>
      <c r="O406" s="248" t="str">
        <f>IFERROR(__xludf.DUMMYFUNCTION("VLOOKUP(C406,IMPORTRANGE(""https://docs.google.com/spreadsheets/d/1P8eX0NWBhUPS_hvzA11R6jkTNFrPrRYIx_dX_hYbxrk/edit?resourcekey=0-iw9bsKY2OqkUHCFMkCar3A&amp;gid=2055363397#gid=2055363397"",""MTR!C:O""),9,false)"),"Please refef to sheet EN-DC for more detailed information")</f>
        <v>Please refef to sheet EN-DC for more detailed information</v>
      </c>
      <c r="P406" s="248"/>
      <c r="Q406" s="249" t="s">
        <v>445</v>
      </c>
      <c r="R406" s="249" t="s">
        <v>1367</v>
      </c>
      <c r="S406" s="154" t="s">
        <v>66</v>
      </c>
      <c r="T406" s="154" t="s">
        <v>66</v>
      </c>
      <c r="U406" s="154" t="s">
        <v>60</v>
      </c>
      <c r="V406" s="154" t="s">
        <v>60</v>
      </c>
      <c r="W406" s="154" t="s">
        <v>60</v>
      </c>
      <c r="X406" s="154" t="s">
        <v>60</v>
      </c>
      <c r="Y406" s="154" t="s">
        <v>66</v>
      </c>
      <c r="Z406" s="154" t="s">
        <v>60</v>
      </c>
      <c r="AA406" s="154" t="s">
        <v>60</v>
      </c>
      <c r="AB406" s="154"/>
      <c r="AC406" s="242" t="b">
        <f t="shared" si="2"/>
        <v>1</v>
      </c>
      <c r="AD406" s="154" t="s">
        <v>391</v>
      </c>
      <c r="AE406" s="243" t="b">
        <f t="shared" si="3"/>
        <v>0</v>
      </c>
      <c r="AF406" s="154" t="s">
        <v>1422</v>
      </c>
      <c r="AG406" s="243" t="b">
        <f t="shared" si="4"/>
        <v>0</v>
      </c>
      <c r="AH406" s="154" t="s">
        <v>770</v>
      </c>
      <c r="AI406" s="243" t="str">
        <f t="shared" si="5"/>
        <v>Complies</v>
      </c>
      <c r="AJ406" s="157" t="str">
        <f t="shared" si="6"/>
        <v/>
      </c>
    </row>
    <row r="407" ht="12.75" customHeight="1">
      <c r="A407" s="244" t="s">
        <v>621</v>
      </c>
      <c r="B407" s="244" t="s">
        <v>1339</v>
      </c>
      <c r="C407" s="244" t="s">
        <v>1423</v>
      </c>
      <c r="D407" s="154" t="s">
        <v>747</v>
      </c>
      <c r="E407" s="250"/>
      <c r="F407" s="154" t="str">
        <f t="array" ref="F407">XLOOKUP(Cover!$D$12,$S$1:$AA$1,$S407:$AA407)</f>
        <v>Comments Vendor</v>
      </c>
      <c r="G407" s="154" t="s">
        <v>1424</v>
      </c>
      <c r="H407" s="154" t="s">
        <v>232</v>
      </c>
      <c r="I407" s="154" t="s">
        <v>759</v>
      </c>
      <c r="J407" s="154"/>
      <c r="K407" s="247" t="s">
        <v>1425</v>
      </c>
      <c r="L407" s="154" t="str">
        <f t="shared" si="1"/>
        <v/>
      </c>
      <c r="M407" s="248" t="str">
        <f>IFERROR(__xludf.DUMMYFUNCTION("VLOOKUP(C407,IMPORTRANGE(""https://docs.google.com/spreadsheets/d/1P8eX0NWBhUPS_hvzA11R6jkTNFrPrRYIx_dX_hYbxrk/edit?resourcekey=0-iw9bsKY2OqkUHCFMkCar3A&amp;gid=2055363397#gid=2055363397"",""MTR!C:O""),11,false)"),"PMW-AS")</f>
        <v>PMW-AS</v>
      </c>
      <c r="N407" s="241" t="str">
        <f>IFERROR(__xludf.DUMMYFUNCTION("VLOOKUP(C407,IMPORTRANGE(""https://docs.google.com/spreadsheets/d/1ihFlp3_ePlYtFuPbUNbYj1muErVpI73WHXbEwJDIA7Q/edit#gid=1493122344"",""MTR!C:O""),8,false)"),"")</f>
        <v/>
      </c>
      <c r="O407" s="248" t="str">
        <f>IFERROR(__xludf.DUMMYFUNCTION("VLOOKUP(C407,IMPORTRANGE(""https://docs.google.com/spreadsheets/d/1P8eX0NWBhUPS_hvzA11R6jkTNFrPrRYIx_dX_hYbxrk/edit?resourcekey=0-iw9bsKY2OqkUHCFMkCar3A&amp;gid=2055363397#gid=2055363397"",""MTR!C:O""),9,false)"),"DTAG config has 8-layers for LTE with n3A
DC_1A-3A-n3A(4-4-4)")</f>
        <v>DTAG config has 8-layers for LTE with n3A
DC_1A-3A-n3A(4-4-4)</v>
      </c>
      <c r="P407" s="248"/>
      <c r="Q407" s="248"/>
      <c r="R407" s="249" t="s">
        <v>1425</v>
      </c>
      <c r="S407" s="154" t="s">
        <v>62</v>
      </c>
      <c r="T407" s="154" t="s">
        <v>62</v>
      </c>
      <c r="U407" s="154" t="s">
        <v>62</v>
      </c>
      <c r="V407" s="154" t="s">
        <v>62</v>
      </c>
      <c r="W407" s="154" t="s">
        <v>62</v>
      </c>
      <c r="X407" s="154" t="s">
        <v>62</v>
      </c>
      <c r="Y407" s="154" t="s">
        <v>62</v>
      </c>
      <c r="Z407" s="154" t="s">
        <v>62</v>
      </c>
      <c r="AA407" s="154" t="s">
        <v>62</v>
      </c>
      <c r="AB407" s="154"/>
      <c r="AC407" s="242" t="b">
        <f t="shared" si="2"/>
        <v>1</v>
      </c>
      <c r="AD407" s="154" t="s">
        <v>400</v>
      </c>
      <c r="AE407" s="243" t="b">
        <f t="shared" si="3"/>
        <v>1</v>
      </c>
      <c r="AF407" s="154" t="s">
        <v>1390</v>
      </c>
      <c r="AG407" s="243" t="b">
        <f t="shared" si="4"/>
        <v>0</v>
      </c>
      <c r="AH407" s="154" t="s">
        <v>770</v>
      </c>
      <c r="AI407" s="243" t="str">
        <f t="shared" si="5"/>
        <v>Complies</v>
      </c>
      <c r="AJ407" s="157" t="str">
        <f t="shared" si="6"/>
        <v/>
      </c>
    </row>
    <row r="408" ht="12.75" customHeight="1">
      <c r="A408" s="244" t="s">
        <v>621</v>
      </c>
      <c r="B408" s="244" t="s">
        <v>1339</v>
      </c>
      <c r="C408" s="255" t="s">
        <v>1426</v>
      </c>
      <c r="D408" s="256" t="s">
        <v>42</v>
      </c>
      <c r="E408" s="257" t="s">
        <v>489</v>
      </c>
      <c r="F408" s="154" t="str">
        <f t="array" ref="F408">XLOOKUP(Cover!$D$12,$S$1:$AA$1,$S408:$AA408)</f>
        <v>Mandatory</v>
      </c>
      <c r="G408" s="254" t="s">
        <v>1427</v>
      </c>
      <c r="H408" s="154" t="s">
        <v>175</v>
      </c>
      <c r="I408" s="154" t="s">
        <v>759</v>
      </c>
      <c r="J408" s="247" t="s">
        <v>516</v>
      </c>
      <c r="K408" s="247" t="s">
        <v>1428</v>
      </c>
      <c r="L408" s="154" t="str">
        <f t="shared" si="1"/>
        <v/>
      </c>
      <c r="M408" s="253" t="s">
        <v>828</v>
      </c>
      <c r="N408" s="253" t="str">
        <f>IFERROR(__xludf.DUMMYFUNCTION("VLOOKUP(C408,IMPORTRANGE(""https://docs.google.com/spreadsheets/d/1ihFlp3_ePlYtFuPbUNbYj1muErVpI73WHXbEwJDIA7Q/edit#gid=1493122344"",""MTR!C:O""),8,false)"),"#N/A")</f>
        <v>#N/A</v>
      </c>
      <c r="O408" s="253" t="str">
        <f>IFERROR(__xludf.DUMMYFUNCTION("VLOOKUP(C408,IMPORTRANGE(""https://docs.google.com/spreadsheets/d/1P8eX0NWBhUPS_hvzA11R6jkTNFrPrRYIx_dX_hYbxrk/edit?resourcekey=0-iw9bsKY2OqkUHCFMkCar3A&amp;gid=2055363397#gid=2055363397"",""MTR!C:O""),9,false)"),"#N/A")</f>
        <v>#N/A</v>
      </c>
      <c r="P408" s="253"/>
      <c r="Q408" s="253"/>
      <c r="R408" s="253"/>
      <c r="S408" s="154" t="s">
        <v>66</v>
      </c>
      <c r="T408" s="154" t="s">
        <v>66</v>
      </c>
      <c r="U408" s="154" t="s">
        <v>66</v>
      </c>
      <c r="V408" s="154" t="s">
        <v>66</v>
      </c>
      <c r="W408" s="154" t="s">
        <v>66</v>
      </c>
      <c r="X408" s="154" t="s">
        <v>60</v>
      </c>
      <c r="Y408" s="154" t="s">
        <v>66</v>
      </c>
      <c r="Z408" s="154" t="s">
        <v>66</v>
      </c>
      <c r="AA408" s="154" t="s">
        <v>60</v>
      </c>
      <c r="AB408" s="154"/>
      <c r="AC408" s="242" t="b">
        <f t="shared" si="2"/>
        <v>1</v>
      </c>
      <c r="AD408" s="154" t="s">
        <v>391</v>
      </c>
      <c r="AE408" s="243" t="b">
        <f t="shared" si="3"/>
        <v>0</v>
      </c>
      <c r="AF408" s="154" t="s">
        <v>1368</v>
      </c>
      <c r="AG408" s="243" t="b">
        <f t="shared" si="4"/>
        <v>0</v>
      </c>
      <c r="AH408" s="155" t="s">
        <v>770</v>
      </c>
      <c r="AI408" s="243" t="str">
        <f t="shared" si="5"/>
        <v>Complies</v>
      </c>
      <c r="AJ408" s="157" t="str">
        <f t="shared" si="6"/>
        <v/>
      </c>
    </row>
    <row r="409" ht="12.75" customHeight="1">
      <c r="A409" s="238" t="s">
        <v>621</v>
      </c>
      <c r="B409" s="238" t="s">
        <v>1339</v>
      </c>
      <c r="C409" s="238" t="s">
        <v>1429</v>
      </c>
      <c r="D409" s="240"/>
      <c r="E409" s="252" t="s">
        <v>92</v>
      </c>
      <c r="F409" s="154" t="str">
        <f t="array" ref="F409">XLOOKUP(Cover!$D$12,$S$1:$AA$1,$S409:$AA409)</f>
        <v>Heading</v>
      </c>
      <c r="G409" s="239" t="s">
        <v>1430</v>
      </c>
      <c r="H409" s="240"/>
      <c r="I409" s="240" t="s">
        <v>759</v>
      </c>
      <c r="J409" s="240"/>
      <c r="K409" s="240"/>
      <c r="L409" s="154" t="str">
        <f t="shared" si="1"/>
        <v/>
      </c>
      <c r="M409" s="241" t="str">
        <f>IFERROR(__xludf.DUMMYFUNCTION("VLOOKUP(C409,IMPORTRANGE(""https://docs.google.com/spreadsheets/d/1P8eX0NWBhUPS_hvzA11R6jkTNFrPrRYIx_dX_hYbxrk/edit?resourcekey=0-iw9bsKY2OqkUHCFMkCar3A&amp;gid=2055363397#gid=2055363397"",""MTR!C:O""),11,false)"),"")</f>
        <v/>
      </c>
      <c r="N409" s="241" t="str">
        <f>IFERROR(__xludf.DUMMYFUNCTION("VLOOKUP(C409,IMPORTRANGE(""https://docs.google.com/spreadsheets/d/1ihFlp3_ePlYtFuPbUNbYj1muErVpI73WHXbEwJDIA7Q/edit#gid=1493122344"",""MTR!C:O""),8,false)"),"")</f>
        <v/>
      </c>
      <c r="O409" s="241" t="str">
        <f>IFERROR(__xludf.DUMMYFUNCTION("VLOOKUP(C409,IMPORTRANGE(""https://docs.google.com/spreadsheets/d/1P8eX0NWBhUPS_hvzA11R6jkTNFrPrRYIx_dX_hYbxrk/edit?resourcekey=0-iw9bsKY2OqkUHCFMkCar3A&amp;gid=2055363397#gid=2055363397"",""MTR!C:O""),9,false)"),"")</f>
        <v/>
      </c>
      <c r="P409" s="241"/>
      <c r="Q409" s="241"/>
      <c r="R409" s="241"/>
      <c r="S409" s="240" t="s">
        <v>390</v>
      </c>
      <c r="T409" s="240" t="s">
        <v>390</v>
      </c>
      <c r="U409" s="240" t="s">
        <v>390</v>
      </c>
      <c r="V409" s="240" t="s">
        <v>390</v>
      </c>
      <c r="W409" s="240" t="s">
        <v>390</v>
      </c>
      <c r="X409" s="240" t="s">
        <v>390</v>
      </c>
      <c r="Y409" s="240" t="s">
        <v>390</v>
      </c>
      <c r="Z409" s="240" t="s">
        <v>390</v>
      </c>
      <c r="AA409" s="240" t="s">
        <v>390</v>
      </c>
      <c r="AB409" s="240"/>
      <c r="AC409" s="242" t="b">
        <f t="shared" si="2"/>
        <v>0</v>
      </c>
      <c r="AD409" s="240" t="s">
        <v>391</v>
      </c>
      <c r="AE409" s="243" t="b">
        <f t="shared" si="3"/>
        <v>0</v>
      </c>
      <c r="AF409" s="240"/>
      <c r="AG409" s="243" t="b">
        <f t="shared" si="4"/>
        <v>0</v>
      </c>
      <c r="AH409" s="240"/>
      <c r="AI409" s="243" t="str">
        <f t="shared" si="5"/>
        <v>N/A</v>
      </c>
      <c r="AJ409" s="157" t="str">
        <f t="shared" si="6"/>
        <v/>
      </c>
    </row>
    <row r="410" ht="12.75" customHeight="1">
      <c r="A410" s="244" t="s">
        <v>621</v>
      </c>
      <c r="B410" s="244" t="s">
        <v>1339</v>
      </c>
      <c r="C410" s="244" t="s">
        <v>1431</v>
      </c>
      <c r="D410" s="154" t="s">
        <v>781</v>
      </c>
      <c r="E410" s="250"/>
      <c r="F410" s="154" t="str">
        <f t="array" ref="F410">XLOOKUP(Cover!$D$12,$S$1:$AA$1,$S410:$AA410)</f>
        <v>Mandatory</v>
      </c>
      <c r="G410" s="153" t="s">
        <v>1432</v>
      </c>
      <c r="H410" s="154" t="s">
        <v>654</v>
      </c>
      <c r="I410" s="154" t="s">
        <v>759</v>
      </c>
      <c r="J410" s="247" t="s">
        <v>445</v>
      </c>
      <c r="K410" s="247" t="s">
        <v>1433</v>
      </c>
      <c r="L410" s="154" t="str">
        <f t="shared" si="1"/>
        <v/>
      </c>
      <c r="M410" s="248" t="str">
        <f>IFERROR(__xludf.DUMMYFUNCTION("VLOOKUP(C410,IMPORTRANGE(""https://docs.google.com/spreadsheets/d/1P8eX0NWBhUPS_hvzA11R6jkTNFrPrRYIx_dX_hYbxrk/edit?resourcekey=0-iw9bsKY2OqkUHCFMkCar3A&amp;gid=2055363397#gid=2055363397"",""MTR!C:O""),11,false)"),"PMW-L1")</f>
        <v>PMW-L1</v>
      </c>
      <c r="N410" s="248" t="str">
        <f>IFERROR(__xludf.DUMMYFUNCTION("VLOOKUP(C410,IMPORTRANGE(""https://docs.google.com/spreadsheets/d/1ihFlp3_ePlYtFuPbUNbYj1muErVpI73WHXbEwJDIA7Q/edit#gid=1493122344"",""MTR!C:O""),8,false)"),"Complies")</f>
        <v>Complies</v>
      </c>
      <c r="O410" s="248" t="str">
        <f>IFERROR(__xludf.DUMMYFUNCTION("VLOOKUP(C410,IMPORTRANGE(""https://docs.google.com/spreadsheets/d/1P8eX0NWBhUPS_hvzA11R6jkTNFrPrRYIx_dX_hYbxrk/edit?resourcekey=0-iw9bsKY2OqkUHCFMkCar3A&amp;gid=2055363397#gid=2055363397"",""MTR!C:O""),9,false)"),"DC_8A_n7A
DC_20A_n7A")</f>
        <v>DC_8A_n7A
DC_20A_n7A</v>
      </c>
      <c r="P410" s="248"/>
      <c r="Q410" s="249" t="s">
        <v>445</v>
      </c>
      <c r="R410" s="249" t="s">
        <v>1433</v>
      </c>
      <c r="S410" s="154" t="s">
        <v>66</v>
      </c>
      <c r="T410" s="154" t="s">
        <v>66</v>
      </c>
      <c r="U410" s="154" t="s">
        <v>60</v>
      </c>
      <c r="V410" s="154" t="s">
        <v>60</v>
      </c>
      <c r="W410" s="154" t="s">
        <v>60</v>
      </c>
      <c r="X410" s="154" t="s">
        <v>60</v>
      </c>
      <c r="Y410" s="154" t="s">
        <v>66</v>
      </c>
      <c r="Z410" s="154" t="s">
        <v>60</v>
      </c>
      <c r="AA410" s="154" t="s">
        <v>60</v>
      </c>
      <c r="AB410" s="154"/>
      <c r="AC410" s="242" t="b">
        <f t="shared" si="2"/>
        <v>1</v>
      </c>
      <c r="AD410" s="154" t="s">
        <v>391</v>
      </c>
      <c r="AE410" s="243" t="b">
        <f t="shared" si="3"/>
        <v>0</v>
      </c>
      <c r="AF410" s="154"/>
      <c r="AG410" s="243" t="b">
        <f t="shared" si="4"/>
        <v>0</v>
      </c>
      <c r="AH410" s="154" t="s">
        <v>776</v>
      </c>
      <c r="AI410" s="243" t="str">
        <f t="shared" si="5"/>
        <v>Complies</v>
      </c>
      <c r="AJ410" s="157" t="str">
        <f t="shared" si="6"/>
        <v/>
      </c>
    </row>
    <row r="411" ht="12.75" customHeight="1">
      <c r="A411" s="244" t="s">
        <v>621</v>
      </c>
      <c r="B411" s="244" t="s">
        <v>1339</v>
      </c>
      <c r="C411" s="244" t="s">
        <v>1434</v>
      </c>
      <c r="D411" s="154" t="s">
        <v>781</v>
      </c>
      <c r="E411" s="250"/>
      <c r="F411" s="154" t="str">
        <f t="array" ref="F411">XLOOKUP(Cover!$D$12,$S$1:$AA$1,$S411:$AA411)</f>
        <v>Mandatory</v>
      </c>
      <c r="G411" s="153" t="s">
        <v>1435</v>
      </c>
      <c r="H411" s="154" t="s">
        <v>654</v>
      </c>
      <c r="I411" s="154" t="s">
        <v>759</v>
      </c>
      <c r="J411" s="247" t="s">
        <v>445</v>
      </c>
      <c r="K411" s="154"/>
      <c r="L411" s="154" t="str">
        <f t="shared" si="1"/>
        <v/>
      </c>
      <c r="M411" s="248" t="str">
        <f>IFERROR(__xludf.DUMMYFUNCTION("VLOOKUP(C411,IMPORTRANGE(""https://docs.google.com/spreadsheets/d/1P8eX0NWBhUPS_hvzA11R6jkTNFrPrRYIx_dX_hYbxrk/edit?resourcekey=0-iw9bsKY2OqkUHCFMkCar3A&amp;gid=2055363397#gid=2055363397"",""MTR!C:O""),11,false)"),"PMW-L1")</f>
        <v>PMW-L1</v>
      </c>
      <c r="N411" s="248" t="str">
        <f>IFERROR(__xludf.DUMMYFUNCTION("VLOOKUP(C411,IMPORTRANGE(""https://docs.google.com/spreadsheets/d/1ihFlp3_ePlYtFuPbUNbYj1muErVpI73WHXbEwJDIA7Q/edit#gid=1493122344"",""MTR!C:O""),8,false)"),"Complies")</f>
        <v>Complies</v>
      </c>
      <c r="O411" s="241" t="str">
        <f>IFERROR(__xludf.DUMMYFUNCTION("VLOOKUP(C411,IMPORTRANGE(""https://docs.google.com/spreadsheets/d/1P8eX0NWBhUPS_hvzA11R6jkTNFrPrRYIx_dX_hYbxrk/edit?resourcekey=0-iw9bsKY2OqkUHCFMkCar3A&amp;gid=2055363397#gid=2055363397"",""MTR!C:O""),9,false)"),"")</f>
        <v/>
      </c>
      <c r="P411" s="241"/>
      <c r="Q411" s="251" t="s">
        <v>445</v>
      </c>
      <c r="R411" s="241"/>
      <c r="S411" s="154" t="s">
        <v>66</v>
      </c>
      <c r="T411" s="154" t="s">
        <v>66</v>
      </c>
      <c r="U411" s="154" t="s">
        <v>60</v>
      </c>
      <c r="V411" s="154" t="s">
        <v>60</v>
      </c>
      <c r="W411" s="154" t="s">
        <v>60</v>
      </c>
      <c r="X411" s="154" t="s">
        <v>60</v>
      </c>
      <c r="Y411" s="154" t="s">
        <v>66</v>
      </c>
      <c r="Z411" s="154" t="s">
        <v>60</v>
      </c>
      <c r="AA411" s="154" t="s">
        <v>60</v>
      </c>
      <c r="AB411" s="154"/>
      <c r="AC411" s="242" t="b">
        <f t="shared" si="2"/>
        <v>1</v>
      </c>
      <c r="AD411" s="154" t="s">
        <v>391</v>
      </c>
      <c r="AE411" s="243" t="b">
        <f t="shared" si="3"/>
        <v>0</v>
      </c>
      <c r="AF411" s="154"/>
      <c r="AG411" s="243" t="b">
        <f t="shared" si="4"/>
        <v>0</v>
      </c>
      <c r="AH411" s="154" t="s">
        <v>776</v>
      </c>
      <c r="AI411" s="243" t="str">
        <f t="shared" si="5"/>
        <v>Complies</v>
      </c>
      <c r="AJ411" s="157" t="str">
        <f t="shared" si="6"/>
        <v/>
      </c>
    </row>
    <row r="412" ht="12.75" customHeight="1">
      <c r="A412" s="244" t="s">
        <v>621</v>
      </c>
      <c r="B412" s="244" t="s">
        <v>1339</v>
      </c>
      <c r="C412" s="244" t="s">
        <v>1436</v>
      </c>
      <c r="D412" s="154" t="s">
        <v>503</v>
      </c>
      <c r="E412" s="250"/>
      <c r="F412" s="154" t="str">
        <f t="array" ref="F412">XLOOKUP(Cover!$D$12,$S$1:$AA$1,$S412:$AA412)</f>
        <v>Mandatory</v>
      </c>
      <c r="G412" s="153" t="s">
        <v>1437</v>
      </c>
      <c r="H412" s="154" t="s">
        <v>654</v>
      </c>
      <c r="I412" s="154" t="s">
        <v>759</v>
      </c>
      <c r="J412" s="247" t="s">
        <v>445</v>
      </c>
      <c r="K412" s="154"/>
      <c r="L412" s="154" t="str">
        <f t="shared" si="1"/>
        <v/>
      </c>
      <c r="M412" s="248" t="str">
        <f>IFERROR(__xludf.DUMMYFUNCTION("VLOOKUP(C412,IMPORTRANGE(""https://docs.google.com/spreadsheets/d/1P8eX0NWBhUPS_hvzA11R6jkTNFrPrRYIx_dX_hYbxrk/edit?resourcekey=0-iw9bsKY2OqkUHCFMkCar3A&amp;gid=2055363397#gid=2055363397"",""MTR!C:O""),11,false)"),"PMW-MCE-AS")</f>
        <v>PMW-MCE-AS</v>
      </c>
      <c r="N412" s="248" t="str">
        <f>IFERROR(__xludf.DUMMYFUNCTION("VLOOKUP(C412,IMPORTRANGE(""https://docs.google.com/spreadsheets/d/1ihFlp3_ePlYtFuPbUNbYj1muErVpI73WHXbEwJDIA7Q/edit#gid=1493122344"",""MTR!C:O""),8,false)"),"Complies")</f>
        <v>Complies</v>
      </c>
      <c r="O412" s="241" t="str">
        <f>IFERROR(__xludf.DUMMYFUNCTION("VLOOKUP(C412,IMPORTRANGE(""https://docs.google.com/spreadsheets/d/1P8eX0NWBhUPS_hvzA11R6jkTNFrPrRYIx_dX_hYbxrk/edit?resourcekey=0-iw9bsKY2OqkUHCFMkCar3A&amp;gid=2055363397#gid=2055363397"",""MTR!C:O""),9,false)"),"")</f>
        <v/>
      </c>
      <c r="P412" s="241"/>
      <c r="Q412" s="251" t="s">
        <v>445</v>
      </c>
      <c r="R412" s="241"/>
      <c r="S412" s="154" t="s">
        <v>66</v>
      </c>
      <c r="T412" s="154" t="s">
        <v>66</v>
      </c>
      <c r="U412" s="154" t="s">
        <v>60</v>
      </c>
      <c r="V412" s="154" t="s">
        <v>60</v>
      </c>
      <c r="W412" s="154" t="s">
        <v>60</v>
      </c>
      <c r="X412" s="154" t="s">
        <v>60</v>
      </c>
      <c r="Y412" s="154" t="s">
        <v>66</v>
      </c>
      <c r="Z412" s="154" t="s">
        <v>60</v>
      </c>
      <c r="AA412" s="154" t="s">
        <v>60</v>
      </c>
      <c r="AB412" s="154"/>
      <c r="AC412" s="242" t="b">
        <f t="shared" si="2"/>
        <v>1</v>
      </c>
      <c r="AD412" s="154" t="s">
        <v>391</v>
      </c>
      <c r="AE412" s="243" t="b">
        <f t="shared" si="3"/>
        <v>0</v>
      </c>
      <c r="AF412" s="154"/>
      <c r="AG412" s="243" t="b">
        <f t="shared" si="4"/>
        <v>0</v>
      </c>
      <c r="AH412" s="154" t="s">
        <v>776</v>
      </c>
      <c r="AI412" s="243" t="str">
        <f t="shared" si="5"/>
        <v>Complies</v>
      </c>
      <c r="AJ412" s="157" t="str">
        <f t="shared" si="6"/>
        <v/>
      </c>
    </row>
    <row r="413" ht="12.75" customHeight="1">
      <c r="A413" s="244" t="s">
        <v>621</v>
      </c>
      <c r="B413" s="244" t="s">
        <v>1339</v>
      </c>
      <c r="C413" s="244" t="s">
        <v>1438</v>
      </c>
      <c r="D413" s="154" t="s">
        <v>781</v>
      </c>
      <c r="E413" s="250"/>
      <c r="F413" s="154" t="str">
        <f t="array" ref="F413">XLOOKUP(Cover!$D$12,$S$1:$AA$1,$S413:$AA413)</f>
        <v>Recommended</v>
      </c>
      <c r="G413" s="153" t="s">
        <v>1439</v>
      </c>
      <c r="H413" s="154"/>
      <c r="I413" s="154" t="s">
        <v>759</v>
      </c>
      <c r="J413" s="247" t="s">
        <v>445</v>
      </c>
      <c r="K413" s="247" t="s">
        <v>1440</v>
      </c>
      <c r="L413" s="154" t="str">
        <f t="shared" si="1"/>
        <v/>
      </c>
      <c r="M413" s="248" t="str">
        <f>IFERROR(__xludf.DUMMYFUNCTION("VLOOKUP(C413,IMPORTRANGE(""https://docs.google.com/spreadsheets/d/1P8eX0NWBhUPS_hvzA11R6jkTNFrPrRYIx_dX_hYbxrk/edit?resourcekey=0-iw9bsKY2OqkUHCFMkCar3A&amp;gid=2055363397#gid=2055363397"",""MTR!C:O""),11,false)"),"PMW-L1")</f>
        <v>PMW-L1</v>
      </c>
      <c r="N413" s="248" t="str">
        <f>IFERROR(__xludf.DUMMYFUNCTION("VLOOKUP(C413,IMPORTRANGE(""https://docs.google.com/spreadsheets/d/1ihFlp3_ePlYtFuPbUNbYj1muErVpI73WHXbEwJDIA7Q/edit#gid=1493122344"",""MTR!C:O""),8,false)"),"Complies")</f>
        <v>Complies</v>
      </c>
      <c r="O413" s="248" t="str">
        <f>IFERROR(__xludf.DUMMYFUNCTION("VLOOKUP(C413,IMPORTRANGE(""https://docs.google.com/spreadsheets/d/1P8eX0NWBhUPS_hvzA11R6jkTNFrPrRYIx_dX_hYbxrk/edit?resourcekey=0-iw9bsKY2OqkUHCFMkCar3A&amp;gid=2055363397#gid=2055363397"",""MTR!C:O""),9,false)"),"Please refer to sheet EN-DC for more detailed information")</f>
        <v>Please refer to sheet EN-DC for more detailed information</v>
      </c>
      <c r="P413" s="248"/>
      <c r="Q413" s="249" t="s">
        <v>445</v>
      </c>
      <c r="R413" s="249" t="s">
        <v>1440</v>
      </c>
      <c r="S413" s="154" t="s">
        <v>66</v>
      </c>
      <c r="T413" s="154" t="s">
        <v>66</v>
      </c>
      <c r="U413" s="154" t="s">
        <v>66</v>
      </c>
      <c r="V413" s="154" t="s">
        <v>66</v>
      </c>
      <c r="W413" s="154" t="s">
        <v>66</v>
      </c>
      <c r="X413" s="154" t="s">
        <v>64</v>
      </c>
      <c r="Y413" s="154" t="s">
        <v>66</v>
      </c>
      <c r="Z413" s="154" t="s">
        <v>66</v>
      </c>
      <c r="AA413" s="154" t="s">
        <v>64</v>
      </c>
      <c r="AB413" s="154"/>
      <c r="AC413" s="242" t="b">
        <f t="shared" si="2"/>
        <v>1</v>
      </c>
      <c r="AD413" s="154" t="s">
        <v>391</v>
      </c>
      <c r="AE413" s="243" t="b">
        <f t="shared" si="3"/>
        <v>0</v>
      </c>
      <c r="AF413" s="154" t="s">
        <v>1441</v>
      </c>
      <c r="AG413" s="243" t="b">
        <f t="shared" si="4"/>
        <v>0</v>
      </c>
      <c r="AH413" s="154" t="s">
        <v>776</v>
      </c>
      <c r="AI413" s="243" t="str">
        <f t="shared" si="5"/>
        <v>Complies</v>
      </c>
      <c r="AJ413" s="157" t="str">
        <f t="shared" si="6"/>
        <v/>
      </c>
    </row>
    <row r="414" ht="12.75" customHeight="1">
      <c r="A414" s="244" t="s">
        <v>621</v>
      </c>
      <c r="B414" s="244" t="s">
        <v>1339</v>
      </c>
      <c r="C414" s="244" t="s">
        <v>1442</v>
      </c>
      <c r="D414" s="154" t="s">
        <v>546</v>
      </c>
      <c r="E414" s="250"/>
      <c r="F414" s="154" t="str">
        <f t="array" ref="F414">XLOOKUP(Cover!$D$12,$S$1:$AA$1,$S414:$AA414)</f>
        <v>Recommended</v>
      </c>
      <c r="G414" s="153" t="s">
        <v>1443</v>
      </c>
      <c r="H414" s="154"/>
      <c r="I414" s="154" t="s">
        <v>759</v>
      </c>
      <c r="J414" s="247" t="s">
        <v>445</v>
      </c>
      <c r="K414" s="247" t="s">
        <v>1440</v>
      </c>
      <c r="L414" s="154" t="str">
        <f t="shared" si="1"/>
        <v/>
      </c>
      <c r="M414" s="248" t="str">
        <f>IFERROR(__xludf.DUMMYFUNCTION("VLOOKUP(C414,IMPORTRANGE(""https://docs.google.com/spreadsheets/d/1P8eX0NWBhUPS_hvzA11R6jkTNFrPrRYIx_dX_hYbxrk/edit?resourcekey=0-iw9bsKY2OqkUHCFMkCar3A&amp;gid=2055363397#gid=2055363397"",""MTR!C:O""),11,false)"),"PMW-L1")</f>
        <v>PMW-L1</v>
      </c>
      <c r="N414" s="248" t="str">
        <f>IFERROR(__xludf.DUMMYFUNCTION("VLOOKUP(C414,IMPORTRANGE(""https://docs.google.com/spreadsheets/d/1ihFlp3_ePlYtFuPbUNbYj1muErVpI73WHXbEwJDIA7Q/edit#gid=1493122344"",""MTR!C:O""),8,false)"),"Complies")</f>
        <v>Complies</v>
      </c>
      <c r="O414" s="248" t="str">
        <f>IFERROR(__xludf.DUMMYFUNCTION("VLOOKUP(C414,IMPORTRANGE(""https://docs.google.com/spreadsheets/d/1P8eX0NWBhUPS_hvzA11R6jkTNFrPrRYIx_dX_hYbxrk/edit?resourcekey=0-iw9bsKY2OqkUHCFMkCar3A&amp;gid=2055363397#gid=2055363397"",""MTR!C:O""),9,false)"),"Please refer to sheet EN-DC for more detailed information")</f>
        <v>Please refer to sheet EN-DC for more detailed information</v>
      </c>
      <c r="P414" s="248"/>
      <c r="Q414" s="249" t="s">
        <v>445</v>
      </c>
      <c r="R414" s="249" t="s">
        <v>1440</v>
      </c>
      <c r="S414" s="154" t="s">
        <v>66</v>
      </c>
      <c r="T414" s="154" t="s">
        <v>66</v>
      </c>
      <c r="U414" s="154" t="s">
        <v>66</v>
      </c>
      <c r="V414" s="154" t="s">
        <v>66</v>
      </c>
      <c r="W414" s="154" t="s">
        <v>66</v>
      </c>
      <c r="X414" s="154" t="s">
        <v>64</v>
      </c>
      <c r="Y414" s="154" t="s">
        <v>66</v>
      </c>
      <c r="Z414" s="154" t="s">
        <v>66</v>
      </c>
      <c r="AA414" s="154" t="s">
        <v>64</v>
      </c>
      <c r="AB414" s="154"/>
      <c r="AC414" s="242" t="b">
        <f t="shared" si="2"/>
        <v>1</v>
      </c>
      <c r="AD414" s="154" t="s">
        <v>391</v>
      </c>
      <c r="AE414" s="243" t="b">
        <f t="shared" si="3"/>
        <v>0</v>
      </c>
      <c r="AF414" s="154" t="s">
        <v>1444</v>
      </c>
      <c r="AG414" s="243" t="b">
        <f t="shared" si="4"/>
        <v>0</v>
      </c>
      <c r="AH414" s="154" t="s">
        <v>776</v>
      </c>
      <c r="AI414" s="243" t="str">
        <f t="shared" si="5"/>
        <v>Complies</v>
      </c>
      <c r="AJ414" s="157" t="str">
        <f t="shared" si="6"/>
        <v/>
      </c>
    </row>
    <row r="415" ht="12.75" customHeight="1">
      <c r="A415" s="244" t="s">
        <v>621</v>
      </c>
      <c r="B415" s="244" t="s">
        <v>1339</v>
      </c>
      <c r="C415" s="244" t="s">
        <v>1445</v>
      </c>
      <c r="D415" s="154" t="s">
        <v>546</v>
      </c>
      <c r="E415" s="250"/>
      <c r="F415" s="154" t="str">
        <f t="array" ref="F415">XLOOKUP(Cover!$D$12,$S$1:$AA$1,$S415:$AA415)</f>
        <v>Mandatory</v>
      </c>
      <c r="G415" s="153" t="s">
        <v>1446</v>
      </c>
      <c r="H415" s="154" t="s">
        <v>175</v>
      </c>
      <c r="I415" s="154" t="s">
        <v>759</v>
      </c>
      <c r="J415" s="247" t="s">
        <v>445</v>
      </c>
      <c r="K415" s="247" t="s">
        <v>1440</v>
      </c>
      <c r="L415" s="154" t="str">
        <f t="shared" si="1"/>
        <v/>
      </c>
      <c r="M415" s="248" t="str">
        <f>IFERROR(__xludf.DUMMYFUNCTION("VLOOKUP(C415,IMPORTRANGE(""https://docs.google.com/spreadsheets/d/1P8eX0NWBhUPS_hvzA11R6jkTNFrPrRYIx_dX_hYbxrk/edit?resourcekey=0-iw9bsKY2OqkUHCFMkCar3A&amp;gid=2055363397#gid=2055363397"",""MTR!C:O""),11,false)"),"PMW-L1")</f>
        <v>PMW-L1</v>
      </c>
      <c r="N415" s="248" t="str">
        <f>IFERROR(__xludf.DUMMYFUNCTION("VLOOKUP(C415,IMPORTRANGE(""https://docs.google.com/spreadsheets/d/1ihFlp3_ePlYtFuPbUNbYj1muErVpI73WHXbEwJDIA7Q/edit#gid=1493122344"",""MTR!C:O""),8,false)"),"Complies")</f>
        <v>Complies</v>
      </c>
      <c r="O415" s="248" t="str">
        <f>IFERROR(__xludf.DUMMYFUNCTION("VLOOKUP(C415,IMPORTRANGE(""https://docs.google.com/spreadsheets/d/1P8eX0NWBhUPS_hvzA11R6jkTNFrPrRYIx_dX_hYbxrk/edit?resourcekey=0-iw9bsKY2OqkUHCFMkCar3A&amp;gid=2055363397#gid=2055363397"",""MTR!C:O""),9,false)"),"Please refer to sheet EN-DC for more detailed information")</f>
        <v>Please refer to sheet EN-DC for more detailed information</v>
      </c>
      <c r="P415" s="248"/>
      <c r="Q415" s="249" t="s">
        <v>445</v>
      </c>
      <c r="R415" s="249" t="s">
        <v>1440</v>
      </c>
      <c r="S415" s="154" t="s">
        <v>66</v>
      </c>
      <c r="T415" s="154" t="s">
        <v>66</v>
      </c>
      <c r="U415" s="154" t="s">
        <v>66</v>
      </c>
      <c r="V415" s="154" t="s">
        <v>66</v>
      </c>
      <c r="W415" s="154" t="s">
        <v>66</v>
      </c>
      <c r="X415" s="154" t="s">
        <v>60</v>
      </c>
      <c r="Y415" s="154" t="s">
        <v>66</v>
      </c>
      <c r="Z415" s="154" t="s">
        <v>66</v>
      </c>
      <c r="AA415" s="154" t="s">
        <v>60</v>
      </c>
      <c r="AB415" s="154"/>
      <c r="AC415" s="242" t="b">
        <f t="shared" si="2"/>
        <v>1</v>
      </c>
      <c r="AD415" s="154" t="s">
        <v>391</v>
      </c>
      <c r="AE415" s="243" t="b">
        <f t="shared" si="3"/>
        <v>0</v>
      </c>
      <c r="AF415" s="154" t="s">
        <v>1447</v>
      </c>
      <c r="AG415" s="243" t="b">
        <f t="shared" si="4"/>
        <v>0</v>
      </c>
      <c r="AH415" s="154" t="s">
        <v>776</v>
      </c>
      <c r="AI415" s="243" t="str">
        <f t="shared" si="5"/>
        <v>Complies</v>
      </c>
      <c r="AJ415" s="157" t="str">
        <f t="shared" si="6"/>
        <v/>
      </c>
    </row>
    <row r="416" ht="12.75" customHeight="1">
      <c r="A416" s="244" t="s">
        <v>621</v>
      </c>
      <c r="B416" s="244" t="s">
        <v>1339</v>
      </c>
      <c r="C416" s="244" t="s">
        <v>1448</v>
      </c>
      <c r="D416" s="154" t="s">
        <v>546</v>
      </c>
      <c r="E416" s="250"/>
      <c r="F416" s="154" t="str">
        <f t="array" ref="F416">XLOOKUP(Cover!$D$12,$S$1:$AA$1,$S416:$AA416)</f>
        <v>Mandatory</v>
      </c>
      <c r="G416" s="153" t="s">
        <v>1449</v>
      </c>
      <c r="H416" s="154" t="s">
        <v>1018</v>
      </c>
      <c r="I416" s="154" t="s">
        <v>759</v>
      </c>
      <c r="J416" s="247" t="s">
        <v>445</v>
      </c>
      <c r="K416" s="247" t="s">
        <v>1440</v>
      </c>
      <c r="L416" s="154" t="str">
        <f t="shared" si="1"/>
        <v/>
      </c>
      <c r="M416" s="248" t="str">
        <f>IFERROR(__xludf.DUMMYFUNCTION("VLOOKUP(C416,IMPORTRANGE(""https://docs.google.com/spreadsheets/d/1P8eX0NWBhUPS_hvzA11R6jkTNFrPrRYIx_dX_hYbxrk/edit?resourcekey=0-iw9bsKY2OqkUHCFMkCar3A&amp;gid=2055363397#gid=2055363397"",""MTR!C:O""),11,false)"),"PMW-L1")</f>
        <v>PMW-L1</v>
      </c>
      <c r="N416" s="248" t="str">
        <f>IFERROR(__xludf.DUMMYFUNCTION("VLOOKUP(C416,IMPORTRANGE(""https://docs.google.com/spreadsheets/d/1ihFlp3_ePlYtFuPbUNbYj1muErVpI73WHXbEwJDIA7Q/edit#gid=1493122344"",""MTR!C:O""),8,false)"),"Complies")</f>
        <v>Complies</v>
      </c>
      <c r="O416" s="248" t="str">
        <f>IFERROR(__xludf.DUMMYFUNCTION("VLOOKUP(C416,IMPORTRANGE(""https://docs.google.com/spreadsheets/d/1P8eX0NWBhUPS_hvzA11R6jkTNFrPrRYIx_dX_hYbxrk/edit?resourcekey=0-iw9bsKY2OqkUHCFMkCar3A&amp;gid=2055363397#gid=2055363397"",""MTR!C:O""),9,false)"),"Please refer to sheet EN-DC for more detailed information")</f>
        <v>Please refer to sheet EN-DC for more detailed information</v>
      </c>
      <c r="P416" s="248"/>
      <c r="Q416" s="249" t="s">
        <v>445</v>
      </c>
      <c r="R416" s="249" t="s">
        <v>1440</v>
      </c>
      <c r="S416" s="154" t="s">
        <v>66</v>
      </c>
      <c r="T416" s="154" t="s">
        <v>66</v>
      </c>
      <c r="U416" s="154" t="s">
        <v>66</v>
      </c>
      <c r="V416" s="154" t="s">
        <v>66</v>
      </c>
      <c r="W416" s="154" t="s">
        <v>60</v>
      </c>
      <c r="X416" s="154" t="s">
        <v>60</v>
      </c>
      <c r="Y416" s="154" t="s">
        <v>66</v>
      </c>
      <c r="Z416" s="154" t="s">
        <v>66</v>
      </c>
      <c r="AA416" s="154" t="s">
        <v>60</v>
      </c>
      <c r="AB416" s="154"/>
      <c r="AC416" s="242" t="b">
        <f t="shared" si="2"/>
        <v>1</v>
      </c>
      <c r="AD416" s="154" t="s">
        <v>391</v>
      </c>
      <c r="AE416" s="243" t="b">
        <f t="shared" si="3"/>
        <v>0</v>
      </c>
      <c r="AF416" s="154" t="s">
        <v>1450</v>
      </c>
      <c r="AG416" s="243" t="b">
        <f t="shared" si="4"/>
        <v>0</v>
      </c>
      <c r="AH416" s="154" t="s">
        <v>776</v>
      </c>
      <c r="AI416" s="243" t="str">
        <f t="shared" si="5"/>
        <v>Complies</v>
      </c>
      <c r="AJ416" s="157" t="str">
        <f t="shared" si="6"/>
        <v/>
      </c>
    </row>
    <row r="417" ht="12.75" customHeight="1">
      <c r="A417" s="244" t="s">
        <v>621</v>
      </c>
      <c r="B417" s="244" t="s">
        <v>1339</v>
      </c>
      <c r="C417" s="244" t="s">
        <v>1451</v>
      </c>
      <c r="D417" s="154" t="s">
        <v>781</v>
      </c>
      <c r="E417" s="250"/>
      <c r="F417" s="154" t="str">
        <f t="array" ref="F417">XLOOKUP(Cover!$D$12,$S$1:$AA$1,$S417:$AA417)</f>
        <v>Mandatory</v>
      </c>
      <c r="G417" s="153" t="s">
        <v>1452</v>
      </c>
      <c r="H417" s="154" t="s">
        <v>1012</v>
      </c>
      <c r="I417" s="154" t="s">
        <v>759</v>
      </c>
      <c r="J417" s="247" t="s">
        <v>445</v>
      </c>
      <c r="K417" s="247" t="s">
        <v>1440</v>
      </c>
      <c r="L417" s="154" t="str">
        <f t="shared" si="1"/>
        <v/>
      </c>
      <c r="M417" s="248" t="str">
        <f>IFERROR(__xludf.DUMMYFUNCTION("VLOOKUP(C417,IMPORTRANGE(""https://docs.google.com/spreadsheets/d/1P8eX0NWBhUPS_hvzA11R6jkTNFrPrRYIx_dX_hYbxrk/edit?resourcekey=0-iw9bsKY2OqkUHCFMkCar3A&amp;gid=2055363397#gid=2055363397"",""MTR!C:O""),11,false)"),"PMW-L1")</f>
        <v>PMW-L1</v>
      </c>
      <c r="N417" s="248" t="str">
        <f>IFERROR(__xludf.DUMMYFUNCTION("VLOOKUP(C417,IMPORTRANGE(""https://docs.google.com/spreadsheets/d/1ihFlp3_ePlYtFuPbUNbYj1muErVpI73WHXbEwJDIA7Q/edit#gid=1493122344"",""MTR!C:O""),8,false)"),"Complies")</f>
        <v>Complies</v>
      </c>
      <c r="O417" s="248" t="str">
        <f>IFERROR(__xludf.DUMMYFUNCTION("VLOOKUP(C417,IMPORTRANGE(""https://docs.google.com/spreadsheets/d/1P8eX0NWBhUPS_hvzA11R6jkTNFrPrRYIx_dX_hYbxrk/edit?resourcekey=0-iw9bsKY2OqkUHCFMkCar3A&amp;gid=2055363397#gid=2055363397"",""MTR!C:O""),9,false)"),"Please refer to sheet EN-DC for more detailed information")</f>
        <v>Please refer to sheet EN-DC for more detailed information</v>
      </c>
      <c r="P417" s="248"/>
      <c r="Q417" s="249" t="s">
        <v>445</v>
      </c>
      <c r="R417" s="249" t="s">
        <v>1440</v>
      </c>
      <c r="S417" s="154" t="s">
        <v>66</v>
      </c>
      <c r="T417" s="154" t="s">
        <v>66</v>
      </c>
      <c r="U417" s="154" t="s">
        <v>66</v>
      </c>
      <c r="V417" s="154" t="s">
        <v>60</v>
      </c>
      <c r="W417" s="154" t="s">
        <v>60</v>
      </c>
      <c r="X417" s="154" t="s">
        <v>60</v>
      </c>
      <c r="Y417" s="154" t="s">
        <v>66</v>
      </c>
      <c r="Z417" s="154" t="s">
        <v>66</v>
      </c>
      <c r="AA417" s="154" t="s">
        <v>60</v>
      </c>
      <c r="AB417" s="154"/>
      <c r="AC417" s="242" t="b">
        <f t="shared" si="2"/>
        <v>1</v>
      </c>
      <c r="AD417" s="154" t="s">
        <v>391</v>
      </c>
      <c r="AE417" s="243" t="b">
        <f t="shared" si="3"/>
        <v>0</v>
      </c>
      <c r="AF417" s="154" t="s">
        <v>1453</v>
      </c>
      <c r="AG417" s="243" t="b">
        <f t="shared" si="4"/>
        <v>0</v>
      </c>
      <c r="AH417" s="154" t="s">
        <v>776</v>
      </c>
      <c r="AI417" s="243" t="str">
        <f t="shared" si="5"/>
        <v>Complies</v>
      </c>
      <c r="AJ417" s="157" t="str">
        <f t="shared" si="6"/>
        <v/>
      </c>
    </row>
    <row r="418" ht="12.75" customHeight="1">
      <c r="A418" s="244" t="s">
        <v>621</v>
      </c>
      <c r="B418" s="244" t="s">
        <v>1339</v>
      </c>
      <c r="C418" s="244" t="s">
        <v>1454</v>
      </c>
      <c r="D418" s="154" t="s">
        <v>546</v>
      </c>
      <c r="E418" s="250"/>
      <c r="F418" s="154" t="str">
        <f t="array" ref="F418">XLOOKUP(Cover!$D$12,$S$1:$AA$1,$S418:$AA418)</f>
        <v>Mandatory</v>
      </c>
      <c r="G418" s="153" t="s">
        <v>1455</v>
      </c>
      <c r="H418" s="154" t="s">
        <v>1012</v>
      </c>
      <c r="I418" s="154" t="s">
        <v>759</v>
      </c>
      <c r="J418" s="247" t="s">
        <v>445</v>
      </c>
      <c r="K418" s="247" t="s">
        <v>1440</v>
      </c>
      <c r="L418" s="154" t="str">
        <f t="shared" si="1"/>
        <v/>
      </c>
      <c r="M418" s="248" t="str">
        <f>IFERROR(__xludf.DUMMYFUNCTION("VLOOKUP(C418,IMPORTRANGE(""https://docs.google.com/spreadsheets/d/1P8eX0NWBhUPS_hvzA11R6jkTNFrPrRYIx_dX_hYbxrk/edit?resourcekey=0-iw9bsKY2OqkUHCFMkCar3A&amp;gid=2055363397#gid=2055363397"",""MTR!C:O""),11,false)"),"PMW-L1")</f>
        <v>PMW-L1</v>
      </c>
      <c r="N418" s="248" t="str">
        <f>IFERROR(__xludf.DUMMYFUNCTION("VLOOKUP(C418,IMPORTRANGE(""https://docs.google.com/spreadsheets/d/1ihFlp3_ePlYtFuPbUNbYj1muErVpI73WHXbEwJDIA7Q/edit#gid=1493122344"",""MTR!C:O""),8,false)"),"Complies")</f>
        <v>Complies</v>
      </c>
      <c r="O418" s="248" t="str">
        <f>IFERROR(__xludf.DUMMYFUNCTION("VLOOKUP(C418,IMPORTRANGE(""https://docs.google.com/spreadsheets/d/1P8eX0NWBhUPS_hvzA11R6jkTNFrPrRYIx_dX_hYbxrk/edit?resourcekey=0-iw9bsKY2OqkUHCFMkCar3A&amp;gid=2055363397#gid=2055363397"",""MTR!C:O""),9,false)"),"Please refer to sheet EN-DC for more detailed information")</f>
        <v>Please refer to sheet EN-DC for more detailed information</v>
      </c>
      <c r="P418" s="248"/>
      <c r="Q418" s="249" t="s">
        <v>445</v>
      </c>
      <c r="R418" s="249" t="s">
        <v>1440</v>
      </c>
      <c r="S418" s="154" t="s">
        <v>66</v>
      </c>
      <c r="T418" s="154" t="s">
        <v>66</v>
      </c>
      <c r="U418" s="154" t="s">
        <v>66</v>
      </c>
      <c r="V418" s="154" t="s">
        <v>60</v>
      </c>
      <c r="W418" s="154" t="s">
        <v>60</v>
      </c>
      <c r="X418" s="154" t="s">
        <v>60</v>
      </c>
      <c r="Y418" s="154" t="s">
        <v>66</v>
      </c>
      <c r="Z418" s="154" t="s">
        <v>66</v>
      </c>
      <c r="AA418" s="154" t="s">
        <v>60</v>
      </c>
      <c r="AB418" s="154"/>
      <c r="AC418" s="242" t="b">
        <f t="shared" si="2"/>
        <v>1</v>
      </c>
      <c r="AD418" s="154" t="s">
        <v>391</v>
      </c>
      <c r="AE418" s="243" t="b">
        <f t="shared" si="3"/>
        <v>0</v>
      </c>
      <c r="AF418" s="154" t="s">
        <v>1456</v>
      </c>
      <c r="AG418" s="243" t="b">
        <f t="shared" si="4"/>
        <v>0</v>
      </c>
      <c r="AH418" s="154" t="s">
        <v>776</v>
      </c>
      <c r="AI418" s="243" t="str">
        <f t="shared" si="5"/>
        <v>Complies</v>
      </c>
      <c r="AJ418" s="157" t="str">
        <f t="shared" si="6"/>
        <v/>
      </c>
    </row>
    <row r="419" ht="12.75" customHeight="1">
      <c r="A419" s="244" t="s">
        <v>621</v>
      </c>
      <c r="B419" s="244" t="s">
        <v>1339</v>
      </c>
      <c r="C419" s="244" t="s">
        <v>1457</v>
      </c>
      <c r="D419" s="154" t="s">
        <v>781</v>
      </c>
      <c r="E419" s="250"/>
      <c r="F419" s="154" t="str">
        <f t="array" ref="F419">XLOOKUP(Cover!$D$12,$S$1:$AA$1,$S419:$AA419)</f>
        <v>Mandatory</v>
      </c>
      <c r="G419" s="153" t="s">
        <v>1458</v>
      </c>
      <c r="H419" s="154" t="s">
        <v>1122</v>
      </c>
      <c r="I419" s="154" t="s">
        <v>759</v>
      </c>
      <c r="J419" s="247" t="s">
        <v>445</v>
      </c>
      <c r="K419" s="247" t="s">
        <v>1440</v>
      </c>
      <c r="L419" s="154" t="str">
        <f t="shared" si="1"/>
        <v/>
      </c>
      <c r="M419" s="248" t="str">
        <f>IFERROR(__xludf.DUMMYFUNCTION("VLOOKUP(C419,IMPORTRANGE(""https://docs.google.com/spreadsheets/d/1P8eX0NWBhUPS_hvzA11R6jkTNFrPrRYIx_dX_hYbxrk/edit?resourcekey=0-iw9bsKY2OqkUHCFMkCar3A&amp;gid=2055363397#gid=2055363397"",""MTR!C:O""),11,false)"),"PMW-L1")</f>
        <v>PMW-L1</v>
      </c>
      <c r="N419" s="248" t="str">
        <f>IFERROR(__xludf.DUMMYFUNCTION("VLOOKUP(C419,IMPORTRANGE(""https://docs.google.com/spreadsheets/d/1ihFlp3_ePlYtFuPbUNbYj1muErVpI73WHXbEwJDIA7Q/edit#gid=1493122344"",""MTR!C:O""),8,false)"),"Complies")</f>
        <v>Complies</v>
      </c>
      <c r="O419" s="248" t="str">
        <f>IFERROR(__xludf.DUMMYFUNCTION("VLOOKUP(C419,IMPORTRANGE(""https://docs.google.com/spreadsheets/d/1P8eX0NWBhUPS_hvzA11R6jkTNFrPrRYIx_dX_hYbxrk/edit?resourcekey=0-iw9bsKY2OqkUHCFMkCar3A&amp;gid=2055363397#gid=2055363397"",""MTR!C:O""),9,false)"),"Please refer to sheet EN-DC for more detailed information")</f>
        <v>Please refer to sheet EN-DC for more detailed information</v>
      </c>
      <c r="P419" s="248"/>
      <c r="Q419" s="249" t="s">
        <v>445</v>
      </c>
      <c r="R419" s="249" t="s">
        <v>1440</v>
      </c>
      <c r="S419" s="154" t="s">
        <v>66</v>
      </c>
      <c r="T419" s="154" t="s">
        <v>66</v>
      </c>
      <c r="U419" s="154" t="s">
        <v>60</v>
      </c>
      <c r="V419" s="154" t="s">
        <v>60</v>
      </c>
      <c r="W419" s="154" t="s">
        <v>60</v>
      </c>
      <c r="X419" s="154" t="s">
        <v>60</v>
      </c>
      <c r="Y419" s="154" t="s">
        <v>66</v>
      </c>
      <c r="Z419" s="154" t="s">
        <v>60</v>
      </c>
      <c r="AA419" s="154" t="s">
        <v>60</v>
      </c>
      <c r="AB419" s="154"/>
      <c r="AC419" s="242" t="b">
        <f t="shared" si="2"/>
        <v>1</v>
      </c>
      <c r="AD419" s="154" t="s">
        <v>391</v>
      </c>
      <c r="AE419" s="243" t="b">
        <f t="shared" si="3"/>
        <v>0</v>
      </c>
      <c r="AF419" s="154" t="s">
        <v>1459</v>
      </c>
      <c r="AG419" s="243" t="b">
        <f t="shared" si="4"/>
        <v>0</v>
      </c>
      <c r="AH419" s="154" t="s">
        <v>776</v>
      </c>
      <c r="AI419" s="243" t="str">
        <f t="shared" si="5"/>
        <v>Complies</v>
      </c>
      <c r="AJ419" s="157" t="str">
        <f t="shared" si="6"/>
        <v/>
      </c>
    </row>
    <row r="420" ht="12.75" customHeight="1">
      <c r="A420" s="244" t="s">
        <v>621</v>
      </c>
      <c r="B420" s="244" t="s">
        <v>1339</v>
      </c>
      <c r="C420" s="244" t="s">
        <v>1460</v>
      </c>
      <c r="D420" s="154" t="s">
        <v>781</v>
      </c>
      <c r="E420" s="250"/>
      <c r="F420" s="154" t="str">
        <f t="array" ref="F420">XLOOKUP(Cover!$D$12,$S$1:$AA$1,$S420:$AA420)</f>
        <v>Comments Vendor</v>
      </c>
      <c r="G420" s="154" t="s">
        <v>1461</v>
      </c>
      <c r="H420" s="154" t="s">
        <v>232</v>
      </c>
      <c r="I420" s="154" t="s">
        <v>759</v>
      </c>
      <c r="J420" s="154"/>
      <c r="K420" s="247" t="s">
        <v>1462</v>
      </c>
      <c r="L420" s="154" t="str">
        <f t="shared" si="1"/>
        <v/>
      </c>
      <c r="M420" s="248" t="str">
        <f>IFERROR(__xludf.DUMMYFUNCTION("VLOOKUP(C420,IMPORTRANGE(""https://docs.google.com/spreadsheets/d/1P8eX0NWBhUPS_hvzA11R6jkTNFrPrRYIx_dX_hYbxrk/edit?resourcekey=0-iw9bsKY2OqkUHCFMkCar3A&amp;gid=2055363397#gid=2055363397"",""MTR!C:O""),11,false)"),"PMW-AS")</f>
        <v>PMW-AS</v>
      </c>
      <c r="N420" s="241" t="str">
        <f>IFERROR(__xludf.DUMMYFUNCTION("VLOOKUP(C420,IMPORTRANGE(""https://docs.google.com/spreadsheets/d/1ihFlp3_ePlYtFuPbUNbYj1muErVpI73WHXbEwJDIA7Q/edit#gid=1493122344"",""MTR!C:O""),8,false)"),"")</f>
        <v/>
      </c>
      <c r="O420" s="248" t="str">
        <f>IFERROR(__xludf.DUMMYFUNCTION("VLOOKUP(C420,IMPORTRANGE(""https://docs.google.com/spreadsheets/d/1P8eX0NWBhUPS_hvzA11R6jkTNFrPrRYIx_dX_hYbxrk/edit?resourcekey=0-iw9bsKY2OqkUHCFMkCar3A&amp;gid=2055363397#gid=2055363397"",""MTR!C:O""),9,false)"),"DTAG config has 8-layers for LTE with n7A
DC_3A-3A-n7A-n78A(4-4-2-4) ")</f>
        <v>DTAG config has 8-layers for LTE with n7A
DC_3A-3A-n7A-n78A(4-4-2-4) </v>
      </c>
      <c r="P420" s="248"/>
      <c r="Q420" s="248"/>
      <c r="R420" s="249" t="s">
        <v>1462</v>
      </c>
      <c r="S420" s="154" t="s">
        <v>62</v>
      </c>
      <c r="T420" s="154" t="s">
        <v>62</v>
      </c>
      <c r="U420" s="154" t="s">
        <v>62</v>
      </c>
      <c r="V420" s="154" t="s">
        <v>62</v>
      </c>
      <c r="W420" s="154" t="s">
        <v>62</v>
      </c>
      <c r="X420" s="154" t="s">
        <v>62</v>
      </c>
      <c r="Y420" s="154" t="s">
        <v>62</v>
      </c>
      <c r="Z420" s="154" t="s">
        <v>62</v>
      </c>
      <c r="AA420" s="154" t="s">
        <v>62</v>
      </c>
      <c r="AB420" s="154"/>
      <c r="AC420" s="242" t="b">
        <f t="shared" si="2"/>
        <v>1</v>
      </c>
      <c r="AD420" s="154" t="s">
        <v>400</v>
      </c>
      <c r="AE420" s="243" t="b">
        <f t="shared" si="3"/>
        <v>1</v>
      </c>
      <c r="AF420" s="154" t="s">
        <v>1390</v>
      </c>
      <c r="AG420" s="243" t="b">
        <f t="shared" si="4"/>
        <v>0</v>
      </c>
      <c r="AH420" s="154" t="s">
        <v>776</v>
      </c>
      <c r="AI420" s="243" t="str">
        <f t="shared" si="5"/>
        <v>Complies</v>
      </c>
      <c r="AJ420" s="157" t="str">
        <f t="shared" si="6"/>
        <v/>
      </c>
    </row>
    <row r="421" ht="12.75" customHeight="1">
      <c r="A421" s="244" t="s">
        <v>621</v>
      </c>
      <c r="B421" s="244" t="s">
        <v>1339</v>
      </c>
      <c r="C421" s="255" t="s">
        <v>1463</v>
      </c>
      <c r="D421" s="256" t="s">
        <v>42</v>
      </c>
      <c r="E421" s="257" t="s">
        <v>489</v>
      </c>
      <c r="F421" s="154" t="str">
        <f t="array" ref="F421">XLOOKUP(Cover!$D$12,$S$1:$AA$1,$S421:$AA421)</f>
        <v>Mandatory</v>
      </c>
      <c r="G421" s="254" t="s">
        <v>1464</v>
      </c>
      <c r="H421" s="154" t="s">
        <v>175</v>
      </c>
      <c r="I421" s="154" t="s">
        <v>759</v>
      </c>
      <c r="J421" s="247" t="s">
        <v>506</v>
      </c>
      <c r="K421" s="247" t="s">
        <v>1465</v>
      </c>
      <c r="L421" s="154" t="str">
        <f t="shared" si="1"/>
        <v/>
      </c>
      <c r="M421" s="253" t="s">
        <v>828</v>
      </c>
      <c r="N421" s="253" t="str">
        <f>IFERROR(__xludf.DUMMYFUNCTION("VLOOKUP(C421,IMPORTRANGE(""https://docs.google.com/spreadsheets/d/1ihFlp3_ePlYtFuPbUNbYj1muErVpI73WHXbEwJDIA7Q/edit#gid=1493122344"",""MTR!C:O""),8,false)"),"#N/A")</f>
        <v>#N/A</v>
      </c>
      <c r="O421" s="253" t="str">
        <f>IFERROR(__xludf.DUMMYFUNCTION("VLOOKUP(C421,IMPORTRANGE(""https://docs.google.com/spreadsheets/d/1P8eX0NWBhUPS_hvzA11R6jkTNFrPrRYIx_dX_hYbxrk/edit?resourcekey=0-iw9bsKY2OqkUHCFMkCar3A&amp;gid=2055363397#gid=2055363397"",""MTR!C:O""),9,false)"),"#N/A")</f>
        <v>#N/A</v>
      </c>
      <c r="P421" s="253"/>
      <c r="Q421" s="253"/>
      <c r="R421" s="253"/>
      <c r="S421" s="154" t="s">
        <v>66</v>
      </c>
      <c r="T421" s="154" t="s">
        <v>66</v>
      </c>
      <c r="U421" s="154" t="s">
        <v>66</v>
      </c>
      <c r="V421" s="154" t="s">
        <v>66</v>
      </c>
      <c r="W421" s="154" t="s">
        <v>66</v>
      </c>
      <c r="X421" s="154" t="s">
        <v>60</v>
      </c>
      <c r="Y421" s="154" t="s">
        <v>66</v>
      </c>
      <c r="Z421" s="154" t="s">
        <v>66</v>
      </c>
      <c r="AA421" s="154" t="s">
        <v>60</v>
      </c>
      <c r="AB421" s="154"/>
      <c r="AC421" s="242" t="b">
        <f t="shared" si="2"/>
        <v>1</v>
      </c>
      <c r="AD421" s="154" t="s">
        <v>391</v>
      </c>
      <c r="AE421" s="243" t="b">
        <f t="shared" si="3"/>
        <v>0</v>
      </c>
      <c r="AF421" s="154" t="s">
        <v>1368</v>
      </c>
      <c r="AG421" s="243" t="b">
        <f t="shared" si="4"/>
        <v>0</v>
      </c>
      <c r="AH421" s="155" t="s">
        <v>776</v>
      </c>
      <c r="AI421" s="243" t="str">
        <f t="shared" si="5"/>
        <v>Complies</v>
      </c>
      <c r="AJ421" s="157" t="str">
        <f t="shared" si="6"/>
        <v/>
      </c>
    </row>
    <row r="422" ht="12.75" customHeight="1">
      <c r="A422" s="238" t="s">
        <v>621</v>
      </c>
      <c r="B422" s="238" t="s">
        <v>1339</v>
      </c>
      <c r="C422" s="238" t="s">
        <v>1466</v>
      </c>
      <c r="D422" s="240"/>
      <c r="E422" s="252" t="s">
        <v>92</v>
      </c>
      <c r="F422" s="154" t="str">
        <f t="array" ref="F422">XLOOKUP(Cover!$D$12,$S$1:$AA$1,$S422:$AA422)</f>
        <v>Heading</v>
      </c>
      <c r="G422" s="239" t="s">
        <v>1467</v>
      </c>
      <c r="H422" s="240"/>
      <c r="I422" s="240" t="s">
        <v>759</v>
      </c>
      <c r="J422" s="240"/>
      <c r="K422" s="240"/>
      <c r="L422" s="154" t="str">
        <f t="shared" si="1"/>
        <v/>
      </c>
      <c r="M422" s="241" t="str">
        <f>IFERROR(__xludf.DUMMYFUNCTION("VLOOKUP(C422,IMPORTRANGE(""https://docs.google.com/spreadsheets/d/1P8eX0NWBhUPS_hvzA11R6jkTNFrPrRYIx_dX_hYbxrk/edit?resourcekey=0-iw9bsKY2OqkUHCFMkCar3A&amp;gid=2055363397#gid=2055363397"",""MTR!C:O""),11,false)"),"")</f>
        <v/>
      </c>
      <c r="N422" s="241" t="str">
        <f>IFERROR(__xludf.DUMMYFUNCTION("VLOOKUP(C422,IMPORTRANGE(""https://docs.google.com/spreadsheets/d/1ihFlp3_ePlYtFuPbUNbYj1muErVpI73WHXbEwJDIA7Q/edit#gid=1493122344"",""MTR!C:O""),8,false)"),"")</f>
        <v/>
      </c>
      <c r="O422" s="241" t="str">
        <f>IFERROR(__xludf.DUMMYFUNCTION("VLOOKUP(C422,IMPORTRANGE(""https://docs.google.com/spreadsheets/d/1P8eX0NWBhUPS_hvzA11R6jkTNFrPrRYIx_dX_hYbxrk/edit?resourcekey=0-iw9bsKY2OqkUHCFMkCar3A&amp;gid=2055363397#gid=2055363397"",""MTR!C:O""),9,false)"),"")</f>
        <v/>
      </c>
      <c r="P422" s="241"/>
      <c r="Q422" s="241"/>
      <c r="R422" s="241"/>
      <c r="S422" s="240" t="s">
        <v>390</v>
      </c>
      <c r="T422" s="240" t="s">
        <v>390</v>
      </c>
      <c r="U422" s="240" t="s">
        <v>390</v>
      </c>
      <c r="V422" s="240" t="s">
        <v>390</v>
      </c>
      <c r="W422" s="240" t="s">
        <v>390</v>
      </c>
      <c r="X422" s="240" t="s">
        <v>390</v>
      </c>
      <c r="Y422" s="240" t="s">
        <v>390</v>
      </c>
      <c r="Z422" s="240" t="s">
        <v>390</v>
      </c>
      <c r="AA422" s="240" t="s">
        <v>390</v>
      </c>
      <c r="AB422" s="240"/>
      <c r="AC422" s="242" t="b">
        <f t="shared" si="2"/>
        <v>0</v>
      </c>
      <c r="AD422" s="240" t="s">
        <v>391</v>
      </c>
      <c r="AE422" s="243" t="b">
        <f t="shared" si="3"/>
        <v>0</v>
      </c>
      <c r="AF422" s="240"/>
      <c r="AG422" s="243" t="b">
        <f t="shared" si="4"/>
        <v>0</v>
      </c>
      <c r="AH422" s="240"/>
      <c r="AI422" s="243" t="str">
        <f t="shared" si="5"/>
        <v>N/A</v>
      </c>
      <c r="AJ422" s="157" t="str">
        <f t="shared" si="6"/>
        <v/>
      </c>
    </row>
    <row r="423" ht="12.75" customHeight="1">
      <c r="A423" s="244" t="s">
        <v>621</v>
      </c>
      <c r="B423" s="244" t="s">
        <v>1339</v>
      </c>
      <c r="C423" s="244" t="s">
        <v>1468</v>
      </c>
      <c r="D423" s="154" t="s">
        <v>1069</v>
      </c>
      <c r="E423" s="250"/>
      <c r="F423" s="154" t="str">
        <f t="array" ref="F423">XLOOKUP(Cover!$D$12,$S$1:$AA$1,$S423:$AA423)</f>
        <v>Recommended</v>
      </c>
      <c r="G423" s="153" t="s">
        <v>1469</v>
      </c>
      <c r="H423" s="154"/>
      <c r="I423" s="154" t="s">
        <v>759</v>
      </c>
      <c r="J423" s="247" t="s">
        <v>445</v>
      </c>
      <c r="K423" s="154"/>
      <c r="L423" s="154" t="str">
        <f t="shared" si="1"/>
        <v/>
      </c>
      <c r="M423" s="248" t="str">
        <f>IFERROR(__xludf.DUMMYFUNCTION("VLOOKUP(C423,IMPORTRANGE(""https://docs.google.com/spreadsheets/d/1P8eX0NWBhUPS_hvzA11R6jkTNFrPrRYIx_dX_hYbxrk/edit?resourcekey=0-iw9bsKY2OqkUHCFMkCar3A&amp;gid=2055363397#gid=2055363397"",""MTR!C:O""),11,false)"),"PMW-L1")</f>
        <v>PMW-L1</v>
      </c>
      <c r="N423" s="248" t="str">
        <f>IFERROR(__xludf.DUMMYFUNCTION("VLOOKUP(C423,IMPORTRANGE(""https://docs.google.com/spreadsheets/d/1ihFlp3_ePlYtFuPbUNbYj1muErVpI73WHXbEwJDIA7Q/edit#gid=1493122344"",""MTR!C:O""),8,false)"),"Complies")</f>
        <v>Complies</v>
      </c>
      <c r="O423" s="241" t="str">
        <f>IFERROR(__xludf.DUMMYFUNCTION("VLOOKUP(C423,IMPORTRANGE(""https://docs.google.com/spreadsheets/d/1P8eX0NWBhUPS_hvzA11R6jkTNFrPrRYIx_dX_hYbxrk/edit?resourcekey=0-iw9bsKY2OqkUHCFMkCar3A&amp;gid=2055363397#gid=2055363397"",""MTR!C:O""),9,false)"),"")</f>
        <v/>
      </c>
      <c r="P423" s="241"/>
      <c r="Q423" s="251" t="s">
        <v>445</v>
      </c>
      <c r="R423" s="241"/>
      <c r="S423" s="154" t="s">
        <v>66</v>
      </c>
      <c r="T423" s="154" t="s">
        <v>66</v>
      </c>
      <c r="U423" s="154" t="s">
        <v>64</v>
      </c>
      <c r="V423" s="154" t="s">
        <v>64</v>
      </c>
      <c r="W423" s="154" t="s">
        <v>64</v>
      </c>
      <c r="X423" s="154" t="s">
        <v>64</v>
      </c>
      <c r="Y423" s="154" t="s">
        <v>66</v>
      </c>
      <c r="Z423" s="154" t="s">
        <v>64</v>
      </c>
      <c r="AA423" s="154" t="s">
        <v>64</v>
      </c>
      <c r="AB423" s="154"/>
      <c r="AC423" s="242" t="b">
        <f t="shared" si="2"/>
        <v>1</v>
      </c>
      <c r="AD423" s="154" t="s">
        <v>391</v>
      </c>
      <c r="AE423" s="243" t="b">
        <f t="shared" si="3"/>
        <v>0</v>
      </c>
      <c r="AF423" s="154"/>
      <c r="AG423" s="243" t="b">
        <f t="shared" si="4"/>
        <v>0</v>
      </c>
      <c r="AH423" s="154" t="s">
        <v>783</v>
      </c>
      <c r="AI423" s="243" t="str">
        <f t="shared" si="5"/>
        <v>Complies</v>
      </c>
      <c r="AJ423" s="157" t="str">
        <f t="shared" si="6"/>
        <v/>
      </c>
    </row>
    <row r="424" ht="12.75" customHeight="1">
      <c r="A424" s="244" t="s">
        <v>621</v>
      </c>
      <c r="B424" s="244" t="s">
        <v>1339</v>
      </c>
      <c r="C424" s="244" t="s">
        <v>1470</v>
      </c>
      <c r="D424" s="154" t="s">
        <v>1069</v>
      </c>
      <c r="E424" s="250"/>
      <c r="F424" s="154" t="str">
        <f t="array" ref="F424">XLOOKUP(Cover!$D$12,$S$1:$AA$1,$S424:$AA424)</f>
        <v>Recommended</v>
      </c>
      <c r="G424" s="153" t="s">
        <v>1471</v>
      </c>
      <c r="H424" s="154"/>
      <c r="I424" s="154" t="s">
        <v>759</v>
      </c>
      <c r="J424" s="247" t="s">
        <v>516</v>
      </c>
      <c r="K424" s="154"/>
      <c r="L424" s="154" t="str">
        <f t="shared" si="1"/>
        <v/>
      </c>
      <c r="M424" s="248" t="str">
        <f>IFERROR(__xludf.DUMMYFUNCTION("VLOOKUP(C424,IMPORTRANGE(""https://docs.google.com/spreadsheets/d/1P8eX0NWBhUPS_hvzA11R6jkTNFrPrRYIx_dX_hYbxrk/edit?resourcekey=0-iw9bsKY2OqkUHCFMkCar3A&amp;gid=2055363397#gid=2055363397"",""MTR!C:O""),11,false)"),"PMW-AS")</f>
        <v>PMW-AS</v>
      </c>
      <c r="N424" s="248" t="str">
        <f>IFERROR(__xludf.DUMMYFUNCTION("VLOOKUP(C424,IMPORTRANGE(""https://docs.google.com/spreadsheets/d/1ihFlp3_ePlYtFuPbUNbYj1muErVpI73WHXbEwJDIA7Q/edit#gid=1493122344"",""MTR!C:O""),8,false)"),"Does Not Comply")</f>
        <v>Does Not Comply</v>
      </c>
      <c r="O424" s="241" t="str">
        <f>IFERROR(__xludf.DUMMYFUNCTION("VLOOKUP(C424,IMPORTRANGE(""https://docs.google.com/spreadsheets/d/1P8eX0NWBhUPS_hvzA11R6jkTNFrPrRYIx_dX_hYbxrk/edit?resourcekey=0-iw9bsKY2OqkUHCFMkCar3A&amp;gid=2055363397#gid=2055363397"",""MTR!C:O""),9,false)"),"")</f>
        <v/>
      </c>
      <c r="P424" s="241"/>
      <c r="Q424" s="251" t="s">
        <v>516</v>
      </c>
      <c r="R424" s="241"/>
      <c r="S424" s="154" t="s">
        <v>66</v>
      </c>
      <c r="T424" s="154" t="s">
        <v>66</v>
      </c>
      <c r="U424" s="154" t="s">
        <v>64</v>
      </c>
      <c r="V424" s="154" t="s">
        <v>64</v>
      </c>
      <c r="W424" s="154" t="s">
        <v>64</v>
      </c>
      <c r="X424" s="154" t="s">
        <v>64</v>
      </c>
      <c r="Y424" s="154" t="s">
        <v>66</v>
      </c>
      <c r="Z424" s="154" t="s">
        <v>64</v>
      </c>
      <c r="AA424" s="154" t="s">
        <v>64</v>
      </c>
      <c r="AB424" s="154"/>
      <c r="AC424" s="242" t="b">
        <f t="shared" si="2"/>
        <v>1</v>
      </c>
      <c r="AD424" s="154" t="s">
        <v>391</v>
      </c>
      <c r="AE424" s="243" t="b">
        <f t="shared" si="3"/>
        <v>0</v>
      </c>
      <c r="AF424" s="154"/>
      <c r="AG424" s="243" t="b">
        <f t="shared" si="4"/>
        <v>0</v>
      </c>
      <c r="AH424" s="154" t="s">
        <v>783</v>
      </c>
      <c r="AI424" s="243" t="str">
        <f t="shared" si="5"/>
        <v>Complies</v>
      </c>
      <c r="AJ424" s="157" t="str">
        <f t="shared" si="6"/>
        <v/>
      </c>
    </row>
    <row r="425" ht="12.75" customHeight="1">
      <c r="A425" s="244" t="s">
        <v>621</v>
      </c>
      <c r="B425" s="244" t="s">
        <v>1339</v>
      </c>
      <c r="C425" s="244" t="s">
        <v>1472</v>
      </c>
      <c r="D425" s="154" t="s">
        <v>1069</v>
      </c>
      <c r="E425" s="250"/>
      <c r="F425" s="154" t="str">
        <f t="array" ref="F425">XLOOKUP(Cover!$D$12,$S$1:$AA$1,$S425:$AA425)</f>
        <v>Comments Vendor</v>
      </c>
      <c r="G425" s="154" t="s">
        <v>1473</v>
      </c>
      <c r="H425" s="154"/>
      <c r="I425" s="154" t="s">
        <v>759</v>
      </c>
      <c r="J425" s="154"/>
      <c r="K425" s="247" t="s">
        <v>1474</v>
      </c>
      <c r="L425" s="154" t="str">
        <f t="shared" si="1"/>
        <v/>
      </c>
      <c r="M425" s="248" t="str">
        <f>IFERROR(__xludf.DUMMYFUNCTION("VLOOKUP(C425,IMPORTRANGE(""https://docs.google.com/spreadsheets/d/1P8eX0NWBhUPS_hvzA11R6jkTNFrPrRYIx_dX_hYbxrk/edit?resourcekey=0-iw9bsKY2OqkUHCFMkCar3A&amp;gid=2055363397#gid=2055363397"",""MTR!C:O""),11,false)"),"PMW-AS")</f>
        <v>PMW-AS</v>
      </c>
      <c r="N425" s="241" t="str">
        <f>IFERROR(__xludf.DUMMYFUNCTION("VLOOKUP(C425,IMPORTRANGE(""https://docs.google.com/spreadsheets/d/1ihFlp3_ePlYtFuPbUNbYj1muErVpI73WHXbEwJDIA7Q/edit#gid=1493122344"",""MTR!C:O""),8,false)"),"")</f>
        <v/>
      </c>
      <c r="O425" s="248" t="str">
        <f>IFERROR(__xludf.DUMMYFUNCTION("VLOOKUP(C425,IMPORTRANGE(""https://docs.google.com/spreadsheets/d/1P8eX0NWBhUPS_hvzA11R6jkTNFrPrRYIx_dX_hYbxrk/edit?resourcekey=0-iw9bsKY2OqkUHCFMkCar3A&amp;gid=2055363397#gid=2055363397"",""MTR!C:O""),9,false)"),"DTAG config has 8-layers for LTE with n8A 
DC_1A-38A-n8A(4-4-2)")</f>
        <v>DTAG config has 8-layers for LTE with n8A 
DC_1A-38A-n8A(4-4-2)</v>
      </c>
      <c r="P425" s="248"/>
      <c r="Q425" s="248"/>
      <c r="R425" s="249" t="s">
        <v>1474</v>
      </c>
      <c r="S425" s="154" t="s">
        <v>62</v>
      </c>
      <c r="T425" s="154" t="s">
        <v>62</v>
      </c>
      <c r="U425" s="154" t="s">
        <v>62</v>
      </c>
      <c r="V425" s="154" t="s">
        <v>62</v>
      </c>
      <c r="W425" s="154" t="s">
        <v>62</v>
      </c>
      <c r="X425" s="154" t="s">
        <v>62</v>
      </c>
      <c r="Y425" s="154" t="s">
        <v>62</v>
      </c>
      <c r="Z425" s="154" t="s">
        <v>62</v>
      </c>
      <c r="AA425" s="154" t="s">
        <v>62</v>
      </c>
      <c r="AB425" s="154"/>
      <c r="AC425" s="242" t="b">
        <f t="shared" si="2"/>
        <v>1</v>
      </c>
      <c r="AD425" s="154" t="s">
        <v>400</v>
      </c>
      <c r="AE425" s="243" t="b">
        <f t="shared" si="3"/>
        <v>1</v>
      </c>
      <c r="AF425" s="154" t="s">
        <v>1475</v>
      </c>
      <c r="AG425" s="243" t="b">
        <f t="shared" si="4"/>
        <v>0</v>
      </c>
      <c r="AH425" s="154" t="s">
        <v>783</v>
      </c>
      <c r="AI425" s="243" t="str">
        <f t="shared" si="5"/>
        <v>Complies</v>
      </c>
      <c r="AJ425" s="157" t="str">
        <f t="shared" si="6"/>
        <v/>
      </c>
    </row>
    <row r="426" ht="12.75" customHeight="1">
      <c r="A426" s="238" t="s">
        <v>621</v>
      </c>
      <c r="B426" s="238" t="s">
        <v>1339</v>
      </c>
      <c r="C426" s="238" t="s">
        <v>1476</v>
      </c>
      <c r="D426" s="240"/>
      <c r="E426" s="252" t="s">
        <v>92</v>
      </c>
      <c r="F426" s="154" t="str">
        <f t="array" ref="F426">XLOOKUP(Cover!$D$12,$S$1:$AA$1,$S426:$AA426)</f>
        <v>Heading</v>
      </c>
      <c r="G426" s="239" t="s">
        <v>1477</v>
      </c>
      <c r="H426" s="240"/>
      <c r="I426" s="240" t="s">
        <v>759</v>
      </c>
      <c r="J426" s="240"/>
      <c r="K426" s="240"/>
      <c r="L426" s="154" t="str">
        <f t="shared" si="1"/>
        <v/>
      </c>
      <c r="M426" s="241" t="str">
        <f>IFERROR(__xludf.DUMMYFUNCTION("VLOOKUP(C426,IMPORTRANGE(""https://docs.google.com/spreadsheets/d/1P8eX0NWBhUPS_hvzA11R6jkTNFrPrRYIx_dX_hYbxrk/edit?resourcekey=0-iw9bsKY2OqkUHCFMkCar3A&amp;gid=2055363397#gid=2055363397"",""MTR!C:O""),11,false)"),"")</f>
        <v/>
      </c>
      <c r="N426" s="241" t="str">
        <f>IFERROR(__xludf.DUMMYFUNCTION("VLOOKUP(C426,IMPORTRANGE(""https://docs.google.com/spreadsheets/d/1ihFlp3_ePlYtFuPbUNbYj1muErVpI73WHXbEwJDIA7Q/edit#gid=1493122344"",""MTR!C:O""),8,false)"),"")</f>
        <v/>
      </c>
      <c r="O426" s="241" t="str">
        <f>IFERROR(__xludf.DUMMYFUNCTION("VLOOKUP(C426,IMPORTRANGE(""https://docs.google.com/spreadsheets/d/1P8eX0NWBhUPS_hvzA11R6jkTNFrPrRYIx_dX_hYbxrk/edit?resourcekey=0-iw9bsKY2OqkUHCFMkCar3A&amp;gid=2055363397#gid=2055363397"",""MTR!C:O""),9,false)"),"")</f>
        <v/>
      </c>
      <c r="P426" s="241"/>
      <c r="Q426" s="241"/>
      <c r="R426" s="241"/>
      <c r="S426" s="240" t="s">
        <v>390</v>
      </c>
      <c r="T426" s="240" t="s">
        <v>390</v>
      </c>
      <c r="U426" s="240" t="s">
        <v>390</v>
      </c>
      <c r="V426" s="240" t="s">
        <v>390</v>
      </c>
      <c r="W426" s="240" t="s">
        <v>390</v>
      </c>
      <c r="X426" s="240" t="s">
        <v>390</v>
      </c>
      <c r="Y426" s="240" t="s">
        <v>390</v>
      </c>
      <c r="Z426" s="240" t="s">
        <v>390</v>
      </c>
      <c r="AA426" s="240" t="s">
        <v>390</v>
      </c>
      <c r="AB426" s="240"/>
      <c r="AC426" s="242" t="b">
        <f t="shared" si="2"/>
        <v>0</v>
      </c>
      <c r="AD426" s="240" t="s">
        <v>391</v>
      </c>
      <c r="AE426" s="243" t="b">
        <f t="shared" si="3"/>
        <v>0</v>
      </c>
      <c r="AF426" s="240"/>
      <c r="AG426" s="243" t="b">
        <f t="shared" si="4"/>
        <v>0</v>
      </c>
      <c r="AH426" s="240"/>
      <c r="AI426" s="243" t="str">
        <f t="shared" si="5"/>
        <v>N/A</v>
      </c>
      <c r="AJ426" s="157" t="str">
        <f t="shared" si="6"/>
        <v/>
      </c>
    </row>
    <row r="427" ht="12.75" customHeight="1">
      <c r="A427" s="244" t="s">
        <v>621</v>
      </c>
      <c r="B427" s="244" t="s">
        <v>1339</v>
      </c>
      <c r="C427" s="244" t="s">
        <v>1478</v>
      </c>
      <c r="D427" s="154" t="s">
        <v>1069</v>
      </c>
      <c r="E427" s="250"/>
      <c r="F427" s="154" t="str">
        <f t="array" ref="F427">XLOOKUP(Cover!$D$12,$S$1:$AA$1,$S427:$AA427)</f>
        <v>Recommended</v>
      </c>
      <c r="G427" s="153" t="s">
        <v>1479</v>
      </c>
      <c r="H427" s="154"/>
      <c r="I427" s="154" t="s">
        <v>759</v>
      </c>
      <c r="J427" s="247" t="s">
        <v>445</v>
      </c>
      <c r="K427" s="154"/>
      <c r="L427" s="154" t="str">
        <f t="shared" si="1"/>
        <v/>
      </c>
      <c r="M427" s="248" t="str">
        <f>IFERROR(__xludf.DUMMYFUNCTION("VLOOKUP(C427,IMPORTRANGE(""https://docs.google.com/spreadsheets/d/1P8eX0NWBhUPS_hvzA11R6jkTNFrPrRYIx_dX_hYbxrk/edit?resourcekey=0-iw9bsKY2OqkUHCFMkCar3A&amp;gid=2055363397#gid=2055363397"",""MTR!C:O""),11,false)"),"PMW-L1")</f>
        <v>PMW-L1</v>
      </c>
      <c r="N427" s="248" t="str">
        <f>IFERROR(__xludf.DUMMYFUNCTION("VLOOKUP(C427,IMPORTRANGE(""https://docs.google.com/spreadsheets/d/1ihFlp3_ePlYtFuPbUNbYj1muErVpI73WHXbEwJDIA7Q/edit#gid=1493122344"",""MTR!C:O""),8,false)"),"Complies")</f>
        <v>Complies</v>
      </c>
      <c r="O427" s="241" t="str">
        <f>IFERROR(__xludf.DUMMYFUNCTION("VLOOKUP(C427,IMPORTRANGE(""https://docs.google.com/spreadsheets/d/1P8eX0NWBhUPS_hvzA11R6jkTNFrPrRYIx_dX_hYbxrk/edit?resourcekey=0-iw9bsKY2OqkUHCFMkCar3A&amp;gid=2055363397#gid=2055363397"",""MTR!C:O""),9,false)"),"")</f>
        <v/>
      </c>
      <c r="P427" s="241"/>
      <c r="Q427" s="251" t="s">
        <v>445</v>
      </c>
      <c r="R427" s="241"/>
      <c r="S427" s="154" t="s">
        <v>66</v>
      </c>
      <c r="T427" s="154" t="s">
        <v>66</v>
      </c>
      <c r="U427" s="154" t="s">
        <v>64</v>
      </c>
      <c r="V427" s="154" t="s">
        <v>64</v>
      </c>
      <c r="W427" s="154" t="s">
        <v>64</v>
      </c>
      <c r="X427" s="154" t="s">
        <v>64</v>
      </c>
      <c r="Y427" s="154" t="s">
        <v>66</v>
      </c>
      <c r="Z427" s="154" t="s">
        <v>64</v>
      </c>
      <c r="AA427" s="154" t="s">
        <v>64</v>
      </c>
      <c r="AB427" s="154"/>
      <c r="AC427" s="242" t="b">
        <f t="shared" si="2"/>
        <v>1</v>
      </c>
      <c r="AD427" s="154" t="s">
        <v>391</v>
      </c>
      <c r="AE427" s="243" t="b">
        <f t="shared" si="3"/>
        <v>0</v>
      </c>
      <c r="AF427" s="154"/>
      <c r="AG427" s="243" t="b">
        <f t="shared" si="4"/>
        <v>0</v>
      </c>
      <c r="AH427" s="154" t="s">
        <v>788</v>
      </c>
      <c r="AI427" s="243" t="str">
        <f t="shared" si="5"/>
        <v>Complies</v>
      </c>
      <c r="AJ427" s="157" t="str">
        <f t="shared" si="6"/>
        <v/>
      </c>
    </row>
    <row r="428" ht="12.75" customHeight="1">
      <c r="A428" s="244" t="s">
        <v>621</v>
      </c>
      <c r="B428" s="244" t="s">
        <v>1339</v>
      </c>
      <c r="C428" s="244" t="s">
        <v>1480</v>
      </c>
      <c r="D428" s="154" t="s">
        <v>1069</v>
      </c>
      <c r="E428" s="250"/>
      <c r="F428" s="154" t="str">
        <f t="array" ref="F428">XLOOKUP(Cover!$D$12,$S$1:$AA$1,$S428:$AA428)</f>
        <v>Recommended</v>
      </c>
      <c r="G428" s="153" t="s">
        <v>1481</v>
      </c>
      <c r="H428" s="154"/>
      <c r="I428" s="154" t="s">
        <v>759</v>
      </c>
      <c r="J428" s="247" t="s">
        <v>516</v>
      </c>
      <c r="K428" s="154"/>
      <c r="L428" s="154" t="str">
        <f t="shared" si="1"/>
        <v/>
      </c>
      <c r="M428" s="248" t="str">
        <f>IFERROR(__xludf.DUMMYFUNCTION("VLOOKUP(C428,IMPORTRANGE(""https://docs.google.com/spreadsheets/d/1P8eX0NWBhUPS_hvzA11R6jkTNFrPrRYIx_dX_hYbxrk/edit?resourcekey=0-iw9bsKY2OqkUHCFMkCar3A&amp;gid=2055363397#gid=2055363397"",""MTR!C:O""),11,false)"),"PMW-AS")</f>
        <v>PMW-AS</v>
      </c>
      <c r="N428" s="248" t="str">
        <f>IFERROR(__xludf.DUMMYFUNCTION("VLOOKUP(C428,IMPORTRANGE(""https://docs.google.com/spreadsheets/d/1ihFlp3_ePlYtFuPbUNbYj1muErVpI73WHXbEwJDIA7Q/edit#gid=1493122344"",""MTR!C:O""),8,false)"),"Does Not Comply")</f>
        <v>Does Not Comply</v>
      </c>
      <c r="O428" s="241" t="str">
        <f>IFERROR(__xludf.DUMMYFUNCTION("VLOOKUP(C428,IMPORTRANGE(""https://docs.google.com/spreadsheets/d/1P8eX0NWBhUPS_hvzA11R6jkTNFrPrRYIx_dX_hYbxrk/edit?resourcekey=0-iw9bsKY2OqkUHCFMkCar3A&amp;gid=2055363397#gid=2055363397"",""MTR!C:O""),9,false)"),"")</f>
        <v/>
      </c>
      <c r="P428" s="241"/>
      <c r="Q428" s="251" t="s">
        <v>516</v>
      </c>
      <c r="R428" s="241"/>
      <c r="S428" s="154" t="s">
        <v>66</v>
      </c>
      <c r="T428" s="154" t="s">
        <v>66</v>
      </c>
      <c r="U428" s="154" t="s">
        <v>64</v>
      </c>
      <c r="V428" s="154" t="s">
        <v>64</v>
      </c>
      <c r="W428" s="154" t="s">
        <v>64</v>
      </c>
      <c r="X428" s="154" t="s">
        <v>64</v>
      </c>
      <c r="Y428" s="154" t="s">
        <v>66</v>
      </c>
      <c r="Z428" s="154" t="s">
        <v>64</v>
      </c>
      <c r="AA428" s="154" t="s">
        <v>64</v>
      </c>
      <c r="AB428" s="154"/>
      <c r="AC428" s="242" t="b">
        <f t="shared" si="2"/>
        <v>1</v>
      </c>
      <c r="AD428" s="154" t="s">
        <v>391</v>
      </c>
      <c r="AE428" s="243" t="b">
        <f t="shared" si="3"/>
        <v>0</v>
      </c>
      <c r="AF428" s="154"/>
      <c r="AG428" s="243" t="b">
        <f t="shared" si="4"/>
        <v>0</v>
      </c>
      <c r="AH428" s="154" t="s">
        <v>788</v>
      </c>
      <c r="AI428" s="243" t="str">
        <f t="shared" si="5"/>
        <v>Complies</v>
      </c>
      <c r="AJ428" s="157" t="str">
        <f t="shared" si="6"/>
        <v/>
      </c>
    </row>
    <row r="429" ht="12.75" customHeight="1">
      <c r="A429" s="244" t="s">
        <v>621</v>
      </c>
      <c r="B429" s="244" t="s">
        <v>1339</v>
      </c>
      <c r="C429" s="244" t="s">
        <v>1482</v>
      </c>
      <c r="D429" s="154" t="s">
        <v>1069</v>
      </c>
      <c r="E429" s="250"/>
      <c r="F429" s="154" t="str">
        <f t="array" ref="F429">XLOOKUP(Cover!$D$12,$S$1:$AA$1,$S429:$AA429)</f>
        <v>Comments Vendor</v>
      </c>
      <c r="G429" s="154" t="s">
        <v>1483</v>
      </c>
      <c r="H429" s="154"/>
      <c r="I429" s="154" t="s">
        <v>759</v>
      </c>
      <c r="J429" s="154"/>
      <c r="K429" s="247" t="s">
        <v>1484</v>
      </c>
      <c r="L429" s="154" t="str">
        <f t="shared" si="1"/>
        <v/>
      </c>
      <c r="M429" s="248" t="str">
        <f>IFERROR(__xludf.DUMMYFUNCTION("VLOOKUP(C429,IMPORTRANGE(""https://docs.google.com/spreadsheets/d/1P8eX0NWBhUPS_hvzA11R6jkTNFrPrRYIx_dX_hYbxrk/edit?resourcekey=0-iw9bsKY2OqkUHCFMkCar3A&amp;gid=2055363397#gid=2055363397"",""MTR!C:O""),11,false)"),"PMW-AS")</f>
        <v>PMW-AS</v>
      </c>
      <c r="N429" s="241" t="str">
        <f>IFERROR(__xludf.DUMMYFUNCTION("VLOOKUP(C429,IMPORTRANGE(""https://docs.google.com/spreadsheets/d/1ihFlp3_ePlYtFuPbUNbYj1muErVpI73WHXbEwJDIA7Q/edit#gid=1493122344"",""MTR!C:O""),8,false)"),"")</f>
        <v/>
      </c>
      <c r="O429" s="248" t="str">
        <f>IFERROR(__xludf.DUMMYFUNCTION("VLOOKUP(C429,IMPORTRANGE(""https://docs.google.com/spreadsheets/d/1P8eX0NWBhUPS_hvzA11R6jkTNFrPrRYIx_dX_hYbxrk/edit?resourcekey=0-iw9bsKY2OqkUHCFMkCar3A&amp;gid=2055363397#gid=2055363397"",""MTR!C:O""),9,false)"),"DTAG config has 8-layers for LTE with n20A 
DC_3C-n20A(44-2)")</f>
        <v>DTAG config has 8-layers for LTE with n20A 
DC_3C-n20A(44-2)</v>
      </c>
      <c r="P429" s="248"/>
      <c r="Q429" s="248"/>
      <c r="R429" s="249" t="s">
        <v>1484</v>
      </c>
      <c r="S429" s="154" t="s">
        <v>62</v>
      </c>
      <c r="T429" s="154" t="s">
        <v>62</v>
      </c>
      <c r="U429" s="154" t="s">
        <v>62</v>
      </c>
      <c r="V429" s="154" t="s">
        <v>62</v>
      </c>
      <c r="W429" s="154" t="s">
        <v>62</v>
      </c>
      <c r="X429" s="154" t="s">
        <v>62</v>
      </c>
      <c r="Y429" s="154" t="s">
        <v>62</v>
      </c>
      <c r="Z429" s="154" t="s">
        <v>62</v>
      </c>
      <c r="AA429" s="154" t="s">
        <v>62</v>
      </c>
      <c r="AB429" s="154"/>
      <c r="AC429" s="242" t="b">
        <f t="shared" si="2"/>
        <v>1</v>
      </c>
      <c r="AD429" s="154" t="s">
        <v>400</v>
      </c>
      <c r="AE429" s="243" t="b">
        <f t="shared" si="3"/>
        <v>1</v>
      </c>
      <c r="AF429" s="154" t="s">
        <v>1475</v>
      </c>
      <c r="AG429" s="243" t="b">
        <f t="shared" si="4"/>
        <v>0</v>
      </c>
      <c r="AH429" s="154" t="s">
        <v>788</v>
      </c>
      <c r="AI429" s="243" t="str">
        <f t="shared" si="5"/>
        <v>Complies</v>
      </c>
      <c r="AJ429" s="157" t="str">
        <f t="shared" si="6"/>
        <v/>
      </c>
    </row>
    <row r="430" ht="12.75" customHeight="1">
      <c r="A430" s="238" t="s">
        <v>621</v>
      </c>
      <c r="B430" s="238" t="s">
        <v>1339</v>
      </c>
      <c r="C430" s="238" t="s">
        <v>1485</v>
      </c>
      <c r="D430" s="240"/>
      <c r="E430" s="252" t="s">
        <v>92</v>
      </c>
      <c r="F430" s="154" t="str">
        <f t="array" ref="F430">XLOOKUP(Cover!$D$12,$S$1:$AA$1,$S430:$AA430)</f>
        <v>Heading</v>
      </c>
      <c r="G430" s="239" t="s">
        <v>1486</v>
      </c>
      <c r="H430" s="240"/>
      <c r="I430" s="240" t="s">
        <v>759</v>
      </c>
      <c r="J430" s="240"/>
      <c r="K430" s="240"/>
      <c r="L430" s="154" t="str">
        <f t="shared" si="1"/>
        <v/>
      </c>
      <c r="M430" s="241" t="str">
        <f>IFERROR(__xludf.DUMMYFUNCTION("VLOOKUP(C430,IMPORTRANGE(""https://docs.google.com/spreadsheets/d/1P8eX0NWBhUPS_hvzA11R6jkTNFrPrRYIx_dX_hYbxrk/edit?resourcekey=0-iw9bsKY2OqkUHCFMkCar3A&amp;gid=2055363397#gid=2055363397"",""MTR!C:O""),11,false)"),"")</f>
        <v/>
      </c>
      <c r="N430" s="241" t="str">
        <f>IFERROR(__xludf.DUMMYFUNCTION("VLOOKUP(C430,IMPORTRANGE(""https://docs.google.com/spreadsheets/d/1ihFlp3_ePlYtFuPbUNbYj1muErVpI73WHXbEwJDIA7Q/edit#gid=1493122344"",""MTR!C:O""),8,false)"),"")</f>
        <v/>
      </c>
      <c r="O430" s="241" t="str">
        <f>IFERROR(__xludf.DUMMYFUNCTION("VLOOKUP(C430,IMPORTRANGE(""https://docs.google.com/spreadsheets/d/1P8eX0NWBhUPS_hvzA11R6jkTNFrPrRYIx_dX_hYbxrk/edit?resourcekey=0-iw9bsKY2OqkUHCFMkCar3A&amp;gid=2055363397#gid=2055363397"",""MTR!C:O""),9,false)"),"")</f>
        <v/>
      </c>
      <c r="P430" s="241"/>
      <c r="Q430" s="241"/>
      <c r="R430" s="241"/>
      <c r="S430" s="240" t="s">
        <v>390</v>
      </c>
      <c r="T430" s="240" t="s">
        <v>390</v>
      </c>
      <c r="U430" s="240" t="s">
        <v>390</v>
      </c>
      <c r="V430" s="240" t="s">
        <v>390</v>
      </c>
      <c r="W430" s="240" t="s">
        <v>390</v>
      </c>
      <c r="X430" s="240" t="s">
        <v>390</v>
      </c>
      <c r="Y430" s="240" t="s">
        <v>390</v>
      </c>
      <c r="Z430" s="240" t="s">
        <v>390</v>
      </c>
      <c r="AA430" s="240" t="s">
        <v>390</v>
      </c>
      <c r="AB430" s="240"/>
      <c r="AC430" s="242" t="b">
        <f t="shared" si="2"/>
        <v>0</v>
      </c>
      <c r="AD430" s="240" t="s">
        <v>391</v>
      </c>
      <c r="AE430" s="243" t="b">
        <f t="shared" si="3"/>
        <v>0</v>
      </c>
      <c r="AF430" s="240"/>
      <c r="AG430" s="243" t="b">
        <f t="shared" si="4"/>
        <v>0</v>
      </c>
      <c r="AH430" s="240"/>
      <c r="AI430" s="243" t="str">
        <f t="shared" si="5"/>
        <v>N/A</v>
      </c>
      <c r="AJ430" s="157" t="str">
        <f t="shared" si="6"/>
        <v/>
      </c>
    </row>
    <row r="431" ht="12.75" customHeight="1">
      <c r="A431" s="244" t="s">
        <v>621</v>
      </c>
      <c r="B431" s="244" t="s">
        <v>1339</v>
      </c>
      <c r="C431" s="244" t="s">
        <v>1487</v>
      </c>
      <c r="D431" s="154" t="s">
        <v>602</v>
      </c>
      <c r="E431" s="250"/>
      <c r="F431" s="154" t="str">
        <f t="array" ref="F431">XLOOKUP(Cover!$D$12,$S$1:$AA$1,$S431:$AA431)</f>
        <v>Mandatory</v>
      </c>
      <c r="G431" s="153" t="s">
        <v>1488</v>
      </c>
      <c r="H431" s="154" t="s">
        <v>654</v>
      </c>
      <c r="I431" s="154" t="s">
        <v>759</v>
      </c>
      <c r="J431" s="247" t="s">
        <v>445</v>
      </c>
      <c r="K431" s="247" t="s">
        <v>1489</v>
      </c>
      <c r="L431" s="154" t="str">
        <f t="shared" si="1"/>
        <v/>
      </c>
      <c r="M431" s="248" t="str">
        <f>IFERROR(__xludf.DUMMYFUNCTION("VLOOKUP(C431,IMPORTRANGE(""https://docs.google.com/spreadsheets/d/1P8eX0NWBhUPS_hvzA11R6jkTNFrPrRYIx_dX_hYbxrk/edit?resourcekey=0-iw9bsKY2OqkUHCFMkCar3A&amp;gid=2055363397#gid=2055363397"",""MTR!C:O""),11,false)"),"PMW-L1")</f>
        <v>PMW-L1</v>
      </c>
      <c r="N431" s="248" t="str">
        <f>IFERROR(__xludf.DUMMYFUNCTION("VLOOKUP(C431,IMPORTRANGE(""https://docs.google.com/spreadsheets/d/1ihFlp3_ePlYtFuPbUNbYj1muErVpI73WHXbEwJDIA7Q/edit#gid=1493122344"",""MTR!C:O""),8,false)"),"Complies")</f>
        <v>Complies</v>
      </c>
      <c r="O431" s="248" t="str">
        <f>IFERROR(__xludf.DUMMYFUNCTION("VLOOKUP(C431,IMPORTRANGE(""https://docs.google.com/spreadsheets/d/1P8eX0NWBhUPS_hvzA11R6jkTNFrPrRYIx_dX_hYbxrk/edit?resourcekey=0-iw9bsKY2OqkUHCFMkCar3A&amp;gid=2055363397#gid=2055363397"",""MTR!C:O""),9,false)"),"DC_3A_n28A")</f>
        <v>DC_3A_n28A</v>
      </c>
      <c r="P431" s="248"/>
      <c r="Q431" s="249" t="s">
        <v>445</v>
      </c>
      <c r="R431" s="249" t="s">
        <v>1489</v>
      </c>
      <c r="S431" s="154" t="s">
        <v>66</v>
      </c>
      <c r="T431" s="154" t="s">
        <v>66</v>
      </c>
      <c r="U431" s="154" t="s">
        <v>60</v>
      </c>
      <c r="V431" s="154" t="s">
        <v>60</v>
      </c>
      <c r="W431" s="154" t="s">
        <v>60</v>
      </c>
      <c r="X431" s="154" t="s">
        <v>60</v>
      </c>
      <c r="Y431" s="154" t="s">
        <v>66</v>
      </c>
      <c r="Z431" s="154" t="s">
        <v>60</v>
      </c>
      <c r="AA431" s="154" t="s">
        <v>60</v>
      </c>
      <c r="AB431" s="154"/>
      <c r="AC431" s="242" t="b">
        <f t="shared" si="2"/>
        <v>1</v>
      </c>
      <c r="AD431" s="154" t="s">
        <v>391</v>
      </c>
      <c r="AE431" s="243" t="b">
        <f t="shared" si="3"/>
        <v>0</v>
      </c>
      <c r="AF431" s="154"/>
      <c r="AG431" s="243" t="b">
        <f t="shared" si="4"/>
        <v>0</v>
      </c>
      <c r="AH431" s="154" t="s">
        <v>790</v>
      </c>
      <c r="AI431" s="243" t="str">
        <f t="shared" si="5"/>
        <v>Complies</v>
      </c>
      <c r="AJ431" s="157" t="str">
        <f t="shared" si="6"/>
        <v/>
      </c>
    </row>
    <row r="432" ht="12.75" customHeight="1">
      <c r="A432" s="244" t="s">
        <v>621</v>
      </c>
      <c r="B432" s="244" t="s">
        <v>1339</v>
      </c>
      <c r="C432" s="244" t="s">
        <v>1490</v>
      </c>
      <c r="D432" s="154" t="s">
        <v>45</v>
      </c>
      <c r="E432" s="250"/>
      <c r="F432" s="154" t="str">
        <f t="array" ref="F432">XLOOKUP(Cover!$D$12,$S$1:$AA$1,$S432:$AA432)</f>
        <v>Recommended</v>
      </c>
      <c r="G432" s="153" t="s">
        <v>1491</v>
      </c>
      <c r="H432" s="154"/>
      <c r="I432" s="154" t="s">
        <v>759</v>
      </c>
      <c r="J432" s="247" t="s">
        <v>516</v>
      </c>
      <c r="K432" s="154"/>
      <c r="L432" s="154" t="str">
        <f t="shared" si="1"/>
        <v/>
      </c>
      <c r="M432" s="253" t="s">
        <v>828</v>
      </c>
      <c r="N432" s="253" t="str">
        <f>IFERROR(__xludf.DUMMYFUNCTION("VLOOKUP(C432,IMPORTRANGE(""https://docs.google.com/spreadsheets/d/1ihFlp3_ePlYtFuPbUNbYj1muErVpI73WHXbEwJDIA7Q/edit#gid=1493122344"",""MTR!C:O""),8,false)"),"#N/A")</f>
        <v>#N/A</v>
      </c>
      <c r="O432" s="241" t="str">
        <f>IFERROR(__xludf.DUMMYFUNCTION("VLOOKUP(C432,IMPORTRANGE(""https://docs.google.com/spreadsheets/d/1P8eX0NWBhUPS_hvzA11R6jkTNFrPrRYIx_dX_hYbxrk/edit?resourcekey=0-iw9bsKY2OqkUHCFMkCar3A&amp;gid=2055363397#gid=2055363397"",""MTR!C:O""),9,false)"),"")</f>
        <v/>
      </c>
      <c r="P432" s="241"/>
      <c r="Q432" s="241"/>
      <c r="R432" s="241"/>
      <c r="S432" s="154" t="s">
        <v>66</v>
      </c>
      <c r="T432" s="154" t="s">
        <v>66</v>
      </c>
      <c r="U432" s="154" t="s">
        <v>64</v>
      </c>
      <c r="V432" s="154" t="s">
        <v>64</v>
      </c>
      <c r="W432" s="154" t="s">
        <v>64</v>
      </c>
      <c r="X432" s="154" t="s">
        <v>64</v>
      </c>
      <c r="Y432" s="154" t="s">
        <v>66</v>
      </c>
      <c r="Z432" s="154" t="s">
        <v>64</v>
      </c>
      <c r="AA432" s="154" t="s">
        <v>64</v>
      </c>
      <c r="AB432" s="154"/>
      <c r="AC432" s="242" t="b">
        <f t="shared" si="2"/>
        <v>1</v>
      </c>
      <c r="AD432" s="154" t="s">
        <v>391</v>
      </c>
      <c r="AE432" s="243" t="b">
        <f t="shared" si="3"/>
        <v>0</v>
      </c>
      <c r="AF432" s="154"/>
      <c r="AG432" s="243" t="b">
        <f t="shared" si="4"/>
        <v>0</v>
      </c>
      <c r="AH432" s="154" t="s">
        <v>790</v>
      </c>
      <c r="AI432" s="243" t="str">
        <f t="shared" si="5"/>
        <v>Complies</v>
      </c>
      <c r="AJ432" s="157" t="str">
        <f t="shared" si="6"/>
        <v/>
      </c>
    </row>
    <row r="433" ht="12.75" customHeight="1">
      <c r="A433" s="244" t="s">
        <v>621</v>
      </c>
      <c r="B433" s="244" t="s">
        <v>1339</v>
      </c>
      <c r="C433" s="245" t="s">
        <v>1492</v>
      </c>
      <c r="D433" s="155" t="s">
        <v>602</v>
      </c>
      <c r="E433" s="246" t="s">
        <v>92</v>
      </c>
      <c r="F433" s="154" t="str">
        <f t="array" ref="F433">XLOOKUP(Cover!$D$12,$S$1:$AA$1,$S433:$AA433)</f>
        <v>Mandatory</v>
      </c>
      <c r="G433" s="153" t="s">
        <v>1493</v>
      </c>
      <c r="H433" s="154" t="s">
        <v>654</v>
      </c>
      <c r="I433" s="154" t="s">
        <v>759</v>
      </c>
      <c r="J433" s="247" t="s">
        <v>445</v>
      </c>
      <c r="K433" s="247" t="s">
        <v>1494</v>
      </c>
      <c r="L433" s="154" t="str">
        <f t="shared" si="1"/>
        <v/>
      </c>
      <c r="M433" s="248" t="str">
        <f>IFERROR(__xludf.DUMMYFUNCTION("VLOOKUP(C433,IMPORTRANGE(""https://docs.google.com/spreadsheets/d/1P8eX0NWBhUPS_hvzA11R6jkTNFrPrRYIx_dX_hYbxrk/edit?resourcekey=0-iw9bsKY2OqkUHCFMkCar3A&amp;gid=2055363397#gid=2055363397"",""MTR!C:O""),11,false)"),"PMW-AS")</f>
        <v>PMW-AS</v>
      </c>
      <c r="N433" s="248" t="str">
        <f>IFERROR(__xludf.DUMMYFUNCTION("VLOOKUP(C433,IMPORTRANGE(""https://docs.google.com/spreadsheets/d/1ihFlp3_ePlYtFuPbUNbYj1muErVpI73WHXbEwJDIA7Q/edit#gid=1493122344"",""MTR!C:O""),8,false)"),"Does Not Comply")</f>
        <v>Does Not Comply</v>
      </c>
      <c r="O433" s="241" t="str">
        <f>IFERROR(__xludf.DUMMYFUNCTION("VLOOKUP(C433,IMPORTRANGE(""https://docs.google.com/spreadsheets/d/1P8eX0NWBhUPS_hvzA11R6jkTNFrPrRYIx_dX_hYbxrk/edit?resourcekey=0-iw9bsKY2OqkUHCFMkCar3A&amp;gid=2055363397#gid=2055363397"",""MTR!C:O""),9,false)"),"")</f>
        <v/>
      </c>
      <c r="P433" s="241"/>
      <c r="Q433" s="251" t="s">
        <v>516</v>
      </c>
      <c r="R433" s="251" t="s">
        <v>1495</v>
      </c>
      <c r="S433" s="154" t="s">
        <v>66</v>
      </c>
      <c r="T433" s="154" t="s">
        <v>66</v>
      </c>
      <c r="U433" s="154" t="s">
        <v>60</v>
      </c>
      <c r="V433" s="154" t="s">
        <v>60</v>
      </c>
      <c r="W433" s="154" t="s">
        <v>60</v>
      </c>
      <c r="X433" s="154" t="s">
        <v>60</v>
      </c>
      <c r="Y433" s="154" t="s">
        <v>66</v>
      </c>
      <c r="Z433" s="154" t="s">
        <v>60</v>
      </c>
      <c r="AA433" s="154" t="s">
        <v>60</v>
      </c>
      <c r="AB433" s="154"/>
      <c r="AC433" s="242" t="b">
        <f t="shared" si="2"/>
        <v>1</v>
      </c>
      <c r="AD433" s="154" t="s">
        <v>391</v>
      </c>
      <c r="AE433" s="243" t="b">
        <f t="shared" si="3"/>
        <v>0</v>
      </c>
      <c r="AF433" s="154"/>
      <c r="AG433" s="243" t="b">
        <f t="shared" si="4"/>
        <v>0</v>
      </c>
      <c r="AH433" s="154" t="s">
        <v>790</v>
      </c>
      <c r="AI433" s="243" t="str">
        <f t="shared" si="5"/>
        <v>Complies</v>
      </c>
      <c r="AJ433" s="157" t="str">
        <f t="shared" si="6"/>
        <v/>
      </c>
    </row>
    <row r="434" ht="12.75" customHeight="1">
      <c r="A434" s="244" t="s">
        <v>621</v>
      </c>
      <c r="B434" s="244" t="s">
        <v>1339</v>
      </c>
      <c r="C434" s="244" t="s">
        <v>1496</v>
      </c>
      <c r="D434" s="154" t="s">
        <v>503</v>
      </c>
      <c r="E434" s="250"/>
      <c r="F434" s="154" t="str">
        <f t="array" ref="F434">XLOOKUP(Cover!$D$12,$S$1:$AA$1,$S434:$AA434)</f>
        <v>Mandatory</v>
      </c>
      <c r="G434" s="153" t="s">
        <v>1497</v>
      </c>
      <c r="H434" s="154" t="s">
        <v>654</v>
      </c>
      <c r="I434" s="154" t="s">
        <v>759</v>
      </c>
      <c r="J434" s="247" t="s">
        <v>445</v>
      </c>
      <c r="K434" s="154"/>
      <c r="L434" s="154" t="str">
        <f t="shared" si="1"/>
        <v/>
      </c>
      <c r="M434" s="248" t="str">
        <f>IFERROR(__xludf.DUMMYFUNCTION("VLOOKUP(C434,IMPORTRANGE(""https://docs.google.com/spreadsheets/d/1P8eX0NWBhUPS_hvzA11R6jkTNFrPrRYIx_dX_hYbxrk/edit?resourcekey=0-iw9bsKY2OqkUHCFMkCar3A&amp;gid=2055363397#gid=2055363397"",""MTR!C:O""),11,false)"),"PMW-MCE-AS")</f>
        <v>PMW-MCE-AS</v>
      </c>
      <c r="N434" s="248" t="str">
        <f>IFERROR(__xludf.DUMMYFUNCTION("VLOOKUP(C434,IMPORTRANGE(""https://docs.google.com/spreadsheets/d/1ihFlp3_ePlYtFuPbUNbYj1muErVpI73WHXbEwJDIA7Q/edit#gid=1493122344"",""MTR!C:O""),8,false)"),"Complies")</f>
        <v>Complies</v>
      </c>
      <c r="O434" s="241" t="str">
        <f>IFERROR(__xludf.DUMMYFUNCTION("VLOOKUP(C434,IMPORTRANGE(""https://docs.google.com/spreadsheets/d/1P8eX0NWBhUPS_hvzA11R6jkTNFrPrRYIx_dX_hYbxrk/edit?resourcekey=0-iw9bsKY2OqkUHCFMkCar3A&amp;gid=2055363397#gid=2055363397"",""MTR!C:O""),9,false)"),"")</f>
        <v/>
      </c>
      <c r="P434" s="241"/>
      <c r="Q434" s="251" t="s">
        <v>445</v>
      </c>
      <c r="R434" s="241"/>
      <c r="S434" s="154" t="s">
        <v>66</v>
      </c>
      <c r="T434" s="154" t="s">
        <v>66</v>
      </c>
      <c r="U434" s="154" t="s">
        <v>60</v>
      </c>
      <c r="V434" s="154" t="s">
        <v>60</v>
      </c>
      <c r="W434" s="154" t="s">
        <v>60</v>
      </c>
      <c r="X434" s="154" t="s">
        <v>60</v>
      </c>
      <c r="Y434" s="154" t="s">
        <v>66</v>
      </c>
      <c r="Z434" s="154" t="s">
        <v>60</v>
      </c>
      <c r="AA434" s="154" t="s">
        <v>60</v>
      </c>
      <c r="AB434" s="154"/>
      <c r="AC434" s="242" t="b">
        <f t="shared" si="2"/>
        <v>1</v>
      </c>
      <c r="AD434" s="154" t="s">
        <v>391</v>
      </c>
      <c r="AE434" s="243" t="b">
        <f t="shared" si="3"/>
        <v>0</v>
      </c>
      <c r="AF434" s="154"/>
      <c r="AG434" s="243" t="b">
        <f t="shared" si="4"/>
        <v>0</v>
      </c>
      <c r="AH434" s="154" t="s">
        <v>790</v>
      </c>
      <c r="AI434" s="243" t="str">
        <f t="shared" si="5"/>
        <v>Complies</v>
      </c>
      <c r="AJ434" s="157" t="str">
        <f t="shared" si="6"/>
        <v/>
      </c>
    </row>
    <row r="435" ht="12.75" customHeight="1">
      <c r="A435" s="244" t="s">
        <v>621</v>
      </c>
      <c r="B435" s="244" t="s">
        <v>1339</v>
      </c>
      <c r="C435" s="244" t="s">
        <v>1498</v>
      </c>
      <c r="D435" s="154" t="s">
        <v>45</v>
      </c>
      <c r="E435" s="250"/>
      <c r="F435" s="154" t="str">
        <f t="array" ref="F435">XLOOKUP(Cover!$D$12,$S$1:$AA$1,$S435:$AA435)</f>
        <v>Mandatory</v>
      </c>
      <c r="G435" s="153" t="s">
        <v>1499</v>
      </c>
      <c r="H435" s="154" t="s">
        <v>654</v>
      </c>
      <c r="I435" s="154" t="s">
        <v>759</v>
      </c>
      <c r="J435" s="247" t="s">
        <v>516</v>
      </c>
      <c r="K435" s="154"/>
      <c r="L435" s="154" t="str">
        <f t="shared" si="1"/>
        <v/>
      </c>
      <c r="M435" s="248" t="s">
        <v>828</v>
      </c>
      <c r="N435" s="253" t="str">
        <f>IFERROR(__xludf.DUMMYFUNCTION("VLOOKUP(C435,IMPORTRANGE(""https://docs.google.com/spreadsheets/d/1ihFlp3_ePlYtFuPbUNbYj1muErVpI73WHXbEwJDIA7Q/edit#gid=1493122344"",""MTR!C:O""),8,false)"),"#N/A")</f>
        <v>#N/A</v>
      </c>
      <c r="O435" s="241" t="str">
        <f>IFERROR(__xludf.DUMMYFUNCTION("VLOOKUP(C435,IMPORTRANGE(""https://docs.google.com/spreadsheets/d/1P8eX0NWBhUPS_hvzA11R6jkTNFrPrRYIx_dX_hYbxrk/edit?resourcekey=0-iw9bsKY2OqkUHCFMkCar3A&amp;gid=2055363397#gid=2055363397"",""MTR!C:O""),9,false)"),"")</f>
        <v/>
      </c>
      <c r="P435" s="241"/>
      <c r="Q435" s="241"/>
      <c r="R435" s="241"/>
      <c r="S435" s="154" t="s">
        <v>66</v>
      </c>
      <c r="T435" s="154" t="s">
        <v>66</v>
      </c>
      <c r="U435" s="154" t="s">
        <v>60</v>
      </c>
      <c r="V435" s="154" t="s">
        <v>60</v>
      </c>
      <c r="W435" s="154" t="s">
        <v>60</v>
      </c>
      <c r="X435" s="154" t="s">
        <v>60</v>
      </c>
      <c r="Y435" s="154" t="s">
        <v>66</v>
      </c>
      <c r="Z435" s="154" t="s">
        <v>60</v>
      </c>
      <c r="AA435" s="154" t="s">
        <v>60</v>
      </c>
      <c r="AB435" s="154"/>
      <c r="AC435" s="242" t="b">
        <f t="shared" si="2"/>
        <v>1</v>
      </c>
      <c r="AD435" s="154" t="s">
        <v>391</v>
      </c>
      <c r="AE435" s="243" t="b">
        <f t="shared" si="3"/>
        <v>0</v>
      </c>
      <c r="AF435" s="154"/>
      <c r="AG435" s="243" t="b">
        <f t="shared" si="4"/>
        <v>0</v>
      </c>
      <c r="AH435" s="154" t="s">
        <v>790</v>
      </c>
      <c r="AI435" s="243" t="str">
        <f t="shared" si="5"/>
        <v>Complies</v>
      </c>
      <c r="AJ435" s="157" t="str">
        <f t="shared" si="6"/>
        <v/>
      </c>
    </row>
    <row r="436" ht="12.75" customHeight="1">
      <c r="A436" s="244" t="s">
        <v>621</v>
      </c>
      <c r="B436" s="244" t="s">
        <v>1339</v>
      </c>
      <c r="C436" s="245" t="s">
        <v>1500</v>
      </c>
      <c r="D436" s="155" t="s">
        <v>747</v>
      </c>
      <c r="E436" s="246" t="s">
        <v>92</v>
      </c>
      <c r="F436" s="154" t="str">
        <f t="array" ref="F436">XLOOKUP(Cover!$D$12,$S$1:$AA$1,$S436:$AA436)</f>
        <v>Mandatory</v>
      </c>
      <c r="G436" s="153" t="s">
        <v>1501</v>
      </c>
      <c r="H436" s="154" t="s">
        <v>175</v>
      </c>
      <c r="I436" s="154" t="s">
        <v>759</v>
      </c>
      <c r="J436" s="247" t="s">
        <v>506</v>
      </c>
      <c r="K436" s="247" t="s">
        <v>1502</v>
      </c>
      <c r="L436" s="154" t="str">
        <f t="shared" si="1"/>
        <v/>
      </c>
      <c r="M436" s="248" t="str">
        <f>IFERROR(__xludf.DUMMYFUNCTION("VLOOKUP(C436,IMPORTRANGE(""https://docs.google.com/spreadsheets/d/1P8eX0NWBhUPS_hvzA11R6jkTNFrPrRYIx_dX_hYbxrk/edit?resourcekey=0-iw9bsKY2OqkUHCFMkCar3A&amp;gid=2055363397#gid=2055363397"",""MTR!C:O""),11,false)"),"PMW-L1")</f>
        <v>PMW-L1</v>
      </c>
      <c r="N436" s="248" t="str">
        <f>IFERROR(__xludf.DUMMYFUNCTION("VLOOKUP(C436,IMPORTRANGE(""https://docs.google.com/spreadsheets/d/1ihFlp3_ePlYtFuPbUNbYj1muErVpI73WHXbEwJDIA7Q/edit#gid=1493122344"",""MTR!C:O""),8,false)"),"Partially Complies")</f>
        <v>Partially Complies</v>
      </c>
      <c r="O436" s="248" t="str">
        <f>IFERROR(__xludf.DUMMYFUNCTION("VLOOKUP(C436,IMPORTRANGE(""https://docs.google.com/spreadsheets/d/1P8eX0NWBhUPS_hvzA11R6jkTNFrPrRYIx_dX_hYbxrk/edit?resourcekey=0-iw9bsKY2OqkUHCFMkCar3A&amp;gid=2055363397#gid=2055363397"",""MTR!C:O""),9,false)"),"1A-3C-7A-n28A(4-44-4-2)(0M-0M0M-0M-30M)     
1A-3C-7C-n28A(4-44-44-2)(0M-0M0M-0M0M-30M)")</f>
        <v>1A-3C-7A-n28A(4-44-4-2)(0M-0M0M-0M-30M)     
1A-3C-7C-n28A(4-44-44-2)(0M-0M0M-0M0M-30M)</v>
      </c>
      <c r="P436" s="248"/>
      <c r="Q436" s="249" t="s">
        <v>506</v>
      </c>
      <c r="R436" s="249" t="s">
        <v>1503</v>
      </c>
      <c r="S436" s="154" t="s">
        <v>66</v>
      </c>
      <c r="T436" s="154" t="s">
        <v>66</v>
      </c>
      <c r="U436" s="154" t="s">
        <v>66</v>
      </c>
      <c r="V436" s="154" t="s">
        <v>66</v>
      </c>
      <c r="W436" s="154" t="s">
        <v>66</v>
      </c>
      <c r="X436" s="154" t="s">
        <v>60</v>
      </c>
      <c r="Y436" s="154" t="s">
        <v>66</v>
      </c>
      <c r="Z436" s="154" t="s">
        <v>66</v>
      </c>
      <c r="AA436" s="154" t="s">
        <v>60</v>
      </c>
      <c r="AB436" s="154"/>
      <c r="AC436" s="242" t="b">
        <f t="shared" si="2"/>
        <v>1</v>
      </c>
      <c r="AD436" s="154" t="s">
        <v>391</v>
      </c>
      <c r="AE436" s="243" t="b">
        <f t="shared" si="3"/>
        <v>0</v>
      </c>
      <c r="AF436" s="154" t="s">
        <v>1504</v>
      </c>
      <c r="AG436" s="243" t="b">
        <f t="shared" si="4"/>
        <v>0</v>
      </c>
      <c r="AH436" s="154" t="s">
        <v>790</v>
      </c>
      <c r="AI436" s="243" t="str">
        <f t="shared" si="5"/>
        <v>Complies</v>
      </c>
      <c r="AJ436" s="157" t="str">
        <f t="shared" si="6"/>
        <v/>
      </c>
    </row>
    <row r="437" ht="12.75" customHeight="1">
      <c r="A437" s="244" t="s">
        <v>621</v>
      </c>
      <c r="B437" s="244" t="s">
        <v>1339</v>
      </c>
      <c r="C437" s="245" t="s">
        <v>1505</v>
      </c>
      <c r="D437" s="155" t="s">
        <v>546</v>
      </c>
      <c r="E437" s="246" t="s">
        <v>92</v>
      </c>
      <c r="F437" s="154" t="str">
        <f t="array" ref="F437">XLOOKUP(Cover!$D$12,$S$1:$AA$1,$S437:$AA437)</f>
        <v>Mandatory</v>
      </c>
      <c r="G437" s="254" t="s">
        <v>1506</v>
      </c>
      <c r="H437" s="154" t="s">
        <v>175</v>
      </c>
      <c r="I437" s="154" t="s">
        <v>759</v>
      </c>
      <c r="J437" s="247" t="s">
        <v>516</v>
      </c>
      <c r="K437" s="247" t="s">
        <v>1507</v>
      </c>
      <c r="L437" s="154" t="str">
        <f t="shared" si="1"/>
        <v/>
      </c>
      <c r="M437" s="248" t="str">
        <f>IFERROR(__xludf.DUMMYFUNCTION("VLOOKUP(C437,IMPORTRANGE(""https://docs.google.com/spreadsheets/d/1P8eX0NWBhUPS_hvzA11R6jkTNFrPrRYIx_dX_hYbxrk/edit?resourcekey=0-iw9bsKY2OqkUHCFMkCar3A&amp;gid=2055363397#gid=2055363397"",""MTR!C:O""),11,false)"),"PMW-AS")</f>
        <v>PMW-AS</v>
      </c>
      <c r="N437" s="248" t="str">
        <f>IFERROR(__xludf.DUMMYFUNCTION("VLOOKUP(C437,IMPORTRANGE(""https://docs.google.com/spreadsheets/d/1ihFlp3_ePlYtFuPbUNbYj1muErVpI73WHXbEwJDIA7Q/edit#gid=1493122344"",""MTR!C:O""),8,false)"),"Partially Complies")</f>
        <v>Partially Complies</v>
      </c>
      <c r="O437" s="248" t="str">
        <f>IFERROR(__xludf.DUMMYFUNCTION("VLOOKUP(C437,IMPORTRANGE(""https://docs.google.com/spreadsheets/d/1P8eX0NWBhUPS_hvzA11R6jkTNFrPrRYIx_dX_hYbxrk/edit?resourcekey=0-iw9bsKY2OqkUHCFMkCar3A&amp;gid=2055363397#gid=2055363397"",""MTR!C:O""),9,false)"),"1A-3A-7A-20A-n28A(4-4-4-2-2)(0M-0M-0M-0M-30M)
1A-3C-7A-n28A(4-44-4-2)(0M-0M0M-0M-30M)     
1A-3A-7A-20A-n28A(4-4-4-2-2)(0M-0M-0M-0M-30M)
")</f>
        <v>1A-3A-7A-20A-n28A(4-4-4-2-2)(0M-0M-0M-0M-30M)
1A-3C-7A-n28A(4-44-4-2)(0M-0M0M-0M-30M)     
1A-3A-7A-20A-n28A(4-4-4-2-2)(0M-0M-0M-0M-30M)
</v>
      </c>
      <c r="P437" s="248"/>
      <c r="Q437" s="249" t="s">
        <v>506</v>
      </c>
      <c r="R437" s="249" t="s">
        <v>1503</v>
      </c>
      <c r="S437" s="154" t="s">
        <v>66</v>
      </c>
      <c r="T437" s="154" t="s">
        <v>66</v>
      </c>
      <c r="U437" s="154" t="s">
        <v>66</v>
      </c>
      <c r="V437" s="154" t="s">
        <v>66</v>
      </c>
      <c r="W437" s="154" t="s">
        <v>66</v>
      </c>
      <c r="X437" s="154" t="s">
        <v>60</v>
      </c>
      <c r="Y437" s="154" t="s">
        <v>66</v>
      </c>
      <c r="Z437" s="154" t="s">
        <v>66</v>
      </c>
      <c r="AA437" s="154" t="s">
        <v>60</v>
      </c>
      <c r="AB437" s="154"/>
      <c r="AC437" s="242" t="b">
        <f t="shared" si="2"/>
        <v>1</v>
      </c>
      <c r="AD437" s="154" t="s">
        <v>391</v>
      </c>
      <c r="AE437" s="243" t="b">
        <f t="shared" si="3"/>
        <v>0</v>
      </c>
      <c r="AF437" s="154" t="s">
        <v>1508</v>
      </c>
      <c r="AG437" s="243" t="b">
        <f t="shared" si="4"/>
        <v>0</v>
      </c>
      <c r="AH437" s="154" t="s">
        <v>790</v>
      </c>
      <c r="AI437" s="243" t="str">
        <f t="shared" si="5"/>
        <v>Complies</v>
      </c>
      <c r="AJ437" s="157" t="str">
        <f t="shared" si="6"/>
        <v/>
      </c>
    </row>
    <row r="438" ht="12.75" customHeight="1">
      <c r="A438" s="244" t="s">
        <v>621</v>
      </c>
      <c r="B438" s="244" t="s">
        <v>1339</v>
      </c>
      <c r="C438" s="245" t="s">
        <v>1509</v>
      </c>
      <c r="D438" s="155" t="s">
        <v>546</v>
      </c>
      <c r="E438" s="246" t="s">
        <v>92</v>
      </c>
      <c r="F438" s="154" t="str">
        <f t="array" ref="F438">XLOOKUP(Cover!$D$12,$S$1:$AA$1,$S438:$AA438)</f>
        <v>Mandatory</v>
      </c>
      <c r="G438" s="153" t="s">
        <v>1510</v>
      </c>
      <c r="H438" s="154" t="s">
        <v>175</v>
      </c>
      <c r="I438" s="154" t="s">
        <v>759</v>
      </c>
      <c r="J438" s="247" t="s">
        <v>506</v>
      </c>
      <c r="K438" s="247" t="s">
        <v>1511</v>
      </c>
      <c r="L438" s="154" t="str">
        <f t="shared" si="1"/>
        <v/>
      </c>
      <c r="M438" s="248" t="str">
        <f>IFERROR(__xludf.DUMMYFUNCTION("VLOOKUP(C438,IMPORTRANGE(""https://docs.google.com/spreadsheets/d/1P8eX0NWBhUPS_hvzA11R6jkTNFrPrRYIx_dX_hYbxrk/edit?resourcekey=0-iw9bsKY2OqkUHCFMkCar3A&amp;gid=2055363397#gid=2055363397"",""MTR!C:O""),11,false)"),"PMW-AS")</f>
        <v>PMW-AS</v>
      </c>
      <c r="N438" s="248" t="str">
        <f>IFERROR(__xludf.DUMMYFUNCTION("VLOOKUP(C438,IMPORTRANGE(""https://docs.google.com/spreadsheets/d/1ihFlp3_ePlYtFuPbUNbYj1muErVpI73WHXbEwJDIA7Q/edit#gid=1493122344"",""MTR!C:O""),8,false)"),"Partially Complies")</f>
        <v>Partially Complies</v>
      </c>
      <c r="O438" s="248" t="str">
        <f>IFERROR(__xludf.DUMMYFUNCTION("VLOOKUP(C438,IMPORTRANGE(""https://docs.google.com/spreadsheets/d/1P8eX0NWBhUPS_hvzA11R6jkTNFrPrRYIx_dX_hYbxrk/edit?resourcekey=0-iw9bsKY2OqkUHCFMkCar3A&amp;gid=2055363397#gid=2055363397"",""MTR!C:O""),9,false)"),"1A-3C-n28A(4-44-2)(0M-0M0M-30M)
3C-7A-n28A(44-4-2)(0M0M-0M-30M)
3A-7C-n28A(4-44-2)(0M-0M0M-30M)
1A-3A-7A-20A-n28A(4-4-4-2-2)(0M-0M-0M-0M-30M)
1A-3A-7A-n28A(4-4-4-2)(0M-0M-0M-30M)
1A-3C-20A-n28A(4-44-2-2)(0M-0M0M-0M-30M)")</f>
        <v>1A-3C-n28A(4-44-2)(0M-0M0M-30M)
3C-7A-n28A(44-4-2)(0M0M-0M-30M)
3A-7C-n28A(4-44-2)(0M-0M0M-30M)
1A-3A-7A-20A-n28A(4-4-4-2-2)(0M-0M-0M-0M-30M)
1A-3A-7A-n28A(4-4-4-2)(0M-0M-0M-30M)
1A-3C-20A-n28A(4-44-2-2)(0M-0M0M-0M-30M)</v>
      </c>
      <c r="P438" s="248"/>
      <c r="Q438" s="249" t="s">
        <v>506</v>
      </c>
      <c r="R438" s="249" t="s">
        <v>1503</v>
      </c>
      <c r="S438" s="154" t="s">
        <v>66</v>
      </c>
      <c r="T438" s="154" t="s">
        <v>66</v>
      </c>
      <c r="U438" s="154" t="s">
        <v>66</v>
      </c>
      <c r="V438" s="154" t="s">
        <v>66</v>
      </c>
      <c r="W438" s="154" t="s">
        <v>66</v>
      </c>
      <c r="X438" s="154" t="s">
        <v>60</v>
      </c>
      <c r="Y438" s="154" t="s">
        <v>66</v>
      </c>
      <c r="Z438" s="154" t="s">
        <v>66</v>
      </c>
      <c r="AA438" s="154" t="s">
        <v>60</v>
      </c>
      <c r="AB438" s="154"/>
      <c r="AC438" s="242" t="b">
        <f t="shared" si="2"/>
        <v>1</v>
      </c>
      <c r="AD438" s="154" t="s">
        <v>391</v>
      </c>
      <c r="AE438" s="243" t="b">
        <f t="shared" si="3"/>
        <v>0</v>
      </c>
      <c r="AF438" s="154" t="s">
        <v>1512</v>
      </c>
      <c r="AG438" s="243" t="b">
        <f t="shared" si="4"/>
        <v>0</v>
      </c>
      <c r="AH438" s="154" t="s">
        <v>790</v>
      </c>
      <c r="AI438" s="243" t="str">
        <f t="shared" si="5"/>
        <v>Complies</v>
      </c>
      <c r="AJ438" s="157" t="str">
        <f t="shared" si="6"/>
        <v/>
      </c>
    </row>
    <row r="439" ht="12.75" customHeight="1">
      <c r="A439" s="244" t="s">
        <v>621</v>
      </c>
      <c r="B439" s="244" t="s">
        <v>1339</v>
      </c>
      <c r="C439" s="245" t="s">
        <v>1513</v>
      </c>
      <c r="D439" s="155" t="s">
        <v>546</v>
      </c>
      <c r="E439" s="246" t="s">
        <v>92</v>
      </c>
      <c r="F439" s="154" t="str">
        <f t="array" ref="F439">XLOOKUP(Cover!$D$12,$S$1:$AA$1,$S439:$AA439)</f>
        <v>Mandatory</v>
      </c>
      <c r="G439" s="153" t="s">
        <v>1514</v>
      </c>
      <c r="H439" s="154" t="s">
        <v>1018</v>
      </c>
      <c r="I439" s="154" t="s">
        <v>759</v>
      </c>
      <c r="J439" s="247" t="s">
        <v>506</v>
      </c>
      <c r="K439" s="247" t="s">
        <v>1515</v>
      </c>
      <c r="L439" s="154" t="str">
        <f t="shared" si="1"/>
        <v/>
      </c>
      <c r="M439" s="248" t="str">
        <f>IFERROR(__xludf.DUMMYFUNCTION("VLOOKUP(C439,IMPORTRANGE(""https://docs.google.com/spreadsheets/d/1P8eX0NWBhUPS_hvzA11R6jkTNFrPrRYIx_dX_hYbxrk/edit?resourcekey=0-iw9bsKY2OqkUHCFMkCar3A&amp;gid=2055363397#gid=2055363397"",""MTR!C:O""),11,false)"),"PMW-AS")</f>
        <v>PMW-AS</v>
      </c>
      <c r="N439" s="248" t="str">
        <f>IFERROR(__xludf.DUMMYFUNCTION("VLOOKUP(C439,IMPORTRANGE(""https://docs.google.com/spreadsheets/d/1ihFlp3_ePlYtFuPbUNbYj1muErVpI73WHXbEwJDIA7Q/edit#gid=1493122344"",""MTR!C:O""),8,false)"),"Partially Complies")</f>
        <v>Partially Complies</v>
      </c>
      <c r="O439" s="248" t="str">
        <f>IFERROR(__xludf.DUMMYFUNCTION("VLOOKUP(C439,IMPORTRANGE(""https://docs.google.com/spreadsheets/d/1P8eX0NWBhUPS_hvzA11R6jkTNFrPrRYIx_dX_hYbxrk/edit?resourcekey=0-iw9bsKY2OqkUHCFMkCar3A&amp;gid=2055363397#gid=2055363397"",""MTR!C:O""),9,false)"),"1A-3C-n28A(4-44-2)(0M-0M0M-30M)
3C-7A-n28A(44-4-2)(0M0M-0M-30M)
3C-20A-n28A(44-2-2)(0M0M-0M-30M)
1A-3A-20A-n28A(4-4-2-2)(0M-0M-0M-30M)
1A-7A-20A-n28A(4-4-2-2)(0M-0M-0M-30M)
3A-7A-20A-n28A(4-4-2-2)(0M-0M-0M-30M)
")</f>
        <v>1A-3C-n28A(4-44-2)(0M-0M0M-30M)
3C-7A-n28A(44-4-2)(0M0M-0M-30M)
3C-20A-n28A(44-2-2)(0M0M-0M-30M)
1A-3A-20A-n28A(4-4-2-2)(0M-0M-0M-30M)
1A-7A-20A-n28A(4-4-2-2)(0M-0M-0M-30M)
3A-7A-20A-n28A(4-4-2-2)(0M-0M-0M-30M)
</v>
      </c>
      <c r="P439" s="248"/>
      <c r="Q439" s="249" t="s">
        <v>506</v>
      </c>
      <c r="R439" s="249" t="s">
        <v>1503</v>
      </c>
      <c r="S439" s="154" t="s">
        <v>66</v>
      </c>
      <c r="T439" s="154" t="s">
        <v>66</v>
      </c>
      <c r="U439" s="154" t="s">
        <v>66</v>
      </c>
      <c r="V439" s="154" t="s">
        <v>66</v>
      </c>
      <c r="W439" s="154" t="s">
        <v>60</v>
      </c>
      <c r="X439" s="154" t="s">
        <v>60</v>
      </c>
      <c r="Y439" s="154" t="s">
        <v>66</v>
      </c>
      <c r="Z439" s="154" t="s">
        <v>66</v>
      </c>
      <c r="AA439" s="154" t="s">
        <v>60</v>
      </c>
      <c r="AB439" s="154"/>
      <c r="AC439" s="242" t="b">
        <f t="shared" si="2"/>
        <v>1</v>
      </c>
      <c r="AD439" s="154" t="s">
        <v>391</v>
      </c>
      <c r="AE439" s="243" t="b">
        <f t="shared" si="3"/>
        <v>0</v>
      </c>
      <c r="AF439" s="154" t="s">
        <v>1516</v>
      </c>
      <c r="AG439" s="243" t="b">
        <f t="shared" si="4"/>
        <v>0</v>
      </c>
      <c r="AH439" s="154" t="s">
        <v>790</v>
      </c>
      <c r="AI439" s="243" t="str">
        <f t="shared" si="5"/>
        <v>Complies</v>
      </c>
      <c r="AJ439" s="157" t="str">
        <f t="shared" si="6"/>
        <v/>
      </c>
    </row>
    <row r="440" ht="12.75" customHeight="1">
      <c r="A440" s="244" t="s">
        <v>621</v>
      </c>
      <c r="B440" s="244" t="s">
        <v>1339</v>
      </c>
      <c r="C440" s="245" t="s">
        <v>1517</v>
      </c>
      <c r="D440" s="155" t="s">
        <v>747</v>
      </c>
      <c r="E440" s="246" t="s">
        <v>92</v>
      </c>
      <c r="F440" s="154" t="str">
        <f t="array" ref="F440">XLOOKUP(Cover!$D$12,$S$1:$AA$1,$S440:$AA440)</f>
        <v>Mandatory</v>
      </c>
      <c r="G440" s="254" t="s">
        <v>1518</v>
      </c>
      <c r="H440" s="154" t="s">
        <v>1012</v>
      </c>
      <c r="I440" s="154" t="s">
        <v>759</v>
      </c>
      <c r="J440" s="247" t="s">
        <v>506</v>
      </c>
      <c r="K440" s="247" t="s">
        <v>1519</v>
      </c>
      <c r="L440" s="154" t="str">
        <f t="shared" si="1"/>
        <v/>
      </c>
      <c r="M440" s="248" t="str">
        <f>IFERROR(__xludf.DUMMYFUNCTION("VLOOKUP(C440,IMPORTRANGE(""https://docs.google.com/spreadsheets/d/1P8eX0NWBhUPS_hvzA11R6jkTNFrPrRYIx_dX_hYbxrk/edit?resourcekey=0-iw9bsKY2OqkUHCFMkCar3A&amp;gid=2055363397#gid=2055363397"",""MTR!C:O""),11,false)"),"PMW-AS")</f>
        <v>PMW-AS</v>
      </c>
      <c r="N440" s="248" t="str">
        <f>IFERROR(__xludf.DUMMYFUNCTION("VLOOKUP(C440,IMPORTRANGE(""https://docs.google.com/spreadsheets/d/1ihFlp3_ePlYtFuPbUNbYj1muErVpI73WHXbEwJDIA7Q/edit#gid=1493122344"",""MTR!C:O""),8,false)"),"Partially Complies")</f>
        <v>Partially Complies</v>
      </c>
      <c r="O440" s="248" t="str">
        <f>IFERROR(__xludf.DUMMYFUNCTION("VLOOKUP(C440,IMPORTRANGE(""https://docs.google.com/spreadsheets/d/1P8eX0NWBhUPS_hvzA11R6jkTNFrPrRYIx_dX_hYbxrk/edit?resourcekey=0-iw9bsKY2OqkUHCFMkCar3A&amp;gid=2055363397#gid=2055363397"",""MTR!C:O""),9,false)"),"1A-3A-7A-20A-n28A(4-4-4-2-2)(0M-0M-0M-0M-30M)")</f>
        <v>1A-3A-7A-20A-n28A(4-4-4-2-2)(0M-0M-0M-0M-30M)</v>
      </c>
      <c r="P440" s="248"/>
      <c r="Q440" s="249" t="s">
        <v>506</v>
      </c>
      <c r="R440" s="249" t="s">
        <v>1503</v>
      </c>
      <c r="S440" s="154" t="s">
        <v>66</v>
      </c>
      <c r="T440" s="154" t="s">
        <v>66</v>
      </c>
      <c r="U440" s="154" t="s">
        <v>66</v>
      </c>
      <c r="V440" s="154" t="s">
        <v>60</v>
      </c>
      <c r="W440" s="154" t="s">
        <v>60</v>
      </c>
      <c r="X440" s="154" t="s">
        <v>60</v>
      </c>
      <c r="Y440" s="154" t="s">
        <v>66</v>
      </c>
      <c r="Z440" s="154" t="s">
        <v>66</v>
      </c>
      <c r="AA440" s="154" t="s">
        <v>60</v>
      </c>
      <c r="AB440" s="154"/>
      <c r="AC440" s="242" t="b">
        <f t="shared" si="2"/>
        <v>1</v>
      </c>
      <c r="AD440" s="154" t="s">
        <v>391</v>
      </c>
      <c r="AE440" s="243" t="b">
        <f t="shared" si="3"/>
        <v>0</v>
      </c>
      <c r="AF440" s="154" t="s">
        <v>1520</v>
      </c>
      <c r="AG440" s="243" t="b">
        <f t="shared" si="4"/>
        <v>0</v>
      </c>
      <c r="AH440" s="154" t="s">
        <v>790</v>
      </c>
      <c r="AI440" s="243" t="str">
        <f t="shared" si="5"/>
        <v>Complies</v>
      </c>
      <c r="AJ440" s="157" t="str">
        <f t="shared" si="6"/>
        <v/>
      </c>
    </row>
    <row r="441" ht="12.75" customHeight="1">
      <c r="A441" s="244" t="s">
        <v>621</v>
      </c>
      <c r="B441" s="244" t="s">
        <v>1339</v>
      </c>
      <c r="C441" s="245" t="s">
        <v>1521</v>
      </c>
      <c r="D441" s="155" t="s">
        <v>546</v>
      </c>
      <c r="E441" s="246" t="s">
        <v>92</v>
      </c>
      <c r="F441" s="154" t="str">
        <f t="array" ref="F441">XLOOKUP(Cover!$D$12,$S$1:$AA$1,$S441:$AA441)</f>
        <v>Mandatory</v>
      </c>
      <c r="G441" s="153" t="s">
        <v>1522</v>
      </c>
      <c r="H441" s="154" t="s">
        <v>1012</v>
      </c>
      <c r="I441" s="154" t="s">
        <v>759</v>
      </c>
      <c r="J441" s="247" t="s">
        <v>506</v>
      </c>
      <c r="K441" s="247" t="s">
        <v>1523</v>
      </c>
      <c r="L441" s="154" t="str">
        <f t="shared" si="1"/>
        <v/>
      </c>
      <c r="M441" s="248" t="str">
        <f>IFERROR(__xludf.DUMMYFUNCTION("VLOOKUP(C441,IMPORTRANGE(""https://docs.google.com/spreadsheets/d/1P8eX0NWBhUPS_hvzA11R6jkTNFrPrRYIx_dX_hYbxrk/edit?resourcekey=0-iw9bsKY2OqkUHCFMkCar3A&amp;gid=2055363397#gid=2055363397"",""MTR!C:O""),11,false)"),"PMW-AS")</f>
        <v>PMW-AS</v>
      </c>
      <c r="N441" s="248" t="str">
        <f>IFERROR(__xludf.DUMMYFUNCTION("VLOOKUP(C441,IMPORTRANGE(""https://docs.google.com/spreadsheets/d/1ihFlp3_ePlYtFuPbUNbYj1muErVpI73WHXbEwJDIA7Q/edit#gid=1493122344"",""MTR!C:O""),8,false)"),"Partially Complies")</f>
        <v>Partially Complies</v>
      </c>
      <c r="O441" s="248" t="str">
        <f>IFERROR(__xludf.DUMMYFUNCTION("VLOOKUP(C441,IMPORTRANGE(""https://docs.google.com/spreadsheets/d/1P8eX0NWBhUPS_hvzA11R6jkTNFrPrRYIx_dX_hYbxrk/edit?resourcekey=0-iw9bsKY2OqkUHCFMkCar3A&amp;gid=2055363397#gid=2055363397"",""MTR!C:O""),9,false)"),"3C-20A-n28A(44-2-2)(0M0M-0M-30M)
3C-7A-n28A(44-4-2)(0M0M-0M-30M)
1A-3C-n28A(4-44-2)(0M-0M0M-30M)
3A-20A-n28A(4-2-2)(0M-0M-30M)
")</f>
        <v>3C-20A-n28A(44-2-2)(0M0M-0M-30M)
3C-7A-n28A(44-4-2)(0M0M-0M-30M)
1A-3C-n28A(4-44-2)(0M-0M0M-30M)
3A-20A-n28A(4-2-2)(0M-0M-30M)
</v>
      </c>
      <c r="P441" s="248"/>
      <c r="Q441" s="249" t="s">
        <v>506</v>
      </c>
      <c r="R441" s="249" t="s">
        <v>1503</v>
      </c>
      <c r="S441" s="154" t="s">
        <v>66</v>
      </c>
      <c r="T441" s="154" t="s">
        <v>66</v>
      </c>
      <c r="U441" s="154" t="s">
        <v>66</v>
      </c>
      <c r="V441" s="154" t="s">
        <v>60</v>
      </c>
      <c r="W441" s="154" t="s">
        <v>60</v>
      </c>
      <c r="X441" s="154" t="s">
        <v>60</v>
      </c>
      <c r="Y441" s="154" t="s">
        <v>66</v>
      </c>
      <c r="Z441" s="154" t="s">
        <v>66</v>
      </c>
      <c r="AA441" s="154" t="s">
        <v>60</v>
      </c>
      <c r="AB441" s="154"/>
      <c r="AC441" s="242" t="b">
        <f t="shared" si="2"/>
        <v>1</v>
      </c>
      <c r="AD441" s="154" t="s">
        <v>391</v>
      </c>
      <c r="AE441" s="243" t="b">
        <f t="shared" si="3"/>
        <v>0</v>
      </c>
      <c r="AF441" s="154" t="s">
        <v>1524</v>
      </c>
      <c r="AG441" s="243" t="b">
        <f t="shared" si="4"/>
        <v>0</v>
      </c>
      <c r="AH441" s="154" t="s">
        <v>790</v>
      </c>
      <c r="AI441" s="243" t="str">
        <f t="shared" si="5"/>
        <v>Complies</v>
      </c>
      <c r="AJ441" s="157" t="str">
        <f t="shared" si="6"/>
        <v/>
      </c>
    </row>
    <row r="442" ht="12.75" customHeight="1">
      <c r="A442" s="244" t="s">
        <v>621</v>
      </c>
      <c r="B442" s="244" t="s">
        <v>1339</v>
      </c>
      <c r="C442" s="245" t="s">
        <v>1525</v>
      </c>
      <c r="D442" s="155" t="s">
        <v>781</v>
      </c>
      <c r="E442" s="246" t="s">
        <v>92</v>
      </c>
      <c r="F442" s="154" t="str">
        <f t="array" ref="F442">XLOOKUP(Cover!$D$12,$S$1:$AA$1,$S442:$AA442)</f>
        <v>Mandatory</v>
      </c>
      <c r="G442" s="153" t="s">
        <v>1526</v>
      </c>
      <c r="H442" s="154" t="s">
        <v>1122</v>
      </c>
      <c r="I442" s="154" t="s">
        <v>759</v>
      </c>
      <c r="J442" s="247" t="s">
        <v>506</v>
      </c>
      <c r="K442" s="247" t="s">
        <v>1527</v>
      </c>
      <c r="L442" s="154" t="str">
        <f t="shared" si="1"/>
        <v/>
      </c>
      <c r="M442" s="248" t="str">
        <f>IFERROR(__xludf.DUMMYFUNCTION("VLOOKUP(C442,IMPORTRANGE(""https://docs.google.com/spreadsheets/d/1P8eX0NWBhUPS_hvzA11R6jkTNFrPrRYIx_dX_hYbxrk/edit?resourcekey=0-iw9bsKY2OqkUHCFMkCar3A&amp;gid=2055363397#gid=2055363397"",""MTR!C:O""),11,false)"),"PMW-AS")</f>
        <v>PMW-AS</v>
      </c>
      <c r="N442" s="248" t="str">
        <f>IFERROR(__xludf.DUMMYFUNCTION("VLOOKUP(C442,IMPORTRANGE(""https://docs.google.com/spreadsheets/d/1ihFlp3_ePlYtFuPbUNbYj1muErVpI73WHXbEwJDIA7Q/edit#gid=1493122344"",""MTR!C:O""),8,false)"),"Partially Complies")</f>
        <v>Partially Complies</v>
      </c>
      <c r="O442" s="248" t="str">
        <f>IFERROR(__xludf.DUMMYFUNCTION("VLOOKUP(C442,IMPORTRANGE(""https://docs.google.com/spreadsheets/d/1P8eX0NWBhUPS_hvzA11R6jkTNFrPrRYIx_dX_hYbxrk/edit?resourcekey=0-iw9bsKY2OqkUHCFMkCar3A&amp;gid=2055363397#gid=2055363397"",""MTR!C:O""),9,false)"),"1A-n28A(4-2)(0M-30M)
3A-n28A(4-2)(0M-30M)
7A-n28A(4-2)(0M-30M)
1A-3A-n28A(4-4-2)(0M-0M-30M)
1A-7A-n28A(4-4-2)(0M-0M-30M)
1A-20A-n28A(4-2-2)(0M-0M-30M)
3C-n28A(44-2)(0M0M-30M)
3A-7A-n28A(4-4-2)(0M-0M-30M)
3A-20A-n28A(4-2-2)(0M-0M-30M)
")</f>
        <v>1A-n28A(4-2)(0M-30M)
3A-n28A(4-2)(0M-30M)
7A-n28A(4-2)(0M-30M)
1A-3A-n28A(4-4-2)(0M-0M-30M)
1A-7A-n28A(4-4-2)(0M-0M-30M)
1A-20A-n28A(4-2-2)(0M-0M-30M)
3C-n28A(44-2)(0M0M-30M)
3A-7A-n28A(4-4-2)(0M-0M-30M)
3A-20A-n28A(4-2-2)(0M-0M-30M)
</v>
      </c>
      <c r="P442" s="248"/>
      <c r="Q442" s="249" t="s">
        <v>506</v>
      </c>
      <c r="R442" s="249" t="s">
        <v>1503</v>
      </c>
      <c r="S442" s="154" t="s">
        <v>66</v>
      </c>
      <c r="T442" s="154" t="s">
        <v>66</v>
      </c>
      <c r="U442" s="154" t="s">
        <v>60</v>
      </c>
      <c r="V442" s="154" t="s">
        <v>60</v>
      </c>
      <c r="W442" s="154" t="s">
        <v>60</v>
      </c>
      <c r="X442" s="154" t="s">
        <v>60</v>
      </c>
      <c r="Y442" s="154" t="s">
        <v>66</v>
      </c>
      <c r="Z442" s="154" t="s">
        <v>60</v>
      </c>
      <c r="AA442" s="154" t="s">
        <v>60</v>
      </c>
      <c r="AB442" s="154"/>
      <c r="AC442" s="242" t="b">
        <f t="shared" si="2"/>
        <v>1</v>
      </c>
      <c r="AD442" s="154" t="s">
        <v>391</v>
      </c>
      <c r="AE442" s="243" t="b">
        <f t="shared" si="3"/>
        <v>0</v>
      </c>
      <c r="AF442" s="154" t="s">
        <v>1528</v>
      </c>
      <c r="AG442" s="243" t="b">
        <f t="shared" si="4"/>
        <v>0</v>
      </c>
      <c r="AH442" s="154" t="s">
        <v>790</v>
      </c>
      <c r="AI442" s="243" t="str">
        <f t="shared" si="5"/>
        <v>Complies</v>
      </c>
      <c r="AJ442" s="157" t="str">
        <f t="shared" si="6"/>
        <v/>
      </c>
    </row>
    <row r="443" ht="12.75" customHeight="1">
      <c r="A443" s="244" t="s">
        <v>621</v>
      </c>
      <c r="B443" s="244" t="s">
        <v>1339</v>
      </c>
      <c r="C443" s="244" t="s">
        <v>1529</v>
      </c>
      <c r="D443" s="154" t="s">
        <v>747</v>
      </c>
      <c r="E443" s="250"/>
      <c r="F443" s="154" t="str">
        <f t="array" ref="F443">XLOOKUP(Cover!$D$12,$S$1:$AA$1,$S443:$AA443)</f>
        <v>Comments Vendor</v>
      </c>
      <c r="G443" s="154" t="s">
        <v>1530</v>
      </c>
      <c r="H443" s="154" t="s">
        <v>232</v>
      </c>
      <c r="I443" s="154" t="s">
        <v>759</v>
      </c>
      <c r="J443" s="154"/>
      <c r="K443" s="247" t="s">
        <v>1531</v>
      </c>
      <c r="L443" s="154" t="str">
        <f t="shared" si="1"/>
        <v/>
      </c>
      <c r="M443" s="248" t="str">
        <f>IFERROR(__xludf.DUMMYFUNCTION("VLOOKUP(C443,IMPORTRANGE(""https://docs.google.com/spreadsheets/d/1P8eX0NWBhUPS_hvzA11R6jkTNFrPrRYIx_dX_hYbxrk/edit?resourcekey=0-iw9bsKY2OqkUHCFMkCar3A&amp;gid=2055363397#gid=2055363397"",""MTR!C:O""),11,false)"),"PMW-AS")</f>
        <v>PMW-AS</v>
      </c>
      <c r="N443" s="241" t="str">
        <f>IFERROR(__xludf.DUMMYFUNCTION("VLOOKUP(C443,IMPORTRANGE(""https://docs.google.com/spreadsheets/d/1ihFlp3_ePlYtFuPbUNbYj1muErVpI73WHXbEwJDIA7Q/edit#gid=1493122344"",""MTR!C:O""),8,false)"),"")</f>
        <v/>
      </c>
      <c r="O443" s="248" t="str">
        <f>IFERROR(__xludf.DUMMYFUNCTION("VLOOKUP(C443,IMPORTRANGE(""https://docs.google.com/spreadsheets/d/1P8eX0NWBhUPS_hvzA11R6jkTNFrPrRYIx_dX_hYbxrk/edit?resourcekey=0-iw9bsKY2OqkUHCFMkCar3A&amp;gid=2055363397#gid=2055363397"",""MTR!C:O""),9,false)"),"DTAG config has 20-layers for LTE for n28
1A-1A-3C-7A-n28A(4-4-44-4-2)(0M-0M-0M0M-0M-30M)
")</f>
        <v>DTAG config has 20-layers for LTE for n28
1A-1A-3C-7A-n28A(4-4-44-4-2)(0M-0M-0M0M-0M-30M)
</v>
      </c>
      <c r="P443" s="248"/>
      <c r="Q443" s="248"/>
      <c r="R443" s="249" t="s">
        <v>1531</v>
      </c>
      <c r="S443" s="154" t="s">
        <v>62</v>
      </c>
      <c r="T443" s="154" t="s">
        <v>62</v>
      </c>
      <c r="U443" s="154" t="s">
        <v>62</v>
      </c>
      <c r="V443" s="154" t="s">
        <v>62</v>
      </c>
      <c r="W443" s="154" t="s">
        <v>62</v>
      </c>
      <c r="X443" s="154" t="s">
        <v>62</v>
      </c>
      <c r="Y443" s="154" t="s">
        <v>62</v>
      </c>
      <c r="Z443" s="154" t="s">
        <v>62</v>
      </c>
      <c r="AA443" s="154" t="s">
        <v>62</v>
      </c>
      <c r="AB443" s="154"/>
      <c r="AC443" s="242" t="b">
        <f t="shared" si="2"/>
        <v>1</v>
      </c>
      <c r="AD443" s="154" t="s">
        <v>400</v>
      </c>
      <c r="AE443" s="243" t="b">
        <f t="shared" si="3"/>
        <v>1</v>
      </c>
      <c r="AF443" s="154" t="s">
        <v>1390</v>
      </c>
      <c r="AG443" s="243" t="b">
        <f t="shared" si="4"/>
        <v>0</v>
      </c>
      <c r="AH443" s="154" t="s">
        <v>790</v>
      </c>
      <c r="AI443" s="243" t="str">
        <f t="shared" si="5"/>
        <v>Complies</v>
      </c>
      <c r="AJ443" s="157" t="str">
        <f t="shared" si="6"/>
        <v/>
      </c>
    </row>
    <row r="444" ht="12.75" customHeight="1">
      <c r="A444" s="244" t="s">
        <v>621</v>
      </c>
      <c r="B444" s="244" t="s">
        <v>1339</v>
      </c>
      <c r="C444" s="255" t="s">
        <v>1532</v>
      </c>
      <c r="D444" s="256" t="s">
        <v>42</v>
      </c>
      <c r="E444" s="257" t="s">
        <v>489</v>
      </c>
      <c r="F444" s="154" t="str">
        <f t="array" ref="F444">XLOOKUP(Cover!$D$12,$S$1:$AA$1,$S444:$AA444)</f>
        <v>Mandatory</v>
      </c>
      <c r="G444" s="254" t="s">
        <v>1533</v>
      </c>
      <c r="H444" s="154" t="s">
        <v>175</v>
      </c>
      <c r="I444" s="154" t="s">
        <v>759</v>
      </c>
      <c r="J444" s="247" t="s">
        <v>516</v>
      </c>
      <c r="K444" s="247" t="s">
        <v>1534</v>
      </c>
      <c r="L444" s="154" t="str">
        <f t="shared" si="1"/>
        <v/>
      </c>
      <c r="M444" s="253" t="s">
        <v>828</v>
      </c>
      <c r="N444" s="253" t="str">
        <f>IFERROR(__xludf.DUMMYFUNCTION("VLOOKUP(C444,IMPORTRANGE(""https://docs.google.com/spreadsheets/d/1ihFlp3_ePlYtFuPbUNbYj1muErVpI73WHXbEwJDIA7Q/edit#gid=1493122344"",""MTR!C:O""),8,false)"),"#N/A")</f>
        <v>#N/A</v>
      </c>
      <c r="O444" s="253" t="str">
        <f>IFERROR(__xludf.DUMMYFUNCTION("VLOOKUP(C444,IMPORTRANGE(""https://docs.google.com/spreadsheets/d/1P8eX0NWBhUPS_hvzA11R6jkTNFrPrRYIx_dX_hYbxrk/edit?resourcekey=0-iw9bsKY2OqkUHCFMkCar3A&amp;gid=2055363397#gid=2055363397"",""MTR!C:O""),9,false)"),"#N/A")</f>
        <v>#N/A</v>
      </c>
      <c r="P444" s="253"/>
      <c r="Q444" s="253"/>
      <c r="R444" s="253"/>
      <c r="S444" s="154" t="s">
        <v>66</v>
      </c>
      <c r="T444" s="154" t="s">
        <v>66</v>
      </c>
      <c r="U444" s="154" t="s">
        <v>66</v>
      </c>
      <c r="V444" s="154" t="s">
        <v>66</v>
      </c>
      <c r="W444" s="154" t="s">
        <v>66</v>
      </c>
      <c r="X444" s="154" t="s">
        <v>60</v>
      </c>
      <c r="Y444" s="154" t="s">
        <v>66</v>
      </c>
      <c r="Z444" s="154" t="s">
        <v>66</v>
      </c>
      <c r="AA444" s="154" t="s">
        <v>60</v>
      </c>
      <c r="AB444" s="154"/>
      <c r="AC444" s="242" t="b">
        <f t="shared" si="2"/>
        <v>1</v>
      </c>
      <c r="AD444" s="154" t="s">
        <v>391</v>
      </c>
      <c r="AE444" s="243" t="b">
        <f t="shared" si="3"/>
        <v>0</v>
      </c>
      <c r="AF444" s="154" t="s">
        <v>1368</v>
      </c>
      <c r="AG444" s="243" t="b">
        <f t="shared" si="4"/>
        <v>0</v>
      </c>
      <c r="AH444" s="155" t="s">
        <v>790</v>
      </c>
      <c r="AI444" s="243" t="str">
        <f t="shared" si="5"/>
        <v>Complies</v>
      </c>
      <c r="AJ444" s="157" t="str">
        <f t="shared" si="6"/>
        <v/>
      </c>
    </row>
    <row r="445" ht="12.75" customHeight="1">
      <c r="A445" s="238" t="s">
        <v>621</v>
      </c>
      <c r="B445" s="238" t="s">
        <v>1339</v>
      </c>
      <c r="C445" s="238" t="s">
        <v>1535</v>
      </c>
      <c r="D445" s="240"/>
      <c r="E445" s="252" t="s">
        <v>92</v>
      </c>
      <c r="F445" s="154" t="str">
        <f t="array" ref="F445">XLOOKUP(Cover!$D$12,$S$1:$AA$1,$S445:$AA445)</f>
        <v>Heading</v>
      </c>
      <c r="G445" s="239" t="s">
        <v>1536</v>
      </c>
      <c r="H445" s="240"/>
      <c r="I445" s="240" t="s">
        <v>759</v>
      </c>
      <c r="J445" s="240"/>
      <c r="K445" s="240"/>
      <c r="L445" s="154" t="str">
        <f t="shared" si="1"/>
        <v/>
      </c>
      <c r="M445" s="241" t="str">
        <f>IFERROR(__xludf.DUMMYFUNCTION("VLOOKUP(C445,IMPORTRANGE(""https://docs.google.com/spreadsheets/d/1P8eX0NWBhUPS_hvzA11R6jkTNFrPrRYIx_dX_hYbxrk/edit?resourcekey=0-iw9bsKY2OqkUHCFMkCar3A&amp;gid=2055363397#gid=2055363397"",""MTR!C:O""),11,false)"),"")</f>
        <v/>
      </c>
      <c r="N445" s="241" t="str">
        <f>IFERROR(__xludf.DUMMYFUNCTION("VLOOKUP(C445,IMPORTRANGE(""https://docs.google.com/spreadsheets/d/1ihFlp3_ePlYtFuPbUNbYj1muErVpI73WHXbEwJDIA7Q/edit#gid=1493122344"",""MTR!C:O""),8,false)"),"")</f>
        <v/>
      </c>
      <c r="O445" s="241" t="str">
        <f>IFERROR(__xludf.DUMMYFUNCTION("VLOOKUP(C445,IMPORTRANGE(""https://docs.google.com/spreadsheets/d/1P8eX0NWBhUPS_hvzA11R6jkTNFrPrRYIx_dX_hYbxrk/edit?resourcekey=0-iw9bsKY2OqkUHCFMkCar3A&amp;gid=2055363397#gid=2055363397"",""MTR!C:O""),9,false)"),"")</f>
        <v/>
      </c>
      <c r="P445" s="241"/>
      <c r="Q445" s="241"/>
      <c r="R445" s="241"/>
      <c r="S445" s="240" t="s">
        <v>390</v>
      </c>
      <c r="T445" s="240" t="s">
        <v>390</v>
      </c>
      <c r="U445" s="240" t="s">
        <v>390</v>
      </c>
      <c r="V445" s="240" t="s">
        <v>390</v>
      </c>
      <c r="W445" s="240" t="s">
        <v>390</v>
      </c>
      <c r="X445" s="240" t="s">
        <v>390</v>
      </c>
      <c r="Y445" s="240" t="s">
        <v>390</v>
      </c>
      <c r="Z445" s="240" t="s">
        <v>390</v>
      </c>
      <c r="AA445" s="240" t="s">
        <v>390</v>
      </c>
      <c r="AB445" s="240"/>
      <c r="AC445" s="242" t="b">
        <f t="shared" si="2"/>
        <v>0</v>
      </c>
      <c r="AD445" s="240" t="s">
        <v>391</v>
      </c>
      <c r="AE445" s="243" t="b">
        <f t="shared" si="3"/>
        <v>0</v>
      </c>
      <c r="AF445" s="240"/>
      <c r="AG445" s="243" t="b">
        <f t="shared" si="4"/>
        <v>0</v>
      </c>
      <c r="AH445" s="240"/>
      <c r="AI445" s="243" t="str">
        <f t="shared" si="5"/>
        <v>N/A</v>
      </c>
      <c r="AJ445" s="157" t="str">
        <f t="shared" si="6"/>
        <v/>
      </c>
    </row>
    <row r="446" ht="12.75" customHeight="1">
      <c r="A446" s="244" t="s">
        <v>621</v>
      </c>
      <c r="B446" s="244" t="s">
        <v>1339</v>
      </c>
      <c r="C446" s="244" t="s">
        <v>1537</v>
      </c>
      <c r="D446" s="154" t="s">
        <v>602</v>
      </c>
      <c r="E446" s="250"/>
      <c r="F446" s="154" t="str">
        <f t="array" ref="F446">XLOOKUP(Cover!$D$12,$S$1:$AA$1,$S446:$AA446)</f>
        <v>Mandatory</v>
      </c>
      <c r="G446" s="153" t="s">
        <v>1538</v>
      </c>
      <c r="H446" s="154" t="s">
        <v>654</v>
      </c>
      <c r="I446" s="154" t="s">
        <v>759</v>
      </c>
      <c r="J446" s="247" t="s">
        <v>445</v>
      </c>
      <c r="K446" s="154"/>
      <c r="L446" s="154" t="str">
        <f t="shared" si="1"/>
        <v/>
      </c>
      <c r="M446" s="248" t="str">
        <f>IFERROR(__xludf.DUMMYFUNCTION("VLOOKUP(C446,IMPORTRANGE(""https://docs.google.com/spreadsheets/d/1P8eX0NWBhUPS_hvzA11R6jkTNFrPrRYIx_dX_hYbxrk/edit?resourcekey=0-iw9bsKY2OqkUHCFMkCar3A&amp;gid=2055363397#gid=2055363397"",""MTR!C:O""),11,false)"),"PMW-L1")</f>
        <v>PMW-L1</v>
      </c>
      <c r="N446" s="248" t="str">
        <f>IFERROR(__xludf.DUMMYFUNCTION("VLOOKUP(C446,IMPORTRANGE(""https://docs.google.com/spreadsheets/d/1ihFlp3_ePlYtFuPbUNbYj1muErVpI73WHXbEwJDIA7Q/edit#gid=1493122344"",""MTR!C:O""),8,false)"),"Complies")</f>
        <v>Complies</v>
      </c>
      <c r="O446" s="241" t="str">
        <f>IFERROR(__xludf.DUMMYFUNCTION("VLOOKUP(C446,IMPORTRANGE(""https://docs.google.com/spreadsheets/d/1P8eX0NWBhUPS_hvzA11R6jkTNFrPrRYIx_dX_hYbxrk/edit?resourcekey=0-iw9bsKY2OqkUHCFMkCar3A&amp;gid=2055363397#gid=2055363397"",""MTR!C:O""),9,false)"),"")</f>
        <v/>
      </c>
      <c r="P446" s="241"/>
      <c r="Q446" s="251" t="s">
        <v>445</v>
      </c>
      <c r="R446" s="241"/>
      <c r="S446" s="154" t="s">
        <v>66</v>
      </c>
      <c r="T446" s="154" t="s">
        <v>66</v>
      </c>
      <c r="U446" s="154" t="s">
        <v>60</v>
      </c>
      <c r="V446" s="154" t="s">
        <v>60</v>
      </c>
      <c r="W446" s="154" t="s">
        <v>60</v>
      </c>
      <c r="X446" s="154" t="s">
        <v>60</v>
      </c>
      <c r="Y446" s="154" t="s">
        <v>66</v>
      </c>
      <c r="Z446" s="154" t="s">
        <v>60</v>
      </c>
      <c r="AA446" s="154" t="s">
        <v>60</v>
      </c>
      <c r="AB446" s="154"/>
      <c r="AC446" s="242" t="b">
        <f t="shared" si="2"/>
        <v>1</v>
      </c>
      <c r="AD446" s="154" t="s">
        <v>391</v>
      </c>
      <c r="AE446" s="243" t="b">
        <f t="shared" si="3"/>
        <v>0</v>
      </c>
      <c r="AF446" s="154"/>
      <c r="AG446" s="243" t="b">
        <f t="shared" si="4"/>
        <v>0</v>
      </c>
      <c r="AH446" s="154" t="s">
        <v>805</v>
      </c>
      <c r="AI446" s="243" t="str">
        <f t="shared" si="5"/>
        <v>Complies</v>
      </c>
      <c r="AJ446" s="157" t="str">
        <f t="shared" si="6"/>
        <v/>
      </c>
    </row>
    <row r="447" ht="12.75" customHeight="1">
      <c r="A447" s="244" t="s">
        <v>621</v>
      </c>
      <c r="B447" s="244" t="s">
        <v>1339</v>
      </c>
      <c r="C447" s="244" t="s">
        <v>1539</v>
      </c>
      <c r="D447" s="154" t="s">
        <v>546</v>
      </c>
      <c r="E447" s="250"/>
      <c r="F447" s="154" t="str">
        <f t="array" ref="F447">XLOOKUP(Cover!$D$12,$S$1:$AA$1,$S447:$AA447)</f>
        <v>Recommended</v>
      </c>
      <c r="G447" s="153" t="s">
        <v>1540</v>
      </c>
      <c r="H447" s="154"/>
      <c r="I447" s="154" t="s">
        <v>759</v>
      </c>
      <c r="J447" s="247" t="s">
        <v>445</v>
      </c>
      <c r="K447" s="247" t="s">
        <v>1541</v>
      </c>
      <c r="L447" s="154" t="str">
        <f t="shared" si="1"/>
        <v/>
      </c>
      <c r="M447" s="248" t="str">
        <f>IFERROR(__xludf.DUMMYFUNCTION("VLOOKUP(C447,IMPORTRANGE(""https://docs.google.com/spreadsheets/d/1P8eX0NWBhUPS_hvzA11R6jkTNFrPrRYIx_dX_hYbxrk/edit?resourcekey=0-iw9bsKY2OqkUHCFMkCar3A&amp;gid=2055363397#gid=2055363397"",""MTR!C:O""),11,false)"),"PMW-L1")</f>
        <v>PMW-L1</v>
      </c>
      <c r="N447" s="248" t="str">
        <f>IFERROR(__xludf.DUMMYFUNCTION("VLOOKUP(C447,IMPORTRANGE(""https://docs.google.com/spreadsheets/d/1ihFlp3_ePlYtFuPbUNbYj1muErVpI73WHXbEwJDIA7Q/edit#gid=1493122344"",""MTR!C:O""),8,false)"),"Complies")</f>
        <v>Complies</v>
      </c>
      <c r="O447" s="248" t="str">
        <f>IFERROR(__xludf.DUMMYFUNCTION("VLOOKUP(C447,IMPORTRANGE(""https://docs.google.com/spreadsheets/d/1P8eX0NWBhUPS_hvzA11R6jkTNFrPrRYIx_dX_hYbxrk/edit?resourcekey=0-iw9bsKY2OqkUHCFMkCar3A&amp;gid=2055363397#gid=2055363397"",""MTR!C:O""),9,false)"),"DC_28A_n78A")</f>
        <v>DC_28A_n78A</v>
      </c>
      <c r="P447" s="248"/>
      <c r="Q447" s="249" t="s">
        <v>445</v>
      </c>
      <c r="R447" s="249" t="s">
        <v>1541</v>
      </c>
      <c r="S447" s="154" t="s">
        <v>66</v>
      </c>
      <c r="T447" s="154" t="s">
        <v>66</v>
      </c>
      <c r="U447" s="154" t="s">
        <v>64</v>
      </c>
      <c r="V447" s="154" t="s">
        <v>64</v>
      </c>
      <c r="W447" s="154" t="s">
        <v>64</v>
      </c>
      <c r="X447" s="154" t="s">
        <v>64</v>
      </c>
      <c r="Y447" s="154" t="s">
        <v>66</v>
      </c>
      <c r="Z447" s="154" t="s">
        <v>64</v>
      </c>
      <c r="AA447" s="154" t="s">
        <v>64</v>
      </c>
      <c r="AB447" s="154"/>
      <c r="AC447" s="242" t="b">
        <f t="shared" si="2"/>
        <v>1</v>
      </c>
      <c r="AD447" s="154" t="s">
        <v>391</v>
      </c>
      <c r="AE447" s="243" t="b">
        <f t="shared" si="3"/>
        <v>0</v>
      </c>
      <c r="AF447" s="154"/>
      <c r="AG447" s="243" t="b">
        <f t="shared" si="4"/>
        <v>0</v>
      </c>
      <c r="AH447" s="155" t="s">
        <v>805</v>
      </c>
      <c r="AI447" s="243" t="str">
        <f t="shared" si="5"/>
        <v>Complies</v>
      </c>
      <c r="AJ447" s="157" t="str">
        <f t="shared" si="6"/>
        <v/>
      </c>
    </row>
    <row r="448" ht="12.75" customHeight="1">
      <c r="A448" s="244" t="s">
        <v>621</v>
      </c>
      <c r="B448" s="244" t="s">
        <v>1339</v>
      </c>
      <c r="C448" s="244" t="s">
        <v>1542</v>
      </c>
      <c r="D448" s="154" t="s">
        <v>747</v>
      </c>
      <c r="E448" s="250"/>
      <c r="F448" s="154" t="str">
        <f t="array" ref="F448">XLOOKUP(Cover!$D$12,$S$1:$AA$1,$S448:$AA448)</f>
        <v>Recommended</v>
      </c>
      <c r="G448" s="153" t="s">
        <v>1543</v>
      </c>
      <c r="H448" s="154"/>
      <c r="I448" s="154" t="s">
        <v>759</v>
      </c>
      <c r="J448" s="247" t="s">
        <v>445</v>
      </c>
      <c r="K448" s="247" t="s">
        <v>1367</v>
      </c>
      <c r="L448" s="154" t="str">
        <f t="shared" si="1"/>
        <v/>
      </c>
      <c r="M448" s="248" t="str">
        <f>IFERROR(__xludf.DUMMYFUNCTION("VLOOKUP(C448,IMPORTRANGE(""https://docs.google.com/spreadsheets/d/1P8eX0NWBhUPS_hvzA11R6jkTNFrPrRYIx_dX_hYbxrk/edit?resourcekey=0-iw9bsKY2OqkUHCFMkCar3A&amp;gid=2055363397#gid=2055363397"",""MTR!C:O""),11,false)"),"PMW-L1")</f>
        <v>PMW-L1</v>
      </c>
      <c r="N448" s="248" t="str">
        <f>IFERROR(__xludf.DUMMYFUNCTION("VLOOKUP(C448,IMPORTRANGE(""https://docs.google.com/spreadsheets/d/1ihFlp3_ePlYtFuPbUNbYj1muErVpI73WHXbEwJDIA7Q/edit#gid=1493122344"",""MTR!C:O""),8,false)"),"Complies")</f>
        <v>Complies</v>
      </c>
      <c r="O448" s="248" t="str">
        <f>IFERROR(__xludf.DUMMYFUNCTION("VLOOKUP(C448,IMPORTRANGE(""https://docs.google.com/spreadsheets/d/1P8eX0NWBhUPS_hvzA11R6jkTNFrPrRYIx_dX_hYbxrk/edit?resourcekey=0-iw9bsKY2OqkUHCFMkCar3A&amp;gid=2055363397#gid=2055363397"",""MTR!C:O""),9,false)"),"Please refef to sheet EN-DC for more detailed information")</f>
        <v>Please refef to sheet EN-DC for more detailed information</v>
      </c>
      <c r="P448" s="248"/>
      <c r="Q448" s="249" t="s">
        <v>445</v>
      </c>
      <c r="R448" s="249" t="s">
        <v>1367</v>
      </c>
      <c r="S448" s="154" t="s">
        <v>66</v>
      </c>
      <c r="T448" s="154" t="s">
        <v>66</v>
      </c>
      <c r="U448" s="154" t="s">
        <v>66</v>
      </c>
      <c r="V448" s="154" t="s">
        <v>66</v>
      </c>
      <c r="W448" s="154" t="s">
        <v>66</v>
      </c>
      <c r="X448" s="154" t="s">
        <v>64</v>
      </c>
      <c r="Y448" s="154" t="s">
        <v>66</v>
      </c>
      <c r="Z448" s="154" t="s">
        <v>66</v>
      </c>
      <c r="AA448" s="154" t="s">
        <v>64</v>
      </c>
      <c r="AB448" s="154"/>
      <c r="AC448" s="242" t="b">
        <f t="shared" si="2"/>
        <v>1</v>
      </c>
      <c r="AD448" s="154" t="s">
        <v>391</v>
      </c>
      <c r="AE448" s="243" t="b">
        <f t="shared" si="3"/>
        <v>0</v>
      </c>
      <c r="AF448" s="154" t="s">
        <v>1544</v>
      </c>
      <c r="AG448" s="243" t="b">
        <f t="shared" si="4"/>
        <v>0</v>
      </c>
      <c r="AH448" s="154" t="s">
        <v>805</v>
      </c>
      <c r="AI448" s="243" t="str">
        <f t="shared" si="5"/>
        <v>Complies</v>
      </c>
      <c r="AJ448" s="157" t="str">
        <f t="shared" si="6"/>
        <v/>
      </c>
    </row>
    <row r="449" ht="12.75" customHeight="1">
      <c r="A449" s="244" t="s">
        <v>621</v>
      </c>
      <c r="B449" s="244" t="s">
        <v>1339</v>
      </c>
      <c r="C449" s="245" t="s">
        <v>1545</v>
      </c>
      <c r="D449" s="155" t="s">
        <v>546</v>
      </c>
      <c r="E449" s="246" t="s">
        <v>92</v>
      </c>
      <c r="F449" s="154" t="str">
        <f t="array" ref="F449">XLOOKUP(Cover!$D$12,$S$1:$AA$1,$S449:$AA449)</f>
        <v>Recommended</v>
      </c>
      <c r="G449" s="153" t="s">
        <v>1546</v>
      </c>
      <c r="H449" s="154"/>
      <c r="I449" s="154" t="s">
        <v>759</v>
      </c>
      <c r="J449" s="247" t="s">
        <v>445</v>
      </c>
      <c r="K449" s="247" t="s">
        <v>1367</v>
      </c>
      <c r="L449" s="154" t="str">
        <f t="shared" si="1"/>
        <v/>
      </c>
      <c r="M449" s="248" t="str">
        <f>IFERROR(__xludf.DUMMYFUNCTION("VLOOKUP(C449,IMPORTRANGE(""https://docs.google.com/spreadsheets/d/1P8eX0NWBhUPS_hvzA11R6jkTNFrPrRYIx_dX_hYbxrk/edit?resourcekey=0-iw9bsKY2OqkUHCFMkCar3A&amp;gid=2055363397#gid=2055363397"",""MTR!C:O""),11,false)"),"PMW-L1")</f>
        <v>PMW-L1</v>
      </c>
      <c r="N449" s="248" t="str">
        <f>IFERROR(__xludf.DUMMYFUNCTION("VLOOKUP(C449,IMPORTRANGE(""https://docs.google.com/spreadsheets/d/1ihFlp3_ePlYtFuPbUNbYj1muErVpI73WHXbEwJDIA7Q/edit#gid=1493122344"",""MTR!C:O""),8,false)"),"Complies")</f>
        <v>Complies</v>
      </c>
      <c r="O449" s="248" t="str">
        <f>IFERROR(__xludf.DUMMYFUNCTION("VLOOKUP(C449,IMPORTRANGE(""https://docs.google.com/spreadsheets/d/1P8eX0NWBhUPS_hvzA11R6jkTNFrPrRYIx_dX_hYbxrk/edit?resourcekey=0-iw9bsKY2OqkUHCFMkCar3A&amp;gid=2055363397#gid=2055363397"",""MTR!C:O""),9,false)"),"Please refef to sheet EN-DC for more detailed information")</f>
        <v>Please refef to sheet EN-DC for more detailed information</v>
      </c>
      <c r="P449" s="248"/>
      <c r="Q449" s="249" t="s">
        <v>445</v>
      </c>
      <c r="R449" s="249" t="s">
        <v>1367</v>
      </c>
      <c r="S449" s="154" t="s">
        <v>66</v>
      </c>
      <c r="T449" s="154" t="s">
        <v>66</v>
      </c>
      <c r="U449" s="154" t="s">
        <v>66</v>
      </c>
      <c r="V449" s="154" t="s">
        <v>66</v>
      </c>
      <c r="W449" s="154" t="s">
        <v>66</v>
      </c>
      <c r="X449" s="154" t="s">
        <v>64</v>
      </c>
      <c r="Y449" s="154" t="s">
        <v>66</v>
      </c>
      <c r="Z449" s="154" t="s">
        <v>66</v>
      </c>
      <c r="AA449" s="154" t="s">
        <v>64</v>
      </c>
      <c r="AB449" s="154"/>
      <c r="AC449" s="242" t="b">
        <f t="shared" si="2"/>
        <v>1</v>
      </c>
      <c r="AD449" s="154" t="s">
        <v>391</v>
      </c>
      <c r="AE449" s="243" t="b">
        <f t="shared" si="3"/>
        <v>0</v>
      </c>
      <c r="AF449" s="154" t="s">
        <v>1547</v>
      </c>
      <c r="AG449" s="243" t="b">
        <f t="shared" si="4"/>
        <v>0</v>
      </c>
      <c r="AH449" s="155" t="s">
        <v>805</v>
      </c>
      <c r="AI449" s="243" t="str">
        <f t="shared" si="5"/>
        <v>Complies</v>
      </c>
      <c r="AJ449" s="157" t="str">
        <f t="shared" si="6"/>
        <v/>
      </c>
    </row>
    <row r="450" ht="12.75" customHeight="1">
      <c r="A450" s="244" t="s">
        <v>621</v>
      </c>
      <c r="B450" s="244" t="s">
        <v>1339</v>
      </c>
      <c r="C450" s="245" t="s">
        <v>1548</v>
      </c>
      <c r="D450" s="155" t="s">
        <v>546</v>
      </c>
      <c r="E450" s="246" t="s">
        <v>92</v>
      </c>
      <c r="F450" s="154" t="str">
        <f t="array" ref="F450">XLOOKUP(Cover!$D$12,$S$1:$AA$1,$S450:$AA450)</f>
        <v>Recommended</v>
      </c>
      <c r="G450" s="153" t="s">
        <v>1549</v>
      </c>
      <c r="H450" s="154"/>
      <c r="I450" s="154" t="s">
        <v>759</v>
      </c>
      <c r="J450" s="247" t="s">
        <v>445</v>
      </c>
      <c r="K450" s="247" t="s">
        <v>1367</v>
      </c>
      <c r="L450" s="154" t="str">
        <f t="shared" si="1"/>
        <v/>
      </c>
      <c r="M450" s="248" t="str">
        <f>IFERROR(__xludf.DUMMYFUNCTION("VLOOKUP(C450,IMPORTRANGE(""https://docs.google.com/spreadsheets/d/1P8eX0NWBhUPS_hvzA11R6jkTNFrPrRYIx_dX_hYbxrk/edit?resourcekey=0-iw9bsKY2OqkUHCFMkCar3A&amp;gid=2055363397#gid=2055363397"",""MTR!C:O""),11,false)"),"PMW-L1")</f>
        <v>PMW-L1</v>
      </c>
      <c r="N450" s="248" t="str">
        <f>IFERROR(__xludf.DUMMYFUNCTION("VLOOKUP(C450,IMPORTRANGE(""https://docs.google.com/spreadsheets/d/1ihFlp3_ePlYtFuPbUNbYj1muErVpI73WHXbEwJDIA7Q/edit#gid=1493122344"",""MTR!C:O""),8,false)"),"Complies")</f>
        <v>Complies</v>
      </c>
      <c r="O450" s="248" t="str">
        <f>IFERROR(__xludf.DUMMYFUNCTION("VLOOKUP(C450,IMPORTRANGE(""https://docs.google.com/spreadsheets/d/1P8eX0NWBhUPS_hvzA11R6jkTNFrPrRYIx_dX_hYbxrk/edit?resourcekey=0-iw9bsKY2OqkUHCFMkCar3A&amp;gid=2055363397#gid=2055363397"",""MTR!C:O""),9,false)"),"Please refef to sheet EN-DC for more detailed information")</f>
        <v>Please refef to sheet EN-DC for more detailed information</v>
      </c>
      <c r="P450" s="248"/>
      <c r="Q450" s="249" t="s">
        <v>445</v>
      </c>
      <c r="R450" s="249" t="s">
        <v>1367</v>
      </c>
      <c r="S450" s="154" t="s">
        <v>66</v>
      </c>
      <c r="T450" s="154" t="s">
        <v>66</v>
      </c>
      <c r="U450" s="154" t="s">
        <v>66</v>
      </c>
      <c r="V450" s="154" t="s">
        <v>66</v>
      </c>
      <c r="W450" s="154" t="s">
        <v>66</v>
      </c>
      <c r="X450" s="154" t="s">
        <v>64</v>
      </c>
      <c r="Y450" s="154" t="s">
        <v>66</v>
      </c>
      <c r="Z450" s="154" t="s">
        <v>66</v>
      </c>
      <c r="AA450" s="154" t="s">
        <v>64</v>
      </c>
      <c r="AB450" s="154"/>
      <c r="AC450" s="242" t="b">
        <f t="shared" si="2"/>
        <v>1</v>
      </c>
      <c r="AD450" s="154" t="s">
        <v>391</v>
      </c>
      <c r="AE450" s="243" t="b">
        <f t="shared" si="3"/>
        <v>0</v>
      </c>
      <c r="AF450" s="154" t="s">
        <v>1550</v>
      </c>
      <c r="AG450" s="243" t="b">
        <f t="shared" si="4"/>
        <v>0</v>
      </c>
      <c r="AH450" s="155" t="s">
        <v>805</v>
      </c>
      <c r="AI450" s="243" t="str">
        <f t="shared" si="5"/>
        <v>Complies</v>
      </c>
      <c r="AJ450" s="157" t="str">
        <f t="shared" si="6"/>
        <v/>
      </c>
    </row>
    <row r="451" ht="12.75" customHeight="1">
      <c r="A451" s="244" t="s">
        <v>621</v>
      </c>
      <c r="B451" s="244" t="s">
        <v>1339</v>
      </c>
      <c r="C451" s="245" t="s">
        <v>1551</v>
      </c>
      <c r="D451" s="155" t="s">
        <v>781</v>
      </c>
      <c r="E451" s="246" t="s">
        <v>92</v>
      </c>
      <c r="F451" s="154" t="str">
        <f t="array" ref="F451">XLOOKUP(Cover!$D$12,$S$1:$AA$1,$S451:$AA451)</f>
        <v>Mandatory</v>
      </c>
      <c r="G451" s="254" t="s">
        <v>1552</v>
      </c>
      <c r="H451" s="154" t="s">
        <v>175</v>
      </c>
      <c r="I451" s="154" t="s">
        <v>759</v>
      </c>
      <c r="J451" s="247" t="s">
        <v>445</v>
      </c>
      <c r="K451" s="247" t="s">
        <v>1367</v>
      </c>
      <c r="L451" s="154" t="str">
        <f t="shared" si="1"/>
        <v/>
      </c>
      <c r="M451" s="248" t="str">
        <f>IFERROR(__xludf.DUMMYFUNCTION("VLOOKUP(C451,IMPORTRANGE(""https://docs.google.com/spreadsheets/d/1P8eX0NWBhUPS_hvzA11R6jkTNFrPrRYIx_dX_hYbxrk/edit?resourcekey=0-iw9bsKY2OqkUHCFMkCar3A&amp;gid=2055363397#gid=2055363397"",""MTR!C:O""),11,false)"),"PMW-L1")</f>
        <v>PMW-L1</v>
      </c>
      <c r="N451" s="248" t="str">
        <f>IFERROR(__xludf.DUMMYFUNCTION("VLOOKUP(C451,IMPORTRANGE(""https://docs.google.com/spreadsheets/d/1ihFlp3_ePlYtFuPbUNbYj1muErVpI73WHXbEwJDIA7Q/edit#gid=1493122344"",""MTR!C:O""),8,false)"),"Complies")</f>
        <v>Complies</v>
      </c>
      <c r="O451" s="248" t="str">
        <f>IFERROR(__xludf.DUMMYFUNCTION("VLOOKUP(C451,IMPORTRANGE(""https://docs.google.com/spreadsheets/d/1P8eX0NWBhUPS_hvzA11R6jkTNFrPrRYIx_dX_hYbxrk/edit?resourcekey=0-iw9bsKY2OqkUHCFMkCar3A&amp;gid=2055363397#gid=2055363397"",""MTR!C:O""),9,false)"),"Please refef to sheet EN-DC for more detailed information")</f>
        <v>Please refef to sheet EN-DC for more detailed information</v>
      </c>
      <c r="P451" s="248"/>
      <c r="Q451" s="249" t="s">
        <v>445</v>
      </c>
      <c r="R451" s="249" t="s">
        <v>1367</v>
      </c>
      <c r="S451" s="154" t="s">
        <v>66</v>
      </c>
      <c r="T451" s="154" t="s">
        <v>66</v>
      </c>
      <c r="U451" s="154" t="s">
        <v>66</v>
      </c>
      <c r="V451" s="154" t="s">
        <v>66</v>
      </c>
      <c r="W451" s="154" t="s">
        <v>66</v>
      </c>
      <c r="X451" s="154" t="s">
        <v>60</v>
      </c>
      <c r="Y451" s="154" t="s">
        <v>66</v>
      </c>
      <c r="Z451" s="154" t="s">
        <v>66</v>
      </c>
      <c r="AA451" s="154" t="s">
        <v>60</v>
      </c>
      <c r="AB451" s="154"/>
      <c r="AC451" s="242" t="b">
        <f t="shared" si="2"/>
        <v>1</v>
      </c>
      <c r="AD451" s="154" t="s">
        <v>391</v>
      </c>
      <c r="AE451" s="243" t="b">
        <f t="shared" si="3"/>
        <v>0</v>
      </c>
      <c r="AF451" s="154" t="s">
        <v>1553</v>
      </c>
      <c r="AG451" s="243" t="b">
        <f t="shared" si="4"/>
        <v>0</v>
      </c>
      <c r="AH451" s="155" t="s">
        <v>805</v>
      </c>
      <c r="AI451" s="243" t="str">
        <f t="shared" si="5"/>
        <v>Complies</v>
      </c>
      <c r="AJ451" s="157" t="str">
        <f t="shared" si="6"/>
        <v/>
      </c>
    </row>
    <row r="452" ht="12.75" customHeight="1">
      <c r="A452" s="244" t="s">
        <v>621</v>
      </c>
      <c r="B452" s="244" t="s">
        <v>1339</v>
      </c>
      <c r="C452" s="245" t="s">
        <v>1554</v>
      </c>
      <c r="D452" s="155" t="s">
        <v>747</v>
      </c>
      <c r="E452" s="246" t="s">
        <v>92</v>
      </c>
      <c r="F452" s="154" t="str">
        <f t="array" ref="F452">XLOOKUP(Cover!$D$12,$S$1:$AA$1,$S452:$AA452)</f>
        <v>Mandatory</v>
      </c>
      <c r="G452" s="153" t="s">
        <v>1555</v>
      </c>
      <c r="H452" s="154" t="s">
        <v>1018</v>
      </c>
      <c r="I452" s="154" t="s">
        <v>759</v>
      </c>
      <c r="J452" s="247" t="s">
        <v>445</v>
      </c>
      <c r="K452" s="247" t="s">
        <v>1367</v>
      </c>
      <c r="L452" s="154" t="str">
        <f t="shared" si="1"/>
        <v/>
      </c>
      <c r="M452" s="248" t="str">
        <f>IFERROR(__xludf.DUMMYFUNCTION("VLOOKUP(C452,IMPORTRANGE(""https://docs.google.com/spreadsheets/d/1P8eX0NWBhUPS_hvzA11R6jkTNFrPrRYIx_dX_hYbxrk/edit?resourcekey=0-iw9bsKY2OqkUHCFMkCar3A&amp;gid=2055363397#gid=2055363397"",""MTR!C:O""),11,false)"),"PMW-L1")</f>
        <v>PMW-L1</v>
      </c>
      <c r="N452" s="248" t="str">
        <f>IFERROR(__xludf.DUMMYFUNCTION("VLOOKUP(C452,IMPORTRANGE(""https://docs.google.com/spreadsheets/d/1ihFlp3_ePlYtFuPbUNbYj1muErVpI73WHXbEwJDIA7Q/edit#gid=1493122344"",""MTR!C:O""),8,false)"),"Complies")</f>
        <v>Complies</v>
      </c>
      <c r="O452" s="248" t="str">
        <f>IFERROR(__xludf.DUMMYFUNCTION("VLOOKUP(C452,IMPORTRANGE(""https://docs.google.com/spreadsheets/d/1P8eX0NWBhUPS_hvzA11R6jkTNFrPrRYIx_dX_hYbxrk/edit?resourcekey=0-iw9bsKY2OqkUHCFMkCar3A&amp;gid=2055363397#gid=2055363397"",""MTR!C:O""),9,false)"),"Please refef to sheet EN-DC for more detailed information")</f>
        <v>Please refef to sheet EN-DC for more detailed information</v>
      </c>
      <c r="P452" s="248"/>
      <c r="Q452" s="249" t="s">
        <v>445</v>
      </c>
      <c r="R452" s="249" t="s">
        <v>1367</v>
      </c>
      <c r="S452" s="154" t="s">
        <v>66</v>
      </c>
      <c r="T452" s="154" t="s">
        <v>66</v>
      </c>
      <c r="U452" s="154" t="s">
        <v>66</v>
      </c>
      <c r="V452" s="154" t="s">
        <v>66</v>
      </c>
      <c r="W452" s="154" t="s">
        <v>60</v>
      </c>
      <c r="X452" s="154" t="s">
        <v>60</v>
      </c>
      <c r="Y452" s="154" t="s">
        <v>66</v>
      </c>
      <c r="Z452" s="154" t="s">
        <v>66</v>
      </c>
      <c r="AA452" s="154" t="s">
        <v>60</v>
      </c>
      <c r="AB452" s="154"/>
      <c r="AC452" s="242" t="b">
        <f t="shared" si="2"/>
        <v>1</v>
      </c>
      <c r="AD452" s="154" t="s">
        <v>391</v>
      </c>
      <c r="AE452" s="243" t="b">
        <f t="shared" si="3"/>
        <v>0</v>
      </c>
      <c r="AF452" s="154" t="s">
        <v>1556</v>
      </c>
      <c r="AG452" s="243" t="b">
        <f t="shared" si="4"/>
        <v>0</v>
      </c>
      <c r="AH452" s="154" t="s">
        <v>805</v>
      </c>
      <c r="AI452" s="243" t="str">
        <f t="shared" si="5"/>
        <v>Complies</v>
      </c>
      <c r="AJ452" s="157" t="str">
        <f t="shared" si="6"/>
        <v/>
      </c>
    </row>
    <row r="453" ht="12.75" customHeight="1">
      <c r="A453" s="244" t="s">
        <v>621</v>
      </c>
      <c r="B453" s="244" t="s">
        <v>1339</v>
      </c>
      <c r="C453" s="245" t="s">
        <v>1557</v>
      </c>
      <c r="D453" s="155" t="s">
        <v>546</v>
      </c>
      <c r="E453" s="246" t="s">
        <v>92</v>
      </c>
      <c r="F453" s="154" t="str">
        <f t="array" ref="F453">XLOOKUP(Cover!$D$12,$S$1:$AA$1,$S453:$AA453)</f>
        <v>Mandatory</v>
      </c>
      <c r="G453" s="153" t="s">
        <v>1558</v>
      </c>
      <c r="H453" s="154" t="s">
        <v>1018</v>
      </c>
      <c r="I453" s="154" t="s">
        <v>759</v>
      </c>
      <c r="J453" s="247" t="s">
        <v>445</v>
      </c>
      <c r="K453" s="247" t="s">
        <v>1367</v>
      </c>
      <c r="L453" s="154" t="str">
        <f t="shared" si="1"/>
        <v/>
      </c>
      <c r="M453" s="248" t="str">
        <f>IFERROR(__xludf.DUMMYFUNCTION("VLOOKUP(C453,IMPORTRANGE(""https://docs.google.com/spreadsheets/d/1P8eX0NWBhUPS_hvzA11R6jkTNFrPrRYIx_dX_hYbxrk/edit?resourcekey=0-iw9bsKY2OqkUHCFMkCar3A&amp;gid=2055363397#gid=2055363397"",""MTR!C:O""),11,false)"),"PMW-L1")</f>
        <v>PMW-L1</v>
      </c>
      <c r="N453" s="248" t="str">
        <f>IFERROR(__xludf.DUMMYFUNCTION("VLOOKUP(C453,IMPORTRANGE(""https://docs.google.com/spreadsheets/d/1ihFlp3_ePlYtFuPbUNbYj1muErVpI73WHXbEwJDIA7Q/edit#gid=1493122344"",""MTR!C:O""),8,false)"),"Complies")</f>
        <v>Complies</v>
      </c>
      <c r="O453" s="248" t="str">
        <f>IFERROR(__xludf.DUMMYFUNCTION("VLOOKUP(C453,IMPORTRANGE(""https://docs.google.com/spreadsheets/d/1P8eX0NWBhUPS_hvzA11R6jkTNFrPrRYIx_dX_hYbxrk/edit?resourcekey=0-iw9bsKY2OqkUHCFMkCar3A&amp;gid=2055363397#gid=2055363397"",""MTR!C:O""),9,false)"),"Please refef to sheet EN-DC for more detailed information")</f>
        <v>Please refef to sheet EN-DC for more detailed information</v>
      </c>
      <c r="P453" s="248"/>
      <c r="Q453" s="249" t="s">
        <v>445</v>
      </c>
      <c r="R453" s="249" t="s">
        <v>1367</v>
      </c>
      <c r="S453" s="154" t="s">
        <v>66</v>
      </c>
      <c r="T453" s="154" t="s">
        <v>66</v>
      </c>
      <c r="U453" s="154" t="s">
        <v>66</v>
      </c>
      <c r="V453" s="154" t="s">
        <v>66</v>
      </c>
      <c r="W453" s="154" t="s">
        <v>60</v>
      </c>
      <c r="X453" s="154" t="s">
        <v>60</v>
      </c>
      <c r="Y453" s="154" t="s">
        <v>66</v>
      </c>
      <c r="Z453" s="154" t="s">
        <v>66</v>
      </c>
      <c r="AA453" s="154" t="s">
        <v>60</v>
      </c>
      <c r="AB453" s="154"/>
      <c r="AC453" s="242" t="b">
        <f t="shared" si="2"/>
        <v>1</v>
      </c>
      <c r="AD453" s="154" t="s">
        <v>391</v>
      </c>
      <c r="AE453" s="243" t="b">
        <f t="shared" si="3"/>
        <v>0</v>
      </c>
      <c r="AF453" s="154" t="s">
        <v>1559</v>
      </c>
      <c r="AG453" s="243" t="b">
        <f t="shared" si="4"/>
        <v>0</v>
      </c>
      <c r="AH453" s="154" t="s">
        <v>805</v>
      </c>
      <c r="AI453" s="243" t="str">
        <f t="shared" si="5"/>
        <v>Complies</v>
      </c>
      <c r="AJ453" s="157" t="str">
        <f t="shared" si="6"/>
        <v/>
      </c>
    </row>
    <row r="454" ht="12.75" customHeight="1">
      <c r="A454" s="244" t="s">
        <v>621</v>
      </c>
      <c r="B454" s="244" t="s">
        <v>1339</v>
      </c>
      <c r="C454" s="245" t="s">
        <v>1560</v>
      </c>
      <c r="D454" s="155" t="s">
        <v>781</v>
      </c>
      <c r="E454" s="246" t="s">
        <v>92</v>
      </c>
      <c r="F454" s="154" t="str">
        <f t="array" ref="F454">XLOOKUP(Cover!$D$12,$S$1:$AA$1,$S454:$AA454)</f>
        <v>Mandatory</v>
      </c>
      <c r="G454" s="254" t="s">
        <v>1561</v>
      </c>
      <c r="H454" s="154" t="s">
        <v>1122</v>
      </c>
      <c r="I454" s="154" t="s">
        <v>759</v>
      </c>
      <c r="J454" s="247" t="s">
        <v>445</v>
      </c>
      <c r="K454" s="247" t="s">
        <v>1562</v>
      </c>
      <c r="L454" s="154" t="str">
        <f t="shared" si="1"/>
        <v/>
      </c>
      <c r="M454" s="248" t="str">
        <f>IFERROR(__xludf.DUMMYFUNCTION("VLOOKUP(C454,IMPORTRANGE(""https://docs.google.com/spreadsheets/d/1P8eX0NWBhUPS_hvzA11R6jkTNFrPrRYIx_dX_hYbxrk/edit?resourcekey=0-iw9bsKY2OqkUHCFMkCar3A&amp;gid=2055363397#gid=2055363397"",""MTR!C:O""),11,false)"),"PMW-L1")</f>
        <v>PMW-L1</v>
      </c>
      <c r="N454" s="248" t="str">
        <f>IFERROR(__xludf.DUMMYFUNCTION("VLOOKUP(C454,IMPORTRANGE(""https://docs.google.com/spreadsheets/d/1ihFlp3_ePlYtFuPbUNbYj1muErVpI73WHXbEwJDIA7Q/edit#gid=1493122344"",""MTR!C:O""),8,false)"),"Complies")</f>
        <v>Complies</v>
      </c>
      <c r="O454" s="248" t="str">
        <f>IFERROR(__xludf.DUMMYFUNCTION("VLOOKUP(C454,IMPORTRANGE(""https://docs.google.com/spreadsheets/d/1P8eX0NWBhUPS_hvzA11R6jkTNFrPrRYIx_dX_hYbxrk/edit?resourcekey=0-iw9bsKY2OqkUHCFMkCar3A&amp;gid=2055363397#gid=2055363397"",""MTR!C:O""),9,false)"),"Please refer to sheet ""5G-EN-DC"" in more detail")</f>
        <v>Please refer to sheet "5G-EN-DC" in more detail</v>
      </c>
      <c r="P454" s="248"/>
      <c r="Q454" s="249" t="s">
        <v>445</v>
      </c>
      <c r="R454" s="249" t="s">
        <v>1563</v>
      </c>
      <c r="S454" s="154" t="s">
        <v>66</v>
      </c>
      <c r="T454" s="154" t="s">
        <v>66</v>
      </c>
      <c r="U454" s="154" t="s">
        <v>60</v>
      </c>
      <c r="V454" s="154" t="s">
        <v>60</v>
      </c>
      <c r="W454" s="154" t="s">
        <v>60</v>
      </c>
      <c r="X454" s="154" t="s">
        <v>60</v>
      </c>
      <c r="Y454" s="154" t="s">
        <v>66</v>
      </c>
      <c r="Z454" s="154" t="s">
        <v>60</v>
      </c>
      <c r="AA454" s="154" t="s">
        <v>60</v>
      </c>
      <c r="AB454" s="154"/>
      <c r="AC454" s="242" t="b">
        <f t="shared" si="2"/>
        <v>1</v>
      </c>
      <c r="AD454" s="154" t="s">
        <v>391</v>
      </c>
      <c r="AE454" s="243" t="b">
        <f t="shared" si="3"/>
        <v>0</v>
      </c>
      <c r="AF454" s="154" t="s">
        <v>1564</v>
      </c>
      <c r="AG454" s="243" t="b">
        <f t="shared" si="4"/>
        <v>0</v>
      </c>
      <c r="AH454" s="155" t="s">
        <v>805</v>
      </c>
      <c r="AI454" s="243" t="str">
        <f t="shared" si="5"/>
        <v>Complies</v>
      </c>
      <c r="AJ454" s="157" t="str">
        <f t="shared" si="6"/>
        <v/>
      </c>
    </row>
    <row r="455" ht="12.75" customHeight="1">
      <c r="A455" s="244" t="s">
        <v>621</v>
      </c>
      <c r="B455" s="244" t="s">
        <v>1339</v>
      </c>
      <c r="C455" s="244" t="s">
        <v>1565</v>
      </c>
      <c r="D455" s="154" t="s">
        <v>747</v>
      </c>
      <c r="E455" s="250"/>
      <c r="F455" s="154" t="str">
        <f t="array" ref="F455">XLOOKUP(Cover!$D$12,$S$1:$AA$1,$S455:$AA455)</f>
        <v>Comments Vendor</v>
      </c>
      <c r="G455" s="154" t="s">
        <v>1566</v>
      </c>
      <c r="H455" s="154" t="s">
        <v>232</v>
      </c>
      <c r="I455" s="154" t="s">
        <v>759</v>
      </c>
      <c r="J455" s="154"/>
      <c r="K455" s="247" t="s">
        <v>1567</v>
      </c>
      <c r="L455" s="154" t="str">
        <f t="shared" si="1"/>
        <v/>
      </c>
      <c r="M455" s="248" t="str">
        <f>IFERROR(__xludf.DUMMYFUNCTION("VLOOKUP(C455,IMPORTRANGE(""https://docs.google.com/spreadsheets/d/1P8eX0NWBhUPS_hvzA11R6jkTNFrPrRYIx_dX_hYbxrk/edit?resourcekey=0-iw9bsKY2OqkUHCFMkCar3A&amp;gid=2055363397#gid=2055363397"",""MTR!C:O""),11,false)"),"PMW-AS")</f>
        <v>PMW-AS</v>
      </c>
      <c r="N455" s="241" t="str">
        <f>IFERROR(__xludf.DUMMYFUNCTION("VLOOKUP(C455,IMPORTRANGE(""https://docs.google.com/spreadsheets/d/1ihFlp3_ePlYtFuPbUNbYj1muErVpI73WHXbEwJDIA7Q/edit#gid=1493122344"",""MTR!C:O""),8,false)"),"")</f>
        <v/>
      </c>
      <c r="O455" s="248" t="str">
        <f>IFERROR(__xludf.DUMMYFUNCTION("VLOOKUP(C455,IMPORTRANGE(""https://docs.google.com/spreadsheets/d/1P8eX0NWBhUPS_hvzA11R6jkTNFrPrRYIx_dX_hYbxrk/edit?resourcekey=0-iw9bsKY2OqkUHCFMkCar3A&amp;gid=2055363397#gid=2055363397"",""MTR!C:O""),9,false)"),"DTAG config has 12-layers for LTE for n78
DC_1A-1A-3A-n78A(4-4-4-4)")</f>
        <v>DTAG config has 12-layers for LTE for n78
DC_1A-1A-3A-n78A(4-4-4-4)</v>
      </c>
      <c r="P455" s="248"/>
      <c r="Q455" s="248"/>
      <c r="R455" s="249" t="s">
        <v>1567</v>
      </c>
      <c r="S455" s="154" t="s">
        <v>62</v>
      </c>
      <c r="T455" s="154" t="s">
        <v>62</v>
      </c>
      <c r="U455" s="154" t="s">
        <v>62</v>
      </c>
      <c r="V455" s="154" t="s">
        <v>62</v>
      </c>
      <c r="W455" s="154" t="s">
        <v>62</v>
      </c>
      <c r="X455" s="154" t="s">
        <v>62</v>
      </c>
      <c r="Y455" s="154" t="s">
        <v>62</v>
      </c>
      <c r="Z455" s="154" t="s">
        <v>62</v>
      </c>
      <c r="AA455" s="154" t="s">
        <v>62</v>
      </c>
      <c r="AB455" s="154"/>
      <c r="AC455" s="242" t="b">
        <f t="shared" si="2"/>
        <v>1</v>
      </c>
      <c r="AD455" s="154" t="s">
        <v>400</v>
      </c>
      <c r="AE455" s="243" t="b">
        <f t="shared" si="3"/>
        <v>1</v>
      </c>
      <c r="AF455" s="154" t="s">
        <v>1390</v>
      </c>
      <c r="AG455" s="243" t="b">
        <f t="shared" si="4"/>
        <v>0</v>
      </c>
      <c r="AH455" s="154" t="s">
        <v>805</v>
      </c>
      <c r="AI455" s="243" t="str">
        <f t="shared" si="5"/>
        <v>Complies</v>
      </c>
      <c r="AJ455" s="157" t="str">
        <f t="shared" si="6"/>
        <v/>
      </c>
    </row>
    <row r="456" ht="12.75" customHeight="1">
      <c r="A456" s="244" t="s">
        <v>621</v>
      </c>
      <c r="B456" s="244" t="s">
        <v>1339</v>
      </c>
      <c r="C456" s="255" t="s">
        <v>1568</v>
      </c>
      <c r="D456" s="256" t="s">
        <v>42</v>
      </c>
      <c r="E456" s="257" t="s">
        <v>489</v>
      </c>
      <c r="F456" s="154" t="str">
        <f t="array" ref="F456">XLOOKUP(Cover!$D$12,$S$1:$AA$1,$S456:$AA456)</f>
        <v>Mandatory</v>
      </c>
      <c r="G456" s="254" t="s">
        <v>1569</v>
      </c>
      <c r="H456" s="154" t="s">
        <v>175</v>
      </c>
      <c r="I456" s="154" t="s">
        <v>759</v>
      </c>
      <c r="J456" s="247" t="s">
        <v>506</v>
      </c>
      <c r="K456" s="247" t="s">
        <v>1570</v>
      </c>
      <c r="L456" s="154" t="str">
        <f t="shared" si="1"/>
        <v/>
      </c>
      <c r="M456" s="253" t="s">
        <v>828</v>
      </c>
      <c r="N456" s="253" t="str">
        <f>IFERROR(__xludf.DUMMYFUNCTION("VLOOKUP(C456,IMPORTRANGE(""https://docs.google.com/spreadsheets/d/1ihFlp3_ePlYtFuPbUNbYj1muErVpI73WHXbEwJDIA7Q/edit#gid=1493122344"",""MTR!C:O""),8,false)"),"#N/A")</f>
        <v>#N/A</v>
      </c>
      <c r="O456" s="253" t="str">
        <f>IFERROR(__xludf.DUMMYFUNCTION("VLOOKUP(C456,IMPORTRANGE(""https://docs.google.com/spreadsheets/d/1P8eX0NWBhUPS_hvzA11R6jkTNFrPrRYIx_dX_hYbxrk/edit?resourcekey=0-iw9bsKY2OqkUHCFMkCar3A&amp;gid=2055363397#gid=2055363397"",""MTR!C:O""),9,false)"),"#N/A")</f>
        <v>#N/A</v>
      </c>
      <c r="P456" s="253"/>
      <c r="Q456" s="253"/>
      <c r="R456" s="253"/>
      <c r="S456" s="154" t="s">
        <v>66</v>
      </c>
      <c r="T456" s="154" t="s">
        <v>66</v>
      </c>
      <c r="U456" s="154" t="s">
        <v>66</v>
      </c>
      <c r="V456" s="154" t="s">
        <v>66</v>
      </c>
      <c r="W456" s="154" t="s">
        <v>66</v>
      </c>
      <c r="X456" s="154" t="s">
        <v>60</v>
      </c>
      <c r="Y456" s="154" t="s">
        <v>66</v>
      </c>
      <c r="Z456" s="154" t="s">
        <v>66</v>
      </c>
      <c r="AA456" s="154" t="s">
        <v>60</v>
      </c>
      <c r="AB456" s="154"/>
      <c r="AC456" s="242" t="b">
        <f t="shared" si="2"/>
        <v>1</v>
      </c>
      <c r="AD456" s="154" t="s">
        <v>391</v>
      </c>
      <c r="AE456" s="243" t="b">
        <f t="shared" si="3"/>
        <v>0</v>
      </c>
      <c r="AF456" s="154" t="s">
        <v>1368</v>
      </c>
      <c r="AG456" s="243" t="b">
        <f t="shared" si="4"/>
        <v>0</v>
      </c>
      <c r="AH456" s="155" t="s">
        <v>805</v>
      </c>
      <c r="AI456" s="243" t="str">
        <f t="shared" si="5"/>
        <v>Complies</v>
      </c>
      <c r="AJ456" s="157" t="str">
        <f t="shared" si="6"/>
        <v/>
      </c>
    </row>
    <row r="457" ht="12.75" customHeight="1">
      <c r="A457" s="238" t="s">
        <v>621</v>
      </c>
      <c r="B457" s="238" t="s">
        <v>1339</v>
      </c>
      <c r="C457" s="238" t="s">
        <v>1571</v>
      </c>
      <c r="D457" s="240"/>
      <c r="E457" s="252" t="s">
        <v>92</v>
      </c>
      <c r="F457" s="154" t="str">
        <f t="array" ref="F457">XLOOKUP(Cover!$D$12,$S$1:$AA$1,$S457:$AA457)</f>
        <v>Heading</v>
      </c>
      <c r="G457" s="239" t="s">
        <v>1572</v>
      </c>
      <c r="H457" s="240"/>
      <c r="I457" s="240" t="s">
        <v>759</v>
      </c>
      <c r="J457" s="240"/>
      <c r="K457" s="240"/>
      <c r="L457" s="154" t="str">
        <f t="shared" si="1"/>
        <v/>
      </c>
      <c r="M457" s="241" t="str">
        <f>IFERROR(__xludf.DUMMYFUNCTION("VLOOKUP(C457,IMPORTRANGE(""https://docs.google.com/spreadsheets/d/1P8eX0NWBhUPS_hvzA11R6jkTNFrPrRYIx_dX_hYbxrk/edit?resourcekey=0-iw9bsKY2OqkUHCFMkCar3A&amp;gid=2055363397#gid=2055363397"",""MTR!C:O""),11,false)"),"")</f>
        <v/>
      </c>
      <c r="N457" s="241" t="str">
        <f>IFERROR(__xludf.DUMMYFUNCTION("VLOOKUP(C457,IMPORTRANGE(""https://docs.google.com/spreadsheets/d/1ihFlp3_ePlYtFuPbUNbYj1muErVpI73WHXbEwJDIA7Q/edit#gid=1493122344"",""MTR!C:O""),8,false)"),"")</f>
        <v/>
      </c>
      <c r="O457" s="241" t="str">
        <f>IFERROR(__xludf.DUMMYFUNCTION("VLOOKUP(C457,IMPORTRANGE(""https://docs.google.com/spreadsheets/d/1P8eX0NWBhUPS_hvzA11R6jkTNFrPrRYIx_dX_hYbxrk/edit?resourcekey=0-iw9bsKY2OqkUHCFMkCar3A&amp;gid=2055363397#gid=2055363397"",""MTR!C:O""),9,false)"),"")</f>
        <v/>
      </c>
      <c r="P457" s="241"/>
      <c r="Q457" s="241"/>
      <c r="R457" s="241"/>
      <c r="S457" s="240" t="s">
        <v>390</v>
      </c>
      <c r="T457" s="240" t="s">
        <v>390</v>
      </c>
      <c r="U457" s="240" t="s">
        <v>390</v>
      </c>
      <c r="V457" s="240" t="s">
        <v>390</v>
      </c>
      <c r="W457" s="240" t="s">
        <v>390</v>
      </c>
      <c r="X457" s="240" t="s">
        <v>390</v>
      </c>
      <c r="Y457" s="240" t="s">
        <v>390</v>
      </c>
      <c r="Z457" s="240" t="s">
        <v>390</v>
      </c>
      <c r="AA457" s="240" t="s">
        <v>390</v>
      </c>
      <c r="AB457" s="240"/>
      <c r="AC457" s="242" t="b">
        <f t="shared" si="2"/>
        <v>0</v>
      </c>
      <c r="AD457" s="240" t="s">
        <v>391</v>
      </c>
      <c r="AE457" s="243" t="b">
        <f t="shared" si="3"/>
        <v>0</v>
      </c>
      <c r="AF457" s="240"/>
      <c r="AG457" s="243" t="b">
        <f t="shared" si="4"/>
        <v>0</v>
      </c>
      <c r="AH457" s="240"/>
      <c r="AI457" s="243" t="str">
        <f t="shared" si="5"/>
        <v>N/A</v>
      </c>
      <c r="AJ457" s="157" t="str">
        <f t="shared" si="6"/>
        <v/>
      </c>
    </row>
    <row r="458" ht="12.75" customHeight="1">
      <c r="A458" s="244" t="s">
        <v>621</v>
      </c>
      <c r="B458" s="244" t="s">
        <v>1339</v>
      </c>
      <c r="C458" s="255" t="s">
        <v>1573</v>
      </c>
      <c r="D458" s="256" t="s">
        <v>42</v>
      </c>
      <c r="E458" s="257" t="s">
        <v>489</v>
      </c>
      <c r="F458" s="154" t="str">
        <f t="array" ref="F458">XLOOKUP(Cover!$D$12,$S$1:$AA$1,$S458:$AA458)</f>
        <v>Mandatory</v>
      </c>
      <c r="G458" s="254" t="s">
        <v>1574</v>
      </c>
      <c r="H458" s="154" t="s">
        <v>1018</v>
      </c>
      <c r="I458" s="154" t="s">
        <v>759</v>
      </c>
      <c r="J458" s="247" t="s">
        <v>516</v>
      </c>
      <c r="K458" s="247" t="s">
        <v>1575</v>
      </c>
      <c r="L458" s="154" t="str">
        <f t="shared" si="1"/>
        <v/>
      </c>
      <c r="M458" s="253" t="s">
        <v>828</v>
      </c>
      <c r="N458" s="253" t="str">
        <f>IFERROR(__xludf.DUMMYFUNCTION("VLOOKUP(C458,IMPORTRANGE(""https://docs.google.com/spreadsheets/d/1ihFlp3_ePlYtFuPbUNbYj1muErVpI73WHXbEwJDIA7Q/edit#gid=1493122344"",""MTR!C:O""),8,false)"),"#N/A")</f>
        <v>#N/A</v>
      </c>
      <c r="O458" s="253" t="str">
        <f>IFERROR(__xludf.DUMMYFUNCTION("VLOOKUP(C458,IMPORTRANGE(""https://docs.google.com/spreadsheets/d/1P8eX0NWBhUPS_hvzA11R6jkTNFrPrRYIx_dX_hYbxrk/edit?resourcekey=0-iw9bsKY2OqkUHCFMkCar3A&amp;gid=2055363397#gid=2055363397"",""MTR!C:O""),9,false)"),"#N/A")</f>
        <v>#N/A</v>
      </c>
      <c r="P458" s="253"/>
      <c r="Q458" s="253"/>
      <c r="R458" s="253"/>
      <c r="S458" s="154" t="s">
        <v>66</v>
      </c>
      <c r="T458" s="154" t="s">
        <v>66</v>
      </c>
      <c r="U458" s="154" t="s">
        <v>66</v>
      </c>
      <c r="V458" s="154" t="s">
        <v>66</v>
      </c>
      <c r="W458" s="154" t="s">
        <v>60</v>
      </c>
      <c r="X458" s="154" t="s">
        <v>60</v>
      </c>
      <c r="Y458" s="154" t="s">
        <v>66</v>
      </c>
      <c r="Z458" s="154" t="s">
        <v>66</v>
      </c>
      <c r="AA458" s="154" t="s">
        <v>60</v>
      </c>
      <c r="AB458" s="154"/>
      <c r="AC458" s="242" t="b">
        <f t="shared" si="2"/>
        <v>1</v>
      </c>
      <c r="AD458" s="154" t="s">
        <v>391</v>
      </c>
      <c r="AE458" s="243" t="b">
        <f t="shared" si="3"/>
        <v>0</v>
      </c>
      <c r="AF458" s="154"/>
      <c r="AG458" s="243" t="b">
        <f t="shared" si="4"/>
        <v>0</v>
      </c>
      <c r="AH458" s="155" t="s">
        <v>652</v>
      </c>
      <c r="AI458" s="243" t="str">
        <f t="shared" si="5"/>
        <v>Complies</v>
      </c>
      <c r="AJ458" s="157" t="str">
        <f t="shared" si="6"/>
        <v/>
      </c>
    </row>
    <row r="459" ht="12.75" customHeight="1">
      <c r="A459" s="244" t="s">
        <v>621</v>
      </c>
      <c r="B459" s="244" t="s">
        <v>1339</v>
      </c>
      <c r="C459" s="244" t="s">
        <v>1576</v>
      </c>
      <c r="D459" s="244" t="s">
        <v>45</v>
      </c>
      <c r="E459" s="244"/>
      <c r="F459" s="154" t="str">
        <f t="array" ref="F459">XLOOKUP(Cover!$D$12,$S$1:$AA$1,$S459:$AA459)</f>
        <v>Mandatory</v>
      </c>
      <c r="G459" s="153" t="s">
        <v>1577</v>
      </c>
      <c r="H459" s="154" t="s">
        <v>1018</v>
      </c>
      <c r="I459" s="154" t="s">
        <v>759</v>
      </c>
      <c r="J459" s="247" t="s">
        <v>445</v>
      </c>
      <c r="K459" s="247" t="s">
        <v>1578</v>
      </c>
      <c r="L459" s="154" t="str">
        <f t="shared" si="1"/>
        <v/>
      </c>
      <c r="M459" s="248" t="str">
        <f>IFERROR(__xludf.DUMMYFUNCTION("VLOOKUP(C459,IMPORTRANGE(""https://docs.google.com/spreadsheets/d/1P8eX0NWBhUPS_hvzA11R6jkTNFrPrRYIx_dX_hYbxrk/edit?resourcekey=0-iw9bsKY2OqkUHCFMkCar3A&amp;gid=2055363397#gid=2055363397"",""MTR!C:O""),11,false)"),"PMW-AS")</f>
        <v>PMW-AS</v>
      </c>
      <c r="N459" s="253" t="str">
        <f>IFERROR(__xludf.DUMMYFUNCTION("VLOOKUP(C459,IMPORTRANGE(""https://docs.google.com/spreadsheets/d/1ihFlp3_ePlYtFuPbUNbYj1muErVpI73WHXbEwJDIA7Q/edit#gid=1493122344"",""MTR!C:O""),8,false)"),"#N/A")</f>
        <v>#N/A</v>
      </c>
      <c r="O459" s="248" t="str">
        <f>IFERROR(__xludf.DUMMYFUNCTION("VLOOKUP(C459,IMPORTRANGE(""https://docs.google.com/spreadsheets/d/1P8eX0NWBhUPS_hvzA11R6jkTNFrPrRYIx_dX_hYbxrk/edit?resourcekey=0-iw9bsKY2OqkUHCFMkCar3A&amp;gid=2055363397#gid=2055363397"",""MTR!C:O""),9,false)"),"Please refer to sheet ""5G-EN-DC"" in more detail")</f>
        <v>Please refer to sheet "5G-EN-DC" in more detail</v>
      </c>
      <c r="P459" s="248"/>
      <c r="Q459" s="248"/>
      <c r="R459" s="248"/>
      <c r="S459" s="154" t="s">
        <v>66</v>
      </c>
      <c r="T459" s="154" t="s">
        <v>66</v>
      </c>
      <c r="U459" s="154" t="s">
        <v>66</v>
      </c>
      <c r="V459" s="154" t="s">
        <v>66</v>
      </c>
      <c r="W459" s="154" t="s">
        <v>60</v>
      </c>
      <c r="X459" s="154" t="s">
        <v>60</v>
      </c>
      <c r="Y459" s="154" t="s">
        <v>66</v>
      </c>
      <c r="Z459" s="154" t="s">
        <v>66</v>
      </c>
      <c r="AA459" s="154" t="s">
        <v>60</v>
      </c>
      <c r="AB459" s="154"/>
      <c r="AC459" s="242" t="b">
        <f t="shared" si="2"/>
        <v>1</v>
      </c>
      <c r="AD459" s="154" t="s">
        <v>445</v>
      </c>
      <c r="AE459" s="243" t="b">
        <f t="shared" si="3"/>
        <v>0</v>
      </c>
      <c r="AF459" s="154"/>
      <c r="AG459" s="243" t="b">
        <f t="shared" si="4"/>
        <v>0</v>
      </c>
      <c r="AH459" s="154" t="s">
        <v>652</v>
      </c>
      <c r="AI459" s="243" t="str">
        <f t="shared" si="5"/>
        <v>Complies</v>
      </c>
      <c r="AJ459" s="157" t="str">
        <f t="shared" si="6"/>
        <v/>
      </c>
    </row>
    <row r="460" ht="12.75" customHeight="1">
      <c r="A460" s="244" t="s">
        <v>621</v>
      </c>
      <c r="B460" s="244" t="s">
        <v>1339</v>
      </c>
      <c r="C460" s="244" t="s">
        <v>1579</v>
      </c>
      <c r="D460" s="244" t="s">
        <v>45</v>
      </c>
      <c r="E460" s="244"/>
      <c r="F460" s="154" t="str">
        <f t="array" ref="F460">XLOOKUP(Cover!$D$12,$S$1:$AA$1,$S460:$AA460)</f>
        <v>Mandatory</v>
      </c>
      <c r="G460" s="254" t="s">
        <v>1580</v>
      </c>
      <c r="H460" s="154" t="s">
        <v>1018</v>
      </c>
      <c r="I460" s="154" t="s">
        <v>759</v>
      </c>
      <c r="J460" s="247" t="s">
        <v>445</v>
      </c>
      <c r="K460" s="247" t="s">
        <v>1581</v>
      </c>
      <c r="L460" s="154" t="str">
        <f t="shared" si="1"/>
        <v/>
      </c>
      <c r="M460" s="248" t="str">
        <f>IFERROR(__xludf.DUMMYFUNCTION("VLOOKUP(C460,IMPORTRANGE(""https://docs.google.com/spreadsheets/d/1P8eX0NWBhUPS_hvzA11R6jkTNFrPrRYIx_dX_hYbxrk/edit?resourcekey=0-iw9bsKY2OqkUHCFMkCar3A&amp;gid=2055363397#gid=2055363397"",""MTR!C:O""),11,false)"),"PMW-AS")</f>
        <v>PMW-AS</v>
      </c>
      <c r="N460" s="253" t="str">
        <f>IFERROR(__xludf.DUMMYFUNCTION("VLOOKUP(C460,IMPORTRANGE(""https://docs.google.com/spreadsheets/d/1ihFlp3_ePlYtFuPbUNbYj1muErVpI73WHXbEwJDIA7Q/edit#gid=1493122344"",""MTR!C:O""),8,false)"),"#N/A")</f>
        <v>#N/A</v>
      </c>
      <c r="O460" s="248" t="str">
        <f>IFERROR(__xludf.DUMMYFUNCTION("VLOOKUP(C460,IMPORTRANGE(""https://docs.google.com/spreadsheets/d/1P8eX0NWBhUPS_hvzA11R6jkTNFrPrRYIx_dX_hYbxrk/edit?resourcekey=0-iw9bsKY2OqkUHCFMkCar3A&amp;gid=2055363397#gid=2055363397"",""MTR!C:O""),9,false)"),"Please refer to sheet ""5G-EN-DC"" in more detail")</f>
        <v>Please refer to sheet "5G-EN-DC" in more detail</v>
      </c>
      <c r="P460" s="248"/>
      <c r="Q460" s="248"/>
      <c r="R460" s="248"/>
      <c r="S460" s="154" t="s">
        <v>66</v>
      </c>
      <c r="T460" s="154" t="s">
        <v>66</v>
      </c>
      <c r="U460" s="154" t="s">
        <v>66</v>
      </c>
      <c r="V460" s="154" t="s">
        <v>66</v>
      </c>
      <c r="W460" s="154" t="s">
        <v>60</v>
      </c>
      <c r="X460" s="154" t="s">
        <v>60</v>
      </c>
      <c r="Y460" s="154" t="s">
        <v>66</v>
      </c>
      <c r="Z460" s="154" t="s">
        <v>66</v>
      </c>
      <c r="AA460" s="154" t="s">
        <v>60</v>
      </c>
      <c r="AB460" s="154"/>
      <c r="AC460" s="242" t="b">
        <f t="shared" si="2"/>
        <v>1</v>
      </c>
      <c r="AD460" s="154" t="s">
        <v>445</v>
      </c>
      <c r="AE460" s="243" t="b">
        <f t="shared" si="3"/>
        <v>0</v>
      </c>
      <c r="AF460" s="154"/>
      <c r="AG460" s="243" t="b">
        <f t="shared" si="4"/>
        <v>0</v>
      </c>
      <c r="AH460" s="154" t="s">
        <v>652</v>
      </c>
      <c r="AI460" s="243" t="str">
        <f t="shared" si="5"/>
        <v>Complies</v>
      </c>
      <c r="AJ460" s="157" t="str">
        <f t="shared" si="6"/>
        <v/>
      </c>
    </row>
    <row r="461" ht="12.75" customHeight="1">
      <c r="A461" s="244" t="s">
        <v>621</v>
      </c>
      <c r="B461" s="244" t="s">
        <v>1339</v>
      </c>
      <c r="C461" s="245" t="s">
        <v>1582</v>
      </c>
      <c r="D461" s="155" t="s">
        <v>45</v>
      </c>
      <c r="E461" s="246" t="s">
        <v>92</v>
      </c>
      <c r="F461" s="154" t="str">
        <f t="array" ref="F461">XLOOKUP(Cover!$D$12,$S$1:$AA$1,$S461:$AA461)</f>
        <v>Mandatory</v>
      </c>
      <c r="G461" s="153" t="s">
        <v>1583</v>
      </c>
      <c r="H461" s="154" t="s">
        <v>1018</v>
      </c>
      <c r="I461" s="154" t="s">
        <v>759</v>
      </c>
      <c r="J461" s="247" t="s">
        <v>445</v>
      </c>
      <c r="K461" s="247" t="s">
        <v>1584</v>
      </c>
      <c r="L461" s="154" t="str">
        <f t="shared" si="1"/>
        <v/>
      </c>
      <c r="M461" s="248" t="str">
        <f>IFERROR(__xludf.DUMMYFUNCTION("VLOOKUP(C461,IMPORTRANGE(""https://docs.google.com/spreadsheets/d/1P8eX0NWBhUPS_hvzA11R6jkTNFrPrRYIx_dX_hYbxrk/edit?resourcekey=0-iw9bsKY2OqkUHCFMkCar3A&amp;gid=2055363397#gid=2055363397"",""MTR!C:O""),11,false)"),"PMW-AS")</f>
        <v>PMW-AS</v>
      </c>
      <c r="N461" s="253" t="str">
        <f>IFERROR(__xludf.DUMMYFUNCTION("VLOOKUP(C461,IMPORTRANGE(""https://docs.google.com/spreadsheets/d/1ihFlp3_ePlYtFuPbUNbYj1muErVpI73WHXbEwJDIA7Q/edit#gid=1493122344"",""MTR!C:O""),8,false)"),"#N/A")</f>
        <v>#N/A</v>
      </c>
      <c r="O461" s="241" t="str">
        <f>IFERROR(__xludf.DUMMYFUNCTION("VLOOKUP(C461,IMPORTRANGE(""https://docs.google.com/spreadsheets/d/1P8eX0NWBhUPS_hvzA11R6jkTNFrPrRYIx_dX_hYbxrk/edit?resourcekey=0-iw9bsKY2OqkUHCFMkCar3A&amp;gid=2055363397#gid=2055363397"",""MTR!C:O""),9,false)"),"")</f>
        <v/>
      </c>
      <c r="P461" s="241"/>
      <c r="Q461" s="241"/>
      <c r="R461" s="241"/>
      <c r="S461" s="154" t="s">
        <v>66</v>
      </c>
      <c r="T461" s="154" t="s">
        <v>66</v>
      </c>
      <c r="U461" s="154" t="s">
        <v>66</v>
      </c>
      <c r="V461" s="154" t="s">
        <v>66</v>
      </c>
      <c r="W461" s="154" t="s">
        <v>60</v>
      </c>
      <c r="X461" s="154" t="s">
        <v>60</v>
      </c>
      <c r="Y461" s="154" t="s">
        <v>66</v>
      </c>
      <c r="Z461" s="154" t="s">
        <v>66</v>
      </c>
      <c r="AA461" s="154" t="s">
        <v>60</v>
      </c>
      <c r="AB461" s="154"/>
      <c r="AC461" s="242" t="b">
        <f t="shared" si="2"/>
        <v>1</v>
      </c>
      <c r="AD461" s="154" t="s">
        <v>445</v>
      </c>
      <c r="AE461" s="243" t="b">
        <f t="shared" si="3"/>
        <v>0</v>
      </c>
      <c r="AF461" s="154"/>
      <c r="AG461" s="243" t="b">
        <f t="shared" si="4"/>
        <v>0</v>
      </c>
      <c r="AH461" s="154" t="s">
        <v>652</v>
      </c>
      <c r="AI461" s="243" t="str">
        <f t="shared" si="5"/>
        <v>Complies</v>
      </c>
      <c r="AJ461" s="157" t="str">
        <f t="shared" si="6"/>
        <v/>
      </c>
    </row>
    <row r="462" ht="12.75" customHeight="1">
      <c r="A462" s="244" t="s">
        <v>621</v>
      </c>
      <c r="B462" s="244" t="s">
        <v>1339</v>
      </c>
      <c r="C462" s="244" t="s">
        <v>1585</v>
      </c>
      <c r="D462" s="244" t="s">
        <v>45</v>
      </c>
      <c r="E462" s="244"/>
      <c r="F462" s="154" t="str">
        <f t="array" ref="F462">XLOOKUP(Cover!$D$12,$S$1:$AA$1,$S462:$AA462)</f>
        <v>Mandatory</v>
      </c>
      <c r="G462" s="153" t="s">
        <v>1586</v>
      </c>
      <c r="H462" s="154" t="s">
        <v>1018</v>
      </c>
      <c r="I462" s="154" t="s">
        <v>759</v>
      </c>
      <c r="J462" s="247" t="s">
        <v>445</v>
      </c>
      <c r="K462" s="247" t="s">
        <v>1587</v>
      </c>
      <c r="L462" s="154" t="str">
        <f t="shared" si="1"/>
        <v/>
      </c>
      <c r="M462" s="248" t="str">
        <f>IFERROR(__xludf.DUMMYFUNCTION("VLOOKUP(C462,IMPORTRANGE(""https://docs.google.com/spreadsheets/d/1P8eX0NWBhUPS_hvzA11R6jkTNFrPrRYIx_dX_hYbxrk/edit?resourcekey=0-iw9bsKY2OqkUHCFMkCar3A&amp;gid=2055363397#gid=2055363397"",""MTR!C:O""),11,false)"),"PMW-AS")</f>
        <v>PMW-AS</v>
      </c>
      <c r="N462" s="253" t="str">
        <f>IFERROR(__xludf.DUMMYFUNCTION("VLOOKUP(C462,IMPORTRANGE(""https://docs.google.com/spreadsheets/d/1ihFlp3_ePlYtFuPbUNbYj1muErVpI73WHXbEwJDIA7Q/edit#gid=1493122344"",""MTR!C:O""),8,false)"),"#N/A")</f>
        <v>#N/A</v>
      </c>
      <c r="O462" s="241" t="str">
        <f>IFERROR(__xludf.DUMMYFUNCTION("VLOOKUP(C462,IMPORTRANGE(""https://docs.google.com/spreadsheets/d/1P8eX0NWBhUPS_hvzA11R6jkTNFrPrRYIx_dX_hYbxrk/edit?resourcekey=0-iw9bsKY2OqkUHCFMkCar3A&amp;gid=2055363397#gid=2055363397"",""MTR!C:O""),9,false)"),"")</f>
        <v/>
      </c>
      <c r="P462" s="241"/>
      <c r="Q462" s="241"/>
      <c r="R462" s="241"/>
      <c r="S462" s="154" t="s">
        <v>66</v>
      </c>
      <c r="T462" s="154" t="s">
        <v>66</v>
      </c>
      <c r="U462" s="154" t="s">
        <v>66</v>
      </c>
      <c r="V462" s="154" t="s">
        <v>66</v>
      </c>
      <c r="W462" s="154" t="s">
        <v>60</v>
      </c>
      <c r="X462" s="154" t="s">
        <v>60</v>
      </c>
      <c r="Y462" s="154" t="s">
        <v>66</v>
      </c>
      <c r="Z462" s="154" t="s">
        <v>66</v>
      </c>
      <c r="AA462" s="154" t="s">
        <v>60</v>
      </c>
      <c r="AB462" s="154"/>
      <c r="AC462" s="242" t="b">
        <f t="shared" si="2"/>
        <v>1</v>
      </c>
      <c r="AD462" s="154" t="s">
        <v>445</v>
      </c>
      <c r="AE462" s="243" t="b">
        <f t="shared" si="3"/>
        <v>0</v>
      </c>
      <c r="AF462" s="154"/>
      <c r="AG462" s="243" t="b">
        <f t="shared" si="4"/>
        <v>0</v>
      </c>
      <c r="AH462" s="154" t="s">
        <v>652</v>
      </c>
      <c r="AI462" s="243" t="str">
        <f t="shared" si="5"/>
        <v>Complies</v>
      </c>
      <c r="AJ462" s="157" t="str">
        <f t="shared" si="6"/>
        <v/>
      </c>
    </row>
    <row r="463" ht="12.75" customHeight="1">
      <c r="A463" s="244" t="s">
        <v>621</v>
      </c>
      <c r="B463" s="244" t="s">
        <v>1339</v>
      </c>
      <c r="C463" s="244" t="s">
        <v>1588</v>
      </c>
      <c r="D463" s="244" t="s">
        <v>45</v>
      </c>
      <c r="E463" s="244"/>
      <c r="F463" s="154" t="str">
        <f t="array" ref="F463">XLOOKUP(Cover!$D$12,$S$1:$AA$1,$S463:$AA463)</f>
        <v>Mandatory</v>
      </c>
      <c r="G463" s="153" t="s">
        <v>1589</v>
      </c>
      <c r="H463" s="154" t="s">
        <v>1018</v>
      </c>
      <c r="I463" s="154" t="s">
        <v>759</v>
      </c>
      <c r="J463" s="247" t="s">
        <v>506</v>
      </c>
      <c r="K463" s="247" t="s">
        <v>1590</v>
      </c>
      <c r="L463" s="154" t="str">
        <f t="shared" si="1"/>
        <v/>
      </c>
      <c r="M463" s="248" t="str">
        <f>IFERROR(__xludf.DUMMYFUNCTION("VLOOKUP(C463,IMPORTRANGE(""https://docs.google.com/spreadsheets/d/1P8eX0NWBhUPS_hvzA11R6jkTNFrPrRYIx_dX_hYbxrk/edit?resourcekey=0-iw9bsKY2OqkUHCFMkCar3A&amp;gid=2055363397#gid=2055363397"",""MTR!C:O""),11,false)"),"PMW-AS")</f>
        <v>PMW-AS</v>
      </c>
      <c r="N463" s="253" t="str">
        <f>IFERROR(__xludf.DUMMYFUNCTION("VLOOKUP(C463,IMPORTRANGE(""https://docs.google.com/spreadsheets/d/1ihFlp3_ePlYtFuPbUNbYj1muErVpI73WHXbEwJDIA7Q/edit#gid=1493122344"",""MTR!C:O""),8,false)"),"#N/A")</f>
        <v>#N/A</v>
      </c>
      <c r="O463" s="241" t="str">
        <f>IFERROR(__xludf.DUMMYFUNCTION("VLOOKUP(C463,IMPORTRANGE(""https://docs.google.com/spreadsheets/d/1P8eX0NWBhUPS_hvzA11R6jkTNFrPrRYIx_dX_hYbxrk/edit?resourcekey=0-iw9bsKY2OqkUHCFMkCar3A&amp;gid=2055363397#gid=2055363397"",""MTR!C:O""),9,false)"),"")</f>
        <v/>
      </c>
      <c r="P463" s="241"/>
      <c r="Q463" s="241"/>
      <c r="R463" s="241"/>
      <c r="S463" s="154" t="s">
        <v>66</v>
      </c>
      <c r="T463" s="154" t="s">
        <v>66</v>
      </c>
      <c r="U463" s="154" t="s">
        <v>66</v>
      </c>
      <c r="V463" s="154" t="s">
        <v>66</v>
      </c>
      <c r="W463" s="154" t="s">
        <v>60</v>
      </c>
      <c r="X463" s="154" t="s">
        <v>60</v>
      </c>
      <c r="Y463" s="154" t="s">
        <v>66</v>
      </c>
      <c r="Z463" s="154" t="s">
        <v>66</v>
      </c>
      <c r="AA463" s="154" t="s">
        <v>60</v>
      </c>
      <c r="AB463" s="154"/>
      <c r="AC463" s="242" t="b">
        <f t="shared" si="2"/>
        <v>1</v>
      </c>
      <c r="AD463" s="154" t="s">
        <v>445</v>
      </c>
      <c r="AE463" s="243" t="b">
        <f t="shared" si="3"/>
        <v>0</v>
      </c>
      <c r="AF463" s="154"/>
      <c r="AG463" s="243" t="b">
        <f t="shared" si="4"/>
        <v>0</v>
      </c>
      <c r="AH463" s="154" t="s">
        <v>652</v>
      </c>
      <c r="AI463" s="243" t="str">
        <f t="shared" si="5"/>
        <v>Complies</v>
      </c>
      <c r="AJ463" s="157" t="str">
        <f t="shared" si="6"/>
        <v/>
      </c>
    </row>
    <row r="464" ht="12.75" customHeight="1">
      <c r="A464" s="244" t="s">
        <v>621</v>
      </c>
      <c r="B464" s="244" t="s">
        <v>1339</v>
      </c>
      <c r="C464" s="244" t="s">
        <v>1591</v>
      </c>
      <c r="D464" s="154" t="s">
        <v>781</v>
      </c>
      <c r="E464" s="250"/>
      <c r="F464" s="154" t="str">
        <f t="array" ref="F464">XLOOKUP(Cover!$D$12,$S$1:$AA$1,$S464:$AA464)</f>
        <v>Information</v>
      </c>
      <c r="G464" s="153" t="s">
        <v>1592</v>
      </c>
      <c r="H464" s="154"/>
      <c r="I464" s="154" t="s">
        <v>759</v>
      </c>
      <c r="J464" s="247" t="s">
        <v>516</v>
      </c>
      <c r="K464" s="247" t="s">
        <v>1593</v>
      </c>
      <c r="L464" s="154" t="str">
        <f t="shared" si="1"/>
        <v/>
      </c>
      <c r="M464" s="248" t="str">
        <f>IFERROR(__xludf.DUMMYFUNCTION("VLOOKUP(C464,IMPORTRANGE(""https://docs.google.com/spreadsheets/d/1P8eX0NWBhUPS_hvzA11R6jkTNFrPrRYIx_dX_hYbxrk/edit?resourcekey=0-iw9bsKY2OqkUHCFMkCar3A&amp;gid=2055363397#gid=2055363397"",""MTR!C:O""),11,false)"),"PMW-AS")</f>
        <v>PMW-AS</v>
      </c>
      <c r="N464" s="248" t="str">
        <f>IFERROR(__xludf.DUMMYFUNCTION("VLOOKUP(C464,IMPORTRANGE(""https://docs.google.com/spreadsheets/d/1ihFlp3_ePlYtFuPbUNbYj1muErVpI73WHXbEwJDIA7Q/edit#gid=1493122344"",""MTR!C:O""),8,false)"),"Does Not Comply")</f>
        <v>Does Not Comply</v>
      </c>
      <c r="O464" s="248" t="str">
        <f>IFERROR(__xludf.DUMMYFUNCTION("VLOOKUP(C464,IMPORTRANGE(""https://docs.google.com/spreadsheets/d/1P8eX0NWBhUPS_hvzA11R6jkTNFrPrRYIx_dX_hYbxrk/edit?resourcekey=0-iw9bsKY2OqkUHCFMkCar3A&amp;gid=2055363397#gid=2055363397"",""MTR!C:O""),9,false)"),"EMEA SKU does not have FR2 support")</f>
        <v>EMEA SKU does not have FR2 support</v>
      </c>
      <c r="P464" s="248"/>
      <c r="Q464" s="249" t="s">
        <v>516</v>
      </c>
      <c r="R464" s="249" t="s">
        <v>1593</v>
      </c>
      <c r="S464" s="154" t="s">
        <v>66</v>
      </c>
      <c r="T464" s="154" t="s">
        <v>66</v>
      </c>
      <c r="U464" s="154" t="s">
        <v>66</v>
      </c>
      <c r="V464" s="154" t="s">
        <v>66</v>
      </c>
      <c r="W464" s="154" t="s">
        <v>66</v>
      </c>
      <c r="X464" s="154" t="s">
        <v>66</v>
      </c>
      <c r="Y464" s="154" t="s">
        <v>66</v>
      </c>
      <c r="Z464" s="154" t="s">
        <v>66</v>
      </c>
      <c r="AA464" s="154" t="s">
        <v>66</v>
      </c>
      <c r="AB464" s="154"/>
      <c r="AC464" s="242" t="b">
        <f t="shared" si="2"/>
        <v>1</v>
      </c>
      <c r="AD464" s="154" t="s">
        <v>445</v>
      </c>
      <c r="AE464" s="243" t="b">
        <f t="shared" si="3"/>
        <v>0</v>
      </c>
      <c r="AF464" s="154"/>
      <c r="AG464" s="243" t="b">
        <f t="shared" si="4"/>
        <v>0</v>
      </c>
      <c r="AH464" s="154" t="s">
        <v>652</v>
      </c>
      <c r="AI464" s="243" t="str">
        <f t="shared" si="5"/>
        <v>Complies</v>
      </c>
      <c r="AJ464" s="157" t="str">
        <f t="shared" si="6"/>
        <v/>
      </c>
    </row>
    <row r="465" ht="12.75" customHeight="1">
      <c r="A465" s="238" t="s">
        <v>621</v>
      </c>
      <c r="B465" s="238" t="s">
        <v>1339</v>
      </c>
      <c r="C465" s="238" t="s">
        <v>1594</v>
      </c>
      <c r="D465" s="240"/>
      <c r="E465" s="252" t="s">
        <v>92</v>
      </c>
      <c r="F465" s="154" t="str">
        <f t="array" ref="F465">XLOOKUP(Cover!$D$12,$S$1:$AA$1,$S465:$AA465)</f>
        <v>Heading</v>
      </c>
      <c r="G465" s="239" t="s">
        <v>1595</v>
      </c>
      <c r="H465" s="240"/>
      <c r="I465" s="240" t="s">
        <v>759</v>
      </c>
      <c r="J465" s="240"/>
      <c r="K465" s="240"/>
      <c r="L465" s="154" t="str">
        <f t="shared" si="1"/>
        <v/>
      </c>
      <c r="M465" s="241" t="str">
        <f>IFERROR(__xludf.DUMMYFUNCTION("VLOOKUP(C465,IMPORTRANGE(""https://docs.google.com/spreadsheets/d/1P8eX0NWBhUPS_hvzA11R6jkTNFrPrRYIx_dX_hYbxrk/edit?resourcekey=0-iw9bsKY2OqkUHCFMkCar3A&amp;gid=2055363397#gid=2055363397"",""MTR!C:O""),11,false)"),"")</f>
        <v/>
      </c>
      <c r="N465" s="241" t="str">
        <f>IFERROR(__xludf.DUMMYFUNCTION("VLOOKUP(C465,IMPORTRANGE(""https://docs.google.com/spreadsheets/d/1ihFlp3_ePlYtFuPbUNbYj1muErVpI73WHXbEwJDIA7Q/edit#gid=1493122344"",""MTR!C:O""),8,false)"),"")</f>
        <v/>
      </c>
      <c r="O465" s="241" t="str">
        <f>IFERROR(__xludf.DUMMYFUNCTION("VLOOKUP(C465,IMPORTRANGE(""https://docs.google.com/spreadsheets/d/1P8eX0NWBhUPS_hvzA11R6jkTNFrPrRYIx_dX_hYbxrk/edit?resourcekey=0-iw9bsKY2OqkUHCFMkCar3A&amp;gid=2055363397#gid=2055363397"",""MTR!C:O""),9,false)"),"")</f>
        <v/>
      </c>
      <c r="P465" s="241"/>
      <c r="Q465" s="241"/>
      <c r="R465" s="241"/>
      <c r="S465" s="240" t="s">
        <v>390</v>
      </c>
      <c r="T465" s="240" t="s">
        <v>390</v>
      </c>
      <c r="U465" s="240" t="s">
        <v>390</v>
      </c>
      <c r="V465" s="240" t="s">
        <v>390</v>
      </c>
      <c r="W465" s="240" t="s">
        <v>390</v>
      </c>
      <c r="X465" s="240" t="s">
        <v>390</v>
      </c>
      <c r="Y465" s="240" t="s">
        <v>390</v>
      </c>
      <c r="Z465" s="240" t="s">
        <v>390</v>
      </c>
      <c r="AA465" s="240" t="s">
        <v>390</v>
      </c>
      <c r="AB465" s="240"/>
      <c r="AC465" s="242" t="b">
        <f t="shared" si="2"/>
        <v>0</v>
      </c>
      <c r="AD465" s="240" t="s">
        <v>391</v>
      </c>
      <c r="AE465" s="243" t="b">
        <f t="shared" si="3"/>
        <v>0</v>
      </c>
      <c r="AF465" s="240"/>
      <c r="AG465" s="243" t="b">
        <f t="shared" si="4"/>
        <v>0</v>
      </c>
      <c r="AH465" s="240"/>
      <c r="AI465" s="243" t="str">
        <f t="shared" si="5"/>
        <v>N/A</v>
      </c>
      <c r="AJ465" s="157" t="str">
        <f t="shared" si="6"/>
        <v/>
      </c>
    </row>
    <row r="466" ht="12.75" customHeight="1">
      <c r="A466" s="238" t="s">
        <v>621</v>
      </c>
      <c r="B466" s="238" t="s">
        <v>1339</v>
      </c>
      <c r="C466" s="238" t="s">
        <v>1596</v>
      </c>
      <c r="D466" s="240"/>
      <c r="E466" s="252" t="s">
        <v>92</v>
      </c>
      <c r="F466" s="154" t="str">
        <f t="array" ref="F466">XLOOKUP(Cover!$D$12,$S$1:$AA$1,$S466:$AA466)</f>
        <v>Heading</v>
      </c>
      <c r="G466" s="239" t="s">
        <v>1597</v>
      </c>
      <c r="H466" s="240"/>
      <c r="I466" s="240" t="s">
        <v>759</v>
      </c>
      <c r="J466" s="240"/>
      <c r="K466" s="240"/>
      <c r="L466" s="154" t="str">
        <f t="shared" si="1"/>
        <v/>
      </c>
      <c r="M466" s="241" t="str">
        <f>IFERROR(__xludf.DUMMYFUNCTION("VLOOKUP(C466,IMPORTRANGE(""https://docs.google.com/spreadsheets/d/1P8eX0NWBhUPS_hvzA11R6jkTNFrPrRYIx_dX_hYbxrk/edit?resourcekey=0-iw9bsKY2OqkUHCFMkCar3A&amp;gid=2055363397#gid=2055363397"",""MTR!C:O""),11,false)"),"")</f>
        <v/>
      </c>
      <c r="N466" s="241" t="str">
        <f>IFERROR(__xludf.DUMMYFUNCTION("VLOOKUP(C466,IMPORTRANGE(""https://docs.google.com/spreadsheets/d/1ihFlp3_ePlYtFuPbUNbYj1muErVpI73WHXbEwJDIA7Q/edit#gid=1493122344"",""MTR!C:O""),8,false)"),"")</f>
        <v/>
      </c>
      <c r="O466" s="241" t="str">
        <f>IFERROR(__xludf.DUMMYFUNCTION("VLOOKUP(C466,IMPORTRANGE(""https://docs.google.com/spreadsheets/d/1P8eX0NWBhUPS_hvzA11R6jkTNFrPrRYIx_dX_hYbxrk/edit?resourcekey=0-iw9bsKY2OqkUHCFMkCar3A&amp;gid=2055363397#gid=2055363397"",""MTR!C:O""),9,false)"),"")</f>
        <v/>
      </c>
      <c r="P466" s="241"/>
      <c r="Q466" s="241"/>
      <c r="R466" s="241"/>
      <c r="S466" s="240" t="s">
        <v>390</v>
      </c>
      <c r="T466" s="240" t="s">
        <v>390</v>
      </c>
      <c r="U466" s="240" t="s">
        <v>390</v>
      </c>
      <c r="V466" s="240" t="s">
        <v>390</v>
      </c>
      <c r="W466" s="240" t="s">
        <v>390</v>
      </c>
      <c r="X466" s="240" t="s">
        <v>390</v>
      </c>
      <c r="Y466" s="240" t="s">
        <v>390</v>
      </c>
      <c r="Z466" s="240" t="s">
        <v>390</v>
      </c>
      <c r="AA466" s="240" t="s">
        <v>390</v>
      </c>
      <c r="AB466" s="240"/>
      <c r="AC466" s="242" t="b">
        <f t="shared" si="2"/>
        <v>0</v>
      </c>
      <c r="AD466" s="240" t="s">
        <v>391</v>
      </c>
      <c r="AE466" s="243" t="b">
        <f t="shared" si="3"/>
        <v>0</v>
      </c>
      <c r="AF466" s="240"/>
      <c r="AG466" s="243" t="b">
        <f t="shared" si="4"/>
        <v>0</v>
      </c>
      <c r="AH466" s="240"/>
      <c r="AI466" s="243" t="str">
        <f t="shared" si="5"/>
        <v>N/A</v>
      </c>
      <c r="AJ466" s="157" t="str">
        <f t="shared" si="6"/>
        <v/>
      </c>
    </row>
    <row r="467" ht="12.75" customHeight="1">
      <c r="A467" s="244" t="s">
        <v>621</v>
      </c>
      <c r="B467" s="244" t="s">
        <v>1339</v>
      </c>
      <c r="C467" s="244" t="s">
        <v>1598</v>
      </c>
      <c r="D467" s="154" t="s">
        <v>1315</v>
      </c>
      <c r="E467" s="250"/>
      <c r="F467" s="154" t="str">
        <f t="array" ref="F467">XLOOKUP(Cover!$D$12,$S$1:$AA$1,$S467:$AA467)</f>
        <v>Mandatory</v>
      </c>
      <c r="G467" s="153" t="s">
        <v>1599</v>
      </c>
      <c r="H467" s="154" t="s">
        <v>1122</v>
      </c>
      <c r="I467" s="154" t="s">
        <v>759</v>
      </c>
      <c r="J467" s="247" t="s">
        <v>506</v>
      </c>
      <c r="K467" s="247" t="s">
        <v>1600</v>
      </c>
      <c r="L467" s="154" t="str">
        <f t="shared" si="1"/>
        <v/>
      </c>
      <c r="M467" s="248" t="str">
        <f>IFERROR(__xludf.DUMMYFUNCTION("VLOOKUP(C467,IMPORTRANGE(""https://docs.google.com/spreadsheets/d/1P8eX0NWBhUPS_hvzA11R6jkTNFrPrRYIx_dX_hYbxrk/edit?resourcekey=0-iw9bsKY2OqkUHCFMkCar3A&amp;gid=2055363397#gid=2055363397"",""MTR!C:O""),11,false)"),"TAM")</f>
        <v>TAM</v>
      </c>
      <c r="N467" s="248" t="str">
        <f>IFERROR(__xludf.DUMMYFUNCTION("VLOOKUP(C467,IMPORTRANGE(""https://docs.google.com/spreadsheets/d/1ihFlp3_ePlYtFuPbUNbYj1muErVpI73WHXbEwJDIA7Q/edit#gid=1493122344"",""MTR!C:O""),8,false)"),"Partially Complies")</f>
        <v>Partially Complies</v>
      </c>
      <c r="O467" s="248" t="str">
        <f>IFERROR(__xludf.DUMMYFUNCTION("VLOOKUP(C467,IMPORTRANGE(""https://docs.google.com/spreadsheets/d/1P8eX0NWBhUPS_hvzA11R6jkTNFrPrRYIx_dX_hYbxrk/edit?resourcekey=0-iw9bsKY2OqkUHCFMkCar3A&amp;gid=2055363397#gid=2055363397"",""MTR!C:O""),9,false)"),"SA disabled.")</f>
        <v>SA disabled.</v>
      </c>
      <c r="P467" s="248"/>
      <c r="Q467" s="249" t="s">
        <v>506</v>
      </c>
      <c r="R467" s="249" t="s">
        <v>1600</v>
      </c>
      <c r="S467" s="154" t="s">
        <v>66</v>
      </c>
      <c r="T467" s="154" t="s">
        <v>66</v>
      </c>
      <c r="U467" s="154" t="s">
        <v>60</v>
      </c>
      <c r="V467" s="154" t="s">
        <v>60</v>
      </c>
      <c r="W467" s="154" t="s">
        <v>60</v>
      </c>
      <c r="X467" s="154" t="s">
        <v>60</v>
      </c>
      <c r="Y467" s="154" t="s">
        <v>66</v>
      </c>
      <c r="Z467" s="154" t="s">
        <v>60</v>
      </c>
      <c r="AA467" s="154" t="s">
        <v>60</v>
      </c>
      <c r="AB467" s="154"/>
      <c r="AC467" s="242" t="b">
        <f t="shared" si="2"/>
        <v>1</v>
      </c>
      <c r="AD467" s="154" t="s">
        <v>391</v>
      </c>
      <c r="AE467" s="243" t="b">
        <f t="shared" si="3"/>
        <v>0</v>
      </c>
      <c r="AF467" s="154"/>
      <c r="AG467" s="243" t="b">
        <f t="shared" si="4"/>
        <v>0</v>
      </c>
      <c r="AH467" s="154" t="s">
        <v>1346</v>
      </c>
      <c r="AI467" s="243" t="str">
        <f t="shared" si="5"/>
        <v>Partially Complies</v>
      </c>
      <c r="AJ467" s="157" t="str">
        <f t="shared" si="6"/>
        <v/>
      </c>
    </row>
    <row r="468" ht="12.75" customHeight="1">
      <c r="A468" s="244" t="s">
        <v>621</v>
      </c>
      <c r="B468" s="244" t="s">
        <v>1339</v>
      </c>
      <c r="C468" s="244" t="s">
        <v>1601</v>
      </c>
      <c r="D468" s="154" t="s">
        <v>45</v>
      </c>
      <c r="E468" s="250"/>
      <c r="F468" s="154" t="str">
        <f t="array" ref="F468">XLOOKUP(Cover!$D$12,$S$1:$AA$1,$S468:$AA468)</f>
        <v>Mandatory</v>
      </c>
      <c r="G468" s="153" t="s">
        <v>1602</v>
      </c>
      <c r="H468" s="154" t="s">
        <v>1122</v>
      </c>
      <c r="I468" s="154" t="s">
        <v>759</v>
      </c>
      <c r="J468" s="247" t="s">
        <v>516</v>
      </c>
      <c r="K468" s="154"/>
      <c r="L468" s="154" t="str">
        <f t="shared" si="1"/>
        <v>Comments Vendor missing!
</v>
      </c>
      <c r="M468" s="248" t="str">
        <f>IFERROR(__xludf.DUMMYFUNCTION("VLOOKUP(C468,IMPORTRANGE(""https://docs.google.com/spreadsheets/d/1P8eX0NWBhUPS_hvzA11R6jkTNFrPrRYIx_dX_hYbxrk/edit?resourcekey=0-iw9bsKY2OqkUHCFMkCar3A&amp;gid=2055363397#gid=2055363397"",""MTR!C:O""),11,false)"),"PMW-AS")</f>
        <v>PMW-AS</v>
      </c>
      <c r="N468" s="253" t="str">
        <f>IFERROR(__xludf.DUMMYFUNCTION("VLOOKUP(C468,IMPORTRANGE(""https://docs.google.com/spreadsheets/d/1ihFlp3_ePlYtFuPbUNbYj1muErVpI73WHXbEwJDIA7Q/edit#gid=1493122344"",""MTR!C:O""),8,false)"),"#N/A")</f>
        <v>#N/A</v>
      </c>
      <c r="O468" s="248" t="str">
        <f>IFERROR(__xludf.DUMMYFUNCTION("VLOOKUP(C468,IMPORTRANGE(""https://docs.google.com/spreadsheets/d/1P8eX0NWBhUPS_hvzA11R6jkTNFrPrRYIx_dX_hYbxrk/edit?resourcekey=0-iw9bsKY2OqkUHCFMkCar3A&amp;gid=2055363397#gid=2055363397"",""MTR!C:O""),9,false)"),"CA_n1A-n7A
n1A(4-4)[[50],[50]];
n7A(4-4)[[50],[50]]
SA disabled.")</f>
        <v>CA_n1A-n7A
n1A(4-4)[[50],[50]];
n7A(4-4)[[50],[50]]
SA disabled.</v>
      </c>
      <c r="P468" s="248"/>
      <c r="Q468" s="248"/>
      <c r="R468" s="248"/>
      <c r="S468" s="154" t="s">
        <v>66</v>
      </c>
      <c r="T468" s="154" t="s">
        <v>66</v>
      </c>
      <c r="U468" s="154" t="s">
        <v>60</v>
      </c>
      <c r="V468" s="154" t="s">
        <v>60</v>
      </c>
      <c r="W468" s="154" t="s">
        <v>60</v>
      </c>
      <c r="X468" s="154" t="s">
        <v>60</v>
      </c>
      <c r="Y468" s="154" t="s">
        <v>66</v>
      </c>
      <c r="Z468" s="154" t="s">
        <v>60</v>
      </c>
      <c r="AA468" s="154" t="s">
        <v>60</v>
      </c>
      <c r="AB468" s="154"/>
      <c r="AC468" s="242" t="b">
        <f t="shared" si="2"/>
        <v>1</v>
      </c>
      <c r="AD468" s="154" t="s">
        <v>445</v>
      </c>
      <c r="AE468" s="243" t="b">
        <f t="shared" si="3"/>
        <v>0</v>
      </c>
      <c r="AF468" s="154" t="s">
        <v>1603</v>
      </c>
      <c r="AG468" s="243" t="b">
        <f t="shared" si="4"/>
        <v>1</v>
      </c>
      <c r="AH468" s="154" t="s">
        <v>1598</v>
      </c>
      <c r="AI468" s="243" t="str">
        <f t="shared" si="5"/>
        <v>Partially Complies</v>
      </c>
      <c r="AJ468" s="157" t="str">
        <f t="shared" si="6"/>
        <v>Comments Vendor missing!
</v>
      </c>
    </row>
    <row r="469" ht="12.75" customHeight="1">
      <c r="A469" s="244" t="s">
        <v>621</v>
      </c>
      <c r="B469" s="244" t="s">
        <v>1339</v>
      </c>
      <c r="C469" s="244" t="s">
        <v>1604</v>
      </c>
      <c r="D469" s="154" t="s">
        <v>45</v>
      </c>
      <c r="E469" s="250"/>
      <c r="F469" s="154" t="str">
        <f t="array" ref="F469">XLOOKUP(Cover!$D$12,$S$1:$AA$1,$S469:$AA469)</f>
        <v>Mandatory</v>
      </c>
      <c r="G469" s="153" t="s">
        <v>1605</v>
      </c>
      <c r="H469" s="154" t="s">
        <v>1122</v>
      </c>
      <c r="I469" s="154" t="s">
        <v>759</v>
      </c>
      <c r="J469" s="247" t="s">
        <v>516</v>
      </c>
      <c r="K469" s="154"/>
      <c r="L469" s="154" t="str">
        <f t="shared" si="1"/>
        <v>Comments Vendor missing!
</v>
      </c>
      <c r="M469" s="248" t="str">
        <f>IFERROR(__xludf.DUMMYFUNCTION("VLOOKUP(C469,IMPORTRANGE(""https://docs.google.com/spreadsheets/d/1P8eX0NWBhUPS_hvzA11R6jkTNFrPrRYIx_dX_hYbxrk/edit?resourcekey=0-iw9bsKY2OqkUHCFMkCar3A&amp;gid=2055363397#gid=2055363397"",""MTR!C:O""),11,false)"),"PMW-AS")</f>
        <v>PMW-AS</v>
      </c>
      <c r="N469" s="253" t="str">
        <f>IFERROR(__xludf.DUMMYFUNCTION("VLOOKUP(C469,IMPORTRANGE(""https://docs.google.com/spreadsheets/d/1ihFlp3_ePlYtFuPbUNbYj1muErVpI73WHXbEwJDIA7Q/edit#gid=1493122344"",""MTR!C:O""),8,false)"),"#N/A")</f>
        <v>#N/A</v>
      </c>
      <c r="O469" s="248" t="str">
        <f>IFERROR(__xludf.DUMMYFUNCTION("VLOOKUP(C469,IMPORTRANGE(""https://docs.google.com/spreadsheets/d/1P8eX0NWBhUPS_hvzA11R6jkTNFrPrRYIx_dX_hYbxrk/edit?resourcekey=0-iw9bsKY2OqkUHCFMkCar3A&amp;gid=2055363397#gid=2055363397"",""MTR!C:O""),9,false)"),"CA_n1A-n78A
n1A(4-4)[[50],[100]];
n78A(4-4)[[50],[100]];
CA_n1A-n78A(4-4)[[50],[100]]
SA disabled.")</f>
        <v>CA_n1A-n78A
n1A(4-4)[[50],[100]];
n78A(4-4)[[50],[100]];
CA_n1A-n78A(4-4)[[50],[100]]
SA disabled.</v>
      </c>
      <c r="P469" s="248"/>
      <c r="Q469" s="248"/>
      <c r="R469" s="248"/>
      <c r="S469" s="154" t="s">
        <v>66</v>
      </c>
      <c r="T469" s="154" t="s">
        <v>66</v>
      </c>
      <c r="U469" s="154" t="s">
        <v>60</v>
      </c>
      <c r="V469" s="154" t="s">
        <v>60</v>
      </c>
      <c r="W469" s="154" t="s">
        <v>60</v>
      </c>
      <c r="X469" s="154" t="s">
        <v>60</v>
      </c>
      <c r="Y469" s="154" t="s">
        <v>66</v>
      </c>
      <c r="Z469" s="154" t="s">
        <v>60</v>
      </c>
      <c r="AA469" s="154" t="s">
        <v>60</v>
      </c>
      <c r="AB469" s="154"/>
      <c r="AC469" s="242" t="b">
        <f t="shared" si="2"/>
        <v>1</v>
      </c>
      <c r="AD469" s="154" t="s">
        <v>445</v>
      </c>
      <c r="AE469" s="243" t="b">
        <f t="shared" si="3"/>
        <v>0</v>
      </c>
      <c r="AF469" s="154" t="s">
        <v>1606</v>
      </c>
      <c r="AG469" s="243" t="b">
        <f t="shared" si="4"/>
        <v>1</v>
      </c>
      <c r="AH469" s="154" t="s">
        <v>1598</v>
      </c>
      <c r="AI469" s="243" t="str">
        <f t="shared" si="5"/>
        <v>Partially Complies</v>
      </c>
      <c r="AJ469" s="157" t="str">
        <f t="shared" si="6"/>
        <v>Comments Vendor missing!
</v>
      </c>
    </row>
    <row r="470" ht="12.75" customHeight="1">
      <c r="A470" s="244" t="s">
        <v>621</v>
      </c>
      <c r="B470" s="244" t="s">
        <v>1339</v>
      </c>
      <c r="C470" s="244" t="s">
        <v>1607</v>
      </c>
      <c r="D470" s="154" t="s">
        <v>45</v>
      </c>
      <c r="E470" s="250"/>
      <c r="F470" s="154" t="str">
        <f t="array" ref="F470">XLOOKUP(Cover!$D$12,$S$1:$AA$1,$S470:$AA470)</f>
        <v>Mandatory</v>
      </c>
      <c r="G470" s="153" t="s">
        <v>1608</v>
      </c>
      <c r="H470" s="154" t="s">
        <v>1122</v>
      </c>
      <c r="I470" s="154" t="s">
        <v>759</v>
      </c>
      <c r="J470" s="247" t="s">
        <v>516</v>
      </c>
      <c r="K470" s="154"/>
      <c r="L470" s="154" t="str">
        <f t="shared" si="1"/>
        <v>Comments Vendor missing!
</v>
      </c>
      <c r="M470" s="248" t="str">
        <f>IFERROR(__xludf.DUMMYFUNCTION("VLOOKUP(C470,IMPORTRANGE(""https://docs.google.com/spreadsheets/d/1P8eX0NWBhUPS_hvzA11R6jkTNFrPrRYIx_dX_hYbxrk/edit?resourcekey=0-iw9bsKY2OqkUHCFMkCar3A&amp;gid=2055363397#gid=2055363397"",""MTR!C:O""),11,false)"),"PMW-AS")</f>
        <v>PMW-AS</v>
      </c>
      <c r="N470" s="253" t="str">
        <f>IFERROR(__xludf.DUMMYFUNCTION("VLOOKUP(C470,IMPORTRANGE(""https://docs.google.com/spreadsheets/d/1ihFlp3_ePlYtFuPbUNbYj1muErVpI73WHXbEwJDIA7Q/edit#gid=1493122344"",""MTR!C:O""),8,false)"),"#N/A")</f>
        <v>#N/A</v>
      </c>
      <c r="O470" s="248" t="str">
        <f>IFERROR(__xludf.DUMMYFUNCTION("VLOOKUP(C470,IMPORTRANGE(""https://docs.google.com/spreadsheets/d/1P8eX0NWBhUPS_hvzA11R6jkTNFrPrRYIx_dX_hYbxrk/edit?resourcekey=0-iw9bsKY2OqkUHCFMkCar3A&amp;gid=2055363397#gid=2055363397"",""MTR!C:O""),9,false)"),"SA disabled.")</f>
        <v>SA disabled.</v>
      </c>
      <c r="P470" s="248"/>
      <c r="Q470" s="248"/>
      <c r="R470" s="248"/>
      <c r="S470" s="154" t="s">
        <v>66</v>
      </c>
      <c r="T470" s="154" t="s">
        <v>66</v>
      </c>
      <c r="U470" s="154" t="s">
        <v>60</v>
      </c>
      <c r="V470" s="154" t="s">
        <v>60</v>
      </c>
      <c r="W470" s="154" t="s">
        <v>60</v>
      </c>
      <c r="X470" s="154" t="s">
        <v>60</v>
      </c>
      <c r="Y470" s="154" t="s">
        <v>66</v>
      </c>
      <c r="Z470" s="154" t="s">
        <v>60</v>
      </c>
      <c r="AA470" s="154" t="s">
        <v>60</v>
      </c>
      <c r="AB470" s="154"/>
      <c r="AC470" s="242" t="b">
        <f t="shared" si="2"/>
        <v>1</v>
      </c>
      <c r="AD470" s="154" t="s">
        <v>445</v>
      </c>
      <c r="AE470" s="243" t="b">
        <f t="shared" si="3"/>
        <v>0</v>
      </c>
      <c r="AF470" s="154" t="s">
        <v>1609</v>
      </c>
      <c r="AG470" s="243" t="b">
        <f t="shared" si="4"/>
        <v>1</v>
      </c>
      <c r="AH470" s="154" t="s">
        <v>1598</v>
      </c>
      <c r="AI470" s="243" t="str">
        <f t="shared" si="5"/>
        <v>Partially Complies</v>
      </c>
      <c r="AJ470" s="157" t="str">
        <f t="shared" si="6"/>
        <v>Comments Vendor missing!
</v>
      </c>
    </row>
    <row r="471" ht="12.75" customHeight="1">
      <c r="A471" s="244" t="s">
        <v>621</v>
      </c>
      <c r="B471" s="244" t="s">
        <v>1339</v>
      </c>
      <c r="C471" s="244" t="s">
        <v>1610</v>
      </c>
      <c r="D471" s="244" t="s">
        <v>1315</v>
      </c>
      <c r="E471" s="244"/>
      <c r="F471" s="154" t="str">
        <f t="array" ref="F471">XLOOKUP(Cover!$D$12,$S$1:$AA$1,$S471:$AA471)</f>
        <v>Mandatory</v>
      </c>
      <c r="G471" s="153" t="s">
        <v>1611</v>
      </c>
      <c r="H471" s="154" t="s">
        <v>1018</v>
      </c>
      <c r="I471" s="154" t="s">
        <v>759</v>
      </c>
      <c r="J471" s="247" t="s">
        <v>506</v>
      </c>
      <c r="K471" s="247" t="s">
        <v>1612</v>
      </c>
      <c r="L471" s="154" t="str">
        <f t="shared" si="1"/>
        <v/>
      </c>
      <c r="M471" s="248" t="str">
        <f>IFERROR(__xludf.DUMMYFUNCTION("VLOOKUP(C471,IMPORTRANGE(""https://docs.google.com/spreadsheets/d/1P8eX0NWBhUPS_hvzA11R6jkTNFrPrRYIx_dX_hYbxrk/edit?resourcekey=0-iw9bsKY2OqkUHCFMkCar3A&amp;gid=2055363397#gid=2055363397"",""MTR!C:O""),11,false)"),"TAM")</f>
        <v>TAM</v>
      </c>
      <c r="N471" s="248" t="str">
        <f>IFERROR(__xludf.DUMMYFUNCTION("VLOOKUP(C471,IMPORTRANGE(""https://docs.google.com/spreadsheets/d/1ihFlp3_ePlYtFuPbUNbYj1muErVpI73WHXbEwJDIA7Q/edit#gid=1493122344"",""MTR!C:O""),8,false)"),"Partially Complies")</f>
        <v>Partially Complies</v>
      </c>
      <c r="O471" s="248" t="str">
        <f>IFERROR(__xludf.DUMMYFUNCTION("VLOOKUP(C471,IMPORTRANGE(""https://docs.google.com/spreadsheets/d/1P8eX0NWBhUPS_hvzA11R6jkTNFrPrRYIx_dX_hYbxrk/edit?resourcekey=0-iw9bsKY2OqkUHCFMkCar3A&amp;gid=2055363397#gid=2055363397"",""MTR!C:O""),9,false)"),"SA disabled.")</f>
        <v>SA disabled.</v>
      </c>
      <c r="P471" s="248"/>
      <c r="Q471" s="249" t="s">
        <v>506</v>
      </c>
      <c r="R471" s="249" t="s">
        <v>1612</v>
      </c>
      <c r="S471" s="154" t="s">
        <v>66</v>
      </c>
      <c r="T471" s="154" t="s">
        <v>66</v>
      </c>
      <c r="U471" s="154" t="s">
        <v>66</v>
      </c>
      <c r="V471" s="154" t="s">
        <v>66</v>
      </c>
      <c r="W471" s="154" t="s">
        <v>60</v>
      </c>
      <c r="X471" s="154" t="s">
        <v>60</v>
      </c>
      <c r="Y471" s="154" t="s">
        <v>66</v>
      </c>
      <c r="Z471" s="154" t="s">
        <v>66</v>
      </c>
      <c r="AA471" s="154" t="s">
        <v>60</v>
      </c>
      <c r="AB471" s="154"/>
      <c r="AC471" s="242" t="b">
        <f t="shared" si="2"/>
        <v>1</v>
      </c>
      <c r="AD471" s="154" t="s">
        <v>391</v>
      </c>
      <c r="AE471" s="243" t="b">
        <f t="shared" si="3"/>
        <v>0</v>
      </c>
      <c r="AF471" s="154"/>
      <c r="AG471" s="243" t="b">
        <f t="shared" si="4"/>
        <v>0</v>
      </c>
      <c r="AH471" s="154" t="s">
        <v>1346</v>
      </c>
      <c r="AI471" s="243" t="str">
        <f t="shared" si="5"/>
        <v>Partially Complies</v>
      </c>
      <c r="AJ471" s="157" t="str">
        <f t="shared" si="6"/>
        <v/>
      </c>
    </row>
    <row r="472" ht="12.75" customHeight="1">
      <c r="A472" s="244" t="s">
        <v>621</v>
      </c>
      <c r="B472" s="244" t="s">
        <v>1339</v>
      </c>
      <c r="C472" s="244" t="s">
        <v>1613</v>
      </c>
      <c r="D472" s="154" t="s">
        <v>45</v>
      </c>
      <c r="E472" s="250"/>
      <c r="F472" s="154" t="str">
        <f t="array" ref="F472">XLOOKUP(Cover!$D$12,$S$1:$AA$1,$S472:$AA472)</f>
        <v>Mandatory</v>
      </c>
      <c r="G472" s="153" t="s">
        <v>1614</v>
      </c>
      <c r="H472" s="154" t="s">
        <v>1018</v>
      </c>
      <c r="I472" s="154" t="s">
        <v>759</v>
      </c>
      <c r="J472" s="247" t="s">
        <v>516</v>
      </c>
      <c r="K472" s="154"/>
      <c r="L472" s="154" t="str">
        <f t="shared" si="1"/>
        <v>Comments Vendor missing!
</v>
      </c>
      <c r="M472" s="248" t="str">
        <f>IFERROR(__xludf.DUMMYFUNCTION("VLOOKUP(C472,IMPORTRANGE(""https://docs.google.com/spreadsheets/d/1P8eX0NWBhUPS_hvzA11R6jkTNFrPrRYIx_dX_hYbxrk/edit?resourcekey=0-iw9bsKY2OqkUHCFMkCar3A&amp;gid=2055363397#gid=2055363397"",""MTR!C:O""),11,false)"),"PMW-AS")</f>
        <v>PMW-AS</v>
      </c>
      <c r="N472" s="253" t="str">
        <f>IFERROR(__xludf.DUMMYFUNCTION("VLOOKUP(C472,IMPORTRANGE(""https://docs.google.com/spreadsheets/d/1ihFlp3_ePlYtFuPbUNbYj1muErVpI73WHXbEwJDIA7Q/edit#gid=1493122344"",""MTR!C:O""),8,false)"),"#N/A")</f>
        <v>#N/A</v>
      </c>
      <c r="O472" s="248" t="str">
        <f>IFERROR(__xludf.DUMMYFUNCTION("VLOOKUP(C472,IMPORTRANGE(""https://docs.google.com/spreadsheets/d/1P8eX0NWBhUPS_hvzA11R6jkTNFrPrRYIx_dX_hYbxrk/edit?resourcekey=0-iw9bsKY2OqkUHCFMkCar3A&amp;gid=2055363397#gid=2055363397"",""MTR!C:O""),9,false)"),"CA_n1A-n3A-n7A
n1A(4-4-4)[[50],[50],[50]];
n3A(4-4-4)[[50],[50],[50]];
n7A(4-4-4)[[50],[50],[50]]
SA disabled.")</f>
        <v>CA_n1A-n3A-n7A
n1A(4-4-4)[[50],[50],[50]];
n3A(4-4-4)[[50],[50],[50]];
n7A(4-4-4)[[50],[50],[50]]
SA disabled.</v>
      </c>
      <c r="P472" s="248"/>
      <c r="Q472" s="248"/>
      <c r="R472" s="248"/>
      <c r="S472" s="154" t="s">
        <v>66</v>
      </c>
      <c r="T472" s="154" t="s">
        <v>66</v>
      </c>
      <c r="U472" s="154" t="s">
        <v>66</v>
      </c>
      <c r="V472" s="154" t="s">
        <v>66</v>
      </c>
      <c r="W472" s="154" t="s">
        <v>60</v>
      </c>
      <c r="X472" s="154" t="s">
        <v>60</v>
      </c>
      <c r="Y472" s="154" t="s">
        <v>66</v>
      </c>
      <c r="Z472" s="154" t="s">
        <v>66</v>
      </c>
      <c r="AA472" s="154" t="s">
        <v>60</v>
      </c>
      <c r="AB472" s="154"/>
      <c r="AC472" s="242" t="b">
        <f t="shared" si="2"/>
        <v>1</v>
      </c>
      <c r="AD472" s="154" t="s">
        <v>445</v>
      </c>
      <c r="AE472" s="243" t="b">
        <f t="shared" si="3"/>
        <v>0</v>
      </c>
      <c r="AF472" s="154" t="s">
        <v>1603</v>
      </c>
      <c r="AG472" s="243" t="b">
        <f t="shared" si="4"/>
        <v>1</v>
      </c>
      <c r="AH472" s="154" t="s">
        <v>1610</v>
      </c>
      <c r="AI472" s="243" t="str">
        <f t="shared" si="5"/>
        <v>Partially Complies</v>
      </c>
      <c r="AJ472" s="157" t="str">
        <f t="shared" si="6"/>
        <v>Comments Vendor missing!
</v>
      </c>
    </row>
    <row r="473" ht="12.75" customHeight="1">
      <c r="A473" s="244" t="s">
        <v>621</v>
      </c>
      <c r="B473" s="244" t="s">
        <v>1339</v>
      </c>
      <c r="C473" s="244" t="s">
        <v>1615</v>
      </c>
      <c r="D473" s="154" t="s">
        <v>45</v>
      </c>
      <c r="E473" s="250"/>
      <c r="F473" s="154" t="str">
        <f t="array" ref="F473">XLOOKUP(Cover!$D$12,$S$1:$AA$1,$S473:$AA473)</f>
        <v>Mandatory</v>
      </c>
      <c r="G473" s="153" t="s">
        <v>1616</v>
      </c>
      <c r="H473" s="154" t="s">
        <v>1018</v>
      </c>
      <c r="I473" s="154" t="s">
        <v>759</v>
      </c>
      <c r="J473" s="247" t="s">
        <v>516</v>
      </c>
      <c r="K473" s="154"/>
      <c r="L473" s="154" t="str">
        <f t="shared" si="1"/>
        <v>Comments Vendor missing!
</v>
      </c>
      <c r="M473" s="248" t="str">
        <f>IFERROR(__xludf.DUMMYFUNCTION("VLOOKUP(C473,IMPORTRANGE(""https://docs.google.com/spreadsheets/d/1P8eX0NWBhUPS_hvzA11R6jkTNFrPrRYIx_dX_hYbxrk/edit?resourcekey=0-iw9bsKY2OqkUHCFMkCar3A&amp;gid=2055363397#gid=2055363397"",""MTR!C:O""),11,false)"),"PMW-AS")</f>
        <v>PMW-AS</v>
      </c>
      <c r="N473" s="253" t="str">
        <f>IFERROR(__xludf.DUMMYFUNCTION("VLOOKUP(C473,IMPORTRANGE(""https://docs.google.com/spreadsheets/d/1ihFlp3_ePlYtFuPbUNbYj1muErVpI73WHXbEwJDIA7Q/edit#gid=1493122344"",""MTR!C:O""),8,false)"),"#N/A")</f>
        <v>#N/A</v>
      </c>
      <c r="O473" s="248" t="str">
        <f>IFERROR(__xludf.DUMMYFUNCTION("VLOOKUP(C473,IMPORTRANGE(""https://docs.google.com/spreadsheets/d/1P8eX0NWBhUPS_hvzA11R6jkTNFrPrRYIx_dX_hYbxrk/edit?resourcekey=0-iw9bsKY2OqkUHCFMkCar3A&amp;gid=2055363397#gid=2055363397"",""MTR!C:O""),9,false)"),"CA_n1A-n3A-n78A
n1A(4-4-4)[[50],[50],[100]];
n3A(4-4-4)[[50],[50],[100]];
n78A(4-4-4)[[50],[50],[100]];
SA disabled.")</f>
        <v>CA_n1A-n3A-n78A
n1A(4-4-4)[[50],[50],[100]];
n3A(4-4-4)[[50],[50],[100]];
n78A(4-4-4)[[50],[50],[100]];
SA disabled.</v>
      </c>
      <c r="P473" s="248"/>
      <c r="Q473" s="248"/>
      <c r="R473" s="248"/>
      <c r="S473" s="154" t="s">
        <v>66</v>
      </c>
      <c r="T473" s="154" t="s">
        <v>66</v>
      </c>
      <c r="U473" s="154" t="s">
        <v>66</v>
      </c>
      <c r="V473" s="154" t="s">
        <v>66</v>
      </c>
      <c r="W473" s="154" t="s">
        <v>60</v>
      </c>
      <c r="X473" s="154" t="s">
        <v>60</v>
      </c>
      <c r="Y473" s="154" t="s">
        <v>66</v>
      </c>
      <c r="Z473" s="154" t="s">
        <v>66</v>
      </c>
      <c r="AA473" s="154" t="s">
        <v>60</v>
      </c>
      <c r="AB473" s="154"/>
      <c r="AC473" s="242" t="b">
        <f t="shared" si="2"/>
        <v>1</v>
      </c>
      <c r="AD473" s="154" t="s">
        <v>445</v>
      </c>
      <c r="AE473" s="243" t="b">
        <f t="shared" si="3"/>
        <v>0</v>
      </c>
      <c r="AF473" s="154" t="s">
        <v>1617</v>
      </c>
      <c r="AG473" s="243" t="b">
        <f t="shared" si="4"/>
        <v>1</v>
      </c>
      <c r="AH473" s="154" t="s">
        <v>1610</v>
      </c>
      <c r="AI473" s="243" t="str">
        <f t="shared" si="5"/>
        <v>Partially Complies</v>
      </c>
      <c r="AJ473" s="157" t="str">
        <f t="shared" si="6"/>
        <v>Comments Vendor missing!
</v>
      </c>
    </row>
    <row r="474" ht="12.75" customHeight="1">
      <c r="A474" s="244" t="s">
        <v>621</v>
      </c>
      <c r="B474" s="244" t="s">
        <v>1339</v>
      </c>
      <c r="C474" s="244" t="s">
        <v>1618</v>
      </c>
      <c r="D474" s="154" t="s">
        <v>45</v>
      </c>
      <c r="E474" s="250"/>
      <c r="F474" s="154" t="str">
        <f t="array" ref="F474">XLOOKUP(Cover!$D$12,$S$1:$AA$1,$S474:$AA474)</f>
        <v>Mandatory</v>
      </c>
      <c r="G474" s="153" t="s">
        <v>1619</v>
      </c>
      <c r="H474" s="154" t="s">
        <v>1018</v>
      </c>
      <c r="I474" s="154" t="s">
        <v>759</v>
      </c>
      <c r="J474" s="247" t="s">
        <v>516</v>
      </c>
      <c r="K474" s="154"/>
      <c r="L474" s="154" t="str">
        <f t="shared" si="1"/>
        <v>Comments Vendor missing!
</v>
      </c>
      <c r="M474" s="248" t="str">
        <f>IFERROR(__xludf.DUMMYFUNCTION("VLOOKUP(C474,IMPORTRANGE(""https://docs.google.com/spreadsheets/d/1P8eX0NWBhUPS_hvzA11R6jkTNFrPrRYIx_dX_hYbxrk/edit?resourcekey=0-iw9bsKY2OqkUHCFMkCar3A&amp;gid=2055363397#gid=2055363397"",""MTR!C:O""),11,false)"),"PMW-AS")</f>
        <v>PMW-AS</v>
      </c>
      <c r="N474" s="253" t="str">
        <f>IFERROR(__xludf.DUMMYFUNCTION("VLOOKUP(C474,IMPORTRANGE(""https://docs.google.com/spreadsheets/d/1ihFlp3_ePlYtFuPbUNbYj1muErVpI73WHXbEwJDIA7Q/edit#gid=1493122344"",""MTR!C:O""),8,false)"),"#N/A")</f>
        <v>#N/A</v>
      </c>
      <c r="O474" s="248" t="str">
        <f>IFERROR(__xludf.DUMMYFUNCTION("VLOOKUP(C474,IMPORTRANGE(""https://docs.google.com/spreadsheets/d/1P8eX0NWBhUPS_hvzA11R6jkTNFrPrRYIx_dX_hYbxrk/edit?resourcekey=0-iw9bsKY2OqkUHCFMkCar3A&amp;gid=2055363397#gid=2055363397"",""MTR!C:O""),9,false)"),"CA_n3A-n41A-n78A
n3A(4-4-4)[[50],[100],[100]];
n41A(4-4-4)[[50],[100],[100]];
n78A(4-4-4)[[50],[100],[100]]
SA disabled.")</f>
        <v>CA_n3A-n41A-n78A
n3A(4-4-4)[[50],[100],[100]];
n41A(4-4-4)[[50],[100],[100]];
n78A(4-4-4)[[50],[100],[100]]
SA disabled.</v>
      </c>
      <c r="P474" s="248"/>
      <c r="Q474" s="248"/>
      <c r="R474" s="248"/>
      <c r="S474" s="154" t="s">
        <v>66</v>
      </c>
      <c r="T474" s="154" t="s">
        <v>66</v>
      </c>
      <c r="U474" s="154" t="s">
        <v>66</v>
      </c>
      <c r="V474" s="154" t="s">
        <v>66</v>
      </c>
      <c r="W474" s="154" t="s">
        <v>60</v>
      </c>
      <c r="X474" s="154" t="s">
        <v>60</v>
      </c>
      <c r="Y474" s="154" t="s">
        <v>66</v>
      </c>
      <c r="Z474" s="154" t="s">
        <v>66</v>
      </c>
      <c r="AA474" s="154" t="s">
        <v>60</v>
      </c>
      <c r="AB474" s="154"/>
      <c r="AC474" s="242" t="b">
        <f t="shared" si="2"/>
        <v>1</v>
      </c>
      <c r="AD474" s="154" t="s">
        <v>445</v>
      </c>
      <c r="AE474" s="243" t="b">
        <f t="shared" si="3"/>
        <v>0</v>
      </c>
      <c r="AF474" s="154" t="s">
        <v>1620</v>
      </c>
      <c r="AG474" s="243" t="b">
        <f t="shared" si="4"/>
        <v>1</v>
      </c>
      <c r="AH474" s="154" t="s">
        <v>1610</v>
      </c>
      <c r="AI474" s="243" t="str">
        <f t="shared" si="5"/>
        <v>Partially Complies</v>
      </c>
      <c r="AJ474" s="157" t="str">
        <f t="shared" si="6"/>
        <v>Comments Vendor missing!
</v>
      </c>
    </row>
    <row r="475" ht="12.75" customHeight="1">
      <c r="A475" s="244" t="s">
        <v>621</v>
      </c>
      <c r="B475" s="244" t="s">
        <v>1339</v>
      </c>
      <c r="C475" s="245" t="s">
        <v>1621</v>
      </c>
      <c r="D475" s="155" t="s">
        <v>1315</v>
      </c>
      <c r="E475" s="246" t="s">
        <v>92</v>
      </c>
      <c r="F475" s="154" t="str">
        <f t="array" ref="F475">XLOOKUP(Cover!$D$12,$S$1:$AA$1,$S475:$AA475)</f>
        <v>Mandatory</v>
      </c>
      <c r="G475" s="153" t="s">
        <v>1622</v>
      </c>
      <c r="H475" s="154" t="s">
        <v>175</v>
      </c>
      <c r="I475" s="154" t="s">
        <v>759</v>
      </c>
      <c r="J475" s="247" t="s">
        <v>506</v>
      </c>
      <c r="K475" s="247" t="s">
        <v>1623</v>
      </c>
      <c r="L475" s="154" t="str">
        <f t="shared" si="1"/>
        <v/>
      </c>
      <c r="M475" s="248" t="str">
        <f>IFERROR(__xludf.DUMMYFUNCTION("VLOOKUP(C475,IMPORTRANGE(""https://docs.google.com/spreadsheets/d/1P8eX0NWBhUPS_hvzA11R6jkTNFrPrRYIx_dX_hYbxrk/edit?resourcekey=0-iw9bsKY2OqkUHCFMkCar3A&amp;gid=2055363397#gid=2055363397"",""MTR!C:O""),11,false)"),"PMW-AS")</f>
        <v>PMW-AS</v>
      </c>
      <c r="N475" s="248" t="str">
        <f>IFERROR(__xludf.DUMMYFUNCTION("VLOOKUP(C475,IMPORTRANGE(""https://docs.google.com/spreadsheets/d/1ihFlp3_ePlYtFuPbUNbYj1muErVpI73WHXbEwJDIA7Q/edit#gid=1493122344"",""MTR!C:O""),8,false)"),"Partially Complies")</f>
        <v>Partially Complies</v>
      </c>
      <c r="O475" s="248" t="str">
        <f>IFERROR(__xludf.DUMMYFUNCTION("VLOOKUP(C475,IMPORTRANGE(""https://docs.google.com/spreadsheets/d/1P8eX0NWBhUPS_hvzA11R6jkTNFrPrRYIx_dX_hYbxrk/edit?resourcekey=0-iw9bsKY2OqkUHCFMkCar3A&amp;gid=2055363397#gid=2055363397"",""MTR!C:O""),9,false)"),"SA disabled.")</f>
        <v>SA disabled.</v>
      </c>
      <c r="P475" s="248"/>
      <c r="Q475" s="249" t="s">
        <v>506</v>
      </c>
      <c r="R475" s="249" t="s">
        <v>1612</v>
      </c>
      <c r="S475" s="154" t="s">
        <v>66</v>
      </c>
      <c r="T475" s="154" t="s">
        <v>66</v>
      </c>
      <c r="U475" s="154" t="s">
        <v>66</v>
      </c>
      <c r="V475" s="154" t="s">
        <v>66</v>
      </c>
      <c r="W475" s="154" t="s">
        <v>66</v>
      </c>
      <c r="X475" s="154" t="s">
        <v>60</v>
      </c>
      <c r="Y475" s="154" t="s">
        <v>66</v>
      </c>
      <c r="Z475" s="154" t="s">
        <v>66</v>
      </c>
      <c r="AA475" s="154" t="s">
        <v>60</v>
      </c>
      <c r="AB475" s="154"/>
      <c r="AC475" s="242" t="b">
        <f t="shared" si="2"/>
        <v>1</v>
      </c>
      <c r="AD475" s="154" t="s">
        <v>391</v>
      </c>
      <c r="AE475" s="243" t="b">
        <f t="shared" si="3"/>
        <v>0</v>
      </c>
      <c r="AF475" s="154"/>
      <c r="AG475" s="243" t="b">
        <f t="shared" si="4"/>
        <v>0</v>
      </c>
      <c r="AH475" s="154" t="s">
        <v>1346</v>
      </c>
      <c r="AI475" s="243" t="str">
        <f t="shared" si="5"/>
        <v>Partially Complies</v>
      </c>
      <c r="AJ475" s="157" t="str">
        <f t="shared" si="6"/>
        <v/>
      </c>
    </row>
    <row r="476" ht="12.75" customHeight="1">
      <c r="A476" s="244" t="s">
        <v>621</v>
      </c>
      <c r="B476" s="244" t="s">
        <v>1339</v>
      </c>
      <c r="C476" s="244" t="s">
        <v>1624</v>
      </c>
      <c r="D476" s="154" t="s">
        <v>45</v>
      </c>
      <c r="E476" s="250"/>
      <c r="F476" s="154" t="str">
        <f t="array" ref="F476">XLOOKUP(Cover!$D$12,$S$1:$AA$1,$S476:$AA476)</f>
        <v>Recommended</v>
      </c>
      <c r="G476" s="153" t="s">
        <v>1625</v>
      </c>
      <c r="H476" s="154"/>
      <c r="I476" s="154" t="s">
        <v>759</v>
      </c>
      <c r="J476" s="247" t="s">
        <v>516</v>
      </c>
      <c r="K476" s="154"/>
      <c r="L476" s="154" t="str">
        <f t="shared" si="1"/>
        <v>Comments Vendor missing!
</v>
      </c>
      <c r="M476" s="248" t="str">
        <f>IFERROR(__xludf.DUMMYFUNCTION("VLOOKUP(C476,IMPORTRANGE(""https://docs.google.com/spreadsheets/d/1P8eX0NWBhUPS_hvzA11R6jkTNFrPrRYIx_dX_hYbxrk/edit?resourcekey=0-iw9bsKY2OqkUHCFMkCar3A&amp;gid=2055363397#gid=2055363397"",""MTR!C:O""),11,false)"),"PMW-AS")</f>
        <v>PMW-AS</v>
      </c>
      <c r="N476" s="253" t="str">
        <f>IFERROR(__xludf.DUMMYFUNCTION("VLOOKUP(C476,IMPORTRANGE(""https://docs.google.com/spreadsheets/d/1ihFlp3_ePlYtFuPbUNbYj1muErVpI73WHXbEwJDIA7Q/edit#gid=1493122344"",""MTR!C:O""),8,false)"),"#N/A")</f>
        <v>#N/A</v>
      </c>
      <c r="O476" s="248" t="str">
        <f>IFERROR(__xludf.DUMMYFUNCTION("VLOOKUP(C476,IMPORTRANGE(""https://docs.google.com/spreadsheets/d/1P8eX0NWBhUPS_hvzA11R6jkTNFrPrRYIx_dX_hYbxrk/edit?resourcekey=0-iw9bsKY2OqkUHCFMkCar3A&amp;gid=2055363397#gid=2055363397"",""MTR!C:O""),9,false)"),"CA_n1A-n3A-n7A-n8A
n1A(4-4-4-2)[[50],[50],[50],[20]];
n3A(4-4-4-2)[[50],[50],[50],[20]];
n7A(4-4-4-2)[[50],[50],[50],[20]];
n8A(4-4-4-2)[[50],[50],[50],[20]]
SA disabled.")</f>
        <v>CA_n1A-n3A-n7A-n8A
n1A(4-4-4-2)[[50],[50],[50],[20]];
n3A(4-4-4-2)[[50],[50],[50],[20]];
n7A(4-4-4-2)[[50],[50],[50],[20]];
n8A(4-4-4-2)[[50],[50],[50],[20]]
SA disabled.</v>
      </c>
      <c r="P476" s="248"/>
      <c r="Q476" s="248"/>
      <c r="R476" s="248"/>
      <c r="S476" s="154" t="s">
        <v>66</v>
      </c>
      <c r="T476" s="154" t="s">
        <v>66</v>
      </c>
      <c r="U476" s="154" t="s">
        <v>66</v>
      </c>
      <c r="V476" s="154" t="s">
        <v>66</v>
      </c>
      <c r="W476" s="154" t="s">
        <v>66</v>
      </c>
      <c r="X476" s="154" t="s">
        <v>64</v>
      </c>
      <c r="Y476" s="154" t="s">
        <v>66</v>
      </c>
      <c r="Z476" s="154" t="s">
        <v>66</v>
      </c>
      <c r="AA476" s="154" t="s">
        <v>64</v>
      </c>
      <c r="AB476" s="154"/>
      <c r="AC476" s="242" t="b">
        <f t="shared" si="2"/>
        <v>1</v>
      </c>
      <c r="AD476" s="154" t="s">
        <v>445</v>
      </c>
      <c r="AE476" s="243" t="b">
        <f t="shared" si="3"/>
        <v>0</v>
      </c>
      <c r="AF476" s="154" t="s">
        <v>1603</v>
      </c>
      <c r="AG476" s="243" t="b">
        <f t="shared" si="4"/>
        <v>1</v>
      </c>
      <c r="AH476" s="154" t="s">
        <v>1621</v>
      </c>
      <c r="AI476" s="243" t="str">
        <f t="shared" si="5"/>
        <v>Partially Complies</v>
      </c>
      <c r="AJ476" s="157" t="str">
        <f t="shared" si="6"/>
        <v>Comments Vendor missing!
</v>
      </c>
    </row>
    <row r="477" ht="12.75" customHeight="1">
      <c r="A477" s="244" t="s">
        <v>621</v>
      </c>
      <c r="B477" s="244" t="s">
        <v>1339</v>
      </c>
      <c r="C477" s="244" t="s">
        <v>1626</v>
      </c>
      <c r="D477" s="154" t="s">
        <v>45</v>
      </c>
      <c r="E477" s="250"/>
      <c r="F477" s="154" t="str">
        <f t="array" ref="F477">XLOOKUP(Cover!$D$12,$S$1:$AA$1,$S477:$AA477)</f>
        <v>Mandatory</v>
      </c>
      <c r="G477" s="153" t="s">
        <v>1627</v>
      </c>
      <c r="H477" s="154" t="s">
        <v>175</v>
      </c>
      <c r="I477" s="154" t="s">
        <v>759</v>
      </c>
      <c r="J477" s="247" t="s">
        <v>516</v>
      </c>
      <c r="K477" s="154"/>
      <c r="L477" s="154" t="str">
        <f t="shared" si="1"/>
        <v>Comments Vendor missing!
</v>
      </c>
      <c r="M477" s="248" t="str">
        <f>IFERROR(__xludf.DUMMYFUNCTION("VLOOKUP(C477,IMPORTRANGE(""https://docs.google.com/spreadsheets/d/1P8eX0NWBhUPS_hvzA11R6jkTNFrPrRYIx_dX_hYbxrk/edit?resourcekey=0-iw9bsKY2OqkUHCFMkCar3A&amp;gid=2055363397#gid=2055363397"",""MTR!C:O""),11,false)"),"PMW-AS")</f>
        <v>PMW-AS</v>
      </c>
      <c r="N477" s="253" t="str">
        <f>IFERROR(__xludf.DUMMYFUNCTION("VLOOKUP(C477,IMPORTRANGE(""https://docs.google.com/spreadsheets/d/1ihFlp3_ePlYtFuPbUNbYj1muErVpI73WHXbEwJDIA7Q/edit#gid=1493122344"",""MTR!C:O""),8,false)"),"#N/A")</f>
        <v>#N/A</v>
      </c>
      <c r="O477" s="248" t="str">
        <f>IFERROR(__xludf.DUMMYFUNCTION("VLOOKUP(C477,IMPORTRANGE(""https://docs.google.com/spreadsheets/d/1P8eX0NWBhUPS_hvzA11R6jkTNFrPrRYIx_dX_hYbxrk/edit?resourcekey=0-iw9bsKY2OqkUHCFMkCar3A&amp;gid=2055363397#gid=2055363397"",""MTR!C:O""),9,false)"),"CA_n1A-n3A-n7A-n78A
n1A(4-4-4-4)[[20],[20],[50],[100]];
n3A(4-4-4-4)[[20],[20],[50],[100]];
n7A(4-4-4-4)[[20],[20],[50],[100]];
n78A(4-4-4-4)[[20],[20],[50],[100]]
SA disabled.")</f>
        <v>CA_n1A-n3A-n7A-n78A
n1A(4-4-4-4)[[20],[20],[50],[100]];
n3A(4-4-4-4)[[20],[20],[50],[100]];
n7A(4-4-4-4)[[20],[20],[50],[100]];
n78A(4-4-4-4)[[20],[20],[50],[100]]
SA disabled.</v>
      </c>
      <c r="P477" s="248"/>
      <c r="Q477" s="248"/>
      <c r="R477" s="248"/>
      <c r="S477" s="154" t="s">
        <v>66</v>
      </c>
      <c r="T477" s="154" t="s">
        <v>66</v>
      </c>
      <c r="U477" s="154" t="s">
        <v>66</v>
      </c>
      <c r="V477" s="154" t="s">
        <v>66</v>
      </c>
      <c r="W477" s="154" t="s">
        <v>66</v>
      </c>
      <c r="X477" s="154" t="s">
        <v>60</v>
      </c>
      <c r="Y477" s="154" t="s">
        <v>66</v>
      </c>
      <c r="Z477" s="154" t="s">
        <v>66</v>
      </c>
      <c r="AA477" s="154" t="s">
        <v>60</v>
      </c>
      <c r="AB477" s="154"/>
      <c r="AC477" s="242" t="b">
        <f t="shared" si="2"/>
        <v>1</v>
      </c>
      <c r="AD477" s="154" t="s">
        <v>445</v>
      </c>
      <c r="AE477" s="243" t="b">
        <f t="shared" si="3"/>
        <v>0</v>
      </c>
      <c r="AF477" s="154" t="s">
        <v>1617</v>
      </c>
      <c r="AG477" s="243" t="b">
        <f t="shared" si="4"/>
        <v>1</v>
      </c>
      <c r="AH477" s="154" t="s">
        <v>1621</v>
      </c>
      <c r="AI477" s="243" t="str">
        <f t="shared" si="5"/>
        <v>Partially Complies</v>
      </c>
      <c r="AJ477" s="157" t="str">
        <f t="shared" si="6"/>
        <v>Comments Vendor missing!
</v>
      </c>
    </row>
    <row r="478" ht="12.75" customHeight="1">
      <c r="A478" s="244" t="s">
        <v>621</v>
      </c>
      <c r="B478" s="244" t="s">
        <v>1339</v>
      </c>
      <c r="C478" s="244" t="s">
        <v>1628</v>
      </c>
      <c r="D478" s="154" t="s">
        <v>45</v>
      </c>
      <c r="E478" s="250"/>
      <c r="F478" s="154" t="str">
        <f t="array" ref="F478">XLOOKUP(Cover!$D$12,$S$1:$AA$1,$S478:$AA478)</f>
        <v>Mandatory</v>
      </c>
      <c r="G478" s="153" t="s">
        <v>1629</v>
      </c>
      <c r="H478" s="154" t="s">
        <v>175</v>
      </c>
      <c r="I478" s="154" t="s">
        <v>759</v>
      </c>
      <c r="J478" s="247" t="s">
        <v>516</v>
      </c>
      <c r="K478" s="154"/>
      <c r="L478" s="154" t="str">
        <f t="shared" si="1"/>
        <v>Comments Vendor missing!
</v>
      </c>
      <c r="M478" s="248" t="str">
        <f>IFERROR(__xludf.DUMMYFUNCTION("VLOOKUP(C478,IMPORTRANGE(""https://docs.google.com/spreadsheets/d/1P8eX0NWBhUPS_hvzA11R6jkTNFrPrRYIx_dX_hYbxrk/edit?resourcekey=0-iw9bsKY2OqkUHCFMkCar3A&amp;gid=2055363397#gid=2055363397"",""MTR!C:O""),11,false)"),"PMW-AS")</f>
        <v>PMW-AS</v>
      </c>
      <c r="N478" s="253" t="str">
        <f>IFERROR(__xludf.DUMMYFUNCTION("VLOOKUP(C478,IMPORTRANGE(""https://docs.google.com/spreadsheets/d/1ihFlp3_ePlYtFuPbUNbYj1muErVpI73WHXbEwJDIA7Q/edit#gid=1493122344"",""MTR!C:O""),8,false)"),"#N/A")</f>
        <v>#N/A</v>
      </c>
      <c r="O478" s="248" t="str">
        <f>IFERROR(__xludf.DUMMYFUNCTION("VLOOKUP(C478,IMPORTRANGE(""https://docs.google.com/spreadsheets/d/1P8eX0NWBhUPS_hvzA11R6jkTNFrPrRYIx_dX_hYbxrk/edit?resourcekey=0-iw9bsKY2OqkUHCFMkCar3A&amp;gid=2055363397#gid=2055363397"",""MTR!C:O""),9,false)"),"NA")</f>
        <v>NA</v>
      </c>
      <c r="P478" s="248"/>
      <c r="Q478" s="248"/>
      <c r="R478" s="248"/>
      <c r="S478" s="154" t="s">
        <v>66</v>
      </c>
      <c r="T478" s="154" t="s">
        <v>66</v>
      </c>
      <c r="U478" s="154" t="s">
        <v>66</v>
      </c>
      <c r="V478" s="154" t="s">
        <v>66</v>
      </c>
      <c r="W478" s="154" t="s">
        <v>66</v>
      </c>
      <c r="X478" s="154" t="s">
        <v>60</v>
      </c>
      <c r="Y478" s="154" t="s">
        <v>66</v>
      </c>
      <c r="Z478" s="154" t="s">
        <v>66</v>
      </c>
      <c r="AA478" s="154" t="s">
        <v>60</v>
      </c>
      <c r="AB478" s="154"/>
      <c r="AC478" s="242" t="b">
        <f t="shared" si="2"/>
        <v>1</v>
      </c>
      <c r="AD478" s="154" t="s">
        <v>445</v>
      </c>
      <c r="AE478" s="243" t="b">
        <f t="shared" si="3"/>
        <v>0</v>
      </c>
      <c r="AF478" s="154" t="s">
        <v>1630</v>
      </c>
      <c r="AG478" s="243" t="b">
        <f t="shared" si="4"/>
        <v>1</v>
      </c>
      <c r="AH478" s="154" t="s">
        <v>1621</v>
      </c>
      <c r="AI478" s="243" t="str">
        <f t="shared" si="5"/>
        <v>Partially Complies</v>
      </c>
      <c r="AJ478" s="157" t="str">
        <f t="shared" si="6"/>
        <v>Comments Vendor missing!
</v>
      </c>
    </row>
    <row r="479" ht="12.75" customHeight="1">
      <c r="A479" s="244" t="s">
        <v>621</v>
      </c>
      <c r="B479" s="244" t="s">
        <v>1339</v>
      </c>
      <c r="C479" s="244" t="s">
        <v>1631</v>
      </c>
      <c r="D479" s="154" t="s">
        <v>1315</v>
      </c>
      <c r="E479" s="250"/>
      <c r="F479" s="154" t="str">
        <f t="array" ref="F479">XLOOKUP(Cover!$D$12,$S$1:$AA$1,$S479:$AA479)</f>
        <v>Information</v>
      </c>
      <c r="G479" s="153" t="s">
        <v>1632</v>
      </c>
      <c r="H479" s="154"/>
      <c r="I479" s="154" t="s">
        <v>759</v>
      </c>
      <c r="J479" s="247" t="s">
        <v>506</v>
      </c>
      <c r="K479" s="247" t="s">
        <v>1623</v>
      </c>
      <c r="L479" s="154" t="str">
        <f t="shared" si="1"/>
        <v/>
      </c>
      <c r="M479" s="248" t="str">
        <f>IFERROR(__xludf.DUMMYFUNCTION("VLOOKUP(C479,IMPORTRANGE(""https://docs.google.com/spreadsheets/d/1P8eX0NWBhUPS_hvzA11R6jkTNFrPrRYIx_dX_hYbxrk/edit?resourcekey=0-iw9bsKY2OqkUHCFMkCar3A&amp;gid=2055363397#gid=2055363397"",""MTR!C:O""),11,false)"),"PMW-AS")</f>
        <v>PMW-AS</v>
      </c>
      <c r="N479" s="248" t="str">
        <f>IFERROR(__xludf.DUMMYFUNCTION("VLOOKUP(C479,IMPORTRANGE(""https://docs.google.com/spreadsheets/d/1ihFlp3_ePlYtFuPbUNbYj1muErVpI73WHXbEwJDIA7Q/edit#gid=1493122344"",""MTR!C:O""),8,false)"),"Does Not Comply")</f>
        <v>Does Not Comply</v>
      </c>
      <c r="O479" s="248" t="str">
        <f>IFERROR(__xludf.DUMMYFUNCTION("VLOOKUP(C479,IMPORTRANGE(""https://docs.google.com/spreadsheets/d/1P8eX0NWBhUPS_hvzA11R6jkTNFrPrRYIx_dX_hYbxrk/edit?resourcekey=0-iw9bsKY2OqkUHCFMkCar3A&amp;gid=2055363397#gid=2055363397"",""MTR!C:O""),9,false)"),"5 inter-band NR-CA in sub-5
SA disabled.")</f>
        <v>5 inter-band NR-CA in sub-5
SA disabled.</v>
      </c>
      <c r="P479" s="248"/>
      <c r="Q479" s="249" t="s">
        <v>516</v>
      </c>
      <c r="R479" s="249" t="s">
        <v>1612</v>
      </c>
      <c r="S479" s="154" t="s">
        <v>66</v>
      </c>
      <c r="T479" s="154" t="s">
        <v>66</v>
      </c>
      <c r="U479" s="154" t="s">
        <v>66</v>
      </c>
      <c r="V479" s="154" t="s">
        <v>66</v>
      </c>
      <c r="W479" s="154" t="s">
        <v>66</v>
      </c>
      <c r="X479" s="154" t="s">
        <v>66</v>
      </c>
      <c r="Y479" s="154" t="s">
        <v>66</v>
      </c>
      <c r="Z479" s="154" t="s">
        <v>66</v>
      </c>
      <c r="AA479" s="154" t="s">
        <v>66</v>
      </c>
      <c r="AB479" s="154"/>
      <c r="AC479" s="242" t="b">
        <f t="shared" si="2"/>
        <v>1</v>
      </c>
      <c r="AD479" s="154" t="s">
        <v>391</v>
      </c>
      <c r="AE479" s="243" t="b">
        <f t="shared" si="3"/>
        <v>0</v>
      </c>
      <c r="AF479" s="154"/>
      <c r="AG479" s="243" t="b">
        <f t="shared" si="4"/>
        <v>0</v>
      </c>
      <c r="AH479" s="154" t="s">
        <v>1346</v>
      </c>
      <c r="AI479" s="243" t="str">
        <f t="shared" si="5"/>
        <v>Partially Complies</v>
      </c>
      <c r="AJ479" s="157" t="str">
        <f t="shared" si="6"/>
        <v/>
      </c>
    </row>
    <row r="480" ht="12.75" customHeight="1">
      <c r="A480" s="244" t="s">
        <v>621</v>
      </c>
      <c r="B480" s="244" t="s">
        <v>1339</v>
      </c>
      <c r="C480" s="244" t="s">
        <v>1633</v>
      </c>
      <c r="D480" s="154" t="s">
        <v>1315</v>
      </c>
      <c r="E480" s="250"/>
      <c r="F480" s="154" t="str">
        <f t="array" ref="F480">XLOOKUP(Cover!$D$12,$S$1:$AA$1,$S480:$AA480)</f>
        <v>Information</v>
      </c>
      <c r="G480" s="153" t="s">
        <v>1634</v>
      </c>
      <c r="H480" s="154"/>
      <c r="I480" s="154" t="s">
        <v>759</v>
      </c>
      <c r="J480" s="247" t="s">
        <v>516</v>
      </c>
      <c r="K480" s="247" t="s">
        <v>1593</v>
      </c>
      <c r="L480" s="154" t="str">
        <f t="shared" si="1"/>
        <v/>
      </c>
      <c r="M480" s="248" t="str">
        <f>IFERROR(__xludf.DUMMYFUNCTION("VLOOKUP(C480,IMPORTRANGE(""https://docs.google.com/spreadsheets/d/1P8eX0NWBhUPS_hvzA11R6jkTNFrPrRYIx_dX_hYbxrk/edit?resourcekey=0-iw9bsKY2OqkUHCFMkCar3A&amp;gid=2055363397#gid=2055363397"",""MTR!C:O""),11,false)"),"TAM")</f>
        <v>TAM</v>
      </c>
      <c r="N480" s="248" t="str">
        <f>IFERROR(__xludf.DUMMYFUNCTION("VLOOKUP(C480,IMPORTRANGE(""https://docs.google.com/spreadsheets/d/1ihFlp3_ePlYtFuPbUNbYj1muErVpI73WHXbEwJDIA7Q/edit#gid=1493122344"",""MTR!C:O""),8,false)"),"Does Not Comply")</f>
        <v>Does Not Comply</v>
      </c>
      <c r="O480" s="248" t="str">
        <f>IFERROR(__xludf.DUMMYFUNCTION("VLOOKUP(C480,IMPORTRANGE(""https://docs.google.com/spreadsheets/d/1P8eX0NWBhUPS_hvzA11R6jkTNFrPrRYIx_dX_hYbxrk/edit?resourcekey=0-iw9bsKY2OqkUHCFMkCar3A&amp;gid=2055363397#gid=2055363397"",""MTR!C:O""),9,false)"),"EMEA SKU does not have FR2 support")</f>
        <v>EMEA SKU does not have FR2 support</v>
      </c>
      <c r="P480" s="248"/>
      <c r="Q480" s="249" t="s">
        <v>516</v>
      </c>
      <c r="R480" s="249" t="s">
        <v>1593</v>
      </c>
      <c r="S480" s="154" t="s">
        <v>66</v>
      </c>
      <c r="T480" s="154" t="s">
        <v>66</v>
      </c>
      <c r="U480" s="154" t="s">
        <v>66</v>
      </c>
      <c r="V480" s="154" t="s">
        <v>66</v>
      </c>
      <c r="W480" s="154" t="s">
        <v>66</v>
      </c>
      <c r="X480" s="154" t="s">
        <v>66</v>
      </c>
      <c r="Y480" s="154" t="s">
        <v>66</v>
      </c>
      <c r="Z480" s="154" t="s">
        <v>66</v>
      </c>
      <c r="AA480" s="154" t="s">
        <v>66</v>
      </c>
      <c r="AB480" s="154"/>
      <c r="AC480" s="242" t="b">
        <f t="shared" si="2"/>
        <v>1</v>
      </c>
      <c r="AD480" s="154" t="s">
        <v>391</v>
      </c>
      <c r="AE480" s="243" t="b">
        <f t="shared" si="3"/>
        <v>0</v>
      </c>
      <c r="AF480" s="154"/>
      <c r="AG480" s="243" t="b">
        <f t="shared" si="4"/>
        <v>0</v>
      </c>
      <c r="AH480" s="154" t="s">
        <v>1346</v>
      </c>
      <c r="AI480" s="243" t="str">
        <f t="shared" si="5"/>
        <v>Partially Complies</v>
      </c>
      <c r="AJ480" s="157" t="str">
        <f t="shared" si="6"/>
        <v/>
      </c>
    </row>
    <row r="481" ht="12.75" customHeight="1">
      <c r="A481" s="244" t="s">
        <v>621</v>
      </c>
      <c r="B481" s="244" t="s">
        <v>1339</v>
      </c>
      <c r="C481" s="255" t="s">
        <v>1635</v>
      </c>
      <c r="D481" s="256" t="s">
        <v>42</v>
      </c>
      <c r="E481" s="257" t="s">
        <v>489</v>
      </c>
      <c r="F481" s="154" t="str">
        <f t="array" ref="F481">XLOOKUP(Cover!$D$12,$S$1:$AA$1,$S481:$AA481)</f>
        <v>Mandatory</v>
      </c>
      <c r="G481" s="153" t="s">
        <v>1636</v>
      </c>
      <c r="H481" s="154" t="s">
        <v>1637</v>
      </c>
      <c r="I481" s="154" t="s">
        <v>759</v>
      </c>
      <c r="J481" s="247" t="s">
        <v>516</v>
      </c>
      <c r="K481" s="154"/>
      <c r="L481" s="154" t="str">
        <f t="shared" si="1"/>
        <v/>
      </c>
      <c r="M481" s="253" t="str">
        <f>IFERROR(__xludf.DUMMYFUNCTION("VLOOKUP(C481,IMPORTRANGE(""https://docs.google.com/spreadsheets/d/1P8eX0NWBhUPS_hvzA11R6jkTNFrPrRYIx_dX_hYbxrk/edit?resourcekey=0-iw9bsKY2OqkUHCFMkCar3A&amp;gid=2055363397#gid=2055363397"",""MTR!C:O""),11,false)"),"#N/A")</f>
        <v>#N/A</v>
      </c>
      <c r="N481" s="253" t="str">
        <f>IFERROR(__xludf.DUMMYFUNCTION("VLOOKUP(C481,IMPORTRANGE(""https://docs.google.com/spreadsheets/d/1ihFlp3_ePlYtFuPbUNbYj1muErVpI73WHXbEwJDIA7Q/edit#gid=1493122344"",""MTR!C:O""),8,false)"),"#N/A")</f>
        <v>#N/A</v>
      </c>
      <c r="O481" s="253" t="str">
        <f>IFERROR(__xludf.DUMMYFUNCTION("VLOOKUP(C481,IMPORTRANGE(""https://docs.google.com/spreadsheets/d/1P8eX0NWBhUPS_hvzA11R6jkTNFrPrRYIx_dX_hYbxrk/edit?resourcekey=0-iw9bsKY2OqkUHCFMkCar3A&amp;gid=2055363397#gid=2055363397"",""MTR!C:O""),9,false)"),"#N/A")</f>
        <v>#N/A</v>
      </c>
      <c r="P481" s="253"/>
      <c r="Q481" s="253"/>
      <c r="R481" s="253"/>
      <c r="S481" s="154" t="s">
        <v>66</v>
      </c>
      <c r="T481" s="154" t="s">
        <v>66</v>
      </c>
      <c r="U481" s="154" t="s">
        <v>66</v>
      </c>
      <c r="V481" s="154" t="s">
        <v>66</v>
      </c>
      <c r="W481" s="154" t="s">
        <v>60</v>
      </c>
      <c r="X481" s="154" t="s">
        <v>60</v>
      </c>
      <c r="Y481" s="154" t="s">
        <v>66</v>
      </c>
      <c r="Z481" s="154" t="s">
        <v>66</v>
      </c>
      <c r="AA481" s="154" t="s">
        <v>60</v>
      </c>
      <c r="AB481" s="154"/>
      <c r="AC481" s="242" t="b">
        <f t="shared" si="2"/>
        <v>1</v>
      </c>
      <c r="AD481" s="154" t="s">
        <v>445</v>
      </c>
      <c r="AE481" s="243" t="b">
        <f t="shared" si="3"/>
        <v>0</v>
      </c>
      <c r="AF481" s="154"/>
      <c r="AG481" s="243" t="b">
        <f t="shared" si="4"/>
        <v>0</v>
      </c>
      <c r="AH481" s="154"/>
      <c r="AI481" s="243" t="str">
        <f t="shared" si="5"/>
        <v>N/A</v>
      </c>
      <c r="AJ481" s="157" t="str">
        <f t="shared" si="6"/>
        <v/>
      </c>
    </row>
    <row r="482" ht="12.75" customHeight="1">
      <c r="A482" s="244" t="s">
        <v>621</v>
      </c>
      <c r="B482" s="244" t="s">
        <v>1339</v>
      </c>
      <c r="C482" s="255" t="s">
        <v>1638</v>
      </c>
      <c r="D482" s="256" t="s">
        <v>42</v>
      </c>
      <c r="E482" s="257" t="s">
        <v>489</v>
      </c>
      <c r="F482" s="154" t="str">
        <f t="array" ref="F482">XLOOKUP(Cover!$D$12,$S$1:$AA$1,$S482:$AA482)</f>
        <v>Mandatory</v>
      </c>
      <c r="G482" s="153" t="s">
        <v>1639</v>
      </c>
      <c r="H482" s="154" t="s">
        <v>1637</v>
      </c>
      <c r="I482" s="154" t="s">
        <v>759</v>
      </c>
      <c r="J482" s="247" t="s">
        <v>516</v>
      </c>
      <c r="K482" s="154"/>
      <c r="L482" s="154" t="str">
        <f t="shared" si="1"/>
        <v/>
      </c>
      <c r="M482" s="253" t="str">
        <f>IFERROR(__xludf.DUMMYFUNCTION("VLOOKUP(C482,IMPORTRANGE(""https://docs.google.com/spreadsheets/d/1P8eX0NWBhUPS_hvzA11R6jkTNFrPrRYIx_dX_hYbxrk/edit?resourcekey=0-iw9bsKY2OqkUHCFMkCar3A&amp;gid=2055363397#gid=2055363397"",""MTR!C:O""),11,false)"),"#N/A")</f>
        <v>#N/A</v>
      </c>
      <c r="N482" s="253" t="str">
        <f>IFERROR(__xludf.DUMMYFUNCTION("VLOOKUP(C482,IMPORTRANGE(""https://docs.google.com/spreadsheets/d/1ihFlp3_ePlYtFuPbUNbYj1muErVpI73WHXbEwJDIA7Q/edit#gid=1493122344"",""MTR!C:O""),8,false)"),"#N/A")</f>
        <v>#N/A</v>
      </c>
      <c r="O482" s="253" t="str">
        <f>IFERROR(__xludf.DUMMYFUNCTION("VLOOKUP(C482,IMPORTRANGE(""https://docs.google.com/spreadsheets/d/1P8eX0NWBhUPS_hvzA11R6jkTNFrPrRYIx_dX_hYbxrk/edit?resourcekey=0-iw9bsKY2OqkUHCFMkCar3A&amp;gid=2055363397#gid=2055363397"",""MTR!C:O""),9,false)"),"#N/A")</f>
        <v>#N/A</v>
      </c>
      <c r="P482" s="253"/>
      <c r="Q482" s="253"/>
      <c r="R482" s="253"/>
      <c r="S482" s="154" t="s">
        <v>66</v>
      </c>
      <c r="T482" s="154" t="s">
        <v>66</v>
      </c>
      <c r="U482" s="154" t="s">
        <v>66</v>
      </c>
      <c r="V482" s="154" t="s">
        <v>66</v>
      </c>
      <c r="W482" s="154" t="s">
        <v>60</v>
      </c>
      <c r="X482" s="154" t="s">
        <v>60</v>
      </c>
      <c r="Y482" s="154" t="s">
        <v>66</v>
      </c>
      <c r="Z482" s="154" t="s">
        <v>66</v>
      </c>
      <c r="AA482" s="154" t="s">
        <v>60</v>
      </c>
      <c r="AB482" s="154"/>
      <c r="AC482" s="242" t="b">
        <f t="shared" si="2"/>
        <v>1</v>
      </c>
      <c r="AD482" s="154" t="s">
        <v>445</v>
      </c>
      <c r="AE482" s="243" t="b">
        <f t="shared" si="3"/>
        <v>0</v>
      </c>
      <c r="AF482" s="154"/>
      <c r="AG482" s="243" t="b">
        <f t="shared" si="4"/>
        <v>0</v>
      </c>
      <c r="AH482" s="154"/>
      <c r="AI482" s="243" t="str">
        <f t="shared" si="5"/>
        <v>N/A</v>
      </c>
      <c r="AJ482" s="157" t="str">
        <f t="shared" si="6"/>
        <v/>
      </c>
    </row>
    <row r="483" ht="12.75" customHeight="1">
      <c r="A483" s="244" t="s">
        <v>621</v>
      </c>
      <c r="B483" s="244" t="s">
        <v>1339</v>
      </c>
      <c r="C483" s="245" t="s">
        <v>1640</v>
      </c>
      <c r="D483" s="155" t="s">
        <v>1069</v>
      </c>
      <c r="E483" s="246" t="s">
        <v>92</v>
      </c>
      <c r="F483" s="154" t="str">
        <f t="array" ref="F483">XLOOKUP(Cover!$D$12,$S$1:$AA$1,$S483:$AA483)</f>
        <v>Mandatory</v>
      </c>
      <c r="G483" s="153" t="s">
        <v>1641</v>
      </c>
      <c r="H483" s="154" t="s">
        <v>1637</v>
      </c>
      <c r="I483" s="154" t="s">
        <v>759</v>
      </c>
      <c r="J483" s="247" t="s">
        <v>506</v>
      </c>
      <c r="K483" s="247" t="s">
        <v>1642</v>
      </c>
      <c r="L483" s="154" t="str">
        <f t="shared" si="1"/>
        <v/>
      </c>
      <c r="M483" s="248" t="str">
        <f>IFERROR(__xludf.DUMMYFUNCTION("VLOOKUP(C483,IMPORTRANGE(""https://docs.google.com/spreadsheets/d/1P8eX0NWBhUPS_hvzA11R6jkTNFrPrRYIx_dX_hYbxrk/edit?resourcekey=0-iw9bsKY2OqkUHCFMkCar3A&amp;gid=2055363397#gid=2055363397"",""MTR!C:O""),11,false)"),"PMW-MCE-AS")</f>
        <v>PMW-MCE-AS</v>
      </c>
      <c r="N483" s="248" t="str">
        <f>IFERROR(__xludf.DUMMYFUNCTION("VLOOKUP(C483,IMPORTRANGE(""https://docs.google.com/spreadsheets/d/1ihFlp3_ePlYtFuPbUNbYj1muErVpI73WHXbEwJDIA7Q/edit#gid=1493122344"",""MTR!C:O""),8,false)"),"Does Not Comply")</f>
        <v>Does Not Comply</v>
      </c>
      <c r="O483" s="248" t="str">
        <f>IFERROR(__xludf.DUMMYFUNCTION("VLOOKUP(C483,IMPORTRANGE(""https://docs.google.com/spreadsheets/d/1P8eX0NWBhUPS_hvzA11R6jkTNFrPrRYIx_dX_hYbxrk/edit?resourcekey=0-iw9bsKY2OqkUHCFMkCar3A&amp;gid=2055363397#gid=2055363397"",""MTR!C:O""),9,false)"),"5G SA default disabled.")</f>
        <v>5G SA default disabled.</v>
      </c>
      <c r="P483" s="248"/>
      <c r="Q483" s="249" t="s">
        <v>516</v>
      </c>
      <c r="R483" s="249" t="s">
        <v>1642</v>
      </c>
      <c r="S483" s="154" t="s">
        <v>66</v>
      </c>
      <c r="T483" s="154" t="s">
        <v>66</v>
      </c>
      <c r="U483" s="154" t="s">
        <v>66</v>
      </c>
      <c r="V483" s="154" t="s">
        <v>66</v>
      </c>
      <c r="W483" s="154" t="s">
        <v>60</v>
      </c>
      <c r="X483" s="154" t="s">
        <v>60</v>
      </c>
      <c r="Y483" s="154" t="s">
        <v>66</v>
      </c>
      <c r="Z483" s="154" t="s">
        <v>66</v>
      </c>
      <c r="AA483" s="154" t="s">
        <v>60</v>
      </c>
      <c r="AB483" s="154"/>
      <c r="AC483" s="242" t="b">
        <f t="shared" si="2"/>
        <v>1</v>
      </c>
      <c r="AD483" s="154" t="s">
        <v>445</v>
      </c>
      <c r="AE483" s="243" t="b">
        <f t="shared" si="3"/>
        <v>0</v>
      </c>
      <c r="AF483" s="154"/>
      <c r="AG483" s="243" t="b">
        <f t="shared" si="4"/>
        <v>0</v>
      </c>
      <c r="AH483" s="154"/>
      <c r="AI483" s="243" t="str">
        <f t="shared" si="5"/>
        <v>N/A</v>
      </c>
      <c r="AJ483" s="157" t="str">
        <f t="shared" si="6"/>
        <v/>
      </c>
    </row>
    <row r="484" ht="12.75" customHeight="1">
      <c r="A484" s="244" t="s">
        <v>621</v>
      </c>
      <c r="B484" s="244" t="s">
        <v>1339</v>
      </c>
      <c r="C484" s="245" t="s">
        <v>1643</v>
      </c>
      <c r="D484" s="155" t="s">
        <v>1069</v>
      </c>
      <c r="E484" s="246" t="s">
        <v>92</v>
      </c>
      <c r="F484" s="154" t="str">
        <f t="array" ref="F484">XLOOKUP(Cover!$D$12,$S$1:$AA$1,$S484:$AA484)</f>
        <v>Recommended</v>
      </c>
      <c r="G484" s="153" t="s">
        <v>1644</v>
      </c>
      <c r="H484" s="154"/>
      <c r="I484" s="154" t="s">
        <v>759</v>
      </c>
      <c r="J484" s="247" t="s">
        <v>516</v>
      </c>
      <c r="K484" s="247"/>
      <c r="L484" s="154" t="str">
        <f t="shared" si="1"/>
        <v/>
      </c>
      <c r="M484" s="248" t="str">
        <f>IFERROR(__xludf.DUMMYFUNCTION("VLOOKUP(C484,IMPORTRANGE(""https://docs.google.com/spreadsheets/d/1P8eX0NWBhUPS_hvzA11R6jkTNFrPrRYIx_dX_hYbxrk/edit?resourcekey=0-iw9bsKY2OqkUHCFMkCar3A&amp;gid=2055363397#gid=2055363397"",""MTR!C:O""),11,false)"),"PMW-MCE-AS")</f>
        <v>PMW-MCE-AS</v>
      </c>
      <c r="N484" s="248" t="str">
        <f>IFERROR(__xludf.DUMMYFUNCTION("VLOOKUP(C484,IMPORTRANGE(""https://docs.google.com/spreadsheets/d/1ihFlp3_ePlYtFuPbUNbYj1muErVpI73WHXbEwJDIA7Q/edit#gid=1493122344"",""MTR!C:O""),8,false)"),"Does Not Comply")</f>
        <v>Does Not Comply</v>
      </c>
      <c r="O484" s="248" t="str">
        <f>IFERROR(__xludf.DUMMYFUNCTION("VLOOKUP(C484,IMPORTRANGE(""https://docs.google.com/spreadsheets/d/1P8eX0NWBhUPS_hvzA11R6jkTNFrPrRYIx_dX_hYbxrk/edit?resourcekey=0-iw9bsKY2OqkUHCFMkCar3A&amp;gid=2055363397#gid=2055363397"",""MTR!C:O""),9,false)"),"5G SA default disabled.")</f>
        <v>5G SA default disabled.</v>
      </c>
      <c r="P484" s="248"/>
      <c r="Q484" s="249" t="s">
        <v>516</v>
      </c>
      <c r="R484" s="249" t="s">
        <v>1642</v>
      </c>
      <c r="S484" s="154" t="s">
        <v>66</v>
      </c>
      <c r="T484" s="154" t="s">
        <v>66</v>
      </c>
      <c r="U484" s="154" t="s">
        <v>66</v>
      </c>
      <c r="V484" s="154" t="s">
        <v>66</v>
      </c>
      <c r="W484" s="154" t="s">
        <v>64</v>
      </c>
      <c r="X484" s="154" t="s">
        <v>64</v>
      </c>
      <c r="Y484" s="154" t="s">
        <v>66</v>
      </c>
      <c r="Z484" s="154" t="s">
        <v>66</v>
      </c>
      <c r="AA484" s="154" t="s">
        <v>64</v>
      </c>
      <c r="AB484" s="154"/>
      <c r="AC484" s="242" t="b">
        <f t="shared" si="2"/>
        <v>1</v>
      </c>
      <c r="AD484" s="154" t="s">
        <v>391</v>
      </c>
      <c r="AE484" s="243" t="b">
        <f t="shared" si="3"/>
        <v>0</v>
      </c>
      <c r="AF484" s="154"/>
      <c r="AG484" s="243" t="b">
        <f t="shared" si="4"/>
        <v>0</v>
      </c>
      <c r="AH484" s="154"/>
      <c r="AI484" s="243" t="str">
        <f t="shared" si="5"/>
        <v>N/A</v>
      </c>
      <c r="AJ484" s="157" t="str">
        <f t="shared" si="6"/>
        <v/>
      </c>
    </row>
    <row r="485" ht="12.75" customHeight="1">
      <c r="A485" s="244" t="s">
        <v>621</v>
      </c>
      <c r="B485" s="244" t="s">
        <v>1339</v>
      </c>
      <c r="C485" s="245" t="s">
        <v>1645</v>
      </c>
      <c r="D485" s="155" t="s">
        <v>503</v>
      </c>
      <c r="E485" s="246" t="s">
        <v>92</v>
      </c>
      <c r="F485" s="154" t="str">
        <f t="array" ref="F485">XLOOKUP(Cover!$D$12,$S$1:$AA$1,$S485:$AA485)</f>
        <v>Recommended</v>
      </c>
      <c r="G485" s="153" t="s">
        <v>1646</v>
      </c>
      <c r="H485" s="154"/>
      <c r="I485" s="154" t="s">
        <v>759</v>
      </c>
      <c r="J485" s="247" t="s">
        <v>516</v>
      </c>
      <c r="K485" s="247"/>
      <c r="L485" s="154" t="str">
        <f t="shared" si="1"/>
        <v/>
      </c>
      <c r="M485" s="248" t="str">
        <f>IFERROR(__xludf.DUMMYFUNCTION("VLOOKUP(C485,IMPORTRANGE(""https://docs.google.com/spreadsheets/d/1P8eX0NWBhUPS_hvzA11R6jkTNFrPrRYIx_dX_hYbxrk/edit?resourcekey=0-iw9bsKY2OqkUHCFMkCar3A&amp;gid=2055363397#gid=2055363397"",""MTR!C:O""),11,false)"),"PMW-MCE-AS")</f>
        <v>PMW-MCE-AS</v>
      </c>
      <c r="N485" s="248" t="str">
        <f>IFERROR(__xludf.DUMMYFUNCTION("VLOOKUP(C485,IMPORTRANGE(""https://docs.google.com/spreadsheets/d/1ihFlp3_ePlYtFuPbUNbYj1muErVpI73WHXbEwJDIA7Q/edit#gid=1493122344"",""MTR!C:O""),8,false)"),"Does Not Comply")</f>
        <v>Does Not Comply</v>
      </c>
      <c r="O485" s="248" t="str">
        <f>IFERROR(__xludf.DUMMYFUNCTION("VLOOKUP(C485,IMPORTRANGE(""https://docs.google.com/spreadsheets/d/1P8eX0NWBhUPS_hvzA11R6jkTNFrPrRYIx_dX_hYbxrk/edit?resourcekey=0-iw9bsKY2OqkUHCFMkCar3A&amp;gid=2055363397#gid=2055363397"",""MTR!C:O""),9,false)"),"5G SA default disabled.")</f>
        <v>5G SA default disabled.</v>
      </c>
      <c r="P485" s="248"/>
      <c r="Q485" s="249" t="s">
        <v>516</v>
      </c>
      <c r="R485" s="249" t="s">
        <v>1642</v>
      </c>
      <c r="S485" s="154" t="s">
        <v>66</v>
      </c>
      <c r="T485" s="154" t="s">
        <v>66</v>
      </c>
      <c r="U485" s="154" t="s">
        <v>66</v>
      </c>
      <c r="V485" s="154" t="s">
        <v>66</v>
      </c>
      <c r="W485" s="154" t="s">
        <v>64</v>
      </c>
      <c r="X485" s="154" t="s">
        <v>64</v>
      </c>
      <c r="Y485" s="154" t="s">
        <v>66</v>
      </c>
      <c r="Z485" s="154" t="s">
        <v>66</v>
      </c>
      <c r="AA485" s="154" t="s">
        <v>64</v>
      </c>
      <c r="AB485" s="154"/>
      <c r="AC485" s="242" t="b">
        <f t="shared" si="2"/>
        <v>1</v>
      </c>
      <c r="AD485" s="154" t="s">
        <v>391</v>
      </c>
      <c r="AE485" s="243" t="b">
        <f t="shared" si="3"/>
        <v>0</v>
      </c>
      <c r="AF485" s="154"/>
      <c r="AG485" s="243" t="b">
        <f t="shared" si="4"/>
        <v>0</v>
      </c>
      <c r="AH485" s="154" t="s">
        <v>652</v>
      </c>
      <c r="AI485" s="243" t="str">
        <f t="shared" si="5"/>
        <v>Complies</v>
      </c>
      <c r="AJ485" s="157" t="str">
        <f t="shared" si="6"/>
        <v/>
      </c>
    </row>
    <row r="486" ht="12.75" customHeight="1">
      <c r="A486" s="244" t="s">
        <v>621</v>
      </c>
      <c r="B486" s="244" t="s">
        <v>1339</v>
      </c>
      <c r="C486" s="245" t="s">
        <v>1647</v>
      </c>
      <c r="D486" s="155" t="s">
        <v>1069</v>
      </c>
      <c r="E486" s="246" t="s">
        <v>92</v>
      </c>
      <c r="F486" s="154" t="str">
        <f t="array" ref="F486">XLOOKUP(Cover!$D$12,$S$1:$AA$1,$S486:$AA486)</f>
        <v>Information</v>
      </c>
      <c r="G486" s="153" t="s">
        <v>1648</v>
      </c>
      <c r="H486" s="154"/>
      <c r="I486" s="154" t="s">
        <v>759</v>
      </c>
      <c r="J486" s="247" t="s">
        <v>516</v>
      </c>
      <c r="K486" s="247"/>
      <c r="L486" s="154" t="str">
        <f t="shared" si="1"/>
        <v/>
      </c>
      <c r="M486" s="248" t="str">
        <f>IFERROR(__xludf.DUMMYFUNCTION("VLOOKUP(C486,IMPORTRANGE(""https://docs.google.com/spreadsheets/d/1P8eX0NWBhUPS_hvzA11R6jkTNFrPrRYIx_dX_hYbxrk/edit?resourcekey=0-iw9bsKY2OqkUHCFMkCar3A&amp;gid=2055363397#gid=2055363397"",""MTR!C:O""),11,false)"),"PMW-MCE-AS")</f>
        <v>PMW-MCE-AS</v>
      </c>
      <c r="N486" s="248" t="str">
        <f>IFERROR(__xludf.DUMMYFUNCTION("VLOOKUP(C486,IMPORTRANGE(""https://docs.google.com/spreadsheets/d/1ihFlp3_ePlYtFuPbUNbYj1muErVpI73WHXbEwJDIA7Q/edit#gid=1493122344"",""MTR!C:O""),8,false)"),"Does Not Comply")</f>
        <v>Does Not Comply</v>
      </c>
      <c r="O486" s="248" t="str">
        <f>IFERROR(__xludf.DUMMYFUNCTION("VLOOKUP(C486,IMPORTRANGE(""https://docs.google.com/spreadsheets/d/1P8eX0NWBhUPS_hvzA11R6jkTNFrPrRYIx_dX_hYbxrk/edit?resourcekey=0-iw9bsKY2OqkUHCFMkCar3A&amp;gid=2055363397#gid=2055363397"",""MTR!C:O""),9,false)"),"5G SA default disabled.")</f>
        <v>5G SA default disabled.</v>
      </c>
      <c r="P486" s="248"/>
      <c r="Q486" s="249" t="s">
        <v>516</v>
      </c>
      <c r="R486" s="249" t="s">
        <v>1642</v>
      </c>
      <c r="S486" s="154" t="s">
        <v>66</v>
      </c>
      <c r="T486" s="154" t="s">
        <v>66</v>
      </c>
      <c r="U486" s="154" t="s">
        <v>66</v>
      </c>
      <c r="V486" s="154" t="s">
        <v>66</v>
      </c>
      <c r="W486" s="154" t="s">
        <v>66</v>
      </c>
      <c r="X486" s="154" t="s">
        <v>66</v>
      </c>
      <c r="Y486" s="154" t="s">
        <v>66</v>
      </c>
      <c r="Z486" s="154" t="s">
        <v>66</v>
      </c>
      <c r="AA486" s="154" t="s">
        <v>66</v>
      </c>
      <c r="AB486" s="154"/>
      <c r="AC486" s="242" t="b">
        <f t="shared" si="2"/>
        <v>1</v>
      </c>
      <c r="AD486" s="154" t="s">
        <v>445</v>
      </c>
      <c r="AE486" s="243" t="b">
        <f t="shared" si="3"/>
        <v>0</v>
      </c>
      <c r="AF486" s="154"/>
      <c r="AG486" s="243" t="b">
        <f t="shared" si="4"/>
        <v>0</v>
      </c>
      <c r="AH486" s="154"/>
      <c r="AI486" s="243" t="str">
        <f t="shared" si="5"/>
        <v>N/A</v>
      </c>
      <c r="AJ486" s="157" t="str">
        <f t="shared" si="6"/>
        <v/>
      </c>
    </row>
    <row r="487" ht="12.75" customHeight="1">
      <c r="A487" s="238" t="s">
        <v>621</v>
      </c>
      <c r="B487" s="238" t="s">
        <v>1339</v>
      </c>
      <c r="C487" s="238" t="s">
        <v>1649</v>
      </c>
      <c r="D487" s="240"/>
      <c r="E487" s="252" t="s">
        <v>92</v>
      </c>
      <c r="F487" s="154" t="str">
        <f t="array" ref="F487">XLOOKUP(Cover!$D$12,$S$1:$AA$1,$S487:$AA487)</f>
        <v>Heading</v>
      </c>
      <c r="G487" s="239" t="s">
        <v>1650</v>
      </c>
      <c r="H487" s="240"/>
      <c r="I487" s="240" t="s">
        <v>759</v>
      </c>
      <c r="J487" s="240"/>
      <c r="K487" s="240"/>
      <c r="L487" s="154" t="str">
        <f t="shared" si="1"/>
        <v/>
      </c>
      <c r="M487" s="241" t="str">
        <f>IFERROR(__xludf.DUMMYFUNCTION("VLOOKUP(C487,IMPORTRANGE(""https://docs.google.com/spreadsheets/d/1P8eX0NWBhUPS_hvzA11R6jkTNFrPrRYIx_dX_hYbxrk/edit?resourcekey=0-iw9bsKY2OqkUHCFMkCar3A&amp;gid=2055363397#gid=2055363397"",""MTR!C:O""),11,false)"),"")</f>
        <v/>
      </c>
      <c r="N487" s="241" t="str">
        <f>IFERROR(__xludf.DUMMYFUNCTION("VLOOKUP(C487,IMPORTRANGE(""https://docs.google.com/spreadsheets/d/1ihFlp3_ePlYtFuPbUNbYj1muErVpI73WHXbEwJDIA7Q/edit#gid=1493122344"",""MTR!C:O""),8,false)"),"")</f>
        <v/>
      </c>
      <c r="O487" s="241" t="str">
        <f>IFERROR(__xludf.DUMMYFUNCTION("VLOOKUP(C487,IMPORTRANGE(""https://docs.google.com/spreadsheets/d/1P8eX0NWBhUPS_hvzA11R6jkTNFrPrRYIx_dX_hYbxrk/edit?resourcekey=0-iw9bsKY2OqkUHCFMkCar3A&amp;gid=2055363397#gid=2055363397"",""MTR!C:O""),9,false)"),"")</f>
        <v/>
      </c>
      <c r="P487" s="241"/>
      <c r="Q487" s="241"/>
      <c r="R487" s="241"/>
      <c r="S487" s="240" t="s">
        <v>390</v>
      </c>
      <c r="T487" s="240" t="s">
        <v>390</v>
      </c>
      <c r="U487" s="240" t="s">
        <v>390</v>
      </c>
      <c r="V487" s="240" t="s">
        <v>390</v>
      </c>
      <c r="W487" s="240" t="s">
        <v>390</v>
      </c>
      <c r="X487" s="240" t="s">
        <v>390</v>
      </c>
      <c r="Y487" s="240" t="s">
        <v>390</v>
      </c>
      <c r="Z487" s="240" t="s">
        <v>390</v>
      </c>
      <c r="AA487" s="240" t="s">
        <v>390</v>
      </c>
      <c r="AB487" s="240"/>
      <c r="AC487" s="242" t="b">
        <f t="shared" si="2"/>
        <v>0</v>
      </c>
      <c r="AD487" s="240" t="s">
        <v>391</v>
      </c>
      <c r="AE487" s="243" t="b">
        <f t="shared" si="3"/>
        <v>0</v>
      </c>
      <c r="AF487" s="240"/>
      <c r="AG487" s="243" t="b">
        <f t="shared" si="4"/>
        <v>0</v>
      </c>
      <c r="AH487" s="240"/>
      <c r="AI487" s="243" t="str">
        <f t="shared" si="5"/>
        <v>N/A</v>
      </c>
      <c r="AJ487" s="157" t="str">
        <f t="shared" si="6"/>
        <v/>
      </c>
    </row>
    <row r="488" ht="12.75" customHeight="1">
      <c r="A488" s="238" t="s">
        <v>621</v>
      </c>
      <c r="B488" s="238" t="s">
        <v>1339</v>
      </c>
      <c r="C488" s="238" t="s">
        <v>1651</v>
      </c>
      <c r="D488" s="240"/>
      <c r="E488" s="252" t="s">
        <v>92</v>
      </c>
      <c r="F488" s="154" t="str">
        <f t="array" ref="F488">XLOOKUP(Cover!$D$12,$S$1:$AA$1,$S488:$AA488)</f>
        <v>Heading</v>
      </c>
      <c r="G488" s="239" t="s">
        <v>1652</v>
      </c>
      <c r="H488" s="240"/>
      <c r="I488" s="240" t="s">
        <v>759</v>
      </c>
      <c r="J488" s="240"/>
      <c r="K488" s="240"/>
      <c r="L488" s="154" t="str">
        <f t="shared" si="1"/>
        <v/>
      </c>
      <c r="M488" s="241" t="str">
        <f>IFERROR(__xludf.DUMMYFUNCTION("VLOOKUP(C488,IMPORTRANGE(""https://docs.google.com/spreadsheets/d/1P8eX0NWBhUPS_hvzA11R6jkTNFrPrRYIx_dX_hYbxrk/edit?resourcekey=0-iw9bsKY2OqkUHCFMkCar3A&amp;gid=2055363397#gid=2055363397"",""MTR!C:O""),11,false)"),"")</f>
        <v/>
      </c>
      <c r="N488" s="241" t="str">
        <f>IFERROR(__xludf.DUMMYFUNCTION("VLOOKUP(C488,IMPORTRANGE(""https://docs.google.com/spreadsheets/d/1ihFlp3_ePlYtFuPbUNbYj1muErVpI73WHXbEwJDIA7Q/edit#gid=1493122344"",""MTR!C:O""),8,false)"),"")</f>
        <v/>
      </c>
      <c r="O488" s="241" t="str">
        <f>IFERROR(__xludf.DUMMYFUNCTION("VLOOKUP(C488,IMPORTRANGE(""https://docs.google.com/spreadsheets/d/1P8eX0NWBhUPS_hvzA11R6jkTNFrPrRYIx_dX_hYbxrk/edit?resourcekey=0-iw9bsKY2OqkUHCFMkCar3A&amp;gid=2055363397#gid=2055363397"",""MTR!C:O""),9,false)"),"")</f>
        <v/>
      </c>
      <c r="P488" s="241"/>
      <c r="Q488" s="241"/>
      <c r="R488" s="241"/>
      <c r="S488" s="240" t="s">
        <v>390</v>
      </c>
      <c r="T488" s="240" t="s">
        <v>390</v>
      </c>
      <c r="U488" s="240" t="s">
        <v>390</v>
      </c>
      <c r="V488" s="240" t="s">
        <v>390</v>
      </c>
      <c r="W488" s="240" t="s">
        <v>390</v>
      </c>
      <c r="X488" s="240" t="s">
        <v>390</v>
      </c>
      <c r="Y488" s="240" t="s">
        <v>390</v>
      </c>
      <c r="Z488" s="240" t="s">
        <v>390</v>
      </c>
      <c r="AA488" s="240" t="s">
        <v>390</v>
      </c>
      <c r="AB488" s="240"/>
      <c r="AC488" s="242" t="b">
        <f t="shared" si="2"/>
        <v>0</v>
      </c>
      <c r="AD488" s="240" t="s">
        <v>391</v>
      </c>
      <c r="AE488" s="243" t="b">
        <f t="shared" si="3"/>
        <v>0</v>
      </c>
      <c r="AF488" s="240"/>
      <c r="AG488" s="243" t="b">
        <f t="shared" si="4"/>
        <v>0</v>
      </c>
      <c r="AH488" s="240"/>
      <c r="AI488" s="243" t="str">
        <f t="shared" si="5"/>
        <v>N/A</v>
      </c>
      <c r="AJ488" s="157" t="str">
        <f t="shared" si="6"/>
        <v/>
      </c>
    </row>
    <row r="489" ht="12.75" customHeight="1">
      <c r="A489" s="244" t="s">
        <v>621</v>
      </c>
      <c r="B489" s="244" t="s">
        <v>1339</v>
      </c>
      <c r="C489" s="244" t="s">
        <v>1653</v>
      </c>
      <c r="D489" s="154" t="s">
        <v>602</v>
      </c>
      <c r="E489" s="250"/>
      <c r="F489" s="154" t="str">
        <f t="array" ref="F489">XLOOKUP(Cover!$D$12,$S$1:$AA$1,$S489:$AA489)</f>
        <v>Mandatory</v>
      </c>
      <c r="G489" s="153" t="s">
        <v>1654</v>
      </c>
      <c r="H489" s="154" t="s">
        <v>232</v>
      </c>
      <c r="I489" s="154" t="s">
        <v>759</v>
      </c>
      <c r="J489" s="247" t="s">
        <v>445</v>
      </c>
      <c r="K489" s="154"/>
      <c r="L489" s="154" t="str">
        <f t="shared" si="1"/>
        <v/>
      </c>
      <c r="M489" s="248" t="str">
        <f>IFERROR(__xludf.DUMMYFUNCTION("VLOOKUP(C489,IMPORTRANGE(""https://docs.google.com/spreadsheets/d/1P8eX0NWBhUPS_hvzA11R6jkTNFrPrRYIx_dX_hYbxrk/edit?resourcekey=0-iw9bsKY2OqkUHCFMkCar3A&amp;gid=2055363397#gid=2055363397"",""MTR!C:O""),11,false)"),"PMW-L1")</f>
        <v>PMW-L1</v>
      </c>
      <c r="N489" s="248" t="str">
        <f>IFERROR(__xludf.DUMMYFUNCTION("VLOOKUP(C489,IMPORTRANGE(""https://docs.google.com/spreadsheets/d/1ihFlp3_ePlYtFuPbUNbYj1muErVpI73WHXbEwJDIA7Q/edit#gid=1493122344"",""MTR!C:O""),8,false)"),"Complies")</f>
        <v>Complies</v>
      </c>
      <c r="O489" s="241" t="str">
        <f>IFERROR(__xludf.DUMMYFUNCTION("VLOOKUP(C489,IMPORTRANGE(""https://docs.google.com/spreadsheets/d/1P8eX0NWBhUPS_hvzA11R6jkTNFrPrRYIx_dX_hYbxrk/edit?resourcekey=0-iw9bsKY2OqkUHCFMkCar3A&amp;gid=2055363397#gid=2055363397"",""MTR!C:O""),9,false)"),"")</f>
        <v/>
      </c>
      <c r="P489" s="241"/>
      <c r="Q489" s="251" t="s">
        <v>445</v>
      </c>
      <c r="R489" s="241"/>
      <c r="S489" s="154" t="s">
        <v>66</v>
      </c>
      <c r="T489" s="154" t="s">
        <v>66</v>
      </c>
      <c r="U489" s="154" t="s">
        <v>60</v>
      </c>
      <c r="V489" s="154" t="s">
        <v>60</v>
      </c>
      <c r="W489" s="154" t="s">
        <v>60</v>
      </c>
      <c r="X489" s="154" t="s">
        <v>60</v>
      </c>
      <c r="Y489" s="154" t="s">
        <v>66</v>
      </c>
      <c r="Z489" s="154" t="s">
        <v>60</v>
      </c>
      <c r="AA489" s="154" t="s">
        <v>60</v>
      </c>
      <c r="AB489" s="154"/>
      <c r="AC489" s="242" t="b">
        <f t="shared" si="2"/>
        <v>1</v>
      </c>
      <c r="AD489" s="154" t="s">
        <v>391</v>
      </c>
      <c r="AE489" s="243" t="b">
        <f t="shared" si="3"/>
        <v>0</v>
      </c>
      <c r="AF489" s="154"/>
      <c r="AG489" s="243" t="b">
        <f t="shared" si="4"/>
        <v>0</v>
      </c>
      <c r="AH489" s="154" t="s">
        <v>652</v>
      </c>
      <c r="AI489" s="243" t="str">
        <f t="shared" si="5"/>
        <v>Complies</v>
      </c>
      <c r="AJ489" s="157" t="str">
        <f t="shared" si="6"/>
        <v/>
      </c>
    </row>
    <row r="490" ht="12.75" customHeight="1">
      <c r="A490" s="244" t="s">
        <v>621</v>
      </c>
      <c r="B490" s="244" t="s">
        <v>1339</v>
      </c>
      <c r="C490" s="244" t="s">
        <v>1655</v>
      </c>
      <c r="D490" s="154" t="s">
        <v>602</v>
      </c>
      <c r="E490" s="250"/>
      <c r="F490" s="154" t="str">
        <f t="array" ref="F490">XLOOKUP(Cover!$D$12,$S$1:$AA$1,$S490:$AA490)</f>
        <v>Recommended</v>
      </c>
      <c r="G490" s="153" t="s">
        <v>1656</v>
      </c>
      <c r="H490" s="154"/>
      <c r="I490" s="154" t="s">
        <v>759</v>
      </c>
      <c r="J490" s="247" t="s">
        <v>516</v>
      </c>
      <c r="K490" s="154"/>
      <c r="L490" s="154" t="str">
        <f t="shared" si="1"/>
        <v/>
      </c>
      <c r="M490" s="248" t="str">
        <f>IFERROR(__xludf.DUMMYFUNCTION("VLOOKUP(C490,IMPORTRANGE(""https://docs.google.com/spreadsheets/d/1P8eX0NWBhUPS_hvzA11R6jkTNFrPrRYIx_dX_hYbxrk/edit?resourcekey=0-iw9bsKY2OqkUHCFMkCar3A&amp;gid=2055363397#gid=2055363397"",""MTR!C:O""),11,false)"),"PMW-L1")</f>
        <v>PMW-L1</v>
      </c>
      <c r="N490" s="248" t="str">
        <f>IFERROR(__xludf.DUMMYFUNCTION("VLOOKUP(C490,IMPORTRANGE(""https://docs.google.com/spreadsheets/d/1ihFlp3_ePlYtFuPbUNbYj1muErVpI73WHXbEwJDIA7Q/edit#gid=1493122344"",""MTR!C:O""),8,false)"),"Does Not Comply")</f>
        <v>Does Not Comply</v>
      </c>
      <c r="O490" s="241" t="str">
        <f>IFERROR(__xludf.DUMMYFUNCTION("VLOOKUP(C490,IMPORTRANGE(""https://docs.google.com/spreadsheets/d/1P8eX0NWBhUPS_hvzA11R6jkTNFrPrRYIx_dX_hYbxrk/edit?resourcekey=0-iw9bsKY2OqkUHCFMkCar3A&amp;gid=2055363397#gid=2055363397"",""MTR!C:O""),9,false)"),"")</f>
        <v/>
      </c>
      <c r="P490" s="241"/>
      <c r="Q490" s="251" t="s">
        <v>516</v>
      </c>
      <c r="R490" s="241"/>
      <c r="S490" s="154" t="s">
        <v>66</v>
      </c>
      <c r="T490" s="154" t="s">
        <v>66</v>
      </c>
      <c r="U490" s="154" t="s">
        <v>64</v>
      </c>
      <c r="V490" s="154" t="s">
        <v>64</v>
      </c>
      <c r="W490" s="154" t="s">
        <v>64</v>
      </c>
      <c r="X490" s="154" t="s">
        <v>64</v>
      </c>
      <c r="Y490" s="154" t="s">
        <v>66</v>
      </c>
      <c r="Z490" s="154" t="s">
        <v>64</v>
      </c>
      <c r="AA490" s="154" t="s">
        <v>64</v>
      </c>
      <c r="AB490" s="154"/>
      <c r="AC490" s="242" t="b">
        <f t="shared" si="2"/>
        <v>1</v>
      </c>
      <c r="AD490" s="154" t="s">
        <v>391</v>
      </c>
      <c r="AE490" s="243" t="b">
        <f t="shared" si="3"/>
        <v>0</v>
      </c>
      <c r="AF490" s="154"/>
      <c r="AG490" s="243" t="b">
        <f t="shared" si="4"/>
        <v>0</v>
      </c>
      <c r="AH490" s="154" t="s">
        <v>652</v>
      </c>
      <c r="AI490" s="243" t="str">
        <f t="shared" si="5"/>
        <v>Complies</v>
      </c>
      <c r="AJ490" s="157" t="str">
        <f t="shared" si="6"/>
        <v/>
      </c>
    </row>
    <row r="491" ht="12.75" customHeight="1">
      <c r="A491" s="244" t="s">
        <v>621</v>
      </c>
      <c r="B491" s="244" t="s">
        <v>1339</v>
      </c>
      <c r="C491" s="244" t="s">
        <v>1657</v>
      </c>
      <c r="D491" s="154" t="s">
        <v>602</v>
      </c>
      <c r="E491" s="250"/>
      <c r="F491" s="154" t="str">
        <f t="array" ref="F491">XLOOKUP(Cover!$D$12,$S$1:$AA$1,$S491:$AA491)</f>
        <v>Mandatory</v>
      </c>
      <c r="G491" s="153" t="s">
        <v>1658</v>
      </c>
      <c r="H491" s="154" t="s">
        <v>232</v>
      </c>
      <c r="I491" s="154" t="s">
        <v>759</v>
      </c>
      <c r="J491" s="247" t="s">
        <v>445</v>
      </c>
      <c r="K491" s="154"/>
      <c r="L491" s="154" t="str">
        <f t="shared" si="1"/>
        <v/>
      </c>
      <c r="M491" s="248" t="str">
        <f>IFERROR(__xludf.DUMMYFUNCTION("VLOOKUP(C491,IMPORTRANGE(""https://docs.google.com/spreadsheets/d/1P8eX0NWBhUPS_hvzA11R6jkTNFrPrRYIx_dX_hYbxrk/edit?resourcekey=0-iw9bsKY2OqkUHCFMkCar3A&amp;gid=2055363397#gid=2055363397"",""MTR!C:O""),11,false)"),"PMW-L1")</f>
        <v>PMW-L1</v>
      </c>
      <c r="N491" s="248" t="str">
        <f>IFERROR(__xludf.DUMMYFUNCTION("VLOOKUP(C491,IMPORTRANGE(""https://docs.google.com/spreadsheets/d/1ihFlp3_ePlYtFuPbUNbYj1muErVpI73WHXbEwJDIA7Q/edit#gid=1493122344"",""MTR!C:O""),8,false)"),"Complies")</f>
        <v>Complies</v>
      </c>
      <c r="O491" s="241" t="str">
        <f>IFERROR(__xludf.DUMMYFUNCTION("VLOOKUP(C491,IMPORTRANGE(""https://docs.google.com/spreadsheets/d/1P8eX0NWBhUPS_hvzA11R6jkTNFrPrRYIx_dX_hYbxrk/edit?resourcekey=0-iw9bsKY2OqkUHCFMkCar3A&amp;gid=2055363397#gid=2055363397"",""MTR!C:O""),9,false)"),"")</f>
        <v/>
      </c>
      <c r="P491" s="241"/>
      <c r="Q491" s="251" t="s">
        <v>445</v>
      </c>
      <c r="R491" s="241"/>
      <c r="S491" s="154" t="s">
        <v>66</v>
      </c>
      <c r="T491" s="154" t="s">
        <v>66</v>
      </c>
      <c r="U491" s="154" t="s">
        <v>60</v>
      </c>
      <c r="V491" s="154" t="s">
        <v>60</v>
      </c>
      <c r="W491" s="154" t="s">
        <v>60</v>
      </c>
      <c r="X491" s="154" t="s">
        <v>60</v>
      </c>
      <c r="Y491" s="154" t="s">
        <v>66</v>
      </c>
      <c r="Z491" s="154" t="s">
        <v>60</v>
      </c>
      <c r="AA491" s="154" t="s">
        <v>60</v>
      </c>
      <c r="AB491" s="154"/>
      <c r="AC491" s="242" t="b">
        <f t="shared" si="2"/>
        <v>1</v>
      </c>
      <c r="AD491" s="154" t="s">
        <v>391</v>
      </c>
      <c r="AE491" s="243" t="b">
        <f t="shared" si="3"/>
        <v>0</v>
      </c>
      <c r="AF491" s="154"/>
      <c r="AG491" s="243" t="b">
        <f t="shared" si="4"/>
        <v>0</v>
      </c>
      <c r="AH491" s="154" t="s">
        <v>652</v>
      </c>
      <c r="AI491" s="243" t="str">
        <f t="shared" si="5"/>
        <v>Complies</v>
      </c>
      <c r="AJ491" s="157" t="str">
        <f t="shared" si="6"/>
        <v/>
      </c>
    </row>
    <row r="492" ht="12.75" customHeight="1">
      <c r="A492" s="238" t="s">
        <v>621</v>
      </c>
      <c r="B492" s="238" t="s">
        <v>1339</v>
      </c>
      <c r="C492" s="238" t="s">
        <v>1659</v>
      </c>
      <c r="D492" s="240"/>
      <c r="E492" s="252" t="s">
        <v>92</v>
      </c>
      <c r="F492" s="154" t="str">
        <f t="array" ref="F492">XLOOKUP(Cover!$D$12,$S$1:$AA$1,$S492:$AA492)</f>
        <v>Heading</v>
      </c>
      <c r="G492" s="239" t="s">
        <v>1660</v>
      </c>
      <c r="H492" s="240"/>
      <c r="I492" s="240" t="s">
        <v>759</v>
      </c>
      <c r="J492" s="240"/>
      <c r="K492" s="240"/>
      <c r="L492" s="154" t="str">
        <f t="shared" si="1"/>
        <v/>
      </c>
      <c r="M492" s="241" t="str">
        <f>IFERROR(__xludf.DUMMYFUNCTION("VLOOKUP(C492,IMPORTRANGE(""https://docs.google.com/spreadsheets/d/1P8eX0NWBhUPS_hvzA11R6jkTNFrPrRYIx_dX_hYbxrk/edit?resourcekey=0-iw9bsKY2OqkUHCFMkCar3A&amp;gid=2055363397#gid=2055363397"",""MTR!C:O""),11,false)"),"")</f>
        <v/>
      </c>
      <c r="N492" s="241" t="str">
        <f>IFERROR(__xludf.DUMMYFUNCTION("VLOOKUP(C492,IMPORTRANGE(""https://docs.google.com/spreadsheets/d/1ihFlp3_ePlYtFuPbUNbYj1muErVpI73WHXbEwJDIA7Q/edit#gid=1493122344"",""MTR!C:O""),8,false)"),"")</f>
        <v/>
      </c>
      <c r="O492" s="241" t="str">
        <f>IFERROR(__xludf.DUMMYFUNCTION("VLOOKUP(C492,IMPORTRANGE(""https://docs.google.com/spreadsheets/d/1P8eX0NWBhUPS_hvzA11R6jkTNFrPrRYIx_dX_hYbxrk/edit?resourcekey=0-iw9bsKY2OqkUHCFMkCar3A&amp;gid=2055363397#gid=2055363397"",""MTR!C:O""),9,false)"),"")</f>
        <v/>
      </c>
      <c r="P492" s="241"/>
      <c r="Q492" s="241"/>
      <c r="R492" s="241"/>
      <c r="S492" s="240" t="s">
        <v>390</v>
      </c>
      <c r="T492" s="240" t="s">
        <v>390</v>
      </c>
      <c r="U492" s="240" t="s">
        <v>390</v>
      </c>
      <c r="V492" s="240" t="s">
        <v>390</v>
      </c>
      <c r="W492" s="240" t="s">
        <v>390</v>
      </c>
      <c r="X492" s="240" t="s">
        <v>390</v>
      </c>
      <c r="Y492" s="240" t="s">
        <v>390</v>
      </c>
      <c r="Z492" s="240" t="s">
        <v>390</v>
      </c>
      <c r="AA492" s="240" t="s">
        <v>390</v>
      </c>
      <c r="AB492" s="240"/>
      <c r="AC492" s="242" t="b">
        <f t="shared" si="2"/>
        <v>0</v>
      </c>
      <c r="AD492" s="240" t="s">
        <v>391</v>
      </c>
      <c r="AE492" s="243" t="b">
        <f t="shared" si="3"/>
        <v>0</v>
      </c>
      <c r="AF492" s="240"/>
      <c r="AG492" s="243" t="b">
        <f t="shared" si="4"/>
        <v>0</v>
      </c>
      <c r="AH492" s="240"/>
      <c r="AI492" s="243" t="str">
        <f t="shared" si="5"/>
        <v>N/A</v>
      </c>
      <c r="AJ492" s="157" t="str">
        <f t="shared" si="6"/>
        <v/>
      </c>
    </row>
    <row r="493" ht="12.75" customHeight="1">
      <c r="A493" s="238" t="s">
        <v>621</v>
      </c>
      <c r="B493" s="238" t="s">
        <v>1339</v>
      </c>
      <c r="C493" s="238" t="s">
        <v>1661</v>
      </c>
      <c r="D493" s="240"/>
      <c r="E493" s="252" t="s">
        <v>92</v>
      </c>
      <c r="F493" s="154" t="str">
        <f t="array" ref="F493">XLOOKUP(Cover!$D$12,$S$1:$AA$1,$S493:$AA493)</f>
        <v>Heading</v>
      </c>
      <c r="G493" s="239" t="s">
        <v>1662</v>
      </c>
      <c r="H493" s="240"/>
      <c r="I493" s="240" t="s">
        <v>759</v>
      </c>
      <c r="J493" s="240"/>
      <c r="K493" s="240"/>
      <c r="L493" s="154" t="str">
        <f t="shared" si="1"/>
        <v/>
      </c>
      <c r="M493" s="241" t="str">
        <f>IFERROR(__xludf.DUMMYFUNCTION("VLOOKUP(C493,IMPORTRANGE(""https://docs.google.com/spreadsheets/d/1P8eX0NWBhUPS_hvzA11R6jkTNFrPrRYIx_dX_hYbxrk/edit?resourcekey=0-iw9bsKY2OqkUHCFMkCar3A&amp;gid=2055363397#gid=2055363397"",""MTR!C:O""),11,false)"),"")</f>
        <v/>
      </c>
      <c r="N493" s="241" t="str">
        <f>IFERROR(__xludf.DUMMYFUNCTION("VLOOKUP(C493,IMPORTRANGE(""https://docs.google.com/spreadsheets/d/1ihFlp3_ePlYtFuPbUNbYj1muErVpI73WHXbEwJDIA7Q/edit#gid=1493122344"",""MTR!C:O""),8,false)"),"")</f>
        <v/>
      </c>
      <c r="O493" s="241" t="str">
        <f>IFERROR(__xludf.DUMMYFUNCTION("VLOOKUP(C493,IMPORTRANGE(""https://docs.google.com/spreadsheets/d/1P8eX0NWBhUPS_hvzA11R6jkTNFrPrRYIx_dX_hYbxrk/edit?resourcekey=0-iw9bsKY2OqkUHCFMkCar3A&amp;gid=2055363397#gid=2055363397"",""MTR!C:O""),9,false)"),"")</f>
        <v/>
      </c>
      <c r="P493" s="241"/>
      <c r="Q493" s="241"/>
      <c r="R493" s="241"/>
      <c r="S493" s="240" t="s">
        <v>390</v>
      </c>
      <c r="T493" s="240" t="s">
        <v>390</v>
      </c>
      <c r="U493" s="240" t="s">
        <v>390</v>
      </c>
      <c r="V493" s="240" t="s">
        <v>390</v>
      </c>
      <c r="W493" s="240" t="s">
        <v>390</v>
      </c>
      <c r="X493" s="240" t="s">
        <v>390</v>
      </c>
      <c r="Y493" s="240" t="s">
        <v>390</v>
      </c>
      <c r="Z493" s="240" t="s">
        <v>390</v>
      </c>
      <c r="AA493" s="240" t="s">
        <v>390</v>
      </c>
      <c r="AB493" s="240"/>
      <c r="AC493" s="242" t="b">
        <f t="shared" si="2"/>
        <v>0</v>
      </c>
      <c r="AD493" s="240" t="s">
        <v>391</v>
      </c>
      <c r="AE493" s="243" t="b">
        <f t="shared" si="3"/>
        <v>0</v>
      </c>
      <c r="AF493" s="240"/>
      <c r="AG493" s="243" t="b">
        <f t="shared" si="4"/>
        <v>0</v>
      </c>
      <c r="AH493" s="240"/>
      <c r="AI493" s="243" t="str">
        <f t="shared" si="5"/>
        <v>N/A</v>
      </c>
      <c r="AJ493" s="157" t="str">
        <f t="shared" si="6"/>
        <v/>
      </c>
    </row>
    <row r="494" ht="12.75" customHeight="1">
      <c r="A494" s="238" t="s">
        <v>621</v>
      </c>
      <c r="B494" s="238" t="s">
        <v>1339</v>
      </c>
      <c r="C494" s="238" t="s">
        <v>1663</v>
      </c>
      <c r="D494" s="240"/>
      <c r="E494" s="252" t="s">
        <v>92</v>
      </c>
      <c r="F494" s="154" t="str">
        <f t="array" ref="F494">XLOOKUP(Cover!$D$12,$S$1:$AA$1,$S494:$AA494)</f>
        <v>Heading</v>
      </c>
      <c r="G494" s="239" t="s">
        <v>1664</v>
      </c>
      <c r="H494" s="240"/>
      <c r="I494" s="240" t="s">
        <v>759</v>
      </c>
      <c r="J494" s="240"/>
      <c r="K494" s="240"/>
      <c r="L494" s="154" t="str">
        <f t="shared" si="1"/>
        <v/>
      </c>
      <c r="M494" s="241" t="str">
        <f>IFERROR(__xludf.DUMMYFUNCTION("VLOOKUP(C494,IMPORTRANGE(""https://docs.google.com/spreadsheets/d/1P8eX0NWBhUPS_hvzA11R6jkTNFrPrRYIx_dX_hYbxrk/edit?resourcekey=0-iw9bsKY2OqkUHCFMkCar3A&amp;gid=2055363397#gid=2055363397"",""MTR!C:O""),11,false)"),"")</f>
        <v/>
      </c>
      <c r="N494" s="241" t="str">
        <f>IFERROR(__xludf.DUMMYFUNCTION("VLOOKUP(C494,IMPORTRANGE(""https://docs.google.com/spreadsheets/d/1ihFlp3_ePlYtFuPbUNbYj1muErVpI73WHXbEwJDIA7Q/edit#gid=1493122344"",""MTR!C:O""),8,false)"),"")</f>
        <v/>
      </c>
      <c r="O494" s="241" t="str">
        <f>IFERROR(__xludf.DUMMYFUNCTION("VLOOKUP(C494,IMPORTRANGE(""https://docs.google.com/spreadsheets/d/1P8eX0NWBhUPS_hvzA11R6jkTNFrPrRYIx_dX_hYbxrk/edit?resourcekey=0-iw9bsKY2OqkUHCFMkCar3A&amp;gid=2055363397#gid=2055363397"",""MTR!C:O""),9,false)"),"")</f>
        <v/>
      </c>
      <c r="P494" s="241"/>
      <c r="Q494" s="241"/>
      <c r="R494" s="241"/>
      <c r="S494" s="240" t="s">
        <v>390</v>
      </c>
      <c r="T494" s="240" t="s">
        <v>390</v>
      </c>
      <c r="U494" s="240" t="s">
        <v>390</v>
      </c>
      <c r="V494" s="240" t="s">
        <v>390</v>
      </c>
      <c r="W494" s="240" t="s">
        <v>390</v>
      </c>
      <c r="X494" s="240" t="s">
        <v>390</v>
      </c>
      <c r="Y494" s="240" t="s">
        <v>390</v>
      </c>
      <c r="Z494" s="240" t="s">
        <v>390</v>
      </c>
      <c r="AA494" s="240" t="s">
        <v>390</v>
      </c>
      <c r="AB494" s="240"/>
      <c r="AC494" s="242" t="b">
        <f t="shared" si="2"/>
        <v>0</v>
      </c>
      <c r="AD494" s="240" t="s">
        <v>391</v>
      </c>
      <c r="AE494" s="243" t="b">
        <f t="shared" si="3"/>
        <v>0</v>
      </c>
      <c r="AF494" s="240"/>
      <c r="AG494" s="243" t="b">
        <f t="shared" si="4"/>
        <v>0</v>
      </c>
      <c r="AH494" s="240"/>
      <c r="AI494" s="243" t="str">
        <f t="shared" si="5"/>
        <v>N/A</v>
      </c>
      <c r="AJ494" s="157" t="str">
        <f t="shared" si="6"/>
        <v/>
      </c>
    </row>
    <row r="495" ht="12.75" customHeight="1">
      <c r="A495" s="244" t="s">
        <v>621</v>
      </c>
      <c r="B495" s="244" t="s">
        <v>1339</v>
      </c>
      <c r="C495" s="244" t="s">
        <v>1665</v>
      </c>
      <c r="D495" s="244" t="s">
        <v>602</v>
      </c>
      <c r="E495" s="244"/>
      <c r="F495" s="154" t="str">
        <f t="array" ref="F495">XLOOKUP(Cover!$D$12,$S$1:$AA$1,$S495:$AA495)</f>
        <v>Mandatory</v>
      </c>
      <c r="G495" s="154" t="s">
        <v>1666</v>
      </c>
      <c r="H495" s="154"/>
      <c r="I495" s="154" t="s">
        <v>759</v>
      </c>
      <c r="J495" s="247" t="s">
        <v>445</v>
      </c>
      <c r="K495" s="154"/>
      <c r="L495" s="154" t="str">
        <f t="shared" si="1"/>
        <v/>
      </c>
      <c r="M495" s="248" t="str">
        <f>IFERROR(__xludf.DUMMYFUNCTION("VLOOKUP(C495,IMPORTRANGE(""https://docs.google.com/spreadsheets/d/1P8eX0NWBhUPS_hvzA11R6jkTNFrPrRYIx_dX_hYbxrk/edit?resourcekey=0-iw9bsKY2OqkUHCFMkCar3A&amp;gid=2055363397#gid=2055363397"",""MTR!C:O""),11,false)"),"PMW-MCE-AS")</f>
        <v>PMW-MCE-AS</v>
      </c>
      <c r="N495" s="248" t="str">
        <f>IFERROR(__xludf.DUMMYFUNCTION("VLOOKUP(C495,IMPORTRANGE(""https://docs.google.com/spreadsheets/d/1ihFlp3_ePlYtFuPbUNbYj1muErVpI73WHXbEwJDIA7Q/edit#gid=1493122344"",""MTR!C:O""),8,false)"),"Complies")</f>
        <v>Complies</v>
      </c>
      <c r="O495" s="241" t="str">
        <f>IFERROR(__xludf.DUMMYFUNCTION("VLOOKUP(C495,IMPORTRANGE(""https://docs.google.com/spreadsheets/d/1P8eX0NWBhUPS_hvzA11R6jkTNFrPrRYIx_dX_hYbxrk/edit?resourcekey=0-iw9bsKY2OqkUHCFMkCar3A&amp;gid=2055363397#gid=2055363397"",""MTR!C:O""),9,false)"),"")</f>
        <v/>
      </c>
      <c r="P495" s="241"/>
      <c r="Q495" s="251" t="s">
        <v>445</v>
      </c>
      <c r="R495" s="241"/>
      <c r="S495" s="154" t="s">
        <v>66</v>
      </c>
      <c r="T495" s="154" t="s">
        <v>66</v>
      </c>
      <c r="U495" s="154" t="s">
        <v>60</v>
      </c>
      <c r="V495" s="154" t="s">
        <v>60</v>
      </c>
      <c r="W495" s="154" t="s">
        <v>60</v>
      </c>
      <c r="X495" s="154" t="s">
        <v>60</v>
      </c>
      <c r="Y495" s="154" t="s">
        <v>66</v>
      </c>
      <c r="Z495" s="154" t="s">
        <v>60</v>
      </c>
      <c r="AA495" s="154" t="s">
        <v>60</v>
      </c>
      <c r="AB495" s="154"/>
      <c r="AC495" s="242" t="b">
        <f t="shared" si="2"/>
        <v>1</v>
      </c>
      <c r="AD495" s="154" t="s">
        <v>391</v>
      </c>
      <c r="AE495" s="243" t="b">
        <f t="shared" si="3"/>
        <v>0</v>
      </c>
      <c r="AF495" s="154"/>
      <c r="AG495" s="243" t="b">
        <f t="shared" si="4"/>
        <v>0</v>
      </c>
      <c r="AH495" s="154" t="s">
        <v>652</v>
      </c>
      <c r="AI495" s="243" t="str">
        <f t="shared" si="5"/>
        <v>Complies</v>
      </c>
      <c r="AJ495" s="157" t="str">
        <f t="shared" si="6"/>
        <v/>
      </c>
    </row>
    <row r="496" ht="12.75" customHeight="1">
      <c r="A496" s="244" t="s">
        <v>621</v>
      </c>
      <c r="B496" s="244" t="s">
        <v>1339</v>
      </c>
      <c r="C496" s="244" t="s">
        <v>1667</v>
      </c>
      <c r="D496" s="154" t="s">
        <v>747</v>
      </c>
      <c r="E496" s="250"/>
      <c r="F496" s="154" t="str">
        <f t="array" ref="F496">XLOOKUP(Cover!$D$12,$S$1:$AA$1,$S496:$AA496)</f>
        <v>Recommended</v>
      </c>
      <c r="G496" s="154" t="s">
        <v>1668</v>
      </c>
      <c r="H496" s="154"/>
      <c r="I496" s="154" t="s">
        <v>759</v>
      </c>
      <c r="J496" s="247" t="s">
        <v>445</v>
      </c>
      <c r="K496" s="154"/>
      <c r="L496" s="154" t="str">
        <f t="shared" si="1"/>
        <v/>
      </c>
      <c r="M496" s="248" t="str">
        <f>IFERROR(__xludf.DUMMYFUNCTION("VLOOKUP(C496,IMPORTRANGE(""https://docs.google.com/spreadsheets/d/1P8eX0NWBhUPS_hvzA11R6jkTNFrPrRYIx_dX_hYbxrk/edit?resourcekey=0-iw9bsKY2OqkUHCFMkCar3A&amp;gid=2055363397#gid=2055363397"",""MTR!C:O""),11,false)"),"PMW-MCE-AS")</f>
        <v>PMW-MCE-AS</v>
      </c>
      <c r="N496" s="248" t="str">
        <f>IFERROR(__xludf.DUMMYFUNCTION("VLOOKUP(C496,IMPORTRANGE(""https://docs.google.com/spreadsheets/d/1ihFlp3_ePlYtFuPbUNbYj1muErVpI73WHXbEwJDIA7Q/edit#gid=1493122344"",""MTR!C:O""),8,false)"),"Complies")</f>
        <v>Complies</v>
      </c>
      <c r="O496" s="241" t="str">
        <f>IFERROR(__xludf.DUMMYFUNCTION("VLOOKUP(C496,IMPORTRANGE(""https://docs.google.com/spreadsheets/d/1P8eX0NWBhUPS_hvzA11R6jkTNFrPrRYIx_dX_hYbxrk/edit?resourcekey=0-iw9bsKY2OqkUHCFMkCar3A&amp;gid=2055363397#gid=2055363397"",""MTR!C:O""),9,false)"),"")</f>
        <v/>
      </c>
      <c r="P496" s="241"/>
      <c r="Q496" s="251" t="s">
        <v>445</v>
      </c>
      <c r="R496" s="241"/>
      <c r="S496" s="154" t="s">
        <v>66</v>
      </c>
      <c r="T496" s="154" t="s">
        <v>66</v>
      </c>
      <c r="U496" s="154" t="s">
        <v>64</v>
      </c>
      <c r="V496" s="154" t="s">
        <v>64</v>
      </c>
      <c r="W496" s="154" t="s">
        <v>64</v>
      </c>
      <c r="X496" s="154" t="s">
        <v>64</v>
      </c>
      <c r="Y496" s="154" t="s">
        <v>66</v>
      </c>
      <c r="Z496" s="154" t="s">
        <v>64</v>
      </c>
      <c r="AA496" s="154" t="s">
        <v>64</v>
      </c>
      <c r="AB496" s="154"/>
      <c r="AC496" s="242" t="b">
        <f t="shared" si="2"/>
        <v>1</v>
      </c>
      <c r="AD496" s="154" t="s">
        <v>391</v>
      </c>
      <c r="AE496" s="243" t="b">
        <f t="shared" si="3"/>
        <v>0</v>
      </c>
      <c r="AF496" s="154"/>
      <c r="AG496" s="243" t="b">
        <f t="shared" si="4"/>
        <v>0</v>
      </c>
      <c r="AH496" s="154" t="s">
        <v>652</v>
      </c>
      <c r="AI496" s="243" t="str">
        <f t="shared" si="5"/>
        <v>Complies</v>
      </c>
      <c r="AJ496" s="157" t="str">
        <f t="shared" si="6"/>
        <v/>
      </c>
    </row>
    <row r="497" ht="12.75" customHeight="1">
      <c r="A497" s="244" t="s">
        <v>621</v>
      </c>
      <c r="B497" s="244" t="s">
        <v>1339</v>
      </c>
      <c r="C497" s="245" t="s">
        <v>1669</v>
      </c>
      <c r="D497" s="155" t="s">
        <v>747</v>
      </c>
      <c r="E497" s="246" t="s">
        <v>92</v>
      </c>
      <c r="F497" s="154" t="str">
        <f t="array" ref="F497">XLOOKUP(Cover!$D$12,$S$1:$AA$1,$S497:$AA497)</f>
        <v>Recommended</v>
      </c>
      <c r="G497" s="153" t="s">
        <v>1670</v>
      </c>
      <c r="H497" s="154" t="s">
        <v>232</v>
      </c>
      <c r="I497" s="154" t="s">
        <v>759</v>
      </c>
      <c r="J497" s="247" t="s">
        <v>516</v>
      </c>
      <c r="K497" s="247" t="s">
        <v>1671</v>
      </c>
      <c r="L497" s="154" t="str">
        <f t="shared" si="1"/>
        <v/>
      </c>
      <c r="M497" s="248" t="str">
        <f>IFERROR(__xludf.DUMMYFUNCTION("VLOOKUP(C497,IMPORTRANGE(""https://docs.google.com/spreadsheets/d/1P8eX0NWBhUPS_hvzA11R6jkTNFrPrRYIx_dX_hYbxrk/edit?resourcekey=0-iw9bsKY2OqkUHCFMkCar3A&amp;gid=2055363397#gid=2055363397"",""MTR!C:O""),11,false)"),"PMW-MCE-AS")</f>
        <v>PMW-MCE-AS</v>
      </c>
      <c r="N497" s="248" t="str">
        <f>IFERROR(__xludf.DUMMYFUNCTION("VLOOKUP(C497,IMPORTRANGE(""https://docs.google.com/spreadsheets/d/1ihFlp3_ePlYtFuPbUNbYj1muErVpI73WHXbEwJDIA7Q/edit#gid=1493122344"",""MTR!C:O""),8,false)"),"Does Not Comply")</f>
        <v>Does Not Comply</v>
      </c>
      <c r="O497" s="248" t="str">
        <f>IFERROR(__xludf.DUMMYFUNCTION("VLOOKUP(C497,IMPORTRANGE(""https://docs.google.com/spreadsheets/d/1P8eX0NWBhUPS_hvzA11R6jkTNFrPrRYIx_dX_hYbxrk/edit?resourcekey=0-iw9bsKY2OqkUHCFMkCar3A&amp;gid=2055363397#gid=2055363397"",""MTR!C:O""),9,false)"),"Chip limitation")</f>
        <v>Chip limitation</v>
      </c>
      <c r="P497" s="248"/>
      <c r="Q497" s="249" t="s">
        <v>516</v>
      </c>
      <c r="R497" s="249" t="s">
        <v>1671</v>
      </c>
      <c r="S497" s="154" t="s">
        <v>66</v>
      </c>
      <c r="T497" s="154" t="s">
        <v>66</v>
      </c>
      <c r="U497" s="154" t="s">
        <v>64</v>
      </c>
      <c r="V497" s="154" t="s">
        <v>64</v>
      </c>
      <c r="W497" s="154" t="s">
        <v>64</v>
      </c>
      <c r="X497" s="154" t="s">
        <v>64</v>
      </c>
      <c r="Y497" s="154" t="s">
        <v>66</v>
      </c>
      <c r="Z497" s="154" t="s">
        <v>64</v>
      </c>
      <c r="AA497" s="154" t="s">
        <v>64</v>
      </c>
      <c r="AB497" s="154"/>
      <c r="AC497" s="242" t="b">
        <f t="shared" si="2"/>
        <v>1</v>
      </c>
      <c r="AD497" s="154" t="s">
        <v>391</v>
      </c>
      <c r="AE497" s="243" t="b">
        <f t="shared" si="3"/>
        <v>0</v>
      </c>
      <c r="AF497" s="154"/>
      <c r="AG497" s="243" t="b">
        <f t="shared" si="4"/>
        <v>0</v>
      </c>
      <c r="AH497" s="154" t="s">
        <v>1669</v>
      </c>
      <c r="AI497" s="243" t="str">
        <f t="shared" si="5"/>
        <v>Does Not Comply</v>
      </c>
      <c r="AJ497" s="157" t="str">
        <f t="shared" si="6"/>
        <v/>
      </c>
    </row>
    <row r="498" ht="12.75" customHeight="1">
      <c r="A498" s="238" t="s">
        <v>621</v>
      </c>
      <c r="B498" s="238" t="s">
        <v>1339</v>
      </c>
      <c r="C498" s="238" t="s">
        <v>1672</v>
      </c>
      <c r="D498" s="240"/>
      <c r="E498" s="252" t="s">
        <v>92</v>
      </c>
      <c r="F498" s="154" t="str">
        <f t="array" ref="F498">XLOOKUP(Cover!$D$12,$S$1:$AA$1,$S498:$AA498)</f>
        <v>Heading</v>
      </c>
      <c r="G498" s="239" t="s">
        <v>1673</v>
      </c>
      <c r="H498" s="240"/>
      <c r="I498" s="240" t="s">
        <v>759</v>
      </c>
      <c r="J498" s="240"/>
      <c r="K498" s="240"/>
      <c r="L498" s="154" t="str">
        <f t="shared" si="1"/>
        <v/>
      </c>
      <c r="M498" s="241" t="str">
        <f>IFERROR(__xludf.DUMMYFUNCTION("VLOOKUP(C498,IMPORTRANGE(""https://docs.google.com/spreadsheets/d/1P8eX0NWBhUPS_hvzA11R6jkTNFrPrRYIx_dX_hYbxrk/edit?resourcekey=0-iw9bsKY2OqkUHCFMkCar3A&amp;gid=2055363397#gid=2055363397"",""MTR!C:O""),11,false)"),"")</f>
        <v/>
      </c>
      <c r="N498" s="241" t="str">
        <f>IFERROR(__xludf.DUMMYFUNCTION("VLOOKUP(C498,IMPORTRANGE(""https://docs.google.com/spreadsheets/d/1ihFlp3_ePlYtFuPbUNbYj1muErVpI73WHXbEwJDIA7Q/edit#gid=1493122344"",""MTR!C:O""),8,false)"),"")</f>
        <v/>
      </c>
      <c r="O498" s="241" t="str">
        <f>IFERROR(__xludf.DUMMYFUNCTION("VLOOKUP(C498,IMPORTRANGE(""https://docs.google.com/spreadsheets/d/1P8eX0NWBhUPS_hvzA11R6jkTNFrPrRYIx_dX_hYbxrk/edit?resourcekey=0-iw9bsKY2OqkUHCFMkCar3A&amp;gid=2055363397#gid=2055363397"",""MTR!C:O""),9,false)"),"")</f>
        <v/>
      </c>
      <c r="P498" s="241"/>
      <c r="Q498" s="241"/>
      <c r="R498" s="241"/>
      <c r="S498" s="240" t="s">
        <v>390</v>
      </c>
      <c r="T498" s="240" t="s">
        <v>390</v>
      </c>
      <c r="U498" s="240" t="s">
        <v>390</v>
      </c>
      <c r="V498" s="240" t="s">
        <v>390</v>
      </c>
      <c r="W498" s="240" t="s">
        <v>390</v>
      </c>
      <c r="X498" s="240" t="s">
        <v>390</v>
      </c>
      <c r="Y498" s="240" t="s">
        <v>390</v>
      </c>
      <c r="Z498" s="240" t="s">
        <v>390</v>
      </c>
      <c r="AA498" s="240" t="s">
        <v>390</v>
      </c>
      <c r="AB498" s="240"/>
      <c r="AC498" s="242" t="b">
        <f t="shared" si="2"/>
        <v>0</v>
      </c>
      <c r="AD498" s="240" t="s">
        <v>391</v>
      </c>
      <c r="AE498" s="243" t="b">
        <f t="shared" si="3"/>
        <v>0</v>
      </c>
      <c r="AF498" s="240"/>
      <c r="AG498" s="243" t="b">
        <f t="shared" si="4"/>
        <v>0</v>
      </c>
      <c r="AH498" s="240"/>
      <c r="AI498" s="243" t="str">
        <f t="shared" si="5"/>
        <v>N/A</v>
      </c>
      <c r="AJ498" s="157" t="str">
        <f t="shared" si="6"/>
        <v/>
      </c>
    </row>
    <row r="499" ht="12.75" customHeight="1">
      <c r="A499" s="244" t="s">
        <v>621</v>
      </c>
      <c r="B499" s="244" t="s">
        <v>1339</v>
      </c>
      <c r="C499" s="244" t="s">
        <v>1674</v>
      </c>
      <c r="D499" s="154" t="s">
        <v>861</v>
      </c>
      <c r="E499" s="250"/>
      <c r="F499" s="154" t="str">
        <f t="array" ref="F499">XLOOKUP(Cover!$D$12,$S$1:$AA$1,$S499:$AA499)</f>
        <v>Recommended</v>
      </c>
      <c r="G499" s="153" t="s">
        <v>1675</v>
      </c>
      <c r="H499" s="154"/>
      <c r="I499" s="154" t="s">
        <v>759</v>
      </c>
      <c r="J499" s="247" t="s">
        <v>516</v>
      </c>
      <c r="K499" s="154"/>
      <c r="L499" s="154" t="str">
        <f t="shared" si="1"/>
        <v/>
      </c>
      <c r="M499" s="248" t="str">
        <f>IFERROR(__xludf.DUMMYFUNCTION("VLOOKUP(C499,IMPORTRANGE(""https://docs.google.com/spreadsheets/d/1P8eX0NWBhUPS_hvzA11R6jkTNFrPrRYIx_dX_hYbxrk/edit?resourcekey=0-iw9bsKY2OqkUHCFMkCar3A&amp;gid=2055363397#gid=2055363397"",""MTR!C:O""),11,false)"),"PMW-MCE-AS")</f>
        <v>PMW-MCE-AS</v>
      </c>
      <c r="N499" s="248" t="str">
        <f>IFERROR(__xludf.DUMMYFUNCTION("VLOOKUP(C499,IMPORTRANGE(""https://docs.google.com/spreadsheets/d/1ihFlp3_ePlYtFuPbUNbYj1muErVpI73WHXbEwJDIA7Q/edit#gid=1493122344"",""MTR!C:O""),8,false)"),"Does Not Comply")</f>
        <v>Does Not Comply</v>
      </c>
      <c r="O499" s="241" t="str">
        <f>IFERROR(__xludf.DUMMYFUNCTION("VLOOKUP(C499,IMPORTRANGE(""https://docs.google.com/spreadsheets/d/1P8eX0NWBhUPS_hvzA11R6jkTNFrPrRYIx_dX_hYbxrk/edit?resourcekey=0-iw9bsKY2OqkUHCFMkCar3A&amp;gid=2055363397#gid=2055363397"",""MTR!C:O""),9,false)"),"")</f>
        <v/>
      </c>
      <c r="P499" s="241"/>
      <c r="Q499" s="251" t="s">
        <v>516</v>
      </c>
      <c r="R499" s="241"/>
      <c r="S499" s="154" t="s">
        <v>66</v>
      </c>
      <c r="T499" s="154" t="s">
        <v>66</v>
      </c>
      <c r="U499" s="154" t="s">
        <v>64</v>
      </c>
      <c r="V499" s="154" t="s">
        <v>64</v>
      </c>
      <c r="W499" s="154" t="s">
        <v>64</v>
      </c>
      <c r="X499" s="154" t="s">
        <v>64</v>
      </c>
      <c r="Y499" s="154" t="s">
        <v>66</v>
      </c>
      <c r="Z499" s="154" t="s">
        <v>64</v>
      </c>
      <c r="AA499" s="154" t="s">
        <v>64</v>
      </c>
      <c r="AB499" s="154"/>
      <c r="AC499" s="242" t="b">
        <f t="shared" si="2"/>
        <v>1</v>
      </c>
      <c r="AD499" s="154" t="s">
        <v>391</v>
      </c>
      <c r="AE499" s="243" t="b">
        <f t="shared" si="3"/>
        <v>0</v>
      </c>
      <c r="AF499" s="154"/>
      <c r="AG499" s="243" t="b">
        <f t="shared" si="4"/>
        <v>0</v>
      </c>
      <c r="AH499" s="154" t="s">
        <v>652</v>
      </c>
      <c r="AI499" s="243" t="str">
        <f t="shared" si="5"/>
        <v>Complies</v>
      </c>
      <c r="AJ499" s="157" t="str">
        <f t="shared" si="6"/>
        <v/>
      </c>
    </row>
    <row r="500" ht="12.75" customHeight="1">
      <c r="A500" s="244" t="s">
        <v>621</v>
      </c>
      <c r="B500" s="244" t="s">
        <v>1339</v>
      </c>
      <c r="C500" s="244" t="s">
        <v>1676</v>
      </c>
      <c r="D500" s="154" t="s">
        <v>747</v>
      </c>
      <c r="E500" s="250"/>
      <c r="F500" s="154" t="str">
        <f t="array" ref="F500">XLOOKUP(Cover!$D$12,$S$1:$AA$1,$S500:$AA500)</f>
        <v>Mandatory</v>
      </c>
      <c r="G500" s="153" t="s">
        <v>1677</v>
      </c>
      <c r="H500" s="154" t="s">
        <v>232</v>
      </c>
      <c r="I500" s="154" t="s">
        <v>759</v>
      </c>
      <c r="J500" s="247" t="s">
        <v>445</v>
      </c>
      <c r="K500" s="154"/>
      <c r="L500" s="154" t="str">
        <f t="shared" si="1"/>
        <v/>
      </c>
      <c r="M500" s="248" t="str">
        <f>IFERROR(__xludf.DUMMYFUNCTION("VLOOKUP(C500,IMPORTRANGE(""https://docs.google.com/spreadsheets/d/1P8eX0NWBhUPS_hvzA11R6jkTNFrPrRYIx_dX_hYbxrk/edit?resourcekey=0-iw9bsKY2OqkUHCFMkCar3A&amp;gid=2055363397#gid=2055363397"",""MTR!C:O""),11,false)"),"PMW-MCE-AS")</f>
        <v>PMW-MCE-AS</v>
      </c>
      <c r="N500" s="248" t="str">
        <f>IFERROR(__xludf.DUMMYFUNCTION("VLOOKUP(C500,IMPORTRANGE(""https://docs.google.com/spreadsheets/d/1ihFlp3_ePlYtFuPbUNbYj1muErVpI73WHXbEwJDIA7Q/edit#gid=1493122344"",""MTR!C:O""),8,false)"),"Complies")</f>
        <v>Complies</v>
      </c>
      <c r="O500" s="241" t="str">
        <f>IFERROR(__xludf.DUMMYFUNCTION("VLOOKUP(C500,IMPORTRANGE(""https://docs.google.com/spreadsheets/d/1P8eX0NWBhUPS_hvzA11R6jkTNFrPrRYIx_dX_hYbxrk/edit?resourcekey=0-iw9bsKY2OqkUHCFMkCar3A&amp;gid=2055363397#gid=2055363397"",""MTR!C:O""),9,false)"),"")</f>
        <v/>
      </c>
      <c r="P500" s="241"/>
      <c r="Q500" s="251" t="s">
        <v>445</v>
      </c>
      <c r="R500" s="241"/>
      <c r="S500" s="154" t="s">
        <v>66</v>
      </c>
      <c r="T500" s="154" t="s">
        <v>66</v>
      </c>
      <c r="U500" s="154" t="s">
        <v>60</v>
      </c>
      <c r="V500" s="154" t="s">
        <v>60</v>
      </c>
      <c r="W500" s="154" t="s">
        <v>60</v>
      </c>
      <c r="X500" s="154" t="s">
        <v>60</v>
      </c>
      <c r="Y500" s="154" t="s">
        <v>66</v>
      </c>
      <c r="Z500" s="154" t="s">
        <v>60</v>
      </c>
      <c r="AA500" s="154" t="s">
        <v>60</v>
      </c>
      <c r="AB500" s="154"/>
      <c r="AC500" s="242" t="b">
        <f t="shared" si="2"/>
        <v>1</v>
      </c>
      <c r="AD500" s="154" t="s">
        <v>391</v>
      </c>
      <c r="AE500" s="243" t="b">
        <f t="shared" si="3"/>
        <v>0</v>
      </c>
      <c r="AF500" s="154"/>
      <c r="AG500" s="243" t="b">
        <f t="shared" si="4"/>
        <v>0</v>
      </c>
      <c r="AH500" s="154" t="s">
        <v>652</v>
      </c>
      <c r="AI500" s="243" t="str">
        <f t="shared" si="5"/>
        <v>Complies</v>
      </c>
      <c r="AJ500" s="157" t="str">
        <f t="shared" si="6"/>
        <v/>
      </c>
    </row>
    <row r="501" ht="12.75" customHeight="1">
      <c r="A501" s="244" t="s">
        <v>621</v>
      </c>
      <c r="B501" s="244" t="s">
        <v>1339</v>
      </c>
      <c r="C501" s="244" t="s">
        <v>1678</v>
      </c>
      <c r="D501" s="244" t="s">
        <v>861</v>
      </c>
      <c r="E501" s="244"/>
      <c r="F501" s="154" t="str">
        <f t="array" ref="F501">XLOOKUP(Cover!$D$12,$S$1:$AA$1,$S501:$AA501)</f>
        <v>Recommended</v>
      </c>
      <c r="G501" s="153" t="s">
        <v>1679</v>
      </c>
      <c r="H501" s="154" t="s">
        <v>232</v>
      </c>
      <c r="I501" s="154" t="s">
        <v>759</v>
      </c>
      <c r="J501" s="247" t="s">
        <v>516</v>
      </c>
      <c r="K501" s="247" t="s">
        <v>1680</v>
      </c>
      <c r="L501" s="154" t="str">
        <f t="shared" si="1"/>
        <v/>
      </c>
      <c r="M501" s="248" t="str">
        <f>IFERROR(__xludf.DUMMYFUNCTION("VLOOKUP(C501,IMPORTRANGE(""https://docs.google.com/spreadsheets/d/1P8eX0NWBhUPS_hvzA11R6jkTNFrPrRYIx_dX_hYbxrk/edit?resourcekey=0-iw9bsKY2OqkUHCFMkCar3A&amp;gid=2055363397#gid=2055363397"",""MTR!C:O""),11,false)"),"PMW-MCE-AS")</f>
        <v>PMW-MCE-AS</v>
      </c>
      <c r="N501" s="248" t="str">
        <f>IFERROR(__xludf.DUMMYFUNCTION("VLOOKUP(C501,IMPORTRANGE(""https://docs.google.com/spreadsheets/d/1ihFlp3_ePlYtFuPbUNbYj1muErVpI73WHXbEwJDIA7Q/edit#gid=1493122344"",""MTR!C:O""),8,false)"),"Does Not Comply")</f>
        <v>Does Not Comply</v>
      </c>
      <c r="O501" s="248" t="str">
        <f>IFERROR(__xludf.DUMMYFUNCTION("VLOOKUP(C501,IMPORTRANGE(""https://docs.google.com/spreadsheets/d/1P8eX0NWBhUPS_hvzA11R6jkTNFrPrRYIx_dX_hYbxrk/edit?resourcekey=0-iw9bsKY2OqkUHCFMkCar3A&amp;gid=2055363397#gid=2055363397"",""MTR!C:O""),9,false)"),"SA disabled at launch. Reach out to TAM to get this feature enabled when SA is supported.")</f>
        <v>SA disabled at launch. Reach out to TAM to get this feature enabled when SA is supported.</v>
      </c>
      <c r="P501" s="248"/>
      <c r="Q501" s="249" t="s">
        <v>516</v>
      </c>
      <c r="R501" s="249" t="s">
        <v>1680</v>
      </c>
      <c r="S501" s="154" t="s">
        <v>66</v>
      </c>
      <c r="T501" s="154" t="s">
        <v>66</v>
      </c>
      <c r="U501" s="154" t="s">
        <v>64</v>
      </c>
      <c r="V501" s="154" t="s">
        <v>64</v>
      </c>
      <c r="W501" s="154" t="s">
        <v>64</v>
      </c>
      <c r="X501" s="154" t="s">
        <v>64</v>
      </c>
      <c r="Y501" s="154" t="s">
        <v>66</v>
      </c>
      <c r="Z501" s="154" t="s">
        <v>64</v>
      </c>
      <c r="AA501" s="154" t="s">
        <v>64</v>
      </c>
      <c r="AB501" s="154"/>
      <c r="AC501" s="242" t="b">
        <f t="shared" si="2"/>
        <v>1</v>
      </c>
      <c r="AD501" s="154" t="s">
        <v>391</v>
      </c>
      <c r="AE501" s="243" t="b">
        <f t="shared" si="3"/>
        <v>0</v>
      </c>
      <c r="AF501" s="154"/>
      <c r="AG501" s="243" t="b">
        <f t="shared" si="4"/>
        <v>0</v>
      </c>
      <c r="AH501" s="154" t="s">
        <v>652</v>
      </c>
      <c r="AI501" s="243" t="str">
        <f t="shared" si="5"/>
        <v>Complies</v>
      </c>
      <c r="AJ501" s="157" t="str">
        <f t="shared" si="6"/>
        <v/>
      </c>
    </row>
    <row r="502" ht="12.75" customHeight="1">
      <c r="A502" s="244" t="s">
        <v>621</v>
      </c>
      <c r="B502" s="244" t="s">
        <v>1339</v>
      </c>
      <c r="C502" s="244" t="s">
        <v>1681</v>
      </c>
      <c r="D502" s="154" t="s">
        <v>747</v>
      </c>
      <c r="E502" s="250"/>
      <c r="F502" s="154" t="str">
        <f t="array" ref="F502">XLOOKUP(Cover!$D$12,$S$1:$AA$1,$S502:$AA502)</f>
        <v>Mandatory</v>
      </c>
      <c r="G502" s="153" t="s">
        <v>1682</v>
      </c>
      <c r="H502" s="154" t="s">
        <v>232</v>
      </c>
      <c r="I502" s="154" t="s">
        <v>759</v>
      </c>
      <c r="J502" s="247" t="s">
        <v>506</v>
      </c>
      <c r="K502" s="247" t="s">
        <v>1683</v>
      </c>
      <c r="L502" s="154" t="str">
        <f t="shared" si="1"/>
        <v/>
      </c>
      <c r="M502" s="248" t="str">
        <f>IFERROR(__xludf.DUMMYFUNCTION("VLOOKUP(C502,IMPORTRANGE(""https://docs.google.com/spreadsheets/d/1P8eX0NWBhUPS_hvzA11R6jkTNFrPrRYIx_dX_hYbxrk/edit?resourcekey=0-iw9bsKY2OqkUHCFMkCar3A&amp;gid=2055363397#gid=2055363397"",""MTR!C:O""),11,false)"),"PMW-MCE-AS")</f>
        <v>PMW-MCE-AS</v>
      </c>
      <c r="N502" s="248" t="str">
        <f>IFERROR(__xludf.DUMMYFUNCTION("VLOOKUP(C502,IMPORTRANGE(""https://docs.google.com/spreadsheets/d/1ihFlp3_ePlYtFuPbUNbYj1muErVpI73WHXbEwJDIA7Q/edit#gid=1493122344"",""MTR!C:O""),8,false)"),"Partially Complies")</f>
        <v>Partially Complies</v>
      </c>
      <c r="O502" s="241" t="str">
        <f>IFERROR(__xludf.DUMMYFUNCTION("VLOOKUP(C502,IMPORTRANGE(""https://docs.google.com/spreadsheets/d/1P8eX0NWBhUPS_hvzA11R6jkTNFrPrRYIx_dX_hYbxrk/edit?resourcekey=0-iw9bsKY2OqkUHCFMkCar3A&amp;gid=2055363397#gid=2055363397"",""MTR!C:O""),9,false)"),"")</f>
        <v/>
      </c>
      <c r="P502" s="241"/>
      <c r="Q502" s="251" t="s">
        <v>506</v>
      </c>
      <c r="R502" s="251" t="s">
        <v>1683</v>
      </c>
      <c r="S502" s="154" t="s">
        <v>66</v>
      </c>
      <c r="T502" s="154" t="s">
        <v>66</v>
      </c>
      <c r="U502" s="154" t="s">
        <v>60</v>
      </c>
      <c r="V502" s="154" t="s">
        <v>60</v>
      </c>
      <c r="W502" s="154" t="s">
        <v>60</v>
      </c>
      <c r="X502" s="154" t="s">
        <v>60</v>
      </c>
      <c r="Y502" s="154" t="s">
        <v>66</v>
      </c>
      <c r="Z502" s="154" t="s">
        <v>60</v>
      </c>
      <c r="AA502" s="154" t="s">
        <v>60</v>
      </c>
      <c r="AB502" s="154"/>
      <c r="AC502" s="242" t="b">
        <f t="shared" si="2"/>
        <v>1</v>
      </c>
      <c r="AD502" s="154" t="s">
        <v>391</v>
      </c>
      <c r="AE502" s="243" t="b">
        <f t="shared" si="3"/>
        <v>0</v>
      </c>
      <c r="AF502" s="154"/>
      <c r="AG502" s="243" t="b">
        <f t="shared" si="4"/>
        <v>0</v>
      </c>
      <c r="AH502" s="154" t="s">
        <v>652</v>
      </c>
      <c r="AI502" s="243" t="str">
        <f t="shared" si="5"/>
        <v>Complies</v>
      </c>
      <c r="AJ502" s="157" t="str">
        <f t="shared" si="6"/>
        <v/>
      </c>
    </row>
    <row r="503" ht="12.75" customHeight="1">
      <c r="A503" s="244" t="s">
        <v>621</v>
      </c>
      <c r="B503" s="244" t="s">
        <v>1339</v>
      </c>
      <c r="C503" s="244" t="s">
        <v>1684</v>
      </c>
      <c r="D503" s="154" t="s">
        <v>861</v>
      </c>
      <c r="E503" s="250"/>
      <c r="F503" s="154" t="str">
        <f t="array" ref="F503">XLOOKUP(Cover!$D$12,$S$1:$AA$1,$S503:$AA503)</f>
        <v>Recommended</v>
      </c>
      <c r="G503" s="153" t="s">
        <v>1685</v>
      </c>
      <c r="H503" s="154"/>
      <c r="I503" s="154" t="s">
        <v>759</v>
      </c>
      <c r="J503" s="247" t="s">
        <v>516</v>
      </c>
      <c r="K503" s="154"/>
      <c r="L503" s="154" t="str">
        <f t="shared" si="1"/>
        <v/>
      </c>
      <c r="M503" s="248" t="str">
        <f>IFERROR(__xludf.DUMMYFUNCTION("VLOOKUP(C503,IMPORTRANGE(""https://docs.google.com/spreadsheets/d/1P8eX0NWBhUPS_hvzA11R6jkTNFrPrRYIx_dX_hYbxrk/edit?resourcekey=0-iw9bsKY2OqkUHCFMkCar3A&amp;gid=2055363397#gid=2055363397"",""MTR!C:O""),11,false)"),"PMW-MCE-AS")</f>
        <v>PMW-MCE-AS</v>
      </c>
      <c r="N503" s="248" t="str">
        <f>IFERROR(__xludf.DUMMYFUNCTION("VLOOKUP(C503,IMPORTRANGE(""https://docs.google.com/spreadsheets/d/1ihFlp3_ePlYtFuPbUNbYj1muErVpI73WHXbEwJDIA7Q/edit#gid=1493122344"",""MTR!C:O""),8,false)"),"Does Not Comply")</f>
        <v>Does Not Comply</v>
      </c>
      <c r="O503" s="241" t="str">
        <f>IFERROR(__xludf.DUMMYFUNCTION("VLOOKUP(C503,IMPORTRANGE(""https://docs.google.com/spreadsheets/d/1P8eX0NWBhUPS_hvzA11R6jkTNFrPrRYIx_dX_hYbxrk/edit?resourcekey=0-iw9bsKY2OqkUHCFMkCar3A&amp;gid=2055363397#gid=2055363397"",""MTR!C:O""),9,false)"),"")</f>
        <v/>
      </c>
      <c r="P503" s="241"/>
      <c r="Q503" s="251" t="s">
        <v>516</v>
      </c>
      <c r="R503" s="241"/>
      <c r="S503" s="154" t="s">
        <v>66</v>
      </c>
      <c r="T503" s="154" t="s">
        <v>66</v>
      </c>
      <c r="U503" s="154" t="s">
        <v>64</v>
      </c>
      <c r="V503" s="154" t="s">
        <v>64</v>
      </c>
      <c r="W503" s="154" t="s">
        <v>64</v>
      </c>
      <c r="X503" s="154" t="s">
        <v>64</v>
      </c>
      <c r="Y503" s="154" t="s">
        <v>66</v>
      </c>
      <c r="Z503" s="154" t="s">
        <v>64</v>
      </c>
      <c r="AA503" s="154" t="s">
        <v>64</v>
      </c>
      <c r="AB503" s="154"/>
      <c r="AC503" s="242" t="b">
        <f t="shared" si="2"/>
        <v>1</v>
      </c>
      <c r="AD503" s="154" t="s">
        <v>391</v>
      </c>
      <c r="AE503" s="243" t="b">
        <f t="shared" si="3"/>
        <v>0</v>
      </c>
      <c r="AF503" s="154"/>
      <c r="AG503" s="243" t="b">
        <f t="shared" si="4"/>
        <v>0</v>
      </c>
      <c r="AH503" s="154" t="s">
        <v>652</v>
      </c>
      <c r="AI503" s="243" t="str">
        <f t="shared" si="5"/>
        <v>Complies</v>
      </c>
      <c r="AJ503" s="157" t="str">
        <f t="shared" si="6"/>
        <v/>
      </c>
    </row>
    <row r="504" ht="12.75" customHeight="1">
      <c r="A504" s="244" t="s">
        <v>621</v>
      </c>
      <c r="B504" s="244" t="s">
        <v>1339</v>
      </c>
      <c r="C504" s="244" t="s">
        <v>1686</v>
      </c>
      <c r="D504" s="154" t="s">
        <v>861</v>
      </c>
      <c r="E504" s="250"/>
      <c r="F504" s="154" t="str">
        <f t="array" ref="F504">XLOOKUP(Cover!$D$12,$S$1:$AA$1,$S504:$AA504)</f>
        <v>Recommended</v>
      </c>
      <c r="G504" s="153" t="s">
        <v>1687</v>
      </c>
      <c r="H504" s="154"/>
      <c r="I504" s="154" t="s">
        <v>759</v>
      </c>
      <c r="J504" s="247" t="s">
        <v>516</v>
      </c>
      <c r="K504" s="154"/>
      <c r="L504" s="154" t="str">
        <f t="shared" si="1"/>
        <v/>
      </c>
      <c r="M504" s="248" t="str">
        <f>IFERROR(__xludf.DUMMYFUNCTION("VLOOKUP(C504,IMPORTRANGE(""https://docs.google.com/spreadsheets/d/1P8eX0NWBhUPS_hvzA11R6jkTNFrPrRYIx_dX_hYbxrk/edit?resourcekey=0-iw9bsKY2OqkUHCFMkCar3A&amp;gid=2055363397#gid=2055363397"",""MTR!C:O""),11,false)"),"PMW-MCE-AS")</f>
        <v>PMW-MCE-AS</v>
      </c>
      <c r="N504" s="248" t="str">
        <f>IFERROR(__xludf.DUMMYFUNCTION("VLOOKUP(C504,IMPORTRANGE(""https://docs.google.com/spreadsheets/d/1ihFlp3_ePlYtFuPbUNbYj1muErVpI73WHXbEwJDIA7Q/edit#gid=1493122344"",""MTR!C:O""),8,false)"),"Does Not Comply")</f>
        <v>Does Not Comply</v>
      </c>
      <c r="O504" s="241" t="str">
        <f>IFERROR(__xludf.DUMMYFUNCTION("VLOOKUP(C504,IMPORTRANGE(""https://docs.google.com/spreadsheets/d/1P8eX0NWBhUPS_hvzA11R6jkTNFrPrRYIx_dX_hYbxrk/edit?resourcekey=0-iw9bsKY2OqkUHCFMkCar3A&amp;gid=2055363397#gid=2055363397"",""MTR!C:O""),9,false)"),"")</f>
        <v/>
      </c>
      <c r="P504" s="241"/>
      <c r="Q504" s="251" t="s">
        <v>516</v>
      </c>
      <c r="R504" s="241"/>
      <c r="S504" s="154" t="s">
        <v>66</v>
      </c>
      <c r="T504" s="154" t="s">
        <v>66</v>
      </c>
      <c r="U504" s="154" t="s">
        <v>64</v>
      </c>
      <c r="V504" s="154" t="s">
        <v>64</v>
      </c>
      <c r="W504" s="154" t="s">
        <v>64</v>
      </c>
      <c r="X504" s="154" t="s">
        <v>64</v>
      </c>
      <c r="Y504" s="154" t="s">
        <v>66</v>
      </c>
      <c r="Z504" s="154" t="s">
        <v>64</v>
      </c>
      <c r="AA504" s="154" t="s">
        <v>64</v>
      </c>
      <c r="AB504" s="154"/>
      <c r="AC504" s="242" t="b">
        <f t="shared" si="2"/>
        <v>1</v>
      </c>
      <c r="AD504" s="154" t="s">
        <v>391</v>
      </c>
      <c r="AE504" s="243" t="b">
        <f t="shared" si="3"/>
        <v>0</v>
      </c>
      <c r="AF504" s="154"/>
      <c r="AG504" s="243" t="b">
        <f t="shared" si="4"/>
        <v>0</v>
      </c>
      <c r="AH504" s="154" t="s">
        <v>652</v>
      </c>
      <c r="AI504" s="243" t="str">
        <f t="shared" si="5"/>
        <v>Complies</v>
      </c>
      <c r="AJ504" s="157" t="str">
        <f t="shared" si="6"/>
        <v/>
      </c>
    </row>
    <row r="505" ht="12.75" customHeight="1">
      <c r="A505" s="244" t="s">
        <v>621</v>
      </c>
      <c r="B505" s="244" t="s">
        <v>1339</v>
      </c>
      <c r="C505" s="244" t="s">
        <v>1688</v>
      </c>
      <c r="D505" s="154" t="s">
        <v>861</v>
      </c>
      <c r="E505" s="250"/>
      <c r="F505" s="154" t="str">
        <f t="array" ref="F505">XLOOKUP(Cover!$D$12,$S$1:$AA$1,$S505:$AA505)</f>
        <v>Recommended</v>
      </c>
      <c r="G505" s="153" t="s">
        <v>1689</v>
      </c>
      <c r="H505" s="154"/>
      <c r="I505" s="154" t="s">
        <v>759</v>
      </c>
      <c r="J505" s="247" t="s">
        <v>516</v>
      </c>
      <c r="K505" s="154"/>
      <c r="L505" s="154" t="str">
        <f t="shared" si="1"/>
        <v/>
      </c>
      <c r="M505" s="248" t="str">
        <f>IFERROR(__xludf.DUMMYFUNCTION("VLOOKUP(C505,IMPORTRANGE(""https://docs.google.com/spreadsheets/d/1P8eX0NWBhUPS_hvzA11R6jkTNFrPrRYIx_dX_hYbxrk/edit?resourcekey=0-iw9bsKY2OqkUHCFMkCar3A&amp;gid=2055363397#gid=2055363397"",""MTR!C:O""),11,false)"),"PMW-MCE-AS")</f>
        <v>PMW-MCE-AS</v>
      </c>
      <c r="N505" s="248" t="str">
        <f>IFERROR(__xludf.DUMMYFUNCTION("VLOOKUP(C505,IMPORTRANGE(""https://docs.google.com/spreadsheets/d/1ihFlp3_ePlYtFuPbUNbYj1muErVpI73WHXbEwJDIA7Q/edit#gid=1493122344"",""MTR!C:O""),8,false)"),"Does Not Comply")</f>
        <v>Does Not Comply</v>
      </c>
      <c r="O505" s="241" t="str">
        <f>IFERROR(__xludf.DUMMYFUNCTION("VLOOKUP(C505,IMPORTRANGE(""https://docs.google.com/spreadsheets/d/1P8eX0NWBhUPS_hvzA11R6jkTNFrPrRYIx_dX_hYbxrk/edit?resourcekey=0-iw9bsKY2OqkUHCFMkCar3A&amp;gid=2055363397#gid=2055363397"",""MTR!C:O""),9,false)"),"")</f>
        <v/>
      </c>
      <c r="P505" s="241"/>
      <c r="Q505" s="251" t="s">
        <v>516</v>
      </c>
      <c r="R505" s="241"/>
      <c r="S505" s="154" t="s">
        <v>66</v>
      </c>
      <c r="T505" s="154" t="s">
        <v>66</v>
      </c>
      <c r="U505" s="154" t="s">
        <v>64</v>
      </c>
      <c r="V505" s="154" t="s">
        <v>64</v>
      </c>
      <c r="W505" s="154" t="s">
        <v>64</v>
      </c>
      <c r="X505" s="154" t="s">
        <v>64</v>
      </c>
      <c r="Y505" s="154" t="s">
        <v>66</v>
      </c>
      <c r="Z505" s="154" t="s">
        <v>64</v>
      </c>
      <c r="AA505" s="154" t="s">
        <v>64</v>
      </c>
      <c r="AB505" s="154"/>
      <c r="AC505" s="242" t="b">
        <f t="shared" si="2"/>
        <v>1</v>
      </c>
      <c r="AD505" s="154" t="s">
        <v>391</v>
      </c>
      <c r="AE505" s="243" t="b">
        <f t="shared" si="3"/>
        <v>0</v>
      </c>
      <c r="AF505" s="154"/>
      <c r="AG505" s="243" t="b">
        <f t="shared" si="4"/>
        <v>0</v>
      </c>
      <c r="AH505" s="154" t="s">
        <v>652</v>
      </c>
      <c r="AI505" s="243" t="str">
        <f t="shared" si="5"/>
        <v>Complies</v>
      </c>
      <c r="AJ505" s="157" t="str">
        <f t="shared" si="6"/>
        <v/>
      </c>
    </row>
    <row r="506" ht="12.75" customHeight="1">
      <c r="A506" s="244" t="s">
        <v>621</v>
      </c>
      <c r="B506" s="244" t="s">
        <v>1339</v>
      </c>
      <c r="C506" s="244" t="s">
        <v>1690</v>
      </c>
      <c r="D506" s="154" t="s">
        <v>747</v>
      </c>
      <c r="E506" s="250"/>
      <c r="F506" s="154" t="str">
        <f t="array" ref="F506">XLOOKUP(Cover!$D$12,$S$1:$AA$1,$S506:$AA506)</f>
        <v>Mandatory</v>
      </c>
      <c r="G506" s="153" t="s">
        <v>1691</v>
      </c>
      <c r="H506" s="154" t="s">
        <v>232</v>
      </c>
      <c r="I506" s="154" t="s">
        <v>759</v>
      </c>
      <c r="J506" s="247" t="s">
        <v>445</v>
      </c>
      <c r="K506" s="154"/>
      <c r="L506" s="154" t="str">
        <f t="shared" si="1"/>
        <v/>
      </c>
      <c r="M506" s="248" t="str">
        <f>IFERROR(__xludf.DUMMYFUNCTION("VLOOKUP(C506,IMPORTRANGE(""https://docs.google.com/spreadsheets/d/1P8eX0NWBhUPS_hvzA11R6jkTNFrPrRYIx_dX_hYbxrk/edit?resourcekey=0-iw9bsKY2OqkUHCFMkCar3A&amp;gid=2055363397#gid=2055363397"",""MTR!C:O""),11,false)"),"PMW-MCE-AS")</f>
        <v>PMW-MCE-AS</v>
      </c>
      <c r="N506" s="248" t="str">
        <f>IFERROR(__xludf.DUMMYFUNCTION("VLOOKUP(C506,IMPORTRANGE(""https://docs.google.com/spreadsheets/d/1ihFlp3_ePlYtFuPbUNbYj1muErVpI73WHXbEwJDIA7Q/edit#gid=1493122344"",""MTR!C:O""),8,false)"),"Complies")</f>
        <v>Complies</v>
      </c>
      <c r="O506" s="241" t="str">
        <f>IFERROR(__xludf.DUMMYFUNCTION("VLOOKUP(C506,IMPORTRANGE(""https://docs.google.com/spreadsheets/d/1P8eX0NWBhUPS_hvzA11R6jkTNFrPrRYIx_dX_hYbxrk/edit?resourcekey=0-iw9bsKY2OqkUHCFMkCar3A&amp;gid=2055363397#gid=2055363397"",""MTR!C:O""),9,false)"),"")</f>
        <v/>
      </c>
      <c r="P506" s="241"/>
      <c r="Q506" s="251" t="s">
        <v>445</v>
      </c>
      <c r="R506" s="241"/>
      <c r="S506" s="154" t="s">
        <v>66</v>
      </c>
      <c r="T506" s="154" t="s">
        <v>66</v>
      </c>
      <c r="U506" s="154" t="s">
        <v>60</v>
      </c>
      <c r="V506" s="154" t="s">
        <v>60</v>
      </c>
      <c r="W506" s="154" t="s">
        <v>60</v>
      </c>
      <c r="X506" s="154" t="s">
        <v>60</v>
      </c>
      <c r="Y506" s="154" t="s">
        <v>66</v>
      </c>
      <c r="Z506" s="154" t="s">
        <v>60</v>
      </c>
      <c r="AA506" s="154" t="s">
        <v>60</v>
      </c>
      <c r="AB506" s="154"/>
      <c r="AC506" s="242" t="b">
        <f t="shared" si="2"/>
        <v>1</v>
      </c>
      <c r="AD506" s="154" t="s">
        <v>391</v>
      </c>
      <c r="AE506" s="243" t="b">
        <f t="shared" si="3"/>
        <v>0</v>
      </c>
      <c r="AF506" s="154"/>
      <c r="AG506" s="243" t="b">
        <f t="shared" si="4"/>
        <v>0</v>
      </c>
      <c r="AH506" s="154"/>
      <c r="AI506" s="243" t="str">
        <f t="shared" si="5"/>
        <v>N/A</v>
      </c>
      <c r="AJ506" s="157" t="str">
        <f t="shared" si="6"/>
        <v/>
      </c>
    </row>
    <row r="507" ht="12.75" customHeight="1">
      <c r="A507" s="244" t="s">
        <v>621</v>
      </c>
      <c r="B507" s="244" t="s">
        <v>1339</v>
      </c>
      <c r="C507" s="244" t="s">
        <v>1692</v>
      </c>
      <c r="D507" s="154" t="s">
        <v>861</v>
      </c>
      <c r="E507" s="250"/>
      <c r="F507" s="154" t="str">
        <f t="array" ref="F507">XLOOKUP(Cover!$D$12,$S$1:$AA$1,$S507:$AA507)</f>
        <v>Recommended</v>
      </c>
      <c r="G507" s="153" t="s">
        <v>1693</v>
      </c>
      <c r="H507" s="154"/>
      <c r="I507" s="154" t="s">
        <v>759</v>
      </c>
      <c r="J507" s="247" t="s">
        <v>516</v>
      </c>
      <c r="K507" s="154"/>
      <c r="L507" s="154" t="str">
        <f t="shared" si="1"/>
        <v/>
      </c>
      <c r="M507" s="248" t="str">
        <f>IFERROR(__xludf.DUMMYFUNCTION("VLOOKUP(C507,IMPORTRANGE(""https://docs.google.com/spreadsheets/d/1P8eX0NWBhUPS_hvzA11R6jkTNFrPrRYIx_dX_hYbxrk/edit?resourcekey=0-iw9bsKY2OqkUHCFMkCar3A&amp;gid=2055363397#gid=2055363397"",""MTR!C:O""),11,false)"),"PMW-MCE-AS")</f>
        <v>PMW-MCE-AS</v>
      </c>
      <c r="N507" s="248" t="str">
        <f>IFERROR(__xludf.DUMMYFUNCTION("VLOOKUP(C507,IMPORTRANGE(""https://docs.google.com/spreadsheets/d/1ihFlp3_ePlYtFuPbUNbYj1muErVpI73WHXbEwJDIA7Q/edit#gid=1493122344"",""MTR!C:O""),8,false)"),"Does Not Comply")</f>
        <v>Does Not Comply</v>
      </c>
      <c r="O507" s="241" t="str">
        <f>IFERROR(__xludf.DUMMYFUNCTION("VLOOKUP(C507,IMPORTRANGE(""https://docs.google.com/spreadsheets/d/1P8eX0NWBhUPS_hvzA11R6jkTNFrPrRYIx_dX_hYbxrk/edit?resourcekey=0-iw9bsKY2OqkUHCFMkCar3A&amp;gid=2055363397#gid=2055363397"",""MTR!C:O""),9,false)"),"")</f>
        <v/>
      </c>
      <c r="P507" s="241"/>
      <c r="Q507" s="251" t="s">
        <v>516</v>
      </c>
      <c r="R507" s="241"/>
      <c r="S507" s="154" t="s">
        <v>66</v>
      </c>
      <c r="T507" s="154" t="s">
        <v>66</v>
      </c>
      <c r="U507" s="154" t="s">
        <v>64</v>
      </c>
      <c r="V507" s="154" t="s">
        <v>64</v>
      </c>
      <c r="W507" s="154" t="s">
        <v>64</v>
      </c>
      <c r="X507" s="154" t="s">
        <v>64</v>
      </c>
      <c r="Y507" s="154" t="s">
        <v>66</v>
      </c>
      <c r="Z507" s="154" t="s">
        <v>64</v>
      </c>
      <c r="AA507" s="154" t="s">
        <v>64</v>
      </c>
      <c r="AB507" s="154"/>
      <c r="AC507" s="242" t="b">
        <f t="shared" si="2"/>
        <v>1</v>
      </c>
      <c r="AD507" s="154" t="s">
        <v>391</v>
      </c>
      <c r="AE507" s="243" t="b">
        <f t="shared" si="3"/>
        <v>0</v>
      </c>
      <c r="AF507" s="154"/>
      <c r="AG507" s="243" t="b">
        <f t="shared" si="4"/>
        <v>0</v>
      </c>
      <c r="AH507" s="154" t="s">
        <v>652</v>
      </c>
      <c r="AI507" s="243" t="str">
        <f t="shared" si="5"/>
        <v>Complies</v>
      </c>
      <c r="AJ507" s="157" t="str">
        <f t="shared" si="6"/>
        <v/>
      </c>
    </row>
    <row r="508" ht="12.75" customHeight="1">
      <c r="A508" s="238" t="s">
        <v>621</v>
      </c>
      <c r="B508" s="238" t="s">
        <v>1339</v>
      </c>
      <c r="C508" s="238" t="s">
        <v>1694</v>
      </c>
      <c r="D508" s="240"/>
      <c r="E508" s="252" t="s">
        <v>92</v>
      </c>
      <c r="F508" s="154" t="str">
        <f t="array" ref="F508">XLOOKUP(Cover!$D$12,$S$1:$AA$1,$S508:$AA508)</f>
        <v>Heading</v>
      </c>
      <c r="G508" s="239" t="s">
        <v>1695</v>
      </c>
      <c r="H508" s="240"/>
      <c r="I508" s="240" t="s">
        <v>759</v>
      </c>
      <c r="J508" s="240"/>
      <c r="K508" s="240"/>
      <c r="L508" s="154" t="str">
        <f t="shared" si="1"/>
        <v/>
      </c>
      <c r="M508" s="241" t="str">
        <f>IFERROR(__xludf.DUMMYFUNCTION("VLOOKUP(C508,IMPORTRANGE(""https://docs.google.com/spreadsheets/d/1P8eX0NWBhUPS_hvzA11R6jkTNFrPrRYIx_dX_hYbxrk/edit?resourcekey=0-iw9bsKY2OqkUHCFMkCar3A&amp;gid=2055363397#gid=2055363397"",""MTR!C:O""),11,false)"),"")</f>
        <v/>
      </c>
      <c r="N508" s="241" t="str">
        <f>IFERROR(__xludf.DUMMYFUNCTION("VLOOKUP(C508,IMPORTRANGE(""https://docs.google.com/spreadsheets/d/1ihFlp3_ePlYtFuPbUNbYj1muErVpI73WHXbEwJDIA7Q/edit#gid=1493122344"",""MTR!C:O""),8,false)"),"")</f>
        <v/>
      </c>
      <c r="O508" s="241" t="str">
        <f>IFERROR(__xludf.DUMMYFUNCTION("VLOOKUP(C508,IMPORTRANGE(""https://docs.google.com/spreadsheets/d/1P8eX0NWBhUPS_hvzA11R6jkTNFrPrRYIx_dX_hYbxrk/edit?resourcekey=0-iw9bsKY2OqkUHCFMkCar3A&amp;gid=2055363397#gid=2055363397"",""MTR!C:O""),9,false)"),"")</f>
        <v/>
      </c>
      <c r="P508" s="241"/>
      <c r="Q508" s="241"/>
      <c r="R508" s="241"/>
      <c r="S508" s="240" t="s">
        <v>390</v>
      </c>
      <c r="T508" s="240" t="s">
        <v>390</v>
      </c>
      <c r="U508" s="240" t="s">
        <v>390</v>
      </c>
      <c r="V508" s="240" t="s">
        <v>390</v>
      </c>
      <c r="W508" s="240" t="s">
        <v>390</v>
      </c>
      <c r="X508" s="240" t="s">
        <v>390</v>
      </c>
      <c r="Y508" s="240" t="s">
        <v>390</v>
      </c>
      <c r="Z508" s="240" t="s">
        <v>390</v>
      </c>
      <c r="AA508" s="240" t="s">
        <v>390</v>
      </c>
      <c r="AB508" s="240"/>
      <c r="AC508" s="242" t="b">
        <f t="shared" si="2"/>
        <v>0</v>
      </c>
      <c r="AD508" s="240" t="s">
        <v>391</v>
      </c>
      <c r="AE508" s="243" t="b">
        <f t="shared" si="3"/>
        <v>0</v>
      </c>
      <c r="AF508" s="240"/>
      <c r="AG508" s="243" t="b">
        <f t="shared" si="4"/>
        <v>0</v>
      </c>
      <c r="AH508" s="240"/>
      <c r="AI508" s="243" t="str">
        <f t="shared" si="5"/>
        <v>N/A</v>
      </c>
      <c r="AJ508" s="157" t="str">
        <f t="shared" si="6"/>
        <v/>
      </c>
    </row>
    <row r="509" ht="12.75" customHeight="1">
      <c r="A509" s="244" t="s">
        <v>621</v>
      </c>
      <c r="B509" s="244" t="s">
        <v>1339</v>
      </c>
      <c r="C509" s="244" t="s">
        <v>1696</v>
      </c>
      <c r="D509" s="154" t="s">
        <v>747</v>
      </c>
      <c r="E509" s="250"/>
      <c r="F509" s="154" t="str">
        <f t="array" ref="F509">XLOOKUP(Cover!$D$12,$S$1:$AA$1,$S509:$AA509)</f>
        <v>Mandatory</v>
      </c>
      <c r="G509" s="153" t="s">
        <v>1697</v>
      </c>
      <c r="H509" s="154" t="s">
        <v>232</v>
      </c>
      <c r="I509" s="154" t="s">
        <v>759</v>
      </c>
      <c r="J509" s="247" t="s">
        <v>445</v>
      </c>
      <c r="K509" s="154"/>
      <c r="L509" s="154" t="str">
        <f t="shared" si="1"/>
        <v/>
      </c>
      <c r="M509" s="248" t="str">
        <f>IFERROR(__xludf.DUMMYFUNCTION("VLOOKUP(C509,IMPORTRANGE(""https://docs.google.com/spreadsheets/d/1P8eX0NWBhUPS_hvzA11R6jkTNFrPrRYIx_dX_hYbxrk/edit?resourcekey=0-iw9bsKY2OqkUHCFMkCar3A&amp;gid=2055363397#gid=2055363397"",""MTR!C:O""),11,false)"),"PMW-MCE-AS")</f>
        <v>PMW-MCE-AS</v>
      </c>
      <c r="N509" s="248" t="str">
        <f>IFERROR(__xludf.DUMMYFUNCTION("VLOOKUP(C509,IMPORTRANGE(""https://docs.google.com/spreadsheets/d/1ihFlp3_ePlYtFuPbUNbYj1muErVpI73WHXbEwJDIA7Q/edit#gid=1493122344"",""MTR!C:O""),8,false)"),"Complies")</f>
        <v>Complies</v>
      </c>
      <c r="O509" s="241" t="str">
        <f>IFERROR(__xludf.DUMMYFUNCTION("VLOOKUP(C509,IMPORTRANGE(""https://docs.google.com/spreadsheets/d/1P8eX0NWBhUPS_hvzA11R6jkTNFrPrRYIx_dX_hYbxrk/edit?resourcekey=0-iw9bsKY2OqkUHCFMkCar3A&amp;gid=2055363397#gid=2055363397"",""MTR!C:O""),9,false)"),"")</f>
        <v/>
      </c>
      <c r="P509" s="241"/>
      <c r="Q509" s="251" t="s">
        <v>445</v>
      </c>
      <c r="R509" s="241"/>
      <c r="S509" s="154" t="s">
        <v>66</v>
      </c>
      <c r="T509" s="154" t="s">
        <v>66</v>
      </c>
      <c r="U509" s="154" t="s">
        <v>60</v>
      </c>
      <c r="V509" s="154" t="s">
        <v>60</v>
      </c>
      <c r="W509" s="154" t="s">
        <v>60</v>
      </c>
      <c r="X509" s="154" t="s">
        <v>60</v>
      </c>
      <c r="Y509" s="154" t="s">
        <v>66</v>
      </c>
      <c r="Z509" s="154" t="s">
        <v>60</v>
      </c>
      <c r="AA509" s="154" t="s">
        <v>60</v>
      </c>
      <c r="AB509" s="154"/>
      <c r="AC509" s="242" t="b">
        <f t="shared" si="2"/>
        <v>1</v>
      </c>
      <c r="AD509" s="154" t="s">
        <v>391</v>
      </c>
      <c r="AE509" s="243" t="b">
        <f t="shared" si="3"/>
        <v>0</v>
      </c>
      <c r="AF509" s="154"/>
      <c r="AG509" s="243" t="b">
        <f t="shared" si="4"/>
        <v>0</v>
      </c>
      <c r="AH509" s="154" t="s">
        <v>652</v>
      </c>
      <c r="AI509" s="243" t="str">
        <f t="shared" si="5"/>
        <v>Complies</v>
      </c>
      <c r="AJ509" s="157" t="str">
        <f t="shared" si="6"/>
        <v/>
      </c>
    </row>
    <row r="510" ht="12.75" customHeight="1">
      <c r="A510" s="244" t="s">
        <v>621</v>
      </c>
      <c r="B510" s="244" t="s">
        <v>1339</v>
      </c>
      <c r="C510" s="245" t="s">
        <v>1698</v>
      </c>
      <c r="D510" s="155" t="s">
        <v>542</v>
      </c>
      <c r="E510" s="246" t="s">
        <v>92</v>
      </c>
      <c r="F510" s="154" t="str">
        <f t="array" ref="F510">XLOOKUP(Cover!$D$12,$S$1:$AA$1,$S510:$AA510)</f>
        <v>Mandatory</v>
      </c>
      <c r="G510" s="153" t="s">
        <v>1699</v>
      </c>
      <c r="H510" s="154" t="s">
        <v>232</v>
      </c>
      <c r="I510" s="154" t="s">
        <v>759</v>
      </c>
      <c r="J510" s="247" t="s">
        <v>445</v>
      </c>
      <c r="K510" s="154"/>
      <c r="L510" s="154" t="str">
        <f t="shared" si="1"/>
        <v/>
      </c>
      <c r="M510" s="248" t="str">
        <f>IFERROR(__xludf.DUMMYFUNCTION("VLOOKUP(C510,IMPORTRANGE(""https://docs.google.com/spreadsheets/d/1P8eX0NWBhUPS_hvzA11R6jkTNFrPrRYIx_dX_hYbxrk/edit?resourcekey=0-iw9bsKY2OqkUHCFMkCar3A&amp;gid=2055363397#gid=2055363397"",""MTR!C:O""),11,false)"),"PMW-MCE-AS")</f>
        <v>PMW-MCE-AS</v>
      </c>
      <c r="N510" s="248" t="str">
        <f>IFERROR(__xludf.DUMMYFUNCTION("VLOOKUP(C510,IMPORTRANGE(""https://docs.google.com/spreadsheets/d/1ihFlp3_ePlYtFuPbUNbYj1muErVpI73WHXbEwJDIA7Q/edit#gid=1493122344"",""MTR!C:O""),8,false)"),"Complies")</f>
        <v>Complies</v>
      </c>
      <c r="O510" s="241" t="str">
        <f>IFERROR(__xludf.DUMMYFUNCTION("VLOOKUP(C510,IMPORTRANGE(""https://docs.google.com/spreadsheets/d/1P8eX0NWBhUPS_hvzA11R6jkTNFrPrRYIx_dX_hYbxrk/edit?resourcekey=0-iw9bsKY2OqkUHCFMkCar3A&amp;gid=2055363397#gid=2055363397"",""MTR!C:O""),9,false)"),"")</f>
        <v/>
      </c>
      <c r="P510" s="241"/>
      <c r="Q510" s="251" t="s">
        <v>445</v>
      </c>
      <c r="R510" s="241"/>
      <c r="S510" s="154" t="s">
        <v>66</v>
      </c>
      <c r="T510" s="154" t="s">
        <v>66</v>
      </c>
      <c r="U510" s="154" t="s">
        <v>60</v>
      </c>
      <c r="V510" s="154" t="s">
        <v>60</v>
      </c>
      <c r="W510" s="154" t="s">
        <v>60</v>
      </c>
      <c r="X510" s="154" t="s">
        <v>60</v>
      </c>
      <c r="Y510" s="154" t="s">
        <v>66</v>
      </c>
      <c r="Z510" s="154" t="s">
        <v>60</v>
      </c>
      <c r="AA510" s="154" t="s">
        <v>60</v>
      </c>
      <c r="AB510" s="154"/>
      <c r="AC510" s="242" t="b">
        <f t="shared" si="2"/>
        <v>1</v>
      </c>
      <c r="AD510" s="154" t="s">
        <v>391</v>
      </c>
      <c r="AE510" s="243" t="b">
        <f t="shared" si="3"/>
        <v>0</v>
      </c>
      <c r="AF510" s="154"/>
      <c r="AG510" s="243" t="b">
        <f t="shared" si="4"/>
        <v>0</v>
      </c>
      <c r="AH510" s="154" t="s">
        <v>652</v>
      </c>
      <c r="AI510" s="243" t="str">
        <f t="shared" si="5"/>
        <v>Complies</v>
      </c>
      <c r="AJ510" s="157" t="str">
        <f t="shared" si="6"/>
        <v/>
      </c>
    </row>
    <row r="511" ht="12.75" customHeight="1">
      <c r="A511" s="244" t="s">
        <v>621</v>
      </c>
      <c r="B511" s="244" t="s">
        <v>1339</v>
      </c>
      <c r="C511" s="244" t="s">
        <v>1700</v>
      </c>
      <c r="D511" s="154" t="s">
        <v>542</v>
      </c>
      <c r="E511" s="250"/>
      <c r="F511" s="154" t="str">
        <f t="array" ref="F511">XLOOKUP(Cover!$D$12,$S$1:$AA$1,$S511:$AA511)</f>
        <v>Comments Vendor</v>
      </c>
      <c r="G511" s="153" t="s">
        <v>1701</v>
      </c>
      <c r="H511" s="154" t="s">
        <v>232</v>
      </c>
      <c r="I511" s="154" t="s">
        <v>759</v>
      </c>
      <c r="J511" s="154"/>
      <c r="K511" s="247" t="s">
        <v>1702</v>
      </c>
      <c r="L511" s="154" t="str">
        <f t="shared" si="1"/>
        <v/>
      </c>
      <c r="M511" s="248" t="str">
        <f>IFERROR(__xludf.DUMMYFUNCTION("VLOOKUP(C511,IMPORTRANGE(""https://docs.google.com/spreadsheets/d/1P8eX0NWBhUPS_hvzA11R6jkTNFrPrRYIx_dX_hYbxrk/edit?resourcekey=0-iw9bsKY2OqkUHCFMkCar3A&amp;gid=2055363397#gid=2055363397"",""MTR!C:O""),11,false)"),"PMW-L1")</f>
        <v>PMW-L1</v>
      </c>
      <c r="N511" s="241" t="str">
        <f>IFERROR(__xludf.DUMMYFUNCTION("VLOOKUP(C511,IMPORTRANGE(""https://docs.google.com/spreadsheets/d/1ihFlp3_ePlYtFuPbUNbYj1muErVpI73WHXbEwJDIA7Q/edit#gid=1493122344"",""MTR!C:O""),8,false)"),"")</f>
        <v/>
      </c>
      <c r="O511" s="248" t="str">
        <f>IFERROR(__xludf.DUMMYFUNCTION("VLOOKUP(C511,IMPORTRANGE(""https://docs.google.com/spreadsheets/d/1P8eX0NWBhUPS_hvzA11R6jkTNFrPrRYIx_dX_hYbxrk/edit?resourcekey=0-iw9bsKY2OqkUHCFMkCar3A&amp;gid=2055363397#gid=2055363397"",""MTR!C:O""),9,false)"),"Separate Tx supported for LTE and NR.")</f>
        <v>Separate Tx supported for LTE and NR.</v>
      </c>
      <c r="P511" s="248"/>
      <c r="Q511" s="248"/>
      <c r="R511" s="249" t="s">
        <v>1702</v>
      </c>
      <c r="S511" s="154" t="s">
        <v>62</v>
      </c>
      <c r="T511" s="154" t="s">
        <v>62</v>
      </c>
      <c r="U511" s="154" t="s">
        <v>62</v>
      </c>
      <c r="V511" s="154" t="s">
        <v>62</v>
      </c>
      <c r="W511" s="154" t="s">
        <v>62</v>
      </c>
      <c r="X511" s="154" t="s">
        <v>62</v>
      </c>
      <c r="Y511" s="154" t="s">
        <v>62</v>
      </c>
      <c r="Z511" s="154" t="s">
        <v>62</v>
      </c>
      <c r="AA511" s="154" t="s">
        <v>62</v>
      </c>
      <c r="AB511" s="154"/>
      <c r="AC511" s="242" t="b">
        <f t="shared" si="2"/>
        <v>1</v>
      </c>
      <c r="AD511" s="154" t="s">
        <v>68</v>
      </c>
      <c r="AE511" s="243" t="b">
        <f t="shared" si="3"/>
        <v>1</v>
      </c>
      <c r="AF511" s="154"/>
      <c r="AG511" s="243" t="b">
        <f t="shared" si="4"/>
        <v>0</v>
      </c>
      <c r="AH511" s="154" t="s">
        <v>652</v>
      </c>
      <c r="AI511" s="243" t="str">
        <f t="shared" si="5"/>
        <v>Complies</v>
      </c>
      <c r="AJ511" s="157" t="str">
        <f t="shared" si="6"/>
        <v/>
      </c>
    </row>
    <row r="512" ht="12.75" customHeight="1">
      <c r="A512" s="244" t="s">
        <v>621</v>
      </c>
      <c r="B512" s="244" t="s">
        <v>1339</v>
      </c>
      <c r="C512" s="244" t="s">
        <v>1703</v>
      </c>
      <c r="D512" s="154" t="s">
        <v>542</v>
      </c>
      <c r="E512" s="250"/>
      <c r="F512" s="154" t="str">
        <f t="array" ref="F512">XLOOKUP(Cover!$D$12,$S$1:$AA$1,$S512:$AA512)</f>
        <v>Mandatory</v>
      </c>
      <c r="G512" s="153" t="s">
        <v>1704</v>
      </c>
      <c r="H512" s="154" t="s">
        <v>232</v>
      </c>
      <c r="I512" s="154" t="s">
        <v>759</v>
      </c>
      <c r="J512" s="247" t="s">
        <v>516</v>
      </c>
      <c r="K512" s="247" t="s">
        <v>1705</v>
      </c>
      <c r="L512" s="154" t="str">
        <f t="shared" si="1"/>
        <v/>
      </c>
      <c r="M512" s="248" t="str">
        <f>IFERROR(__xludf.DUMMYFUNCTION("VLOOKUP(C512,IMPORTRANGE(""https://docs.google.com/spreadsheets/d/1P8eX0NWBhUPS_hvzA11R6jkTNFrPrRYIx_dX_hYbxrk/edit?resourcekey=0-iw9bsKY2OqkUHCFMkCar3A&amp;gid=2055363397#gid=2055363397"",""MTR!C:O""),11,false)"),"PMW-L1")</f>
        <v>PMW-L1</v>
      </c>
      <c r="N512" s="248" t="str">
        <f>IFERROR(__xludf.DUMMYFUNCTION("VLOOKUP(C512,IMPORTRANGE(""https://docs.google.com/spreadsheets/d/1ihFlp3_ePlYtFuPbUNbYj1muErVpI73WHXbEwJDIA7Q/edit#gid=1493122344"",""MTR!C:O""),8,false)"),"Does Not Comply")</f>
        <v>Does Not Comply</v>
      </c>
      <c r="O512" s="241" t="str">
        <f>IFERROR(__xludf.DUMMYFUNCTION("VLOOKUP(C512,IMPORTRANGE(""https://docs.google.com/spreadsheets/d/1P8eX0NWBhUPS_hvzA11R6jkTNFrPrRYIx_dX_hYbxrk/edit?resourcekey=0-iw9bsKY2OqkUHCFMkCar3A&amp;gid=2055363397#gid=2055363397"",""MTR!C:O""),9,false)"),"")</f>
        <v/>
      </c>
      <c r="P512" s="241"/>
      <c r="Q512" s="251" t="s">
        <v>516</v>
      </c>
      <c r="R512" s="251" t="s">
        <v>1705</v>
      </c>
      <c r="S512" s="154" t="s">
        <v>66</v>
      </c>
      <c r="T512" s="154" t="s">
        <v>66</v>
      </c>
      <c r="U512" s="154" t="s">
        <v>60</v>
      </c>
      <c r="V512" s="154" t="s">
        <v>60</v>
      </c>
      <c r="W512" s="154" t="s">
        <v>60</v>
      </c>
      <c r="X512" s="154" t="s">
        <v>60</v>
      </c>
      <c r="Y512" s="154" t="s">
        <v>66</v>
      </c>
      <c r="Z512" s="154" t="s">
        <v>60</v>
      </c>
      <c r="AA512" s="154" t="s">
        <v>60</v>
      </c>
      <c r="AB512" s="154"/>
      <c r="AC512" s="242" t="b">
        <f t="shared" si="2"/>
        <v>1</v>
      </c>
      <c r="AD512" s="154" t="s">
        <v>391</v>
      </c>
      <c r="AE512" s="243" t="b">
        <f t="shared" si="3"/>
        <v>0</v>
      </c>
      <c r="AF512" s="154"/>
      <c r="AG512" s="243" t="b">
        <f t="shared" si="4"/>
        <v>0</v>
      </c>
      <c r="AH512" s="154" t="s">
        <v>652</v>
      </c>
      <c r="AI512" s="243" t="str">
        <f t="shared" si="5"/>
        <v>Complies</v>
      </c>
      <c r="AJ512" s="157" t="str">
        <f t="shared" si="6"/>
        <v/>
      </c>
    </row>
    <row r="513" ht="12.75" customHeight="1">
      <c r="A513" s="244" t="s">
        <v>621</v>
      </c>
      <c r="B513" s="244" t="s">
        <v>1339</v>
      </c>
      <c r="C513" s="245" t="s">
        <v>1706</v>
      </c>
      <c r="D513" s="155" t="s">
        <v>503</v>
      </c>
      <c r="E513" s="246" t="s">
        <v>92</v>
      </c>
      <c r="F513" s="154" t="str">
        <f t="array" ref="F513">XLOOKUP(Cover!$D$12,$S$1:$AA$1,$S513:$AA513)</f>
        <v>Recommended</v>
      </c>
      <c r="G513" s="153" t="s">
        <v>1707</v>
      </c>
      <c r="H513" s="154"/>
      <c r="I513" s="154" t="s">
        <v>759</v>
      </c>
      <c r="J513" s="247" t="s">
        <v>516</v>
      </c>
      <c r="K513" s="154"/>
      <c r="L513" s="154" t="str">
        <f t="shared" si="1"/>
        <v/>
      </c>
      <c r="M513" s="248" t="str">
        <f>IFERROR(__xludf.DUMMYFUNCTION("VLOOKUP(C513,IMPORTRANGE(""https://docs.google.com/spreadsheets/d/1P8eX0NWBhUPS_hvzA11R6jkTNFrPrRYIx_dX_hYbxrk/edit?resourcekey=0-iw9bsKY2OqkUHCFMkCar3A&amp;gid=2055363397#gid=2055363397"",""MTR!C:O""),11,false)"),"PMW-L1")</f>
        <v>PMW-L1</v>
      </c>
      <c r="N513" s="248" t="str">
        <f>IFERROR(__xludf.DUMMYFUNCTION("VLOOKUP(C513,IMPORTRANGE(""https://docs.google.com/spreadsheets/d/1ihFlp3_ePlYtFuPbUNbYj1muErVpI73WHXbEwJDIA7Q/edit#gid=1493122344"",""MTR!C:O""),8,false)"),"Does Not Comply")</f>
        <v>Does Not Comply</v>
      </c>
      <c r="O513" s="248" t="str">
        <f>IFERROR(__xludf.DUMMYFUNCTION("VLOOKUP(C513,IMPORTRANGE(""https://docs.google.com/spreadsheets/d/1P8eX0NWBhUPS_hvzA11R6jkTNFrPrRYIx_dX_hYbxrk/edit?resourcekey=0-iw9bsKY2OqkUHCFMkCar3A&amp;gid=2055363397#gid=2055363397"",""MTR!C:O""),9,false)"),"NR supports PC2 on bands: n40, n41, n77, n78")</f>
        <v>NR supports PC2 on bands: n40, n41, n77, n78</v>
      </c>
      <c r="P513" s="248"/>
      <c r="Q513" s="249" t="s">
        <v>516</v>
      </c>
      <c r="R513" s="248"/>
      <c r="S513" s="154" t="s">
        <v>66</v>
      </c>
      <c r="T513" s="154" t="s">
        <v>66</v>
      </c>
      <c r="U513" s="154" t="s">
        <v>64</v>
      </c>
      <c r="V513" s="154" t="s">
        <v>64</v>
      </c>
      <c r="W513" s="154" t="s">
        <v>64</v>
      </c>
      <c r="X513" s="154" t="s">
        <v>64</v>
      </c>
      <c r="Y513" s="154" t="s">
        <v>66</v>
      </c>
      <c r="Z513" s="154" t="s">
        <v>64</v>
      </c>
      <c r="AA513" s="154" t="s">
        <v>64</v>
      </c>
      <c r="AB513" s="154"/>
      <c r="AC513" s="242" t="b">
        <f t="shared" si="2"/>
        <v>1</v>
      </c>
      <c r="AD513" s="154" t="s">
        <v>391</v>
      </c>
      <c r="AE513" s="243" t="b">
        <f t="shared" si="3"/>
        <v>0</v>
      </c>
      <c r="AF513" s="154"/>
      <c r="AG513" s="243" t="b">
        <f t="shared" si="4"/>
        <v>0</v>
      </c>
      <c r="AH513" s="154" t="s">
        <v>1346</v>
      </c>
      <c r="AI513" s="243" t="str">
        <f t="shared" si="5"/>
        <v>Partially Complies</v>
      </c>
      <c r="AJ513" s="157" t="str">
        <f t="shared" si="6"/>
        <v/>
      </c>
    </row>
    <row r="514" ht="12.75" customHeight="1">
      <c r="A514" s="244" t="s">
        <v>621</v>
      </c>
      <c r="B514" s="244" t="s">
        <v>1339</v>
      </c>
      <c r="C514" s="255" t="s">
        <v>1708</v>
      </c>
      <c r="D514" s="256" t="s">
        <v>42</v>
      </c>
      <c r="E514" s="257" t="s">
        <v>489</v>
      </c>
      <c r="F514" s="154" t="str">
        <f t="array" ref="F514">XLOOKUP(Cover!$D$12,$S$1:$AA$1,$S514:$AA514)</f>
        <v>Recommended</v>
      </c>
      <c r="G514" s="153" t="s">
        <v>1709</v>
      </c>
      <c r="H514" s="154"/>
      <c r="I514" s="154" t="s">
        <v>759</v>
      </c>
      <c r="J514" s="247" t="s">
        <v>516</v>
      </c>
      <c r="K514" s="154"/>
      <c r="L514" s="154" t="str">
        <f t="shared" si="1"/>
        <v/>
      </c>
      <c r="M514" s="253" t="str">
        <f>IFERROR(__xludf.DUMMYFUNCTION("VLOOKUP(C514,IMPORTRANGE(""https://docs.google.com/spreadsheets/d/1P8eX0NWBhUPS_hvzA11R6jkTNFrPrRYIx_dX_hYbxrk/edit?resourcekey=0-iw9bsKY2OqkUHCFMkCar3A&amp;gid=2055363397#gid=2055363397"",""MTR!C:O""),11,false)"),"#N/A")</f>
        <v>#N/A</v>
      </c>
      <c r="N514" s="253" t="str">
        <f>IFERROR(__xludf.DUMMYFUNCTION("VLOOKUP(C514,IMPORTRANGE(""https://docs.google.com/spreadsheets/d/1ihFlp3_ePlYtFuPbUNbYj1muErVpI73WHXbEwJDIA7Q/edit#gid=1493122344"",""MTR!C:O""),8,false)"),"#N/A")</f>
        <v>#N/A</v>
      </c>
      <c r="O514" s="253" t="str">
        <f>IFERROR(__xludf.DUMMYFUNCTION("VLOOKUP(C514,IMPORTRANGE(""https://docs.google.com/spreadsheets/d/1P8eX0NWBhUPS_hvzA11R6jkTNFrPrRYIx_dX_hYbxrk/edit?resourcekey=0-iw9bsKY2OqkUHCFMkCar3A&amp;gid=2055363397#gid=2055363397"",""MTR!C:O""),9,false)"),"#N/A")</f>
        <v>#N/A</v>
      </c>
      <c r="P514" s="253"/>
      <c r="Q514" s="253"/>
      <c r="R514" s="253"/>
      <c r="S514" s="154" t="s">
        <v>66</v>
      </c>
      <c r="T514" s="154" t="s">
        <v>66</v>
      </c>
      <c r="U514" s="154" t="s">
        <v>64</v>
      </c>
      <c r="V514" s="154" t="s">
        <v>64</v>
      </c>
      <c r="W514" s="154" t="s">
        <v>64</v>
      </c>
      <c r="X514" s="154" t="s">
        <v>64</v>
      </c>
      <c r="Y514" s="154" t="s">
        <v>66</v>
      </c>
      <c r="Z514" s="154" t="s">
        <v>64</v>
      </c>
      <c r="AA514" s="154" t="s">
        <v>64</v>
      </c>
      <c r="AB514" s="154"/>
      <c r="AC514" s="242" t="b">
        <f t="shared" si="2"/>
        <v>1</v>
      </c>
      <c r="AD514" s="154" t="s">
        <v>391</v>
      </c>
      <c r="AE514" s="243" t="b">
        <f t="shared" si="3"/>
        <v>0</v>
      </c>
      <c r="AF514" s="154"/>
      <c r="AG514" s="243" t="b">
        <f t="shared" si="4"/>
        <v>0</v>
      </c>
      <c r="AH514" s="154" t="s">
        <v>1346</v>
      </c>
      <c r="AI514" s="243" t="str">
        <f t="shared" si="5"/>
        <v>Partially Complies</v>
      </c>
      <c r="AJ514" s="157" t="str">
        <f t="shared" si="6"/>
        <v/>
      </c>
    </row>
    <row r="515" ht="12.75" customHeight="1">
      <c r="A515" s="244" t="s">
        <v>621</v>
      </c>
      <c r="B515" s="244" t="s">
        <v>1339</v>
      </c>
      <c r="C515" s="245" t="s">
        <v>1710</v>
      </c>
      <c r="D515" s="155" t="s">
        <v>45</v>
      </c>
      <c r="E515" s="246" t="s">
        <v>92</v>
      </c>
      <c r="F515" s="154" t="str">
        <f t="array" ref="F515">XLOOKUP(Cover!$D$12,$S$1:$AA$1,$S515:$AA515)</f>
        <v>Recommended</v>
      </c>
      <c r="G515" s="153" t="s">
        <v>1711</v>
      </c>
      <c r="H515" s="154"/>
      <c r="I515" s="154" t="s">
        <v>759</v>
      </c>
      <c r="J515" s="247" t="s">
        <v>516</v>
      </c>
      <c r="K515" s="154"/>
      <c r="L515" s="154" t="str">
        <f t="shared" si="1"/>
        <v/>
      </c>
      <c r="M515" s="248" t="str">
        <f>IFERROR(__xludf.DUMMYFUNCTION("VLOOKUP(C515,IMPORTRANGE(""https://docs.google.com/spreadsheets/d/1P8eX0NWBhUPS_hvzA11R6jkTNFrPrRYIx_dX_hYbxrk/edit?resourcekey=0-iw9bsKY2OqkUHCFMkCar3A&amp;gid=2055363397#gid=2055363397"",""MTR!C:O""),11,false)"),"PMW-AS")</f>
        <v>PMW-AS</v>
      </c>
      <c r="N515" s="253" t="str">
        <f>IFERROR(__xludf.DUMMYFUNCTION("VLOOKUP(C515,IMPORTRANGE(""https://docs.google.com/spreadsheets/d/1ihFlp3_ePlYtFuPbUNbYj1muErVpI73WHXbEwJDIA7Q/edit#gid=1493122344"",""MTR!C:O""),8,false)"),"#N/A")</f>
        <v>#N/A</v>
      </c>
      <c r="O515" s="248" t="str">
        <f>IFERROR(__xludf.DUMMYFUNCTION("VLOOKUP(C515,IMPORTRANGE(""https://docs.google.com/spreadsheets/d/1P8eX0NWBhUPS_hvzA11R6jkTNFrPrRYIx_dX_hYbxrk/edit?resourcekey=0-iw9bsKY2OqkUHCFMkCar3A&amp;gid=2055363397#gid=2055363397"",""MTR!C:O""),9,false)"),"NR supports PC2 on bands: n40, n41, n77, n78")</f>
        <v>NR supports PC2 on bands: n40, n41, n77, n78</v>
      </c>
      <c r="P515" s="248"/>
      <c r="Q515" s="248"/>
      <c r="R515" s="248"/>
      <c r="S515" s="154" t="s">
        <v>66</v>
      </c>
      <c r="T515" s="154" t="s">
        <v>66</v>
      </c>
      <c r="U515" s="154" t="s">
        <v>64</v>
      </c>
      <c r="V515" s="154" t="s">
        <v>64</v>
      </c>
      <c r="W515" s="154" t="s">
        <v>64</v>
      </c>
      <c r="X515" s="154" t="s">
        <v>64</v>
      </c>
      <c r="Y515" s="154" t="s">
        <v>66</v>
      </c>
      <c r="Z515" s="154" t="s">
        <v>64</v>
      </c>
      <c r="AA515" s="154" t="s">
        <v>64</v>
      </c>
      <c r="AB515" s="154"/>
      <c r="AC515" s="242" t="b">
        <f t="shared" si="2"/>
        <v>1</v>
      </c>
      <c r="AD515" s="154" t="s">
        <v>391</v>
      </c>
      <c r="AE515" s="243" t="b">
        <f t="shared" si="3"/>
        <v>0</v>
      </c>
      <c r="AF515" s="154"/>
      <c r="AG515" s="243" t="b">
        <f t="shared" si="4"/>
        <v>0</v>
      </c>
      <c r="AH515" s="154" t="s">
        <v>1346</v>
      </c>
      <c r="AI515" s="243" t="str">
        <f t="shared" si="5"/>
        <v>Partially Complies</v>
      </c>
      <c r="AJ515" s="157" t="str">
        <f t="shared" si="6"/>
        <v/>
      </c>
    </row>
    <row r="516" ht="12.75" customHeight="1">
      <c r="A516" s="244" t="s">
        <v>621</v>
      </c>
      <c r="B516" s="244" t="s">
        <v>1339</v>
      </c>
      <c r="C516" s="245" t="s">
        <v>1712</v>
      </c>
      <c r="D516" s="155" t="s">
        <v>503</v>
      </c>
      <c r="E516" s="246" t="s">
        <v>92</v>
      </c>
      <c r="F516" s="154" t="str">
        <f t="array" ref="F516">XLOOKUP(Cover!$D$12,$S$1:$AA$1,$S516:$AA516)</f>
        <v>Recommended</v>
      </c>
      <c r="G516" s="153" t="s">
        <v>1713</v>
      </c>
      <c r="H516" s="154"/>
      <c r="I516" s="154" t="s">
        <v>759</v>
      </c>
      <c r="J516" s="247" t="s">
        <v>516</v>
      </c>
      <c r="K516" s="154"/>
      <c r="L516" s="154" t="str">
        <f t="shared" si="1"/>
        <v/>
      </c>
      <c r="M516" s="248" t="str">
        <f>IFERROR(__xludf.DUMMYFUNCTION("VLOOKUP(C516,IMPORTRANGE(""https://docs.google.com/spreadsheets/d/1P8eX0NWBhUPS_hvzA11R6jkTNFrPrRYIx_dX_hYbxrk/edit?resourcekey=0-iw9bsKY2OqkUHCFMkCar3A&amp;gid=2055363397#gid=2055363397"",""MTR!C:O""),11,false)"),"PMW-L1")</f>
        <v>PMW-L1</v>
      </c>
      <c r="N516" s="248" t="str">
        <f>IFERROR(__xludf.DUMMYFUNCTION("VLOOKUP(C516,IMPORTRANGE(""https://docs.google.com/spreadsheets/d/1ihFlp3_ePlYtFuPbUNbYj1muErVpI73WHXbEwJDIA7Q/edit#gid=1493122344"",""MTR!C:O""),8,false)"),"Does Not Comply")</f>
        <v>Does Not Comply</v>
      </c>
      <c r="O516" s="248" t="str">
        <f>IFERROR(__xludf.DUMMYFUNCTION("VLOOKUP(C516,IMPORTRANGE(""https://docs.google.com/spreadsheets/d/1P8eX0NWBhUPS_hvzA11R6jkTNFrPrRYIx_dX_hYbxrk/edit?resourcekey=0-iw9bsKY2OqkUHCFMkCar3A&amp;gid=2055363397#gid=2055363397"",""MTR!C:O""),9,false)"),"NR supports PC2 on bands: n40, n41, n77, n78")</f>
        <v>NR supports PC2 on bands: n40, n41, n77, n78</v>
      </c>
      <c r="P516" s="248"/>
      <c r="Q516" s="249" t="s">
        <v>516</v>
      </c>
      <c r="R516" s="248"/>
      <c r="S516" s="154" t="s">
        <v>66</v>
      </c>
      <c r="T516" s="154" t="s">
        <v>66</v>
      </c>
      <c r="U516" s="154" t="s">
        <v>64</v>
      </c>
      <c r="V516" s="154" t="s">
        <v>64</v>
      </c>
      <c r="W516" s="154" t="s">
        <v>64</v>
      </c>
      <c r="X516" s="154" t="s">
        <v>64</v>
      </c>
      <c r="Y516" s="154" t="s">
        <v>66</v>
      </c>
      <c r="Z516" s="154" t="s">
        <v>64</v>
      </c>
      <c r="AA516" s="154" t="s">
        <v>64</v>
      </c>
      <c r="AB516" s="154"/>
      <c r="AC516" s="242" t="b">
        <f t="shared" si="2"/>
        <v>1</v>
      </c>
      <c r="AD516" s="154" t="s">
        <v>391</v>
      </c>
      <c r="AE516" s="243" t="b">
        <f t="shared" si="3"/>
        <v>0</v>
      </c>
      <c r="AF516" s="154"/>
      <c r="AG516" s="243" t="b">
        <f t="shared" si="4"/>
        <v>0</v>
      </c>
      <c r="AH516" s="154" t="s">
        <v>1346</v>
      </c>
      <c r="AI516" s="243" t="str">
        <f t="shared" si="5"/>
        <v>Partially Complies</v>
      </c>
      <c r="AJ516" s="157" t="str">
        <f t="shared" si="6"/>
        <v/>
      </c>
    </row>
    <row r="517" ht="12.75" customHeight="1">
      <c r="A517" s="244" t="s">
        <v>621</v>
      </c>
      <c r="B517" s="244" t="s">
        <v>1339</v>
      </c>
      <c r="C517" s="255" t="s">
        <v>1714</v>
      </c>
      <c r="D517" s="256" t="s">
        <v>42</v>
      </c>
      <c r="E517" s="257" t="s">
        <v>489</v>
      </c>
      <c r="F517" s="154" t="str">
        <f t="array" ref="F517">XLOOKUP(Cover!$D$12,$S$1:$AA$1,$S517:$AA517)</f>
        <v>Recommended</v>
      </c>
      <c r="G517" s="153" t="s">
        <v>1715</v>
      </c>
      <c r="H517" s="154"/>
      <c r="I517" s="154" t="s">
        <v>759</v>
      </c>
      <c r="J517" s="247" t="s">
        <v>516</v>
      </c>
      <c r="K517" s="154"/>
      <c r="L517" s="154" t="str">
        <f t="shared" si="1"/>
        <v/>
      </c>
      <c r="M517" s="253" t="str">
        <f>IFERROR(__xludf.DUMMYFUNCTION("VLOOKUP(C517,IMPORTRANGE(""https://docs.google.com/spreadsheets/d/1P8eX0NWBhUPS_hvzA11R6jkTNFrPrRYIx_dX_hYbxrk/edit?resourcekey=0-iw9bsKY2OqkUHCFMkCar3A&amp;gid=2055363397#gid=2055363397"",""MTR!C:O""),11,false)"),"#N/A")</f>
        <v>#N/A</v>
      </c>
      <c r="N517" s="253" t="str">
        <f>IFERROR(__xludf.DUMMYFUNCTION("VLOOKUP(C517,IMPORTRANGE(""https://docs.google.com/spreadsheets/d/1ihFlp3_ePlYtFuPbUNbYj1muErVpI73WHXbEwJDIA7Q/edit#gid=1493122344"",""MTR!C:O""),8,false)"),"#N/A")</f>
        <v>#N/A</v>
      </c>
      <c r="O517" s="253" t="str">
        <f>IFERROR(__xludf.DUMMYFUNCTION("VLOOKUP(C517,IMPORTRANGE(""https://docs.google.com/spreadsheets/d/1P8eX0NWBhUPS_hvzA11R6jkTNFrPrRYIx_dX_hYbxrk/edit?resourcekey=0-iw9bsKY2OqkUHCFMkCar3A&amp;gid=2055363397#gid=2055363397"",""MTR!C:O""),9,false)"),"#N/A")</f>
        <v>#N/A</v>
      </c>
      <c r="P517" s="253"/>
      <c r="Q517" s="253"/>
      <c r="R517" s="253"/>
      <c r="S517" s="154" t="s">
        <v>66</v>
      </c>
      <c r="T517" s="154" t="s">
        <v>66</v>
      </c>
      <c r="U517" s="154" t="s">
        <v>64</v>
      </c>
      <c r="V517" s="154" t="s">
        <v>64</v>
      </c>
      <c r="W517" s="154" t="s">
        <v>64</v>
      </c>
      <c r="X517" s="154" t="s">
        <v>64</v>
      </c>
      <c r="Y517" s="154" t="s">
        <v>66</v>
      </c>
      <c r="Z517" s="154" t="s">
        <v>64</v>
      </c>
      <c r="AA517" s="154" t="s">
        <v>64</v>
      </c>
      <c r="AB517" s="154"/>
      <c r="AC517" s="242" t="b">
        <f t="shared" si="2"/>
        <v>1</v>
      </c>
      <c r="AD517" s="154" t="s">
        <v>391</v>
      </c>
      <c r="AE517" s="243" t="b">
        <f t="shared" si="3"/>
        <v>0</v>
      </c>
      <c r="AF517" s="154"/>
      <c r="AG517" s="243" t="b">
        <f t="shared" si="4"/>
        <v>0</v>
      </c>
      <c r="AH517" s="154" t="s">
        <v>1346</v>
      </c>
      <c r="AI517" s="243" t="str">
        <f t="shared" si="5"/>
        <v>Partially Complies</v>
      </c>
      <c r="AJ517" s="157" t="str">
        <f t="shared" si="6"/>
        <v/>
      </c>
    </row>
    <row r="518" ht="12.75" customHeight="1">
      <c r="A518" s="244" t="s">
        <v>621</v>
      </c>
      <c r="B518" s="244" t="s">
        <v>1339</v>
      </c>
      <c r="C518" s="245" t="s">
        <v>1716</v>
      </c>
      <c r="D518" s="155" t="s">
        <v>45</v>
      </c>
      <c r="E518" s="246" t="s">
        <v>92</v>
      </c>
      <c r="F518" s="154" t="str">
        <f t="array" ref="F518">XLOOKUP(Cover!$D$12,$S$1:$AA$1,$S518:$AA518)</f>
        <v>Recommended</v>
      </c>
      <c r="G518" s="153" t="s">
        <v>1717</v>
      </c>
      <c r="H518" s="154"/>
      <c r="I518" s="154" t="s">
        <v>759</v>
      </c>
      <c r="J518" s="247" t="s">
        <v>516</v>
      </c>
      <c r="K518" s="154"/>
      <c r="L518" s="154" t="str">
        <f t="shared" si="1"/>
        <v/>
      </c>
      <c r="M518" s="248" t="str">
        <f>IFERROR(__xludf.DUMMYFUNCTION("VLOOKUP(C518,IMPORTRANGE(""https://docs.google.com/spreadsheets/d/1P8eX0NWBhUPS_hvzA11R6jkTNFrPrRYIx_dX_hYbxrk/edit?resourcekey=0-iw9bsKY2OqkUHCFMkCar3A&amp;gid=2055363397#gid=2055363397"",""MTR!C:O""),11,false)"),"PMW-AS")</f>
        <v>PMW-AS</v>
      </c>
      <c r="N518" s="253" t="str">
        <f>IFERROR(__xludf.DUMMYFUNCTION("VLOOKUP(C518,IMPORTRANGE(""https://docs.google.com/spreadsheets/d/1ihFlp3_ePlYtFuPbUNbYj1muErVpI73WHXbEwJDIA7Q/edit#gid=1493122344"",""MTR!C:O""),8,false)"),"#N/A")</f>
        <v>#N/A</v>
      </c>
      <c r="O518" s="248" t="str">
        <f>IFERROR(__xludf.DUMMYFUNCTION("VLOOKUP(C518,IMPORTRANGE(""https://docs.google.com/spreadsheets/d/1P8eX0NWBhUPS_hvzA11R6jkTNFrPrRYIx_dX_hYbxrk/edit?resourcekey=0-iw9bsKY2OqkUHCFMkCar3A&amp;gid=2055363397#gid=2055363397"",""MTR!C:O""),9,false)"),"NR supports PC2 on bands: n40, n41, n77, n78")</f>
        <v>NR supports PC2 on bands: n40, n41, n77, n78</v>
      </c>
      <c r="P518" s="248"/>
      <c r="Q518" s="248"/>
      <c r="R518" s="248"/>
      <c r="S518" s="154" t="s">
        <v>66</v>
      </c>
      <c r="T518" s="154" t="s">
        <v>66</v>
      </c>
      <c r="U518" s="154" t="s">
        <v>64</v>
      </c>
      <c r="V518" s="154" t="s">
        <v>64</v>
      </c>
      <c r="W518" s="154" t="s">
        <v>64</v>
      </c>
      <c r="X518" s="154" t="s">
        <v>64</v>
      </c>
      <c r="Y518" s="154" t="s">
        <v>66</v>
      </c>
      <c r="Z518" s="154" t="s">
        <v>64</v>
      </c>
      <c r="AA518" s="154" t="s">
        <v>64</v>
      </c>
      <c r="AB518" s="154"/>
      <c r="AC518" s="242" t="b">
        <f t="shared" si="2"/>
        <v>1</v>
      </c>
      <c r="AD518" s="154" t="s">
        <v>391</v>
      </c>
      <c r="AE518" s="243" t="b">
        <f t="shared" si="3"/>
        <v>0</v>
      </c>
      <c r="AF518" s="154"/>
      <c r="AG518" s="243" t="b">
        <f t="shared" si="4"/>
        <v>0</v>
      </c>
      <c r="AH518" s="154" t="s">
        <v>1346</v>
      </c>
      <c r="AI518" s="243" t="str">
        <f t="shared" si="5"/>
        <v>Partially Complies</v>
      </c>
      <c r="AJ518" s="157" t="str">
        <f t="shared" si="6"/>
        <v/>
      </c>
    </row>
    <row r="519" ht="12.75" customHeight="1">
      <c r="A519" s="244" t="s">
        <v>621</v>
      </c>
      <c r="B519" s="244" t="s">
        <v>1339</v>
      </c>
      <c r="C519" s="245" t="s">
        <v>1718</v>
      </c>
      <c r="D519" s="155" t="s">
        <v>1315</v>
      </c>
      <c r="E519" s="246" t="s">
        <v>92</v>
      </c>
      <c r="F519" s="154" t="str">
        <f t="array" ref="F519">XLOOKUP(Cover!$D$12,$S$1:$AA$1,$S519:$AA519)</f>
        <v>Mandatory</v>
      </c>
      <c r="G519" s="153" t="s">
        <v>1719</v>
      </c>
      <c r="H519" s="154" t="s">
        <v>1637</v>
      </c>
      <c r="I519" s="154" t="s">
        <v>759</v>
      </c>
      <c r="J519" s="247" t="s">
        <v>506</v>
      </c>
      <c r="K519" s="247" t="s">
        <v>1720</v>
      </c>
      <c r="L519" s="154" t="str">
        <f t="shared" si="1"/>
        <v/>
      </c>
      <c r="M519" s="248" t="str">
        <f>IFERROR(__xludf.DUMMYFUNCTION("VLOOKUP(C519,IMPORTRANGE(""https://docs.google.com/spreadsheets/d/1P8eX0NWBhUPS_hvzA11R6jkTNFrPrRYIx_dX_hYbxrk/edit?resourcekey=0-iw9bsKY2OqkUHCFMkCar3A&amp;gid=2055363397#gid=2055363397"",""MTR!C:O""),11,false)"),"PMW-L1")</f>
        <v>PMW-L1</v>
      </c>
      <c r="N519" s="248" t="str">
        <f>IFERROR(__xludf.DUMMYFUNCTION("VLOOKUP(C519,IMPORTRANGE(""https://docs.google.com/spreadsheets/d/1ihFlp3_ePlYtFuPbUNbYj1muErVpI73WHXbEwJDIA7Q/edit#gid=1493122344"",""MTR!C:O""),8,false)"),"Does Not Comply")</f>
        <v>Does Not Comply</v>
      </c>
      <c r="O519" s="248" t="str">
        <f>IFERROR(__xludf.DUMMYFUNCTION("VLOOKUP(C519,IMPORTRANGE(""https://docs.google.com/spreadsheets/d/1P8eX0NWBhUPS_hvzA11R6jkTNFrPrRYIx_dX_hYbxrk/edit?resourcekey=0-iw9bsKY2OqkUHCFMkCar3A&amp;gid=2055363397#gid=2055363397"",""MTR!C:O""),9,false)"),"The feature will be default supported once SA is enabled, please discuss with Google TAM for feature enablement plans")</f>
        <v>The feature will be default supported once SA is enabled, please discuss with Google TAM for feature enablement plans</v>
      </c>
      <c r="P519" s="248"/>
      <c r="Q519" s="249" t="s">
        <v>516</v>
      </c>
      <c r="R519" s="249" t="s">
        <v>1720</v>
      </c>
      <c r="S519" s="154" t="s">
        <v>66</v>
      </c>
      <c r="T519" s="154" t="s">
        <v>66</v>
      </c>
      <c r="U519" s="154" t="s">
        <v>66</v>
      </c>
      <c r="V519" s="154" t="s">
        <v>66</v>
      </c>
      <c r="W519" s="154" t="s">
        <v>60</v>
      </c>
      <c r="X519" s="154" t="s">
        <v>60</v>
      </c>
      <c r="Y519" s="154" t="s">
        <v>66</v>
      </c>
      <c r="Z519" s="154" t="s">
        <v>66</v>
      </c>
      <c r="AA519" s="154" t="s">
        <v>60</v>
      </c>
      <c r="AB519" s="154"/>
      <c r="AC519" s="242" t="b">
        <f t="shared" si="2"/>
        <v>1</v>
      </c>
      <c r="AD519" s="154" t="s">
        <v>391</v>
      </c>
      <c r="AE519" s="243" t="b">
        <f t="shared" si="3"/>
        <v>0</v>
      </c>
      <c r="AF519" s="154"/>
      <c r="AG519" s="243" t="b">
        <f t="shared" si="4"/>
        <v>0</v>
      </c>
      <c r="AH519" s="154" t="s">
        <v>1346</v>
      </c>
      <c r="AI519" s="243" t="str">
        <f t="shared" si="5"/>
        <v>Partially Complies</v>
      </c>
      <c r="AJ519" s="157" t="str">
        <f t="shared" si="6"/>
        <v/>
      </c>
    </row>
    <row r="520" ht="12.75" customHeight="1">
      <c r="A520" s="244" t="s">
        <v>621</v>
      </c>
      <c r="B520" s="244" t="s">
        <v>1339</v>
      </c>
      <c r="C520" s="245" t="s">
        <v>1721</v>
      </c>
      <c r="D520" s="155" t="s">
        <v>1315</v>
      </c>
      <c r="E520" s="246" t="s">
        <v>92</v>
      </c>
      <c r="F520" s="154" t="str">
        <f t="array" ref="F520">XLOOKUP(Cover!$D$12,$S$1:$AA$1,$S520:$AA520)</f>
        <v>Mandatory</v>
      </c>
      <c r="G520" s="153" t="s">
        <v>1722</v>
      </c>
      <c r="H520" s="154" t="s">
        <v>1637</v>
      </c>
      <c r="I520" s="154" t="s">
        <v>759</v>
      </c>
      <c r="J520" s="247" t="s">
        <v>506</v>
      </c>
      <c r="K520" s="247" t="s">
        <v>1720</v>
      </c>
      <c r="L520" s="154" t="str">
        <f t="shared" si="1"/>
        <v/>
      </c>
      <c r="M520" s="248" t="str">
        <f>IFERROR(__xludf.DUMMYFUNCTION("VLOOKUP(C520,IMPORTRANGE(""https://docs.google.com/spreadsheets/d/1P8eX0NWBhUPS_hvzA11R6jkTNFrPrRYIx_dX_hYbxrk/edit?resourcekey=0-iw9bsKY2OqkUHCFMkCar3A&amp;gid=2055363397#gid=2055363397"",""MTR!C:O""),11,false)"),"PMW-L1")</f>
        <v>PMW-L1</v>
      </c>
      <c r="N520" s="248" t="str">
        <f>IFERROR(__xludf.DUMMYFUNCTION("VLOOKUP(C520,IMPORTRANGE(""https://docs.google.com/spreadsheets/d/1ihFlp3_ePlYtFuPbUNbYj1muErVpI73WHXbEwJDIA7Q/edit#gid=1493122344"",""MTR!C:O""),8,false)"),"Does Not Comply")</f>
        <v>Does Not Comply</v>
      </c>
      <c r="O520" s="248" t="str">
        <f>IFERROR(__xludf.DUMMYFUNCTION("VLOOKUP(C520,IMPORTRANGE(""https://docs.google.com/spreadsheets/d/1P8eX0NWBhUPS_hvzA11R6jkTNFrPrRYIx_dX_hYbxrk/edit?resourcekey=0-iw9bsKY2OqkUHCFMkCar3A&amp;gid=2055363397#gid=2055363397"",""MTR!C:O""),9,false)"),"SA disabled at launch. ")</f>
        <v>SA disabled at launch. </v>
      </c>
      <c r="P520" s="248"/>
      <c r="Q520" s="249" t="s">
        <v>516</v>
      </c>
      <c r="R520" s="249" t="s">
        <v>1720</v>
      </c>
      <c r="S520" s="154" t="s">
        <v>66</v>
      </c>
      <c r="T520" s="154" t="s">
        <v>66</v>
      </c>
      <c r="U520" s="154" t="s">
        <v>66</v>
      </c>
      <c r="V520" s="154" t="s">
        <v>66</v>
      </c>
      <c r="W520" s="154" t="s">
        <v>60</v>
      </c>
      <c r="X520" s="154" t="s">
        <v>60</v>
      </c>
      <c r="Y520" s="154" t="s">
        <v>66</v>
      </c>
      <c r="Z520" s="154" t="s">
        <v>66</v>
      </c>
      <c r="AA520" s="154" t="s">
        <v>60</v>
      </c>
      <c r="AB520" s="154"/>
      <c r="AC520" s="242" t="b">
        <f t="shared" si="2"/>
        <v>1</v>
      </c>
      <c r="AD520" s="154" t="s">
        <v>391</v>
      </c>
      <c r="AE520" s="243" t="b">
        <f t="shared" si="3"/>
        <v>0</v>
      </c>
      <c r="AF520" s="154"/>
      <c r="AG520" s="243" t="b">
        <f t="shared" si="4"/>
        <v>0</v>
      </c>
      <c r="AH520" s="154" t="s">
        <v>1346</v>
      </c>
      <c r="AI520" s="243" t="str">
        <f t="shared" si="5"/>
        <v>Partially Complies</v>
      </c>
      <c r="AJ520" s="157" t="str">
        <f t="shared" si="6"/>
        <v/>
      </c>
    </row>
    <row r="521" ht="12.75" customHeight="1">
      <c r="A521" s="244" t="s">
        <v>621</v>
      </c>
      <c r="B521" s="244" t="s">
        <v>1339</v>
      </c>
      <c r="C521" s="255" t="s">
        <v>1723</v>
      </c>
      <c r="D521" s="256" t="s">
        <v>42</v>
      </c>
      <c r="E521" s="257" t="s">
        <v>489</v>
      </c>
      <c r="F521" s="154" t="str">
        <f t="array" ref="F521">XLOOKUP(Cover!$D$12,$S$1:$AA$1,$S521:$AA521)</f>
        <v>Mandatory</v>
      </c>
      <c r="G521" s="153" t="s">
        <v>1724</v>
      </c>
      <c r="H521" s="154" t="s">
        <v>1637</v>
      </c>
      <c r="I521" s="154" t="s">
        <v>759</v>
      </c>
      <c r="J521" s="247" t="s">
        <v>516</v>
      </c>
      <c r="K521" s="154"/>
      <c r="L521" s="154" t="str">
        <f t="shared" si="1"/>
        <v/>
      </c>
      <c r="M521" s="253" t="str">
        <f>IFERROR(__xludf.DUMMYFUNCTION("VLOOKUP(C521,IMPORTRANGE(""https://docs.google.com/spreadsheets/d/1P8eX0NWBhUPS_hvzA11R6jkTNFrPrRYIx_dX_hYbxrk/edit?resourcekey=0-iw9bsKY2OqkUHCFMkCar3A&amp;gid=2055363397#gid=2055363397"",""MTR!C:O""),11,false)"),"#N/A")</f>
        <v>#N/A</v>
      </c>
      <c r="N521" s="253" t="str">
        <f>IFERROR(__xludf.DUMMYFUNCTION("VLOOKUP(C521,IMPORTRANGE(""https://docs.google.com/spreadsheets/d/1ihFlp3_ePlYtFuPbUNbYj1muErVpI73WHXbEwJDIA7Q/edit#gid=1493122344"",""MTR!C:O""),8,false)"),"#N/A")</f>
        <v>#N/A</v>
      </c>
      <c r="O521" s="253" t="str">
        <f>IFERROR(__xludf.DUMMYFUNCTION("VLOOKUP(C521,IMPORTRANGE(""https://docs.google.com/spreadsheets/d/1P8eX0NWBhUPS_hvzA11R6jkTNFrPrRYIx_dX_hYbxrk/edit?resourcekey=0-iw9bsKY2OqkUHCFMkCar3A&amp;gid=2055363397#gid=2055363397"",""MTR!C:O""),9,false)"),"#N/A")</f>
        <v>#N/A</v>
      </c>
      <c r="P521" s="253"/>
      <c r="Q521" s="253"/>
      <c r="R521" s="253"/>
      <c r="S521" s="154" t="s">
        <v>66</v>
      </c>
      <c r="T521" s="154" t="s">
        <v>66</v>
      </c>
      <c r="U521" s="154" t="s">
        <v>66</v>
      </c>
      <c r="V521" s="154" t="s">
        <v>66</v>
      </c>
      <c r="W521" s="154" t="s">
        <v>60</v>
      </c>
      <c r="X521" s="154" t="s">
        <v>60</v>
      </c>
      <c r="Y521" s="154" t="s">
        <v>66</v>
      </c>
      <c r="Z521" s="154" t="s">
        <v>66</v>
      </c>
      <c r="AA521" s="154" t="s">
        <v>60</v>
      </c>
      <c r="AB521" s="154"/>
      <c r="AC521" s="242" t="b">
        <f t="shared" si="2"/>
        <v>1</v>
      </c>
      <c r="AD521" s="154" t="s">
        <v>391</v>
      </c>
      <c r="AE521" s="243" t="b">
        <f t="shared" si="3"/>
        <v>0</v>
      </c>
      <c r="AF521" s="154"/>
      <c r="AG521" s="243" t="b">
        <f t="shared" si="4"/>
        <v>0</v>
      </c>
      <c r="AH521" s="154" t="s">
        <v>1346</v>
      </c>
      <c r="AI521" s="243" t="str">
        <f t="shared" si="5"/>
        <v>Partially Complies</v>
      </c>
      <c r="AJ521" s="157" t="str">
        <f t="shared" si="6"/>
        <v/>
      </c>
    </row>
    <row r="522" ht="12.75" customHeight="1">
      <c r="A522" s="244" t="s">
        <v>621</v>
      </c>
      <c r="B522" s="244" t="s">
        <v>1339</v>
      </c>
      <c r="C522" s="255" t="s">
        <v>1725</v>
      </c>
      <c r="D522" s="256" t="s">
        <v>42</v>
      </c>
      <c r="E522" s="257" t="s">
        <v>489</v>
      </c>
      <c r="F522" s="154" t="str">
        <f t="array" ref="F522">XLOOKUP(Cover!$D$12,$S$1:$AA$1,$S522:$AA522)</f>
        <v>Recommended</v>
      </c>
      <c r="G522" s="153" t="s">
        <v>1726</v>
      </c>
      <c r="H522" s="154"/>
      <c r="I522" s="154" t="s">
        <v>759</v>
      </c>
      <c r="J522" s="247" t="s">
        <v>516</v>
      </c>
      <c r="K522" s="154"/>
      <c r="L522" s="154" t="str">
        <f t="shared" si="1"/>
        <v/>
      </c>
      <c r="M522" s="253" t="str">
        <f>IFERROR(__xludf.DUMMYFUNCTION("VLOOKUP(C522,IMPORTRANGE(""https://docs.google.com/spreadsheets/d/1P8eX0NWBhUPS_hvzA11R6jkTNFrPrRYIx_dX_hYbxrk/edit?resourcekey=0-iw9bsKY2OqkUHCFMkCar3A&amp;gid=2055363397#gid=2055363397"",""MTR!C:O""),11,false)"),"#N/A")</f>
        <v>#N/A</v>
      </c>
      <c r="N522" s="253" t="str">
        <f>IFERROR(__xludf.DUMMYFUNCTION("VLOOKUP(C522,IMPORTRANGE(""https://docs.google.com/spreadsheets/d/1ihFlp3_ePlYtFuPbUNbYj1muErVpI73WHXbEwJDIA7Q/edit#gid=1493122344"",""MTR!C:O""),8,false)"),"#N/A")</f>
        <v>#N/A</v>
      </c>
      <c r="O522" s="253" t="str">
        <f>IFERROR(__xludf.DUMMYFUNCTION("VLOOKUP(C522,IMPORTRANGE(""https://docs.google.com/spreadsheets/d/1P8eX0NWBhUPS_hvzA11R6jkTNFrPrRYIx_dX_hYbxrk/edit?resourcekey=0-iw9bsKY2OqkUHCFMkCar3A&amp;gid=2055363397#gid=2055363397"",""MTR!C:O""),9,false)"),"#N/A")</f>
        <v>#N/A</v>
      </c>
      <c r="P522" s="253"/>
      <c r="Q522" s="253"/>
      <c r="R522" s="253"/>
      <c r="S522" s="154" t="s">
        <v>66</v>
      </c>
      <c r="T522" s="154" t="s">
        <v>66</v>
      </c>
      <c r="U522" s="154" t="s">
        <v>64</v>
      </c>
      <c r="V522" s="154" t="s">
        <v>64</v>
      </c>
      <c r="W522" s="154" t="s">
        <v>64</v>
      </c>
      <c r="X522" s="154" t="s">
        <v>64</v>
      </c>
      <c r="Y522" s="154" t="s">
        <v>66</v>
      </c>
      <c r="Z522" s="154" t="s">
        <v>64</v>
      </c>
      <c r="AA522" s="154" t="s">
        <v>64</v>
      </c>
      <c r="AB522" s="154"/>
      <c r="AC522" s="242" t="b">
        <f t="shared" si="2"/>
        <v>1</v>
      </c>
      <c r="AD522" s="154" t="s">
        <v>391</v>
      </c>
      <c r="AE522" s="243" t="b">
        <f t="shared" si="3"/>
        <v>0</v>
      </c>
      <c r="AF522" s="154"/>
      <c r="AG522" s="243" t="b">
        <f t="shared" si="4"/>
        <v>0</v>
      </c>
      <c r="AH522" s="154" t="s">
        <v>1346</v>
      </c>
      <c r="AI522" s="243" t="str">
        <f t="shared" si="5"/>
        <v>Partially Complies</v>
      </c>
      <c r="AJ522" s="157" t="str">
        <f t="shared" si="6"/>
        <v/>
      </c>
    </row>
    <row r="523" ht="12.75" customHeight="1">
      <c r="A523" s="244" t="s">
        <v>621</v>
      </c>
      <c r="B523" s="244" t="s">
        <v>1339</v>
      </c>
      <c r="C523" s="244" t="s">
        <v>1727</v>
      </c>
      <c r="D523" s="154" t="s">
        <v>503</v>
      </c>
      <c r="E523" s="250"/>
      <c r="F523" s="154" t="str">
        <f t="array" ref="F523">XLOOKUP(Cover!$D$12,$S$1:$AA$1,$S523:$AA523)</f>
        <v>Recommended</v>
      </c>
      <c r="G523" s="254" t="s">
        <v>1728</v>
      </c>
      <c r="H523" s="154" t="s">
        <v>234</v>
      </c>
      <c r="I523" s="154" t="s">
        <v>759</v>
      </c>
      <c r="J523" s="247" t="s">
        <v>516</v>
      </c>
      <c r="K523" s="260" t="s">
        <v>1729</v>
      </c>
      <c r="L523" s="154" t="str">
        <f t="shared" si="1"/>
        <v/>
      </c>
      <c r="M523" s="248" t="str">
        <f>IFERROR(__xludf.DUMMYFUNCTION("VLOOKUP(C523,IMPORTRANGE(""https://docs.google.com/spreadsheets/d/1P8eX0NWBhUPS_hvzA11R6jkTNFrPrRYIx_dX_hYbxrk/edit?resourcekey=0-iw9bsKY2OqkUHCFMkCar3A&amp;gid=2055363397#gid=2055363397"",""MTR!C:O""),11,false)"),"PMW-MCE-AS")</f>
        <v>PMW-MCE-AS</v>
      </c>
      <c r="N523" s="248" t="str">
        <f>IFERROR(__xludf.DUMMYFUNCTION("VLOOKUP(C523,IMPORTRANGE(""https://docs.google.com/spreadsheets/d/1ihFlp3_ePlYtFuPbUNbYj1muErVpI73WHXbEwJDIA7Q/edit#gid=1493122344"",""MTR!C:O""),8,false)"),"Does Not Comply")</f>
        <v>Does Not Comply</v>
      </c>
      <c r="O523" s="248" t="str">
        <f>IFERROR(__xludf.DUMMYFUNCTION("VLOOKUP(C523,IMPORTRANGE(""https://docs.google.com/spreadsheets/d/1P8eX0NWBhUPS_hvzA11R6jkTNFrPrRYIx_dX_hYbxrk/edit?resourcekey=0-iw9bsKY2OqkUHCFMkCar3A&amp;gid=2055363397#gid=2055363397"",""MTR!C:O""),9,false)"),"SA disabled at launch. Reach out to TAM to get this feature enabled when SA is supported.")</f>
        <v>SA disabled at launch. Reach out to TAM to get this feature enabled when SA is supported.</v>
      </c>
      <c r="P523" s="248"/>
      <c r="Q523" s="249" t="s">
        <v>516</v>
      </c>
      <c r="R523" s="249" t="s">
        <v>1642</v>
      </c>
      <c r="S523" s="154" t="s">
        <v>66</v>
      </c>
      <c r="T523" s="154" t="s">
        <v>66</v>
      </c>
      <c r="U523" s="154" t="s">
        <v>64</v>
      </c>
      <c r="V523" s="154" t="s">
        <v>64</v>
      </c>
      <c r="W523" s="154" t="s">
        <v>64</v>
      </c>
      <c r="X523" s="154" t="s">
        <v>64</v>
      </c>
      <c r="Y523" s="154" t="s">
        <v>66</v>
      </c>
      <c r="Z523" s="154" t="s">
        <v>64</v>
      </c>
      <c r="AA523" s="154" t="s">
        <v>64</v>
      </c>
      <c r="AB523" s="154"/>
      <c r="AC523" s="242" t="b">
        <f t="shared" si="2"/>
        <v>1</v>
      </c>
      <c r="AD523" s="154" t="s">
        <v>391</v>
      </c>
      <c r="AE523" s="243" t="b">
        <f t="shared" si="3"/>
        <v>0</v>
      </c>
      <c r="AF523" s="154"/>
      <c r="AG523" s="243" t="b">
        <f t="shared" si="4"/>
        <v>0</v>
      </c>
      <c r="AH523" s="154"/>
      <c r="AI523" s="243" t="str">
        <f t="shared" si="5"/>
        <v>N/A</v>
      </c>
      <c r="AJ523" s="157" t="str">
        <f t="shared" si="6"/>
        <v/>
      </c>
    </row>
    <row r="524" ht="12.75" customHeight="1">
      <c r="A524" s="244" t="s">
        <v>621</v>
      </c>
      <c r="B524" s="244" t="s">
        <v>1339</v>
      </c>
      <c r="C524" s="244" t="s">
        <v>1730</v>
      </c>
      <c r="D524" s="154" t="s">
        <v>503</v>
      </c>
      <c r="E524" s="250"/>
      <c r="F524" s="154" t="str">
        <f t="array" ref="F524">XLOOKUP(Cover!$D$12,$S$1:$AA$1,$S524:$AA524)</f>
        <v>Recommended</v>
      </c>
      <c r="G524" s="153" t="s">
        <v>1731</v>
      </c>
      <c r="H524" s="154" t="s">
        <v>234</v>
      </c>
      <c r="I524" s="154" t="s">
        <v>759</v>
      </c>
      <c r="J524" s="247" t="s">
        <v>516</v>
      </c>
      <c r="K524" s="260" t="s">
        <v>1732</v>
      </c>
      <c r="L524" s="154" t="str">
        <f t="shared" si="1"/>
        <v/>
      </c>
      <c r="M524" s="248" t="str">
        <f>IFERROR(__xludf.DUMMYFUNCTION("VLOOKUP(C524,IMPORTRANGE(""https://docs.google.com/spreadsheets/d/1P8eX0NWBhUPS_hvzA11R6jkTNFrPrRYIx_dX_hYbxrk/edit?resourcekey=0-iw9bsKY2OqkUHCFMkCar3A&amp;gid=2055363397#gid=2055363397"",""MTR!C:O""),11,false)"),"PMW-MCE-AS")</f>
        <v>PMW-MCE-AS</v>
      </c>
      <c r="N524" s="248" t="str">
        <f>IFERROR(__xludf.DUMMYFUNCTION("VLOOKUP(C524,IMPORTRANGE(""https://docs.google.com/spreadsheets/d/1ihFlp3_ePlYtFuPbUNbYj1muErVpI73WHXbEwJDIA7Q/edit#gid=1493122344"",""MTR!C:O""),8,false)"),"Does Not Comply")</f>
        <v>Does Not Comply</v>
      </c>
      <c r="O524" s="248" t="str">
        <f>IFERROR(__xludf.DUMMYFUNCTION("VLOOKUP(C524,IMPORTRANGE(""https://docs.google.com/spreadsheets/d/1P8eX0NWBhUPS_hvzA11R6jkTNFrPrRYIx_dX_hYbxrk/edit?resourcekey=0-iw9bsKY2OqkUHCFMkCar3A&amp;gid=2055363397#gid=2055363397"",""MTR!C:O""),9,false)"),"SA disabled at launch. Reach out to TAM to get this feature enabled when SA is supported.")</f>
        <v>SA disabled at launch. Reach out to TAM to get this feature enabled when SA is supported.</v>
      </c>
      <c r="P524" s="248"/>
      <c r="Q524" s="249" t="s">
        <v>516</v>
      </c>
      <c r="R524" s="249" t="s">
        <v>1642</v>
      </c>
      <c r="S524" s="154" t="s">
        <v>66</v>
      </c>
      <c r="T524" s="154" t="s">
        <v>66</v>
      </c>
      <c r="U524" s="154" t="s">
        <v>64</v>
      </c>
      <c r="V524" s="154" t="s">
        <v>64</v>
      </c>
      <c r="W524" s="154" t="s">
        <v>64</v>
      </c>
      <c r="X524" s="154" t="s">
        <v>64</v>
      </c>
      <c r="Y524" s="154" t="s">
        <v>66</v>
      </c>
      <c r="Z524" s="154" t="s">
        <v>64</v>
      </c>
      <c r="AA524" s="154" t="s">
        <v>64</v>
      </c>
      <c r="AB524" s="154"/>
      <c r="AC524" s="242" t="b">
        <f t="shared" si="2"/>
        <v>1</v>
      </c>
      <c r="AD524" s="154" t="s">
        <v>391</v>
      </c>
      <c r="AE524" s="243" t="b">
        <f t="shared" si="3"/>
        <v>0</v>
      </c>
      <c r="AF524" s="154"/>
      <c r="AG524" s="243" t="b">
        <f t="shared" si="4"/>
        <v>0</v>
      </c>
      <c r="AH524" s="154"/>
      <c r="AI524" s="243" t="str">
        <f t="shared" si="5"/>
        <v>N/A</v>
      </c>
      <c r="AJ524" s="157" t="str">
        <f t="shared" si="6"/>
        <v/>
      </c>
    </row>
    <row r="525" ht="12.75" customHeight="1">
      <c r="A525" s="244" t="s">
        <v>621</v>
      </c>
      <c r="B525" s="244" t="s">
        <v>1339</v>
      </c>
      <c r="C525" s="244" t="s">
        <v>1733</v>
      </c>
      <c r="D525" s="154" t="s">
        <v>503</v>
      </c>
      <c r="E525" s="250"/>
      <c r="F525" s="154" t="str">
        <f t="array" ref="F525">XLOOKUP(Cover!$D$12,$S$1:$AA$1,$S525:$AA525)</f>
        <v>Recommended</v>
      </c>
      <c r="G525" s="153" t="s">
        <v>1734</v>
      </c>
      <c r="H525" s="154" t="s">
        <v>234</v>
      </c>
      <c r="I525" s="154" t="s">
        <v>759</v>
      </c>
      <c r="J525" s="247" t="s">
        <v>516</v>
      </c>
      <c r="K525" s="247"/>
      <c r="L525" s="154" t="str">
        <f t="shared" si="1"/>
        <v/>
      </c>
      <c r="M525" s="248" t="str">
        <f>IFERROR(__xludf.DUMMYFUNCTION("VLOOKUP(C525,IMPORTRANGE(""https://docs.google.com/spreadsheets/d/1P8eX0NWBhUPS_hvzA11R6jkTNFrPrRYIx_dX_hYbxrk/edit?resourcekey=0-iw9bsKY2OqkUHCFMkCar3A&amp;gid=2055363397#gid=2055363397"",""MTR!C:O""),11,false)"),"PMW-MCE-AS")</f>
        <v>PMW-MCE-AS</v>
      </c>
      <c r="N525" s="248" t="str">
        <f>IFERROR(__xludf.DUMMYFUNCTION("VLOOKUP(C525,IMPORTRANGE(""https://docs.google.com/spreadsheets/d/1ihFlp3_ePlYtFuPbUNbYj1muErVpI73WHXbEwJDIA7Q/edit#gid=1493122344"",""MTR!C:O""),8,false)"),"Does Not Comply")</f>
        <v>Does Not Comply</v>
      </c>
      <c r="O525" s="248" t="str">
        <f>IFERROR(__xludf.DUMMYFUNCTION("VLOOKUP(C525,IMPORTRANGE(""https://docs.google.com/spreadsheets/d/1P8eX0NWBhUPS_hvzA11R6jkTNFrPrRYIx_dX_hYbxrk/edit?resourcekey=0-iw9bsKY2OqkUHCFMkCar3A&amp;gid=2055363397#gid=2055363397"",""MTR!C:O""),9,false)"),"SA disabled at launch. Reach out to TAM to get this feature enabled when SA is supported.")</f>
        <v>SA disabled at launch. Reach out to TAM to get this feature enabled when SA is supported.</v>
      </c>
      <c r="P525" s="248"/>
      <c r="Q525" s="249" t="s">
        <v>516</v>
      </c>
      <c r="R525" s="249" t="s">
        <v>1642</v>
      </c>
      <c r="S525" s="154" t="s">
        <v>66</v>
      </c>
      <c r="T525" s="154" t="s">
        <v>66</v>
      </c>
      <c r="U525" s="154" t="s">
        <v>64</v>
      </c>
      <c r="V525" s="154" t="s">
        <v>64</v>
      </c>
      <c r="W525" s="154" t="s">
        <v>64</v>
      </c>
      <c r="X525" s="154" t="s">
        <v>64</v>
      </c>
      <c r="Y525" s="154" t="s">
        <v>66</v>
      </c>
      <c r="Z525" s="154" t="s">
        <v>64</v>
      </c>
      <c r="AA525" s="154" t="s">
        <v>64</v>
      </c>
      <c r="AB525" s="154"/>
      <c r="AC525" s="242" t="b">
        <f t="shared" si="2"/>
        <v>1</v>
      </c>
      <c r="AD525" s="154" t="s">
        <v>445</v>
      </c>
      <c r="AE525" s="243" t="b">
        <f t="shared" si="3"/>
        <v>0</v>
      </c>
      <c r="AF525" s="154"/>
      <c r="AG525" s="243" t="b">
        <f t="shared" si="4"/>
        <v>0</v>
      </c>
      <c r="AH525" s="154"/>
      <c r="AI525" s="243" t="str">
        <f t="shared" si="5"/>
        <v>N/A</v>
      </c>
      <c r="AJ525" s="157" t="str">
        <f t="shared" si="6"/>
        <v/>
      </c>
    </row>
    <row r="526" ht="12.75" customHeight="1">
      <c r="A526" s="244" t="s">
        <v>621</v>
      </c>
      <c r="B526" s="244" t="s">
        <v>1339</v>
      </c>
      <c r="C526" s="245" t="s">
        <v>1735</v>
      </c>
      <c r="D526" s="155" t="s">
        <v>45</v>
      </c>
      <c r="E526" s="246" t="s">
        <v>92</v>
      </c>
      <c r="F526" s="154" t="str">
        <f t="array" ref="F526">XLOOKUP(Cover!$D$12,$S$1:$AA$1,$S526:$AA526)</f>
        <v>Recommended</v>
      </c>
      <c r="G526" s="153" t="s">
        <v>1736</v>
      </c>
      <c r="H526" s="154"/>
      <c r="I526" s="154" t="s">
        <v>759</v>
      </c>
      <c r="J526" s="247" t="s">
        <v>617</v>
      </c>
      <c r="K526" s="154"/>
      <c r="L526" s="154" t="str">
        <f t="shared" si="1"/>
        <v/>
      </c>
      <c r="M526" s="248" t="str">
        <f>IFERROR(__xludf.DUMMYFUNCTION("VLOOKUP(C526,IMPORTRANGE(""https://docs.google.com/spreadsheets/d/1P8eX0NWBhUPS_hvzA11R6jkTNFrPrRYIx_dX_hYbxrk/edit?resourcekey=0-iw9bsKY2OqkUHCFMkCar3A&amp;gid=2055363397#gid=2055363397"",""MTR!C:O""),11,false)"),"PMW-AS")</f>
        <v>PMW-AS</v>
      </c>
      <c r="N526" s="253" t="str">
        <f>IFERROR(__xludf.DUMMYFUNCTION("VLOOKUP(C526,IMPORTRANGE(""https://docs.google.com/spreadsheets/d/1ihFlp3_ePlYtFuPbUNbYj1muErVpI73WHXbEwJDIA7Q/edit#gid=1493122344"",""MTR!C:O""),8,false)"),"#N/A")</f>
        <v>#N/A</v>
      </c>
      <c r="O526" s="248" t="str">
        <f>IFERROR(__xludf.DUMMYFUNCTION("VLOOKUP(C526,IMPORTRANGE(""https://docs.google.com/spreadsheets/d/1P8eX0NWBhUPS_hvzA11R6jkTNFrPrRYIx_dX_hYbxrk/edit?resourcekey=0-iw9bsKY2OqkUHCFMkCar3A&amp;gid=2055363397#gid=2055363397"",""MTR!C:O""),9,false)"),"NR supports PC2 on bands: n40, n41, n77, n78")</f>
        <v>NR supports PC2 on bands: n40, n41, n77, n78</v>
      </c>
      <c r="P526" s="248"/>
      <c r="Q526" s="248"/>
      <c r="R526" s="248"/>
      <c r="S526" s="154" t="s">
        <v>66</v>
      </c>
      <c r="T526" s="154" t="s">
        <v>66</v>
      </c>
      <c r="U526" s="154" t="s">
        <v>64</v>
      </c>
      <c r="V526" s="154" t="s">
        <v>64</v>
      </c>
      <c r="W526" s="154" t="s">
        <v>64</v>
      </c>
      <c r="X526" s="154" t="s">
        <v>64</v>
      </c>
      <c r="Y526" s="154" t="s">
        <v>66</v>
      </c>
      <c r="Z526" s="154" t="s">
        <v>64</v>
      </c>
      <c r="AA526" s="154" t="s">
        <v>64</v>
      </c>
      <c r="AB526" s="154"/>
      <c r="AC526" s="242" t="b">
        <f t="shared" si="2"/>
        <v>1</v>
      </c>
      <c r="AD526" s="154" t="s">
        <v>445</v>
      </c>
      <c r="AE526" s="243" t="b">
        <f t="shared" si="3"/>
        <v>0</v>
      </c>
      <c r="AF526" s="154"/>
      <c r="AG526" s="243" t="b">
        <f t="shared" si="4"/>
        <v>0</v>
      </c>
      <c r="AH526" s="154" t="s">
        <v>1346</v>
      </c>
      <c r="AI526" s="243" t="str">
        <f t="shared" si="5"/>
        <v>Partially Complies</v>
      </c>
      <c r="AJ526" s="157" t="str">
        <f t="shared" si="6"/>
        <v/>
      </c>
    </row>
    <row r="527" ht="12.75" customHeight="1">
      <c r="A527" s="244" t="s">
        <v>621</v>
      </c>
      <c r="B527" s="244" t="s">
        <v>1339</v>
      </c>
      <c r="C527" s="255" t="s">
        <v>1737</v>
      </c>
      <c r="D527" s="256" t="s">
        <v>42</v>
      </c>
      <c r="E527" s="257" t="s">
        <v>489</v>
      </c>
      <c r="F527" s="154" t="str">
        <f t="array" ref="F527">XLOOKUP(Cover!$D$12,$S$1:$AA$1,$S527:$AA527)</f>
        <v>Recommended</v>
      </c>
      <c r="G527" s="153" t="s">
        <v>1738</v>
      </c>
      <c r="H527" s="154"/>
      <c r="I527" s="154" t="s">
        <v>759</v>
      </c>
      <c r="J527" s="247" t="s">
        <v>617</v>
      </c>
      <c r="K527" s="154"/>
      <c r="L527" s="154" t="str">
        <f t="shared" si="1"/>
        <v/>
      </c>
      <c r="M527" s="253" t="str">
        <f>IFERROR(__xludf.DUMMYFUNCTION("VLOOKUP(C527,IMPORTRANGE(""https://docs.google.com/spreadsheets/d/1P8eX0NWBhUPS_hvzA11R6jkTNFrPrRYIx_dX_hYbxrk/edit?resourcekey=0-iw9bsKY2OqkUHCFMkCar3A&amp;gid=2055363397#gid=2055363397"",""MTR!C:O""),11,false)"),"#N/A")</f>
        <v>#N/A</v>
      </c>
      <c r="N527" s="253" t="str">
        <f>IFERROR(__xludf.DUMMYFUNCTION("VLOOKUP(C527,IMPORTRANGE(""https://docs.google.com/spreadsheets/d/1ihFlp3_ePlYtFuPbUNbYj1muErVpI73WHXbEwJDIA7Q/edit#gid=1493122344"",""MTR!C:O""),8,false)"),"#N/A")</f>
        <v>#N/A</v>
      </c>
      <c r="O527" s="253" t="str">
        <f>IFERROR(__xludf.DUMMYFUNCTION("VLOOKUP(C527,IMPORTRANGE(""https://docs.google.com/spreadsheets/d/1P8eX0NWBhUPS_hvzA11R6jkTNFrPrRYIx_dX_hYbxrk/edit?resourcekey=0-iw9bsKY2OqkUHCFMkCar3A&amp;gid=2055363397#gid=2055363397"",""MTR!C:O""),9,false)"),"#N/A")</f>
        <v>#N/A</v>
      </c>
      <c r="P527" s="253"/>
      <c r="Q527" s="253"/>
      <c r="R527" s="253"/>
      <c r="S527" s="154" t="s">
        <v>66</v>
      </c>
      <c r="T527" s="154" t="s">
        <v>66</v>
      </c>
      <c r="U527" s="154" t="s">
        <v>64</v>
      </c>
      <c r="V527" s="154" t="s">
        <v>64</v>
      </c>
      <c r="W527" s="154" t="s">
        <v>64</v>
      </c>
      <c r="X527" s="154" t="s">
        <v>64</v>
      </c>
      <c r="Y527" s="154" t="s">
        <v>66</v>
      </c>
      <c r="Z527" s="154" t="s">
        <v>64</v>
      </c>
      <c r="AA527" s="154" t="s">
        <v>64</v>
      </c>
      <c r="AB527" s="154"/>
      <c r="AC527" s="242" t="b">
        <f t="shared" si="2"/>
        <v>1</v>
      </c>
      <c r="AD527" s="154" t="s">
        <v>391</v>
      </c>
      <c r="AE527" s="243" t="b">
        <f t="shared" si="3"/>
        <v>0</v>
      </c>
      <c r="AF527" s="154"/>
      <c r="AG527" s="243" t="b">
        <f t="shared" si="4"/>
        <v>0</v>
      </c>
      <c r="AH527" s="154" t="s">
        <v>1346</v>
      </c>
      <c r="AI527" s="243" t="str">
        <f t="shared" si="5"/>
        <v>Partially Complies</v>
      </c>
      <c r="AJ527" s="157" t="str">
        <f t="shared" si="6"/>
        <v/>
      </c>
    </row>
    <row r="528" ht="12.75" customHeight="1">
      <c r="A528" s="244" t="s">
        <v>621</v>
      </c>
      <c r="B528" s="244" t="s">
        <v>1339</v>
      </c>
      <c r="C528" s="255" t="s">
        <v>1739</v>
      </c>
      <c r="D528" s="256" t="s">
        <v>42</v>
      </c>
      <c r="E528" s="257" t="s">
        <v>489</v>
      </c>
      <c r="F528" s="154" t="str">
        <f t="array" ref="F528">XLOOKUP(Cover!$D$12,$S$1:$AA$1,$S528:$AA528)</f>
        <v>Information</v>
      </c>
      <c r="G528" s="153" t="s">
        <v>1740</v>
      </c>
      <c r="H528" s="154"/>
      <c r="I528" s="154" t="s">
        <v>759</v>
      </c>
      <c r="J528" s="247" t="s">
        <v>617</v>
      </c>
      <c r="K528" s="154"/>
      <c r="L528" s="154" t="str">
        <f t="shared" si="1"/>
        <v>Comments Vendor missing!
</v>
      </c>
      <c r="M528" s="253" t="str">
        <f>IFERROR(__xludf.DUMMYFUNCTION("VLOOKUP(C528,IMPORTRANGE(""https://docs.google.com/spreadsheets/d/1P8eX0NWBhUPS_hvzA11R6jkTNFrPrRYIx_dX_hYbxrk/edit?resourcekey=0-iw9bsKY2OqkUHCFMkCar3A&amp;gid=2055363397#gid=2055363397"",""MTR!C:O""),11,false)"),"#N/A")</f>
        <v>#N/A</v>
      </c>
      <c r="N528" s="253" t="str">
        <f>IFERROR(__xludf.DUMMYFUNCTION("VLOOKUP(C528,IMPORTRANGE(""https://docs.google.com/spreadsheets/d/1ihFlp3_ePlYtFuPbUNbYj1muErVpI73WHXbEwJDIA7Q/edit#gid=1493122344"",""MTR!C:O""),8,false)"),"#N/A")</f>
        <v>#N/A</v>
      </c>
      <c r="O528" s="253" t="str">
        <f>IFERROR(__xludf.DUMMYFUNCTION("VLOOKUP(C528,IMPORTRANGE(""https://docs.google.com/spreadsheets/d/1P8eX0NWBhUPS_hvzA11R6jkTNFrPrRYIx_dX_hYbxrk/edit?resourcekey=0-iw9bsKY2OqkUHCFMkCar3A&amp;gid=2055363397#gid=2055363397"",""MTR!C:O""),9,false)"),"#N/A")</f>
        <v>#N/A</v>
      </c>
      <c r="P528" s="253"/>
      <c r="Q528" s="253"/>
      <c r="R528" s="253"/>
      <c r="S528" s="154" t="s">
        <v>66</v>
      </c>
      <c r="T528" s="154" t="s">
        <v>66</v>
      </c>
      <c r="U528" s="154" t="s">
        <v>66</v>
      </c>
      <c r="V528" s="154" t="s">
        <v>66</v>
      </c>
      <c r="W528" s="154" t="s">
        <v>66</v>
      </c>
      <c r="X528" s="154" t="s">
        <v>66</v>
      </c>
      <c r="Y528" s="154" t="s">
        <v>66</v>
      </c>
      <c r="Z528" s="154" t="s">
        <v>66</v>
      </c>
      <c r="AA528" s="154" t="s">
        <v>66</v>
      </c>
      <c r="AB528" s="154"/>
      <c r="AC528" s="242" t="b">
        <f t="shared" si="2"/>
        <v>1</v>
      </c>
      <c r="AD528" s="154"/>
      <c r="AE528" s="243" t="b">
        <f t="shared" si="3"/>
        <v>0</v>
      </c>
      <c r="AF528" s="154"/>
      <c r="AG528" s="243" t="b">
        <f t="shared" si="4"/>
        <v>1</v>
      </c>
      <c r="AH528" s="154" t="s">
        <v>652</v>
      </c>
      <c r="AI528" s="243" t="str">
        <f t="shared" si="5"/>
        <v>Complies</v>
      </c>
      <c r="AJ528" s="157" t="str">
        <f t="shared" si="6"/>
        <v>Comments Vendor missing!
</v>
      </c>
    </row>
    <row r="529" ht="12.75" customHeight="1">
      <c r="A529" s="244" t="s">
        <v>621</v>
      </c>
      <c r="B529" s="244" t="s">
        <v>1339</v>
      </c>
      <c r="C529" s="245" t="s">
        <v>1741</v>
      </c>
      <c r="D529" s="155" t="s">
        <v>1315</v>
      </c>
      <c r="E529" s="246" t="s">
        <v>92</v>
      </c>
      <c r="F529" s="154" t="str">
        <f t="array" ref="F529">XLOOKUP(Cover!$D$12,$S$1:$AA$1,$S529:$AA529)</f>
        <v>Mandatory</v>
      </c>
      <c r="G529" s="153" t="s">
        <v>1742</v>
      </c>
      <c r="H529" s="154" t="s">
        <v>1637</v>
      </c>
      <c r="I529" s="154" t="s">
        <v>759</v>
      </c>
      <c r="J529" s="247" t="s">
        <v>516</v>
      </c>
      <c r="K529" s="154"/>
      <c r="L529" s="154" t="str">
        <f t="shared" si="1"/>
        <v/>
      </c>
      <c r="M529" s="248" t="str">
        <f>IFERROR(__xludf.DUMMYFUNCTION("VLOOKUP(C529,IMPORTRANGE(""https://docs.google.com/spreadsheets/d/1P8eX0NWBhUPS_hvzA11R6jkTNFrPrRYIx_dX_hYbxrk/edit?resourcekey=0-iw9bsKY2OqkUHCFMkCar3A&amp;gid=2055363397#gid=2055363397"",""MTR!C:O""),11,false)"),"PMW-L1")</f>
        <v>PMW-L1</v>
      </c>
      <c r="N529" s="248" t="str">
        <f>IFERROR(__xludf.DUMMYFUNCTION("VLOOKUP(C529,IMPORTRANGE(""https://docs.google.com/spreadsheets/d/1ihFlp3_ePlYtFuPbUNbYj1muErVpI73WHXbEwJDIA7Q/edit#gid=1493122344"",""MTR!C:O""),8,false)"),"Does Not Comply")</f>
        <v>Does Not Comply</v>
      </c>
      <c r="O529" s="248" t="str">
        <f>IFERROR(__xludf.DUMMYFUNCTION("VLOOKUP(C529,IMPORTRANGE(""https://docs.google.com/spreadsheets/d/1P8eX0NWBhUPS_hvzA11R6jkTNFrPrRYIx_dX_hYbxrk/edit?resourcekey=0-iw9bsKY2OqkUHCFMkCar3A&amp;gid=2055363397#gid=2055363397"",""MTR!C:O""),9,false)"),"SA disabled at launch. ")</f>
        <v>SA disabled at launch. </v>
      </c>
      <c r="P529" s="248"/>
      <c r="Q529" s="249" t="s">
        <v>516</v>
      </c>
      <c r="R529" s="248"/>
      <c r="S529" s="154" t="s">
        <v>66</v>
      </c>
      <c r="T529" s="154" t="s">
        <v>66</v>
      </c>
      <c r="U529" s="154" t="s">
        <v>66</v>
      </c>
      <c r="V529" s="154" t="s">
        <v>66</v>
      </c>
      <c r="W529" s="154" t="s">
        <v>60</v>
      </c>
      <c r="X529" s="154" t="s">
        <v>60</v>
      </c>
      <c r="Y529" s="154" t="s">
        <v>66</v>
      </c>
      <c r="Z529" s="154" t="s">
        <v>66</v>
      </c>
      <c r="AA529" s="154" t="s">
        <v>60</v>
      </c>
      <c r="AB529" s="154"/>
      <c r="AC529" s="242" t="b">
        <f t="shared" si="2"/>
        <v>1</v>
      </c>
      <c r="AD529" s="154" t="s">
        <v>445</v>
      </c>
      <c r="AE529" s="243" t="b">
        <f t="shared" si="3"/>
        <v>0</v>
      </c>
      <c r="AF529" s="154"/>
      <c r="AG529" s="243" t="b">
        <f t="shared" si="4"/>
        <v>0</v>
      </c>
      <c r="AH529" s="154" t="s">
        <v>1346</v>
      </c>
      <c r="AI529" s="243" t="str">
        <f t="shared" si="5"/>
        <v>Partially Complies</v>
      </c>
      <c r="AJ529" s="157" t="str">
        <f t="shared" si="6"/>
        <v/>
      </c>
    </row>
    <row r="530" ht="12.75" customHeight="1">
      <c r="A530" s="244" t="s">
        <v>621</v>
      </c>
      <c r="B530" s="244" t="s">
        <v>1339</v>
      </c>
      <c r="C530" s="245" t="s">
        <v>1743</v>
      </c>
      <c r="D530" s="155" t="s">
        <v>1069</v>
      </c>
      <c r="E530" s="246" t="s">
        <v>92</v>
      </c>
      <c r="F530" s="154" t="str">
        <f t="array" ref="F530">XLOOKUP(Cover!$D$12,$S$1:$AA$1,$S530:$AA530)</f>
        <v>Mandatory</v>
      </c>
      <c r="G530" s="153" t="s">
        <v>1744</v>
      </c>
      <c r="H530" s="154" t="s">
        <v>1637</v>
      </c>
      <c r="I530" s="154" t="s">
        <v>759</v>
      </c>
      <c r="J530" s="247" t="s">
        <v>516</v>
      </c>
      <c r="K530" s="154"/>
      <c r="L530" s="154" t="str">
        <f t="shared" si="1"/>
        <v/>
      </c>
      <c r="M530" s="248" t="str">
        <f>IFERROR(__xludf.DUMMYFUNCTION("VLOOKUP(C530,IMPORTRANGE(""https://docs.google.com/spreadsheets/d/1P8eX0NWBhUPS_hvzA11R6jkTNFrPrRYIx_dX_hYbxrk/edit?resourcekey=0-iw9bsKY2OqkUHCFMkCar3A&amp;gid=2055363397#gid=2055363397"",""MTR!C:O""),11,false)"),"PMW-L1")</f>
        <v>PMW-L1</v>
      </c>
      <c r="N530" s="248" t="str">
        <f>IFERROR(__xludf.DUMMYFUNCTION("VLOOKUP(C530,IMPORTRANGE(""https://docs.google.com/spreadsheets/d/1ihFlp3_ePlYtFuPbUNbYj1muErVpI73WHXbEwJDIA7Q/edit#gid=1493122344"",""MTR!C:O""),8,false)"),"Does Not Comply")</f>
        <v>Does Not Comply</v>
      </c>
      <c r="O530" s="248" t="str">
        <f>IFERROR(__xludf.DUMMYFUNCTION("VLOOKUP(C530,IMPORTRANGE(""https://docs.google.com/spreadsheets/d/1P8eX0NWBhUPS_hvzA11R6jkTNFrPrRYIx_dX_hYbxrk/edit?resourcekey=0-iw9bsKY2OqkUHCFMkCar3A&amp;gid=2055363397#gid=2055363397"",""MTR!C:O""),9,false)"),"SA disabled at launch. ")</f>
        <v>SA disabled at launch. </v>
      </c>
      <c r="P530" s="248"/>
      <c r="Q530" s="249" t="s">
        <v>516</v>
      </c>
      <c r="R530" s="248"/>
      <c r="S530" s="154" t="s">
        <v>66</v>
      </c>
      <c r="T530" s="154" t="s">
        <v>66</v>
      </c>
      <c r="U530" s="154" t="s">
        <v>66</v>
      </c>
      <c r="V530" s="154" t="s">
        <v>66</v>
      </c>
      <c r="W530" s="154" t="s">
        <v>60</v>
      </c>
      <c r="X530" s="154" t="s">
        <v>60</v>
      </c>
      <c r="Y530" s="154" t="s">
        <v>66</v>
      </c>
      <c r="Z530" s="154" t="s">
        <v>66</v>
      </c>
      <c r="AA530" s="154" t="s">
        <v>60</v>
      </c>
      <c r="AB530" s="154"/>
      <c r="AC530" s="242" t="b">
        <f t="shared" si="2"/>
        <v>1</v>
      </c>
      <c r="AD530" s="154" t="s">
        <v>445</v>
      </c>
      <c r="AE530" s="243" t="b">
        <f t="shared" si="3"/>
        <v>0</v>
      </c>
      <c r="AF530" s="154"/>
      <c r="AG530" s="243" t="b">
        <f t="shared" si="4"/>
        <v>0</v>
      </c>
      <c r="AH530" s="154" t="s">
        <v>1346</v>
      </c>
      <c r="AI530" s="243" t="str">
        <f t="shared" si="5"/>
        <v>Partially Complies</v>
      </c>
      <c r="AJ530" s="157" t="str">
        <f t="shared" si="6"/>
        <v/>
      </c>
    </row>
    <row r="531" ht="12.75" customHeight="1">
      <c r="A531" s="244" t="s">
        <v>621</v>
      </c>
      <c r="B531" s="244" t="s">
        <v>1339</v>
      </c>
      <c r="C531" s="245" t="s">
        <v>1745</v>
      </c>
      <c r="D531" s="155" t="s">
        <v>1315</v>
      </c>
      <c r="E531" s="246" t="s">
        <v>92</v>
      </c>
      <c r="F531" s="154" t="str">
        <f t="array" ref="F531">XLOOKUP(Cover!$D$12,$S$1:$AA$1,$S531:$AA531)</f>
        <v>Recommended</v>
      </c>
      <c r="G531" s="153" t="s">
        <v>1746</v>
      </c>
      <c r="H531" s="154"/>
      <c r="I531" s="154" t="s">
        <v>759</v>
      </c>
      <c r="J531" s="247" t="s">
        <v>445</v>
      </c>
      <c r="K531" s="247" t="s">
        <v>1747</v>
      </c>
      <c r="L531" s="154" t="str">
        <f t="shared" si="1"/>
        <v/>
      </c>
      <c r="M531" s="248" t="str">
        <f>IFERROR(__xludf.DUMMYFUNCTION("VLOOKUP(C531,IMPORTRANGE(""https://docs.google.com/spreadsheets/d/1P8eX0NWBhUPS_hvzA11R6jkTNFrPrRYIx_dX_hYbxrk/edit?resourcekey=0-iw9bsKY2OqkUHCFMkCar3A&amp;gid=2055363397#gid=2055363397"",""MTR!C:O""),11,false)"),"PMW-L1")</f>
        <v>PMW-L1</v>
      </c>
      <c r="N531" s="248" t="str">
        <f>IFERROR(__xludf.DUMMYFUNCTION("VLOOKUP(C531,IMPORTRANGE(""https://docs.google.com/spreadsheets/d/1ihFlp3_ePlYtFuPbUNbYj1muErVpI73WHXbEwJDIA7Q/edit#gid=1493122344"",""MTR!C:O""),8,false)"),"Complies")</f>
        <v>Complies</v>
      </c>
      <c r="O531" s="241" t="str">
        <f>IFERROR(__xludf.DUMMYFUNCTION("VLOOKUP(C531,IMPORTRANGE(""https://docs.google.com/spreadsheets/d/1P8eX0NWBhUPS_hvzA11R6jkTNFrPrRYIx_dX_hYbxrk/edit?resourcekey=0-iw9bsKY2OqkUHCFMkCar3A&amp;gid=2055363397#gid=2055363397"",""MTR!C:O""),9,false)"),"")</f>
        <v/>
      </c>
      <c r="P531" s="241"/>
      <c r="Q531" s="251" t="s">
        <v>445</v>
      </c>
      <c r="R531" s="241"/>
      <c r="S531" s="154" t="s">
        <v>66</v>
      </c>
      <c r="T531" s="154" t="s">
        <v>66</v>
      </c>
      <c r="U531" s="154" t="s">
        <v>64</v>
      </c>
      <c r="V531" s="154" t="s">
        <v>64</v>
      </c>
      <c r="W531" s="154" t="s">
        <v>64</v>
      </c>
      <c r="X531" s="154" t="s">
        <v>64</v>
      </c>
      <c r="Y531" s="154" t="s">
        <v>66</v>
      </c>
      <c r="Z531" s="154" t="s">
        <v>64</v>
      </c>
      <c r="AA531" s="154" t="s">
        <v>64</v>
      </c>
      <c r="AB531" s="154"/>
      <c r="AC531" s="242" t="b">
        <f t="shared" si="2"/>
        <v>1</v>
      </c>
      <c r="AD531" s="154" t="s">
        <v>391</v>
      </c>
      <c r="AE531" s="243" t="b">
        <f t="shared" si="3"/>
        <v>0</v>
      </c>
      <c r="AF531" s="154"/>
      <c r="AG531" s="243" t="b">
        <f t="shared" si="4"/>
        <v>0</v>
      </c>
      <c r="AH531" s="154" t="s">
        <v>652</v>
      </c>
      <c r="AI531" s="243" t="str">
        <f t="shared" si="5"/>
        <v>Complies</v>
      </c>
      <c r="AJ531" s="157" t="str">
        <f t="shared" si="6"/>
        <v/>
      </c>
    </row>
    <row r="532" ht="12.75" customHeight="1">
      <c r="A532" s="244" t="s">
        <v>621</v>
      </c>
      <c r="B532" s="244" t="s">
        <v>1339</v>
      </c>
      <c r="C532" s="244" t="s">
        <v>1748</v>
      </c>
      <c r="D532" s="154" t="s">
        <v>602</v>
      </c>
      <c r="E532" s="250"/>
      <c r="F532" s="154" t="str">
        <f t="array" ref="F532">XLOOKUP(Cover!$D$12,$S$1:$AA$1,$S532:$AA532)</f>
        <v>Recommended</v>
      </c>
      <c r="G532" s="153" t="s">
        <v>1749</v>
      </c>
      <c r="H532" s="154"/>
      <c r="I532" s="154" t="s">
        <v>759</v>
      </c>
      <c r="J532" s="247" t="s">
        <v>516</v>
      </c>
      <c r="K532" s="154"/>
      <c r="L532" s="154" t="str">
        <f t="shared" si="1"/>
        <v/>
      </c>
      <c r="M532" s="248" t="str">
        <f>IFERROR(__xludf.DUMMYFUNCTION("VLOOKUP(C532,IMPORTRANGE(""https://docs.google.com/spreadsheets/d/1P8eX0NWBhUPS_hvzA11R6jkTNFrPrRYIx_dX_hYbxrk/edit?resourcekey=0-iw9bsKY2OqkUHCFMkCar3A&amp;gid=2055363397#gid=2055363397"",""MTR!C:O""),11,false)"),"PMW-L1")</f>
        <v>PMW-L1</v>
      </c>
      <c r="N532" s="248" t="str">
        <f>IFERROR(__xludf.DUMMYFUNCTION("VLOOKUP(C532,IMPORTRANGE(""https://docs.google.com/spreadsheets/d/1ihFlp3_ePlYtFuPbUNbYj1muErVpI73WHXbEwJDIA7Q/edit#gid=1493122344"",""MTR!C:O""),8,false)"),"Does Not Comply")</f>
        <v>Does Not Comply</v>
      </c>
      <c r="O532" s="241" t="str">
        <f>IFERROR(__xludf.DUMMYFUNCTION("VLOOKUP(C532,IMPORTRANGE(""https://docs.google.com/spreadsheets/d/1P8eX0NWBhUPS_hvzA11R6jkTNFrPrRYIx_dX_hYbxrk/edit?resourcekey=0-iw9bsKY2OqkUHCFMkCar3A&amp;gid=2055363397#gid=2055363397"",""MTR!C:O""),9,false)"),"")</f>
        <v/>
      </c>
      <c r="P532" s="241"/>
      <c r="Q532" s="251" t="s">
        <v>516</v>
      </c>
      <c r="R532" s="241"/>
      <c r="S532" s="154" t="s">
        <v>66</v>
      </c>
      <c r="T532" s="154" t="s">
        <v>66</v>
      </c>
      <c r="U532" s="154" t="s">
        <v>64</v>
      </c>
      <c r="V532" s="154" t="s">
        <v>64</v>
      </c>
      <c r="W532" s="154" t="s">
        <v>64</v>
      </c>
      <c r="X532" s="154" t="s">
        <v>64</v>
      </c>
      <c r="Y532" s="154" t="s">
        <v>66</v>
      </c>
      <c r="Z532" s="154" t="s">
        <v>64</v>
      </c>
      <c r="AA532" s="154" t="s">
        <v>64</v>
      </c>
      <c r="AB532" s="154"/>
      <c r="AC532" s="242" t="b">
        <f t="shared" si="2"/>
        <v>1</v>
      </c>
      <c r="AD532" s="154" t="s">
        <v>445</v>
      </c>
      <c r="AE532" s="243" t="b">
        <f t="shared" si="3"/>
        <v>0</v>
      </c>
      <c r="AF532" s="154"/>
      <c r="AG532" s="243" t="b">
        <f t="shared" si="4"/>
        <v>0</v>
      </c>
      <c r="AH532" s="154" t="s">
        <v>652</v>
      </c>
      <c r="AI532" s="243" t="str">
        <f t="shared" si="5"/>
        <v>Complies</v>
      </c>
      <c r="AJ532" s="157" t="str">
        <f t="shared" si="6"/>
        <v/>
      </c>
    </row>
    <row r="533" ht="12.75" customHeight="1">
      <c r="A533" s="244" t="s">
        <v>621</v>
      </c>
      <c r="B533" s="244" t="s">
        <v>1339</v>
      </c>
      <c r="C533" s="245" t="s">
        <v>1750</v>
      </c>
      <c r="D533" s="155" t="s">
        <v>542</v>
      </c>
      <c r="E533" s="246" t="s">
        <v>92</v>
      </c>
      <c r="F533" s="154" t="str">
        <f t="array" ref="F533">XLOOKUP(Cover!$D$12,$S$1:$AA$1,$S533:$AA533)</f>
        <v>Mandatory</v>
      </c>
      <c r="G533" s="153" t="s">
        <v>1751</v>
      </c>
      <c r="H533" s="154" t="s">
        <v>1637</v>
      </c>
      <c r="I533" s="154" t="s">
        <v>759</v>
      </c>
      <c r="J533" s="247" t="s">
        <v>516</v>
      </c>
      <c r="K533" s="247" t="s">
        <v>1752</v>
      </c>
      <c r="L533" s="154" t="str">
        <f t="shared" si="1"/>
        <v/>
      </c>
      <c r="M533" s="248" t="str">
        <f>IFERROR(__xludf.DUMMYFUNCTION("VLOOKUP(C533,IMPORTRANGE(""https://docs.google.com/spreadsheets/d/1P8eX0NWBhUPS_hvzA11R6jkTNFrPrRYIx_dX_hYbxrk/edit?resourcekey=0-iw9bsKY2OqkUHCFMkCar3A&amp;gid=2055363397#gid=2055363397"",""MTR!C:O""),11,false)"),"PMW-L1")</f>
        <v>PMW-L1</v>
      </c>
      <c r="N533" s="248" t="str">
        <f>IFERROR(__xludf.DUMMYFUNCTION("VLOOKUP(C533,IMPORTRANGE(""https://docs.google.com/spreadsheets/d/1ihFlp3_ePlYtFuPbUNbYj1muErVpI73WHXbEwJDIA7Q/edit#gid=1493122344"",""MTR!C:O""),8,false)"),"Complies")</f>
        <v>Complies</v>
      </c>
      <c r="O533" s="248" t="str">
        <f>IFERROR(__xludf.DUMMYFUNCTION("VLOOKUP(C533,IMPORTRANGE(""https://docs.google.com/spreadsheets/d/1P8eX0NWBhUPS_hvzA11R6jkTNFrPrRYIx_dX_hYbxrk/edit?resourcekey=0-iw9bsKY2OqkUHCFMkCar3A&amp;gid=2055363397#gid=2055363397"",""MTR!C:O""),9,false)"),"SA/non-UL CA: 
n41 (PC3/path), 
n48 (20dBm/path),
n77, n78 (PC3/path)")</f>
        <v>SA/non-UL CA: 
n41 (PC3/path), 
n48 (20dBm/path),
n77, n78 (PC3/path)</v>
      </c>
      <c r="P533" s="248"/>
      <c r="Q533" s="249" t="s">
        <v>445</v>
      </c>
      <c r="R533" s="249" t="s">
        <v>1753</v>
      </c>
      <c r="S533" s="154" t="s">
        <v>66</v>
      </c>
      <c r="T533" s="154" t="s">
        <v>66</v>
      </c>
      <c r="U533" s="154" t="s">
        <v>66</v>
      </c>
      <c r="V533" s="154" t="s">
        <v>66</v>
      </c>
      <c r="W533" s="154" t="s">
        <v>60</v>
      </c>
      <c r="X533" s="154" t="s">
        <v>60</v>
      </c>
      <c r="Y533" s="154" t="s">
        <v>66</v>
      </c>
      <c r="Z533" s="154" t="s">
        <v>66</v>
      </c>
      <c r="AA533" s="154" t="s">
        <v>60</v>
      </c>
      <c r="AB533" s="154"/>
      <c r="AC533" s="242" t="b">
        <f t="shared" si="2"/>
        <v>1</v>
      </c>
      <c r="AD533" s="154" t="s">
        <v>445</v>
      </c>
      <c r="AE533" s="243" t="b">
        <f t="shared" si="3"/>
        <v>0</v>
      </c>
      <c r="AF533" s="154"/>
      <c r="AG533" s="243" t="b">
        <f t="shared" si="4"/>
        <v>0</v>
      </c>
      <c r="AH533" s="154" t="s">
        <v>652</v>
      </c>
      <c r="AI533" s="243" t="str">
        <f t="shared" si="5"/>
        <v>Complies</v>
      </c>
      <c r="AJ533" s="157" t="str">
        <f t="shared" si="6"/>
        <v/>
      </c>
    </row>
    <row r="534" ht="12.75" customHeight="1">
      <c r="A534" s="244" t="s">
        <v>621</v>
      </c>
      <c r="B534" s="244" t="s">
        <v>1339</v>
      </c>
      <c r="C534" s="245" t="s">
        <v>1754</v>
      </c>
      <c r="D534" s="155" t="s">
        <v>542</v>
      </c>
      <c r="E534" s="246" t="s">
        <v>92</v>
      </c>
      <c r="F534" s="154" t="str">
        <f t="array" ref="F534">XLOOKUP(Cover!$D$12,$S$1:$AA$1,$S534:$AA534)</f>
        <v>Mandatory</v>
      </c>
      <c r="G534" s="153" t="s">
        <v>1755</v>
      </c>
      <c r="H534" s="154" t="s">
        <v>232</v>
      </c>
      <c r="I534" s="154" t="s">
        <v>759</v>
      </c>
      <c r="J534" s="247" t="s">
        <v>516</v>
      </c>
      <c r="K534" s="247" t="s">
        <v>1756</v>
      </c>
      <c r="L534" s="154" t="str">
        <f t="shared" si="1"/>
        <v/>
      </c>
      <c r="M534" s="248" t="str">
        <f>IFERROR(__xludf.DUMMYFUNCTION("VLOOKUP(C534,IMPORTRANGE(""https://docs.google.com/spreadsheets/d/1P8eX0NWBhUPS_hvzA11R6jkTNFrPrRYIx_dX_hYbxrk/edit?resourcekey=0-iw9bsKY2OqkUHCFMkCar3A&amp;gid=2055363397#gid=2055363397"",""MTR!C:O""),11,false)"),"PMW-MCE-AS")</f>
        <v>PMW-MCE-AS</v>
      </c>
      <c r="N534" s="248" t="str">
        <f>IFERROR(__xludf.DUMMYFUNCTION("VLOOKUP(C534,IMPORTRANGE(""https://docs.google.com/spreadsheets/d/1ihFlp3_ePlYtFuPbUNbYj1muErVpI73WHXbEwJDIA7Q/edit#gid=1493122344"",""MTR!C:O""),8,false)"),"Partially Complies")</f>
        <v>Partially Complies</v>
      </c>
      <c r="O534" s="248" t="str">
        <f>IFERROR(__xludf.DUMMYFUNCTION("VLOOKUP(C534,IMPORTRANGE(""https://docs.google.com/spreadsheets/d/1P8eX0NWBhUPS_hvzA11R6jkTNFrPrRYIx_dX_hYbxrk/edit?resourcekey=0-iw9bsKY2OqkUHCFMkCar3A&amp;gid=2055363397#gid=2055363397"",""MTR!C:O""),9,false)"),"SRS 2T4R supports for NSA n78. N38 didn't support SRS.
")</f>
        <v>SRS 2T4R supports for NSA n78. N38 didn't support SRS.
</v>
      </c>
      <c r="P534" s="248"/>
      <c r="Q534" s="249" t="s">
        <v>506</v>
      </c>
      <c r="R534" s="249" t="s">
        <v>1757</v>
      </c>
      <c r="S534" s="154" t="s">
        <v>66</v>
      </c>
      <c r="T534" s="154" t="s">
        <v>66</v>
      </c>
      <c r="U534" s="154" t="s">
        <v>60</v>
      </c>
      <c r="V534" s="154" t="s">
        <v>60</v>
      </c>
      <c r="W534" s="154" t="s">
        <v>60</v>
      </c>
      <c r="X534" s="154" t="s">
        <v>60</v>
      </c>
      <c r="Y534" s="154" t="s">
        <v>66</v>
      </c>
      <c r="Z534" s="154" t="s">
        <v>60</v>
      </c>
      <c r="AA534" s="154" t="s">
        <v>60</v>
      </c>
      <c r="AB534" s="154"/>
      <c r="AC534" s="242" t="b">
        <f t="shared" si="2"/>
        <v>1</v>
      </c>
      <c r="AD534" s="154" t="s">
        <v>516</v>
      </c>
      <c r="AE534" s="243" t="b">
        <f t="shared" si="3"/>
        <v>0</v>
      </c>
      <c r="AF534" s="154" t="s">
        <v>1758</v>
      </c>
      <c r="AG534" s="243" t="b">
        <f t="shared" si="4"/>
        <v>0</v>
      </c>
      <c r="AH534" s="154" t="s">
        <v>652</v>
      </c>
      <c r="AI534" s="243" t="str">
        <f t="shared" si="5"/>
        <v>Complies</v>
      </c>
      <c r="AJ534" s="157" t="str">
        <f t="shared" si="6"/>
        <v/>
      </c>
    </row>
    <row r="535" ht="12.75" customHeight="1">
      <c r="A535" s="244" t="s">
        <v>621</v>
      </c>
      <c r="B535" s="244" t="s">
        <v>1339</v>
      </c>
      <c r="C535" s="245" t="s">
        <v>1759</v>
      </c>
      <c r="D535" s="155" t="s">
        <v>542</v>
      </c>
      <c r="E535" s="246" t="s">
        <v>92</v>
      </c>
      <c r="F535" s="154" t="str">
        <f t="array" ref="F535">XLOOKUP(Cover!$D$12,$S$1:$AA$1,$S535:$AA535)</f>
        <v>Mandatory</v>
      </c>
      <c r="G535" s="153" t="s">
        <v>1760</v>
      </c>
      <c r="H535" s="154" t="s">
        <v>232</v>
      </c>
      <c r="I535" s="154" t="s">
        <v>759</v>
      </c>
      <c r="J535" s="247" t="s">
        <v>445</v>
      </c>
      <c r="K535" s="247" t="s">
        <v>1761</v>
      </c>
      <c r="L535" s="154" t="str">
        <f t="shared" si="1"/>
        <v/>
      </c>
      <c r="M535" s="248" t="str">
        <f>IFERROR(__xludf.DUMMYFUNCTION("VLOOKUP(C535,IMPORTRANGE(""https://docs.google.com/spreadsheets/d/1P8eX0NWBhUPS_hvzA11R6jkTNFrPrRYIx_dX_hYbxrk/edit?resourcekey=0-iw9bsKY2OqkUHCFMkCar3A&amp;gid=2055363397#gid=2055363397"",""MTR!C:O""),11,false)"),"PMW-MCE-AS")</f>
        <v>PMW-MCE-AS</v>
      </c>
      <c r="N535" s="248" t="str">
        <f>IFERROR(__xludf.DUMMYFUNCTION("VLOOKUP(C535,IMPORTRANGE(""https://docs.google.com/spreadsheets/d/1ihFlp3_ePlYtFuPbUNbYj1muErVpI73WHXbEwJDIA7Q/edit#gid=1493122344"",""MTR!C:O""),8,false)"),"Complies")</f>
        <v>Complies</v>
      </c>
      <c r="O535" s="248" t="str">
        <f>IFERROR(__xludf.DUMMYFUNCTION("VLOOKUP(C535,IMPORTRANGE(""https://docs.google.com/spreadsheets/d/1P8eX0NWBhUPS_hvzA11R6jkTNFrPrRYIx_dX_hYbxrk/edit?resourcekey=0-iw9bsKY2OqkUHCFMkCar3A&amp;gid=2055363397#gid=2055363397"",""MTR!C:O""),9,false)"),"UL Tx antenna switching is supported with the capacity of 2 antennas to be used for switching depending on the mode and proprietary implementations.")</f>
        <v>UL Tx antenna switching is supported with the capacity of 2 antennas to be used for switching depending on the mode and proprietary implementations.</v>
      </c>
      <c r="P535" s="248"/>
      <c r="Q535" s="249" t="s">
        <v>445</v>
      </c>
      <c r="R535" s="249" t="s">
        <v>1761</v>
      </c>
      <c r="S535" s="154" t="s">
        <v>66</v>
      </c>
      <c r="T535" s="154" t="s">
        <v>66</v>
      </c>
      <c r="U535" s="154" t="s">
        <v>60</v>
      </c>
      <c r="V535" s="154" t="s">
        <v>60</v>
      </c>
      <c r="W535" s="154" t="s">
        <v>60</v>
      </c>
      <c r="X535" s="154" t="s">
        <v>60</v>
      </c>
      <c r="Y535" s="154" t="s">
        <v>66</v>
      </c>
      <c r="Z535" s="154" t="s">
        <v>60</v>
      </c>
      <c r="AA535" s="154" t="s">
        <v>60</v>
      </c>
      <c r="AB535" s="154"/>
      <c r="AC535" s="242" t="b">
        <f t="shared" si="2"/>
        <v>1</v>
      </c>
      <c r="AD535" s="154" t="s">
        <v>445</v>
      </c>
      <c r="AE535" s="243" t="b">
        <f t="shared" si="3"/>
        <v>0</v>
      </c>
      <c r="AF535" s="154"/>
      <c r="AG535" s="243" t="b">
        <f t="shared" si="4"/>
        <v>0</v>
      </c>
      <c r="AH535" s="154" t="s">
        <v>652</v>
      </c>
      <c r="AI535" s="243" t="str">
        <f t="shared" si="5"/>
        <v>Complies</v>
      </c>
      <c r="AJ535" s="157" t="str">
        <f t="shared" si="6"/>
        <v/>
      </c>
    </row>
    <row r="536" ht="12.75" customHeight="1">
      <c r="A536" s="244" t="s">
        <v>621</v>
      </c>
      <c r="B536" s="244" t="s">
        <v>1339</v>
      </c>
      <c r="C536" s="244" t="s">
        <v>1762</v>
      </c>
      <c r="D536" s="154" t="s">
        <v>503</v>
      </c>
      <c r="E536" s="250"/>
      <c r="F536" s="154" t="str">
        <f t="array" ref="F536">XLOOKUP(Cover!$D$12,$S$1:$AA$1,$S536:$AA536)</f>
        <v>Recommended</v>
      </c>
      <c r="G536" s="254" t="s">
        <v>1763</v>
      </c>
      <c r="H536" s="154" t="s">
        <v>234</v>
      </c>
      <c r="I536" s="154" t="s">
        <v>759</v>
      </c>
      <c r="J536" s="247" t="s">
        <v>506</v>
      </c>
      <c r="K536" s="247" t="s">
        <v>1642</v>
      </c>
      <c r="L536" s="154" t="str">
        <f t="shared" si="1"/>
        <v/>
      </c>
      <c r="M536" s="248" t="str">
        <f>IFERROR(__xludf.DUMMYFUNCTION("VLOOKUP(C536,IMPORTRANGE(""https://docs.google.com/spreadsheets/d/1P8eX0NWBhUPS_hvzA11R6jkTNFrPrRYIx_dX_hYbxrk/edit?resourcekey=0-iw9bsKY2OqkUHCFMkCar3A&amp;gid=2055363397#gid=2055363397"",""MTR!C:O""),11,false)"),"PMW-MCE-AS")</f>
        <v>PMW-MCE-AS</v>
      </c>
      <c r="N536" s="248" t="str">
        <f>IFERROR(__xludf.DUMMYFUNCTION("VLOOKUP(C536,IMPORTRANGE(""https://docs.google.com/spreadsheets/d/1ihFlp3_ePlYtFuPbUNbYj1muErVpI73WHXbEwJDIA7Q/edit#gid=1493122344"",""MTR!C:O""),8,false)"),"Does Not Comply")</f>
        <v>Does Not Comply</v>
      </c>
      <c r="O536" s="248" t="str">
        <f>IFERROR(__xludf.DUMMYFUNCTION("VLOOKUP(C536,IMPORTRANGE(""https://docs.google.com/spreadsheets/d/1P8eX0NWBhUPS_hvzA11R6jkTNFrPrRYIx_dX_hYbxrk/edit?resourcekey=0-iw9bsKY2OqkUHCFMkCar3A&amp;gid=2055363397#gid=2055363397"",""MTR!C:O""),9,false)"),"SA disabled at launch. Reach out to TAM to get this feature enabled when SA is supported.")</f>
        <v>SA disabled at launch. Reach out to TAM to get this feature enabled when SA is supported.</v>
      </c>
      <c r="P536" s="248"/>
      <c r="Q536" s="249" t="s">
        <v>516</v>
      </c>
      <c r="R536" s="249" t="s">
        <v>1642</v>
      </c>
      <c r="S536" s="154" t="s">
        <v>66</v>
      </c>
      <c r="T536" s="154" t="s">
        <v>66</v>
      </c>
      <c r="U536" s="154" t="s">
        <v>64</v>
      </c>
      <c r="V536" s="154" t="s">
        <v>64</v>
      </c>
      <c r="W536" s="154" t="s">
        <v>64</v>
      </c>
      <c r="X536" s="154" t="s">
        <v>64</v>
      </c>
      <c r="Y536" s="154" t="s">
        <v>66</v>
      </c>
      <c r="Z536" s="154" t="s">
        <v>64</v>
      </c>
      <c r="AA536" s="154" t="s">
        <v>64</v>
      </c>
      <c r="AB536" s="154"/>
      <c r="AC536" s="242" t="b">
        <f t="shared" si="2"/>
        <v>1</v>
      </c>
      <c r="AD536" s="154" t="s">
        <v>391</v>
      </c>
      <c r="AE536" s="243" t="b">
        <f t="shared" si="3"/>
        <v>0</v>
      </c>
      <c r="AF536" s="154"/>
      <c r="AG536" s="243" t="b">
        <f t="shared" si="4"/>
        <v>0</v>
      </c>
      <c r="AH536" s="154"/>
      <c r="AI536" s="243" t="str">
        <f t="shared" si="5"/>
        <v>N/A</v>
      </c>
      <c r="AJ536" s="157" t="str">
        <f t="shared" si="6"/>
        <v/>
      </c>
    </row>
    <row r="537" ht="12.75" customHeight="1">
      <c r="A537" s="238" t="s">
        <v>621</v>
      </c>
      <c r="B537" s="238" t="s">
        <v>1339</v>
      </c>
      <c r="C537" s="238" t="s">
        <v>1764</v>
      </c>
      <c r="D537" s="240"/>
      <c r="E537" s="252" t="s">
        <v>92</v>
      </c>
      <c r="F537" s="154" t="str">
        <f t="array" ref="F537">XLOOKUP(Cover!$D$12,$S$1:$AA$1,$S537:$AA537)</f>
        <v>Heading</v>
      </c>
      <c r="G537" s="239" t="s">
        <v>1765</v>
      </c>
      <c r="H537" s="240"/>
      <c r="I537" s="240" t="s">
        <v>759</v>
      </c>
      <c r="J537" s="240"/>
      <c r="K537" s="240"/>
      <c r="L537" s="154" t="str">
        <f t="shared" si="1"/>
        <v/>
      </c>
      <c r="M537" s="241" t="str">
        <f>IFERROR(__xludf.DUMMYFUNCTION("VLOOKUP(C537,IMPORTRANGE(""https://docs.google.com/spreadsheets/d/1P8eX0NWBhUPS_hvzA11R6jkTNFrPrRYIx_dX_hYbxrk/edit?resourcekey=0-iw9bsKY2OqkUHCFMkCar3A&amp;gid=2055363397#gid=2055363397"",""MTR!C:O""),11,false)"),"")</f>
        <v/>
      </c>
      <c r="N537" s="241" t="str">
        <f>IFERROR(__xludf.DUMMYFUNCTION("VLOOKUP(C537,IMPORTRANGE(""https://docs.google.com/spreadsheets/d/1ihFlp3_ePlYtFuPbUNbYj1muErVpI73WHXbEwJDIA7Q/edit#gid=1493122344"",""MTR!C:O""),8,false)"),"")</f>
        <v/>
      </c>
      <c r="O537" s="241" t="str">
        <f>IFERROR(__xludf.DUMMYFUNCTION("VLOOKUP(C537,IMPORTRANGE(""https://docs.google.com/spreadsheets/d/1P8eX0NWBhUPS_hvzA11R6jkTNFrPrRYIx_dX_hYbxrk/edit?resourcekey=0-iw9bsKY2OqkUHCFMkCar3A&amp;gid=2055363397#gid=2055363397"",""MTR!C:O""),9,false)"),"")</f>
        <v/>
      </c>
      <c r="P537" s="241"/>
      <c r="Q537" s="241"/>
      <c r="R537" s="241"/>
      <c r="S537" s="240" t="s">
        <v>390</v>
      </c>
      <c r="T537" s="240" t="s">
        <v>390</v>
      </c>
      <c r="U537" s="240" t="s">
        <v>390</v>
      </c>
      <c r="V537" s="240" t="s">
        <v>390</v>
      </c>
      <c r="W537" s="240" t="s">
        <v>390</v>
      </c>
      <c r="X537" s="240" t="s">
        <v>390</v>
      </c>
      <c r="Y537" s="240" t="s">
        <v>390</v>
      </c>
      <c r="Z537" s="240" t="s">
        <v>390</v>
      </c>
      <c r="AA537" s="240" t="s">
        <v>390</v>
      </c>
      <c r="AB537" s="240"/>
      <c r="AC537" s="242" t="b">
        <f t="shared" si="2"/>
        <v>0</v>
      </c>
      <c r="AD537" s="240" t="s">
        <v>391</v>
      </c>
      <c r="AE537" s="243" t="b">
        <f t="shared" si="3"/>
        <v>0</v>
      </c>
      <c r="AF537" s="240"/>
      <c r="AG537" s="243" t="b">
        <f t="shared" si="4"/>
        <v>0</v>
      </c>
      <c r="AH537" s="240"/>
      <c r="AI537" s="243" t="str">
        <f t="shared" si="5"/>
        <v>N/A</v>
      </c>
      <c r="AJ537" s="157" t="str">
        <f t="shared" si="6"/>
        <v/>
      </c>
    </row>
    <row r="538" ht="12.75" customHeight="1">
      <c r="A538" s="244" t="s">
        <v>621</v>
      </c>
      <c r="B538" s="244" t="s">
        <v>1339</v>
      </c>
      <c r="C538" s="245" t="s">
        <v>1766</v>
      </c>
      <c r="D538" s="155" t="s">
        <v>1315</v>
      </c>
      <c r="E538" s="246" t="s">
        <v>92</v>
      </c>
      <c r="F538" s="154" t="str">
        <f t="array" ref="F538">XLOOKUP(Cover!$D$12,$S$1:$AA$1,$S538:$AA538)</f>
        <v>Mandatory</v>
      </c>
      <c r="G538" s="153" t="s">
        <v>1767</v>
      </c>
      <c r="H538" s="154" t="s">
        <v>234</v>
      </c>
      <c r="I538" s="154" t="s">
        <v>759</v>
      </c>
      <c r="J538" s="247" t="s">
        <v>516</v>
      </c>
      <c r="K538" s="247" t="s">
        <v>1768</v>
      </c>
      <c r="L538" s="154" t="str">
        <f t="shared" si="1"/>
        <v/>
      </c>
      <c r="M538" s="248" t="str">
        <f>IFERROR(__xludf.DUMMYFUNCTION("VLOOKUP(C538,IMPORTRANGE(""https://docs.google.com/spreadsheets/d/1P8eX0NWBhUPS_hvzA11R6jkTNFrPrRYIx_dX_hYbxrk/edit?resourcekey=0-iw9bsKY2OqkUHCFMkCar3A&amp;gid=2055363397#gid=2055363397"",""MTR!C:O""),11,false)"),"PMW-MCE-AS")</f>
        <v>PMW-MCE-AS</v>
      </c>
      <c r="N538" s="248" t="str">
        <f>IFERROR(__xludf.DUMMYFUNCTION("VLOOKUP(C538,IMPORTRANGE(""https://docs.google.com/spreadsheets/d/1ihFlp3_ePlYtFuPbUNbYj1muErVpI73WHXbEwJDIA7Q/edit#gid=1493122344"",""MTR!C:O""),8,false)"),"Does Not Comply")</f>
        <v>Does Not Comply</v>
      </c>
      <c r="O538" s="248" t="str">
        <f>IFERROR(__xludf.DUMMYFUNCTION("VLOOKUP(C538,IMPORTRANGE(""https://docs.google.com/spreadsheets/d/1P8eX0NWBhUPS_hvzA11R6jkTNFrPrRYIx_dX_hYbxrk/edit?resourcekey=0-iw9bsKY2OqkUHCFMkCar3A&amp;gid=2055363397#gid=2055363397"",""MTR!C:O""),9,false)"),"5G SA default disabled.")</f>
        <v>5G SA default disabled.</v>
      </c>
      <c r="P538" s="248"/>
      <c r="Q538" s="249" t="s">
        <v>516</v>
      </c>
      <c r="R538" s="249" t="s">
        <v>1642</v>
      </c>
      <c r="S538" s="154" t="s">
        <v>66</v>
      </c>
      <c r="T538" s="154" t="s">
        <v>66</v>
      </c>
      <c r="U538" s="154" t="s">
        <v>60</v>
      </c>
      <c r="V538" s="154" t="s">
        <v>60</v>
      </c>
      <c r="W538" s="154" t="s">
        <v>60</v>
      </c>
      <c r="X538" s="154" t="s">
        <v>60</v>
      </c>
      <c r="Y538" s="154" t="s">
        <v>66</v>
      </c>
      <c r="Z538" s="154" t="s">
        <v>60</v>
      </c>
      <c r="AA538" s="154" t="s">
        <v>60</v>
      </c>
      <c r="AB538" s="154"/>
      <c r="AC538" s="242" t="b">
        <f t="shared" si="2"/>
        <v>1</v>
      </c>
      <c r="AD538" s="154" t="s">
        <v>445</v>
      </c>
      <c r="AE538" s="243" t="b">
        <f t="shared" si="3"/>
        <v>0</v>
      </c>
      <c r="AF538" s="154" t="s">
        <v>1769</v>
      </c>
      <c r="AG538" s="243" t="b">
        <f t="shared" si="4"/>
        <v>0</v>
      </c>
      <c r="AH538" s="154" t="s">
        <v>652</v>
      </c>
      <c r="AI538" s="243" t="str">
        <f t="shared" si="5"/>
        <v>Complies</v>
      </c>
      <c r="AJ538" s="157" t="str">
        <f t="shared" si="6"/>
        <v/>
      </c>
    </row>
    <row r="539" ht="12.75" customHeight="1">
      <c r="A539" s="244" t="s">
        <v>621</v>
      </c>
      <c r="B539" s="244" t="s">
        <v>1339</v>
      </c>
      <c r="C539" s="255" t="s">
        <v>1770</v>
      </c>
      <c r="D539" s="256" t="s">
        <v>42</v>
      </c>
      <c r="E539" s="257" t="s">
        <v>489</v>
      </c>
      <c r="F539" s="154" t="str">
        <f t="array" ref="F539">XLOOKUP(Cover!$D$12,$S$1:$AA$1,$S539:$AA539)</f>
        <v>Mandatory</v>
      </c>
      <c r="G539" s="254" t="s">
        <v>1771</v>
      </c>
      <c r="H539" s="154" t="s">
        <v>1018</v>
      </c>
      <c r="I539" s="154" t="s">
        <v>759</v>
      </c>
      <c r="J539" s="247" t="s">
        <v>516</v>
      </c>
      <c r="K539" s="247" t="s">
        <v>1768</v>
      </c>
      <c r="L539" s="154" t="str">
        <f t="shared" si="1"/>
        <v/>
      </c>
      <c r="M539" s="253" t="str">
        <f>IFERROR(__xludf.DUMMYFUNCTION("VLOOKUP(C539,IMPORTRANGE(""https://docs.google.com/spreadsheets/d/1P8eX0NWBhUPS_hvzA11R6jkTNFrPrRYIx_dX_hYbxrk/edit?resourcekey=0-iw9bsKY2OqkUHCFMkCar3A&amp;gid=2055363397#gid=2055363397"",""MTR!C:O""),11,false)"),"#N/A")</f>
        <v>#N/A</v>
      </c>
      <c r="N539" s="253" t="str">
        <f>IFERROR(__xludf.DUMMYFUNCTION("VLOOKUP(C539,IMPORTRANGE(""https://docs.google.com/spreadsheets/d/1ihFlp3_ePlYtFuPbUNbYj1muErVpI73WHXbEwJDIA7Q/edit#gid=1493122344"",""MTR!C:O""),8,false)"),"#N/A")</f>
        <v>#N/A</v>
      </c>
      <c r="O539" s="253" t="str">
        <f>IFERROR(__xludf.DUMMYFUNCTION("VLOOKUP(C539,IMPORTRANGE(""https://docs.google.com/spreadsheets/d/1P8eX0NWBhUPS_hvzA11R6jkTNFrPrRYIx_dX_hYbxrk/edit?resourcekey=0-iw9bsKY2OqkUHCFMkCar3A&amp;gid=2055363397#gid=2055363397"",""MTR!C:O""),9,false)"),"#N/A")</f>
        <v>#N/A</v>
      </c>
      <c r="P539" s="253"/>
      <c r="Q539" s="253"/>
      <c r="R539" s="253"/>
      <c r="S539" s="154" t="s">
        <v>66</v>
      </c>
      <c r="T539" s="154" t="s">
        <v>66</v>
      </c>
      <c r="U539" s="154" t="s">
        <v>66</v>
      </c>
      <c r="V539" s="154" t="s">
        <v>66</v>
      </c>
      <c r="W539" s="154" t="s">
        <v>60</v>
      </c>
      <c r="X539" s="154" t="s">
        <v>60</v>
      </c>
      <c r="Y539" s="154" t="s">
        <v>66</v>
      </c>
      <c r="Z539" s="154" t="s">
        <v>66</v>
      </c>
      <c r="AA539" s="154" t="s">
        <v>60</v>
      </c>
      <c r="AB539" s="154"/>
      <c r="AC539" s="242" t="b">
        <f t="shared" si="2"/>
        <v>1</v>
      </c>
      <c r="AD539" s="154" t="s">
        <v>445</v>
      </c>
      <c r="AE539" s="243" t="b">
        <f t="shared" si="3"/>
        <v>0</v>
      </c>
      <c r="AF539" s="154" t="s">
        <v>1769</v>
      </c>
      <c r="AG539" s="243" t="b">
        <f t="shared" si="4"/>
        <v>0</v>
      </c>
      <c r="AH539" s="154"/>
      <c r="AI539" s="243" t="str">
        <f t="shared" si="5"/>
        <v>N/A</v>
      </c>
      <c r="AJ539" s="157" t="str">
        <f t="shared" si="6"/>
        <v/>
      </c>
    </row>
    <row r="540" ht="12.75" customHeight="1">
      <c r="A540" s="244" t="s">
        <v>621</v>
      </c>
      <c r="B540" s="244" t="s">
        <v>1339</v>
      </c>
      <c r="C540" s="245" t="s">
        <v>1772</v>
      </c>
      <c r="D540" s="155" t="s">
        <v>1773</v>
      </c>
      <c r="E540" s="246" t="s">
        <v>92</v>
      </c>
      <c r="F540" s="154" t="str">
        <f t="array" ref="F540">XLOOKUP(Cover!$D$12,$S$1:$AA$1,$S540:$AA540)</f>
        <v>Recommended</v>
      </c>
      <c r="G540" s="254" t="s">
        <v>1774</v>
      </c>
      <c r="H540" s="154"/>
      <c r="I540" s="154" t="s">
        <v>759</v>
      </c>
      <c r="J540" s="247" t="s">
        <v>506</v>
      </c>
      <c r="K540" s="154" t="s">
        <v>1775</v>
      </c>
      <c r="L540" s="154" t="str">
        <f t="shared" si="1"/>
        <v/>
      </c>
      <c r="M540" s="248" t="str">
        <f>IFERROR(__xludf.DUMMYFUNCTION("VLOOKUP(C540,IMPORTRANGE(""https://docs.google.com/spreadsheets/d/1P8eX0NWBhUPS_hvzA11R6jkTNFrPrRYIx_dX_hYbxrk/edit?resourcekey=0-iw9bsKY2OqkUHCFMkCar3A&amp;gid=2055363397#gid=2055363397"",""MTR!C:O""),11,false)"),"PMW-MCE-AS")</f>
        <v>PMW-MCE-AS</v>
      </c>
      <c r="N540" s="248" t="str">
        <f>IFERROR(__xludf.DUMMYFUNCTION("VLOOKUP(C540,IMPORTRANGE(""https://docs.google.com/spreadsheets/d/1ihFlp3_ePlYtFuPbUNbYj1muErVpI73WHXbEwJDIA7Q/edit#gid=1493122344"",""MTR!C:O""),8,false)"),"Complies")</f>
        <v>Complies</v>
      </c>
      <c r="O540" s="248" t="str">
        <f>IFERROR(__xludf.DUMMYFUNCTION("VLOOKUP(C540,IMPORTRANGE(""https://docs.google.com/spreadsheets/d/1P8eX0NWBhUPS_hvzA11R6jkTNFrPrRYIx_dX_hYbxrk/edit?resourcekey=0-iw9bsKY2OqkUHCFMkCar3A&amp;gid=2055363397#gid=2055363397"",""MTR!C:O""),9,false)"),"SA disabled at launch. Reach out to TAM to get this feature enabled when SA is supported.")</f>
        <v>SA disabled at launch. Reach out to TAM to get this feature enabled when SA is supported.</v>
      </c>
      <c r="P540" s="248"/>
      <c r="Q540" s="249" t="s">
        <v>445</v>
      </c>
      <c r="R540" s="248"/>
      <c r="S540" s="154" t="s">
        <v>66</v>
      </c>
      <c r="T540" s="154" t="s">
        <v>66</v>
      </c>
      <c r="U540" s="154" t="s">
        <v>64</v>
      </c>
      <c r="V540" s="154" t="s">
        <v>64</v>
      </c>
      <c r="W540" s="154" t="s">
        <v>64</v>
      </c>
      <c r="X540" s="154" t="s">
        <v>64</v>
      </c>
      <c r="Y540" s="154" t="s">
        <v>66</v>
      </c>
      <c r="Z540" s="154" t="s">
        <v>64</v>
      </c>
      <c r="AA540" s="154" t="s">
        <v>64</v>
      </c>
      <c r="AB540" s="154"/>
      <c r="AC540" s="242" t="b">
        <f t="shared" si="2"/>
        <v>1</v>
      </c>
      <c r="AD540" s="154" t="s">
        <v>445</v>
      </c>
      <c r="AE540" s="243" t="b">
        <f t="shared" si="3"/>
        <v>0</v>
      </c>
      <c r="AF540" s="154"/>
      <c r="AG540" s="243" t="b">
        <f t="shared" si="4"/>
        <v>0</v>
      </c>
      <c r="AH540" s="154" t="s">
        <v>652</v>
      </c>
      <c r="AI540" s="243" t="str">
        <f t="shared" si="5"/>
        <v>Complies</v>
      </c>
      <c r="AJ540" s="157" t="str">
        <f t="shared" si="6"/>
        <v/>
      </c>
    </row>
    <row r="541" ht="12.75" customHeight="1">
      <c r="A541" s="244" t="s">
        <v>621</v>
      </c>
      <c r="B541" s="244" t="s">
        <v>1339</v>
      </c>
      <c r="C541" s="245" t="s">
        <v>1776</v>
      </c>
      <c r="D541" s="155" t="s">
        <v>1773</v>
      </c>
      <c r="E541" s="246" t="s">
        <v>92</v>
      </c>
      <c r="F541" s="154" t="str">
        <f t="array" ref="F541">XLOOKUP(Cover!$D$12,$S$1:$AA$1,$S541:$AA541)</f>
        <v>Recommended</v>
      </c>
      <c r="G541" s="153" t="s">
        <v>1777</v>
      </c>
      <c r="H541" s="154"/>
      <c r="I541" s="154" t="s">
        <v>759</v>
      </c>
      <c r="J541" s="247" t="s">
        <v>516</v>
      </c>
      <c r="K541" s="154"/>
      <c r="L541" s="154" t="str">
        <f t="shared" si="1"/>
        <v/>
      </c>
      <c r="M541" s="248" t="str">
        <f>IFERROR(__xludf.DUMMYFUNCTION("VLOOKUP(C541,IMPORTRANGE(""https://docs.google.com/spreadsheets/d/1P8eX0NWBhUPS_hvzA11R6jkTNFrPrRYIx_dX_hYbxrk/edit?resourcekey=0-iw9bsKY2OqkUHCFMkCar3A&amp;gid=2055363397#gid=2055363397"",""MTR!C:O""),11,false)"),"PMW-MCE-AS")</f>
        <v>PMW-MCE-AS</v>
      </c>
      <c r="N541" s="248" t="str">
        <f>IFERROR(__xludf.DUMMYFUNCTION("VLOOKUP(C541,IMPORTRANGE(""https://docs.google.com/spreadsheets/d/1ihFlp3_ePlYtFuPbUNbYj1muErVpI73WHXbEwJDIA7Q/edit#gid=1493122344"",""MTR!C:O""),8,false)"),"Does Not Comply")</f>
        <v>Does Not Comply</v>
      </c>
      <c r="O541" s="241" t="str">
        <f>IFERROR(__xludf.DUMMYFUNCTION("VLOOKUP(C541,IMPORTRANGE(""https://docs.google.com/spreadsheets/d/1P8eX0NWBhUPS_hvzA11R6jkTNFrPrRYIx_dX_hYbxrk/edit?resourcekey=0-iw9bsKY2OqkUHCFMkCar3A&amp;gid=2055363397#gid=2055363397"",""MTR!C:O""),9,false)"),"")</f>
        <v/>
      </c>
      <c r="P541" s="241"/>
      <c r="Q541" s="251" t="s">
        <v>516</v>
      </c>
      <c r="R541" s="241"/>
      <c r="S541" s="154" t="s">
        <v>66</v>
      </c>
      <c r="T541" s="154" t="s">
        <v>66</v>
      </c>
      <c r="U541" s="154" t="s">
        <v>64</v>
      </c>
      <c r="V541" s="154" t="s">
        <v>64</v>
      </c>
      <c r="W541" s="154" t="s">
        <v>64</v>
      </c>
      <c r="X541" s="154" t="s">
        <v>64</v>
      </c>
      <c r="Y541" s="154" t="s">
        <v>66</v>
      </c>
      <c r="Z541" s="154" t="s">
        <v>64</v>
      </c>
      <c r="AA541" s="154" t="s">
        <v>64</v>
      </c>
      <c r="AB541" s="154"/>
      <c r="AC541" s="242" t="b">
        <f t="shared" si="2"/>
        <v>1</v>
      </c>
      <c r="AD541" s="154" t="s">
        <v>445</v>
      </c>
      <c r="AE541" s="243" t="b">
        <f t="shared" si="3"/>
        <v>0</v>
      </c>
      <c r="AF541" s="154"/>
      <c r="AG541" s="243" t="b">
        <f t="shared" si="4"/>
        <v>0</v>
      </c>
      <c r="AH541" s="154" t="s">
        <v>652</v>
      </c>
      <c r="AI541" s="243" t="str">
        <f t="shared" si="5"/>
        <v>Complies</v>
      </c>
      <c r="AJ541" s="157" t="str">
        <f t="shared" si="6"/>
        <v/>
      </c>
    </row>
    <row r="542" ht="12.75" customHeight="1">
      <c r="A542" s="238" t="s">
        <v>621</v>
      </c>
      <c r="B542" s="238" t="s">
        <v>1339</v>
      </c>
      <c r="C542" s="238" t="s">
        <v>1778</v>
      </c>
      <c r="D542" s="240"/>
      <c r="E542" s="252" t="s">
        <v>92</v>
      </c>
      <c r="F542" s="154" t="str">
        <f t="array" ref="F542">XLOOKUP(Cover!$D$12,$S$1:$AA$1,$S542:$AA542)</f>
        <v>Heading</v>
      </c>
      <c r="G542" s="239" t="s">
        <v>1779</v>
      </c>
      <c r="H542" s="240"/>
      <c r="I542" s="240" t="s">
        <v>759</v>
      </c>
      <c r="J542" s="240"/>
      <c r="K542" s="240"/>
      <c r="L542" s="154" t="str">
        <f t="shared" si="1"/>
        <v/>
      </c>
      <c r="M542" s="241" t="str">
        <f>IFERROR(__xludf.DUMMYFUNCTION("VLOOKUP(C542,IMPORTRANGE(""https://docs.google.com/spreadsheets/d/1P8eX0NWBhUPS_hvzA11R6jkTNFrPrRYIx_dX_hYbxrk/edit?resourcekey=0-iw9bsKY2OqkUHCFMkCar3A&amp;gid=2055363397#gid=2055363397"",""MTR!C:O""),11,false)"),"")</f>
        <v/>
      </c>
      <c r="N542" s="241" t="str">
        <f>IFERROR(__xludf.DUMMYFUNCTION("VLOOKUP(C542,IMPORTRANGE(""https://docs.google.com/spreadsheets/d/1ihFlp3_ePlYtFuPbUNbYj1muErVpI73WHXbEwJDIA7Q/edit#gid=1493122344"",""MTR!C:O""),8,false)"),"")</f>
        <v/>
      </c>
      <c r="O542" s="241" t="str">
        <f>IFERROR(__xludf.DUMMYFUNCTION("VLOOKUP(C542,IMPORTRANGE(""https://docs.google.com/spreadsheets/d/1P8eX0NWBhUPS_hvzA11R6jkTNFrPrRYIx_dX_hYbxrk/edit?resourcekey=0-iw9bsKY2OqkUHCFMkCar3A&amp;gid=2055363397#gid=2055363397"",""MTR!C:O""),9,false)"),"")</f>
        <v/>
      </c>
      <c r="P542" s="241"/>
      <c r="Q542" s="241"/>
      <c r="R542" s="241"/>
      <c r="S542" s="240" t="s">
        <v>390</v>
      </c>
      <c r="T542" s="240" t="s">
        <v>390</v>
      </c>
      <c r="U542" s="240" t="s">
        <v>390</v>
      </c>
      <c r="V542" s="240" t="s">
        <v>390</v>
      </c>
      <c r="W542" s="240" t="s">
        <v>390</v>
      </c>
      <c r="X542" s="240" t="s">
        <v>390</v>
      </c>
      <c r="Y542" s="240" t="s">
        <v>390</v>
      </c>
      <c r="Z542" s="240" t="s">
        <v>390</v>
      </c>
      <c r="AA542" s="240" t="s">
        <v>390</v>
      </c>
      <c r="AB542" s="240"/>
      <c r="AC542" s="242" t="b">
        <f t="shared" si="2"/>
        <v>0</v>
      </c>
      <c r="AD542" s="240" t="s">
        <v>391</v>
      </c>
      <c r="AE542" s="243" t="b">
        <f t="shared" si="3"/>
        <v>0</v>
      </c>
      <c r="AF542" s="240"/>
      <c r="AG542" s="243" t="b">
        <f t="shared" si="4"/>
        <v>0</v>
      </c>
      <c r="AH542" s="240"/>
      <c r="AI542" s="243" t="str">
        <f t="shared" si="5"/>
        <v>N/A</v>
      </c>
      <c r="AJ542" s="157" t="str">
        <f t="shared" si="6"/>
        <v/>
      </c>
    </row>
    <row r="543" ht="12.75" customHeight="1">
      <c r="A543" s="244" t="s">
        <v>621</v>
      </c>
      <c r="B543" s="244" t="s">
        <v>1339</v>
      </c>
      <c r="C543" s="245" t="s">
        <v>1780</v>
      </c>
      <c r="D543" s="155" t="s">
        <v>542</v>
      </c>
      <c r="E543" s="246" t="s">
        <v>92</v>
      </c>
      <c r="F543" s="154" t="str">
        <f t="array" ref="F543">XLOOKUP(Cover!$D$12,$S$1:$AA$1,$S543:$AA543)</f>
        <v>Mandatory</v>
      </c>
      <c r="G543" s="153" t="s">
        <v>1781</v>
      </c>
      <c r="H543" s="154" t="s">
        <v>232</v>
      </c>
      <c r="I543" s="154" t="s">
        <v>759</v>
      </c>
      <c r="J543" s="247" t="s">
        <v>445</v>
      </c>
      <c r="K543" s="261" t="s">
        <v>1782</v>
      </c>
      <c r="L543" s="154" t="str">
        <f t="shared" si="1"/>
        <v/>
      </c>
      <c r="M543" s="248" t="str">
        <f>IFERROR(__xludf.DUMMYFUNCTION("VLOOKUP(C543,IMPORTRANGE(""https://docs.google.com/spreadsheets/d/1P8eX0NWBhUPS_hvzA11R6jkTNFrPrRYIx_dX_hYbxrk/edit?resourcekey=0-iw9bsKY2OqkUHCFMkCar3A&amp;gid=2055363397#gid=2055363397"",""MTR!C:O""),11,false)"),"PMW-L1")</f>
        <v>PMW-L1</v>
      </c>
      <c r="N543" s="248" t="str">
        <f>IFERROR(__xludf.DUMMYFUNCTION("VLOOKUP(C543,IMPORTRANGE(""https://docs.google.com/spreadsheets/d/1ihFlp3_ePlYtFuPbUNbYj1muErVpI73WHXbEwJDIA7Q/edit#gid=1493122344"",""MTR!C:O""),8,false)"),"Complies")</f>
        <v>Complies</v>
      </c>
      <c r="O543" s="248" t="str">
        <f>IFERROR(__xludf.DUMMYFUNCTION("VLOOKUP(C543,IMPORTRANGE(""https://docs.google.com/spreadsheets/d/1P8eX0NWBhUPS_hvzA11R6jkTNFrPrRYIx_dX_hYbxrk/edit?resourcekey=0-iw9bsKY2OqkUHCFMkCar3A&amp;gid=2055363397#gid=2055363397"",""MTR!C:O""),9,false)"),"4x4: n1/n2/n3/n7/n25/n30/n38/n40/n41/n48/n66/n77/n78/n79")</f>
        <v>4x4: n1/n2/n3/n7/n25/n30/n38/n40/n41/n48/n66/n77/n78/n79</v>
      </c>
      <c r="P543" s="248"/>
      <c r="Q543" s="249" t="s">
        <v>445</v>
      </c>
      <c r="R543" s="249" t="s">
        <v>1783</v>
      </c>
      <c r="S543" s="154" t="s">
        <v>66</v>
      </c>
      <c r="T543" s="154" t="s">
        <v>66</v>
      </c>
      <c r="U543" s="154" t="s">
        <v>60</v>
      </c>
      <c r="V543" s="154" t="s">
        <v>60</v>
      </c>
      <c r="W543" s="154" t="s">
        <v>60</v>
      </c>
      <c r="X543" s="154" t="s">
        <v>60</v>
      </c>
      <c r="Y543" s="154" t="s">
        <v>66</v>
      </c>
      <c r="Z543" s="154" t="s">
        <v>60</v>
      </c>
      <c r="AA543" s="154" t="s">
        <v>60</v>
      </c>
      <c r="AB543" s="154"/>
      <c r="AC543" s="242" t="b">
        <f t="shared" si="2"/>
        <v>1</v>
      </c>
      <c r="AD543" s="154" t="s">
        <v>445</v>
      </c>
      <c r="AE543" s="243" t="b">
        <f t="shared" si="3"/>
        <v>0</v>
      </c>
      <c r="AF543" s="154"/>
      <c r="AG543" s="243" t="b">
        <f t="shared" si="4"/>
        <v>0</v>
      </c>
      <c r="AH543" s="154" t="s">
        <v>652</v>
      </c>
      <c r="AI543" s="243" t="str">
        <f t="shared" si="5"/>
        <v>Complies</v>
      </c>
      <c r="AJ543" s="157" t="str">
        <f t="shared" si="6"/>
        <v/>
      </c>
    </row>
    <row r="544" ht="12.75" customHeight="1">
      <c r="A544" s="244" t="s">
        <v>621</v>
      </c>
      <c r="B544" s="244" t="s">
        <v>1339</v>
      </c>
      <c r="C544" s="255" t="s">
        <v>1784</v>
      </c>
      <c r="D544" s="256" t="s">
        <v>42</v>
      </c>
      <c r="E544" s="257" t="s">
        <v>489</v>
      </c>
      <c r="F544" s="154" t="str">
        <f t="array" ref="F544">XLOOKUP(Cover!$D$12,$S$1:$AA$1,$S544:$AA544)</f>
        <v>Mandatory</v>
      </c>
      <c r="G544" s="153" t="s">
        <v>1785</v>
      </c>
      <c r="H544" s="154" t="s">
        <v>1018</v>
      </c>
      <c r="I544" s="154" t="s">
        <v>759</v>
      </c>
      <c r="J544" s="247" t="s">
        <v>516</v>
      </c>
      <c r="K544" s="247" t="s">
        <v>1786</v>
      </c>
      <c r="L544" s="154" t="str">
        <f t="shared" si="1"/>
        <v/>
      </c>
      <c r="M544" s="253" t="str">
        <f>IFERROR(__xludf.DUMMYFUNCTION("VLOOKUP(C544,IMPORTRANGE(""https://docs.google.com/spreadsheets/d/1P8eX0NWBhUPS_hvzA11R6jkTNFrPrRYIx_dX_hYbxrk/edit?resourcekey=0-iw9bsKY2OqkUHCFMkCar3A&amp;gid=2055363397#gid=2055363397"",""MTR!C:O""),11,false)"),"#N/A")</f>
        <v>#N/A</v>
      </c>
      <c r="N544" s="253" t="str">
        <f>IFERROR(__xludf.DUMMYFUNCTION("VLOOKUP(C544,IMPORTRANGE(""https://docs.google.com/spreadsheets/d/1ihFlp3_ePlYtFuPbUNbYj1muErVpI73WHXbEwJDIA7Q/edit#gid=1493122344"",""MTR!C:O""),8,false)"),"#N/A")</f>
        <v>#N/A</v>
      </c>
      <c r="O544" s="253" t="str">
        <f>IFERROR(__xludf.DUMMYFUNCTION("VLOOKUP(C544,IMPORTRANGE(""https://docs.google.com/spreadsheets/d/1P8eX0NWBhUPS_hvzA11R6jkTNFrPrRYIx_dX_hYbxrk/edit?resourcekey=0-iw9bsKY2OqkUHCFMkCar3A&amp;gid=2055363397#gid=2055363397"",""MTR!C:O""),9,false)"),"#N/A")</f>
        <v>#N/A</v>
      </c>
      <c r="P544" s="253"/>
      <c r="Q544" s="253"/>
      <c r="R544" s="253"/>
      <c r="S544" s="154" t="s">
        <v>66</v>
      </c>
      <c r="T544" s="154" t="s">
        <v>66</v>
      </c>
      <c r="U544" s="154" t="s">
        <v>66</v>
      </c>
      <c r="V544" s="154" t="s">
        <v>66</v>
      </c>
      <c r="W544" s="154" t="s">
        <v>60</v>
      </c>
      <c r="X544" s="154" t="s">
        <v>60</v>
      </c>
      <c r="Y544" s="154" t="s">
        <v>66</v>
      </c>
      <c r="Z544" s="154" t="s">
        <v>66</v>
      </c>
      <c r="AA544" s="154" t="s">
        <v>60</v>
      </c>
      <c r="AB544" s="154"/>
      <c r="AC544" s="242" t="b">
        <f t="shared" si="2"/>
        <v>1</v>
      </c>
      <c r="AD544" s="154" t="s">
        <v>391</v>
      </c>
      <c r="AE544" s="243" t="b">
        <f t="shared" si="3"/>
        <v>0</v>
      </c>
      <c r="AF544" s="154"/>
      <c r="AG544" s="243" t="b">
        <f t="shared" si="4"/>
        <v>0</v>
      </c>
      <c r="AH544" s="154" t="s">
        <v>652</v>
      </c>
      <c r="AI544" s="243" t="str">
        <f t="shared" si="5"/>
        <v>Complies</v>
      </c>
      <c r="AJ544" s="157" t="str">
        <f t="shared" si="6"/>
        <v/>
      </c>
    </row>
    <row r="545" ht="12.75" customHeight="1">
      <c r="A545" s="244" t="s">
        <v>621</v>
      </c>
      <c r="B545" s="244" t="s">
        <v>1339</v>
      </c>
      <c r="C545" s="245" t="s">
        <v>1787</v>
      </c>
      <c r="D545" s="155" t="s">
        <v>542</v>
      </c>
      <c r="E545" s="246" t="s">
        <v>92</v>
      </c>
      <c r="F545" s="154" t="str">
        <f t="array" ref="F545">XLOOKUP(Cover!$D$12,$S$1:$AA$1,$S545:$AA545)</f>
        <v>Recommended</v>
      </c>
      <c r="G545" s="153" t="s">
        <v>1788</v>
      </c>
      <c r="H545" s="154"/>
      <c r="I545" s="154" t="s">
        <v>759</v>
      </c>
      <c r="J545" s="247" t="s">
        <v>516</v>
      </c>
      <c r="K545" s="154"/>
      <c r="L545" s="154" t="str">
        <f t="shared" si="1"/>
        <v/>
      </c>
      <c r="M545" s="248" t="str">
        <f>IFERROR(__xludf.DUMMYFUNCTION("VLOOKUP(C545,IMPORTRANGE(""https://docs.google.com/spreadsheets/d/1P8eX0NWBhUPS_hvzA11R6jkTNFrPrRYIx_dX_hYbxrk/edit?resourcekey=0-iw9bsKY2OqkUHCFMkCar3A&amp;gid=2055363397#gid=2055363397"",""MTR!C:O""),11,false)"),"PMW-L1")</f>
        <v>PMW-L1</v>
      </c>
      <c r="N545" s="248" t="str">
        <f>IFERROR(__xludf.DUMMYFUNCTION("VLOOKUP(C545,IMPORTRANGE(""https://docs.google.com/spreadsheets/d/1ihFlp3_ePlYtFuPbUNbYj1muErVpI73WHXbEwJDIA7Q/edit#gid=1493122344"",""MTR!C:O""),8,false)"),"Does Not Comply")</f>
        <v>Does Not Comply</v>
      </c>
      <c r="O545" s="241" t="str">
        <f>IFERROR(__xludf.DUMMYFUNCTION("VLOOKUP(C545,IMPORTRANGE(""https://docs.google.com/spreadsheets/d/1P8eX0NWBhUPS_hvzA11R6jkTNFrPrRYIx_dX_hYbxrk/edit?resourcekey=0-iw9bsKY2OqkUHCFMkCar3A&amp;gid=2055363397#gid=2055363397"",""MTR!C:O""),9,false)"),"")</f>
        <v/>
      </c>
      <c r="P545" s="241"/>
      <c r="Q545" s="251" t="s">
        <v>516</v>
      </c>
      <c r="R545" s="241"/>
      <c r="S545" s="154" t="s">
        <v>66</v>
      </c>
      <c r="T545" s="154" t="s">
        <v>66</v>
      </c>
      <c r="U545" s="154" t="s">
        <v>64</v>
      </c>
      <c r="V545" s="154" t="s">
        <v>64</v>
      </c>
      <c r="W545" s="154" t="s">
        <v>64</v>
      </c>
      <c r="X545" s="154" t="s">
        <v>64</v>
      </c>
      <c r="Y545" s="154" t="s">
        <v>66</v>
      </c>
      <c r="Z545" s="154" t="s">
        <v>64</v>
      </c>
      <c r="AA545" s="154" t="s">
        <v>64</v>
      </c>
      <c r="AB545" s="154"/>
      <c r="AC545" s="242" t="b">
        <f t="shared" si="2"/>
        <v>1</v>
      </c>
      <c r="AD545" s="154" t="s">
        <v>445</v>
      </c>
      <c r="AE545" s="243" t="b">
        <f t="shared" si="3"/>
        <v>0</v>
      </c>
      <c r="AF545" s="154"/>
      <c r="AG545" s="243" t="b">
        <f t="shared" si="4"/>
        <v>0</v>
      </c>
      <c r="AH545" s="154" t="s">
        <v>652</v>
      </c>
      <c r="AI545" s="243" t="str">
        <f t="shared" si="5"/>
        <v>Complies</v>
      </c>
      <c r="AJ545" s="157" t="str">
        <f t="shared" si="6"/>
        <v/>
      </c>
    </row>
    <row r="546" ht="12.75" customHeight="1">
      <c r="A546" s="244" t="s">
        <v>621</v>
      </c>
      <c r="B546" s="244" t="s">
        <v>1339</v>
      </c>
      <c r="C546" s="244" t="s">
        <v>1789</v>
      </c>
      <c r="D546" s="244" t="s">
        <v>602</v>
      </c>
      <c r="E546" s="244"/>
      <c r="F546" s="154" t="str">
        <f t="array" ref="F546">XLOOKUP(Cover!$D$12,$S$1:$AA$1,$S546:$AA546)</f>
        <v>Mandatory</v>
      </c>
      <c r="G546" s="154" t="s">
        <v>1790</v>
      </c>
      <c r="H546" s="154" t="s">
        <v>232</v>
      </c>
      <c r="I546" s="154" t="s">
        <v>759</v>
      </c>
      <c r="J546" s="247" t="s">
        <v>445</v>
      </c>
      <c r="K546" s="154"/>
      <c r="L546" s="154" t="str">
        <f t="shared" si="1"/>
        <v/>
      </c>
      <c r="M546" s="248" t="str">
        <f>IFERROR(__xludf.DUMMYFUNCTION("VLOOKUP(C546,IMPORTRANGE(""https://docs.google.com/spreadsheets/d/1P8eX0NWBhUPS_hvzA11R6jkTNFrPrRYIx_dX_hYbxrk/edit?resourcekey=0-iw9bsKY2OqkUHCFMkCar3A&amp;gid=2055363397#gid=2055363397"",""MTR!C:O""),11,false)"),"PMW-L1")</f>
        <v>PMW-L1</v>
      </c>
      <c r="N546" s="248" t="str">
        <f>IFERROR(__xludf.DUMMYFUNCTION("VLOOKUP(C546,IMPORTRANGE(""https://docs.google.com/spreadsheets/d/1ihFlp3_ePlYtFuPbUNbYj1muErVpI73WHXbEwJDIA7Q/edit#gid=1493122344"",""MTR!C:O""),8,false)"),"Complies")</f>
        <v>Complies</v>
      </c>
      <c r="O546" s="241" t="str">
        <f>IFERROR(__xludf.DUMMYFUNCTION("VLOOKUP(C546,IMPORTRANGE(""https://docs.google.com/spreadsheets/d/1P8eX0NWBhUPS_hvzA11R6jkTNFrPrRYIx_dX_hYbxrk/edit?resourcekey=0-iw9bsKY2OqkUHCFMkCar3A&amp;gid=2055363397#gid=2055363397"",""MTR!C:O""),9,false)"),"")</f>
        <v/>
      </c>
      <c r="P546" s="241"/>
      <c r="Q546" s="251" t="s">
        <v>445</v>
      </c>
      <c r="R546" s="241"/>
      <c r="S546" s="154" t="s">
        <v>66</v>
      </c>
      <c r="T546" s="154" t="s">
        <v>66</v>
      </c>
      <c r="U546" s="154" t="s">
        <v>60</v>
      </c>
      <c r="V546" s="154" t="s">
        <v>60</v>
      </c>
      <c r="W546" s="154" t="s">
        <v>60</v>
      </c>
      <c r="X546" s="154" t="s">
        <v>60</v>
      </c>
      <c r="Y546" s="154" t="s">
        <v>66</v>
      </c>
      <c r="Z546" s="154" t="s">
        <v>60</v>
      </c>
      <c r="AA546" s="154" t="s">
        <v>60</v>
      </c>
      <c r="AB546" s="154"/>
      <c r="AC546" s="242" t="b">
        <f t="shared" si="2"/>
        <v>1</v>
      </c>
      <c r="AD546" s="154" t="s">
        <v>516</v>
      </c>
      <c r="AE546" s="243" t="b">
        <f t="shared" si="3"/>
        <v>0</v>
      </c>
      <c r="AF546" s="154"/>
      <c r="AG546" s="243" t="b">
        <f t="shared" si="4"/>
        <v>0</v>
      </c>
      <c r="AH546" s="154" t="s">
        <v>652</v>
      </c>
      <c r="AI546" s="243" t="str">
        <f t="shared" si="5"/>
        <v>Complies</v>
      </c>
      <c r="AJ546" s="157" t="str">
        <f t="shared" si="6"/>
        <v/>
      </c>
    </row>
    <row r="547" ht="12.75" customHeight="1">
      <c r="A547" s="244" t="s">
        <v>621</v>
      </c>
      <c r="B547" s="244" t="s">
        <v>1339</v>
      </c>
      <c r="C547" s="244" t="s">
        <v>1791</v>
      </c>
      <c r="D547" s="154" t="s">
        <v>602</v>
      </c>
      <c r="E547" s="250"/>
      <c r="F547" s="154" t="str">
        <f t="array" ref="F547">XLOOKUP(Cover!$D$12,$S$1:$AA$1,$S547:$AA547)</f>
        <v>Mandatory</v>
      </c>
      <c r="G547" s="153" t="s">
        <v>1792</v>
      </c>
      <c r="H547" s="154" t="s">
        <v>232</v>
      </c>
      <c r="I547" s="154" t="s">
        <v>759</v>
      </c>
      <c r="J547" s="247" t="s">
        <v>445</v>
      </c>
      <c r="K547" s="154"/>
      <c r="L547" s="154" t="str">
        <f t="shared" si="1"/>
        <v/>
      </c>
      <c r="M547" s="248" t="str">
        <f>IFERROR(__xludf.DUMMYFUNCTION("VLOOKUP(C547,IMPORTRANGE(""https://docs.google.com/spreadsheets/d/1P8eX0NWBhUPS_hvzA11R6jkTNFrPrRYIx_dX_hYbxrk/edit?resourcekey=0-iw9bsKY2OqkUHCFMkCar3A&amp;gid=2055363397#gid=2055363397"",""MTR!C:O""),11,false)"),"PMW-MCE-AS")</f>
        <v>PMW-MCE-AS</v>
      </c>
      <c r="N547" s="248" t="str">
        <f>IFERROR(__xludf.DUMMYFUNCTION("VLOOKUP(C547,IMPORTRANGE(""https://docs.google.com/spreadsheets/d/1ihFlp3_ePlYtFuPbUNbYj1muErVpI73WHXbEwJDIA7Q/edit#gid=1493122344"",""MTR!C:O""),8,false)"),"Complies")</f>
        <v>Complies</v>
      </c>
      <c r="O547" s="241" t="str">
        <f>IFERROR(__xludf.DUMMYFUNCTION("VLOOKUP(C547,IMPORTRANGE(""https://docs.google.com/spreadsheets/d/1P8eX0NWBhUPS_hvzA11R6jkTNFrPrRYIx_dX_hYbxrk/edit?resourcekey=0-iw9bsKY2OqkUHCFMkCar3A&amp;gid=2055363397#gid=2055363397"",""MTR!C:O""),9,false)"),"")</f>
        <v/>
      </c>
      <c r="P547" s="241"/>
      <c r="Q547" s="251" t="s">
        <v>445</v>
      </c>
      <c r="R547" s="241"/>
      <c r="S547" s="154" t="s">
        <v>66</v>
      </c>
      <c r="T547" s="154" t="s">
        <v>66</v>
      </c>
      <c r="U547" s="154" t="s">
        <v>60</v>
      </c>
      <c r="V547" s="154" t="s">
        <v>60</v>
      </c>
      <c r="W547" s="154" t="s">
        <v>60</v>
      </c>
      <c r="X547" s="154" t="s">
        <v>60</v>
      </c>
      <c r="Y547" s="154" t="s">
        <v>66</v>
      </c>
      <c r="Z547" s="154" t="s">
        <v>60</v>
      </c>
      <c r="AA547" s="154" t="s">
        <v>60</v>
      </c>
      <c r="AB547" s="154"/>
      <c r="AC547" s="242" t="b">
        <f t="shared" si="2"/>
        <v>1</v>
      </c>
      <c r="AD547" s="154" t="s">
        <v>391</v>
      </c>
      <c r="AE547" s="243" t="b">
        <f t="shared" si="3"/>
        <v>0</v>
      </c>
      <c r="AF547" s="154"/>
      <c r="AG547" s="243" t="b">
        <f t="shared" si="4"/>
        <v>0</v>
      </c>
      <c r="AH547" s="154" t="s">
        <v>652</v>
      </c>
      <c r="AI547" s="243" t="str">
        <f t="shared" si="5"/>
        <v>Complies</v>
      </c>
      <c r="AJ547" s="157" t="str">
        <f t="shared" si="6"/>
        <v/>
      </c>
    </row>
    <row r="548" ht="12.75" customHeight="1">
      <c r="A548" s="244" t="s">
        <v>621</v>
      </c>
      <c r="B548" s="244" t="s">
        <v>1339</v>
      </c>
      <c r="C548" s="244" t="s">
        <v>1793</v>
      </c>
      <c r="D548" s="154" t="s">
        <v>602</v>
      </c>
      <c r="E548" s="250"/>
      <c r="F548" s="154" t="str">
        <f t="array" ref="F548">XLOOKUP(Cover!$D$12,$S$1:$AA$1,$S548:$AA548)</f>
        <v>Mandatory</v>
      </c>
      <c r="G548" s="153" t="s">
        <v>1794</v>
      </c>
      <c r="H548" s="154" t="s">
        <v>232</v>
      </c>
      <c r="I548" s="154" t="s">
        <v>759</v>
      </c>
      <c r="J548" s="247" t="s">
        <v>445</v>
      </c>
      <c r="K548" s="154"/>
      <c r="L548" s="154" t="str">
        <f t="shared" si="1"/>
        <v/>
      </c>
      <c r="M548" s="248" t="str">
        <f>IFERROR(__xludf.DUMMYFUNCTION("VLOOKUP(C548,IMPORTRANGE(""https://docs.google.com/spreadsheets/d/1P8eX0NWBhUPS_hvzA11R6jkTNFrPrRYIx_dX_hYbxrk/edit?resourcekey=0-iw9bsKY2OqkUHCFMkCar3A&amp;gid=2055363397#gid=2055363397"",""MTR!C:O""),11,false)"),"PMW-MCE-AS")</f>
        <v>PMW-MCE-AS</v>
      </c>
      <c r="N548" s="248" t="str">
        <f>IFERROR(__xludf.DUMMYFUNCTION("VLOOKUP(C548,IMPORTRANGE(""https://docs.google.com/spreadsheets/d/1ihFlp3_ePlYtFuPbUNbYj1muErVpI73WHXbEwJDIA7Q/edit#gid=1493122344"",""MTR!C:O""),8,false)"),"Complies")</f>
        <v>Complies</v>
      </c>
      <c r="O548" s="241" t="str">
        <f>IFERROR(__xludf.DUMMYFUNCTION("VLOOKUP(C548,IMPORTRANGE(""https://docs.google.com/spreadsheets/d/1P8eX0NWBhUPS_hvzA11R6jkTNFrPrRYIx_dX_hYbxrk/edit?resourcekey=0-iw9bsKY2OqkUHCFMkCar3A&amp;gid=2055363397#gid=2055363397"",""MTR!C:O""),9,false)"),"")</f>
        <v/>
      </c>
      <c r="P548" s="241"/>
      <c r="Q548" s="251" t="s">
        <v>445</v>
      </c>
      <c r="R548" s="241"/>
      <c r="S548" s="154" t="s">
        <v>66</v>
      </c>
      <c r="T548" s="154" t="s">
        <v>66</v>
      </c>
      <c r="U548" s="154" t="s">
        <v>60</v>
      </c>
      <c r="V548" s="154" t="s">
        <v>60</v>
      </c>
      <c r="W548" s="154" t="s">
        <v>60</v>
      </c>
      <c r="X548" s="154" t="s">
        <v>60</v>
      </c>
      <c r="Y548" s="154" t="s">
        <v>66</v>
      </c>
      <c r="Z548" s="154" t="s">
        <v>60</v>
      </c>
      <c r="AA548" s="154" t="s">
        <v>60</v>
      </c>
      <c r="AB548" s="154"/>
      <c r="AC548" s="242" t="b">
        <f t="shared" si="2"/>
        <v>1</v>
      </c>
      <c r="AD548" s="154" t="s">
        <v>391</v>
      </c>
      <c r="AE548" s="243" t="b">
        <f t="shared" si="3"/>
        <v>0</v>
      </c>
      <c r="AF548" s="154"/>
      <c r="AG548" s="243" t="b">
        <f t="shared" si="4"/>
        <v>0</v>
      </c>
      <c r="AH548" s="154" t="s">
        <v>652</v>
      </c>
      <c r="AI548" s="243" t="str">
        <f t="shared" si="5"/>
        <v>Complies</v>
      </c>
      <c r="AJ548" s="157" t="str">
        <f t="shared" si="6"/>
        <v/>
      </c>
    </row>
    <row r="549" ht="12.75" customHeight="1">
      <c r="A549" s="238" t="s">
        <v>621</v>
      </c>
      <c r="B549" s="238" t="s">
        <v>1339</v>
      </c>
      <c r="C549" s="238" t="s">
        <v>1795</v>
      </c>
      <c r="D549" s="240"/>
      <c r="E549" s="252" t="s">
        <v>92</v>
      </c>
      <c r="F549" s="154" t="str">
        <f t="array" ref="F549">XLOOKUP(Cover!$D$12,$S$1:$AA$1,$S549:$AA549)</f>
        <v>Heading</v>
      </c>
      <c r="G549" s="239" t="s">
        <v>1796</v>
      </c>
      <c r="H549" s="240"/>
      <c r="I549" s="240" t="s">
        <v>759</v>
      </c>
      <c r="J549" s="240"/>
      <c r="K549" s="240"/>
      <c r="L549" s="154" t="str">
        <f t="shared" si="1"/>
        <v/>
      </c>
      <c r="M549" s="241" t="str">
        <f>IFERROR(__xludf.DUMMYFUNCTION("VLOOKUP(C549,IMPORTRANGE(""https://docs.google.com/spreadsheets/d/1P8eX0NWBhUPS_hvzA11R6jkTNFrPrRYIx_dX_hYbxrk/edit?resourcekey=0-iw9bsKY2OqkUHCFMkCar3A&amp;gid=2055363397#gid=2055363397"",""MTR!C:O""),11,false)"),"")</f>
        <v/>
      </c>
      <c r="N549" s="241" t="str">
        <f>IFERROR(__xludf.DUMMYFUNCTION("VLOOKUP(C549,IMPORTRANGE(""https://docs.google.com/spreadsheets/d/1ihFlp3_ePlYtFuPbUNbYj1muErVpI73WHXbEwJDIA7Q/edit#gid=1493122344"",""MTR!C:O""),8,false)"),"")</f>
        <v/>
      </c>
      <c r="O549" s="241" t="str">
        <f>IFERROR(__xludf.DUMMYFUNCTION("VLOOKUP(C549,IMPORTRANGE(""https://docs.google.com/spreadsheets/d/1P8eX0NWBhUPS_hvzA11R6jkTNFrPrRYIx_dX_hYbxrk/edit?resourcekey=0-iw9bsKY2OqkUHCFMkCar3A&amp;gid=2055363397#gid=2055363397"",""MTR!C:O""),9,false)"),"")</f>
        <v/>
      </c>
      <c r="P549" s="241"/>
      <c r="Q549" s="241"/>
      <c r="R549" s="241"/>
      <c r="S549" s="240" t="s">
        <v>390</v>
      </c>
      <c r="T549" s="240" t="s">
        <v>390</v>
      </c>
      <c r="U549" s="240" t="s">
        <v>390</v>
      </c>
      <c r="V549" s="240" t="s">
        <v>390</v>
      </c>
      <c r="W549" s="240" t="s">
        <v>390</v>
      </c>
      <c r="X549" s="240" t="s">
        <v>390</v>
      </c>
      <c r="Y549" s="240" t="s">
        <v>390</v>
      </c>
      <c r="Z549" s="240" t="s">
        <v>390</v>
      </c>
      <c r="AA549" s="240" t="s">
        <v>390</v>
      </c>
      <c r="AB549" s="240"/>
      <c r="AC549" s="242" t="b">
        <f t="shared" si="2"/>
        <v>0</v>
      </c>
      <c r="AD549" s="240" t="s">
        <v>391</v>
      </c>
      <c r="AE549" s="243" t="b">
        <f t="shared" si="3"/>
        <v>0</v>
      </c>
      <c r="AF549" s="240"/>
      <c r="AG549" s="243" t="b">
        <f t="shared" si="4"/>
        <v>0</v>
      </c>
      <c r="AH549" s="240"/>
      <c r="AI549" s="243" t="str">
        <f t="shared" si="5"/>
        <v>N/A</v>
      </c>
      <c r="AJ549" s="157" t="str">
        <f t="shared" si="6"/>
        <v/>
      </c>
    </row>
    <row r="550" ht="12.75" customHeight="1">
      <c r="A550" s="238" t="s">
        <v>621</v>
      </c>
      <c r="B550" s="238" t="s">
        <v>1339</v>
      </c>
      <c r="C550" s="238" t="s">
        <v>1797</v>
      </c>
      <c r="D550" s="240"/>
      <c r="E550" s="252" t="s">
        <v>92</v>
      </c>
      <c r="F550" s="154" t="str">
        <f t="array" ref="F550">XLOOKUP(Cover!$D$12,$S$1:$AA$1,$S550:$AA550)</f>
        <v>Heading</v>
      </c>
      <c r="G550" s="239" t="s">
        <v>1798</v>
      </c>
      <c r="H550" s="240"/>
      <c r="I550" s="240" t="s">
        <v>759</v>
      </c>
      <c r="J550" s="240"/>
      <c r="K550" s="240"/>
      <c r="L550" s="154" t="str">
        <f t="shared" si="1"/>
        <v/>
      </c>
      <c r="M550" s="241" t="str">
        <f>IFERROR(__xludf.DUMMYFUNCTION("VLOOKUP(C550,IMPORTRANGE(""https://docs.google.com/spreadsheets/d/1P8eX0NWBhUPS_hvzA11R6jkTNFrPrRYIx_dX_hYbxrk/edit?resourcekey=0-iw9bsKY2OqkUHCFMkCar3A&amp;gid=2055363397#gid=2055363397"",""MTR!C:O""),11,false)"),"")</f>
        <v/>
      </c>
      <c r="N550" s="241" t="str">
        <f>IFERROR(__xludf.DUMMYFUNCTION("VLOOKUP(C550,IMPORTRANGE(""https://docs.google.com/spreadsheets/d/1ihFlp3_ePlYtFuPbUNbYj1muErVpI73WHXbEwJDIA7Q/edit#gid=1493122344"",""MTR!C:O""),8,false)"),"")</f>
        <v/>
      </c>
      <c r="O550" s="241" t="str">
        <f>IFERROR(__xludf.DUMMYFUNCTION("VLOOKUP(C550,IMPORTRANGE(""https://docs.google.com/spreadsheets/d/1P8eX0NWBhUPS_hvzA11R6jkTNFrPrRYIx_dX_hYbxrk/edit?resourcekey=0-iw9bsKY2OqkUHCFMkCar3A&amp;gid=2055363397#gid=2055363397"",""MTR!C:O""),9,false)"),"")</f>
        <v/>
      </c>
      <c r="P550" s="241"/>
      <c r="Q550" s="241"/>
      <c r="R550" s="241"/>
      <c r="S550" s="240" t="s">
        <v>390</v>
      </c>
      <c r="T550" s="240" t="s">
        <v>390</v>
      </c>
      <c r="U550" s="240" t="s">
        <v>390</v>
      </c>
      <c r="V550" s="240" t="s">
        <v>390</v>
      </c>
      <c r="W550" s="240" t="s">
        <v>390</v>
      </c>
      <c r="X550" s="240" t="s">
        <v>390</v>
      </c>
      <c r="Y550" s="240" t="s">
        <v>390</v>
      </c>
      <c r="Z550" s="240" t="s">
        <v>390</v>
      </c>
      <c r="AA550" s="240" t="s">
        <v>390</v>
      </c>
      <c r="AB550" s="240"/>
      <c r="AC550" s="242" t="b">
        <f t="shared" si="2"/>
        <v>0</v>
      </c>
      <c r="AD550" s="240" t="s">
        <v>391</v>
      </c>
      <c r="AE550" s="243" t="b">
        <f t="shared" si="3"/>
        <v>0</v>
      </c>
      <c r="AF550" s="240"/>
      <c r="AG550" s="243" t="b">
        <f t="shared" si="4"/>
        <v>0</v>
      </c>
      <c r="AH550" s="240"/>
      <c r="AI550" s="243" t="str">
        <f t="shared" si="5"/>
        <v>N/A</v>
      </c>
      <c r="AJ550" s="157" t="str">
        <f t="shared" si="6"/>
        <v/>
      </c>
    </row>
    <row r="551" ht="12.75" customHeight="1">
      <c r="A551" s="244" t="s">
        <v>621</v>
      </c>
      <c r="B551" s="244" t="s">
        <v>1339</v>
      </c>
      <c r="C551" s="244" t="s">
        <v>1799</v>
      </c>
      <c r="D551" s="154" t="s">
        <v>747</v>
      </c>
      <c r="E551" s="250"/>
      <c r="F551" s="154" t="str">
        <f t="array" ref="F551">XLOOKUP(Cover!$D$12,$S$1:$AA$1,$S551:$AA551)</f>
        <v>Mandatory</v>
      </c>
      <c r="G551" s="153" t="s">
        <v>1800</v>
      </c>
      <c r="H551" s="154" t="s">
        <v>232</v>
      </c>
      <c r="I551" s="154" t="s">
        <v>759</v>
      </c>
      <c r="J551" s="247" t="s">
        <v>445</v>
      </c>
      <c r="K551" s="247" t="s">
        <v>1801</v>
      </c>
      <c r="L551" s="154" t="str">
        <f t="shared" si="1"/>
        <v/>
      </c>
      <c r="M551" s="248" t="str">
        <f>IFERROR(__xludf.DUMMYFUNCTION("VLOOKUP(C551,IMPORTRANGE(""https://docs.google.com/spreadsheets/d/1P8eX0NWBhUPS_hvzA11R6jkTNFrPrRYIx_dX_hYbxrk/edit?resourcekey=0-iw9bsKY2OqkUHCFMkCar3A&amp;gid=2055363397#gid=2055363397"",""MTR!C:O""),11,false)"),"PMW-MCE-AS")</f>
        <v>PMW-MCE-AS</v>
      </c>
      <c r="N551" s="248" t="str">
        <f>IFERROR(__xludf.DUMMYFUNCTION("VLOOKUP(C551,IMPORTRANGE(""https://docs.google.com/spreadsheets/d/1ihFlp3_ePlYtFuPbUNbYj1muErVpI73WHXbEwJDIA7Q/edit#gid=1493122344"",""MTR!C:O""),8,false)"),"Complies")</f>
        <v>Complies</v>
      </c>
      <c r="O551" s="241" t="str">
        <f>IFERROR(__xludf.DUMMYFUNCTION("VLOOKUP(C551,IMPORTRANGE(""https://docs.google.com/spreadsheets/d/1P8eX0NWBhUPS_hvzA11R6jkTNFrPrRYIx_dX_hYbxrk/edit?resourcekey=0-iw9bsKY2OqkUHCFMkCar3A&amp;gid=2055363397#gid=2055363397"",""MTR!C:O""),9,false)"),"")</f>
        <v/>
      </c>
      <c r="P551" s="241"/>
      <c r="Q551" s="251" t="s">
        <v>445</v>
      </c>
      <c r="R551" s="251" t="s">
        <v>1801</v>
      </c>
      <c r="S551" s="154" t="s">
        <v>66</v>
      </c>
      <c r="T551" s="154" t="s">
        <v>66</v>
      </c>
      <c r="U551" s="154" t="s">
        <v>60</v>
      </c>
      <c r="V551" s="154" t="s">
        <v>60</v>
      </c>
      <c r="W551" s="154" t="s">
        <v>60</v>
      </c>
      <c r="X551" s="154" t="s">
        <v>60</v>
      </c>
      <c r="Y551" s="154" t="s">
        <v>66</v>
      </c>
      <c r="Z551" s="154" t="s">
        <v>60</v>
      </c>
      <c r="AA551" s="154" t="s">
        <v>60</v>
      </c>
      <c r="AB551" s="154"/>
      <c r="AC551" s="242" t="b">
        <f t="shared" si="2"/>
        <v>1</v>
      </c>
      <c r="AD551" s="154" t="s">
        <v>391</v>
      </c>
      <c r="AE551" s="243" t="b">
        <f t="shared" si="3"/>
        <v>0</v>
      </c>
      <c r="AF551" s="154"/>
      <c r="AG551" s="243" t="b">
        <f t="shared" si="4"/>
        <v>0</v>
      </c>
      <c r="AH551" s="154" t="s">
        <v>1802</v>
      </c>
      <c r="AI551" s="243" t="str">
        <f t="shared" si="5"/>
        <v>Complies</v>
      </c>
      <c r="AJ551" s="157" t="str">
        <f t="shared" si="6"/>
        <v/>
      </c>
    </row>
    <row r="552" ht="12.75" customHeight="1">
      <c r="A552" s="238" t="s">
        <v>621</v>
      </c>
      <c r="B552" s="238" t="s">
        <v>1339</v>
      </c>
      <c r="C552" s="238" t="s">
        <v>1803</v>
      </c>
      <c r="D552" s="240"/>
      <c r="E552" s="252" t="s">
        <v>92</v>
      </c>
      <c r="F552" s="154" t="str">
        <f t="array" ref="F552">XLOOKUP(Cover!$D$12,$S$1:$AA$1,$S552:$AA552)</f>
        <v>Heading</v>
      </c>
      <c r="G552" s="239" t="s">
        <v>1804</v>
      </c>
      <c r="H552" s="240"/>
      <c r="I552" s="240" t="s">
        <v>759</v>
      </c>
      <c r="J552" s="240"/>
      <c r="K552" s="240"/>
      <c r="L552" s="154" t="str">
        <f t="shared" si="1"/>
        <v/>
      </c>
      <c r="M552" s="241" t="str">
        <f>IFERROR(__xludf.DUMMYFUNCTION("VLOOKUP(C552,IMPORTRANGE(""https://docs.google.com/spreadsheets/d/1P8eX0NWBhUPS_hvzA11R6jkTNFrPrRYIx_dX_hYbxrk/edit?resourcekey=0-iw9bsKY2OqkUHCFMkCar3A&amp;gid=2055363397#gid=2055363397"",""MTR!C:O""),11,false)"),"")</f>
        <v/>
      </c>
      <c r="N552" s="241" t="str">
        <f>IFERROR(__xludf.DUMMYFUNCTION("VLOOKUP(C552,IMPORTRANGE(""https://docs.google.com/spreadsheets/d/1ihFlp3_ePlYtFuPbUNbYj1muErVpI73WHXbEwJDIA7Q/edit#gid=1493122344"",""MTR!C:O""),8,false)"),"")</f>
        <v/>
      </c>
      <c r="O552" s="241" t="str">
        <f>IFERROR(__xludf.DUMMYFUNCTION("VLOOKUP(C552,IMPORTRANGE(""https://docs.google.com/spreadsheets/d/1P8eX0NWBhUPS_hvzA11R6jkTNFrPrRYIx_dX_hYbxrk/edit?resourcekey=0-iw9bsKY2OqkUHCFMkCar3A&amp;gid=2055363397#gid=2055363397"",""MTR!C:O""),9,false)"),"")</f>
        <v/>
      </c>
      <c r="P552" s="241"/>
      <c r="Q552" s="241"/>
      <c r="R552" s="241"/>
      <c r="S552" s="240" t="s">
        <v>390</v>
      </c>
      <c r="T552" s="240" t="s">
        <v>390</v>
      </c>
      <c r="U552" s="240" t="s">
        <v>390</v>
      </c>
      <c r="V552" s="240" t="s">
        <v>390</v>
      </c>
      <c r="W552" s="240" t="s">
        <v>390</v>
      </c>
      <c r="X552" s="240" t="s">
        <v>390</v>
      </c>
      <c r="Y552" s="240" t="s">
        <v>390</v>
      </c>
      <c r="Z552" s="240" t="s">
        <v>390</v>
      </c>
      <c r="AA552" s="240" t="s">
        <v>390</v>
      </c>
      <c r="AB552" s="240"/>
      <c r="AC552" s="242" t="b">
        <f t="shared" si="2"/>
        <v>0</v>
      </c>
      <c r="AD552" s="240" t="s">
        <v>391</v>
      </c>
      <c r="AE552" s="243" t="b">
        <f t="shared" si="3"/>
        <v>0</v>
      </c>
      <c r="AF552" s="240"/>
      <c r="AG552" s="243" t="b">
        <f t="shared" si="4"/>
        <v>0</v>
      </c>
      <c r="AH552" s="240"/>
      <c r="AI552" s="243" t="str">
        <f t="shared" si="5"/>
        <v>N/A</v>
      </c>
      <c r="AJ552" s="157" t="str">
        <f t="shared" si="6"/>
        <v/>
      </c>
    </row>
    <row r="553" ht="12.75" customHeight="1">
      <c r="A553" s="238" t="s">
        <v>621</v>
      </c>
      <c r="B553" s="238" t="s">
        <v>1339</v>
      </c>
      <c r="C553" s="238" t="s">
        <v>1805</v>
      </c>
      <c r="D553" s="240"/>
      <c r="E553" s="252" t="s">
        <v>92</v>
      </c>
      <c r="F553" s="154" t="str">
        <f t="array" ref="F553">XLOOKUP(Cover!$D$12,$S$1:$AA$1,$S553:$AA553)</f>
        <v>Heading</v>
      </c>
      <c r="G553" s="239" t="s">
        <v>1806</v>
      </c>
      <c r="H553" s="240"/>
      <c r="I553" s="240" t="s">
        <v>759</v>
      </c>
      <c r="J553" s="240"/>
      <c r="K553" s="240"/>
      <c r="L553" s="154" t="str">
        <f t="shared" si="1"/>
        <v/>
      </c>
      <c r="M553" s="241" t="str">
        <f>IFERROR(__xludf.DUMMYFUNCTION("VLOOKUP(C553,IMPORTRANGE(""https://docs.google.com/spreadsheets/d/1P8eX0NWBhUPS_hvzA11R6jkTNFrPrRYIx_dX_hYbxrk/edit?resourcekey=0-iw9bsKY2OqkUHCFMkCar3A&amp;gid=2055363397#gid=2055363397"",""MTR!C:O""),11,false)"),"")</f>
        <v/>
      </c>
      <c r="N553" s="241" t="str">
        <f>IFERROR(__xludf.DUMMYFUNCTION("VLOOKUP(C553,IMPORTRANGE(""https://docs.google.com/spreadsheets/d/1ihFlp3_ePlYtFuPbUNbYj1muErVpI73WHXbEwJDIA7Q/edit#gid=1493122344"",""MTR!C:O""),8,false)"),"")</f>
        <v/>
      </c>
      <c r="O553" s="241" t="str">
        <f>IFERROR(__xludf.DUMMYFUNCTION("VLOOKUP(C553,IMPORTRANGE(""https://docs.google.com/spreadsheets/d/1P8eX0NWBhUPS_hvzA11R6jkTNFrPrRYIx_dX_hYbxrk/edit?resourcekey=0-iw9bsKY2OqkUHCFMkCar3A&amp;gid=2055363397#gid=2055363397"",""MTR!C:O""),9,false)"),"")</f>
        <v/>
      </c>
      <c r="P553" s="241"/>
      <c r="Q553" s="241"/>
      <c r="R553" s="241"/>
      <c r="S553" s="240" t="s">
        <v>390</v>
      </c>
      <c r="T553" s="240" t="s">
        <v>390</v>
      </c>
      <c r="U553" s="240" t="s">
        <v>390</v>
      </c>
      <c r="V553" s="240" t="s">
        <v>390</v>
      </c>
      <c r="W553" s="240" t="s">
        <v>390</v>
      </c>
      <c r="X553" s="240" t="s">
        <v>390</v>
      </c>
      <c r="Y553" s="240" t="s">
        <v>390</v>
      </c>
      <c r="Z553" s="240" t="s">
        <v>390</v>
      </c>
      <c r="AA553" s="240" t="s">
        <v>390</v>
      </c>
      <c r="AB553" s="240"/>
      <c r="AC553" s="242" t="b">
        <f t="shared" si="2"/>
        <v>0</v>
      </c>
      <c r="AD553" s="240" t="s">
        <v>391</v>
      </c>
      <c r="AE553" s="243" t="b">
        <f t="shared" si="3"/>
        <v>0</v>
      </c>
      <c r="AF553" s="240"/>
      <c r="AG553" s="243" t="b">
        <f t="shared" si="4"/>
        <v>0</v>
      </c>
      <c r="AH553" s="240"/>
      <c r="AI553" s="243" t="str">
        <f t="shared" si="5"/>
        <v>N/A</v>
      </c>
      <c r="AJ553" s="157" t="str">
        <f t="shared" si="6"/>
        <v/>
      </c>
    </row>
    <row r="554" ht="12.75" customHeight="1">
      <c r="A554" s="238" t="s">
        <v>621</v>
      </c>
      <c r="B554" s="238" t="s">
        <v>1339</v>
      </c>
      <c r="C554" s="238" t="s">
        <v>1807</v>
      </c>
      <c r="D554" s="240"/>
      <c r="E554" s="252" t="s">
        <v>92</v>
      </c>
      <c r="F554" s="154" t="str">
        <f t="array" ref="F554">XLOOKUP(Cover!$D$12,$S$1:$AA$1,$S554:$AA554)</f>
        <v>Heading</v>
      </c>
      <c r="G554" s="239" t="s">
        <v>1808</v>
      </c>
      <c r="H554" s="240"/>
      <c r="I554" s="240" t="s">
        <v>759</v>
      </c>
      <c r="J554" s="240"/>
      <c r="K554" s="240"/>
      <c r="L554" s="154" t="str">
        <f t="shared" si="1"/>
        <v/>
      </c>
      <c r="M554" s="241" t="str">
        <f>IFERROR(__xludf.DUMMYFUNCTION("VLOOKUP(C554,IMPORTRANGE(""https://docs.google.com/spreadsheets/d/1P8eX0NWBhUPS_hvzA11R6jkTNFrPrRYIx_dX_hYbxrk/edit?resourcekey=0-iw9bsKY2OqkUHCFMkCar3A&amp;gid=2055363397#gid=2055363397"",""MTR!C:O""),11,false)"),"")</f>
        <v/>
      </c>
      <c r="N554" s="241" t="str">
        <f>IFERROR(__xludf.DUMMYFUNCTION("VLOOKUP(C554,IMPORTRANGE(""https://docs.google.com/spreadsheets/d/1ihFlp3_ePlYtFuPbUNbYj1muErVpI73WHXbEwJDIA7Q/edit#gid=1493122344"",""MTR!C:O""),8,false)"),"")</f>
        <v/>
      </c>
      <c r="O554" s="241" t="str">
        <f>IFERROR(__xludf.DUMMYFUNCTION("VLOOKUP(C554,IMPORTRANGE(""https://docs.google.com/spreadsheets/d/1P8eX0NWBhUPS_hvzA11R6jkTNFrPrRYIx_dX_hYbxrk/edit?resourcekey=0-iw9bsKY2OqkUHCFMkCar3A&amp;gid=2055363397#gid=2055363397"",""MTR!C:O""),9,false)"),"")</f>
        <v/>
      </c>
      <c r="P554" s="241"/>
      <c r="Q554" s="241"/>
      <c r="R554" s="241"/>
      <c r="S554" s="240" t="s">
        <v>390</v>
      </c>
      <c r="T554" s="240" t="s">
        <v>390</v>
      </c>
      <c r="U554" s="240" t="s">
        <v>390</v>
      </c>
      <c r="V554" s="240" t="s">
        <v>390</v>
      </c>
      <c r="W554" s="240" t="s">
        <v>390</v>
      </c>
      <c r="X554" s="240" t="s">
        <v>390</v>
      </c>
      <c r="Y554" s="240" t="s">
        <v>390</v>
      </c>
      <c r="Z554" s="240" t="s">
        <v>390</v>
      </c>
      <c r="AA554" s="240" t="s">
        <v>390</v>
      </c>
      <c r="AB554" s="240"/>
      <c r="AC554" s="242" t="b">
        <f t="shared" si="2"/>
        <v>0</v>
      </c>
      <c r="AD554" s="240" t="s">
        <v>391</v>
      </c>
      <c r="AE554" s="243" t="b">
        <f t="shared" si="3"/>
        <v>0</v>
      </c>
      <c r="AF554" s="240"/>
      <c r="AG554" s="243" t="b">
        <f t="shared" si="4"/>
        <v>0</v>
      </c>
      <c r="AH554" s="240"/>
      <c r="AI554" s="243" t="str">
        <f t="shared" si="5"/>
        <v>N/A</v>
      </c>
      <c r="AJ554" s="157" t="str">
        <f t="shared" si="6"/>
        <v/>
      </c>
    </row>
    <row r="555" ht="12.75" customHeight="1">
      <c r="A555" s="244" t="s">
        <v>621</v>
      </c>
      <c r="B555" s="244" t="s">
        <v>1339</v>
      </c>
      <c r="C555" s="244" t="s">
        <v>1809</v>
      </c>
      <c r="D555" s="154" t="s">
        <v>781</v>
      </c>
      <c r="E555" s="250"/>
      <c r="F555" s="154" t="str">
        <f t="array" ref="F555">XLOOKUP(Cover!$D$12,$S$1:$AA$1,$S555:$AA555)</f>
        <v>Mandatory</v>
      </c>
      <c r="G555" s="153" t="s">
        <v>1810</v>
      </c>
      <c r="H555" s="154" t="s">
        <v>232</v>
      </c>
      <c r="I555" s="154" t="s">
        <v>759</v>
      </c>
      <c r="J555" s="247" t="s">
        <v>506</v>
      </c>
      <c r="K555" s="247" t="s">
        <v>1811</v>
      </c>
      <c r="L555" s="154" t="str">
        <f t="shared" si="1"/>
        <v/>
      </c>
      <c r="M555" s="248" t="str">
        <f>IFERROR(__xludf.DUMMYFUNCTION("VLOOKUP(C555,IMPORTRANGE(""https://docs.google.com/spreadsheets/d/1P8eX0NWBhUPS_hvzA11R6jkTNFrPrRYIx_dX_hYbxrk/edit?resourcekey=0-iw9bsKY2OqkUHCFMkCar3A&amp;gid=2055363397#gid=2055363397"",""MTR!C:O""),11,false)"),"PMW-MCE-AS")</f>
        <v>PMW-MCE-AS</v>
      </c>
      <c r="N555" s="248" t="str">
        <f>IFERROR(__xludf.DUMMYFUNCTION("VLOOKUP(C555,IMPORTRANGE(""https://docs.google.com/spreadsheets/d/1ihFlp3_ePlYtFuPbUNbYj1muErVpI73WHXbEwJDIA7Q/edit#gid=1493122344"",""MTR!C:O""),8,false)"),"Does Not Comply")</f>
        <v>Does Not Comply</v>
      </c>
      <c r="O555" s="248" t="str">
        <f>IFERROR(__xludf.DUMMYFUNCTION("VLOOKUP(C555,IMPORTRANGE(""https://docs.google.com/spreadsheets/d/1P8eX0NWBhUPS_hvzA11R6jkTNFrPrRYIx_dX_hYbxrk/edit?resourcekey=0-iw9bsKY2OqkUHCFMkCar3A&amp;gid=2055363397#gid=2055363397"",""MTR!C:O""),9,false)"),"SA disabled at launch. 
Support Type2:  please discuss with Google TAM for feature enablement plans")</f>
        <v>SA disabled at launch. 
Support Type2:  please discuss with Google TAM for feature enablement plans</v>
      </c>
      <c r="P555" s="248"/>
      <c r="Q555" s="249" t="s">
        <v>516</v>
      </c>
      <c r="R555" s="249" t="s">
        <v>1811</v>
      </c>
      <c r="S555" s="154" t="s">
        <v>66</v>
      </c>
      <c r="T555" s="154" t="s">
        <v>66</v>
      </c>
      <c r="U555" s="154" t="s">
        <v>60</v>
      </c>
      <c r="V555" s="154" t="s">
        <v>60</v>
      </c>
      <c r="W555" s="154" t="s">
        <v>60</v>
      </c>
      <c r="X555" s="154" t="s">
        <v>60</v>
      </c>
      <c r="Y555" s="154" t="s">
        <v>66</v>
      </c>
      <c r="Z555" s="154" t="s">
        <v>60</v>
      </c>
      <c r="AA555" s="154" t="s">
        <v>60</v>
      </c>
      <c r="AB555" s="154"/>
      <c r="AC555" s="242" t="b">
        <f t="shared" si="2"/>
        <v>1</v>
      </c>
      <c r="AD555" s="154" t="s">
        <v>391</v>
      </c>
      <c r="AE555" s="243" t="b">
        <f t="shared" si="3"/>
        <v>0</v>
      </c>
      <c r="AF555" s="154"/>
      <c r="AG555" s="243" t="b">
        <f t="shared" si="4"/>
        <v>0</v>
      </c>
      <c r="AH555" s="154" t="s">
        <v>652</v>
      </c>
      <c r="AI555" s="243" t="str">
        <f t="shared" si="5"/>
        <v>Complies</v>
      </c>
      <c r="AJ555" s="157" t="str">
        <f t="shared" si="6"/>
        <v/>
      </c>
    </row>
    <row r="556" ht="12.75" customHeight="1">
      <c r="A556" s="244" t="s">
        <v>621</v>
      </c>
      <c r="B556" s="244" t="s">
        <v>1339</v>
      </c>
      <c r="C556" s="244" t="s">
        <v>1812</v>
      </c>
      <c r="D556" s="154" t="s">
        <v>1773</v>
      </c>
      <c r="E556" s="250"/>
      <c r="F556" s="154" t="str">
        <f t="array" ref="F556">XLOOKUP(Cover!$D$12,$S$1:$AA$1,$S556:$AA556)</f>
        <v>Mandatory</v>
      </c>
      <c r="G556" s="153" t="s">
        <v>1813</v>
      </c>
      <c r="H556" s="154" t="s">
        <v>232</v>
      </c>
      <c r="I556" s="154" t="s">
        <v>759</v>
      </c>
      <c r="J556" s="247" t="s">
        <v>506</v>
      </c>
      <c r="K556" s="247" t="s">
        <v>1683</v>
      </c>
      <c r="L556" s="154" t="str">
        <f t="shared" si="1"/>
        <v/>
      </c>
      <c r="M556" s="248" t="str">
        <f>IFERROR(__xludf.DUMMYFUNCTION("VLOOKUP(C556,IMPORTRANGE(""https://docs.google.com/spreadsheets/d/1P8eX0NWBhUPS_hvzA11R6jkTNFrPrRYIx_dX_hYbxrk/edit?resourcekey=0-iw9bsKY2OqkUHCFMkCar3A&amp;gid=2055363397#gid=2055363397"",""MTR!C:O""),11,false)"),"PMW-MCE-AS")</f>
        <v>PMW-MCE-AS</v>
      </c>
      <c r="N556" s="248" t="str">
        <f>IFERROR(__xludf.DUMMYFUNCTION("VLOOKUP(C556,IMPORTRANGE(""https://docs.google.com/spreadsheets/d/1ihFlp3_ePlYtFuPbUNbYj1muErVpI73WHXbEwJDIA7Q/edit#gid=1493122344"",""MTR!C:O""),8,false)"),"Partially Complies")</f>
        <v>Partially Complies</v>
      </c>
      <c r="O556" s="248" t="str">
        <f>IFERROR(__xludf.DUMMYFUNCTION("VLOOKUP(C556,IMPORTRANGE(""https://docs.google.com/spreadsheets/d/1P8eX0NWBhUPS_hvzA11R6jkTNFrPrRYIx_dX_hYbxrk/edit?resourcekey=0-iw9bsKY2OqkUHCFMkCar3A&amp;gid=2055363397#gid=2055363397"",""MTR!C:O""),9,false)"),"Support but default disable (It's not related to 5G SA. we could enable if DT request)")</f>
        <v>Support but default disable (It's not related to 5G SA. we could enable if DT request)</v>
      </c>
      <c r="P556" s="248"/>
      <c r="Q556" s="249" t="s">
        <v>506</v>
      </c>
      <c r="R556" s="249" t="s">
        <v>1683</v>
      </c>
      <c r="S556" s="154" t="s">
        <v>66</v>
      </c>
      <c r="T556" s="154" t="s">
        <v>66</v>
      </c>
      <c r="U556" s="154" t="s">
        <v>60</v>
      </c>
      <c r="V556" s="154" t="s">
        <v>60</v>
      </c>
      <c r="W556" s="154" t="s">
        <v>60</v>
      </c>
      <c r="X556" s="154" t="s">
        <v>60</v>
      </c>
      <c r="Y556" s="154" t="s">
        <v>66</v>
      </c>
      <c r="Z556" s="154" t="s">
        <v>60</v>
      </c>
      <c r="AA556" s="154" t="s">
        <v>60</v>
      </c>
      <c r="AB556" s="154"/>
      <c r="AC556" s="242" t="b">
        <f t="shared" si="2"/>
        <v>1</v>
      </c>
      <c r="AD556" s="154" t="s">
        <v>391</v>
      </c>
      <c r="AE556" s="243" t="b">
        <f t="shared" si="3"/>
        <v>0</v>
      </c>
      <c r="AF556" s="154"/>
      <c r="AG556" s="243" t="b">
        <f t="shared" si="4"/>
        <v>0</v>
      </c>
      <c r="AH556" s="154" t="s">
        <v>652</v>
      </c>
      <c r="AI556" s="243" t="str">
        <f t="shared" si="5"/>
        <v>Complies</v>
      </c>
      <c r="AJ556" s="157" t="str">
        <f t="shared" si="6"/>
        <v/>
      </c>
    </row>
    <row r="557" ht="12.75" customHeight="1">
      <c r="A557" s="244" t="s">
        <v>621</v>
      </c>
      <c r="B557" s="244" t="s">
        <v>1339</v>
      </c>
      <c r="C557" s="244" t="s">
        <v>1814</v>
      </c>
      <c r="D557" s="154" t="s">
        <v>1773</v>
      </c>
      <c r="E557" s="250"/>
      <c r="F557" s="154" t="str">
        <f t="array" ref="F557">XLOOKUP(Cover!$D$12,$S$1:$AA$1,$S557:$AA557)</f>
        <v>Recommended</v>
      </c>
      <c r="G557" s="153" t="s">
        <v>1815</v>
      </c>
      <c r="H557" s="154"/>
      <c r="I557" s="154" t="s">
        <v>759</v>
      </c>
      <c r="J557" s="247" t="s">
        <v>516</v>
      </c>
      <c r="K557" s="154"/>
      <c r="L557" s="154" t="str">
        <f t="shared" si="1"/>
        <v/>
      </c>
      <c r="M557" s="248" t="str">
        <f>IFERROR(__xludf.DUMMYFUNCTION("VLOOKUP(C557,IMPORTRANGE(""https://docs.google.com/spreadsheets/d/1P8eX0NWBhUPS_hvzA11R6jkTNFrPrRYIx_dX_hYbxrk/edit?resourcekey=0-iw9bsKY2OqkUHCFMkCar3A&amp;gid=2055363397#gid=2055363397"",""MTR!C:O""),11,false)"),"PMW-MCE-AS")</f>
        <v>PMW-MCE-AS</v>
      </c>
      <c r="N557" s="248" t="str">
        <f>IFERROR(__xludf.DUMMYFUNCTION("VLOOKUP(C557,IMPORTRANGE(""https://docs.google.com/spreadsheets/d/1ihFlp3_ePlYtFuPbUNbYj1muErVpI73WHXbEwJDIA7Q/edit#gid=1493122344"",""MTR!C:O""),8,false)"),"Does Not Comply")</f>
        <v>Does Not Comply</v>
      </c>
      <c r="O557" s="241" t="str">
        <f>IFERROR(__xludf.DUMMYFUNCTION("VLOOKUP(C557,IMPORTRANGE(""https://docs.google.com/spreadsheets/d/1P8eX0NWBhUPS_hvzA11R6jkTNFrPrRYIx_dX_hYbxrk/edit?resourcekey=0-iw9bsKY2OqkUHCFMkCar3A&amp;gid=2055363397#gid=2055363397"",""MTR!C:O""),9,false)"),"")</f>
        <v/>
      </c>
      <c r="P557" s="241"/>
      <c r="Q557" s="251" t="s">
        <v>516</v>
      </c>
      <c r="R557" s="241"/>
      <c r="S557" s="154" t="s">
        <v>66</v>
      </c>
      <c r="T557" s="154" t="s">
        <v>66</v>
      </c>
      <c r="U557" s="154" t="s">
        <v>64</v>
      </c>
      <c r="V557" s="154" t="s">
        <v>64</v>
      </c>
      <c r="W557" s="154" t="s">
        <v>64</v>
      </c>
      <c r="X557" s="154" t="s">
        <v>64</v>
      </c>
      <c r="Y557" s="154" t="s">
        <v>66</v>
      </c>
      <c r="Z557" s="154" t="s">
        <v>64</v>
      </c>
      <c r="AA557" s="154" t="s">
        <v>64</v>
      </c>
      <c r="AB557" s="154"/>
      <c r="AC557" s="242" t="b">
        <f t="shared" si="2"/>
        <v>1</v>
      </c>
      <c r="AD557" s="154" t="s">
        <v>391</v>
      </c>
      <c r="AE557" s="243" t="b">
        <f t="shared" si="3"/>
        <v>0</v>
      </c>
      <c r="AF557" s="154"/>
      <c r="AG557" s="243" t="b">
        <f t="shared" si="4"/>
        <v>0</v>
      </c>
      <c r="AH557" s="154" t="s">
        <v>652</v>
      </c>
      <c r="AI557" s="243" t="str">
        <f t="shared" si="5"/>
        <v>Complies</v>
      </c>
      <c r="AJ557" s="157" t="str">
        <f t="shared" si="6"/>
        <v/>
      </c>
    </row>
    <row r="558" ht="12.75" customHeight="1">
      <c r="A558" s="244" t="s">
        <v>621</v>
      </c>
      <c r="B558" s="244" t="s">
        <v>1339</v>
      </c>
      <c r="C558" s="244" t="s">
        <v>1816</v>
      </c>
      <c r="D558" s="154" t="s">
        <v>1773</v>
      </c>
      <c r="E558" s="250"/>
      <c r="F558" s="154" t="str">
        <f t="array" ref="F558">XLOOKUP(Cover!$D$12,$S$1:$AA$1,$S558:$AA558)</f>
        <v>Recommended</v>
      </c>
      <c r="G558" s="153" t="s">
        <v>1817</v>
      </c>
      <c r="H558" s="154"/>
      <c r="I558" s="154" t="s">
        <v>759</v>
      </c>
      <c r="J558" s="247" t="s">
        <v>516</v>
      </c>
      <c r="K558" s="154"/>
      <c r="L558" s="154" t="str">
        <f t="shared" si="1"/>
        <v/>
      </c>
      <c r="M558" s="253" t="str">
        <f>IFERROR(__xludf.DUMMYFUNCTION("VLOOKUP(C558,IMPORTRANGE(""https://docs.google.com/spreadsheets/d/1P8eX0NWBhUPS_hvzA11R6jkTNFrPrRYIx_dX_hYbxrk/edit?resourcekey=0-iw9bsKY2OqkUHCFMkCar3A&amp;gid=2055363397#gid=2055363397"",""MTR!C:O""),11,false)"),"#N/A")</f>
        <v>#N/A</v>
      </c>
      <c r="N558" s="253" t="str">
        <f>IFERROR(__xludf.DUMMYFUNCTION("VLOOKUP(C558,IMPORTRANGE(""https://docs.google.com/spreadsheets/d/1ihFlp3_ePlYtFuPbUNbYj1muErVpI73WHXbEwJDIA7Q/edit#gid=1493122344"",""MTR!C:O""),8,false)"),"#N/A")</f>
        <v>#N/A</v>
      </c>
      <c r="O558" s="241" t="str">
        <f>IFERROR(__xludf.DUMMYFUNCTION("VLOOKUP(C558,IMPORTRANGE(""https://docs.google.com/spreadsheets/d/1P8eX0NWBhUPS_hvzA11R6jkTNFrPrRYIx_dX_hYbxrk/edit?resourcekey=0-iw9bsKY2OqkUHCFMkCar3A&amp;gid=2055363397#gid=2055363397"",""MTR!C:O""),9,false)"),"")</f>
        <v/>
      </c>
      <c r="P558" s="241"/>
      <c r="Q558" s="241"/>
      <c r="R558" s="241"/>
      <c r="S558" s="154" t="s">
        <v>66</v>
      </c>
      <c r="T558" s="154" t="s">
        <v>66</v>
      </c>
      <c r="U558" s="154" t="s">
        <v>64</v>
      </c>
      <c r="V558" s="154" t="s">
        <v>64</v>
      </c>
      <c r="W558" s="154" t="s">
        <v>64</v>
      </c>
      <c r="X558" s="154" t="s">
        <v>64</v>
      </c>
      <c r="Y558" s="154" t="s">
        <v>66</v>
      </c>
      <c r="Z558" s="154" t="s">
        <v>64</v>
      </c>
      <c r="AA558" s="154" t="s">
        <v>64</v>
      </c>
      <c r="AB558" s="154"/>
      <c r="AC558" s="242" t="b">
        <f t="shared" si="2"/>
        <v>1</v>
      </c>
      <c r="AD558" s="154" t="s">
        <v>391</v>
      </c>
      <c r="AE558" s="243" t="b">
        <f t="shared" si="3"/>
        <v>0</v>
      </c>
      <c r="AF558" s="154"/>
      <c r="AG558" s="243" t="b">
        <f t="shared" si="4"/>
        <v>0</v>
      </c>
      <c r="AH558" s="154" t="s">
        <v>652</v>
      </c>
      <c r="AI558" s="243" t="str">
        <f t="shared" si="5"/>
        <v>Complies</v>
      </c>
      <c r="AJ558" s="157" t="str">
        <f t="shared" si="6"/>
        <v/>
      </c>
    </row>
    <row r="559" ht="12.75" customHeight="1">
      <c r="A559" s="238" t="s">
        <v>621</v>
      </c>
      <c r="B559" s="238" t="s">
        <v>1339</v>
      </c>
      <c r="C559" s="238" t="s">
        <v>1818</v>
      </c>
      <c r="D559" s="240"/>
      <c r="E559" s="252" t="s">
        <v>92</v>
      </c>
      <c r="F559" s="154" t="str">
        <f t="array" ref="F559">XLOOKUP(Cover!$D$12,$S$1:$AA$1,$S559:$AA559)</f>
        <v>Heading</v>
      </c>
      <c r="G559" s="239" t="s">
        <v>1819</v>
      </c>
      <c r="H559" s="240"/>
      <c r="I559" s="240" t="s">
        <v>759</v>
      </c>
      <c r="J559" s="240"/>
      <c r="K559" s="240"/>
      <c r="L559" s="154" t="str">
        <f t="shared" si="1"/>
        <v/>
      </c>
      <c r="M559" s="241" t="str">
        <f>IFERROR(__xludf.DUMMYFUNCTION("VLOOKUP(C559,IMPORTRANGE(""https://docs.google.com/spreadsheets/d/1P8eX0NWBhUPS_hvzA11R6jkTNFrPrRYIx_dX_hYbxrk/edit?resourcekey=0-iw9bsKY2OqkUHCFMkCar3A&amp;gid=2055363397#gid=2055363397"",""MTR!C:O""),11,false)"),"")</f>
        <v/>
      </c>
      <c r="N559" s="241" t="str">
        <f>IFERROR(__xludf.DUMMYFUNCTION("VLOOKUP(C559,IMPORTRANGE(""https://docs.google.com/spreadsheets/d/1ihFlp3_ePlYtFuPbUNbYj1muErVpI73WHXbEwJDIA7Q/edit#gid=1493122344"",""MTR!C:O""),8,false)"),"")</f>
        <v/>
      </c>
      <c r="O559" s="241" t="str">
        <f>IFERROR(__xludf.DUMMYFUNCTION("VLOOKUP(C559,IMPORTRANGE(""https://docs.google.com/spreadsheets/d/1P8eX0NWBhUPS_hvzA11R6jkTNFrPrRYIx_dX_hYbxrk/edit?resourcekey=0-iw9bsKY2OqkUHCFMkCar3A&amp;gid=2055363397#gid=2055363397"",""MTR!C:O""),9,false)"),"")</f>
        <v/>
      </c>
      <c r="P559" s="241"/>
      <c r="Q559" s="241"/>
      <c r="R559" s="241"/>
      <c r="S559" s="240" t="s">
        <v>390</v>
      </c>
      <c r="T559" s="240" t="s">
        <v>390</v>
      </c>
      <c r="U559" s="240" t="s">
        <v>390</v>
      </c>
      <c r="V559" s="240" t="s">
        <v>390</v>
      </c>
      <c r="W559" s="240" t="s">
        <v>390</v>
      </c>
      <c r="X559" s="240" t="s">
        <v>390</v>
      </c>
      <c r="Y559" s="240" t="s">
        <v>390</v>
      </c>
      <c r="Z559" s="240" t="s">
        <v>390</v>
      </c>
      <c r="AA559" s="240" t="s">
        <v>390</v>
      </c>
      <c r="AB559" s="240"/>
      <c r="AC559" s="242" t="b">
        <f t="shared" si="2"/>
        <v>0</v>
      </c>
      <c r="AD559" s="240" t="s">
        <v>391</v>
      </c>
      <c r="AE559" s="243" t="b">
        <f t="shared" si="3"/>
        <v>0</v>
      </c>
      <c r="AF559" s="240"/>
      <c r="AG559" s="243" t="b">
        <f t="shared" si="4"/>
        <v>0</v>
      </c>
      <c r="AH559" s="240"/>
      <c r="AI559" s="243" t="str">
        <f t="shared" si="5"/>
        <v>N/A</v>
      </c>
      <c r="AJ559" s="157" t="str">
        <f t="shared" si="6"/>
        <v/>
      </c>
    </row>
    <row r="560" ht="12.75" customHeight="1">
      <c r="A560" s="244" t="s">
        <v>621</v>
      </c>
      <c r="B560" s="244" t="s">
        <v>1339</v>
      </c>
      <c r="C560" s="244" t="s">
        <v>1820</v>
      </c>
      <c r="D560" s="154" t="s">
        <v>546</v>
      </c>
      <c r="E560" s="250"/>
      <c r="F560" s="154" t="str">
        <f t="array" ref="F560">XLOOKUP(Cover!$D$12,$S$1:$AA$1,$S560:$AA560)</f>
        <v>Recommended</v>
      </c>
      <c r="G560" s="153" t="s">
        <v>1821</v>
      </c>
      <c r="H560" s="154" t="s">
        <v>232</v>
      </c>
      <c r="I560" s="154" t="s">
        <v>759</v>
      </c>
      <c r="J560" s="247" t="s">
        <v>506</v>
      </c>
      <c r="K560" s="247" t="s">
        <v>1822</v>
      </c>
      <c r="L560" s="154" t="str">
        <f t="shared" si="1"/>
        <v/>
      </c>
      <c r="M560" s="248" t="str">
        <f>IFERROR(__xludf.DUMMYFUNCTION("VLOOKUP(C560,IMPORTRANGE(""https://docs.google.com/spreadsheets/d/1P8eX0NWBhUPS_hvzA11R6jkTNFrPrRYIx_dX_hYbxrk/edit?resourcekey=0-iw9bsKY2OqkUHCFMkCar3A&amp;gid=2055363397#gid=2055363397"",""MTR!C:O""),11,false)"),"PMW-MCE-AS")</f>
        <v>PMW-MCE-AS</v>
      </c>
      <c r="N560" s="248" t="str">
        <f>IFERROR(__xludf.DUMMYFUNCTION("VLOOKUP(C560,IMPORTRANGE(""https://docs.google.com/spreadsheets/d/1ihFlp3_ePlYtFuPbUNbYj1muErVpI73WHXbEwJDIA7Q/edit#gid=1493122344"",""MTR!C:O""),8,false)"),"Does Not Comply")</f>
        <v>Does Not Comply</v>
      </c>
      <c r="O560" s="248" t="str">
        <f>IFERROR(__xludf.DUMMYFUNCTION("VLOOKUP(C560,IMPORTRANGE(""https://docs.google.com/spreadsheets/d/1P8eX0NWBhUPS_hvzA11R6jkTNFrPrRYIx_dX_hYbxrk/edit?resourcekey=0-iw9bsKY2OqkUHCFMkCar3A&amp;gid=2055363397#gid=2055363397"",""MTR!C:O""),9,false)"),"SA, SCG Support: Reach out to TAM when NW is ready for feature enablement")</f>
        <v>SA, SCG Support: Reach out to TAM when NW is ready for feature enablement</v>
      </c>
      <c r="P560" s="248"/>
      <c r="Q560" s="249" t="s">
        <v>516</v>
      </c>
      <c r="R560" s="249" t="s">
        <v>1822</v>
      </c>
      <c r="S560" s="154" t="s">
        <v>66</v>
      </c>
      <c r="T560" s="154" t="s">
        <v>66</v>
      </c>
      <c r="U560" s="154" t="s">
        <v>64</v>
      </c>
      <c r="V560" s="154" t="s">
        <v>64</v>
      </c>
      <c r="W560" s="154" t="s">
        <v>64</v>
      </c>
      <c r="X560" s="154" t="s">
        <v>64</v>
      </c>
      <c r="Y560" s="154" t="s">
        <v>66</v>
      </c>
      <c r="Z560" s="154" t="s">
        <v>64</v>
      </c>
      <c r="AA560" s="154" t="s">
        <v>64</v>
      </c>
      <c r="AB560" s="154"/>
      <c r="AC560" s="242" t="b">
        <f t="shared" si="2"/>
        <v>1</v>
      </c>
      <c r="AD560" s="154" t="s">
        <v>391</v>
      </c>
      <c r="AE560" s="243" t="b">
        <f t="shared" si="3"/>
        <v>0</v>
      </c>
      <c r="AF560" s="154"/>
      <c r="AG560" s="243" t="b">
        <f t="shared" si="4"/>
        <v>0</v>
      </c>
      <c r="AH560" s="154" t="s">
        <v>652</v>
      </c>
      <c r="AI560" s="243" t="str">
        <f t="shared" si="5"/>
        <v>Complies</v>
      </c>
      <c r="AJ560" s="157" t="str">
        <f t="shared" si="6"/>
        <v/>
      </c>
    </row>
    <row r="561" ht="12.75" customHeight="1">
      <c r="A561" s="244" t="s">
        <v>621</v>
      </c>
      <c r="B561" s="244" t="s">
        <v>1339</v>
      </c>
      <c r="C561" s="244" t="s">
        <v>1823</v>
      </c>
      <c r="D561" s="154" t="s">
        <v>546</v>
      </c>
      <c r="E561" s="250"/>
      <c r="F561" s="154" t="str">
        <f t="array" ref="F561">XLOOKUP(Cover!$D$12,$S$1:$AA$1,$S561:$AA561)</f>
        <v>Mandatory</v>
      </c>
      <c r="G561" s="153" t="s">
        <v>1824</v>
      </c>
      <c r="H561" s="154" t="s">
        <v>232</v>
      </c>
      <c r="I561" s="154" t="s">
        <v>759</v>
      </c>
      <c r="J561" s="247" t="s">
        <v>516</v>
      </c>
      <c r="K561" s="154"/>
      <c r="L561" s="154" t="str">
        <f t="shared" si="1"/>
        <v/>
      </c>
      <c r="M561" s="248" t="str">
        <f>IFERROR(__xludf.DUMMYFUNCTION("VLOOKUP(C561,IMPORTRANGE(""https://docs.google.com/spreadsheets/d/1P8eX0NWBhUPS_hvzA11R6jkTNFrPrRYIx_dX_hYbxrk/edit?resourcekey=0-iw9bsKY2OqkUHCFMkCar3A&amp;gid=2055363397#gid=2055363397"",""MTR!C:O""),11,false)"),"PMW-MCE-AS")</f>
        <v>PMW-MCE-AS</v>
      </c>
      <c r="N561" s="248" t="str">
        <f>IFERROR(__xludf.DUMMYFUNCTION("VLOOKUP(C561,IMPORTRANGE(""https://docs.google.com/spreadsheets/d/1ihFlp3_ePlYtFuPbUNbYj1muErVpI73WHXbEwJDIA7Q/edit#gid=1493122344"",""MTR!C:O""),8,false)"),"Does Not Comply")</f>
        <v>Does Not Comply</v>
      </c>
      <c r="O561" s="241" t="str">
        <f>IFERROR(__xludf.DUMMYFUNCTION("VLOOKUP(C561,IMPORTRANGE(""https://docs.google.com/spreadsheets/d/1P8eX0NWBhUPS_hvzA11R6jkTNFrPrRYIx_dX_hYbxrk/edit?resourcekey=0-iw9bsKY2OqkUHCFMkCar3A&amp;gid=2055363397#gid=2055363397"",""MTR!C:O""),9,false)"),"")</f>
        <v/>
      </c>
      <c r="P561" s="241"/>
      <c r="Q561" s="251" t="s">
        <v>516</v>
      </c>
      <c r="R561" s="241"/>
      <c r="S561" s="154" t="s">
        <v>66</v>
      </c>
      <c r="T561" s="154" t="s">
        <v>66</v>
      </c>
      <c r="U561" s="154" t="s">
        <v>60</v>
      </c>
      <c r="V561" s="154" t="s">
        <v>60</v>
      </c>
      <c r="W561" s="154" t="s">
        <v>60</v>
      </c>
      <c r="X561" s="154" t="s">
        <v>60</v>
      </c>
      <c r="Y561" s="154" t="s">
        <v>66</v>
      </c>
      <c r="Z561" s="154" t="s">
        <v>60</v>
      </c>
      <c r="AA561" s="154" t="s">
        <v>60</v>
      </c>
      <c r="AB561" s="154"/>
      <c r="AC561" s="242" t="b">
        <f t="shared" si="2"/>
        <v>1</v>
      </c>
      <c r="AD561" s="154" t="s">
        <v>391</v>
      </c>
      <c r="AE561" s="243" t="b">
        <f t="shared" si="3"/>
        <v>0</v>
      </c>
      <c r="AF561" s="154"/>
      <c r="AG561" s="243" t="b">
        <f t="shared" si="4"/>
        <v>0</v>
      </c>
      <c r="AH561" s="154" t="s">
        <v>652</v>
      </c>
      <c r="AI561" s="243" t="str">
        <f t="shared" si="5"/>
        <v>Complies</v>
      </c>
      <c r="AJ561" s="157" t="str">
        <f t="shared" si="6"/>
        <v/>
      </c>
    </row>
    <row r="562" ht="12.75" customHeight="1">
      <c r="A562" s="244" t="s">
        <v>621</v>
      </c>
      <c r="B562" s="244" t="s">
        <v>1339</v>
      </c>
      <c r="C562" s="244" t="s">
        <v>1825</v>
      </c>
      <c r="D562" s="154" t="s">
        <v>546</v>
      </c>
      <c r="E562" s="250"/>
      <c r="F562" s="154" t="str">
        <f t="array" ref="F562">XLOOKUP(Cover!$D$12,$S$1:$AA$1,$S562:$AA562)</f>
        <v>Mandatory</v>
      </c>
      <c r="G562" s="153" t="s">
        <v>1826</v>
      </c>
      <c r="H562" s="154" t="s">
        <v>232</v>
      </c>
      <c r="I562" s="154" t="s">
        <v>759</v>
      </c>
      <c r="J562" s="247" t="s">
        <v>506</v>
      </c>
      <c r="K562" s="247" t="s">
        <v>1822</v>
      </c>
      <c r="L562" s="154" t="str">
        <f t="shared" si="1"/>
        <v/>
      </c>
      <c r="M562" s="248" t="str">
        <f>IFERROR(__xludf.DUMMYFUNCTION("VLOOKUP(C562,IMPORTRANGE(""https://docs.google.com/spreadsheets/d/1P8eX0NWBhUPS_hvzA11R6jkTNFrPrRYIx_dX_hYbxrk/edit?resourcekey=0-iw9bsKY2OqkUHCFMkCar3A&amp;gid=2055363397#gid=2055363397"",""MTR!C:O""),11,false)"),"PMW-MCE-AS")</f>
        <v>PMW-MCE-AS</v>
      </c>
      <c r="N562" s="248" t="str">
        <f>IFERROR(__xludf.DUMMYFUNCTION("VLOOKUP(C562,IMPORTRANGE(""https://docs.google.com/spreadsheets/d/1ihFlp3_ePlYtFuPbUNbYj1muErVpI73WHXbEwJDIA7Q/edit#gid=1493122344"",""MTR!C:O""),8,false)"),"Does Not Comply")</f>
        <v>Does Not Comply</v>
      </c>
      <c r="O562" s="248" t="str">
        <f>IFERROR(__xludf.DUMMYFUNCTION("VLOOKUP(C562,IMPORTRANGE(""https://docs.google.com/spreadsheets/d/1P8eX0NWBhUPS_hvzA11R6jkTNFrPrRYIx_dX_hYbxrk/edit?resourcekey=0-iw9bsKY2OqkUHCFMkCar3A&amp;gid=2055363397#gid=2055363397"",""MTR!C:O""),9,false)"),"SA disabled at launch. Reach out to TAM to get this feature enabled when SA is supported.")</f>
        <v>SA disabled at launch. Reach out to TAM to get this feature enabled when SA is supported.</v>
      </c>
      <c r="P562" s="248"/>
      <c r="Q562" s="249" t="s">
        <v>516</v>
      </c>
      <c r="R562" s="249" t="s">
        <v>1822</v>
      </c>
      <c r="S562" s="154" t="s">
        <v>66</v>
      </c>
      <c r="T562" s="154" t="s">
        <v>66</v>
      </c>
      <c r="U562" s="154" t="s">
        <v>60</v>
      </c>
      <c r="V562" s="154" t="s">
        <v>60</v>
      </c>
      <c r="W562" s="154" t="s">
        <v>60</v>
      </c>
      <c r="X562" s="154" t="s">
        <v>60</v>
      </c>
      <c r="Y562" s="154" t="s">
        <v>66</v>
      </c>
      <c r="Z562" s="154" t="s">
        <v>60</v>
      </c>
      <c r="AA562" s="154" t="s">
        <v>60</v>
      </c>
      <c r="AB562" s="154"/>
      <c r="AC562" s="242" t="b">
        <f t="shared" si="2"/>
        <v>1</v>
      </c>
      <c r="AD562" s="154" t="s">
        <v>391</v>
      </c>
      <c r="AE562" s="243" t="b">
        <f t="shared" si="3"/>
        <v>0</v>
      </c>
      <c r="AF562" s="154"/>
      <c r="AG562" s="243" t="b">
        <f t="shared" si="4"/>
        <v>0</v>
      </c>
      <c r="AH562" s="154" t="s">
        <v>652</v>
      </c>
      <c r="AI562" s="243" t="str">
        <f t="shared" si="5"/>
        <v>Complies</v>
      </c>
      <c r="AJ562" s="157" t="str">
        <f t="shared" si="6"/>
        <v/>
      </c>
    </row>
    <row r="563" ht="12.75" customHeight="1">
      <c r="A563" s="244" t="s">
        <v>621</v>
      </c>
      <c r="B563" s="244" t="s">
        <v>1339</v>
      </c>
      <c r="C563" s="244" t="s">
        <v>1827</v>
      </c>
      <c r="D563" s="154" t="s">
        <v>546</v>
      </c>
      <c r="E563" s="250"/>
      <c r="F563" s="154" t="str">
        <f t="array" ref="F563">XLOOKUP(Cover!$D$12,$S$1:$AA$1,$S563:$AA563)</f>
        <v>Mandatory</v>
      </c>
      <c r="G563" s="153" t="s">
        <v>1828</v>
      </c>
      <c r="H563" s="154" t="s">
        <v>232</v>
      </c>
      <c r="I563" s="154" t="s">
        <v>759</v>
      </c>
      <c r="J563" s="247" t="s">
        <v>506</v>
      </c>
      <c r="K563" s="247" t="s">
        <v>1822</v>
      </c>
      <c r="L563" s="154" t="str">
        <f t="shared" si="1"/>
        <v/>
      </c>
      <c r="M563" s="248" t="str">
        <f>IFERROR(__xludf.DUMMYFUNCTION("VLOOKUP(C563,IMPORTRANGE(""https://docs.google.com/spreadsheets/d/1P8eX0NWBhUPS_hvzA11R6jkTNFrPrRYIx_dX_hYbxrk/edit?resourcekey=0-iw9bsKY2OqkUHCFMkCar3A&amp;gid=2055363397#gid=2055363397"",""MTR!C:O""),11,false)"),"PMW-MCE-AS")</f>
        <v>PMW-MCE-AS</v>
      </c>
      <c r="N563" s="248" t="str">
        <f>IFERROR(__xludf.DUMMYFUNCTION("VLOOKUP(C563,IMPORTRANGE(""https://docs.google.com/spreadsheets/d/1ihFlp3_ePlYtFuPbUNbYj1muErVpI73WHXbEwJDIA7Q/edit#gid=1493122344"",""MTR!C:O""),8,false)"),"Does Not Comply")</f>
        <v>Does Not Comply</v>
      </c>
      <c r="O563" s="248" t="str">
        <f>IFERROR(__xludf.DUMMYFUNCTION("VLOOKUP(C563,IMPORTRANGE(""https://docs.google.com/spreadsheets/d/1P8eX0NWBhUPS_hvzA11R6jkTNFrPrRYIx_dX_hYbxrk/edit?resourcekey=0-iw9bsKY2OqkUHCFMkCar3A&amp;gid=2055363397#gid=2055363397"",""MTR!C:O""),9,false)"),"SA disabled at launch. Reach out to TAM to get this feature enabled when SA is supported.")</f>
        <v>SA disabled at launch. Reach out to TAM to get this feature enabled when SA is supported.</v>
      </c>
      <c r="P563" s="248"/>
      <c r="Q563" s="249" t="s">
        <v>516</v>
      </c>
      <c r="R563" s="249" t="s">
        <v>1822</v>
      </c>
      <c r="S563" s="154" t="s">
        <v>66</v>
      </c>
      <c r="T563" s="154" t="s">
        <v>66</v>
      </c>
      <c r="U563" s="154" t="s">
        <v>60</v>
      </c>
      <c r="V563" s="154" t="s">
        <v>60</v>
      </c>
      <c r="W563" s="154" t="s">
        <v>60</v>
      </c>
      <c r="X563" s="154" t="s">
        <v>60</v>
      </c>
      <c r="Y563" s="154" t="s">
        <v>66</v>
      </c>
      <c r="Z563" s="154" t="s">
        <v>60</v>
      </c>
      <c r="AA563" s="154" t="s">
        <v>60</v>
      </c>
      <c r="AB563" s="154"/>
      <c r="AC563" s="242" t="b">
        <f t="shared" si="2"/>
        <v>1</v>
      </c>
      <c r="AD563" s="154" t="s">
        <v>391</v>
      </c>
      <c r="AE563" s="243" t="b">
        <f t="shared" si="3"/>
        <v>0</v>
      </c>
      <c r="AF563" s="154"/>
      <c r="AG563" s="243" t="b">
        <f t="shared" si="4"/>
        <v>0</v>
      </c>
      <c r="AH563" s="154" t="s">
        <v>652</v>
      </c>
      <c r="AI563" s="243" t="str">
        <f t="shared" si="5"/>
        <v>Complies</v>
      </c>
      <c r="AJ563" s="157" t="str">
        <f t="shared" si="6"/>
        <v/>
      </c>
    </row>
    <row r="564" ht="12.75" customHeight="1">
      <c r="A564" s="244" t="s">
        <v>621</v>
      </c>
      <c r="B564" s="244" t="s">
        <v>1339</v>
      </c>
      <c r="C564" s="244" t="s">
        <v>1829</v>
      </c>
      <c r="D564" s="244" t="s">
        <v>546</v>
      </c>
      <c r="E564" s="244"/>
      <c r="F564" s="154" t="str">
        <f t="array" ref="F564">XLOOKUP(Cover!$D$12,$S$1:$AA$1,$S564:$AA564)</f>
        <v>Recommended</v>
      </c>
      <c r="G564" s="153" t="s">
        <v>1830</v>
      </c>
      <c r="H564" s="154" t="s">
        <v>232</v>
      </c>
      <c r="I564" s="154" t="s">
        <v>759</v>
      </c>
      <c r="J564" s="247" t="s">
        <v>506</v>
      </c>
      <c r="K564" s="247" t="s">
        <v>1822</v>
      </c>
      <c r="L564" s="154" t="str">
        <f t="shared" si="1"/>
        <v/>
      </c>
      <c r="M564" s="248" t="str">
        <f>IFERROR(__xludf.DUMMYFUNCTION("VLOOKUP(C564,IMPORTRANGE(""https://docs.google.com/spreadsheets/d/1P8eX0NWBhUPS_hvzA11R6jkTNFrPrRYIx_dX_hYbxrk/edit?resourcekey=0-iw9bsKY2OqkUHCFMkCar3A&amp;gid=2055363397#gid=2055363397"",""MTR!C:O""),11,false)"),"PMW-MCE-AS")</f>
        <v>PMW-MCE-AS</v>
      </c>
      <c r="N564" s="248" t="str">
        <f>IFERROR(__xludf.DUMMYFUNCTION("VLOOKUP(C564,IMPORTRANGE(""https://docs.google.com/spreadsheets/d/1ihFlp3_ePlYtFuPbUNbYj1muErVpI73WHXbEwJDIA7Q/edit#gid=1493122344"",""MTR!C:O""),8,false)"),"Does Not Comply")</f>
        <v>Does Not Comply</v>
      </c>
      <c r="O564" s="248" t="str">
        <f>IFERROR(__xludf.DUMMYFUNCTION("VLOOKUP(C564,IMPORTRANGE(""https://docs.google.com/spreadsheets/d/1P8eX0NWBhUPS_hvzA11R6jkTNFrPrRYIx_dX_hYbxrk/edit?resourcekey=0-iw9bsKY2OqkUHCFMkCar3A&amp;gid=2055363397#gid=2055363397"",""MTR!C:O""),9,false)"),"SA disabled at launch. Reach out to TAM to get this feature enabled when SA is supported.")</f>
        <v>SA disabled at launch. Reach out to TAM to get this feature enabled when SA is supported.</v>
      </c>
      <c r="P564" s="248"/>
      <c r="Q564" s="249" t="s">
        <v>516</v>
      </c>
      <c r="R564" s="249" t="s">
        <v>1822</v>
      </c>
      <c r="S564" s="154" t="s">
        <v>66</v>
      </c>
      <c r="T564" s="154" t="s">
        <v>66</v>
      </c>
      <c r="U564" s="154" t="s">
        <v>64</v>
      </c>
      <c r="V564" s="154" t="s">
        <v>64</v>
      </c>
      <c r="W564" s="154" t="s">
        <v>64</v>
      </c>
      <c r="X564" s="154" t="s">
        <v>64</v>
      </c>
      <c r="Y564" s="154" t="s">
        <v>66</v>
      </c>
      <c r="Z564" s="154" t="s">
        <v>64</v>
      </c>
      <c r="AA564" s="154" t="s">
        <v>64</v>
      </c>
      <c r="AB564" s="154"/>
      <c r="AC564" s="242" t="b">
        <f t="shared" si="2"/>
        <v>1</v>
      </c>
      <c r="AD564" s="154" t="s">
        <v>391</v>
      </c>
      <c r="AE564" s="243" t="b">
        <f t="shared" si="3"/>
        <v>0</v>
      </c>
      <c r="AF564" s="154"/>
      <c r="AG564" s="243" t="b">
        <f t="shared" si="4"/>
        <v>0</v>
      </c>
      <c r="AH564" s="154" t="s">
        <v>652</v>
      </c>
      <c r="AI564" s="243" t="str">
        <f t="shared" si="5"/>
        <v>Complies</v>
      </c>
      <c r="AJ564" s="157" t="str">
        <f t="shared" si="6"/>
        <v/>
      </c>
    </row>
    <row r="565" ht="12.75" customHeight="1">
      <c r="A565" s="244" t="s">
        <v>621</v>
      </c>
      <c r="B565" s="244" t="s">
        <v>1339</v>
      </c>
      <c r="C565" s="244" t="s">
        <v>1831</v>
      </c>
      <c r="D565" s="244" t="s">
        <v>546</v>
      </c>
      <c r="E565" s="244"/>
      <c r="F565" s="154" t="str">
        <f t="array" ref="F565">XLOOKUP(Cover!$D$12,$S$1:$AA$1,$S565:$AA565)</f>
        <v>Recommended</v>
      </c>
      <c r="G565" s="153" t="s">
        <v>1832</v>
      </c>
      <c r="H565" s="154" t="s">
        <v>232</v>
      </c>
      <c r="I565" s="154" t="s">
        <v>759</v>
      </c>
      <c r="J565" s="247" t="s">
        <v>516</v>
      </c>
      <c r="K565" s="154"/>
      <c r="L565" s="154" t="str">
        <f t="shared" si="1"/>
        <v/>
      </c>
      <c r="M565" s="248" t="str">
        <f>IFERROR(__xludf.DUMMYFUNCTION("VLOOKUP(C565,IMPORTRANGE(""https://docs.google.com/spreadsheets/d/1P8eX0NWBhUPS_hvzA11R6jkTNFrPrRYIx_dX_hYbxrk/edit?resourcekey=0-iw9bsKY2OqkUHCFMkCar3A&amp;gid=2055363397#gid=2055363397"",""MTR!C:O""),11,false)"),"PMW-MCE-AS")</f>
        <v>PMW-MCE-AS</v>
      </c>
      <c r="N565" s="248" t="str">
        <f>IFERROR(__xludf.DUMMYFUNCTION("VLOOKUP(C565,IMPORTRANGE(""https://docs.google.com/spreadsheets/d/1ihFlp3_ePlYtFuPbUNbYj1muErVpI73WHXbEwJDIA7Q/edit#gid=1493122344"",""MTR!C:O""),8,false)"),"Does Not Comply")</f>
        <v>Does Not Comply</v>
      </c>
      <c r="O565" s="241" t="str">
        <f>IFERROR(__xludf.DUMMYFUNCTION("VLOOKUP(C565,IMPORTRANGE(""https://docs.google.com/spreadsheets/d/1P8eX0NWBhUPS_hvzA11R6jkTNFrPrRYIx_dX_hYbxrk/edit?resourcekey=0-iw9bsKY2OqkUHCFMkCar3A&amp;gid=2055363397#gid=2055363397"",""MTR!C:O""),9,false)"),"")</f>
        <v/>
      </c>
      <c r="P565" s="241"/>
      <c r="Q565" s="251" t="s">
        <v>516</v>
      </c>
      <c r="R565" s="241"/>
      <c r="S565" s="154" t="s">
        <v>66</v>
      </c>
      <c r="T565" s="154" t="s">
        <v>66</v>
      </c>
      <c r="U565" s="154" t="s">
        <v>64</v>
      </c>
      <c r="V565" s="154" t="s">
        <v>64</v>
      </c>
      <c r="W565" s="154" t="s">
        <v>64</v>
      </c>
      <c r="X565" s="154" t="s">
        <v>64</v>
      </c>
      <c r="Y565" s="154" t="s">
        <v>66</v>
      </c>
      <c r="Z565" s="154" t="s">
        <v>64</v>
      </c>
      <c r="AA565" s="154" t="s">
        <v>64</v>
      </c>
      <c r="AB565" s="154"/>
      <c r="AC565" s="242" t="b">
        <f t="shared" si="2"/>
        <v>1</v>
      </c>
      <c r="AD565" s="154" t="s">
        <v>391</v>
      </c>
      <c r="AE565" s="243" t="b">
        <f t="shared" si="3"/>
        <v>0</v>
      </c>
      <c r="AF565" s="154"/>
      <c r="AG565" s="243" t="b">
        <f t="shared" si="4"/>
        <v>0</v>
      </c>
      <c r="AH565" s="154" t="s">
        <v>652</v>
      </c>
      <c r="AI565" s="243" t="str">
        <f t="shared" si="5"/>
        <v>Complies</v>
      </c>
      <c r="AJ565" s="157" t="str">
        <f t="shared" si="6"/>
        <v/>
      </c>
    </row>
    <row r="566" ht="12.75" customHeight="1">
      <c r="A566" s="244" t="s">
        <v>621</v>
      </c>
      <c r="B566" s="244" t="s">
        <v>1339</v>
      </c>
      <c r="C566" s="244" t="s">
        <v>1833</v>
      </c>
      <c r="D566" s="244" t="s">
        <v>546</v>
      </c>
      <c r="E566" s="244"/>
      <c r="F566" s="154" t="str">
        <f t="array" ref="F566">XLOOKUP(Cover!$D$12,$S$1:$AA$1,$S566:$AA566)</f>
        <v>Mandatory</v>
      </c>
      <c r="G566" s="153" t="s">
        <v>1834</v>
      </c>
      <c r="H566" s="154" t="s">
        <v>234</v>
      </c>
      <c r="I566" s="154" t="s">
        <v>759</v>
      </c>
      <c r="J566" s="247" t="s">
        <v>516</v>
      </c>
      <c r="K566" s="154"/>
      <c r="L566" s="154" t="str">
        <f t="shared" si="1"/>
        <v/>
      </c>
      <c r="M566" s="248" t="str">
        <f>IFERROR(__xludf.DUMMYFUNCTION("VLOOKUP(C566,IMPORTRANGE(""https://docs.google.com/spreadsheets/d/1P8eX0NWBhUPS_hvzA11R6jkTNFrPrRYIx_dX_hYbxrk/edit?resourcekey=0-iw9bsKY2OqkUHCFMkCar3A&amp;gid=2055363397#gid=2055363397"",""MTR!C:O""),11,false)"),"PMW-MCE-AS")</f>
        <v>PMW-MCE-AS</v>
      </c>
      <c r="N566" s="248" t="str">
        <f>IFERROR(__xludf.DUMMYFUNCTION("VLOOKUP(C566,IMPORTRANGE(""https://docs.google.com/spreadsheets/d/1ihFlp3_ePlYtFuPbUNbYj1muErVpI73WHXbEwJDIA7Q/edit#gid=1493122344"",""MTR!C:O""),8,false)"),"Does Not Comply")</f>
        <v>Does Not Comply</v>
      </c>
      <c r="O566" s="241" t="str">
        <f>IFERROR(__xludf.DUMMYFUNCTION("VLOOKUP(C566,IMPORTRANGE(""https://docs.google.com/spreadsheets/d/1P8eX0NWBhUPS_hvzA11R6jkTNFrPrRYIx_dX_hYbxrk/edit?resourcekey=0-iw9bsKY2OqkUHCFMkCar3A&amp;gid=2055363397#gid=2055363397"",""MTR!C:O""),9,false)"),"")</f>
        <v/>
      </c>
      <c r="P566" s="241"/>
      <c r="Q566" s="251" t="s">
        <v>516</v>
      </c>
      <c r="R566" s="241"/>
      <c r="S566" s="154" t="s">
        <v>66</v>
      </c>
      <c r="T566" s="154" t="s">
        <v>66</v>
      </c>
      <c r="U566" s="154" t="s">
        <v>60</v>
      </c>
      <c r="V566" s="154" t="s">
        <v>60</v>
      </c>
      <c r="W566" s="154" t="s">
        <v>60</v>
      </c>
      <c r="X566" s="154" t="s">
        <v>60</v>
      </c>
      <c r="Y566" s="154" t="s">
        <v>66</v>
      </c>
      <c r="Z566" s="154" t="s">
        <v>60</v>
      </c>
      <c r="AA566" s="154" t="s">
        <v>60</v>
      </c>
      <c r="AB566" s="154"/>
      <c r="AC566" s="242" t="b">
        <f t="shared" si="2"/>
        <v>1</v>
      </c>
      <c r="AD566" s="154" t="s">
        <v>391</v>
      </c>
      <c r="AE566" s="243" t="b">
        <f t="shared" si="3"/>
        <v>0</v>
      </c>
      <c r="AF566" s="154"/>
      <c r="AG566" s="243" t="b">
        <f t="shared" si="4"/>
        <v>0</v>
      </c>
      <c r="AH566" s="154" t="s">
        <v>652</v>
      </c>
      <c r="AI566" s="243" t="str">
        <f t="shared" si="5"/>
        <v>Complies</v>
      </c>
      <c r="AJ566" s="157" t="str">
        <f t="shared" si="6"/>
        <v/>
      </c>
    </row>
    <row r="567" ht="12.75" customHeight="1">
      <c r="A567" s="238" t="s">
        <v>621</v>
      </c>
      <c r="B567" s="238" t="s">
        <v>1339</v>
      </c>
      <c r="C567" s="238" t="s">
        <v>1835</v>
      </c>
      <c r="D567" s="240"/>
      <c r="E567" s="252" t="s">
        <v>92</v>
      </c>
      <c r="F567" s="154" t="str">
        <f t="array" ref="F567">XLOOKUP(Cover!$D$12,$S$1:$AA$1,$S567:$AA567)</f>
        <v>Heading</v>
      </c>
      <c r="G567" s="239" t="s">
        <v>1836</v>
      </c>
      <c r="H567" s="240"/>
      <c r="I567" s="240" t="s">
        <v>759</v>
      </c>
      <c r="J567" s="240"/>
      <c r="K567" s="240"/>
      <c r="L567" s="154" t="str">
        <f t="shared" si="1"/>
        <v/>
      </c>
      <c r="M567" s="241" t="str">
        <f>IFERROR(__xludf.DUMMYFUNCTION("VLOOKUP(C567,IMPORTRANGE(""https://docs.google.com/spreadsheets/d/1P8eX0NWBhUPS_hvzA11R6jkTNFrPrRYIx_dX_hYbxrk/edit?resourcekey=0-iw9bsKY2OqkUHCFMkCar3A&amp;gid=2055363397#gid=2055363397"",""MTR!C:O""),11,false)"),"")</f>
        <v/>
      </c>
      <c r="N567" s="241" t="str">
        <f>IFERROR(__xludf.DUMMYFUNCTION("VLOOKUP(C567,IMPORTRANGE(""https://docs.google.com/spreadsheets/d/1ihFlp3_ePlYtFuPbUNbYj1muErVpI73WHXbEwJDIA7Q/edit#gid=1493122344"",""MTR!C:O""),8,false)"),"")</f>
        <v/>
      </c>
      <c r="O567" s="241" t="str">
        <f>IFERROR(__xludf.DUMMYFUNCTION("VLOOKUP(C567,IMPORTRANGE(""https://docs.google.com/spreadsheets/d/1P8eX0NWBhUPS_hvzA11R6jkTNFrPrRYIx_dX_hYbxrk/edit?resourcekey=0-iw9bsKY2OqkUHCFMkCar3A&amp;gid=2055363397#gid=2055363397"",""MTR!C:O""),9,false)"),"")</f>
        <v/>
      </c>
      <c r="P567" s="241"/>
      <c r="Q567" s="241"/>
      <c r="R567" s="241"/>
      <c r="S567" s="240" t="s">
        <v>390</v>
      </c>
      <c r="T567" s="240" t="s">
        <v>390</v>
      </c>
      <c r="U567" s="240" t="s">
        <v>390</v>
      </c>
      <c r="V567" s="240" t="s">
        <v>390</v>
      </c>
      <c r="W567" s="240" t="s">
        <v>390</v>
      </c>
      <c r="X567" s="240" t="s">
        <v>390</v>
      </c>
      <c r="Y567" s="240" t="s">
        <v>390</v>
      </c>
      <c r="Z567" s="240" t="s">
        <v>390</v>
      </c>
      <c r="AA567" s="240" t="s">
        <v>390</v>
      </c>
      <c r="AB567" s="240"/>
      <c r="AC567" s="242" t="b">
        <f t="shared" si="2"/>
        <v>0</v>
      </c>
      <c r="AD567" s="240" t="s">
        <v>391</v>
      </c>
      <c r="AE567" s="243" t="b">
        <f t="shared" si="3"/>
        <v>0</v>
      </c>
      <c r="AF567" s="240"/>
      <c r="AG567" s="243" t="b">
        <f t="shared" si="4"/>
        <v>0</v>
      </c>
      <c r="AH567" s="240"/>
      <c r="AI567" s="243" t="str">
        <f t="shared" si="5"/>
        <v>N/A</v>
      </c>
      <c r="AJ567" s="157" t="str">
        <f t="shared" si="6"/>
        <v/>
      </c>
    </row>
    <row r="568" ht="12.75" customHeight="1">
      <c r="A568" s="244" t="s">
        <v>621</v>
      </c>
      <c r="B568" s="244" t="s">
        <v>1339</v>
      </c>
      <c r="C568" s="244" t="s">
        <v>1837</v>
      </c>
      <c r="D568" s="244" t="s">
        <v>781</v>
      </c>
      <c r="E568" s="244"/>
      <c r="F568" s="154" t="str">
        <f t="array" ref="F568">XLOOKUP(Cover!$D$12,$S$1:$AA$1,$S568:$AA568)</f>
        <v>Recommended</v>
      </c>
      <c r="G568" s="153" t="s">
        <v>1838</v>
      </c>
      <c r="H568" s="154"/>
      <c r="I568" s="154" t="s">
        <v>759</v>
      </c>
      <c r="J568" s="247" t="s">
        <v>445</v>
      </c>
      <c r="K568" s="247"/>
      <c r="L568" s="154" t="str">
        <f t="shared" si="1"/>
        <v/>
      </c>
      <c r="M568" s="248" t="str">
        <f>IFERROR(__xludf.DUMMYFUNCTION("VLOOKUP(C568,IMPORTRANGE(""https://docs.google.com/spreadsheets/d/1P8eX0NWBhUPS_hvzA11R6jkTNFrPrRYIx_dX_hYbxrk/edit?resourcekey=0-iw9bsKY2OqkUHCFMkCar3A&amp;gid=2055363397#gid=2055363397"",""MTR!C:O""),11,false)"),"PMW-MCE-AS")</f>
        <v>PMW-MCE-AS</v>
      </c>
      <c r="N568" s="248" t="str">
        <f>IFERROR(__xludf.DUMMYFUNCTION("VLOOKUP(C568,IMPORTRANGE(""https://docs.google.com/spreadsheets/d/1ihFlp3_ePlYtFuPbUNbYj1muErVpI73WHXbEwJDIA7Q/edit#gid=1493122344"",""MTR!C:O""),8,false)"),"Complies")</f>
        <v>Complies</v>
      </c>
      <c r="O568" s="241" t="str">
        <f>IFERROR(__xludf.DUMMYFUNCTION("VLOOKUP(C568,IMPORTRANGE(""https://docs.google.com/spreadsheets/d/1P8eX0NWBhUPS_hvzA11R6jkTNFrPrRYIx_dX_hYbxrk/edit?resourcekey=0-iw9bsKY2OqkUHCFMkCar3A&amp;gid=2055363397#gid=2055363397"",""MTR!C:O""),9,false)"),"")</f>
        <v/>
      </c>
      <c r="P568" s="241"/>
      <c r="Q568" s="251" t="s">
        <v>445</v>
      </c>
      <c r="R568" s="251" t="s">
        <v>1839</v>
      </c>
      <c r="S568" s="154" t="s">
        <v>66</v>
      </c>
      <c r="T568" s="154" t="s">
        <v>66</v>
      </c>
      <c r="U568" s="154" t="s">
        <v>64</v>
      </c>
      <c r="V568" s="154" t="s">
        <v>64</v>
      </c>
      <c r="W568" s="154" t="s">
        <v>64</v>
      </c>
      <c r="X568" s="154" t="s">
        <v>64</v>
      </c>
      <c r="Y568" s="154" t="s">
        <v>66</v>
      </c>
      <c r="Z568" s="154" t="s">
        <v>64</v>
      </c>
      <c r="AA568" s="154" t="s">
        <v>64</v>
      </c>
      <c r="AB568" s="154"/>
      <c r="AC568" s="242" t="b">
        <f t="shared" si="2"/>
        <v>1</v>
      </c>
      <c r="AD568" s="154" t="s">
        <v>391</v>
      </c>
      <c r="AE568" s="243" t="b">
        <f t="shared" si="3"/>
        <v>0</v>
      </c>
      <c r="AF568" s="154"/>
      <c r="AG568" s="243" t="b">
        <f t="shared" si="4"/>
        <v>0</v>
      </c>
      <c r="AH568" s="154" t="s">
        <v>652</v>
      </c>
      <c r="AI568" s="243" t="str">
        <f t="shared" si="5"/>
        <v>Complies</v>
      </c>
      <c r="AJ568" s="157" t="str">
        <f t="shared" si="6"/>
        <v/>
      </c>
    </row>
    <row r="569" ht="12.75" customHeight="1">
      <c r="A569" s="244" t="s">
        <v>621</v>
      </c>
      <c r="B569" s="244" t="s">
        <v>1339</v>
      </c>
      <c r="C569" s="244" t="s">
        <v>1840</v>
      </c>
      <c r="D569" s="244" t="s">
        <v>781</v>
      </c>
      <c r="E569" s="244"/>
      <c r="F569" s="154" t="str">
        <f t="array" ref="F569">XLOOKUP(Cover!$D$12,$S$1:$AA$1,$S569:$AA569)</f>
        <v>Recommended</v>
      </c>
      <c r="G569" s="153" t="s">
        <v>1841</v>
      </c>
      <c r="H569" s="154"/>
      <c r="I569" s="154" t="s">
        <v>759</v>
      </c>
      <c r="J569" s="247" t="s">
        <v>445</v>
      </c>
      <c r="K569" s="247"/>
      <c r="L569" s="154" t="str">
        <f t="shared" si="1"/>
        <v/>
      </c>
      <c r="M569" s="248" t="str">
        <f>IFERROR(__xludf.DUMMYFUNCTION("VLOOKUP(C569,IMPORTRANGE(""https://docs.google.com/spreadsheets/d/1P8eX0NWBhUPS_hvzA11R6jkTNFrPrRYIx_dX_hYbxrk/edit?resourcekey=0-iw9bsKY2OqkUHCFMkCar3A&amp;gid=2055363397#gid=2055363397"",""MTR!C:O""),11,false)"),"PMW-MCE-AS")</f>
        <v>PMW-MCE-AS</v>
      </c>
      <c r="N569" s="248" t="str">
        <f>IFERROR(__xludf.DUMMYFUNCTION("VLOOKUP(C569,IMPORTRANGE(""https://docs.google.com/spreadsheets/d/1ihFlp3_ePlYtFuPbUNbYj1muErVpI73WHXbEwJDIA7Q/edit#gid=1493122344"",""MTR!C:O""),8,false)"),"Complies")</f>
        <v>Complies</v>
      </c>
      <c r="O569" s="241" t="str">
        <f>IFERROR(__xludf.DUMMYFUNCTION("VLOOKUP(C569,IMPORTRANGE(""https://docs.google.com/spreadsheets/d/1P8eX0NWBhUPS_hvzA11R6jkTNFrPrRYIx_dX_hYbxrk/edit?resourcekey=0-iw9bsKY2OqkUHCFMkCar3A&amp;gid=2055363397#gid=2055363397"",""MTR!C:O""),9,false)"),"")</f>
        <v/>
      </c>
      <c r="P569" s="241"/>
      <c r="Q569" s="251" t="s">
        <v>445</v>
      </c>
      <c r="R569" s="251" t="s">
        <v>1839</v>
      </c>
      <c r="S569" s="154" t="s">
        <v>66</v>
      </c>
      <c r="T569" s="154" t="s">
        <v>66</v>
      </c>
      <c r="U569" s="154" t="s">
        <v>64</v>
      </c>
      <c r="V569" s="154" t="s">
        <v>64</v>
      </c>
      <c r="W569" s="154" t="s">
        <v>64</v>
      </c>
      <c r="X569" s="154" t="s">
        <v>64</v>
      </c>
      <c r="Y569" s="154" t="s">
        <v>66</v>
      </c>
      <c r="Z569" s="154" t="s">
        <v>64</v>
      </c>
      <c r="AA569" s="154" t="s">
        <v>64</v>
      </c>
      <c r="AB569" s="154"/>
      <c r="AC569" s="242" t="b">
        <f t="shared" si="2"/>
        <v>1</v>
      </c>
      <c r="AD569" s="154" t="s">
        <v>391</v>
      </c>
      <c r="AE569" s="243" t="b">
        <f t="shared" si="3"/>
        <v>0</v>
      </c>
      <c r="AF569" s="154"/>
      <c r="AG569" s="243" t="b">
        <f t="shared" si="4"/>
        <v>0</v>
      </c>
      <c r="AH569" s="154" t="s">
        <v>652</v>
      </c>
      <c r="AI569" s="243" t="str">
        <f t="shared" si="5"/>
        <v>Complies</v>
      </c>
      <c r="AJ569" s="157" t="str">
        <f t="shared" si="6"/>
        <v/>
      </c>
    </row>
    <row r="570" ht="12.75" customHeight="1">
      <c r="A570" s="238" t="s">
        <v>621</v>
      </c>
      <c r="B570" s="238" t="s">
        <v>1339</v>
      </c>
      <c r="C570" s="238" t="s">
        <v>1842</v>
      </c>
      <c r="D570" s="240"/>
      <c r="E570" s="252" t="s">
        <v>92</v>
      </c>
      <c r="F570" s="154" t="str">
        <f t="array" ref="F570">XLOOKUP(Cover!$D$12,$S$1:$AA$1,$S570:$AA570)</f>
        <v>Heading</v>
      </c>
      <c r="G570" s="239" t="s">
        <v>1843</v>
      </c>
      <c r="H570" s="240"/>
      <c r="I570" s="240" t="s">
        <v>759</v>
      </c>
      <c r="J570" s="240"/>
      <c r="K570" s="240"/>
      <c r="L570" s="154" t="str">
        <f t="shared" si="1"/>
        <v/>
      </c>
      <c r="M570" s="241" t="str">
        <f>IFERROR(__xludf.DUMMYFUNCTION("VLOOKUP(C570,IMPORTRANGE(""https://docs.google.com/spreadsheets/d/1P8eX0NWBhUPS_hvzA11R6jkTNFrPrRYIx_dX_hYbxrk/edit?resourcekey=0-iw9bsKY2OqkUHCFMkCar3A&amp;gid=2055363397#gid=2055363397"",""MTR!C:O""),11,false)"),"")</f>
        <v/>
      </c>
      <c r="N570" s="241" t="str">
        <f>IFERROR(__xludf.DUMMYFUNCTION("VLOOKUP(C570,IMPORTRANGE(""https://docs.google.com/spreadsheets/d/1ihFlp3_ePlYtFuPbUNbYj1muErVpI73WHXbEwJDIA7Q/edit#gid=1493122344"",""MTR!C:O""),8,false)"),"")</f>
        <v/>
      </c>
      <c r="O570" s="241" t="str">
        <f>IFERROR(__xludf.DUMMYFUNCTION("VLOOKUP(C570,IMPORTRANGE(""https://docs.google.com/spreadsheets/d/1P8eX0NWBhUPS_hvzA11R6jkTNFrPrRYIx_dX_hYbxrk/edit?resourcekey=0-iw9bsKY2OqkUHCFMkCar3A&amp;gid=2055363397#gid=2055363397"",""MTR!C:O""),9,false)"),"")</f>
        <v/>
      </c>
      <c r="P570" s="241"/>
      <c r="Q570" s="241"/>
      <c r="R570" s="241"/>
      <c r="S570" s="240" t="s">
        <v>390</v>
      </c>
      <c r="T570" s="240" t="s">
        <v>390</v>
      </c>
      <c r="U570" s="240" t="s">
        <v>390</v>
      </c>
      <c r="V570" s="240" t="s">
        <v>390</v>
      </c>
      <c r="W570" s="240" t="s">
        <v>390</v>
      </c>
      <c r="X570" s="240" t="s">
        <v>390</v>
      </c>
      <c r="Y570" s="240" t="s">
        <v>390</v>
      </c>
      <c r="Z570" s="240" t="s">
        <v>390</v>
      </c>
      <c r="AA570" s="240" t="s">
        <v>390</v>
      </c>
      <c r="AB570" s="240"/>
      <c r="AC570" s="242" t="b">
        <f t="shared" si="2"/>
        <v>0</v>
      </c>
      <c r="AD570" s="240" t="s">
        <v>391</v>
      </c>
      <c r="AE570" s="243" t="b">
        <f t="shared" si="3"/>
        <v>0</v>
      </c>
      <c r="AF570" s="240"/>
      <c r="AG570" s="243" t="b">
        <f t="shared" si="4"/>
        <v>0</v>
      </c>
      <c r="AH570" s="240"/>
      <c r="AI570" s="243" t="str">
        <f t="shared" si="5"/>
        <v>N/A</v>
      </c>
      <c r="AJ570" s="157" t="str">
        <f t="shared" si="6"/>
        <v/>
      </c>
    </row>
    <row r="571" ht="12.75" customHeight="1">
      <c r="A571" s="244" t="s">
        <v>621</v>
      </c>
      <c r="B571" s="244" t="s">
        <v>1339</v>
      </c>
      <c r="C571" s="244" t="s">
        <v>1844</v>
      </c>
      <c r="D571" s="154" t="s">
        <v>546</v>
      </c>
      <c r="E571" s="250"/>
      <c r="F571" s="154" t="str">
        <f t="array" ref="F571">XLOOKUP(Cover!$D$12,$S$1:$AA$1,$S571:$AA571)</f>
        <v>Recommended</v>
      </c>
      <c r="G571" s="153" t="s">
        <v>1845</v>
      </c>
      <c r="H571" s="154"/>
      <c r="I571" s="154" t="s">
        <v>759</v>
      </c>
      <c r="J571" s="247" t="s">
        <v>516</v>
      </c>
      <c r="K571" s="154"/>
      <c r="L571" s="154" t="str">
        <f t="shared" si="1"/>
        <v/>
      </c>
      <c r="M571" s="253" t="str">
        <f>IFERROR(__xludf.DUMMYFUNCTION("VLOOKUP(C571,IMPORTRANGE(""https://docs.google.com/spreadsheets/d/1P8eX0NWBhUPS_hvzA11R6jkTNFrPrRYIx_dX_hYbxrk/edit?resourcekey=0-iw9bsKY2OqkUHCFMkCar3A&amp;gid=2055363397#gid=2055363397"",""MTR!C:O""),11,false)"),"#N/A")</f>
        <v>#N/A</v>
      </c>
      <c r="N571" s="248" t="str">
        <f>IFERROR(__xludf.DUMMYFUNCTION("VLOOKUP(C571,IMPORTRANGE(""https://docs.google.com/spreadsheets/d/1ihFlp3_ePlYtFuPbUNbYj1muErVpI73WHXbEwJDIA7Q/edit#gid=1493122344"",""MTR!C:O""),8,false)"),"Does Not Comply")</f>
        <v>Does Not Comply</v>
      </c>
      <c r="O571" s="248" t="str">
        <f>IFERROR(__xludf.DUMMYFUNCTION("VLOOKUP(C571,IMPORTRANGE(""https://docs.google.com/spreadsheets/d/1P8eX0NWBhUPS_hvzA11R6jkTNFrPrRYIx_dX_hYbxrk/edit?resourcekey=0-iw9bsKY2OqkUHCFMkCar3A&amp;gid=2055363397#gid=2055363397"",""MTR!C:O""),9,false)"),"SA disabled at launch. Reach out to TAM to get this feature enabled when SA is supported.")</f>
        <v>SA disabled at launch. Reach out to TAM to get this feature enabled when SA is supported.</v>
      </c>
      <c r="P571" s="248"/>
      <c r="Q571" s="249" t="s">
        <v>516</v>
      </c>
      <c r="R571" s="248"/>
      <c r="S571" s="154" t="s">
        <v>66</v>
      </c>
      <c r="T571" s="154" t="s">
        <v>66</v>
      </c>
      <c r="U571" s="154" t="s">
        <v>64</v>
      </c>
      <c r="V571" s="154" t="s">
        <v>64</v>
      </c>
      <c r="W571" s="154" t="s">
        <v>64</v>
      </c>
      <c r="X571" s="154" t="s">
        <v>64</v>
      </c>
      <c r="Y571" s="154" t="s">
        <v>66</v>
      </c>
      <c r="Z571" s="154" t="s">
        <v>64</v>
      </c>
      <c r="AA571" s="154" t="s">
        <v>64</v>
      </c>
      <c r="AB571" s="154"/>
      <c r="AC571" s="242" t="b">
        <f t="shared" si="2"/>
        <v>1</v>
      </c>
      <c r="AD571" s="154" t="s">
        <v>391</v>
      </c>
      <c r="AE571" s="243" t="b">
        <f t="shared" si="3"/>
        <v>0</v>
      </c>
      <c r="AF571" s="154"/>
      <c r="AG571" s="243" t="b">
        <f t="shared" si="4"/>
        <v>0</v>
      </c>
      <c r="AH571" s="154" t="s">
        <v>1346</v>
      </c>
      <c r="AI571" s="243" t="str">
        <f t="shared" si="5"/>
        <v>Partially Complies</v>
      </c>
      <c r="AJ571" s="157" t="str">
        <f t="shared" si="6"/>
        <v/>
      </c>
    </row>
    <row r="572" ht="12.75" customHeight="1">
      <c r="A572" s="238" t="s">
        <v>621</v>
      </c>
      <c r="B572" s="238" t="s">
        <v>1339</v>
      </c>
      <c r="C572" s="238" t="s">
        <v>1846</v>
      </c>
      <c r="D572" s="240"/>
      <c r="E572" s="252" t="s">
        <v>92</v>
      </c>
      <c r="F572" s="154" t="str">
        <f t="array" ref="F572">XLOOKUP(Cover!$D$12,$S$1:$AA$1,$S572:$AA572)</f>
        <v>Heading</v>
      </c>
      <c r="G572" s="239" t="s">
        <v>1847</v>
      </c>
      <c r="H572" s="240"/>
      <c r="I572" s="240" t="s">
        <v>759</v>
      </c>
      <c r="J572" s="240"/>
      <c r="K572" s="240"/>
      <c r="L572" s="154" t="str">
        <f t="shared" si="1"/>
        <v/>
      </c>
      <c r="M572" s="241" t="str">
        <f>IFERROR(__xludf.DUMMYFUNCTION("VLOOKUP(C572,IMPORTRANGE(""https://docs.google.com/spreadsheets/d/1P8eX0NWBhUPS_hvzA11R6jkTNFrPrRYIx_dX_hYbxrk/edit?resourcekey=0-iw9bsKY2OqkUHCFMkCar3A&amp;gid=2055363397#gid=2055363397"",""MTR!C:O""),11,false)"),"")</f>
        <v/>
      </c>
      <c r="N572" s="241" t="str">
        <f>IFERROR(__xludf.DUMMYFUNCTION("VLOOKUP(C572,IMPORTRANGE(""https://docs.google.com/spreadsheets/d/1ihFlp3_ePlYtFuPbUNbYj1muErVpI73WHXbEwJDIA7Q/edit#gid=1493122344"",""MTR!C:O""),8,false)"),"")</f>
        <v/>
      </c>
      <c r="O572" s="241" t="str">
        <f>IFERROR(__xludf.DUMMYFUNCTION("VLOOKUP(C572,IMPORTRANGE(""https://docs.google.com/spreadsheets/d/1P8eX0NWBhUPS_hvzA11R6jkTNFrPrRYIx_dX_hYbxrk/edit?resourcekey=0-iw9bsKY2OqkUHCFMkCar3A&amp;gid=2055363397#gid=2055363397"",""MTR!C:O""),9,false)"),"")</f>
        <v/>
      </c>
      <c r="P572" s="241"/>
      <c r="Q572" s="241"/>
      <c r="R572" s="241"/>
      <c r="S572" s="240" t="s">
        <v>390</v>
      </c>
      <c r="T572" s="240" t="s">
        <v>390</v>
      </c>
      <c r="U572" s="240" t="s">
        <v>390</v>
      </c>
      <c r="V572" s="240" t="s">
        <v>390</v>
      </c>
      <c r="W572" s="240" t="s">
        <v>390</v>
      </c>
      <c r="X572" s="240" t="s">
        <v>390</v>
      </c>
      <c r="Y572" s="240" t="s">
        <v>390</v>
      </c>
      <c r="Z572" s="240" t="s">
        <v>390</v>
      </c>
      <c r="AA572" s="240" t="s">
        <v>390</v>
      </c>
      <c r="AB572" s="240"/>
      <c r="AC572" s="242" t="b">
        <f t="shared" si="2"/>
        <v>0</v>
      </c>
      <c r="AD572" s="240" t="s">
        <v>391</v>
      </c>
      <c r="AE572" s="243" t="b">
        <f t="shared" si="3"/>
        <v>0</v>
      </c>
      <c r="AF572" s="240"/>
      <c r="AG572" s="243" t="b">
        <f t="shared" si="4"/>
        <v>0</v>
      </c>
      <c r="AH572" s="240"/>
      <c r="AI572" s="243" t="str">
        <f t="shared" si="5"/>
        <v>N/A</v>
      </c>
      <c r="AJ572" s="157" t="str">
        <f t="shared" si="6"/>
        <v/>
      </c>
    </row>
    <row r="573" ht="12.75" customHeight="1">
      <c r="A573" s="244" t="s">
        <v>621</v>
      </c>
      <c r="B573" s="244" t="s">
        <v>1339</v>
      </c>
      <c r="C573" s="244" t="s">
        <v>1848</v>
      </c>
      <c r="D573" s="154" t="s">
        <v>546</v>
      </c>
      <c r="E573" s="250"/>
      <c r="F573" s="154" t="str">
        <f t="array" ref="F573">XLOOKUP(Cover!$D$12,$S$1:$AA$1,$S573:$AA573)</f>
        <v>Recommended</v>
      </c>
      <c r="G573" s="153" t="s">
        <v>1849</v>
      </c>
      <c r="H573" s="154"/>
      <c r="I573" s="154" t="s">
        <v>759</v>
      </c>
      <c r="J573" s="247" t="s">
        <v>516</v>
      </c>
      <c r="K573" s="154"/>
      <c r="L573" s="154" t="str">
        <f t="shared" si="1"/>
        <v/>
      </c>
      <c r="M573" s="248" t="str">
        <f>IFERROR(__xludf.DUMMYFUNCTION("VLOOKUP(C573,IMPORTRANGE(""https://docs.google.com/spreadsheets/d/1P8eX0NWBhUPS_hvzA11R6jkTNFrPrRYIx_dX_hYbxrk/edit?resourcekey=0-iw9bsKY2OqkUHCFMkCar3A&amp;gid=2055363397#gid=2055363397"",""MTR!C:O""),11,false)"),"PMW-MCE-AS")</f>
        <v>PMW-MCE-AS</v>
      </c>
      <c r="N573" s="248" t="str">
        <f>IFERROR(__xludf.DUMMYFUNCTION("VLOOKUP(C573,IMPORTRANGE(""https://docs.google.com/spreadsheets/d/1ihFlp3_ePlYtFuPbUNbYj1muErVpI73WHXbEwJDIA7Q/edit#gid=1493122344"",""MTR!C:O""),8,false)"),"Does Not Comply")</f>
        <v>Does Not Comply</v>
      </c>
      <c r="O573" s="248" t="str">
        <f>IFERROR(__xludf.DUMMYFUNCTION("VLOOKUP(C573,IMPORTRANGE(""https://docs.google.com/spreadsheets/d/1P8eX0NWBhUPS_hvzA11R6jkTNFrPrRYIx_dX_hYbxrk/edit?resourcekey=0-iw9bsKY2OqkUHCFMkCar3A&amp;gid=2055363397#gid=2055363397"",""MTR!C:O""),9,false)"),"SA disabled at launch. Reach out to TAM to get this feature enabled when SA is supported.")</f>
        <v>SA disabled at launch. Reach out to TAM to get this feature enabled when SA is supported.</v>
      </c>
      <c r="P573" s="248"/>
      <c r="Q573" s="249" t="s">
        <v>516</v>
      </c>
      <c r="R573" s="248"/>
      <c r="S573" s="154" t="s">
        <v>66</v>
      </c>
      <c r="T573" s="154" t="s">
        <v>66</v>
      </c>
      <c r="U573" s="154" t="s">
        <v>64</v>
      </c>
      <c r="V573" s="154" t="s">
        <v>64</v>
      </c>
      <c r="W573" s="154" t="s">
        <v>64</v>
      </c>
      <c r="X573" s="154" t="s">
        <v>64</v>
      </c>
      <c r="Y573" s="154" t="s">
        <v>66</v>
      </c>
      <c r="Z573" s="154" t="s">
        <v>64</v>
      </c>
      <c r="AA573" s="154" t="s">
        <v>64</v>
      </c>
      <c r="AB573" s="154"/>
      <c r="AC573" s="242" t="b">
        <f t="shared" si="2"/>
        <v>1</v>
      </c>
      <c r="AD573" s="154" t="s">
        <v>391</v>
      </c>
      <c r="AE573" s="243" t="b">
        <f t="shared" si="3"/>
        <v>0</v>
      </c>
      <c r="AF573" s="154"/>
      <c r="AG573" s="243" t="b">
        <f t="shared" si="4"/>
        <v>0</v>
      </c>
      <c r="AH573" s="154" t="s">
        <v>1346</v>
      </c>
      <c r="AI573" s="243" t="str">
        <f t="shared" si="5"/>
        <v>Partially Complies</v>
      </c>
      <c r="AJ573" s="157" t="str">
        <f t="shared" si="6"/>
        <v/>
      </c>
    </row>
    <row r="574" ht="12.75" customHeight="1">
      <c r="A574" s="244" t="s">
        <v>621</v>
      </c>
      <c r="B574" s="244" t="s">
        <v>1339</v>
      </c>
      <c r="C574" s="244" t="s">
        <v>1850</v>
      </c>
      <c r="D574" s="154" t="s">
        <v>546</v>
      </c>
      <c r="E574" s="250"/>
      <c r="F574" s="154" t="str">
        <f t="array" ref="F574">XLOOKUP(Cover!$D$12,$S$1:$AA$1,$S574:$AA574)</f>
        <v>Recommended</v>
      </c>
      <c r="G574" s="153" t="s">
        <v>1851</v>
      </c>
      <c r="H574" s="154"/>
      <c r="I574" s="154" t="s">
        <v>759</v>
      </c>
      <c r="J574" s="247" t="s">
        <v>516</v>
      </c>
      <c r="K574" s="154"/>
      <c r="L574" s="154" t="str">
        <f t="shared" si="1"/>
        <v/>
      </c>
      <c r="M574" s="248" t="str">
        <f>IFERROR(__xludf.DUMMYFUNCTION("VLOOKUP(C574,IMPORTRANGE(""https://docs.google.com/spreadsheets/d/1P8eX0NWBhUPS_hvzA11R6jkTNFrPrRYIx_dX_hYbxrk/edit?resourcekey=0-iw9bsKY2OqkUHCFMkCar3A&amp;gid=2055363397#gid=2055363397"",""MTR!C:O""),11,false)"),"PMW-MCE-AS")</f>
        <v>PMW-MCE-AS</v>
      </c>
      <c r="N574" s="248" t="str">
        <f>IFERROR(__xludf.DUMMYFUNCTION("VLOOKUP(C574,IMPORTRANGE(""https://docs.google.com/spreadsheets/d/1ihFlp3_ePlYtFuPbUNbYj1muErVpI73WHXbEwJDIA7Q/edit#gid=1493122344"",""MTR!C:O""),8,false)"),"Does Not Comply")</f>
        <v>Does Not Comply</v>
      </c>
      <c r="O574" s="241" t="str">
        <f>IFERROR(__xludf.DUMMYFUNCTION("VLOOKUP(C574,IMPORTRANGE(""https://docs.google.com/spreadsheets/d/1P8eX0NWBhUPS_hvzA11R6jkTNFrPrRYIx_dX_hYbxrk/edit?resourcekey=0-iw9bsKY2OqkUHCFMkCar3A&amp;gid=2055363397#gid=2055363397"",""MTR!C:O""),9,false)"),"")</f>
        <v/>
      </c>
      <c r="P574" s="241"/>
      <c r="Q574" s="251" t="s">
        <v>516</v>
      </c>
      <c r="R574" s="241"/>
      <c r="S574" s="154" t="s">
        <v>66</v>
      </c>
      <c r="T574" s="154" t="s">
        <v>66</v>
      </c>
      <c r="U574" s="154" t="s">
        <v>64</v>
      </c>
      <c r="V574" s="154" t="s">
        <v>64</v>
      </c>
      <c r="W574" s="154" t="s">
        <v>64</v>
      </c>
      <c r="X574" s="154" t="s">
        <v>64</v>
      </c>
      <c r="Y574" s="154" t="s">
        <v>66</v>
      </c>
      <c r="Z574" s="154" t="s">
        <v>64</v>
      </c>
      <c r="AA574" s="154" t="s">
        <v>64</v>
      </c>
      <c r="AB574" s="154"/>
      <c r="AC574" s="242" t="b">
        <f t="shared" si="2"/>
        <v>1</v>
      </c>
      <c r="AD574" s="154" t="s">
        <v>391</v>
      </c>
      <c r="AE574" s="243" t="b">
        <f t="shared" si="3"/>
        <v>0</v>
      </c>
      <c r="AF574" s="154"/>
      <c r="AG574" s="243" t="b">
        <f t="shared" si="4"/>
        <v>0</v>
      </c>
      <c r="AH574" s="154" t="s">
        <v>1346</v>
      </c>
      <c r="AI574" s="243" t="str">
        <f t="shared" si="5"/>
        <v>Partially Complies</v>
      </c>
      <c r="AJ574" s="157" t="str">
        <f t="shared" si="6"/>
        <v/>
      </c>
    </row>
    <row r="575" ht="12.75" customHeight="1">
      <c r="A575" s="244" t="s">
        <v>621</v>
      </c>
      <c r="B575" s="244" t="s">
        <v>1339</v>
      </c>
      <c r="C575" s="244" t="s">
        <v>1852</v>
      </c>
      <c r="D575" s="154" t="s">
        <v>546</v>
      </c>
      <c r="E575" s="250"/>
      <c r="F575" s="154" t="str">
        <f t="array" ref="F575">XLOOKUP(Cover!$D$12,$S$1:$AA$1,$S575:$AA575)</f>
        <v>Recommended</v>
      </c>
      <c r="G575" s="153" t="s">
        <v>1853</v>
      </c>
      <c r="H575" s="154"/>
      <c r="I575" s="154" t="s">
        <v>759</v>
      </c>
      <c r="J575" s="247" t="s">
        <v>516</v>
      </c>
      <c r="K575" s="154"/>
      <c r="L575" s="154" t="str">
        <f t="shared" si="1"/>
        <v/>
      </c>
      <c r="M575" s="248" t="str">
        <f>IFERROR(__xludf.DUMMYFUNCTION("VLOOKUP(C575,IMPORTRANGE(""https://docs.google.com/spreadsheets/d/1P8eX0NWBhUPS_hvzA11R6jkTNFrPrRYIx_dX_hYbxrk/edit?resourcekey=0-iw9bsKY2OqkUHCFMkCar3A&amp;gid=2055363397#gid=2055363397"",""MTR!C:O""),11,false)"),"PMW-MCE-AS")</f>
        <v>PMW-MCE-AS</v>
      </c>
      <c r="N575" s="248" t="str">
        <f>IFERROR(__xludf.DUMMYFUNCTION("VLOOKUP(C575,IMPORTRANGE(""https://docs.google.com/spreadsheets/d/1ihFlp3_ePlYtFuPbUNbYj1muErVpI73WHXbEwJDIA7Q/edit#gid=1493122344"",""MTR!C:O""),8,false)"),"Does Not Comply")</f>
        <v>Does Not Comply</v>
      </c>
      <c r="O575" s="241" t="str">
        <f>IFERROR(__xludf.DUMMYFUNCTION("VLOOKUP(C575,IMPORTRANGE(""https://docs.google.com/spreadsheets/d/1P8eX0NWBhUPS_hvzA11R6jkTNFrPrRYIx_dX_hYbxrk/edit?resourcekey=0-iw9bsKY2OqkUHCFMkCar3A&amp;gid=2055363397#gid=2055363397"",""MTR!C:O""),9,false)"),"")</f>
        <v/>
      </c>
      <c r="P575" s="241"/>
      <c r="Q575" s="251" t="s">
        <v>516</v>
      </c>
      <c r="R575" s="241"/>
      <c r="S575" s="154" t="s">
        <v>66</v>
      </c>
      <c r="T575" s="154" t="s">
        <v>66</v>
      </c>
      <c r="U575" s="154" t="s">
        <v>64</v>
      </c>
      <c r="V575" s="154" t="s">
        <v>64</v>
      </c>
      <c r="W575" s="154" t="s">
        <v>64</v>
      </c>
      <c r="X575" s="154" t="s">
        <v>64</v>
      </c>
      <c r="Y575" s="154" t="s">
        <v>66</v>
      </c>
      <c r="Z575" s="154" t="s">
        <v>64</v>
      </c>
      <c r="AA575" s="154" t="s">
        <v>64</v>
      </c>
      <c r="AB575" s="154"/>
      <c r="AC575" s="242" t="b">
        <f t="shared" si="2"/>
        <v>1</v>
      </c>
      <c r="AD575" s="154" t="s">
        <v>391</v>
      </c>
      <c r="AE575" s="243" t="b">
        <f t="shared" si="3"/>
        <v>0</v>
      </c>
      <c r="AF575" s="154"/>
      <c r="AG575" s="243" t="b">
        <f t="shared" si="4"/>
        <v>0</v>
      </c>
      <c r="AH575" s="154" t="s">
        <v>1346</v>
      </c>
      <c r="AI575" s="243" t="str">
        <f t="shared" si="5"/>
        <v>Partially Complies</v>
      </c>
      <c r="AJ575" s="157" t="str">
        <f t="shared" si="6"/>
        <v/>
      </c>
    </row>
    <row r="576" ht="12.75" customHeight="1">
      <c r="A576" s="238" t="s">
        <v>621</v>
      </c>
      <c r="B576" s="238" t="s">
        <v>1339</v>
      </c>
      <c r="C576" s="238" t="s">
        <v>1854</v>
      </c>
      <c r="D576" s="240"/>
      <c r="E576" s="252" t="s">
        <v>92</v>
      </c>
      <c r="F576" s="154" t="str">
        <f t="array" ref="F576">XLOOKUP(Cover!$D$12,$S$1:$AA$1,$S576:$AA576)</f>
        <v>Heading</v>
      </c>
      <c r="G576" s="239" t="s">
        <v>1855</v>
      </c>
      <c r="H576" s="240"/>
      <c r="I576" s="240" t="s">
        <v>759</v>
      </c>
      <c r="J576" s="240"/>
      <c r="K576" s="240"/>
      <c r="L576" s="154" t="str">
        <f t="shared" si="1"/>
        <v/>
      </c>
      <c r="M576" s="241" t="str">
        <f>IFERROR(__xludf.DUMMYFUNCTION("VLOOKUP(C576,IMPORTRANGE(""https://docs.google.com/spreadsheets/d/1P8eX0NWBhUPS_hvzA11R6jkTNFrPrRYIx_dX_hYbxrk/edit?resourcekey=0-iw9bsKY2OqkUHCFMkCar3A&amp;gid=2055363397#gid=2055363397"",""MTR!C:O""),11,false)"),"")</f>
        <v/>
      </c>
      <c r="N576" s="241" t="str">
        <f>IFERROR(__xludf.DUMMYFUNCTION("VLOOKUP(C576,IMPORTRANGE(""https://docs.google.com/spreadsheets/d/1ihFlp3_ePlYtFuPbUNbYj1muErVpI73WHXbEwJDIA7Q/edit#gid=1493122344"",""MTR!C:O""),8,false)"),"")</f>
        <v/>
      </c>
      <c r="O576" s="241" t="str">
        <f>IFERROR(__xludf.DUMMYFUNCTION("VLOOKUP(C576,IMPORTRANGE(""https://docs.google.com/spreadsheets/d/1P8eX0NWBhUPS_hvzA11R6jkTNFrPrRYIx_dX_hYbxrk/edit?resourcekey=0-iw9bsKY2OqkUHCFMkCar3A&amp;gid=2055363397#gid=2055363397"",""MTR!C:O""),9,false)"),"")</f>
        <v/>
      </c>
      <c r="P576" s="241"/>
      <c r="Q576" s="241"/>
      <c r="R576" s="241"/>
      <c r="S576" s="240" t="s">
        <v>390</v>
      </c>
      <c r="T576" s="240" t="s">
        <v>390</v>
      </c>
      <c r="U576" s="240" t="s">
        <v>390</v>
      </c>
      <c r="V576" s="240" t="s">
        <v>390</v>
      </c>
      <c r="W576" s="240" t="s">
        <v>390</v>
      </c>
      <c r="X576" s="240" t="s">
        <v>390</v>
      </c>
      <c r="Y576" s="240" t="s">
        <v>390</v>
      </c>
      <c r="Z576" s="240" t="s">
        <v>390</v>
      </c>
      <c r="AA576" s="240" t="s">
        <v>390</v>
      </c>
      <c r="AB576" s="240"/>
      <c r="AC576" s="242" t="b">
        <f t="shared" si="2"/>
        <v>0</v>
      </c>
      <c r="AD576" s="240" t="s">
        <v>391</v>
      </c>
      <c r="AE576" s="243" t="b">
        <f t="shared" si="3"/>
        <v>0</v>
      </c>
      <c r="AF576" s="240"/>
      <c r="AG576" s="243" t="b">
        <f t="shared" si="4"/>
        <v>0</v>
      </c>
      <c r="AH576" s="240"/>
      <c r="AI576" s="243" t="str">
        <f t="shared" si="5"/>
        <v>N/A</v>
      </c>
      <c r="AJ576" s="157" t="str">
        <f t="shared" si="6"/>
        <v/>
      </c>
    </row>
    <row r="577" ht="12.75" customHeight="1">
      <c r="A577" s="244" t="s">
        <v>621</v>
      </c>
      <c r="B577" s="244" t="s">
        <v>1339</v>
      </c>
      <c r="C577" s="244" t="s">
        <v>1856</v>
      </c>
      <c r="D577" s="154" t="s">
        <v>1315</v>
      </c>
      <c r="E577" s="250"/>
      <c r="F577" s="154" t="str">
        <f t="array" ref="F577">XLOOKUP(Cover!$D$12,$S$1:$AA$1,$S577:$AA577)</f>
        <v>Mandatory</v>
      </c>
      <c r="G577" s="153" t="s">
        <v>1857</v>
      </c>
      <c r="H577" s="154" t="s">
        <v>232</v>
      </c>
      <c r="I577" s="154" t="s">
        <v>759</v>
      </c>
      <c r="J577" s="247" t="s">
        <v>506</v>
      </c>
      <c r="K577" s="247" t="s">
        <v>1858</v>
      </c>
      <c r="L577" s="154" t="str">
        <f t="shared" si="1"/>
        <v/>
      </c>
      <c r="M577" s="248" t="str">
        <f>IFERROR(__xludf.DUMMYFUNCTION("VLOOKUP(C577,IMPORTRANGE(""https://docs.google.com/spreadsheets/d/1P8eX0NWBhUPS_hvzA11R6jkTNFrPrRYIx_dX_hYbxrk/edit?resourcekey=0-iw9bsKY2OqkUHCFMkCar3A&amp;gid=2055363397#gid=2055363397"",""MTR!C:O""),11,false)"),"PMW-MCE-AS")</f>
        <v>PMW-MCE-AS</v>
      </c>
      <c r="N577" s="248" t="str">
        <f>IFERROR(__xludf.DUMMYFUNCTION("VLOOKUP(C577,IMPORTRANGE(""https://docs.google.com/spreadsheets/d/1ihFlp3_ePlYtFuPbUNbYj1muErVpI73WHXbEwJDIA7Q/edit#gid=1493122344"",""MTR!C:O""),8,false)"),"Complies")</f>
        <v>Complies</v>
      </c>
      <c r="O577" s="241" t="str">
        <f>IFERROR(__xludf.DUMMYFUNCTION("VLOOKUP(C577,IMPORTRANGE(""https://docs.google.com/spreadsheets/d/1P8eX0NWBhUPS_hvzA11R6jkTNFrPrRYIx_dX_hYbxrk/edit?resourcekey=0-iw9bsKY2OqkUHCFMkCar3A&amp;gid=2055363397#gid=2055363397"",""MTR!C:O""),9,false)"),"")</f>
        <v/>
      </c>
      <c r="P577" s="241"/>
      <c r="Q577" s="251" t="s">
        <v>445</v>
      </c>
      <c r="R577" s="251" t="s">
        <v>1858</v>
      </c>
      <c r="S577" s="154" t="s">
        <v>66</v>
      </c>
      <c r="T577" s="154" t="s">
        <v>66</v>
      </c>
      <c r="U577" s="154" t="s">
        <v>60</v>
      </c>
      <c r="V577" s="154" t="s">
        <v>60</v>
      </c>
      <c r="W577" s="154" t="s">
        <v>60</v>
      </c>
      <c r="X577" s="154" t="s">
        <v>60</v>
      </c>
      <c r="Y577" s="154" t="s">
        <v>66</v>
      </c>
      <c r="Z577" s="154" t="s">
        <v>60</v>
      </c>
      <c r="AA577" s="154" t="s">
        <v>60</v>
      </c>
      <c r="AB577" s="154"/>
      <c r="AC577" s="242" t="b">
        <f t="shared" si="2"/>
        <v>1</v>
      </c>
      <c r="AD577" s="154" t="s">
        <v>391</v>
      </c>
      <c r="AE577" s="243" t="b">
        <f t="shared" si="3"/>
        <v>0</v>
      </c>
      <c r="AF577" s="154"/>
      <c r="AG577" s="243" t="b">
        <f t="shared" si="4"/>
        <v>0</v>
      </c>
      <c r="AH577" s="154" t="s">
        <v>1346</v>
      </c>
      <c r="AI577" s="243" t="str">
        <f t="shared" si="5"/>
        <v>Partially Complies</v>
      </c>
      <c r="AJ577" s="157" t="str">
        <f t="shared" si="6"/>
        <v/>
      </c>
    </row>
    <row r="578" ht="12.75" customHeight="1">
      <c r="A578" s="238" t="s">
        <v>621</v>
      </c>
      <c r="B578" s="238" t="s">
        <v>1339</v>
      </c>
      <c r="C578" s="238" t="s">
        <v>1859</v>
      </c>
      <c r="D578" s="240"/>
      <c r="E578" s="252" t="s">
        <v>92</v>
      </c>
      <c r="F578" s="154" t="str">
        <f t="array" ref="F578">XLOOKUP(Cover!$D$12,$S$1:$AA$1,$S578:$AA578)</f>
        <v>Heading</v>
      </c>
      <c r="G578" s="239" t="s">
        <v>1860</v>
      </c>
      <c r="H578" s="240"/>
      <c r="I578" s="240" t="s">
        <v>759</v>
      </c>
      <c r="J578" s="240"/>
      <c r="K578" s="240"/>
      <c r="L578" s="154" t="str">
        <f t="shared" si="1"/>
        <v/>
      </c>
      <c r="M578" s="253" t="str">
        <f>IFERROR(__xludf.DUMMYFUNCTION("VLOOKUP(C578,IMPORTRANGE(""https://docs.google.com/spreadsheets/d/1P8eX0NWBhUPS_hvzA11R6jkTNFrPrRYIx_dX_hYbxrk/edit?resourcekey=0-iw9bsKY2OqkUHCFMkCar3A&amp;gid=2055363397#gid=2055363397"",""MTR!C:O""),11,false)"),"#N/A")</f>
        <v>#N/A</v>
      </c>
      <c r="N578" s="241" t="str">
        <f>IFERROR(__xludf.DUMMYFUNCTION("VLOOKUP(C578,IMPORTRANGE(""https://docs.google.com/spreadsheets/d/1ihFlp3_ePlYtFuPbUNbYj1muErVpI73WHXbEwJDIA7Q/edit#gid=1493122344"",""MTR!C:O""),8,false)"),"")</f>
        <v/>
      </c>
      <c r="O578" s="241" t="str">
        <f>IFERROR(__xludf.DUMMYFUNCTION("VLOOKUP(C578,IMPORTRANGE(""https://docs.google.com/spreadsheets/d/1P8eX0NWBhUPS_hvzA11R6jkTNFrPrRYIx_dX_hYbxrk/edit?resourcekey=0-iw9bsKY2OqkUHCFMkCar3A&amp;gid=2055363397#gid=2055363397"",""MTR!C:O""),9,false)"),"")</f>
        <v/>
      </c>
      <c r="P578" s="241"/>
      <c r="Q578" s="241"/>
      <c r="R578" s="241"/>
      <c r="S578" s="240" t="s">
        <v>390</v>
      </c>
      <c r="T578" s="240" t="s">
        <v>390</v>
      </c>
      <c r="U578" s="240" t="s">
        <v>390</v>
      </c>
      <c r="V578" s="240" t="s">
        <v>390</v>
      </c>
      <c r="W578" s="240" t="s">
        <v>390</v>
      </c>
      <c r="X578" s="240" t="s">
        <v>390</v>
      </c>
      <c r="Y578" s="240" t="s">
        <v>390</v>
      </c>
      <c r="Z578" s="240" t="s">
        <v>390</v>
      </c>
      <c r="AA578" s="240" t="s">
        <v>390</v>
      </c>
      <c r="AB578" s="240"/>
      <c r="AC578" s="242" t="b">
        <f t="shared" si="2"/>
        <v>0</v>
      </c>
      <c r="AD578" s="240" t="s">
        <v>391</v>
      </c>
      <c r="AE578" s="243" t="b">
        <f t="shared" si="3"/>
        <v>0</v>
      </c>
      <c r="AF578" s="240"/>
      <c r="AG578" s="243" t="b">
        <f t="shared" si="4"/>
        <v>0</v>
      </c>
      <c r="AH578" s="240"/>
      <c r="AI578" s="243" t="str">
        <f t="shared" si="5"/>
        <v>N/A</v>
      </c>
      <c r="AJ578" s="157" t="str">
        <f t="shared" si="6"/>
        <v/>
      </c>
    </row>
    <row r="579" ht="12.75" customHeight="1">
      <c r="A579" s="238" t="s">
        <v>621</v>
      </c>
      <c r="B579" s="238" t="s">
        <v>1339</v>
      </c>
      <c r="C579" s="238" t="s">
        <v>1861</v>
      </c>
      <c r="D579" s="240"/>
      <c r="E579" s="252" t="s">
        <v>92</v>
      </c>
      <c r="F579" s="154" t="str">
        <f t="array" ref="F579">XLOOKUP(Cover!$D$12,$S$1:$AA$1,$S579:$AA579)</f>
        <v>Heading</v>
      </c>
      <c r="G579" s="239" t="s">
        <v>1862</v>
      </c>
      <c r="H579" s="240"/>
      <c r="I579" s="240" t="s">
        <v>759</v>
      </c>
      <c r="J579" s="240"/>
      <c r="K579" s="240"/>
      <c r="L579" s="154" t="str">
        <f t="shared" si="1"/>
        <v/>
      </c>
      <c r="M579" s="241" t="str">
        <f>IFERROR(__xludf.DUMMYFUNCTION("VLOOKUP(C579,IMPORTRANGE(""https://docs.google.com/spreadsheets/d/1P8eX0NWBhUPS_hvzA11R6jkTNFrPrRYIx_dX_hYbxrk/edit?resourcekey=0-iw9bsKY2OqkUHCFMkCar3A&amp;gid=2055363397#gid=2055363397"",""MTR!C:O""),11,false)"),"")</f>
        <v/>
      </c>
      <c r="N579" s="241" t="str">
        <f>IFERROR(__xludf.DUMMYFUNCTION("VLOOKUP(C579,IMPORTRANGE(""https://docs.google.com/spreadsheets/d/1ihFlp3_ePlYtFuPbUNbYj1muErVpI73WHXbEwJDIA7Q/edit#gid=1493122344"",""MTR!C:O""),8,false)"),"")</f>
        <v/>
      </c>
      <c r="O579" s="241" t="str">
        <f>IFERROR(__xludf.DUMMYFUNCTION("VLOOKUP(C579,IMPORTRANGE(""https://docs.google.com/spreadsheets/d/1P8eX0NWBhUPS_hvzA11R6jkTNFrPrRYIx_dX_hYbxrk/edit?resourcekey=0-iw9bsKY2OqkUHCFMkCar3A&amp;gid=2055363397#gid=2055363397"",""MTR!C:O""),9,false)"),"")</f>
        <v/>
      </c>
      <c r="P579" s="241"/>
      <c r="Q579" s="241"/>
      <c r="R579" s="241"/>
      <c r="S579" s="240" t="s">
        <v>390</v>
      </c>
      <c r="T579" s="240" t="s">
        <v>390</v>
      </c>
      <c r="U579" s="240" t="s">
        <v>390</v>
      </c>
      <c r="V579" s="240" t="s">
        <v>390</v>
      </c>
      <c r="W579" s="240" t="s">
        <v>390</v>
      </c>
      <c r="X579" s="240" t="s">
        <v>390</v>
      </c>
      <c r="Y579" s="240" t="s">
        <v>390</v>
      </c>
      <c r="Z579" s="240" t="s">
        <v>390</v>
      </c>
      <c r="AA579" s="240" t="s">
        <v>390</v>
      </c>
      <c r="AB579" s="240"/>
      <c r="AC579" s="242" t="b">
        <f t="shared" si="2"/>
        <v>0</v>
      </c>
      <c r="AD579" s="240" t="s">
        <v>391</v>
      </c>
      <c r="AE579" s="243" t="b">
        <f t="shared" si="3"/>
        <v>0</v>
      </c>
      <c r="AF579" s="240"/>
      <c r="AG579" s="243" t="b">
        <f t="shared" si="4"/>
        <v>0</v>
      </c>
      <c r="AH579" s="240"/>
      <c r="AI579" s="243" t="str">
        <f t="shared" si="5"/>
        <v>N/A</v>
      </c>
      <c r="AJ579" s="157" t="str">
        <f t="shared" si="6"/>
        <v/>
      </c>
    </row>
    <row r="580" ht="12.75" customHeight="1">
      <c r="A580" s="244" t="s">
        <v>621</v>
      </c>
      <c r="B580" s="244" t="s">
        <v>1339</v>
      </c>
      <c r="C580" s="244" t="s">
        <v>1863</v>
      </c>
      <c r="D580" s="244" t="s">
        <v>747</v>
      </c>
      <c r="E580" s="244"/>
      <c r="F580" s="154" t="str">
        <f t="array" ref="F580">XLOOKUP(Cover!$D$12,$S$1:$AA$1,$S580:$AA580)</f>
        <v>Comment</v>
      </c>
      <c r="G580" s="154" t="s">
        <v>1864</v>
      </c>
      <c r="H580" s="154"/>
      <c r="I580" s="154" t="s">
        <v>759</v>
      </c>
      <c r="J580" s="154"/>
      <c r="K580" s="154"/>
      <c r="L580" s="154" t="str">
        <f t="shared" si="1"/>
        <v/>
      </c>
      <c r="M580" s="241" t="str">
        <f>IFERROR(__xludf.DUMMYFUNCTION("VLOOKUP(C580,IMPORTRANGE(""https://docs.google.com/spreadsheets/d/1P8eX0NWBhUPS_hvzA11R6jkTNFrPrRYIx_dX_hYbxrk/edit?resourcekey=0-iw9bsKY2OqkUHCFMkCar3A&amp;gid=2055363397#gid=2055363397"",""MTR!C:O""),11,false)"),"")</f>
        <v/>
      </c>
      <c r="N580" s="241" t="str">
        <f>IFERROR(__xludf.DUMMYFUNCTION("VLOOKUP(C580,IMPORTRANGE(""https://docs.google.com/spreadsheets/d/1ihFlp3_ePlYtFuPbUNbYj1muErVpI73WHXbEwJDIA7Q/edit#gid=1493122344"",""MTR!C:O""),8,false)"),"")</f>
        <v/>
      </c>
      <c r="O580" s="241" t="str">
        <f>IFERROR(__xludf.DUMMYFUNCTION("VLOOKUP(C580,IMPORTRANGE(""https://docs.google.com/spreadsheets/d/1P8eX0NWBhUPS_hvzA11R6jkTNFrPrRYIx_dX_hYbxrk/edit?resourcekey=0-iw9bsKY2OqkUHCFMkCar3A&amp;gid=2055363397#gid=2055363397"",""MTR!C:O""),9,false)"),"")</f>
        <v/>
      </c>
      <c r="P580" s="241"/>
      <c r="Q580" s="241"/>
      <c r="R580" s="241"/>
      <c r="S580" s="154" t="s">
        <v>35</v>
      </c>
      <c r="T580" s="154" t="s">
        <v>35</v>
      </c>
      <c r="U580" s="154" t="s">
        <v>35</v>
      </c>
      <c r="V580" s="154" t="s">
        <v>35</v>
      </c>
      <c r="W580" s="154" t="s">
        <v>35</v>
      </c>
      <c r="X580" s="154" t="s">
        <v>35</v>
      </c>
      <c r="Y580" s="154" t="s">
        <v>35</v>
      </c>
      <c r="Z580" s="154" t="s">
        <v>35</v>
      </c>
      <c r="AA580" s="154" t="s">
        <v>35</v>
      </c>
      <c r="AB580" s="154"/>
      <c r="AC580" s="242" t="b">
        <f t="shared" si="2"/>
        <v>0</v>
      </c>
      <c r="AD580" s="154" t="s">
        <v>391</v>
      </c>
      <c r="AE580" s="243" t="b">
        <f t="shared" si="3"/>
        <v>0</v>
      </c>
      <c r="AF580" s="154"/>
      <c r="AG580" s="243" t="b">
        <f t="shared" si="4"/>
        <v>0</v>
      </c>
      <c r="AH580" s="154"/>
      <c r="AI580" s="243" t="str">
        <f t="shared" si="5"/>
        <v>N/A</v>
      </c>
      <c r="AJ580" s="157" t="str">
        <f t="shared" si="6"/>
        <v/>
      </c>
    </row>
    <row r="581" ht="12.75" customHeight="1">
      <c r="A581" s="238" t="s">
        <v>621</v>
      </c>
      <c r="B581" s="238" t="s">
        <v>1339</v>
      </c>
      <c r="C581" s="238" t="s">
        <v>1865</v>
      </c>
      <c r="D581" s="240"/>
      <c r="E581" s="252" t="s">
        <v>92</v>
      </c>
      <c r="F581" s="154" t="str">
        <f t="array" ref="F581">XLOOKUP(Cover!$D$12,$S$1:$AA$1,$S581:$AA581)</f>
        <v>Heading</v>
      </c>
      <c r="G581" s="239" t="s">
        <v>1866</v>
      </c>
      <c r="H581" s="240"/>
      <c r="I581" s="240" t="s">
        <v>759</v>
      </c>
      <c r="J581" s="240"/>
      <c r="K581" s="240"/>
      <c r="L581" s="154" t="str">
        <f t="shared" si="1"/>
        <v/>
      </c>
      <c r="M581" s="241" t="str">
        <f>IFERROR(__xludf.DUMMYFUNCTION("VLOOKUP(C581,IMPORTRANGE(""https://docs.google.com/spreadsheets/d/1P8eX0NWBhUPS_hvzA11R6jkTNFrPrRYIx_dX_hYbxrk/edit?resourcekey=0-iw9bsKY2OqkUHCFMkCar3A&amp;gid=2055363397#gid=2055363397"",""MTR!C:O""),11,false)"),"")</f>
        <v/>
      </c>
      <c r="N581" s="241" t="str">
        <f>IFERROR(__xludf.DUMMYFUNCTION("VLOOKUP(C581,IMPORTRANGE(""https://docs.google.com/spreadsheets/d/1ihFlp3_ePlYtFuPbUNbYj1muErVpI73WHXbEwJDIA7Q/edit#gid=1493122344"",""MTR!C:O""),8,false)"),"")</f>
        <v/>
      </c>
      <c r="O581" s="241" t="str">
        <f>IFERROR(__xludf.DUMMYFUNCTION("VLOOKUP(C581,IMPORTRANGE(""https://docs.google.com/spreadsheets/d/1P8eX0NWBhUPS_hvzA11R6jkTNFrPrRYIx_dX_hYbxrk/edit?resourcekey=0-iw9bsKY2OqkUHCFMkCar3A&amp;gid=2055363397#gid=2055363397"",""MTR!C:O""),9,false)"),"")</f>
        <v/>
      </c>
      <c r="P581" s="241"/>
      <c r="Q581" s="241"/>
      <c r="R581" s="241"/>
      <c r="S581" s="240" t="s">
        <v>390</v>
      </c>
      <c r="T581" s="240" t="s">
        <v>390</v>
      </c>
      <c r="U581" s="240" t="s">
        <v>390</v>
      </c>
      <c r="V581" s="240" t="s">
        <v>390</v>
      </c>
      <c r="W581" s="240" t="s">
        <v>390</v>
      </c>
      <c r="X581" s="240" t="s">
        <v>390</v>
      </c>
      <c r="Y581" s="240" t="s">
        <v>390</v>
      </c>
      <c r="Z581" s="240" t="s">
        <v>390</v>
      </c>
      <c r="AA581" s="240" t="s">
        <v>390</v>
      </c>
      <c r="AB581" s="240"/>
      <c r="AC581" s="242" t="b">
        <f t="shared" si="2"/>
        <v>0</v>
      </c>
      <c r="AD581" s="240" t="s">
        <v>391</v>
      </c>
      <c r="AE581" s="243" t="b">
        <f t="shared" si="3"/>
        <v>0</v>
      </c>
      <c r="AF581" s="240"/>
      <c r="AG581" s="243" t="b">
        <f t="shared" si="4"/>
        <v>0</v>
      </c>
      <c r="AH581" s="240"/>
      <c r="AI581" s="243" t="str">
        <f t="shared" si="5"/>
        <v>N/A</v>
      </c>
      <c r="AJ581" s="157" t="str">
        <f t="shared" si="6"/>
        <v/>
      </c>
    </row>
    <row r="582" ht="12.75" customHeight="1">
      <c r="A582" s="238" t="s">
        <v>621</v>
      </c>
      <c r="B582" s="238" t="s">
        <v>1339</v>
      </c>
      <c r="C582" s="238" t="s">
        <v>1867</v>
      </c>
      <c r="D582" s="240"/>
      <c r="E582" s="252" t="s">
        <v>92</v>
      </c>
      <c r="F582" s="154" t="str">
        <f t="array" ref="F582">XLOOKUP(Cover!$D$12,$S$1:$AA$1,$S582:$AA582)</f>
        <v>Heading</v>
      </c>
      <c r="G582" s="239" t="s">
        <v>1868</v>
      </c>
      <c r="H582" s="240"/>
      <c r="I582" s="240" t="s">
        <v>759</v>
      </c>
      <c r="J582" s="240"/>
      <c r="K582" s="240"/>
      <c r="L582" s="154" t="str">
        <f t="shared" si="1"/>
        <v/>
      </c>
      <c r="M582" s="241" t="str">
        <f>IFERROR(__xludf.DUMMYFUNCTION("VLOOKUP(C582,IMPORTRANGE(""https://docs.google.com/spreadsheets/d/1P8eX0NWBhUPS_hvzA11R6jkTNFrPrRYIx_dX_hYbxrk/edit?resourcekey=0-iw9bsKY2OqkUHCFMkCar3A&amp;gid=2055363397#gid=2055363397"",""MTR!C:O""),11,false)"),"")</f>
        <v/>
      </c>
      <c r="N582" s="241" t="str">
        <f>IFERROR(__xludf.DUMMYFUNCTION("VLOOKUP(C582,IMPORTRANGE(""https://docs.google.com/spreadsheets/d/1ihFlp3_ePlYtFuPbUNbYj1muErVpI73WHXbEwJDIA7Q/edit#gid=1493122344"",""MTR!C:O""),8,false)"),"")</f>
        <v/>
      </c>
      <c r="O582" s="241" t="str">
        <f>IFERROR(__xludf.DUMMYFUNCTION("VLOOKUP(C582,IMPORTRANGE(""https://docs.google.com/spreadsheets/d/1P8eX0NWBhUPS_hvzA11R6jkTNFrPrRYIx_dX_hYbxrk/edit?resourcekey=0-iw9bsKY2OqkUHCFMkCar3A&amp;gid=2055363397#gid=2055363397"",""MTR!C:O""),9,false)"),"")</f>
        <v/>
      </c>
      <c r="P582" s="241"/>
      <c r="Q582" s="241"/>
      <c r="R582" s="241"/>
      <c r="S582" s="240" t="s">
        <v>390</v>
      </c>
      <c r="T582" s="240" t="s">
        <v>390</v>
      </c>
      <c r="U582" s="240" t="s">
        <v>390</v>
      </c>
      <c r="V582" s="240" t="s">
        <v>390</v>
      </c>
      <c r="W582" s="240" t="s">
        <v>390</v>
      </c>
      <c r="X582" s="240" t="s">
        <v>390</v>
      </c>
      <c r="Y582" s="240" t="s">
        <v>390</v>
      </c>
      <c r="Z582" s="240" t="s">
        <v>390</v>
      </c>
      <c r="AA582" s="240" t="s">
        <v>390</v>
      </c>
      <c r="AB582" s="240"/>
      <c r="AC582" s="242" t="b">
        <f t="shared" si="2"/>
        <v>0</v>
      </c>
      <c r="AD582" s="240" t="s">
        <v>391</v>
      </c>
      <c r="AE582" s="243" t="b">
        <f t="shared" si="3"/>
        <v>0</v>
      </c>
      <c r="AF582" s="240"/>
      <c r="AG582" s="243" t="b">
        <f t="shared" si="4"/>
        <v>0</v>
      </c>
      <c r="AH582" s="240"/>
      <c r="AI582" s="243" t="str">
        <f t="shared" si="5"/>
        <v>N/A</v>
      </c>
      <c r="AJ582" s="157" t="str">
        <f t="shared" si="6"/>
        <v/>
      </c>
    </row>
    <row r="583" ht="12.75" customHeight="1">
      <c r="A583" s="244" t="s">
        <v>621</v>
      </c>
      <c r="B583" s="244" t="s">
        <v>1339</v>
      </c>
      <c r="C583" s="244" t="s">
        <v>1869</v>
      </c>
      <c r="D583" s="154" t="s">
        <v>1069</v>
      </c>
      <c r="E583" s="250"/>
      <c r="F583" s="154" t="str">
        <f t="array" ref="F583">XLOOKUP(Cover!$D$12,$S$1:$AA$1,$S583:$AA583)</f>
        <v>Mandatory</v>
      </c>
      <c r="G583" s="153" t="s">
        <v>1870</v>
      </c>
      <c r="H583" s="154" t="s">
        <v>232</v>
      </c>
      <c r="I583" s="154" t="s">
        <v>759</v>
      </c>
      <c r="J583" s="247" t="s">
        <v>445</v>
      </c>
      <c r="K583" s="154"/>
      <c r="L583" s="154" t="str">
        <f t="shared" si="1"/>
        <v/>
      </c>
      <c r="M583" s="248" t="str">
        <f>IFERROR(__xludf.DUMMYFUNCTION("VLOOKUP(C583,IMPORTRANGE(""https://docs.google.com/spreadsheets/d/1P8eX0NWBhUPS_hvzA11R6jkTNFrPrRYIx_dX_hYbxrk/edit?resourcekey=0-iw9bsKY2OqkUHCFMkCar3A&amp;gid=2055363397#gid=2055363397"",""MTR!C:O""),11,false)"),"PMW-MCE-AS")</f>
        <v>PMW-MCE-AS</v>
      </c>
      <c r="N583" s="248" t="str">
        <f>IFERROR(__xludf.DUMMYFUNCTION("VLOOKUP(C583,IMPORTRANGE(""https://docs.google.com/spreadsheets/d/1ihFlp3_ePlYtFuPbUNbYj1muErVpI73WHXbEwJDIA7Q/edit#gid=1493122344"",""MTR!C:O""),8,false)"),"Complies")</f>
        <v>Complies</v>
      </c>
      <c r="O583" s="241" t="str">
        <f>IFERROR(__xludf.DUMMYFUNCTION("VLOOKUP(C583,IMPORTRANGE(""https://docs.google.com/spreadsheets/d/1P8eX0NWBhUPS_hvzA11R6jkTNFrPrRYIx_dX_hYbxrk/edit?resourcekey=0-iw9bsKY2OqkUHCFMkCar3A&amp;gid=2055363397#gid=2055363397"",""MTR!C:O""),9,false)"),"")</f>
        <v/>
      </c>
      <c r="P583" s="241"/>
      <c r="Q583" s="251" t="s">
        <v>445</v>
      </c>
      <c r="R583" s="241"/>
      <c r="S583" s="154" t="s">
        <v>66</v>
      </c>
      <c r="T583" s="154" t="s">
        <v>66</v>
      </c>
      <c r="U583" s="154" t="s">
        <v>60</v>
      </c>
      <c r="V583" s="154" t="s">
        <v>60</v>
      </c>
      <c r="W583" s="154" t="s">
        <v>60</v>
      </c>
      <c r="X583" s="154" t="s">
        <v>60</v>
      </c>
      <c r="Y583" s="154" t="s">
        <v>66</v>
      </c>
      <c r="Z583" s="154" t="s">
        <v>60</v>
      </c>
      <c r="AA583" s="154" t="s">
        <v>60</v>
      </c>
      <c r="AB583" s="154"/>
      <c r="AC583" s="242" t="b">
        <f t="shared" si="2"/>
        <v>1</v>
      </c>
      <c r="AD583" s="154" t="s">
        <v>391</v>
      </c>
      <c r="AE583" s="243" t="b">
        <f t="shared" si="3"/>
        <v>0</v>
      </c>
      <c r="AF583" s="154"/>
      <c r="AG583" s="243" t="b">
        <f t="shared" si="4"/>
        <v>0</v>
      </c>
      <c r="AH583" s="154"/>
      <c r="AI583" s="243" t="str">
        <f t="shared" si="5"/>
        <v>N/A</v>
      </c>
      <c r="AJ583" s="157" t="str">
        <f t="shared" si="6"/>
        <v/>
      </c>
    </row>
    <row r="584" ht="12.75" customHeight="1">
      <c r="A584" s="244" t="s">
        <v>621</v>
      </c>
      <c r="B584" s="244" t="s">
        <v>1339</v>
      </c>
      <c r="C584" s="244" t="s">
        <v>1871</v>
      </c>
      <c r="D584" s="154" t="s">
        <v>747</v>
      </c>
      <c r="E584" s="250"/>
      <c r="F584" s="154" t="str">
        <f t="array" ref="F584">XLOOKUP(Cover!$D$12,$S$1:$AA$1,$S584:$AA584)</f>
        <v>Mandatory</v>
      </c>
      <c r="G584" s="153" t="s">
        <v>1872</v>
      </c>
      <c r="H584" s="154" t="s">
        <v>232</v>
      </c>
      <c r="I584" s="154" t="s">
        <v>759</v>
      </c>
      <c r="J584" s="247" t="s">
        <v>506</v>
      </c>
      <c r="K584" s="247" t="s">
        <v>1873</v>
      </c>
      <c r="L584" s="154" t="str">
        <f t="shared" si="1"/>
        <v/>
      </c>
      <c r="M584" s="248" t="str">
        <f>IFERROR(__xludf.DUMMYFUNCTION("VLOOKUP(C584,IMPORTRANGE(""https://docs.google.com/spreadsheets/d/1P8eX0NWBhUPS_hvzA11R6jkTNFrPrRYIx_dX_hYbxrk/edit?resourcekey=0-iw9bsKY2OqkUHCFMkCar3A&amp;gid=2055363397#gid=2055363397"",""MTR!C:O""),11,false)"),"PMW-MCE-AS")</f>
        <v>PMW-MCE-AS</v>
      </c>
      <c r="N584" s="248" t="str">
        <f>IFERROR(__xludf.DUMMYFUNCTION("VLOOKUP(C584,IMPORTRANGE(""https://docs.google.com/spreadsheets/d/1ihFlp3_ePlYtFuPbUNbYj1muErVpI73WHXbEwJDIA7Q/edit#gid=1493122344"",""MTR!C:O""),8,false)"),"Does Not Comply")</f>
        <v>Does Not Comply</v>
      </c>
      <c r="O584" s="248" t="str">
        <f>IFERROR(__xludf.DUMMYFUNCTION("VLOOKUP(C584,IMPORTRANGE(""https://docs.google.com/spreadsheets/d/1P8eX0NWBhUPS_hvzA11R6jkTNFrPrRYIx_dX_hYbxrk/edit?resourcekey=0-iw9bsKY2OqkUHCFMkCar3A&amp;gid=2055363397#gid=2055363397"",""MTR!C:O""),9,false)"),"Supported. But default disable")</f>
        <v>Supported. But default disable</v>
      </c>
      <c r="P584" s="248"/>
      <c r="Q584" s="249" t="s">
        <v>516</v>
      </c>
      <c r="R584" s="249" t="s">
        <v>1873</v>
      </c>
      <c r="S584" s="154" t="s">
        <v>66</v>
      </c>
      <c r="T584" s="154" t="s">
        <v>66</v>
      </c>
      <c r="U584" s="154" t="s">
        <v>60</v>
      </c>
      <c r="V584" s="154" t="s">
        <v>60</v>
      </c>
      <c r="W584" s="154" t="s">
        <v>60</v>
      </c>
      <c r="X584" s="154" t="s">
        <v>60</v>
      </c>
      <c r="Y584" s="154" t="s">
        <v>66</v>
      </c>
      <c r="Z584" s="154" t="s">
        <v>60</v>
      </c>
      <c r="AA584" s="154" t="s">
        <v>60</v>
      </c>
      <c r="AB584" s="154"/>
      <c r="AC584" s="242" t="b">
        <f t="shared" si="2"/>
        <v>1</v>
      </c>
      <c r="AD584" s="154" t="s">
        <v>391</v>
      </c>
      <c r="AE584" s="243" t="b">
        <f t="shared" si="3"/>
        <v>0</v>
      </c>
      <c r="AF584" s="154"/>
      <c r="AG584" s="243" t="b">
        <f t="shared" si="4"/>
        <v>0</v>
      </c>
      <c r="AH584" s="154"/>
      <c r="AI584" s="243" t="str">
        <f t="shared" si="5"/>
        <v>N/A</v>
      </c>
      <c r="AJ584" s="157" t="str">
        <f t="shared" si="6"/>
        <v/>
      </c>
    </row>
    <row r="585" ht="12.75" customHeight="1">
      <c r="A585" s="244" t="s">
        <v>621</v>
      </c>
      <c r="B585" s="244" t="s">
        <v>1339</v>
      </c>
      <c r="C585" s="244" t="s">
        <v>1874</v>
      </c>
      <c r="D585" s="154" t="s">
        <v>747</v>
      </c>
      <c r="E585" s="250"/>
      <c r="F585" s="154" t="str">
        <f t="array" ref="F585">XLOOKUP(Cover!$D$12,$S$1:$AA$1,$S585:$AA585)</f>
        <v>Mandatory</v>
      </c>
      <c r="G585" s="153" t="s">
        <v>1875</v>
      </c>
      <c r="H585" s="154" t="s">
        <v>232</v>
      </c>
      <c r="I585" s="154" t="s">
        <v>759</v>
      </c>
      <c r="J585" s="247" t="s">
        <v>445</v>
      </c>
      <c r="K585" s="154"/>
      <c r="L585" s="154" t="str">
        <f t="shared" si="1"/>
        <v/>
      </c>
      <c r="M585" s="248" t="str">
        <f>IFERROR(__xludf.DUMMYFUNCTION("VLOOKUP(C585,IMPORTRANGE(""https://docs.google.com/spreadsheets/d/1P8eX0NWBhUPS_hvzA11R6jkTNFrPrRYIx_dX_hYbxrk/edit?resourcekey=0-iw9bsKY2OqkUHCFMkCar3A&amp;gid=2055363397#gid=2055363397"",""MTR!C:O""),11,false)"),"PMW-MCE-AS")</f>
        <v>PMW-MCE-AS</v>
      </c>
      <c r="N585" s="248" t="str">
        <f>IFERROR(__xludf.DUMMYFUNCTION("VLOOKUP(C585,IMPORTRANGE(""https://docs.google.com/spreadsheets/d/1ihFlp3_ePlYtFuPbUNbYj1muErVpI73WHXbEwJDIA7Q/edit#gid=1493122344"",""MTR!C:O""),8,false)"),"Complies")</f>
        <v>Complies</v>
      </c>
      <c r="O585" s="241" t="str">
        <f>IFERROR(__xludf.DUMMYFUNCTION("VLOOKUP(C585,IMPORTRANGE(""https://docs.google.com/spreadsheets/d/1P8eX0NWBhUPS_hvzA11R6jkTNFrPrRYIx_dX_hYbxrk/edit?resourcekey=0-iw9bsKY2OqkUHCFMkCar3A&amp;gid=2055363397#gid=2055363397"",""MTR!C:O""),9,false)"),"")</f>
        <v/>
      </c>
      <c r="P585" s="241"/>
      <c r="Q585" s="251" t="s">
        <v>445</v>
      </c>
      <c r="R585" s="241"/>
      <c r="S585" s="154" t="s">
        <v>66</v>
      </c>
      <c r="T585" s="154" t="s">
        <v>66</v>
      </c>
      <c r="U585" s="154" t="s">
        <v>60</v>
      </c>
      <c r="V585" s="154" t="s">
        <v>60</v>
      </c>
      <c r="W585" s="154" t="s">
        <v>60</v>
      </c>
      <c r="X585" s="154" t="s">
        <v>60</v>
      </c>
      <c r="Y585" s="154" t="s">
        <v>66</v>
      </c>
      <c r="Z585" s="154" t="s">
        <v>60</v>
      </c>
      <c r="AA585" s="154" t="s">
        <v>60</v>
      </c>
      <c r="AB585" s="154"/>
      <c r="AC585" s="242" t="b">
        <f t="shared" si="2"/>
        <v>1</v>
      </c>
      <c r="AD585" s="154" t="s">
        <v>391</v>
      </c>
      <c r="AE585" s="243" t="b">
        <f t="shared" si="3"/>
        <v>0</v>
      </c>
      <c r="AF585" s="154"/>
      <c r="AG585" s="243" t="b">
        <f t="shared" si="4"/>
        <v>0</v>
      </c>
      <c r="AH585" s="154"/>
      <c r="AI585" s="243" t="str">
        <f t="shared" si="5"/>
        <v>N/A</v>
      </c>
      <c r="AJ585" s="157" t="str">
        <f t="shared" si="6"/>
        <v/>
      </c>
    </row>
    <row r="586" ht="12.75" customHeight="1">
      <c r="A586" s="238" t="s">
        <v>621</v>
      </c>
      <c r="B586" s="238" t="s">
        <v>1339</v>
      </c>
      <c r="C586" s="238" t="s">
        <v>1876</v>
      </c>
      <c r="D586" s="240"/>
      <c r="E586" s="252" t="s">
        <v>92</v>
      </c>
      <c r="F586" s="154" t="str">
        <f t="array" ref="F586">XLOOKUP(Cover!$D$12,$S$1:$AA$1,$S586:$AA586)</f>
        <v>Heading</v>
      </c>
      <c r="G586" s="239" t="s">
        <v>1877</v>
      </c>
      <c r="H586" s="240"/>
      <c r="I586" s="240" t="s">
        <v>759</v>
      </c>
      <c r="J586" s="240"/>
      <c r="K586" s="240"/>
      <c r="L586" s="154" t="str">
        <f t="shared" si="1"/>
        <v/>
      </c>
      <c r="M586" s="241" t="str">
        <f>IFERROR(__xludf.DUMMYFUNCTION("VLOOKUP(C586,IMPORTRANGE(""https://docs.google.com/spreadsheets/d/1P8eX0NWBhUPS_hvzA11R6jkTNFrPrRYIx_dX_hYbxrk/edit?resourcekey=0-iw9bsKY2OqkUHCFMkCar3A&amp;gid=2055363397#gid=2055363397"",""MTR!C:O""),11,false)"),"")</f>
        <v/>
      </c>
      <c r="N586" s="241" t="str">
        <f>IFERROR(__xludf.DUMMYFUNCTION("VLOOKUP(C586,IMPORTRANGE(""https://docs.google.com/spreadsheets/d/1ihFlp3_ePlYtFuPbUNbYj1muErVpI73WHXbEwJDIA7Q/edit#gid=1493122344"",""MTR!C:O""),8,false)"),"")</f>
        <v/>
      </c>
      <c r="O586" s="241" t="str">
        <f>IFERROR(__xludf.DUMMYFUNCTION("VLOOKUP(C586,IMPORTRANGE(""https://docs.google.com/spreadsheets/d/1P8eX0NWBhUPS_hvzA11R6jkTNFrPrRYIx_dX_hYbxrk/edit?resourcekey=0-iw9bsKY2OqkUHCFMkCar3A&amp;gid=2055363397#gid=2055363397"",""MTR!C:O""),9,false)"),"")</f>
        <v/>
      </c>
      <c r="P586" s="241"/>
      <c r="Q586" s="241"/>
      <c r="R586" s="241"/>
      <c r="S586" s="240" t="s">
        <v>390</v>
      </c>
      <c r="T586" s="240" t="s">
        <v>390</v>
      </c>
      <c r="U586" s="240" t="s">
        <v>390</v>
      </c>
      <c r="V586" s="240" t="s">
        <v>390</v>
      </c>
      <c r="W586" s="240" t="s">
        <v>390</v>
      </c>
      <c r="X586" s="240" t="s">
        <v>390</v>
      </c>
      <c r="Y586" s="240" t="s">
        <v>390</v>
      </c>
      <c r="Z586" s="240" t="s">
        <v>390</v>
      </c>
      <c r="AA586" s="240" t="s">
        <v>390</v>
      </c>
      <c r="AB586" s="240"/>
      <c r="AC586" s="242" t="b">
        <f t="shared" si="2"/>
        <v>0</v>
      </c>
      <c r="AD586" s="240" t="s">
        <v>391</v>
      </c>
      <c r="AE586" s="243" t="b">
        <f t="shared" si="3"/>
        <v>0</v>
      </c>
      <c r="AF586" s="240"/>
      <c r="AG586" s="243" t="b">
        <f t="shared" si="4"/>
        <v>0</v>
      </c>
      <c r="AH586" s="240"/>
      <c r="AI586" s="243" t="str">
        <f t="shared" si="5"/>
        <v>N/A</v>
      </c>
      <c r="AJ586" s="157" t="str">
        <f t="shared" si="6"/>
        <v/>
      </c>
    </row>
    <row r="587" ht="12.75" customHeight="1">
      <c r="A587" s="244" t="s">
        <v>621</v>
      </c>
      <c r="B587" s="244" t="s">
        <v>1339</v>
      </c>
      <c r="C587" s="244" t="s">
        <v>1878</v>
      </c>
      <c r="D587" s="154" t="s">
        <v>747</v>
      </c>
      <c r="E587" s="250"/>
      <c r="F587" s="154" t="str">
        <f t="array" ref="F587">XLOOKUP(Cover!$D$12,$S$1:$AA$1,$S587:$AA587)</f>
        <v>Mandatory</v>
      </c>
      <c r="G587" s="153" t="s">
        <v>1879</v>
      </c>
      <c r="H587" s="154" t="s">
        <v>232</v>
      </c>
      <c r="I587" s="154" t="s">
        <v>759</v>
      </c>
      <c r="J587" s="247" t="s">
        <v>445</v>
      </c>
      <c r="K587" s="154"/>
      <c r="L587" s="154" t="str">
        <f t="shared" si="1"/>
        <v/>
      </c>
      <c r="M587" s="248" t="str">
        <f>IFERROR(__xludf.DUMMYFUNCTION("VLOOKUP(C587,IMPORTRANGE(""https://docs.google.com/spreadsheets/d/1P8eX0NWBhUPS_hvzA11R6jkTNFrPrRYIx_dX_hYbxrk/edit?resourcekey=0-iw9bsKY2OqkUHCFMkCar3A&amp;gid=2055363397#gid=2055363397"",""MTR!C:O""),11,false)"),"PMW-MCE-AS")</f>
        <v>PMW-MCE-AS</v>
      </c>
      <c r="N587" s="248" t="str">
        <f>IFERROR(__xludf.DUMMYFUNCTION("VLOOKUP(C587,IMPORTRANGE(""https://docs.google.com/spreadsheets/d/1ihFlp3_ePlYtFuPbUNbYj1muErVpI73WHXbEwJDIA7Q/edit#gid=1493122344"",""MTR!C:O""),8,false)"),"Complies")</f>
        <v>Complies</v>
      </c>
      <c r="O587" s="241" t="str">
        <f>IFERROR(__xludf.DUMMYFUNCTION("VLOOKUP(C587,IMPORTRANGE(""https://docs.google.com/spreadsheets/d/1P8eX0NWBhUPS_hvzA11R6jkTNFrPrRYIx_dX_hYbxrk/edit?resourcekey=0-iw9bsKY2OqkUHCFMkCar3A&amp;gid=2055363397#gid=2055363397"",""MTR!C:O""),9,false)"),"")</f>
        <v/>
      </c>
      <c r="P587" s="241"/>
      <c r="Q587" s="251" t="s">
        <v>445</v>
      </c>
      <c r="R587" s="241"/>
      <c r="S587" s="154" t="s">
        <v>66</v>
      </c>
      <c r="T587" s="154" t="s">
        <v>66</v>
      </c>
      <c r="U587" s="154" t="s">
        <v>60</v>
      </c>
      <c r="V587" s="154" t="s">
        <v>60</v>
      </c>
      <c r="W587" s="154" t="s">
        <v>60</v>
      </c>
      <c r="X587" s="154" t="s">
        <v>60</v>
      </c>
      <c r="Y587" s="154" t="s">
        <v>66</v>
      </c>
      <c r="Z587" s="154" t="s">
        <v>60</v>
      </c>
      <c r="AA587" s="154" t="s">
        <v>60</v>
      </c>
      <c r="AB587" s="154"/>
      <c r="AC587" s="242" t="b">
        <f t="shared" si="2"/>
        <v>1</v>
      </c>
      <c r="AD587" s="154" t="s">
        <v>391</v>
      </c>
      <c r="AE587" s="243" t="b">
        <f t="shared" si="3"/>
        <v>0</v>
      </c>
      <c r="AF587" s="154"/>
      <c r="AG587" s="243" t="b">
        <f t="shared" si="4"/>
        <v>0</v>
      </c>
      <c r="AH587" s="154"/>
      <c r="AI587" s="243" t="str">
        <f t="shared" si="5"/>
        <v>N/A</v>
      </c>
      <c r="AJ587" s="157" t="str">
        <f t="shared" si="6"/>
        <v/>
      </c>
    </row>
    <row r="588" ht="12.75" customHeight="1">
      <c r="A588" s="244" t="s">
        <v>621</v>
      </c>
      <c r="B588" s="244" t="s">
        <v>1339</v>
      </c>
      <c r="C588" s="244" t="s">
        <v>1880</v>
      </c>
      <c r="D588" s="154" t="s">
        <v>747</v>
      </c>
      <c r="E588" s="250"/>
      <c r="F588" s="154" t="str">
        <f t="array" ref="F588">XLOOKUP(Cover!$D$12,$S$1:$AA$1,$S588:$AA588)</f>
        <v>Mandatory</v>
      </c>
      <c r="G588" s="153" t="s">
        <v>1881</v>
      </c>
      <c r="H588" s="154" t="s">
        <v>232</v>
      </c>
      <c r="I588" s="154" t="s">
        <v>759</v>
      </c>
      <c r="J588" s="247" t="s">
        <v>445</v>
      </c>
      <c r="K588" s="154"/>
      <c r="L588" s="154" t="str">
        <f t="shared" si="1"/>
        <v/>
      </c>
      <c r="M588" s="248" t="str">
        <f>IFERROR(__xludf.DUMMYFUNCTION("VLOOKUP(C588,IMPORTRANGE(""https://docs.google.com/spreadsheets/d/1P8eX0NWBhUPS_hvzA11R6jkTNFrPrRYIx_dX_hYbxrk/edit?resourcekey=0-iw9bsKY2OqkUHCFMkCar3A&amp;gid=2055363397#gid=2055363397"",""MTR!C:O""),11,false)"),"PMW-MCE-AS")</f>
        <v>PMW-MCE-AS</v>
      </c>
      <c r="N588" s="248" t="str">
        <f>IFERROR(__xludf.DUMMYFUNCTION("VLOOKUP(C588,IMPORTRANGE(""https://docs.google.com/spreadsheets/d/1ihFlp3_ePlYtFuPbUNbYj1muErVpI73WHXbEwJDIA7Q/edit#gid=1493122344"",""MTR!C:O""),8,false)"),"Complies")</f>
        <v>Complies</v>
      </c>
      <c r="O588" s="241" t="str">
        <f>IFERROR(__xludf.DUMMYFUNCTION("VLOOKUP(C588,IMPORTRANGE(""https://docs.google.com/spreadsheets/d/1P8eX0NWBhUPS_hvzA11R6jkTNFrPrRYIx_dX_hYbxrk/edit?resourcekey=0-iw9bsKY2OqkUHCFMkCar3A&amp;gid=2055363397#gid=2055363397"",""MTR!C:O""),9,false)"),"")</f>
        <v/>
      </c>
      <c r="P588" s="241"/>
      <c r="Q588" s="251" t="s">
        <v>445</v>
      </c>
      <c r="R588" s="241"/>
      <c r="S588" s="154" t="s">
        <v>66</v>
      </c>
      <c r="T588" s="154" t="s">
        <v>66</v>
      </c>
      <c r="U588" s="154" t="s">
        <v>60</v>
      </c>
      <c r="V588" s="154" t="s">
        <v>60</v>
      </c>
      <c r="W588" s="154" t="s">
        <v>60</v>
      </c>
      <c r="X588" s="154" t="s">
        <v>60</v>
      </c>
      <c r="Y588" s="154" t="s">
        <v>66</v>
      </c>
      <c r="Z588" s="154" t="s">
        <v>60</v>
      </c>
      <c r="AA588" s="154" t="s">
        <v>60</v>
      </c>
      <c r="AB588" s="154"/>
      <c r="AC588" s="242" t="b">
        <f t="shared" si="2"/>
        <v>1</v>
      </c>
      <c r="AD588" s="154" t="s">
        <v>391</v>
      </c>
      <c r="AE588" s="243" t="b">
        <f t="shared" si="3"/>
        <v>0</v>
      </c>
      <c r="AF588" s="154"/>
      <c r="AG588" s="243" t="b">
        <f t="shared" si="4"/>
        <v>0</v>
      </c>
      <c r="AH588" s="154"/>
      <c r="AI588" s="243" t="str">
        <f t="shared" si="5"/>
        <v>N/A</v>
      </c>
      <c r="AJ588" s="157" t="str">
        <f t="shared" si="6"/>
        <v/>
      </c>
    </row>
    <row r="589" ht="12.75" customHeight="1">
      <c r="A589" s="244" t="s">
        <v>621</v>
      </c>
      <c r="B589" s="244" t="s">
        <v>1339</v>
      </c>
      <c r="C589" s="244" t="s">
        <v>1882</v>
      </c>
      <c r="D589" s="154" t="s">
        <v>747</v>
      </c>
      <c r="E589" s="250"/>
      <c r="F589" s="154" t="str">
        <f t="array" ref="F589">XLOOKUP(Cover!$D$12,$S$1:$AA$1,$S589:$AA589)</f>
        <v>Mandatory</v>
      </c>
      <c r="G589" s="153" t="s">
        <v>1883</v>
      </c>
      <c r="H589" s="154" t="s">
        <v>232</v>
      </c>
      <c r="I589" s="154" t="s">
        <v>759</v>
      </c>
      <c r="J589" s="247" t="s">
        <v>445</v>
      </c>
      <c r="K589" s="154"/>
      <c r="L589" s="154" t="str">
        <f t="shared" si="1"/>
        <v/>
      </c>
      <c r="M589" s="248" t="str">
        <f>IFERROR(__xludf.DUMMYFUNCTION("VLOOKUP(C589,IMPORTRANGE(""https://docs.google.com/spreadsheets/d/1P8eX0NWBhUPS_hvzA11R6jkTNFrPrRYIx_dX_hYbxrk/edit?resourcekey=0-iw9bsKY2OqkUHCFMkCar3A&amp;gid=2055363397#gid=2055363397"",""MTR!C:O""),11,false)"),"PMW-MCE-AS")</f>
        <v>PMW-MCE-AS</v>
      </c>
      <c r="N589" s="248" t="str">
        <f>IFERROR(__xludf.DUMMYFUNCTION("VLOOKUP(C589,IMPORTRANGE(""https://docs.google.com/spreadsheets/d/1ihFlp3_ePlYtFuPbUNbYj1muErVpI73WHXbEwJDIA7Q/edit#gid=1493122344"",""MTR!C:O""),8,false)"),"Complies")</f>
        <v>Complies</v>
      </c>
      <c r="O589" s="241" t="str">
        <f>IFERROR(__xludf.DUMMYFUNCTION("VLOOKUP(C589,IMPORTRANGE(""https://docs.google.com/spreadsheets/d/1P8eX0NWBhUPS_hvzA11R6jkTNFrPrRYIx_dX_hYbxrk/edit?resourcekey=0-iw9bsKY2OqkUHCFMkCar3A&amp;gid=2055363397#gid=2055363397"",""MTR!C:O""),9,false)"),"")</f>
        <v/>
      </c>
      <c r="P589" s="241"/>
      <c r="Q589" s="251" t="s">
        <v>445</v>
      </c>
      <c r="R589" s="241"/>
      <c r="S589" s="154" t="s">
        <v>66</v>
      </c>
      <c r="T589" s="154" t="s">
        <v>66</v>
      </c>
      <c r="U589" s="154" t="s">
        <v>60</v>
      </c>
      <c r="V589" s="154" t="s">
        <v>60</v>
      </c>
      <c r="W589" s="154" t="s">
        <v>60</v>
      </c>
      <c r="X589" s="154" t="s">
        <v>60</v>
      </c>
      <c r="Y589" s="154" t="s">
        <v>66</v>
      </c>
      <c r="Z589" s="154" t="s">
        <v>60</v>
      </c>
      <c r="AA589" s="154" t="s">
        <v>60</v>
      </c>
      <c r="AB589" s="154"/>
      <c r="AC589" s="242" t="b">
        <f t="shared" si="2"/>
        <v>1</v>
      </c>
      <c r="AD589" s="154" t="s">
        <v>391</v>
      </c>
      <c r="AE589" s="243" t="b">
        <f t="shared" si="3"/>
        <v>0</v>
      </c>
      <c r="AF589" s="154"/>
      <c r="AG589" s="243" t="b">
        <f t="shared" si="4"/>
        <v>0</v>
      </c>
      <c r="AH589" s="154"/>
      <c r="AI589" s="243" t="str">
        <f t="shared" si="5"/>
        <v>N/A</v>
      </c>
      <c r="AJ589" s="157" t="str">
        <f t="shared" si="6"/>
        <v/>
      </c>
    </row>
    <row r="590" ht="12.75" customHeight="1">
      <c r="A590" s="244" t="s">
        <v>621</v>
      </c>
      <c r="B590" s="244" t="s">
        <v>1339</v>
      </c>
      <c r="C590" s="244" t="s">
        <v>1884</v>
      </c>
      <c r="D590" s="154" t="s">
        <v>747</v>
      </c>
      <c r="E590" s="250"/>
      <c r="F590" s="154" t="str">
        <f t="array" ref="F590">XLOOKUP(Cover!$D$12,$S$1:$AA$1,$S590:$AA590)</f>
        <v>Comments Vendor</v>
      </c>
      <c r="G590" s="153" t="s">
        <v>1885</v>
      </c>
      <c r="H590" s="154" t="s">
        <v>232</v>
      </c>
      <c r="I590" s="154" t="s">
        <v>759</v>
      </c>
      <c r="J590" s="154"/>
      <c r="K590" s="247" t="s">
        <v>1886</v>
      </c>
      <c r="L590" s="154" t="str">
        <f t="shared" si="1"/>
        <v/>
      </c>
      <c r="M590" s="248" t="str">
        <f>IFERROR(__xludf.DUMMYFUNCTION("VLOOKUP(C590,IMPORTRANGE(""https://docs.google.com/spreadsheets/d/1P8eX0NWBhUPS_hvzA11R6jkTNFrPrRYIx_dX_hYbxrk/edit?resourcekey=0-iw9bsKY2OqkUHCFMkCar3A&amp;gid=2055363397#gid=2055363397"",""MTR!C:O""),11,false)"),"PMW-MCE-AS")</f>
        <v>PMW-MCE-AS</v>
      </c>
      <c r="N590" s="241" t="str">
        <f>IFERROR(__xludf.DUMMYFUNCTION("VLOOKUP(C590,IMPORTRANGE(""https://docs.google.com/spreadsheets/d/1ihFlp3_ePlYtFuPbUNbYj1muErVpI73WHXbEwJDIA7Q/edit#gid=1493122344"",""MTR!C:O""),8,false)"),"")</f>
        <v/>
      </c>
      <c r="O590" s="248" t="str">
        <f>IFERROR(__xludf.DUMMYFUNCTION("VLOOKUP(C590,IMPORTRANGE(""https://docs.google.com/spreadsheets/d/1P8eX0NWBhUPS_hvzA11R6jkTNFrPrRYIx_dX_hYbxrk/edit?resourcekey=0-iw9bsKY2OqkUHCFMkCar3A&amp;gid=2055363397#gid=2055363397"",""MTR!C:O""),9,false)"),"Type1 + Type2")</f>
        <v>Type1 + Type2</v>
      </c>
      <c r="P590" s="248"/>
      <c r="Q590" s="248"/>
      <c r="R590" s="249" t="s">
        <v>1886</v>
      </c>
      <c r="S590" s="154" t="s">
        <v>62</v>
      </c>
      <c r="T590" s="154" t="s">
        <v>62</v>
      </c>
      <c r="U590" s="154" t="s">
        <v>62</v>
      </c>
      <c r="V590" s="154" t="s">
        <v>62</v>
      </c>
      <c r="W590" s="154" t="s">
        <v>62</v>
      </c>
      <c r="X590" s="154" t="s">
        <v>62</v>
      </c>
      <c r="Y590" s="154" t="s">
        <v>62</v>
      </c>
      <c r="Z590" s="154" t="s">
        <v>62</v>
      </c>
      <c r="AA590" s="154" t="s">
        <v>62</v>
      </c>
      <c r="AB590" s="154"/>
      <c r="AC590" s="242" t="b">
        <f t="shared" si="2"/>
        <v>1</v>
      </c>
      <c r="AD590" s="154" t="s">
        <v>445</v>
      </c>
      <c r="AE590" s="243" t="b">
        <f t="shared" si="3"/>
        <v>1</v>
      </c>
      <c r="AF590" s="154"/>
      <c r="AG590" s="243" t="b">
        <f t="shared" si="4"/>
        <v>0</v>
      </c>
      <c r="AH590" s="154"/>
      <c r="AI590" s="243" t="str">
        <f t="shared" si="5"/>
        <v>N/A</v>
      </c>
      <c r="AJ590" s="157" t="str">
        <f t="shared" si="6"/>
        <v/>
      </c>
    </row>
    <row r="591" ht="12.75" customHeight="1">
      <c r="A591" s="244" t="s">
        <v>621</v>
      </c>
      <c r="B591" s="244" t="s">
        <v>1339</v>
      </c>
      <c r="C591" s="244" t="s">
        <v>1887</v>
      </c>
      <c r="D591" s="154" t="s">
        <v>747</v>
      </c>
      <c r="E591" s="250"/>
      <c r="F591" s="154" t="str">
        <f t="array" ref="F591">XLOOKUP(Cover!$D$12,$S$1:$AA$1,$S591:$AA591)</f>
        <v>Mandatory</v>
      </c>
      <c r="G591" s="153" t="s">
        <v>1888</v>
      </c>
      <c r="H591" s="154" t="s">
        <v>232</v>
      </c>
      <c r="I591" s="154" t="s">
        <v>759</v>
      </c>
      <c r="J591" s="247" t="s">
        <v>445</v>
      </c>
      <c r="K591" s="154"/>
      <c r="L591" s="154" t="str">
        <f t="shared" si="1"/>
        <v/>
      </c>
      <c r="M591" s="248" t="str">
        <f>IFERROR(__xludf.DUMMYFUNCTION("VLOOKUP(C591,IMPORTRANGE(""https://docs.google.com/spreadsheets/d/1P8eX0NWBhUPS_hvzA11R6jkTNFrPrRYIx_dX_hYbxrk/edit?resourcekey=0-iw9bsKY2OqkUHCFMkCar3A&amp;gid=2055363397#gid=2055363397"",""MTR!C:O""),11,false)"),"PMW-MCE-AS")</f>
        <v>PMW-MCE-AS</v>
      </c>
      <c r="N591" s="248" t="str">
        <f>IFERROR(__xludf.DUMMYFUNCTION("VLOOKUP(C591,IMPORTRANGE(""https://docs.google.com/spreadsheets/d/1ihFlp3_ePlYtFuPbUNbYj1muErVpI73WHXbEwJDIA7Q/edit#gid=1493122344"",""MTR!C:O""),8,false)"),"Complies")</f>
        <v>Complies</v>
      </c>
      <c r="O591" s="241" t="str">
        <f>IFERROR(__xludf.DUMMYFUNCTION("VLOOKUP(C591,IMPORTRANGE(""https://docs.google.com/spreadsheets/d/1P8eX0NWBhUPS_hvzA11R6jkTNFrPrRYIx_dX_hYbxrk/edit?resourcekey=0-iw9bsKY2OqkUHCFMkCar3A&amp;gid=2055363397#gid=2055363397"",""MTR!C:O""),9,false)"),"")</f>
        <v/>
      </c>
      <c r="P591" s="241"/>
      <c r="Q591" s="251" t="s">
        <v>445</v>
      </c>
      <c r="R591" s="241"/>
      <c r="S591" s="154" t="s">
        <v>66</v>
      </c>
      <c r="T591" s="154" t="s">
        <v>66</v>
      </c>
      <c r="U591" s="154" t="s">
        <v>60</v>
      </c>
      <c r="V591" s="154" t="s">
        <v>60</v>
      </c>
      <c r="W591" s="154" t="s">
        <v>60</v>
      </c>
      <c r="X591" s="154" t="s">
        <v>60</v>
      </c>
      <c r="Y591" s="154" t="s">
        <v>66</v>
      </c>
      <c r="Z591" s="154" t="s">
        <v>60</v>
      </c>
      <c r="AA591" s="154" t="s">
        <v>60</v>
      </c>
      <c r="AB591" s="154"/>
      <c r="AC591" s="242" t="b">
        <f t="shared" si="2"/>
        <v>1</v>
      </c>
      <c r="AD591" s="154" t="s">
        <v>391</v>
      </c>
      <c r="AE591" s="243" t="b">
        <f t="shared" si="3"/>
        <v>0</v>
      </c>
      <c r="AF591" s="154"/>
      <c r="AG591" s="243" t="b">
        <f t="shared" si="4"/>
        <v>0</v>
      </c>
      <c r="AH591" s="154"/>
      <c r="AI591" s="243" t="str">
        <f t="shared" si="5"/>
        <v>N/A</v>
      </c>
      <c r="AJ591" s="157" t="str">
        <f t="shared" si="6"/>
        <v/>
      </c>
    </row>
    <row r="592" ht="12.75" customHeight="1">
      <c r="A592" s="244" t="s">
        <v>621</v>
      </c>
      <c r="B592" s="244" t="s">
        <v>1339</v>
      </c>
      <c r="C592" s="245" t="s">
        <v>1889</v>
      </c>
      <c r="D592" s="155" t="s">
        <v>1069</v>
      </c>
      <c r="E592" s="246" t="s">
        <v>92</v>
      </c>
      <c r="F592" s="154" t="str">
        <f t="array" ref="F592">XLOOKUP(Cover!$D$12,$S$1:$AA$1,$S592:$AA592)</f>
        <v>Comments Vendor</v>
      </c>
      <c r="G592" s="153" t="s">
        <v>1890</v>
      </c>
      <c r="H592" s="154" t="s">
        <v>232</v>
      </c>
      <c r="I592" s="154" t="s">
        <v>759</v>
      </c>
      <c r="J592" s="154"/>
      <c r="K592" s="247" t="s">
        <v>1886</v>
      </c>
      <c r="L592" s="154" t="str">
        <f t="shared" si="1"/>
        <v/>
      </c>
      <c r="M592" s="248" t="str">
        <f>IFERROR(__xludf.DUMMYFUNCTION("VLOOKUP(C592,IMPORTRANGE(""https://docs.google.com/spreadsheets/d/1P8eX0NWBhUPS_hvzA11R6jkTNFrPrRYIx_dX_hYbxrk/edit?resourcekey=0-iw9bsKY2OqkUHCFMkCar3A&amp;gid=2055363397#gid=2055363397"",""MTR!C:O""),11,false)"),"PMW-MCE-AS")</f>
        <v>PMW-MCE-AS</v>
      </c>
      <c r="N592" s="241" t="str">
        <f>IFERROR(__xludf.DUMMYFUNCTION("VLOOKUP(C592,IMPORTRANGE(""https://docs.google.com/spreadsheets/d/1ihFlp3_ePlYtFuPbUNbYj1muErVpI73WHXbEwJDIA7Q/edit#gid=1493122344"",""MTR!C:O""),8,false)"),"")</f>
        <v/>
      </c>
      <c r="O592" s="248" t="str">
        <f>IFERROR(__xludf.DUMMYFUNCTION("VLOOKUP(C592,IMPORTRANGE(""https://docs.google.com/spreadsheets/d/1P8eX0NWBhUPS_hvzA11R6jkTNFrPrRYIx_dX_hYbxrk/edit?resourcekey=0-iw9bsKY2OqkUHCFMkCar3A&amp;gid=2055363397#gid=2055363397"",""MTR!C:O""),9,false)"),"Type1 + Type2")</f>
        <v>Type1 + Type2</v>
      </c>
      <c r="P592" s="248"/>
      <c r="Q592" s="248"/>
      <c r="R592" s="249" t="s">
        <v>1886</v>
      </c>
      <c r="S592" s="154" t="s">
        <v>62</v>
      </c>
      <c r="T592" s="154" t="s">
        <v>62</v>
      </c>
      <c r="U592" s="154" t="s">
        <v>62</v>
      </c>
      <c r="V592" s="154" t="s">
        <v>62</v>
      </c>
      <c r="W592" s="154" t="s">
        <v>62</v>
      </c>
      <c r="X592" s="154" t="s">
        <v>62</v>
      </c>
      <c r="Y592" s="154" t="s">
        <v>62</v>
      </c>
      <c r="Z592" s="154" t="s">
        <v>62</v>
      </c>
      <c r="AA592" s="154" t="s">
        <v>62</v>
      </c>
      <c r="AB592" s="154"/>
      <c r="AC592" s="242" t="b">
        <f t="shared" si="2"/>
        <v>1</v>
      </c>
      <c r="AD592" s="154" t="s">
        <v>445</v>
      </c>
      <c r="AE592" s="243" t="b">
        <f t="shared" si="3"/>
        <v>1</v>
      </c>
      <c r="AF592" s="154"/>
      <c r="AG592" s="243" t="b">
        <f t="shared" si="4"/>
        <v>0</v>
      </c>
      <c r="AH592" s="154"/>
      <c r="AI592" s="243" t="str">
        <f t="shared" si="5"/>
        <v>N/A</v>
      </c>
      <c r="AJ592" s="157" t="str">
        <f t="shared" si="6"/>
        <v/>
      </c>
    </row>
    <row r="593" ht="12.75" customHeight="1">
      <c r="A593" s="244" t="s">
        <v>621</v>
      </c>
      <c r="B593" s="244" t="s">
        <v>1339</v>
      </c>
      <c r="C593" s="244" t="s">
        <v>1891</v>
      </c>
      <c r="D593" s="154" t="s">
        <v>747</v>
      </c>
      <c r="E593" s="250"/>
      <c r="F593" s="154" t="str">
        <f t="array" ref="F593">XLOOKUP(Cover!$D$12,$S$1:$AA$1,$S593:$AA593)</f>
        <v>Mandatory</v>
      </c>
      <c r="G593" s="153" t="s">
        <v>1892</v>
      </c>
      <c r="H593" s="154" t="s">
        <v>232</v>
      </c>
      <c r="I593" s="154" t="s">
        <v>759</v>
      </c>
      <c r="J593" s="247" t="s">
        <v>445</v>
      </c>
      <c r="K593" s="154"/>
      <c r="L593" s="154" t="str">
        <f t="shared" si="1"/>
        <v/>
      </c>
      <c r="M593" s="248" t="str">
        <f>IFERROR(__xludf.DUMMYFUNCTION("VLOOKUP(C593,IMPORTRANGE(""https://docs.google.com/spreadsheets/d/1P8eX0NWBhUPS_hvzA11R6jkTNFrPrRYIx_dX_hYbxrk/edit?resourcekey=0-iw9bsKY2OqkUHCFMkCar3A&amp;gid=2055363397#gid=2055363397"",""MTR!C:O""),11,false)"),"PMW-MCE-AS")</f>
        <v>PMW-MCE-AS</v>
      </c>
      <c r="N593" s="248" t="str">
        <f>IFERROR(__xludf.DUMMYFUNCTION("VLOOKUP(C593,IMPORTRANGE(""https://docs.google.com/spreadsheets/d/1ihFlp3_ePlYtFuPbUNbYj1muErVpI73WHXbEwJDIA7Q/edit#gid=1493122344"",""MTR!C:O""),8,false)"),"Complies")</f>
        <v>Complies</v>
      </c>
      <c r="O593" s="241" t="str">
        <f>IFERROR(__xludf.DUMMYFUNCTION("VLOOKUP(C593,IMPORTRANGE(""https://docs.google.com/spreadsheets/d/1P8eX0NWBhUPS_hvzA11R6jkTNFrPrRYIx_dX_hYbxrk/edit?resourcekey=0-iw9bsKY2OqkUHCFMkCar3A&amp;gid=2055363397#gid=2055363397"",""MTR!C:O""),9,false)"),"")</f>
        <v/>
      </c>
      <c r="P593" s="241"/>
      <c r="Q593" s="251" t="s">
        <v>445</v>
      </c>
      <c r="R593" s="241"/>
      <c r="S593" s="154" t="s">
        <v>66</v>
      </c>
      <c r="T593" s="154" t="s">
        <v>66</v>
      </c>
      <c r="U593" s="154" t="s">
        <v>60</v>
      </c>
      <c r="V593" s="154" t="s">
        <v>60</v>
      </c>
      <c r="W593" s="154" t="s">
        <v>60</v>
      </c>
      <c r="X593" s="154" t="s">
        <v>60</v>
      </c>
      <c r="Y593" s="154" t="s">
        <v>66</v>
      </c>
      <c r="Z593" s="154" t="s">
        <v>60</v>
      </c>
      <c r="AA593" s="154" t="s">
        <v>60</v>
      </c>
      <c r="AB593" s="154"/>
      <c r="AC593" s="242" t="b">
        <f t="shared" si="2"/>
        <v>1</v>
      </c>
      <c r="AD593" s="154" t="s">
        <v>391</v>
      </c>
      <c r="AE593" s="243" t="b">
        <f t="shared" si="3"/>
        <v>0</v>
      </c>
      <c r="AF593" s="154"/>
      <c r="AG593" s="243" t="b">
        <f t="shared" si="4"/>
        <v>0</v>
      </c>
      <c r="AH593" s="154"/>
      <c r="AI593" s="243" t="str">
        <f t="shared" si="5"/>
        <v>N/A</v>
      </c>
      <c r="AJ593" s="157" t="str">
        <f t="shared" si="6"/>
        <v/>
      </c>
    </row>
    <row r="594" ht="12.75" customHeight="1">
      <c r="A594" s="244" t="s">
        <v>621</v>
      </c>
      <c r="B594" s="244" t="s">
        <v>1339</v>
      </c>
      <c r="C594" s="244" t="s">
        <v>1893</v>
      </c>
      <c r="D594" s="154" t="s">
        <v>747</v>
      </c>
      <c r="E594" s="250"/>
      <c r="F594" s="154" t="str">
        <f t="array" ref="F594">XLOOKUP(Cover!$D$12,$S$1:$AA$1,$S594:$AA594)</f>
        <v>Mandatory</v>
      </c>
      <c r="G594" s="153" t="s">
        <v>1894</v>
      </c>
      <c r="H594" s="154" t="s">
        <v>232</v>
      </c>
      <c r="I594" s="154" t="s">
        <v>759</v>
      </c>
      <c r="J594" s="247" t="s">
        <v>445</v>
      </c>
      <c r="K594" s="154"/>
      <c r="L594" s="154" t="str">
        <f t="shared" si="1"/>
        <v/>
      </c>
      <c r="M594" s="248" t="str">
        <f>IFERROR(__xludf.DUMMYFUNCTION("VLOOKUP(C594,IMPORTRANGE(""https://docs.google.com/spreadsheets/d/1P8eX0NWBhUPS_hvzA11R6jkTNFrPrRYIx_dX_hYbxrk/edit?resourcekey=0-iw9bsKY2OqkUHCFMkCar3A&amp;gid=2055363397#gid=2055363397"",""MTR!C:O""),11,false)"),"PMW-MCE-AS")</f>
        <v>PMW-MCE-AS</v>
      </c>
      <c r="N594" s="248" t="str">
        <f>IFERROR(__xludf.DUMMYFUNCTION("VLOOKUP(C594,IMPORTRANGE(""https://docs.google.com/spreadsheets/d/1ihFlp3_ePlYtFuPbUNbYj1muErVpI73WHXbEwJDIA7Q/edit#gid=1493122344"",""MTR!C:O""),8,false)"),"Complies")</f>
        <v>Complies</v>
      </c>
      <c r="O594" s="241" t="str">
        <f>IFERROR(__xludf.DUMMYFUNCTION("VLOOKUP(C594,IMPORTRANGE(""https://docs.google.com/spreadsheets/d/1P8eX0NWBhUPS_hvzA11R6jkTNFrPrRYIx_dX_hYbxrk/edit?resourcekey=0-iw9bsKY2OqkUHCFMkCar3A&amp;gid=2055363397#gid=2055363397"",""MTR!C:O""),9,false)"),"")</f>
        <v/>
      </c>
      <c r="P594" s="241"/>
      <c r="Q594" s="251" t="s">
        <v>445</v>
      </c>
      <c r="R594" s="241"/>
      <c r="S594" s="154" t="s">
        <v>66</v>
      </c>
      <c r="T594" s="154" t="s">
        <v>66</v>
      </c>
      <c r="U594" s="154" t="s">
        <v>60</v>
      </c>
      <c r="V594" s="154" t="s">
        <v>60</v>
      </c>
      <c r="W594" s="154" t="s">
        <v>60</v>
      </c>
      <c r="X594" s="154" t="s">
        <v>60</v>
      </c>
      <c r="Y594" s="154" t="s">
        <v>66</v>
      </c>
      <c r="Z594" s="154" t="s">
        <v>60</v>
      </c>
      <c r="AA594" s="154" t="s">
        <v>60</v>
      </c>
      <c r="AB594" s="154"/>
      <c r="AC594" s="242" t="b">
        <f t="shared" si="2"/>
        <v>1</v>
      </c>
      <c r="AD594" s="154" t="s">
        <v>391</v>
      </c>
      <c r="AE594" s="243" t="b">
        <f t="shared" si="3"/>
        <v>0</v>
      </c>
      <c r="AF594" s="154"/>
      <c r="AG594" s="243" t="b">
        <f t="shared" si="4"/>
        <v>0</v>
      </c>
      <c r="AH594" s="154"/>
      <c r="AI594" s="243" t="str">
        <f t="shared" si="5"/>
        <v>N/A</v>
      </c>
      <c r="AJ594" s="157" t="str">
        <f t="shared" si="6"/>
        <v/>
      </c>
    </row>
    <row r="595" ht="12.75" customHeight="1">
      <c r="A595" s="244" t="s">
        <v>621</v>
      </c>
      <c r="B595" s="244" t="s">
        <v>1339</v>
      </c>
      <c r="C595" s="244" t="s">
        <v>1895</v>
      </c>
      <c r="D595" s="154" t="s">
        <v>747</v>
      </c>
      <c r="E595" s="250"/>
      <c r="F595" s="154" t="str">
        <f t="array" ref="F595">XLOOKUP(Cover!$D$12,$S$1:$AA$1,$S595:$AA595)</f>
        <v>Mandatory</v>
      </c>
      <c r="G595" s="153" t="s">
        <v>1896</v>
      </c>
      <c r="H595" s="154" t="s">
        <v>232</v>
      </c>
      <c r="I595" s="154" t="s">
        <v>759</v>
      </c>
      <c r="J595" s="247" t="s">
        <v>445</v>
      </c>
      <c r="K595" s="154"/>
      <c r="L595" s="154" t="str">
        <f t="shared" si="1"/>
        <v/>
      </c>
      <c r="M595" s="248" t="str">
        <f>IFERROR(__xludf.DUMMYFUNCTION("VLOOKUP(C595,IMPORTRANGE(""https://docs.google.com/spreadsheets/d/1P8eX0NWBhUPS_hvzA11R6jkTNFrPrRYIx_dX_hYbxrk/edit?resourcekey=0-iw9bsKY2OqkUHCFMkCar3A&amp;gid=2055363397#gid=2055363397"",""MTR!C:O""),11,false)"),"PMW-MCE-AS")</f>
        <v>PMW-MCE-AS</v>
      </c>
      <c r="N595" s="248" t="str">
        <f>IFERROR(__xludf.DUMMYFUNCTION("VLOOKUP(C595,IMPORTRANGE(""https://docs.google.com/spreadsheets/d/1ihFlp3_ePlYtFuPbUNbYj1muErVpI73WHXbEwJDIA7Q/edit#gid=1493122344"",""MTR!C:O""),8,false)"),"Complies")</f>
        <v>Complies</v>
      </c>
      <c r="O595" s="241" t="str">
        <f>IFERROR(__xludf.DUMMYFUNCTION("VLOOKUP(C595,IMPORTRANGE(""https://docs.google.com/spreadsheets/d/1P8eX0NWBhUPS_hvzA11R6jkTNFrPrRYIx_dX_hYbxrk/edit?resourcekey=0-iw9bsKY2OqkUHCFMkCar3A&amp;gid=2055363397#gid=2055363397"",""MTR!C:O""),9,false)"),"")</f>
        <v/>
      </c>
      <c r="P595" s="241"/>
      <c r="Q595" s="251" t="s">
        <v>445</v>
      </c>
      <c r="R595" s="241"/>
      <c r="S595" s="154" t="s">
        <v>66</v>
      </c>
      <c r="T595" s="154" t="s">
        <v>66</v>
      </c>
      <c r="U595" s="154" t="s">
        <v>60</v>
      </c>
      <c r="V595" s="154" t="s">
        <v>60</v>
      </c>
      <c r="W595" s="154" t="s">
        <v>60</v>
      </c>
      <c r="X595" s="154" t="s">
        <v>60</v>
      </c>
      <c r="Y595" s="154" t="s">
        <v>66</v>
      </c>
      <c r="Z595" s="154" t="s">
        <v>60</v>
      </c>
      <c r="AA595" s="154" t="s">
        <v>60</v>
      </c>
      <c r="AB595" s="154"/>
      <c r="AC595" s="242" t="b">
        <f t="shared" si="2"/>
        <v>1</v>
      </c>
      <c r="AD595" s="154" t="s">
        <v>391</v>
      </c>
      <c r="AE595" s="243" t="b">
        <f t="shared" si="3"/>
        <v>0</v>
      </c>
      <c r="AF595" s="154"/>
      <c r="AG595" s="243" t="b">
        <f t="shared" si="4"/>
        <v>0</v>
      </c>
      <c r="AH595" s="154"/>
      <c r="AI595" s="243" t="str">
        <f t="shared" si="5"/>
        <v>N/A</v>
      </c>
      <c r="AJ595" s="157" t="str">
        <f t="shared" si="6"/>
        <v/>
      </c>
    </row>
    <row r="596" ht="12.75" customHeight="1">
      <c r="A596" s="244" t="s">
        <v>621</v>
      </c>
      <c r="B596" s="244" t="s">
        <v>1339</v>
      </c>
      <c r="C596" s="244" t="s">
        <v>1897</v>
      </c>
      <c r="D596" s="154" t="s">
        <v>747</v>
      </c>
      <c r="E596" s="250"/>
      <c r="F596" s="154" t="str">
        <f t="array" ref="F596">XLOOKUP(Cover!$D$12,$S$1:$AA$1,$S596:$AA596)</f>
        <v>Mandatory</v>
      </c>
      <c r="G596" s="153" t="s">
        <v>1898</v>
      </c>
      <c r="H596" s="154" t="s">
        <v>232</v>
      </c>
      <c r="I596" s="154" t="s">
        <v>759</v>
      </c>
      <c r="J596" s="247" t="s">
        <v>445</v>
      </c>
      <c r="K596" s="154"/>
      <c r="L596" s="154" t="str">
        <f t="shared" si="1"/>
        <v/>
      </c>
      <c r="M596" s="248" t="str">
        <f>IFERROR(__xludf.DUMMYFUNCTION("VLOOKUP(C596,IMPORTRANGE(""https://docs.google.com/spreadsheets/d/1P8eX0NWBhUPS_hvzA11R6jkTNFrPrRYIx_dX_hYbxrk/edit?resourcekey=0-iw9bsKY2OqkUHCFMkCar3A&amp;gid=2055363397#gid=2055363397"",""MTR!C:O""),11,false)"),"PMW-MCE-AS")</f>
        <v>PMW-MCE-AS</v>
      </c>
      <c r="N596" s="248" t="str">
        <f>IFERROR(__xludf.DUMMYFUNCTION("VLOOKUP(C596,IMPORTRANGE(""https://docs.google.com/spreadsheets/d/1ihFlp3_ePlYtFuPbUNbYj1muErVpI73WHXbEwJDIA7Q/edit#gid=1493122344"",""MTR!C:O""),8,false)"),"Complies")</f>
        <v>Complies</v>
      </c>
      <c r="O596" s="241" t="str">
        <f>IFERROR(__xludf.DUMMYFUNCTION("VLOOKUP(C596,IMPORTRANGE(""https://docs.google.com/spreadsheets/d/1P8eX0NWBhUPS_hvzA11R6jkTNFrPrRYIx_dX_hYbxrk/edit?resourcekey=0-iw9bsKY2OqkUHCFMkCar3A&amp;gid=2055363397#gid=2055363397"",""MTR!C:O""),9,false)"),"")</f>
        <v/>
      </c>
      <c r="P596" s="241"/>
      <c r="Q596" s="251" t="s">
        <v>445</v>
      </c>
      <c r="R596" s="241"/>
      <c r="S596" s="154" t="s">
        <v>66</v>
      </c>
      <c r="T596" s="154" t="s">
        <v>66</v>
      </c>
      <c r="U596" s="154" t="s">
        <v>60</v>
      </c>
      <c r="V596" s="154" t="s">
        <v>60</v>
      </c>
      <c r="W596" s="154" t="s">
        <v>60</v>
      </c>
      <c r="X596" s="154" t="s">
        <v>60</v>
      </c>
      <c r="Y596" s="154" t="s">
        <v>66</v>
      </c>
      <c r="Z596" s="154" t="s">
        <v>60</v>
      </c>
      <c r="AA596" s="154" t="s">
        <v>60</v>
      </c>
      <c r="AB596" s="154"/>
      <c r="AC596" s="242" t="b">
        <f t="shared" si="2"/>
        <v>1</v>
      </c>
      <c r="AD596" s="154" t="s">
        <v>391</v>
      </c>
      <c r="AE596" s="243" t="b">
        <f t="shared" si="3"/>
        <v>0</v>
      </c>
      <c r="AF596" s="154"/>
      <c r="AG596" s="243" t="b">
        <f t="shared" si="4"/>
        <v>0</v>
      </c>
      <c r="AH596" s="154"/>
      <c r="AI596" s="243" t="str">
        <f t="shared" si="5"/>
        <v>N/A</v>
      </c>
      <c r="AJ596" s="157" t="str">
        <f t="shared" si="6"/>
        <v/>
      </c>
    </row>
    <row r="597" ht="12.75" customHeight="1">
      <c r="A597" s="244" t="s">
        <v>621</v>
      </c>
      <c r="B597" s="244" t="s">
        <v>1339</v>
      </c>
      <c r="C597" s="244" t="s">
        <v>1899</v>
      </c>
      <c r="D597" s="154" t="s">
        <v>747</v>
      </c>
      <c r="E597" s="250"/>
      <c r="F597" s="154" t="str">
        <f t="array" ref="F597">XLOOKUP(Cover!$D$12,$S$1:$AA$1,$S597:$AA597)</f>
        <v>Mandatory</v>
      </c>
      <c r="G597" s="153" t="s">
        <v>1900</v>
      </c>
      <c r="H597" s="154" t="s">
        <v>232</v>
      </c>
      <c r="I597" s="154" t="s">
        <v>759</v>
      </c>
      <c r="J597" s="247" t="s">
        <v>445</v>
      </c>
      <c r="K597" s="154"/>
      <c r="L597" s="154" t="str">
        <f t="shared" si="1"/>
        <v/>
      </c>
      <c r="M597" s="248" t="str">
        <f>IFERROR(__xludf.DUMMYFUNCTION("VLOOKUP(C597,IMPORTRANGE(""https://docs.google.com/spreadsheets/d/1P8eX0NWBhUPS_hvzA11R6jkTNFrPrRYIx_dX_hYbxrk/edit?resourcekey=0-iw9bsKY2OqkUHCFMkCar3A&amp;gid=2055363397#gid=2055363397"",""MTR!C:O""),11,false)"),"PMW-MCE-AS")</f>
        <v>PMW-MCE-AS</v>
      </c>
      <c r="N597" s="248" t="str">
        <f>IFERROR(__xludf.DUMMYFUNCTION("VLOOKUP(C597,IMPORTRANGE(""https://docs.google.com/spreadsheets/d/1ihFlp3_ePlYtFuPbUNbYj1muErVpI73WHXbEwJDIA7Q/edit#gid=1493122344"",""MTR!C:O""),8,false)"),"Complies")</f>
        <v>Complies</v>
      </c>
      <c r="O597" s="241" t="str">
        <f>IFERROR(__xludf.DUMMYFUNCTION("VLOOKUP(C597,IMPORTRANGE(""https://docs.google.com/spreadsheets/d/1P8eX0NWBhUPS_hvzA11R6jkTNFrPrRYIx_dX_hYbxrk/edit?resourcekey=0-iw9bsKY2OqkUHCFMkCar3A&amp;gid=2055363397#gid=2055363397"",""MTR!C:O""),9,false)"),"")</f>
        <v/>
      </c>
      <c r="P597" s="241"/>
      <c r="Q597" s="251" t="s">
        <v>445</v>
      </c>
      <c r="R597" s="241"/>
      <c r="S597" s="154" t="s">
        <v>66</v>
      </c>
      <c r="T597" s="154" t="s">
        <v>66</v>
      </c>
      <c r="U597" s="154" t="s">
        <v>60</v>
      </c>
      <c r="V597" s="154" t="s">
        <v>60</v>
      </c>
      <c r="W597" s="154" t="s">
        <v>60</v>
      </c>
      <c r="X597" s="154" t="s">
        <v>60</v>
      </c>
      <c r="Y597" s="154" t="s">
        <v>66</v>
      </c>
      <c r="Z597" s="154" t="s">
        <v>60</v>
      </c>
      <c r="AA597" s="154" t="s">
        <v>60</v>
      </c>
      <c r="AB597" s="154"/>
      <c r="AC597" s="242" t="b">
        <f t="shared" si="2"/>
        <v>1</v>
      </c>
      <c r="AD597" s="154" t="s">
        <v>391</v>
      </c>
      <c r="AE597" s="243" t="b">
        <f t="shared" si="3"/>
        <v>0</v>
      </c>
      <c r="AF597" s="154"/>
      <c r="AG597" s="243" t="b">
        <f t="shared" si="4"/>
        <v>0</v>
      </c>
      <c r="AH597" s="154"/>
      <c r="AI597" s="243" t="str">
        <f t="shared" si="5"/>
        <v>N/A</v>
      </c>
      <c r="AJ597" s="157" t="str">
        <f t="shared" si="6"/>
        <v/>
      </c>
    </row>
    <row r="598" ht="12.75" customHeight="1">
      <c r="A598" s="244" t="s">
        <v>621</v>
      </c>
      <c r="B598" s="244" t="s">
        <v>1339</v>
      </c>
      <c r="C598" s="244" t="s">
        <v>1901</v>
      </c>
      <c r="D598" s="154" t="s">
        <v>747</v>
      </c>
      <c r="E598" s="250"/>
      <c r="F598" s="154" t="str">
        <f t="array" ref="F598">XLOOKUP(Cover!$D$12,$S$1:$AA$1,$S598:$AA598)</f>
        <v>Mandatory</v>
      </c>
      <c r="G598" s="153" t="s">
        <v>1902</v>
      </c>
      <c r="H598" s="154" t="s">
        <v>232</v>
      </c>
      <c r="I598" s="154" t="s">
        <v>759</v>
      </c>
      <c r="J598" s="247" t="s">
        <v>445</v>
      </c>
      <c r="K598" s="154"/>
      <c r="L598" s="154" t="str">
        <f t="shared" si="1"/>
        <v/>
      </c>
      <c r="M598" s="248" t="str">
        <f>IFERROR(__xludf.DUMMYFUNCTION("VLOOKUP(C598,IMPORTRANGE(""https://docs.google.com/spreadsheets/d/1P8eX0NWBhUPS_hvzA11R6jkTNFrPrRYIx_dX_hYbxrk/edit?resourcekey=0-iw9bsKY2OqkUHCFMkCar3A&amp;gid=2055363397#gid=2055363397"",""MTR!C:O""),11,false)"),"PMW-MCE-AS")</f>
        <v>PMW-MCE-AS</v>
      </c>
      <c r="N598" s="248" t="str">
        <f>IFERROR(__xludf.DUMMYFUNCTION("VLOOKUP(C598,IMPORTRANGE(""https://docs.google.com/spreadsheets/d/1ihFlp3_ePlYtFuPbUNbYj1muErVpI73WHXbEwJDIA7Q/edit#gid=1493122344"",""MTR!C:O""),8,false)"),"Complies")</f>
        <v>Complies</v>
      </c>
      <c r="O598" s="241" t="str">
        <f>IFERROR(__xludf.DUMMYFUNCTION("VLOOKUP(C598,IMPORTRANGE(""https://docs.google.com/spreadsheets/d/1P8eX0NWBhUPS_hvzA11R6jkTNFrPrRYIx_dX_hYbxrk/edit?resourcekey=0-iw9bsKY2OqkUHCFMkCar3A&amp;gid=2055363397#gid=2055363397"",""MTR!C:O""),9,false)"),"")</f>
        <v/>
      </c>
      <c r="P598" s="241"/>
      <c r="Q598" s="251" t="s">
        <v>445</v>
      </c>
      <c r="R598" s="241"/>
      <c r="S598" s="154" t="s">
        <v>66</v>
      </c>
      <c r="T598" s="154" t="s">
        <v>66</v>
      </c>
      <c r="U598" s="154" t="s">
        <v>60</v>
      </c>
      <c r="V598" s="154" t="s">
        <v>60</v>
      </c>
      <c r="W598" s="154" t="s">
        <v>60</v>
      </c>
      <c r="X598" s="154" t="s">
        <v>60</v>
      </c>
      <c r="Y598" s="154" t="s">
        <v>66</v>
      </c>
      <c r="Z598" s="154" t="s">
        <v>60</v>
      </c>
      <c r="AA598" s="154" t="s">
        <v>60</v>
      </c>
      <c r="AB598" s="154"/>
      <c r="AC598" s="242" t="b">
        <f t="shared" si="2"/>
        <v>1</v>
      </c>
      <c r="AD598" s="154" t="s">
        <v>391</v>
      </c>
      <c r="AE598" s="243" t="b">
        <f t="shared" si="3"/>
        <v>0</v>
      </c>
      <c r="AF598" s="154"/>
      <c r="AG598" s="243" t="b">
        <f t="shared" si="4"/>
        <v>0</v>
      </c>
      <c r="AH598" s="154"/>
      <c r="AI598" s="243" t="str">
        <f t="shared" si="5"/>
        <v>N/A</v>
      </c>
      <c r="AJ598" s="157" t="str">
        <f t="shared" si="6"/>
        <v/>
      </c>
    </row>
    <row r="599" ht="12.75" customHeight="1">
      <c r="A599" s="244" t="s">
        <v>621</v>
      </c>
      <c r="B599" s="244" t="s">
        <v>1339</v>
      </c>
      <c r="C599" s="244" t="s">
        <v>1903</v>
      </c>
      <c r="D599" s="154" t="s">
        <v>747</v>
      </c>
      <c r="E599" s="250"/>
      <c r="F599" s="154" t="str">
        <f t="array" ref="F599">XLOOKUP(Cover!$D$12,$S$1:$AA$1,$S599:$AA599)</f>
        <v>Mandatory</v>
      </c>
      <c r="G599" s="153" t="s">
        <v>1904</v>
      </c>
      <c r="H599" s="154" t="s">
        <v>232</v>
      </c>
      <c r="I599" s="154" t="s">
        <v>759</v>
      </c>
      <c r="J599" s="247" t="s">
        <v>445</v>
      </c>
      <c r="K599" s="154"/>
      <c r="L599" s="154" t="str">
        <f t="shared" si="1"/>
        <v/>
      </c>
      <c r="M599" s="248" t="str">
        <f>IFERROR(__xludf.DUMMYFUNCTION("VLOOKUP(C599,IMPORTRANGE(""https://docs.google.com/spreadsheets/d/1P8eX0NWBhUPS_hvzA11R6jkTNFrPrRYIx_dX_hYbxrk/edit?resourcekey=0-iw9bsKY2OqkUHCFMkCar3A&amp;gid=2055363397#gid=2055363397"",""MTR!C:O""),11,false)"),"PMW-MCE-AS")</f>
        <v>PMW-MCE-AS</v>
      </c>
      <c r="N599" s="248" t="str">
        <f>IFERROR(__xludf.DUMMYFUNCTION("VLOOKUP(C599,IMPORTRANGE(""https://docs.google.com/spreadsheets/d/1ihFlp3_ePlYtFuPbUNbYj1muErVpI73WHXbEwJDIA7Q/edit#gid=1493122344"",""MTR!C:O""),8,false)"),"Complies")</f>
        <v>Complies</v>
      </c>
      <c r="O599" s="241" t="str">
        <f>IFERROR(__xludf.DUMMYFUNCTION("VLOOKUP(C599,IMPORTRANGE(""https://docs.google.com/spreadsheets/d/1P8eX0NWBhUPS_hvzA11R6jkTNFrPrRYIx_dX_hYbxrk/edit?resourcekey=0-iw9bsKY2OqkUHCFMkCar3A&amp;gid=2055363397#gid=2055363397"",""MTR!C:O""),9,false)"),"")</f>
        <v/>
      </c>
      <c r="P599" s="241"/>
      <c r="Q599" s="251" t="s">
        <v>445</v>
      </c>
      <c r="R599" s="241"/>
      <c r="S599" s="154" t="s">
        <v>66</v>
      </c>
      <c r="T599" s="154" t="s">
        <v>66</v>
      </c>
      <c r="U599" s="154" t="s">
        <v>60</v>
      </c>
      <c r="V599" s="154" t="s">
        <v>60</v>
      </c>
      <c r="W599" s="154" t="s">
        <v>60</v>
      </c>
      <c r="X599" s="154" t="s">
        <v>60</v>
      </c>
      <c r="Y599" s="154" t="s">
        <v>66</v>
      </c>
      <c r="Z599" s="154" t="s">
        <v>60</v>
      </c>
      <c r="AA599" s="154" t="s">
        <v>60</v>
      </c>
      <c r="AB599" s="154"/>
      <c r="AC599" s="242" t="b">
        <f t="shared" si="2"/>
        <v>1</v>
      </c>
      <c r="AD599" s="154" t="s">
        <v>391</v>
      </c>
      <c r="AE599" s="243" t="b">
        <f t="shared" si="3"/>
        <v>0</v>
      </c>
      <c r="AF599" s="154"/>
      <c r="AG599" s="243" t="b">
        <f t="shared" si="4"/>
        <v>0</v>
      </c>
      <c r="AH599" s="154"/>
      <c r="AI599" s="243" t="str">
        <f t="shared" si="5"/>
        <v>N/A</v>
      </c>
      <c r="AJ599" s="157" t="str">
        <f t="shared" si="6"/>
        <v/>
      </c>
    </row>
    <row r="600" ht="12.75" customHeight="1">
      <c r="A600" s="244" t="s">
        <v>621</v>
      </c>
      <c r="B600" s="244" t="s">
        <v>1339</v>
      </c>
      <c r="C600" s="244" t="s">
        <v>1905</v>
      </c>
      <c r="D600" s="154" t="s">
        <v>747</v>
      </c>
      <c r="E600" s="250"/>
      <c r="F600" s="154" t="str">
        <f t="array" ref="F600">XLOOKUP(Cover!$D$12,$S$1:$AA$1,$S600:$AA600)</f>
        <v>Mandatory</v>
      </c>
      <c r="G600" s="153" t="s">
        <v>1906</v>
      </c>
      <c r="H600" s="154" t="s">
        <v>232</v>
      </c>
      <c r="I600" s="154" t="s">
        <v>759</v>
      </c>
      <c r="J600" s="247" t="s">
        <v>445</v>
      </c>
      <c r="K600" s="154"/>
      <c r="L600" s="154" t="str">
        <f t="shared" si="1"/>
        <v/>
      </c>
      <c r="M600" s="248" t="str">
        <f>IFERROR(__xludf.DUMMYFUNCTION("VLOOKUP(C600,IMPORTRANGE(""https://docs.google.com/spreadsheets/d/1P8eX0NWBhUPS_hvzA11R6jkTNFrPrRYIx_dX_hYbxrk/edit?resourcekey=0-iw9bsKY2OqkUHCFMkCar3A&amp;gid=2055363397#gid=2055363397"",""MTR!C:O""),11,false)"),"PMW-MCE-AS")</f>
        <v>PMW-MCE-AS</v>
      </c>
      <c r="N600" s="248" t="str">
        <f>IFERROR(__xludf.DUMMYFUNCTION("VLOOKUP(C600,IMPORTRANGE(""https://docs.google.com/spreadsheets/d/1ihFlp3_ePlYtFuPbUNbYj1muErVpI73WHXbEwJDIA7Q/edit#gid=1493122344"",""MTR!C:O""),8,false)"),"Complies")</f>
        <v>Complies</v>
      </c>
      <c r="O600" s="241" t="str">
        <f>IFERROR(__xludf.DUMMYFUNCTION("VLOOKUP(C600,IMPORTRANGE(""https://docs.google.com/spreadsheets/d/1P8eX0NWBhUPS_hvzA11R6jkTNFrPrRYIx_dX_hYbxrk/edit?resourcekey=0-iw9bsKY2OqkUHCFMkCar3A&amp;gid=2055363397#gid=2055363397"",""MTR!C:O""),9,false)"),"")</f>
        <v/>
      </c>
      <c r="P600" s="241"/>
      <c r="Q600" s="251" t="s">
        <v>445</v>
      </c>
      <c r="R600" s="241"/>
      <c r="S600" s="154" t="s">
        <v>66</v>
      </c>
      <c r="T600" s="154" t="s">
        <v>66</v>
      </c>
      <c r="U600" s="154" t="s">
        <v>60</v>
      </c>
      <c r="V600" s="154" t="s">
        <v>60</v>
      </c>
      <c r="W600" s="154" t="s">
        <v>60</v>
      </c>
      <c r="X600" s="154" t="s">
        <v>60</v>
      </c>
      <c r="Y600" s="154" t="s">
        <v>66</v>
      </c>
      <c r="Z600" s="154" t="s">
        <v>60</v>
      </c>
      <c r="AA600" s="154" t="s">
        <v>60</v>
      </c>
      <c r="AB600" s="154"/>
      <c r="AC600" s="242" t="b">
        <f t="shared" si="2"/>
        <v>1</v>
      </c>
      <c r="AD600" s="154" t="s">
        <v>391</v>
      </c>
      <c r="AE600" s="243" t="b">
        <f t="shared" si="3"/>
        <v>0</v>
      </c>
      <c r="AF600" s="154"/>
      <c r="AG600" s="243" t="b">
        <f t="shared" si="4"/>
        <v>0</v>
      </c>
      <c r="AH600" s="154"/>
      <c r="AI600" s="243" t="str">
        <f t="shared" si="5"/>
        <v>N/A</v>
      </c>
      <c r="AJ600" s="157" t="str">
        <f t="shared" si="6"/>
        <v/>
      </c>
    </row>
    <row r="601" ht="12.75" customHeight="1">
      <c r="A601" s="244" t="s">
        <v>621</v>
      </c>
      <c r="B601" s="244" t="s">
        <v>1339</v>
      </c>
      <c r="C601" s="244" t="s">
        <v>1907</v>
      </c>
      <c r="D601" s="154" t="s">
        <v>747</v>
      </c>
      <c r="E601" s="250"/>
      <c r="F601" s="154" t="str">
        <f t="array" ref="F601">XLOOKUP(Cover!$D$12,$S$1:$AA$1,$S601:$AA601)</f>
        <v>Mandatory</v>
      </c>
      <c r="G601" s="153" t="s">
        <v>1908</v>
      </c>
      <c r="H601" s="154" t="s">
        <v>232</v>
      </c>
      <c r="I601" s="154" t="s">
        <v>759</v>
      </c>
      <c r="J601" s="247" t="s">
        <v>445</v>
      </c>
      <c r="K601" s="154"/>
      <c r="L601" s="154" t="str">
        <f t="shared" si="1"/>
        <v/>
      </c>
      <c r="M601" s="248" t="str">
        <f>IFERROR(__xludf.DUMMYFUNCTION("VLOOKUP(C601,IMPORTRANGE(""https://docs.google.com/spreadsheets/d/1P8eX0NWBhUPS_hvzA11R6jkTNFrPrRYIx_dX_hYbxrk/edit?resourcekey=0-iw9bsKY2OqkUHCFMkCar3A&amp;gid=2055363397#gid=2055363397"",""MTR!C:O""),11,false)"),"PMW-MCE-AS")</f>
        <v>PMW-MCE-AS</v>
      </c>
      <c r="N601" s="248" t="str">
        <f>IFERROR(__xludf.DUMMYFUNCTION("VLOOKUP(C601,IMPORTRANGE(""https://docs.google.com/spreadsheets/d/1ihFlp3_ePlYtFuPbUNbYj1muErVpI73WHXbEwJDIA7Q/edit#gid=1493122344"",""MTR!C:O""),8,false)"),"Complies")</f>
        <v>Complies</v>
      </c>
      <c r="O601" s="241" t="str">
        <f>IFERROR(__xludf.DUMMYFUNCTION("VLOOKUP(C601,IMPORTRANGE(""https://docs.google.com/spreadsheets/d/1P8eX0NWBhUPS_hvzA11R6jkTNFrPrRYIx_dX_hYbxrk/edit?resourcekey=0-iw9bsKY2OqkUHCFMkCar3A&amp;gid=2055363397#gid=2055363397"",""MTR!C:O""),9,false)"),"")</f>
        <v/>
      </c>
      <c r="P601" s="241"/>
      <c r="Q601" s="251" t="s">
        <v>445</v>
      </c>
      <c r="R601" s="241"/>
      <c r="S601" s="154" t="s">
        <v>66</v>
      </c>
      <c r="T601" s="154" t="s">
        <v>66</v>
      </c>
      <c r="U601" s="154" t="s">
        <v>60</v>
      </c>
      <c r="V601" s="154" t="s">
        <v>60</v>
      </c>
      <c r="W601" s="154" t="s">
        <v>60</v>
      </c>
      <c r="X601" s="154" t="s">
        <v>60</v>
      </c>
      <c r="Y601" s="154" t="s">
        <v>66</v>
      </c>
      <c r="Z601" s="154" t="s">
        <v>60</v>
      </c>
      <c r="AA601" s="154" t="s">
        <v>60</v>
      </c>
      <c r="AB601" s="154"/>
      <c r="AC601" s="242" t="b">
        <f t="shared" si="2"/>
        <v>1</v>
      </c>
      <c r="AD601" s="154" t="s">
        <v>391</v>
      </c>
      <c r="AE601" s="243" t="b">
        <f t="shared" si="3"/>
        <v>0</v>
      </c>
      <c r="AF601" s="154"/>
      <c r="AG601" s="243" t="b">
        <f t="shared" si="4"/>
        <v>0</v>
      </c>
      <c r="AH601" s="154"/>
      <c r="AI601" s="243" t="str">
        <f t="shared" si="5"/>
        <v>N/A</v>
      </c>
      <c r="AJ601" s="157" t="str">
        <f t="shared" si="6"/>
        <v/>
      </c>
    </row>
    <row r="602" ht="12.75" customHeight="1">
      <c r="A602" s="244" t="s">
        <v>621</v>
      </c>
      <c r="B602" s="244" t="s">
        <v>1339</v>
      </c>
      <c r="C602" s="244" t="s">
        <v>1909</v>
      </c>
      <c r="D602" s="154" t="s">
        <v>747</v>
      </c>
      <c r="E602" s="250"/>
      <c r="F602" s="154" t="str">
        <f t="array" ref="F602">XLOOKUP(Cover!$D$12,$S$1:$AA$1,$S602:$AA602)</f>
        <v>Mandatory</v>
      </c>
      <c r="G602" s="153" t="s">
        <v>1910</v>
      </c>
      <c r="H602" s="154" t="s">
        <v>232</v>
      </c>
      <c r="I602" s="154" t="s">
        <v>759</v>
      </c>
      <c r="J602" s="247" t="s">
        <v>445</v>
      </c>
      <c r="K602" s="154"/>
      <c r="L602" s="154" t="str">
        <f t="shared" si="1"/>
        <v/>
      </c>
      <c r="M602" s="248" t="str">
        <f>IFERROR(__xludf.DUMMYFUNCTION("VLOOKUP(C602,IMPORTRANGE(""https://docs.google.com/spreadsheets/d/1P8eX0NWBhUPS_hvzA11R6jkTNFrPrRYIx_dX_hYbxrk/edit?resourcekey=0-iw9bsKY2OqkUHCFMkCar3A&amp;gid=2055363397#gid=2055363397"",""MTR!C:O""),11,false)"),"PMW-MCE-AS")</f>
        <v>PMW-MCE-AS</v>
      </c>
      <c r="N602" s="248" t="str">
        <f>IFERROR(__xludf.DUMMYFUNCTION("VLOOKUP(C602,IMPORTRANGE(""https://docs.google.com/spreadsheets/d/1ihFlp3_ePlYtFuPbUNbYj1muErVpI73WHXbEwJDIA7Q/edit#gid=1493122344"",""MTR!C:O""),8,false)"),"Complies")</f>
        <v>Complies</v>
      </c>
      <c r="O602" s="241" t="str">
        <f>IFERROR(__xludf.DUMMYFUNCTION("VLOOKUP(C602,IMPORTRANGE(""https://docs.google.com/spreadsheets/d/1P8eX0NWBhUPS_hvzA11R6jkTNFrPrRYIx_dX_hYbxrk/edit?resourcekey=0-iw9bsKY2OqkUHCFMkCar3A&amp;gid=2055363397#gid=2055363397"",""MTR!C:O""),9,false)"),"")</f>
        <v/>
      </c>
      <c r="P602" s="241"/>
      <c r="Q602" s="251" t="s">
        <v>445</v>
      </c>
      <c r="R602" s="241"/>
      <c r="S602" s="154" t="s">
        <v>66</v>
      </c>
      <c r="T602" s="154" t="s">
        <v>66</v>
      </c>
      <c r="U602" s="154" t="s">
        <v>60</v>
      </c>
      <c r="V602" s="154" t="s">
        <v>60</v>
      </c>
      <c r="W602" s="154" t="s">
        <v>60</v>
      </c>
      <c r="X602" s="154" t="s">
        <v>60</v>
      </c>
      <c r="Y602" s="154" t="s">
        <v>66</v>
      </c>
      <c r="Z602" s="154" t="s">
        <v>60</v>
      </c>
      <c r="AA602" s="154" t="s">
        <v>60</v>
      </c>
      <c r="AB602" s="154"/>
      <c r="AC602" s="242" t="b">
        <f t="shared" si="2"/>
        <v>1</v>
      </c>
      <c r="AD602" s="154" t="s">
        <v>391</v>
      </c>
      <c r="AE602" s="243" t="b">
        <f t="shared" si="3"/>
        <v>0</v>
      </c>
      <c r="AF602" s="154"/>
      <c r="AG602" s="243" t="b">
        <f t="shared" si="4"/>
        <v>0</v>
      </c>
      <c r="AH602" s="154"/>
      <c r="AI602" s="243" t="str">
        <f t="shared" si="5"/>
        <v>N/A</v>
      </c>
      <c r="AJ602" s="157" t="str">
        <f t="shared" si="6"/>
        <v/>
      </c>
    </row>
    <row r="603" ht="12.75" customHeight="1">
      <c r="A603" s="244" t="s">
        <v>621</v>
      </c>
      <c r="B603" s="244" t="s">
        <v>1339</v>
      </c>
      <c r="C603" s="244" t="s">
        <v>1911</v>
      </c>
      <c r="D603" s="154" t="s">
        <v>747</v>
      </c>
      <c r="E603" s="250"/>
      <c r="F603" s="154" t="str">
        <f t="array" ref="F603">XLOOKUP(Cover!$D$12,$S$1:$AA$1,$S603:$AA603)</f>
        <v>Mandatory</v>
      </c>
      <c r="G603" s="153" t="s">
        <v>1912</v>
      </c>
      <c r="H603" s="154" t="s">
        <v>232</v>
      </c>
      <c r="I603" s="154" t="s">
        <v>759</v>
      </c>
      <c r="J603" s="247" t="s">
        <v>445</v>
      </c>
      <c r="K603" s="154"/>
      <c r="L603" s="154" t="str">
        <f t="shared" si="1"/>
        <v/>
      </c>
      <c r="M603" s="248" t="str">
        <f>IFERROR(__xludf.DUMMYFUNCTION("VLOOKUP(C603,IMPORTRANGE(""https://docs.google.com/spreadsheets/d/1P8eX0NWBhUPS_hvzA11R6jkTNFrPrRYIx_dX_hYbxrk/edit?resourcekey=0-iw9bsKY2OqkUHCFMkCar3A&amp;gid=2055363397#gid=2055363397"",""MTR!C:O""),11,false)"),"PMW-MCE-AS")</f>
        <v>PMW-MCE-AS</v>
      </c>
      <c r="N603" s="248" t="str">
        <f>IFERROR(__xludf.DUMMYFUNCTION("VLOOKUP(C603,IMPORTRANGE(""https://docs.google.com/spreadsheets/d/1ihFlp3_ePlYtFuPbUNbYj1muErVpI73WHXbEwJDIA7Q/edit#gid=1493122344"",""MTR!C:O""),8,false)"),"Complies")</f>
        <v>Complies</v>
      </c>
      <c r="O603" s="241" t="str">
        <f>IFERROR(__xludf.DUMMYFUNCTION("VLOOKUP(C603,IMPORTRANGE(""https://docs.google.com/spreadsheets/d/1P8eX0NWBhUPS_hvzA11R6jkTNFrPrRYIx_dX_hYbxrk/edit?resourcekey=0-iw9bsKY2OqkUHCFMkCar3A&amp;gid=2055363397#gid=2055363397"",""MTR!C:O""),9,false)"),"")</f>
        <v/>
      </c>
      <c r="P603" s="241"/>
      <c r="Q603" s="251" t="s">
        <v>445</v>
      </c>
      <c r="R603" s="241"/>
      <c r="S603" s="154" t="s">
        <v>66</v>
      </c>
      <c r="T603" s="154" t="s">
        <v>66</v>
      </c>
      <c r="U603" s="154" t="s">
        <v>60</v>
      </c>
      <c r="V603" s="154" t="s">
        <v>60</v>
      </c>
      <c r="W603" s="154" t="s">
        <v>60</v>
      </c>
      <c r="X603" s="154" t="s">
        <v>60</v>
      </c>
      <c r="Y603" s="154" t="s">
        <v>66</v>
      </c>
      <c r="Z603" s="154" t="s">
        <v>60</v>
      </c>
      <c r="AA603" s="154" t="s">
        <v>60</v>
      </c>
      <c r="AB603" s="154"/>
      <c r="AC603" s="242" t="b">
        <f t="shared" si="2"/>
        <v>1</v>
      </c>
      <c r="AD603" s="154" t="s">
        <v>391</v>
      </c>
      <c r="AE603" s="243" t="b">
        <f t="shared" si="3"/>
        <v>0</v>
      </c>
      <c r="AF603" s="154"/>
      <c r="AG603" s="243" t="b">
        <f t="shared" si="4"/>
        <v>0</v>
      </c>
      <c r="AH603" s="154"/>
      <c r="AI603" s="243" t="str">
        <f t="shared" si="5"/>
        <v>N/A</v>
      </c>
      <c r="AJ603" s="157" t="str">
        <f t="shared" si="6"/>
        <v/>
      </c>
    </row>
    <row r="604" ht="12.75" customHeight="1">
      <c r="A604" s="244" t="s">
        <v>621</v>
      </c>
      <c r="B604" s="244" t="s">
        <v>1339</v>
      </c>
      <c r="C604" s="244" t="s">
        <v>1913</v>
      </c>
      <c r="D604" s="244" t="s">
        <v>747</v>
      </c>
      <c r="E604" s="244"/>
      <c r="F604" s="154" t="str">
        <f t="array" ref="F604">XLOOKUP(Cover!$D$12,$S$1:$AA$1,$S604:$AA604)</f>
        <v>Comment</v>
      </c>
      <c r="G604" s="153" t="s">
        <v>1914</v>
      </c>
      <c r="H604" s="154"/>
      <c r="I604" s="154" t="s">
        <v>759</v>
      </c>
      <c r="J604" s="154"/>
      <c r="K604" s="154"/>
      <c r="L604" s="154" t="str">
        <f t="shared" si="1"/>
        <v/>
      </c>
      <c r="M604" s="241" t="str">
        <f>IFERROR(__xludf.DUMMYFUNCTION("VLOOKUP(C604,IMPORTRANGE(""https://docs.google.com/spreadsheets/d/1P8eX0NWBhUPS_hvzA11R6jkTNFrPrRYIx_dX_hYbxrk/edit?resourcekey=0-iw9bsKY2OqkUHCFMkCar3A&amp;gid=2055363397#gid=2055363397"",""MTR!C:O""),11,false)"),"")</f>
        <v/>
      </c>
      <c r="N604" s="241" t="str">
        <f>IFERROR(__xludf.DUMMYFUNCTION("VLOOKUP(C604,IMPORTRANGE(""https://docs.google.com/spreadsheets/d/1ihFlp3_ePlYtFuPbUNbYj1muErVpI73WHXbEwJDIA7Q/edit#gid=1493122344"",""MTR!C:O""),8,false)"),"")</f>
        <v/>
      </c>
      <c r="O604" s="241" t="str">
        <f>IFERROR(__xludf.DUMMYFUNCTION("VLOOKUP(C604,IMPORTRANGE(""https://docs.google.com/spreadsheets/d/1P8eX0NWBhUPS_hvzA11R6jkTNFrPrRYIx_dX_hYbxrk/edit?resourcekey=0-iw9bsKY2OqkUHCFMkCar3A&amp;gid=2055363397#gid=2055363397"",""MTR!C:O""),9,false)"),"")</f>
        <v/>
      </c>
      <c r="P604" s="241"/>
      <c r="Q604" s="241"/>
      <c r="R604" s="241"/>
      <c r="S604" s="154" t="s">
        <v>35</v>
      </c>
      <c r="T604" s="154" t="s">
        <v>35</v>
      </c>
      <c r="U604" s="154" t="s">
        <v>35</v>
      </c>
      <c r="V604" s="154" t="s">
        <v>35</v>
      </c>
      <c r="W604" s="154" t="s">
        <v>35</v>
      </c>
      <c r="X604" s="154" t="s">
        <v>35</v>
      </c>
      <c r="Y604" s="154" t="s">
        <v>35</v>
      </c>
      <c r="Z604" s="154" t="s">
        <v>35</v>
      </c>
      <c r="AA604" s="154" t="s">
        <v>35</v>
      </c>
      <c r="AB604" s="154"/>
      <c r="AC604" s="242" t="b">
        <f t="shared" si="2"/>
        <v>0</v>
      </c>
      <c r="AD604" s="154" t="s">
        <v>391</v>
      </c>
      <c r="AE604" s="243" t="b">
        <f t="shared" si="3"/>
        <v>0</v>
      </c>
      <c r="AF604" s="154"/>
      <c r="AG604" s="243" t="b">
        <f t="shared" si="4"/>
        <v>0</v>
      </c>
      <c r="AH604" s="154"/>
      <c r="AI604" s="243" t="str">
        <f t="shared" si="5"/>
        <v>N/A</v>
      </c>
      <c r="AJ604" s="157" t="str">
        <f t="shared" si="6"/>
        <v/>
      </c>
    </row>
    <row r="605" ht="12.75" customHeight="1">
      <c r="A605" s="244" t="s">
        <v>621</v>
      </c>
      <c r="B605" s="244" t="s">
        <v>1339</v>
      </c>
      <c r="C605" s="244" t="s">
        <v>1915</v>
      </c>
      <c r="D605" s="154" t="s">
        <v>747</v>
      </c>
      <c r="E605" s="250"/>
      <c r="F605" s="154" t="str">
        <f t="array" ref="F605">XLOOKUP(Cover!$D$12,$S$1:$AA$1,$S605:$AA605)</f>
        <v>Comments Vendor</v>
      </c>
      <c r="G605" s="153" t="s">
        <v>1916</v>
      </c>
      <c r="H605" s="154" t="s">
        <v>232</v>
      </c>
      <c r="I605" s="154" t="s">
        <v>759</v>
      </c>
      <c r="J605" s="154"/>
      <c r="K605" s="247" t="s">
        <v>1917</v>
      </c>
      <c r="L605" s="154" t="str">
        <f t="shared" si="1"/>
        <v/>
      </c>
      <c r="M605" s="248" t="str">
        <f>IFERROR(__xludf.DUMMYFUNCTION("VLOOKUP(C605,IMPORTRANGE(""https://docs.google.com/spreadsheets/d/1P8eX0NWBhUPS_hvzA11R6jkTNFrPrRYIx_dX_hYbxrk/edit?resourcekey=0-iw9bsKY2OqkUHCFMkCar3A&amp;gid=2055363397#gid=2055363397"",""MTR!C:O""),11,false)"),"PMW-MCE-AS")</f>
        <v>PMW-MCE-AS</v>
      </c>
      <c r="N605" s="241" t="str">
        <f>IFERROR(__xludf.DUMMYFUNCTION("VLOOKUP(C605,IMPORTRANGE(""https://docs.google.com/spreadsheets/d/1ihFlp3_ePlYtFuPbUNbYj1muErVpI73WHXbEwJDIA7Q/edit#gid=1493122344"",""MTR!C:O""),8,false)"),"")</f>
        <v/>
      </c>
      <c r="O605" s="248" t="str">
        <f>IFERROR(__xludf.DUMMYFUNCTION("VLOOKUP(C605,IMPORTRANGE(""https://docs.google.com/spreadsheets/d/1P8eX0NWBhUPS_hvzA11R6jkTNFrPrRYIx_dX_hYbxrk/edit?resourcekey=0-iw9bsKY2OqkUHCFMkCar3A&amp;gid=2055363397#gid=2055363397"",""MTR!C:O""),9,false)"),"maxNumberPeriodicCSI-PerBWP-ForCSI-Report: 2
""")</f>
        <v>maxNumberPeriodicCSI-PerBWP-ForCSI-Report: 2
"</v>
      </c>
      <c r="P605" s="248"/>
      <c r="Q605" s="248"/>
      <c r="R605" s="249" t="s">
        <v>1917</v>
      </c>
      <c r="S605" s="154" t="s">
        <v>62</v>
      </c>
      <c r="T605" s="154" t="s">
        <v>62</v>
      </c>
      <c r="U605" s="154" t="s">
        <v>62</v>
      </c>
      <c r="V605" s="154" t="s">
        <v>62</v>
      </c>
      <c r="W605" s="154" t="s">
        <v>62</v>
      </c>
      <c r="X605" s="154" t="s">
        <v>62</v>
      </c>
      <c r="Y605" s="154" t="s">
        <v>62</v>
      </c>
      <c r="Z605" s="154" t="s">
        <v>62</v>
      </c>
      <c r="AA605" s="154" t="s">
        <v>62</v>
      </c>
      <c r="AB605" s="154"/>
      <c r="AC605" s="242" t="b">
        <f t="shared" si="2"/>
        <v>1</v>
      </c>
      <c r="AD605" s="154" t="s">
        <v>391</v>
      </c>
      <c r="AE605" s="243" t="b">
        <f t="shared" si="3"/>
        <v>1</v>
      </c>
      <c r="AF605" s="154"/>
      <c r="AG605" s="243" t="b">
        <f t="shared" si="4"/>
        <v>0</v>
      </c>
      <c r="AH605" s="154"/>
      <c r="AI605" s="243" t="str">
        <f t="shared" si="5"/>
        <v>N/A</v>
      </c>
      <c r="AJ605" s="157" t="str">
        <f t="shared" si="6"/>
        <v/>
      </c>
    </row>
    <row r="606" ht="12.75" customHeight="1">
      <c r="A606" s="244" t="s">
        <v>621</v>
      </c>
      <c r="B606" s="244" t="s">
        <v>1339</v>
      </c>
      <c r="C606" s="244" t="s">
        <v>1918</v>
      </c>
      <c r="D606" s="154" t="s">
        <v>747</v>
      </c>
      <c r="E606" s="250"/>
      <c r="F606" s="154" t="str">
        <f t="array" ref="F606">XLOOKUP(Cover!$D$12,$S$1:$AA$1,$S606:$AA606)</f>
        <v>Comments Vendor</v>
      </c>
      <c r="G606" s="153" t="s">
        <v>1919</v>
      </c>
      <c r="H606" s="154" t="s">
        <v>232</v>
      </c>
      <c r="I606" s="154" t="s">
        <v>759</v>
      </c>
      <c r="J606" s="154"/>
      <c r="K606" s="247" t="s">
        <v>1920</v>
      </c>
      <c r="L606" s="154" t="str">
        <f t="shared" si="1"/>
        <v/>
      </c>
      <c r="M606" s="248" t="str">
        <f>IFERROR(__xludf.DUMMYFUNCTION("VLOOKUP(C606,IMPORTRANGE(""https://docs.google.com/spreadsheets/d/1P8eX0NWBhUPS_hvzA11R6jkTNFrPrRYIx_dX_hYbxrk/edit?resourcekey=0-iw9bsKY2OqkUHCFMkCar3A&amp;gid=2055363397#gid=2055363397"",""MTR!C:O""),11,false)"),"PMW-MCE-AS")</f>
        <v>PMW-MCE-AS</v>
      </c>
      <c r="N606" s="241" t="str">
        <f>IFERROR(__xludf.DUMMYFUNCTION("VLOOKUP(C606,IMPORTRANGE(""https://docs.google.com/spreadsheets/d/1ihFlp3_ePlYtFuPbUNbYj1muErVpI73WHXbEwJDIA7Q/edit#gid=1493122344"",""MTR!C:O""),8,false)"),"")</f>
        <v/>
      </c>
      <c r="O606" s="248" t="str">
        <f>IFERROR(__xludf.DUMMYFUNCTION("VLOOKUP(C606,IMPORTRANGE(""https://docs.google.com/spreadsheets/d/1P8eX0NWBhUPS_hvzA11R6jkTNFrPrRYIx_dX_hYbxrk/edit?resourcekey=0-iw9bsKY2OqkUHCFMkCar3A&amp;gid=2055363397#gid=2055363397"",""MTR!C:O""),9,false)"),"maxNumberPeriodicCSI-PerBWP-ForBeamReport: 2")</f>
        <v>maxNumberPeriodicCSI-PerBWP-ForBeamReport: 2</v>
      </c>
      <c r="P606" s="248"/>
      <c r="Q606" s="248"/>
      <c r="R606" s="249" t="s">
        <v>1920</v>
      </c>
      <c r="S606" s="154" t="s">
        <v>62</v>
      </c>
      <c r="T606" s="154" t="s">
        <v>62</v>
      </c>
      <c r="U606" s="154" t="s">
        <v>62</v>
      </c>
      <c r="V606" s="154" t="s">
        <v>62</v>
      </c>
      <c r="W606" s="154" t="s">
        <v>62</v>
      </c>
      <c r="X606" s="154" t="s">
        <v>62</v>
      </c>
      <c r="Y606" s="154" t="s">
        <v>62</v>
      </c>
      <c r="Z606" s="154" t="s">
        <v>62</v>
      </c>
      <c r="AA606" s="154" t="s">
        <v>62</v>
      </c>
      <c r="AB606" s="154"/>
      <c r="AC606" s="242" t="b">
        <f t="shared" si="2"/>
        <v>1</v>
      </c>
      <c r="AD606" s="154" t="s">
        <v>391</v>
      </c>
      <c r="AE606" s="243" t="b">
        <f t="shared" si="3"/>
        <v>1</v>
      </c>
      <c r="AF606" s="154"/>
      <c r="AG606" s="243" t="b">
        <f t="shared" si="4"/>
        <v>0</v>
      </c>
      <c r="AH606" s="154"/>
      <c r="AI606" s="243" t="str">
        <f t="shared" si="5"/>
        <v>N/A</v>
      </c>
      <c r="AJ606" s="157" t="str">
        <f t="shared" si="6"/>
        <v/>
      </c>
    </row>
    <row r="607" ht="12.75" customHeight="1">
      <c r="A607" s="244" t="s">
        <v>621</v>
      </c>
      <c r="B607" s="244" t="s">
        <v>1339</v>
      </c>
      <c r="C607" s="244" t="s">
        <v>1921</v>
      </c>
      <c r="D607" s="154" t="s">
        <v>747</v>
      </c>
      <c r="E607" s="250"/>
      <c r="F607" s="154" t="str">
        <f t="array" ref="F607">XLOOKUP(Cover!$D$12,$S$1:$AA$1,$S607:$AA607)</f>
        <v>Comments Vendor</v>
      </c>
      <c r="G607" s="153" t="s">
        <v>1922</v>
      </c>
      <c r="H607" s="154" t="s">
        <v>232</v>
      </c>
      <c r="I607" s="154" t="s">
        <v>759</v>
      </c>
      <c r="J607" s="154"/>
      <c r="K607" s="247" t="s">
        <v>1923</v>
      </c>
      <c r="L607" s="154" t="str">
        <f t="shared" si="1"/>
        <v/>
      </c>
      <c r="M607" s="248" t="str">
        <f>IFERROR(__xludf.DUMMYFUNCTION("VLOOKUP(C607,IMPORTRANGE(""https://docs.google.com/spreadsheets/d/1P8eX0NWBhUPS_hvzA11R6jkTNFrPrRYIx_dX_hYbxrk/edit?resourcekey=0-iw9bsKY2OqkUHCFMkCar3A&amp;gid=2055363397#gid=2055363397"",""MTR!C:O""),11,false)"),"PMW-MCE-AS")</f>
        <v>PMW-MCE-AS</v>
      </c>
      <c r="N607" s="241" t="str">
        <f>IFERROR(__xludf.DUMMYFUNCTION("VLOOKUP(C607,IMPORTRANGE(""https://docs.google.com/spreadsheets/d/1ihFlp3_ePlYtFuPbUNbYj1muErVpI73WHXbEwJDIA7Q/edit#gid=1493122344"",""MTR!C:O""),8,false)"),"")</f>
        <v/>
      </c>
      <c r="O607" s="248" t="str">
        <f>IFERROR(__xludf.DUMMYFUNCTION("VLOOKUP(C607,IMPORTRANGE(""https://docs.google.com/spreadsheets/d/1P8eX0NWBhUPS_hvzA11R6jkTNFrPrRYIx_dX_hYbxrk/edit?resourcekey=0-iw9bsKY2OqkUHCFMkCar3A&amp;gid=2055363397#gid=2055363397"",""MTR!C:O""),9,false)"),"""maxNumberAperiodicCSI-PerBWP-ForCSI-Report: 2
""")</f>
        <v>"maxNumberAperiodicCSI-PerBWP-ForCSI-Report: 2
"</v>
      </c>
      <c r="P607" s="248"/>
      <c r="Q607" s="248"/>
      <c r="R607" s="249" t="s">
        <v>1923</v>
      </c>
      <c r="S607" s="154" t="s">
        <v>62</v>
      </c>
      <c r="T607" s="154" t="s">
        <v>62</v>
      </c>
      <c r="U607" s="154" t="s">
        <v>62</v>
      </c>
      <c r="V607" s="154" t="s">
        <v>62</v>
      </c>
      <c r="W607" s="154" t="s">
        <v>62</v>
      </c>
      <c r="X607" s="154" t="s">
        <v>62</v>
      </c>
      <c r="Y607" s="154" t="s">
        <v>62</v>
      </c>
      <c r="Z607" s="154" t="s">
        <v>62</v>
      </c>
      <c r="AA607" s="154" t="s">
        <v>62</v>
      </c>
      <c r="AB607" s="154"/>
      <c r="AC607" s="242" t="b">
        <f t="shared" si="2"/>
        <v>1</v>
      </c>
      <c r="AD607" s="154" t="s">
        <v>391</v>
      </c>
      <c r="AE607" s="243" t="b">
        <f t="shared" si="3"/>
        <v>1</v>
      </c>
      <c r="AF607" s="154"/>
      <c r="AG607" s="243" t="b">
        <f t="shared" si="4"/>
        <v>0</v>
      </c>
      <c r="AH607" s="154"/>
      <c r="AI607" s="243" t="str">
        <f t="shared" si="5"/>
        <v>N/A</v>
      </c>
      <c r="AJ607" s="157" t="str">
        <f t="shared" si="6"/>
        <v/>
      </c>
    </row>
    <row r="608" ht="12.75" customHeight="1">
      <c r="A608" s="244" t="s">
        <v>621</v>
      </c>
      <c r="B608" s="244" t="s">
        <v>1339</v>
      </c>
      <c r="C608" s="244" t="s">
        <v>1924</v>
      </c>
      <c r="D608" s="154" t="s">
        <v>747</v>
      </c>
      <c r="E608" s="250"/>
      <c r="F608" s="154" t="str">
        <f t="array" ref="F608">XLOOKUP(Cover!$D$12,$S$1:$AA$1,$S608:$AA608)</f>
        <v>Comments Vendor</v>
      </c>
      <c r="G608" s="153" t="s">
        <v>1925</v>
      </c>
      <c r="H608" s="154" t="s">
        <v>232</v>
      </c>
      <c r="I608" s="154" t="s">
        <v>759</v>
      </c>
      <c r="J608" s="154"/>
      <c r="K608" s="247" t="s">
        <v>1926</v>
      </c>
      <c r="L608" s="154" t="str">
        <f t="shared" si="1"/>
        <v/>
      </c>
      <c r="M608" s="248" t="str">
        <f>IFERROR(__xludf.DUMMYFUNCTION("VLOOKUP(C608,IMPORTRANGE(""https://docs.google.com/spreadsheets/d/1P8eX0NWBhUPS_hvzA11R6jkTNFrPrRYIx_dX_hYbxrk/edit?resourcekey=0-iw9bsKY2OqkUHCFMkCar3A&amp;gid=2055363397#gid=2055363397"",""MTR!C:O""),11,false)"),"PMW-MCE-AS")</f>
        <v>PMW-MCE-AS</v>
      </c>
      <c r="N608" s="241" t="str">
        <f>IFERROR(__xludf.DUMMYFUNCTION("VLOOKUP(C608,IMPORTRANGE(""https://docs.google.com/spreadsheets/d/1ihFlp3_ePlYtFuPbUNbYj1muErVpI73WHXbEwJDIA7Q/edit#gid=1493122344"",""MTR!C:O""),8,false)"),"")</f>
        <v/>
      </c>
      <c r="O608" s="248" t="str">
        <f>IFERROR(__xludf.DUMMYFUNCTION("VLOOKUP(C608,IMPORTRANGE(""https://docs.google.com/spreadsheets/d/1P8eX0NWBhUPS_hvzA11R6jkTNFrPrRYIx_dX_hYbxrk/edit?resourcekey=0-iw9bsKY2OqkUHCFMkCar3A&amp;gid=2055363397#gid=2055363397"",""MTR!C:O""),9,false)"),"maxNumberAperiodicCSI-PerBWP-ForBeamReport: 2")</f>
        <v>maxNumberAperiodicCSI-PerBWP-ForBeamReport: 2</v>
      </c>
      <c r="P608" s="248"/>
      <c r="Q608" s="248"/>
      <c r="R608" s="249" t="s">
        <v>1926</v>
      </c>
      <c r="S608" s="154" t="s">
        <v>62</v>
      </c>
      <c r="T608" s="154" t="s">
        <v>62</v>
      </c>
      <c r="U608" s="154" t="s">
        <v>62</v>
      </c>
      <c r="V608" s="154" t="s">
        <v>62</v>
      </c>
      <c r="W608" s="154" t="s">
        <v>62</v>
      </c>
      <c r="X608" s="154" t="s">
        <v>62</v>
      </c>
      <c r="Y608" s="154" t="s">
        <v>62</v>
      </c>
      <c r="Z608" s="154" t="s">
        <v>62</v>
      </c>
      <c r="AA608" s="154" t="s">
        <v>62</v>
      </c>
      <c r="AB608" s="154"/>
      <c r="AC608" s="242" t="b">
        <f t="shared" si="2"/>
        <v>1</v>
      </c>
      <c r="AD608" s="154" t="s">
        <v>391</v>
      </c>
      <c r="AE608" s="243" t="b">
        <f t="shared" si="3"/>
        <v>1</v>
      </c>
      <c r="AF608" s="154"/>
      <c r="AG608" s="243" t="b">
        <f t="shared" si="4"/>
        <v>0</v>
      </c>
      <c r="AH608" s="154"/>
      <c r="AI608" s="243" t="str">
        <f t="shared" si="5"/>
        <v>N/A</v>
      </c>
      <c r="AJ608" s="157" t="str">
        <f t="shared" si="6"/>
        <v/>
      </c>
    </row>
    <row r="609" ht="12.75" customHeight="1">
      <c r="A609" s="244" t="s">
        <v>621</v>
      </c>
      <c r="B609" s="244" t="s">
        <v>1339</v>
      </c>
      <c r="C609" s="244" t="s">
        <v>1927</v>
      </c>
      <c r="D609" s="154" t="s">
        <v>747</v>
      </c>
      <c r="E609" s="250"/>
      <c r="F609" s="154" t="str">
        <f t="array" ref="F609">XLOOKUP(Cover!$D$12,$S$1:$AA$1,$S609:$AA609)</f>
        <v>Comments Vendor</v>
      </c>
      <c r="G609" s="153" t="s">
        <v>1928</v>
      </c>
      <c r="H609" s="154" t="s">
        <v>232</v>
      </c>
      <c r="I609" s="154" t="s">
        <v>759</v>
      </c>
      <c r="J609" s="154"/>
      <c r="K609" s="247" t="s">
        <v>1929</v>
      </c>
      <c r="L609" s="154" t="str">
        <f t="shared" si="1"/>
        <v/>
      </c>
      <c r="M609" s="248" t="str">
        <f>IFERROR(__xludf.DUMMYFUNCTION("VLOOKUP(C609,IMPORTRANGE(""https://docs.google.com/spreadsheets/d/1P8eX0NWBhUPS_hvzA11R6jkTNFrPrRYIx_dX_hYbxrk/edit?resourcekey=0-iw9bsKY2OqkUHCFMkCar3A&amp;gid=2055363397#gid=2055363397"",""MTR!C:O""),11,false)"),"PMW-MCE-AS")</f>
        <v>PMW-MCE-AS</v>
      </c>
      <c r="N609" s="241" t="str">
        <f>IFERROR(__xludf.DUMMYFUNCTION("VLOOKUP(C609,IMPORTRANGE(""https://docs.google.com/spreadsheets/d/1ihFlp3_ePlYtFuPbUNbYj1muErVpI73WHXbEwJDIA7Q/edit#gid=1493122344"",""MTR!C:O""),8,false)"),"")</f>
        <v/>
      </c>
      <c r="O609" s="248" t="str">
        <f>IFERROR(__xludf.DUMMYFUNCTION("VLOOKUP(C609,IMPORTRANGE(""https://docs.google.com/spreadsheets/d/1P8eX0NWBhUPS_hvzA11R6jkTNFrPrRYIx_dX_hYbxrk/edit?resourcekey=0-iw9bsKY2OqkUHCFMkCar3A&amp;gid=2055363397#gid=2055363397"",""MTR!C:O""),9,false)"),"maxNumberAperiodicCSI-triggeringStatePerCC: n63")</f>
        <v>maxNumberAperiodicCSI-triggeringStatePerCC: n63</v>
      </c>
      <c r="P609" s="248"/>
      <c r="Q609" s="248"/>
      <c r="R609" s="249" t="s">
        <v>1929</v>
      </c>
      <c r="S609" s="154" t="s">
        <v>62</v>
      </c>
      <c r="T609" s="154" t="s">
        <v>62</v>
      </c>
      <c r="U609" s="154" t="s">
        <v>62</v>
      </c>
      <c r="V609" s="154" t="s">
        <v>62</v>
      </c>
      <c r="W609" s="154" t="s">
        <v>62</v>
      </c>
      <c r="X609" s="154" t="s">
        <v>62</v>
      </c>
      <c r="Y609" s="154" t="s">
        <v>62</v>
      </c>
      <c r="Z609" s="154" t="s">
        <v>62</v>
      </c>
      <c r="AA609" s="154" t="s">
        <v>62</v>
      </c>
      <c r="AB609" s="154"/>
      <c r="AC609" s="242" t="b">
        <f t="shared" si="2"/>
        <v>1</v>
      </c>
      <c r="AD609" s="154" t="s">
        <v>391</v>
      </c>
      <c r="AE609" s="243" t="b">
        <f t="shared" si="3"/>
        <v>1</v>
      </c>
      <c r="AF609" s="154"/>
      <c r="AG609" s="243" t="b">
        <f t="shared" si="4"/>
        <v>0</v>
      </c>
      <c r="AH609" s="154"/>
      <c r="AI609" s="243" t="str">
        <f t="shared" si="5"/>
        <v>N/A</v>
      </c>
      <c r="AJ609" s="157" t="str">
        <f t="shared" si="6"/>
        <v/>
      </c>
    </row>
    <row r="610" ht="12.75" customHeight="1">
      <c r="A610" s="244" t="s">
        <v>621</v>
      </c>
      <c r="B610" s="244" t="s">
        <v>1339</v>
      </c>
      <c r="C610" s="244" t="s">
        <v>1930</v>
      </c>
      <c r="D610" s="154" t="s">
        <v>747</v>
      </c>
      <c r="E610" s="250"/>
      <c r="F610" s="154" t="str">
        <f t="array" ref="F610">XLOOKUP(Cover!$D$12,$S$1:$AA$1,$S610:$AA610)</f>
        <v>Comments Vendor</v>
      </c>
      <c r="G610" s="153" t="s">
        <v>1931</v>
      </c>
      <c r="H610" s="154" t="s">
        <v>232</v>
      </c>
      <c r="I610" s="154" t="s">
        <v>759</v>
      </c>
      <c r="J610" s="154"/>
      <c r="K610" s="247" t="s">
        <v>1932</v>
      </c>
      <c r="L610" s="154" t="str">
        <f t="shared" si="1"/>
        <v/>
      </c>
      <c r="M610" s="248" t="str">
        <f>IFERROR(__xludf.DUMMYFUNCTION("VLOOKUP(C610,IMPORTRANGE(""https://docs.google.com/spreadsheets/d/1P8eX0NWBhUPS_hvzA11R6jkTNFrPrRYIx_dX_hYbxrk/edit?resourcekey=0-iw9bsKY2OqkUHCFMkCar3A&amp;gid=2055363397#gid=2055363397"",""MTR!C:O""),11,false)"),"PMW-MCE-AS")</f>
        <v>PMW-MCE-AS</v>
      </c>
      <c r="N610" s="241" t="str">
        <f>IFERROR(__xludf.DUMMYFUNCTION("VLOOKUP(C610,IMPORTRANGE(""https://docs.google.com/spreadsheets/d/1ihFlp3_ePlYtFuPbUNbYj1muErVpI73WHXbEwJDIA7Q/edit#gid=1493122344"",""MTR!C:O""),8,false)"),"")</f>
        <v/>
      </c>
      <c r="O610" s="248" t="str">
        <f>IFERROR(__xludf.DUMMYFUNCTION("VLOOKUP(C610,IMPORTRANGE(""https://docs.google.com/spreadsheets/d/1P8eX0NWBhUPS_hvzA11R6jkTNFrPrRYIx_dX_hYbxrk/edit?resourcekey=0-iw9bsKY2OqkUHCFMkCar3A&amp;gid=2055363397#gid=2055363397"",""MTR!C:O""),9,false)"),"maxNumberSemiPersistentCSI-PerBWP-ForCSI-Report: 0
")</f>
        <v>maxNumberSemiPersistentCSI-PerBWP-ForCSI-Report: 0
</v>
      </c>
      <c r="P610" s="248"/>
      <c r="Q610" s="248"/>
      <c r="R610" s="249" t="s">
        <v>1932</v>
      </c>
      <c r="S610" s="154" t="s">
        <v>62</v>
      </c>
      <c r="T610" s="154" t="s">
        <v>62</v>
      </c>
      <c r="U610" s="154" t="s">
        <v>62</v>
      </c>
      <c r="V610" s="154" t="s">
        <v>62</v>
      </c>
      <c r="W610" s="154" t="s">
        <v>62</v>
      </c>
      <c r="X610" s="154" t="s">
        <v>62</v>
      </c>
      <c r="Y610" s="154" t="s">
        <v>62</v>
      </c>
      <c r="Z610" s="154" t="s">
        <v>62</v>
      </c>
      <c r="AA610" s="154" t="s">
        <v>62</v>
      </c>
      <c r="AB610" s="154"/>
      <c r="AC610" s="242" t="b">
        <f t="shared" si="2"/>
        <v>1</v>
      </c>
      <c r="AD610" s="154" t="s">
        <v>391</v>
      </c>
      <c r="AE610" s="243" t="b">
        <f t="shared" si="3"/>
        <v>1</v>
      </c>
      <c r="AF610" s="154"/>
      <c r="AG610" s="243" t="b">
        <f t="shared" si="4"/>
        <v>0</v>
      </c>
      <c r="AH610" s="154"/>
      <c r="AI610" s="243" t="str">
        <f t="shared" si="5"/>
        <v>N/A</v>
      </c>
      <c r="AJ610" s="157" t="str">
        <f t="shared" si="6"/>
        <v/>
      </c>
    </row>
    <row r="611" ht="12.75" customHeight="1">
      <c r="A611" s="244" t="s">
        <v>621</v>
      </c>
      <c r="B611" s="244" t="s">
        <v>1339</v>
      </c>
      <c r="C611" s="244" t="s">
        <v>1933</v>
      </c>
      <c r="D611" s="154" t="s">
        <v>747</v>
      </c>
      <c r="E611" s="250"/>
      <c r="F611" s="154" t="str">
        <f t="array" ref="F611">XLOOKUP(Cover!$D$12,$S$1:$AA$1,$S611:$AA611)</f>
        <v>Comments Vendor</v>
      </c>
      <c r="G611" s="153" t="s">
        <v>1934</v>
      </c>
      <c r="H611" s="154" t="s">
        <v>232</v>
      </c>
      <c r="I611" s="154" t="s">
        <v>759</v>
      </c>
      <c r="J611" s="154"/>
      <c r="K611" s="247" t="s">
        <v>1935</v>
      </c>
      <c r="L611" s="154" t="str">
        <f t="shared" si="1"/>
        <v/>
      </c>
      <c r="M611" s="248" t="str">
        <f>IFERROR(__xludf.DUMMYFUNCTION("VLOOKUP(C611,IMPORTRANGE(""https://docs.google.com/spreadsheets/d/1P8eX0NWBhUPS_hvzA11R6jkTNFrPrRYIx_dX_hYbxrk/edit?resourcekey=0-iw9bsKY2OqkUHCFMkCar3A&amp;gid=2055363397#gid=2055363397"",""MTR!C:O""),11,false)"),"PMW-MCE-AS")</f>
        <v>PMW-MCE-AS</v>
      </c>
      <c r="N611" s="241" t="str">
        <f>IFERROR(__xludf.DUMMYFUNCTION("VLOOKUP(C611,IMPORTRANGE(""https://docs.google.com/spreadsheets/d/1ihFlp3_ePlYtFuPbUNbYj1muErVpI73WHXbEwJDIA7Q/edit#gid=1493122344"",""MTR!C:O""),8,false)"),"")</f>
        <v/>
      </c>
      <c r="O611" s="248" t="str">
        <f>IFERROR(__xludf.DUMMYFUNCTION("VLOOKUP(C611,IMPORTRANGE(""https://docs.google.com/spreadsheets/d/1P8eX0NWBhUPS_hvzA11R6jkTNFrPrRYIx_dX_hYbxrk/edit?resourcekey=0-iw9bsKY2OqkUHCFMkCar3A&amp;gid=2055363397#gid=2055363397"",""MTR!C:O""),9,false)"),"maxNumberSemiPersistentCSI-PerBWP-ForBeamReport: 0
")</f>
        <v>maxNumberSemiPersistentCSI-PerBWP-ForBeamReport: 0
</v>
      </c>
      <c r="P611" s="248"/>
      <c r="Q611" s="248"/>
      <c r="R611" s="249" t="s">
        <v>1935</v>
      </c>
      <c r="S611" s="154" t="s">
        <v>62</v>
      </c>
      <c r="T611" s="154" t="s">
        <v>62</v>
      </c>
      <c r="U611" s="154" t="s">
        <v>62</v>
      </c>
      <c r="V611" s="154" t="s">
        <v>62</v>
      </c>
      <c r="W611" s="154" t="s">
        <v>62</v>
      </c>
      <c r="X611" s="154" t="s">
        <v>62</v>
      </c>
      <c r="Y611" s="154" t="s">
        <v>62</v>
      </c>
      <c r="Z611" s="154" t="s">
        <v>62</v>
      </c>
      <c r="AA611" s="154" t="s">
        <v>62</v>
      </c>
      <c r="AB611" s="154"/>
      <c r="AC611" s="242" t="b">
        <f t="shared" si="2"/>
        <v>1</v>
      </c>
      <c r="AD611" s="154" t="s">
        <v>391</v>
      </c>
      <c r="AE611" s="243" t="b">
        <f t="shared" si="3"/>
        <v>1</v>
      </c>
      <c r="AF611" s="154"/>
      <c r="AG611" s="243" t="b">
        <f t="shared" si="4"/>
        <v>0</v>
      </c>
      <c r="AH611" s="154"/>
      <c r="AI611" s="243" t="str">
        <f t="shared" si="5"/>
        <v>N/A</v>
      </c>
      <c r="AJ611" s="157" t="str">
        <f t="shared" si="6"/>
        <v/>
      </c>
    </row>
    <row r="612" ht="12.75" customHeight="1">
      <c r="A612" s="244" t="s">
        <v>621</v>
      </c>
      <c r="B612" s="244" t="s">
        <v>1339</v>
      </c>
      <c r="C612" s="244" t="s">
        <v>1936</v>
      </c>
      <c r="D612" s="154" t="s">
        <v>747</v>
      </c>
      <c r="E612" s="250"/>
      <c r="F612" s="154" t="str">
        <f t="array" ref="F612">XLOOKUP(Cover!$D$12,$S$1:$AA$1,$S612:$AA612)</f>
        <v>Comments Vendor</v>
      </c>
      <c r="G612" s="153" t="s">
        <v>1937</v>
      </c>
      <c r="H612" s="154" t="s">
        <v>232</v>
      </c>
      <c r="I612" s="154" t="s">
        <v>759</v>
      </c>
      <c r="J612" s="154"/>
      <c r="K612" s="247" t="s">
        <v>1938</v>
      </c>
      <c r="L612" s="154" t="str">
        <f t="shared" si="1"/>
        <v/>
      </c>
      <c r="M612" s="248" t="str">
        <f>IFERROR(__xludf.DUMMYFUNCTION("VLOOKUP(C612,IMPORTRANGE(""https://docs.google.com/spreadsheets/d/1P8eX0NWBhUPS_hvzA11R6jkTNFrPrRYIx_dX_hYbxrk/edit?resourcekey=0-iw9bsKY2OqkUHCFMkCar3A&amp;gid=2055363397#gid=2055363397"",""MTR!C:O""),11,false)"),"PMW-MCE-AS")</f>
        <v>PMW-MCE-AS</v>
      </c>
      <c r="N612" s="241" t="str">
        <f>IFERROR(__xludf.DUMMYFUNCTION("VLOOKUP(C612,IMPORTRANGE(""https://docs.google.com/spreadsheets/d/1ihFlp3_ePlYtFuPbUNbYj1muErVpI73WHXbEwJDIA7Q/edit#gid=1493122344"",""MTR!C:O""),8,false)"),"")</f>
        <v/>
      </c>
      <c r="O612" s="248" t="str">
        <f>IFERROR(__xludf.DUMMYFUNCTION("VLOOKUP(C612,IMPORTRANGE(""https://docs.google.com/spreadsheets/d/1P8eX0NWBhUPS_hvzA11R6jkTNFrPrRYIx_dX_hYbxrk/edit?resourcekey=0-iw9bsKY2OqkUHCFMkCar3A&amp;gid=2055363397#gid=2055363397"",""MTR!C:O""),9,false)"),"simultaneousCSI-ReportsPerCC: 4
")</f>
        <v>simultaneousCSI-ReportsPerCC: 4
</v>
      </c>
      <c r="P612" s="248"/>
      <c r="Q612" s="248"/>
      <c r="R612" s="249" t="s">
        <v>1938</v>
      </c>
      <c r="S612" s="154" t="s">
        <v>62</v>
      </c>
      <c r="T612" s="154" t="s">
        <v>62</v>
      </c>
      <c r="U612" s="154" t="s">
        <v>62</v>
      </c>
      <c r="V612" s="154" t="s">
        <v>62</v>
      </c>
      <c r="W612" s="154" t="s">
        <v>62</v>
      </c>
      <c r="X612" s="154" t="s">
        <v>62</v>
      </c>
      <c r="Y612" s="154" t="s">
        <v>62</v>
      </c>
      <c r="Z612" s="154" t="s">
        <v>62</v>
      </c>
      <c r="AA612" s="154" t="s">
        <v>62</v>
      </c>
      <c r="AB612" s="154"/>
      <c r="AC612" s="242" t="b">
        <f t="shared" si="2"/>
        <v>1</v>
      </c>
      <c r="AD612" s="154" t="s">
        <v>391</v>
      </c>
      <c r="AE612" s="243" t="b">
        <f t="shared" si="3"/>
        <v>1</v>
      </c>
      <c r="AF612" s="154"/>
      <c r="AG612" s="243" t="b">
        <f t="shared" si="4"/>
        <v>0</v>
      </c>
      <c r="AH612" s="154"/>
      <c r="AI612" s="243" t="str">
        <f t="shared" si="5"/>
        <v>N/A</v>
      </c>
      <c r="AJ612" s="157" t="str">
        <f t="shared" si="6"/>
        <v/>
      </c>
    </row>
    <row r="613" ht="12.75" customHeight="1">
      <c r="A613" s="244" t="s">
        <v>621</v>
      </c>
      <c r="B613" s="244" t="s">
        <v>1339</v>
      </c>
      <c r="C613" s="244" t="s">
        <v>1939</v>
      </c>
      <c r="D613" s="154" t="s">
        <v>747</v>
      </c>
      <c r="E613" s="250"/>
      <c r="F613" s="154" t="str">
        <f t="array" ref="F613">XLOOKUP(Cover!$D$12,$S$1:$AA$1,$S613:$AA613)</f>
        <v>Comments Vendor</v>
      </c>
      <c r="G613" s="153" t="s">
        <v>1940</v>
      </c>
      <c r="H613" s="154" t="s">
        <v>232</v>
      </c>
      <c r="I613" s="154" t="s">
        <v>759</v>
      </c>
      <c r="J613" s="154"/>
      <c r="K613" s="247" t="s">
        <v>1941</v>
      </c>
      <c r="L613" s="154" t="str">
        <f t="shared" si="1"/>
        <v/>
      </c>
      <c r="M613" s="248" t="str">
        <f>IFERROR(__xludf.DUMMYFUNCTION("VLOOKUP(C613,IMPORTRANGE(""https://docs.google.com/spreadsheets/d/1P8eX0NWBhUPS_hvzA11R6jkTNFrPrRYIx_dX_hYbxrk/edit?resourcekey=0-iw9bsKY2OqkUHCFMkCar3A&amp;gid=2055363397#gid=2055363397"",""MTR!C:O""),11,false)"),"PMW-MCE-AS")</f>
        <v>PMW-MCE-AS</v>
      </c>
      <c r="N613" s="241" t="str">
        <f>IFERROR(__xludf.DUMMYFUNCTION("VLOOKUP(C613,IMPORTRANGE(""https://docs.google.com/spreadsheets/d/1ihFlp3_ePlYtFuPbUNbYj1muErVpI73WHXbEwJDIA7Q/edit#gid=1493122344"",""MTR!C:O""),8,false)"),"")</f>
        <v/>
      </c>
      <c r="O613" s="248" t="str">
        <f>IFERROR(__xludf.DUMMYFUNCTION("VLOOKUP(C613,IMPORTRANGE(""https://docs.google.com/spreadsheets/d/1P8eX0NWBhUPS_hvzA11R6jkTNFrPrRYIx_dX_hYbxrk/edit?resourcekey=0-iw9bsKY2OqkUHCFMkCar3A&amp;gid=2055363397#gid=2055363397"",""MTR!C:O""),9,false)"),"simultaneousCSI-ReportsAllCC: 8")</f>
        <v>simultaneousCSI-ReportsAllCC: 8</v>
      </c>
      <c r="P613" s="248"/>
      <c r="Q613" s="248"/>
      <c r="R613" s="249" t="s">
        <v>1941</v>
      </c>
      <c r="S613" s="154" t="s">
        <v>62</v>
      </c>
      <c r="T613" s="154" t="s">
        <v>62</v>
      </c>
      <c r="U613" s="154" t="s">
        <v>62</v>
      </c>
      <c r="V613" s="154" t="s">
        <v>62</v>
      </c>
      <c r="W613" s="154" t="s">
        <v>62</v>
      </c>
      <c r="X613" s="154" t="s">
        <v>62</v>
      </c>
      <c r="Y613" s="154" t="s">
        <v>62</v>
      </c>
      <c r="Z613" s="154" t="s">
        <v>62</v>
      </c>
      <c r="AA613" s="154" t="s">
        <v>62</v>
      </c>
      <c r="AB613" s="154"/>
      <c r="AC613" s="242" t="b">
        <f t="shared" si="2"/>
        <v>1</v>
      </c>
      <c r="AD613" s="154" t="s">
        <v>391</v>
      </c>
      <c r="AE613" s="243" t="b">
        <f t="shared" si="3"/>
        <v>1</v>
      </c>
      <c r="AF613" s="154"/>
      <c r="AG613" s="243" t="b">
        <f t="shared" si="4"/>
        <v>0</v>
      </c>
      <c r="AH613" s="154"/>
      <c r="AI613" s="243" t="str">
        <f t="shared" si="5"/>
        <v>N/A</v>
      </c>
      <c r="AJ613" s="157" t="str">
        <f t="shared" si="6"/>
        <v/>
      </c>
    </row>
    <row r="614" ht="12.75" customHeight="1">
      <c r="A614" s="244" t="s">
        <v>621</v>
      </c>
      <c r="B614" s="244" t="s">
        <v>1339</v>
      </c>
      <c r="C614" s="244" t="s">
        <v>1942</v>
      </c>
      <c r="D614" s="244" t="s">
        <v>747</v>
      </c>
      <c r="E614" s="244"/>
      <c r="F614" s="154" t="str">
        <f t="array" ref="F614">XLOOKUP(Cover!$D$12,$S$1:$AA$1,$S614:$AA614)</f>
        <v>Comment</v>
      </c>
      <c r="G614" s="153" t="s">
        <v>1943</v>
      </c>
      <c r="H614" s="154"/>
      <c r="I614" s="154" t="s">
        <v>759</v>
      </c>
      <c r="J614" s="154"/>
      <c r="K614" s="247"/>
      <c r="L614" s="154" t="str">
        <f t="shared" si="1"/>
        <v/>
      </c>
      <c r="M614" s="248" t="str">
        <f>IFERROR(__xludf.DUMMYFUNCTION("VLOOKUP(C614,IMPORTRANGE(""https://docs.google.com/spreadsheets/d/1P8eX0NWBhUPS_hvzA11R6jkTNFrPrRYIx_dX_hYbxrk/edit?resourcekey=0-iw9bsKY2OqkUHCFMkCar3A&amp;gid=2055363397#gid=2055363397"",""MTR!C:O""),11,false)"),"PMW-MCE-AS")</f>
        <v>PMW-MCE-AS</v>
      </c>
      <c r="N614" s="241" t="str">
        <f>IFERROR(__xludf.DUMMYFUNCTION("VLOOKUP(C614,IMPORTRANGE(""https://docs.google.com/spreadsheets/d/1ihFlp3_ePlYtFuPbUNbYj1muErVpI73WHXbEwJDIA7Q/edit#gid=1493122344"",""MTR!C:O""),8,false)"),"")</f>
        <v/>
      </c>
      <c r="O614" s="241" t="str">
        <f>IFERROR(__xludf.DUMMYFUNCTION("VLOOKUP(C614,IMPORTRANGE(""https://docs.google.com/spreadsheets/d/1P8eX0NWBhUPS_hvzA11R6jkTNFrPrRYIx_dX_hYbxrk/edit?resourcekey=0-iw9bsKY2OqkUHCFMkCar3A&amp;gid=2055363397#gid=2055363397"",""MTR!C:O""),9,false)"),"")</f>
        <v/>
      </c>
      <c r="P614" s="241"/>
      <c r="Q614" s="241"/>
      <c r="R614" s="251"/>
      <c r="S614" s="154" t="s">
        <v>35</v>
      </c>
      <c r="T614" s="154" t="s">
        <v>35</v>
      </c>
      <c r="U614" s="154" t="s">
        <v>35</v>
      </c>
      <c r="V614" s="154" t="s">
        <v>35</v>
      </c>
      <c r="W614" s="154" t="s">
        <v>35</v>
      </c>
      <c r="X614" s="154" t="s">
        <v>35</v>
      </c>
      <c r="Y614" s="154" t="s">
        <v>35</v>
      </c>
      <c r="Z614" s="154" t="s">
        <v>35</v>
      </c>
      <c r="AA614" s="154" t="s">
        <v>35</v>
      </c>
      <c r="AB614" s="154"/>
      <c r="AC614" s="242" t="b">
        <f t="shared" si="2"/>
        <v>0</v>
      </c>
      <c r="AD614" s="154" t="s">
        <v>391</v>
      </c>
      <c r="AE614" s="243" t="b">
        <f t="shared" si="3"/>
        <v>0</v>
      </c>
      <c r="AF614" s="154"/>
      <c r="AG614" s="243" t="b">
        <f t="shared" si="4"/>
        <v>0</v>
      </c>
      <c r="AH614" s="154"/>
      <c r="AI614" s="243" t="str">
        <f t="shared" si="5"/>
        <v>N/A</v>
      </c>
      <c r="AJ614" s="157" t="str">
        <f t="shared" si="6"/>
        <v/>
      </c>
    </row>
    <row r="615" ht="12.75" customHeight="1">
      <c r="A615" s="244" t="s">
        <v>621</v>
      </c>
      <c r="B615" s="244" t="s">
        <v>1339</v>
      </c>
      <c r="C615" s="244" t="s">
        <v>1944</v>
      </c>
      <c r="D615" s="154" t="s">
        <v>1069</v>
      </c>
      <c r="E615" s="250"/>
      <c r="F615" s="154" t="str">
        <f t="array" ref="F615">XLOOKUP(Cover!$D$12,$S$1:$AA$1,$S615:$AA615)</f>
        <v>Comments Vendor</v>
      </c>
      <c r="G615" s="153" t="s">
        <v>1945</v>
      </c>
      <c r="H615" s="154" t="s">
        <v>232</v>
      </c>
      <c r="I615" s="154" t="s">
        <v>759</v>
      </c>
      <c r="J615" s="154"/>
      <c r="K615" s="247" t="s">
        <v>1946</v>
      </c>
      <c r="L615" s="154" t="str">
        <f t="shared" si="1"/>
        <v/>
      </c>
      <c r="M615" s="248" t="str">
        <f>IFERROR(__xludf.DUMMYFUNCTION("VLOOKUP(C615,IMPORTRANGE(""https://docs.google.com/spreadsheets/d/1P8eX0NWBhUPS_hvzA11R6jkTNFrPrRYIx_dX_hYbxrk/edit?resourcekey=0-iw9bsKY2OqkUHCFMkCar3A&amp;gid=2055363397#gid=2055363397"",""MTR!C:O""),11,false)"),"PMW-MCE-AS")</f>
        <v>PMW-MCE-AS</v>
      </c>
      <c r="N615" s="241" t="str">
        <f>IFERROR(__xludf.DUMMYFUNCTION("VLOOKUP(C615,IMPORTRANGE(""https://docs.google.com/spreadsheets/d/1ihFlp3_ePlYtFuPbUNbYj1muErVpI73WHXbEwJDIA7Q/edit#gid=1493122344"",""MTR!C:O""),8,false)"),"")</f>
        <v/>
      </c>
      <c r="O615" s="248" t="str">
        <f>IFERROR(__xludf.DUMMYFUNCTION("VLOOKUP(C615,IMPORTRANGE(""https://docs.google.com/spreadsheets/d/1P8eX0NWBhUPS_hvzA11R6jkTNFrPrRYIx_dX_hYbxrk/edit?resourcekey=0-iw9bsKY2OqkUHCFMkCar3A&amp;gid=2055363397#gid=2055363397"",""MTR!C:O""),9,false)"),"FR1: 8/8/64; 16/2/32 ; 32/3/96")</f>
        <v>FR1: 8/8/64; 16/2/32 ; 32/3/96</v>
      </c>
      <c r="P615" s="248"/>
      <c r="Q615" s="248"/>
      <c r="R615" s="249" t="s">
        <v>1946</v>
      </c>
      <c r="S615" s="154" t="s">
        <v>62</v>
      </c>
      <c r="T615" s="154" t="s">
        <v>62</v>
      </c>
      <c r="U615" s="154" t="s">
        <v>62</v>
      </c>
      <c r="V615" s="154" t="s">
        <v>62</v>
      </c>
      <c r="W615" s="154" t="s">
        <v>62</v>
      </c>
      <c r="X615" s="154" t="s">
        <v>62</v>
      </c>
      <c r="Y615" s="154" t="s">
        <v>62</v>
      </c>
      <c r="Z615" s="154" t="s">
        <v>62</v>
      </c>
      <c r="AA615" s="154" t="s">
        <v>62</v>
      </c>
      <c r="AB615" s="154"/>
      <c r="AC615" s="242" t="b">
        <f t="shared" si="2"/>
        <v>1</v>
      </c>
      <c r="AD615" s="154" t="s">
        <v>391</v>
      </c>
      <c r="AE615" s="243" t="b">
        <f t="shared" si="3"/>
        <v>1</v>
      </c>
      <c r="AF615" s="154"/>
      <c r="AG615" s="243" t="b">
        <f t="shared" si="4"/>
        <v>0</v>
      </c>
      <c r="AH615" s="154"/>
      <c r="AI615" s="243" t="str">
        <f t="shared" si="5"/>
        <v>N/A</v>
      </c>
      <c r="AJ615" s="157" t="str">
        <f t="shared" si="6"/>
        <v/>
      </c>
    </row>
    <row r="616" ht="12.75" customHeight="1">
      <c r="A616" s="244" t="s">
        <v>621</v>
      </c>
      <c r="B616" s="244" t="s">
        <v>1339</v>
      </c>
      <c r="C616" s="244" t="s">
        <v>1947</v>
      </c>
      <c r="D616" s="154" t="s">
        <v>1069</v>
      </c>
      <c r="E616" s="250"/>
      <c r="F616" s="154" t="str">
        <f t="array" ref="F616">XLOOKUP(Cover!$D$12,$S$1:$AA$1,$S616:$AA616)</f>
        <v>Comments Vendor</v>
      </c>
      <c r="G616" s="153" t="s">
        <v>1948</v>
      </c>
      <c r="H616" s="154" t="s">
        <v>232</v>
      </c>
      <c r="I616" s="154" t="s">
        <v>759</v>
      </c>
      <c r="J616" s="154"/>
      <c r="K616" s="247" t="s">
        <v>1949</v>
      </c>
      <c r="L616" s="154" t="str">
        <f t="shared" si="1"/>
        <v/>
      </c>
      <c r="M616" s="248" t="str">
        <f>IFERROR(__xludf.DUMMYFUNCTION("VLOOKUP(C616,IMPORTRANGE(""https://docs.google.com/spreadsheets/d/1P8eX0NWBhUPS_hvzA11R6jkTNFrPrRYIx_dX_hYbxrk/edit?resourcekey=0-iw9bsKY2OqkUHCFMkCar3A&amp;gid=2055363397#gid=2055363397"",""MTR!C:O""),11,false)"),"PMW-MCE-AS")</f>
        <v>PMW-MCE-AS</v>
      </c>
      <c r="N616" s="241" t="str">
        <f>IFERROR(__xludf.DUMMYFUNCTION("VLOOKUP(C616,IMPORTRANGE(""https://docs.google.com/spreadsheets/d/1ihFlp3_ePlYtFuPbUNbYj1muErVpI73WHXbEwJDIA7Q/edit#gid=1493122344"",""MTR!C:O""),8,false)"),"")</f>
        <v/>
      </c>
      <c r="O616" s="248" t="str">
        <f>IFERROR(__xludf.DUMMYFUNCTION("VLOOKUP(C616,IMPORTRANGE(""https://docs.google.com/spreadsheets/d/1P8eX0NWBhUPS_hvzA11R6jkTNFrPrRYIx_dX_hYbxrk/edit?resourcekey=0-iw9bsKY2OqkUHCFMkCar3A&amp;gid=2055363397#gid=2055363397"",""MTR!C:O""),9,false)"),"Mode1")</f>
        <v>Mode1</v>
      </c>
      <c r="P616" s="248"/>
      <c r="Q616" s="248"/>
      <c r="R616" s="249" t="s">
        <v>1949</v>
      </c>
      <c r="S616" s="154" t="s">
        <v>62</v>
      </c>
      <c r="T616" s="154" t="s">
        <v>62</v>
      </c>
      <c r="U616" s="154" t="s">
        <v>62</v>
      </c>
      <c r="V616" s="154" t="s">
        <v>62</v>
      </c>
      <c r="W616" s="154" t="s">
        <v>62</v>
      </c>
      <c r="X616" s="154" t="s">
        <v>62</v>
      </c>
      <c r="Y616" s="154" t="s">
        <v>62</v>
      </c>
      <c r="Z616" s="154" t="s">
        <v>62</v>
      </c>
      <c r="AA616" s="154" t="s">
        <v>62</v>
      </c>
      <c r="AB616" s="154"/>
      <c r="AC616" s="242" t="b">
        <f t="shared" si="2"/>
        <v>1</v>
      </c>
      <c r="AD616" s="154" t="s">
        <v>391</v>
      </c>
      <c r="AE616" s="243" t="b">
        <f t="shared" si="3"/>
        <v>1</v>
      </c>
      <c r="AF616" s="154"/>
      <c r="AG616" s="243" t="b">
        <f t="shared" si="4"/>
        <v>0</v>
      </c>
      <c r="AH616" s="154"/>
      <c r="AI616" s="243" t="str">
        <f t="shared" si="5"/>
        <v>N/A</v>
      </c>
      <c r="AJ616" s="157" t="str">
        <f t="shared" si="6"/>
        <v/>
      </c>
    </row>
    <row r="617" ht="12.75" customHeight="1">
      <c r="A617" s="244" t="s">
        <v>621</v>
      </c>
      <c r="B617" s="244" t="s">
        <v>1339</v>
      </c>
      <c r="C617" s="244" t="s">
        <v>1950</v>
      </c>
      <c r="D617" s="154" t="s">
        <v>1069</v>
      </c>
      <c r="E617" s="250"/>
      <c r="F617" s="154" t="str">
        <f t="array" ref="F617">XLOOKUP(Cover!$D$12,$S$1:$AA$1,$S617:$AA617)</f>
        <v>Comments Vendor</v>
      </c>
      <c r="G617" s="153" t="s">
        <v>1951</v>
      </c>
      <c r="H617" s="154" t="s">
        <v>232</v>
      </c>
      <c r="I617" s="154" t="s">
        <v>759</v>
      </c>
      <c r="J617" s="154"/>
      <c r="K617" s="247" t="s">
        <v>1952</v>
      </c>
      <c r="L617" s="154" t="str">
        <f t="shared" si="1"/>
        <v/>
      </c>
      <c r="M617" s="248" t="str">
        <f>IFERROR(__xludf.DUMMYFUNCTION("VLOOKUP(C617,IMPORTRANGE(""https://docs.google.com/spreadsheets/d/1P8eX0NWBhUPS_hvzA11R6jkTNFrPrRYIx_dX_hYbxrk/edit?resourcekey=0-iw9bsKY2OqkUHCFMkCar3A&amp;gid=2055363397#gid=2055363397"",""MTR!C:O""),11,false)"),"PMW-MCE-AS")</f>
        <v>PMW-MCE-AS</v>
      </c>
      <c r="N617" s="241" t="str">
        <f>IFERROR(__xludf.DUMMYFUNCTION("VLOOKUP(C617,IMPORTRANGE(""https://docs.google.com/spreadsheets/d/1ihFlp3_ePlYtFuPbUNbYj1muErVpI73WHXbEwJDIA7Q/edit#gid=1493122344"",""MTR!C:O""),8,false)"),"")</f>
        <v/>
      </c>
      <c r="O617" s="248" t="str">
        <f>IFERROR(__xludf.DUMMYFUNCTION("VLOOKUP(C617,IMPORTRANGE(""https://docs.google.com/spreadsheets/d/1P8eX0NWBhUPS_hvzA11R6jkTNFrPrRYIx_dX_hYbxrk/edit?resourcekey=0-iw9bsKY2OqkUHCFMkCar3A&amp;gid=2055363397#gid=2055363397"",""MTR!C:O""),9,false)"),"maxNumberCSI-RS-PerResourceSet: 4
")</f>
        <v>maxNumberCSI-RS-PerResourceSet: 4
</v>
      </c>
      <c r="P617" s="248"/>
      <c r="Q617" s="248"/>
      <c r="R617" s="249" t="s">
        <v>1952</v>
      </c>
      <c r="S617" s="154" t="s">
        <v>62</v>
      </c>
      <c r="T617" s="154" t="s">
        <v>62</v>
      </c>
      <c r="U617" s="154" t="s">
        <v>62</v>
      </c>
      <c r="V617" s="154" t="s">
        <v>62</v>
      </c>
      <c r="W617" s="154" t="s">
        <v>62</v>
      </c>
      <c r="X617" s="154" t="s">
        <v>62</v>
      </c>
      <c r="Y617" s="154" t="s">
        <v>62</v>
      </c>
      <c r="Z617" s="154" t="s">
        <v>62</v>
      </c>
      <c r="AA617" s="154" t="s">
        <v>62</v>
      </c>
      <c r="AB617" s="154"/>
      <c r="AC617" s="242" t="b">
        <f t="shared" si="2"/>
        <v>1</v>
      </c>
      <c r="AD617" s="154" t="s">
        <v>391</v>
      </c>
      <c r="AE617" s="243" t="b">
        <f t="shared" si="3"/>
        <v>1</v>
      </c>
      <c r="AF617" s="154"/>
      <c r="AG617" s="243" t="b">
        <f t="shared" si="4"/>
        <v>0</v>
      </c>
      <c r="AH617" s="154"/>
      <c r="AI617" s="243" t="str">
        <f t="shared" si="5"/>
        <v>N/A</v>
      </c>
      <c r="AJ617" s="157" t="str">
        <f t="shared" si="6"/>
        <v/>
      </c>
    </row>
    <row r="618" ht="12.75" customHeight="1">
      <c r="A618" s="244" t="s">
        <v>621</v>
      </c>
      <c r="B618" s="244" t="s">
        <v>1339</v>
      </c>
      <c r="C618" s="244" t="s">
        <v>1953</v>
      </c>
      <c r="D618" s="244" t="s">
        <v>747</v>
      </c>
      <c r="E618" s="244"/>
      <c r="F618" s="154" t="str">
        <f t="array" ref="F618">XLOOKUP(Cover!$D$12,$S$1:$AA$1,$S618:$AA618)</f>
        <v>Comment</v>
      </c>
      <c r="G618" s="153" t="s">
        <v>1954</v>
      </c>
      <c r="H618" s="154"/>
      <c r="I618" s="154" t="s">
        <v>759</v>
      </c>
      <c r="J618" s="154"/>
      <c r="K618" s="247"/>
      <c r="L618" s="154" t="str">
        <f t="shared" si="1"/>
        <v/>
      </c>
      <c r="M618" s="241" t="str">
        <f>IFERROR(__xludf.DUMMYFUNCTION("VLOOKUP(C618,IMPORTRANGE(""https://docs.google.com/spreadsheets/d/1P8eX0NWBhUPS_hvzA11R6jkTNFrPrRYIx_dX_hYbxrk/edit?resourcekey=0-iw9bsKY2OqkUHCFMkCar3A&amp;gid=2055363397#gid=2055363397"",""MTR!C:O""),11,false)"),"")</f>
        <v/>
      </c>
      <c r="N618" s="241" t="str">
        <f>IFERROR(__xludf.DUMMYFUNCTION("VLOOKUP(C618,IMPORTRANGE(""https://docs.google.com/spreadsheets/d/1ihFlp3_ePlYtFuPbUNbYj1muErVpI73WHXbEwJDIA7Q/edit#gid=1493122344"",""MTR!C:O""),8,false)"),"")</f>
        <v/>
      </c>
      <c r="O618" s="241" t="str">
        <f>IFERROR(__xludf.DUMMYFUNCTION("VLOOKUP(C618,IMPORTRANGE(""https://docs.google.com/spreadsheets/d/1P8eX0NWBhUPS_hvzA11R6jkTNFrPrRYIx_dX_hYbxrk/edit?resourcekey=0-iw9bsKY2OqkUHCFMkCar3A&amp;gid=2055363397#gid=2055363397"",""MTR!C:O""),9,false)"),"")</f>
        <v/>
      </c>
      <c r="P618" s="241"/>
      <c r="Q618" s="241"/>
      <c r="R618" s="251"/>
      <c r="S618" s="154" t="s">
        <v>35</v>
      </c>
      <c r="T618" s="154" t="s">
        <v>35</v>
      </c>
      <c r="U618" s="154" t="s">
        <v>35</v>
      </c>
      <c r="V618" s="154" t="s">
        <v>35</v>
      </c>
      <c r="W618" s="154" t="s">
        <v>35</v>
      </c>
      <c r="X618" s="154" t="s">
        <v>35</v>
      </c>
      <c r="Y618" s="154" t="s">
        <v>35</v>
      </c>
      <c r="Z618" s="154" t="s">
        <v>35</v>
      </c>
      <c r="AA618" s="154" t="s">
        <v>35</v>
      </c>
      <c r="AB618" s="154"/>
      <c r="AC618" s="242" t="b">
        <f t="shared" si="2"/>
        <v>0</v>
      </c>
      <c r="AD618" s="154" t="s">
        <v>391</v>
      </c>
      <c r="AE618" s="243" t="b">
        <f t="shared" si="3"/>
        <v>0</v>
      </c>
      <c r="AF618" s="154"/>
      <c r="AG618" s="243" t="b">
        <f t="shared" si="4"/>
        <v>0</v>
      </c>
      <c r="AH618" s="154"/>
      <c r="AI618" s="243" t="str">
        <f t="shared" si="5"/>
        <v>N/A</v>
      </c>
      <c r="AJ618" s="157" t="str">
        <f t="shared" si="6"/>
        <v/>
      </c>
    </row>
    <row r="619" ht="12.75" customHeight="1">
      <c r="A619" s="244" t="s">
        <v>621</v>
      </c>
      <c r="B619" s="244" t="s">
        <v>1339</v>
      </c>
      <c r="C619" s="244" t="s">
        <v>1955</v>
      </c>
      <c r="D619" s="154" t="s">
        <v>747</v>
      </c>
      <c r="E619" s="250"/>
      <c r="F619" s="154" t="str">
        <f t="array" ref="F619">XLOOKUP(Cover!$D$12,$S$1:$AA$1,$S619:$AA619)</f>
        <v>Mandatory</v>
      </c>
      <c r="G619" s="153" t="s">
        <v>1956</v>
      </c>
      <c r="H619" s="154" t="s">
        <v>232</v>
      </c>
      <c r="I619" s="154" t="s">
        <v>759</v>
      </c>
      <c r="J619" s="247" t="s">
        <v>445</v>
      </c>
      <c r="K619" s="247" t="s">
        <v>1957</v>
      </c>
      <c r="L619" s="154" t="str">
        <f t="shared" si="1"/>
        <v/>
      </c>
      <c r="M619" s="248" t="str">
        <f>IFERROR(__xludf.DUMMYFUNCTION("VLOOKUP(C619,IMPORTRANGE(""https://docs.google.com/spreadsheets/d/1P8eX0NWBhUPS_hvzA11R6jkTNFrPrRYIx_dX_hYbxrk/edit?resourcekey=0-iw9bsKY2OqkUHCFMkCar3A&amp;gid=2055363397#gid=2055363397"",""MTR!C:O""),11,false)"),"PMW-MCE-AS")</f>
        <v>PMW-MCE-AS</v>
      </c>
      <c r="N619" s="248" t="str">
        <f>IFERROR(__xludf.DUMMYFUNCTION("VLOOKUP(C619,IMPORTRANGE(""https://docs.google.com/spreadsheets/d/1ihFlp3_ePlYtFuPbUNbYj1muErVpI73WHXbEwJDIA7Q/edit#gid=1493122344"",""MTR!C:O""),8,false)"),"Complies")</f>
        <v>Complies</v>
      </c>
      <c r="O619" s="248" t="str">
        <f>IFERROR(__xludf.DUMMYFUNCTION("VLOOKUP(C619,IMPORTRANGE(""https://docs.google.com/spreadsheets/d/1P8eX0NWBhUPS_hvzA11R6jkTNFrPrRYIx_dX_hYbxrk/edit?resourcekey=0-iw9bsKY2OqkUHCFMkCar3A&amp;gid=2055363397#gid=2055363397"",""MTR!C:O""),9,false)"),"maxBurstLength is 2")</f>
        <v>maxBurstLength is 2</v>
      </c>
      <c r="P619" s="248"/>
      <c r="Q619" s="249" t="s">
        <v>445</v>
      </c>
      <c r="R619" s="249" t="s">
        <v>1957</v>
      </c>
      <c r="S619" s="154" t="s">
        <v>66</v>
      </c>
      <c r="T619" s="154" t="s">
        <v>66</v>
      </c>
      <c r="U619" s="154" t="s">
        <v>60</v>
      </c>
      <c r="V619" s="154" t="s">
        <v>60</v>
      </c>
      <c r="W619" s="154" t="s">
        <v>60</v>
      </c>
      <c r="X619" s="154" t="s">
        <v>60</v>
      </c>
      <c r="Y619" s="154" t="s">
        <v>66</v>
      </c>
      <c r="Z619" s="154" t="s">
        <v>60</v>
      </c>
      <c r="AA619" s="154" t="s">
        <v>60</v>
      </c>
      <c r="AB619" s="154"/>
      <c r="AC619" s="242" t="b">
        <f t="shared" si="2"/>
        <v>1</v>
      </c>
      <c r="AD619" s="154" t="s">
        <v>391</v>
      </c>
      <c r="AE619" s="243" t="b">
        <f t="shared" si="3"/>
        <v>0</v>
      </c>
      <c r="AF619" s="154"/>
      <c r="AG619" s="243" t="b">
        <f t="shared" si="4"/>
        <v>0</v>
      </c>
      <c r="AH619" s="154"/>
      <c r="AI619" s="243" t="str">
        <f t="shared" si="5"/>
        <v>N/A</v>
      </c>
      <c r="AJ619" s="157" t="str">
        <f t="shared" si="6"/>
        <v/>
      </c>
    </row>
    <row r="620" ht="12.75" customHeight="1">
      <c r="A620" s="244" t="s">
        <v>621</v>
      </c>
      <c r="B620" s="244" t="s">
        <v>1339</v>
      </c>
      <c r="C620" s="244" t="s">
        <v>1958</v>
      </c>
      <c r="D620" s="154" t="s">
        <v>747</v>
      </c>
      <c r="E620" s="250"/>
      <c r="F620" s="154" t="str">
        <f t="array" ref="F620">XLOOKUP(Cover!$D$12,$S$1:$AA$1,$S620:$AA620)</f>
        <v>Mandatory</v>
      </c>
      <c r="G620" s="153" t="s">
        <v>1959</v>
      </c>
      <c r="H620" s="154" t="s">
        <v>232</v>
      </c>
      <c r="I620" s="154" t="s">
        <v>759</v>
      </c>
      <c r="J620" s="247" t="s">
        <v>445</v>
      </c>
      <c r="K620" s="247" t="s">
        <v>1960</v>
      </c>
      <c r="L620" s="154" t="str">
        <f t="shared" si="1"/>
        <v/>
      </c>
      <c r="M620" s="248" t="str">
        <f>IFERROR(__xludf.DUMMYFUNCTION("VLOOKUP(C620,IMPORTRANGE(""https://docs.google.com/spreadsheets/d/1P8eX0NWBhUPS_hvzA11R6jkTNFrPrRYIx_dX_hYbxrk/edit?resourcekey=0-iw9bsKY2OqkUHCFMkCar3A&amp;gid=2055363397#gid=2055363397"",""MTR!C:O""),11,false)"),"PMW-MCE-AS")</f>
        <v>PMW-MCE-AS</v>
      </c>
      <c r="N620" s="248" t="str">
        <f>IFERROR(__xludf.DUMMYFUNCTION("VLOOKUP(C620,IMPORTRANGE(""https://docs.google.com/spreadsheets/d/1ihFlp3_ePlYtFuPbUNbYj1muErVpI73WHXbEwJDIA7Q/edit#gid=1493122344"",""MTR!C:O""),8,false)"),"Complies")</f>
        <v>Complies</v>
      </c>
      <c r="O620" s="248" t="str">
        <f>IFERROR(__xludf.DUMMYFUNCTION("VLOOKUP(C620,IMPORTRANGE(""https://docs.google.com/spreadsheets/d/1P8eX0NWBhUPS_hvzA11R6jkTNFrPrRYIx_dX_hYbxrk/edit?resourcekey=0-iw9bsKY2OqkUHCFMkCar3A&amp;gid=2055363397#gid=2055363397"",""MTR!C:O""),9,false)"),"maxSimultaneousResourceSetsPerCC is 1")</f>
        <v>maxSimultaneousResourceSetsPerCC is 1</v>
      </c>
      <c r="P620" s="248"/>
      <c r="Q620" s="249" t="s">
        <v>445</v>
      </c>
      <c r="R620" s="249" t="s">
        <v>1960</v>
      </c>
      <c r="S620" s="154" t="s">
        <v>66</v>
      </c>
      <c r="T620" s="154" t="s">
        <v>66</v>
      </c>
      <c r="U620" s="154" t="s">
        <v>60</v>
      </c>
      <c r="V620" s="154" t="s">
        <v>60</v>
      </c>
      <c r="W620" s="154" t="s">
        <v>60</v>
      </c>
      <c r="X620" s="154" t="s">
        <v>60</v>
      </c>
      <c r="Y620" s="154" t="s">
        <v>66</v>
      </c>
      <c r="Z620" s="154" t="s">
        <v>60</v>
      </c>
      <c r="AA620" s="154" t="s">
        <v>60</v>
      </c>
      <c r="AB620" s="154"/>
      <c r="AC620" s="242" t="b">
        <f t="shared" si="2"/>
        <v>1</v>
      </c>
      <c r="AD620" s="154" t="s">
        <v>391</v>
      </c>
      <c r="AE620" s="243" t="b">
        <f t="shared" si="3"/>
        <v>0</v>
      </c>
      <c r="AF620" s="154"/>
      <c r="AG620" s="243" t="b">
        <f t="shared" si="4"/>
        <v>0</v>
      </c>
      <c r="AH620" s="154"/>
      <c r="AI620" s="243" t="str">
        <f t="shared" si="5"/>
        <v>N/A</v>
      </c>
      <c r="AJ620" s="157" t="str">
        <f t="shared" si="6"/>
        <v/>
      </c>
    </row>
    <row r="621" ht="12.75" customHeight="1">
      <c r="A621" s="244" t="s">
        <v>621</v>
      </c>
      <c r="B621" s="244" t="s">
        <v>1339</v>
      </c>
      <c r="C621" s="244" t="s">
        <v>1961</v>
      </c>
      <c r="D621" s="154" t="s">
        <v>747</v>
      </c>
      <c r="E621" s="250"/>
      <c r="F621" s="154" t="str">
        <f t="array" ref="F621">XLOOKUP(Cover!$D$12,$S$1:$AA$1,$S621:$AA621)</f>
        <v>Mandatory</v>
      </c>
      <c r="G621" s="153" t="s">
        <v>1962</v>
      </c>
      <c r="H621" s="154" t="s">
        <v>232</v>
      </c>
      <c r="I621" s="154" t="s">
        <v>759</v>
      </c>
      <c r="J621" s="247" t="s">
        <v>445</v>
      </c>
      <c r="K621" s="247" t="s">
        <v>1963</v>
      </c>
      <c r="L621" s="154" t="str">
        <f t="shared" si="1"/>
        <v/>
      </c>
      <c r="M621" s="248" t="str">
        <f>IFERROR(__xludf.DUMMYFUNCTION("VLOOKUP(C621,IMPORTRANGE(""https://docs.google.com/spreadsheets/d/1P8eX0NWBhUPS_hvzA11R6jkTNFrPrRYIx_dX_hYbxrk/edit?resourcekey=0-iw9bsKY2OqkUHCFMkCar3A&amp;gid=2055363397#gid=2055363397"",""MTR!C:O""),11,false)"),"PMW-MCE-AS")</f>
        <v>PMW-MCE-AS</v>
      </c>
      <c r="N621" s="248" t="str">
        <f>IFERROR(__xludf.DUMMYFUNCTION("VLOOKUP(C621,IMPORTRANGE(""https://docs.google.com/spreadsheets/d/1ihFlp3_ePlYtFuPbUNbYj1muErVpI73WHXbEwJDIA7Q/edit#gid=1493122344"",""MTR!C:O""),8,false)"),"Complies")</f>
        <v>Complies</v>
      </c>
      <c r="O621" s="248" t="str">
        <f>IFERROR(__xludf.DUMMYFUNCTION("VLOOKUP(C621,IMPORTRANGE(""https://docs.google.com/spreadsheets/d/1P8eX0NWBhUPS_hvzA11R6jkTNFrPrRYIx_dX_hYbxrk/edit?resourcekey=0-iw9bsKY2OqkUHCFMkCar3A&amp;gid=2055363397#gid=2055363397"",""MTR!C:O""),9,false)"),"maxConfiguredResourceSetsPerCC is 8")</f>
        <v>maxConfiguredResourceSetsPerCC is 8</v>
      </c>
      <c r="P621" s="248"/>
      <c r="Q621" s="249" t="s">
        <v>445</v>
      </c>
      <c r="R621" s="249" t="s">
        <v>1963</v>
      </c>
      <c r="S621" s="154" t="s">
        <v>66</v>
      </c>
      <c r="T621" s="154" t="s">
        <v>66</v>
      </c>
      <c r="U621" s="154" t="s">
        <v>60</v>
      </c>
      <c r="V621" s="154" t="s">
        <v>60</v>
      </c>
      <c r="W621" s="154" t="s">
        <v>60</v>
      </c>
      <c r="X621" s="154" t="s">
        <v>60</v>
      </c>
      <c r="Y621" s="154" t="s">
        <v>66</v>
      </c>
      <c r="Z621" s="154" t="s">
        <v>60</v>
      </c>
      <c r="AA621" s="154" t="s">
        <v>60</v>
      </c>
      <c r="AB621" s="154"/>
      <c r="AC621" s="242" t="b">
        <f t="shared" si="2"/>
        <v>1</v>
      </c>
      <c r="AD621" s="154" t="s">
        <v>391</v>
      </c>
      <c r="AE621" s="243" t="b">
        <f t="shared" si="3"/>
        <v>0</v>
      </c>
      <c r="AF621" s="154"/>
      <c r="AG621" s="243" t="b">
        <f t="shared" si="4"/>
        <v>0</v>
      </c>
      <c r="AH621" s="154"/>
      <c r="AI621" s="243" t="str">
        <f t="shared" si="5"/>
        <v>N/A</v>
      </c>
      <c r="AJ621" s="157" t="str">
        <f t="shared" si="6"/>
        <v/>
      </c>
    </row>
    <row r="622" ht="12.75" customHeight="1">
      <c r="A622" s="244" t="s">
        <v>621</v>
      </c>
      <c r="B622" s="244" t="s">
        <v>1339</v>
      </c>
      <c r="C622" s="244" t="s">
        <v>1964</v>
      </c>
      <c r="D622" s="154" t="s">
        <v>747</v>
      </c>
      <c r="E622" s="250"/>
      <c r="F622" s="154" t="str">
        <f t="array" ref="F622">XLOOKUP(Cover!$D$12,$S$1:$AA$1,$S622:$AA622)</f>
        <v>Mandatory</v>
      </c>
      <c r="G622" s="153" t="s">
        <v>1965</v>
      </c>
      <c r="H622" s="154" t="s">
        <v>232</v>
      </c>
      <c r="I622" s="154" t="s">
        <v>759</v>
      </c>
      <c r="J622" s="247" t="s">
        <v>445</v>
      </c>
      <c r="K622" s="247" t="s">
        <v>1966</v>
      </c>
      <c r="L622" s="154" t="str">
        <f t="shared" si="1"/>
        <v/>
      </c>
      <c r="M622" s="248" t="str">
        <f>IFERROR(__xludf.DUMMYFUNCTION("VLOOKUP(C622,IMPORTRANGE(""https://docs.google.com/spreadsheets/d/1P8eX0NWBhUPS_hvzA11R6jkTNFrPrRYIx_dX_hYbxrk/edit?resourcekey=0-iw9bsKY2OqkUHCFMkCar3A&amp;gid=2055363397#gid=2055363397"",""MTR!C:O""),11,false)"),"PMW-MCE-AS")</f>
        <v>PMW-MCE-AS</v>
      </c>
      <c r="N622" s="248" t="str">
        <f>IFERROR(__xludf.DUMMYFUNCTION("VLOOKUP(C622,IMPORTRANGE(""https://docs.google.com/spreadsheets/d/1ihFlp3_ePlYtFuPbUNbYj1muErVpI73WHXbEwJDIA7Q/edit#gid=1493122344"",""MTR!C:O""),8,false)"),"Complies")</f>
        <v>Complies</v>
      </c>
      <c r="O622" s="248" t="str">
        <f>IFERROR(__xludf.DUMMYFUNCTION("VLOOKUP(C622,IMPORTRANGE(""https://docs.google.com/spreadsheets/d/1P8eX0NWBhUPS_hvzA11R6jkTNFrPrRYIx_dX_hYbxrk/edit?resourcekey=0-iw9bsKY2OqkUHCFMkCar3A&amp;gid=2055363397#gid=2055363397"",""MTR!C:O""),9,false)"),"maxConfiguredResourceSetsAllCC is 32")</f>
        <v>maxConfiguredResourceSetsAllCC is 32</v>
      </c>
      <c r="P622" s="248"/>
      <c r="Q622" s="249" t="s">
        <v>445</v>
      </c>
      <c r="R622" s="249" t="s">
        <v>1966</v>
      </c>
      <c r="S622" s="154" t="s">
        <v>66</v>
      </c>
      <c r="T622" s="154" t="s">
        <v>66</v>
      </c>
      <c r="U622" s="154" t="s">
        <v>60</v>
      </c>
      <c r="V622" s="154" t="s">
        <v>60</v>
      </c>
      <c r="W622" s="154" t="s">
        <v>60</v>
      </c>
      <c r="X622" s="154" t="s">
        <v>60</v>
      </c>
      <c r="Y622" s="154" t="s">
        <v>66</v>
      </c>
      <c r="Z622" s="154" t="s">
        <v>60</v>
      </c>
      <c r="AA622" s="154" t="s">
        <v>60</v>
      </c>
      <c r="AB622" s="154"/>
      <c r="AC622" s="242" t="b">
        <f t="shared" si="2"/>
        <v>1</v>
      </c>
      <c r="AD622" s="154" t="s">
        <v>391</v>
      </c>
      <c r="AE622" s="243" t="b">
        <f t="shared" si="3"/>
        <v>0</v>
      </c>
      <c r="AF622" s="154"/>
      <c r="AG622" s="243" t="b">
        <f t="shared" si="4"/>
        <v>0</v>
      </c>
      <c r="AH622" s="154"/>
      <c r="AI622" s="243" t="str">
        <f t="shared" si="5"/>
        <v>N/A</v>
      </c>
      <c r="AJ622" s="157" t="str">
        <f t="shared" si="6"/>
        <v/>
      </c>
    </row>
    <row r="623" ht="12.75" customHeight="1">
      <c r="A623" s="244" t="s">
        <v>621</v>
      </c>
      <c r="B623" s="244" t="s">
        <v>1339</v>
      </c>
      <c r="C623" s="244" t="s">
        <v>1967</v>
      </c>
      <c r="D623" s="154" t="s">
        <v>747</v>
      </c>
      <c r="E623" s="250"/>
      <c r="F623" s="154" t="str">
        <f t="array" ref="F623">XLOOKUP(Cover!$D$12,$S$1:$AA$1,$S623:$AA623)</f>
        <v>Mandatory</v>
      </c>
      <c r="G623" s="153" t="s">
        <v>1968</v>
      </c>
      <c r="H623" s="154" t="s">
        <v>232</v>
      </c>
      <c r="I623" s="154" t="s">
        <v>759</v>
      </c>
      <c r="J623" s="247" t="s">
        <v>445</v>
      </c>
      <c r="K623" s="247"/>
      <c r="L623" s="154" t="str">
        <f t="shared" si="1"/>
        <v/>
      </c>
      <c r="M623" s="248" t="str">
        <f>IFERROR(__xludf.DUMMYFUNCTION("VLOOKUP(C623,IMPORTRANGE(""https://docs.google.com/spreadsheets/d/1P8eX0NWBhUPS_hvzA11R6jkTNFrPrRYIx_dX_hYbxrk/edit?resourcekey=0-iw9bsKY2OqkUHCFMkCar3A&amp;gid=2055363397#gid=2055363397"",""MTR!C:O""),11,false)"),"PMW-MCE-AS")</f>
        <v>PMW-MCE-AS</v>
      </c>
      <c r="N623" s="248" t="str">
        <f>IFERROR(__xludf.DUMMYFUNCTION("VLOOKUP(C623,IMPORTRANGE(""https://docs.google.com/spreadsheets/d/1ihFlp3_ePlYtFuPbUNbYj1muErVpI73WHXbEwJDIA7Q/edit#gid=1493122344"",""MTR!C:O""),8,false)"),"Complies")</f>
        <v>Complies</v>
      </c>
      <c r="O623" s="241" t="str">
        <f>IFERROR(__xludf.DUMMYFUNCTION("VLOOKUP(C623,IMPORTRANGE(""https://docs.google.com/spreadsheets/d/1P8eX0NWBhUPS_hvzA11R6jkTNFrPrRYIx_dX_hYbxrk/edit?resourcekey=0-iw9bsKY2OqkUHCFMkCar3A&amp;gid=2055363397#gid=2055363397"",""MTR!C:O""),9,false)"),"")</f>
        <v/>
      </c>
      <c r="P623" s="241"/>
      <c r="Q623" s="251" t="s">
        <v>445</v>
      </c>
      <c r="R623" s="251"/>
      <c r="S623" s="154" t="s">
        <v>66</v>
      </c>
      <c r="T623" s="154" t="s">
        <v>66</v>
      </c>
      <c r="U623" s="154" t="s">
        <v>60</v>
      </c>
      <c r="V623" s="154" t="s">
        <v>60</v>
      </c>
      <c r="W623" s="154" t="s">
        <v>60</v>
      </c>
      <c r="X623" s="154" t="s">
        <v>60</v>
      </c>
      <c r="Y623" s="154" t="s">
        <v>66</v>
      </c>
      <c r="Z623" s="154" t="s">
        <v>60</v>
      </c>
      <c r="AA623" s="154" t="s">
        <v>60</v>
      </c>
      <c r="AB623" s="154"/>
      <c r="AC623" s="242" t="b">
        <f t="shared" si="2"/>
        <v>1</v>
      </c>
      <c r="AD623" s="154" t="s">
        <v>391</v>
      </c>
      <c r="AE623" s="243" t="b">
        <f t="shared" si="3"/>
        <v>0</v>
      </c>
      <c r="AF623" s="154"/>
      <c r="AG623" s="243" t="b">
        <f t="shared" si="4"/>
        <v>0</v>
      </c>
      <c r="AH623" s="154"/>
      <c r="AI623" s="243" t="str">
        <f t="shared" si="5"/>
        <v>N/A</v>
      </c>
      <c r="AJ623" s="157" t="str">
        <f t="shared" si="6"/>
        <v/>
      </c>
    </row>
    <row r="624" ht="12.75" customHeight="1">
      <c r="A624" s="244" t="s">
        <v>621</v>
      </c>
      <c r="B624" s="244" t="s">
        <v>1339</v>
      </c>
      <c r="C624" s="244" t="s">
        <v>1969</v>
      </c>
      <c r="D624" s="244" t="s">
        <v>747</v>
      </c>
      <c r="E624" s="244"/>
      <c r="F624" s="154" t="str">
        <f t="array" ref="F624">XLOOKUP(Cover!$D$12,$S$1:$AA$1,$S624:$AA624)</f>
        <v>Comment</v>
      </c>
      <c r="G624" s="153" t="s">
        <v>1970</v>
      </c>
      <c r="H624" s="154"/>
      <c r="I624" s="154" t="s">
        <v>759</v>
      </c>
      <c r="J624" s="154"/>
      <c r="K624" s="154"/>
      <c r="L624" s="154" t="str">
        <f t="shared" si="1"/>
        <v/>
      </c>
      <c r="M624" s="241" t="str">
        <f>IFERROR(__xludf.DUMMYFUNCTION("VLOOKUP(C624,IMPORTRANGE(""https://docs.google.com/spreadsheets/d/1P8eX0NWBhUPS_hvzA11R6jkTNFrPrRYIx_dX_hYbxrk/edit?resourcekey=0-iw9bsKY2OqkUHCFMkCar3A&amp;gid=2055363397#gid=2055363397"",""MTR!C:O""),11,false)"),"")</f>
        <v/>
      </c>
      <c r="N624" s="241" t="str">
        <f>IFERROR(__xludf.DUMMYFUNCTION("VLOOKUP(C624,IMPORTRANGE(""https://docs.google.com/spreadsheets/d/1ihFlp3_ePlYtFuPbUNbYj1muErVpI73WHXbEwJDIA7Q/edit#gid=1493122344"",""MTR!C:O""),8,false)"),"")</f>
        <v/>
      </c>
      <c r="O624" s="241" t="str">
        <f>IFERROR(__xludf.DUMMYFUNCTION("VLOOKUP(C624,IMPORTRANGE(""https://docs.google.com/spreadsheets/d/1P8eX0NWBhUPS_hvzA11R6jkTNFrPrRYIx_dX_hYbxrk/edit?resourcekey=0-iw9bsKY2OqkUHCFMkCar3A&amp;gid=2055363397#gid=2055363397"",""MTR!C:O""),9,false)"),"")</f>
        <v/>
      </c>
      <c r="P624" s="241"/>
      <c r="Q624" s="251"/>
      <c r="R624" s="241"/>
      <c r="S624" s="154" t="s">
        <v>35</v>
      </c>
      <c r="T624" s="154" t="s">
        <v>35</v>
      </c>
      <c r="U624" s="154" t="s">
        <v>35</v>
      </c>
      <c r="V624" s="154" t="s">
        <v>35</v>
      </c>
      <c r="W624" s="154" t="s">
        <v>35</v>
      </c>
      <c r="X624" s="154" t="s">
        <v>35</v>
      </c>
      <c r="Y624" s="154" t="s">
        <v>35</v>
      </c>
      <c r="Z624" s="154" t="s">
        <v>35</v>
      </c>
      <c r="AA624" s="154" t="s">
        <v>35</v>
      </c>
      <c r="AB624" s="154"/>
      <c r="AC624" s="242" t="b">
        <f t="shared" si="2"/>
        <v>0</v>
      </c>
      <c r="AD624" s="154" t="s">
        <v>391</v>
      </c>
      <c r="AE624" s="243" t="b">
        <f t="shared" si="3"/>
        <v>0</v>
      </c>
      <c r="AF624" s="154"/>
      <c r="AG624" s="243" t="b">
        <f t="shared" si="4"/>
        <v>0</v>
      </c>
      <c r="AH624" s="154"/>
      <c r="AI624" s="243" t="str">
        <f t="shared" si="5"/>
        <v>N/A</v>
      </c>
      <c r="AJ624" s="157" t="str">
        <f t="shared" si="6"/>
        <v/>
      </c>
    </row>
    <row r="625" ht="12.75" customHeight="1">
      <c r="A625" s="244" t="s">
        <v>621</v>
      </c>
      <c r="B625" s="244" t="s">
        <v>1339</v>
      </c>
      <c r="C625" s="244" t="s">
        <v>1971</v>
      </c>
      <c r="D625" s="154" t="s">
        <v>747</v>
      </c>
      <c r="E625" s="250"/>
      <c r="F625" s="154" t="str">
        <f t="array" ref="F625">XLOOKUP(Cover!$D$12,$S$1:$AA$1,$S625:$AA625)</f>
        <v>Mandatory</v>
      </c>
      <c r="G625" s="153" t="s">
        <v>1972</v>
      </c>
      <c r="H625" s="154" t="s">
        <v>232</v>
      </c>
      <c r="I625" s="154" t="s">
        <v>759</v>
      </c>
      <c r="J625" s="247" t="s">
        <v>445</v>
      </c>
      <c r="K625" s="247" t="s">
        <v>1973</v>
      </c>
      <c r="L625" s="154" t="str">
        <f t="shared" si="1"/>
        <v/>
      </c>
      <c r="M625" s="248" t="str">
        <f>IFERROR(__xludf.DUMMYFUNCTION("VLOOKUP(C625,IMPORTRANGE(""https://docs.google.com/spreadsheets/d/1P8eX0NWBhUPS_hvzA11R6jkTNFrPrRYIx_dX_hYbxrk/edit?resourcekey=0-iw9bsKY2OqkUHCFMkCar3A&amp;gid=2055363397#gid=2055363397"",""MTR!C:O""),11,false)"),"PMW-MCE-AS")</f>
        <v>PMW-MCE-AS</v>
      </c>
      <c r="N625" s="248" t="str">
        <f>IFERROR(__xludf.DUMMYFUNCTION("VLOOKUP(C625,IMPORTRANGE(""https://docs.google.com/spreadsheets/d/1ihFlp3_ePlYtFuPbUNbYj1muErVpI73WHXbEwJDIA7Q/edit#gid=1493122344"",""MTR!C:O""),8,false)"),"Complies")</f>
        <v>Complies</v>
      </c>
      <c r="O625" s="248" t="str">
        <f>IFERROR(__xludf.DUMMYFUNCTION("VLOOKUP(C625,IMPORTRANGE(""https://docs.google.com/spreadsheets/d/1P8eX0NWBhUPS_hvzA11R6jkTNFrPrRYIx_dX_hYbxrk/edit?resourcekey=0-iw9bsKY2OqkUHCFMkCar3A&amp;gid=2055363397#gid=2055363397"",""MTR!C:O""),9,false)"),"supportedSRS-TxPortSwitch support for some Combos")</f>
        <v>supportedSRS-TxPortSwitch support for some Combos</v>
      </c>
      <c r="P625" s="248"/>
      <c r="Q625" s="249" t="s">
        <v>445</v>
      </c>
      <c r="R625" s="249" t="s">
        <v>1973</v>
      </c>
      <c r="S625" s="154" t="s">
        <v>66</v>
      </c>
      <c r="T625" s="154" t="s">
        <v>66</v>
      </c>
      <c r="U625" s="154" t="s">
        <v>60</v>
      </c>
      <c r="V625" s="154" t="s">
        <v>60</v>
      </c>
      <c r="W625" s="154" t="s">
        <v>60</v>
      </c>
      <c r="X625" s="154" t="s">
        <v>60</v>
      </c>
      <c r="Y625" s="154" t="s">
        <v>66</v>
      </c>
      <c r="Z625" s="154" t="s">
        <v>60</v>
      </c>
      <c r="AA625" s="154" t="s">
        <v>60</v>
      </c>
      <c r="AB625" s="154"/>
      <c r="AC625" s="242" t="b">
        <f t="shared" si="2"/>
        <v>1</v>
      </c>
      <c r="AD625" s="154" t="s">
        <v>391</v>
      </c>
      <c r="AE625" s="243" t="b">
        <f t="shared" si="3"/>
        <v>0</v>
      </c>
      <c r="AF625" s="154"/>
      <c r="AG625" s="243" t="b">
        <f t="shared" si="4"/>
        <v>0</v>
      </c>
      <c r="AH625" s="154"/>
      <c r="AI625" s="243" t="str">
        <f t="shared" si="5"/>
        <v>N/A</v>
      </c>
      <c r="AJ625" s="157" t="str">
        <f t="shared" si="6"/>
        <v/>
      </c>
    </row>
    <row r="626" ht="12.75" customHeight="1">
      <c r="A626" s="244" t="s">
        <v>621</v>
      </c>
      <c r="B626" s="244" t="s">
        <v>1339</v>
      </c>
      <c r="C626" s="244" t="s">
        <v>1974</v>
      </c>
      <c r="D626" s="154" t="s">
        <v>747</v>
      </c>
      <c r="E626" s="250"/>
      <c r="F626" s="154" t="str">
        <f t="array" ref="F626">XLOOKUP(Cover!$D$12,$S$1:$AA$1,$S626:$AA626)</f>
        <v>Mandatory</v>
      </c>
      <c r="G626" s="153" t="s">
        <v>1975</v>
      </c>
      <c r="H626" s="154" t="s">
        <v>1018</v>
      </c>
      <c r="I626" s="154" t="s">
        <v>759</v>
      </c>
      <c r="J626" s="247" t="s">
        <v>516</v>
      </c>
      <c r="K626" s="247"/>
      <c r="L626" s="154" t="str">
        <f t="shared" si="1"/>
        <v/>
      </c>
      <c r="M626" s="248" t="str">
        <f>IFERROR(__xludf.DUMMYFUNCTION("VLOOKUP(C626,IMPORTRANGE(""https://docs.google.com/spreadsheets/d/1P8eX0NWBhUPS_hvzA11R6jkTNFrPrRYIx_dX_hYbxrk/edit?resourcekey=0-iw9bsKY2OqkUHCFMkCar3A&amp;gid=2055363397#gid=2055363397"",""MTR!C:O""),11,false)"),"PMW-MCE-AS")</f>
        <v>PMW-MCE-AS</v>
      </c>
      <c r="N626" s="248" t="str">
        <f>IFERROR(__xludf.DUMMYFUNCTION("VLOOKUP(C626,IMPORTRANGE(""https://docs.google.com/spreadsheets/d/1ihFlp3_ePlYtFuPbUNbYj1muErVpI73WHXbEwJDIA7Q/edit#gid=1493122344"",""MTR!C:O""),8,false)"),"Does Not Comply")</f>
        <v>Does Not Comply</v>
      </c>
      <c r="O626" s="241" t="str">
        <f>IFERROR(__xludf.DUMMYFUNCTION("VLOOKUP(C626,IMPORTRANGE(""https://docs.google.com/spreadsheets/d/1P8eX0NWBhUPS_hvzA11R6jkTNFrPrRYIx_dX_hYbxrk/edit?resourcekey=0-iw9bsKY2OqkUHCFMkCar3A&amp;gid=2055363397#gid=2055363397"",""MTR!C:O""),9,false)"),"")</f>
        <v/>
      </c>
      <c r="P626" s="241"/>
      <c r="Q626" s="251" t="s">
        <v>516</v>
      </c>
      <c r="R626" s="251"/>
      <c r="S626" s="154" t="s">
        <v>66</v>
      </c>
      <c r="T626" s="154" t="s">
        <v>66</v>
      </c>
      <c r="U626" s="154" t="s">
        <v>66</v>
      </c>
      <c r="V626" s="154" t="s">
        <v>66</v>
      </c>
      <c r="W626" s="154" t="s">
        <v>60</v>
      </c>
      <c r="X626" s="154" t="s">
        <v>60</v>
      </c>
      <c r="Y626" s="154" t="s">
        <v>66</v>
      </c>
      <c r="Z626" s="154" t="s">
        <v>66</v>
      </c>
      <c r="AA626" s="154" t="s">
        <v>60</v>
      </c>
      <c r="AB626" s="154"/>
      <c r="AC626" s="242" t="b">
        <f t="shared" si="2"/>
        <v>1</v>
      </c>
      <c r="AD626" s="154" t="s">
        <v>391</v>
      </c>
      <c r="AE626" s="243" t="b">
        <f t="shared" si="3"/>
        <v>0</v>
      </c>
      <c r="AF626" s="154"/>
      <c r="AG626" s="243" t="b">
        <f t="shared" si="4"/>
        <v>0</v>
      </c>
      <c r="AH626" s="154"/>
      <c r="AI626" s="243" t="str">
        <f t="shared" si="5"/>
        <v>N/A</v>
      </c>
      <c r="AJ626" s="157" t="str">
        <f t="shared" si="6"/>
        <v/>
      </c>
    </row>
    <row r="627" ht="12.75" customHeight="1">
      <c r="A627" s="244" t="s">
        <v>621</v>
      </c>
      <c r="B627" s="244" t="s">
        <v>1339</v>
      </c>
      <c r="C627" s="244" t="s">
        <v>1976</v>
      </c>
      <c r="D627" s="154" t="s">
        <v>747</v>
      </c>
      <c r="E627" s="250"/>
      <c r="F627" s="154" t="str">
        <f t="array" ref="F627">XLOOKUP(Cover!$D$12,$S$1:$AA$1,$S627:$AA627)</f>
        <v>Mandatory</v>
      </c>
      <c r="G627" s="153" t="s">
        <v>1977</v>
      </c>
      <c r="H627" s="154" t="s">
        <v>1018</v>
      </c>
      <c r="I627" s="154" t="s">
        <v>759</v>
      </c>
      <c r="J627" s="247" t="s">
        <v>516</v>
      </c>
      <c r="K627" s="154"/>
      <c r="L627" s="154" t="str">
        <f t="shared" si="1"/>
        <v/>
      </c>
      <c r="M627" s="248" t="str">
        <f>IFERROR(__xludf.DUMMYFUNCTION("VLOOKUP(C627,IMPORTRANGE(""https://docs.google.com/spreadsheets/d/1P8eX0NWBhUPS_hvzA11R6jkTNFrPrRYIx_dX_hYbxrk/edit?resourcekey=0-iw9bsKY2OqkUHCFMkCar3A&amp;gid=2055363397#gid=2055363397"",""MTR!C:O""),11,false)"),"PMW-MCE-AS")</f>
        <v>PMW-MCE-AS</v>
      </c>
      <c r="N627" s="248" t="str">
        <f>IFERROR(__xludf.DUMMYFUNCTION("VLOOKUP(C627,IMPORTRANGE(""https://docs.google.com/spreadsheets/d/1ihFlp3_ePlYtFuPbUNbYj1muErVpI73WHXbEwJDIA7Q/edit#gid=1493122344"",""MTR!C:O""),8,false)"),"Does Not Comply")</f>
        <v>Does Not Comply</v>
      </c>
      <c r="O627" s="241" t="str">
        <f>IFERROR(__xludf.DUMMYFUNCTION("VLOOKUP(C627,IMPORTRANGE(""https://docs.google.com/spreadsheets/d/1P8eX0NWBhUPS_hvzA11R6jkTNFrPrRYIx_dX_hYbxrk/edit?resourcekey=0-iw9bsKY2OqkUHCFMkCar3A&amp;gid=2055363397#gid=2055363397"",""MTR!C:O""),9,false)"),"")</f>
        <v/>
      </c>
      <c r="P627" s="241"/>
      <c r="Q627" s="251" t="s">
        <v>516</v>
      </c>
      <c r="R627" s="241"/>
      <c r="S627" s="154" t="s">
        <v>66</v>
      </c>
      <c r="T627" s="154" t="s">
        <v>66</v>
      </c>
      <c r="U627" s="154" t="s">
        <v>66</v>
      </c>
      <c r="V627" s="154" t="s">
        <v>66</v>
      </c>
      <c r="W627" s="154" t="s">
        <v>60</v>
      </c>
      <c r="X627" s="154" t="s">
        <v>60</v>
      </c>
      <c r="Y627" s="154" t="s">
        <v>66</v>
      </c>
      <c r="Z627" s="154" t="s">
        <v>66</v>
      </c>
      <c r="AA627" s="154" t="s">
        <v>60</v>
      </c>
      <c r="AB627" s="154"/>
      <c r="AC627" s="242" t="b">
        <f t="shared" si="2"/>
        <v>1</v>
      </c>
      <c r="AD627" s="154" t="s">
        <v>391</v>
      </c>
      <c r="AE627" s="243" t="b">
        <f t="shared" si="3"/>
        <v>0</v>
      </c>
      <c r="AF627" s="154"/>
      <c r="AG627" s="243" t="b">
        <f t="shared" si="4"/>
        <v>0</v>
      </c>
      <c r="AH627" s="154"/>
      <c r="AI627" s="243" t="str">
        <f t="shared" si="5"/>
        <v>N/A</v>
      </c>
      <c r="AJ627" s="157" t="str">
        <f t="shared" si="6"/>
        <v/>
      </c>
    </row>
    <row r="628" ht="12.75" customHeight="1">
      <c r="A628" s="238" t="s">
        <v>621</v>
      </c>
      <c r="B628" s="238" t="s">
        <v>1339</v>
      </c>
      <c r="C628" s="238" t="s">
        <v>1978</v>
      </c>
      <c r="D628" s="240"/>
      <c r="E628" s="252" t="s">
        <v>92</v>
      </c>
      <c r="F628" s="154" t="str">
        <f t="array" ref="F628">XLOOKUP(Cover!$D$12,$S$1:$AA$1,$S628:$AA628)</f>
        <v>Heading</v>
      </c>
      <c r="G628" s="239" t="s">
        <v>1979</v>
      </c>
      <c r="H628" s="240"/>
      <c r="I628" s="240" t="s">
        <v>759</v>
      </c>
      <c r="J628" s="262"/>
      <c r="K628" s="240"/>
      <c r="L628" s="154" t="str">
        <f t="shared" si="1"/>
        <v/>
      </c>
      <c r="M628" s="241" t="str">
        <f>IFERROR(__xludf.DUMMYFUNCTION("VLOOKUP(C628,IMPORTRANGE(""https://docs.google.com/spreadsheets/d/1P8eX0NWBhUPS_hvzA11R6jkTNFrPrRYIx_dX_hYbxrk/edit?resourcekey=0-iw9bsKY2OqkUHCFMkCar3A&amp;gid=2055363397#gid=2055363397"",""MTR!C:O""),11,false)"),"")</f>
        <v/>
      </c>
      <c r="N628" s="241" t="str">
        <f>IFERROR(__xludf.DUMMYFUNCTION("VLOOKUP(C628,IMPORTRANGE(""https://docs.google.com/spreadsheets/d/1ihFlp3_ePlYtFuPbUNbYj1muErVpI73WHXbEwJDIA7Q/edit#gid=1493122344"",""MTR!C:O""),8,false)"),"")</f>
        <v/>
      </c>
      <c r="O628" s="241" t="str">
        <f>IFERROR(__xludf.DUMMYFUNCTION("VLOOKUP(C628,IMPORTRANGE(""https://docs.google.com/spreadsheets/d/1P8eX0NWBhUPS_hvzA11R6jkTNFrPrRYIx_dX_hYbxrk/edit?resourcekey=0-iw9bsKY2OqkUHCFMkCar3A&amp;gid=2055363397#gid=2055363397"",""MTR!C:O""),9,false)"),"")</f>
        <v/>
      </c>
      <c r="P628" s="241"/>
      <c r="Q628" s="251"/>
      <c r="R628" s="241"/>
      <c r="S628" s="240" t="s">
        <v>390</v>
      </c>
      <c r="T628" s="240" t="s">
        <v>390</v>
      </c>
      <c r="U628" s="240" t="s">
        <v>390</v>
      </c>
      <c r="V628" s="240" t="s">
        <v>390</v>
      </c>
      <c r="W628" s="240" t="s">
        <v>390</v>
      </c>
      <c r="X628" s="240" t="s">
        <v>390</v>
      </c>
      <c r="Y628" s="240" t="s">
        <v>390</v>
      </c>
      <c r="Z628" s="240" t="s">
        <v>390</v>
      </c>
      <c r="AA628" s="240" t="s">
        <v>390</v>
      </c>
      <c r="AB628" s="240"/>
      <c r="AC628" s="242" t="b">
        <f t="shared" si="2"/>
        <v>0</v>
      </c>
      <c r="AD628" s="240" t="s">
        <v>391</v>
      </c>
      <c r="AE628" s="243" t="b">
        <f t="shared" si="3"/>
        <v>0</v>
      </c>
      <c r="AF628" s="240"/>
      <c r="AG628" s="243" t="b">
        <f t="shared" si="4"/>
        <v>0</v>
      </c>
      <c r="AH628" s="240"/>
      <c r="AI628" s="243" t="str">
        <f t="shared" si="5"/>
        <v>N/A</v>
      </c>
      <c r="AJ628" s="157" t="str">
        <f t="shared" si="6"/>
        <v/>
      </c>
    </row>
    <row r="629" ht="12.75" customHeight="1">
      <c r="A629" s="244" t="s">
        <v>621</v>
      </c>
      <c r="B629" s="244" t="s">
        <v>1339</v>
      </c>
      <c r="C629" s="244" t="s">
        <v>1980</v>
      </c>
      <c r="D629" s="154" t="s">
        <v>747</v>
      </c>
      <c r="E629" s="250"/>
      <c r="F629" s="154" t="str">
        <f t="array" ref="F629">XLOOKUP(Cover!$D$12,$S$1:$AA$1,$S629:$AA629)</f>
        <v>Mandatory</v>
      </c>
      <c r="G629" s="153" t="s">
        <v>1981</v>
      </c>
      <c r="H629" s="154" t="s">
        <v>232</v>
      </c>
      <c r="I629" s="154" t="s">
        <v>759</v>
      </c>
      <c r="J629" s="154" t="s">
        <v>445</v>
      </c>
      <c r="K629" s="154"/>
      <c r="L629" s="154" t="str">
        <f t="shared" si="1"/>
        <v/>
      </c>
      <c r="M629" s="248" t="str">
        <f>IFERROR(__xludf.DUMMYFUNCTION("VLOOKUP(C629,IMPORTRANGE(""https://docs.google.com/spreadsheets/d/1P8eX0NWBhUPS_hvzA11R6jkTNFrPrRYIx_dX_hYbxrk/edit?resourcekey=0-iw9bsKY2OqkUHCFMkCar3A&amp;gid=2055363397#gid=2055363397"",""MTR!C:O""),11,false)"),"PMW-MCE-AS")</f>
        <v>PMW-MCE-AS</v>
      </c>
      <c r="N629" s="248" t="str">
        <f>IFERROR(__xludf.DUMMYFUNCTION("VLOOKUP(C629,IMPORTRANGE(""https://docs.google.com/spreadsheets/d/1ihFlp3_ePlYtFuPbUNbYj1muErVpI73WHXbEwJDIA7Q/edit#gid=1493122344"",""MTR!C:O""),8,false)"),"Complies")</f>
        <v>Complies</v>
      </c>
      <c r="O629" s="241" t="str">
        <f>IFERROR(__xludf.DUMMYFUNCTION("VLOOKUP(C629,IMPORTRANGE(""https://docs.google.com/spreadsheets/d/1P8eX0NWBhUPS_hvzA11R6jkTNFrPrRYIx_dX_hYbxrk/edit?resourcekey=0-iw9bsKY2OqkUHCFMkCar3A&amp;gid=2055363397#gid=2055363397"",""MTR!C:O""),9,false)"),"")</f>
        <v/>
      </c>
      <c r="P629" s="241"/>
      <c r="Q629" s="251" t="s">
        <v>445</v>
      </c>
      <c r="R629" s="241"/>
      <c r="S629" s="154" t="s">
        <v>66</v>
      </c>
      <c r="T629" s="154" t="s">
        <v>66</v>
      </c>
      <c r="U629" s="154" t="s">
        <v>60</v>
      </c>
      <c r="V629" s="154" t="s">
        <v>60</v>
      </c>
      <c r="W629" s="154" t="s">
        <v>60</v>
      </c>
      <c r="X629" s="154" t="s">
        <v>60</v>
      </c>
      <c r="Y629" s="154" t="s">
        <v>66</v>
      </c>
      <c r="Z629" s="154" t="s">
        <v>60</v>
      </c>
      <c r="AA629" s="154" t="s">
        <v>60</v>
      </c>
      <c r="AB629" s="154"/>
      <c r="AC629" s="242" t="b">
        <f t="shared" si="2"/>
        <v>1</v>
      </c>
      <c r="AD629" s="154" t="s">
        <v>391</v>
      </c>
      <c r="AE629" s="243" t="b">
        <f t="shared" si="3"/>
        <v>0</v>
      </c>
      <c r="AF629" s="154"/>
      <c r="AG629" s="243" t="b">
        <f t="shared" si="4"/>
        <v>0</v>
      </c>
      <c r="AH629" s="154"/>
      <c r="AI629" s="243" t="str">
        <f t="shared" si="5"/>
        <v>N/A</v>
      </c>
      <c r="AJ629" s="157" t="str">
        <f t="shared" si="6"/>
        <v/>
      </c>
    </row>
    <row r="630" ht="12.75" customHeight="1">
      <c r="A630" s="238" t="s">
        <v>621</v>
      </c>
      <c r="B630" s="238" t="s">
        <v>1339</v>
      </c>
      <c r="C630" s="238" t="s">
        <v>1982</v>
      </c>
      <c r="D630" s="240"/>
      <c r="E630" s="252" t="s">
        <v>92</v>
      </c>
      <c r="F630" s="154" t="str">
        <f t="array" ref="F630">XLOOKUP(Cover!$D$12,$S$1:$AA$1,$S630:$AA630)</f>
        <v>Heading</v>
      </c>
      <c r="G630" s="239" t="s">
        <v>1983</v>
      </c>
      <c r="H630" s="240"/>
      <c r="I630" s="240" t="s">
        <v>759</v>
      </c>
      <c r="J630" s="240"/>
      <c r="K630" s="240"/>
      <c r="L630" s="154" t="str">
        <f t="shared" si="1"/>
        <v/>
      </c>
      <c r="M630" s="241" t="str">
        <f>IFERROR(__xludf.DUMMYFUNCTION("VLOOKUP(C630,IMPORTRANGE(""https://docs.google.com/spreadsheets/d/1P8eX0NWBhUPS_hvzA11R6jkTNFrPrRYIx_dX_hYbxrk/edit?resourcekey=0-iw9bsKY2OqkUHCFMkCar3A&amp;gid=2055363397#gid=2055363397"",""MTR!C:O""),11,false)"),"")</f>
        <v/>
      </c>
      <c r="N630" s="241" t="str">
        <f>IFERROR(__xludf.DUMMYFUNCTION("VLOOKUP(C630,IMPORTRANGE(""https://docs.google.com/spreadsheets/d/1ihFlp3_ePlYtFuPbUNbYj1muErVpI73WHXbEwJDIA7Q/edit#gid=1493122344"",""MTR!C:O""),8,false)"),"")</f>
        <v/>
      </c>
      <c r="O630" s="241" t="str">
        <f>IFERROR(__xludf.DUMMYFUNCTION("VLOOKUP(C630,IMPORTRANGE(""https://docs.google.com/spreadsheets/d/1P8eX0NWBhUPS_hvzA11R6jkTNFrPrRYIx_dX_hYbxrk/edit?resourcekey=0-iw9bsKY2OqkUHCFMkCar3A&amp;gid=2055363397#gid=2055363397"",""MTR!C:O""),9,false)"),"")</f>
        <v/>
      </c>
      <c r="P630" s="241"/>
      <c r="Q630" s="251"/>
      <c r="R630" s="241"/>
      <c r="S630" s="240" t="s">
        <v>390</v>
      </c>
      <c r="T630" s="240" t="s">
        <v>390</v>
      </c>
      <c r="U630" s="240" t="s">
        <v>390</v>
      </c>
      <c r="V630" s="240" t="s">
        <v>390</v>
      </c>
      <c r="W630" s="240" t="s">
        <v>390</v>
      </c>
      <c r="X630" s="240" t="s">
        <v>390</v>
      </c>
      <c r="Y630" s="240" t="s">
        <v>390</v>
      </c>
      <c r="Z630" s="240" t="s">
        <v>390</v>
      </c>
      <c r="AA630" s="240" t="s">
        <v>390</v>
      </c>
      <c r="AB630" s="240"/>
      <c r="AC630" s="242" t="b">
        <f t="shared" si="2"/>
        <v>0</v>
      </c>
      <c r="AD630" s="240" t="s">
        <v>391</v>
      </c>
      <c r="AE630" s="243" t="b">
        <f t="shared" si="3"/>
        <v>0</v>
      </c>
      <c r="AF630" s="240"/>
      <c r="AG630" s="243" t="b">
        <f t="shared" si="4"/>
        <v>0</v>
      </c>
      <c r="AH630" s="240"/>
      <c r="AI630" s="243" t="str">
        <f t="shared" si="5"/>
        <v>N/A</v>
      </c>
      <c r="AJ630" s="157" t="str">
        <f t="shared" si="6"/>
        <v/>
      </c>
    </row>
    <row r="631" ht="12.75" customHeight="1">
      <c r="A631" s="244" t="s">
        <v>621</v>
      </c>
      <c r="B631" s="244" t="s">
        <v>1339</v>
      </c>
      <c r="C631" s="244" t="s">
        <v>1984</v>
      </c>
      <c r="D631" s="154" t="s">
        <v>747</v>
      </c>
      <c r="E631" s="250"/>
      <c r="F631" s="154" t="str">
        <f t="array" ref="F631">XLOOKUP(Cover!$D$12,$S$1:$AA$1,$S631:$AA631)</f>
        <v>Mandatory</v>
      </c>
      <c r="G631" s="153" t="s">
        <v>1985</v>
      </c>
      <c r="H631" s="154" t="s">
        <v>232</v>
      </c>
      <c r="I631" s="154" t="s">
        <v>759</v>
      </c>
      <c r="J631" s="247" t="s">
        <v>445</v>
      </c>
      <c r="K631" s="154"/>
      <c r="L631" s="154" t="str">
        <f t="shared" si="1"/>
        <v/>
      </c>
      <c r="M631" s="248" t="str">
        <f>IFERROR(__xludf.DUMMYFUNCTION("VLOOKUP(C631,IMPORTRANGE(""https://docs.google.com/spreadsheets/d/1P8eX0NWBhUPS_hvzA11R6jkTNFrPrRYIx_dX_hYbxrk/edit?resourcekey=0-iw9bsKY2OqkUHCFMkCar3A&amp;gid=2055363397#gid=2055363397"",""MTR!C:O""),11,false)"),"PMW-MCE-AS")</f>
        <v>PMW-MCE-AS</v>
      </c>
      <c r="N631" s="248" t="str">
        <f>IFERROR(__xludf.DUMMYFUNCTION("VLOOKUP(C631,IMPORTRANGE(""https://docs.google.com/spreadsheets/d/1ihFlp3_ePlYtFuPbUNbYj1muErVpI73WHXbEwJDIA7Q/edit#gid=1493122344"",""MTR!C:O""),8,false)"),"Complies")</f>
        <v>Complies</v>
      </c>
      <c r="O631" s="241" t="str">
        <f>IFERROR(__xludf.DUMMYFUNCTION("VLOOKUP(C631,IMPORTRANGE(""https://docs.google.com/spreadsheets/d/1P8eX0NWBhUPS_hvzA11R6jkTNFrPrRYIx_dX_hYbxrk/edit?resourcekey=0-iw9bsKY2OqkUHCFMkCar3A&amp;gid=2055363397#gid=2055363397"",""MTR!C:O""),9,false)"),"")</f>
        <v/>
      </c>
      <c r="P631" s="241"/>
      <c r="Q631" s="251" t="s">
        <v>445</v>
      </c>
      <c r="R631" s="241"/>
      <c r="S631" s="154" t="s">
        <v>66</v>
      </c>
      <c r="T631" s="154" t="s">
        <v>66</v>
      </c>
      <c r="U631" s="154" t="s">
        <v>60</v>
      </c>
      <c r="V631" s="154" t="s">
        <v>60</v>
      </c>
      <c r="W631" s="154" t="s">
        <v>60</v>
      </c>
      <c r="X631" s="154" t="s">
        <v>60</v>
      </c>
      <c r="Y631" s="154" t="s">
        <v>66</v>
      </c>
      <c r="Z631" s="154" t="s">
        <v>60</v>
      </c>
      <c r="AA631" s="154" t="s">
        <v>60</v>
      </c>
      <c r="AB631" s="154"/>
      <c r="AC631" s="242" t="b">
        <f t="shared" si="2"/>
        <v>1</v>
      </c>
      <c r="AD631" s="154" t="s">
        <v>391</v>
      </c>
      <c r="AE631" s="243" t="b">
        <f t="shared" si="3"/>
        <v>0</v>
      </c>
      <c r="AF631" s="154"/>
      <c r="AG631" s="243" t="b">
        <f t="shared" si="4"/>
        <v>0</v>
      </c>
      <c r="AH631" s="154"/>
      <c r="AI631" s="243" t="str">
        <f t="shared" si="5"/>
        <v>N/A</v>
      </c>
      <c r="AJ631" s="157" t="str">
        <f t="shared" si="6"/>
        <v/>
      </c>
    </row>
    <row r="632" ht="12.75" customHeight="1">
      <c r="A632" s="244" t="s">
        <v>621</v>
      </c>
      <c r="B632" s="244" t="s">
        <v>1339</v>
      </c>
      <c r="C632" s="244" t="s">
        <v>1986</v>
      </c>
      <c r="D632" s="154" t="s">
        <v>747</v>
      </c>
      <c r="E632" s="250"/>
      <c r="F632" s="154" t="str">
        <f t="array" ref="F632">XLOOKUP(Cover!$D$12,$S$1:$AA$1,$S632:$AA632)</f>
        <v>Mandatory</v>
      </c>
      <c r="G632" s="153" t="s">
        <v>1987</v>
      </c>
      <c r="H632" s="154" t="s">
        <v>232</v>
      </c>
      <c r="I632" s="154" t="s">
        <v>759</v>
      </c>
      <c r="J632" s="247" t="s">
        <v>445</v>
      </c>
      <c r="K632" s="154"/>
      <c r="L632" s="154" t="str">
        <f t="shared" si="1"/>
        <v/>
      </c>
      <c r="M632" s="248" t="str">
        <f>IFERROR(__xludf.DUMMYFUNCTION("VLOOKUP(C632,IMPORTRANGE(""https://docs.google.com/spreadsheets/d/1P8eX0NWBhUPS_hvzA11R6jkTNFrPrRYIx_dX_hYbxrk/edit?resourcekey=0-iw9bsKY2OqkUHCFMkCar3A&amp;gid=2055363397#gid=2055363397"",""MTR!C:O""),11,false)"),"PMW-MCE-AS")</f>
        <v>PMW-MCE-AS</v>
      </c>
      <c r="N632" s="248" t="str">
        <f>IFERROR(__xludf.DUMMYFUNCTION("VLOOKUP(C632,IMPORTRANGE(""https://docs.google.com/spreadsheets/d/1ihFlp3_ePlYtFuPbUNbYj1muErVpI73WHXbEwJDIA7Q/edit#gid=1493122344"",""MTR!C:O""),8,false)"),"Complies")</f>
        <v>Complies</v>
      </c>
      <c r="O632" s="241" t="str">
        <f>IFERROR(__xludf.DUMMYFUNCTION("VLOOKUP(C632,IMPORTRANGE(""https://docs.google.com/spreadsheets/d/1P8eX0NWBhUPS_hvzA11R6jkTNFrPrRYIx_dX_hYbxrk/edit?resourcekey=0-iw9bsKY2OqkUHCFMkCar3A&amp;gid=2055363397#gid=2055363397"",""MTR!C:O""),9,false)"),"")</f>
        <v/>
      </c>
      <c r="P632" s="241"/>
      <c r="Q632" s="251" t="s">
        <v>445</v>
      </c>
      <c r="R632" s="241"/>
      <c r="S632" s="154" t="s">
        <v>66</v>
      </c>
      <c r="T632" s="154" t="s">
        <v>66</v>
      </c>
      <c r="U632" s="154" t="s">
        <v>60</v>
      </c>
      <c r="V632" s="154" t="s">
        <v>60</v>
      </c>
      <c r="W632" s="154" t="s">
        <v>60</v>
      </c>
      <c r="X632" s="154" t="s">
        <v>60</v>
      </c>
      <c r="Y632" s="154" t="s">
        <v>66</v>
      </c>
      <c r="Z632" s="154" t="s">
        <v>60</v>
      </c>
      <c r="AA632" s="154" t="s">
        <v>60</v>
      </c>
      <c r="AB632" s="154"/>
      <c r="AC632" s="242" t="b">
        <f t="shared" si="2"/>
        <v>1</v>
      </c>
      <c r="AD632" s="154" t="s">
        <v>391</v>
      </c>
      <c r="AE632" s="243" t="b">
        <f t="shared" si="3"/>
        <v>0</v>
      </c>
      <c r="AF632" s="154"/>
      <c r="AG632" s="243" t="b">
        <f t="shared" si="4"/>
        <v>0</v>
      </c>
      <c r="AH632" s="154"/>
      <c r="AI632" s="243" t="str">
        <f t="shared" si="5"/>
        <v>N/A</v>
      </c>
      <c r="AJ632" s="157" t="str">
        <f t="shared" si="6"/>
        <v/>
      </c>
    </row>
    <row r="633" ht="12.75" customHeight="1">
      <c r="A633" s="244" t="s">
        <v>621</v>
      </c>
      <c r="B633" s="244" t="s">
        <v>1339</v>
      </c>
      <c r="C633" s="244" t="s">
        <v>1988</v>
      </c>
      <c r="D633" s="154" t="s">
        <v>747</v>
      </c>
      <c r="E633" s="250"/>
      <c r="F633" s="154" t="str">
        <f t="array" ref="F633">XLOOKUP(Cover!$D$12,$S$1:$AA$1,$S633:$AA633)</f>
        <v>Mandatory</v>
      </c>
      <c r="G633" s="153" t="s">
        <v>1989</v>
      </c>
      <c r="H633" s="154" t="s">
        <v>232</v>
      </c>
      <c r="I633" s="154" t="s">
        <v>759</v>
      </c>
      <c r="J633" s="247" t="s">
        <v>445</v>
      </c>
      <c r="K633" s="154"/>
      <c r="L633" s="154" t="str">
        <f t="shared" si="1"/>
        <v/>
      </c>
      <c r="M633" s="248" t="str">
        <f>IFERROR(__xludf.DUMMYFUNCTION("VLOOKUP(C633,IMPORTRANGE(""https://docs.google.com/spreadsheets/d/1P8eX0NWBhUPS_hvzA11R6jkTNFrPrRYIx_dX_hYbxrk/edit?resourcekey=0-iw9bsKY2OqkUHCFMkCar3A&amp;gid=2055363397#gid=2055363397"",""MTR!C:O""),11,false)"),"PMW-MCE-AS")</f>
        <v>PMW-MCE-AS</v>
      </c>
      <c r="N633" s="248" t="str">
        <f>IFERROR(__xludf.DUMMYFUNCTION("VLOOKUP(C633,IMPORTRANGE(""https://docs.google.com/spreadsheets/d/1ihFlp3_ePlYtFuPbUNbYj1muErVpI73WHXbEwJDIA7Q/edit#gid=1493122344"",""MTR!C:O""),8,false)"),"Complies")</f>
        <v>Complies</v>
      </c>
      <c r="O633" s="241" t="str">
        <f>IFERROR(__xludf.DUMMYFUNCTION("VLOOKUP(C633,IMPORTRANGE(""https://docs.google.com/spreadsheets/d/1P8eX0NWBhUPS_hvzA11R6jkTNFrPrRYIx_dX_hYbxrk/edit?resourcekey=0-iw9bsKY2OqkUHCFMkCar3A&amp;gid=2055363397#gid=2055363397"",""MTR!C:O""),9,false)"),"")</f>
        <v/>
      </c>
      <c r="P633" s="241"/>
      <c r="Q633" s="251" t="s">
        <v>445</v>
      </c>
      <c r="R633" s="241"/>
      <c r="S633" s="154" t="s">
        <v>66</v>
      </c>
      <c r="T633" s="154" t="s">
        <v>66</v>
      </c>
      <c r="U633" s="154" t="s">
        <v>60</v>
      </c>
      <c r="V633" s="154" t="s">
        <v>60</v>
      </c>
      <c r="W633" s="154" t="s">
        <v>60</v>
      </c>
      <c r="X633" s="154" t="s">
        <v>60</v>
      </c>
      <c r="Y633" s="154" t="s">
        <v>66</v>
      </c>
      <c r="Z633" s="154" t="s">
        <v>60</v>
      </c>
      <c r="AA633" s="154" t="s">
        <v>60</v>
      </c>
      <c r="AB633" s="154"/>
      <c r="AC633" s="242" t="b">
        <f t="shared" si="2"/>
        <v>1</v>
      </c>
      <c r="AD633" s="154" t="s">
        <v>391</v>
      </c>
      <c r="AE633" s="243" t="b">
        <f t="shared" si="3"/>
        <v>0</v>
      </c>
      <c r="AF633" s="154"/>
      <c r="AG633" s="243" t="b">
        <f t="shared" si="4"/>
        <v>0</v>
      </c>
      <c r="AH633" s="154"/>
      <c r="AI633" s="243" t="str">
        <f t="shared" si="5"/>
        <v>N/A</v>
      </c>
      <c r="AJ633" s="157" t="str">
        <f t="shared" si="6"/>
        <v/>
      </c>
    </row>
    <row r="634" ht="12.75" customHeight="1">
      <c r="A634" s="244" t="s">
        <v>621</v>
      </c>
      <c r="B634" s="244" t="s">
        <v>1339</v>
      </c>
      <c r="C634" s="244" t="s">
        <v>1990</v>
      </c>
      <c r="D634" s="154" t="s">
        <v>747</v>
      </c>
      <c r="E634" s="250"/>
      <c r="F634" s="154" t="str">
        <f t="array" ref="F634">XLOOKUP(Cover!$D$12,$S$1:$AA$1,$S634:$AA634)</f>
        <v>Mandatory</v>
      </c>
      <c r="G634" s="153" t="s">
        <v>1991</v>
      </c>
      <c r="H634" s="154" t="s">
        <v>232</v>
      </c>
      <c r="I634" s="154" t="s">
        <v>759</v>
      </c>
      <c r="J634" s="247" t="s">
        <v>445</v>
      </c>
      <c r="K634" s="154"/>
      <c r="L634" s="154" t="str">
        <f t="shared" si="1"/>
        <v/>
      </c>
      <c r="M634" s="248" t="str">
        <f>IFERROR(__xludf.DUMMYFUNCTION("VLOOKUP(C634,IMPORTRANGE(""https://docs.google.com/spreadsheets/d/1P8eX0NWBhUPS_hvzA11R6jkTNFrPrRYIx_dX_hYbxrk/edit?resourcekey=0-iw9bsKY2OqkUHCFMkCar3A&amp;gid=2055363397#gid=2055363397"",""MTR!C:O""),11,false)"),"PMW-MCE-AS")</f>
        <v>PMW-MCE-AS</v>
      </c>
      <c r="N634" s="248" t="str">
        <f>IFERROR(__xludf.DUMMYFUNCTION("VLOOKUP(C634,IMPORTRANGE(""https://docs.google.com/spreadsheets/d/1ihFlp3_ePlYtFuPbUNbYj1muErVpI73WHXbEwJDIA7Q/edit#gid=1493122344"",""MTR!C:O""),8,false)"),"Complies")</f>
        <v>Complies</v>
      </c>
      <c r="O634" s="241" t="str">
        <f>IFERROR(__xludf.DUMMYFUNCTION("VLOOKUP(C634,IMPORTRANGE(""https://docs.google.com/spreadsheets/d/1P8eX0NWBhUPS_hvzA11R6jkTNFrPrRYIx_dX_hYbxrk/edit?resourcekey=0-iw9bsKY2OqkUHCFMkCar3A&amp;gid=2055363397#gid=2055363397"",""MTR!C:O""),9,false)"),"")</f>
        <v/>
      </c>
      <c r="P634" s="241"/>
      <c r="Q634" s="251" t="s">
        <v>445</v>
      </c>
      <c r="R634" s="241"/>
      <c r="S634" s="154" t="s">
        <v>66</v>
      </c>
      <c r="T634" s="154" t="s">
        <v>66</v>
      </c>
      <c r="U634" s="154" t="s">
        <v>60</v>
      </c>
      <c r="V634" s="154" t="s">
        <v>60</v>
      </c>
      <c r="W634" s="154" t="s">
        <v>60</v>
      </c>
      <c r="X634" s="154" t="s">
        <v>60</v>
      </c>
      <c r="Y634" s="154" t="s">
        <v>66</v>
      </c>
      <c r="Z634" s="154" t="s">
        <v>60</v>
      </c>
      <c r="AA634" s="154" t="s">
        <v>60</v>
      </c>
      <c r="AB634" s="154"/>
      <c r="AC634" s="242" t="b">
        <f t="shared" si="2"/>
        <v>1</v>
      </c>
      <c r="AD634" s="154" t="s">
        <v>391</v>
      </c>
      <c r="AE634" s="243" t="b">
        <f t="shared" si="3"/>
        <v>0</v>
      </c>
      <c r="AF634" s="154"/>
      <c r="AG634" s="243" t="b">
        <f t="shared" si="4"/>
        <v>0</v>
      </c>
      <c r="AH634" s="154"/>
      <c r="AI634" s="243" t="str">
        <f t="shared" si="5"/>
        <v>N/A</v>
      </c>
      <c r="AJ634" s="157" t="str">
        <f t="shared" si="6"/>
        <v/>
      </c>
    </row>
    <row r="635" ht="12.75" customHeight="1">
      <c r="A635" s="244" t="s">
        <v>621</v>
      </c>
      <c r="B635" s="244" t="s">
        <v>1339</v>
      </c>
      <c r="C635" s="244" t="s">
        <v>1992</v>
      </c>
      <c r="D635" s="154" t="s">
        <v>747</v>
      </c>
      <c r="E635" s="250"/>
      <c r="F635" s="154" t="str">
        <f t="array" ref="F635">XLOOKUP(Cover!$D$12,$S$1:$AA$1,$S635:$AA635)</f>
        <v>Mandatory</v>
      </c>
      <c r="G635" s="153" t="s">
        <v>1993</v>
      </c>
      <c r="H635" s="154" t="s">
        <v>232</v>
      </c>
      <c r="I635" s="154" t="s">
        <v>759</v>
      </c>
      <c r="J635" s="247" t="s">
        <v>445</v>
      </c>
      <c r="K635" s="154"/>
      <c r="L635" s="154" t="str">
        <f t="shared" si="1"/>
        <v/>
      </c>
      <c r="M635" s="248" t="str">
        <f>IFERROR(__xludf.DUMMYFUNCTION("VLOOKUP(C635,IMPORTRANGE(""https://docs.google.com/spreadsheets/d/1P8eX0NWBhUPS_hvzA11R6jkTNFrPrRYIx_dX_hYbxrk/edit?resourcekey=0-iw9bsKY2OqkUHCFMkCar3A&amp;gid=2055363397#gid=2055363397"",""MTR!C:O""),11,false)"),"PMW-MCE-AS")</f>
        <v>PMW-MCE-AS</v>
      </c>
      <c r="N635" s="248" t="str">
        <f>IFERROR(__xludf.DUMMYFUNCTION("VLOOKUP(C635,IMPORTRANGE(""https://docs.google.com/spreadsheets/d/1ihFlp3_ePlYtFuPbUNbYj1muErVpI73WHXbEwJDIA7Q/edit#gid=1493122344"",""MTR!C:O""),8,false)"),"Complies")</f>
        <v>Complies</v>
      </c>
      <c r="O635" s="241" t="str">
        <f>IFERROR(__xludf.DUMMYFUNCTION("VLOOKUP(C635,IMPORTRANGE(""https://docs.google.com/spreadsheets/d/1P8eX0NWBhUPS_hvzA11R6jkTNFrPrRYIx_dX_hYbxrk/edit?resourcekey=0-iw9bsKY2OqkUHCFMkCar3A&amp;gid=2055363397#gid=2055363397"",""MTR!C:O""),9,false)"),"")</f>
        <v/>
      </c>
      <c r="P635" s="241"/>
      <c r="Q635" s="251" t="s">
        <v>445</v>
      </c>
      <c r="R635" s="241"/>
      <c r="S635" s="154" t="s">
        <v>66</v>
      </c>
      <c r="T635" s="154" t="s">
        <v>66</v>
      </c>
      <c r="U635" s="154" t="s">
        <v>60</v>
      </c>
      <c r="V635" s="154" t="s">
        <v>60</v>
      </c>
      <c r="W635" s="154" t="s">
        <v>60</v>
      </c>
      <c r="X635" s="154" t="s">
        <v>60</v>
      </c>
      <c r="Y635" s="154" t="s">
        <v>66</v>
      </c>
      <c r="Z635" s="154" t="s">
        <v>60</v>
      </c>
      <c r="AA635" s="154" t="s">
        <v>60</v>
      </c>
      <c r="AB635" s="154"/>
      <c r="AC635" s="242" t="b">
        <f t="shared" si="2"/>
        <v>1</v>
      </c>
      <c r="AD635" s="154" t="s">
        <v>391</v>
      </c>
      <c r="AE635" s="243" t="b">
        <f t="shared" si="3"/>
        <v>0</v>
      </c>
      <c r="AF635" s="154"/>
      <c r="AG635" s="243" t="b">
        <f t="shared" si="4"/>
        <v>0</v>
      </c>
      <c r="AH635" s="154"/>
      <c r="AI635" s="243" t="str">
        <f t="shared" si="5"/>
        <v>N/A</v>
      </c>
      <c r="AJ635" s="157" t="str">
        <f t="shared" si="6"/>
        <v/>
      </c>
    </row>
    <row r="636" ht="12.75" customHeight="1">
      <c r="A636" s="244" t="s">
        <v>621</v>
      </c>
      <c r="B636" s="244" t="s">
        <v>1339</v>
      </c>
      <c r="C636" s="244" t="s">
        <v>1994</v>
      </c>
      <c r="D636" s="154" t="s">
        <v>747</v>
      </c>
      <c r="E636" s="250"/>
      <c r="F636" s="154" t="str">
        <f t="array" ref="F636">XLOOKUP(Cover!$D$12,$S$1:$AA$1,$S636:$AA636)</f>
        <v>Mandatory</v>
      </c>
      <c r="G636" s="153" t="s">
        <v>1995</v>
      </c>
      <c r="H636" s="154" t="s">
        <v>232</v>
      </c>
      <c r="I636" s="154" t="s">
        <v>759</v>
      </c>
      <c r="J636" s="247" t="s">
        <v>445</v>
      </c>
      <c r="K636" s="154"/>
      <c r="L636" s="154" t="str">
        <f t="shared" si="1"/>
        <v/>
      </c>
      <c r="M636" s="248" t="str">
        <f>IFERROR(__xludf.DUMMYFUNCTION("VLOOKUP(C636,IMPORTRANGE(""https://docs.google.com/spreadsheets/d/1P8eX0NWBhUPS_hvzA11R6jkTNFrPrRYIx_dX_hYbxrk/edit?resourcekey=0-iw9bsKY2OqkUHCFMkCar3A&amp;gid=2055363397#gid=2055363397"",""MTR!C:O""),11,false)"),"PMW-MCE-AS")</f>
        <v>PMW-MCE-AS</v>
      </c>
      <c r="N636" s="248" t="str">
        <f>IFERROR(__xludf.DUMMYFUNCTION("VLOOKUP(C636,IMPORTRANGE(""https://docs.google.com/spreadsheets/d/1ihFlp3_ePlYtFuPbUNbYj1muErVpI73WHXbEwJDIA7Q/edit#gid=1493122344"",""MTR!C:O""),8,false)"),"Complies")</f>
        <v>Complies</v>
      </c>
      <c r="O636" s="241" t="str">
        <f>IFERROR(__xludf.DUMMYFUNCTION("VLOOKUP(C636,IMPORTRANGE(""https://docs.google.com/spreadsheets/d/1P8eX0NWBhUPS_hvzA11R6jkTNFrPrRYIx_dX_hYbxrk/edit?resourcekey=0-iw9bsKY2OqkUHCFMkCar3A&amp;gid=2055363397#gid=2055363397"",""MTR!C:O""),9,false)"),"")</f>
        <v/>
      </c>
      <c r="P636" s="241"/>
      <c r="Q636" s="251" t="s">
        <v>445</v>
      </c>
      <c r="R636" s="241"/>
      <c r="S636" s="154" t="s">
        <v>66</v>
      </c>
      <c r="T636" s="154" t="s">
        <v>66</v>
      </c>
      <c r="U636" s="154" t="s">
        <v>60</v>
      </c>
      <c r="V636" s="154" t="s">
        <v>60</v>
      </c>
      <c r="W636" s="154" t="s">
        <v>60</v>
      </c>
      <c r="X636" s="154" t="s">
        <v>60</v>
      </c>
      <c r="Y636" s="154" t="s">
        <v>66</v>
      </c>
      <c r="Z636" s="154" t="s">
        <v>60</v>
      </c>
      <c r="AA636" s="154" t="s">
        <v>60</v>
      </c>
      <c r="AB636" s="154"/>
      <c r="AC636" s="242" t="b">
        <f t="shared" si="2"/>
        <v>1</v>
      </c>
      <c r="AD636" s="154" t="s">
        <v>391</v>
      </c>
      <c r="AE636" s="243" t="b">
        <f t="shared" si="3"/>
        <v>0</v>
      </c>
      <c r="AF636" s="154"/>
      <c r="AG636" s="243" t="b">
        <f t="shared" si="4"/>
        <v>0</v>
      </c>
      <c r="AH636" s="154"/>
      <c r="AI636" s="243" t="str">
        <f t="shared" si="5"/>
        <v>N/A</v>
      </c>
      <c r="AJ636" s="157" t="str">
        <f t="shared" si="6"/>
        <v/>
      </c>
    </row>
    <row r="637" ht="12.75" customHeight="1">
      <c r="A637" s="244" t="s">
        <v>621</v>
      </c>
      <c r="B637" s="244" t="s">
        <v>1339</v>
      </c>
      <c r="C637" s="244" t="s">
        <v>1996</v>
      </c>
      <c r="D637" s="154" t="s">
        <v>747</v>
      </c>
      <c r="E637" s="250"/>
      <c r="F637" s="154" t="str">
        <f t="array" ref="F637">XLOOKUP(Cover!$D$12,$S$1:$AA$1,$S637:$AA637)</f>
        <v>Mandatory</v>
      </c>
      <c r="G637" s="153" t="s">
        <v>1997</v>
      </c>
      <c r="H637" s="154" t="s">
        <v>232</v>
      </c>
      <c r="I637" s="154" t="s">
        <v>759</v>
      </c>
      <c r="J637" s="247" t="s">
        <v>445</v>
      </c>
      <c r="K637" s="154"/>
      <c r="L637" s="154" t="str">
        <f t="shared" si="1"/>
        <v/>
      </c>
      <c r="M637" s="248" t="str">
        <f>IFERROR(__xludf.DUMMYFUNCTION("VLOOKUP(C637,IMPORTRANGE(""https://docs.google.com/spreadsheets/d/1P8eX0NWBhUPS_hvzA11R6jkTNFrPrRYIx_dX_hYbxrk/edit?resourcekey=0-iw9bsKY2OqkUHCFMkCar3A&amp;gid=2055363397#gid=2055363397"",""MTR!C:O""),11,false)"),"PMW-MCE-AS")</f>
        <v>PMW-MCE-AS</v>
      </c>
      <c r="N637" s="248" t="str">
        <f>IFERROR(__xludf.DUMMYFUNCTION("VLOOKUP(C637,IMPORTRANGE(""https://docs.google.com/spreadsheets/d/1ihFlp3_ePlYtFuPbUNbYj1muErVpI73WHXbEwJDIA7Q/edit#gid=1493122344"",""MTR!C:O""),8,false)"),"Complies")</f>
        <v>Complies</v>
      </c>
      <c r="O637" s="241" t="str">
        <f>IFERROR(__xludf.DUMMYFUNCTION("VLOOKUP(C637,IMPORTRANGE(""https://docs.google.com/spreadsheets/d/1P8eX0NWBhUPS_hvzA11R6jkTNFrPrRYIx_dX_hYbxrk/edit?resourcekey=0-iw9bsKY2OqkUHCFMkCar3A&amp;gid=2055363397#gid=2055363397"",""MTR!C:O""),9,false)"),"")</f>
        <v/>
      </c>
      <c r="P637" s="241"/>
      <c r="Q637" s="251" t="s">
        <v>445</v>
      </c>
      <c r="R637" s="241"/>
      <c r="S637" s="154" t="s">
        <v>66</v>
      </c>
      <c r="T637" s="154" t="s">
        <v>66</v>
      </c>
      <c r="U637" s="154" t="s">
        <v>60</v>
      </c>
      <c r="V637" s="154" t="s">
        <v>60</v>
      </c>
      <c r="W637" s="154" t="s">
        <v>60</v>
      </c>
      <c r="X637" s="154" t="s">
        <v>60</v>
      </c>
      <c r="Y637" s="154" t="s">
        <v>66</v>
      </c>
      <c r="Z637" s="154" t="s">
        <v>60</v>
      </c>
      <c r="AA637" s="154" t="s">
        <v>60</v>
      </c>
      <c r="AB637" s="154"/>
      <c r="AC637" s="242" t="b">
        <f t="shared" si="2"/>
        <v>1</v>
      </c>
      <c r="AD637" s="154" t="s">
        <v>391</v>
      </c>
      <c r="AE637" s="243" t="b">
        <f t="shared" si="3"/>
        <v>0</v>
      </c>
      <c r="AF637" s="154"/>
      <c r="AG637" s="243" t="b">
        <f t="shared" si="4"/>
        <v>0</v>
      </c>
      <c r="AH637" s="154"/>
      <c r="AI637" s="243" t="str">
        <f t="shared" si="5"/>
        <v>N/A</v>
      </c>
      <c r="AJ637" s="157" t="str">
        <f t="shared" si="6"/>
        <v/>
      </c>
    </row>
    <row r="638" ht="12.75" customHeight="1">
      <c r="A638" s="244" t="s">
        <v>621</v>
      </c>
      <c r="B638" s="244" t="s">
        <v>1339</v>
      </c>
      <c r="C638" s="244" t="s">
        <v>1998</v>
      </c>
      <c r="D638" s="154" t="s">
        <v>747</v>
      </c>
      <c r="E638" s="250"/>
      <c r="F638" s="154" t="str">
        <f t="array" ref="F638">XLOOKUP(Cover!$D$12,$S$1:$AA$1,$S638:$AA638)</f>
        <v>Mandatory</v>
      </c>
      <c r="G638" s="254" t="s">
        <v>1999</v>
      </c>
      <c r="H638" s="154" t="s">
        <v>232</v>
      </c>
      <c r="I638" s="154" t="s">
        <v>759</v>
      </c>
      <c r="J638" s="247" t="s">
        <v>516</v>
      </c>
      <c r="K638" s="154"/>
      <c r="L638" s="154" t="str">
        <f t="shared" si="1"/>
        <v/>
      </c>
      <c r="M638" s="248" t="str">
        <f>IFERROR(__xludf.DUMMYFUNCTION("VLOOKUP(C638,IMPORTRANGE(""https://docs.google.com/spreadsheets/d/1P8eX0NWBhUPS_hvzA11R6jkTNFrPrRYIx_dX_hYbxrk/edit?resourcekey=0-iw9bsKY2OqkUHCFMkCar3A&amp;gid=2055363397#gid=2055363397"",""MTR!C:O""),11,false)"),"PMW-MCE-AS")</f>
        <v>PMW-MCE-AS</v>
      </c>
      <c r="N638" s="248" t="str">
        <f>IFERROR(__xludf.DUMMYFUNCTION("VLOOKUP(C638,IMPORTRANGE(""https://docs.google.com/spreadsheets/d/1ihFlp3_ePlYtFuPbUNbYj1muErVpI73WHXbEwJDIA7Q/edit#gid=1493122344"",""MTR!C:O""),8,false)"),"Does Not Comply")</f>
        <v>Does Not Comply</v>
      </c>
      <c r="O638" s="241" t="str">
        <f>IFERROR(__xludf.DUMMYFUNCTION("VLOOKUP(C638,IMPORTRANGE(""https://docs.google.com/spreadsheets/d/1P8eX0NWBhUPS_hvzA11R6jkTNFrPrRYIx_dX_hYbxrk/edit?resourcekey=0-iw9bsKY2OqkUHCFMkCar3A&amp;gid=2055363397#gid=2055363397"",""MTR!C:O""),9,false)"),"")</f>
        <v/>
      </c>
      <c r="P638" s="241"/>
      <c r="Q638" s="251" t="s">
        <v>516</v>
      </c>
      <c r="R638" s="241"/>
      <c r="S638" s="154" t="s">
        <v>66</v>
      </c>
      <c r="T638" s="154" t="s">
        <v>66</v>
      </c>
      <c r="U638" s="154" t="s">
        <v>60</v>
      </c>
      <c r="V638" s="154" t="s">
        <v>60</v>
      </c>
      <c r="W638" s="154" t="s">
        <v>60</v>
      </c>
      <c r="X638" s="154" t="s">
        <v>60</v>
      </c>
      <c r="Y638" s="154" t="s">
        <v>66</v>
      </c>
      <c r="Z638" s="154" t="s">
        <v>60</v>
      </c>
      <c r="AA638" s="154" t="s">
        <v>60</v>
      </c>
      <c r="AB638" s="154"/>
      <c r="AC638" s="242" t="b">
        <f t="shared" si="2"/>
        <v>1</v>
      </c>
      <c r="AD638" s="154" t="s">
        <v>391</v>
      </c>
      <c r="AE638" s="243" t="b">
        <f t="shared" si="3"/>
        <v>0</v>
      </c>
      <c r="AF638" s="154"/>
      <c r="AG638" s="243" t="b">
        <f t="shared" si="4"/>
        <v>0</v>
      </c>
      <c r="AH638" s="154"/>
      <c r="AI638" s="243" t="str">
        <f t="shared" si="5"/>
        <v>N/A</v>
      </c>
      <c r="AJ638" s="157" t="str">
        <f t="shared" si="6"/>
        <v/>
      </c>
    </row>
    <row r="639" ht="12.75" customHeight="1">
      <c r="A639" s="244" t="s">
        <v>621</v>
      </c>
      <c r="B639" s="244" t="s">
        <v>1339</v>
      </c>
      <c r="C639" s="244" t="s">
        <v>2000</v>
      </c>
      <c r="D639" s="154" t="s">
        <v>747</v>
      </c>
      <c r="E639" s="250"/>
      <c r="F639" s="154" t="str">
        <f t="array" ref="F639">XLOOKUP(Cover!$D$12,$S$1:$AA$1,$S639:$AA639)</f>
        <v>Mandatory</v>
      </c>
      <c r="G639" s="153" t="s">
        <v>2001</v>
      </c>
      <c r="H639" s="154" t="s">
        <v>232</v>
      </c>
      <c r="I639" s="154" t="s">
        <v>759</v>
      </c>
      <c r="J639" s="247" t="s">
        <v>445</v>
      </c>
      <c r="K639" s="154"/>
      <c r="L639" s="154" t="str">
        <f t="shared" si="1"/>
        <v/>
      </c>
      <c r="M639" s="248" t="str">
        <f>IFERROR(__xludf.DUMMYFUNCTION("VLOOKUP(C639,IMPORTRANGE(""https://docs.google.com/spreadsheets/d/1P8eX0NWBhUPS_hvzA11R6jkTNFrPrRYIx_dX_hYbxrk/edit?resourcekey=0-iw9bsKY2OqkUHCFMkCar3A&amp;gid=2055363397#gid=2055363397"",""MTR!C:O""),11,false)"),"PMW-MCE-AS")</f>
        <v>PMW-MCE-AS</v>
      </c>
      <c r="N639" s="248" t="str">
        <f>IFERROR(__xludf.DUMMYFUNCTION("VLOOKUP(C639,IMPORTRANGE(""https://docs.google.com/spreadsheets/d/1ihFlp3_ePlYtFuPbUNbYj1muErVpI73WHXbEwJDIA7Q/edit#gid=1493122344"",""MTR!C:O""),8,false)"),"Complies")</f>
        <v>Complies</v>
      </c>
      <c r="O639" s="241" t="str">
        <f>IFERROR(__xludf.DUMMYFUNCTION("VLOOKUP(C639,IMPORTRANGE(""https://docs.google.com/spreadsheets/d/1P8eX0NWBhUPS_hvzA11R6jkTNFrPrRYIx_dX_hYbxrk/edit?resourcekey=0-iw9bsKY2OqkUHCFMkCar3A&amp;gid=2055363397#gid=2055363397"",""MTR!C:O""),9,false)"),"")</f>
        <v/>
      </c>
      <c r="P639" s="241"/>
      <c r="Q639" s="251" t="s">
        <v>445</v>
      </c>
      <c r="R639" s="241"/>
      <c r="S639" s="154" t="s">
        <v>66</v>
      </c>
      <c r="T639" s="154" t="s">
        <v>66</v>
      </c>
      <c r="U639" s="154" t="s">
        <v>60</v>
      </c>
      <c r="V639" s="154" t="s">
        <v>60</v>
      </c>
      <c r="W639" s="154" t="s">
        <v>60</v>
      </c>
      <c r="X639" s="154" t="s">
        <v>60</v>
      </c>
      <c r="Y639" s="154" t="s">
        <v>66</v>
      </c>
      <c r="Z639" s="154" t="s">
        <v>60</v>
      </c>
      <c r="AA639" s="154" t="s">
        <v>60</v>
      </c>
      <c r="AB639" s="154"/>
      <c r="AC639" s="242" t="b">
        <f t="shared" si="2"/>
        <v>1</v>
      </c>
      <c r="AD639" s="154" t="s">
        <v>391</v>
      </c>
      <c r="AE639" s="243" t="b">
        <f t="shared" si="3"/>
        <v>0</v>
      </c>
      <c r="AF639" s="154"/>
      <c r="AG639" s="243" t="b">
        <f t="shared" si="4"/>
        <v>0</v>
      </c>
      <c r="AH639" s="154"/>
      <c r="AI639" s="243" t="str">
        <f t="shared" si="5"/>
        <v>N/A</v>
      </c>
      <c r="AJ639" s="157" t="str">
        <f t="shared" si="6"/>
        <v/>
      </c>
    </row>
    <row r="640" ht="12.75" customHeight="1">
      <c r="A640" s="244" t="s">
        <v>621</v>
      </c>
      <c r="B640" s="244" t="s">
        <v>1339</v>
      </c>
      <c r="C640" s="244" t="s">
        <v>2002</v>
      </c>
      <c r="D640" s="154" t="s">
        <v>747</v>
      </c>
      <c r="E640" s="250"/>
      <c r="F640" s="154" t="str">
        <f t="array" ref="F640">XLOOKUP(Cover!$D$12,$S$1:$AA$1,$S640:$AA640)</f>
        <v>Mandatory</v>
      </c>
      <c r="G640" s="153" t="s">
        <v>2003</v>
      </c>
      <c r="H640" s="154" t="s">
        <v>232</v>
      </c>
      <c r="I640" s="154" t="s">
        <v>759</v>
      </c>
      <c r="J640" s="247" t="s">
        <v>445</v>
      </c>
      <c r="K640" s="154"/>
      <c r="L640" s="154" t="str">
        <f t="shared" si="1"/>
        <v/>
      </c>
      <c r="M640" s="248" t="str">
        <f>IFERROR(__xludf.DUMMYFUNCTION("VLOOKUP(C640,IMPORTRANGE(""https://docs.google.com/spreadsheets/d/1P8eX0NWBhUPS_hvzA11R6jkTNFrPrRYIx_dX_hYbxrk/edit?resourcekey=0-iw9bsKY2OqkUHCFMkCar3A&amp;gid=2055363397#gid=2055363397"",""MTR!C:O""),11,false)"),"PMW-MCE-AS")</f>
        <v>PMW-MCE-AS</v>
      </c>
      <c r="N640" s="248" t="str">
        <f>IFERROR(__xludf.DUMMYFUNCTION("VLOOKUP(C640,IMPORTRANGE(""https://docs.google.com/spreadsheets/d/1ihFlp3_ePlYtFuPbUNbYj1muErVpI73WHXbEwJDIA7Q/edit#gid=1493122344"",""MTR!C:O""),8,false)"),"Complies")</f>
        <v>Complies</v>
      </c>
      <c r="O640" s="241" t="str">
        <f>IFERROR(__xludf.DUMMYFUNCTION("VLOOKUP(C640,IMPORTRANGE(""https://docs.google.com/spreadsheets/d/1P8eX0NWBhUPS_hvzA11R6jkTNFrPrRYIx_dX_hYbxrk/edit?resourcekey=0-iw9bsKY2OqkUHCFMkCar3A&amp;gid=2055363397#gid=2055363397"",""MTR!C:O""),9,false)"),"")</f>
        <v/>
      </c>
      <c r="P640" s="241"/>
      <c r="Q640" s="251" t="s">
        <v>445</v>
      </c>
      <c r="R640" s="241"/>
      <c r="S640" s="154" t="s">
        <v>66</v>
      </c>
      <c r="T640" s="154" t="s">
        <v>66</v>
      </c>
      <c r="U640" s="154" t="s">
        <v>60</v>
      </c>
      <c r="V640" s="154" t="s">
        <v>60</v>
      </c>
      <c r="W640" s="154" t="s">
        <v>60</v>
      </c>
      <c r="X640" s="154" t="s">
        <v>60</v>
      </c>
      <c r="Y640" s="154" t="s">
        <v>66</v>
      </c>
      <c r="Z640" s="154" t="s">
        <v>60</v>
      </c>
      <c r="AA640" s="154" t="s">
        <v>60</v>
      </c>
      <c r="AB640" s="154"/>
      <c r="AC640" s="242" t="b">
        <f t="shared" si="2"/>
        <v>1</v>
      </c>
      <c r="AD640" s="154" t="s">
        <v>391</v>
      </c>
      <c r="AE640" s="243" t="b">
        <f t="shared" si="3"/>
        <v>0</v>
      </c>
      <c r="AF640" s="154"/>
      <c r="AG640" s="243" t="b">
        <f t="shared" si="4"/>
        <v>0</v>
      </c>
      <c r="AH640" s="154"/>
      <c r="AI640" s="243" t="str">
        <f t="shared" si="5"/>
        <v>N/A</v>
      </c>
      <c r="AJ640" s="157" t="str">
        <f t="shared" si="6"/>
        <v/>
      </c>
    </row>
    <row r="641" ht="12.75" customHeight="1">
      <c r="A641" s="244" t="s">
        <v>621</v>
      </c>
      <c r="B641" s="244" t="s">
        <v>1339</v>
      </c>
      <c r="C641" s="244" t="s">
        <v>2004</v>
      </c>
      <c r="D641" s="154" t="s">
        <v>747</v>
      </c>
      <c r="E641" s="250"/>
      <c r="F641" s="154" t="str">
        <f t="array" ref="F641">XLOOKUP(Cover!$D$12,$S$1:$AA$1,$S641:$AA641)</f>
        <v>Mandatory</v>
      </c>
      <c r="G641" s="254" t="s">
        <v>2005</v>
      </c>
      <c r="H641" s="154" t="s">
        <v>232</v>
      </c>
      <c r="I641" s="154" t="s">
        <v>759</v>
      </c>
      <c r="J641" s="247" t="s">
        <v>506</v>
      </c>
      <c r="K641" s="247" t="s">
        <v>2006</v>
      </c>
      <c r="L641" s="154" t="str">
        <f t="shared" si="1"/>
        <v/>
      </c>
      <c r="M641" s="248" t="str">
        <f>IFERROR(__xludf.DUMMYFUNCTION("VLOOKUP(C641,IMPORTRANGE(""https://docs.google.com/spreadsheets/d/1P8eX0NWBhUPS_hvzA11R6jkTNFrPrRYIx_dX_hYbxrk/edit?resourcekey=0-iw9bsKY2OqkUHCFMkCar3A&amp;gid=2055363397#gid=2055363397"",""MTR!C:O""),11,false)"),"PMW-MCE-AS")</f>
        <v>PMW-MCE-AS</v>
      </c>
      <c r="N641" s="248" t="str">
        <f>IFERROR(__xludf.DUMMYFUNCTION("VLOOKUP(C641,IMPORTRANGE(""https://docs.google.com/spreadsheets/d/1ihFlp3_ePlYtFuPbUNbYj1muErVpI73WHXbEwJDIA7Q/edit#gid=1493122344"",""MTR!C:O""),8,false)"),"Does Not Comply")</f>
        <v>Does Not Comply</v>
      </c>
      <c r="O641" s="241" t="str">
        <f>IFERROR(__xludf.DUMMYFUNCTION("VLOOKUP(C641,IMPORTRANGE(""https://docs.google.com/spreadsheets/d/1P8eX0NWBhUPS_hvzA11R6jkTNFrPrRYIx_dX_hYbxrk/edit?resourcekey=0-iw9bsKY2OqkUHCFMkCar3A&amp;gid=2055363397#gid=2055363397"",""MTR!C:O""),9,false)"),"")</f>
        <v/>
      </c>
      <c r="P641" s="241"/>
      <c r="Q641" s="251" t="s">
        <v>516</v>
      </c>
      <c r="R641" s="241"/>
      <c r="S641" s="154" t="s">
        <v>66</v>
      </c>
      <c r="T641" s="154" t="s">
        <v>66</v>
      </c>
      <c r="U641" s="154" t="s">
        <v>60</v>
      </c>
      <c r="V641" s="154" t="s">
        <v>60</v>
      </c>
      <c r="W641" s="154" t="s">
        <v>60</v>
      </c>
      <c r="X641" s="154" t="s">
        <v>60</v>
      </c>
      <c r="Y641" s="154" t="s">
        <v>66</v>
      </c>
      <c r="Z641" s="154" t="s">
        <v>60</v>
      </c>
      <c r="AA641" s="154" t="s">
        <v>60</v>
      </c>
      <c r="AB641" s="154"/>
      <c r="AC641" s="242" t="b">
        <f t="shared" si="2"/>
        <v>1</v>
      </c>
      <c r="AD641" s="154" t="s">
        <v>391</v>
      </c>
      <c r="AE641" s="243" t="b">
        <f t="shared" si="3"/>
        <v>0</v>
      </c>
      <c r="AF641" s="154"/>
      <c r="AG641" s="243" t="b">
        <f t="shared" si="4"/>
        <v>0</v>
      </c>
      <c r="AH641" s="154"/>
      <c r="AI641" s="243" t="str">
        <f t="shared" si="5"/>
        <v>N/A</v>
      </c>
      <c r="AJ641" s="157" t="str">
        <f t="shared" si="6"/>
        <v/>
      </c>
    </row>
    <row r="642" ht="12.75" customHeight="1">
      <c r="A642" s="244" t="s">
        <v>621</v>
      </c>
      <c r="B642" s="244" t="s">
        <v>1339</v>
      </c>
      <c r="C642" s="244" t="s">
        <v>2007</v>
      </c>
      <c r="D642" s="154" t="s">
        <v>747</v>
      </c>
      <c r="E642" s="250"/>
      <c r="F642" s="154" t="str">
        <f t="array" ref="F642">XLOOKUP(Cover!$D$12,$S$1:$AA$1,$S642:$AA642)</f>
        <v>Mandatory</v>
      </c>
      <c r="G642" s="153" t="s">
        <v>2008</v>
      </c>
      <c r="H642" s="154" t="s">
        <v>232</v>
      </c>
      <c r="I642" s="154" t="s">
        <v>759</v>
      </c>
      <c r="J642" s="247" t="s">
        <v>445</v>
      </c>
      <c r="K642" s="154"/>
      <c r="L642" s="154" t="str">
        <f t="shared" si="1"/>
        <v/>
      </c>
      <c r="M642" s="248" t="str">
        <f>IFERROR(__xludf.DUMMYFUNCTION("VLOOKUP(C642,IMPORTRANGE(""https://docs.google.com/spreadsheets/d/1P8eX0NWBhUPS_hvzA11R6jkTNFrPrRYIx_dX_hYbxrk/edit?resourcekey=0-iw9bsKY2OqkUHCFMkCar3A&amp;gid=2055363397#gid=2055363397"",""MTR!C:O""),11,false)"),"PMW-MCE-AS")</f>
        <v>PMW-MCE-AS</v>
      </c>
      <c r="N642" s="248" t="str">
        <f>IFERROR(__xludf.DUMMYFUNCTION("VLOOKUP(C642,IMPORTRANGE(""https://docs.google.com/spreadsheets/d/1ihFlp3_ePlYtFuPbUNbYj1muErVpI73WHXbEwJDIA7Q/edit#gid=1493122344"",""MTR!C:O""),8,false)"),"Complies")</f>
        <v>Complies</v>
      </c>
      <c r="O642" s="241" t="str">
        <f>IFERROR(__xludf.DUMMYFUNCTION("VLOOKUP(C642,IMPORTRANGE(""https://docs.google.com/spreadsheets/d/1P8eX0NWBhUPS_hvzA11R6jkTNFrPrRYIx_dX_hYbxrk/edit?resourcekey=0-iw9bsKY2OqkUHCFMkCar3A&amp;gid=2055363397#gid=2055363397"",""MTR!C:O""),9,false)"),"")</f>
        <v/>
      </c>
      <c r="P642" s="241"/>
      <c r="Q642" s="251" t="s">
        <v>445</v>
      </c>
      <c r="R642" s="241"/>
      <c r="S642" s="154" t="s">
        <v>66</v>
      </c>
      <c r="T642" s="154" t="s">
        <v>66</v>
      </c>
      <c r="U642" s="154" t="s">
        <v>60</v>
      </c>
      <c r="V642" s="154" t="s">
        <v>60</v>
      </c>
      <c r="W642" s="154" t="s">
        <v>60</v>
      </c>
      <c r="X642" s="154" t="s">
        <v>60</v>
      </c>
      <c r="Y642" s="154" t="s">
        <v>66</v>
      </c>
      <c r="Z642" s="154" t="s">
        <v>60</v>
      </c>
      <c r="AA642" s="154" t="s">
        <v>60</v>
      </c>
      <c r="AB642" s="154"/>
      <c r="AC642" s="242" t="b">
        <f t="shared" si="2"/>
        <v>1</v>
      </c>
      <c r="AD642" s="154" t="s">
        <v>391</v>
      </c>
      <c r="AE642" s="243" t="b">
        <f t="shared" si="3"/>
        <v>0</v>
      </c>
      <c r="AF642" s="154"/>
      <c r="AG642" s="243" t="b">
        <f t="shared" si="4"/>
        <v>0</v>
      </c>
      <c r="AH642" s="154"/>
      <c r="AI642" s="243" t="str">
        <f t="shared" si="5"/>
        <v>N/A</v>
      </c>
      <c r="AJ642" s="157" t="str">
        <f t="shared" si="6"/>
        <v/>
      </c>
    </row>
    <row r="643" ht="12.75" customHeight="1">
      <c r="A643" s="238" t="s">
        <v>621</v>
      </c>
      <c r="B643" s="238" t="s">
        <v>1339</v>
      </c>
      <c r="C643" s="238" t="s">
        <v>2009</v>
      </c>
      <c r="D643" s="240"/>
      <c r="E643" s="252" t="s">
        <v>92</v>
      </c>
      <c r="F643" s="154" t="str">
        <f t="array" ref="F643">XLOOKUP(Cover!$D$12,$S$1:$AA$1,$S643:$AA643)</f>
        <v>Heading</v>
      </c>
      <c r="G643" s="239" t="s">
        <v>2010</v>
      </c>
      <c r="H643" s="240"/>
      <c r="I643" s="240" t="s">
        <v>759</v>
      </c>
      <c r="J643" s="262"/>
      <c r="K643" s="240"/>
      <c r="L643" s="154" t="str">
        <f t="shared" si="1"/>
        <v/>
      </c>
      <c r="M643" s="241" t="str">
        <f>IFERROR(__xludf.DUMMYFUNCTION("VLOOKUP(C643,IMPORTRANGE(""https://docs.google.com/spreadsheets/d/1P8eX0NWBhUPS_hvzA11R6jkTNFrPrRYIx_dX_hYbxrk/edit?resourcekey=0-iw9bsKY2OqkUHCFMkCar3A&amp;gid=2055363397#gid=2055363397"",""MTR!C:O""),11,false)"),"")</f>
        <v/>
      </c>
      <c r="N643" s="241" t="str">
        <f>IFERROR(__xludf.DUMMYFUNCTION("VLOOKUP(C643,IMPORTRANGE(""https://docs.google.com/spreadsheets/d/1ihFlp3_ePlYtFuPbUNbYj1muErVpI73WHXbEwJDIA7Q/edit#gid=1493122344"",""MTR!C:O""),8,false)"),"")</f>
        <v/>
      </c>
      <c r="O643" s="241" t="str">
        <f>IFERROR(__xludf.DUMMYFUNCTION("VLOOKUP(C643,IMPORTRANGE(""https://docs.google.com/spreadsheets/d/1P8eX0NWBhUPS_hvzA11R6jkTNFrPrRYIx_dX_hYbxrk/edit?resourcekey=0-iw9bsKY2OqkUHCFMkCar3A&amp;gid=2055363397#gid=2055363397"",""MTR!C:O""),9,false)"),"")</f>
        <v/>
      </c>
      <c r="P643" s="241"/>
      <c r="Q643" s="251"/>
      <c r="R643" s="241"/>
      <c r="S643" s="240" t="s">
        <v>390</v>
      </c>
      <c r="T643" s="240" t="s">
        <v>390</v>
      </c>
      <c r="U643" s="240" t="s">
        <v>390</v>
      </c>
      <c r="V643" s="240" t="s">
        <v>390</v>
      </c>
      <c r="W643" s="240" t="s">
        <v>390</v>
      </c>
      <c r="X643" s="240" t="s">
        <v>390</v>
      </c>
      <c r="Y643" s="240" t="s">
        <v>390</v>
      </c>
      <c r="Z643" s="240" t="s">
        <v>390</v>
      </c>
      <c r="AA643" s="240" t="s">
        <v>390</v>
      </c>
      <c r="AB643" s="240"/>
      <c r="AC643" s="242" t="b">
        <f t="shared" si="2"/>
        <v>0</v>
      </c>
      <c r="AD643" s="240" t="s">
        <v>391</v>
      </c>
      <c r="AE643" s="243" t="b">
        <f t="shared" si="3"/>
        <v>0</v>
      </c>
      <c r="AF643" s="240"/>
      <c r="AG643" s="243" t="b">
        <f t="shared" si="4"/>
        <v>0</v>
      </c>
      <c r="AH643" s="240"/>
      <c r="AI643" s="243" t="str">
        <f t="shared" si="5"/>
        <v>N/A</v>
      </c>
      <c r="AJ643" s="157" t="str">
        <f t="shared" si="6"/>
        <v/>
      </c>
    </row>
    <row r="644" ht="12.75" customHeight="1">
      <c r="A644" s="244" t="s">
        <v>621</v>
      </c>
      <c r="B644" s="244" t="s">
        <v>1339</v>
      </c>
      <c r="C644" s="244" t="s">
        <v>2011</v>
      </c>
      <c r="D644" s="154" t="s">
        <v>747</v>
      </c>
      <c r="E644" s="250"/>
      <c r="F644" s="154" t="str">
        <f t="array" ref="F644">XLOOKUP(Cover!$D$12,$S$1:$AA$1,$S644:$AA644)</f>
        <v>Mandatory</v>
      </c>
      <c r="G644" s="239" t="s">
        <v>2012</v>
      </c>
      <c r="H644" s="154" t="s">
        <v>232</v>
      </c>
      <c r="I644" s="154" t="s">
        <v>759</v>
      </c>
      <c r="J644" s="247" t="s">
        <v>445</v>
      </c>
      <c r="K644" s="154"/>
      <c r="L644" s="154" t="str">
        <f t="shared" si="1"/>
        <v/>
      </c>
      <c r="M644" s="248" t="str">
        <f>IFERROR(__xludf.DUMMYFUNCTION("VLOOKUP(C644,IMPORTRANGE(""https://docs.google.com/spreadsheets/d/1P8eX0NWBhUPS_hvzA11R6jkTNFrPrRYIx_dX_hYbxrk/edit?resourcekey=0-iw9bsKY2OqkUHCFMkCar3A&amp;gid=2055363397#gid=2055363397"",""MTR!C:O""),11,false)"),"PMW-MCE-AS")</f>
        <v>PMW-MCE-AS</v>
      </c>
      <c r="N644" s="248" t="str">
        <f>IFERROR(__xludf.DUMMYFUNCTION("VLOOKUP(C644,IMPORTRANGE(""https://docs.google.com/spreadsheets/d/1ihFlp3_ePlYtFuPbUNbYj1muErVpI73WHXbEwJDIA7Q/edit#gid=1493122344"",""MTR!C:O""),8,false)"),"Complies")</f>
        <v>Complies</v>
      </c>
      <c r="O644" s="241" t="str">
        <f>IFERROR(__xludf.DUMMYFUNCTION("VLOOKUP(C644,IMPORTRANGE(""https://docs.google.com/spreadsheets/d/1P8eX0NWBhUPS_hvzA11R6jkTNFrPrRYIx_dX_hYbxrk/edit?resourcekey=0-iw9bsKY2OqkUHCFMkCar3A&amp;gid=2055363397#gid=2055363397"",""MTR!C:O""),9,false)"),"")</f>
        <v/>
      </c>
      <c r="P644" s="241"/>
      <c r="Q644" s="251" t="s">
        <v>445</v>
      </c>
      <c r="R644" s="241"/>
      <c r="S644" s="154" t="s">
        <v>66</v>
      </c>
      <c r="T644" s="154" t="s">
        <v>66</v>
      </c>
      <c r="U644" s="154" t="s">
        <v>60</v>
      </c>
      <c r="V644" s="154" t="s">
        <v>60</v>
      </c>
      <c r="W644" s="154" t="s">
        <v>60</v>
      </c>
      <c r="X644" s="154" t="s">
        <v>60</v>
      </c>
      <c r="Y644" s="154" t="s">
        <v>66</v>
      </c>
      <c r="Z644" s="154" t="s">
        <v>60</v>
      </c>
      <c r="AA644" s="154" t="s">
        <v>60</v>
      </c>
      <c r="AB644" s="154"/>
      <c r="AC644" s="242" t="b">
        <f t="shared" si="2"/>
        <v>1</v>
      </c>
      <c r="AD644" s="154" t="s">
        <v>391</v>
      </c>
      <c r="AE644" s="243" t="b">
        <f t="shared" si="3"/>
        <v>0</v>
      </c>
      <c r="AF644" s="154"/>
      <c r="AG644" s="243" t="b">
        <f t="shared" si="4"/>
        <v>0</v>
      </c>
      <c r="AH644" s="154"/>
      <c r="AI644" s="243" t="str">
        <f t="shared" si="5"/>
        <v>N/A</v>
      </c>
      <c r="AJ644" s="157" t="str">
        <f t="shared" si="6"/>
        <v/>
      </c>
    </row>
    <row r="645" ht="12.75" customHeight="1">
      <c r="A645" s="244" t="s">
        <v>621</v>
      </c>
      <c r="B645" s="244" t="s">
        <v>1339</v>
      </c>
      <c r="C645" s="244" t="s">
        <v>2013</v>
      </c>
      <c r="D645" s="154" t="s">
        <v>747</v>
      </c>
      <c r="E645" s="250"/>
      <c r="F645" s="154" t="str">
        <f t="array" ref="F645">XLOOKUP(Cover!$D$12,$S$1:$AA$1,$S645:$AA645)</f>
        <v>Mandatory</v>
      </c>
      <c r="G645" s="153" t="s">
        <v>2014</v>
      </c>
      <c r="H645" s="154" t="s">
        <v>232</v>
      </c>
      <c r="I645" s="154" t="s">
        <v>759</v>
      </c>
      <c r="J645" s="247" t="s">
        <v>445</v>
      </c>
      <c r="K645" s="154"/>
      <c r="L645" s="154" t="str">
        <f t="shared" si="1"/>
        <v/>
      </c>
      <c r="M645" s="248" t="str">
        <f>IFERROR(__xludf.DUMMYFUNCTION("VLOOKUP(C645,IMPORTRANGE(""https://docs.google.com/spreadsheets/d/1P8eX0NWBhUPS_hvzA11R6jkTNFrPrRYIx_dX_hYbxrk/edit?resourcekey=0-iw9bsKY2OqkUHCFMkCar3A&amp;gid=2055363397#gid=2055363397"",""MTR!C:O""),11,false)"),"PMW-MCE-AS")</f>
        <v>PMW-MCE-AS</v>
      </c>
      <c r="N645" s="248" t="str">
        <f>IFERROR(__xludf.DUMMYFUNCTION("VLOOKUP(C645,IMPORTRANGE(""https://docs.google.com/spreadsheets/d/1ihFlp3_ePlYtFuPbUNbYj1muErVpI73WHXbEwJDIA7Q/edit#gid=1493122344"",""MTR!C:O""),8,false)"),"Complies")</f>
        <v>Complies</v>
      </c>
      <c r="O645" s="241" t="str">
        <f>IFERROR(__xludf.DUMMYFUNCTION("VLOOKUP(C645,IMPORTRANGE(""https://docs.google.com/spreadsheets/d/1P8eX0NWBhUPS_hvzA11R6jkTNFrPrRYIx_dX_hYbxrk/edit?resourcekey=0-iw9bsKY2OqkUHCFMkCar3A&amp;gid=2055363397#gid=2055363397"",""MTR!C:O""),9,false)"),"")</f>
        <v/>
      </c>
      <c r="P645" s="241"/>
      <c r="Q645" s="251" t="s">
        <v>445</v>
      </c>
      <c r="R645" s="241"/>
      <c r="S645" s="154" t="s">
        <v>66</v>
      </c>
      <c r="T645" s="154" t="s">
        <v>66</v>
      </c>
      <c r="U645" s="154" t="s">
        <v>60</v>
      </c>
      <c r="V645" s="154" t="s">
        <v>60</v>
      </c>
      <c r="W645" s="154" t="s">
        <v>60</v>
      </c>
      <c r="X645" s="154" t="s">
        <v>60</v>
      </c>
      <c r="Y645" s="154" t="s">
        <v>66</v>
      </c>
      <c r="Z645" s="154" t="s">
        <v>60</v>
      </c>
      <c r="AA645" s="154" t="s">
        <v>60</v>
      </c>
      <c r="AB645" s="154"/>
      <c r="AC645" s="242" t="b">
        <f t="shared" si="2"/>
        <v>1</v>
      </c>
      <c r="AD645" s="154" t="s">
        <v>391</v>
      </c>
      <c r="AE645" s="243" t="b">
        <f t="shared" si="3"/>
        <v>0</v>
      </c>
      <c r="AF645" s="154"/>
      <c r="AG645" s="243" t="b">
        <f t="shared" si="4"/>
        <v>0</v>
      </c>
      <c r="AH645" s="154"/>
      <c r="AI645" s="243" t="str">
        <f t="shared" si="5"/>
        <v>N/A</v>
      </c>
      <c r="AJ645" s="157" t="str">
        <f t="shared" si="6"/>
        <v/>
      </c>
    </row>
    <row r="646" ht="12.75" customHeight="1">
      <c r="A646" s="244" t="s">
        <v>621</v>
      </c>
      <c r="B646" s="244" t="s">
        <v>1339</v>
      </c>
      <c r="C646" s="244" t="s">
        <v>2015</v>
      </c>
      <c r="D646" s="154" t="s">
        <v>747</v>
      </c>
      <c r="E646" s="250"/>
      <c r="F646" s="154" t="str">
        <f t="array" ref="F646">XLOOKUP(Cover!$D$12,$S$1:$AA$1,$S646:$AA646)</f>
        <v>Mandatory</v>
      </c>
      <c r="G646" s="153" t="s">
        <v>2016</v>
      </c>
      <c r="H646" s="154" t="s">
        <v>232</v>
      </c>
      <c r="I646" s="154" t="s">
        <v>759</v>
      </c>
      <c r="J646" s="247" t="s">
        <v>506</v>
      </c>
      <c r="K646" s="260" t="s">
        <v>2017</v>
      </c>
      <c r="L646" s="154" t="str">
        <f t="shared" si="1"/>
        <v/>
      </c>
      <c r="M646" s="248" t="str">
        <f>IFERROR(__xludf.DUMMYFUNCTION("VLOOKUP(C646,IMPORTRANGE(""https://docs.google.com/spreadsheets/d/1P8eX0NWBhUPS_hvzA11R6jkTNFrPrRYIx_dX_hYbxrk/edit?resourcekey=0-iw9bsKY2OqkUHCFMkCar3A&amp;gid=2055363397#gid=2055363397"",""MTR!C:O""),11,false)"),"PMW-MCE-AS")</f>
        <v>PMW-MCE-AS</v>
      </c>
      <c r="N646" s="248" t="str">
        <f>IFERROR(__xludf.DUMMYFUNCTION("VLOOKUP(C646,IMPORTRANGE(""https://docs.google.com/spreadsheets/d/1ihFlp3_ePlYtFuPbUNbYj1muErVpI73WHXbEwJDIA7Q/edit#gid=1493122344"",""MTR!C:O""),8,false)"),"Complies")</f>
        <v>Complies</v>
      </c>
      <c r="O646" s="241" t="str">
        <f>IFERROR(__xludf.DUMMYFUNCTION("VLOOKUP(C646,IMPORTRANGE(""https://docs.google.com/spreadsheets/d/1P8eX0NWBhUPS_hvzA11R6jkTNFrPrRYIx_dX_hYbxrk/edit?resourcekey=0-iw9bsKY2OqkUHCFMkCar3A&amp;gid=2055363397#gid=2055363397"",""MTR!C:O""),9,false)"),"")</f>
        <v/>
      </c>
      <c r="P646" s="241"/>
      <c r="Q646" s="251" t="s">
        <v>445</v>
      </c>
      <c r="R646" s="241"/>
      <c r="S646" s="154" t="s">
        <v>66</v>
      </c>
      <c r="T646" s="154" t="s">
        <v>66</v>
      </c>
      <c r="U646" s="154" t="s">
        <v>60</v>
      </c>
      <c r="V646" s="154" t="s">
        <v>60</v>
      </c>
      <c r="W646" s="154" t="s">
        <v>60</v>
      </c>
      <c r="X646" s="154" t="s">
        <v>60</v>
      </c>
      <c r="Y646" s="154" t="s">
        <v>66</v>
      </c>
      <c r="Z646" s="154" t="s">
        <v>60</v>
      </c>
      <c r="AA646" s="154" t="s">
        <v>60</v>
      </c>
      <c r="AB646" s="154"/>
      <c r="AC646" s="242" t="b">
        <f t="shared" si="2"/>
        <v>1</v>
      </c>
      <c r="AD646" s="154" t="s">
        <v>391</v>
      </c>
      <c r="AE646" s="243" t="b">
        <f t="shared" si="3"/>
        <v>0</v>
      </c>
      <c r="AF646" s="154"/>
      <c r="AG646" s="243" t="b">
        <f t="shared" si="4"/>
        <v>0</v>
      </c>
      <c r="AH646" s="154"/>
      <c r="AI646" s="243" t="str">
        <f t="shared" si="5"/>
        <v>N/A</v>
      </c>
      <c r="AJ646" s="157" t="str">
        <f t="shared" si="6"/>
        <v/>
      </c>
    </row>
    <row r="647" ht="12.75" customHeight="1">
      <c r="A647" s="244" t="s">
        <v>621</v>
      </c>
      <c r="B647" s="244" t="s">
        <v>1339</v>
      </c>
      <c r="C647" s="244" t="s">
        <v>2018</v>
      </c>
      <c r="D647" s="154" t="s">
        <v>747</v>
      </c>
      <c r="E647" s="250"/>
      <c r="F647" s="154" t="str">
        <f t="array" ref="F647">XLOOKUP(Cover!$D$12,$S$1:$AA$1,$S647:$AA647)</f>
        <v>Mandatory</v>
      </c>
      <c r="G647" s="254" t="s">
        <v>2019</v>
      </c>
      <c r="H647" s="154" t="s">
        <v>232</v>
      </c>
      <c r="I647" s="154" t="s">
        <v>759</v>
      </c>
      <c r="J647" s="247" t="s">
        <v>516</v>
      </c>
      <c r="K647" s="154"/>
      <c r="L647" s="154" t="str">
        <f t="shared" si="1"/>
        <v/>
      </c>
      <c r="M647" s="248" t="str">
        <f>IFERROR(__xludf.DUMMYFUNCTION("VLOOKUP(C647,IMPORTRANGE(""https://docs.google.com/spreadsheets/d/1P8eX0NWBhUPS_hvzA11R6jkTNFrPrRYIx_dX_hYbxrk/edit?resourcekey=0-iw9bsKY2OqkUHCFMkCar3A&amp;gid=2055363397#gid=2055363397"",""MTR!C:O""),11,false)"),"PMW-MCE-AS")</f>
        <v>PMW-MCE-AS</v>
      </c>
      <c r="N647" s="248" t="str">
        <f>IFERROR(__xludf.DUMMYFUNCTION("VLOOKUP(C647,IMPORTRANGE(""https://docs.google.com/spreadsheets/d/1ihFlp3_ePlYtFuPbUNbYj1muErVpI73WHXbEwJDIA7Q/edit#gid=1493122344"",""MTR!C:O""),8,false)"),"Does Not Comply")</f>
        <v>Does Not Comply</v>
      </c>
      <c r="O647" s="241" t="str">
        <f>IFERROR(__xludf.DUMMYFUNCTION("VLOOKUP(C647,IMPORTRANGE(""https://docs.google.com/spreadsheets/d/1P8eX0NWBhUPS_hvzA11R6jkTNFrPrRYIx_dX_hYbxrk/edit?resourcekey=0-iw9bsKY2OqkUHCFMkCar3A&amp;gid=2055363397#gid=2055363397"",""MTR!C:O""),9,false)"),"")</f>
        <v/>
      </c>
      <c r="P647" s="241"/>
      <c r="Q647" s="251" t="s">
        <v>516</v>
      </c>
      <c r="R647" s="241"/>
      <c r="S647" s="154" t="s">
        <v>66</v>
      </c>
      <c r="T647" s="154" t="s">
        <v>66</v>
      </c>
      <c r="U647" s="154" t="s">
        <v>60</v>
      </c>
      <c r="V647" s="154" t="s">
        <v>60</v>
      </c>
      <c r="W647" s="154" t="s">
        <v>60</v>
      </c>
      <c r="X647" s="154" t="s">
        <v>60</v>
      </c>
      <c r="Y647" s="154" t="s">
        <v>66</v>
      </c>
      <c r="Z647" s="154" t="s">
        <v>60</v>
      </c>
      <c r="AA647" s="154" t="s">
        <v>60</v>
      </c>
      <c r="AB647" s="154"/>
      <c r="AC647" s="242" t="b">
        <f t="shared" si="2"/>
        <v>1</v>
      </c>
      <c r="AD647" s="154" t="s">
        <v>391</v>
      </c>
      <c r="AE647" s="243" t="b">
        <f t="shared" si="3"/>
        <v>0</v>
      </c>
      <c r="AF647" s="154"/>
      <c r="AG647" s="243" t="b">
        <f t="shared" si="4"/>
        <v>0</v>
      </c>
      <c r="AH647" s="154"/>
      <c r="AI647" s="243" t="str">
        <f t="shared" si="5"/>
        <v>N/A</v>
      </c>
      <c r="AJ647" s="157" t="str">
        <f t="shared" si="6"/>
        <v/>
      </c>
    </row>
    <row r="648" ht="12.75" customHeight="1">
      <c r="A648" s="244" t="s">
        <v>621</v>
      </c>
      <c r="B648" s="244" t="s">
        <v>1339</v>
      </c>
      <c r="C648" s="244" t="s">
        <v>2020</v>
      </c>
      <c r="D648" s="154" t="s">
        <v>747</v>
      </c>
      <c r="E648" s="250"/>
      <c r="F648" s="154" t="str">
        <f t="array" ref="F648">XLOOKUP(Cover!$D$12,$S$1:$AA$1,$S648:$AA648)</f>
        <v>Mandatory</v>
      </c>
      <c r="G648" s="153" t="s">
        <v>2021</v>
      </c>
      <c r="H648" s="154" t="s">
        <v>232</v>
      </c>
      <c r="I648" s="154" t="s">
        <v>759</v>
      </c>
      <c r="J648" s="247" t="s">
        <v>506</v>
      </c>
      <c r="K648" s="260" t="s">
        <v>2022</v>
      </c>
      <c r="L648" s="154" t="str">
        <f t="shared" si="1"/>
        <v/>
      </c>
      <c r="M648" s="248" t="str">
        <f>IFERROR(__xludf.DUMMYFUNCTION("VLOOKUP(C648,IMPORTRANGE(""https://docs.google.com/spreadsheets/d/1P8eX0NWBhUPS_hvzA11R6jkTNFrPrRYIx_dX_hYbxrk/edit?resourcekey=0-iw9bsKY2OqkUHCFMkCar3A&amp;gid=2055363397#gid=2055363397"",""MTR!C:O""),11,false)"),"PMW-MCE-AS")</f>
        <v>PMW-MCE-AS</v>
      </c>
      <c r="N648" s="248" t="str">
        <f>IFERROR(__xludf.DUMMYFUNCTION("VLOOKUP(C648,IMPORTRANGE(""https://docs.google.com/spreadsheets/d/1ihFlp3_ePlYtFuPbUNbYj1muErVpI73WHXbEwJDIA7Q/edit#gid=1493122344"",""MTR!C:O""),8,false)"),"Complies")</f>
        <v>Complies</v>
      </c>
      <c r="O648" s="241" t="str">
        <f>IFERROR(__xludf.DUMMYFUNCTION("VLOOKUP(C648,IMPORTRANGE(""https://docs.google.com/spreadsheets/d/1P8eX0NWBhUPS_hvzA11R6jkTNFrPrRYIx_dX_hYbxrk/edit?resourcekey=0-iw9bsKY2OqkUHCFMkCar3A&amp;gid=2055363397#gid=2055363397"",""MTR!C:O""),9,false)"),"")</f>
        <v/>
      </c>
      <c r="P648" s="241"/>
      <c r="Q648" s="251" t="s">
        <v>445</v>
      </c>
      <c r="R648" s="241"/>
      <c r="S648" s="154" t="s">
        <v>66</v>
      </c>
      <c r="T648" s="154" t="s">
        <v>66</v>
      </c>
      <c r="U648" s="154" t="s">
        <v>60</v>
      </c>
      <c r="V648" s="154" t="s">
        <v>60</v>
      </c>
      <c r="W648" s="154" t="s">
        <v>60</v>
      </c>
      <c r="X648" s="154" t="s">
        <v>60</v>
      </c>
      <c r="Y648" s="154" t="s">
        <v>66</v>
      </c>
      <c r="Z648" s="154" t="s">
        <v>60</v>
      </c>
      <c r="AA648" s="154" t="s">
        <v>60</v>
      </c>
      <c r="AB648" s="154"/>
      <c r="AC648" s="242" t="b">
        <f t="shared" si="2"/>
        <v>1</v>
      </c>
      <c r="AD648" s="154" t="s">
        <v>391</v>
      </c>
      <c r="AE648" s="243" t="b">
        <f t="shared" si="3"/>
        <v>0</v>
      </c>
      <c r="AF648" s="154"/>
      <c r="AG648" s="243" t="b">
        <f t="shared" si="4"/>
        <v>0</v>
      </c>
      <c r="AH648" s="154"/>
      <c r="AI648" s="243" t="str">
        <f t="shared" si="5"/>
        <v>N/A</v>
      </c>
      <c r="AJ648" s="157" t="str">
        <f t="shared" si="6"/>
        <v/>
      </c>
    </row>
    <row r="649" ht="12.75" customHeight="1">
      <c r="A649" s="244" t="s">
        <v>621</v>
      </c>
      <c r="B649" s="244" t="s">
        <v>1339</v>
      </c>
      <c r="C649" s="244" t="s">
        <v>2023</v>
      </c>
      <c r="D649" s="154" t="s">
        <v>747</v>
      </c>
      <c r="E649" s="250"/>
      <c r="F649" s="154" t="str">
        <f t="array" ref="F649">XLOOKUP(Cover!$D$12,$S$1:$AA$1,$S649:$AA649)</f>
        <v>Mandatory</v>
      </c>
      <c r="G649" s="153" t="s">
        <v>2024</v>
      </c>
      <c r="H649" s="154" t="s">
        <v>232</v>
      </c>
      <c r="I649" s="154" t="s">
        <v>759</v>
      </c>
      <c r="J649" s="247" t="s">
        <v>445</v>
      </c>
      <c r="K649" s="154"/>
      <c r="L649" s="154" t="str">
        <f t="shared" si="1"/>
        <v/>
      </c>
      <c r="M649" s="248" t="str">
        <f>IFERROR(__xludf.DUMMYFUNCTION("VLOOKUP(C649,IMPORTRANGE(""https://docs.google.com/spreadsheets/d/1P8eX0NWBhUPS_hvzA11R6jkTNFrPrRYIx_dX_hYbxrk/edit?resourcekey=0-iw9bsKY2OqkUHCFMkCar3A&amp;gid=2055363397#gid=2055363397"",""MTR!C:O""),11,false)"),"PMW-MCE-AS")</f>
        <v>PMW-MCE-AS</v>
      </c>
      <c r="N649" s="248" t="str">
        <f>IFERROR(__xludf.DUMMYFUNCTION("VLOOKUP(C649,IMPORTRANGE(""https://docs.google.com/spreadsheets/d/1ihFlp3_ePlYtFuPbUNbYj1muErVpI73WHXbEwJDIA7Q/edit#gid=1493122344"",""MTR!C:O""),8,false)"),"Complies")</f>
        <v>Complies</v>
      </c>
      <c r="O649" s="241" t="str">
        <f>IFERROR(__xludf.DUMMYFUNCTION("VLOOKUP(C649,IMPORTRANGE(""https://docs.google.com/spreadsheets/d/1P8eX0NWBhUPS_hvzA11R6jkTNFrPrRYIx_dX_hYbxrk/edit?resourcekey=0-iw9bsKY2OqkUHCFMkCar3A&amp;gid=2055363397#gid=2055363397"",""MTR!C:O""),9,false)"),"")</f>
        <v/>
      </c>
      <c r="P649" s="241"/>
      <c r="Q649" s="251" t="s">
        <v>445</v>
      </c>
      <c r="R649" s="241"/>
      <c r="S649" s="154" t="s">
        <v>66</v>
      </c>
      <c r="T649" s="154" t="s">
        <v>66</v>
      </c>
      <c r="U649" s="154" t="s">
        <v>60</v>
      </c>
      <c r="V649" s="154" t="s">
        <v>60</v>
      </c>
      <c r="W649" s="154" t="s">
        <v>60</v>
      </c>
      <c r="X649" s="154" t="s">
        <v>60</v>
      </c>
      <c r="Y649" s="154" t="s">
        <v>66</v>
      </c>
      <c r="Z649" s="154" t="s">
        <v>60</v>
      </c>
      <c r="AA649" s="154" t="s">
        <v>60</v>
      </c>
      <c r="AB649" s="154"/>
      <c r="AC649" s="242" t="b">
        <f t="shared" si="2"/>
        <v>1</v>
      </c>
      <c r="AD649" s="154" t="s">
        <v>391</v>
      </c>
      <c r="AE649" s="243" t="b">
        <f t="shared" si="3"/>
        <v>0</v>
      </c>
      <c r="AF649" s="154"/>
      <c r="AG649" s="243" t="b">
        <f t="shared" si="4"/>
        <v>0</v>
      </c>
      <c r="AH649" s="154"/>
      <c r="AI649" s="243" t="str">
        <f t="shared" si="5"/>
        <v>N/A</v>
      </c>
      <c r="AJ649" s="157" t="str">
        <f t="shared" si="6"/>
        <v/>
      </c>
    </row>
    <row r="650" ht="12.75" customHeight="1">
      <c r="A650" s="244" t="s">
        <v>621</v>
      </c>
      <c r="B650" s="244" t="s">
        <v>1339</v>
      </c>
      <c r="C650" s="244" t="s">
        <v>2025</v>
      </c>
      <c r="D650" s="154" t="s">
        <v>747</v>
      </c>
      <c r="E650" s="250"/>
      <c r="F650" s="154" t="str">
        <f t="array" ref="F650">XLOOKUP(Cover!$D$12,$S$1:$AA$1,$S650:$AA650)</f>
        <v>Mandatory</v>
      </c>
      <c r="G650" s="153" t="s">
        <v>2026</v>
      </c>
      <c r="H650" s="154" t="s">
        <v>232</v>
      </c>
      <c r="I650" s="154" t="s">
        <v>759</v>
      </c>
      <c r="J650" s="247" t="s">
        <v>445</v>
      </c>
      <c r="K650" s="154"/>
      <c r="L650" s="154" t="str">
        <f t="shared" si="1"/>
        <v/>
      </c>
      <c r="M650" s="248" t="str">
        <f>IFERROR(__xludf.DUMMYFUNCTION("VLOOKUP(C650,IMPORTRANGE(""https://docs.google.com/spreadsheets/d/1P8eX0NWBhUPS_hvzA11R6jkTNFrPrRYIx_dX_hYbxrk/edit?resourcekey=0-iw9bsKY2OqkUHCFMkCar3A&amp;gid=2055363397#gid=2055363397"",""MTR!C:O""),11,false)"),"PMW-MCE-AS")</f>
        <v>PMW-MCE-AS</v>
      </c>
      <c r="N650" s="248" t="str">
        <f>IFERROR(__xludf.DUMMYFUNCTION("VLOOKUP(C650,IMPORTRANGE(""https://docs.google.com/spreadsheets/d/1ihFlp3_ePlYtFuPbUNbYj1muErVpI73WHXbEwJDIA7Q/edit#gid=1493122344"",""MTR!C:O""),8,false)"),"Complies")</f>
        <v>Complies</v>
      </c>
      <c r="O650" s="241" t="str">
        <f>IFERROR(__xludf.DUMMYFUNCTION("VLOOKUP(C650,IMPORTRANGE(""https://docs.google.com/spreadsheets/d/1P8eX0NWBhUPS_hvzA11R6jkTNFrPrRYIx_dX_hYbxrk/edit?resourcekey=0-iw9bsKY2OqkUHCFMkCar3A&amp;gid=2055363397#gid=2055363397"",""MTR!C:O""),9,false)"),"")</f>
        <v/>
      </c>
      <c r="P650" s="241"/>
      <c r="Q650" s="251" t="s">
        <v>445</v>
      </c>
      <c r="R650" s="241"/>
      <c r="S650" s="154" t="s">
        <v>66</v>
      </c>
      <c r="T650" s="154" t="s">
        <v>66</v>
      </c>
      <c r="U650" s="154" t="s">
        <v>60</v>
      </c>
      <c r="V650" s="154" t="s">
        <v>60</v>
      </c>
      <c r="W650" s="154" t="s">
        <v>60</v>
      </c>
      <c r="X650" s="154" t="s">
        <v>60</v>
      </c>
      <c r="Y650" s="154" t="s">
        <v>66</v>
      </c>
      <c r="Z650" s="154" t="s">
        <v>60</v>
      </c>
      <c r="AA650" s="154" t="s">
        <v>60</v>
      </c>
      <c r="AB650" s="154"/>
      <c r="AC650" s="242" t="b">
        <f t="shared" si="2"/>
        <v>1</v>
      </c>
      <c r="AD650" s="154" t="s">
        <v>391</v>
      </c>
      <c r="AE650" s="243" t="b">
        <f t="shared" si="3"/>
        <v>0</v>
      </c>
      <c r="AF650" s="154"/>
      <c r="AG650" s="243" t="b">
        <f t="shared" si="4"/>
        <v>0</v>
      </c>
      <c r="AH650" s="154"/>
      <c r="AI650" s="243" t="str">
        <f t="shared" si="5"/>
        <v>N/A</v>
      </c>
      <c r="AJ650" s="157" t="str">
        <f t="shared" si="6"/>
        <v/>
      </c>
    </row>
    <row r="651" ht="12.75" customHeight="1">
      <c r="A651" s="244" t="s">
        <v>621</v>
      </c>
      <c r="B651" s="244" t="s">
        <v>1339</v>
      </c>
      <c r="C651" s="244" t="s">
        <v>2027</v>
      </c>
      <c r="D651" s="154" t="s">
        <v>747</v>
      </c>
      <c r="E651" s="250"/>
      <c r="F651" s="154" t="str">
        <f t="array" ref="F651">XLOOKUP(Cover!$D$12,$S$1:$AA$1,$S651:$AA651)</f>
        <v>Mandatory</v>
      </c>
      <c r="G651" s="153" t="s">
        <v>2028</v>
      </c>
      <c r="H651" s="154" t="s">
        <v>232</v>
      </c>
      <c r="I651" s="154" t="s">
        <v>759</v>
      </c>
      <c r="J651" s="247" t="s">
        <v>445</v>
      </c>
      <c r="K651" s="154"/>
      <c r="L651" s="154" t="str">
        <f t="shared" si="1"/>
        <v/>
      </c>
      <c r="M651" s="248" t="str">
        <f>IFERROR(__xludf.DUMMYFUNCTION("VLOOKUP(C651,IMPORTRANGE(""https://docs.google.com/spreadsheets/d/1P8eX0NWBhUPS_hvzA11R6jkTNFrPrRYIx_dX_hYbxrk/edit?resourcekey=0-iw9bsKY2OqkUHCFMkCar3A&amp;gid=2055363397#gid=2055363397"",""MTR!C:O""),11,false)"),"PMW-MCE-AS")</f>
        <v>PMW-MCE-AS</v>
      </c>
      <c r="N651" s="248" t="str">
        <f>IFERROR(__xludf.DUMMYFUNCTION("VLOOKUP(C651,IMPORTRANGE(""https://docs.google.com/spreadsheets/d/1ihFlp3_ePlYtFuPbUNbYj1muErVpI73WHXbEwJDIA7Q/edit#gid=1493122344"",""MTR!C:O""),8,false)"),"Complies")</f>
        <v>Complies</v>
      </c>
      <c r="O651" s="241" t="str">
        <f>IFERROR(__xludf.DUMMYFUNCTION("VLOOKUP(C651,IMPORTRANGE(""https://docs.google.com/spreadsheets/d/1P8eX0NWBhUPS_hvzA11R6jkTNFrPrRYIx_dX_hYbxrk/edit?resourcekey=0-iw9bsKY2OqkUHCFMkCar3A&amp;gid=2055363397#gid=2055363397"",""MTR!C:O""),9,false)"),"")</f>
        <v/>
      </c>
      <c r="P651" s="241"/>
      <c r="Q651" s="251" t="s">
        <v>445</v>
      </c>
      <c r="R651" s="241"/>
      <c r="S651" s="154" t="s">
        <v>66</v>
      </c>
      <c r="T651" s="154" t="s">
        <v>66</v>
      </c>
      <c r="U651" s="154" t="s">
        <v>60</v>
      </c>
      <c r="V651" s="154" t="s">
        <v>60</v>
      </c>
      <c r="W651" s="154" t="s">
        <v>60</v>
      </c>
      <c r="X651" s="154" t="s">
        <v>60</v>
      </c>
      <c r="Y651" s="154" t="s">
        <v>66</v>
      </c>
      <c r="Z651" s="154" t="s">
        <v>60</v>
      </c>
      <c r="AA651" s="154" t="s">
        <v>60</v>
      </c>
      <c r="AB651" s="154"/>
      <c r="AC651" s="242" t="b">
        <f t="shared" si="2"/>
        <v>1</v>
      </c>
      <c r="AD651" s="154" t="s">
        <v>391</v>
      </c>
      <c r="AE651" s="243" t="b">
        <f t="shared" si="3"/>
        <v>0</v>
      </c>
      <c r="AF651" s="154"/>
      <c r="AG651" s="243" t="b">
        <f t="shared" si="4"/>
        <v>0</v>
      </c>
      <c r="AH651" s="154"/>
      <c r="AI651" s="243" t="str">
        <f t="shared" si="5"/>
        <v>N/A</v>
      </c>
      <c r="AJ651" s="157" t="str">
        <f t="shared" si="6"/>
        <v/>
      </c>
    </row>
    <row r="652" ht="12.75" customHeight="1">
      <c r="A652" s="244" t="s">
        <v>621</v>
      </c>
      <c r="B652" s="244" t="s">
        <v>1339</v>
      </c>
      <c r="C652" s="244" t="s">
        <v>2029</v>
      </c>
      <c r="D652" s="154" t="s">
        <v>747</v>
      </c>
      <c r="E652" s="250"/>
      <c r="F652" s="154" t="str">
        <f t="array" ref="F652">XLOOKUP(Cover!$D$12,$S$1:$AA$1,$S652:$AA652)</f>
        <v>Mandatory</v>
      </c>
      <c r="G652" s="254" t="s">
        <v>2030</v>
      </c>
      <c r="H652" s="154" t="s">
        <v>232</v>
      </c>
      <c r="I652" s="154" t="s">
        <v>759</v>
      </c>
      <c r="J652" s="247" t="s">
        <v>445</v>
      </c>
      <c r="K652" s="154"/>
      <c r="L652" s="154" t="str">
        <f t="shared" si="1"/>
        <v/>
      </c>
      <c r="M652" s="248" t="str">
        <f>IFERROR(__xludf.DUMMYFUNCTION("VLOOKUP(C652,IMPORTRANGE(""https://docs.google.com/spreadsheets/d/1P8eX0NWBhUPS_hvzA11R6jkTNFrPrRYIx_dX_hYbxrk/edit?resourcekey=0-iw9bsKY2OqkUHCFMkCar3A&amp;gid=2055363397#gid=2055363397"",""MTR!C:O""),11,false)"),"PMW-MCE-AS")</f>
        <v>PMW-MCE-AS</v>
      </c>
      <c r="N652" s="248" t="str">
        <f>IFERROR(__xludf.DUMMYFUNCTION("VLOOKUP(C652,IMPORTRANGE(""https://docs.google.com/spreadsheets/d/1ihFlp3_ePlYtFuPbUNbYj1muErVpI73WHXbEwJDIA7Q/edit#gid=1493122344"",""MTR!C:O""),8,false)"),"Complies")</f>
        <v>Complies</v>
      </c>
      <c r="O652" s="241" t="str">
        <f>IFERROR(__xludf.DUMMYFUNCTION("VLOOKUP(C652,IMPORTRANGE(""https://docs.google.com/spreadsheets/d/1P8eX0NWBhUPS_hvzA11R6jkTNFrPrRYIx_dX_hYbxrk/edit?resourcekey=0-iw9bsKY2OqkUHCFMkCar3A&amp;gid=2055363397#gid=2055363397"",""MTR!C:O""),9,false)"),"")</f>
        <v/>
      </c>
      <c r="P652" s="241"/>
      <c r="Q652" s="251" t="s">
        <v>445</v>
      </c>
      <c r="R652" s="241"/>
      <c r="S652" s="154" t="s">
        <v>66</v>
      </c>
      <c r="T652" s="154" t="s">
        <v>66</v>
      </c>
      <c r="U652" s="154" t="s">
        <v>60</v>
      </c>
      <c r="V652" s="154" t="s">
        <v>60</v>
      </c>
      <c r="W652" s="154" t="s">
        <v>60</v>
      </c>
      <c r="X652" s="154" t="s">
        <v>60</v>
      </c>
      <c r="Y652" s="154" t="s">
        <v>66</v>
      </c>
      <c r="Z652" s="154" t="s">
        <v>60</v>
      </c>
      <c r="AA652" s="154" t="s">
        <v>60</v>
      </c>
      <c r="AB652" s="154"/>
      <c r="AC652" s="242" t="b">
        <f t="shared" si="2"/>
        <v>1</v>
      </c>
      <c r="AD652" s="154" t="s">
        <v>391</v>
      </c>
      <c r="AE652" s="243" t="b">
        <f t="shared" si="3"/>
        <v>0</v>
      </c>
      <c r="AF652" s="154"/>
      <c r="AG652" s="243" t="b">
        <f t="shared" si="4"/>
        <v>0</v>
      </c>
      <c r="AH652" s="154"/>
      <c r="AI652" s="243" t="str">
        <f t="shared" si="5"/>
        <v>N/A</v>
      </c>
      <c r="AJ652" s="157" t="str">
        <f t="shared" si="6"/>
        <v/>
      </c>
    </row>
    <row r="653" ht="12.75" customHeight="1">
      <c r="A653" s="244" t="s">
        <v>621</v>
      </c>
      <c r="B653" s="244" t="s">
        <v>1339</v>
      </c>
      <c r="C653" s="244" t="s">
        <v>2031</v>
      </c>
      <c r="D653" s="154" t="s">
        <v>747</v>
      </c>
      <c r="E653" s="250"/>
      <c r="F653" s="154" t="str">
        <f t="array" ref="F653">XLOOKUP(Cover!$D$12,$S$1:$AA$1,$S653:$AA653)</f>
        <v>Mandatory</v>
      </c>
      <c r="G653" s="153" t="s">
        <v>2032</v>
      </c>
      <c r="H653" s="154" t="s">
        <v>232</v>
      </c>
      <c r="I653" s="154" t="s">
        <v>759</v>
      </c>
      <c r="J653" s="247" t="s">
        <v>445</v>
      </c>
      <c r="K653" s="154"/>
      <c r="L653" s="154" t="str">
        <f t="shared" si="1"/>
        <v/>
      </c>
      <c r="M653" s="248" t="str">
        <f>IFERROR(__xludf.DUMMYFUNCTION("VLOOKUP(C653,IMPORTRANGE(""https://docs.google.com/spreadsheets/d/1P8eX0NWBhUPS_hvzA11R6jkTNFrPrRYIx_dX_hYbxrk/edit?resourcekey=0-iw9bsKY2OqkUHCFMkCar3A&amp;gid=2055363397#gid=2055363397"",""MTR!C:O""),11,false)"),"PMW-MCE-AS")</f>
        <v>PMW-MCE-AS</v>
      </c>
      <c r="N653" s="248" t="str">
        <f>IFERROR(__xludf.DUMMYFUNCTION("VLOOKUP(C653,IMPORTRANGE(""https://docs.google.com/spreadsheets/d/1ihFlp3_ePlYtFuPbUNbYj1muErVpI73WHXbEwJDIA7Q/edit#gid=1493122344"",""MTR!C:O""),8,false)"),"Complies")</f>
        <v>Complies</v>
      </c>
      <c r="O653" s="241" t="str">
        <f>IFERROR(__xludf.DUMMYFUNCTION("VLOOKUP(C653,IMPORTRANGE(""https://docs.google.com/spreadsheets/d/1P8eX0NWBhUPS_hvzA11R6jkTNFrPrRYIx_dX_hYbxrk/edit?resourcekey=0-iw9bsKY2OqkUHCFMkCar3A&amp;gid=2055363397#gid=2055363397"",""MTR!C:O""),9,false)"),"")</f>
        <v/>
      </c>
      <c r="P653" s="241"/>
      <c r="Q653" s="251" t="s">
        <v>445</v>
      </c>
      <c r="R653" s="241"/>
      <c r="S653" s="154" t="s">
        <v>66</v>
      </c>
      <c r="T653" s="154" t="s">
        <v>66</v>
      </c>
      <c r="U653" s="154" t="s">
        <v>60</v>
      </c>
      <c r="V653" s="154" t="s">
        <v>60</v>
      </c>
      <c r="W653" s="154" t="s">
        <v>60</v>
      </c>
      <c r="X653" s="154" t="s">
        <v>60</v>
      </c>
      <c r="Y653" s="154" t="s">
        <v>66</v>
      </c>
      <c r="Z653" s="154" t="s">
        <v>60</v>
      </c>
      <c r="AA653" s="154" t="s">
        <v>60</v>
      </c>
      <c r="AB653" s="154"/>
      <c r="AC653" s="242" t="b">
        <f t="shared" si="2"/>
        <v>1</v>
      </c>
      <c r="AD653" s="154" t="s">
        <v>391</v>
      </c>
      <c r="AE653" s="243" t="b">
        <f t="shared" si="3"/>
        <v>0</v>
      </c>
      <c r="AF653" s="154"/>
      <c r="AG653" s="243" t="b">
        <f t="shared" si="4"/>
        <v>0</v>
      </c>
      <c r="AH653" s="154"/>
      <c r="AI653" s="243" t="str">
        <f t="shared" si="5"/>
        <v>N/A</v>
      </c>
      <c r="AJ653" s="157" t="str">
        <f t="shared" si="6"/>
        <v/>
      </c>
    </row>
    <row r="654" ht="12.75" customHeight="1">
      <c r="A654" s="244" t="s">
        <v>621</v>
      </c>
      <c r="B654" s="244" t="s">
        <v>1339</v>
      </c>
      <c r="C654" s="244" t="s">
        <v>2033</v>
      </c>
      <c r="D654" s="154" t="s">
        <v>747</v>
      </c>
      <c r="E654" s="250"/>
      <c r="F654" s="154" t="str">
        <f t="array" ref="F654">XLOOKUP(Cover!$D$12,$S$1:$AA$1,$S654:$AA654)</f>
        <v>Mandatory</v>
      </c>
      <c r="G654" s="153" t="s">
        <v>2034</v>
      </c>
      <c r="H654" s="154" t="s">
        <v>232</v>
      </c>
      <c r="I654" s="154" t="s">
        <v>759</v>
      </c>
      <c r="J654" s="247" t="s">
        <v>516</v>
      </c>
      <c r="K654" s="154"/>
      <c r="L654" s="154" t="str">
        <f t="shared" si="1"/>
        <v/>
      </c>
      <c r="M654" s="248" t="str">
        <f>IFERROR(__xludf.DUMMYFUNCTION("VLOOKUP(C654,IMPORTRANGE(""https://docs.google.com/spreadsheets/d/1P8eX0NWBhUPS_hvzA11R6jkTNFrPrRYIx_dX_hYbxrk/edit?resourcekey=0-iw9bsKY2OqkUHCFMkCar3A&amp;gid=2055363397#gid=2055363397"",""MTR!C:O""),11,false)"),"PMW-MCE-AS")</f>
        <v>PMW-MCE-AS</v>
      </c>
      <c r="N654" s="248" t="str">
        <f>IFERROR(__xludf.DUMMYFUNCTION("VLOOKUP(C654,IMPORTRANGE(""https://docs.google.com/spreadsheets/d/1ihFlp3_ePlYtFuPbUNbYj1muErVpI73WHXbEwJDIA7Q/edit#gid=1493122344"",""MTR!C:O""),8,false)"),"Does Not Comply")</f>
        <v>Does Not Comply</v>
      </c>
      <c r="O654" s="241" t="str">
        <f>IFERROR(__xludf.DUMMYFUNCTION("VLOOKUP(C654,IMPORTRANGE(""https://docs.google.com/spreadsheets/d/1P8eX0NWBhUPS_hvzA11R6jkTNFrPrRYIx_dX_hYbxrk/edit?resourcekey=0-iw9bsKY2OqkUHCFMkCar3A&amp;gid=2055363397#gid=2055363397"",""MTR!C:O""),9,false)"),"")</f>
        <v/>
      </c>
      <c r="P654" s="241"/>
      <c r="Q654" s="251" t="s">
        <v>516</v>
      </c>
      <c r="R654" s="241"/>
      <c r="S654" s="154" t="s">
        <v>66</v>
      </c>
      <c r="T654" s="154" t="s">
        <v>66</v>
      </c>
      <c r="U654" s="154" t="s">
        <v>60</v>
      </c>
      <c r="V654" s="154" t="s">
        <v>60</v>
      </c>
      <c r="W654" s="154" t="s">
        <v>60</v>
      </c>
      <c r="X654" s="154" t="s">
        <v>60</v>
      </c>
      <c r="Y654" s="154" t="s">
        <v>66</v>
      </c>
      <c r="Z654" s="154" t="s">
        <v>60</v>
      </c>
      <c r="AA654" s="154" t="s">
        <v>60</v>
      </c>
      <c r="AB654" s="154"/>
      <c r="AC654" s="242" t="b">
        <f t="shared" si="2"/>
        <v>1</v>
      </c>
      <c r="AD654" s="154" t="s">
        <v>391</v>
      </c>
      <c r="AE654" s="243" t="b">
        <f t="shared" si="3"/>
        <v>0</v>
      </c>
      <c r="AF654" s="154"/>
      <c r="AG654" s="243" t="b">
        <f t="shared" si="4"/>
        <v>0</v>
      </c>
      <c r="AH654" s="154"/>
      <c r="AI654" s="243" t="str">
        <f t="shared" si="5"/>
        <v>N/A</v>
      </c>
      <c r="AJ654" s="157" t="str">
        <f t="shared" si="6"/>
        <v/>
      </c>
    </row>
    <row r="655" ht="12.75" customHeight="1">
      <c r="A655" s="238" t="s">
        <v>621</v>
      </c>
      <c r="B655" s="238" t="s">
        <v>1339</v>
      </c>
      <c r="C655" s="238" t="s">
        <v>2035</v>
      </c>
      <c r="D655" s="240"/>
      <c r="E655" s="252" t="s">
        <v>92</v>
      </c>
      <c r="F655" s="154" t="str">
        <f t="array" ref="F655">XLOOKUP(Cover!$D$12,$S$1:$AA$1,$S655:$AA655)</f>
        <v>Heading</v>
      </c>
      <c r="G655" s="239" t="s">
        <v>2036</v>
      </c>
      <c r="H655" s="240"/>
      <c r="I655" s="240" t="s">
        <v>759</v>
      </c>
      <c r="J655" s="262"/>
      <c r="K655" s="240"/>
      <c r="L655" s="154" t="str">
        <f t="shared" si="1"/>
        <v/>
      </c>
      <c r="M655" s="241" t="str">
        <f>IFERROR(__xludf.DUMMYFUNCTION("VLOOKUP(C655,IMPORTRANGE(""https://docs.google.com/spreadsheets/d/1P8eX0NWBhUPS_hvzA11R6jkTNFrPrRYIx_dX_hYbxrk/edit?resourcekey=0-iw9bsKY2OqkUHCFMkCar3A&amp;gid=2055363397#gid=2055363397"",""MTR!C:O""),11,false)"),"")</f>
        <v/>
      </c>
      <c r="N655" s="241" t="str">
        <f>IFERROR(__xludf.DUMMYFUNCTION("VLOOKUP(C655,IMPORTRANGE(""https://docs.google.com/spreadsheets/d/1ihFlp3_ePlYtFuPbUNbYj1muErVpI73WHXbEwJDIA7Q/edit#gid=1493122344"",""MTR!C:O""),8,false)"),"")</f>
        <v/>
      </c>
      <c r="O655" s="241" t="str">
        <f>IFERROR(__xludf.DUMMYFUNCTION("VLOOKUP(C655,IMPORTRANGE(""https://docs.google.com/spreadsheets/d/1P8eX0NWBhUPS_hvzA11R6jkTNFrPrRYIx_dX_hYbxrk/edit?resourcekey=0-iw9bsKY2OqkUHCFMkCar3A&amp;gid=2055363397#gid=2055363397"",""MTR!C:O""),9,false)"),"")</f>
        <v/>
      </c>
      <c r="P655" s="241"/>
      <c r="Q655" s="251"/>
      <c r="R655" s="241"/>
      <c r="S655" s="240" t="s">
        <v>390</v>
      </c>
      <c r="T655" s="240" t="s">
        <v>390</v>
      </c>
      <c r="U655" s="240" t="s">
        <v>390</v>
      </c>
      <c r="V655" s="240" t="s">
        <v>390</v>
      </c>
      <c r="W655" s="240" t="s">
        <v>390</v>
      </c>
      <c r="X655" s="240" t="s">
        <v>390</v>
      </c>
      <c r="Y655" s="240" t="s">
        <v>390</v>
      </c>
      <c r="Z655" s="240" t="s">
        <v>390</v>
      </c>
      <c r="AA655" s="240" t="s">
        <v>390</v>
      </c>
      <c r="AB655" s="240"/>
      <c r="AC655" s="242" t="b">
        <f t="shared" si="2"/>
        <v>0</v>
      </c>
      <c r="AD655" s="240" t="s">
        <v>391</v>
      </c>
      <c r="AE655" s="243" t="b">
        <f t="shared" si="3"/>
        <v>0</v>
      </c>
      <c r="AF655" s="240"/>
      <c r="AG655" s="243" t="b">
        <f t="shared" si="4"/>
        <v>0</v>
      </c>
      <c r="AH655" s="240"/>
      <c r="AI655" s="243" t="str">
        <f t="shared" si="5"/>
        <v>N/A</v>
      </c>
      <c r="AJ655" s="157" t="str">
        <f t="shared" si="6"/>
        <v/>
      </c>
    </row>
    <row r="656" ht="12.75" customHeight="1">
      <c r="A656" s="244" t="s">
        <v>621</v>
      </c>
      <c r="B656" s="244" t="s">
        <v>1339</v>
      </c>
      <c r="C656" s="244" t="s">
        <v>2037</v>
      </c>
      <c r="D656" s="154" t="s">
        <v>747</v>
      </c>
      <c r="E656" s="250"/>
      <c r="F656" s="154" t="str">
        <f t="array" ref="F656">XLOOKUP(Cover!$D$12,$S$1:$AA$1,$S656:$AA656)</f>
        <v>Mandatory</v>
      </c>
      <c r="G656" s="153" t="s">
        <v>2038</v>
      </c>
      <c r="H656" s="154" t="s">
        <v>232</v>
      </c>
      <c r="I656" s="154" t="s">
        <v>759</v>
      </c>
      <c r="J656" s="154" t="s">
        <v>516</v>
      </c>
      <c r="K656" s="154"/>
      <c r="L656" s="154" t="str">
        <f t="shared" si="1"/>
        <v/>
      </c>
      <c r="M656" s="248" t="str">
        <f>IFERROR(__xludf.DUMMYFUNCTION("VLOOKUP(C656,IMPORTRANGE(""https://docs.google.com/spreadsheets/d/1P8eX0NWBhUPS_hvzA11R6jkTNFrPrRYIx_dX_hYbxrk/edit?resourcekey=0-iw9bsKY2OqkUHCFMkCar3A&amp;gid=2055363397#gid=2055363397"",""MTR!C:O""),11,false)"),"PMW-MCE-AS")</f>
        <v>PMW-MCE-AS</v>
      </c>
      <c r="N656" s="248" t="str">
        <f>IFERROR(__xludf.DUMMYFUNCTION("VLOOKUP(C656,IMPORTRANGE(""https://docs.google.com/spreadsheets/d/1ihFlp3_ePlYtFuPbUNbYj1muErVpI73WHXbEwJDIA7Q/edit#gid=1493122344"",""MTR!C:O""),8,false)"),"Does Not Comply")</f>
        <v>Does Not Comply</v>
      </c>
      <c r="O656" s="241" t="str">
        <f>IFERROR(__xludf.DUMMYFUNCTION("VLOOKUP(C656,IMPORTRANGE(""https://docs.google.com/spreadsheets/d/1P8eX0NWBhUPS_hvzA11R6jkTNFrPrRYIx_dX_hYbxrk/edit?resourcekey=0-iw9bsKY2OqkUHCFMkCar3A&amp;gid=2055363397#gid=2055363397"",""MTR!C:O""),9,false)"),"")</f>
        <v/>
      </c>
      <c r="P656" s="241"/>
      <c r="Q656" s="251" t="s">
        <v>516</v>
      </c>
      <c r="R656" s="241"/>
      <c r="S656" s="154" t="s">
        <v>66</v>
      </c>
      <c r="T656" s="154" t="s">
        <v>66</v>
      </c>
      <c r="U656" s="154" t="s">
        <v>60</v>
      </c>
      <c r="V656" s="154" t="s">
        <v>60</v>
      </c>
      <c r="W656" s="154" t="s">
        <v>60</v>
      </c>
      <c r="X656" s="154" t="s">
        <v>60</v>
      </c>
      <c r="Y656" s="154" t="s">
        <v>66</v>
      </c>
      <c r="Z656" s="154" t="s">
        <v>60</v>
      </c>
      <c r="AA656" s="154" t="s">
        <v>60</v>
      </c>
      <c r="AB656" s="154"/>
      <c r="AC656" s="242" t="b">
        <f t="shared" si="2"/>
        <v>1</v>
      </c>
      <c r="AD656" s="154" t="s">
        <v>391</v>
      </c>
      <c r="AE656" s="243" t="b">
        <f t="shared" si="3"/>
        <v>0</v>
      </c>
      <c r="AF656" s="154"/>
      <c r="AG656" s="243" t="b">
        <f t="shared" si="4"/>
        <v>0</v>
      </c>
      <c r="AH656" s="154"/>
      <c r="AI656" s="243" t="str">
        <f t="shared" si="5"/>
        <v>N/A</v>
      </c>
      <c r="AJ656" s="157" t="str">
        <f t="shared" si="6"/>
        <v/>
      </c>
    </row>
    <row r="657" ht="12.75" customHeight="1">
      <c r="A657" s="244" t="s">
        <v>621</v>
      </c>
      <c r="B657" s="244" t="s">
        <v>1339</v>
      </c>
      <c r="C657" s="244" t="s">
        <v>2039</v>
      </c>
      <c r="D657" s="154" t="s">
        <v>747</v>
      </c>
      <c r="E657" s="250"/>
      <c r="F657" s="154" t="str">
        <f t="array" ref="F657">XLOOKUP(Cover!$D$12,$S$1:$AA$1,$S657:$AA657)</f>
        <v>Information</v>
      </c>
      <c r="G657" s="153" t="s">
        <v>2040</v>
      </c>
      <c r="H657" s="154" t="s">
        <v>232</v>
      </c>
      <c r="I657" s="154" t="s">
        <v>759</v>
      </c>
      <c r="J657" s="247" t="s">
        <v>516</v>
      </c>
      <c r="K657" s="154"/>
      <c r="L657" s="154" t="str">
        <f t="shared" si="1"/>
        <v/>
      </c>
      <c r="M657" s="248" t="str">
        <f>IFERROR(__xludf.DUMMYFUNCTION("VLOOKUP(C657,IMPORTRANGE(""https://docs.google.com/spreadsheets/d/1P8eX0NWBhUPS_hvzA11R6jkTNFrPrRYIx_dX_hYbxrk/edit?resourcekey=0-iw9bsKY2OqkUHCFMkCar3A&amp;gid=2055363397#gid=2055363397"",""MTR!C:O""),11,false)"),"PMW-MCE-AS")</f>
        <v>PMW-MCE-AS</v>
      </c>
      <c r="N657" s="248" t="str">
        <f>IFERROR(__xludf.DUMMYFUNCTION("VLOOKUP(C657,IMPORTRANGE(""https://docs.google.com/spreadsheets/d/1ihFlp3_ePlYtFuPbUNbYj1muErVpI73WHXbEwJDIA7Q/edit#gid=1493122344"",""MTR!C:O""),8,false)"),"Does Not Comply")</f>
        <v>Does Not Comply</v>
      </c>
      <c r="O657" s="241" t="str">
        <f>IFERROR(__xludf.DUMMYFUNCTION("VLOOKUP(C657,IMPORTRANGE(""https://docs.google.com/spreadsheets/d/1P8eX0NWBhUPS_hvzA11R6jkTNFrPrRYIx_dX_hYbxrk/edit?resourcekey=0-iw9bsKY2OqkUHCFMkCar3A&amp;gid=2055363397#gid=2055363397"",""MTR!C:O""),9,false)"),"")</f>
        <v/>
      </c>
      <c r="P657" s="241"/>
      <c r="Q657" s="251" t="s">
        <v>516</v>
      </c>
      <c r="R657" s="241"/>
      <c r="S657" s="154" t="s">
        <v>66</v>
      </c>
      <c r="T657" s="154" t="s">
        <v>66</v>
      </c>
      <c r="U657" s="154" t="s">
        <v>66</v>
      </c>
      <c r="V657" s="154" t="s">
        <v>66</v>
      </c>
      <c r="W657" s="154" t="s">
        <v>66</v>
      </c>
      <c r="X657" s="154" t="s">
        <v>66</v>
      </c>
      <c r="Y657" s="154" t="s">
        <v>66</v>
      </c>
      <c r="Z657" s="154" t="s">
        <v>66</v>
      </c>
      <c r="AA657" s="154" t="s">
        <v>66</v>
      </c>
      <c r="AB657" s="154"/>
      <c r="AC657" s="242" t="b">
        <f t="shared" si="2"/>
        <v>1</v>
      </c>
      <c r="AD657" s="154" t="s">
        <v>391</v>
      </c>
      <c r="AE657" s="243" t="b">
        <f t="shared" si="3"/>
        <v>0</v>
      </c>
      <c r="AF657" s="154"/>
      <c r="AG657" s="243" t="b">
        <f t="shared" si="4"/>
        <v>0</v>
      </c>
      <c r="AH657" s="154"/>
      <c r="AI657" s="243" t="str">
        <f t="shared" si="5"/>
        <v>N/A</v>
      </c>
      <c r="AJ657" s="157" t="str">
        <f t="shared" si="6"/>
        <v/>
      </c>
    </row>
    <row r="658" ht="12.75" customHeight="1">
      <c r="A658" s="238" t="s">
        <v>621</v>
      </c>
      <c r="B658" s="238" t="s">
        <v>1339</v>
      </c>
      <c r="C658" s="238" t="s">
        <v>2041</v>
      </c>
      <c r="D658" s="240"/>
      <c r="E658" s="252" t="s">
        <v>92</v>
      </c>
      <c r="F658" s="154" t="str">
        <f t="array" ref="F658">XLOOKUP(Cover!$D$12,$S$1:$AA$1,$S658:$AA658)</f>
        <v>Heading</v>
      </c>
      <c r="G658" s="239" t="s">
        <v>2042</v>
      </c>
      <c r="H658" s="240"/>
      <c r="I658" s="240" t="s">
        <v>759</v>
      </c>
      <c r="J658" s="240"/>
      <c r="K658" s="240"/>
      <c r="L658" s="154" t="str">
        <f t="shared" si="1"/>
        <v/>
      </c>
      <c r="M658" s="241" t="str">
        <f>IFERROR(__xludf.DUMMYFUNCTION("VLOOKUP(C658,IMPORTRANGE(""https://docs.google.com/spreadsheets/d/1P8eX0NWBhUPS_hvzA11R6jkTNFrPrRYIx_dX_hYbxrk/edit?resourcekey=0-iw9bsKY2OqkUHCFMkCar3A&amp;gid=2055363397#gid=2055363397"",""MTR!C:O""),11,false)"),"")</f>
        <v/>
      </c>
      <c r="N658" s="241" t="str">
        <f>IFERROR(__xludf.DUMMYFUNCTION("VLOOKUP(C658,IMPORTRANGE(""https://docs.google.com/spreadsheets/d/1ihFlp3_ePlYtFuPbUNbYj1muErVpI73WHXbEwJDIA7Q/edit#gid=1493122344"",""MTR!C:O""),8,false)"),"")</f>
        <v/>
      </c>
      <c r="O658" s="241" t="str">
        <f>IFERROR(__xludf.DUMMYFUNCTION("VLOOKUP(C658,IMPORTRANGE(""https://docs.google.com/spreadsheets/d/1P8eX0NWBhUPS_hvzA11R6jkTNFrPrRYIx_dX_hYbxrk/edit?resourcekey=0-iw9bsKY2OqkUHCFMkCar3A&amp;gid=2055363397#gid=2055363397"",""MTR!C:O""),9,false)"),"")</f>
        <v/>
      </c>
      <c r="P658" s="241"/>
      <c r="Q658" s="251"/>
      <c r="R658" s="241"/>
      <c r="S658" s="240" t="s">
        <v>390</v>
      </c>
      <c r="T658" s="240" t="s">
        <v>390</v>
      </c>
      <c r="U658" s="240" t="s">
        <v>390</v>
      </c>
      <c r="V658" s="240" t="s">
        <v>390</v>
      </c>
      <c r="W658" s="240" t="s">
        <v>390</v>
      </c>
      <c r="X658" s="240" t="s">
        <v>390</v>
      </c>
      <c r="Y658" s="240" t="s">
        <v>390</v>
      </c>
      <c r="Z658" s="240" t="s">
        <v>390</v>
      </c>
      <c r="AA658" s="240" t="s">
        <v>390</v>
      </c>
      <c r="AB658" s="240"/>
      <c r="AC658" s="242" t="b">
        <f t="shared" si="2"/>
        <v>0</v>
      </c>
      <c r="AD658" s="240" t="s">
        <v>391</v>
      </c>
      <c r="AE658" s="243" t="b">
        <f t="shared" si="3"/>
        <v>0</v>
      </c>
      <c r="AF658" s="240"/>
      <c r="AG658" s="243" t="b">
        <f t="shared" si="4"/>
        <v>0</v>
      </c>
      <c r="AH658" s="240"/>
      <c r="AI658" s="243" t="str">
        <f t="shared" si="5"/>
        <v>N/A</v>
      </c>
      <c r="AJ658" s="157" t="str">
        <f t="shared" si="6"/>
        <v/>
      </c>
    </row>
    <row r="659" ht="12.75" customHeight="1">
      <c r="A659" s="244" t="s">
        <v>621</v>
      </c>
      <c r="B659" s="244" t="s">
        <v>1339</v>
      </c>
      <c r="C659" s="244" t="s">
        <v>2043</v>
      </c>
      <c r="D659" s="154" t="s">
        <v>747</v>
      </c>
      <c r="E659" s="250"/>
      <c r="F659" s="154" t="str">
        <f t="array" ref="F659">XLOOKUP(Cover!$D$12,$S$1:$AA$1,$S659:$AA659)</f>
        <v>Mandatory</v>
      </c>
      <c r="G659" s="153" t="s">
        <v>2044</v>
      </c>
      <c r="H659" s="154" t="s">
        <v>232</v>
      </c>
      <c r="I659" s="154" t="s">
        <v>759</v>
      </c>
      <c r="J659" s="247" t="s">
        <v>445</v>
      </c>
      <c r="K659" s="154"/>
      <c r="L659" s="154" t="str">
        <f t="shared" si="1"/>
        <v/>
      </c>
      <c r="M659" s="248" t="str">
        <f>IFERROR(__xludf.DUMMYFUNCTION("VLOOKUP(C659,IMPORTRANGE(""https://docs.google.com/spreadsheets/d/1P8eX0NWBhUPS_hvzA11R6jkTNFrPrRYIx_dX_hYbxrk/edit?resourcekey=0-iw9bsKY2OqkUHCFMkCar3A&amp;gid=2055363397#gid=2055363397"",""MTR!C:O""),11,false)"),"PMW-MCE-AS")</f>
        <v>PMW-MCE-AS</v>
      </c>
      <c r="N659" s="248" t="str">
        <f>IFERROR(__xludf.DUMMYFUNCTION("VLOOKUP(C659,IMPORTRANGE(""https://docs.google.com/spreadsheets/d/1ihFlp3_ePlYtFuPbUNbYj1muErVpI73WHXbEwJDIA7Q/edit#gid=1493122344"",""MTR!C:O""),8,false)"),"Complies")</f>
        <v>Complies</v>
      </c>
      <c r="O659" s="241" t="str">
        <f>IFERROR(__xludf.DUMMYFUNCTION("VLOOKUP(C659,IMPORTRANGE(""https://docs.google.com/spreadsheets/d/1P8eX0NWBhUPS_hvzA11R6jkTNFrPrRYIx_dX_hYbxrk/edit?resourcekey=0-iw9bsKY2OqkUHCFMkCar3A&amp;gid=2055363397#gid=2055363397"",""MTR!C:O""),9,false)"),"")</f>
        <v/>
      </c>
      <c r="P659" s="241"/>
      <c r="Q659" s="251" t="s">
        <v>445</v>
      </c>
      <c r="R659" s="241"/>
      <c r="S659" s="154" t="s">
        <v>66</v>
      </c>
      <c r="T659" s="154" t="s">
        <v>66</v>
      </c>
      <c r="U659" s="154" t="s">
        <v>60</v>
      </c>
      <c r="V659" s="154" t="s">
        <v>60</v>
      </c>
      <c r="W659" s="154" t="s">
        <v>60</v>
      </c>
      <c r="X659" s="154" t="s">
        <v>60</v>
      </c>
      <c r="Y659" s="154" t="s">
        <v>66</v>
      </c>
      <c r="Z659" s="154" t="s">
        <v>60</v>
      </c>
      <c r="AA659" s="154" t="s">
        <v>60</v>
      </c>
      <c r="AB659" s="154"/>
      <c r="AC659" s="242" t="b">
        <f t="shared" si="2"/>
        <v>1</v>
      </c>
      <c r="AD659" s="154" t="s">
        <v>391</v>
      </c>
      <c r="AE659" s="243" t="b">
        <f t="shared" si="3"/>
        <v>0</v>
      </c>
      <c r="AF659" s="154"/>
      <c r="AG659" s="243" t="b">
        <f t="shared" si="4"/>
        <v>0</v>
      </c>
      <c r="AH659" s="154"/>
      <c r="AI659" s="243" t="str">
        <f t="shared" si="5"/>
        <v>N/A</v>
      </c>
      <c r="AJ659" s="157" t="str">
        <f t="shared" si="6"/>
        <v/>
      </c>
    </row>
    <row r="660" ht="12.75" customHeight="1">
      <c r="A660" s="244" t="s">
        <v>621</v>
      </c>
      <c r="B660" s="244" t="s">
        <v>1339</v>
      </c>
      <c r="C660" s="244" t="s">
        <v>2045</v>
      </c>
      <c r="D660" s="154" t="s">
        <v>747</v>
      </c>
      <c r="E660" s="250"/>
      <c r="F660" s="154" t="str">
        <f t="array" ref="F660">XLOOKUP(Cover!$D$12,$S$1:$AA$1,$S660:$AA660)</f>
        <v>Mandatory</v>
      </c>
      <c r="G660" s="153" t="s">
        <v>2046</v>
      </c>
      <c r="H660" s="154" t="s">
        <v>232</v>
      </c>
      <c r="I660" s="154" t="s">
        <v>759</v>
      </c>
      <c r="J660" s="247" t="s">
        <v>516</v>
      </c>
      <c r="K660" s="154"/>
      <c r="L660" s="154" t="str">
        <f t="shared" si="1"/>
        <v/>
      </c>
      <c r="M660" s="248" t="str">
        <f>IFERROR(__xludf.DUMMYFUNCTION("VLOOKUP(C660,IMPORTRANGE(""https://docs.google.com/spreadsheets/d/1P8eX0NWBhUPS_hvzA11R6jkTNFrPrRYIx_dX_hYbxrk/edit?resourcekey=0-iw9bsKY2OqkUHCFMkCar3A&amp;gid=2055363397#gid=2055363397"",""MTR!C:O""),11,false)"),"PMW-MCE-AS")</f>
        <v>PMW-MCE-AS</v>
      </c>
      <c r="N660" s="248" t="str">
        <f>IFERROR(__xludf.DUMMYFUNCTION("VLOOKUP(C660,IMPORTRANGE(""https://docs.google.com/spreadsheets/d/1ihFlp3_ePlYtFuPbUNbYj1muErVpI73WHXbEwJDIA7Q/edit#gid=1493122344"",""MTR!C:O""),8,false)"),"Does Not Comply")</f>
        <v>Does Not Comply</v>
      </c>
      <c r="O660" s="241" t="str">
        <f>IFERROR(__xludf.DUMMYFUNCTION("VLOOKUP(C660,IMPORTRANGE(""https://docs.google.com/spreadsheets/d/1P8eX0NWBhUPS_hvzA11R6jkTNFrPrRYIx_dX_hYbxrk/edit?resourcekey=0-iw9bsKY2OqkUHCFMkCar3A&amp;gid=2055363397#gid=2055363397"",""MTR!C:O""),9,false)"),"")</f>
        <v/>
      </c>
      <c r="P660" s="241"/>
      <c r="Q660" s="251" t="s">
        <v>516</v>
      </c>
      <c r="R660" s="241"/>
      <c r="S660" s="154" t="s">
        <v>66</v>
      </c>
      <c r="T660" s="154" t="s">
        <v>66</v>
      </c>
      <c r="U660" s="154" t="s">
        <v>60</v>
      </c>
      <c r="V660" s="154" t="s">
        <v>60</v>
      </c>
      <c r="W660" s="154" t="s">
        <v>60</v>
      </c>
      <c r="X660" s="154" t="s">
        <v>60</v>
      </c>
      <c r="Y660" s="154" t="s">
        <v>66</v>
      </c>
      <c r="Z660" s="154" t="s">
        <v>60</v>
      </c>
      <c r="AA660" s="154" t="s">
        <v>60</v>
      </c>
      <c r="AB660" s="154"/>
      <c r="AC660" s="242" t="b">
        <f t="shared" si="2"/>
        <v>1</v>
      </c>
      <c r="AD660" s="154" t="s">
        <v>391</v>
      </c>
      <c r="AE660" s="243" t="b">
        <f t="shared" si="3"/>
        <v>0</v>
      </c>
      <c r="AF660" s="154"/>
      <c r="AG660" s="243" t="b">
        <f t="shared" si="4"/>
        <v>0</v>
      </c>
      <c r="AH660" s="154"/>
      <c r="AI660" s="243" t="str">
        <f t="shared" si="5"/>
        <v>N/A</v>
      </c>
      <c r="AJ660" s="157" t="str">
        <f t="shared" si="6"/>
        <v/>
      </c>
    </row>
    <row r="661" ht="12.75" customHeight="1">
      <c r="A661" s="244" t="s">
        <v>621</v>
      </c>
      <c r="B661" s="244" t="s">
        <v>1339</v>
      </c>
      <c r="C661" s="244" t="s">
        <v>2047</v>
      </c>
      <c r="D661" s="154" t="s">
        <v>747</v>
      </c>
      <c r="E661" s="250"/>
      <c r="F661" s="154" t="str">
        <f t="array" ref="F661">XLOOKUP(Cover!$D$12,$S$1:$AA$1,$S661:$AA661)</f>
        <v>Mandatory</v>
      </c>
      <c r="G661" s="254" t="s">
        <v>2048</v>
      </c>
      <c r="H661" s="154" t="s">
        <v>232</v>
      </c>
      <c r="I661" s="154" t="s">
        <v>759</v>
      </c>
      <c r="J661" s="247" t="s">
        <v>445</v>
      </c>
      <c r="K661" s="154"/>
      <c r="L661" s="154" t="str">
        <f t="shared" si="1"/>
        <v/>
      </c>
      <c r="M661" s="248" t="str">
        <f>IFERROR(__xludf.DUMMYFUNCTION("VLOOKUP(C661,IMPORTRANGE(""https://docs.google.com/spreadsheets/d/1P8eX0NWBhUPS_hvzA11R6jkTNFrPrRYIx_dX_hYbxrk/edit?resourcekey=0-iw9bsKY2OqkUHCFMkCar3A&amp;gid=2055363397#gid=2055363397"",""MTR!C:O""),11,false)"),"PMW-MCE-AS")</f>
        <v>PMW-MCE-AS</v>
      </c>
      <c r="N661" s="248" t="str">
        <f>IFERROR(__xludf.DUMMYFUNCTION("VLOOKUP(C661,IMPORTRANGE(""https://docs.google.com/spreadsheets/d/1ihFlp3_ePlYtFuPbUNbYj1muErVpI73WHXbEwJDIA7Q/edit#gid=1493122344"",""MTR!C:O""),8,false)"),"Complies")</f>
        <v>Complies</v>
      </c>
      <c r="O661" s="241" t="str">
        <f>IFERROR(__xludf.DUMMYFUNCTION("VLOOKUP(C661,IMPORTRANGE(""https://docs.google.com/spreadsheets/d/1P8eX0NWBhUPS_hvzA11R6jkTNFrPrRYIx_dX_hYbxrk/edit?resourcekey=0-iw9bsKY2OqkUHCFMkCar3A&amp;gid=2055363397#gid=2055363397"",""MTR!C:O""),9,false)"),"")</f>
        <v/>
      </c>
      <c r="P661" s="241"/>
      <c r="Q661" s="251" t="s">
        <v>445</v>
      </c>
      <c r="R661" s="241"/>
      <c r="S661" s="154" t="s">
        <v>66</v>
      </c>
      <c r="T661" s="154" t="s">
        <v>66</v>
      </c>
      <c r="U661" s="154" t="s">
        <v>60</v>
      </c>
      <c r="V661" s="154" t="s">
        <v>60</v>
      </c>
      <c r="W661" s="154" t="s">
        <v>60</v>
      </c>
      <c r="X661" s="154" t="s">
        <v>60</v>
      </c>
      <c r="Y661" s="154" t="s">
        <v>66</v>
      </c>
      <c r="Z661" s="154" t="s">
        <v>60</v>
      </c>
      <c r="AA661" s="154" t="s">
        <v>60</v>
      </c>
      <c r="AB661" s="154"/>
      <c r="AC661" s="242" t="b">
        <f t="shared" si="2"/>
        <v>1</v>
      </c>
      <c r="AD661" s="154" t="s">
        <v>391</v>
      </c>
      <c r="AE661" s="243" t="b">
        <f t="shared" si="3"/>
        <v>0</v>
      </c>
      <c r="AF661" s="154"/>
      <c r="AG661" s="243" t="b">
        <f t="shared" si="4"/>
        <v>0</v>
      </c>
      <c r="AH661" s="154"/>
      <c r="AI661" s="243" t="str">
        <f t="shared" si="5"/>
        <v>N/A</v>
      </c>
      <c r="AJ661" s="157" t="str">
        <f t="shared" si="6"/>
        <v/>
      </c>
    </row>
    <row r="662" ht="12.75" customHeight="1">
      <c r="A662" s="244" t="s">
        <v>621</v>
      </c>
      <c r="B662" s="244" t="s">
        <v>1339</v>
      </c>
      <c r="C662" s="244" t="s">
        <v>2049</v>
      </c>
      <c r="D662" s="154" t="s">
        <v>747</v>
      </c>
      <c r="E662" s="250"/>
      <c r="F662" s="154" t="str">
        <f t="array" ref="F662">XLOOKUP(Cover!$D$12,$S$1:$AA$1,$S662:$AA662)</f>
        <v>Mandatory</v>
      </c>
      <c r="G662" s="153" t="s">
        <v>2050</v>
      </c>
      <c r="H662" s="154" t="s">
        <v>232</v>
      </c>
      <c r="I662" s="154" t="s">
        <v>759</v>
      </c>
      <c r="J662" s="247" t="s">
        <v>516</v>
      </c>
      <c r="K662" s="154"/>
      <c r="L662" s="154" t="str">
        <f t="shared" si="1"/>
        <v/>
      </c>
      <c r="M662" s="248" t="str">
        <f>IFERROR(__xludf.DUMMYFUNCTION("VLOOKUP(C662,IMPORTRANGE(""https://docs.google.com/spreadsheets/d/1P8eX0NWBhUPS_hvzA11R6jkTNFrPrRYIx_dX_hYbxrk/edit?resourcekey=0-iw9bsKY2OqkUHCFMkCar3A&amp;gid=2055363397#gid=2055363397"",""MTR!C:O""),11,false)"),"PMW-MCE-AS")</f>
        <v>PMW-MCE-AS</v>
      </c>
      <c r="N662" s="248" t="str">
        <f>IFERROR(__xludf.DUMMYFUNCTION("VLOOKUP(C662,IMPORTRANGE(""https://docs.google.com/spreadsheets/d/1ihFlp3_ePlYtFuPbUNbYj1muErVpI73WHXbEwJDIA7Q/edit#gid=1493122344"",""MTR!C:O""),8,false)"),"Does Not Comply")</f>
        <v>Does Not Comply</v>
      </c>
      <c r="O662" s="241" t="str">
        <f>IFERROR(__xludf.DUMMYFUNCTION("VLOOKUP(C662,IMPORTRANGE(""https://docs.google.com/spreadsheets/d/1P8eX0NWBhUPS_hvzA11R6jkTNFrPrRYIx_dX_hYbxrk/edit?resourcekey=0-iw9bsKY2OqkUHCFMkCar3A&amp;gid=2055363397#gid=2055363397"",""MTR!C:O""),9,false)"),"")</f>
        <v/>
      </c>
      <c r="P662" s="241"/>
      <c r="Q662" s="251" t="s">
        <v>516</v>
      </c>
      <c r="R662" s="241"/>
      <c r="S662" s="154" t="s">
        <v>66</v>
      </c>
      <c r="T662" s="154" t="s">
        <v>66</v>
      </c>
      <c r="U662" s="154" t="s">
        <v>60</v>
      </c>
      <c r="V662" s="154" t="s">
        <v>60</v>
      </c>
      <c r="W662" s="154" t="s">
        <v>60</v>
      </c>
      <c r="X662" s="154" t="s">
        <v>60</v>
      </c>
      <c r="Y662" s="154" t="s">
        <v>66</v>
      </c>
      <c r="Z662" s="154" t="s">
        <v>60</v>
      </c>
      <c r="AA662" s="154" t="s">
        <v>60</v>
      </c>
      <c r="AB662" s="154"/>
      <c r="AC662" s="242" t="b">
        <f t="shared" si="2"/>
        <v>1</v>
      </c>
      <c r="AD662" s="154" t="s">
        <v>391</v>
      </c>
      <c r="AE662" s="243" t="b">
        <f t="shared" si="3"/>
        <v>0</v>
      </c>
      <c r="AF662" s="154"/>
      <c r="AG662" s="243" t="b">
        <f t="shared" si="4"/>
        <v>0</v>
      </c>
      <c r="AH662" s="154"/>
      <c r="AI662" s="243" t="str">
        <f t="shared" si="5"/>
        <v>N/A</v>
      </c>
      <c r="AJ662" s="157" t="str">
        <f t="shared" si="6"/>
        <v/>
      </c>
    </row>
    <row r="663" ht="12.75" customHeight="1">
      <c r="A663" s="238" t="s">
        <v>621</v>
      </c>
      <c r="B663" s="238" t="s">
        <v>1339</v>
      </c>
      <c r="C663" s="238" t="s">
        <v>2051</v>
      </c>
      <c r="D663" s="240"/>
      <c r="E663" s="252" t="s">
        <v>92</v>
      </c>
      <c r="F663" s="154" t="str">
        <f t="array" ref="F663">XLOOKUP(Cover!$D$12,$S$1:$AA$1,$S663:$AA663)</f>
        <v>Heading</v>
      </c>
      <c r="G663" s="239" t="s">
        <v>2052</v>
      </c>
      <c r="H663" s="240"/>
      <c r="I663" s="240" t="s">
        <v>759</v>
      </c>
      <c r="J663" s="240"/>
      <c r="K663" s="240"/>
      <c r="L663" s="154" t="str">
        <f t="shared" si="1"/>
        <v/>
      </c>
      <c r="M663" s="241" t="str">
        <f>IFERROR(__xludf.DUMMYFUNCTION("VLOOKUP(C663,IMPORTRANGE(""https://docs.google.com/spreadsheets/d/1P8eX0NWBhUPS_hvzA11R6jkTNFrPrRYIx_dX_hYbxrk/edit?resourcekey=0-iw9bsKY2OqkUHCFMkCar3A&amp;gid=2055363397#gid=2055363397"",""MTR!C:O""),11,false)"),"")</f>
        <v/>
      </c>
      <c r="N663" s="241" t="str">
        <f>IFERROR(__xludf.DUMMYFUNCTION("VLOOKUP(C663,IMPORTRANGE(""https://docs.google.com/spreadsheets/d/1ihFlp3_ePlYtFuPbUNbYj1muErVpI73WHXbEwJDIA7Q/edit#gid=1493122344"",""MTR!C:O""),8,false)"),"")</f>
        <v/>
      </c>
      <c r="O663" s="241" t="str">
        <f>IFERROR(__xludf.DUMMYFUNCTION("VLOOKUP(C663,IMPORTRANGE(""https://docs.google.com/spreadsheets/d/1P8eX0NWBhUPS_hvzA11R6jkTNFrPrRYIx_dX_hYbxrk/edit?resourcekey=0-iw9bsKY2OqkUHCFMkCar3A&amp;gid=2055363397#gid=2055363397"",""MTR!C:O""),9,false)"),"")</f>
        <v/>
      </c>
      <c r="P663" s="241"/>
      <c r="Q663" s="251"/>
      <c r="R663" s="241"/>
      <c r="S663" s="240" t="s">
        <v>390</v>
      </c>
      <c r="T663" s="240" t="s">
        <v>390</v>
      </c>
      <c r="U663" s="240" t="s">
        <v>390</v>
      </c>
      <c r="V663" s="240" t="s">
        <v>390</v>
      </c>
      <c r="W663" s="240" t="s">
        <v>390</v>
      </c>
      <c r="X663" s="240" t="s">
        <v>390</v>
      </c>
      <c r="Y663" s="240" t="s">
        <v>390</v>
      </c>
      <c r="Z663" s="240" t="s">
        <v>390</v>
      </c>
      <c r="AA663" s="240" t="s">
        <v>390</v>
      </c>
      <c r="AB663" s="240"/>
      <c r="AC663" s="242" t="b">
        <f t="shared" si="2"/>
        <v>0</v>
      </c>
      <c r="AD663" s="240" t="s">
        <v>391</v>
      </c>
      <c r="AE663" s="243" t="b">
        <f t="shared" si="3"/>
        <v>0</v>
      </c>
      <c r="AF663" s="240"/>
      <c r="AG663" s="243" t="b">
        <f t="shared" si="4"/>
        <v>0</v>
      </c>
      <c r="AH663" s="240"/>
      <c r="AI663" s="243" t="str">
        <f t="shared" si="5"/>
        <v>N/A</v>
      </c>
      <c r="AJ663" s="157" t="str">
        <f t="shared" si="6"/>
        <v/>
      </c>
    </row>
    <row r="664" ht="12.75" customHeight="1">
      <c r="A664" s="244" t="s">
        <v>621</v>
      </c>
      <c r="B664" s="244" t="s">
        <v>1339</v>
      </c>
      <c r="C664" s="245" t="s">
        <v>2053</v>
      </c>
      <c r="D664" s="155" t="s">
        <v>747</v>
      </c>
      <c r="E664" s="246" t="s">
        <v>92</v>
      </c>
      <c r="F664" s="154" t="str">
        <f t="array" ref="F664">XLOOKUP(Cover!$D$12,$S$1:$AA$1,$S664:$AA664)</f>
        <v>Mandatory</v>
      </c>
      <c r="G664" s="153" t="s">
        <v>2054</v>
      </c>
      <c r="H664" s="154" t="s">
        <v>232</v>
      </c>
      <c r="I664" s="154" t="s">
        <v>759</v>
      </c>
      <c r="J664" s="154" t="s">
        <v>445</v>
      </c>
      <c r="K664" s="154"/>
      <c r="L664" s="154" t="str">
        <f t="shared" si="1"/>
        <v/>
      </c>
      <c r="M664" s="248" t="str">
        <f>IFERROR(__xludf.DUMMYFUNCTION("VLOOKUP(C664,IMPORTRANGE(""https://docs.google.com/spreadsheets/d/1P8eX0NWBhUPS_hvzA11R6jkTNFrPrRYIx_dX_hYbxrk/edit?resourcekey=0-iw9bsKY2OqkUHCFMkCar3A&amp;gid=2055363397#gid=2055363397"",""MTR!C:O""),11,false)"),"PMW-MCE-AS")</f>
        <v>PMW-MCE-AS</v>
      </c>
      <c r="N664" s="248" t="str">
        <f>IFERROR(__xludf.DUMMYFUNCTION("VLOOKUP(C664,IMPORTRANGE(""https://docs.google.com/spreadsheets/d/1ihFlp3_ePlYtFuPbUNbYj1muErVpI73WHXbEwJDIA7Q/edit#gid=1493122344"",""MTR!C:O""),8,false)"),"Complies")</f>
        <v>Complies</v>
      </c>
      <c r="O664" s="241" t="str">
        <f>IFERROR(__xludf.DUMMYFUNCTION("VLOOKUP(C664,IMPORTRANGE(""https://docs.google.com/spreadsheets/d/1P8eX0NWBhUPS_hvzA11R6jkTNFrPrRYIx_dX_hYbxrk/edit?resourcekey=0-iw9bsKY2OqkUHCFMkCar3A&amp;gid=2055363397#gid=2055363397"",""MTR!C:O""),9,false)"),"")</f>
        <v/>
      </c>
      <c r="P664" s="241"/>
      <c r="Q664" s="251" t="s">
        <v>445</v>
      </c>
      <c r="R664" s="241"/>
      <c r="S664" s="154" t="s">
        <v>66</v>
      </c>
      <c r="T664" s="154" t="s">
        <v>66</v>
      </c>
      <c r="U664" s="154" t="s">
        <v>60</v>
      </c>
      <c r="V664" s="154" t="s">
        <v>60</v>
      </c>
      <c r="W664" s="154" t="s">
        <v>60</v>
      </c>
      <c r="X664" s="154" t="s">
        <v>60</v>
      </c>
      <c r="Y664" s="154" t="s">
        <v>66</v>
      </c>
      <c r="Z664" s="154" t="s">
        <v>60</v>
      </c>
      <c r="AA664" s="154" t="s">
        <v>60</v>
      </c>
      <c r="AB664" s="154"/>
      <c r="AC664" s="242" t="b">
        <f t="shared" si="2"/>
        <v>1</v>
      </c>
      <c r="AD664" s="154" t="s">
        <v>391</v>
      </c>
      <c r="AE664" s="243" t="b">
        <f t="shared" si="3"/>
        <v>0</v>
      </c>
      <c r="AF664" s="154"/>
      <c r="AG664" s="243" t="b">
        <f t="shared" si="4"/>
        <v>0</v>
      </c>
      <c r="AH664" s="154"/>
      <c r="AI664" s="243" t="str">
        <f t="shared" si="5"/>
        <v>N/A</v>
      </c>
      <c r="AJ664" s="157" t="str">
        <f t="shared" si="6"/>
        <v/>
      </c>
    </row>
    <row r="665" ht="12.75" customHeight="1">
      <c r="A665" s="244" t="s">
        <v>621</v>
      </c>
      <c r="B665" s="244" t="s">
        <v>1339</v>
      </c>
      <c r="C665" s="245" t="s">
        <v>2055</v>
      </c>
      <c r="D665" s="155" t="s">
        <v>1069</v>
      </c>
      <c r="E665" s="246" t="s">
        <v>92</v>
      </c>
      <c r="F665" s="154" t="str">
        <f t="array" ref="F665">XLOOKUP(Cover!$D$12,$S$1:$AA$1,$S665:$AA665)</f>
        <v>Mandatory</v>
      </c>
      <c r="G665" s="153" t="s">
        <v>2056</v>
      </c>
      <c r="H665" s="154" t="s">
        <v>232</v>
      </c>
      <c r="I665" s="154" t="s">
        <v>759</v>
      </c>
      <c r="J665" s="154" t="s">
        <v>445</v>
      </c>
      <c r="K665" s="154"/>
      <c r="L665" s="154" t="str">
        <f t="shared" si="1"/>
        <v/>
      </c>
      <c r="M665" s="248" t="str">
        <f>IFERROR(__xludf.DUMMYFUNCTION("VLOOKUP(C665,IMPORTRANGE(""https://docs.google.com/spreadsheets/d/1P8eX0NWBhUPS_hvzA11R6jkTNFrPrRYIx_dX_hYbxrk/edit?resourcekey=0-iw9bsKY2OqkUHCFMkCar3A&amp;gid=2055363397#gid=2055363397"",""MTR!C:O""),11,false)"),"PMW-MCE-AS")</f>
        <v>PMW-MCE-AS</v>
      </c>
      <c r="N665" s="248" t="str">
        <f>IFERROR(__xludf.DUMMYFUNCTION("VLOOKUP(C665,IMPORTRANGE(""https://docs.google.com/spreadsheets/d/1ihFlp3_ePlYtFuPbUNbYj1muErVpI73WHXbEwJDIA7Q/edit#gid=1493122344"",""MTR!C:O""),8,false)"),"Complies")</f>
        <v>Complies</v>
      </c>
      <c r="O665" s="241" t="str">
        <f>IFERROR(__xludf.DUMMYFUNCTION("VLOOKUP(C665,IMPORTRANGE(""https://docs.google.com/spreadsheets/d/1P8eX0NWBhUPS_hvzA11R6jkTNFrPrRYIx_dX_hYbxrk/edit?resourcekey=0-iw9bsKY2OqkUHCFMkCar3A&amp;gid=2055363397#gid=2055363397"",""MTR!C:O""),9,false)"),"")</f>
        <v/>
      </c>
      <c r="P665" s="241"/>
      <c r="Q665" s="251" t="s">
        <v>445</v>
      </c>
      <c r="R665" s="241"/>
      <c r="S665" s="154" t="s">
        <v>66</v>
      </c>
      <c r="T665" s="154" t="s">
        <v>66</v>
      </c>
      <c r="U665" s="154" t="s">
        <v>60</v>
      </c>
      <c r="V665" s="154" t="s">
        <v>60</v>
      </c>
      <c r="W665" s="154" t="s">
        <v>60</v>
      </c>
      <c r="X665" s="154" t="s">
        <v>60</v>
      </c>
      <c r="Y665" s="154" t="s">
        <v>66</v>
      </c>
      <c r="Z665" s="154" t="s">
        <v>60</v>
      </c>
      <c r="AA665" s="154" t="s">
        <v>60</v>
      </c>
      <c r="AB665" s="154"/>
      <c r="AC665" s="242" t="b">
        <f t="shared" si="2"/>
        <v>1</v>
      </c>
      <c r="AD665" s="154" t="s">
        <v>391</v>
      </c>
      <c r="AE665" s="243" t="b">
        <f t="shared" si="3"/>
        <v>0</v>
      </c>
      <c r="AF665" s="154"/>
      <c r="AG665" s="243" t="b">
        <f t="shared" si="4"/>
        <v>0</v>
      </c>
      <c r="AH665" s="154"/>
      <c r="AI665" s="243" t="str">
        <f t="shared" si="5"/>
        <v>N/A</v>
      </c>
      <c r="AJ665" s="157" t="str">
        <f t="shared" si="6"/>
        <v/>
      </c>
    </row>
    <row r="666" ht="12.75" customHeight="1">
      <c r="A666" s="244" t="s">
        <v>621</v>
      </c>
      <c r="B666" s="244" t="s">
        <v>1339</v>
      </c>
      <c r="C666" s="244" t="s">
        <v>2057</v>
      </c>
      <c r="D666" s="154" t="s">
        <v>747</v>
      </c>
      <c r="E666" s="250"/>
      <c r="F666" s="154" t="str">
        <f t="array" ref="F666">XLOOKUP(Cover!$D$12,$S$1:$AA$1,$S666:$AA666)</f>
        <v>Mandatory</v>
      </c>
      <c r="G666" s="153" t="s">
        <v>2058</v>
      </c>
      <c r="H666" s="154" t="s">
        <v>232</v>
      </c>
      <c r="I666" s="154" t="s">
        <v>759</v>
      </c>
      <c r="J666" s="154" t="s">
        <v>445</v>
      </c>
      <c r="K666" s="154"/>
      <c r="L666" s="154" t="str">
        <f t="shared" si="1"/>
        <v/>
      </c>
      <c r="M666" s="248" t="str">
        <f>IFERROR(__xludf.DUMMYFUNCTION("VLOOKUP(C666,IMPORTRANGE(""https://docs.google.com/spreadsheets/d/1P8eX0NWBhUPS_hvzA11R6jkTNFrPrRYIx_dX_hYbxrk/edit?resourcekey=0-iw9bsKY2OqkUHCFMkCar3A&amp;gid=2055363397#gid=2055363397"",""MTR!C:O""),11,false)"),"PMW-MCE-AS")</f>
        <v>PMW-MCE-AS</v>
      </c>
      <c r="N666" s="248" t="str">
        <f>IFERROR(__xludf.DUMMYFUNCTION("VLOOKUP(C666,IMPORTRANGE(""https://docs.google.com/spreadsheets/d/1ihFlp3_ePlYtFuPbUNbYj1muErVpI73WHXbEwJDIA7Q/edit#gid=1493122344"",""MTR!C:O""),8,false)"),"Complies")</f>
        <v>Complies</v>
      </c>
      <c r="O666" s="241" t="str">
        <f>IFERROR(__xludf.DUMMYFUNCTION("VLOOKUP(C666,IMPORTRANGE(""https://docs.google.com/spreadsheets/d/1P8eX0NWBhUPS_hvzA11R6jkTNFrPrRYIx_dX_hYbxrk/edit?resourcekey=0-iw9bsKY2OqkUHCFMkCar3A&amp;gid=2055363397#gid=2055363397"",""MTR!C:O""),9,false)"),"")</f>
        <v/>
      </c>
      <c r="P666" s="241"/>
      <c r="Q666" s="251" t="s">
        <v>445</v>
      </c>
      <c r="R666" s="241"/>
      <c r="S666" s="154" t="s">
        <v>66</v>
      </c>
      <c r="T666" s="154" t="s">
        <v>66</v>
      </c>
      <c r="U666" s="154" t="s">
        <v>60</v>
      </c>
      <c r="V666" s="154" t="s">
        <v>60</v>
      </c>
      <c r="W666" s="154" t="s">
        <v>60</v>
      </c>
      <c r="X666" s="154" t="s">
        <v>60</v>
      </c>
      <c r="Y666" s="154" t="s">
        <v>66</v>
      </c>
      <c r="Z666" s="154" t="s">
        <v>60</v>
      </c>
      <c r="AA666" s="154" t="s">
        <v>60</v>
      </c>
      <c r="AB666" s="154"/>
      <c r="AC666" s="242" t="b">
        <f t="shared" si="2"/>
        <v>1</v>
      </c>
      <c r="AD666" s="154" t="s">
        <v>391</v>
      </c>
      <c r="AE666" s="243" t="b">
        <f t="shared" si="3"/>
        <v>0</v>
      </c>
      <c r="AF666" s="154"/>
      <c r="AG666" s="243" t="b">
        <f t="shared" si="4"/>
        <v>0</v>
      </c>
      <c r="AH666" s="154"/>
      <c r="AI666" s="243" t="str">
        <f t="shared" si="5"/>
        <v>N/A</v>
      </c>
      <c r="AJ666" s="157" t="str">
        <f t="shared" si="6"/>
        <v/>
      </c>
    </row>
    <row r="667" ht="12.75" customHeight="1">
      <c r="A667" s="244" t="s">
        <v>621</v>
      </c>
      <c r="B667" s="244" t="s">
        <v>1339</v>
      </c>
      <c r="C667" s="244" t="s">
        <v>2059</v>
      </c>
      <c r="D667" s="154" t="s">
        <v>747</v>
      </c>
      <c r="E667" s="250"/>
      <c r="F667" s="154" t="str">
        <f t="array" ref="F667">XLOOKUP(Cover!$D$12,$S$1:$AA$1,$S667:$AA667)</f>
        <v>Mandatory</v>
      </c>
      <c r="G667" s="153" t="s">
        <v>2060</v>
      </c>
      <c r="H667" s="154" t="s">
        <v>232</v>
      </c>
      <c r="I667" s="154" t="s">
        <v>759</v>
      </c>
      <c r="J667" s="154" t="s">
        <v>445</v>
      </c>
      <c r="K667" s="154"/>
      <c r="L667" s="154" t="str">
        <f t="shared" si="1"/>
        <v/>
      </c>
      <c r="M667" s="248" t="str">
        <f>IFERROR(__xludf.DUMMYFUNCTION("VLOOKUP(C667,IMPORTRANGE(""https://docs.google.com/spreadsheets/d/1P8eX0NWBhUPS_hvzA11R6jkTNFrPrRYIx_dX_hYbxrk/edit?resourcekey=0-iw9bsKY2OqkUHCFMkCar3A&amp;gid=2055363397#gid=2055363397"",""MTR!C:O""),11,false)"),"PMW-MCE-AS")</f>
        <v>PMW-MCE-AS</v>
      </c>
      <c r="N667" s="248" t="str">
        <f>IFERROR(__xludf.DUMMYFUNCTION("VLOOKUP(C667,IMPORTRANGE(""https://docs.google.com/spreadsheets/d/1ihFlp3_ePlYtFuPbUNbYj1muErVpI73WHXbEwJDIA7Q/edit#gid=1493122344"",""MTR!C:O""),8,false)"),"Complies")</f>
        <v>Complies</v>
      </c>
      <c r="O667" s="241" t="str">
        <f>IFERROR(__xludf.DUMMYFUNCTION("VLOOKUP(C667,IMPORTRANGE(""https://docs.google.com/spreadsheets/d/1P8eX0NWBhUPS_hvzA11R6jkTNFrPrRYIx_dX_hYbxrk/edit?resourcekey=0-iw9bsKY2OqkUHCFMkCar3A&amp;gid=2055363397#gid=2055363397"",""MTR!C:O""),9,false)"),"")</f>
        <v/>
      </c>
      <c r="P667" s="241"/>
      <c r="Q667" s="251" t="s">
        <v>445</v>
      </c>
      <c r="R667" s="241"/>
      <c r="S667" s="154" t="s">
        <v>66</v>
      </c>
      <c r="T667" s="154" t="s">
        <v>66</v>
      </c>
      <c r="U667" s="154" t="s">
        <v>60</v>
      </c>
      <c r="V667" s="154" t="s">
        <v>60</v>
      </c>
      <c r="W667" s="154" t="s">
        <v>60</v>
      </c>
      <c r="X667" s="154" t="s">
        <v>60</v>
      </c>
      <c r="Y667" s="154" t="s">
        <v>66</v>
      </c>
      <c r="Z667" s="154" t="s">
        <v>60</v>
      </c>
      <c r="AA667" s="154" t="s">
        <v>60</v>
      </c>
      <c r="AB667" s="154"/>
      <c r="AC667" s="242" t="b">
        <f t="shared" si="2"/>
        <v>1</v>
      </c>
      <c r="AD667" s="154" t="s">
        <v>391</v>
      </c>
      <c r="AE667" s="243" t="b">
        <f t="shared" si="3"/>
        <v>0</v>
      </c>
      <c r="AF667" s="154"/>
      <c r="AG667" s="243" t="b">
        <f t="shared" si="4"/>
        <v>0</v>
      </c>
      <c r="AH667" s="154"/>
      <c r="AI667" s="243" t="str">
        <f t="shared" si="5"/>
        <v>N/A</v>
      </c>
      <c r="AJ667" s="157" t="str">
        <f t="shared" si="6"/>
        <v/>
      </c>
    </row>
    <row r="668" ht="12.75" customHeight="1">
      <c r="A668" s="244" t="s">
        <v>621</v>
      </c>
      <c r="B668" s="244" t="s">
        <v>1339</v>
      </c>
      <c r="C668" s="244" t="s">
        <v>2061</v>
      </c>
      <c r="D668" s="154" t="s">
        <v>747</v>
      </c>
      <c r="E668" s="250"/>
      <c r="F668" s="154" t="str">
        <f t="array" ref="F668">XLOOKUP(Cover!$D$12,$S$1:$AA$1,$S668:$AA668)</f>
        <v>Mandatory</v>
      </c>
      <c r="G668" s="153" t="s">
        <v>2062</v>
      </c>
      <c r="H668" s="154" t="s">
        <v>232</v>
      </c>
      <c r="I668" s="154" t="s">
        <v>759</v>
      </c>
      <c r="J668" s="154" t="s">
        <v>445</v>
      </c>
      <c r="K668" s="154"/>
      <c r="L668" s="154" t="str">
        <f t="shared" si="1"/>
        <v/>
      </c>
      <c r="M668" s="248" t="str">
        <f>IFERROR(__xludf.DUMMYFUNCTION("VLOOKUP(C668,IMPORTRANGE(""https://docs.google.com/spreadsheets/d/1P8eX0NWBhUPS_hvzA11R6jkTNFrPrRYIx_dX_hYbxrk/edit?resourcekey=0-iw9bsKY2OqkUHCFMkCar3A&amp;gid=2055363397#gid=2055363397"",""MTR!C:O""),11,false)"),"PMW-MCE-AS")</f>
        <v>PMW-MCE-AS</v>
      </c>
      <c r="N668" s="248" t="str">
        <f>IFERROR(__xludf.DUMMYFUNCTION("VLOOKUP(C668,IMPORTRANGE(""https://docs.google.com/spreadsheets/d/1ihFlp3_ePlYtFuPbUNbYj1muErVpI73WHXbEwJDIA7Q/edit#gid=1493122344"",""MTR!C:O""),8,false)"),"Complies")</f>
        <v>Complies</v>
      </c>
      <c r="O668" s="241" t="str">
        <f>IFERROR(__xludf.DUMMYFUNCTION("VLOOKUP(C668,IMPORTRANGE(""https://docs.google.com/spreadsheets/d/1P8eX0NWBhUPS_hvzA11R6jkTNFrPrRYIx_dX_hYbxrk/edit?resourcekey=0-iw9bsKY2OqkUHCFMkCar3A&amp;gid=2055363397#gid=2055363397"",""MTR!C:O""),9,false)"),"")</f>
        <v/>
      </c>
      <c r="P668" s="241"/>
      <c r="Q668" s="251" t="s">
        <v>445</v>
      </c>
      <c r="R668" s="241"/>
      <c r="S668" s="154" t="s">
        <v>66</v>
      </c>
      <c r="T668" s="154" t="s">
        <v>66</v>
      </c>
      <c r="U668" s="154" t="s">
        <v>60</v>
      </c>
      <c r="V668" s="154" t="s">
        <v>60</v>
      </c>
      <c r="W668" s="154" t="s">
        <v>60</v>
      </c>
      <c r="X668" s="154" t="s">
        <v>60</v>
      </c>
      <c r="Y668" s="154" t="s">
        <v>66</v>
      </c>
      <c r="Z668" s="154" t="s">
        <v>60</v>
      </c>
      <c r="AA668" s="154" t="s">
        <v>60</v>
      </c>
      <c r="AB668" s="154"/>
      <c r="AC668" s="242" t="b">
        <f t="shared" si="2"/>
        <v>1</v>
      </c>
      <c r="AD668" s="154" t="s">
        <v>391</v>
      </c>
      <c r="AE668" s="243" t="b">
        <f t="shared" si="3"/>
        <v>0</v>
      </c>
      <c r="AF668" s="154"/>
      <c r="AG668" s="243" t="b">
        <f t="shared" si="4"/>
        <v>0</v>
      </c>
      <c r="AH668" s="154"/>
      <c r="AI668" s="243" t="str">
        <f t="shared" si="5"/>
        <v>N/A</v>
      </c>
      <c r="AJ668" s="157" t="str">
        <f t="shared" si="6"/>
        <v/>
      </c>
    </row>
    <row r="669" ht="12.75" customHeight="1">
      <c r="A669" s="244" t="s">
        <v>621</v>
      </c>
      <c r="B669" s="244" t="s">
        <v>1339</v>
      </c>
      <c r="C669" s="244" t="s">
        <v>2063</v>
      </c>
      <c r="D669" s="154" t="s">
        <v>747</v>
      </c>
      <c r="E669" s="250"/>
      <c r="F669" s="154" t="str">
        <f t="array" ref="F669">XLOOKUP(Cover!$D$12,$S$1:$AA$1,$S669:$AA669)</f>
        <v>Mandatory</v>
      </c>
      <c r="G669" s="153" t="s">
        <v>2064</v>
      </c>
      <c r="H669" s="154" t="s">
        <v>232</v>
      </c>
      <c r="I669" s="154" t="s">
        <v>759</v>
      </c>
      <c r="J669" s="154" t="s">
        <v>445</v>
      </c>
      <c r="K669" s="154"/>
      <c r="L669" s="154" t="str">
        <f t="shared" si="1"/>
        <v/>
      </c>
      <c r="M669" s="248" t="str">
        <f>IFERROR(__xludf.DUMMYFUNCTION("VLOOKUP(C669,IMPORTRANGE(""https://docs.google.com/spreadsheets/d/1P8eX0NWBhUPS_hvzA11R6jkTNFrPrRYIx_dX_hYbxrk/edit?resourcekey=0-iw9bsKY2OqkUHCFMkCar3A&amp;gid=2055363397#gid=2055363397"",""MTR!C:O""),11,false)"),"PMW-MCE-AS")</f>
        <v>PMW-MCE-AS</v>
      </c>
      <c r="N669" s="248" t="str">
        <f>IFERROR(__xludf.DUMMYFUNCTION("VLOOKUP(C669,IMPORTRANGE(""https://docs.google.com/spreadsheets/d/1ihFlp3_ePlYtFuPbUNbYj1muErVpI73WHXbEwJDIA7Q/edit#gid=1493122344"",""MTR!C:O""),8,false)"),"Complies")</f>
        <v>Complies</v>
      </c>
      <c r="O669" s="241" t="str">
        <f>IFERROR(__xludf.DUMMYFUNCTION("VLOOKUP(C669,IMPORTRANGE(""https://docs.google.com/spreadsheets/d/1P8eX0NWBhUPS_hvzA11R6jkTNFrPrRYIx_dX_hYbxrk/edit?resourcekey=0-iw9bsKY2OqkUHCFMkCar3A&amp;gid=2055363397#gid=2055363397"",""MTR!C:O""),9,false)"),"")</f>
        <v/>
      </c>
      <c r="P669" s="241"/>
      <c r="Q669" s="251" t="s">
        <v>445</v>
      </c>
      <c r="R669" s="241"/>
      <c r="S669" s="154" t="s">
        <v>66</v>
      </c>
      <c r="T669" s="154" t="s">
        <v>66</v>
      </c>
      <c r="U669" s="154" t="s">
        <v>60</v>
      </c>
      <c r="V669" s="154" t="s">
        <v>60</v>
      </c>
      <c r="W669" s="154" t="s">
        <v>60</v>
      </c>
      <c r="X669" s="154" t="s">
        <v>60</v>
      </c>
      <c r="Y669" s="154" t="s">
        <v>66</v>
      </c>
      <c r="Z669" s="154" t="s">
        <v>60</v>
      </c>
      <c r="AA669" s="154" t="s">
        <v>60</v>
      </c>
      <c r="AB669" s="154"/>
      <c r="AC669" s="242" t="b">
        <f t="shared" si="2"/>
        <v>1</v>
      </c>
      <c r="AD669" s="154" t="s">
        <v>391</v>
      </c>
      <c r="AE669" s="243" t="b">
        <f t="shared" si="3"/>
        <v>0</v>
      </c>
      <c r="AF669" s="154"/>
      <c r="AG669" s="243" t="b">
        <f t="shared" si="4"/>
        <v>0</v>
      </c>
      <c r="AH669" s="154"/>
      <c r="AI669" s="243" t="str">
        <f t="shared" si="5"/>
        <v>N/A</v>
      </c>
      <c r="AJ669" s="157" t="str">
        <f t="shared" si="6"/>
        <v/>
      </c>
    </row>
    <row r="670" ht="12.75" customHeight="1">
      <c r="A670" s="244" t="s">
        <v>621</v>
      </c>
      <c r="B670" s="244" t="s">
        <v>1339</v>
      </c>
      <c r="C670" s="244" t="s">
        <v>2065</v>
      </c>
      <c r="D670" s="244" t="s">
        <v>747</v>
      </c>
      <c r="E670" s="244"/>
      <c r="F670" s="154" t="str">
        <f t="array" ref="F670">XLOOKUP(Cover!$D$12,$S$1:$AA$1,$S670:$AA670)</f>
        <v>Comment</v>
      </c>
      <c r="G670" s="153" t="s">
        <v>2066</v>
      </c>
      <c r="H670" s="154"/>
      <c r="I670" s="154" t="s">
        <v>759</v>
      </c>
      <c r="J670" s="154"/>
      <c r="K670" s="154"/>
      <c r="L670" s="154" t="str">
        <f t="shared" si="1"/>
        <v/>
      </c>
      <c r="M670" s="241" t="str">
        <f>IFERROR(__xludf.DUMMYFUNCTION("VLOOKUP(C670,IMPORTRANGE(""https://docs.google.com/spreadsheets/d/1P8eX0NWBhUPS_hvzA11R6jkTNFrPrRYIx_dX_hYbxrk/edit?resourcekey=0-iw9bsKY2OqkUHCFMkCar3A&amp;gid=2055363397#gid=2055363397"",""MTR!C:O""),11,false)"),"")</f>
        <v/>
      </c>
      <c r="N670" s="241" t="str">
        <f>IFERROR(__xludf.DUMMYFUNCTION("VLOOKUP(C670,IMPORTRANGE(""https://docs.google.com/spreadsheets/d/1ihFlp3_ePlYtFuPbUNbYj1muErVpI73WHXbEwJDIA7Q/edit#gid=1493122344"",""MTR!C:O""),8,false)"),"")</f>
        <v/>
      </c>
      <c r="O670" s="241" t="str">
        <f>IFERROR(__xludf.DUMMYFUNCTION("VLOOKUP(C670,IMPORTRANGE(""https://docs.google.com/spreadsheets/d/1P8eX0NWBhUPS_hvzA11R6jkTNFrPrRYIx_dX_hYbxrk/edit?resourcekey=0-iw9bsKY2OqkUHCFMkCar3A&amp;gid=2055363397#gid=2055363397"",""MTR!C:O""),9,false)"),"")</f>
        <v/>
      </c>
      <c r="P670" s="241"/>
      <c r="Q670" s="251"/>
      <c r="R670" s="241"/>
      <c r="S670" s="154" t="s">
        <v>35</v>
      </c>
      <c r="T670" s="154" t="s">
        <v>35</v>
      </c>
      <c r="U670" s="154" t="s">
        <v>35</v>
      </c>
      <c r="V670" s="154" t="s">
        <v>35</v>
      </c>
      <c r="W670" s="154" t="s">
        <v>35</v>
      </c>
      <c r="X670" s="154" t="s">
        <v>35</v>
      </c>
      <c r="Y670" s="154" t="s">
        <v>35</v>
      </c>
      <c r="Z670" s="154" t="s">
        <v>35</v>
      </c>
      <c r="AA670" s="154" t="s">
        <v>35</v>
      </c>
      <c r="AB670" s="154"/>
      <c r="AC670" s="242" t="b">
        <f t="shared" si="2"/>
        <v>0</v>
      </c>
      <c r="AD670" s="154" t="s">
        <v>391</v>
      </c>
      <c r="AE670" s="243" t="b">
        <f t="shared" si="3"/>
        <v>0</v>
      </c>
      <c r="AF670" s="154"/>
      <c r="AG670" s="243" t="b">
        <f t="shared" si="4"/>
        <v>0</v>
      </c>
      <c r="AH670" s="154"/>
      <c r="AI670" s="243" t="str">
        <f t="shared" si="5"/>
        <v>N/A</v>
      </c>
      <c r="AJ670" s="157" t="str">
        <f t="shared" si="6"/>
        <v/>
      </c>
    </row>
    <row r="671" ht="12.75" customHeight="1">
      <c r="A671" s="244" t="s">
        <v>621</v>
      </c>
      <c r="B671" s="244" t="s">
        <v>1339</v>
      </c>
      <c r="C671" s="244" t="s">
        <v>2067</v>
      </c>
      <c r="D671" s="154" t="s">
        <v>747</v>
      </c>
      <c r="E671" s="250"/>
      <c r="F671" s="154" t="str">
        <f t="array" ref="F671">XLOOKUP(Cover!$D$12,$S$1:$AA$1,$S671:$AA671)</f>
        <v>Mandatory</v>
      </c>
      <c r="G671" s="153" t="s">
        <v>2068</v>
      </c>
      <c r="H671" s="154" t="s">
        <v>232</v>
      </c>
      <c r="I671" s="154" t="s">
        <v>759</v>
      </c>
      <c r="J671" s="154" t="s">
        <v>445</v>
      </c>
      <c r="K671" s="154"/>
      <c r="L671" s="154" t="str">
        <f t="shared" si="1"/>
        <v/>
      </c>
      <c r="M671" s="248" t="str">
        <f>IFERROR(__xludf.DUMMYFUNCTION("VLOOKUP(C671,IMPORTRANGE(""https://docs.google.com/spreadsheets/d/1P8eX0NWBhUPS_hvzA11R6jkTNFrPrRYIx_dX_hYbxrk/edit?resourcekey=0-iw9bsKY2OqkUHCFMkCar3A&amp;gid=2055363397#gid=2055363397"",""MTR!C:O""),11,false)"),"PMW-MCE-AS")</f>
        <v>PMW-MCE-AS</v>
      </c>
      <c r="N671" s="248" t="str">
        <f>IFERROR(__xludf.DUMMYFUNCTION("VLOOKUP(C671,IMPORTRANGE(""https://docs.google.com/spreadsheets/d/1ihFlp3_ePlYtFuPbUNbYj1muErVpI73WHXbEwJDIA7Q/edit#gid=1493122344"",""MTR!C:O""),8,false)"),"Complies")</f>
        <v>Complies</v>
      </c>
      <c r="O671" s="241" t="str">
        <f>IFERROR(__xludf.DUMMYFUNCTION("VLOOKUP(C671,IMPORTRANGE(""https://docs.google.com/spreadsheets/d/1P8eX0NWBhUPS_hvzA11R6jkTNFrPrRYIx_dX_hYbxrk/edit?resourcekey=0-iw9bsKY2OqkUHCFMkCar3A&amp;gid=2055363397#gid=2055363397"",""MTR!C:O""),9,false)"),"")</f>
        <v/>
      </c>
      <c r="P671" s="241"/>
      <c r="Q671" s="251" t="s">
        <v>445</v>
      </c>
      <c r="R671" s="241"/>
      <c r="S671" s="154" t="s">
        <v>66</v>
      </c>
      <c r="T671" s="154" t="s">
        <v>66</v>
      </c>
      <c r="U671" s="154" t="s">
        <v>60</v>
      </c>
      <c r="V671" s="154" t="s">
        <v>60</v>
      </c>
      <c r="W671" s="154" t="s">
        <v>60</v>
      </c>
      <c r="X671" s="154" t="s">
        <v>60</v>
      </c>
      <c r="Y671" s="154" t="s">
        <v>66</v>
      </c>
      <c r="Z671" s="154" t="s">
        <v>60</v>
      </c>
      <c r="AA671" s="154" t="s">
        <v>60</v>
      </c>
      <c r="AB671" s="154"/>
      <c r="AC671" s="242" t="b">
        <f t="shared" si="2"/>
        <v>1</v>
      </c>
      <c r="AD671" s="154" t="s">
        <v>391</v>
      </c>
      <c r="AE671" s="243" t="b">
        <f t="shared" si="3"/>
        <v>0</v>
      </c>
      <c r="AF671" s="154"/>
      <c r="AG671" s="243" t="b">
        <f t="shared" si="4"/>
        <v>0</v>
      </c>
      <c r="AH671" s="154"/>
      <c r="AI671" s="243" t="str">
        <f t="shared" si="5"/>
        <v>N/A</v>
      </c>
      <c r="AJ671" s="157" t="str">
        <f t="shared" si="6"/>
        <v/>
      </c>
    </row>
    <row r="672" ht="12.75" customHeight="1">
      <c r="A672" s="244" t="s">
        <v>621</v>
      </c>
      <c r="B672" s="244" t="s">
        <v>1339</v>
      </c>
      <c r="C672" s="245" t="s">
        <v>2069</v>
      </c>
      <c r="D672" s="155" t="s">
        <v>747</v>
      </c>
      <c r="E672" s="246" t="s">
        <v>92</v>
      </c>
      <c r="F672" s="154" t="str">
        <f t="array" ref="F672">XLOOKUP(Cover!$D$12,$S$1:$AA$1,$S672:$AA672)</f>
        <v>Mandatory</v>
      </c>
      <c r="G672" s="153" t="s">
        <v>2070</v>
      </c>
      <c r="H672" s="154" t="s">
        <v>232</v>
      </c>
      <c r="I672" s="154" t="s">
        <v>759</v>
      </c>
      <c r="J672" s="154" t="s">
        <v>445</v>
      </c>
      <c r="K672" s="154"/>
      <c r="L672" s="154" t="str">
        <f t="shared" si="1"/>
        <v/>
      </c>
      <c r="M672" s="248" t="str">
        <f>IFERROR(__xludf.DUMMYFUNCTION("VLOOKUP(C672,IMPORTRANGE(""https://docs.google.com/spreadsheets/d/1P8eX0NWBhUPS_hvzA11R6jkTNFrPrRYIx_dX_hYbxrk/edit?resourcekey=0-iw9bsKY2OqkUHCFMkCar3A&amp;gid=2055363397#gid=2055363397"",""MTR!C:O""),11,false)"),"PMW-MCE-AS")</f>
        <v>PMW-MCE-AS</v>
      </c>
      <c r="N672" s="248" t="str">
        <f>IFERROR(__xludf.DUMMYFUNCTION("VLOOKUP(C672,IMPORTRANGE(""https://docs.google.com/spreadsheets/d/1ihFlp3_ePlYtFuPbUNbYj1muErVpI73WHXbEwJDIA7Q/edit#gid=1493122344"",""MTR!C:O""),8,false)"),"Complies")</f>
        <v>Complies</v>
      </c>
      <c r="O672" s="241" t="str">
        <f>IFERROR(__xludf.DUMMYFUNCTION("VLOOKUP(C672,IMPORTRANGE(""https://docs.google.com/spreadsheets/d/1P8eX0NWBhUPS_hvzA11R6jkTNFrPrRYIx_dX_hYbxrk/edit?resourcekey=0-iw9bsKY2OqkUHCFMkCar3A&amp;gid=2055363397#gid=2055363397"",""MTR!C:O""),9,false)"),"")</f>
        <v/>
      </c>
      <c r="P672" s="241"/>
      <c r="Q672" s="251" t="s">
        <v>445</v>
      </c>
      <c r="R672" s="241"/>
      <c r="S672" s="154" t="s">
        <v>66</v>
      </c>
      <c r="T672" s="154" t="s">
        <v>66</v>
      </c>
      <c r="U672" s="154" t="s">
        <v>60</v>
      </c>
      <c r="V672" s="154" t="s">
        <v>60</v>
      </c>
      <c r="W672" s="154" t="s">
        <v>60</v>
      </c>
      <c r="X672" s="154" t="s">
        <v>60</v>
      </c>
      <c r="Y672" s="154" t="s">
        <v>66</v>
      </c>
      <c r="Z672" s="154" t="s">
        <v>60</v>
      </c>
      <c r="AA672" s="154" t="s">
        <v>60</v>
      </c>
      <c r="AB672" s="154"/>
      <c r="AC672" s="242" t="b">
        <f t="shared" si="2"/>
        <v>1</v>
      </c>
      <c r="AD672" s="154" t="s">
        <v>391</v>
      </c>
      <c r="AE672" s="243" t="b">
        <f t="shared" si="3"/>
        <v>0</v>
      </c>
      <c r="AF672" s="154"/>
      <c r="AG672" s="243" t="b">
        <f t="shared" si="4"/>
        <v>0</v>
      </c>
      <c r="AH672" s="154"/>
      <c r="AI672" s="243" t="str">
        <f t="shared" si="5"/>
        <v>N/A</v>
      </c>
      <c r="AJ672" s="157" t="str">
        <f t="shared" si="6"/>
        <v/>
      </c>
    </row>
    <row r="673" ht="12.75" customHeight="1">
      <c r="A673" s="244" t="s">
        <v>621</v>
      </c>
      <c r="B673" s="244" t="s">
        <v>1339</v>
      </c>
      <c r="C673" s="244" t="s">
        <v>2071</v>
      </c>
      <c r="D673" s="244" t="s">
        <v>747</v>
      </c>
      <c r="E673" s="244"/>
      <c r="F673" s="154" t="str">
        <f t="array" ref="F673">XLOOKUP(Cover!$D$12,$S$1:$AA$1,$S673:$AA673)</f>
        <v>Comment</v>
      </c>
      <c r="G673" s="153" t="s">
        <v>2072</v>
      </c>
      <c r="H673" s="154"/>
      <c r="I673" s="154" t="s">
        <v>759</v>
      </c>
      <c r="J673" s="154"/>
      <c r="K673" s="154"/>
      <c r="L673" s="154" t="str">
        <f t="shared" si="1"/>
        <v/>
      </c>
      <c r="M673" s="241" t="str">
        <f>IFERROR(__xludf.DUMMYFUNCTION("VLOOKUP(C673,IMPORTRANGE(""https://docs.google.com/spreadsheets/d/1P8eX0NWBhUPS_hvzA11R6jkTNFrPrRYIx_dX_hYbxrk/edit?resourcekey=0-iw9bsKY2OqkUHCFMkCar3A&amp;gid=2055363397#gid=2055363397"",""MTR!C:O""),11,false)"),"")</f>
        <v/>
      </c>
      <c r="N673" s="241" t="str">
        <f>IFERROR(__xludf.DUMMYFUNCTION("VLOOKUP(C673,IMPORTRANGE(""https://docs.google.com/spreadsheets/d/1ihFlp3_ePlYtFuPbUNbYj1muErVpI73WHXbEwJDIA7Q/edit#gid=1493122344"",""MTR!C:O""),8,false)"),"")</f>
        <v/>
      </c>
      <c r="O673" s="241" t="str">
        <f>IFERROR(__xludf.DUMMYFUNCTION("VLOOKUP(C673,IMPORTRANGE(""https://docs.google.com/spreadsheets/d/1P8eX0NWBhUPS_hvzA11R6jkTNFrPrRYIx_dX_hYbxrk/edit?resourcekey=0-iw9bsKY2OqkUHCFMkCar3A&amp;gid=2055363397#gid=2055363397"",""MTR!C:O""),9,false)"),"")</f>
        <v/>
      </c>
      <c r="P673" s="241"/>
      <c r="Q673" s="251"/>
      <c r="R673" s="241"/>
      <c r="S673" s="154" t="s">
        <v>35</v>
      </c>
      <c r="T673" s="154" t="s">
        <v>35</v>
      </c>
      <c r="U673" s="154" t="s">
        <v>35</v>
      </c>
      <c r="V673" s="154" t="s">
        <v>35</v>
      </c>
      <c r="W673" s="154" t="s">
        <v>35</v>
      </c>
      <c r="X673" s="154" t="s">
        <v>35</v>
      </c>
      <c r="Y673" s="154" t="s">
        <v>35</v>
      </c>
      <c r="Z673" s="154" t="s">
        <v>35</v>
      </c>
      <c r="AA673" s="154" t="s">
        <v>35</v>
      </c>
      <c r="AB673" s="154"/>
      <c r="AC673" s="242" t="b">
        <f t="shared" si="2"/>
        <v>0</v>
      </c>
      <c r="AD673" s="154" t="s">
        <v>391</v>
      </c>
      <c r="AE673" s="243" t="b">
        <f t="shared" si="3"/>
        <v>0</v>
      </c>
      <c r="AF673" s="154"/>
      <c r="AG673" s="243" t="b">
        <f t="shared" si="4"/>
        <v>0</v>
      </c>
      <c r="AH673" s="154"/>
      <c r="AI673" s="243" t="str">
        <f t="shared" si="5"/>
        <v>N/A</v>
      </c>
      <c r="AJ673" s="157" t="str">
        <f t="shared" si="6"/>
        <v/>
      </c>
    </row>
    <row r="674" ht="12.75" customHeight="1">
      <c r="A674" s="244" t="s">
        <v>621</v>
      </c>
      <c r="B674" s="244" t="s">
        <v>1339</v>
      </c>
      <c r="C674" s="244" t="s">
        <v>2073</v>
      </c>
      <c r="D674" s="154" t="s">
        <v>747</v>
      </c>
      <c r="E674" s="250"/>
      <c r="F674" s="154" t="str">
        <f t="array" ref="F674">XLOOKUP(Cover!$D$12,$S$1:$AA$1,$S674:$AA674)</f>
        <v>Mandatory</v>
      </c>
      <c r="G674" s="153" t="s">
        <v>2074</v>
      </c>
      <c r="H674" s="154" t="s">
        <v>232</v>
      </c>
      <c r="I674" s="154" t="s">
        <v>759</v>
      </c>
      <c r="J674" s="154" t="s">
        <v>445</v>
      </c>
      <c r="K674" s="154"/>
      <c r="L674" s="154" t="str">
        <f t="shared" si="1"/>
        <v/>
      </c>
      <c r="M674" s="248" t="str">
        <f>IFERROR(__xludf.DUMMYFUNCTION("VLOOKUP(C674,IMPORTRANGE(""https://docs.google.com/spreadsheets/d/1P8eX0NWBhUPS_hvzA11R6jkTNFrPrRYIx_dX_hYbxrk/edit?resourcekey=0-iw9bsKY2OqkUHCFMkCar3A&amp;gid=2055363397#gid=2055363397"",""MTR!C:O""),11,false)"),"PMW-MCE-AS")</f>
        <v>PMW-MCE-AS</v>
      </c>
      <c r="N674" s="248" t="str">
        <f>IFERROR(__xludf.DUMMYFUNCTION("VLOOKUP(C674,IMPORTRANGE(""https://docs.google.com/spreadsheets/d/1ihFlp3_ePlYtFuPbUNbYj1muErVpI73WHXbEwJDIA7Q/edit#gid=1493122344"",""MTR!C:O""),8,false)"),"Complies")</f>
        <v>Complies</v>
      </c>
      <c r="O674" s="241" t="str">
        <f>IFERROR(__xludf.DUMMYFUNCTION("VLOOKUP(C674,IMPORTRANGE(""https://docs.google.com/spreadsheets/d/1P8eX0NWBhUPS_hvzA11R6jkTNFrPrRYIx_dX_hYbxrk/edit?resourcekey=0-iw9bsKY2OqkUHCFMkCar3A&amp;gid=2055363397#gid=2055363397"",""MTR!C:O""),9,false)"),"")</f>
        <v/>
      </c>
      <c r="P674" s="241"/>
      <c r="Q674" s="251" t="s">
        <v>445</v>
      </c>
      <c r="R674" s="241"/>
      <c r="S674" s="154" t="s">
        <v>66</v>
      </c>
      <c r="T674" s="154" t="s">
        <v>66</v>
      </c>
      <c r="U674" s="154" t="s">
        <v>60</v>
      </c>
      <c r="V674" s="154" t="s">
        <v>60</v>
      </c>
      <c r="W674" s="154" t="s">
        <v>60</v>
      </c>
      <c r="X674" s="154" t="s">
        <v>60</v>
      </c>
      <c r="Y674" s="154" t="s">
        <v>66</v>
      </c>
      <c r="Z674" s="154" t="s">
        <v>60</v>
      </c>
      <c r="AA674" s="154" t="s">
        <v>60</v>
      </c>
      <c r="AB674" s="154"/>
      <c r="AC674" s="242" t="b">
        <f t="shared" si="2"/>
        <v>1</v>
      </c>
      <c r="AD674" s="154" t="s">
        <v>391</v>
      </c>
      <c r="AE674" s="243" t="b">
        <f t="shared" si="3"/>
        <v>0</v>
      </c>
      <c r="AF674" s="154"/>
      <c r="AG674" s="243" t="b">
        <f t="shared" si="4"/>
        <v>0</v>
      </c>
      <c r="AH674" s="154"/>
      <c r="AI674" s="243" t="str">
        <f t="shared" si="5"/>
        <v>N/A</v>
      </c>
      <c r="AJ674" s="157" t="str">
        <f t="shared" si="6"/>
        <v/>
      </c>
    </row>
    <row r="675" ht="12.75" customHeight="1">
      <c r="A675" s="244" t="s">
        <v>621</v>
      </c>
      <c r="B675" s="244" t="s">
        <v>1339</v>
      </c>
      <c r="C675" s="244" t="s">
        <v>2075</v>
      </c>
      <c r="D675" s="154" t="s">
        <v>747</v>
      </c>
      <c r="E675" s="250"/>
      <c r="F675" s="154" t="str">
        <f t="array" ref="F675">XLOOKUP(Cover!$D$12,$S$1:$AA$1,$S675:$AA675)</f>
        <v>Mandatory</v>
      </c>
      <c r="G675" s="153" t="s">
        <v>2076</v>
      </c>
      <c r="H675" s="154" t="s">
        <v>232</v>
      </c>
      <c r="I675" s="154" t="s">
        <v>759</v>
      </c>
      <c r="J675" s="154" t="s">
        <v>445</v>
      </c>
      <c r="K675" s="154"/>
      <c r="L675" s="154" t="str">
        <f t="shared" si="1"/>
        <v/>
      </c>
      <c r="M675" s="248" t="str">
        <f>IFERROR(__xludf.DUMMYFUNCTION("VLOOKUP(C675,IMPORTRANGE(""https://docs.google.com/spreadsheets/d/1P8eX0NWBhUPS_hvzA11R6jkTNFrPrRYIx_dX_hYbxrk/edit?resourcekey=0-iw9bsKY2OqkUHCFMkCar3A&amp;gid=2055363397#gid=2055363397"",""MTR!C:O""),11,false)"),"PMW-MCE-AS")</f>
        <v>PMW-MCE-AS</v>
      </c>
      <c r="N675" s="248" t="str">
        <f>IFERROR(__xludf.DUMMYFUNCTION("VLOOKUP(C675,IMPORTRANGE(""https://docs.google.com/spreadsheets/d/1ihFlp3_ePlYtFuPbUNbYj1muErVpI73WHXbEwJDIA7Q/edit#gid=1493122344"",""MTR!C:O""),8,false)"),"Complies")</f>
        <v>Complies</v>
      </c>
      <c r="O675" s="241" t="str">
        <f>IFERROR(__xludf.DUMMYFUNCTION("VLOOKUP(C675,IMPORTRANGE(""https://docs.google.com/spreadsheets/d/1P8eX0NWBhUPS_hvzA11R6jkTNFrPrRYIx_dX_hYbxrk/edit?resourcekey=0-iw9bsKY2OqkUHCFMkCar3A&amp;gid=2055363397#gid=2055363397"",""MTR!C:O""),9,false)"),"")</f>
        <v/>
      </c>
      <c r="P675" s="241"/>
      <c r="Q675" s="251" t="s">
        <v>445</v>
      </c>
      <c r="R675" s="241"/>
      <c r="S675" s="154" t="s">
        <v>66</v>
      </c>
      <c r="T675" s="154" t="s">
        <v>66</v>
      </c>
      <c r="U675" s="154" t="s">
        <v>60</v>
      </c>
      <c r="V675" s="154" t="s">
        <v>60</v>
      </c>
      <c r="W675" s="154" t="s">
        <v>60</v>
      </c>
      <c r="X675" s="154" t="s">
        <v>60</v>
      </c>
      <c r="Y675" s="154" t="s">
        <v>66</v>
      </c>
      <c r="Z675" s="154" t="s">
        <v>60</v>
      </c>
      <c r="AA675" s="154" t="s">
        <v>60</v>
      </c>
      <c r="AB675" s="154"/>
      <c r="AC675" s="242" t="b">
        <f t="shared" si="2"/>
        <v>1</v>
      </c>
      <c r="AD675" s="154" t="s">
        <v>391</v>
      </c>
      <c r="AE675" s="243" t="b">
        <f t="shared" si="3"/>
        <v>0</v>
      </c>
      <c r="AF675" s="154"/>
      <c r="AG675" s="243" t="b">
        <f t="shared" si="4"/>
        <v>0</v>
      </c>
      <c r="AH675" s="154"/>
      <c r="AI675" s="243" t="str">
        <f t="shared" si="5"/>
        <v>N/A</v>
      </c>
      <c r="AJ675" s="157" t="str">
        <f t="shared" si="6"/>
        <v/>
      </c>
    </row>
    <row r="676" ht="12.75" customHeight="1">
      <c r="A676" s="244" t="s">
        <v>621</v>
      </c>
      <c r="B676" s="244" t="s">
        <v>1339</v>
      </c>
      <c r="C676" s="244" t="s">
        <v>2077</v>
      </c>
      <c r="D676" s="244" t="s">
        <v>747</v>
      </c>
      <c r="E676" s="244"/>
      <c r="F676" s="154" t="str">
        <f t="array" ref="F676">XLOOKUP(Cover!$D$12,$S$1:$AA$1,$S676:$AA676)</f>
        <v>Comment</v>
      </c>
      <c r="G676" s="153" t="s">
        <v>2078</v>
      </c>
      <c r="H676" s="154"/>
      <c r="I676" s="154" t="s">
        <v>759</v>
      </c>
      <c r="J676" s="154"/>
      <c r="K676" s="154"/>
      <c r="L676" s="154" t="str">
        <f t="shared" si="1"/>
        <v/>
      </c>
      <c r="M676" s="241" t="str">
        <f>IFERROR(__xludf.DUMMYFUNCTION("VLOOKUP(C676,IMPORTRANGE(""https://docs.google.com/spreadsheets/d/1P8eX0NWBhUPS_hvzA11R6jkTNFrPrRYIx_dX_hYbxrk/edit?resourcekey=0-iw9bsKY2OqkUHCFMkCar3A&amp;gid=2055363397#gid=2055363397"",""MTR!C:O""),11,false)"),"")</f>
        <v/>
      </c>
      <c r="N676" s="241" t="str">
        <f>IFERROR(__xludf.DUMMYFUNCTION("VLOOKUP(C676,IMPORTRANGE(""https://docs.google.com/spreadsheets/d/1ihFlp3_ePlYtFuPbUNbYj1muErVpI73WHXbEwJDIA7Q/edit#gid=1493122344"",""MTR!C:O""),8,false)"),"")</f>
        <v/>
      </c>
      <c r="O676" s="241" t="str">
        <f>IFERROR(__xludf.DUMMYFUNCTION("VLOOKUP(C676,IMPORTRANGE(""https://docs.google.com/spreadsheets/d/1P8eX0NWBhUPS_hvzA11R6jkTNFrPrRYIx_dX_hYbxrk/edit?resourcekey=0-iw9bsKY2OqkUHCFMkCar3A&amp;gid=2055363397#gid=2055363397"",""MTR!C:O""),9,false)"),"")</f>
        <v/>
      </c>
      <c r="P676" s="241"/>
      <c r="Q676" s="251"/>
      <c r="R676" s="241"/>
      <c r="S676" s="154" t="s">
        <v>35</v>
      </c>
      <c r="T676" s="154" t="s">
        <v>35</v>
      </c>
      <c r="U676" s="154" t="s">
        <v>35</v>
      </c>
      <c r="V676" s="154" t="s">
        <v>35</v>
      </c>
      <c r="W676" s="154" t="s">
        <v>35</v>
      </c>
      <c r="X676" s="154" t="s">
        <v>35</v>
      </c>
      <c r="Y676" s="154" t="s">
        <v>35</v>
      </c>
      <c r="Z676" s="154" t="s">
        <v>35</v>
      </c>
      <c r="AA676" s="154" t="s">
        <v>35</v>
      </c>
      <c r="AB676" s="154"/>
      <c r="AC676" s="242" t="b">
        <f t="shared" si="2"/>
        <v>0</v>
      </c>
      <c r="AD676" s="154" t="s">
        <v>391</v>
      </c>
      <c r="AE676" s="243" t="b">
        <f t="shared" si="3"/>
        <v>0</v>
      </c>
      <c r="AF676" s="154"/>
      <c r="AG676" s="243" t="b">
        <f t="shared" si="4"/>
        <v>0</v>
      </c>
      <c r="AH676" s="154"/>
      <c r="AI676" s="243" t="str">
        <f t="shared" si="5"/>
        <v>N/A</v>
      </c>
      <c r="AJ676" s="157" t="str">
        <f t="shared" si="6"/>
        <v/>
      </c>
    </row>
    <row r="677" ht="12.75" customHeight="1">
      <c r="A677" s="244" t="s">
        <v>621</v>
      </c>
      <c r="B677" s="244" t="s">
        <v>1339</v>
      </c>
      <c r="C677" s="244" t="s">
        <v>2079</v>
      </c>
      <c r="D677" s="154" t="s">
        <v>747</v>
      </c>
      <c r="E677" s="250"/>
      <c r="F677" s="154" t="str">
        <f t="array" ref="F677">XLOOKUP(Cover!$D$12,$S$1:$AA$1,$S677:$AA677)</f>
        <v>Mandatory</v>
      </c>
      <c r="G677" s="254" t="s">
        <v>2080</v>
      </c>
      <c r="H677" s="154" t="s">
        <v>234</v>
      </c>
      <c r="I677" s="154" t="s">
        <v>759</v>
      </c>
      <c r="J677" s="247" t="s">
        <v>506</v>
      </c>
      <c r="K677" s="154" t="s">
        <v>2081</v>
      </c>
      <c r="L677" s="154" t="str">
        <f t="shared" si="1"/>
        <v/>
      </c>
      <c r="M677" s="248" t="str">
        <f>IFERROR(__xludf.DUMMYFUNCTION("VLOOKUP(C677,IMPORTRANGE(""https://docs.google.com/spreadsheets/d/1P8eX0NWBhUPS_hvzA11R6jkTNFrPrRYIx_dX_hYbxrk/edit?resourcekey=0-iw9bsKY2OqkUHCFMkCar3A&amp;gid=2055363397#gid=2055363397"",""MTR!C:O""),11,false)"),"PMW-MCE-AS")</f>
        <v>PMW-MCE-AS</v>
      </c>
      <c r="N677" s="248" t="str">
        <f>IFERROR(__xludf.DUMMYFUNCTION("VLOOKUP(C677,IMPORTRANGE(""https://docs.google.com/spreadsheets/d/1ihFlp3_ePlYtFuPbUNbYj1muErVpI73WHXbEwJDIA7Q/edit#gid=1493122344"",""MTR!C:O""),8,false)"),"Does Not Comply")</f>
        <v>Does Not Comply</v>
      </c>
      <c r="O677" s="248" t="str">
        <f>IFERROR(__xludf.DUMMYFUNCTION("VLOOKUP(C677,IMPORTRANGE(""https://docs.google.com/spreadsheets/d/1P8eX0NWBhUPS_hvzA11R6jkTNFrPrRYIx_dX_hYbxrk/edit?resourcekey=0-iw9bsKY2OqkUHCFMkCar3A&amp;gid=2055363397#gid=2055363397"",""MTR!C:O""),9,false)"),"SA disabled at launch. ")</f>
        <v>SA disabled at launch. </v>
      </c>
      <c r="P677" s="248"/>
      <c r="Q677" s="249" t="s">
        <v>516</v>
      </c>
      <c r="R677" s="249" t="s">
        <v>1642</v>
      </c>
      <c r="S677" s="154" t="s">
        <v>66</v>
      </c>
      <c r="T677" s="154" t="s">
        <v>66</v>
      </c>
      <c r="U677" s="154" t="s">
        <v>60</v>
      </c>
      <c r="V677" s="154" t="s">
        <v>60</v>
      </c>
      <c r="W677" s="154" t="s">
        <v>60</v>
      </c>
      <c r="X677" s="154" t="s">
        <v>60</v>
      </c>
      <c r="Y677" s="154" t="s">
        <v>66</v>
      </c>
      <c r="Z677" s="154" t="s">
        <v>60</v>
      </c>
      <c r="AA677" s="154" t="s">
        <v>60</v>
      </c>
      <c r="AB677" s="154"/>
      <c r="AC677" s="242" t="b">
        <f t="shared" si="2"/>
        <v>1</v>
      </c>
      <c r="AD677" s="154" t="s">
        <v>391</v>
      </c>
      <c r="AE677" s="243" t="b">
        <f t="shared" si="3"/>
        <v>0</v>
      </c>
      <c r="AF677" s="154"/>
      <c r="AG677" s="243" t="b">
        <f t="shared" si="4"/>
        <v>0</v>
      </c>
      <c r="AH677" s="154"/>
      <c r="AI677" s="243" t="str">
        <f t="shared" si="5"/>
        <v>N/A</v>
      </c>
      <c r="AJ677" s="157" t="str">
        <f t="shared" si="6"/>
        <v/>
      </c>
    </row>
    <row r="678" ht="12.75" customHeight="1">
      <c r="A678" s="244" t="s">
        <v>621</v>
      </c>
      <c r="B678" s="244" t="s">
        <v>1339</v>
      </c>
      <c r="C678" s="244" t="s">
        <v>2082</v>
      </c>
      <c r="D678" s="154" t="s">
        <v>747</v>
      </c>
      <c r="E678" s="250"/>
      <c r="F678" s="154" t="str">
        <f t="array" ref="F678">XLOOKUP(Cover!$D$12,$S$1:$AA$1,$S678:$AA678)</f>
        <v>Mandatory</v>
      </c>
      <c r="G678" s="153" t="s">
        <v>2083</v>
      </c>
      <c r="H678" s="154" t="s">
        <v>234</v>
      </c>
      <c r="I678" s="154" t="s">
        <v>759</v>
      </c>
      <c r="J678" s="247" t="s">
        <v>506</v>
      </c>
      <c r="K678" s="154" t="s">
        <v>2081</v>
      </c>
      <c r="L678" s="154" t="str">
        <f t="shared" si="1"/>
        <v/>
      </c>
      <c r="M678" s="248" t="str">
        <f>IFERROR(__xludf.DUMMYFUNCTION("VLOOKUP(C678,IMPORTRANGE(""https://docs.google.com/spreadsheets/d/1P8eX0NWBhUPS_hvzA11R6jkTNFrPrRYIx_dX_hYbxrk/edit?resourcekey=0-iw9bsKY2OqkUHCFMkCar3A&amp;gid=2055363397#gid=2055363397"",""MTR!C:O""),11,false)"),"PMW-MCE-AS")</f>
        <v>PMW-MCE-AS</v>
      </c>
      <c r="N678" s="248" t="str">
        <f>IFERROR(__xludf.DUMMYFUNCTION("VLOOKUP(C678,IMPORTRANGE(""https://docs.google.com/spreadsheets/d/1ihFlp3_ePlYtFuPbUNbYj1muErVpI73WHXbEwJDIA7Q/edit#gid=1493122344"",""MTR!C:O""),8,false)"),"Does Not Comply")</f>
        <v>Does Not Comply</v>
      </c>
      <c r="O678" s="248" t="str">
        <f>IFERROR(__xludf.DUMMYFUNCTION("VLOOKUP(C678,IMPORTRANGE(""https://docs.google.com/spreadsheets/d/1P8eX0NWBhUPS_hvzA11R6jkTNFrPrRYIx_dX_hYbxrk/edit?resourcekey=0-iw9bsKY2OqkUHCFMkCar3A&amp;gid=2055363397#gid=2055363397"",""MTR!C:O""),9,false)"),"SA disabled at launch. ")</f>
        <v>SA disabled at launch. </v>
      </c>
      <c r="P678" s="248"/>
      <c r="Q678" s="249" t="s">
        <v>516</v>
      </c>
      <c r="R678" s="249" t="s">
        <v>1642</v>
      </c>
      <c r="S678" s="154" t="s">
        <v>66</v>
      </c>
      <c r="T678" s="154" t="s">
        <v>66</v>
      </c>
      <c r="U678" s="154" t="s">
        <v>60</v>
      </c>
      <c r="V678" s="154" t="s">
        <v>60</v>
      </c>
      <c r="W678" s="154" t="s">
        <v>60</v>
      </c>
      <c r="X678" s="154" t="s">
        <v>60</v>
      </c>
      <c r="Y678" s="154" t="s">
        <v>66</v>
      </c>
      <c r="Z678" s="154" t="s">
        <v>60</v>
      </c>
      <c r="AA678" s="154" t="s">
        <v>60</v>
      </c>
      <c r="AB678" s="154"/>
      <c r="AC678" s="242" t="b">
        <f t="shared" si="2"/>
        <v>1</v>
      </c>
      <c r="AD678" s="154" t="s">
        <v>391</v>
      </c>
      <c r="AE678" s="243" t="b">
        <f t="shared" si="3"/>
        <v>0</v>
      </c>
      <c r="AF678" s="154"/>
      <c r="AG678" s="243" t="b">
        <f t="shared" si="4"/>
        <v>0</v>
      </c>
      <c r="AH678" s="154"/>
      <c r="AI678" s="243" t="str">
        <f t="shared" si="5"/>
        <v>N/A</v>
      </c>
      <c r="AJ678" s="157" t="str">
        <f t="shared" si="6"/>
        <v/>
      </c>
    </row>
    <row r="679" ht="12.75" customHeight="1">
      <c r="A679" s="244" t="s">
        <v>621</v>
      </c>
      <c r="B679" s="244" t="s">
        <v>1339</v>
      </c>
      <c r="C679" s="244" t="s">
        <v>2084</v>
      </c>
      <c r="D679" s="244" t="s">
        <v>747</v>
      </c>
      <c r="E679" s="244"/>
      <c r="F679" s="154" t="str">
        <f t="array" ref="F679">XLOOKUP(Cover!$D$12,$S$1:$AA$1,$S679:$AA679)</f>
        <v>Comment</v>
      </c>
      <c r="G679" s="153" t="s">
        <v>2085</v>
      </c>
      <c r="H679" s="154"/>
      <c r="I679" s="154" t="s">
        <v>759</v>
      </c>
      <c r="J679" s="154"/>
      <c r="K679" s="154"/>
      <c r="L679" s="154" t="str">
        <f t="shared" si="1"/>
        <v/>
      </c>
      <c r="M679" s="241" t="str">
        <f>IFERROR(__xludf.DUMMYFUNCTION("VLOOKUP(C679,IMPORTRANGE(""https://docs.google.com/spreadsheets/d/1P8eX0NWBhUPS_hvzA11R6jkTNFrPrRYIx_dX_hYbxrk/edit?resourcekey=0-iw9bsKY2OqkUHCFMkCar3A&amp;gid=2055363397#gid=2055363397"",""MTR!C:O""),11,false)"),"")</f>
        <v/>
      </c>
      <c r="N679" s="241" t="str">
        <f>IFERROR(__xludf.DUMMYFUNCTION("VLOOKUP(C679,IMPORTRANGE(""https://docs.google.com/spreadsheets/d/1ihFlp3_ePlYtFuPbUNbYj1muErVpI73WHXbEwJDIA7Q/edit#gid=1493122344"",""MTR!C:O""),8,false)"),"")</f>
        <v/>
      </c>
      <c r="O679" s="241" t="str">
        <f>IFERROR(__xludf.DUMMYFUNCTION("VLOOKUP(C679,IMPORTRANGE(""https://docs.google.com/spreadsheets/d/1P8eX0NWBhUPS_hvzA11R6jkTNFrPrRYIx_dX_hYbxrk/edit?resourcekey=0-iw9bsKY2OqkUHCFMkCar3A&amp;gid=2055363397#gid=2055363397"",""MTR!C:O""),9,false)"),"")</f>
        <v/>
      </c>
      <c r="P679" s="241"/>
      <c r="Q679" s="251"/>
      <c r="R679" s="251"/>
      <c r="S679" s="154" t="s">
        <v>35</v>
      </c>
      <c r="T679" s="154" t="s">
        <v>35</v>
      </c>
      <c r="U679" s="154" t="s">
        <v>35</v>
      </c>
      <c r="V679" s="154" t="s">
        <v>35</v>
      </c>
      <c r="W679" s="154" t="s">
        <v>35</v>
      </c>
      <c r="X679" s="154" t="s">
        <v>35</v>
      </c>
      <c r="Y679" s="154" t="s">
        <v>35</v>
      </c>
      <c r="Z679" s="154" t="s">
        <v>35</v>
      </c>
      <c r="AA679" s="154" t="s">
        <v>35</v>
      </c>
      <c r="AB679" s="154"/>
      <c r="AC679" s="242" t="b">
        <f t="shared" si="2"/>
        <v>0</v>
      </c>
      <c r="AD679" s="154" t="s">
        <v>391</v>
      </c>
      <c r="AE679" s="243" t="b">
        <f t="shared" si="3"/>
        <v>0</v>
      </c>
      <c r="AF679" s="154"/>
      <c r="AG679" s="243" t="b">
        <f t="shared" si="4"/>
        <v>0</v>
      </c>
      <c r="AH679" s="154"/>
      <c r="AI679" s="243" t="str">
        <f t="shared" si="5"/>
        <v>N/A</v>
      </c>
      <c r="AJ679" s="157" t="str">
        <f t="shared" si="6"/>
        <v/>
      </c>
    </row>
    <row r="680" ht="12.75" customHeight="1">
      <c r="A680" s="244" t="s">
        <v>621</v>
      </c>
      <c r="B680" s="244" t="s">
        <v>1339</v>
      </c>
      <c r="C680" s="245" t="s">
        <v>2086</v>
      </c>
      <c r="D680" s="155" t="s">
        <v>747</v>
      </c>
      <c r="E680" s="246" t="s">
        <v>92</v>
      </c>
      <c r="F680" s="154" t="str">
        <f t="array" ref="F680">XLOOKUP(Cover!$D$12,$S$1:$AA$1,$S680:$AA680)</f>
        <v>Mandatory</v>
      </c>
      <c r="G680" s="153" t="s">
        <v>2087</v>
      </c>
      <c r="H680" s="154" t="s">
        <v>234</v>
      </c>
      <c r="I680" s="154" t="s">
        <v>759</v>
      </c>
      <c r="J680" s="154" t="s">
        <v>506</v>
      </c>
      <c r="K680" s="154" t="s">
        <v>2081</v>
      </c>
      <c r="L680" s="154" t="str">
        <f t="shared" si="1"/>
        <v/>
      </c>
      <c r="M680" s="248" t="str">
        <f>IFERROR(__xludf.DUMMYFUNCTION("VLOOKUP(C680,IMPORTRANGE(""https://docs.google.com/spreadsheets/d/1P8eX0NWBhUPS_hvzA11R6jkTNFrPrRYIx_dX_hYbxrk/edit?resourcekey=0-iw9bsKY2OqkUHCFMkCar3A&amp;gid=2055363397#gid=2055363397"",""MTR!C:O""),11,false)"),"PMW-MCE-AS")</f>
        <v>PMW-MCE-AS</v>
      </c>
      <c r="N680" s="248" t="str">
        <f>IFERROR(__xludf.DUMMYFUNCTION("VLOOKUP(C680,IMPORTRANGE(""https://docs.google.com/spreadsheets/d/1ihFlp3_ePlYtFuPbUNbYj1muErVpI73WHXbEwJDIA7Q/edit#gid=1493122344"",""MTR!C:O""),8,false)"),"Partially Complies")</f>
        <v>Partially Complies</v>
      </c>
      <c r="O680" s="248" t="str">
        <f>IFERROR(__xludf.DUMMYFUNCTION("VLOOKUP(C680,IMPORTRANGE(""https://docs.google.com/spreadsheets/d/1P8eX0NWBhUPS_hvzA11R6jkTNFrPrRYIx_dX_hYbxrk/edit?resourcekey=0-iw9bsKY2OqkUHCFMkCar3A&amp;gid=2055363397#gid=2055363397"",""MTR!C:O""),9,false)"),"SA disabled at launch. ")</f>
        <v>SA disabled at launch. </v>
      </c>
      <c r="P680" s="248"/>
      <c r="Q680" s="249" t="s">
        <v>506</v>
      </c>
      <c r="R680" s="249" t="s">
        <v>1642</v>
      </c>
      <c r="S680" s="154" t="s">
        <v>66</v>
      </c>
      <c r="T680" s="154" t="s">
        <v>66</v>
      </c>
      <c r="U680" s="154" t="s">
        <v>60</v>
      </c>
      <c r="V680" s="154" t="s">
        <v>60</v>
      </c>
      <c r="W680" s="154" t="s">
        <v>60</v>
      </c>
      <c r="X680" s="154" t="s">
        <v>60</v>
      </c>
      <c r="Y680" s="154" t="s">
        <v>66</v>
      </c>
      <c r="Z680" s="154" t="s">
        <v>60</v>
      </c>
      <c r="AA680" s="154" t="s">
        <v>60</v>
      </c>
      <c r="AB680" s="154"/>
      <c r="AC680" s="242" t="b">
        <f t="shared" si="2"/>
        <v>1</v>
      </c>
      <c r="AD680" s="154" t="s">
        <v>391</v>
      </c>
      <c r="AE680" s="243" t="b">
        <f t="shared" si="3"/>
        <v>0</v>
      </c>
      <c r="AF680" s="154"/>
      <c r="AG680" s="243" t="b">
        <f t="shared" si="4"/>
        <v>0</v>
      </c>
      <c r="AH680" s="154"/>
      <c r="AI680" s="243" t="str">
        <f t="shared" si="5"/>
        <v>N/A</v>
      </c>
      <c r="AJ680" s="157" t="str">
        <f t="shared" si="6"/>
        <v/>
      </c>
    </row>
    <row r="681" ht="12.75" customHeight="1">
      <c r="A681" s="244" t="s">
        <v>621</v>
      </c>
      <c r="B681" s="244" t="s">
        <v>1339</v>
      </c>
      <c r="C681" s="245" t="s">
        <v>2088</v>
      </c>
      <c r="D681" s="155" t="s">
        <v>747</v>
      </c>
      <c r="E681" s="246" t="s">
        <v>92</v>
      </c>
      <c r="F681" s="154" t="str">
        <f t="array" ref="F681">XLOOKUP(Cover!$D$12,$S$1:$AA$1,$S681:$AA681)</f>
        <v>Mandatory</v>
      </c>
      <c r="G681" s="153" t="s">
        <v>2089</v>
      </c>
      <c r="H681" s="154" t="s">
        <v>234</v>
      </c>
      <c r="I681" s="154" t="s">
        <v>759</v>
      </c>
      <c r="J681" s="247" t="s">
        <v>506</v>
      </c>
      <c r="K681" s="154" t="s">
        <v>2081</v>
      </c>
      <c r="L681" s="154" t="str">
        <f t="shared" si="1"/>
        <v/>
      </c>
      <c r="M681" s="248" t="str">
        <f>IFERROR(__xludf.DUMMYFUNCTION("VLOOKUP(C681,IMPORTRANGE(""https://docs.google.com/spreadsheets/d/1P8eX0NWBhUPS_hvzA11R6jkTNFrPrRYIx_dX_hYbxrk/edit?resourcekey=0-iw9bsKY2OqkUHCFMkCar3A&amp;gid=2055363397#gid=2055363397"",""MTR!C:O""),11,false)"),"PMW-MCE-AS")</f>
        <v>PMW-MCE-AS</v>
      </c>
      <c r="N681" s="248" t="str">
        <f>IFERROR(__xludf.DUMMYFUNCTION("VLOOKUP(C681,IMPORTRANGE(""https://docs.google.com/spreadsheets/d/1ihFlp3_ePlYtFuPbUNbYj1muErVpI73WHXbEwJDIA7Q/edit#gid=1493122344"",""MTR!C:O""),8,false)"),"Does Not Comply")</f>
        <v>Does Not Comply</v>
      </c>
      <c r="O681" s="248" t="str">
        <f>IFERROR(__xludf.DUMMYFUNCTION("VLOOKUP(C681,IMPORTRANGE(""https://docs.google.com/spreadsheets/d/1P8eX0NWBhUPS_hvzA11R6jkTNFrPrRYIx_dX_hYbxrk/edit?resourcekey=0-iw9bsKY2OqkUHCFMkCar3A&amp;gid=2055363397#gid=2055363397"",""MTR!C:O""),9,false)"),"SA disabled at launch. ")</f>
        <v>SA disabled at launch. </v>
      </c>
      <c r="P681" s="248"/>
      <c r="Q681" s="249" t="s">
        <v>516</v>
      </c>
      <c r="R681" s="249" t="s">
        <v>1642</v>
      </c>
      <c r="S681" s="154" t="s">
        <v>66</v>
      </c>
      <c r="T681" s="154" t="s">
        <v>66</v>
      </c>
      <c r="U681" s="154" t="s">
        <v>60</v>
      </c>
      <c r="V681" s="154" t="s">
        <v>60</v>
      </c>
      <c r="W681" s="154" t="s">
        <v>60</v>
      </c>
      <c r="X681" s="154" t="s">
        <v>60</v>
      </c>
      <c r="Y681" s="154" t="s">
        <v>66</v>
      </c>
      <c r="Z681" s="154" t="s">
        <v>60</v>
      </c>
      <c r="AA681" s="154" t="s">
        <v>60</v>
      </c>
      <c r="AB681" s="154"/>
      <c r="AC681" s="242" t="b">
        <f t="shared" si="2"/>
        <v>1</v>
      </c>
      <c r="AD681" s="154" t="s">
        <v>391</v>
      </c>
      <c r="AE681" s="243" t="b">
        <f t="shared" si="3"/>
        <v>0</v>
      </c>
      <c r="AF681" s="154"/>
      <c r="AG681" s="243" t="b">
        <f t="shared" si="4"/>
        <v>0</v>
      </c>
      <c r="AH681" s="154"/>
      <c r="AI681" s="243" t="str">
        <f t="shared" si="5"/>
        <v>N/A</v>
      </c>
      <c r="AJ681" s="157" t="str">
        <f t="shared" si="6"/>
        <v/>
      </c>
    </row>
    <row r="682" ht="12.75" customHeight="1">
      <c r="A682" s="238" t="s">
        <v>621</v>
      </c>
      <c r="B682" s="238" t="s">
        <v>1339</v>
      </c>
      <c r="C682" s="238" t="s">
        <v>2090</v>
      </c>
      <c r="D682" s="240"/>
      <c r="E682" s="252" t="s">
        <v>92</v>
      </c>
      <c r="F682" s="154" t="str">
        <f t="array" ref="F682">XLOOKUP(Cover!$D$12,$S$1:$AA$1,$S682:$AA682)</f>
        <v>Heading</v>
      </c>
      <c r="G682" s="239" t="s">
        <v>2091</v>
      </c>
      <c r="H682" s="240"/>
      <c r="I682" s="240" t="s">
        <v>759</v>
      </c>
      <c r="J682" s="240"/>
      <c r="K682" s="262"/>
      <c r="L682" s="154" t="str">
        <f t="shared" si="1"/>
        <v/>
      </c>
      <c r="M682" s="241" t="str">
        <f>IFERROR(__xludf.DUMMYFUNCTION("VLOOKUP(C682,IMPORTRANGE(""https://docs.google.com/spreadsheets/d/1P8eX0NWBhUPS_hvzA11R6jkTNFrPrRYIx_dX_hYbxrk/edit?resourcekey=0-iw9bsKY2OqkUHCFMkCar3A&amp;gid=2055363397#gid=2055363397"",""MTR!C:O""),11,false)"),"")</f>
        <v/>
      </c>
      <c r="N682" s="241" t="str">
        <f>IFERROR(__xludf.DUMMYFUNCTION("VLOOKUP(C682,IMPORTRANGE(""https://docs.google.com/spreadsheets/d/1ihFlp3_ePlYtFuPbUNbYj1muErVpI73WHXbEwJDIA7Q/edit#gid=1493122344"",""MTR!C:O""),8,false)"),"")</f>
        <v/>
      </c>
      <c r="O682" s="241" t="str">
        <f>IFERROR(__xludf.DUMMYFUNCTION("VLOOKUP(C682,IMPORTRANGE(""https://docs.google.com/spreadsheets/d/1P8eX0NWBhUPS_hvzA11R6jkTNFrPrRYIx_dX_hYbxrk/edit?resourcekey=0-iw9bsKY2OqkUHCFMkCar3A&amp;gid=2055363397#gid=2055363397"",""MTR!C:O""),9,false)"),"")</f>
        <v/>
      </c>
      <c r="P682" s="241"/>
      <c r="Q682" s="251"/>
      <c r="R682" s="251"/>
      <c r="S682" s="240" t="s">
        <v>390</v>
      </c>
      <c r="T682" s="240" t="s">
        <v>390</v>
      </c>
      <c r="U682" s="240" t="s">
        <v>390</v>
      </c>
      <c r="V682" s="240" t="s">
        <v>390</v>
      </c>
      <c r="W682" s="240" t="s">
        <v>390</v>
      </c>
      <c r="X682" s="240" t="s">
        <v>390</v>
      </c>
      <c r="Y682" s="240" t="s">
        <v>390</v>
      </c>
      <c r="Z682" s="240" t="s">
        <v>390</v>
      </c>
      <c r="AA682" s="240" t="s">
        <v>390</v>
      </c>
      <c r="AB682" s="240"/>
      <c r="AC682" s="242" t="b">
        <f t="shared" si="2"/>
        <v>0</v>
      </c>
      <c r="AD682" s="240" t="s">
        <v>391</v>
      </c>
      <c r="AE682" s="243" t="b">
        <f t="shared" si="3"/>
        <v>0</v>
      </c>
      <c r="AF682" s="240"/>
      <c r="AG682" s="243" t="b">
        <f t="shared" si="4"/>
        <v>0</v>
      </c>
      <c r="AH682" s="240"/>
      <c r="AI682" s="243" t="str">
        <f t="shared" si="5"/>
        <v>N/A</v>
      </c>
      <c r="AJ682" s="157" t="str">
        <f t="shared" si="6"/>
        <v/>
      </c>
    </row>
    <row r="683" ht="12.75" customHeight="1">
      <c r="A683" s="244" t="s">
        <v>621</v>
      </c>
      <c r="B683" s="244" t="s">
        <v>1339</v>
      </c>
      <c r="C683" s="244" t="s">
        <v>2092</v>
      </c>
      <c r="D683" s="154" t="s">
        <v>747</v>
      </c>
      <c r="E683" s="250"/>
      <c r="F683" s="154" t="str">
        <f t="array" ref="F683">XLOOKUP(Cover!$D$12,$S$1:$AA$1,$S683:$AA683)</f>
        <v>Mandatory</v>
      </c>
      <c r="G683" s="153" t="s">
        <v>2093</v>
      </c>
      <c r="H683" s="154" t="s">
        <v>232</v>
      </c>
      <c r="I683" s="154" t="s">
        <v>759</v>
      </c>
      <c r="J683" s="154" t="s">
        <v>445</v>
      </c>
      <c r="K683" s="154"/>
      <c r="L683" s="154" t="str">
        <f t="shared" si="1"/>
        <v/>
      </c>
      <c r="M683" s="248" t="str">
        <f>IFERROR(__xludf.DUMMYFUNCTION("VLOOKUP(C683,IMPORTRANGE(""https://docs.google.com/spreadsheets/d/1P8eX0NWBhUPS_hvzA11R6jkTNFrPrRYIx_dX_hYbxrk/edit?resourcekey=0-iw9bsKY2OqkUHCFMkCar3A&amp;gid=2055363397#gid=2055363397"",""MTR!C:O""),11,false)"),"PMW-MCE-AS")</f>
        <v>PMW-MCE-AS</v>
      </c>
      <c r="N683" s="248" t="str">
        <f>IFERROR(__xludf.DUMMYFUNCTION("VLOOKUP(C683,IMPORTRANGE(""https://docs.google.com/spreadsheets/d/1ihFlp3_ePlYtFuPbUNbYj1muErVpI73WHXbEwJDIA7Q/edit#gid=1493122344"",""MTR!C:O""),8,false)"),"Complies")</f>
        <v>Complies</v>
      </c>
      <c r="O683" s="241" t="str">
        <f>IFERROR(__xludf.DUMMYFUNCTION("VLOOKUP(C683,IMPORTRANGE(""https://docs.google.com/spreadsheets/d/1P8eX0NWBhUPS_hvzA11R6jkTNFrPrRYIx_dX_hYbxrk/edit?resourcekey=0-iw9bsKY2OqkUHCFMkCar3A&amp;gid=2055363397#gid=2055363397"",""MTR!C:O""),9,false)"),"")</f>
        <v/>
      </c>
      <c r="P683" s="241"/>
      <c r="Q683" s="251" t="s">
        <v>445</v>
      </c>
      <c r="R683" s="241"/>
      <c r="S683" s="154" t="s">
        <v>66</v>
      </c>
      <c r="T683" s="154" t="s">
        <v>66</v>
      </c>
      <c r="U683" s="154" t="s">
        <v>60</v>
      </c>
      <c r="V683" s="154" t="s">
        <v>60</v>
      </c>
      <c r="W683" s="154" t="s">
        <v>60</v>
      </c>
      <c r="X683" s="154" t="s">
        <v>60</v>
      </c>
      <c r="Y683" s="154" t="s">
        <v>66</v>
      </c>
      <c r="Z683" s="154" t="s">
        <v>60</v>
      </c>
      <c r="AA683" s="154" t="s">
        <v>60</v>
      </c>
      <c r="AB683" s="154"/>
      <c r="AC683" s="242" t="b">
        <f t="shared" si="2"/>
        <v>1</v>
      </c>
      <c r="AD683" s="154" t="s">
        <v>391</v>
      </c>
      <c r="AE683" s="243" t="b">
        <f t="shared" si="3"/>
        <v>0</v>
      </c>
      <c r="AF683" s="154"/>
      <c r="AG683" s="243" t="b">
        <f t="shared" si="4"/>
        <v>0</v>
      </c>
      <c r="AH683" s="154"/>
      <c r="AI683" s="243" t="str">
        <f t="shared" si="5"/>
        <v>N/A</v>
      </c>
      <c r="AJ683" s="157" t="str">
        <f t="shared" si="6"/>
        <v/>
      </c>
    </row>
    <row r="684" ht="12.75" customHeight="1">
      <c r="A684" s="244" t="s">
        <v>621</v>
      </c>
      <c r="B684" s="244" t="s">
        <v>1339</v>
      </c>
      <c r="C684" s="244" t="s">
        <v>2094</v>
      </c>
      <c r="D684" s="154" t="s">
        <v>747</v>
      </c>
      <c r="E684" s="250"/>
      <c r="F684" s="154" t="str">
        <f t="array" ref="F684">XLOOKUP(Cover!$D$12,$S$1:$AA$1,$S684:$AA684)</f>
        <v>Mandatory</v>
      </c>
      <c r="G684" s="153" t="s">
        <v>2095</v>
      </c>
      <c r="H684" s="154" t="s">
        <v>232</v>
      </c>
      <c r="I684" s="154" t="s">
        <v>759</v>
      </c>
      <c r="J684" s="154" t="s">
        <v>445</v>
      </c>
      <c r="K684" s="154" t="s">
        <v>2096</v>
      </c>
      <c r="L684" s="154" t="str">
        <f t="shared" si="1"/>
        <v/>
      </c>
      <c r="M684" s="248" t="str">
        <f>IFERROR(__xludf.DUMMYFUNCTION("VLOOKUP(C684,IMPORTRANGE(""https://docs.google.com/spreadsheets/d/1P8eX0NWBhUPS_hvzA11R6jkTNFrPrRYIx_dX_hYbxrk/edit?resourcekey=0-iw9bsKY2OqkUHCFMkCar3A&amp;gid=2055363397#gid=2055363397"",""MTR!C:O""),11,false)"),"PMW-MCE-AS")</f>
        <v>PMW-MCE-AS</v>
      </c>
      <c r="N684" s="248" t="str">
        <f>IFERROR(__xludf.DUMMYFUNCTION("VLOOKUP(C684,IMPORTRANGE(""https://docs.google.com/spreadsheets/d/1ihFlp3_ePlYtFuPbUNbYj1muErVpI73WHXbEwJDIA7Q/edit#gid=1493122344"",""MTR!C:O""),8,false)"),"Complies")</f>
        <v>Complies</v>
      </c>
      <c r="O684" s="248" t="str">
        <f>IFERROR(__xludf.DUMMYFUNCTION("VLOOKUP(C684,IMPORTRANGE(""https://docs.google.com/spreadsheets/d/1P8eX0NWBhUPS_hvzA11R6jkTNFrPrRYIx_dX_hYbxrk/edit?resourcekey=0-iw9bsKY2OqkUHCFMkCar3A&amp;gid=2055363397#gid=2055363397"",""MTR!C:O""),9,false)"),"bwp-SwitchingDelay Type 2 supported")</f>
        <v>bwp-SwitchingDelay Type 2 supported</v>
      </c>
      <c r="P684" s="248"/>
      <c r="Q684" s="249" t="s">
        <v>445</v>
      </c>
      <c r="R684" s="249" t="s">
        <v>2096</v>
      </c>
      <c r="S684" s="154" t="s">
        <v>66</v>
      </c>
      <c r="T684" s="154" t="s">
        <v>66</v>
      </c>
      <c r="U684" s="154" t="s">
        <v>60</v>
      </c>
      <c r="V684" s="154" t="s">
        <v>60</v>
      </c>
      <c r="W684" s="154" t="s">
        <v>60</v>
      </c>
      <c r="X684" s="154" t="s">
        <v>60</v>
      </c>
      <c r="Y684" s="154" t="s">
        <v>66</v>
      </c>
      <c r="Z684" s="154" t="s">
        <v>60</v>
      </c>
      <c r="AA684" s="154" t="s">
        <v>60</v>
      </c>
      <c r="AB684" s="154"/>
      <c r="AC684" s="242" t="b">
        <f t="shared" si="2"/>
        <v>1</v>
      </c>
      <c r="AD684" s="154" t="s">
        <v>391</v>
      </c>
      <c r="AE684" s="243" t="b">
        <f t="shared" si="3"/>
        <v>0</v>
      </c>
      <c r="AF684" s="154"/>
      <c r="AG684" s="243" t="b">
        <f t="shared" si="4"/>
        <v>0</v>
      </c>
      <c r="AH684" s="154"/>
      <c r="AI684" s="243" t="str">
        <f t="shared" si="5"/>
        <v>N/A</v>
      </c>
      <c r="AJ684" s="157" t="str">
        <f t="shared" si="6"/>
        <v/>
      </c>
    </row>
    <row r="685" ht="12.75" customHeight="1">
      <c r="A685" s="244" t="s">
        <v>621</v>
      </c>
      <c r="B685" s="244" t="s">
        <v>1339</v>
      </c>
      <c r="C685" s="244" t="s">
        <v>2097</v>
      </c>
      <c r="D685" s="154" t="s">
        <v>747</v>
      </c>
      <c r="E685" s="250"/>
      <c r="F685" s="154" t="str">
        <f t="array" ref="F685">XLOOKUP(Cover!$D$12,$S$1:$AA$1,$S685:$AA685)</f>
        <v>Mandatory</v>
      </c>
      <c r="G685" s="153" t="s">
        <v>2098</v>
      </c>
      <c r="H685" s="154" t="s">
        <v>232</v>
      </c>
      <c r="I685" s="154" t="s">
        <v>759</v>
      </c>
      <c r="J685" s="154" t="s">
        <v>445</v>
      </c>
      <c r="K685" s="154" t="s">
        <v>2099</v>
      </c>
      <c r="L685" s="154" t="str">
        <f t="shared" si="1"/>
        <v/>
      </c>
      <c r="M685" s="248" t="str">
        <f>IFERROR(__xludf.DUMMYFUNCTION("VLOOKUP(C685,IMPORTRANGE(""https://docs.google.com/spreadsheets/d/1P8eX0NWBhUPS_hvzA11R6jkTNFrPrRYIx_dX_hYbxrk/edit?resourcekey=0-iw9bsKY2OqkUHCFMkCar3A&amp;gid=2055363397#gid=2055363397"",""MTR!C:O""),11,false)"),"PMW-MCE-AS")</f>
        <v>PMW-MCE-AS</v>
      </c>
      <c r="N685" s="248" t="str">
        <f>IFERROR(__xludf.DUMMYFUNCTION("VLOOKUP(C685,IMPORTRANGE(""https://docs.google.com/spreadsheets/d/1ihFlp3_ePlYtFuPbUNbYj1muErVpI73WHXbEwJDIA7Q/edit#gid=1493122344"",""MTR!C:O""),8,false)"),"Complies")</f>
        <v>Complies</v>
      </c>
      <c r="O685" s="248" t="str">
        <f>IFERROR(__xludf.DUMMYFUNCTION("VLOOKUP(C685,IMPORTRANGE(""https://docs.google.com/spreadsheets/d/1P8eX0NWBhUPS_hvzA11R6jkTNFrPrRYIx_dX_hYbxrk/edit?resourcekey=0-iw9bsKY2OqkUHCFMkCar3A&amp;gid=2055363397#gid=2055363397"",""MTR!C:O""),9,false)"),"Power class 2/3 are supported")</f>
        <v>Power class 2/3 are supported</v>
      </c>
      <c r="P685" s="248"/>
      <c r="Q685" s="249" t="s">
        <v>445</v>
      </c>
      <c r="R685" s="249" t="s">
        <v>2099</v>
      </c>
      <c r="S685" s="154" t="s">
        <v>66</v>
      </c>
      <c r="T685" s="154" t="s">
        <v>66</v>
      </c>
      <c r="U685" s="154" t="s">
        <v>60</v>
      </c>
      <c r="V685" s="154" t="s">
        <v>60</v>
      </c>
      <c r="W685" s="154" t="s">
        <v>60</v>
      </c>
      <c r="X685" s="154" t="s">
        <v>60</v>
      </c>
      <c r="Y685" s="154" t="s">
        <v>66</v>
      </c>
      <c r="Z685" s="154" t="s">
        <v>60</v>
      </c>
      <c r="AA685" s="154" t="s">
        <v>60</v>
      </c>
      <c r="AB685" s="154"/>
      <c r="AC685" s="242" t="b">
        <f t="shared" si="2"/>
        <v>1</v>
      </c>
      <c r="AD685" s="154" t="s">
        <v>391</v>
      </c>
      <c r="AE685" s="243" t="b">
        <f t="shared" si="3"/>
        <v>0</v>
      </c>
      <c r="AF685" s="154"/>
      <c r="AG685" s="243" t="b">
        <f t="shared" si="4"/>
        <v>0</v>
      </c>
      <c r="AH685" s="154"/>
      <c r="AI685" s="243" t="str">
        <f t="shared" si="5"/>
        <v>N/A</v>
      </c>
      <c r="AJ685" s="157" t="str">
        <f t="shared" si="6"/>
        <v/>
      </c>
    </row>
    <row r="686" ht="12.75" customHeight="1">
      <c r="A686" s="244" t="s">
        <v>621</v>
      </c>
      <c r="B686" s="244" t="s">
        <v>1339</v>
      </c>
      <c r="C686" s="244" t="s">
        <v>2100</v>
      </c>
      <c r="D686" s="154" t="s">
        <v>747</v>
      </c>
      <c r="E686" s="250"/>
      <c r="F686" s="154" t="str">
        <f t="array" ref="F686">XLOOKUP(Cover!$D$12,$S$1:$AA$1,$S686:$AA686)</f>
        <v>Mandatory</v>
      </c>
      <c r="G686" s="153" t="s">
        <v>2101</v>
      </c>
      <c r="H686" s="154" t="s">
        <v>232</v>
      </c>
      <c r="I686" s="154" t="s">
        <v>759</v>
      </c>
      <c r="J686" s="154" t="s">
        <v>516</v>
      </c>
      <c r="K686" s="154"/>
      <c r="L686" s="154" t="str">
        <f t="shared" si="1"/>
        <v/>
      </c>
      <c r="M686" s="248" t="str">
        <f>IFERROR(__xludf.DUMMYFUNCTION("VLOOKUP(C686,IMPORTRANGE(""https://docs.google.com/spreadsheets/d/1P8eX0NWBhUPS_hvzA11R6jkTNFrPrRYIx_dX_hYbxrk/edit?resourcekey=0-iw9bsKY2OqkUHCFMkCar3A&amp;gid=2055363397#gid=2055363397"",""MTR!C:O""),11,false)"),"PMW-MCE-AS")</f>
        <v>PMW-MCE-AS</v>
      </c>
      <c r="N686" s="248" t="str">
        <f>IFERROR(__xludf.DUMMYFUNCTION("VLOOKUP(C686,IMPORTRANGE(""https://docs.google.com/spreadsheets/d/1ihFlp3_ePlYtFuPbUNbYj1muErVpI73WHXbEwJDIA7Q/edit#gid=1493122344"",""MTR!C:O""),8,false)"),"Does Not Comply")</f>
        <v>Does Not Comply</v>
      </c>
      <c r="O686" s="241" t="str">
        <f>IFERROR(__xludf.DUMMYFUNCTION("VLOOKUP(C686,IMPORTRANGE(""https://docs.google.com/spreadsheets/d/1P8eX0NWBhUPS_hvzA11R6jkTNFrPrRYIx_dX_hYbxrk/edit?resourcekey=0-iw9bsKY2OqkUHCFMkCar3A&amp;gid=2055363397#gid=2055363397"",""MTR!C:O""),9,false)"),"")</f>
        <v/>
      </c>
      <c r="P686" s="241"/>
      <c r="Q686" s="251" t="s">
        <v>516</v>
      </c>
      <c r="R686" s="251"/>
      <c r="S686" s="154" t="s">
        <v>66</v>
      </c>
      <c r="T686" s="154" t="s">
        <v>66</v>
      </c>
      <c r="U686" s="154" t="s">
        <v>60</v>
      </c>
      <c r="V686" s="154" t="s">
        <v>60</v>
      </c>
      <c r="W686" s="154" t="s">
        <v>60</v>
      </c>
      <c r="X686" s="154" t="s">
        <v>60</v>
      </c>
      <c r="Y686" s="154" t="s">
        <v>66</v>
      </c>
      <c r="Z686" s="154" t="s">
        <v>60</v>
      </c>
      <c r="AA686" s="154" t="s">
        <v>60</v>
      </c>
      <c r="AB686" s="154"/>
      <c r="AC686" s="242" t="b">
        <f t="shared" si="2"/>
        <v>1</v>
      </c>
      <c r="AD686" s="154" t="s">
        <v>391</v>
      </c>
      <c r="AE686" s="243" t="b">
        <f t="shared" si="3"/>
        <v>0</v>
      </c>
      <c r="AF686" s="154"/>
      <c r="AG686" s="243" t="b">
        <f t="shared" si="4"/>
        <v>0</v>
      </c>
      <c r="AH686" s="154"/>
      <c r="AI686" s="243" t="str">
        <f t="shared" si="5"/>
        <v>N/A</v>
      </c>
      <c r="AJ686" s="157" t="str">
        <f t="shared" si="6"/>
        <v/>
      </c>
    </row>
    <row r="687" ht="12.75" customHeight="1">
      <c r="A687" s="244" t="s">
        <v>621</v>
      </c>
      <c r="B687" s="244" t="s">
        <v>1339</v>
      </c>
      <c r="C687" s="244" t="s">
        <v>2102</v>
      </c>
      <c r="D687" s="154" t="s">
        <v>747</v>
      </c>
      <c r="E687" s="250"/>
      <c r="F687" s="154" t="str">
        <f t="array" ref="F687">XLOOKUP(Cover!$D$12,$S$1:$AA$1,$S687:$AA687)</f>
        <v>Mandatory</v>
      </c>
      <c r="G687" s="153" t="s">
        <v>2103</v>
      </c>
      <c r="H687" s="154" t="s">
        <v>232</v>
      </c>
      <c r="I687" s="154" t="s">
        <v>759</v>
      </c>
      <c r="J687" s="154" t="s">
        <v>516</v>
      </c>
      <c r="K687" s="154"/>
      <c r="L687" s="154" t="str">
        <f t="shared" si="1"/>
        <v/>
      </c>
      <c r="M687" s="248" t="str">
        <f>IFERROR(__xludf.DUMMYFUNCTION("VLOOKUP(C687,IMPORTRANGE(""https://docs.google.com/spreadsheets/d/1P8eX0NWBhUPS_hvzA11R6jkTNFrPrRYIx_dX_hYbxrk/edit?resourcekey=0-iw9bsKY2OqkUHCFMkCar3A&amp;gid=2055363397#gid=2055363397"",""MTR!C:O""),11,false)"),"PMW-MCE-AS")</f>
        <v>PMW-MCE-AS</v>
      </c>
      <c r="N687" s="248" t="str">
        <f>IFERROR(__xludf.DUMMYFUNCTION("VLOOKUP(C687,IMPORTRANGE(""https://docs.google.com/spreadsheets/d/1ihFlp3_ePlYtFuPbUNbYj1muErVpI73WHXbEwJDIA7Q/edit#gid=1493122344"",""MTR!C:O""),8,false)"),"Does Not Comply")</f>
        <v>Does Not Comply</v>
      </c>
      <c r="O687" s="241" t="str">
        <f>IFERROR(__xludf.DUMMYFUNCTION("VLOOKUP(C687,IMPORTRANGE(""https://docs.google.com/spreadsheets/d/1P8eX0NWBhUPS_hvzA11R6jkTNFrPrRYIx_dX_hYbxrk/edit?resourcekey=0-iw9bsKY2OqkUHCFMkCar3A&amp;gid=2055363397#gid=2055363397"",""MTR!C:O""),9,false)"),"")</f>
        <v/>
      </c>
      <c r="P687" s="241"/>
      <c r="Q687" s="251" t="s">
        <v>516</v>
      </c>
      <c r="R687" s="241"/>
      <c r="S687" s="154" t="s">
        <v>66</v>
      </c>
      <c r="T687" s="154" t="s">
        <v>66</v>
      </c>
      <c r="U687" s="154" t="s">
        <v>66</v>
      </c>
      <c r="V687" s="154" t="s">
        <v>66</v>
      </c>
      <c r="W687" s="154" t="s">
        <v>60</v>
      </c>
      <c r="X687" s="154" t="s">
        <v>60</v>
      </c>
      <c r="Y687" s="154" t="s">
        <v>66</v>
      </c>
      <c r="Z687" s="154" t="s">
        <v>60</v>
      </c>
      <c r="AA687" s="154" t="s">
        <v>60</v>
      </c>
      <c r="AB687" s="154"/>
      <c r="AC687" s="242" t="b">
        <f t="shared" si="2"/>
        <v>1</v>
      </c>
      <c r="AD687" s="154" t="s">
        <v>391</v>
      </c>
      <c r="AE687" s="243" t="b">
        <f t="shared" si="3"/>
        <v>0</v>
      </c>
      <c r="AF687" s="154"/>
      <c r="AG687" s="243" t="b">
        <f t="shared" si="4"/>
        <v>0</v>
      </c>
      <c r="AH687" s="154"/>
      <c r="AI687" s="243" t="str">
        <f t="shared" si="5"/>
        <v>N/A</v>
      </c>
      <c r="AJ687" s="157" t="str">
        <f t="shared" si="6"/>
        <v/>
      </c>
    </row>
    <row r="688" ht="12.75" customHeight="1">
      <c r="A688" s="238" t="s">
        <v>621</v>
      </c>
      <c r="B688" s="238" t="s">
        <v>1339</v>
      </c>
      <c r="C688" s="238" t="s">
        <v>2104</v>
      </c>
      <c r="D688" s="240"/>
      <c r="E688" s="252" t="s">
        <v>92</v>
      </c>
      <c r="F688" s="154" t="str">
        <f t="array" ref="F688">XLOOKUP(Cover!$D$12,$S$1:$AA$1,$S688:$AA688)</f>
        <v>Heading</v>
      </c>
      <c r="G688" s="239" t="s">
        <v>2105</v>
      </c>
      <c r="H688" s="240"/>
      <c r="I688" s="240" t="s">
        <v>759</v>
      </c>
      <c r="J688" s="240"/>
      <c r="K688" s="240"/>
      <c r="L688" s="154" t="str">
        <f t="shared" si="1"/>
        <v/>
      </c>
      <c r="M688" s="241" t="str">
        <f>IFERROR(__xludf.DUMMYFUNCTION("VLOOKUP(C688,IMPORTRANGE(""https://docs.google.com/spreadsheets/d/1P8eX0NWBhUPS_hvzA11R6jkTNFrPrRYIx_dX_hYbxrk/edit?resourcekey=0-iw9bsKY2OqkUHCFMkCar3A&amp;gid=2055363397#gid=2055363397"",""MTR!C:O""),11,false)"),"")</f>
        <v/>
      </c>
      <c r="N688" s="241" t="str">
        <f>IFERROR(__xludf.DUMMYFUNCTION("VLOOKUP(C688,IMPORTRANGE(""https://docs.google.com/spreadsheets/d/1ihFlp3_ePlYtFuPbUNbYj1muErVpI73WHXbEwJDIA7Q/edit#gid=1493122344"",""MTR!C:O""),8,false)"),"")</f>
        <v/>
      </c>
      <c r="O688" s="241" t="str">
        <f>IFERROR(__xludf.DUMMYFUNCTION("VLOOKUP(C688,IMPORTRANGE(""https://docs.google.com/spreadsheets/d/1P8eX0NWBhUPS_hvzA11R6jkTNFrPrRYIx_dX_hYbxrk/edit?resourcekey=0-iw9bsKY2OqkUHCFMkCar3A&amp;gid=2055363397#gid=2055363397"",""MTR!C:O""),9,false)"),"")</f>
        <v/>
      </c>
      <c r="P688" s="241"/>
      <c r="Q688" s="251"/>
      <c r="R688" s="241"/>
      <c r="S688" s="240" t="s">
        <v>390</v>
      </c>
      <c r="T688" s="240" t="s">
        <v>390</v>
      </c>
      <c r="U688" s="240" t="s">
        <v>390</v>
      </c>
      <c r="V688" s="240" t="s">
        <v>390</v>
      </c>
      <c r="W688" s="240" t="s">
        <v>390</v>
      </c>
      <c r="X688" s="240" t="s">
        <v>390</v>
      </c>
      <c r="Y688" s="240" t="s">
        <v>390</v>
      </c>
      <c r="Z688" s="240" t="s">
        <v>390</v>
      </c>
      <c r="AA688" s="240" t="s">
        <v>390</v>
      </c>
      <c r="AB688" s="240"/>
      <c r="AC688" s="242" t="b">
        <f t="shared" si="2"/>
        <v>0</v>
      </c>
      <c r="AD688" s="240" t="s">
        <v>391</v>
      </c>
      <c r="AE688" s="243" t="b">
        <f t="shared" si="3"/>
        <v>0</v>
      </c>
      <c r="AF688" s="240"/>
      <c r="AG688" s="243" t="b">
        <f t="shared" si="4"/>
        <v>0</v>
      </c>
      <c r="AH688" s="240"/>
      <c r="AI688" s="243" t="str">
        <f t="shared" si="5"/>
        <v>N/A</v>
      </c>
      <c r="AJ688" s="157" t="str">
        <f t="shared" si="6"/>
        <v/>
      </c>
    </row>
    <row r="689" ht="12.75" customHeight="1">
      <c r="A689" s="244" t="s">
        <v>621</v>
      </c>
      <c r="B689" s="244" t="s">
        <v>1339</v>
      </c>
      <c r="C689" s="244" t="s">
        <v>2106</v>
      </c>
      <c r="D689" s="154" t="s">
        <v>1315</v>
      </c>
      <c r="E689" s="250"/>
      <c r="F689" s="154" t="str">
        <f t="array" ref="F689">XLOOKUP(Cover!$D$12,$S$1:$AA$1,$S689:$AA689)</f>
        <v>Mandatory</v>
      </c>
      <c r="G689" s="153" t="s">
        <v>2107</v>
      </c>
      <c r="H689" s="154" t="s">
        <v>234</v>
      </c>
      <c r="I689" s="154" t="s">
        <v>759</v>
      </c>
      <c r="J689" s="247" t="s">
        <v>506</v>
      </c>
      <c r="K689" s="154" t="s">
        <v>2081</v>
      </c>
      <c r="L689" s="154" t="str">
        <f t="shared" si="1"/>
        <v/>
      </c>
      <c r="M689" s="248" t="str">
        <f>IFERROR(__xludf.DUMMYFUNCTION("VLOOKUP(C689,IMPORTRANGE(""https://docs.google.com/spreadsheets/d/1P8eX0NWBhUPS_hvzA11R6jkTNFrPrRYIx_dX_hYbxrk/edit?resourcekey=0-iw9bsKY2OqkUHCFMkCar3A&amp;gid=2055363397#gid=2055363397"",""MTR!C:O""),11,false)"),"PMW-MCE-AS")</f>
        <v>PMW-MCE-AS</v>
      </c>
      <c r="N689" s="248" t="str">
        <f>IFERROR(__xludf.DUMMYFUNCTION("VLOOKUP(C689,IMPORTRANGE(""https://docs.google.com/spreadsheets/d/1ihFlp3_ePlYtFuPbUNbYj1muErVpI73WHXbEwJDIA7Q/edit#gid=1493122344"",""MTR!C:O""),8,false)"),"Does Not Comply")</f>
        <v>Does Not Comply</v>
      </c>
      <c r="O689" s="248" t="str">
        <f>IFERROR(__xludf.DUMMYFUNCTION("VLOOKUP(C689,IMPORTRANGE(""https://docs.google.com/spreadsheets/d/1P8eX0NWBhUPS_hvzA11R6jkTNFrPrRYIx_dX_hYbxrk/edit?resourcekey=0-iw9bsKY2OqkUHCFMkCar3A&amp;gid=2055363397#gid=2055363397"",""MTR!C:O""),9,false)"),"SA disabled at launch. ")</f>
        <v>SA disabled at launch. </v>
      </c>
      <c r="P689" s="248"/>
      <c r="Q689" s="249" t="s">
        <v>516</v>
      </c>
      <c r="R689" s="249" t="s">
        <v>1642</v>
      </c>
      <c r="S689" s="154" t="s">
        <v>66</v>
      </c>
      <c r="T689" s="154" t="s">
        <v>66</v>
      </c>
      <c r="U689" s="154" t="s">
        <v>60</v>
      </c>
      <c r="V689" s="154" t="s">
        <v>60</v>
      </c>
      <c r="W689" s="154" t="s">
        <v>60</v>
      </c>
      <c r="X689" s="154" t="s">
        <v>60</v>
      </c>
      <c r="Y689" s="154" t="s">
        <v>66</v>
      </c>
      <c r="Z689" s="154" t="s">
        <v>60</v>
      </c>
      <c r="AA689" s="154" t="s">
        <v>60</v>
      </c>
      <c r="AB689" s="154"/>
      <c r="AC689" s="242" t="b">
        <f t="shared" si="2"/>
        <v>1</v>
      </c>
      <c r="AD689" s="154" t="s">
        <v>391</v>
      </c>
      <c r="AE689" s="243" t="b">
        <f t="shared" si="3"/>
        <v>0</v>
      </c>
      <c r="AF689" s="154"/>
      <c r="AG689" s="243" t="b">
        <f t="shared" si="4"/>
        <v>0</v>
      </c>
      <c r="AH689" s="154" t="s">
        <v>1346</v>
      </c>
      <c r="AI689" s="243" t="str">
        <f t="shared" si="5"/>
        <v>Partially Complies</v>
      </c>
      <c r="AJ689" s="157" t="str">
        <f t="shared" si="6"/>
        <v/>
      </c>
    </row>
    <row r="690" ht="12.75" customHeight="1">
      <c r="A690" s="244" t="s">
        <v>621</v>
      </c>
      <c r="B690" s="244" t="s">
        <v>1339</v>
      </c>
      <c r="C690" s="244" t="s">
        <v>2108</v>
      </c>
      <c r="D690" s="154" t="s">
        <v>503</v>
      </c>
      <c r="E690" s="250"/>
      <c r="F690" s="154" t="str">
        <f t="array" ref="F690">XLOOKUP(Cover!$D$12,$S$1:$AA$1,$S690:$AA690)</f>
        <v>Recommended</v>
      </c>
      <c r="G690" s="153" t="s">
        <v>2109</v>
      </c>
      <c r="H690" s="154"/>
      <c r="I690" s="154" t="s">
        <v>759</v>
      </c>
      <c r="J690" s="247" t="s">
        <v>506</v>
      </c>
      <c r="K690" s="154" t="s">
        <v>2110</v>
      </c>
      <c r="L690" s="154" t="str">
        <f t="shared" si="1"/>
        <v/>
      </c>
      <c r="M690" s="248" t="str">
        <f>IFERROR(__xludf.DUMMYFUNCTION("VLOOKUP(C690,IMPORTRANGE(""https://docs.google.com/spreadsheets/d/1P8eX0NWBhUPS_hvzA11R6jkTNFrPrRYIx_dX_hYbxrk/edit?resourcekey=0-iw9bsKY2OqkUHCFMkCar3A&amp;gid=2055363397#gid=2055363397"",""MTR!C:O""),11,false)"),"PMW-AS")</f>
        <v>PMW-AS</v>
      </c>
      <c r="N690" s="248" t="str">
        <f>IFERROR(__xludf.DUMMYFUNCTION("VLOOKUP(C690,IMPORTRANGE(""https://docs.google.com/spreadsheets/d/1ihFlp3_ePlYtFuPbUNbYj1muErVpI73WHXbEwJDIA7Q/edit#gid=1493122344"",""MTR!C:O""),8,false)"),"Does Not Comply")</f>
        <v>Does Not Comply</v>
      </c>
      <c r="O690" s="248" t="str">
        <f>IFERROR(__xludf.DUMMYFUNCTION("VLOOKUP(C690,IMPORTRANGE(""https://docs.google.com/spreadsheets/d/1P8eX0NWBhUPS_hvzA11R6jkTNFrPrRYIx_dX_hYbxrk/edit?resourcekey=0-iw9bsKY2OqkUHCFMkCar3A&amp;gid=2055363397#gid=2055363397"",""MTR!C:O""),9,false)"),"Support but default disable (we could enable if DT request)")</f>
        <v>Support but default disable (we could enable if DT request)</v>
      </c>
      <c r="P690" s="248"/>
      <c r="Q690" s="249" t="s">
        <v>516</v>
      </c>
      <c r="R690" s="249" t="s">
        <v>1600</v>
      </c>
      <c r="S690" s="154" t="s">
        <v>66</v>
      </c>
      <c r="T690" s="154" t="s">
        <v>66</v>
      </c>
      <c r="U690" s="154" t="s">
        <v>64</v>
      </c>
      <c r="V690" s="154" t="s">
        <v>64</v>
      </c>
      <c r="W690" s="154" t="s">
        <v>64</v>
      </c>
      <c r="X690" s="154" t="s">
        <v>64</v>
      </c>
      <c r="Y690" s="154" t="s">
        <v>66</v>
      </c>
      <c r="Z690" s="154" t="s">
        <v>64</v>
      </c>
      <c r="AA690" s="154" t="s">
        <v>64</v>
      </c>
      <c r="AB690" s="154"/>
      <c r="AC690" s="242" t="b">
        <f t="shared" si="2"/>
        <v>1</v>
      </c>
      <c r="AD690" s="154" t="s">
        <v>391</v>
      </c>
      <c r="AE690" s="243" t="b">
        <f t="shared" si="3"/>
        <v>0</v>
      </c>
      <c r="AF690" s="154"/>
      <c r="AG690" s="243" t="b">
        <f t="shared" si="4"/>
        <v>0</v>
      </c>
      <c r="AH690" s="154"/>
      <c r="AI690" s="243" t="str">
        <f t="shared" si="5"/>
        <v>N/A</v>
      </c>
      <c r="AJ690" s="157" t="str">
        <f t="shared" si="6"/>
        <v/>
      </c>
    </row>
    <row r="691" ht="12.75" customHeight="1">
      <c r="A691" s="238" t="s">
        <v>621</v>
      </c>
      <c r="B691" s="238" t="s">
        <v>1339</v>
      </c>
      <c r="C691" s="238" t="s">
        <v>2111</v>
      </c>
      <c r="D691" s="240"/>
      <c r="E691" s="252" t="s">
        <v>92</v>
      </c>
      <c r="F691" s="154" t="str">
        <f t="array" ref="F691">XLOOKUP(Cover!$D$12,$S$1:$AA$1,$S691:$AA691)</f>
        <v>Heading</v>
      </c>
      <c r="G691" s="239" t="s">
        <v>2112</v>
      </c>
      <c r="H691" s="240"/>
      <c r="I691" s="240" t="s">
        <v>759</v>
      </c>
      <c r="J691" s="262"/>
      <c r="K691" s="262"/>
      <c r="L691" s="154" t="str">
        <f t="shared" si="1"/>
        <v/>
      </c>
      <c r="M691" s="241" t="str">
        <f>IFERROR(__xludf.DUMMYFUNCTION("VLOOKUP(C691,IMPORTRANGE(""https://docs.google.com/spreadsheets/d/1P8eX0NWBhUPS_hvzA11R6jkTNFrPrRYIx_dX_hYbxrk/edit?resourcekey=0-iw9bsKY2OqkUHCFMkCar3A&amp;gid=2055363397#gid=2055363397"",""MTR!C:O""),11,false)"),"")</f>
        <v/>
      </c>
      <c r="N691" s="241" t="str">
        <f>IFERROR(__xludf.DUMMYFUNCTION("VLOOKUP(C691,IMPORTRANGE(""https://docs.google.com/spreadsheets/d/1ihFlp3_ePlYtFuPbUNbYj1muErVpI73WHXbEwJDIA7Q/edit#gid=1493122344"",""MTR!C:O""),8,false)"),"")</f>
        <v/>
      </c>
      <c r="O691" s="241" t="str">
        <f>IFERROR(__xludf.DUMMYFUNCTION("VLOOKUP(C691,IMPORTRANGE(""https://docs.google.com/spreadsheets/d/1P8eX0NWBhUPS_hvzA11R6jkTNFrPrRYIx_dX_hYbxrk/edit?resourcekey=0-iw9bsKY2OqkUHCFMkCar3A&amp;gid=2055363397#gid=2055363397"",""MTR!C:O""),9,false)"),"")</f>
        <v/>
      </c>
      <c r="P691" s="241"/>
      <c r="Q691" s="251"/>
      <c r="R691" s="251"/>
      <c r="S691" s="240" t="s">
        <v>390</v>
      </c>
      <c r="T691" s="240" t="s">
        <v>390</v>
      </c>
      <c r="U691" s="240" t="s">
        <v>390</v>
      </c>
      <c r="V691" s="240" t="s">
        <v>390</v>
      </c>
      <c r="W691" s="240" t="s">
        <v>390</v>
      </c>
      <c r="X691" s="240" t="s">
        <v>390</v>
      </c>
      <c r="Y691" s="240" t="s">
        <v>390</v>
      </c>
      <c r="Z691" s="240" t="s">
        <v>390</v>
      </c>
      <c r="AA691" s="240" t="s">
        <v>390</v>
      </c>
      <c r="AB691" s="240"/>
      <c r="AC691" s="242" t="b">
        <f t="shared" si="2"/>
        <v>0</v>
      </c>
      <c r="AD691" s="240" t="s">
        <v>391</v>
      </c>
      <c r="AE691" s="243" t="b">
        <f t="shared" si="3"/>
        <v>0</v>
      </c>
      <c r="AF691" s="240"/>
      <c r="AG691" s="243" t="b">
        <f t="shared" si="4"/>
        <v>0</v>
      </c>
      <c r="AH691" s="240"/>
      <c r="AI691" s="243" t="str">
        <f t="shared" si="5"/>
        <v>N/A</v>
      </c>
      <c r="AJ691" s="157" t="str">
        <f t="shared" si="6"/>
        <v/>
      </c>
    </row>
    <row r="692" ht="12.75" customHeight="1">
      <c r="A692" s="244" t="s">
        <v>621</v>
      </c>
      <c r="B692" s="244" t="s">
        <v>1339</v>
      </c>
      <c r="C692" s="244" t="s">
        <v>2113</v>
      </c>
      <c r="D692" s="154" t="s">
        <v>1315</v>
      </c>
      <c r="E692" s="250"/>
      <c r="F692" s="154" t="str">
        <f t="array" ref="F692">XLOOKUP(Cover!$D$12,$S$1:$AA$1,$S692:$AA692)</f>
        <v>Mandatory</v>
      </c>
      <c r="G692" s="153" t="s">
        <v>2114</v>
      </c>
      <c r="H692" s="154" t="s">
        <v>234</v>
      </c>
      <c r="I692" s="154" t="s">
        <v>759</v>
      </c>
      <c r="J692" s="247" t="s">
        <v>506</v>
      </c>
      <c r="K692" s="154" t="s">
        <v>2081</v>
      </c>
      <c r="L692" s="154" t="str">
        <f t="shared" si="1"/>
        <v/>
      </c>
      <c r="M692" s="248" t="str">
        <f>IFERROR(__xludf.DUMMYFUNCTION("VLOOKUP(C692,IMPORTRANGE(""https://docs.google.com/spreadsheets/d/1P8eX0NWBhUPS_hvzA11R6jkTNFrPrRYIx_dX_hYbxrk/edit?resourcekey=0-iw9bsKY2OqkUHCFMkCar3A&amp;gid=2055363397#gid=2055363397"",""MTR!C:O""),11,false)"),"PMW-MCE-AS")</f>
        <v>PMW-MCE-AS</v>
      </c>
      <c r="N692" s="248" t="str">
        <f>IFERROR(__xludf.DUMMYFUNCTION("VLOOKUP(C692,IMPORTRANGE(""https://docs.google.com/spreadsheets/d/1ihFlp3_ePlYtFuPbUNbYj1muErVpI73WHXbEwJDIA7Q/edit#gid=1493122344"",""MTR!C:O""),8,false)"),"Does Not Comply")</f>
        <v>Does Not Comply</v>
      </c>
      <c r="O692" s="248" t="str">
        <f>IFERROR(__xludf.DUMMYFUNCTION("VLOOKUP(C692,IMPORTRANGE(""https://docs.google.com/spreadsheets/d/1P8eX0NWBhUPS_hvzA11R6jkTNFrPrRYIx_dX_hYbxrk/edit?resourcekey=0-iw9bsKY2OqkUHCFMkCar3A&amp;gid=2055363397#gid=2055363397"",""MTR!C:O""),9,false)"),"SA disabled at launch. ")</f>
        <v>SA disabled at launch. </v>
      </c>
      <c r="P692" s="248"/>
      <c r="Q692" s="249" t="s">
        <v>516</v>
      </c>
      <c r="R692" s="249" t="s">
        <v>1642</v>
      </c>
      <c r="S692" s="154" t="s">
        <v>66</v>
      </c>
      <c r="T692" s="154" t="s">
        <v>66</v>
      </c>
      <c r="U692" s="154" t="s">
        <v>60</v>
      </c>
      <c r="V692" s="154" t="s">
        <v>60</v>
      </c>
      <c r="W692" s="154" t="s">
        <v>60</v>
      </c>
      <c r="X692" s="154" t="s">
        <v>60</v>
      </c>
      <c r="Y692" s="154" t="s">
        <v>66</v>
      </c>
      <c r="Z692" s="154" t="s">
        <v>60</v>
      </c>
      <c r="AA692" s="154" t="s">
        <v>60</v>
      </c>
      <c r="AB692" s="154"/>
      <c r="AC692" s="242" t="b">
        <f t="shared" si="2"/>
        <v>1</v>
      </c>
      <c r="AD692" s="154" t="s">
        <v>391</v>
      </c>
      <c r="AE692" s="243" t="b">
        <f t="shared" si="3"/>
        <v>0</v>
      </c>
      <c r="AF692" s="154"/>
      <c r="AG692" s="243" t="b">
        <f t="shared" si="4"/>
        <v>0</v>
      </c>
      <c r="AH692" s="154" t="s">
        <v>1346</v>
      </c>
      <c r="AI692" s="243" t="str">
        <f t="shared" si="5"/>
        <v>Partially Complies</v>
      </c>
      <c r="AJ692" s="157" t="str">
        <f t="shared" si="6"/>
        <v/>
      </c>
    </row>
    <row r="693" ht="12.75" customHeight="1">
      <c r="A693" s="244" t="s">
        <v>621</v>
      </c>
      <c r="B693" s="244" t="s">
        <v>1339</v>
      </c>
      <c r="C693" s="244" t="s">
        <v>2115</v>
      </c>
      <c r="D693" s="154" t="s">
        <v>1315</v>
      </c>
      <c r="E693" s="250"/>
      <c r="F693" s="154" t="str">
        <f t="array" ref="F693">XLOOKUP(Cover!$D$12,$S$1:$AA$1,$S693:$AA693)</f>
        <v>Mandatory</v>
      </c>
      <c r="G693" s="153" t="s">
        <v>2116</v>
      </c>
      <c r="H693" s="154" t="s">
        <v>234</v>
      </c>
      <c r="I693" s="154" t="s">
        <v>759</v>
      </c>
      <c r="J693" s="247" t="s">
        <v>506</v>
      </c>
      <c r="K693" s="154" t="s">
        <v>2081</v>
      </c>
      <c r="L693" s="154" t="str">
        <f t="shared" si="1"/>
        <v/>
      </c>
      <c r="M693" s="248" t="str">
        <f>IFERROR(__xludf.DUMMYFUNCTION("VLOOKUP(C693,IMPORTRANGE(""https://docs.google.com/spreadsheets/d/1P8eX0NWBhUPS_hvzA11R6jkTNFrPrRYIx_dX_hYbxrk/edit?resourcekey=0-iw9bsKY2OqkUHCFMkCar3A&amp;gid=2055363397#gid=2055363397"",""MTR!C:O""),11,false)"),"PMW-MCE-NAS")</f>
        <v>PMW-MCE-NAS</v>
      </c>
      <c r="N693" s="248" t="str">
        <f>IFERROR(__xludf.DUMMYFUNCTION("VLOOKUP(C693,IMPORTRANGE(""https://docs.google.com/spreadsheets/d/1ihFlp3_ePlYtFuPbUNbYj1muErVpI73WHXbEwJDIA7Q/edit#gid=1493122344"",""MTR!C:O""),8,false)"),"Does Not Comply")</f>
        <v>Does Not Comply</v>
      </c>
      <c r="O693" s="248" t="str">
        <f>IFERROR(__xludf.DUMMYFUNCTION("VLOOKUP(C693,IMPORTRANGE(""https://docs.google.com/spreadsheets/d/1P8eX0NWBhUPS_hvzA11R6jkTNFrPrRYIx_dX_hYbxrk/edit?resourcekey=0-iw9bsKY2OqkUHCFMkCar3A&amp;gid=2055363397#gid=2055363397"",""MTR!C:O""),9,false)"),"SA disabled at launch. ")</f>
        <v>SA disabled at launch. </v>
      </c>
      <c r="P693" s="248"/>
      <c r="Q693" s="249" t="s">
        <v>516</v>
      </c>
      <c r="R693" s="249" t="s">
        <v>1720</v>
      </c>
      <c r="S693" s="154" t="s">
        <v>66</v>
      </c>
      <c r="T693" s="154" t="s">
        <v>66</v>
      </c>
      <c r="U693" s="154" t="s">
        <v>60</v>
      </c>
      <c r="V693" s="154" t="s">
        <v>60</v>
      </c>
      <c r="W693" s="154" t="s">
        <v>60</v>
      </c>
      <c r="X693" s="154" t="s">
        <v>60</v>
      </c>
      <c r="Y693" s="154" t="s">
        <v>66</v>
      </c>
      <c r="Z693" s="154" t="s">
        <v>60</v>
      </c>
      <c r="AA693" s="154" t="s">
        <v>60</v>
      </c>
      <c r="AB693" s="154"/>
      <c r="AC693" s="242" t="b">
        <f t="shared" si="2"/>
        <v>1</v>
      </c>
      <c r="AD693" s="154" t="s">
        <v>391</v>
      </c>
      <c r="AE693" s="243" t="b">
        <f t="shared" si="3"/>
        <v>0</v>
      </c>
      <c r="AF693" s="154"/>
      <c r="AG693" s="243" t="b">
        <f t="shared" si="4"/>
        <v>0</v>
      </c>
      <c r="AH693" s="154" t="s">
        <v>1346</v>
      </c>
      <c r="AI693" s="243" t="str">
        <f t="shared" si="5"/>
        <v>Partially Complies</v>
      </c>
      <c r="AJ693" s="157" t="str">
        <f t="shared" si="6"/>
        <v/>
      </c>
    </row>
    <row r="694" ht="12.75" customHeight="1">
      <c r="A694" s="244" t="s">
        <v>621</v>
      </c>
      <c r="B694" s="244" t="s">
        <v>1339</v>
      </c>
      <c r="C694" s="244" t="s">
        <v>2117</v>
      </c>
      <c r="D694" s="154" t="s">
        <v>1315</v>
      </c>
      <c r="E694" s="250"/>
      <c r="F694" s="154" t="str">
        <f t="array" ref="F694">XLOOKUP(Cover!$D$12,$S$1:$AA$1,$S694:$AA694)</f>
        <v>Mandatory</v>
      </c>
      <c r="G694" s="153" t="s">
        <v>2118</v>
      </c>
      <c r="H694" s="154" t="s">
        <v>234</v>
      </c>
      <c r="I694" s="154" t="s">
        <v>759</v>
      </c>
      <c r="J694" s="247" t="s">
        <v>506</v>
      </c>
      <c r="K694" s="154" t="s">
        <v>2081</v>
      </c>
      <c r="L694" s="154" t="str">
        <f t="shared" si="1"/>
        <v/>
      </c>
      <c r="M694" s="248" t="str">
        <f>IFERROR(__xludf.DUMMYFUNCTION("VLOOKUP(C694,IMPORTRANGE(""https://docs.google.com/spreadsheets/d/1P8eX0NWBhUPS_hvzA11R6jkTNFrPrRYIx_dX_hYbxrk/edit?resourcekey=0-iw9bsKY2OqkUHCFMkCar3A&amp;gid=2055363397#gid=2055363397"",""MTR!C:O""),11,false)"),"PMW-MCE-NAS")</f>
        <v>PMW-MCE-NAS</v>
      </c>
      <c r="N694" s="248" t="str">
        <f>IFERROR(__xludf.DUMMYFUNCTION("VLOOKUP(C694,IMPORTRANGE(""https://docs.google.com/spreadsheets/d/1ihFlp3_ePlYtFuPbUNbYj1muErVpI73WHXbEwJDIA7Q/edit#gid=1493122344"",""MTR!C:O""),8,false)"),"Does Not Comply")</f>
        <v>Does Not Comply</v>
      </c>
      <c r="O694" s="248" t="str">
        <f>IFERROR(__xludf.DUMMYFUNCTION("VLOOKUP(C694,IMPORTRANGE(""https://docs.google.com/spreadsheets/d/1P8eX0NWBhUPS_hvzA11R6jkTNFrPrRYIx_dX_hYbxrk/edit?resourcekey=0-iw9bsKY2OqkUHCFMkCar3A&amp;gid=2055363397#gid=2055363397"",""MTR!C:O""),9,false)"),"SA disabled at launch. ")</f>
        <v>SA disabled at launch. </v>
      </c>
      <c r="P694" s="248"/>
      <c r="Q694" s="249" t="s">
        <v>516</v>
      </c>
      <c r="R694" s="249" t="s">
        <v>1720</v>
      </c>
      <c r="S694" s="154" t="s">
        <v>66</v>
      </c>
      <c r="T694" s="154" t="s">
        <v>66</v>
      </c>
      <c r="U694" s="154" t="s">
        <v>60</v>
      </c>
      <c r="V694" s="154" t="s">
        <v>60</v>
      </c>
      <c r="W694" s="154" t="s">
        <v>60</v>
      </c>
      <c r="X694" s="154" t="s">
        <v>60</v>
      </c>
      <c r="Y694" s="154" t="s">
        <v>66</v>
      </c>
      <c r="Z694" s="154" t="s">
        <v>60</v>
      </c>
      <c r="AA694" s="154" t="s">
        <v>60</v>
      </c>
      <c r="AB694" s="154"/>
      <c r="AC694" s="242" t="b">
        <f t="shared" si="2"/>
        <v>1</v>
      </c>
      <c r="AD694" s="154" t="s">
        <v>391</v>
      </c>
      <c r="AE694" s="243" t="b">
        <f t="shared" si="3"/>
        <v>0</v>
      </c>
      <c r="AF694" s="154"/>
      <c r="AG694" s="243" t="b">
        <f t="shared" si="4"/>
        <v>0</v>
      </c>
      <c r="AH694" s="154" t="s">
        <v>1346</v>
      </c>
      <c r="AI694" s="243" t="str">
        <f t="shared" si="5"/>
        <v>Partially Complies</v>
      </c>
      <c r="AJ694" s="157" t="str">
        <f t="shared" si="6"/>
        <v/>
      </c>
    </row>
    <row r="695" ht="12.75" customHeight="1">
      <c r="A695" s="244" t="s">
        <v>621</v>
      </c>
      <c r="B695" s="244" t="s">
        <v>1339</v>
      </c>
      <c r="C695" s="244" t="s">
        <v>2119</v>
      </c>
      <c r="D695" s="154" t="s">
        <v>1315</v>
      </c>
      <c r="E695" s="250"/>
      <c r="F695" s="154" t="str">
        <f t="array" ref="F695">XLOOKUP(Cover!$D$12,$S$1:$AA$1,$S695:$AA695)</f>
        <v>Mandatory</v>
      </c>
      <c r="G695" s="153" t="s">
        <v>2120</v>
      </c>
      <c r="H695" s="154" t="s">
        <v>234</v>
      </c>
      <c r="I695" s="154" t="s">
        <v>759</v>
      </c>
      <c r="J695" s="247" t="s">
        <v>506</v>
      </c>
      <c r="K695" s="154" t="s">
        <v>2081</v>
      </c>
      <c r="L695" s="154" t="str">
        <f t="shared" si="1"/>
        <v/>
      </c>
      <c r="M695" s="248" t="str">
        <f>IFERROR(__xludf.DUMMYFUNCTION("VLOOKUP(C695,IMPORTRANGE(""https://docs.google.com/spreadsheets/d/1P8eX0NWBhUPS_hvzA11R6jkTNFrPrRYIx_dX_hYbxrk/edit?resourcekey=0-iw9bsKY2OqkUHCFMkCar3A&amp;gid=2055363397#gid=2055363397"",""MTR!C:O""),11,false)"),"PMW-MCE-AS")</f>
        <v>PMW-MCE-AS</v>
      </c>
      <c r="N695" s="248" t="str">
        <f>IFERROR(__xludf.DUMMYFUNCTION("VLOOKUP(C695,IMPORTRANGE(""https://docs.google.com/spreadsheets/d/1ihFlp3_ePlYtFuPbUNbYj1muErVpI73WHXbEwJDIA7Q/edit#gid=1493122344"",""MTR!C:O""),8,false)"),"Does Not Comply")</f>
        <v>Does Not Comply</v>
      </c>
      <c r="O695" s="248" t="str">
        <f>IFERROR(__xludf.DUMMYFUNCTION("VLOOKUP(C695,IMPORTRANGE(""https://docs.google.com/spreadsheets/d/1P8eX0NWBhUPS_hvzA11R6jkTNFrPrRYIx_dX_hYbxrk/edit?resourcekey=0-iw9bsKY2OqkUHCFMkCar3A&amp;gid=2055363397#gid=2055363397"",""MTR!C:O""),9,false)"),"SA disabled at launch. ")</f>
        <v>SA disabled at launch. </v>
      </c>
      <c r="P695" s="248"/>
      <c r="Q695" s="249" t="s">
        <v>516</v>
      </c>
      <c r="R695" s="249" t="s">
        <v>1642</v>
      </c>
      <c r="S695" s="154" t="s">
        <v>66</v>
      </c>
      <c r="T695" s="154" t="s">
        <v>66</v>
      </c>
      <c r="U695" s="154" t="s">
        <v>60</v>
      </c>
      <c r="V695" s="154" t="s">
        <v>60</v>
      </c>
      <c r="W695" s="154" t="s">
        <v>60</v>
      </c>
      <c r="X695" s="154" t="s">
        <v>60</v>
      </c>
      <c r="Y695" s="154" t="s">
        <v>66</v>
      </c>
      <c r="Z695" s="154" t="s">
        <v>60</v>
      </c>
      <c r="AA695" s="154" t="s">
        <v>60</v>
      </c>
      <c r="AB695" s="154"/>
      <c r="AC695" s="242" t="b">
        <f t="shared" si="2"/>
        <v>1</v>
      </c>
      <c r="AD695" s="154" t="s">
        <v>391</v>
      </c>
      <c r="AE695" s="243" t="b">
        <f t="shared" si="3"/>
        <v>0</v>
      </c>
      <c r="AF695" s="154"/>
      <c r="AG695" s="243" t="b">
        <f t="shared" si="4"/>
        <v>0</v>
      </c>
      <c r="AH695" s="154" t="s">
        <v>1346</v>
      </c>
      <c r="AI695" s="243" t="str">
        <f t="shared" si="5"/>
        <v>Partially Complies</v>
      </c>
      <c r="AJ695" s="157" t="str">
        <f t="shared" si="6"/>
        <v/>
      </c>
    </row>
    <row r="696" ht="12.75" customHeight="1">
      <c r="A696" s="238" t="s">
        <v>621</v>
      </c>
      <c r="B696" s="238" t="s">
        <v>1339</v>
      </c>
      <c r="C696" s="238" t="s">
        <v>2121</v>
      </c>
      <c r="D696" s="240"/>
      <c r="E696" s="252" t="s">
        <v>92</v>
      </c>
      <c r="F696" s="154" t="str">
        <f t="array" ref="F696">XLOOKUP(Cover!$D$12,$S$1:$AA$1,$S696:$AA696)</f>
        <v>Heading</v>
      </c>
      <c r="G696" s="239" t="s">
        <v>2122</v>
      </c>
      <c r="H696" s="240"/>
      <c r="I696" s="240" t="s">
        <v>759</v>
      </c>
      <c r="J696" s="262"/>
      <c r="K696" s="262"/>
      <c r="L696" s="154" t="str">
        <f t="shared" si="1"/>
        <v/>
      </c>
      <c r="M696" s="241" t="str">
        <f>IFERROR(__xludf.DUMMYFUNCTION("VLOOKUP(C696,IMPORTRANGE(""https://docs.google.com/spreadsheets/d/1P8eX0NWBhUPS_hvzA11R6jkTNFrPrRYIx_dX_hYbxrk/edit?resourcekey=0-iw9bsKY2OqkUHCFMkCar3A&amp;gid=2055363397#gid=2055363397"",""MTR!C:O""),11,false)"),"")</f>
        <v/>
      </c>
      <c r="N696" s="241" t="str">
        <f>IFERROR(__xludf.DUMMYFUNCTION("VLOOKUP(C696,IMPORTRANGE(""https://docs.google.com/spreadsheets/d/1ihFlp3_ePlYtFuPbUNbYj1muErVpI73WHXbEwJDIA7Q/edit#gid=1493122344"",""MTR!C:O""),8,false)"),"")</f>
        <v/>
      </c>
      <c r="O696" s="241" t="str">
        <f>IFERROR(__xludf.DUMMYFUNCTION("VLOOKUP(C696,IMPORTRANGE(""https://docs.google.com/spreadsheets/d/1P8eX0NWBhUPS_hvzA11R6jkTNFrPrRYIx_dX_hYbxrk/edit?resourcekey=0-iw9bsKY2OqkUHCFMkCar3A&amp;gid=2055363397#gid=2055363397"",""MTR!C:O""),9,false)"),"")</f>
        <v/>
      </c>
      <c r="P696" s="241"/>
      <c r="Q696" s="251"/>
      <c r="R696" s="251"/>
      <c r="S696" s="240" t="s">
        <v>390</v>
      </c>
      <c r="T696" s="240" t="s">
        <v>390</v>
      </c>
      <c r="U696" s="240" t="s">
        <v>390</v>
      </c>
      <c r="V696" s="240" t="s">
        <v>390</v>
      </c>
      <c r="W696" s="240" t="s">
        <v>390</v>
      </c>
      <c r="X696" s="240" t="s">
        <v>390</v>
      </c>
      <c r="Y696" s="240" t="s">
        <v>390</v>
      </c>
      <c r="Z696" s="240" t="s">
        <v>390</v>
      </c>
      <c r="AA696" s="240" t="s">
        <v>390</v>
      </c>
      <c r="AB696" s="240"/>
      <c r="AC696" s="242" t="b">
        <f t="shared" si="2"/>
        <v>0</v>
      </c>
      <c r="AD696" s="240" t="s">
        <v>391</v>
      </c>
      <c r="AE696" s="243" t="b">
        <f t="shared" si="3"/>
        <v>0</v>
      </c>
      <c r="AF696" s="240"/>
      <c r="AG696" s="243" t="b">
        <f t="shared" si="4"/>
        <v>0</v>
      </c>
      <c r="AH696" s="240"/>
      <c r="AI696" s="243" t="str">
        <f t="shared" si="5"/>
        <v>N/A</v>
      </c>
      <c r="AJ696" s="157" t="str">
        <f t="shared" si="6"/>
        <v/>
      </c>
    </row>
    <row r="697" ht="12.75" customHeight="1">
      <c r="A697" s="244" t="s">
        <v>621</v>
      </c>
      <c r="B697" s="244" t="s">
        <v>1339</v>
      </c>
      <c r="C697" s="244" t="s">
        <v>2123</v>
      </c>
      <c r="D697" s="154" t="s">
        <v>1315</v>
      </c>
      <c r="E697" s="250"/>
      <c r="F697" s="154" t="str">
        <f t="array" ref="F697">XLOOKUP(Cover!$D$12,$S$1:$AA$1,$S697:$AA697)</f>
        <v>Mandatory</v>
      </c>
      <c r="G697" s="247" t="s">
        <v>2124</v>
      </c>
      <c r="H697" s="154" t="s">
        <v>234</v>
      </c>
      <c r="I697" s="154" t="s">
        <v>759</v>
      </c>
      <c r="J697" s="247" t="s">
        <v>506</v>
      </c>
      <c r="K697" s="154" t="s">
        <v>2081</v>
      </c>
      <c r="L697" s="154" t="str">
        <f t="shared" si="1"/>
        <v/>
      </c>
      <c r="M697" s="248" t="str">
        <f>IFERROR(__xludf.DUMMYFUNCTION("VLOOKUP(C697,IMPORTRANGE(""https://docs.google.com/spreadsheets/d/1P8eX0NWBhUPS_hvzA11R6jkTNFrPrRYIx_dX_hYbxrk/edit?resourcekey=0-iw9bsKY2OqkUHCFMkCar3A&amp;gid=2055363397#gid=2055363397"",""MTR!C:O""),11,false)"),"PMW-MCE-AS")</f>
        <v>PMW-MCE-AS</v>
      </c>
      <c r="N697" s="248" t="str">
        <f>IFERROR(__xludf.DUMMYFUNCTION("VLOOKUP(C697,IMPORTRANGE(""https://docs.google.com/spreadsheets/d/1ihFlp3_ePlYtFuPbUNbYj1muErVpI73WHXbEwJDIA7Q/edit#gid=1493122344"",""MTR!C:O""),8,false)"),"Does Not Comply")</f>
        <v>Does Not Comply</v>
      </c>
      <c r="O697" s="248" t="str">
        <f>IFERROR(__xludf.DUMMYFUNCTION("VLOOKUP(C697,IMPORTRANGE(""https://docs.google.com/spreadsheets/d/1P8eX0NWBhUPS_hvzA11R6jkTNFrPrRYIx_dX_hYbxrk/edit?resourcekey=0-iw9bsKY2OqkUHCFMkCar3A&amp;gid=2055363397#gid=2055363397"",""MTR!C:O""),9,false)"),"SA disabled at launch. ")</f>
        <v>SA disabled at launch. </v>
      </c>
      <c r="P697" s="248"/>
      <c r="Q697" s="249" t="s">
        <v>516</v>
      </c>
      <c r="R697" s="249" t="s">
        <v>1642</v>
      </c>
      <c r="S697" s="154" t="s">
        <v>66</v>
      </c>
      <c r="T697" s="154" t="s">
        <v>66</v>
      </c>
      <c r="U697" s="154" t="s">
        <v>60</v>
      </c>
      <c r="V697" s="154" t="s">
        <v>60</v>
      </c>
      <c r="W697" s="154" t="s">
        <v>60</v>
      </c>
      <c r="X697" s="154" t="s">
        <v>60</v>
      </c>
      <c r="Y697" s="154" t="s">
        <v>66</v>
      </c>
      <c r="Z697" s="154" t="s">
        <v>60</v>
      </c>
      <c r="AA697" s="154" t="s">
        <v>60</v>
      </c>
      <c r="AB697" s="154"/>
      <c r="AC697" s="242" t="b">
        <f t="shared" si="2"/>
        <v>1</v>
      </c>
      <c r="AD697" s="154" t="s">
        <v>391</v>
      </c>
      <c r="AE697" s="243" t="b">
        <f t="shared" si="3"/>
        <v>0</v>
      </c>
      <c r="AF697" s="154"/>
      <c r="AG697" s="243" t="b">
        <f t="shared" si="4"/>
        <v>0</v>
      </c>
      <c r="AH697" s="154" t="s">
        <v>1346</v>
      </c>
      <c r="AI697" s="243" t="str">
        <f t="shared" si="5"/>
        <v>Partially Complies</v>
      </c>
      <c r="AJ697" s="157" t="str">
        <f t="shared" si="6"/>
        <v/>
      </c>
    </row>
    <row r="698" ht="12.75" customHeight="1">
      <c r="A698" s="244" t="s">
        <v>621</v>
      </c>
      <c r="B698" s="244" t="s">
        <v>1339</v>
      </c>
      <c r="C698" s="244" t="s">
        <v>2125</v>
      </c>
      <c r="D698" s="154" t="s">
        <v>1315</v>
      </c>
      <c r="E698" s="250"/>
      <c r="F698" s="154" t="str">
        <f t="array" ref="F698">XLOOKUP(Cover!$D$12,$S$1:$AA$1,$S698:$AA698)</f>
        <v>Mandatory</v>
      </c>
      <c r="G698" s="154" t="s">
        <v>2126</v>
      </c>
      <c r="H698" s="154" t="s">
        <v>234</v>
      </c>
      <c r="I698" s="154" t="s">
        <v>759</v>
      </c>
      <c r="J698" s="247" t="s">
        <v>506</v>
      </c>
      <c r="K698" s="154" t="s">
        <v>2081</v>
      </c>
      <c r="L698" s="154" t="str">
        <f t="shared" si="1"/>
        <v/>
      </c>
      <c r="M698" s="248" t="str">
        <f>IFERROR(__xludf.DUMMYFUNCTION("VLOOKUP(C698,IMPORTRANGE(""https://docs.google.com/spreadsheets/d/1P8eX0NWBhUPS_hvzA11R6jkTNFrPrRYIx_dX_hYbxrk/edit?resourcekey=0-iw9bsKY2OqkUHCFMkCar3A&amp;gid=2055363397#gid=2055363397"",""MTR!C:O""),11,false)"),"PMW-MCE-AS")</f>
        <v>PMW-MCE-AS</v>
      </c>
      <c r="N698" s="248" t="str">
        <f>IFERROR(__xludf.DUMMYFUNCTION("VLOOKUP(C698,IMPORTRANGE(""https://docs.google.com/spreadsheets/d/1ihFlp3_ePlYtFuPbUNbYj1muErVpI73WHXbEwJDIA7Q/edit#gid=1493122344"",""MTR!C:O""),8,false)"),"Does Not Comply")</f>
        <v>Does Not Comply</v>
      </c>
      <c r="O698" s="248" t="str">
        <f>IFERROR(__xludf.DUMMYFUNCTION("VLOOKUP(C698,IMPORTRANGE(""https://docs.google.com/spreadsheets/d/1P8eX0NWBhUPS_hvzA11R6jkTNFrPrRYIx_dX_hYbxrk/edit?resourcekey=0-iw9bsKY2OqkUHCFMkCar3A&amp;gid=2055363397#gid=2055363397"",""MTR!C:O""),9,false)"),"SA disabled at launch. ")</f>
        <v>SA disabled at launch. </v>
      </c>
      <c r="P698" s="248"/>
      <c r="Q698" s="249" t="s">
        <v>516</v>
      </c>
      <c r="R698" s="249" t="s">
        <v>1642</v>
      </c>
      <c r="S698" s="154" t="s">
        <v>66</v>
      </c>
      <c r="T698" s="154" t="s">
        <v>66</v>
      </c>
      <c r="U698" s="154" t="s">
        <v>60</v>
      </c>
      <c r="V698" s="154" t="s">
        <v>60</v>
      </c>
      <c r="W698" s="154" t="s">
        <v>60</v>
      </c>
      <c r="X698" s="154" t="s">
        <v>60</v>
      </c>
      <c r="Y698" s="154" t="s">
        <v>66</v>
      </c>
      <c r="Z698" s="154" t="s">
        <v>60</v>
      </c>
      <c r="AA698" s="154" t="s">
        <v>60</v>
      </c>
      <c r="AB698" s="154"/>
      <c r="AC698" s="242" t="b">
        <f t="shared" si="2"/>
        <v>1</v>
      </c>
      <c r="AD698" s="154" t="s">
        <v>391</v>
      </c>
      <c r="AE698" s="243" t="b">
        <f t="shared" si="3"/>
        <v>0</v>
      </c>
      <c r="AF698" s="154"/>
      <c r="AG698" s="243" t="b">
        <f t="shared" si="4"/>
        <v>0</v>
      </c>
      <c r="AH698" s="154" t="s">
        <v>1346</v>
      </c>
      <c r="AI698" s="243" t="str">
        <f t="shared" si="5"/>
        <v>Partially Complies</v>
      </c>
      <c r="AJ698" s="157" t="str">
        <f t="shared" si="6"/>
        <v/>
      </c>
    </row>
    <row r="699" ht="12.75" customHeight="1">
      <c r="A699" s="244" t="s">
        <v>621</v>
      </c>
      <c r="B699" s="244" t="s">
        <v>1339</v>
      </c>
      <c r="C699" s="244" t="s">
        <v>2127</v>
      </c>
      <c r="D699" s="154" t="s">
        <v>1315</v>
      </c>
      <c r="E699" s="250"/>
      <c r="F699" s="154" t="str">
        <f t="array" ref="F699">XLOOKUP(Cover!$D$12,$S$1:$AA$1,$S699:$AA699)</f>
        <v>Mandatory</v>
      </c>
      <c r="G699" s="154" t="s">
        <v>2128</v>
      </c>
      <c r="H699" s="154" t="s">
        <v>234</v>
      </c>
      <c r="I699" s="154" t="s">
        <v>759</v>
      </c>
      <c r="J699" s="247" t="s">
        <v>506</v>
      </c>
      <c r="K699" s="154" t="s">
        <v>2081</v>
      </c>
      <c r="L699" s="154" t="str">
        <f t="shared" si="1"/>
        <v/>
      </c>
      <c r="M699" s="248" t="str">
        <f>IFERROR(__xludf.DUMMYFUNCTION("VLOOKUP(C699,IMPORTRANGE(""https://docs.google.com/spreadsheets/d/1P8eX0NWBhUPS_hvzA11R6jkTNFrPrRYIx_dX_hYbxrk/edit?resourcekey=0-iw9bsKY2OqkUHCFMkCar3A&amp;gid=2055363397#gid=2055363397"",""MTR!C:O""),11,false)"),"PMW-MCE-AS")</f>
        <v>PMW-MCE-AS</v>
      </c>
      <c r="N699" s="248" t="str">
        <f>IFERROR(__xludf.DUMMYFUNCTION("VLOOKUP(C699,IMPORTRANGE(""https://docs.google.com/spreadsheets/d/1ihFlp3_ePlYtFuPbUNbYj1muErVpI73WHXbEwJDIA7Q/edit#gid=1493122344"",""MTR!C:O""),8,false)"),"Does Not Comply")</f>
        <v>Does Not Comply</v>
      </c>
      <c r="O699" s="248" t="str">
        <f>IFERROR(__xludf.DUMMYFUNCTION("VLOOKUP(C699,IMPORTRANGE(""https://docs.google.com/spreadsheets/d/1P8eX0NWBhUPS_hvzA11R6jkTNFrPrRYIx_dX_hYbxrk/edit?resourcekey=0-iw9bsKY2OqkUHCFMkCar3A&amp;gid=2055363397#gid=2055363397"",""MTR!C:O""),9,false)"),"SA disabled at launch. ")</f>
        <v>SA disabled at launch. </v>
      </c>
      <c r="P699" s="248"/>
      <c r="Q699" s="249" t="s">
        <v>516</v>
      </c>
      <c r="R699" s="249" t="s">
        <v>1642</v>
      </c>
      <c r="S699" s="154" t="s">
        <v>66</v>
      </c>
      <c r="T699" s="154" t="s">
        <v>66</v>
      </c>
      <c r="U699" s="154" t="s">
        <v>60</v>
      </c>
      <c r="V699" s="154" t="s">
        <v>60</v>
      </c>
      <c r="W699" s="154" t="s">
        <v>60</v>
      </c>
      <c r="X699" s="154" t="s">
        <v>60</v>
      </c>
      <c r="Y699" s="154" t="s">
        <v>66</v>
      </c>
      <c r="Z699" s="154" t="s">
        <v>60</v>
      </c>
      <c r="AA699" s="154" t="s">
        <v>60</v>
      </c>
      <c r="AB699" s="154"/>
      <c r="AC699" s="242" t="b">
        <f t="shared" si="2"/>
        <v>1</v>
      </c>
      <c r="AD699" s="154" t="s">
        <v>391</v>
      </c>
      <c r="AE699" s="243" t="b">
        <f t="shared" si="3"/>
        <v>0</v>
      </c>
      <c r="AF699" s="154"/>
      <c r="AG699" s="243" t="b">
        <f t="shared" si="4"/>
        <v>0</v>
      </c>
      <c r="AH699" s="154" t="s">
        <v>1346</v>
      </c>
      <c r="AI699" s="243" t="str">
        <f t="shared" si="5"/>
        <v>Partially Complies</v>
      </c>
      <c r="AJ699" s="157" t="str">
        <f t="shared" si="6"/>
        <v/>
      </c>
    </row>
    <row r="700" ht="12.75" customHeight="1">
      <c r="A700" s="244" t="s">
        <v>621</v>
      </c>
      <c r="B700" s="244" t="s">
        <v>1339</v>
      </c>
      <c r="C700" s="244" t="s">
        <v>2129</v>
      </c>
      <c r="D700" s="154" t="s">
        <v>1315</v>
      </c>
      <c r="E700" s="250"/>
      <c r="F700" s="154" t="str">
        <f t="array" ref="F700">XLOOKUP(Cover!$D$12,$S$1:$AA$1,$S700:$AA700)</f>
        <v>Recommended</v>
      </c>
      <c r="G700" s="154" t="s">
        <v>2130</v>
      </c>
      <c r="H700" s="154"/>
      <c r="I700" s="154" t="s">
        <v>759</v>
      </c>
      <c r="J700" s="247" t="s">
        <v>506</v>
      </c>
      <c r="K700" s="154" t="s">
        <v>2081</v>
      </c>
      <c r="L700" s="154" t="str">
        <f t="shared" si="1"/>
        <v/>
      </c>
      <c r="M700" s="248" t="str">
        <f>IFERROR(__xludf.DUMMYFUNCTION("VLOOKUP(C700,IMPORTRANGE(""https://docs.google.com/spreadsheets/d/1P8eX0NWBhUPS_hvzA11R6jkTNFrPrRYIx_dX_hYbxrk/edit?resourcekey=0-iw9bsKY2OqkUHCFMkCar3A&amp;gid=2055363397#gid=2055363397"",""MTR!C:O""),11,false)"),"PMW-MCE-AS")</f>
        <v>PMW-MCE-AS</v>
      </c>
      <c r="N700" s="248" t="str">
        <f>IFERROR(__xludf.DUMMYFUNCTION("VLOOKUP(C700,IMPORTRANGE(""https://docs.google.com/spreadsheets/d/1ihFlp3_ePlYtFuPbUNbYj1muErVpI73WHXbEwJDIA7Q/edit#gid=1493122344"",""MTR!C:O""),8,false)"),"Does Not Comply")</f>
        <v>Does Not Comply</v>
      </c>
      <c r="O700" s="248" t="str">
        <f>IFERROR(__xludf.DUMMYFUNCTION("VLOOKUP(C700,IMPORTRANGE(""https://docs.google.com/spreadsheets/d/1P8eX0NWBhUPS_hvzA11R6jkTNFrPrRYIx_dX_hYbxrk/edit?resourcekey=0-iw9bsKY2OqkUHCFMkCar3A&amp;gid=2055363397#gid=2055363397"",""MTR!C:O""),9,false)"),"SA disabled at launch. ")</f>
        <v>SA disabled at launch. </v>
      </c>
      <c r="P700" s="248"/>
      <c r="Q700" s="249" t="s">
        <v>516</v>
      </c>
      <c r="R700" s="249" t="s">
        <v>1642</v>
      </c>
      <c r="S700" s="154" t="s">
        <v>66</v>
      </c>
      <c r="T700" s="154" t="s">
        <v>66</v>
      </c>
      <c r="U700" s="154" t="s">
        <v>64</v>
      </c>
      <c r="V700" s="154" t="s">
        <v>64</v>
      </c>
      <c r="W700" s="154" t="s">
        <v>64</v>
      </c>
      <c r="X700" s="154" t="s">
        <v>64</v>
      </c>
      <c r="Y700" s="154" t="s">
        <v>66</v>
      </c>
      <c r="Z700" s="154" t="s">
        <v>64</v>
      </c>
      <c r="AA700" s="154" t="s">
        <v>64</v>
      </c>
      <c r="AB700" s="154"/>
      <c r="AC700" s="242" t="b">
        <f t="shared" si="2"/>
        <v>1</v>
      </c>
      <c r="AD700" s="154" t="s">
        <v>391</v>
      </c>
      <c r="AE700" s="243" t="b">
        <f t="shared" si="3"/>
        <v>0</v>
      </c>
      <c r="AF700" s="154"/>
      <c r="AG700" s="243" t="b">
        <f t="shared" si="4"/>
        <v>0</v>
      </c>
      <c r="AH700" s="154" t="s">
        <v>1346</v>
      </c>
      <c r="AI700" s="243" t="str">
        <f t="shared" si="5"/>
        <v>Partially Complies</v>
      </c>
      <c r="AJ700" s="157" t="str">
        <f t="shared" si="6"/>
        <v/>
      </c>
    </row>
    <row r="701" ht="12.75" customHeight="1">
      <c r="A701" s="244" t="s">
        <v>621</v>
      </c>
      <c r="B701" s="244" t="s">
        <v>1339</v>
      </c>
      <c r="C701" s="244" t="s">
        <v>2131</v>
      </c>
      <c r="D701" s="154" t="s">
        <v>1315</v>
      </c>
      <c r="E701" s="250"/>
      <c r="F701" s="154" t="str">
        <f t="array" ref="F701">XLOOKUP(Cover!$D$12,$S$1:$AA$1,$S701:$AA701)</f>
        <v>Recommended</v>
      </c>
      <c r="G701" s="154" t="s">
        <v>2132</v>
      </c>
      <c r="H701" s="154"/>
      <c r="I701" s="154" t="s">
        <v>759</v>
      </c>
      <c r="J701" s="154" t="s">
        <v>516</v>
      </c>
      <c r="K701" s="154"/>
      <c r="L701" s="154" t="str">
        <f t="shared" si="1"/>
        <v/>
      </c>
      <c r="M701" s="248" t="str">
        <f>IFERROR(__xludf.DUMMYFUNCTION("VLOOKUP(C701,IMPORTRANGE(""https://docs.google.com/spreadsheets/d/1P8eX0NWBhUPS_hvzA11R6jkTNFrPrRYIx_dX_hYbxrk/edit?resourcekey=0-iw9bsKY2OqkUHCFMkCar3A&amp;gid=2055363397#gid=2055363397"",""MTR!C:O""),11,false)"),"PMW-MCE-AS")</f>
        <v>PMW-MCE-AS</v>
      </c>
      <c r="N701" s="248" t="str">
        <f>IFERROR(__xludf.DUMMYFUNCTION("VLOOKUP(C701,IMPORTRANGE(""https://docs.google.com/spreadsheets/d/1ihFlp3_ePlYtFuPbUNbYj1muErVpI73WHXbEwJDIA7Q/edit#gid=1493122344"",""MTR!C:O""),8,false)"),"Does Not Comply")</f>
        <v>Does Not Comply</v>
      </c>
      <c r="O701" s="241" t="str">
        <f>IFERROR(__xludf.DUMMYFUNCTION("VLOOKUP(C701,IMPORTRANGE(""https://docs.google.com/spreadsheets/d/1P8eX0NWBhUPS_hvzA11R6jkTNFrPrRYIx_dX_hYbxrk/edit?resourcekey=0-iw9bsKY2OqkUHCFMkCar3A&amp;gid=2055363397#gid=2055363397"",""MTR!C:O""),9,false)"),"")</f>
        <v/>
      </c>
      <c r="P701" s="241"/>
      <c r="Q701" s="251" t="s">
        <v>516</v>
      </c>
      <c r="R701" s="251"/>
      <c r="S701" s="154" t="s">
        <v>66</v>
      </c>
      <c r="T701" s="154" t="s">
        <v>66</v>
      </c>
      <c r="U701" s="154" t="s">
        <v>64</v>
      </c>
      <c r="V701" s="154" t="s">
        <v>64</v>
      </c>
      <c r="W701" s="154" t="s">
        <v>64</v>
      </c>
      <c r="X701" s="154" t="s">
        <v>64</v>
      </c>
      <c r="Y701" s="154" t="s">
        <v>66</v>
      </c>
      <c r="Z701" s="154" t="s">
        <v>64</v>
      </c>
      <c r="AA701" s="154" t="s">
        <v>64</v>
      </c>
      <c r="AB701" s="154"/>
      <c r="AC701" s="242" t="b">
        <f t="shared" si="2"/>
        <v>1</v>
      </c>
      <c r="AD701" s="154" t="s">
        <v>391</v>
      </c>
      <c r="AE701" s="243" t="b">
        <f t="shared" si="3"/>
        <v>0</v>
      </c>
      <c r="AF701" s="154"/>
      <c r="AG701" s="243" t="b">
        <f t="shared" si="4"/>
        <v>0</v>
      </c>
      <c r="AH701" s="154" t="s">
        <v>1346</v>
      </c>
      <c r="AI701" s="243" t="str">
        <f t="shared" si="5"/>
        <v>Partially Complies</v>
      </c>
      <c r="AJ701" s="157" t="str">
        <f t="shared" si="6"/>
        <v/>
      </c>
    </row>
    <row r="702" ht="12.75" customHeight="1">
      <c r="A702" s="244" t="s">
        <v>621</v>
      </c>
      <c r="B702" s="244" t="s">
        <v>1339</v>
      </c>
      <c r="C702" s="244" t="s">
        <v>2133</v>
      </c>
      <c r="D702" s="154" t="s">
        <v>1315</v>
      </c>
      <c r="E702" s="250"/>
      <c r="F702" s="154" t="str">
        <f t="array" ref="F702">XLOOKUP(Cover!$D$12,$S$1:$AA$1,$S702:$AA702)</f>
        <v>Recommended</v>
      </c>
      <c r="G702" s="154" t="s">
        <v>2134</v>
      </c>
      <c r="H702" s="154"/>
      <c r="I702" s="154" t="s">
        <v>759</v>
      </c>
      <c r="J702" s="154" t="s">
        <v>516</v>
      </c>
      <c r="K702" s="154"/>
      <c r="L702" s="154" t="str">
        <f t="shared" si="1"/>
        <v/>
      </c>
      <c r="M702" s="248" t="str">
        <f>IFERROR(__xludf.DUMMYFUNCTION("VLOOKUP(C702,IMPORTRANGE(""https://docs.google.com/spreadsheets/d/1P8eX0NWBhUPS_hvzA11R6jkTNFrPrRYIx_dX_hYbxrk/edit?resourcekey=0-iw9bsKY2OqkUHCFMkCar3A&amp;gid=2055363397#gid=2055363397"",""MTR!C:O""),11,false)"),"PMW-MCE-AS")</f>
        <v>PMW-MCE-AS</v>
      </c>
      <c r="N702" s="248" t="str">
        <f>IFERROR(__xludf.DUMMYFUNCTION("VLOOKUP(C702,IMPORTRANGE(""https://docs.google.com/spreadsheets/d/1ihFlp3_ePlYtFuPbUNbYj1muErVpI73WHXbEwJDIA7Q/edit#gid=1493122344"",""MTR!C:O""),8,false)"),"Does Not Comply")</f>
        <v>Does Not Comply</v>
      </c>
      <c r="O702" s="241" t="str">
        <f>IFERROR(__xludf.DUMMYFUNCTION("VLOOKUP(C702,IMPORTRANGE(""https://docs.google.com/spreadsheets/d/1P8eX0NWBhUPS_hvzA11R6jkTNFrPrRYIx_dX_hYbxrk/edit?resourcekey=0-iw9bsKY2OqkUHCFMkCar3A&amp;gid=2055363397#gid=2055363397"",""MTR!C:O""),9,false)"),"")</f>
        <v/>
      </c>
      <c r="P702" s="241"/>
      <c r="Q702" s="251" t="s">
        <v>516</v>
      </c>
      <c r="R702" s="241"/>
      <c r="S702" s="154" t="s">
        <v>66</v>
      </c>
      <c r="T702" s="154" t="s">
        <v>66</v>
      </c>
      <c r="U702" s="154" t="s">
        <v>64</v>
      </c>
      <c r="V702" s="154" t="s">
        <v>64</v>
      </c>
      <c r="W702" s="154" t="s">
        <v>64</v>
      </c>
      <c r="X702" s="154" t="s">
        <v>64</v>
      </c>
      <c r="Y702" s="154" t="s">
        <v>66</v>
      </c>
      <c r="Z702" s="154" t="s">
        <v>64</v>
      </c>
      <c r="AA702" s="154" t="s">
        <v>64</v>
      </c>
      <c r="AB702" s="154"/>
      <c r="AC702" s="242" t="b">
        <f t="shared" si="2"/>
        <v>1</v>
      </c>
      <c r="AD702" s="154" t="s">
        <v>391</v>
      </c>
      <c r="AE702" s="243" t="b">
        <f t="shared" si="3"/>
        <v>0</v>
      </c>
      <c r="AF702" s="154"/>
      <c r="AG702" s="243" t="b">
        <f t="shared" si="4"/>
        <v>0</v>
      </c>
      <c r="AH702" s="154" t="s">
        <v>1346</v>
      </c>
      <c r="AI702" s="243" t="str">
        <f t="shared" si="5"/>
        <v>Partially Complies</v>
      </c>
      <c r="AJ702" s="157" t="str">
        <f t="shared" si="6"/>
        <v/>
      </c>
    </row>
    <row r="703" ht="12.75" customHeight="1">
      <c r="A703" s="238" t="s">
        <v>621</v>
      </c>
      <c r="B703" s="238" t="s">
        <v>1339</v>
      </c>
      <c r="C703" s="238" t="s">
        <v>2135</v>
      </c>
      <c r="D703" s="240"/>
      <c r="E703" s="252" t="s">
        <v>92</v>
      </c>
      <c r="F703" s="154" t="str">
        <f t="array" ref="F703">XLOOKUP(Cover!$D$12,$S$1:$AA$1,$S703:$AA703)</f>
        <v>Heading</v>
      </c>
      <c r="G703" s="239" t="s">
        <v>2136</v>
      </c>
      <c r="H703" s="240"/>
      <c r="I703" s="240" t="s">
        <v>759</v>
      </c>
      <c r="J703" s="262"/>
      <c r="K703" s="262"/>
      <c r="L703" s="154" t="str">
        <f t="shared" si="1"/>
        <v/>
      </c>
      <c r="M703" s="241" t="str">
        <f>IFERROR(__xludf.DUMMYFUNCTION("VLOOKUP(C703,IMPORTRANGE(""https://docs.google.com/spreadsheets/d/1P8eX0NWBhUPS_hvzA11R6jkTNFrPrRYIx_dX_hYbxrk/edit?resourcekey=0-iw9bsKY2OqkUHCFMkCar3A&amp;gid=2055363397#gid=2055363397"",""MTR!C:O""),11,false)"),"")</f>
        <v/>
      </c>
      <c r="N703" s="241" t="str">
        <f>IFERROR(__xludf.DUMMYFUNCTION("VLOOKUP(C703,IMPORTRANGE(""https://docs.google.com/spreadsheets/d/1ihFlp3_ePlYtFuPbUNbYj1muErVpI73WHXbEwJDIA7Q/edit#gid=1493122344"",""MTR!C:O""),8,false)"),"")</f>
        <v/>
      </c>
      <c r="O703" s="241" t="str">
        <f>IFERROR(__xludf.DUMMYFUNCTION("VLOOKUP(C703,IMPORTRANGE(""https://docs.google.com/spreadsheets/d/1P8eX0NWBhUPS_hvzA11R6jkTNFrPrRYIx_dX_hYbxrk/edit?resourcekey=0-iw9bsKY2OqkUHCFMkCar3A&amp;gid=2055363397#gid=2055363397"",""MTR!C:O""),9,false)"),"")</f>
        <v/>
      </c>
      <c r="P703" s="241"/>
      <c r="Q703" s="251"/>
      <c r="R703" s="241"/>
      <c r="S703" s="240" t="s">
        <v>390</v>
      </c>
      <c r="T703" s="240" t="s">
        <v>390</v>
      </c>
      <c r="U703" s="240" t="s">
        <v>390</v>
      </c>
      <c r="V703" s="240" t="s">
        <v>390</v>
      </c>
      <c r="W703" s="240" t="s">
        <v>390</v>
      </c>
      <c r="X703" s="240" t="s">
        <v>390</v>
      </c>
      <c r="Y703" s="240" t="s">
        <v>390</v>
      </c>
      <c r="Z703" s="240" t="s">
        <v>390</v>
      </c>
      <c r="AA703" s="240" t="s">
        <v>390</v>
      </c>
      <c r="AB703" s="240"/>
      <c r="AC703" s="242" t="b">
        <f t="shared" si="2"/>
        <v>0</v>
      </c>
      <c r="AD703" s="240" t="s">
        <v>391</v>
      </c>
      <c r="AE703" s="243" t="b">
        <f t="shared" si="3"/>
        <v>0</v>
      </c>
      <c r="AF703" s="240"/>
      <c r="AG703" s="243" t="b">
        <f t="shared" si="4"/>
        <v>0</v>
      </c>
      <c r="AH703" s="240"/>
      <c r="AI703" s="243" t="str">
        <f t="shared" si="5"/>
        <v>N/A</v>
      </c>
      <c r="AJ703" s="157" t="str">
        <f t="shared" si="6"/>
        <v/>
      </c>
    </row>
    <row r="704" ht="12.75" customHeight="1">
      <c r="A704" s="244" t="s">
        <v>621</v>
      </c>
      <c r="B704" s="244" t="s">
        <v>1339</v>
      </c>
      <c r="C704" s="244" t="s">
        <v>2137</v>
      </c>
      <c r="D704" s="244" t="s">
        <v>1315</v>
      </c>
      <c r="E704" s="244"/>
      <c r="F704" s="154" t="str">
        <f t="array" ref="F704">XLOOKUP(Cover!$D$12,$S$1:$AA$1,$S704:$AA704)</f>
        <v>Comment</v>
      </c>
      <c r="G704" s="153" t="s">
        <v>2138</v>
      </c>
      <c r="H704" s="154"/>
      <c r="I704" s="154" t="s">
        <v>759</v>
      </c>
      <c r="J704" s="154"/>
      <c r="K704" s="154"/>
      <c r="L704" s="154" t="str">
        <f t="shared" si="1"/>
        <v/>
      </c>
      <c r="M704" s="241" t="str">
        <f>IFERROR(__xludf.DUMMYFUNCTION("VLOOKUP(C704,IMPORTRANGE(""https://docs.google.com/spreadsheets/d/1P8eX0NWBhUPS_hvzA11R6jkTNFrPrRYIx_dX_hYbxrk/edit?resourcekey=0-iw9bsKY2OqkUHCFMkCar3A&amp;gid=2055363397#gid=2055363397"",""MTR!C:O""),11,false)"),"")</f>
        <v/>
      </c>
      <c r="N704" s="241" t="str">
        <f>IFERROR(__xludf.DUMMYFUNCTION("VLOOKUP(C704,IMPORTRANGE(""https://docs.google.com/spreadsheets/d/1ihFlp3_ePlYtFuPbUNbYj1muErVpI73WHXbEwJDIA7Q/edit#gid=1493122344"",""MTR!C:O""),8,false)"),"")</f>
        <v/>
      </c>
      <c r="O704" s="241" t="str">
        <f>IFERROR(__xludf.DUMMYFUNCTION("VLOOKUP(C704,IMPORTRANGE(""https://docs.google.com/spreadsheets/d/1P8eX0NWBhUPS_hvzA11R6jkTNFrPrRYIx_dX_hYbxrk/edit?resourcekey=0-iw9bsKY2OqkUHCFMkCar3A&amp;gid=2055363397#gid=2055363397"",""MTR!C:O""),9,false)"),"")</f>
        <v/>
      </c>
      <c r="P704" s="241"/>
      <c r="Q704" s="241"/>
      <c r="R704" s="241"/>
      <c r="S704" s="154" t="s">
        <v>35</v>
      </c>
      <c r="T704" s="154" t="s">
        <v>35</v>
      </c>
      <c r="U704" s="154" t="s">
        <v>35</v>
      </c>
      <c r="V704" s="154" t="s">
        <v>35</v>
      </c>
      <c r="W704" s="154" t="s">
        <v>35</v>
      </c>
      <c r="X704" s="154" t="s">
        <v>35</v>
      </c>
      <c r="Y704" s="154" t="s">
        <v>35</v>
      </c>
      <c r="Z704" s="154" t="s">
        <v>35</v>
      </c>
      <c r="AA704" s="154" t="s">
        <v>35</v>
      </c>
      <c r="AB704" s="154"/>
      <c r="AC704" s="242" t="b">
        <f t="shared" si="2"/>
        <v>0</v>
      </c>
      <c r="AD704" s="154" t="s">
        <v>391</v>
      </c>
      <c r="AE704" s="243" t="b">
        <f t="shared" si="3"/>
        <v>0</v>
      </c>
      <c r="AF704" s="154"/>
      <c r="AG704" s="243" t="b">
        <f t="shared" si="4"/>
        <v>0</v>
      </c>
      <c r="AH704" s="154"/>
      <c r="AI704" s="243" t="str">
        <f t="shared" si="5"/>
        <v>N/A</v>
      </c>
      <c r="AJ704" s="157" t="str">
        <f t="shared" si="6"/>
        <v/>
      </c>
    </row>
    <row r="705" ht="12.75" customHeight="1">
      <c r="A705" s="244" t="s">
        <v>621</v>
      </c>
      <c r="B705" s="244" t="s">
        <v>1339</v>
      </c>
      <c r="C705" s="244" t="s">
        <v>2139</v>
      </c>
      <c r="D705" s="154" t="s">
        <v>1069</v>
      </c>
      <c r="E705" s="250"/>
      <c r="F705" s="154" t="str">
        <f t="array" ref="F705">XLOOKUP(Cover!$D$12,$S$1:$AA$1,$S705:$AA705)</f>
        <v>Mandatory</v>
      </c>
      <c r="G705" s="153" t="s">
        <v>2140</v>
      </c>
      <c r="H705" s="154" t="s">
        <v>234</v>
      </c>
      <c r="I705" s="154" t="s">
        <v>759</v>
      </c>
      <c r="J705" s="247" t="s">
        <v>506</v>
      </c>
      <c r="K705" s="154" t="s">
        <v>1775</v>
      </c>
      <c r="L705" s="154" t="str">
        <f t="shared" si="1"/>
        <v/>
      </c>
      <c r="M705" s="248" t="str">
        <f>IFERROR(__xludf.DUMMYFUNCTION("VLOOKUP(C705,IMPORTRANGE(""https://docs.google.com/spreadsheets/d/1P8eX0NWBhUPS_hvzA11R6jkTNFrPrRYIx_dX_hYbxrk/edit?resourcekey=0-iw9bsKY2OqkUHCFMkCar3A&amp;gid=2055363397#gid=2055363397"",""MTR!C:O""),11,false)"),"PMW-MCE-AS")</f>
        <v>PMW-MCE-AS</v>
      </c>
      <c r="N705" s="248" t="str">
        <f>IFERROR(__xludf.DUMMYFUNCTION("VLOOKUP(C705,IMPORTRANGE(""https://docs.google.com/spreadsheets/d/1ihFlp3_ePlYtFuPbUNbYj1muErVpI73WHXbEwJDIA7Q/edit#gid=1493122344"",""MTR!C:O""),8,false)"),"Does Not Comply")</f>
        <v>Does Not Comply</v>
      </c>
      <c r="O705" s="248" t="str">
        <f>IFERROR(__xludf.DUMMYFUNCTION("VLOOKUP(C705,IMPORTRANGE(""https://docs.google.com/spreadsheets/d/1P8eX0NWBhUPS_hvzA11R6jkTNFrPrRYIx_dX_hYbxrk/edit?resourcekey=0-iw9bsKY2OqkUHCFMkCar3A&amp;gid=2055363397#gid=2055363397"",""MTR!C:O""),9,false)"),"SA disabled at launch. Reach out to TAM to get this feature enabled when SA is supported.")</f>
        <v>SA disabled at launch. Reach out to TAM to get this feature enabled when SA is supported.</v>
      </c>
      <c r="P705" s="248"/>
      <c r="Q705" s="249" t="s">
        <v>516</v>
      </c>
      <c r="R705" s="249" t="s">
        <v>1642</v>
      </c>
      <c r="S705" s="154" t="s">
        <v>66</v>
      </c>
      <c r="T705" s="154" t="s">
        <v>66</v>
      </c>
      <c r="U705" s="154" t="s">
        <v>60</v>
      </c>
      <c r="V705" s="154" t="s">
        <v>60</v>
      </c>
      <c r="W705" s="154" t="s">
        <v>60</v>
      </c>
      <c r="X705" s="154" t="s">
        <v>60</v>
      </c>
      <c r="Y705" s="154" t="s">
        <v>66</v>
      </c>
      <c r="Z705" s="154" t="s">
        <v>60</v>
      </c>
      <c r="AA705" s="154" t="s">
        <v>60</v>
      </c>
      <c r="AB705" s="154"/>
      <c r="AC705" s="242" t="b">
        <f t="shared" si="2"/>
        <v>1</v>
      </c>
      <c r="AD705" s="154" t="s">
        <v>391</v>
      </c>
      <c r="AE705" s="243" t="b">
        <f t="shared" si="3"/>
        <v>0</v>
      </c>
      <c r="AF705" s="154"/>
      <c r="AG705" s="243" t="b">
        <f t="shared" si="4"/>
        <v>0</v>
      </c>
      <c r="AH705" s="154"/>
      <c r="AI705" s="243" t="str">
        <f t="shared" si="5"/>
        <v>N/A</v>
      </c>
      <c r="AJ705" s="157" t="str">
        <f t="shared" si="6"/>
        <v/>
      </c>
    </row>
    <row r="706" ht="12.75" customHeight="1">
      <c r="A706" s="244" t="s">
        <v>621</v>
      </c>
      <c r="B706" s="244" t="s">
        <v>1339</v>
      </c>
      <c r="C706" s="244" t="s">
        <v>2141</v>
      </c>
      <c r="D706" s="154" t="s">
        <v>503</v>
      </c>
      <c r="E706" s="250"/>
      <c r="F706" s="154" t="str">
        <f t="array" ref="F706">XLOOKUP(Cover!$D$12,$S$1:$AA$1,$S706:$AA706)</f>
        <v>Mandatory</v>
      </c>
      <c r="G706" s="153" t="s">
        <v>2142</v>
      </c>
      <c r="H706" s="154" t="s">
        <v>234</v>
      </c>
      <c r="I706" s="154" t="s">
        <v>759</v>
      </c>
      <c r="J706" s="247" t="s">
        <v>506</v>
      </c>
      <c r="K706" s="154" t="s">
        <v>1775</v>
      </c>
      <c r="L706" s="154" t="str">
        <f t="shared" si="1"/>
        <v/>
      </c>
      <c r="M706" s="248" t="str">
        <f>IFERROR(__xludf.DUMMYFUNCTION("VLOOKUP(C706,IMPORTRANGE(""https://docs.google.com/spreadsheets/d/1P8eX0NWBhUPS_hvzA11R6jkTNFrPrRYIx_dX_hYbxrk/edit?resourcekey=0-iw9bsKY2OqkUHCFMkCar3A&amp;gid=2055363397#gid=2055363397"",""MTR!C:O""),11,false)"),"PMW-MCE-AS")</f>
        <v>PMW-MCE-AS</v>
      </c>
      <c r="N706" s="248" t="str">
        <f>IFERROR(__xludf.DUMMYFUNCTION("VLOOKUP(C706,IMPORTRANGE(""https://docs.google.com/spreadsheets/d/1ihFlp3_ePlYtFuPbUNbYj1muErVpI73WHXbEwJDIA7Q/edit#gid=1493122344"",""MTR!C:O""),8,false)"),"Does Not Comply")</f>
        <v>Does Not Comply</v>
      </c>
      <c r="O706" s="248" t="str">
        <f>IFERROR(__xludf.DUMMYFUNCTION("VLOOKUP(C706,IMPORTRANGE(""https://docs.google.com/spreadsheets/d/1P8eX0NWBhUPS_hvzA11R6jkTNFrPrRYIx_dX_hYbxrk/edit?resourcekey=0-iw9bsKY2OqkUHCFMkCar3A&amp;gid=2055363397#gid=2055363397"",""MTR!C:O""),9,false)"),"SA disabled at launch. Reach out to TAM to get this feature enabled when SA is supported.")</f>
        <v>SA disabled at launch. Reach out to TAM to get this feature enabled when SA is supported.</v>
      </c>
      <c r="P706" s="248"/>
      <c r="Q706" s="249" t="s">
        <v>516</v>
      </c>
      <c r="R706" s="249" t="s">
        <v>1642</v>
      </c>
      <c r="S706" s="154" t="s">
        <v>66</v>
      </c>
      <c r="T706" s="154" t="s">
        <v>66</v>
      </c>
      <c r="U706" s="154" t="s">
        <v>60</v>
      </c>
      <c r="V706" s="154" t="s">
        <v>60</v>
      </c>
      <c r="W706" s="154" t="s">
        <v>60</v>
      </c>
      <c r="X706" s="154" t="s">
        <v>60</v>
      </c>
      <c r="Y706" s="154" t="s">
        <v>66</v>
      </c>
      <c r="Z706" s="154" t="s">
        <v>60</v>
      </c>
      <c r="AA706" s="154" t="s">
        <v>60</v>
      </c>
      <c r="AB706" s="154"/>
      <c r="AC706" s="242" t="b">
        <f t="shared" si="2"/>
        <v>1</v>
      </c>
      <c r="AD706" s="154" t="s">
        <v>391</v>
      </c>
      <c r="AE706" s="243" t="b">
        <f t="shared" si="3"/>
        <v>0</v>
      </c>
      <c r="AF706" s="154"/>
      <c r="AG706" s="243" t="b">
        <f t="shared" si="4"/>
        <v>0</v>
      </c>
      <c r="AH706" s="154"/>
      <c r="AI706" s="243" t="str">
        <f t="shared" si="5"/>
        <v>N/A</v>
      </c>
      <c r="AJ706" s="157" t="str">
        <f t="shared" si="6"/>
        <v/>
      </c>
    </row>
    <row r="707" ht="12.75" customHeight="1">
      <c r="A707" s="244" t="s">
        <v>621</v>
      </c>
      <c r="B707" s="244" t="s">
        <v>1339</v>
      </c>
      <c r="C707" s="244" t="s">
        <v>2143</v>
      </c>
      <c r="D707" s="154" t="s">
        <v>503</v>
      </c>
      <c r="E707" s="250"/>
      <c r="F707" s="154" t="str">
        <f t="array" ref="F707">XLOOKUP(Cover!$D$12,$S$1:$AA$1,$S707:$AA707)</f>
        <v>Mandatory</v>
      </c>
      <c r="G707" s="153" t="s">
        <v>2144</v>
      </c>
      <c r="H707" s="154" t="s">
        <v>234</v>
      </c>
      <c r="I707" s="154" t="s">
        <v>759</v>
      </c>
      <c r="J707" s="247" t="s">
        <v>506</v>
      </c>
      <c r="K707" s="154" t="s">
        <v>2145</v>
      </c>
      <c r="L707" s="154" t="str">
        <f t="shared" si="1"/>
        <v/>
      </c>
      <c r="M707" s="248" t="str">
        <f>IFERROR(__xludf.DUMMYFUNCTION("VLOOKUP(C707,IMPORTRANGE(""https://docs.google.com/spreadsheets/d/1P8eX0NWBhUPS_hvzA11R6jkTNFrPrRYIx_dX_hYbxrk/edit?resourcekey=0-iw9bsKY2OqkUHCFMkCar3A&amp;gid=2055363397#gid=2055363397"",""MTR!C:O""),11,false)"),"PMW-MCE-AS")</f>
        <v>PMW-MCE-AS</v>
      </c>
      <c r="N707" s="248" t="str">
        <f>IFERROR(__xludf.DUMMYFUNCTION("VLOOKUP(C707,IMPORTRANGE(""https://docs.google.com/spreadsheets/d/1ihFlp3_ePlYtFuPbUNbYj1muErVpI73WHXbEwJDIA7Q/edit#gid=1493122344"",""MTR!C:O""),8,false)"),"Does Not Comply")</f>
        <v>Does Not Comply</v>
      </c>
      <c r="O707" s="248" t="str">
        <f>IFERROR(__xludf.DUMMYFUNCTION("VLOOKUP(C707,IMPORTRANGE(""https://docs.google.com/spreadsheets/d/1P8eX0NWBhUPS_hvzA11R6jkTNFrPrRYIx_dX_hYbxrk/edit?resourcekey=0-iw9bsKY2OqkUHCFMkCar3A&amp;gid=2055363397#gid=2055363397"",""MTR!C:O""),9,false)"),"Modem support but
5G SA default disabled.")</f>
        <v>Modem support but
5G SA default disabled.</v>
      </c>
      <c r="P707" s="248"/>
      <c r="Q707" s="249" t="s">
        <v>516</v>
      </c>
      <c r="R707" s="249" t="s">
        <v>1642</v>
      </c>
      <c r="S707" s="154" t="s">
        <v>66</v>
      </c>
      <c r="T707" s="154" t="s">
        <v>66</v>
      </c>
      <c r="U707" s="154" t="s">
        <v>60</v>
      </c>
      <c r="V707" s="154" t="s">
        <v>60</v>
      </c>
      <c r="W707" s="154" t="s">
        <v>60</v>
      </c>
      <c r="X707" s="154" t="s">
        <v>60</v>
      </c>
      <c r="Y707" s="154" t="s">
        <v>66</v>
      </c>
      <c r="Z707" s="154" t="s">
        <v>60</v>
      </c>
      <c r="AA707" s="154" t="s">
        <v>60</v>
      </c>
      <c r="AB707" s="154"/>
      <c r="AC707" s="242" t="b">
        <f t="shared" si="2"/>
        <v>1</v>
      </c>
      <c r="AD707" s="154" t="s">
        <v>391</v>
      </c>
      <c r="AE707" s="243" t="b">
        <f t="shared" si="3"/>
        <v>0</v>
      </c>
      <c r="AF707" s="154"/>
      <c r="AG707" s="243" t="b">
        <f t="shared" si="4"/>
        <v>0</v>
      </c>
      <c r="AH707" s="154"/>
      <c r="AI707" s="243" t="str">
        <f t="shared" si="5"/>
        <v>N/A</v>
      </c>
      <c r="AJ707" s="157" t="str">
        <f t="shared" si="6"/>
        <v/>
      </c>
    </row>
    <row r="708" ht="12.75" customHeight="1">
      <c r="A708" s="244" t="s">
        <v>621</v>
      </c>
      <c r="B708" s="244" t="s">
        <v>1339</v>
      </c>
      <c r="C708" s="244" t="s">
        <v>2146</v>
      </c>
      <c r="D708" s="154" t="s">
        <v>503</v>
      </c>
      <c r="E708" s="250"/>
      <c r="F708" s="154" t="str">
        <f t="array" ref="F708">XLOOKUP(Cover!$D$12,$S$1:$AA$1,$S708:$AA708)</f>
        <v>Mandatory</v>
      </c>
      <c r="G708" s="153" t="s">
        <v>2147</v>
      </c>
      <c r="H708" s="154" t="s">
        <v>234</v>
      </c>
      <c r="I708" s="154" t="s">
        <v>759</v>
      </c>
      <c r="J708" s="247" t="s">
        <v>506</v>
      </c>
      <c r="K708" s="154" t="s">
        <v>2145</v>
      </c>
      <c r="L708" s="154" t="str">
        <f t="shared" si="1"/>
        <v/>
      </c>
      <c r="M708" s="248" t="str">
        <f>IFERROR(__xludf.DUMMYFUNCTION("VLOOKUP(C708,IMPORTRANGE(""https://docs.google.com/spreadsheets/d/1P8eX0NWBhUPS_hvzA11R6jkTNFrPrRYIx_dX_hYbxrk/edit?resourcekey=0-iw9bsKY2OqkUHCFMkCar3A&amp;gid=2055363397#gid=2055363397"",""MTR!C:O""),11,false)"),"PMW-MCE-AS")</f>
        <v>PMW-MCE-AS</v>
      </c>
      <c r="N708" s="248" t="str">
        <f>IFERROR(__xludf.DUMMYFUNCTION("VLOOKUP(C708,IMPORTRANGE(""https://docs.google.com/spreadsheets/d/1ihFlp3_ePlYtFuPbUNbYj1muErVpI73WHXbEwJDIA7Q/edit#gid=1493122344"",""MTR!C:O""),8,false)"),"Does Not Comply")</f>
        <v>Does Not Comply</v>
      </c>
      <c r="O708" s="248" t="str">
        <f>IFERROR(__xludf.DUMMYFUNCTION("VLOOKUP(C708,IMPORTRANGE(""https://docs.google.com/spreadsheets/d/1P8eX0NWBhUPS_hvzA11R6jkTNFrPrRYIx_dX_hYbxrk/edit?resourcekey=0-iw9bsKY2OqkUHCFMkCar3A&amp;gid=2055363397#gid=2055363397"",""MTR!C:O""),9,false)"),"Modem support but
5G SA default disabled.")</f>
        <v>Modem support but
5G SA default disabled.</v>
      </c>
      <c r="P708" s="248"/>
      <c r="Q708" s="249" t="s">
        <v>516</v>
      </c>
      <c r="R708" s="249" t="s">
        <v>1642</v>
      </c>
      <c r="S708" s="154" t="s">
        <v>66</v>
      </c>
      <c r="T708" s="154" t="s">
        <v>66</v>
      </c>
      <c r="U708" s="154" t="s">
        <v>60</v>
      </c>
      <c r="V708" s="154" t="s">
        <v>60</v>
      </c>
      <c r="W708" s="154" t="s">
        <v>60</v>
      </c>
      <c r="X708" s="154" t="s">
        <v>60</v>
      </c>
      <c r="Y708" s="154" t="s">
        <v>66</v>
      </c>
      <c r="Z708" s="154" t="s">
        <v>60</v>
      </c>
      <c r="AA708" s="154" t="s">
        <v>60</v>
      </c>
      <c r="AB708" s="154"/>
      <c r="AC708" s="242" t="b">
        <f t="shared" si="2"/>
        <v>1</v>
      </c>
      <c r="AD708" s="154" t="s">
        <v>391</v>
      </c>
      <c r="AE708" s="243" t="b">
        <f t="shared" si="3"/>
        <v>0</v>
      </c>
      <c r="AF708" s="154"/>
      <c r="AG708" s="243" t="b">
        <f t="shared" si="4"/>
        <v>0</v>
      </c>
      <c r="AH708" s="154"/>
      <c r="AI708" s="243" t="str">
        <f t="shared" si="5"/>
        <v>N/A</v>
      </c>
      <c r="AJ708" s="157" t="str">
        <f t="shared" si="6"/>
        <v/>
      </c>
    </row>
    <row r="709" ht="12.75" customHeight="1">
      <c r="A709" s="244" t="s">
        <v>621</v>
      </c>
      <c r="B709" s="244" t="s">
        <v>1339</v>
      </c>
      <c r="C709" s="244" t="s">
        <v>2148</v>
      </c>
      <c r="D709" s="154" t="s">
        <v>503</v>
      </c>
      <c r="E709" s="250"/>
      <c r="F709" s="154" t="str">
        <f t="array" ref="F709">XLOOKUP(Cover!$D$12,$S$1:$AA$1,$S709:$AA709)</f>
        <v>Mandatory</v>
      </c>
      <c r="G709" s="153" t="s">
        <v>2149</v>
      </c>
      <c r="H709" s="154" t="s">
        <v>234</v>
      </c>
      <c r="I709" s="154" t="s">
        <v>759</v>
      </c>
      <c r="J709" s="247" t="s">
        <v>506</v>
      </c>
      <c r="K709" s="154" t="s">
        <v>2150</v>
      </c>
      <c r="L709" s="154" t="str">
        <f t="shared" si="1"/>
        <v/>
      </c>
      <c r="M709" s="248" t="str">
        <f>IFERROR(__xludf.DUMMYFUNCTION("VLOOKUP(C709,IMPORTRANGE(""https://docs.google.com/spreadsheets/d/1P8eX0NWBhUPS_hvzA11R6jkTNFrPrRYIx_dX_hYbxrk/edit?resourcekey=0-iw9bsKY2OqkUHCFMkCar3A&amp;gid=2055363397#gid=2055363397"",""MTR!C:O""),11,false)"),"PMW-MCE-AS")</f>
        <v>PMW-MCE-AS</v>
      </c>
      <c r="N709" s="248" t="str">
        <f>IFERROR(__xludf.DUMMYFUNCTION("VLOOKUP(C709,IMPORTRANGE(""https://docs.google.com/spreadsheets/d/1ihFlp3_ePlYtFuPbUNbYj1muErVpI73WHXbEwJDIA7Q/edit#gid=1493122344"",""MTR!C:O""),8,false)"),"Does Not Comply")</f>
        <v>Does Not Comply</v>
      </c>
      <c r="O709" s="248" t="str">
        <f>IFERROR(__xludf.DUMMYFUNCTION("VLOOKUP(C709,IMPORTRANGE(""https://docs.google.com/spreadsheets/d/1P8eX0NWBhUPS_hvzA11R6jkTNFrPrRYIx_dX_hYbxrk/edit?resourcekey=0-iw9bsKY2OqkUHCFMkCar3A&amp;gid=2055363397#gid=2055363397"",""MTR!C:O""),9,false)"),"5G SA default disabled.")</f>
        <v>5G SA default disabled.</v>
      </c>
      <c r="P709" s="248"/>
      <c r="Q709" s="249" t="s">
        <v>516</v>
      </c>
      <c r="R709" s="249" t="s">
        <v>1642</v>
      </c>
      <c r="S709" s="154" t="s">
        <v>66</v>
      </c>
      <c r="T709" s="154" t="s">
        <v>66</v>
      </c>
      <c r="U709" s="154" t="s">
        <v>60</v>
      </c>
      <c r="V709" s="154" t="s">
        <v>60</v>
      </c>
      <c r="W709" s="154" t="s">
        <v>60</v>
      </c>
      <c r="X709" s="154" t="s">
        <v>60</v>
      </c>
      <c r="Y709" s="154" t="s">
        <v>66</v>
      </c>
      <c r="Z709" s="154" t="s">
        <v>60</v>
      </c>
      <c r="AA709" s="154" t="s">
        <v>60</v>
      </c>
      <c r="AB709" s="154"/>
      <c r="AC709" s="242" t="b">
        <f t="shared" si="2"/>
        <v>1</v>
      </c>
      <c r="AD709" s="154" t="s">
        <v>391</v>
      </c>
      <c r="AE709" s="243" t="b">
        <f t="shared" si="3"/>
        <v>0</v>
      </c>
      <c r="AF709" s="154"/>
      <c r="AG709" s="243" t="b">
        <f t="shared" si="4"/>
        <v>0</v>
      </c>
      <c r="AH709" s="154"/>
      <c r="AI709" s="243" t="str">
        <f t="shared" si="5"/>
        <v>N/A</v>
      </c>
      <c r="AJ709" s="157" t="str">
        <f t="shared" si="6"/>
        <v/>
      </c>
    </row>
    <row r="710" ht="12.75" customHeight="1">
      <c r="A710" s="238" t="s">
        <v>621</v>
      </c>
      <c r="B710" s="238" t="s">
        <v>1339</v>
      </c>
      <c r="C710" s="238" t="s">
        <v>2151</v>
      </c>
      <c r="D710" s="240"/>
      <c r="E710" s="252" t="s">
        <v>92</v>
      </c>
      <c r="F710" s="154" t="str">
        <f t="array" ref="F710">XLOOKUP(Cover!$D$12,$S$1:$AA$1,$S710:$AA710)</f>
        <v>Heading</v>
      </c>
      <c r="G710" s="239" t="s">
        <v>2152</v>
      </c>
      <c r="H710" s="240"/>
      <c r="I710" s="240" t="s">
        <v>759</v>
      </c>
      <c r="J710" s="262"/>
      <c r="K710" s="262"/>
      <c r="L710" s="154" t="str">
        <f t="shared" si="1"/>
        <v/>
      </c>
      <c r="M710" s="241" t="str">
        <f>IFERROR(__xludf.DUMMYFUNCTION("VLOOKUP(C710,IMPORTRANGE(""https://docs.google.com/spreadsheets/d/1P8eX0NWBhUPS_hvzA11R6jkTNFrPrRYIx_dX_hYbxrk/edit?resourcekey=0-iw9bsKY2OqkUHCFMkCar3A&amp;gid=2055363397#gid=2055363397"",""MTR!C:O""),11,false)"),"")</f>
        <v/>
      </c>
      <c r="N710" s="241" t="str">
        <f>IFERROR(__xludf.DUMMYFUNCTION("VLOOKUP(C710,IMPORTRANGE(""https://docs.google.com/spreadsheets/d/1ihFlp3_ePlYtFuPbUNbYj1muErVpI73WHXbEwJDIA7Q/edit#gid=1493122344"",""MTR!C:O""),8,false)"),"")</f>
        <v/>
      </c>
      <c r="O710" s="241" t="str">
        <f>IFERROR(__xludf.DUMMYFUNCTION("VLOOKUP(C710,IMPORTRANGE(""https://docs.google.com/spreadsheets/d/1P8eX0NWBhUPS_hvzA11R6jkTNFrPrRYIx_dX_hYbxrk/edit?resourcekey=0-iw9bsKY2OqkUHCFMkCar3A&amp;gid=2055363397#gid=2055363397"",""MTR!C:O""),9,false)"),"")</f>
        <v/>
      </c>
      <c r="P710" s="241"/>
      <c r="Q710" s="251"/>
      <c r="R710" s="251"/>
      <c r="S710" s="240" t="s">
        <v>390</v>
      </c>
      <c r="T710" s="240" t="s">
        <v>390</v>
      </c>
      <c r="U710" s="240" t="s">
        <v>390</v>
      </c>
      <c r="V710" s="240" t="s">
        <v>390</v>
      </c>
      <c r="W710" s="240" t="s">
        <v>390</v>
      </c>
      <c r="X710" s="240" t="s">
        <v>390</v>
      </c>
      <c r="Y710" s="240" t="s">
        <v>390</v>
      </c>
      <c r="Z710" s="240" t="s">
        <v>390</v>
      </c>
      <c r="AA710" s="240" t="s">
        <v>390</v>
      </c>
      <c r="AB710" s="240"/>
      <c r="AC710" s="242" t="b">
        <f t="shared" si="2"/>
        <v>0</v>
      </c>
      <c r="AD710" s="240" t="s">
        <v>391</v>
      </c>
      <c r="AE710" s="243" t="b">
        <f t="shared" si="3"/>
        <v>0</v>
      </c>
      <c r="AF710" s="240"/>
      <c r="AG710" s="243" t="b">
        <f t="shared" si="4"/>
        <v>0</v>
      </c>
      <c r="AH710" s="240"/>
      <c r="AI710" s="243" t="str">
        <f t="shared" si="5"/>
        <v>N/A</v>
      </c>
      <c r="AJ710" s="157" t="str">
        <f t="shared" si="6"/>
        <v/>
      </c>
    </row>
    <row r="711" ht="12.75" customHeight="1">
      <c r="A711" s="238" t="s">
        <v>621</v>
      </c>
      <c r="B711" s="238" t="s">
        <v>1339</v>
      </c>
      <c r="C711" s="238" t="s">
        <v>2153</v>
      </c>
      <c r="D711" s="240"/>
      <c r="E711" s="252" t="s">
        <v>92</v>
      </c>
      <c r="F711" s="154" t="str">
        <f t="array" ref="F711">XLOOKUP(Cover!$D$12,$S$1:$AA$1,$S711:$AA711)</f>
        <v>Heading</v>
      </c>
      <c r="G711" s="239" t="s">
        <v>2154</v>
      </c>
      <c r="H711" s="240"/>
      <c r="I711" s="240" t="s">
        <v>2155</v>
      </c>
      <c r="J711" s="262"/>
      <c r="K711" s="240"/>
      <c r="L711" s="154" t="str">
        <f t="shared" si="1"/>
        <v/>
      </c>
      <c r="M711" s="253" t="str">
        <f>IFERROR(__xludf.DUMMYFUNCTION("VLOOKUP(C711,IMPORTRANGE(""https://docs.google.com/spreadsheets/d/1P8eX0NWBhUPS_hvzA11R6jkTNFrPrRYIx_dX_hYbxrk/edit?resourcekey=0-iw9bsKY2OqkUHCFMkCar3A&amp;gid=2055363397#gid=2055363397"",""MTR!C:O""),11,false)"),"#N/A")</f>
        <v>#N/A</v>
      </c>
      <c r="N711" s="241" t="str">
        <f>IFERROR(__xludf.DUMMYFUNCTION("VLOOKUP(C711,IMPORTRANGE(""https://docs.google.com/spreadsheets/d/1ihFlp3_ePlYtFuPbUNbYj1muErVpI73WHXbEwJDIA7Q/edit#gid=1493122344"",""MTR!C:O""),8,false)"),"")</f>
        <v/>
      </c>
      <c r="O711" s="241" t="str">
        <f>IFERROR(__xludf.DUMMYFUNCTION("VLOOKUP(C711,IMPORTRANGE(""https://docs.google.com/spreadsheets/d/1P8eX0NWBhUPS_hvzA11R6jkTNFrPrRYIx_dX_hYbxrk/edit?resourcekey=0-iw9bsKY2OqkUHCFMkCar3A&amp;gid=2055363397#gid=2055363397"",""MTR!C:O""),9,false)"),"")</f>
        <v/>
      </c>
      <c r="P711" s="241"/>
      <c r="Q711" s="241"/>
      <c r="R711" s="241"/>
      <c r="S711" s="240" t="s">
        <v>390</v>
      </c>
      <c r="T711" s="240" t="s">
        <v>390</v>
      </c>
      <c r="U711" s="240" t="s">
        <v>390</v>
      </c>
      <c r="V711" s="240" t="s">
        <v>390</v>
      </c>
      <c r="W711" s="240" t="s">
        <v>390</v>
      </c>
      <c r="X711" s="240" t="s">
        <v>390</v>
      </c>
      <c r="Y711" s="240" t="s">
        <v>390</v>
      </c>
      <c r="Z711" s="240" t="s">
        <v>390</v>
      </c>
      <c r="AA711" s="240" t="s">
        <v>390</v>
      </c>
      <c r="AB711" s="240"/>
      <c r="AC711" s="242" t="b">
        <f t="shared" si="2"/>
        <v>0</v>
      </c>
      <c r="AD711" s="240" t="s">
        <v>391</v>
      </c>
      <c r="AE711" s="243" t="b">
        <f t="shared" si="3"/>
        <v>0</v>
      </c>
      <c r="AF711" s="240"/>
      <c r="AG711" s="243" t="b">
        <f t="shared" si="4"/>
        <v>0</v>
      </c>
      <c r="AH711" s="240"/>
      <c r="AI711" s="243" t="str">
        <f t="shared" si="5"/>
        <v>N/A</v>
      </c>
      <c r="AJ711" s="157" t="str">
        <f t="shared" si="6"/>
        <v/>
      </c>
    </row>
    <row r="712" ht="12.75" customHeight="1">
      <c r="A712" s="244" t="s">
        <v>621</v>
      </c>
      <c r="B712" s="244" t="s">
        <v>1339</v>
      </c>
      <c r="C712" s="244" t="s">
        <v>2156</v>
      </c>
      <c r="D712" s="154" t="s">
        <v>1069</v>
      </c>
      <c r="E712" s="250"/>
      <c r="F712" s="154" t="str">
        <f t="array" ref="F712">XLOOKUP(Cover!$D$12,$S$1:$AA$1,$S712:$AA712)</f>
        <v>Mandatory</v>
      </c>
      <c r="G712" s="153" t="s">
        <v>2157</v>
      </c>
      <c r="H712" s="154" t="s">
        <v>353</v>
      </c>
      <c r="I712" s="154" t="s">
        <v>2155</v>
      </c>
      <c r="J712" s="247" t="s">
        <v>506</v>
      </c>
      <c r="K712" s="154" t="s">
        <v>2158</v>
      </c>
      <c r="L712" s="154" t="str">
        <f t="shared" si="1"/>
        <v/>
      </c>
      <c r="M712" s="248" t="str">
        <f>IFERROR(__xludf.DUMMYFUNCTION("VLOOKUP(C712,IMPORTRANGE(""https://docs.google.com/spreadsheets/d/1P8eX0NWBhUPS_hvzA11R6jkTNFrPrRYIx_dX_hYbxrk/edit?resourcekey=0-iw9bsKY2OqkUHCFMkCar3A&amp;gid=2055363397#gid=2055363397"",""MTR!C:O""),11,false)"),"PMW-MCE-AS")</f>
        <v>PMW-MCE-AS</v>
      </c>
      <c r="N712" s="248" t="str">
        <f>IFERROR(__xludf.DUMMYFUNCTION("VLOOKUP(C712,IMPORTRANGE(""https://docs.google.com/spreadsheets/d/1ihFlp3_ePlYtFuPbUNbYj1muErVpI73WHXbEwJDIA7Q/edit#gid=1493122344"",""MTR!C:O""),8,false)"),"Does Not Comply")</f>
        <v>Does Not Comply</v>
      </c>
      <c r="O712" s="248" t="str">
        <f>IFERROR(__xludf.DUMMYFUNCTION("VLOOKUP(C712,IMPORTRANGE(""https://docs.google.com/spreadsheets/d/1P8eX0NWBhUPS_hvzA11R6jkTNFrPrRYIx_dX_hYbxrk/edit?resourcekey=0-iw9bsKY2OqkUHCFMkCar3A&amp;gid=2055363397#gid=2055363397"",""MTR!C:O""),9,false)"),"VONR Default disabled")</f>
        <v>VONR Default disabled</v>
      </c>
      <c r="P712" s="248"/>
      <c r="Q712" s="249" t="s">
        <v>516</v>
      </c>
      <c r="R712" s="249" t="s">
        <v>2159</v>
      </c>
      <c r="S712" s="154" t="s">
        <v>66</v>
      </c>
      <c r="T712" s="154" t="s">
        <v>66</v>
      </c>
      <c r="U712" s="154" t="s">
        <v>60</v>
      </c>
      <c r="V712" s="154" t="s">
        <v>60</v>
      </c>
      <c r="W712" s="154" t="s">
        <v>60</v>
      </c>
      <c r="X712" s="154" t="s">
        <v>60</v>
      </c>
      <c r="Y712" s="154" t="s">
        <v>66</v>
      </c>
      <c r="Z712" s="154" t="s">
        <v>66</v>
      </c>
      <c r="AA712" s="154" t="s">
        <v>66</v>
      </c>
      <c r="AB712" s="154"/>
      <c r="AC712" s="242" t="b">
        <f t="shared" si="2"/>
        <v>1</v>
      </c>
      <c r="AD712" s="154" t="s">
        <v>391</v>
      </c>
      <c r="AE712" s="243" t="b">
        <f t="shared" si="3"/>
        <v>0</v>
      </c>
      <c r="AF712" s="154"/>
      <c r="AG712" s="243" t="b">
        <f t="shared" si="4"/>
        <v>0</v>
      </c>
      <c r="AH712" s="154"/>
      <c r="AI712" s="243" t="str">
        <f t="shared" si="5"/>
        <v>N/A</v>
      </c>
      <c r="AJ712" s="157" t="str">
        <f t="shared" si="6"/>
        <v/>
      </c>
    </row>
    <row r="713" ht="12.75" customHeight="1">
      <c r="A713" s="244" t="s">
        <v>621</v>
      </c>
      <c r="B713" s="244" t="s">
        <v>1339</v>
      </c>
      <c r="C713" s="244" t="s">
        <v>2160</v>
      </c>
      <c r="D713" s="244" t="s">
        <v>503</v>
      </c>
      <c r="E713" s="244"/>
      <c r="F713" s="154" t="str">
        <f t="array" ref="F713">XLOOKUP(Cover!$D$12,$S$1:$AA$1,$S713:$AA713)</f>
        <v>Mandatory</v>
      </c>
      <c r="G713" s="153" t="s">
        <v>2161</v>
      </c>
      <c r="H713" s="154" t="s">
        <v>353</v>
      </c>
      <c r="I713" s="154" t="s">
        <v>2155</v>
      </c>
      <c r="J713" s="247" t="s">
        <v>506</v>
      </c>
      <c r="K713" s="154" t="s">
        <v>2158</v>
      </c>
      <c r="L713" s="154" t="str">
        <f t="shared" si="1"/>
        <v/>
      </c>
      <c r="M713" s="248" t="str">
        <f>IFERROR(__xludf.DUMMYFUNCTION("VLOOKUP(C713,IMPORTRANGE(""https://docs.google.com/spreadsheets/d/1P8eX0NWBhUPS_hvzA11R6jkTNFrPrRYIx_dX_hYbxrk/edit?resourcekey=0-iw9bsKY2OqkUHCFMkCar3A&amp;gid=2055363397#gid=2055363397"",""MTR!C:O""),11,false)"),"PMW-MCE-AS")</f>
        <v>PMW-MCE-AS</v>
      </c>
      <c r="N713" s="248" t="str">
        <f>IFERROR(__xludf.DUMMYFUNCTION("VLOOKUP(C713,IMPORTRANGE(""https://docs.google.com/spreadsheets/d/1ihFlp3_ePlYtFuPbUNbYj1muErVpI73WHXbEwJDIA7Q/edit#gid=1493122344"",""MTR!C:O""),8,false)"),"Does Not Comply")</f>
        <v>Does Not Comply</v>
      </c>
      <c r="O713" s="248" t="str">
        <f>IFERROR(__xludf.DUMMYFUNCTION("VLOOKUP(C713,IMPORTRANGE(""https://docs.google.com/spreadsheets/d/1P8eX0NWBhUPS_hvzA11R6jkTNFrPrRYIx_dX_hYbxrk/edit?resourcekey=0-iw9bsKY2OqkUHCFMkCar3A&amp;gid=2055363397#gid=2055363397"",""MTR!C:O""),9,false)"),"VONR Default disabled")</f>
        <v>VONR Default disabled</v>
      </c>
      <c r="P713" s="248"/>
      <c r="Q713" s="249" t="s">
        <v>516</v>
      </c>
      <c r="R713" s="249" t="s">
        <v>2159</v>
      </c>
      <c r="S713" s="154" t="s">
        <v>66</v>
      </c>
      <c r="T713" s="154" t="s">
        <v>66</v>
      </c>
      <c r="U713" s="154" t="s">
        <v>60</v>
      </c>
      <c r="V713" s="154" t="s">
        <v>60</v>
      </c>
      <c r="W713" s="154" t="s">
        <v>60</v>
      </c>
      <c r="X713" s="154" t="s">
        <v>60</v>
      </c>
      <c r="Y713" s="154" t="s">
        <v>66</v>
      </c>
      <c r="Z713" s="154" t="s">
        <v>66</v>
      </c>
      <c r="AA713" s="154" t="s">
        <v>66</v>
      </c>
      <c r="AB713" s="154"/>
      <c r="AC713" s="242" t="b">
        <f t="shared" si="2"/>
        <v>1</v>
      </c>
      <c r="AD713" s="154" t="s">
        <v>445</v>
      </c>
      <c r="AE713" s="243" t="b">
        <f t="shared" si="3"/>
        <v>0</v>
      </c>
      <c r="AF713" s="154"/>
      <c r="AG713" s="243" t="b">
        <f t="shared" si="4"/>
        <v>0</v>
      </c>
      <c r="AH713" s="154"/>
      <c r="AI713" s="243" t="str">
        <f t="shared" si="5"/>
        <v>N/A</v>
      </c>
      <c r="AJ713" s="157" t="str">
        <f t="shared" si="6"/>
        <v/>
      </c>
    </row>
    <row r="714" ht="12.75" customHeight="1">
      <c r="A714" s="244" t="s">
        <v>621</v>
      </c>
      <c r="B714" s="244" t="s">
        <v>1339</v>
      </c>
      <c r="C714" s="244" t="s">
        <v>2162</v>
      </c>
      <c r="D714" s="154" t="s">
        <v>503</v>
      </c>
      <c r="E714" s="250"/>
      <c r="F714" s="154" t="str">
        <f t="array" ref="F714">XLOOKUP(Cover!$D$12,$S$1:$AA$1,$S714:$AA714)</f>
        <v>Recommended</v>
      </c>
      <c r="G714" s="153" t="s">
        <v>2163</v>
      </c>
      <c r="H714" s="154" t="s">
        <v>353</v>
      </c>
      <c r="I714" s="154" t="s">
        <v>2155</v>
      </c>
      <c r="J714" s="247" t="s">
        <v>506</v>
      </c>
      <c r="K714" s="154" t="s">
        <v>2158</v>
      </c>
      <c r="L714" s="154" t="str">
        <f t="shared" si="1"/>
        <v/>
      </c>
      <c r="M714" s="248" t="str">
        <f>IFERROR(__xludf.DUMMYFUNCTION("VLOOKUP(C714,IMPORTRANGE(""https://docs.google.com/spreadsheets/d/1P8eX0NWBhUPS_hvzA11R6jkTNFrPrRYIx_dX_hYbxrk/edit?resourcekey=0-iw9bsKY2OqkUHCFMkCar3A&amp;gid=2055363397#gid=2055363397"",""MTR!C:O""),11,false)"),"PMW-MCE-AS")</f>
        <v>PMW-MCE-AS</v>
      </c>
      <c r="N714" s="248" t="str">
        <f>IFERROR(__xludf.DUMMYFUNCTION("VLOOKUP(C714,IMPORTRANGE(""https://docs.google.com/spreadsheets/d/1ihFlp3_ePlYtFuPbUNbYj1muErVpI73WHXbEwJDIA7Q/edit#gid=1493122344"",""MTR!C:O""),8,false)"),"Does Not Comply")</f>
        <v>Does Not Comply</v>
      </c>
      <c r="O714" s="248" t="str">
        <f>IFERROR(__xludf.DUMMYFUNCTION("VLOOKUP(C714,IMPORTRANGE(""https://docs.google.com/spreadsheets/d/1P8eX0NWBhUPS_hvzA11R6jkTNFrPrRYIx_dX_hYbxrk/edit?resourcekey=0-iw9bsKY2OqkUHCFMkCar3A&amp;gid=2055363397#gid=2055363397"",""MTR!C:O""),9,false)"),"VONR Default disabled")</f>
        <v>VONR Default disabled</v>
      </c>
      <c r="P714" s="248"/>
      <c r="Q714" s="249" t="s">
        <v>516</v>
      </c>
      <c r="R714" s="249" t="s">
        <v>2159</v>
      </c>
      <c r="S714" s="154" t="s">
        <v>66</v>
      </c>
      <c r="T714" s="154" t="s">
        <v>66</v>
      </c>
      <c r="U714" s="154" t="s">
        <v>64</v>
      </c>
      <c r="V714" s="154" t="s">
        <v>64</v>
      </c>
      <c r="W714" s="154" t="s">
        <v>64</v>
      </c>
      <c r="X714" s="154" t="s">
        <v>64</v>
      </c>
      <c r="Y714" s="154" t="s">
        <v>66</v>
      </c>
      <c r="Z714" s="154" t="s">
        <v>66</v>
      </c>
      <c r="AA714" s="154" t="s">
        <v>66</v>
      </c>
      <c r="AB714" s="154"/>
      <c r="AC714" s="242" t="b">
        <f t="shared" si="2"/>
        <v>1</v>
      </c>
      <c r="AD714" s="154" t="s">
        <v>391</v>
      </c>
      <c r="AE714" s="243" t="b">
        <f t="shared" si="3"/>
        <v>0</v>
      </c>
      <c r="AF714" s="154"/>
      <c r="AG714" s="243" t="b">
        <f t="shared" si="4"/>
        <v>0</v>
      </c>
      <c r="AH714" s="154"/>
      <c r="AI714" s="243" t="str">
        <f t="shared" si="5"/>
        <v>N/A</v>
      </c>
      <c r="AJ714" s="157" t="str">
        <f t="shared" si="6"/>
        <v/>
      </c>
    </row>
    <row r="715" ht="12.75" customHeight="1">
      <c r="A715" s="244" t="s">
        <v>621</v>
      </c>
      <c r="B715" s="244" t="s">
        <v>1339</v>
      </c>
      <c r="C715" s="244" t="s">
        <v>2164</v>
      </c>
      <c r="D715" s="154" t="s">
        <v>503</v>
      </c>
      <c r="E715" s="250"/>
      <c r="F715" s="154" t="str">
        <f t="array" ref="F715">XLOOKUP(Cover!$D$12,$S$1:$AA$1,$S715:$AA715)</f>
        <v>Mandatory</v>
      </c>
      <c r="G715" s="153" t="s">
        <v>2165</v>
      </c>
      <c r="H715" s="154" t="s">
        <v>353</v>
      </c>
      <c r="I715" s="154" t="s">
        <v>2155</v>
      </c>
      <c r="J715" s="247" t="s">
        <v>506</v>
      </c>
      <c r="K715" s="154" t="s">
        <v>2158</v>
      </c>
      <c r="L715" s="154" t="str">
        <f t="shared" si="1"/>
        <v/>
      </c>
      <c r="M715" s="248" t="str">
        <f>IFERROR(__xludf.DUMMYFUNCTION("VLOOKUP(C715,IMPORTRANGE(""https://docs.google.com/spreadsheets/d/1P8eX0NWBhUPS_hvzA11R6jkTNFrPrRYIx_dX_hYbxrk/edit?resourcekey=0-iw9bsKY2OqkUHCFMkCar3A&amp;gid=2055363397#gid=2055363397"",""MTR!C:O""),11,false)"),"PMW-MCE-AS")</f>
        <v>PMW-MCE-AS</v>
      </c>
      <c r="N715" s="248" t="str">
        <f>IFERROR(__xludf.DUMMYFUNCTION("VLOOKUP(C715,IMPORTRANGE(""https://docs.google.com/spreadsheets/d/1ihFlp3_ePlYtFuPbUNbYj1muErVpI73WHXbEwJDIA7Q/edit#gid=1493122344"",""MTR!C:O""),8,false)"),"Does Not Comply")</f>
        <v>Does Not Comply</v>
      </c>
      <c r="O715" s="248" t="str">
        <f>IFERROR(__xludf.DUMMYFUNCTION("VLOOKUP(C715,IMPORTRANGE(""https://docs.google.com/spreadsheets/d/1P8eX0NWBhUPS_hvzA11R6jkTNFrPrRYIx_dX_hYbxrk/edit?resourcekey=0-iw9bsKY2OqkUHCFMkCar3A&amp;gid=2055363397#gid=2055363397"",""MTR!C:O""),9,false)"),"VONR Default disabled")</f>
        <v>VONR Default disabled</v>
      </c>
      <c r="P715" s="248"/>
      <c r="Q715" s="249" t="s">
        <v>516</v>
      </c>
      <c r="R715" s="249" t="s">
        <v>2159</v>
      </c>
      <c r="S715" s="154" t="s">
        <v>66</v>
      </c>
      <c r="T715" s="154" t="s">
        <v>66</v>
      </c>
      <c r="U715" s="154" t="s">
        <v>60</v>
      </c>
      <c r="V715" s="154" t="s">
        <v>60</v>
      </c>
      <c r="W715" s="154" t="s">
        <v>60</v>
      </c>
      <c r="X715" s="154" t="s">
        <v>60</v>
      </c>
      <c r="Y715" s="154" t="s">
        <v>66</v>
      </c>
      <c r="Z715" s="154" t="s">
        <v>66</v>
      </c>
      <c r="AA715" s="154" t="s">
        <v>66</v>
      </c>
      <c r="AB715" s="154"/>
      <c r="AC715" s="242" t="b">
        <f t="shared" si="2"/>
        <v>1</v>
      </c>
      <c r="AD715" s="154" t="s">
        <v>391</v>
      </c>
      <c r="AE715" s="243" t="b">
        <f t="shared" si="3"/>
        <v>0</v>
      </c>
      <c r="AF715" s="154"/>
      <c r="AG715" s="243" t="b">
        <f t="shared" si="4"/>
        <v>0</v>
      </c>
      <c r="AH715" s="154"/>
      <c r="AI715" s="243" t="str">
        <f t="shared" si="5"/>
        <v>N/A</v>
      </c>
      <c r="AJ715" s="157" t="str">
        <f t="shared" si="6"/>
        <v/>
      </c>
    </row>
    <row r="716" ht="12.75" customHeight="1">
      <c r="A716" s="244" t="s">
        <v>621</v>
      </c>
      <c r="B716" s="244" t="s">
        <v>1339</v>
      </c>
      <c r="C716" s="244" t="s">
        <v>2166</v>
      </c>
      <c r="D716" s="154" t="s">
        <v>503</v>
      </c>
      <c r="E716" s="250"/>
      <c r="F716" s="154" t="str">
        <f t="array" ref="F716">XLOOKUP(Cover!$D$12,$S$1:$AA$1,$S716:$AA716)</f>
        <v>Mandatory</v>
      </c>
      <c r="G716" s="153" t="s">
        <v>2167</v>
      </c>
      <c r="H716" s="154" t="s">
        <v>353</v>
      </c>
      <c r="I716" s="154" t="s">
        <v>2155</v>
      </c>
      <c r="J716" s="247" t="s">
        <v>506</v>
      </c>
      <c r="K716" s="154" t="s">
        <v>2158</v>
      </c>
      <c r="L716" s="154" t="str">
        <f t="shared" si="1"/>
        <v/>
      </c>
      <c r="M716" s="248" t="str">
        <f>IFERROR(__xludf.DUMMYFUNCTION("VLOOKUP(C716,IMPORTRANGE(""https://docs.google.com/spreadsheets/d/1P8eX0NWBhUPS_hvzA11R6jkTNFrPrRYIx_dX_hYbxrk/edit?resourcekey=0-iw9bsKY2OqkUHCFMkCar3A&amp;gid=2055363397#gid=2055363397"",""MTR!C:O""),11,false)"),"PMW-MCE-AS")</f>
        <v>PMW-MCE-AS</v>
      </c>
      <c r="N716" s="248" t="str">
        <f>IFERROR(__xludf.DUMMYFUNCTION("VLOOKUP(C716,IMPORTRANGE(""https://docs.google.com/spreadsheets/d/1ihFlp3_ePlYtFuPbUNbYj1muErVpI73WHXbEwJDIA7Q/edit#gid=1493122344"",""MTR!C:O""),8,false)"),"Does Not Comply")</f>
        <v>Does Not Comply</v>
      </c>
      <c r="O716" s="248" t="str">
        <f>IFERROR(__xludf.DUMMYFUNCTION("VLOOKUP(C716,IMPORTRANGE(""https://docs.google.com/spreadsheets/d/1P8eX0NWBhUPS_hvzA11R6jkTNFrPrRYIx_dX_hYbxrk/edit?resourcekey=0-iw9bsKY2OqkUHCFMkCar3A&amp;gid=2055363397#gid=2055363397"",""MTR!C:O""),9,false)"),"VONR Default disabled")</f>
        <v>VONR Default disabled</v>
      </c>
      <c r="P716" s="248"/>
      <c r="Q716" s="249" t="s">
        <v>516</v>
      </c>
      <c r="R716" s="249" t="s">
        <v>2159</v>
      </c>
      <c r="S716" s="154" t="s">
        <v>66</v>
      </c>
      <c r="T716" s="154" t="s">
        <v>66</v>
      </c>
      <c r="U716" s="154" t="s">
        <v>60</v>
      </c>
      <c r="V716" s="154" t="s">
        <v>60</v>
      </c>
      <c r="W716" s="154" t="s">
        <v>60</v>
      </c>
      <c r="X716" s="154" t="s">
        <v>60</v>
      </c>
      <c r="Y716" s="154" t="s">
        <v>66</v>
      </c>
      <c r="Z716" s="154" t="s">
        <v>66</v>
      </c>
      <c r="AA716" s="154" t="s">
        <v>66</v>
      </c>
      <c r="AB716" s="154"/>
      <c r="AC716" s="242" t="b">
        <f t="shared" si="2"/>
        <v>1</v>
      </c>
      <c r="AD716" s="154" t="s">
        <v>391</v>
      </c>
      <c r="AE716" s="243" t="b">
        <f t="shared" si="3"/>
        <v>0</v>
      </c>
      <c r="AF716" s="154"/>
      <c r="AG716" s="243" t="b">
        <f t="shared" si="4"/>
        <v>0</v>
      </c>
      <c r="AH716" s="154"/>
      <c r="AI716" s="243" t="str">
        <f t="shared" si="5"/>
        <v>N/A</v>
      </c>
      <c r="AJ716" s="157" t="str">
        <f t="shared" si="6"/>
        <v/>
      </c>
    </row>
    <row r="717" ht="12.75" customHeight="1">
      <c r="A717" s="238" t="s">
        <v>621</v>
      </c>
      <c r="B717" s="238" t="s">
        <v>1339</v>
      </c>
      <c r="C717" s="238" t="s">
        <v>2168</v>
      </c>
      <c r="D717" s="240"/>
      <c r="E717" s="252" t="s">
        <v>92</v>
      </c>
      <c r="F717" s="154" t="str">
        <f t="array" ref="F717">XLOOKUP(Cover!$D$12,$S$1:$AA$1,$S717:$AA717)</f>
        <v>Heading</v>
      </c>
      <c r="G717" s="239" t="s">
        <v>2169</v>
      </c>
      <c r="H717" s="240"/>
      <c r="I717" s="240" t="s">
        <v>759</v>
      </c>
      <c r="J717" s="262"/>
      <c r="K717" s="262"/>
      <c r="L717" s="154" t="str">
        <f t="shared" si="1"/>
        <v/>
      </c>
      <c r="M717" s="241" t="str">
        <f>IFERROR(__xludf.DUMMYFUNCTION("VLOOKUP(C717,IMPORTRANGE(""https://docs.google.com/spreadsheets/d/1P8eX0NWBhUPS_hvzA11R6jkTNFrPrRYIx_dX_hYbxrk/edit?resourcekey=0-iw9bsKY2OqkUHCFMkCar3A&amp;gid=2055363397#gid=2055363397"",""MTR!C:O""),11,false)"),"")</f>
        <v/>
      </c>
      <c r="N717" s="241" t="str">
        <f>IFERROR(__xludf.DUMMYFUNCTION("VLOOKUP(C717,IMPORTRANGE(""https://docs.google.com/spreadsheets/d/1ihFlp3_ePlYtFuPbUNbYj1muErVpI73WHXbEwJDIA7Q/edit#gid=1493122344"",""MTR!C:O""),8,false)"),"")</f>
        <v/>
      </c>
      <c r="O717" s="241" t="str">
        <f>IFERROR(__xludf.DUMMYFUNCTION("VLOOKUP(C717,IMPORTRANGE(""https://docs.google.com/spreadsheets/d/1P8eX0NWBhUPS_hvzA11R6jkTNFrPrRYIx_dX_hYbxrk/edit?resourcekey=0-iw9bsKY2OqkUHCFMkCar3A&amp;gid=2055363397#gid=2055363397"",""MTR!C:O""),9,false)"),"")</f>
        <v/>
      </c>
      <c r="P717" s="241"/>
      <c r="Q717" s="251"/>
      <c r="R717" s="251"/>
      <c r="S717" s="240" t="s">
        <v>390</v>
      </c>
      <c r="T717" s="240" t="s">
        <v>390</v>
      </c>
      <c r="U717" s="240" t="s">
        <v>390</v>
      </c>
      <c r="V717" s="240" t="s">
        <v>390</v>
      </c>
      <c r="W717" s="240" t="s">
        <v>390</v>
      </c>
      <c r="X717" s="240" t="s">
        <v>390</v>
      </c>
      <c r="Y717" s="240" t="s">
        <v>390</v>
      </c>
      <c r="Z717" s="240" t="s">
        <v>390</v>
      </c>
      <c r="AA717" s="240" t="s">
        <v>390</v>
      </c>
      <c r="AB717" s="240"/>
      <c r="AC717" s="242" t="b">
        <f t="shared" si="2"/>
        <v>0</v>
      </c>
      <c r="AD717" s="240" t="s">
        <v>391</v>
      </c>
      <c r="AE717" s="243" t="b">
        <f t="shared" si="3"/>
        <v>0</v>
      </c>
      <c r="AF717" s="240"/>
      <c r="AG717" s="243" t="b">
        <f t="shared" si="4"/>
        <v>0</v>
      </c>
      <c r="AH717" s="240"/>
      <c r="AI717" s="243" t="str">
        <f t="shared" si="5"/>
        <v>N/A</v>
      </c>
      <c r="AJ717" s="157" t="str">
        <f t="shared" si="6"/>
        <v/>
      </c>
    </row>
    <row r="718" ht="12.75" customHeight="1">
      <c r="A718" s="244" t="s">
        <v>621</v>
      </c>
      <c r="B718" s="244" t="s">
        <v>1339</v>
      </c>
      <c r="C718" s="244" t="s">
        <v>2170</v>
      </c>
      <c r="D718" s="154" t="s">
        <v>1315</v>
      </c>
      <c r="E718" s="250"/>
      <c r="F718" s="154" t="str">
        <f t="array" ref="F718">XLOOKUP(Cover!$D$12,$S$1:$AA$1,$S718:$AA718)</f>
        <v>Mandatory</v>
      </c>
      <c r="G718" s="153" t="s">
        <v>2171</v>
      </c>
      <c r="H718" s="154" t="s">
        <v>234</v>
      </c>
      <c r="I718" s="154" t="s">
        <v>759</v>
      </c>
      <c r="J718" s="247" t="s">
        <v>506</v>
      </c>
      <c r="K718" s="154" t="s">
        <v>2150</v>
      </c>
      <c r="L718" s="154" t="str">
        <f t="shared" si="1"/>
        <v/>
      </c>
      <c r="M718" s="248" t="str">
        <f>IFERROR(__xludf.DUMMYFUNCTION("VLOOKUP(C718,IMPORTRANGE(""https://docs.google.com/spreadsheets/d/1P8eX0NWBhUPS_hvzA11R6jkTNFrPrRYIx_dX_hYbxrk/edit?resourcekey=0-iw9bsKY2OqkUHCFMkCar3A&amp;gid=2055363397#gid=2055363397"",""MTR!C:O""),11,false)"),"PMW-MCE-AS")</f>
        <v>PMW-MCE-AS</v>
      </c>
      <c r="N718" s="248" t="str">
        <f>IFERROR(__xludf.DUMMYFUNCTION("VLOOKUP(C718,IMPORTRANGE(""https://docs.google.com/spreadsheets/d/1ihFlp3_ePlYtFuPbUNbYj1muErVpI73WHXbEwJDIA7Q/edit#gid=1493122344"",""MTR!C:O""),8,false)"),"Does Not Comply")</f>
        <v>Does Not Comply</v>
      </c>
      <c r="O718" s="248" t="str">
        <f>IFERROR(__xludf.DUMMYFUNCTION("VLOOKUP(C718,IMPORTRANGE(""https://docs.google.com/spreadsheets/d/1P8eX0NWBhUPS_hvzA11R6jkTNFrPrRYIx_dX_hYbxrk/edit?resourcekey=0-iw9bsKY2OqkUHCFMkCar3A&amp;gid=2055363397#gid=2055363397"",""MTR!C:O""),9,false)"),"5G SA default disabled.")</f>
        <v>5G SA default disabled.</v>
      </c>
      <c r="P718" s="248"/>
      <c r="Q718" s="249" t="s">
        <v>516</v>
      </c>
      <c r="R718" s="249" t="s">
        <v>1642</v>
      </c>
      <c r="S718" s="154" t="s">
        <v>66</v>
      </c>
      <c r="T718" s="154" t="s">
        <v>66</v>
      </c>
      <c r="U718" s="154" t="s">
        <v>60</v>
      </c>
      <c r="V718" s="154" t="s">
        <v>60</v>
      </c>
      <c r="W718" s="154" t="s">
        <v>60</v>
      </c>
      <c r="X718" s="154" t="s">
        <v>60</v>
      </c>
      <c r="Y718" s="154" t="s">
        <v>66</v>
      </c>
      <c r="Z718" s="154" t="s">
        <v>60</v>
      </c>
      <c r="AA718" s="154" t="s">
        <v>60</v>
      </c>
      <c r="AB718" s="154"/>
      <c r="AC718" s="242" t="b">
        <f t="shared" si="2"/>
        <v>1</v>
      </c>
      <c r="AD718" s="154" t="s">
        <v>391</v>
      </c>
      <c r="AE718" s="243" t="b">
        <f t="shared" si="3"/>
        <v>0</v>
      </c>
      <c r="AF718" s="154"/>
      <c r="AG718" s="243" t="b">
        <f t="shared" si="4"/>
        <v>0</v>
      </c>
      <c r="AH718" s="154" t="s">
        <v>1346</v>
      </c>
      <c r="AI718" s="243" t="str">
        <f t="shared" si="5"/>
        <v>Partially Complies</v>
      </c>
      <c r="AJ718" s="157" t="str">
        <f t="shared" si="6"/>
        <v/>
      </c>
    </row>
    <row r="719" ht="12.75" customHeight="1">
      <c r="A719" s="244" t="s">
        <v>621</v>
      </c>
      <c r="B719" s="244" t="s">
        <v>1339</v>
      </c>
      <c r="C719" s="244" t="s">
        <v>2172</v>
      </c>
      <c r="D719" s="154" t="s">
        <v>1315</v>
      </c>
      <c r="E719" s="250"/>
      <c r="F719" s="154" t="str">
        <f t="array" ref="F719">XLOOKUP(Cover!$D$12,$S$1:$AA$1,$S719:$AA719)</f>
        <v>Recommended</v>
      </c>
      <c r="G719" s="153" t="s">
        <v>2173</v>
      </c>
      <c r="H719" s="154"/>
      <c r="I719" s="154" t="s">
        <v>759</v>
      </c>
      <c r="J719" s="154" t="s">
        <v>516</v>
      </c>
      <c r="K719" s="154"/>
      <c r="L719" s="154" t="str">
        <f t="shared" si="1"/>
        <v/>
      </c>
      <c r="M719" s="248" t="str">
        <f>IFERROR(__xludf.DUMMYFUNCTION("VLOOKUP(C719,IMPORTRANGE(""https://docs.google.com/spreadsheets/d/1P8eX0NWBhUPS_hvzA11R6jkTNFrPrRYIx_dX_hYbxrk/edit?resourcekey=0-iw9bsKY2OqkUHCFMkCar3A&amp;gid=2055363397#gid=2055363397"",""MTR!C:O""),11,false)"),"PMW-MCE-AS")</f>
        <v>PMW-MCE-AS</v>
      </c>
      <c r="N719" s="248" t="str">
        <f>IFERROR(__xludf.DUMMYFUNCTION("VLOOKUP(C719,IMPORTRANGE(""https://docs.google.com/spreadsheets/d/1ihFlp3_ePlYtFuPbUNbYj1muErVpI73WHXbEwJDIA7Q/edit#gid=1493122344"",""MTR!C:O""),8,false)"),"Does Not Comply")</f>
        <v>Does Not Comply</v>
      </c>
      <c r="O719" s="241" t="str">
        <f>IFERROR(__xludf.DUMMYFUNCTION("VLOOKUP(C719,IMPORTRANGE(""https://docs.google.com/spreadsheets/d/1P8eX0NWBhUPS_hvzA11R6jkTNFrPrRYIx_dX_hYbxrk/edit?resourcekey=0-iw9bsKY2OqkUHCFMkCar3A&amp;gid=2055363397#gid=2055363397"",""MTR!C:O""),9,false)"),"")</f>
        <v/>
      </c>
      <c r="P719" s="241"/>
      <c r="Q719" s="251" t="s">
        <v>516</v>
      </c>
      <c r="R719" s="251"/>
      <c r="S719" s="154" t="s">
        <v>66</v>
      </c>
      <c r="T719" s="154" t="s">
        <v>66</v>
      </c>
      <c r="U719" s="154" t="s">
        <v>64</v>
      </c>
      <c r="V719" s="154" t="s">
        <v>64</v>
      </c>
      <c r="W719" s="154" t="s">
        <v>64</v>
      </c>
      <c r="X719" s="154" t="s">
        <v>64</v>
      </c>
      <c r="Y719" s="154" t="s">
        <v>66</v>
      </c>
      <c r="Z719" s="154" t="s">
        <v>64</v>
      </c>
      <c r="AA719" s="154" t="s">
        <v>64</v>
      </c>
      <c r="AB719" s="154"/>
      <c r="AC719" s="242" t="b">
        <f t="shared" si="2"/>
        <v>1</v>
      </c>
      <c r="AD719" s="154" t="s">
        <v>391</v>
      </c>
      <c r="AE719" s="243" t="b">
        <f t="shared" si="3"/>
        <v>0</v>
      </c>
      <c r="AF719" s="154"/>
      <c r="AG719" s="243" t="b">
        <f t="shared" si="4"/>
        <v>0</v>
      </c>
      <c r="AH719" s="154" t="s">
        <v>1346</v>
      </c>
      <c r="AI719" s="243" t="str">
        <f t="shared" si="5"/>
        <v>Partially Complies</v>
      </c>
      <c r="AJ719" s="157" t="str">
        <f t="shared" si="6"/>
        <v/>
      </c>
    </row>
    <row r="720" ht="12.75" customHeight="1">
      <c r="A720" s="244" t="s">
        <v>621</v>
      </c>
      <c r="B720" s="244" t="s">
        <v>1339</v>
      </c>
      <c r="C720" s="244" t="s">
        <v>2174</v>
      </c>
      <c r="D720" s="154" t="s">
        <v>1315</v>
      </c>
      <c r="E720" s="250"/>
      <c r="F720" s="154" t="str">
        <f t="array" ref="F720">XLOOKUP(Cover!$D$12,$S$1:$AA$1,$S720:$AA720)</f>
        <v>Mandatory</v>
      </c>
      <c r="G720" s="153" t="s">
        <v>2175</v>
      </c>
      <c r="H720" s="154" t="s">
        <v>234</v>
      </c>
      <c r="I720" s="154" t="s">
        <v>759</v>
      </c>
      <c r="J720" s="247" t="s">
        <v>506</v>
      </c>
      <c r="K720" s="154" t="s">
        <v>2150</v>
      </c>
      <c r="L720" s="154" t="str">
        <f t="shared" si="1"/>
        <v/>
      </c>
      <c r="M720" s="248" t="str">
        <f>IFERROR(__xludf.DUMMYFUNCTION("VLOOKUP(C720,IMPORTRANGE(""https://docs.google.com/spreadsheets/d/1P8eX0NWBhUPS_hvzA11R6jkTNFrPrRYIx_dX_hYbxrk/edit?resourcekey=0-iw9bsKY2OqkUHCFMkCar3A&amp;gid=2055363397#gid=2055363397"",""MTR!C:O""),11,false)"),"PMW-MCE-AS")</f>
        <v>PMW-MCE-AS</v>
      </c>
      <c r="N720" s="248" t="str">
        <f>IFERROR(__xludf.DUMMYFUNCTION("VLOOKUP(C720,IMPORTRANGE(""https://docs.google.com/spreadsheets/d/1ihFlp3_ePlYtFuPbUNbYj1muErVpI73WHXbEwJDIA7Q/edit#gid=1493122344"",""MTR!C:O""),8,false)"),"Does Not Comply")</f>
        <v>Does Not Comply</v>
      </c>
      <c r="O720" s="248" t="str">
        <f>IFERROR(__xludf.DUMMYFUNCTION("VLOOKUP(C720,IMPORTRANGE(""https://docs.google.com/spreadsheets/d/1P8eX0NWBhUPS_hvzA11R6jkTNFrPrRYIx_dX_hYbxrk/edit?resourcekey=0-iw9bsKY2OqkUHCFMkCar3A&amp;gid=2055363397#gid=2055363397"",""MTR!C:O""),9,false)"),"5G SA default disabled.")</f>
        <v>5G SA default disabled.</v>
      </c>
      <c r="P720" s="248"/>
      <c r="Q720" s="249" t="s">
        <v>516</v>
      </c>
      <c r="R720" s="249" t="s">
        <v>1642</v>
      </c>
      <c r="S720" s="154" t="s">
        <v>66</v>
      </c>
      <c r="T720" s="154" t="s">
        <v>66</v>
      </c>
      <c r="U720" s="154" t="s">
        <v>60</v>
      </c>
      <c r="V720" s="154" t="s">
        <v>60</v>
      </c>
      <c r="W720" s="154" t="s">
        <v>60</v>
      </c>
      <c r="X720" s="154" t="s">
        <v>60</v>
      </c>
      <c r="Y720" s="154" t="s">
        <v>66</v>
      </c>
      <c r="Z720" s="154" t="s">
        <v>60</v>
      </c>
      <c r="AA720" s="154" t="s">
        <v>60</v>
      </c>
      <c r="AB720" s="154"/>
      <c r="AC720" s="242" t="b">
        <f t="shared" si="2"/>
        <v>1</v>
      </c>
      <c r="AD720" s="154" t="s">
        <v>391</v>
      </c>
      <c r="AE720" s="243" t="b">
        <f t="shared" si="3"/>
        <v>0</v>
      </c>
      <c r="AF720" s="154"/>
      <c r="AG720" s="243" t="b">
        <f t="shared" si="4"/>
        <v>0</v>
      </c>
      <c r="AH720" s="154" t="s">
        <v>1346</v>
      </c>
      <c r="AI720" s="243" t="str">
        <f t="shared" si="5"/>
        <v>Partially Complies</v>
      </c>
      <c r="AJ720" s="157" t="str">
        <f t="shared" si="6"/>
        <v/>
      </c>
    </row>
    <row r="721" ht="12.75" customHeight="1">
      <c r="A721" s="244" t="s">
        <v>621</v>
      </c>
      <c r="B721" s="244" t="s">
        <v>1339</v>
      </c>
      <c r="C721" s="245" t="s">
        <v>2176</v>
      </c>
      <c r="D721" s="155" t="s">
        <v>1315</v>
      </c>
      <c r="E721" s="246" t="s">
        <v>92</v>
      </c>
      <c r="F721" s="154" t="str">
        <f t="array" ref="F721">XLOOKUP(Cover!$D$12,$S$1:$AA$1,$S721:$AA721)</f>
        <v>Recommended</v>
      </c>
      <c r="G721" s="153" t="s">
        <v>2177</v>
      </c>
      <c r="H721" s="154"/>
      <c r="I721" s="154" t="s">
        <v>759</v>
      </c>
      <c r="J721" s="154" t="s">
        <v>516</v>
      </c>
      <c r="K721" s="154"/>
      <c r="L721" s="154" t="str">
        <f t="shared" si="1"/>
        <v/>
      </c>
      <c r="M721" s="248" t="str">
        <f>IFERROR(__xludf.DUMMYFUNCTION("VLOOKUP(C721,IMPORTRANGE(""https://docs.google.com/spreadsheets/d/1P8eX0NWBhUPS_hvzA11R6jkTNFrPrRYIx_dX_hYbxrk/edit?resourcekey=0-iw9bsKY2OqkUHCFMkCar3A&amp;gid=2055363397#gid=2055363397"",""MTR!C:O""),11,false)"),"PMW-MCE-AS")</f>
        <v>PMW-MCE-AS</v>
      </c>
      <c r="N721" s="248" t="str">
        <f>IFERROR(__xludf.DUMMYFUNCTION("VLOOKUP(C721,IMPORTRANGE(""https://docs.google.com/spreadsheets/d/1ihFlp3_ePlYtFuPbUNbYj1muErVpI73WHXbEwJDIA7Q/edit#gid=1493122344"",""MTR!C:O""),8,false)"),"Does Not Comply")</f>
        <v>Does Not Comply</v>
      </c>
      <c r="O721" s="241" t="str">
        <f>IFERROR(__xludf.DUMMYFUNCTION("VLOOKUP(C721,IMPORTRANGE(""https://docs.google.com/spreadsheets/d/1P8eX0NWBhUPS_hvzA11R6jkTNFrPrRYIx_dX_hYbxrk/edit?resourcekey=0-iw9bsKY2OqkUHCFMkCar3A&amp;gid=2055363397#gid=2055363397"",""MTR!C:O""),9,false)"),"")</f>
        <v/>
      </c>
      <c r="P721" s="241"/>
      <c r="Q721" s="251" t="s">
        <v>516</v>
      </c>
      <c r="R721" s="251"/>
      <c r="S721" s="154" t="s">
        <v>66</v>
      </c>
      <c r="T721" s="154" t="s">
        <v>66</v>
      </c>
      <c r="U721" s="154" t="s">
        <v>64</v>
      </c>
      <c r="V721" s="154" t="s">
        <v>64</v>
      </c>
      <c r="W721" s="154" t="s">
        <v>64</v>
      </c>
      <c r="X721" s="154" t="s">
        <v>64</v>
      </c>
      <c r="Y721" s="154" t="s">
        <v>66</v>
      </c>
      <c r="Z721" s="154" t="s">
        <v>64</v>
      </c>
      <c r="AA721" s="154" t="s">
        <v>64</v>
      </c>
      <c r="AB721" s="154"/>
      <c r="AC721" s="242" t="b">
        <f t="shared" si="2"/>
        <v>1</v>
      </c>
      <c r="AD721" s="154" t="s">
        <v>391</v>
      </c>
      <c r="AE721" s="243" t="b">
        <f t="shared" si="3"/>
        <v>0</v>
      </c>
      <c r="AF721" s="154"/>
      <c r="AG721" s="243" t="b">
        <f t="shared" si="4"/>
        <v>0</v>
      </c>
      <c r="AH721" s="154" t="s">
        <v>1346</v>
      </c>
      <c r="AI721" s="243" t="str">
        <f t="shared" si="5"/>
        <v>Partially Complies</v>
      </c>
      <c r="AJ721" s="157" t="str">
        <f t="shared" si="6"/>
        <v/>
      </c>
    </row>
    <row r="722" ht="12.75" customHeight="1">
      <c r="A722" s="238" t="s">
        <v>621</v>
      </c>
      <c r="B722" s="238" t="s">
        <v>1339</v>
      </c>
      <c r="C722" s="238" t="s">
        <v>2178</v>
      </c>
      <c r="D722" s="240"/>
      <c r="E722" s="252" t="s">
        <v>92</v>
      </c>
      <c r="F722" s="154" t="str">
        <f t="array" ref="F722">XLOOKUP(Cover!$D$12,$S$1:$AA$1,$S722:$AA722)</f>
        <v>Heading</v>
      </c>
      <c r="G722" s="239" t="s">
        <v>2179</v>
      </c>
      <c r="H722" s="240"/>
      <c r="I722" s="240" t="s">
        <v>759</v>
      </c>
      <c r="J722" s="262"/>
      <c r="K722" s="240"/>
      <c r="L722" s="154" t="str">
        <f t="shared" si="1"/>
        <v/>
      </c>
      <c r="M722" s="241" t="str">
        <f>IFERROR(__xludf.DUMMYFUNCTION("VLOOKUP(C722,IMPORTRANGE(""https://docs.google.com/spreadsheets/d/1P8eX0NWBhUPS_hvzA11R6jkTNFrPrRYIx_dX_hYbxrk/edit?resourcekey=0-iw9bsKY2OqkUHCFMkCar3A&amp;gid=2055363397#gid=2055363397"",""MTR!C:O""),11,false)"),"")</f>
        <v/>
      </c>
      <c r="N722" s="241" t="str">
        <f>IFERROR(__xludf.DUMMYFUNCTION("VLOOKUP(C722,IMPORTRANGE(""https://docs.google.com/spreadsheets/d/1ihFlp3_ePlYtFuPbUNbYj1muErVpI73WHXbEwJDIA7Q/edit#gid=1493122344"",""MTR!C:O""),8,false)"),"")</f>
        <v/>
      </c>
      <c r="O722" s="241" t="str">
        <f>IFERROR(__xludf.DUMMYFUNCTION("VLOOKUP(C722,IMPORTRANGE(""https://docs.google.com/spreadsheets/d/1P8eX0NWBhUPS_hvzA11R6jkTNFrPrRYIx_dX_hYbxrk/edit?resourcekey=0-iw9bsKY2OqkUHCFMkCar3A&amp;gid=2055363397#gid=2055363397"",""MTR!C:O""),9,false)"),"")</f>
        <v/>
      </c>
      <c r="P722" s="241"/>
      <c r="Q722" s="251"/>
      <c r="R722" s="241"/>
      <c r="S722" s="240" t="s">
        <v>390</v>
      </c>
      <c r="T722" s="240" t="s">
        <v>390</v>
      </c>
      <c r="U722" s="240" t="s">
        <v>390</v>
      </c>
      <c r="V722" s="240" t="s">
        <v>390</v>
      </c>
      <c r="W722" s="240" t="s">
        <v>390</v>
      </c>
      <c r="X722" s="240" t="s">
        <v>390</v>
      </c>
      <c r="Y722" s="240" t="s">
        <v>390</v>
      </c>
      <c r="Z722" s="240" t="s">
        <v>390</v>
      </c>
      <c r="AA722" s="240" t="s">
        <v>390</v>
      </c>
      <c r="AB722" s="240"/>
      <c r="AC722" s="242" t="b">
        <f t="shared" si="2"/>
        <v>0</v>
      </c>
      <c r="AD722" s="240" t="s">
        <v>391</v>
      </c>
      <c r="AE722" s="243" t="b">
        <f t="shared" si="3"/>
        <v>0</v>
      </c>
      <c r="AF722" s="240"/>
      <c r="AG722" s="243" t="b">
        <f t="shared" si="4"/>
        <v>0</v>
      </c>
      <c r="AH722" s="240"/>
      <c r="AI722" s="243" t="str">
        <f t="shared" si="5"/>
        <v>N/A</v>
      </c>
      <c r="AJ722" s="157" t="str">
        <f t="shared" si="6"/>
        <v/>
      </c>
    </row>
    <row r="723" ht="12.75" customHeight="1">
      <c r="A723" s="244" t="s">
        <v>621</v>
      </c>
      <c r="B723" s="244" t="s">
        <v>1339</v>
      </c>
      <c r="C723" s="244" t="s">
        <v>2180</v>
      </c>
      <c r="D723" s="244" t="s">
        <v>1315</v>
      </c>
      <c r="E723" s="244"/>
      <c r="F723" s="154" t="str">
        <f t="array" ref="F723">XLOOKUP(Cover!$D$12,$S$1:$AA$1,$S723:$AA723)</f>
        <v>Comment</v>
      </c>
      <c r="G723" s="153" t="s">
        <v>2181</v>
      </c>
      <c r="H723" s="154"/>
      <c r="I723" s="154" t="s">
        <v>759</v>
      </c>
      <c r="J723" s="154"/>
      <c r="K723" s="154"/>
      <c r="L723" s="154" t="str">
        <f t="shared" si="1"/>
        <v/>
      </c>
      <c r="M723" s="241" t="str">
        <f>IFERROR(__xludf.DUMMYFUNCTION("VLOOKUP(C723,IMPORTRANGE(""https://docs.google.com/spreadsheets/d/1P8eX0NWBhUPS_hvzA11R6jkTNFrPrRYIx_dX_hYbxrk/edit?resourcekey=0-iw9bsKY2OqkUHCFMkCar3A&amp;gid=2055363397#gid=2055363397"",""MTR!C:O""),11,false)"),"")</f>
        <v/>
      </c>
      <c r="N723" s="241" t="str">
        <f>IFERROR(__xludf.DUMMYFUNCTION("VLOOKUP(C723,IMPORTRANGE(""https://docs.google.com/spreadsheets/d/1ihFlp3_ePlYtFuPbUNbYj1muErVpI73WHXbEwJDIA7Q/edit#gid=1493122344"",""MTR!C:O""),8,false)"),"")</f>
        <v/>
      </c>
      <c r="O723" s="241" t="str">
        <f>IFERROR(__xludf.DUMMYFUNCTION("VLOOKUP(C723,IMPORTRANGE(""https://docs.google.com/spreadsheets/d/1P8eX0NWBhUPS_hvzA11R6jkTNFrPrRYIx_dX_hYbxrk/edit?resourcekey=0-iw9bsKY2OqkUHCFMkCar3A&amp;gid=2055363397#gid=2055363397"",""MTR!C:O""),9,false)"),"")</f>
        <v/>
      </c>
      <c r="P723" s="241"/>
      <c r="Q723" s="241"/>
      <c r="R723" s="241"/>
      <c r="S723" s="154" t="s">
        <v>35</v>
      </c>
      <c r="T723" s="154" t="s">
        <v>35</v>
      </c>
      <c r="U723" s="154" t="s">
        <v>35</v>
      </c>
      <c r="V723" s="154" t="s">
        <v>35</v>
      </c>
      <c r="W723" s="154" t="s">
        <v>35</v>
      </c>
      <c r="X723" s="154" t="s">
        <v>35</v>
      </c>
      <c r="Y723" s="154" t="s">
        <v>35</v>
      </c>
      <c r="Z723" s="154" t="s">
        <v>35</v>
      </c>
      <c r="AA723" s="154" t="s">
        <v>35</v>
      </c>
      <c r="AB723" s="154"/>
      <c r="AC723" s="242" t="b">
        <f t="shared" si="2"/>
        <v>0</v>
      </c>
      <c r="AD723" s="154" t="s">
        <v>391</v>
      </c>
      <c r="AE723" s="243" t="b">
        <f t="shared" si="3"/>
        <v>0</v>
      </c>
      <c r="AF723" s="154"/>
      <c r="AG723" s="243" t="b">
        <f t="shared" si="4"/>
        <v>0</v>
      </c>
      <c r="AH723" s="154"/>
      <c r="AI723" s="243" t="str">
        <f t="shared" si="5"/>
        <v>N/A</v>
      </c>
      <c r="AJ723" s="157" t="str">
        <f t="shared" si="6"/>
        <v/>
      </c>
    </row>
    <row r="724" ht="12.75" customHeight="1">
      <c r="A724" s="244" t="s">
        <v>621</v>
      </c>
      <c r="B724" s="244" t="s">
        <v>1339</v>
      </c>
      <c r="C724" s="244" t="s">
        <v>2182</v>
      </c>
      <c r="D724" s="154" t="s">
        <v>1315</v>
      </c>
      <c r="E724" s="250"/>
      <c r="F724" s="154" t="str">
        <f t="array" ref="F724">XLOOKUP(Cover!$D$12,$S$1:$AA$1,$S724:$AA724)</f>
        <v>Mandatory</v>
      </c>
      <c r="G724" s="153" t="s">
        <v>2183</v>
      </c>
      <c r="H724" s="154" t="s">
        <v>234</v>
      </c>
      <c r="I724" s="154" t="s">
        <v>759</v>
      </c>
      <c r="J724" s="247" t="s">
        <v>506</v>
      </c>
      <c r="K724" s="154" t="s">
        <v>2150</v>
      </c>
      <c r="L724" s="154" t="str">
        <f t="shared" si="1"/>
        <v/>
      </c>
      <c r="M724" s="248" t="str">
        <f>IFERROR(__xludf.DUMMYFUNCTION("VLOOKUP(C724,IMPORTRANGE(""https://docs.google.com/spreadsheets/d/1P8eX0NWBhUPS_hvzA11R6jkTNFrPrRYIx_dX_hYbxrk/edit?resourcekey=0-iw9bsKY2OqkUHCFMkCar3A&amp;gid=2055363397#gid=2055363397"",""MTR!C:O""),11,false)"),"PMW-MCE-AS")</f>
        <v>PMW-MCE-AS</v>
      </c>
      <c r="N724" s="248" t="str">
        <f>IFERROR(__xludf.DUMMYFUNCTION("VLOOKUP(C724,IMPORTRANGE(""https://docs.google.com/spreadsheets/d/1ihFlp3_ePlYtFuPbUNbYj1muErVpI73WHXbEwJDIA7Q/edit#gid=1493122344"",""MTR!C:O""),8,false)"),"Does Not Comply")</f>
        <v>Does Not Comply</v>
      </c>
      <c r="O724" s="248" t="str">
        <f>IFERROR(__xludf.DUMMYFUNCTION("VLOOKUP(C724,IMPORTRANGE(""https://docs.google.com/spreadsheets/d/1P8eX0NWBhUPS_hvzA11R6jkTNFrPrRYIx_dX_hYbxrk/edit?resourcekey=0-iw9bsKY2OqkUHCFMkCar3A&amp;gid=2055363397#gid=2055363397"",""MTR!C:O""),9,false)"),"5G SA default disabled.")</f>
        <v>5G SA default disabled.</v>
      </c>
      <c r="P724" s="248"/>
      <c r="Q724" s="249" t="s">
        <v>516</v>
      </c>
      <c r="R724" s="249" t="s">
        <v>1642</v>
      </c>
      <c r="S724" s="154" t="s">
        <v>66</v>
      </c>
      <c r="T724" s="154" t="s">
        <v>66</v>
      </c>
      <c r="U724" s="154" t="s">
        <v>60</v>
      </c>
      <c r="V724" s="154" t="s">
        <v>60</v>
      </c>
      <c r="W724" s="154" t="s">
        <v>60</v>
      </c>
      <c r="X724" s="154" t="s">
        <v>60</v>
      </c>
      <c r="Y724" s="154" t="s">
        <v>66</v>
      </c>
      <c r="Z724" s="154" t="s">
        <v>60</v>
      </c>
      <c r="AA724" s="154" t="s">
        <v>60</v>
      </c>
      <c r="AB724" s="154"/>
      <c r="AC724" s="242" t="b">
        <f t="shared" si="2"/>
        <v>1</v>
      </c>
      <c r="AD724" s="154" t="s">
        <v>391</v>
      </c>
      <c r="AE724" s="243" t="b">
        <f t="shared" si="3"/>
        <v>0</v>
      </c>
      <c r="AF724" s="154"/>
      <c r="AG724" s="243" t="b">
        <f t="shared" si="4"/>
        <v>0</v>
      </c>
      <c r="AH724" s="154" t="s">
        <v>1346</v>
      </c>
      <c r="AI724" s="243" t="str">
        <f t="shared" si="5"/>
        <v>Partially Complies</v>
      </c>
      <c r="AJ724" s="157" t="str">
        <f t="shared" si="6"/>
        <v/>
      </c>
    </row>
    <row r="725" ht="12.75" customHeight="1">
      <c r="A725" s="244" t="s">
        <v>621</v>
      </c>
      <c r="B725" s="244" t="s">
        <v>1339</v>
      </c>
      <c r="C725" s="244" t="s">
        <v>2184</v>
      </c>
      <c r="D725" s="154" t="s">
        <v>1315</v>
      </c>
      <c r="E725" s="250"/>
      <c r="F725" s="154" t="str">
        <f t="array" ref="F725">XLOOKUP(Cover!$D$12,$S$1:$AA$1,$S725:$AA725)</f>
        <v>Mandatory</v>
      </c>
      <c r="G725" s="153" t="s">
        <v>2185</v>
      </c>
      <c r="H725" s="154" t="s">
        <v>234</v>
      </c>
      <c r="I725" s="154" t="s">
        <v>759</v>
      </c>
      <c r="J725" s="247" t="s">
        <v>506</v>
      </c>
      <c r="K725" s="154" t="s">
        <v>2150</v>
      </c>
      <c r="L725" s="154" t="str">
        <f t="shared" si="1"/>
        <v/>
      </c>
      <c r="M725" s="248" t="str">
        <f>IFERROR(__xludf.DUMMYFUNCTION("VLOOKUP(C725,IMPORTRANGE(""https://docs.google.com/spreadsheets/d/1P8eX0NWBhUPS_hvzA11R6jkTNFrPrRYIx_dX_hYbxrk/edit?resourcekey=0-iw9bsKY2OqkUHCFMkCar3A&amp;gid=2055363397#gid=2055363397"",""MTR!C:O""),11,false)"),"PMW-MCE-AS")</f>
        <v>PMW-MCE-AS</v>
      </c>
      <c r="N725" s="248" t="str">
        <f>IFERROR(__xludf.DUMMYFUNCTION("VLOOKUP(C725,IMPORTRANGE(""https://docs.google.com/spreadsheets/d/1ihFlp3_ePlYtFuPbUNbYj1muErVpI73WHXbEwJDIA7Q/edit#gid=1493122344"",""MTR!C:O""),8,false)"),"Does Not Comply")</f>
        <v>Does Not Comply</v>
      </c>
      <c r="O725" s="248" t="str">
        <f>IFERROR(__xludf.DUMMYFUNCTION("VLOOKUP(C725,IMPORTRANGE(""https://docs.google.com/spreadsheets/d/1P8eX0NWBhUPS_hvzA11R6jkTNFrPrRYIx_dX_hYbxrk/edit?resourcekey=0-iw9bsKY2OqkUHCFMkCar3A&amp;gid=2055363397#gid=2055363397"",""MTR!C:O""),9,false)"),"5G SA default disabled.")</f>
        <v>5G SA default disabled.</v>
      </c>
      <c r="P725" s="248"/>
      <c r="Q725" s="249" t="s">
        <v>516</v>
      </c>
      <c r="R725" s="249" t="s">
        <v>1642</v>
      </c>
      <c r="S725" s="154" t="s">
        <v>66</v>
      </c>
      <c r="T725" s="154" t="s">
        <v>66</v>
      </c>
      <c r="U725" s="154" t="s">
        <v>60</v>
      </c>
      <c r="V725" s="154" t="s">
        <v>60</v>
      </c>
      <c r="W725" s="154" t="s">
        <v>60</v>
      </c>
      <c r="X725" s="154" t="s">
        <v>60</v>
      </c>
      <c r="Y725" s="154" t="s">
        <v>66</v>
      </c>
      <c r="Z725" s="154" t="s">
        <v>60</v>
      </c>
      <c r="AA725" s="154" t="s">
        <v>60</v>
      </c>
      <c r="AB725" s="154"/>
      <c r="AC725" s="242" t="b">
        <f t="shared" si="2"/>
        <v>1</v>
      </c>
      <c r="AD725" s="154" t="s">
        <v>391</v>
      </c>
      <c r="AE725" s="243" t="b">
        <f t="shared" si="3"/>
        <v>0</v>
      </c>
      <c r="AF725" s="154"/>
      <c r="AG725" s="243" t="b">
        <f t="shared" si="4"/>
        <v>0</v>
      </c>
      <c r="AH725" s="154" t="s">
        <v>1346</v>
      </c>
      <c r="AI725" s="243" t="str">
        <f t="shared" si="5"/>
        <v>Partially Complies</v>
      </c>
      <c r="AJ725" s="157" t="str">
        <f t="shared" si="6"/>
        <v/>
      </c>
    </row>
    <row r="726" ht="12.75" customHeight="1">
      <c r="A726" s="244" t="s">
        <v>621</v>
      </c>
      <c r="B726" s="244" t="s">
        <v>1339</v>
      </c>
      <c r="C726" s="245" t="s">
        <v>2186</v>
      </c>
      <c r="D726" s="155" t="s">
        <v>1315</v>
      </c>
      <c r="E726" s="246" t="s">
        <v>92</v>
      </c>
      <c r="F726" s="154" t="str">
        <f t="array" ref="F726">XLOOKUP(Cover!$D$12,$S$1:$AA$1,$S726:$AA726)</f>
        <v>Mandatory</v>
      </c>
      <c r="G726" s="153" t="s">
        <v>2187</v>
      </c>
      <c r="H726" s="154" t="s">
        <v>234</v>
      </c>
      <c r="I726" s="154" t="s">
        <v>759</v>
      </c>
      <c r="J726" s="247" t="s">
        <v>506</v>
      </c>
      <c r="K726" s="154" t="s">
        <v>2150</v>
      </c>
      <c r="L726" s="154" t="str">
        <f t="shared" si="1"/>
        <v/>
      </c>
      <c r="M726" s="248" t="str">
        <f>IFERROR(__xludf.DUMMYFUNCTION("VLOOKUP(C726,IMPORTRANGE(""https://docs.google.com/spreadsheets/d/1P8eX0NWBhUPS_hvzA11R6jkTNFrPrRYIx_dX_hYbxrk/edit?resourcekey=0-iw9bsKY2OqkUHCFMkCar3A&amp;gid=2055363397#gid=2055363397"",""MTR!C:O""),11,false)"),"PMW-MCE-AS")</f>
        <v>PMW-MCE-AS</v>
      </c>
      <c r="N726" s="248" t="str">
        <f>IFERROR(__xludf.DUMMYFUNCTION("VLOOKUP(C726,IMPORTRANGE(""https://docs.google.com/spreadsheets/d/1ihFlp3_ePlYtFuPbUNbYj1muErVpI73WHXbEwJDIA7Q/edit#gid=1493122344"",""MTR!C:O""),8,false)"),"Does Not Comply")</f>
        <v>Does Not Comply</v>
      </c>
      <c r="O726" s="248" t="str">
        <f>IFERROR(__xludf.DUMMYFUNCTION("VLOOKUP(C726,IMPORTRANGE(""https://docs.google.com/spreadsheets/d/1P8eX0NWBhUPS_hvzA11R6jkTNFrPrRYIx_dX_hYbxrk/edit?resourcekey=0-iw9bsKY2OqkUHCFMkCar3A&amp;gid=2055363397#gid=2055363397"",""MTR!C:O""),9,false)"),"5G SA default disabled.")</f>
        <v>5G SA default disabled.</v>
      </c>
      <c r="P726" s="248"/>
      <c r="Q726" s="249" t="s">
        <v>516</v>
      </c>
      <c r="R726" s="249" t="s">
        <v>1642</v>
      </c>
      <c r="S726" s="154" t="s">
        <v>66</v>
      </c>
      <c r="T726" s="154" t="s">
        <v>66</v>
      </c>
      <c r="U726" s="154" t="s">
        <v>60</v>
      </c>
      <c r="V726" s="154" t="s">
        <v>60</v>
      </c>
      <c r="W726" s="154" t="s">
        <v>60</v>
      </c>
      <c r="X726" s="154" t="s">
        <v>60</v>
      </c>
      <c r="Y726" s="154" t="s">
        <v>66</v>
      </c>
      <c r="Z726" s="154" t="s">
        <v>60</v>
      </c>
      <c r="AA726" s="154" t="s">
        <v>60</v>
      </c>
      <c r="AB726" s="154"/>
      <c r="AC726" s="242" t="b">
        <f t="shared" si="2"/>
        <v>1</v>
      </c>
      <c r="AD726" s="154" t="s">
        <v>391</v>
      </c>
      <c r="AE726" s="243" t="b">
        <f t="shared" si="3"/>
        <v>0</v>
      </c>
      <c r="AF726" s="154"/>
      <c r="AG726" s="243" t="b">
        <f t="shared" si="4"/>
        <v>0</v>
      </c>
      <c r="AH726" s="154" t="s">
        <v>1346</v>
      </c>
      <c r="AI726" s="243" t="str">
        <f t="shared" si="5"/>
        <v>Partially Complies</v>
      </c>
      <c r="AJ726" s="157" t="str">
        <f t="shared" si="6"/>
        <v/>
      </c>
    </row>
    <row r="727" ht="12.75" customHeight="1">
      <c r="A727" s="244" t="s">
        <v>621</v>
      </c>
      <c r="B727" s="244" t="s">
        <v>1339</v>
      </c>
      <c r="C727" s="244" t="s">
        <v>2188</v>
      </c>
      <c r="D727" s="154" t="s">
        <v>1315</v>
      </c>
      <c r="E727" s="250"/>
      <c r="F727" s="154" t="str">
        <f t="array" ref="F727">XLOOKUP(Cover!$D$12,$S$1:$AA$1,$S727:$AA727)</f>
        <v>Mandatory</v>
      </c>
      <c r="G727" s="153" t="s">
        <v>2189</v>
      </c>
      <c r="H727" s="154" t="s">
        <v>234</v>
      </c>
      <c r="I727" s="154" t="s">
        <v>759</v>
      </c>
      <c r="J727" s="247" t="s">
        <v>506</v>
      </c>
      <c r="K727" s="154" t="s">
        <v>2150</v>
      </c>
      <c r="L727" s="154" t="str">
        <f t="shared" si="1"/>
        <v/>
      </c>
      <c r="M727" s="248" t="str">
        <f>IFERROR(__xludf.DUMMYFUNCTION("VLOOKUP(C727,IMPORTRANGE(""https://docs.google.com/spreadsheets/d/1P8eX0NWBhUPS_hvzA11R6jkTNFrPrRYIx_dX_hYbxrk/edit?resourcekey=0-iw9bsKY2OqkUHCFMkCar3A&amp;gid=2055363397#gid=2055363397"",""MTR!C:O""),11,false)"),"PMW-MCE-AS")</f>
        <v>PMW-MCE-AS</v>
      </c>
      <c r="N727" s="248" t="str">
        <f>IFERROR(__xludf.DUMMYFUNCTION("VLOOKUP(C727,IMPORTRANGE(""https://docs.google.com/spreadsheets/d/1ihFlp3_ePlYtFuPbUNbYj1muErVpI73WHXbEwJDIA7Q/edit#gid=1493122344"",""MTR!C:O""),8,false)"),"Does Not Comply")</f>
        <v>Does Not Comply</v>
      </c>
      <c r="O727" s="248" t="str">
        <f>IFERROR(__xludf.DUMMYFUNCTION("VLOOKUP(C727,IMPORTRANGE(""https://docs.google.com/spreadsheets/d/1P8eX0NWBhUPS_hvzA11R6jkTNFrPrRYIx_dX_hYbxrk/edit?resourcekey=0-iw9bsKY2OqkUHCFMkCar3A&amp;gid=2055363397#gid=2055363397"",""MTR!C:O""),9,false)"),"5G SA default disabled.")</f>
        <v>5G SA default disabled.</v>
      </c>
      <c r="P727" s="248"/>
      <c r="Q727" s="249" t="s">
        <v>516</v>
      </c>
      <c r="R727" s="249" t="s">
        <v>1642</v>
      </c>
      <c r="S727" s="154" t="s">
        <v>66</v>
      </c>
      <c r="T727" s="154" t="s">
        <v>66</v>
      </c>
      <c r="U727" s="154" t="s">
        <v>60</v>
      </c>
      <c r="V727" s="154" t="s">
        <v>60</v>
      </c>
      <c r="W727" s="154" t="s">
        <v>60</v>
      </c>
      <c r="X727" s="154" t="s">
        <v>60</v>
      </c>
      <c r="Y727" s="154" t="s">
        <v>66</v>
      </c>
      <c r="Z727" s="154" t="s">
        <v>60</v>
      </c>
      <c r="AA727" s="154" t="s">
        <v>60</v>
      </c>
      <c r="AB727" s="154"/>
      <c r="AC727" s="242" t="b">
        <f t="shared" si="2"/>
        <v>1</v>
      </c>
      <c r="AD727" s="154" t="s">
        <v>391</v>
      </c>
      <c r="AE727" s="243" t="b">
        <f t="shared" si="3"/>
        <v>0</v>
      </c>
      <c r="AF727" s="154"/>
      <c r="AG727" s="243" t="b">
        <f t="shared" si="4"/>
        <v>0</v>
      </c>
      <c r="AH727" s="154" t="s">
        <v>1346</v>
      </c>
      <c r="AI727" s="243" t="str">
        <f t="shared" si="5"/>
        <v>Partially Complies</v>
      </c>
      <c r="AJ727" s="157" t="str">
        <f t="shared" si="6"/>
        <v/>
      </c>
    </row>
    <row r="728" ht="12.75" customHeight="1">
      <c r="A728" s="238" t="s">
        <v>621</v>
      </c>
      <c r="B728" s="238" t="s">
        <v>1339</v>
      </c>
      <c r="C728" s="238" t="s">
        <v>2190</v>
      </c>
      <c r="D728" s="240"/>
      <c r="E728" s="252" t="s">
        <v>92</v>
      </c>
      <c r="F728" s="154" t="str">
        <f t="array" ref="F728">XLOOKUP(Cover!$D$12,$S$1:$AA$1,$S728:$AA728)</f>
        <v>Heading</v>
      </c>
      <c r="G728" s="239" t="s">
        <v>2191</v>
      </c>
      <c r="H728" s="240"/>
      <c r="I728" s="240" t="s">
        <v>759</v>
      </c>
      <c r="J728" s="262"/>
      <c r="K728" s="262"/>
      <c r="L728" s="154" t="str">
        <f t="shared" si="1"/>
        <v/>
      </c>
      <c r="M728" s="253" t="str">
        <f>IFERROR(__xludf.DUMMYFUNCTION("VLOOKUP(C728,IMPORTRANGE(""https://docs.google.com/spreadsheets/d/1P8eX0NWBhUPS_hvzA11R6jkTNFrPrRYIx_dX_hYbxrk/edit?resourcekey=0-iw9bsKY2OqkUHCFMkCar3A&amp;gid=2055363397#gid=2055363397"",""MTR!C:O""),11,false)"),"#N/A")</f>
        <v>#N/A</v>
      </c>
      <c r="N728" s="241" t="str">
        <f>IFERROR(__xludf.DUMMYFUNCTION("VLOOKUP(C728,IMPORTRANGE(""https://docs.google.com/spreadsheets/d/1ihFlp3_ePlYtFuPbUNbYj1muErVpI73WHXbEwJDIA7Q/edit#gid=1493122344"",""MTR!C:O""),8,false)"),"")</f>
        <v/>
      </c>
      <c r="O728" s="241" t="str">
        <f>IFERROR(__xludf.DUMMYFUNCTION("VLOOKUP(C728,IMPORTRANGE(""https://docs.google.com/spreadsheets/d/1P8eX0NWBhUPS_hvzA11R6jkTNFrPrRYIx_dX_hYbxrk/edit?resourcekey=0-iw9bsKY2OqkUHCFMkCar3A&amp;gid=2055363397#gid=2055363397"",""MTR!C:O""),9,false)"),"")</f>
        <v/>
      </c>
      <c r="P728" s="241"/>
      <c r="Q728" s="251"/>
      <c r="R728" s="251"/>
      <c r="S728" s="240" t="s">
        <v>390</v>
      </c>
      <c r="T728" s="240" t="s">
        <v>390</v>
      </c>
      <c r="U728" s="240" t="s">
        <v>390</v>
      </c>
      <c r="V728" s="240" t="s">
        <v>390</v>
      </c>
      <c r="W728" s="240" t="s">
        <v>390</v>
      </c>
      <c r="X728" s="240" t="s">
        <v>390</v>
      </c>
      <c r="Y728" s="240" t="s">
        <v>390</v>
      </c>
      <c r="Z728" s="240" t="s">
        <v>390</v>
      </c>
      <c r="AA728" s="240" t="s">
        <v>390</v>
      </c>
      <c r="AB728" s="240"/>
      <c r="AC728" s="242" t="b">
        <f t="shared" si="2"/>
        <v>0</v>
      </c>
      <c r="AD728" s="240" t="s">
        <v>391</v>
      </c>
      <c r="AE728" s="243" t="b">
        <f t="shared" si="3"/>
        <v>0</v>
      </c>
      <c r="AF728" s="240"/>
      <c r="AG728" s="243" t="b">
        <f t="shared" si="4"/>
        <v>0</v>
      </c>
      <c r="AH728" s="240"/>
      <c r="AI728" s="243" t="str">
        <f t="shared" si="5"/>
        <v>N/A</v>
      </c>
      <c r="AJ728" s="157" t="str">
        <f t="shared" si="6"/>
        <v/>
      </c>
    </row>
    <row r="729" ht="12.75" customHeight="1">
      <c r="A729" s="244" t="s">
        <v>621</v>
      </c>
      <c r="B729" s="244" t="s">
        <v>1339</v>
      </c>
      <c r="C729" s="255" t="s">
        <v>2192</v>
      </c>
      <c r="D729" s="256" t="s">
        <v>42</v>
      </c>
      <c r="E729" s="257" t="s">
        <v>489</v>
      </c>
      <c r="F729" s="154" t="str">
        <f t="array" ref="F729">XLOOKUP(Cover!$D$12,$S$1:$AA$1,$S729:$AA729)</f>
        <v>Recommended</v>
      </c>
      <c r="G729" s="153" t="s">
        <v>2193</v>
      </c>
      <c r="H729" s="154"/>
      <c r="I729" s="154" t="s">
        <v>759</v>
      </c>
      <c r="J729" s="247" t="s">
        <v>516</v>
      </c>
      <c r="K729" s="154"/>
      <c r="L729" s="154" t="str">
        <f t="shared" si="1"/>
        <v/>
      </c>
      <c r="M729" s="253" t="s">
        <v>2194</v>
      </c>
      <c r="N729" s="253" t="str">
        <f>IFERROR(__xludf.DUMMYFUNCTION("VLOOKUP(C729,IMPORTRANGE(""https://docs.google.com/spreadsheets/d/1ihFlp3_ePlYtFuPbUNbYj1muErVpI73WHXbEwJDIA7Q/edit#gid=1493122344"",""MTR!C:O""),8,false)"),"#N/A")</f>
        <v>#N/A</v>
      </c>
      <c r="O729" s="253" t="str">
        <f>IFERROR(__xludf.DUMMYFUNCTION("VLOOKUP(C729,IMPORTRANGE(""https://docs.google.com/spreadsheets/d/1P8eX0NWBhUPS_hvzA11R6jkTNFrPrRYIx_dX_hYbxrk/edit?resourcekey=0-iw9bsKY2OqkUHCFMkCar3A&amp;gid=2055363397#gid=2055363397"",""MTR!C:O""),9,false)"),"#N/A")</f>
        <v>#N/A</v>
      </c>
      <c r="P729" s="253"/>
      <c r="Q729" s="253"/>
      <c r="R729" s="253"/>
      <c r="S729" s="154" t="s">
        <v>66</v>
      </c>
      <c r="T729" s="154" t="s">
        <v>66</v>
      </c>
      <c r="U729" s="154" t="s">
        <v>64</v>
      </c>
      <c r="V729" s="154" t="s">
        <v>64</v>
      </c>
      <c r="W729" s="154" t="s">
        <v>64</v>
      </c>
      <c r="X729" s="154" t="s">
        <v>64</v>
      </c>
      <c r="Y729" s="154" t="s">
        <v>66</v>
      </c>
      <c r="Z729" s="154" t="s">
        <v>64</v>
      </c>
      <c r="AA729" s="154" t="s">
        <v>64</v>
      </c>
      <c r="AB729" s="154"/>
      <c r="AC729" s="242" t="b">
        <f t="shared" si="2"/>
        <v>1</v>
      </c>
      <c r="AD729" s="154" t="s">
        <v>391</v>
      </c>
      <c r="AE729" s="243" t="b">
        <f t="shared" si="3"/>
        <v>0</v>
      </c>
      <c r="AF729" s="154"/>
      <c r="AG729" s="243" t="b">
        <f t="shared" si="4"/>
        <v>0</v>
      </c>
      <c r="AH729" s="154"/>
      <c r="AI729" s="243" t="str">
        <f t="shared" si="5"/>
        <v>N/A</v>
      </c>
      <c r="AJ729" s="157" t="str">
        <f t="shared" si="6"/>
        <v/>
      </c>
    </row>
    <row r="730" ht="12.75" customHeight="1">
      <c r="A730" s="238" t="s">
        <v>621</v>
      </c>
      <c r="B730" s="238" t="s">
        <v>1339</v>
      </c>
      <c r="C730" s="238" t="s">
        <v>2195</v>
      </c>
      <c r="D730" s="240"/>
      <c r="E730" s="252" t="s">
        <v>92</v>
      </c>
      <c r="F730" s="154" t="str">
        <f t="array" ref="F730">XLOOKUP(Cover!$D$12,$S$1:$AA$1,$S730:$AA730)</f>
        <v>Heading</v>
      </c>
      <c r="G730" s="239" t="s">
        <v>2196</v>
      </c>
      <c r="H730" s="240"/>
      <c r="I730" s="240" t="s">
        <v>759</v>
      </c>
      <c r="J730" s="262"/>
      <c r="K730" s="240"/>
      <c r="L730" s="154" t="str">
        <f t="shared" si="1"/>
        <v/>
      </c>
      <c r="M730" s="241" t="str">
        <f>IFERROR(__xludf.DUMMYFUNCTION("VLOOKUP(C730,IMPORTRANGE(""https://docs.google.com/spreadsheets/d/1P8eX0NWBhUPS_hvzA11R6jkTNFrPrRYIx_dX_hYbxrk/edit?resourcekey=0-iw9bsKY2OqkUHCFMkCar3A&amp;gid=2055363397#gid=2055363397"",""MTR!C:O""),11,false)"),"")</f>
        <v/>
      </c>
      <c r="N730" s="241" t="str">
        <f>IFERROR(__xludf.DUMMYFUNCTION("VLOOKUP(C730,IMPORTRANGE(""https://docs.google.com/spreadsheets/d/1ihFlp3_ePlYtFuPbUNbYj1muErVpI73WHXbEwJDIA7Q/edit#gid=1493122344"",""MTR!C:O""),8,false)"),"")</f>
        <v/>
      </c>
      <c r="O730" s="241" t="str">
        <f>IFERROR(__xludf.DUMMYFUNCTION("VLOOKUP(C730,IMPORTRANGE(""https://docs.google.com/spreadsheets/d/1P8eX0NWBhUPS_hvzA11R6jkTNFrPrRYIx_dX_hYbxrk/edit?resourcekey=0-iw9bsKY2OqkUHCFMkCar3A&amp;gid=2055363397#gid=2055363397"",""MTR!C:O""),9,false)"),"")</f>
        <v/>
      </c>
      <c r="P730" s="241"/>
      <c r="Q730" s="241"/>
      <c r="R730" s="241"/>
      <c r="S730" s="240" t="s">
        <v>390</v>
      </c>
      <c r="T730" s="240" t="s">
        <v>390</v>
      </c>
      <c r="U730" s="240" t="s">
        <v>390</v>
      </c>
      <c r="V730" s="240" t="s">
        <v>390</v>
      </c>
      <c r="W730" s="240" t="s">
        <v>390</v>
      </c>
      <c r="X730" s="240" t="s">
        <v>390</v>
      </c>
      <c r="Y730" s="240" t="s">
        <v>390</v>
      </c>
      <c r="Z730" s="240" t="s">
        <v>390</v>
      </c>
      <c r="AA730" s="240" t="s">
        <v>390</v>
      </c>
      <c r="AB730" s="240"/>
      <c r="AC730" s="242" t="b">
        <f t="shared" si="2"/>
        <v>0</v>
      </c>
      <c r="AD730" s="240" t="s">
        <v>391</v>
      </c>
      <c r="AE730" s="243" t="b">
        <f t="shared" si="3"/>
        <v>0</v>
      </c>
      <c r="AF730" s="240"/>
      <c r="AG730" s="243" t="b">
        <f t="shared" si="4"/>
        <v>0</v>
      </c>
      <c r="AH730" s="240"/>
      <c r="AI730" s="243" t="str">
        <f t="shared" si="5"/>
        <v>N/A</v>
      </c>
      <c r="AJ730" s="157" t="str">
        <f t="shared" si="6"/>
        <v/>
      </c>
    </row>
    <row r="731" ht="12.75" customHeight="1">
      <c r="A731" s="244" t="s">
        <v>621</v>
      </c>
      <c r="B731" s="244" t="s">
        <v>1339</v>
      </c>
      <c r="C731" s="244" t="s">
        <v>2197</v>
      </c>
      <c r="D731" s="154" t="s">
        <v>1315</v>
      </c>
      <c r="E731" s="250"/>
      <c r="F731" s="154" t="str">
        <f t="array" ref="F731">XLOOKUP(Cover!$D$12,$S$1:$AA$1,$S731:$AA731)</f>
        <v>Information</v>
      </c>
      <c r="G731" s="154" t="s">
        <v>2198</v>
      </c>
      <c r="H731" s="154"/>
      <c r="I731" s="154" t="s">
        <v>759</v>
      </c>
      <c r="J731" s="247" t="s">
        <v>516</v>
      </c>
      <c r="K731" s="154"/>
      <c r="L731" s="154" t="str">
        <f t="shared" si="1"/>
        <v/>
      </c>
      <c r="M731" s="248" t="str">
        <f>IFERROR(__xludf.DUMMYFUNCTION("VLOOKUP(C731,IMPORTRANGE(""https://docs.google.com/spreadsheets/d/1P8eX0NWBhUPS_hvzA11R6jkTNFrPrRYIx_dX_hYbxrk/edit?resourcekey=0-iw9bsKY2OqkUHCFMkCar3A&amp;gid=2055363397#gid=2055363397"",""MTR!C:O""),11,false)"),"PMW-MCE-AS")</f>
        <v>PMW-MCE-AS</v>
      </c>
      <c r="N731" s="248" t="str">
        <f>IFERROR(__xludf.DUMMYFUNCTION("VLOOKUP(C731,IMPORTRANGE(""https://docs.google.com/spreadsheets/d/1ihFlp3_ePlYtFuPbUNbYj1muErVpI73WHXbEwJDIA7Q/edit#gid=1493122344"",""MTR!C:O""),8,false)"),"Does Not Comply")</f>
        <v>Does Not Comply</v>
      </c>
      <c r="O731" s="241" t="str">
        <f>IFERROR(__xludf.DUMMYFUNCTION("VLOOKUP(C731,IMPORTRANGE(""https://docs.google.com/spreadsheets/d/1P8eX0NWBhUPS_hvzA11R6jkTNFrPrRYIx_dX_hYbxrk/edit?resourcekey=0-iw9bsKY2OqkUHCFMkCar3A&amp;gid=2055363397#gid=2055363397"",""MTR!C:O""),9,false)"),"")</f>
        <v/>
      </c>
      <c r="P731" s="241"/>
      <c r="Q731" s="251" t="s">
        <v>516</v>
      </c>
      <c r="R731" s="241"/>
      <c r="S731" s="154" t="s">
        <v>66</v>
      </c>
      <c r="T731" s="154" t="s">
        <v>66</v>
      </c>
      <c r="U731" s="154" t="s">
        <v>66</v>
      </c>
      <c r="V731" s="154" t="s">
        <v>66</v>
      </c>
      <c r="W731" s="154" t="s">
        <v>66</v>
      </c>
      <c r="X731" s="154" t="s">
        <v>66</v>
      </c>
      <c r="Y731" s="154" t="s">
        <v>66</v>
      </c>
      <c r="Z731" s="154" t="s">
        <v>66</v>
      </c>
      <c r="AA731" s="154" t="s">
        <v>66</v>
      </c>
      <c r="AB731" s="154"/>
      <c r="AC731" s="242" t="b">
        <f t="shared" si="2"/>
        <v>1</v>
      </c>
      <c r="AD731" s="154" t="s">
        <v>391</v>
      </c>
      <c r="AE731" s="243" t="b">
        <f t="shared" si="3"/>
        <v>0</v>
      </c>
      <c r="AF731" s="154"/>
      <c r="AG731" s="243" t="b">
        <f t="shared" si="4"/>
        <v>0</v>
      </c>
      <c r="AH731" s="154"/>
      <c r="AI731" s="243" t="str">
        <f t="shared" si="5"/>
        <v>N/A</v>
      </c>
      <c r="AJ731" s="157" t="str">
        <f t="shared" si="6"/>
        <v/>
      </c>
    </row>
    <row r="732" ht="12.75" customHeight="1">
      <c r="A732" s="244" t="s">
        <v>621</v>
      </c>
      <c r="B732" s="244" t="s">
        <v>1339</v>
      </c>
      <c r="C732" s="245" t="s">
        <v>2199</v>
      </c>
      <c r="D732" s="155" t="s">
        <v>1315</v>
      </c>
      <c r="E732" s="246" t="s">
        <v>92</v>
      </c>
      <c r="F732" s="154" t="str">
        <f t="array" ref="F732">XLOOKUP(Cover!$D$12,$S$1:$AA$1,$S732:$AA732)</f>
        <v>Recommended</v>
      </c>
      <c r="G732" s="154" t="s">
        <v>2200</v>
      </c>
      <c r="H732" s="154"/>
      <c r="I732" s="154" t="s">
        <v>759</v>
      </c>
      <c r="J732" s="247" t="s">
        <v>506</v>
      </c>
      <c r="K732" s="260" t="s">
        <v>2201</v>
      </c>
      <c r="L732" s="154" t="str">
        <f t="shared" si="1"/>
        <v/>
      </c>
      <c r="M732" s="248" t="str">
        <f>IFERROR(__xludf.DUMMYFUNCTION("VLOOKUP(C732,IMPORTRANGE(""https://docs.google.com/spreadsheets/d/1P8eX0NWBhUPS_hvzA11R6jkTNFrPrRYIx_dX_hYbxrk/edit?resourcekey=0-iw9bsKY2OqkUHCFMkCar3A&amp;gid=2055363397#gid=2055363397"",""MTR!C:O""),11,false)"),"PMW-MCE-AS")</f>
        <v>PMW-MCE-AS</v>
      </c>
      <c r="N732" s="248" t="str">
        <f>IFERROR(__xludf.DUMMYFUNCTION("VLOOKUP(C732,IMPORTRANGE(""https://docs.google.com/spreadsheets/d/1ihFlp3_ePlYtFuPbUNbYj1muErVpI73WHXbEwJDIA7Q/edit#gid=1493122344"",""MTR!C:O""),8,false)"),"Does Not Comply")</f>
        <v>Does Not Comply</v>
      </c>
      <c r="O732" s="241" t="str">
        <f>IFERROR(__xludf.DUMMYFUNCTION("VLOOKUP(C732,IMPORTRANGE(""https://docs.google.com/spreadsheets/d/1P8eX0NWBhUPS_hvzA11R6jkTNFrPrRYIx_dX_hYbxrk/edit?resourcekey=0-iw9bsKY2OqkUHCFMkCar3A&amp;gid=2055363397#gid=2055363397"",""MTR!C:O""),9,false)"),"")</f>
        <v/>
      </c>
      <c r="P732" s="241"/>
      <c r="Q732" s="251" t="s">
        <v>516</v>
      </c>
      <c r="R732" s="241"/>
      <c r="S732" s="154" t="s">
        <v>66</v>
      </c>
      <c r="T732" s="154" t="s">
        <v>66</v>
      </c>
      <c r="U732" s="154" t="s">
        <v>64</v>
      </c>
      <c r="V732" s="154" t="s">
        <v>64</v>
      </c>
      <c r="W732" s="154" t="s">
        <v>64</v>
      </c>
      <c r="X732" s="154" t="s">
        <v>64</v>
      </c>
      <c r="Y732" s="154" t="s">
        <v>66</v>
      </c>
      <c r="Z732" s="154" t="s">
        <v>64</v>
      </c>
      <c r="AA732" s="154" t="s">
        <v>64</v>
      </c>
      <c r="AB732" s="154"/>
      <c r="AC732" s="242" t="b">
        <f t="shared" si="2"/>
        <v>1</v>
      </c>
      <c r="AD732" s="154" t="s">
        <v>391</v>
      </c>
      <c r="AE732" s="243" t="b">
        <f t="shared" si="3"/>
        <v>0</v>
      </c>
      <c r="AF732" s="154"/>
      <c r="AG732" s="243" t="b">
        <f t="shared" si="4"/>
        <v>0</v>
      </c>
      <c r="AH732" s="154"/>
      <c r="AI732" s="243" t="str">
        <f t="shared" si="5"/>
        <v>N/A</v>
      </c>
      <c r="AJ732" s="157" t="str">
        <f t="shared" si="6"/>
        <v/>
      </c>
    </row>
    <row r="733" ht="12.75" customHeight="1">
      <c r="A733" s="244" t="s">
        <v>621</v>
      </c>
      <c r="B733" s="244" t="s">
        <v>1339</v>
      </c>
      <c r="C733" s="244" t="s">
        <v>2202</v>
      </c>
      <c r="D733" s="154" t="s">
        <v>1069</v>
      </c>
      <c r="E733" s="250"/>
      <c r="F733" s="154" t="str">
        <f t="array" ref="F733">XLOOKUP(Cover!$D$12,$S$1:$AA$1,$S733:$AA733)</f>
        <v>Information</v>
      </c>
      <c r="G733" s="153" t="s">
        <v>2203</v>
      </c>
      <c r="H733" s="154"/>
      <c r="I733" s="154" t="s">
        <v>759</v>
      </c>
      <c r="J733" s="247" t="s">
        <v>516</v>
      </c>
      <c r="K733" s="154"/>
      <c r="L733" s="154" t="str">
        <f t="shared" si="1"/>
        <v/>
      </c>
      <c r="M733" s="248" t="str">
        <f>IFERROR(__xludf.DUMMYFUNCTION("VLOOKUP(C733,IMPORTRANGE(""https://docs.google.com/spreadsheets/d/1P8eX0NWBhUPS_hvzA11R6jkTNFrPrRYIx_dX_hYbxrk/edit?resourcekey=0-iw9bsKY2OqkUHCFMkCar3A&amp;gid=2055363397#gid=2055363397"",""MTR!C:O""),11,false)"),"PMW-MCE-AS")</f>
        <v>PMW-MCE-AS</v>
      </c>
      <c r="N733" s="248" t="str">
        <f>IFERROR(__xludf.DUMMYFUNCTION("VLOOKUP(C733,IMPORTRANGE(""https://docs.google.com/spreadsheets/d/1ihFlp3_ePlYtFuPbUNbYj1muErVpI73WHXbEwJDIA7Q/edit#gid=1493122344"",""MTR!C:O""),8,false)"),"Does Not Comply")</f>
        <v>Does Not Comply</v>
      </c>
      <c r="O733" s="241" t="str">
        <f>IFERROR(__xludf.DUMMYFUNCTION("VLOOKUP(C733,IMPORTRANGE(""https://docs.google.com/spreadsheets/d/1P8eX0NWBhUPS_hvzA11R6jkTNFrPrRYIx_dX_hYbxrk/edit?resourcekey=0-iw9bsKY2OqkUHCFMkCar3A&amp;gid=2055363397#gid=2055363397"",""MTR!C:O""),9,false)"),"")</f>
        <v/>
      </c>
      <c r="P733" s="241"/>
      <c r="Q733" s="251" t="s">
        <v>516</v>
      </c>
      <c r="R733" s="241"/>
      <c r="S733" s="154" t="s">
        <v>66</v>
      </c>
      <c r="T733" s="154" t="s">
        <v>66</v>
      </c>
      <c r="U733" s="154" t="s">
        <v>66</v>
      </c>
      <c r="V733" s="154" t="s">
        <v>66</v>
      </c>
      <c r="W733" s="154" t="s">
        <v>66</v>
      </c>
      <c r="X733" s="154" t="s">
        <v>66</v>
      </c>
      <c r="Y733" s="154" t="s">
        <v>66</v>
      </c>
      <c r="Z733" s="154" t="s">
        <v>66</v>
      </c>
      <c r="AA733" s="154" t="s">
        <v>66</v>
      </c>
      <c r="AB733" s="154"/>
      <c r="AC733" s="242" t="b">
        <f t="shared" si="2"/>
        <v>1</v>
      </c>
      <c r="AD733" s="154" t="s">
        <v>391</v>
      </c>
      <c r="AE733" s="243" t="b">
        <f t="shared" si="3"/>
        <v>0</v>
      </c>
      <c r="AF733" s="154"/>
      <c r="AG733" s="243" t="b">
        <f t="shared" si="4"/>
        <v>0</v>
      </c>
      <c r="AH733" s="154"/>
      <c r="AI733" s="243" t="str">
        <f t="shared" si="5"/>
        <v>N/A</v>
      </c>
      <c r="AJ733" s="157" t="str">
        <f t="shared" si="6"/>
        <v/>
      </c>
    </row>
    <row r="734" ht="12.75" customHeight="1">
      <c r="A734" s="244" t="s">
        <v>621</v>
      </c>
      <c r="B734" s="244" t="s">
        <v>1339</v>
      </c>
      <c r="C734" s="245" t="s">
        <v>2204</v>
      </c>
      <c r="D734" s="155" t="s">
        <v>1773</v>
      </c>
      <c r="E734" s="246" t="s">
        <v>92</v>
      </c>
      <c r="F734" s="154" t="str">
        <f t="array" ref="F734">XLOOKUP(Cover!$D$12,$S$1:$AA$1,$S734:$AA734)</f>
        <v>Mandatory</v>
      </c>
      <c r="G734" s="153" t="s">
        <v>2205</v>
      </c>
      <c r="H734" s="154" t="s">
        <v>232</v>
      </c>
      <c r="I734" s="154" t="s">
        <v>759</v>
      </c>
      <c r="J734" s="247" t="s">
        <v>516</v>
      </c>
      <c r="K734" s="154"/>
      <c r="L734" s="154" t="str">
        <f t="shared" si="1"/>
        <v/>
      </c>
      <c r="M734" s="248" t="str">
        <f>IFERROR(__xludf.DUMMYFUNCTION("VLOOKUP(C734,IMPORTRANGE(""https://docs.google.com/spreadsheets/d/1P8eX0NWBhUPS_hvzA11R6jkTNFrPrRYIx_dX_hYbxrk/edit?resourcekey=0-iw9bsKY2OqkUHCFMkCar3A&amp;gid=2055363397#gid=2055363397"",""MTR!C:O""),11,false)"),"PMW-MCE-AS")</f>
        <v>PMW-MCE-AS</v>
      </c>
      <c r="N734" s="248" t="str">
        <f>IFERROR(__xludf.DUMMYFUNCTION("VLOOKUP(C734,IMPORTRANGE(""https://docs.google.com/spreadsheets/d/1ihFlp3_ePlYtFuPbUNbYj1muErVpI73WHXbEwJDIA7Q/edit#gid=1493122344"",""MTR!C:O""),8,false)"),"Does Not Comply")</f>
        <v>Does Not Comply</v>
      </c>
      <c r="O734" s="241" t="str">
        <f>IFERROR(__xludf.DUMMYFUNCTION("VLOOKUP(C734,IMPORTRANGE(""https://docs.google.com/spreadsheets/d/1P8eX0NWBhUPS_hvzA11R6jkTNFrPrRYIx_dX_hYbxrk/edit?resourcekey=0-iw9bsKY2OqkUHCFMkCar3A&amp;gid=2055363397#gid=2055363397"",""MTR!C:O""),9,false)"),"")</f>
        <v/>
      </c>
      <c r="P734" s="241"/>
      <c r="Q734" s="251" t="s">
        <v>516</v>
      </c>
      <c r="R734" s="241"/>
      <c r="S734" s="154" t="s">
        <v>66</v>
      </c>
      <c r="T734" s="154" t="s">
        <v>66</v>
      </c>
      <c r="U734" s="154" t="s">
        <v>60</v>
      </c>
      <c r="V734" s="154" t="s">
        <v>60</v>
      </c>
      <c r="W734" s="154" t="s">
        <v>60</v>
      </c>
      <c r="X734" s="154" t="s">
        <v>60</v>
      </c>
      <c r="Y734" s="154" t="s">
        <v>66</v>
      </c>
      <c r="Z734" s="154" t="s">
        <v>60</v>
      </c>
      <c r="AA734" s="154" t="s">
        <v>60</v>
      </c>
      <c r="AB734" s="154"/>
      <c r="AC734" s="242" t="b">
        <f t="shared" si="2"/>
        <v>1</v>
      </c>
      <c r="AD734" s="154" t="s">
        <v>391</v>
      </c>
      <c r="AE734" s="243" t="b">
        <f t="shared" si="3"/>
        <v>0</v>
      </c>
      <c r="AF734" s="154"/>
      <c r="AG734" s="243" t="b">
        <f t="shared" si="4"/>
        <v>0</v>
      </c>
      <c r="AH734" s="154"/>
      <c r="AI734" s="243" t="str">
        <f t="shared" si="5"/>
        <v>N/A</v>
      </c>
      <c r="AJ734" s="157" t="str">
        <f t="shared" si="6"/>
        <v/>
      </c>
    </row>
    <row r="735" ht="12.75" customHeight="1">
      <c r="A735" s="244" t="s">
        <v>621</v>
      </c>
      <c r="B735" s="244" t="s">
        <v>1339</v>
      </c>
      <c r="C735" s="245" t="s">
        <v>2206</v>
      </c>
      <c r="D735" s="155" t="s">
        <v>1069</v>
      </c>
      <c r="E735" s="246" t="s">
        <v>92</v>
      </c>
      <c r="F735" s="154" t="str">
        <f t="array" ref="F735">XLOOKUP(Cover!$D$12,$S$1:$AA$1,$S735:$AA735)</f>
        <v>Information</v>
      </c>
      <c r="G735" s="153" t="s">
        <v>2207</v>
      </c>
      <c r="H735" s="154"/>
      <c r="I735" s="154" t="s">
        <v>759</v>
      </c>
      <c r="J735" s="247" t="s">
        <v>516</v>
      </c>
      <c r="K735" s="154"/>
      <c r="L735" s="154" t="str">
        <f t="shared" si="1"/>
        <v/>
      </c>
      <c r="M735" s="248" t="str">
        <f>IFERROR(__xludf.DUMMYFUNCTION("VLOOKUP(C735,IMPORTRANGE(""https://docs.google.com/spreadsheets/d/1P8eX0NWBhUPS_hvzA11R6jkTNFrPrRYIx_dX_hYbxrk/edit?resourcekey=0-iw9bsKY2OqkUHCFMkCar3A&amp;gid=2055363397#gid=2055363397"",""MTR!C:O""),11,false)"),"PMW-MCE-AS")</f>
        <v>PMW-MCE-AS</v>
      </c>
      <c r="N735" s="248" t="str">
        <f>IFERROR(__xludf.DUMMYFUNCTION("VLOOKUP(C735,IMPORTRANGE(""https://docs.google.com/spreadsheets/d/1ihFlp3_ePlYtFuPbUNbYj1muErVpI73WHXbEwJDIA7Q/edit#gid=1493122344"",""MTR!C:O""),8,false)"),"Does Not Comply")</f>
        <v>Does Not Comply</v>
      </c>
      <c r="O735" s="241" t="str">
        <f>IFERROR(__xludf.DUMMYFUNCTION("VLOOKUP(C735,IMPORTRANGE(""https://docs.google.com/spreadsheets/d/1P8eX0NWBhUPS_hvzA11R6jkTNFrPrRYIx_dX_hYbxrk/edit?resourcekey=0-iw9bsKY2OqkUHCFMkCar3A&amp;gid=2055363397#gid=2055363397"",""MTR!C:O""),9,false)"),"")</f>
        <v/>
      </c>
      <c r="P735" s="241"/>
      <c r="Q735" s="251" t="s">
        <v>516</v>
      </c>
      <c r="R735" s="241"/>
      <c r="S735" s="154" t="s">
        <v>66</v>
      </c>
      <c r="T735" s="154" t="s">
        <v>66</v>
      </c>
      <c r="U735" s="154" t="s">
        <v>66</v>
      </c>
      <c r="V735" s="154" t="s">
        <v>66</v>
      </c>
      <c r="W735" s="154" t="s">
        <v>66</v>
      </c>
      <c r="X735" s="154" t="s">
        <v>66</v>
      </c>
      <c r="Y735" s="154" t="s">
        <v>66</v>
      </c>
      <c r="Z735" s="154" t="s">
        <v>66</v>
      </c>
      <c r="AA735" s="154" t="s">
        <v>66</v>
      </c>
      <c r="AB735" s="154"/>
      <c r="AC735" s="242" t="b">
        <f t="shared" si="2"/>
        <v>1</v>
      </c>
      <c r="AD735" s="154" t="s">
        <v>391</v>
      </c>
      <c r="AE735" s="243" t="b">
        <f t="shared" si="3"/>
        <v>0</v>
      </c>
      <c r="AF735" s="154"/>
      <c r="AG735" s="243" t="b">
        <f t="shared" si="4"/>
        <v>0</v>
      </c>
      <c r="AH735" s="154"/>
      <c r="AI735" s="243" t="str">
        <f t="shared" si="5"/>
        <v>N/A</v>
      </c>
      <c r="AJ735" s="157" t="str">
        <f t="shared" si="6"/>
        <v/>
      </c>
    </row>
    <row r="736" ht="12.75" customHeight="1">
      <c r="A736" s="238" t="s">
        <v>621</v>
      </c>
      <c r="B736" s="238" t="s">
        <v>1339</v>
      </c>
      <c r="C736" s="238" t="s">
        <v>2208</v>
      </c>
      <c r="D736" s="240"/>
      <c r="E736" s="252" t="s">
        <v>92</v>
      </c>
      <c r="F736" s="154" t="str">
        <f t="array" ref="F736">XLOOKUP(Cover!$D$12,$S$1:$AA$1,$S736:$AA736)</f>
        <v>Heading</v>
      </c>
      <c r="G736" s="239" t="s">
        <v>2209</v>
      </c>
      <c r="H736" s="240"/>
      <c r="I736" s="240" t="s">
        <v>759</v>
      </c>
      <c r="J736" s="262"/>
      <c r="K736" s="240"/>
      <c r="L736" s="154" t="str">
        <f t="shared" si="1"/>
        <v/>
      </c>
      <c r="M736" s="241" t="str">
        <f>IFERROR(__xludf.DUMMYFUNCTION("VLOOKUP(C736,IMPORTRANGE(""https://docs.google.com/spreadsheets/d/1P8eX0NWBhUPS_hvzA11R6jkTNFrPrRYIx_dX_hYbxrk/edit?resourcekey=0-iw9bsKY2OqkUHCFMkCar3A&amp;gid=2055363397#gid=2055363397"",""MTR!C:O""),11,false)"),"")</f>
        <v/>
      </c>
      <c r="N736" s="241" t="str">
        <f>IFERROR(__xludf.DUMMYFUNCTION("VLOOKUP(C736,IMPORTRANGE(""https://docs.google.com/spreadsheets/d/1ihFlp3_ePlYtFuPbUNbYj1muErVpI73WHXbEwJDIA7Q/edit#gid=1493122344"",""MTR!C:O""),8,false)"),"")</f>
        <v/>
      </c>
      <c r="O736" s="241" t="str">
        <f>IFERROR(__xludf.DUMMYFUNCTION("VLOOKUP(C736,IMPORTRANGE(""https://docs.google.com/spreadsheets/d/1P8eX0NWBhUPS_hvzA11R6jkTNFrPrRYIx_dX_hYbxrk/edit?resourcekey=0-iw9bsKY2OqkUHCFMkCar3A&amp;gid=2055363397#gid=2055363397"",""MTR!C:O""),9,false)"),"")</f>
        <v/>
      </c>
      <c r="P736" s="241"/>
      <c r="Q736" s="251"/>
      <c r="R736" s="241"/>
      <c r="S736" s="240" t="s">
        <v>390</v>
      </c>
      <c r="T736" s="240" t="s">
        <v>390</v>
      </c>
      <c r="U736" s="240" t="s">
        <v>390</v>
      </c>
      <c r="V736" s="240" t="s">
        <v>390</v>
      </c>
      <c r="W736" s="240" t="s">
        <v>390</v>
      </c>
      <c r="X736" s="240" t="s">
        <v>390</v>
      </c>
      <c r="Y736" s="240" t="s">
        <v>390</v>
      </c>
      <c r="Z736" s="240" t="s">
        <v>390</v>
      </c>
      <c r="AA736" s="240" t="s">
        <v>390</v>
      </c>
      <c r="AB736" s="240"/>
      <c r="AC736" s="242" t="b">
        <f t="shared" si="2"/>
        <v>0</v>
      </c>
      <c r="AD736" s="240" t="s">
        <v>391</v>
      </c>
      <c r="AE736" s="243" t="b">
        <f t="shared" si="3"/>
        <v>0</v>
      </c>
      <c r="AF736" s="240"/>
      <c r="AG736" s="243" t="b">
        <f t="shared" si="4"/>
        <v>0</v>
      </c>
      <c r="AH736" s="240"/>
      <c r="AI736" s="243" t="str">
        <f t="shared" si="5"/>
        <v>N/A</v>
      </c>
      <c r="AJ736" s="157" t="str">
        <f t="shared" si="6"/>
        <v/>
      </c>
    </row>
    <row r="737" ht="12.75" customHeight="1">
      <c r="A737" s="244" t="s">
        <v>621</v>
      </c>
      <c r="B737" s="244" t="s">
        <v>1339</v>
      </c>
      <c r="C737" s="244" t="s">
        <v>2210</v>
      </c>
      <c r="D737" s="154" t="s">
        <v>1315</v>
      </c>
      <c r="E737" s="250"/>
      <c r="F737" s="154" t="str">
        <f t="array" ref="F737">XLOOKUP(Cover!$D$12,$S$1:$AA$1,$S737:$AA737)</f>
        <v>Recommended</v>
      </c>
      <c r="G737" s="153" t="s">
        <v>2211</v>
      </c>
      <c r="H737" s="154" t="s">
        <v>234</v>
      </c>
      <c r="I737" s="154" t="s">
        <v>759</v>
      </c>
      <c r="J737" s="247" t="s">
        <v>506</v>
      </c>
      <c r="K737" s="154" t="s">
        <v>2212</v>
      </c>
      <c r="L737" s="154" t="str">
        <f t="shared" si="1"/>
        <v/>
      </c>
      <c r="M737" s="248" t="str">
        <f>IFERROR(__xludf.DUMMYFUNCTION("VLOOKUP(C737,IMPORTRANGE(""https://docs.google.com/spreadsheets/d/1P8eX0NWBhUPS_hvzA11R6jkTNFrPrRYIx_dX_hYbxrk/edit?resourcekey=0-iw9bsKY2OqkUHCFMkCar3A&amp;gid=2055363397#gid=2055363397"",""MTR!C:O""),11,false)"),"PMW-MCE-AS")</f>
        <v>PMW-MCE-AS</v>
      </c>
      <c r="N737" s="241" t="str">
        <f>IFERROR(__xludf.DUMMYFUNCTION("VLOOKUP(C737,IMPORTRANGE(""https://docs.google.com/spreadsheets/d/1ihFlp3_ePlYtFuPbUNbYj1muErVpI73WHXbEwJDIA7Q/edit#gid=1493122344"",""MTR!C:O""),8,false)"),"")</f>
        <v/>
      </c>
      <c r="O737" s="248" t="str">
        <f>IFERROR(__xludf.DUMMYFUNCTION("VLOOKUP(C737,IMPORTRANGE(""https://docs.google.com/spreadsheets/d/1P8eX0NWBhUPS_hvzA11R6jkTNFrPrRYIx_dX_hYbxrk/edit?resourcekey=0-iw9bsKY2OqkUHCFMkCar3A&amp;gid=2055363397#gid=2055363397"",""MTR!C:O""),9,false)"),"5G SA default disabled. This feature need to discuss while SA enable")</f>
        <v>5G SA default disabled. This feature need to discuss while SA enable</v>
      </c>
      <c r="P737" s="248"/>
      <c r="Q737" s="248"/>
      <c r="R737" s="249" t="s">
        <v>2213</v>
      </c>
      <c r="S737" s="154" t="s">
        <v>66</v>
      </c>
      <c r="T737" s="154" t="s">
        <v>66</v>
      </c>
      <c r="U737" s="154" t="s">
        <v>64</v>
      </c>
      <c r="V737" s="154" t="s">
        <v>64</v>
      </c>
      <c r="W737" s="154" t="s">
        <v>64</v>
      </c>
      <c r="X737" s="154" t="s">
        <v>64</v>
      </c>
      <c r="Y737" s="154" t="s">
        <v>66</v>
      </c>
      <c r="Z737" s="154" t="s">
        <v>64</v>
      </c>
      <c r="AA737" s="154" t="s">
        <v>64</v>
      </c>
      <c r="AB737" s="154"/>
      <c r="AC737" s="242" t="b">
        <f t="shared" si="2"/>
        <v>1</v>
      </c>
      <c r="AD737" s="154" t="s">
        <v>445</v>
      </c>
      <c r="AE737" s="243" t="b">
        <f t="shared" si="3"/>
        <v>0</v>
      </c>
      <c r="AF737" s="154"/>
      <c r="AG737" s="243" t="b">
        <f t="shared" si="4"/>
        <v>0</v>
      </c>
      <c r="AH737" s="154" t="s">
        <v>1346</v>
      </c>
      <c r="AI737" s="243" t="str">
        <f t="shared" si="5"/>
        <v>Partially Complies</v>
      </c>
      <c r="AJ737" s="157" t="str">
        <f t="shared" si="6"/>
        <v/>
      </c>
    </row>
    <row r="738" ht="12.75" customHeight="1">
      <c r="A738" s="238" t="s">
        <v>621</v>
      </c>
      <c r="B738" s="238" t="s">
        <v>2214</v>
      </c>
      <c r="C738" s="238" t="s">
        <v>2215</v>
      </c>
      <c r="D738" s="240"/>
      <c r="E738" s="252" t="s">
        <v>92</v>
      </c>
      <c r="F738" s="154" t="str">
        <f t="array" ref="F738">XLOOKUP(Cover!$D$12,$S$1:$AA$1,$S738:$AA738)</f>
        <v>Heading</v>
      </c>
      <c r="G738" s="239" t="s">
        <v>2216</v>
      </c>
      <c r="H738" s="240"/>
      <c r="I738" s="240" t="s">
        <v>389</v>
      </c>
      <c r="J738" s="262"/>
      <c r="K738" s="262"/>
      <c r="L738" s="154" t="str">
        <f t="shared" si="1"/>
        <v/>
      </c>
      <c r="M738" s="241" t="str">
        <f>IFERROR(__xludf.DUMMYFUNCTION("VLOOKUP(C738,IMPORTRANGE(""https://docs.google.com/spreadsheets/d/1P8eX0NWBhUPS_hvzA11R6jkTNFrPrRYIx_dX_hYbxrk/edit?resourcekey=0-iw9bsKY2OqkUHCFMkCar3A&amp;gid=2055363397#gid=2055363397"",""MTR!C:O""),11,false)"),"")</f>
        <v/>
      </c>
      <c r="N738" s="241" t="str">
        <f>IFERROR(__xludf.DUMMYFUNCTION("VLOOKUP(C738,IMPORTRANGE(""https://docs.google.com/spreadsheets/d/1ihFlp3_ePlYtFuPbUNbYj1muErVpI73WHXbEwJDIA7Q/edit#gid=1493122344"",""MTR!C:O""),8,false)"),"")</f>
        <v/>
      </c>
      <c r="O738" s="241" t="str">
        <f>IFERROR(__xludf.DUMMYFUNCTION("VLOOKUP(C738,IMPORTRANGE(""https://docs.google.com/spreadsheets/d/1P8eX0NWBhUPS_hvzA11R6jkTNFrPrRYIx_dX_hYbxrk/edit?resourcekey=0-iw9bsKY2OqkUHCFMkCar3A&amp;gid=2055363397#gid=2055363397"",""MTR!C:O""),9,false)"),"")</f>
        <v/>
      </c>
      <c r="P738" s="241"/>
      <c r="Q738" s="241"/>
      <c r="R738" s="251"/>
      <c r="S738" s="240" t="s">
        <v>390</v>
      </c>
      <c r="T738" s="240" t="s">
        <v>390</v>
      </c>
      <c r="U738" s="240" t="s">
        <v>390</v>
      </c>
      <c r="V738" s="240" t="s">
        <v>390</v>
      </c>
      <c r="W738" s="240" t="s">
        <v>390</v>
      </c>
      <c r="X738" s="240" t="s">
        <v>390</v>
      </c>
      <c r="Y738" s="240" t="s">
        <v>390</v>
      </c>
      <c r="Z738" s="240" t="s">
        <v>390</v>
      </c>
      <c r="AA738" s="240" t="s">
        <v>390</v>
      </c>
      <c r="AB738" s="240"/>
      <c r="AC738" s="242" t="b">
        <f t="shared" si="2"/>
        <v>0</v>
      </c>
      <c r="AD738" s="240" t="s">
        <v>391</v>
      </c>
      <c r="AE738" s="243" t="b">
        <f t="shared" si="3"/>
        <v>0</v>
      </c>
      <c r="AF738" s="240"/>
      <c r="AG738" s="243" t="b">
        <f t="shared" si="4"/>
        <v>0</v>
      </c>
      <c r="AH738" s="240"/>
      <c r="AI738" s="243" t="str">
        <f t="shared" si="5"/>
        <v>N/A</v>
      </c>
      <c r="AJ738" s="157" t="str">
        <f t="shared" si="6"/>
        <v/>
      </c>
    </row>
    <row r="739" ht="12.75" customHeight="1">
      <c r="A739" s="238" t="s">
        <v>621</v>
      </c>
      <c r="B739" s="238" t="s">
        <v>2214</v>
      </c>
      <c r="C739" s="238" t="s">
        <v>2217</v>
      </c>
      <c r="D739" s="240"/>
      <c r="E739" s="252" t="s">
        <v>92</v>
      </c>
      <c r="F739" s="154" t="str">
        <f t="array" ref="F739">XLOOKUP(Cover!$D$12,$S$1:$AA$1,$S739:$AA739)</f>
        <v>Heading</v>
      </c>
      <c r="G739" s="239" t="s">
        <v>2218</v>
      </c>
      <c r="H739" s="240"/>
      <c r="I739" s="240" t="s">
        <v>389</v>
      </c>
      <c r="J739" s="262"/>
      <c r="K739" s="240"/>
      <c r="L739" s="154" t="str">
        <f t="shared" si="1"/>
        <v/>
      </c>
      <c r="M739" s="241" t="str">
        <f>IFERROR(__xludf.DUMMYFUNCTION("VLOOKUP(C739,IMPORTRANGE(""https://docs.google.com/spreadsheets/d/1P8eX0NWBhUPS_hvzA11R6jkTNFrPrRYIx_dX_hYbxrk/edit?resourcekey=0-iw9bsKY2OqkUHCFMkCar3A&amp;gid=2055363397#gid=2055363397"",""MTR!C:O""),11,false)"),"")</f>
        <v/>
      </c>
      <c r="N739" s="241" t="str">
        <f>IFERROR(__xludf.DUMMYFUNCTION("VLOOKUP(C739,IMPORTRANGE(""https://docs.google.com/spreadsheets/d/1ihFlp3_ePlYtFuPbUNbYj1muErVpI73WHXbEwJDIA7Q/edit#gid=1493122344"",""MTR!C:O""),8,false)"),"")</f>
        <v/>
      </c>
      <c r="O739" s="241" t="str">
        <f>IFERROR(__xludf.DUMMYFUNCTION("VLOOKUP(C739,IMPORTRANGE(""https://docs.google.com/spreadsheets/d/1P8eX0NWBhUPS_hvzA11R6jkTNFrPrRYIx_dX_hYbxrk/edit?resourcekey=0-iw9bsKY2OqkUHCFMkCar3A&amp;gid=2055363397#gid=2055363397"",""MTR!C:O""),9,false)"),"")</f>
        <v/>
      </c>
      <c r="P739" s="241"/>
      <c r="Q739" s="241"/>
      <c r="R739" s="241"/>
      <c r="S739" s="240" t="s">
        <v>390</v>
      </c>
      <c r="T739" s="240" t="s">
        <v>390</v>
      </c>
      <c r="U739" s="240" t="s">
        <v>390</v>
      </c>
      <c r="V739" s="240" t="s">
        <v>390</v>
      </c>
      <c r="W739" s="240" t="s">
        <v>390</v>
      </c>
      <c r="X739" s="240" t="s">
        <v>390</v>
      </c>
      <c r="Y739" s="240" t="s">
        <v>390</v>
      </c>
      <c r="Z739" s="240" t="s">
        <v>390</v>
      </c>
      <c r="AA739" s="240" t="s">
        <v>390</v>
      </c>
      <c r="AB739" s="240"/>
      <c r="AC739" s="242" t="b">
        <f t="shared" si="2"/>
        <v>0</v>
      </c>
      <c r="AD739" s="240" t="s">
        <v>391</v>
      </c>
      <c r="AE739" s="243" t="b">
        <f t="shared" si="3"/>
        <v>0</v>
      </c>
      <c r="AF739" s="240"/>
      <c r="AG739" s="243" t="b">
        <f t="shared" si="4"/>
        <v>0</v>
      </c>
      <c r="AH739" s="240"/>
      <c r="AI739" s="243" t="str">
        <f t="shared" si="5"/>
        <v>N/A</v>
      </c>
      <c r="AJ739" s="157" t="str">
        <f t="shared" si="6"/>
        <v/>
      </c>
    </row>
    <row r="740" ht="12.75" customHeight="1">
      <c r="A740" s="238" t="s">
        <v>621</v>
      </c>
      <c r="B740" s="238" t="s">
        <v>2214</v>
      </c>
      <c r="C740" s="238" t="s">
        <v>2219</v>
      </c>
      <c r="D740" s="240"/>
      <c r="E740" s="252" t="s">
        <v>92</v>
      </c>
      <c r="F740" s="154" t="str">
        <f t="array" ref="F740">XLOOKUP(Cover!$D$12,$S$1:$AA$1,$S740:$AA740)</f>
        <v>Heading</v>
      </c>
      <c r="G740" s="239" t="s">
        <v>2220</v>
      </c>
      <c r="H740" s="240"/>
      <c r="I740" s="240" t="s">
        <v>389</v>
      </c>
      <c r="J740" s="262"/>
      <c r="K740" s="240"/>
      <c r="L740" s="154" t="str">
        <f t="shared" si="1"/>
        <v/>
      </c>
      <c r="M740" s="241" t="str">
        <f>IFERROR(__xludf.DUMMYFUNCTION("VLOOKUP(C740,IMPORTRANGE(""https://docs.google.com/spreadsheets/d/1P8eX0NWBhUPS_hvzA11R6jkTNFrPrRYIx_dX_hYbxrk/edit?resourcekey=0-iw9bsKY2OqkUHCFMkCar3A&amp;gid=2055363397#gid=2055363397"",""MTR!C:O""),11,false)"),"")</f>
        <v/>
      </c>
      <c r="N740" s="241" t="str">
        <f>IFERROR(__xludf.DUMMYFUNCTION("VLOOKUP(C740,IMPORTRANGE(""https://docs.google.com/spreadsheets/d/1ihFlp3_ePlYtFuPbUNbYj1muErVpI73WHXbEwJDIA7Q/edit#gid=1493122344"",""MTR!C:O""),8,false)"),"")</f>
        <v/>
      </c>
      <c r="O740" s="241" t="str">
        <f>IFERROR(__xludf.DUMMYFUNCTION("VLOOKUP(C740,IMPORTRANGE(""https://docs.google.com/spreadsheets/d/1P8eX0NWBhUPS_hvzA11R6jkTNFrPrRYIx_dX_hYbxrk/edit?resourcekey=0-iw9bsKY2OqkUHCFMkCar3A&amp;gid=2055363397#gid=2055363397"",""MTR!C:O""),9,false)"),"")</f>
        <v/>
      </c>
      <c r="P740" s="241"/>
      <c r="Q740" s="241"/>
      <c r="R740" s="241"/>
      <c r="S740" s="240" t="s">
        <v>390</v>
      </c>
      <c r="T740" s="240" t="s">
        <v>390</v>
      </c>
      <c r="U740" s="240" t="s">
        <v>390</v>
      </c>
      <c r="V740" s="240" t="s">
        <v>390</v>
      </c>
      <c r="W740" s="240" t="s">
        <v>390</v>
      </c>
      <c r="X740" s="240" t="s">
        <v>390</v>
      </c>
      <c r="Y740" s="240" t="s">
        <v>390</v>
      </c>
      <c r="Z740" s="240" t="s">
        <v>390</v>
      </c>
      <c r="AA740" s="240" t="s">
        <v>390</v>
      </c>
      <c r="AB740" s="240"/>
      <c r="AC740" s="242" t="b">
        <f t="shared" si="2"/>
        <v>0</v>
      </c>
      <c r="AD740" s="240" t="s">
        <v>391</v>
      </c>
      <c r="AE740" s="243" t="b">
        <f t="shared" si="3"/>
        <v>0</v>
      </c>
      <c r="AF740" s="240"/>
      <c r="AG740" s="243" t="b">
        <f t="shared" si="4"/>
        <v>0</v>
      </c>
      <c r="AH740" s="240"/>
      <c r="AI740" s="243" t="str">
        <f t="shared" si="5"/>
        <v>N/A</v>
      </c>
      <c r="AJ740" s="157" t="str">
        <f t="shared" si="6"/>
        <v/>
      </c>
    </row>
    <row r="741" ht="12.75" customHeight="1">
      <c r="A741" s="244" t="s">
        <v>621</v>
      </c>
      <c r="B741" s="244" t="s">
        <v>2214</v>
      </c>
      <c r="C741" s="244" t="s">
        <v>2221</v>
      </c>
      <c r="D741" s="154" t="s">
        <v>1211</v>
      </c>
      <c r="E741" s="250"/>
      <c r="F741" s="154" t="str">
        <f t="array" ref="F741">XLOOKUP(Cover!$D$12,$S$1:$AA$1,$S741:$AA741)</f>
        <v>Mandatory</v>
      </c>
      <c r="G741" s="153" t="s">
        <v>2222</v>
      </c>
      <c r="H741" s="154" t="s">
        <v>398</v>
      </c>
      <c r="I741" s="154" t="s">
        <v>389</v>
      </c>
      <c r="J741" s="154" t="s">
        <v>445</v>
      </c>
      <c r="K741" s="154"/>
      <c r="L741" s="154" t="str">
        <f t="shared" si="1"/>
        <v/>
      </c>
      <c r="M741" s="248" t="str">
        <f>IFERROR(__xludf.DUMMYFUNCTION("VLOOKUP(C741,IMPORTRANGE(""https://docs.google.com/spreadsheets/d/1P8eX0NWBhUPS_hvzA11R6jkTNFrPrRYIx_dX_hYbxrk/edit?resourcekey=0-iw9bsKY2OqkUHCFMkCar3A&amp;gid=2055363397#gid=2055363397"",""MTR!C:O""),11,false)"),"PMW-MCE-AS")</f>
        <v>PMW-MCE-AS</v>
      </c>
      <c r="N741" s="248" t="str">
        <f>IFERROR(__xludf.DUMMYFUNCTION("VLOOKUP(C741,IMPORTRANGE(""https://docs.google.com/spreadsheets/d/1ihFlp3_ePlYtFuPbUNbYj1muErVpI73WHXbEwJDIA7Q/edit#gid=1493122344"",""MTR!C:O""),8,false)"),"Complies")</f>
        <v>Complies</v>
      </c>
      <c r="O741" s="241" t="str">
        <f>IFERROR(__xludf.DUMMYFUNCTION("VLOOKUP(C741,IMPORTRANGE(""https://docs.google.com/spreadsheets/d/1P8eX0NWBhUPS_hvzA11R6jkTNFrPrRYIx_dX_hYbxrk/edit?resourcekey=0-iw9bsKY2OqkUHCFMkCar3A&amp;gid=2055363397#gid=2055363397"",""MTR!C:O""),9,false)"),"")</f>
        <v/>
      </c>
      <c r="P741" s="241"/>
      <c r="Q741" s="251" t="s">
        <v>445</v>
      </c>
      <c r="R741" s="241"/>
      <c r="S741" s="154" t="s">
        <v>60</v>
      </c>
      <c r="T741" s="154" t="s">
        <v>60</v>
      </c>
      <c r="U741" s="154" t="s">
        <v>60</v>
      </c>
      <c r="V741" s="154" t="s">
        <v>60</v>
      </c>
      <c r="W741" s="154" t="s">
        <v>60</v>
      </c>
      <c r="X741" s="154" t="s">
        <v>60</v>
      </c>
      <c r="Y741" s="154" t="s">
        <v>60</v>
      </c>
      <c r="Z741" s="154" t="s">
        <v>60</v>
      </c>
      <c r="AA741" s="154" t="s">
        <v>60</v>
      </c>
      <c r="AB741" s="154"/>
      <c r="AC741" s="242" t="b">
        <f t="shared" si="2"/>
        <v>1</v>
      </c>
      <c r="AD741" s="154" t="s">
        <v>391</v>
      </c>
      <c r="AE741" s="243" t="b">
        <f t="shared" si="3"/>
        <v>0</v>
      </c>
      <c r="AF741" s="154"/>
      <c r="AG741" s="243" t="b">
        <f t="shared" si="4"/>
        <v>0</v>
      </c>
      <c r="AH741" s="154"/>
      <c r="AI741" s="243" t="str">
        <f t="shared" si="5"/>
        <v>N/A</v>
      </c>
      <c r="AJ741" s="157" t="str">
        <f t="shared" si="6"/>
        <v/>
      </c>
    </row>
    <row r="742" ht="12.75" customHeight="1">
      <c r="A742" s="238" t="s">
        <v>621</v>
      </c>
      <c r="B742" s="238" t="s">
        <v>2214</v>
      </c>
      <c r="C742" s="238" t="s">
        <v>2223</v>
      </c>
      <c r="D742" s="240"/>
      <c r="E742" s="252" t="s">
        <v>92</v>
      </c>
      <c r="F742" s="154" t="str">
        <f t="array" ref="F742">XLOOKUP(Cover!$D$12,$S$1:$AA$1,$S742:$AA742)</f>
        <v>Heading</v>
      </c>
      <c r="G742" s="239" t="s">
        <v>2224</v>
      </c>
      <c r="H742" s="240"/>
      <c r="I742" s="240" t="s">
        <v>389</v>
      </c>
      <c r="J742" s="262"/>
      <c r="K742" s="240"/>
      <c r="L742" s="154" t="str">
        <f t="shared" si="1"/>
        <v/>
      </c>
      <c r="M742" s="241" t="str">
        <f>IFERROR(__xludf.DUMMYFUNCTION("VLOOKUP(C742,IMPORTRANGE(""https://docs.google.com/spreadsheets/d/1P8eX0NWBhUPS_hvzA11R6jkTNFrPrRYIx_dX_hYbxrk/edit?resourcekey=0-iw9bsKY2OqkUHCFMkCar3A&amp;gid=2055363397#gid=2055363397"",""MTR!C:O""),11,false)"),"")</f>
        <v/>
      </c>
      <c r="N742" s="241" t="str">
        <f>IFERROR(__xludf.DUMMYFUNCTION("VLOOKUP(C742,IMPORTRANGE(""https://docs.google.com/spreadsheets/d/1ihFlp3_ePlYtFuPbUNbYj1muErVpI73WHXbEwJDIA7Q/edit#gid=1493122344"",""MTR!C:O""),8,false)"),"")</f>
        <v/>
      </c>
      <c r="O742" s="241" t="str">
        <f>IFERROR(__xludf.DUMMYFUNCTION("VLOOKUP(C742,IMPORTRANGE(""https://docs.google.com/spreadsheets/d/1P8eX0NWBhUPS_hvzA11R6jkTNFrPrRYIx_dX_hYbxrk/edit?resourcekey=0-iw9bsKY2OqkUHCFMkCar3A&amp;gid=2055363397#gid=2055363397"",""MTR!C:O""),9,false)"),"")</f>
        <v/>
      </c>
      <c r="P742" s="241"/>
      <c r="Q742" s="251"/>
      <c r="R742" s="241"/>
      <c r="S742" s="240" t="s">
        <v>390</v>
      </c>
      <c r="T742" s="240" t="s">
        <v>390</v>
      </c>
      <c r="U742" s="240" t="s">
        <v>390</v>
      </c>
      <c r="V742" s="240" t="s">
        <v>390</v>
      </c>
      <c r="W742" s="240" t="s">
        <v>390</v>
      </c>
      <c r="X742" s="240" t="s">
        <v>390</v>
      </c>
      <c r="Y742" s="240" t="s">
        <v>390</v>
      </c>
      <c r="Z742" s="240" t="s">
        <v>390</v>
      </c>
      <c r="AA742" s="240" t="s">
        <v>390</v>
      </c>
      <c r="AB742" s="240"/>
      <c r="AC742" s="242" t="b">
        <f t="shared" si="2"/>
        <v>0</v>
      </c>
      <c r="AD742" s="240" t="s">
        <v>391</v>
      </c>
      <c r="AE742" s="243" t="b">
        <f t="shared" si="3"/>
        <v>0</v>
      </c>
      <c r="AF742" s="240"/>
      <c r="AG742" s="243" t="b">
        <f t="shared" si="4"/>
        <v>0</v>
      </c>
      <c r="AH742" s="240"/>
      <c r="AI742" s="243" t="str">
        <f t="shared" si="5"/>
        <v>N/A</v>
      </c>
      <c r="AJ742" s="157" t="str">
        <f t="shared" si="6"/>
        <v/>
      </c>
    </row>
    <row r="743" ht="12.75" customHeight="1">
      <c r="A743" s="238" t="s">
        <v>621</v>
      </c>
      <c r="B743" s="238" t="s">
        <v>2214</v>
      </c>
      <c r="C743" s="238" t="s">
        <v>2225</v>
      </c>
      <c r="D743" s="240"/>
      <c r="E743" s="252" t="s">
        <v>92</v>
      </c>
      <c r="F743" s="154" t="str">
        <f t="array" ref="F743">XLOOKUP(Cover!$D$12,$S$1:$AA$1,$S743:$AA743)</f>
        <v>Heading</v>
      </c>
      <c r="G743" s="239" t="s">
        <v>2226</v>
      </c>
      <c r="H743" s="240"/>
      <c r="I743" s="240" t="s">
        <v>389</v>
      </c>
      <c r="J743" s="262"/>
      <c r="K743" s="240"/>
      <c r="L743" s="154" t="str">
        <f t="shared" si="1"/>
        <v/>
      </c>
      <c r="M743" s="241" t="str">
        <f>IFERROR(__xludf.DUMMYFUNCTION("VLOOKUP(C743,IMPORTRANGE(""https://docs.google.com/spreadsheets/d/1P8eX0NWBhUPS_hvzA11R6jkTNFrPrRYIx_dX_hYbxrk/edit?resourcekey=0-iw9bsKY2OqkUHCFMkCar3A&amp;gid=2055363397#gid=2055363397"",""MTR!C:O""),11,false)"),"")</f>
        <v/>
      </c>
      <c r="N743" s="241" t="str">
        <f>IFERROR(__xludf.DUMMYFUNCTION("VLOOKUP(C743,IMPORTRANGE(""https://docs.google.com/spreadsheets/d/1ihFlp3_ePlYtFuPbUNbYj1muErVpI73WHXbEwJDIA7Q/edit#gid=1493122344"",""MTR!C:O""),8,false)"),"")</f>
        <v/>
      </c>
      <c r="O743" s="241" t="str">
        <f>IFERROR(__xludf.DUMMYFUNCTION("VLOOKUP(C743,IMPORTRANGE(""https://docs.google.com/spreadsheets/d/1P8eX0NWBhUPS_hvzA11R6jkTNFrPrRYIx_dX_hYbxrk/edit?resourcekey=0-iw9bsKY2OqkUHCFMkCar3A&amp;gid=2055363397#gid=2055363397"",""MTR!C:O""),9,false)"),"")</f>
        <v/>
      </c>
      <c r="P743" s="241"/>
      <c r="Q743" s="241"/>
      <c r="R743" s="241"/>
      <c r="S743" s="240" t="s">
        <v>390</v>
      </c>
      <c r="T743" s="240" t="s">
        <v>390</v>
      </c>
      <c r="U743" s="240" t="s">
        <v>390</v>
      </c>
      <c r="V743" s="240" t="s">
        <v>390</v>
      </c>
      <c r="W743" s="240" t="s">
        <v>390</v>
      </c>
      <c r="X743" s="240" t="s">
        <v>390</v>
      </c>
      <c r="Y743" s="240" t="s">
        <v>390</v>
      </c>
      <c r="Z743" s="240" t="s">
        <v>390</v>
      </c>
      <c r="AA743" s="240" t="s">
        <v>390</v>
      </c>
      <c r="AB743" s="240"/>
      <c r="AC743" s="242" t="b">
        <f t="shared" si="2"/>
        <v>0</v>
      </c>
      <c r="AD743" s="240" t="s">
        <v>391</v>
      </c>
      <c r="AE743" s="243" t="b">
        <f t="shared" si="3"/>
        <v>0</v>
      </c>
      <c r="AF743" s="240"/>
      <c r="AG743" s="243" t="b">
        <f t="shared" si="4"/>
        <v>0</v>
      </c>
      <c r="AH743" s="240"/>
      <c r="AI743" s="243" t="str">
        <f t="shared" si="5"/>
        <v>N/A</v>
      </c>
      <c r="AJ743" s="157" t="str">
        <f t="shared" si="6"/>
        <v/>
      </c>
    </row>
    <row r="744" ht="12.75" customHeight="1">
      <c r="A744" s="238" t="s">
        <v>621</v>
      </c>
      <c r="B744" s="238" t="s">
        <v>2214</v>
      </c>
      <c r="C744" s="238" t="s">
        <v>2227</v>
      </c>
      <c r="D744" s="240"/>
      <c r="E744" s="252" t="s">
        <v>92</v>
      </c>
      <c r="F744" s="154" t="str">
        <f t="array" ref="F744">XLOOKUP(Cover!$D$12,$S$1:$AA$1,$S744:$AA744)</f>
        <v>Heading</v>
      </c>
      <c r="G744" s="239" t="s">
        <v>2228</v>
      </c>
      <c r="H744" s="240"/>
      <c r="I744" s="240" t="s">
        <v>389</v>
      </c>
      <c r="J744" s="262"/>
      <c r="K744" s="240"/>
      <c r="L744" s="154" t="str">
        <f t="shared" si="1"/>
        <v/>
      </c>
      <c r="M744" s="241" t="str">
        <f>IFERROR(__xludf.DUMMYFUNCTION("VLOOKUP(C744,IMPORTRANGE(""https://docs.google.com/spreadsheets/d/1P8eX0NWBhUPS_hvzA11R6jkTNFrPrRYIx_dX_hYbxrk/edit?resourcekey=0-iw9bsKY2OqkUHCFMkCar3A&amp;gid=2055363397#gid=2055363397"",""MTR!C:O""),11,false)"),"")</f>
        <v/>
      </c>
      <c r="N744" s="241" t="str">
        <f>IFERROR(__xludf.DUMMYFUNCTION("VLOOKUP(C744,IMPORTRANGE(""https://docs.google.com/spreadsheets/d/1ihFlp3_ePlYtFuPbUNbYj1muErVpI73WHXbEwJDIA7Q/edit#gid=1493122344"",""MTR!C:O""),8,false)"),"")</f>
        <v/>
      </c>
      <c r="O744" s="241" t="str">
        <f>IFERROR(__xludf.DUMMYFUNCTION("VLOOKUP(C744,IMPORTRANGE(""https://docs.google.com/spreadsheets/d/1P8eX0NWBhUPS_hvzA11R6jkTNFrPrRYIx_dX_hYbxrk/edit?resourcekey=0-iw9bsKY2OqkUHCFMkCar3A&amp;gid=2055363397#gid=2055363397"",""MTR!C:O""),9,false)"),"")</f>
        <v/>
      </c>
      <c r="P744" s="241"/>
      <c r="Q744" s="241"/>
      <c r="R744" s="241"/>
      <c r="S744" s="240" t="s">
        <v>390</v>
      </c>
      <c r="T744" s="240" t="s">
        <v>390</v>
      </c>
      <c r="U744" s="240" t="s">
        <v>390</v>
      </c>
      <c r="V744" s="240" t="s">
        <v>390</v>
      </c>
      <c r="W744" s="240" t="s">
        <v>390</v>
      </c>
      <c r="X744" s="240" t="s">
        <v>390</v>
      </c>
      <c r="Y744" s="240" t="s">
        <v>390</v>
      </c>
      <c r="Z744" s="240" t="s">
        <v>390</v>
      </c>
      <c r="AA744" s="240" t="s">
        <v>390</v>
      </c>
      <c r="AB744" s="240"/>
      <c r="AC744" s="242" t="b">
        <f t="shared" si="2"/>
        <v>0</v>
      </c>
      <c r="AD744" s="240" t="s">
        <v>391</v>
      </c>
      <c r="AE744" s="243" t="b">
        <f t="shared" si="3"/>
        <v>0</v>
      </c>
      <c r="AF744" s="240"/>
      <c r="AG744" s="243" t="b">
        <f t="shared" si="4"/>
        <v>0</v>
      </c>
      <c r="AH744" s="240"/>
      <c r="AI744" s="243" t="str">
        <f t="shared" si="5"/>
        <v>N/A</v>
      </c>
      <c r="AJ744" s="157" t="str">
        <f t="shared" si="6"/>
        <v/>
      </c>
    </row>
    <row r="745" ht="12.75" customHeight="1">
      <c r="A745" s="238" t="s">
        <v>621</v>
      </c>
      <c r="B745" s="238" t="s">
        <v>2214</v>
      </c>
      <c r="C745" s="238" t="s">
        <v>2229</v>
      </c>
      <c r="D745" s="240"/>
      <c r="E745" s="252" t="s">
        <v>92</v>
      </c>
      <c r="F745" s="154" t="str">
        <f t="array" ref="F745">XLOOKUP(Cover!$D$12,$S$1:$AA$1,$S745:$AA745)</f>
        <v>Heading</v>
      </c>
      <c r="G745" s="239" t="s">
        <v>2230</v>
      </c>
      <c r="H745" s="240"/>
      <c r="I745" s="240" t="s">
        <v>420</v>
      </c>
      <c r="J745" s="262"/>
      <c r="K745" s="240"/>
      <c r="L745" s="154" t="str">
        <f t="shared" si="1"/>
        <v/>
      </c>
      <c r="M745" s="241" t="str">
        <f>IFERROR(__xludf.DUMMYFUNCTION("VLOOKUP(C745,IMPORTRANGE(""https://docs.google.com/spreadsheets/d/1P8eX0NWBhUPS_hvzA11R6jkTNFrPrRYIx_dX_hYbxrk/edit?resourcekey=0-iw9bsKY2OqkUHCFMkCar3A&amp;gid=2055363397#gid=2055363397"",""MTR!C:O""),11,false)"),"")</f>
        <v/>
      </c>
      <c r="N745" s="241" t="str">
        <f>IFERROR(__xludf.DUMMYFUNCTION("VLOOKUP(C745,IMPORTRANGE(""https://docs.google.com/spreadsheets/d/1ihFlp3_ePlYtFuPbUNbYj1muErVpI73WHXbEwJDIA7Q/edit#gid=1493122344"",""MTR!C:O""),8,false)"),"")</f>
        <v/>
      </c>
      <c r="O745" s="241" t="str">
        <f>IFERROR(__xludf.DUMMYFUNCTION("VLOOKUP(C745,IMPORTRANGE(""https://docs.google.com/spreadsheets/d/1P8eX0NWBhUPS_hvzA11R6jkTNFrPrRYIx_dX_hYbxrk/edit?resourcekey=0-iw9bsKY2OqkUHCFMkCar3A&amp;gid=2055363397#gid=2055363397"",""MTR!C:O""),9,false)"),"")</f>
        <v/>
      </c>
      <c r="P745" s="241"/>
      <c r="Q745" s="241"/>
      <c r="R745" s="241"/>
      <c r="S745" s="240" t="s">
        <v>390</v>
      </c>
      <c r="T745" s="240" t="s">
        <v>390</v>
      </c>
      <c r="U745" s="240" t="s">
        <v>390</v>
      </c>
      <c r="V745" s="240" t="s">
        <v>390</v>
      </c>
      <c r="W745" s="240" t="s">
        <v>390</v>
      </c>
      <c r="X745" s="240" t="s">
        <v>390</v>
      </c>
      <c r="Y745" s="240" t="s">
        <v>390</v>
      </c>
      <c r="Z745" s="240" t="s">
        <v>390</v>
      </c>
      <c r="AA745" s="240" t="s">
        <v>390</v>
      </c>
      <c r="AB745" s="240"/>
      <c r="AC745" s="242" t="b">
        <f t="shared" si="2"/>
        <v>0</v>
      </c>
      <c r="AD745" s="240" t="s">
        <v>391</v>
      </c>
      <c r="AE745" s="243" t="b">
        <f t="shared" si="3"/>
        <v>0</v>
      </c>
      <c r="AF745" s="240"/>
      <c r="AG745" s="243" t="b">
        <f t="shared" si="4"/>
        <v>0</v>
      </c>
      <c r="AH745" s="240"/>
      <c r="AI745" s="243" t="str">
        <f t="shared" si="5"/>
        <v>N/A</v>
      </c>
      <c r="AJ745" s="157" t="str">
        <f t="shared" si="6"/>
        <v/>
      </c>
    </row>
    <row r="746" ht="12.75" customHeight="1">
      <c r="A746" s="238" t="s">
        <v>621</v>
      </c>
      <c r="B746" s="238" t="s">
        <v>2214</v>
      </c>
      <c r="C746" s="238" t="s">
        <v>2231</v>
      </c>
      <c r="D746" s="240"/>
      <c r="E746" s="252" t="s">
        <v>92</v>
      </c>
      <c r="F746" s="154" t="str">
        <f t="array" ref="F746">XLOOKUP(Cover!$D$12,$S$1:$AA$1,$S746:$AA746)</f>
        <v>Heading</v>
      </c>
      <c r="G746" s="239" t="s">
        <v>2232</v>
      </c>
      <c r="H746" s="240"/>
      <c r="I746" s="240" t="s">
        <v>389</v>
      </c>
      <c r="J746" s="262"/>
      <c r="K746" s="240"/>
      <c r="L746" s="154" t="str">
        <f t="shared" si="1"/>
        <v/>
      </c>
      <c r="M746" s="241" t="str">
        <f>IFERROR(__xludf.DUMMYFUNCTION("VLOOKUP(C746,IMPORTRANGE(""https://docs.google.com/spreadsheets/d/1P8eX0NWBhUPS_hvzA11R6jkTNFrPrRYIx_dX_hYbxrk/edit?resourcekey=0-iw9bsKY2OqkUHCFMkCar3A&amp;gid=2055363397#gid=2055363397"",""MTR!C:O""),11,false)"),"")</f>
        <v/>
      </c>
      <c r="N746" s="241" t="str">
        <f>IFERROR(__xludf.DUMMYFUNCTION("VLOOKUP(C746,IMPORTRANGE(""https://docs.google.com/spreadsheets/d/1ihFlp3_ePlYtFuPbUNbYj1muErVpI73WHXbEwJDIA7Q/edit#gid=1493122344"",""MTR!C:O""),8,false)"),"")</f>
        <v/>
      </c>
      <c r="O746" s="241" t="str">
        <f>IFERROR(__xludf.DUMMYFUNCTION("VLOOKUP(C746,IMPORTRANGE(""https://docs.google.com/spreadsheets/d/1P8eX0NWBhUPS_hvzA11R6jkTNFrPrRYIx_dX_hYbxrk/edit?resourcekey=0-iw9bsKY2OqkUHCFMkCar3A&amp;gid=2055363397#gid=2055363397"",""MTR!C:O""),9,false)"),"")</f>
        <v/>
      </c>
      <c r="P746" s="241"/>
      <c r="Q746" s="241"/>
      <c r="R746" s="241"/>
      <c r="S746" s="240" t="s">
        <v>390</v>
      </c>
      <c r="T746" s="240" t="s">
        <v>390</v>
      </c>
      <c r="U746" s="240" t="s">
        <v>390</v>
      </c>
      <c r="V746" s="240" t="s">
        <v>390</v>
      </c>
      <c r="W746" s="240" t="s">
        <v>390</v>
      </c>
      <c r="X746" s="240" t="s">
        <v>390</v>
      </c>
      <c r="Y746" s="240" t="s">
        <v>390</v>
      </c>
      <c r="Z746" s="240" t="s">
        <v>390</v>
      </c>
      <c r="AA746" s="240" t="s">
        <v>390</v>
      </c>
      <c r="AB746" s="240"/>
      <c r="AC746" s="242" t="b">
        <f t="shared" si="2"/>
        <v>0</v>
      </c>
      <c r="AD746" s="240" t="s">
        <v>391</v>
      </c>
      <c r="AE746" s="243" t="b">
        <f t="shared" si="3"/>
        <v>0</v>
      </c>
      <c r="AF746" s="240"/>
      <c r="AG746" s="243" t="b">
        <f t="shared" si="4"/>
        <v>0</v>
      </c>
      <c r="AH746" s="240"/>
      <c r="AI746" s="243" t="str">
        <f t="shared" si="5"/>
        <v>N/A</v>
      </c>
      <c r="AJ746" s="157" t="str">
        <f t="shared" si="6"/>
        <v/>
      </c>
    </row>
    <row r="747" ht="12.75" customHeight="1">
      <c r="A747" s="244" t="s">
        <v>621</v>
      </c>
      <c r="B747" s="244" t="s">
        <v>2214</v>
      </c>
      <c r="C747" s="244" t="s">
        <v>2233</v>
      </c>
      <c r="D747" s="154" t="s">
        <v>443</v>
      </c>
      <c r="E747" s="250"/>
      <c r="F747" s="154" t="str">
        <f t="array" ref="F747">XLOOKUP(Cover!$D$12,$S$1:$AA$1,$S747:$AA747)</f>
        <v>Mandatory</v>
      </c>
      <c r="G747" s="154" t="s">
        <v>2234</v>
      </c>
      <c r="H747" s="154" t="s">
        <v>398</v>
      </c>
      <c r="I747" s="154" t="s">
        <v>389</v>
      </c>
      <c r="J747" s="154" t="s">
        <v>445</v>
      </c>
      <c r="K747" s="154" t="s">
        <v>2235</v>
      </c>
      <c r="L747" s="154" t="str">
        <f t="shared" si="1"/>
        <v/>
      </c>
      <c r="M747" s="248" t="str">
        <f>IFERROR(__xludf.DUMMYFUNCTION("VLOOKUP(C747,IMPORTRANGE(""https://docs.google.com/spreadsheets/d/1P8eX0NWBhUPS_hvzA11R6jkTNFrPrRYIx_dX_hYbxrk/edit?resourcekey=0-iw9bsKY2OqkUHCFMkCar3A&amp;gid=2055363397#gid=2055363397"",""MTR!C:O""),11,false)"),"PMW-MCE-NAS")</f>
        <v>PMW-MCE-NAS</v>
      </c>
      <c r="N747" s="248" t="str">
        <f>IFERROR(__xludf.DUMMYFUNCTION("VLOOKUP(C747,IMPORTRANGE(""https://docs.google.com/spreadsheets/d/1ihFlp3_ePlYtFuPbUNbYj1muErVpI73WHXbEwJDIA7Q/edit#gid=1493122344"",""MTR!C:O""),8,false)"),"Complies")</f>
        <v>Complies</v>
      </c>
      <c r="O747" s="248" t="str">
        <f>IFERROR(__xludf.DUMMYFUNCTION("VLOOKUP(C747,IMPORTRANGE(""https://docs.google.com/spreadsheets/d/1P8eX0NWBhUPS_hvzA11R6jkTNFrPrRYIx_dX_hYbxrk/edit?resourcekey=0-iw9bsKY2OqkUHCFMkCar3A&amp;gid=2055363397#gid=2055363397"",""MTR!C:O""),9,false)"),"Do not suppot short name.")</f>
        <v>Do not suppot short name.</v>
      </c>
      <c r="P747" s="248"/>
      <c r="Q747" s="249" t="s">
        <v>445</v>
      </c>
      <c r="R747" s="249" t="s">
        <v>2235</v>
      </c>
      <c r="S747" s="154" t="s">
        <v>60</v>
      </c>
      <c r="T747" s="154" t="s">
        <v>60</v>
      </c>
      <c r="U747" s="154" t="s">
        <v>60</v>
      </c>
      <c r="V747" s="154" t="s">
        <v>60</v>
      </c>
      <c r="W747" s="154" t="s">
        <v>60</v>
      </c>
      <c r="X747" s="154" t="s">
        <v>60</v>
      </c>
      <c r="Y747" s="154" t="s">
        <v>60</v>
      </c>
      <c r="Z747" s="154" t="s">
        <v>60</v>
      </c>
      <c r="AA747" s="154" t="s">
        <v>60</v>
      </c>
      <c r="AB747" s="154"/>
      <c r="AC747" s="242" t="b">
        <f t="shared" si="2"/>
        <v>1</v>
      </c>
      <c r="AD747" s="154" t="s">
        <v>391</v>
      </c>
      <c r="AE747" s="243" t="b">
        <f t="shared" si="3"/>
        <v>0</v>
      </c>
      <c r="AF747" s="154"/>
      <c r="AG747" s="243" t="b">
        <f t="shared" si="4"/>
        <v>0</v>
      </c>
      <c r="AH747" s="154"/>
      <c r="AI747" s="243" t="str">
        <f t="shared" si="5"/>
        <v>N/A</v>
      </c>
      <c r="AJ747" s="157" t="str">
        <f t="shared" si="6"/>
        <v/>
      </c>
    </row>
    <row r="748" ht="12.75" customHeight="1">
      <c r="A748" s="244" t="s">
        <v>621</v>
      </c>
      <c r="B748" s="244" t="s">
        <v>2214</v>
      </c>
      <c r="C748" s="244" t="s">
        <v>2236</v>
      </c>
      <c r="D748" s="154" t="s">
        <v>1315</v>
      </c>
      <c r="E748" s="250"/>
      <c r="F748" s="154" t="str">
        <f t="array" ref="F748">XLOOKUP(Cover!$D$12,$S$1:$AA$1,$S748:$AA748)</f>
        <v>Mandatory</v>
      </c>
      <c r="G748" s="154" t="s">
        <v>2237</v>
      </c>
      <c r="H748" s="154" t="s">
        <v>234</v>
      </c>
      <c r="I748" s="154" t="s">
        <v>759</v>
      </c>
      <c r="J748" s="247" t="s">
        <v>516</v>
      </c>
      <c r="K748" s="154"/>
      <c r="L748" s="154" t="str">
        <f t="shared" si="1"/>
        <v/>
      </c>
      <c r="M748" s="248" t="str">
        <f>IFERROR(__xludf.DUMMYFUNCTION("VLOOKUP(C748,IMPORTRANGE(""https://docs.google.com/spreadsheets/d/1P8eX0NWBhUPS_hvzA11R6jkTNFrPrRYIx_dX_hYbxrk/edit?resourcekey=0-iw9bsKY2OqkUHCFMkCar3A&amp;gid=2055363397#gid=2055363397"",""MTR!C:O""),11,false)"),"PMW-MCE-NAS")</f>
        <v>PMW-MCE-NAS</v>
      </c>
      <c r="N748" s="248" t="str">
        <f>IFERROR(__xludf.DUMMYFUNCTION("VLOOKUP(C748,IMPORTRANGE(""https://docs.google.com/spreadsheets/d/1ihFlp3_ePlYtFuPbUNbYj1muErVpI73WHXbEwJDIA7Q/edit#gid=1493122344"",""MTR!C:O""),8,false)"),"Complies")</f>
        <v>Complies</v>
      </c>
      <c r="O748" s="248" t="str">
        <f>IFERROR(__xludf.DUMMYFUNCTION("VLOOKUP(C748,IMPORTRANGE(""https://docs.google.com/spreadsheets/d/1P8eX0NWBhUPS_hvzA11R6jkTNFrPrRYIx_dX_hYbxrk/edit?resourcekey=0-iw9bsKY2OqkUHCFMkCar3A&amp;gid=2055363397#gid=2055363397"",""MTR!C:O""),9,false)"),"The feature will be supported once SA is enabled for DT_DE.
Please discuss with Google TAM for feature enablement plans if the feature is deployed in live network.")</f>
        <v>The feature will be supported once SA is enabled for DT_DE.
Please discuss with Google TAM for feature enablement plans if the feature is deployed in live network.</v>
      </c>
      <c r="P748" s="248"/>
      <c r="Q748" s="249" t="s">
        <v>445</v>
      </c>
      <c r="R748" s="249" t="s">
        <v>2238</v>
      </c>
      <c r="S748" s="154" t="s">
        <v>68</v>
      </c>
      <c r="T748" s="154" t="s">
        <v>68</v>
      </c>
      <c r="U748" s="154" t="s">
        <v>60</v>
      </c>
      <c r="V748" s="154" t="s">
        <v>60</v>
      </c>
      <c r="W748" s="154" t="s">
        <v>60</v>
      </c>
      <c r="X748" s="154" t="s">
        <v>60</v>
      </c>
      <c r="Y748" s="154" t="s">
        <v>68</v>
      </c>
      <c r="Z748" s="154" t="s">
        <v>60</v>
      </c>
      <c r="AA748" s="154" t="s">
        <v>60</v>
      </c>
      <c r="AB748" s="154"/>
      <c r="AC748" s="242" t="b">
        <f t="shared" si="2"/>
        <v>1</v>
      </c>
      <c r="AD748" s="154" t="s">
        <v>391</v>
      </c>
      <c r="AE748" s="243" t="b">
        <f t="shared" si="3"/>
        <v>0</v>
      </c>
      <c r="AF748" s="154"/>
      <c r="AG748" s="243" t="b">
        <f t="shared" si="4"/>
        <v>0</v>
      </c>
      <c r="AH748" s="154" t="s">
        <v>1346</v>
      </c>
      <c r="AI748" s="243" t="str">
        <f t="shared" si="5"/>
        <v>Partially Complies</v>
      </c>
      <c r="AJ748" s="157" t="str">
        <f t="shared" si="6"/>
        <v/>
      </c>
    </row>
    <row r="749" ht="12.75" customHeight="1">
      <c r="A749" s="238" t="s">
        <v>621</v>
      </c>
      <c r="B749" s="238" t="s">
        <v>2214</v>
      </c>
      <c r="C749" s="238" t="s">
        <v>2239</v>
      </c>
      <c r="D749" s="240"/>
      <c r="E749" s="252" t="s">
        <v>92</v>
      </c>
      <c r="F749" s="154" t="str">
        <f t="array" ref="F749">XLOOKUP(Cover!$D$12,$S$1:$AA$1,$S749:$AA749)</f>
        <v>Heading</v>
      </c>
      <c r="G749" s="239" t="s">
        <v>2240</v>
      </c>
      <c r="H749" s="240"/>
      <c r="I749" s="240" t="s">
        <v>389</v>
      </c>
      <c r="J749" s="262"/>
      <c r="K749" s="262"/>
      <c r="L749" s="154" t="str">
        <f t="shared" si="1"/>
        <v/>
      </c>
      <c r="M749" s="241" t="str">
        <f>IFERROR(__xludf.DUMMYFUNCTION("VLOOKUP(C749,IMPORTRANGE(""https://docs.google.com/spreadsheets/d/1P8eX0NWBhUPS_hvzA11R6jkTNFrPrRYIx_dX_hYbxrk/edit?resourcekey=0-iw9bsKY2OqkUHCFMkCar3A&amp;gid=2055363397#gid=2055363397"",""MTR!C:O""),11,false)"),"")</f>
        <v/>
      </c>
      <c r="N749" s="241" t="str">
        <f>IFERROR(__xludf.DUMMYFUNCTION("VLOOKUP(C749,IMPORTRANGE(""https://docs.google.com/spreadsheets/d/1ihFlp3_ePlYtFuPbUNbYj1muErVpI73WHXbEwJDIA7Q/edit#gid=1493122344"",""MTR!C:O""),8,false)"),"")</f>
        <v/>
      </c>
      <c r="O749" s="241" t="str">
        <f>IFERROR(__xludf.DUMMYFUNCTION("VLOOKUP(C749,IMPORTRANGE(""https://docs.google.com/spreadsheets/d/1P8eX0NWBhUPS_hvzA11R6jkTNFrPrRYIx_dX_hYbxrk/edit?resourcekey=0-iw9bsKY2OqkUHCFMkCar3A&amp;gid=2055363397#gid=2055363397"",""MTR!C:O""),9,false)"),"")</f>
        <v/>
      </c>
      <c r="P749" s="241"/>
      <c r="Q749" s="251"/>
      <c r="R749" s="251"/>
      <c r="S749" s="240" t="s">
        <v>390</v>
      </c>
      <c r="T749" s="240" t="s">
        <v>390</v>
      </c>
      <c r="U749" s="240" t="s">
        <v>390</v>
      </c>
      <c r="V749" s="240" t="s">
        <v>390</v>
      </c>
      <c r="W749" s="240" t="s">
        <v>390</v>
      </c>
      <c r="X749" s="240" t="s">
        <v>390</v>
      </c>
      <c r="Y749" s="240" t="s">
        <v>390</v>
      </c>
      <c r="Z749" s="240" t="s">
        <v>390</v>
      </c>
      <c r="AA749" s="240" t="s">
        <v>390</v>
      </c>
      <c r="AB749" s="240"/>
      <c r="AC749" s="242" t="b">
        <f t="shared" si="2"/>
        <v>0</v>
      </c>
      <c r="AD749" s="240" t="s">
        <v>391</v>
      </c>
      <c r="AE749" s="243" t="b">
        <f t="shared" si="3"/>
        <v>0</v>
      </c>
      <c r="AF749" s="240"/>
      <c r="AG749" s="243" t="b">
        <f t="shared" si="4"/>
        <v>0</v>
      </c>
      <c r="AH749" s="240"/>
      <c r="AI749" s="243" t="str">
        <f t="shared" si="5"/>
        <v>N/A</v>
      </c>
      <c r="AJ749" s="157" t="str">
        <f t="shared" si="6"/>
        <v/>
      </c>
    </row>
    <row r="750" ht="12.75" customHeight="1">
      <c r="A750" s="238" t="s">
        <v>621</v>
      </c>
      <c r="B750" s="238" t="s">
        <v>2214</v>
      </c>
      <c r="C750" s="238" t="s">
        <v>2241</v>
      </c>
      <c r="D750" s="240"/>
      <c r="E750" s="252" t="s">
        <v>92</v>
      </c>
      <c r="F750" s="154" t="str">
        <f t="array" ref="F750">XLOOKUP(Cover!$D$12,$S$1:$AA$1,$S750:$AA750)</f>
        <v>Heading</v>
      </c>
      <c r="G750" s="239" t="s">
        <v>2242</v>
      </c>
      <c r="H750" s="240"/>
      <c r="I750" s="240" t="s">
        <v>389</v>
      </c>
      <c r="J750" s="262"/>
      <c r="K750" s="240"/>
      <c r="L750" s="154" t="str">
        <f t="shared" si="1"/>
        <v/>
      </c>
      <c r="M750" s="241" t="str">
        <f>IFERROR(__xludf.DUMMYFUNCTION("VLOOKUP(C750,IMPORTRANGE(""https://docs.google.com/spreadsheets/d/1P8eX0NWBhUPS_hvzA11R6jkTNFrPrRYIx_dX_hYbxrk/edit?resourcekey=0-iw9bsKY2OqkUHCFMkCar3A&amp;gid=2055363397#gid=2055363397"",""MTR!C:O""),11,false)"),"")</f>
        <v/>
      </c>
      <c r="N750" s="241" t="str">
        <f>IFERROR(__xludf.DUMMYFUNCTION("VLOOKUP(C750,IMPORTRANGE(""https://docs.google.com/spreadsheets/d/1ihFlp3_ePlYtFuPbUNbYj1muErVpI73WHXbEwJDIA7Q/edit#gid=1493122344"",""MTR!C:O""),8,false)"),"")</f>
        <v/>
      </c>
      <c r="O750" s="241" t="str">
        <f>IFERROR(__xludf.DUMMYFUNCTION("VLOOKUP(C750,IMPORTRANGE(""https://docs.google.com/spreadsheets/d/1P8eX0NWBhUPS_hvzA11R6jkTNFrPrRYIx_dX_hYbxrk/edit?resourcekey=0-iw9bsKY2OqkUHCFMkCar3A&amp;gid=2055363397#gid=2055363397"",""MTR!C:O""),9,false)"),"")</f>
        <v/>
      </c>
      <c r="P750" s="241"/>
      <c r="Q750" s="241"/>
      <c r="R750" s="241"/>
      <c r="S750" s="240" t="s">
        <v>390</v>
      </c>
      <c r="T750" s="240" t="s">
        <v>390</v>
      </c>
      <c r="U750" s="240" t="s">
        <v>390</v>
      </c>
      <c r="V750" s="240" t="s">
        <v>390</v>
      </c>
      <c r="W750" s="240" t="s">
        <v>390</v>
      </c>
      <c r="X750" s="240" t="s">
        <v>390</v>
      </c>
      <c r="Y750" s="240" t="s">
        <v>390</v>
      </c>
      <c r="Z750" s="240" t="s">
        <v>390</v>
      </c>
      <c r="AA750" s="240" t="s">
        <v>390</v>
      </c>
      <c r="AB750" s="240"/>
      <c r="AC750" s="242" t="b">
        <f t="shared" si="2"/>
        <v>0</v>
      </c>
      <c r="AD750" s="240" t="s">
        <v>391</v>
      </c>
      <c r="AE750" s="243" t="b">
        <f t="shared" si="3"/>
        <v>0</v>
      </c>
      <c r="AF750" s="240"/>
      <c r="AG750" s="243" t="b">
        <f t="shared" si="4"/>
        <v>0</v>
      </c>
      <c r="AH750" s="240"/>
      <c r="AI750" s="243" t="str">
        <f t="shared" si="5"/>
        <v>N/A</v>
      </c>
      <c r="AJ750" s="157" t="str">
        <f t="shared" si="6"/>
        <v/>
      </c>
    </row>
    <row r="751" ht="12.75" customHeight="1">
      <c r="A751" s="244" t="s">
        <v>621</v>
      </c>
      <c r="B751" s="244" t="s">
        <v>2214</v>
      </c>
      <c r="C751" s="244" t="s">
        <v>2243</v>
      </c>
      <c r="D751" s="154" t="s">
        <v>1315</v>
      </c>
      <c r="E751" s="250"/>
      <c r="F751" s="154" t="str">
        <f t="array" ref="F751">XLOOKUP(Cover!$D$12,$S$1:$AA$1,$S751:$AA751)</f>
        <v>Mandatory</v>
      </c>
      <c r="G751" s="153" t="s">
        <v>2244</v>
      </c>
      <c r="H751" s="154" t="s">
        <v>234</v>
      </c>
      <c r="I751" s="154" t="s">
        <v>759</v>
      </c>
      <c r="J751" s="247" t="s">
        <v>506</v>
      </c>
      <c r="K751" s="154" t="s">
        <v>2212</v>
      </c>
      <c r="L751" s="154" t="str">
        <f t="shared" si="1"/>
        <v/>
      </c>
      <c r="M751" s="248" t="str">
        <f>IFERROR(__xludf.DUMMYFUNCTION("VLOOKUP(C751,IMPORTRANGE(""https://docs.google.com/spreadsheets/d/1P8eX0NWBhUPS_hvzA11R6jkTNFrPrRYIx_dX_hYbxrk/edit?resourcekey=0-iw9bsKY2OqkUHCFMkCar3A&amp;gid=2055363397#gid=2055363397"",""MTR!C:O""),11,false)"),"PMW-MCE-AS")</f>
        <v>PMW-MCE-AS</v>
      </c>
      <c r="N751" s="248" t="str">
        <f>IFERROR(__xludf.DUMMYFUNCTION("VLOOKUP(C751,IMPORTRANGE(""https://docs.google.com/spreadsheets/d/1ihFlp3_ePlYtFuPbUNbYj1muErVpI73WHXbEwJDIA7Q/edit#gid=1493122344"",""MTR!C:O""),8,false)"),"Does Not Comply")</f>
        <v>Does Not Comply</v>
      </c>
      <c r="O751" s="248" t="str">
        <f>IFERROR(__xludf.DUMMYFUNCTION("VLOOKUP(C751,IMPORTRANGE(""https://docs.google.com/spreadsheets/d/1P8eX0NWBhUPS_hvzA11R6jkTNFrPrRYIx_dX_hYbxrk/edit?resourcekey=0-iw9bsKY2OqkUHCFMkCar3A&amp;gid=2055363397#gid=2055363397"",""MTR!C:O""),9,false)"),"5G SA default disabled. This feature need to discuss while SA enable")</f>
        <v>5G SA default disabled. This feature need to discuss while SA enable</v>
      </c>
      <c r="P751" s="248"/>
      <c r="Q751" s="249" t="s">
        <v>516</v>
      </c>
      <c r="R751" s="249" t="s">
        <v>2245</v>
      </c>
      <c r="S751" s="154" t="s">
        <v>68</v>
      </c>
      <c r="T751" s="154" t="s">
        <v>68</v>
      </c>
      <c r="U751" s="154" t="s">
        <v>60</v>
      </c>
      <c r="V751" s="154" t="s">
        <v>60</v>
      </c>
      <c r="W751" s="154" t="s">
        <v>60</v>
      </c>
      <c r="X751" s="154" t="s">
        <v>60</v>
      </c>
      <c r="Y751" s="154" t="s">
        <v>68</v>
      </c>
      <c r="Z751" s="154" t="s">
        <v>60</v>
      </c>
      <c r="AA751" s="154" t="s">
        <v>60</v>
      </c>
      <c r="AB751" s="154"/>
      <c r="AC751" s="242" t="b">
        <f t="shared" si="2"/>
        <v>1</v>
      </c>
      <c r="AD751" s="154" t="s">
        <v>391</v>
      </c>
      <c r="AE751" s="243" t="b">
        <f t="shared" si="3"/>
        <v>0</v>
      </c>
      <c r="AF751" s="154"/>
      <c r="AG751" s="243" t="b">
        <f t="shared" si="4"/>
        <v>0</v>
      </c>
      <c r="AH751" s="154" t="s">
        <v>1346</v>
      </c>
      <c r="AI751" s="243" t="str">
        <f t="shared" si="5"/>
        <v>Partially Complies</v>
      </c>
      <c r="AJ751" s="157" t="str">
        <f t="shared" si="6"/>
        <v/>
      </c>
    </row>
    <row r="752" ht="12.75" customHeight="1">
      <c r="A752" s="238" t="s">
        <v>621</v>
      </c>
      <c r="B752" s="238" t="s">
        <v>2214</v>
      </c>
      <c r="C752" s="238" t="s">
        <v>2246</v>
      </c>
      <c r="D752" s="240"/>
      <c r="E752" s="252" t="s">
        <v>92</v>
      </c>
      <c r="F752" s="154" t="str">
        <f t="array" ref="F752">XLOOKUP(Cover!$D$12,$S$1:$AA$1,$S752:$AA752)</f>
        <v>Heading</v>
      </c>
      <c r="G752" s="239" t="s">
        <v>2247</v>
      </c>
      <c r="H752" s="240"/>
      <c r="I752" s="240" t="s">
        <v>389</v>
      </c>
      <c r="J752" s="262"/>
      <c r="K752" s="262"/>
      <c r="L752" s="154" t="str">
        <f t="shared" si="1"/>
        <v/>
      </c>
      <c r="M752" s="241" t="str">
        <f>IFERROR(__xludf.DUMMYFUNCTION("VLOOKUP(C752,IMPORTRANGE(""https://docs.google.com/spreadsheets/d/1P8eX0NWBhUPS_hvzA11R6jkTNFrPrRYIx_dX_hYbxrk/edit?resourcekey=0-iw9bsKY2OqkUHCFMkCar3A&amp;gid=2055363397#gid=2055363397"",""MTR!C:O""),11,false)"),"")</f>
        <v/>
      </c>
      <c r="N752" s="241" t="str">
        <f>IFERROR(__xludf.DUMMYFUNCTION("VLOOKUP(C752,IMPORTRANGE(""https://docs.google.com/spreadsheets/d/1ihFlp3_ePlYtFuPbUNbYj1muErVpI73WHXbEwJDIA7Q/edit#gid=1493122344"",""MTR!C:O""),8,false)"),"")</f>
        <v/>
      </c>
      <c r="O752" s="241" t="str">
        <f>IFERROR(__xludf.DUMMYFUNCTION("VLOOKUP(C752,IMPORTRANGE(""https://docs.google.com/spreadsheets/d/1P8eX0NWBhUPS_hvzA11R6jkTNFrPrRYIx_dX_hYbxrk/edit?resourcekey=0-iw9bsKY2OqkUHCFMkCar3A&amp;gid=2055363397#gid=2055363397"",""MTR!C:O""),9,false)"),"")</f>
        <v/>
      </c>
      <c r="P752" s="241"/>
      <c r="Q752" s="251"/>
      <c r="R752" s="251"/>
      <c r="S752" s="240" t="s">
        <v>390</v>
      </c>
      <c r="T752" s="240" t="s">
        <v>390</v>
      </c>
      <c r="U752" s="240" t="s">
        <v>390</v>
      </c>
      <c r="V752" s="240" t="s">
        <v>390</v>
      </c>
      <c r="W752" s="240" t="s">
        <v>390</v>
      </c>
      <c r="X752" s="240" t="s">
        <v>390</v>
      </c>
      <c r="Y752" s="240" t="s">
        <v>390</v>
      </c>
      <c r="Z752" s="240" t="s">
        <v>390</v>
      </c>
      <c r="AA752" s="240" t="s">
        <v>390</v>
      </c>
      <c r="AB752" s="240"/>
      <c r="AC752" s="242" t="b">
        <f t="shared" si="2"/>
        <v>0</v>
      </c>
      <c r="AD752" s="240" t="s">
        <v>391</v>
      </c>
      <c r="AE752" s="243" t="b">
        <f t="shared" si="3"/>
        <v>0</v>
      </c>
      <c r="AF752" s="240"/>
      <c r="AG752" s="243" t="b">
        <f t="shared" si="4"/>
        <v>0</v>
      </c>
      <c r="AH752" s="240"/>
      <c r="AI752" s="243" t="str">
        <f t="shared" si="5"/>
        <v>N/A</v>
      </c>
      <c r="AJ752" s="157" t="str">
        <f t="shared" si="6"/>
        <v/>
      </c>
    </row>
    <row r="753" ht="12.75" customHeight="1">
      <c r="A753" s="238" t="s">
        <v>621</v>
      </c>
      <c r="B753" s="238" t="s">
        <v>2214</v>
      </c>
      <c r="C753" s="238" t="s">
        <v>2248</v>
      </c>
      <c r="D753" s="240"/>
      <c r="E753" s="252" t="s">
        <v>92</v>
      </c>
      <c r="F753" s="154" t="str">
        <f t="array" ref="F753">XLOOKUP(Cover!$D$12,$S$1:$AA$1,$S753:$AA753)</f>
        <v>Heading</v>
      </c>
      <c r="G753" s="239" t="s">
        <v>2249</v>
      </c>
      <c r="H753" s="240"/>
      <c r="I753" s="240" t="s">
        <v>389</v>
      </c>
      <c r="J753" s="262"/>
      <c r="K753" s="240"/>
      <c r="L753" s="154" t="str">
        <f t="shared" si="1"/>
        <v/>
      </c>
      <c r="M753" s="241" t="str">
        <f>IFERROR(__xludf.DUMMYFUNCTION("VLOOKUP(C753,IMPORTRANGE(""https://docs.google.com/spreadsheets/d/1P8eX0NWBhUPS_hvzA11R6jkTNFrPrRYIx_dX_hYbxrk/edit?resourcekey=0-iw9bsKY2OqkUHCFMkCar3A&amp;gid=2055363397#gid=2055363397"",""MTR!C:O""),11,false)"),"")</f>
        <v/>
      </c>
      <c r="N753" s="241" t="str">
        <f>IFERROR(__xludf.DUMMYFUNCTION("VLOOKUP(C753,IMPORTRANGE(""https://docs.google.com/spreadsheets/d/1ihFlp3_ePlYtFuPbUNbYj1muErVpI73WHXbEwJDIA7Q/edit#gid=1493122344"",""MTR!C:O""),8,false)"),"")</f>
        <v/>
      </c>
      <c r="O753" s="241" t="str">
        <f>IFERROR(__xludf.DUMMYFUNCTION("VLOOKUP(C753,IMPORTRANGE(""https://docs.google.com/spreadsheets/d/1P8eX0NWBhUPS_hvzA11R6jkTNFrPrRYIx_dX_hYbxrk/edit?resourcekey=0-iw9bsKY2OqkUHCFMkCar3A&amp;gid=2055363397#gid=2055363397"",""MTR!C:O""),9,false)"),"")</f>
        <v/>
      </c>
      <c r="P753" s="241"/>
      <c r="Q753" s="241"/>
      <c r="R753" s="241"/>
      <c r="S753" s="240" t="s">
        <v>390</v>
      </c>
      <c r="T753" s="240" t="s">
        <v>390</v>
      </c>
      <c r="U753" s="240" t="s">
        <v>390</v>
      </c>
      <c r="V753" s="240" t="s">
        <v>390</v>
      </c>
      <c r="W753" s="240" t="s">
        <v>390</v>
      </c>
      <c r="X753" s="240" t="s">
        <v>390</v>
      </c>
      <c r="Y753" s="240" t="s">
        <v>390</v>
      </c>
      <c r="Z753" s="240" t="s">
        <v>390</v>
      </c>
      <c r="AA753" s="240" t="s">
        <v>390</v>
      </c>
      <c r="AB753" s="240"/>
      <c r="AC753" s="242" t="b">
        <f t="shared" si="2"/>
        <v>0</v>
      </c>
      <c r="AD753" s="240" t="s">
        <v>391</v>
      </c>
      <c r="AE753" s="243" t="b">
        <f t="shared" si="3"/>
        <v>0</v>
      </c>
      <c r="AF753" s="240"/>
      <c r="AG753" s="243" t="b">
        <f t="shared" si="4"/>
        <v>0</v>
      </c>
      <c r="AH753" s="240"/>
      <c r="AI753" s="243" t="str">
        <f t="shared" si="5"/>
        <v>N/A</v>
      </c>
      <c r="AJ753" s="157" t="str">
        <f t="shared" si="6"/>
        <v/>
      </c>
    </row>
    <row r="754" ht="12.75" customHeight="1">
      <c r="A754" s="244" t="s">
        <v>621</v>
      </c>
      <c r="B754" s="244" t="s">
        <v>2214</v>
      </c>
      <c r="C754" s="244" t="s">
        <v>2250</v>
      </c>
      <c r="D754" s="154" t="s">
        <v>422</v>
      </c>
      <c r="E754" s="250"/>
      <c r="F754" s="154" t="str">
        <f t="array" ref="F754">XLOOKUP(Cover!$D$12,$S$1:$AA$1,$S754:$AA754)</f>
        <v>Mandatory</v>
      </c>
      <c r="G754" s="154" t="s">
        <v>2251</v>
      </c>
      <c r="H754" s="154" t="s">
        <v>398</v>
      </c>
      <c r="I754" s="154" t="s">
        <v>389</v>
      </c>
      <c r="J754" s="154" t="s">
        <v>445</v>
      </c>
      <c r="K754" s="154"/>
      <c r="L754" s="154" t="str">
        <f t="shared" si="1"/>
        <v/>
      </c>
      <c r="M754" s="248" t="str">
        <f>IFERROR(__xludf.DUMMYFUNCTION("VLOOKUP(C754,IMPORTRANGE(""https://docs.google.com/spreadsheets/d/1P8eX0NWBhUPS_hvzA11R6jkTNFrPrRYIx_dX_hYbxrk/edit?resourcekey=0-iw9bsKY2OqkUHCFMkCar3A&amp;gid=2055363397#gid=2055363397"",""MTR!C:O""),11,false)"),"PMW-MCE-NAS")</f>
        <v>PMW-MCE-NAS</v>
      </c>
      <c r="N754" s="248" t="str">
        <f>IFERROR(__xludf.DUMMYFUNCTION("VLOOKUP(C754,IMPORTRANGE(""https://docs.google.com/spreadsheets/d/1ihFlp3_ePlYtFuPbUNbYj1muErVpI73WHXbEwJDIA7Q/edit#gid=1493122344"",""MTR!C:O""),8,false)"),"Complies")</f>
        <v>Complies</v>
      </c>
      <c r="O754" s="241" t="str">
        <f>IFERROR(__xludf.DUMMYFUNCTION("VLOOKUP(C754,IMPORTRANGE(""https://docs.google.com/spreadsheets/d/1P8eX0NWBhUPS_hvzA11R6jkTNFrPrRYIx_dX_hYbxrk/edit?resourcekey=0-iw9bsKY2OqkUHCFMkCar3A&amp;gid=2055363397#gid=2055363397"",""MTR!C:O""),9,false)"),"")</f>
        <v/>
      </c>
      <c r="P754" s="241"/>
      <c r="Q754" s="251" t="s">
        <v>445</v>
      </c>
      <c r="R754" s="241"/>
      <c r="S754" s="154" t="s">
        <v>60</v>
      </c>
      <c r="T754" s="154" t="s">
        <v>60</v>
      </c>
      <c r="U754" s="154" t="s">
        <v>60</v>
      </c>
      <c r="V754" s="154" t="s">
        <v>60</v>
      </c>
      <c r="W754" s="154" t="s">
        <v>60</v>
      </c>
      <c r="X754" s="154" t="s">
        <v>60</v>
      </c>
      <c r="Y754" s="154" t="s">
        <v>60</v>
      </c>
      <c r="Z754" s="154" t="s">
        <v>60</v>
      </c>
      <c r="AA754" s="154" t="s">
        <v>60</v>
      </c>
      <c r="AB754" s="154"/>
      <c r="AC754" s="242" t="b">
        <f t="shared" si="2"/>
        <v>1</v>
      </c>
      <c r="AD754" s="154" t="s">
        <v>391</v>
      </c>
      <c r="AE754" s="243" t="b">
        <f t="shared" si="3"/>
        <v>0</v>
      </c>
      <c r="AF754" s="154"/>
      <c r="AG754" s="243" t="b">
        <f t="shared" si="4"/>
        <v>0</v>
      </c>
      <c r="AH754" s="154"/>
      <c r="AI754" s="243" t="str">
        <f t="shared" si="5"/>
        <v>N/A</v>
      </c>
      <c r="AJ754" s="157" t="str">
        <f t="shared" si="6"/>
        <v/>
      </c>
    </row>
    <row r="755" ht="12.75" customHeight="1">
      <c r="A755" s="244" t="s">
        <v>621</v>
      </c>
      <c r="B755" s="244" t="s">
        <v>2214</v>
      </c>
      <c r="C755" s="244" t="s">
        <v>2252</v>
      </c>
      <c r="D755" s="154" t="s">
        <v>967</v>
      </c>
      <c r="E755" s="250"/>
      <c r="F755" s="154" t="str">
        <f t="array" ref="F755">XLOOKUP(Cover!$D$12,$S$1:$AA$1,$S755:$AA755)</f>
        <v>Information</v>
      </c>
      <c r="G755" s="154" t="s">
        <v>2253</v>
      </c>
      <c r="H755" s="154"/>
      <c r="I755" s="154" t="s">
        <v>389</v>
      </c>
      <c r="J755" s="154" t="s">
        <v>445</v>
      </c>
      <c r="K755" s="154">
        <v>20.0</v>
      </c>
      <c r="L755" s="154" t="str">
        <f t="shared" si="1"/>
        <v/>
      </c>
      <c r="M755" s="248" t="str">
        <f>IFERROR(__xludf.DUMMYFUNCTION("VLOOKUP(C755,IMPORTRANGE(""https://docs.google.com/spreadsheets/d/1P8eX0NWBhUPS_hvzA11R6jkTNFrPrRYIx_dX_hYbxrk/edit?resourcekey=0-iw9bsKY2OqkUHCFMkCar3A&amp;gid=2055363397#gid=2055363397"",""MTR!C:O""),11,false)"),"PMW-MCE-NAS")</f>
        <v>PMW-MCE-NAS</v>
      </c>
      <c r="N755" s="248" t="str">
        <f>IFERROR(__xludf.DUMMYFUNCTION("VLOOKUP(C755,IMPORTRANGE(""https://docs.google.com/spreadsheets/d/1ihFlp3_ePlYtFuPbUNbYj1muErVpI73WHXbEwJDIA7Q/edit#gid=1493122344"",""MTR!C:O""),8,false)"),"Complies")</f>
        <v>Complies</v>
      </c>
      <c r="O755" s="263">
        <f>IFERROR(__xludf.DUMMYFUNCTION("VLOOKUP(C755,IMPORTRANGE(""https://docs.google.com/spreadsheets/d/1P8eX0NWBhUPS_hvzA11R6jkTNFrPrRYIx_dX_hYbxrk/edit?resourcekey=0-iw9bsKY2OqkUHCFMkCar3A&amp;gid=2055363397#gid=2055363397"",""MTR!C:O""),9,false)"),20.0)</f>
        <v>20</v>
      </c>
      <c r="P755" s="263"/>
      <c r="Q755" s="264" t="s">
        <v>445</v>
      </c>
      <c r="R755" s="264">
        <v>20.0</v>
      </c>
      <c r="S755" s="154" t="s">
        <v>66</v>
      </c>
      <c r="T755" s="154" t="s">
        <v>66</v>
      </c>
      <c r="U755" s="154" t="s">
        <v>66</v>
      </c>
      <c r="V755" s="154" t="s">
        <v>66</v>
      </c>
      <c r="W755" s="154" t="s">
        <v>66</v>
      </c>
      <c r="X755" s="154" t="s">
        <v>66</v>
      </c>
      <c r="Y755" s="154" t="s">
        <v>66</v>
      </c>
      <c r="Z755" s="154" t="s">
        <v>66</v>
      </c>
      <c r="AA755" s="154" t="s">
        <v>66</v>
      </c>
      <c r="AB755" s="154"/>
      <c r="AC755" s="242" t="b">
        <f t="shared" si="2"/>
        <v>1</v>
      </c>
      <c r="AD755" s="154" t="s">
        <v>391</v>
      </c>
      <c r="AE755" s="243" t="b">
        <f t="shared" si="3"/>
        <v>0</v>
      </c>
      <c r="AF755" s="154"/>
      <c r="AG755" s="243" t="b">
        <f t="shared" si="4"/>
        <v>0</v>
      </c>
      <c r="AH755" s="154"/>
      <c r="AI755" s="243" t="str">
        <f t="shared" si="5"/>
        <v>N/A</v>
      </c>
      <c r="AJ755" s="157" t="str">
        <f t="shared" si="6"/>
        <v/>
      </c>
    </row>
    <row r="756" ht="12.75" customHeight="1">
      <c r="A756" s="244" t="s">
        <v>621</v>
      </c>
      <c r="B756" s="244" t="s">
        <v>2214</v>
      </c>
      <c r="C756" s="244" t="s">
        <v>2254</v>
      </c>
      <c r="D756" s="154" t="s">
        <v>422</v>
      </c>
      <c r="E756" s="250"/>
      <c r="F756" s="154" t="str">
        <f t="array" ref="F756">XLOOKUP(Cover!$D$12,$S$1:$AA$1,$S756:$AA756)</f>
        <v>Recommended</v>
      </c>
      <c r="G756" s="154" t="s">
        <v>2255</v>
      </c>
      <c r="H756" s="154"/>
      <c r="I756" s="154" t="s">
        <v>389</v>
      </c>
      <c r="J756" s="154" t="s">
        <v>445</v>
      </c>
      <c r="K756" s="154"/>
      <c r="L756" s="154" t="str">
        <f t="shared" si="1"/>
        <v/>
      </c>
      <c r="M756" s="248" t="str">
        <f>IFERROR(__xludf.DUMMYFUNCTION("VLOOKUP(C756,IMPORTRANGE(""https://docs.google.com/spreadsheets/d/1P8eX0NWBhUPS_hvzA11R6jkTNFrPrRYIx_dX_hYbxrk/edit?resourcekey=0-iw9bsKY2OqkUHCFMkCar3A&amp;gid=2055363397#gid=2055363397"",""MTR!C:O""),11,false)"),"PMW-MCE-NAS")</f>
        <v>PMW-MCE-NAS</v>
      </c>
      <c r="N756" s="248" t="str">
        <f>IFERROR(__xludf.DUMMYFUNCTION("VLOOKUP(C756,IMPORTRANGE(""https://docs.google.com/spreadsheets/d/1ihFlp3_ePlYtFuPbUNbYj1muErVpI73WHXbEwJDIA7Q/edit#gid=1493122344"",""MTR!C:O""),8,false)"),"Complies")</f>
        <v>Complies</v>
      </c>
      <c r="O756" s="241" t="str">
        <f>IFERROR(__xludf.DUMMYFUNCTION("VLOOKUP(C756,IMPORTRANGE(""https://docs.google.com/spreadsheets/d/1P8eX0NWBhUPS_hvzA11R6jkTNFrPrRYIx_dX_hYbxrk/edit?resourcekey=0-iw9bsKY2OqkUHCFMkCar3A&amp;gid=2055363397#gid=2055363397"",""MTR!C:O""),9,false)"),"")</f>
        <v/>
      </c>
      <c r="P756" s="241"/>
      <c r="Q756" s="251" t="s">
        <v>445</v>
      </c>
      <c r="R756" s="251"/>
      <c r="S756" s="154" t="s">
        <v>64</v>
      </c>
      <c r="T756" s="154" t="s">
        <v>64</v>
      </c>
      <c r="U756" s="154" t="s">
        <v>64</v>
      </c>
      <c r="V756" s="154" t="s">
        <v>64</v>
      </c>
      <c r="W756" s="154" t="s">
        <v>64</v>
      </c>
      <c r="X756" s="154" t="s">
        <v>64</v>
      </c>
      <c r="Y756" s="154" t="s">
        <v>64</v>
      </c>
      <c r="Z756" s="154" t="s">
        <v>64</v>
      </c>
      <c r="AA756" s="154" t="s">
        <v>64</v>
      </c>
      <c r="AB756" s="154"/>
      <c r="AC756" s="242" t="b">
        <f t="shared" si="2"/>
        <v>1</v>
      </c>
      <c r="AD756" s="154" t="s">
        <v>391</v>
      </c>
      <c r="AE756" s="243" t="b">
        <f t="shared" si="3"/>
        <v>0</v>
      </c>
      <c r="AF756" s="154"/>
      <c r="AG756" s="243" t="b">
        <f t="shared" si="4"/>
        <v>0</v>
      </c>
      <c r="AH756" s="154"/>
      <c r="AI756" s="243" t="str">
        <f t="shared" si="5"/>
        <v>N/A</v>
      </c>
      <c r="AJ756" s="157" t="str">
        <f t="shared" si="6"/>
        <v/>
      </c>
    </row>
    <row r="757" ht="12.75" customHeight="1">
      <c r="A757" s="238" t="s">
        <v>621</v>
      </c>
      <c r="B757" s="238" t="s">
        <v>2214</v>
      </c>
      <c r="C757" s="238" t="s">
        <v>2256</v>
      </c>
      <c r="D757" s="240"/>
      <c r="E757" s="252" t="s">
        <v>92</v>
      </c>
      <c r="F757" s="154" t="str">
        <f t="array" ref="F757">XLOOKUP(Cover!$D$12,$S$1:$AA$1,$S757:$AA757)</f>
        <v>Heading</v>
      </c>
      <c r="G757" s="239" t="s">
        <v>2257</v>
      </c>
      <c r="H757" s="240"/>
      <c r="I757" s="240" t="s">
        <v>759</v>
      </c>
      <c r="J757" s="262"/>
      <c r="K757" s="240"/>
      <c r="L757" s="154" t="str">
        <f t="shared" si="1"/>
        <v/>
      </c>
      <c r="M757" s="241" t="str">
        <f>IFERROR(__xludf.DUMMYFUNCTION("VLOOKUP(C757,IMPORTRANGE(""https://docs.google.com/spreadsheets/d/1P8eX0NWBhUPS_hvzA11R6jkTNFrPrRYIx_dX_hYbxrk/edit?resourcekey=0-iw9bsKY2OqkUHCFMkCar3A&amp;gid=2055363397#gid=2055363397"",""MTR!C:O""),11,false)"),"")</f>
        <v/>
      </c>
      <c r="N757" s="241" t="str">
        <f>IFERROR(__xludf.DUMMYFUNCTION("VLOOKUP(C757,IMPORTRANGE(""https://docs.google.com/spreadsheets/d/1ihFlp3_ePlYtFuPbUNbYj1muErVpI73WHXbEwJDIA7Q/edit#gid=1493122344"",""MTR!C:O""),8,false)"),"")</f>
        <v/>
      </c>
      <c r="O757" s="241" t="str">
        <f>IFERROR(__xludf.DUMMYFUNCTION("VLOOKUP(C757,IMPORTRANGE(""https://docs.google.com/spreadsheets/d/1P8eX0NWBhUPS_hvzA11R6jkTNFrPrRYIx_dX_hYbxrk/edit?resourcekey=0-iw9bsKY2OqkUHCFMkCar3A&amp;gid=2055363397#gid=2055363397"",""MTR!C:O""),9,false)"),"")</f>
        <v/>
      </c>
      <c r="P757" s="241"/>
      <c r="Q757" s="251"/>
      <c r="R757" s="241"/>
      <c r="S757" s="240" t="s">
        <v>390</v>
      </c>
      <c r="T757" s="240" t="s">
        <v>390</v>
      </c>
      <c r="U757" s="240" t="s">
        <v>390</v>
      </c>
      <c r="V757" s="240" t="s">
        <v>390</v>
      </c>
      <c r="W757" s="240" t="s">
        <v>390</v>
      </c>
      <c r="X757" s="240" t="s">
        <v>390</v>
      </c>
      <c r="Y757" s="240" t="s">
        <v>390</v>
      </c>
      <c r="Z757" s="240" t="s">
        <v>390</v>
      </c>
      <c r="AA757" s="240" t="s">
        <v>390</v>
      </c>
      <c r="AB757" s="240"/>
      <c r="AC757" s="242" t="b">
        <f t="shared" si="2"/>
        <v>0</v>
      </c>
      <c r="AD757" s="240" t="s">
        <v>391</v>
      </c>
      <c r="AE757" s="243" t="b">
        <f t="shared" si="3"/>
        <v>0</v>
      </c>
      <c r="AF757" s="240"/>
      <c r="AG757" s="243" t="b">
        <f t="shared" si="4"/>
        <v>0</v>
      </c>
      <c r="AH757" s="240"/>
      <c r="AI757" s="243" t="str">
        <f t="shared" si="5"/>
        <v>N/A</v>
      </c>
      <c r="AJ757" s="157" t="str">
        <f t="shared" si="6"/>
        <v/>
      </c>
    </row>
    <row r="758" ht="12.75" customHeight="1">
      <c r="A758" s="244" t="s">
        <v>621</v>
      </c>
      <c r="B758" s="244" t="s">
        <v>2214</v>
      </c>
      <c r="C758" s="244" t="s">
        <v>2258</v>
      </c>
      <c r="D758" s="154" t="s">
        <v>542</v>
      </c>
      <c r="E758" s="250"/>
      <c r="F758" s="154" t="str">
        <f t="array" ref="F758">XLOOKUP(Cover!$D$12,$S$1:$AA$1,$S758:$AA758)</f>
        <v>Mandatory</v>
      </c>
      <c r="G758" s="154" t="s">
        <v>2259</v>
      </c>
      <c r="H758" s="154" t="s">
        <v>234</v>
      </c>
      <c r="I758" s="154" t="s">
        <v>759</v>
      </c>
      <c r="J758" s="247" t="s">
        <v>506</v>
      </c>
      <c r="K758" s="154" t="s">
        <v>1720</v>
      </c>
      <c r="L758" s="154" t="str">
        <f t="shared" si="1"/>
        <v/>
      </c>
      <c r="M758" s="248" t="str">
        <f>IFERROR(__xludf.DUMMYFUNCTION("VLOOKUP(C758,IMPORTRANGE(""https://docs.google.com/spreadsheets/d/1P8eX0NWBhUPS_hvzA11R6jkTNFrPrRYIx_dX_hYbxrk/edit?resourcekey=0-iw9bsKY2OqkUHCFMkCar3A&amp;gid=2055363397#gid=2055363397"",""MTR!C:O""),11,false)"),"PMW-MCE-NAS")</f>
        <v>PMW-MCE-NAS</v>
      </c>
      <c r="N758" s="248" t="str">
        <f>IFERROR(__xludf.DUMMYFUNCTION("VLOOKUP(C758,IMPORTRANGE(""https://docs.google.com/spreadsheets/d/1ihFlp3_ePlYtFuPbUNbYj1muErVpI73WHXbEwJDIA7Q/edit#gid=1493122344"",""MTR!C:O""),8,false)"),"Complies")</f>
        <v>Complies</v>
      </c>
      <c r="O758" s="248" t="str">
        <f>IFERROR(__xludf.DUMMYFUNCTION("VLOOKUP(C758,IMPORTRANGE(""https://docs.google.com/spreadsheets/d/1P8eX0NWBhUPS_hvzA11R6jkTNFrPrRYIx_dX_hYbxrk/edit?resourcekey=0-iw9bsKY2OqkUHCFMkCar3A&amp;gid=2055363397#gid=2055363397"",""MTR!C:O""),9,false)"),"The feature will be default supported once SA is enabled, please discuss with Google TAM for feature enablement plans")</f>
        <v>The feature will be default supported once SA is enabled, please discuss with Google TAM for feature enablement plans</v>
      </c>
      <c r="P758" s="248"/>
      <c r="Q758" s="249" t="s">
        <v>445</v>
      </c>
      <c r="R758" s="249" t="s">
        <v>1720</v>
      </c>
      <c r="S758" s="154" t="s">
        <v>68</v>
      </c>
      <c r="T758" s="154" t="s">
        <v>68</v>
      </c>
      <c r="U758" s="154" t="s">
        <v>60</v>
      </c>
      <c r="V758" s="154" t="s">
        <v>60</v>
      </c>
      <c r="W758" s="154" t="s">
        <v>60</v>
      </c>
      <c r="X758" s="154" t="s">
        <v>60</v>
      </c>
      <c r="Y758" s="154" t="s">
        <v>68</v>
      </c>
      <c r="Z758" s="154" t="s">
        <v>60</v>
      </c>
      <c r="AA758" s="154" t="s">
        <v>60</v>
      </c>
      <c r="AB758" s="154"/>
      <c r="AC758" s="242" t="b">
        <f t="shared" si="2"/>
        <v>1</v>
      </c>
      <c r="AD758" s="154" t="s">
        <v>391</v>
      </c>
      <c r="AE758" s="243" t="b">
        <f t="shared" si="3"/>
        <v>0</v>
      </c>
      <c r="AF758" s="154"/>
      <c r="AG758" s="243" t="b">
        <f t="shared" si="4"/>
        <v>0</v>
      </c>
      <c r="AH758" s="154" t="s">
        <v>1346</v>
      </c>
      <c r="AI758" s="243" t="str">
        <f t="shared" si="5"/>
        <v>Partially Complies</v>
      </c>
      <c r="AJ758" s="157" t="str">
        <f t="shared" si="6"/>
        <v/>
      </c>
    </row>
    <row r="759" ht="12.75" customHeight="1">
      <c r="A759" s="244" t="s">
        <v>621</v>
      </c>
      <c r="B759" s="244" t="s">
        <v>2214</v>
      </c>
      <c r="C759" s="244" t="s">
        <v>2260</v>
      </c>
      <c r="D759" s="154" t="s">
        <v>1315</v>
      </c>
      <c r="E759" s="250"/>
      <c r="F759" s="154" t="str">
        <f t="array" ref="F759">XLOOKUP(Cover!$D$12,$S$1:$AA$1,$S759:$AA759)</f>
        <v>Mandatory</v>
      </c>
      <c r="G759" s="154" t="s">
        <v>2261</v>
      </c>
      <c r="H759" s="154" t="s">
        <v>234</v>
      </c>
      <c r="I759" s="154" t="s">
        <v>759</v>
      </c>
      <c r="J759" s="247" t="s">
        <v>506</v>
      </c>
      <c r="K759" s="154" t="s">
        <v>1720</v>
      </c>
      <c r="L759" s="154" t="str">
        <f t="shared" si="1"/>
        <v/>
      </c>
      <c r="M759" s="248" t="str">
        <f>IFERROR(__xludf.DUMMYFUNCTION("VLOOKUP(C759,IMPORTRANGE(""https://docs.google.com/spreadsheets/d/1P8eX0NWBhUPS_hvzA11R6jkTNFrPrRYIx_dX_hYbxrk/edit?resourcekey=0-iw9bsKY2OqkUHCFMkCar3A&amp;gid=2055363397#gid=2055363397"",""MTR!C:O""),11,false)"),"PMW-MCE-NAS")</f>
        <v>PMW-MCE-NAS</v>
      </c>
      <c r="N759" s="248" t="str">
        <f>IFERROR(__xludf.DUMMYFUNCTION("VLOOKUP(C759,IMPORTRANGE(""https://docs.google.com/spreadsheets/d/1ihFlp3_ePlYtFuPbUNbYj1muErVpI73WHXbEwJDIA7Q/edit#gid=1493122344"",""MTR!C:O""),8,false)"),"Complies")</f>
        <v>Complies</v>
      </c>
      <c r="O759" s="248" t="str">
        <f>IFERROR(__xludf.DUMMYFUNCTION("VLOOKUP(C759,IMPORTRANGE(""https://docs.google.com/spreadsheets/d/1P8eX0NWBhUPS_hvzA11R6jkTNFrPrRYIx_dX_hYbxrk/edit?resourcekey=0-iw9bsKY2OqkUHCFMkCar3A&amp;gid=2055363397#gid=2055363397"",""MTR!C:O""),9,false)"),"The feature will be default supported once SA is enabled, please discuss with Google TAM for feature enablement plans")</f>
        <v>The feature will be default supported once SA is enabled, please discuss with Google TAM for feature enablement plans</v>
      </c>
      <c r="P759" s="248"/>
      <c r="Q759" s="249" t="s">
        <v>445</v>
      </c>
      <c r="R759" s="249" t="s">
        <v>1720</v>
      </c>
      <c r="S759" s="154" t="s">
        <v>68</v>
      </c>
      <c r="T759" s="154" t="s">
        <v>68</v>
      </c>
      <c r="U759" s="154" t="s">
        <v>60</v>
      </c>
      <c r="V759" s="154" t="s">
        <v>60</v>
      </c>
      <c r="W759" s="154" t="s">
        <v>60</v>
      </c>
      <c r="X759" s="154" t="s">
        <v>60</v>
      </c>
      <c r="Y759" s="154" t="s">
        <v>68</v>
      </c>
      <c r="Z759" s="154" t="s">
        <v>60</v>
      </c>
      <c r="AA759" s="154" t="s">
        <v>60</v>
      </c>
      <c r="AB759" s="154"/>
      <c r="AC759" s="242" t="b">
        <f t="shared" si="2"/>
        <v>1</v>
      </c>
      <c r="AD759" s="154" t="s">
        <v>391</v>
      </c>
      <c r="AE759" s="243" t="b">
        <f t="shared" si="3"/>
        <v>0</v>
      </c>
      <c r="AF759" s="154"/>
      <c r="AG759" s="243" t="b">
        <f t="shared" si="4"/>
        <v>0</v>
      </c>
      <c r="AH759" s="154" t="s">
        <v>1346</v>
      </c>
      <c r="AI759" s="243" t="str">
        <f t="shared" si="5"/>
        <v>Partially Complies</v>
      </c>
      <c r="AJ759" s="157" t="str">
        <f t="shared" si="6"/>
        <v/>
      </c>
    </row>
    <row r="760" ht="12.75" customHeight="1">
      <c r="A760" s="244" t="s">
        <v>621</v>
      </c>
      <c r="B760" s="244" t="s">
        <v>2214</v>
      </c>
      <c r="C760" s="244" t="s">
        <v>2262</v>
      </c>
      <c r="D760" s="154" t="s">
        <v>1315</v>
      </c>
      <c r="E760" s="250"/>
      <c r="F760" s="154" t="str">
        <f t="array" ref="F760">XLOOKUP(Cover!$D$12,$S$1:$AA$1,$S760:$AA760)</f>
        <v>Recommended</v>
      </c>
      <c r="G760" s="154" t="s">
        <v>2263</v>
      </c>
      <c r="H760" s="154"/>
      <c r="I760" s="154" t="s">
        <v>759</v>
      </c>
      <c r="J760" s="247" t="s">
        <v>506</v>
      </c>
      <c r="K760" s="154" t="s">
        <v>1720</v>
      </c>
      <c r="L760" s="154" t="str">
        <f t="shared" si="1"/>
        <v/>
      </c>
      <c r="M760" s="248" t="str">
        <f>IFERROR(__xludf.DUMMYFUNCTION("VLOOKUP(C760,IMPORTRANGE(""https://docs.google.com/spreadsheets/d/1P8eX0NWBhUPS_hvzA11R6jkTNFrPrRYIx_dX_hYbxrk/edit?resourcekey=0-iw9bsKY2OqkUHCFMkCar3A&amp;gid=2055363397#gid=2055363397"",""MTR!C:O""),11,false)"),"PMW-MCE-NAS")</f>
        <v>PMW-MCE-NAS</v>
      </c>
      <c r="N760" s="248" t="str">
        <f>IFERROR(__xludf.DUMMYFUNCTION("VLOOKUP(C760,IMPORTRANGE(""https://docs.google.com/spreadsheets/d/1ihFlp3_ePlYtFuPbUNbYj1muErVpI73WHXbEwJDIA7Q/edit#gid=1493122344"",""MTR!C:O""),8,false)"),"Complies")</f>
        <v>Complies</v>
      </c>
      <c r="O760" s="248" t="str">
        <f>IFERROR(__xludf.DUMMYFUNCTION("VLOOKUP(C760,IMPORTRANGE(""https://docs.google.com/spreadsheets/d/1P8eX0NWBhUPS_hvzA11R6jkTNFrPrRYIx_dX_hYbxrk/edit?resourcekey=0-iw9bsKY2OqkUHCFMkCar3A&amp;gid=2055363397#gid=2055363397"",""MTR!C:O""),9,false)"),"The feature will be default supported once SA is enabled, please discuss with Google TAM for feature enablement plans")</f>
        <v>The feature will be default supported once SA is enabled, please discuss with Google TAM for feature enablement plans</v>
      </c>
      <c r="P760" s="248"/>
      <c r="Q760" s="249" t="s">
        <v>445</v>
      </c>
      <c r="R760" s="249" t="s">
        <v>1720</v>
      </c>
      <c r="S760" s="154" t="s">
        <v>68</v>
      </c>
      <c r="T760" s="154" t="s">
        <v>68</v>
      </c>
      <c r="U760" s="154" t="s">
        <v>64</v>
      </c>
      <c r="V760" s="154" t="s">
        <v>64</v>
      </c>
      <c r="W760" s="154" t="s">
        <v>64</v>
      </c>
      <c r="X760" s="154" t="s">
        <v>64</v>
      </c>
      <c r="Y760" s="154" t="s">
        <v>68</v>
      </c>
      <c r="Z760" s="154" t="s">
        <v>64</v>
      </c>
      <c r="AA760" s="154" t="s">
        <v>64</v>
      </c>
      <c r="AB760" s="154"/>
      <c r="AC760" s="242" t="b">
        <f t="shared" si="2"/>
        <v>1</v>
      </c>
      <c r="AD760" s="154" t="s">
        <v>391</v>
      </c>
      <c r="AE760" s="243" t="b">
        <f t="shared" si="3"/>
        <v>0</v>
      </c>
      <c r="AF760" s="154"/>
      <c r="AG760" s="243" t="b">
        <f t="shared" si="4"/>
        <v>0</v>
      </c>
      <c r="AH760" s="154" t="s">
        <v>1346</v>
      </c>
      <c r="AI760" s="243" t="str">
        <f t="shared" si="5"/>
        <v>Partially Complies</v>
      </c>
      <c r="AJ760" s="157" t="str">
        <f t="shared" si="6"/>
        <v/>
      </c>
    </row>
    <row r="761" ht="12.75" customHeight="1">
      <c r="A761" s="244" t="s">
        <v>621</v>
      </c>
      <c r="B761" s="244" t="s">
        <v>2214</v>
      </c>
      <c r="C761" s="244" t="s">
        <v>2264</v>
      </c>
      <c r="D761" s="154" t="s">
        <v>1315</v>
      </c>
      <c r="E761" s="250"/>
      <c r="F761" s="154" t="str">
        <f t="array" ref="F761">XLOOKUP(Cover!$D$12,$S$1:$AA$1,$S761:$AA761)</f>
        <v>Recommended</v>
      </c>
      <c r="G761" s="154" t="s">
        <v>2265</v>
      </c>
      <c r="H761" s="154"/>
      <c r="I761" s="154" t="s">
        <v>759</v>
      </c>
      <c r="J761" s="154" t="s">
        <v>516</v>
      </c>
      <c r="K761" s="154" t="s">
        <v>2266</v>
      </c>
      <c r="L761" s="154" t="str">
        <f t="shared" si="1"/>
        <v/>
      </c>
      <c r="M761" s="248" t="str">
        <f>IFERROR(__xludf.DUMMYFUNCTION("VLOOKUP(C761,IMPORTRANGE(""https://docs.google.com/spreadsheets/d/1P8eX0NWBhUPS_hvzA11R6jkTNFrPrRYIx_dX_hYbxrk/edit?resourcekey=0-iw9bsKY2OqkUHCFMkCar3A&amp;gid=2055363397#gid=2055363397"",""MTR!C:O""),11,false)"),"PMW-MCE-NAS")</f>
        <v>PMW-MCE-NAS</v>
      </c>
      <c r="N761" s="248" t="str">
        <f>IFERROR(__xludf.DUMMYFUNCTION("VLOOKUP(C761,IMPORTRANGE(""https://docs.google.com/spreadsheets/d/1ihFlp3_ePlYtFuPbUNbYj1muErVpI73WHXbEwJDIA7Q/edit#gid=1493122344"",""MTR!C:O""),8,false)"),"Does Not Comply")</f>
        <v>Does Not Comply</v>
      </c>
      <c r="O761" s="248" t="str">
        <f>IFERROR(__xludf.DUMMYFUNCTION("VLOOKUP(C761,IMPORTRANGE(""https://docs.google.com/spreadsheets/d/1P8eX0NWBhUPS_hvzA11R6jkTNFrPrRYIx_dX_hYbxrk/edit?resourcekey=0-iw9bsKY2OqkUHCFMkCar3A&amp;gid=2055363397#gid=2055363397"",""MTR!C:O""),9,false)"),"Chipset limitation")</f>
        <v>Chipset limitation</v>
      </c>
      <c r="P761" s="248"/>
      <c r="Q761" s="249" t="s">
        <v>516</v>
      </c>
      <c r="R761" s="249" t="s">
        <v>2266</v>
      </c>
      <c r="S761" s="154" t="s">
        <v>68</v>
      </c>
      <c r="T761" s="154" t="s">
        <v>68</v>
      </c>
      <c r="U761" s="154" t="s">
        <v>64</v>
      </c>
      <c r="V761" s="154" t="s">
        <v>64</v>
      </c>
      <c r="W761" s="154" t="s">
        <v>64</v>
      </c>
      <c r="X761" s="154" t="s">
        <v>64</v>
      </c>
      <c r="Y761" s="154" t="s">
        <v>68</v>
      </c>
      <c r="Z761" s="154" t="s">
        <v>64</v>
      </c>
      <c r="AA761" s="154" t="s">
        <v>64</v>
      </c>
      <c r="AB761" s="154"/>
      <c r="AC761" s="242" t="b">
        <f t="shared" si="2"/>
        <v>1</v>
      </c>
      <c r="AD761" s="154" t="s">
        <v>391</v>
      </c>
      <c r="AE761" s="243" t="b">
        <f t="shared" si="3"/>
        <v>0</v>
      </c>
      <c r="AF761" s="154"/>
      <c r="AG761" s="243" t="b">
        <f t="shared" si="4"/>
        <v>0</v>
      </c>
      <c r="AH761" s="154" t="s">
        <v>1346</v>
      </c>
      <c r="AI761" s="243" t="str">
        <f t="shared" si="5"/>
        <v>Partially Complies</v>
      </c>
      <c r="AJ761" s="157" t="str">
        <f t="shared" si="6"/>
        <v/>
      </c>
    </row>
    <row r="762" ht="12.75" customHeight="1">
      <c r="A762" s="244" t="s">
        <v>621</v>
      </c>
      <c r="B762" s="244" t="s">
        <v>2214</v>
      </c>
      <c r="C762" s="244" t="s">
        <v>2267</v>
      </c>
      <c r="D762" s="154" t="s">
        <v>503</v>
      </c>
      <c r="E762" s="250"/>
      <c r="F762" s="154" t="str">
        <f t="array" ref="F762">XLOOKUP(Cover!$D$12,$S$1:$AA$1,$S762:$AA762)</f>
        <v>Mandatory</v>
      </c>
      <c r="G762" s="154" t="s">
        <v>2268</v>
      </c>
      <c r="H762" s="154"/>
      <c r="I762" s="154" t="s">
        <v>759</v>
      </c>
      <c r="J762" s="247" t="s">
        <v>506</v>
      </c>
      <c r="K762" s="154" t="s">
        <v>1720</v>
      </c>
      <c r="L762" s="154" t="str">
        <f t="shared" si="1"/>
        <v/>
      </c>
      <c r="M762" s="248" t="str">
        <f>IFERROR(__xludf.DUMMYFUNCTION("VLOOKUP(C762,IMPORTRANGE(""https://docs.google.com/spreadsheets/d/1P8eX0NWBhUPS_hvzA11R6jkTNFrPrRYIx_dX_hYbxrk/edit?resourcekey=0-iw9bsKY2OqkUHCFMkCar3A&amp;gid=2055363397#gid=2055363397"",""MTR!C:O""),11,false)"),"PMW-MCE-NAS")</f>
        <v>PMW-MCE-NAS</v>
      </c>
      <c r="N762" s="248" t="str">
        <f>IFERROR(__xludf.DUMMYFUNCTION("VLOOKUP(C762,IMPORTRANGE(""https://docs.google.com/spreadsheets/d/1ihFlp3_ePlYtFuPbUNbYj1muErVpI73WHXbEwJDIA7Q/edit#gid=1493122344"",""MTR!C:O""),8,false)"),"Complies")</f>
        <v>Complies</v>
      </c>
      <c r="O762" s="248" t="str">
        <f>IFERROR(__xludf.DUMMYFUNCTION("VLOOKUP(C762,IMPORTRANGE(""https://docs.google.com/spreadsheets/d/1P8eX0NWBhUPS_hvzA11R6jkTNFrPrRYIx_dX_hYbxrk/edit?resourcekey=0-iw9bsKY2OqkUHCFMkCar3A&amp;gid=2055363397#gid=2055363397"",""MTR!C:O""),9,false)"),"The feature will be default supported once SA is enabled, please discuss with Google TAM for feature enablement plans")</f>
        <v>The feature will be default supported once SA is enabled, please discuss with Google TAM for feature enablement plans</v>
      </c>
      <c r="P762" s="248"/>
      <c r="Q762" s="249" t="s">
        <v>445</v>
      </c>
      <c r="R762" s="249" t="s">
        <v>1720</v>
      </c>
      <c r="S762" s="154" t="s">
        <v>68</v>
      </c>
      <c r="T762" s="154" t="s">
        <v>68</v>
      </c>
      <c r="U762" s="154" t="s">
        <v>60</v>
      </c>
      <c r="V762" s="154" t="s">
        <v>60</v>
      </c>
      <c r="W762" s="154" t="s">
        <v>60</v>
      </c>
      <c r="X762" s="154" t="s">
        <v>60</v>
      </c>
      <c r="Y762" s="154" t="s">
        <v>68</v>
      </c>
      <c r="Z762" s="154" t="s">
        <v>60</v>
      </c>
      <c r="AA762" s="154" t="s">
        <v>60</v>
      </c>
      <c r="AB762" s="154"/>
      <c r="AC762" s="242" t="b">
        <f t="shared" si="2"/>
        <v>1</v>
      </c>
      <c r="AD762" s="154" t="s">
        <v>391</v>
      </c>
      <c r="AE762" s="243" t="b">
        <f t="shared" si="3"/>
        <v>0</v>
      </c>
      <c r="AF762" s="154"/>
      <c r="AG762" s="243" t="b">
        <f t="shared" si="4"/>
        <v>0</v>
      </c>
      <c r="AH762" s="154"/>
      <c r="AI762" s="243" t="str">
        <f t="shared" si="5"/>
        <v>N/A</v>
      </c>
      <c r="AJ762" s="157" t="str">
        <f t="shared" si="6"/>
        <v/>
      </c>
    </row>
    <row r="763" ht="12.75" customHeight="1">
      <c r="A763" s="238" t="s">
        <v>621</v>
      </c>
      <c r="B763" s="238" t="s">
        <v>2214</v>
      </c>
      <c r="C763" s="238" t="s">
        <v>2269</v>
      </c>
      <c r="D763" s="240"/>
      <c r="E763" s="252" t="s">
        <v>92</v>
      </c>
      <c r="F763" s="154" t="str">
        <f t="array" ref="F763">XLOOKUP(Cover!$D$12,$S$1:$AA$1,$S763:$AA763)</f>
        <v>Heading</v>
      </c>
      <c r="G763" s="239" t="s">
        <v>2270</v>
      </c>
      <c r="H763" s="240"/>
      <c r="I763" s="240" t="s">
        <v>389</v>
      </c>
      <c r="J763" s="262"/>
      <c r="K763" s="262"/>
      <c r="L763" s="154" t="str">
        <f t="shared" si="1"/>
        <v/>
      </c>
      <c r="M763" s="241" t="str">
        <f>IFERROR(__xludf.DUMMYFUNCTION("VLOOKUP(C763,IMPORTRANGE(""https://docs.google.com/spreadsheets/d/1P8eX0NWBhUPS_hvzA11R6jkTNFrPrRYIx_dX_hYbxrk/edit?resourcekey=0-iw9bsKY2OqkUHCFMkCar3A&amp;gid=2055363397#gid=2055363397"",""MTR!C:O""),11,false)"),"")</f>
        <v/>
      </c>
      <c r="N763" s="241" t="str">
        <f>IFERROR(__xludf.DUMMYFUNCTION("VLOOKUP(C763,IMPORTRANGE(""https://docs.google.com/spreadsheets/d/1ihFlp3_ePlYtFuPbUNbYj1muErVpI73WHXbEwJDIA7Q/edit#gid=1493122344"",""MTR!C:O""),8,false)"),"")</f>
        <v/>
      </c>
      <c r="O763" s="241" t="str">
        <f>IFERROR(__xludf.DUMMYFUNCTION("VLOOKUP(C763,IMPORTRANGE(""https://docs.google.com/spreadsheets/d/1P8eX0NWBhUPS_hvzA11R6jkTNFrPrRYIx_dX_hYbxrk/edit?resourcekey=0-iw9bsKY2OqkUHCFMkCar3A&amp;gid=2055363397#gid=2055363397"",""MTR!C:O""),9,false)"),"")</f>
        <v/>
      </c>
      <c r="P763" s="241"/>
      <c r="Q763" s="251"/>
      <c r="R763" s="251"/>
      <c r="S763" s="240" t="s">
        <v>390</v>
      </c>
      <c r="T763" s="240" t="s">
        <v>390</v>
      </c>
      <c r="U763" s="240" t="s">
        <v>390</v>
      </c>
      <c r="V763" s="240" t="s">
        <v>390</v>
      </c>
      <c r="W763" s="240" t="s">
        <v>390</v>
      </c>
      <c r="X763" s="240" t="s">
        <v>390</v>
      </c>
      <c r="Y763" s="240" t="s">
        <v>390</v>
      </c>
      <c r="Z763" s="240" t="s">
        <v>390</v>
      </c>
      <c r="AA763" s="240" t="s">
        <v>390</v>
      </c>
      <c r="AB763" s="240"/>
      <c r="AC763" s="242" t="b">
        <f t="shared" si="2"/>
        <v>0</v>
      </c>
      <c r="AD763" s="240" t="s">
        <v>391</v>
      </c>
      <c r="AE763" s="243" t="b">
        <f t="shared" si="3"/>
        <v>0</v>
      </c>
      <c r="AF763" s="240"/>
      <c r="AG763" s="243" t="b">
        <f t="shared" si="4"/>
        <v>0</v>
      </c>
      <c r="AH763" s="240"/>
      <c r="AI763" s="243" t="str">
        <f t="shared" si="5"/>
        <v>N/A</v>
      </c>
      <c r="AJ763" s="157" t="str">
        <f t="shared" si="6"/>
        <v/>
      </c>
    </row>
    <row r="764" ht="12.75" customHeight="1">
      <c r="A764" s="238" t="s">
        <v>621</v>
      </c>
      <c r="B764" s="238" t="s">
        <v>2214</v>
      </c>
      <c r="C764" s="238" t="s">
        <v>2271</v>
      </c>
      <c r="D764" s="240"/>
      <c r="E764" s="252" t="s">
        <v>92</v>
      </c>
      <c r="F764" s="154" t="str">
        <f t="array" ref="F764">XLOOKUP(Cover!$D$12,$S$1:$AA$1,$S764:$AA764)</f>
        <v>Heading</v>
      </c>
      <c r="G764" s="239" t="s">
        <v>2272</v>
      </c>
      <c r="H764" s="240"/>
      <c r="I764" s="240" t="s">
        <v>389</v>
      </c>
      <c r="J764" s="262"/>
      <c r="K764" s="240"/>
      <c r="L764" s="154" t="str">
        <f t="shared" si="1"/>
        <v/>
      </c>
      <c r="M764" s="241" t="str">
        <f>IFERROR(__xludf.DUMMYFUNCTION("VLOOKUP(C764,IMPORTRANGE(""https://docs.google.com/spreadsheets/d/1P8eX0NWBhUPS_hvzA11R6jkTNFrPrRYIx_dX_hYbxrk/edit?resourcekey=0-iw9bsKY2OqkUHCFMkCar3A&amp;gid=2055363397#gid=2055363397"",""MTR!C:O""),11,false)"),"")</f>
        <v/>
      </c>
      <c r="N764" s="241" t="str">
        <f>IFERROR(__xludf.DUMMYFUNCTION("VLOOKUP(C764,IMPORTRANGE(""https://docs.google.com/spreadsheets/d/1ihFlp3_ePlYtFuPbUNbYj1muErVpI73WHXbEwJDIA7Q/edit#gid=1493122344"",""MTR!C:O""),8,false)"),"")</f>
        <v/>
      </c>
      <c r="O764" s="241" t="str">
        <f>IFERROR(__xludf.DUMMYFUNCTION("VLOOKUP(C764,IMPORTRANGE(""https://docs.google.com/spreadsheets/d/1P8eX0NWBhUPS_hvzA11R6jkTNFrPrRYIx_dX_hYbxrk/edit?resourcekey=0-iw9bsKY2OqkUHCFMkCar3A&amp;gid=2055363397#gid=2055363397"",""MTR!C:O""),9,false)"),"")</f>
        <v/>
      </c>
      <c r="P764" s="241"/>
      <c r="Q764" s="241"/>
      <c r="R764" s="241"/>
      <c r="S764" s="240" t="s">
        <v>390</v>
      </c>
      <c r="T764" s="240" t="s">
        <v>390</v>
      </c>
      <c r="U764" s="240" t="s">
        <v>390</v>
      </c>
      <c r="V764" s="240" t="s">
        <v>390</v>
      </c>
      <c r="W764" s="240" t="s">
        <v>390</v>
      </c>
      <c r="X764" s="240" t="s">
        <v>390</v>
      </c>
      <c r="Y764" s="240" t="s">
        <v>390</v>
      </c>
      <c r="Z764" s="240" t="s">
        <v>390</v>
      </c>
      <c r="AA764" s="240" t="s">
        <v>390</v>
      </c>
      <c r="AB764" s="240"/>
      <c r="AC764" s="242" t="b">
        <f t="shared" si="2"/>
        <v>0</v>
      </c>
      <c r="AD764" s="240" t="s">
        <v>391</v>
      </c>
      <c r="AE764" s="243" t="b">
        <f t="shared" si="3"/>
        <v>0</v>
      </c>
      <c r="AF764" s="240"/>
      <c r="AG764" s="243" t="b">
        <f t="shared" si="4"/>
        <v>0</v>
      </c>
      <c r="AH764" s="240"/>
      <c r="AI764" s="243" t="str">
        <f t="shared" si="5"/>
        <v>N/A</v>
      </c>
      <c r="AJ764" s="157" t="str">
        <f t="shared" si="6"/>
        <v/>
      </c>
    </row>
    <row r="765" ht="12.75" customHeight="1">
      <c r="A765" s="244" t="s">
        <v>621</v>
      </c>
      <c r="B765" s="244" t="s">
        <v>2214</v>
      </c>
      <c r="C765" s="244" t="s">
        <v>2273</v>
      </c>
      <c r="D765" s="154" t="s">
        <v>630</v>
      </c>
      <c r="E765" s="250"/>
      <c r="F765" s="154" t="str">
        <f t="array" ref="F765">XLOOKUP(Cover!$D$12,$S$1:$AA$1,$S765:$AA765)</f>
        <v>Mandatory</v>
      </c>
      <c r="G765" s="154" t="s">
        <v>2274</v>
      </c>
      <c r="H765" s="154" t="s">
        <v>398</v>
      </c>
      <c r="I765" s="154" t="s">
        <v>389</v>
      </c>
      <c r="J765" s="154" t="s">
        <v>445</v>
      </c>
      <c r="K765" s="154" t="s">
        <v>2275</v>
      </c>
      <c r="L765" s="154" t="str">
        <f t="shared" si="1"/>
        <v/>
      </c>
      <c r="M765" s="248" t="str">
        <f>IFERROR(__xludf.DUMMYFUNCTION("VLOOKUP(C765,IMPORTRANGE(""https://docs.google.com/spreadsheets/d/1P8eX0NWBhUPS_hvzA11R6jkTNFrPrRYIx_dX_hYbxrk/edit?resourcekey=0-iw9bsKY2OqkUHCFMkCar3A&amp;gid=2055363397#gid=2055363397"",""MTR!C:O""),11,false)"),"PMW-IMS")</f>
        <v>PMW-IMS</v>
      </c>
      <c r="N765" s="248" t="str">
        <f>IFERROR(__xludf.DUMMYFUNCTION("VLOOKUP(C765,IMPORTRANGE(""https://docs.google.com/spreadsheets/d/1ihFlp3_ePlYtFuPbUNbYj1muErVpI73WHXbEwJDIA7Q/edit#gid=1493122344"",""MTR!C:O""),8,false)"),"Complies")</f>
        <v>Complies</v>
      </c>
      <c r="O765" s="248" t="str">
        <f>IFERROR(__xludf.DUMMYFUNCTION("VLOOKUP(C765,IMPORTRANGE(""https://docs.google.com/spreadsheets/d/1P8eX0NWBhUPS_hvzA11R6jkTNFrPrRYIx_dX_hYbxrk/edit?resourcekey=0-iw9bsKY2OqkUHCFMkCar3A&amp;gid=2055363397#gid=2055363397"",""MTR!C:O""),9,false)"),"Protocols can support at least two Primary PDP contexts.")</f>
        <v>Protocols can support at least two Primary PDP contexts.</v>
      </c>
      <c r="P765" s="248"/>
      <c r="Q765" s="249" t="s">
        <v>445</v>
      </c>
      <c r="R765" s="249" t="s">
        <v>2275</v>
      </c>
      <c r="S765" s="154" t="s">
        <v>60</v>
      </c>
      <c r="T765" s="154" t="s">
        <v>60</v>
      </c>
      <c r="U765" s="154" t="s">
        <v>60</v>
      </c>
      <c r="V765" s="154" t="s">
        <v>60</v>
      </c>
      <c r="W765" s="154" t="s">
        <v>60</v>
      </c>
      <c r="X765" s="154" t="s">
        <v>60</v>
      </c>
      <c r="Y765" s="154" t="s">
        <v>60</v>
      </c>
      <c r="Z765" s="154" t="s">
        <v>60</v>
      </c>
      <c r="AA765" s="154" t="s">
        <v>60</v>
      </c>
      <c r="AB765" s="154"/>
      <c r="AC765" s="242" t="b">
        <f t="shared" si="2"/>
        <v>1</v>
      </c>
      <c r="AD765" s="154" t="s">
        <v>445</v>
      </c>
      <c r="AE765" s="243" t="b">
        <f t="shared" si="3"/>
        <v>0</v>
      </c>
      <c r="AF765" s="154"/>
      <c r="AG765" s="243" t="b">
        <f t="shared" si="4"/>
        <v>0</v>
      </c>
      <c r="AH765" s="154"/>
      <c r="AI765" s="243" t="str">
        <f t="shared" si="5"/>
        <v>N/A</v>
      </c>
      <c r="AJ765" s="157" t="str">
        <f t="shared" si="6"/>
        <v/>
      </c>
    </row>
    <row r="766" ht="12.75" customHeight="1">
      <c r="A766" s="244" t="s">
        <v>621</v>
      </c>
      <c r="B766" s="244" t="s">
        <v>2214</v>
      </c>
      <c r="C766" s="244" t="s">
        <v>2276</v>
      </c>
      <c r="D766" s="244" t="s">
        <v>1315</v>
      </c>
      <c r="E766" s="244"/>
      <c r="F766" s="154" t="str">
        <f t="array" ref="F766">XLOOKUP(Cover!$D$12,$S$1:$AA$1,$S766:$AA766)</f>
        <v>Recommended</v>
      </c>
      <c r="G766" s="154" t="s">
        <v>2277</v>
      </c>
      <c r="H766" s="154" t="s">
        <v>144</v>
      </c>
      <c r="I766" s="154" t="s">
        <v>389</v>
      </c>
      <c r="J766" s="154" t="s">
        <v>445</v>
      </c>
      <c r="K766" s="154"/>
      <c r="L766" s="154" t="str">
        <f t="shared" si="1"/>
        <v/>
      </c>
      <c r="M766" s="248" t="str">
        <f>IFERROR(__xludf.DUMMYFUNCTION("VLOOKUP(C766,IMPORTRANGE(""https://docs.google.com/spreadsheets/d/1P8eX0NWBhUPS_hvzA11R6jkTNFrPrRYIx_dX_hYbxrk/edit?resourcekey=0-iw9bsKY2OqkUHCFMkCar3A&amp;gid=2055363397#gid=2055363397"",""MTR!C:O""),11,false)"),"PMW-MCE-NAS")</f>
        <v>PMW-MCE-NAS</v>
      </c>
      <c r="N766" s="248" t="str">
        <f>IFERROR(__xludf.DUMMYFUNCTION("VLOOKUP(C766,IMPORTRANGE(""https://docs.google.com/spreadsheets/d/1ihFlp3_ePlYtFuPbUNbYj1muErVpI73WHXbEwJDIA7Q/edit#gid=1493122344"",""MTR!C:O""),8,false)"),"Complies")</f>
        <v>Complies</v>
      </c>
      <c r="O766" s="241" t="str">
        <f>IFERROR(__xludf.DUMMYFUNCTION("VLOOKUP(C766,IMPORTRANGE(""https://docs.google.com/spreadsheets/d/1P8eX0NWBhUPS_hvzA11R6jkTNFrPrRYIx_dX_hYbxrk/edit?resourcekey=0-iw9bsKY2OqkUHCFMkCar3A&amp;gid=2055363397#gid=2055363397"",""MTR!C:O""),9,false)"),"")</f>
        <v/>
      </c>
      <c r="P766" s="241"/>
      <c r="Q766" s="251" t="s">
        <v>445</v>
      </c>
      <c r="R766" s="251"/>
      <c r="S766" s="154" t="s">
        <v>64</v>
      </c>
      <c r="T766" s="154" t="s">
        <v>64</v>
      </c>
      <c r="U766" s="154" t="s">
        <v>64</v>
      </c>
      <c r="V766" s="154" t="s">
        <v>64</v>
      </c>
      <c r="W766" s="154" t="s">
        <v>64</v>
      </c>
      <c r="X766" s="154" t="s">
        <v>64</v>
      </c>
      <c r="Y766" s="154" t="s">
        <v>64</v>
      </c>
      <c r="Z766" s="154" t="s">
        <v>64</v>
      </c>
      <c r="AA766" s="154" t="s">
        <v>64</v>
      </c>
      <c r="AB766" s="154"/>
      <c r="AC766" s="242" t="b">
        <f t="shared" si="2"/>
        <v>1</v>
      </c>
      <c r="AD766" s="154" t="s">
        <v>391</v>
      </c>
      <c r="AE766" s="243" t="b">
        <f t="shared" si="3"/>
        <v>0</v>
      </c>
      <c r="AF766" s="154"/>
      <c r="AG766" s="243" t="b">
        <f t="shared" si="4"/>
        <v>0</v>
      </c>
      <c r="AH766" s="154"/>
      <c r="AI766" s="243" t="str">
        <f t="shared" si="5"/>
        <v>N/A</v>
      </c>
      <c r="AJ766" s="157" t="str">
        <f t="shared" si="6"/>
        <v/>
      </c>
    </row>
    <row r="767" ht="12.75" customHeight="1">
      <c r="A767" s="244" t="s">
        <v>621</v>
      </c>
      <c r="B767" s="244" t="s">
        <v>2214</v>
      </c>
      <c r="C767" s="244" t="s">
        <v>2278</v>
      </c>
      <c r="D767" s="244" t="s">
        <v>542</v>
      </c>
      <c r="E767" s="244"/>
      <c r="F767" s="154" t="str">
        <f t="array" ref="F767">XLOOKUP(Cover!$D$12,$S$1:$AA$1,$S767:$AA767)</f>
        <v>Recommended</v>
      </c>
      <c r="G767" s="154" t="s">
        <v>2279</v>
      </c>
      <c r="H767" s="154" t="s">
        <v>234</v>
      </c>
      <c r="I767" s="154" t="s">
        <v>389</v>
      </c>
      <c r="J767" s="154" t="s">
        <v>506</v>
      </c>
      <c r="K767" s="154" t="s">
        <v>2280</v>
      </c>
      <c r="L767" s="154" t="str">
        <f t="shared" si="1"/>
        <v/>
      </c>
      <c r="M767" s="248" t="str">
        <f>IFERROR(__xludf.DUMMYFUNCTION("VLOOKUP(C767,IMPORTRANGE(""https://docs.google.com/spreadsheets/d/1P8eX0NWBhUPS_hvzA11R6jkTNFrPrRYIx_dX_hYbxrk/edit?resourcekey=0-iw9bsKY2OqkUHCFMkCar3A&amp;gid=2055363397#gid=2055363397"",""MTR!C:O""),11,false)"),"PMW-MCE-NAS")</f>
        <v>PMW-MCE-NAS</v>
      </c>
      <c r="N767" s="248" t="str">
        <f>IFERROR(__xludf.DUMMYFUNCTION("VLOOKUP(C767,IMPORTRANGE(""https://docs.google.com/spreadsheets/d/1ihFlp3_ePlYtFuPbUNbYj1muErVpI73WHXbEwJDIA7Q/edit#gid=1493122344"",""MTR!C:O""),8,false)"),"Partially Complies")</f>
        <v>Partially Complies</v>
      </c>
      <c r="O767" s="248" t="str">
        <f>IFERROR(__xludf.DUMMYFUNCTION("VLOOKUP(C767,IMPORTRANGE(""https://docs.google.com/spreadsheets/d/1P8eX0NWBhUPS_hvzA11R6jkTNFrPrRYIx_dX_hYbxrk/edit?resourcekey=0-iw9bsKY2OqkUHCFMkCar3A&amp;gid=2055363397#gid=2055363397"",""MTR!C:O""),9,false)"),"11 EPS bearer contexts is supported")</f>
        <v>11 EPS bearer contexts is supported</v>
      </c>
      <c r="P767" s="248"/>
      <c r="Q767" s="249" t="s">
        <v>506</v>
      </c>
      <c r="R767" s="249" t="s">
        <v>2280</v>
      </c>
      <c r="S767" s="154" t="s">
        <v>66</v>
      </c>
      <c r="T767" s="154" t="s">
        <v>66</v>
      </c>
      <c r="U767" s="154" t="s">
        <v>64</v>
      </c>
      <c r="V767" s="154" t="s">
        <v>64</v>
      </c>
      <c r="W767" s="154" t="s">
        <v>64</v>
      </c>
      <c r="X767" s="154" t="s">
        <v>64</v>
      </c>
      <c r="Y767" s="154" t="s">
        <v>66</v>
      </c>
      <c r="Z767" s="154" t="s">
        <v>64</v>
      </c>
      <c r="AA767" s="154" t="s">
        <v>64</v>
      </c>
      <c r="AB767" s="154"/>
      <c r="AC767" s="242" t="b">
        <f t="shared" si="2"/>
        <v>1</v>
      </c>
      <c r="AD767" s="154" t="s">
        <v>391</v>
      </c>
      <c r="AE767" s="243" t="b">
        <f t="shared" si="3"/>
        <v>0</v>
      </c>
      <c r="AF767" s="154"/>
      <c r="AG767" s="243" t="b">
        <f t="shared" si="4"/>
        <v>0</v>
      </c>
      <c r="AH767" s="154" t="s">
        <v>652</v>
      </c>
      <c r="AI767" s="243" t="str">
        <f t="shared" si="5"/>
        <v>Complies</v>
      </c>
      <c r="AJ767" s="157" t="str">
        <f t="shared" si="6"/>
        <v/>
      </c>
    </row>
    <row r="768" ht="12.75" customHeight="1">
      <c r="A768" s="244" t="s">
        <v>621</v>
      </c>
      <c r="B768" s="244" t="s">
        <v>2214</v>
      </c>
      <c r="C768" s="244" t="s">
        <v>2281</v>
      </c>
      <c r="D768" s="154" t="s">
        <v>1315</v>
      </c>
      <c r="E768" s="250"/>
      <c r="F768" s="154" t="str">
        <f t="array" ref="F768">XLOOKUP(Cover!$D$12,$S$1:$AA$1,$S768:$AA768)</f>
        <v>Mandatory</v>
      </c>
      <c r="G768" s="154" t="s">
        <v>2282</v>
      </c>
      <c r="H768" s="154" t="s">
        <v>234</v>
      </c>
      <c r="I768" s="154" t="s">
        <v>759</v>
      </c>
      <c r="J768" s="247" t="s">
        <v>506</v>
      </c>
      <c r="K768" s="154" t="s">
        <v>1720</v>
      </c>
      <c r="L768" s="154" t="str">
        <f t="shared" si="1"/>
        <v/>
      </c>
      <c r="M768" s="248" t="str">
        <f>IFERROR(__xludf.DUMMYFUNCTION("VLOOKUP(C768,IMPORTRANGE(""https://docs.google.com/spreadsheets/d/1P8eX0NWBhUPS_hvzA11R6jkTNFrPrRYIx_dX_hYbxrk/edit?resourcekey=0-iw9bsKY2OqkUHCFMkCar3A&amp;gid=2055363397#gid=2055363397"",""MTR!C:O""),11,false)"),"PMW-MCE-NAS")</f>
        <v>PMW-MCE-NAS</v>
      </c>
      <c r="N768" s="248" t="str">
        <f>IFERROR(__xludf.DUMMYFUNCTION("VLOOKUP(C768,IMPORTRANGE(""https://docs.google.com/spreadsheets/d/1ihFlp3_ePlYtFuPbUNbYj1muErVpI73WHXbEwJDIA7Q/edit#gid=1493122344"",""MTR!C:O""),8,false)"),"Does Not Comply")</f>
        <v>Does Not Comply</v>
      </c>
      <c r="O768" s="248" t="str">
        <f>IFERROR(__xludf.DUMMYFUNCTION("VLOOKUP(C768,IMPORTRANGE(""https://docs.google.com/spreadsheets/d/1P8eX0NWBhUPS_hvzA11R6jkTNFrPrRYIx_dX_hYbxrk/edit?resourcekey=0-iw9bsKY2OqkUHCFMkCar3A&amp;gid=2055363397#gid=2055363397"",""MTR!C:O""),9,false)"),"The feature will be default supported once SA is enabled, please discuss with Google TAM for feature enablement plans")</f>
        <v>The feature will be default supported once SA is enabled, please discuss with Google TAM for feature enablement plans</v>
      </c>
      <c r="P768" s="248"/>
      <c r="Q768" s="249" t="s">
        <v>516</v>
      </c>
      <c r="R768" s="249" t="s">
        <v>1720</v>
      </c>
      <c r="S768" s="154" t="s">
        <v>68</v>
      </c>
      <c r="T768" s="154" t="s">
        <v>68</v>
      </c>
      <c r="U768" s="154" t="s">
        <v>60</v>
      </c>
      <c r="V768" s="154" t="s">
        <v>60</v>
      </c>
      <c r="W768" s="154" t="s">
        <v>60</v>
      </c>
      <c r="X768" s="154" t="s">
        <v>60</v>
      </c>
      <c r="Y768" s="154" t="s">
        <v>68</v>
      </c>
      <c r="Z768" s="154" t="s">
        <v>60</v>
      </c>
      <c r="AA768" s="154" t="s">
        <v>60</v>
      </c>
      <c r="AB768" s="154"/>
      <c r="AC768" s="242" t="b">
        <f t="shared" si="2"/>
        <v>1</v>
      </c>
      <c r="AD768" s="154" t="s">
        <v>391</v>
      </c>
      <c r="AE768" s="243" t="b">
        <f t="shared" si="3"/>
        <v>0</v>
      </c>
      <c r="AF768" s="154"/>
      <c r="AG768" s="243" t="b">
        <f t="shared" si="4"/>
        <v>0</v>
      </c>
      <c r="AH768" s="154" t="s">
        <v>1346</v>
      </c>
      <c r="AI768" s="243" t="str">
        <f t="shared" si="5"/>
        <v>Partially Complies</v>
      </c>
      <c r="AJ768" s="157" t="str">
        <f t="shared" si="6"/>
        <v/>
      </c>
    </row>
    <row r="769" ht="12.75" customHeight="1">
      <c r="A769" s="238" t="s">
        <v>621</v>
      </c>
      <c r="B769" s="238" t="s">
        <v>2214</v>
      </c>
      <c r="C769" s="238" t="s">
        <v>2283</v>
      </c>
      <c r="D769" s="240"/>
      <c r="E769" s="252" t="s">
        <v>92</v>
      </c>
      <c r="F769" s="154" t="str">
        <f t="array" ref="F769">XLOOKUP(Cover!$D$12,$S$1:$AA$1,$S769:$AA769)</f>
        <v>Heading</v>
      </c>
      <c r="G769" s="239" t="s">
        <v>2284</v>
      </c>
      <c r="H769" s="240"/>
      <c r="I769" s="240" t="s">
        <v>759</v>
      </c>
      <c r="J769" s="262"/>
      <c r="K769" s="262"/>
      <c r="L769" s="154" t="str">
        <f t="shared" si="1"/>
        <v/>
      </c>
      <c r="M769" s="241" t="str">
        <f>IFERROR(__xludf.DUMMYFUNCTION("VLOOKUP(C769,IMPORTRANGE(""https://docs.google.com/spreadsheets/d/1P8eX0NWBhUPS_hvzA11R6jkTNFrPrRYIx_dX_hYbxrk/edit?resourcekey=0-iw9bsKY2OqkUHCFMkCar3A&amp;gid=2055363397#gid=2055363397"",""MTR!C:O""),11,false)"),"")</f>
        <v/>
      </c>
      <c r="N769" s="241" t="str">
        <f>IFERROR(__xludf.DUMMYFUNCTION("VLOOKUP(C769,IMPORTRANGE(""https://docs.google.com/spreadsheets/d/1ihFlp3_ePlYtFuPbUNbYj1muErVpI73WHXbEwJDIA7Q/edit#gid=1493122344"",""MTR!C:O""),8,false)"),"")</f>
        <v/>
      </c>
      <c r="O769" s="241" t="str">
        <f>IFERROR(__xludf.DUMMYFUNCTION("VLOOKUP(C769,IMPORTRANGE(""https://docs.google.com/spreadsheets/d/1P8eX0NWBhUPS_hvzA11R6jkTNFrPrRYIx_dX_hYbxrk/edit?resourcekey=0-iw9bsKY2OqkUHCFMkCar3A&amp;gid=2055363397#gid=2055363397"",""MTR!C:O""),9,false)"),"")</f>
        <v/>
      </c>
      <c r="P769" s="241"/>
      <c r="Q769" s="251"/>
      <c r="R769" s="251"/>
      <c r="S769" s="240" t="s">
        <v>390</v>
      </c>
      <c r="T769" s="240" t="s">
        <v>390</v>
      </c>
      <c r="U769" s="240" t="s">
        <v>390</v>
      </c>
      <c r="V769" s="240" t="s">
        <v>390</v>
      </c>
      <c r="W769" s="240" t="s">
        <v>390</v>
      </c>
      <c r="X769" s="240" t="s">
        <v>390</v>
      </c>
      <c r="Y769" s="240" t="s">
        <v>390</v>
      </c>
      <c r="Z769" s="240" t="s">
        <v>390</v>
      </c>
      <c r="AA769" s="240" t="s">
        <v>390</v>
      </c>
      <c r="AB769" s="240"/>
      <c r="AC769" s="242" t="b">
        <f t="shared" si="2"/>
        <v>0</v>
      </c>
      <c r="AD769" s="240" t="s">
        <v>391</v>
      </c>
      <c r="AE769" s="243" t="b">
        <f t="shared" si="3"/>
        <v>0</v>
      </c>
      <c r="AF769" s="240"/>
      <c r="AG769" s="243" t="b">
        <f t="shared" si="4"/>
        <v>0</v>
      </c>
      <c r="AH769" s="240"/>
      <c r="AI769" s="243" t="str">
        <f t="shared" si="5"/>
        <v>N/A</v>
      </c>
      <c r="AJ769" s="157" t="str">
        <f t="shared" si="6"/>
        <v/>
      </c>
    </row>
    <row r="770" ht="12.75" customHeight="1">
      <c r="A770" s="244" t="s">
        <v>621</v>
      </c>
      <c r="B770" s="244" t="s">
        <v>2214</v>
      </c>
      <c r="C770" s="244" t="s">
        <v>2285</v>
      </c>
      <c r="D770" s="154" t="s">
        <v>1315</v>
      </c>
      <c r="E770" s="250"/>
      <c r="F770" s="154" t="str">
        <f t="array" ref="F770">XLOOKUP(Cover!$D$12,$S$1:$AA$1,$S770:$AA770)</f>
        <v>Mandatory</v>
      </c>
      <c r="G770" s="154" t="s">
        <v>2286</v>
      </c>
      <c r="H770" s="154" t="s">
        <v>234</v>
      </c>
      <c r="I770" s="154" t="s">
        <v>759</v>
      </c>
      <c r="J770" s="247" t="s">
        <v>506</v>
      </c>
      <c r="K770" s="154" t="s">
        <v>1720</v>
      </c>
      <c r="L770" s="154" t="str">
        <f t="shared" si="1"/>
        <v/>
      </c>
      <c r="M770" s="248" t="str">
        <f>IFERROR(__xludf.DUMMYFUNCTION("VLOOKUP(C770,IMPORTRANGE(""https://docs.google.com/spreadsheets/d/1P8eX0NWBhUPS_hvzA11R6jkTNFrPrRYIx_dX_hYbxrk/edit?resourcekey=0-iw9bsKY2OqkUHCFMkCar3A&amp;gid=2055363397#gid=2055363397"",""MTR!C:O""),11,false)"),"PMW-MCE-NAS")</f>
        <v>PMW-MCE-NAS</v>
      </c>
      <c r="N770" s="248" t="str">
        <f>IFERROR(__xludf.DUMMYFUNCTION("VLOOKUP(C770,IMPORTRANGE(""https://docs.google.com/spreadsheets/d/1ihFlp3_ePlYtFuPbUNbYj1muErVpI73WHXbEwJDIA7Q/edit#gid=1493122344"",""MTR!C:O""),8,false)"),"Complies")</f>
        <v>Complies</v>
      </c>
      <c r="O770" s="248" t="str">
        <f>IFERROR(__xludf.DUMMYFUNCTION("VLOOKUP(C770,IMPORTRANGE(""https://docs.google.com/spreadsheets/d/1P8eX0NWBhUPS_hvzA11R6jkTNFrPrRYIx_dX_hYbxrk/edit?resourcekey=0-iw9bsKY2OqkUHCFMkCar3A&amp;gid=2055363397#gid=2055363397"",""MTR!C:O""),9,false)"),"The feature will be default supported once SA is enabled, please discuss with Google TAM for feature enablement plans")</f>
        <v>The feature will be default supported once SA is enabled, please discuss with Google TAM for feature enablement plans</v>
      </c>
      <c r="P770" s="248"/>
      <c r="Q770" s="249" t="s">
        <v>445</v>
      </c>
      <c r="R770" s="249" t="s">
        <v>1720</v>
      </c>
      <c r="S770" s="154" t="s">
        <v>68</v>
      </c>
      <c r="T770" s="154" t="s">
        <v>68</v>
      </c>
      <c r="U770" s="154" t="s">
        <v>60</v>
      </c>
      <c r="V770" s="154" t="s">
        <v>60</v>
      </c>
      <c r="W770" s="154" t="s">
        <v>60</v>
      </c>
      <c r="X770" s="154" t="s">
        <v>60</v>
      </c>
      <c r="Y770" s="154" t="s">
        <v>68</v>
      </c>
      <c r="Z770" s="154" t="s">
        <v>60</v>
      </c>
      <c r="AA770" s="154" t="s">
        <v>60</v>
      </c>
      <c r="AB770" s="154"/>
      <c r="AC770" s="242" t="b">
        <f t="shared" si="2"/>
        <v>1</v>
      </c>
      <c r="AD770" s="154" t="s">
        <v>391</v>
      </c>
      <c r="AE770" s="243" t="b">
        <f t="shared" si="3"/>
        <v>0</v>
      </c>
      <c r="AF770" s="154"/>
      <c r="AG770" s="243" t="b">
        <f t="shared" si="4"/>
        <v>0</v>
      </c>
      <c r="AH770" s="154" t="s">
        <v>1346</v>
      </c>
      <c r="AI770" s="243" t="str">
        <f t="shared" si="5"/>
        <v>Partially Complies</v>
      </c>
      <c r="AJ770" s="157" t="str">
        <f t="shared" si="6"/>
        <v/>
      </c>
    </row>
    <row r="771" ht="12.75" customHeight="1">
      <c r="A771" s="244" t="s">
        <v>621</v>
      </c>
      <c r="B771" s="244" t="s">
        <v>2214</v>
      </c>
      <c r="C771" s="244" t="s">
        <v>2287</v>
      </c>
      <c r="D771" s="154" t="s">
        <v>1315</v>
      </c>
      <c r="E771" s="250"/>
      <c r="F771" s="154" t="str">
        <f t="array" ref="F771">XLOOKUP(Cover!$D$12,$S$1:$AA$1,$S771:$AA771)</f>
        <v>Mandatory</v>
      </c>
      <c r="G771" s="154" t="s">
        <v>2288</v>
      </c>
      <c r="H771" s="154" t="s">
        <v>234</v>
      </c>
      <c r="I771" s="154" t="s">
        <v>759</v>
      </c>
      <c r="J771" s="247" t="s">
        <v>506</v>
      </c>
      <c r="K771" s="154" t="s">
        <v>1720</v>
      </c>
      <c r="L771" s="154" t="str">
        <f t="shared" si="1"/>
        <v/>
      </c>
      <c r="M771" s="248" t="str">
        <f>IFERROR(__xludf.DUMMYFUNCTION("VLOOKUP(C771,IMPORTRANGE(""https://docs.google.com/spreadsheets/d/1P8eX0NWBhUPS_hvzA11R6jkTNFrPrRYIx_dX_hYbxrk/edit?resourcekey=0-iw9bsKY2OqkUHCFMkCar3A&amp;gid=2055363397#gid=2055363397"",""MTR!C:O""),11,false)"),"PMW-MCE-NAS")</f>
        <v>PMW-MCE-NAS</v>
      </c>
      <c r="N771" s="248" t="str">
        <f>IFERROR(__xludf.DUMMYFUNCTION("VLOOKUP(C771,IMPORTRANGE(""https://docs.google.com/spreadsheets/d/1ihFlp3_ePlYtFuPbUNbYj1muErVpI73WHXbEwJDIA7Q/edit#gid=1493122344"",""MTR!C:O""),8,false)"),"Complies")</f>
        <v>Complies</v>
      </c>
      <c r="O771" s="248" t="str">
        <f>IFERROR(__xludf.DUMMYFUNCTION("VLOOKUP(C771,IMPORTRANGE(""https://docs.google.com/spreadsheets/d/1P8eX0NWBhUPS_hvzA11R6jkTNFrPrRYIx_dX_hYbxrk/edit?resourcekey=0-iw9bsKY2OqkUHCFMkCar3A&amp;gid=2055363397#gid=2055363397"",""MTR!C:O""),9,false)"),"The feature will be default supported once SA is enabled, please discuss with Google TAM for feature enablement plans")</f>
        <v>The feature will be default supported once SA is enabled, please discuss with Google TAM for feature enablement plans</v>
      </c>
      <c r="P771" s="248"/>
      <c r="Q771" s="249" t="s">
        <v>445</v>
      </c>
      <c r="R771" s="249" t="s">
        <v>1720</v>
      </c>
      <c r="S771" s="154" t="s">
        <v>68</v>
      </c>
      <c r="T771" s="154" t="s">
        <v>68</v>
      </c>
      <c r="U771" s="154" t="s">
        <v>60</v>
      </c>
      <c r="V771" s="154" t="s">
        <v>60</v>
      </c>
      <c r="W771" s="154" t="s">
        <v>60</v>
      </c>
      <c r="X771" s="154" t="s">
        <v>60</v>
      </c>
      <c r="Y771" s="154" t="s">
        <v>68</v>
      </c>
      <c r="Z771" s="154" t="s">
        <v>60</v>
      </c>
      <c r="AA771" s="154" t="s">
        <v>60</v>
      </c>
      <c r="AB771" s="154"/>
      <c r="AC771" s="242" t="b">
        <f t="shared" si="2"/>
        <v>1</v>
      </c>
      <c r="AD771" s="154" t="s">
        <v>391</v>
      </c>
      <c r="AE771" s="243" t="b">
        <f t="shared" si="3"/>
        <v>0</v>
      </c>
      <c r="AF771" s="154"/>
      <c r="AG771" s="243" t="b">
        <f t="shared" si="4"/>
        <v>0</v>
      </c>
      <c r="AH771" s="154" t="s">
        <v>1346</v>
      </c>
      <c r="AI771" s="243" t="str">
        <f t="shared" si="5"/>
        <v>Partially Complies</v>
      </c>
      <c r="AJ771" s="157" t="str">
        <f t="shared" si="6"/>
        <v/>
      </c>
    </row>
    <row r="772" ht="12.75" customHeight="1">
      <c r="A772" s="244" t="s">
        <v>621</v>
      </c>
      <c r="B772" s="244" t="s">
        <v>2214</v>
      </c>
      <c r="C772" s="244" t="s">
        <v>2289</v>
      </c>
      <c r="D772" s="154" t="s">
        <v>1315</v>
      </c>
      <c r="E772" s="250"/>
      <c r="F772" s="154" t="str">
        <f t="array" ref="F772">XLOOKUP(Cover!$D$12,$S$1:$AA$1,$S772:$AA772)</f>
        <v>Recommended</v>
      </c>
      <c r="G772" s="154" t="s">
        <v>2290</v>
      </c>
      <c r="H772" s="154"/>
      <c r="I772" s="154" t="s">
        <v>759</v>
      </c>
      <c r="J772" s="247" t="s">
        <v>506</v>
      </c>
      <c r="K772" s="154" t="s">
        <v>1720</v>
      </c>
      <c r="L772" s="154" t="str">
        <f t="shared" si="1"/>
        <v/>
      </c>
      <c r="M772" s="248" t="str">
        <f>IFERROR(__xludf.DUMMYFUNCTION("VLOOKUP(C772,IMPORTRANGE(""https://docs.google.com/spreadsheets/d/1P8eX0NWBhUPS_hvzA11R6jkTNFrPrRYIx_dX_hYbxrk/edit?resourcekey=0-iw9bsKY2OqkUHCFMkCar3A&amp;gid=2055363397#gid=2055363397"",""MTR!C:O""),11,false)"),"PMW-MCE-NAS")</f>
        <v>PMW-MCE-NAS</v>
      </c>
      <c r="N772" s="248" t="str">
        <f>IFERROR(__xludf.DUMMYFUNCTION("VLOOKUP(C772,IMPORTRANGE(""https://docs.google.com/spreadsheets/d/1ihFlp3_ePlYtFuPbUNbYj1muErVpI73WHXbEwJDIA7Q/edit#gid=1493122344"",""MTR!C:O""),8,false)"),"Complies")</f>
        <v>Complies</v>
      </c>
      <c r="O772" s="248" t="str">
        <f>IFERROR(__xludf.DUMMYFUNCTION("VLOOKUP(C772,IMPORTRANGE(""https://docs.google.com/spreadsheets/d/1P8eX0NWBhUPS_hvzA11R6jkTNFrPrRYIx_dX_hYbxrk/edit?resourcekey=0-iw9bsKY2OqkUHCFMkCar3A&amp;gid=2055363397#gid=2055363397"",""MTR!C:O""),9,false)"),"The feature will be default supported once SA is enabled, please discuss with Google TAM for feature enablement plans")</f>
        <v>The feature will be default supported once SA is enabled, please discuss with Google TAM for feature enablement plans</v>
      </c>
      <c r="P772" s="248"/>
      <c r="Q772" s="249" t="s">
        <v>445</v>
      </c>
      <c r="R772" s="249" t="s">
        <v>1720</v>
      </c>
      <c r="S772" s="154" t="s">
        <v>68</v>
      </c>
      <c r="T772" s="154" t="s">
        <v>68</v>
      </c>
      <c r="U772" s="154" t="s">
        <v>64</v>
      </c>
      <c r="V772" s="154" t="s">
        <v>64</v>
      </c>
      <c r="W772" s="154" t="s">
        <v>64</v>
      </c>
      <c r="X772" s="154" t="s">
        <v>64</v>
      </c>
      <c r="Y772" s="154" t="s">
        <v>68</v>
      </c>
      <c r="Z772" s="154" t="s">
        <v>64</v>
      </c>
      <c r="AA772" s="154" t="s">
        <v>64</v>
      </c>
      <c r="AB772" s="154"/>
      <c r="AC772" s="242" t="b">
        <f t="shared" si="2"/>
        <v>1</v>
      </c>
      <c r="AD772" s="154" t="s">
        <v>391</v>
      </c>
      <c r="AE772" s="243" t="b">
        <f t="shared" si="3"/>
        <v>0</v>
      </c>
      <c r="AF772" s="154"/>
      <c r="AG772" s="243" t="b">
        <f t="shared" si="4"/>
        <v>0</v>
      </c>
      <c r="AH772" s="154" t="s">
        <v>1346</v>
      </c>
      <c r="AI772" s="243" t="str">
        <f t="shared" si="5"/>
        <v>Partially Complies</v>
      </c>
      <c r="AJ772" s="157" t="str">
        <f t="shared" si="6"/>
        <v/>
      </c>
    </row>
    <row r="773" ht="12.75" customHeight="1">
      <c r="A773" s="244" t="s">
        <v>621</v>
      </c>
      <c r="B773" s="244" t="s">
        <v>2214</v>
      </c>
      <c r="C773" s="244" t="s">
        <v>2291</v>
      </c>
      <c r="D773" s="154" t="s">
        <v>1315</v>
      </c>
      <c r="E773" s="250"/>
      <c r="F773" s="154" t="str">
        <f t="array" ref="F773">XLOOKUP(Cover!$D$12,$S$1:$AA$1,$S773:$AA773)</f>
        <v>Mandatory</v>
      </c>
      <c r="G773" s="154" t="s">
        <v>2292</v>
      </c>
      <c r="H773" s="154" t="s">
        <v>234</v>
      </c>
      <c r="I773" s="154" t="s">
        <v>759</v>
      </c>
      <c r="J773" s="247" t="s">
        <v>506</v>
      </c>
      <c r="K773" s="154" t="s">
        <v>2238</v>
      </c>
      <c r="L773" s="154" t="str">
        <f t="shared" si="1"/>
        <v/>
      </c>
      <c r="M773" s="248" t="str">
        <f>IFERROR(__xludf.DUMMYFUNCTION("VLOOKUP(C773,IMPORTRANGE(""https://docs.google.com/spreadsheets/d/1P8eX0NWBhUPS_hvzA11R6jkTNFrPrRYIx_dX_hYbxrk/edit?resourcekey=0-iw9bsKY2OqkUHCFMkCar3A&amp;gid=2055363397#gid=2055363397"",""MTR!C:O""),11,false)"),"PMW-MCE-NAS")</f>
        <v>PMW-MCE-NAS</v>
      </c>
      <c r="N773" s="248" t="str">
        <f>IFERROR(__xludf.DUMMYFUNCTION("VLOOKUP(C773,IMPORTRANGE(""https://docs.google.com/spreadsheets/d/1ihFlp3_ePlYtFuPbUNbYj1muErVpI73WHXbEwJDIA7Q/edit#gid=1493122344"",""MTR!C:O""),8,false)"),"Complies")</f>
        <v>Complies</v>
      </c>
      <c r="O773" s="248" t="str">
        <f>IFERROR(__xludf.DUMMYFUNCTION("VLOOKUP(C773,IMPORTRANGE(""https://docs.google.com/spreadsheets/d/1P8eX0NWBhUPS_hvzA11R6jkTNFrPrRYIx_dX_hYbxrk/edit?resourcekey=0-iw9bsKY2OqkUHCFMkCar3A&amp;gid=2055363397#gid=2055363397"",""MTR!C:O""),9,false)"),"The feature will be supported once SA is enabled for DT_DE.
Please discuss with Google TAM for feature enablement plans if the feature is deployed in live network.")</f>
        <v>The feature will be supported once SA is enabled for DT_DE.
Please discuss with Google TAM for feature enablement plans if the feature is deployed in live network.</v>
      </c>
      <c r="P773" s="248"/>
      <c r="Q773" s="249" t="s">
        <v>445</v>
      </c>
      <c r="R773" s="249" t="s">
        <v>2238</v>
      </c>
      <c r="S773" s="154" t="s">
        <v>68</v>
      </c>
      <c r="T773" s="154" t="s">
        <v>68</v>
      </c>
      <c r="U773" s="154" t="s">
        <v>60</v>
      </c>
      <c r="V773" s="154" t="s">
        <v>60</v>
      </c>
      <c r="W773" s="154" t="s">
        <v>60</v>
      </c>
      <c r="X773" s="154" t="s">
        <v>60</v>
      </c>
      <c r="Y773" s="154" t="s">
        <v>68</v>
      </c>
      <c r="Z773" s="154" t="s">
        <v>60</v>
      </c>
      <c r="AA773" s="154" t="s">
        <v>60</v>
      </c>
      <c r="AB773" s="154"/>
      <c r="AC773" s="242" t="b">
        <f t="shared" si="2"/>
        <v>1</v>
      </c>
      <c r="AD773" s="154" t="s">
        <v>391</v>
      </c>
      <c r="AE773" s="243" t="b">
        <f t="shared" si="3"/>
        <v>0</v>
      </c>
      <c r="AF773" s="154"/>
      <c r="AG773" s="243" t="b">
        <f t="shared" si="4"/>
        <v>0</v>
      </c>
      <c r="AH773" s="154" t="s">
        <v>1346</v>
      </c>
      <c r="AI773" s="243" t="str">
        <f t="shared" si="5"/>
        <v>Partially Complies</v>
      </c>
      <c r="AJ773" s="157" t="str">
        <f t="shared" si="6"/>
        <v/>
      </c>
    </row>
    <row r="774" ht="12.75" customHeight="1">
      <c r="A774" s="238" t="s">
        <v>621</v>
      </c>
      <c r="B774" s="238" t="s">
        <v>2214</v>
      </c>
      <c r="C774" s="238" t="s">
        <v>2293</v>
      </c>
      <c r="D774" s="240"/>
      <c r="E774" s="252" t="s">
        <v>92</v>
      </c>
      <c r="F774" s="154" t="str">
        <f t="array" ref="F774">XLOOKUP(Cover!$D$12,$S$1:$AA$1,$S774:$AA774)</f>
        <v>Heading</v>
      </c>
      <c r="G774" s="239" t="s">
        <v>2294</v>
      </c>
      <c r="H774" s="240"/>
      <c r="I774" s="240" t="s">
        <v>389</v>
      </c>
      <c r="J774" s="262"/>
      <c r="K774" s="262"/>
      <c r="L774" s="154" t="str">
        <f t="shared" si="1"/>
        <v/>
      </c>
      <c r="M774" s="241" t="str">
        <f>IFERROR(__xludf.DUMMYFUNCTION("VLOOKUP(C774,IMPORTRANGE(""https://docs.google.com/spreadsheets/d/1P8eX0NWBhUPS_hvzA11R6jkTNFrPrRYIx_dX_hYbxrk/edit?resourcekey=0-iw9bsKY2OqkUHCFMkCar3A&amp;gid=2055363397#gid=2055363397"",""MTR!C:O""),11,false)"),"")</f>
        <v/>
      </c>
      <c r="N774" s="241" t="str">
        <f>IFERROR(__xludf.DUMMYFUNCTION("VLOOKUP(C774,IMPORTRANGE(""https://docs.google.com/spreadsheets/d/1ihFlp3_ePlYtFuPbUNbYj1muErVpI73WHXbEwJDIA7Q/edit#gid=1493122344"",""MTR!C:O""),8,false)"),"")</f>
        <v/>
      </c>
      <c r="O774" s="241" t="str">
        <f>IFERROR(__xludf.DUMMYFUNCTION("VLOOKUP(C774,IMPORTRANGE(""https://docs.google.com/spreadsheets/d/1P8eX0NWBhUPS_hvzA11R6jkTNFrPrRYIx_dX_hYbxrk/edit?resourcekey=0-iw9bsKY2OqkUHCFMkCar3A&amp;gid=2055363397#gid=2055363397"",""MTR!C:O""),9,false)"),"")</f>
        <v/>
      </c>
      <c r="P774" s="241"/>
      <c r="Q774" s="251"/>
      <c r="R774" s="251"/>
      <c r="S774" s="240" t="s">
        <v>390</v>
      </c>
      <c r="T774" s="240" t="s">
        <v>390</v>
      </c>
      <c r="U774" s="240" t="s">
        <v>390</v>
      </c>
      <c r="V774" s="240" t="s">
        <v>390</v>
      </c>
      <c r="W774" s="240" t="s">
        <v>390</v>
      </c>
      <c r="X774" s="240" t="s">
        <v>390</v>
      </c>
      <c r="Y774" s="240" t="s">
        <v>390</v>
      </c>
      <c r="Z774" s="240" t="s">
        <v>390</v>
      </c>
      <c r="AA774" s="240" t="s">
        <v>390</v>
      </c>
      <c r="AB774" s="240"/>
      <c r="AC774" s="242" t="b">
        <f t="shared" si="2"/>
        <v>0</v>
      </c>
      <c r="AD774" s="240" t="s">
        <v>391</v>
      </c>
      <c r="AE774" s="243" t="b">
        <f t="shared" si="3"/>
        <v>0</v>
      </c>
      <c r="AF774" s="240"/>
      <c r="AG774" s="243" t="b">
        <f t="shared" si="4"/>
        <v>0</v>
      </c>
      <c r="AH774" s="240"/>
      <c r="AI774" s="243" t="str">
        <f t="shared" si="5"/>
        <v>N/A</v>
      </c>
      <c r="AJ774" s="157" t="str">
        <f t="shared" si="6"/>
        <v/>
      </c>
    </row>
    <row r="775" ht="12.75" customHeight="1">
      <c r="A775" s="244" t="s">
        <v>621</v>
      </c>
      <c r="B775" s="244" t="s">
        <v>2214</v>
      </c>
      <c r="C775" s="244" t="s">
        <v>2295</v>
      </c>
      <c r="D775" s="154" t="s">
        <v>967</v>
      </c>
      <c r="E775" s="250"/>
      <c r="F775" s="154" t="str">
        <f t="array" ref="F775">XLOOKUP(Cover!$D$12,$S$1:$AA$1,$S775:$AA775)</f>
        <v>Mandatory</v>
      </c>
      <c r="G775" s="154" t="s">
        <v>2296</v>
      </c>
      <c r="H775" s="154" t="s">
        <v>647</v>
      </c>
      <c r="I775" s="154" t="s">
        <v>759</v>
      </c>
      <c r="J775" s="154" t="s">
        <v>445</v>
      </c>
      <c r="K775" s="154"/>
      <c r="L775" s="154" t="str">
        <f t="shared" si="1"/>
        <v/>
      </c>
      <c r="M775" s="248" t="str">
        <f>IFERROR(__xludf.DUMMYFUNCTION("VLOOKUP(C775,IMPORTRANGE(""https://docs.google.com/spreadsheets/d/1P8eX0NWBhUPS_hvzA11R6jkTNFrPrRYIx_dX_hYbxrk/edit?resourcekey=0-iw9bsKY2OqkUHCFMkCar3A&amp;gid=2055363397#gid=2055363397"",""MTR!C:O""),11,false)"),"PMW-MCE-NAS")</f>
        <v>PMW-MCE-NAS</v>
      </c>
      <c r="N775" s="248" t="str">
        <f>IFERROR(__xludf.DUMMYFUNCTION("VLOOKUP(C775,IMPORTRANGE(""https://docs.google.com/spreadsheets/d/1ihFlp3_ePlYtFuPbUNbYj1muErVpI73WHXbEwJDIA7Q/edit#gid=1493122344"",""MTR!C:O""),8,false)"),"Complies")</f>
        <v>Complies</v>
      </c>
      <c r="O775" s="241" t="str">
        <f>IFERROR(__xludf.DUMMYFUNCTION("VLOOKUP(C775,IMPORTRANGE(""https://docs.google.com/spreadsheets/d/1P8eX0NWBhUPS_hvzA11R6jkTNFrPrRYIx_dX_hYbxrk/edit?resourcekey=0-iw9bsKY2OqkUHCFMkCar3A&amp;gid=2055363397#gid=2055363397"",""MTR!C:O""),9,false)"),"")</f>
        <v/>
      </c>
      <c r="P775" s="241"/>
      <c r="Q775" s="251" t="s">
        <v>445</v>
      </c>
      <c r="R775" s="241"/>
      <c r="S775" s="154" t="s">
        <v>66</v>
      </c>
      <c r="T775" s="154" t="s">
        <v>66</v>
      </c>
      <c r="U775" s="154" t="s">
        <v>60</v>
      </c>
      <c r="V775" s="154" t="s">
        <v>60</v>
      </c>
      <c r="W775" s="154" t="s">
        <v>60</v>
      </c>
      <c r="X775" s="154" t="s">
        <v>60</v>
      </c>
      <c r="Y775" s="154" t="s">
        <v>66</v>
      </c>
      <c r="Z775" s="154" t="s">
        <v>60</v>
      </c>
      <c r="AA775" s="154" t="s">
        <v>60</v>
      </c>
      <c r="AB775" s="154"/>
      <c r="AC775" s="242" t="b">
        <f t="shared" si="2"/>
        <v>1</v>
      </c>
      <c r="AD775" s="154" t="s">
        <v>391</v>
      </c>
      <c r="AE775" s="243" t="b">
        <f t="shared" si="3"/>
        <v>0</v>
      </c>
      <c r="AF775" s="154"/>
      <c r="AG775" s="243" t="b">
        <f t="shared" si="4"/>
        <v>0</v>
      </c>
      <c r="AH775" s="154"/>
      <c r="AI775" s="243" t="str">
        <f t="shared" si="5"/>
        <v>N/A</v>
      </c>
      <c r="AJ775" s="157" t="str">
        <f t="shared" si="6"/>
        <v/>
      </c>
    </row>
    <row r="776" ht="12.75" customHeight="1">
      <c r="A776" s="244" t="s">
        <v>621</v>
      </c>
      <c r="B776" s="244" t="s">
        <v>2214</v>
      </c>
      <c r="C776" s="245" t="s">
        <v>2297</v>
      </c>
      <c r="D776" s="155" t="s">
        <v>427</v>
      </c>
      <c r="E776" s="246" t="s">
        <v>92</v>
      </c>
      <c r="F776" s="154" t="str">
        <f t="array" ref="F776">XLOOKUP(Cover!$D$12,$S$1:$AA$1,$S776:$AA776)</f>
        <v>N/A</v>
      </c>
      <c r="G776" s="153" t="s">
        <v>2298</v>
      </c>
      <c r="H776" s="154" t="s">
        <v>398</v>
      </c>
      <c r="I776" s="154" t="s">
        <v>759</v>
      </c>
      <c r="J776" s="154" t="s">
        <v>617</v>
      </c>
      <c r="K776" s="154"/>
      <c r="L776" s="154" t="str">
        <f t="shared" si="1"/>
        <v/>
      </c>
      <c r="M776" s="248" t="str">
        <f>IFERROR(__xludf.DUMMYFUNCTION("VLOOKUP(C776,IMPORTRANGE(""https://docs.google.com/spreadsheets/d/1P8eX0NWBhUPS_hvzA11R6jkTNFrPrRYIx_dX_hYbxrk/edit?resourcekey=0-iw9bsKY2OqkUHCFMkCar3A&amp;gid=2055363397#gid=2055363397"",""MTR!C:O""),11,false)"),"PMW-MCE-NAS")</f>
        <v>PMW-MCE-NAS</v>
      </c>
      <c r="N776" s="248" t="str">
        <f>IFERROR(__xludf.DUMMYFUNCTION("VLOOKUP(C776,IMPORTRANGE(""https://docs.google.com/spreadsheets/d/1ihFlp3_ePlYtFuPbUNbYj1muErVpI73WHXbEwJDIA7Q/edit#gid=1493122344"",""MTR!C:O""),8,false)"),"Not Applicable")</f>
        <v>Not Applicable</v>
      </c>
      <c r="O776" s="241" t="str">
        <f>IFERROR(__xludf.DUMMYFUNCTION("VLOOKUP(C776,IMPORTRANGE(""https://docs.google.com/spreadsheets/d/1P8eX0NWBhUPS_hvzA11R6jkTNFrPrRYIx_dX_hYbxrk/edit?resourcekey=0-iw9bsKY2OqkUHCFMkCar3A&amp;gid=2055363397#gid=2055363397"",""MTR!C:O""),9,false)"),"")</f>
        <v/>
      </c>
      <c r="P776" s="241"/>
      <c r="Q776" s="251" t="s">
        <v>617</v>
      </c>
      <c r="R776" s="251" t="s">
        <v>2299</v>
      </c>
      <c r="S776" s="154" t="s">
        <v>68</v>
      </c>
      <c r="T776" s="154" t="s">
        <v>68</v>
      </c>
      <c r="U776" s="154" t="s">
        <v>68</v>
      </c>
      <c r="V776" s="154" t="s">
        <v>68</v>
      </c>
      <c r="W776" s="154" t="s">
        <v>68</v>
      </c>
      <c r="X776" s="154" t="s">
        <v>68</v>
      </c>
      <c r="Y776" s="154" t="s">
        <v>60</v>
      </c>
      <c r="Z776" s="154" t="s">
        <v>60</v>
      </c>
      <c r="AA776" s="154" t="s">
        <v>60</v>
      </c>
      <c r="AB776" s="154"/>
      <c r="AC776" s="242" t="b">
        <f t="shared" si="2"/>
        <v>1</v>
      </c>
      <c r="AD776" s="154" t="s">
        <v>391</v>
      </c>
      <c r="AE776" s="243" t="b">
        <f t="shared" si="3"/>
        <v>0</v>
      </c>
      <c r="AF776" s="154"/>
      <c r="AG776" s="243" t="b">
        <f t="shared" si="4"/>
        <v>0</v>
      </c>
      <c r="AH776" s="154"/>
      <c r="AI776" s="243" t="str">
        <f t="shared" si="5"/>
        <v>N/A</v>
      </c>
      <c r="AJ776" s="157" t="str">
        <f t="shared" si="6"/>
        <v/>
      </c>
    </row>
    <row r="777" ht="12.75" customHeight="1">
      <c r="A777" s="244" t="s">
        <v>621</v>
      </c>
      <c r="B777" s="244" t="s">
        <v>2214</v>
      </c>
      <c r="C777" s="245" t="s">
        <v>2300</v>
      </c>
      <c r="D777" s="155" t="s">
        <v>422</v>
      </c>
      <c r="E777" s="246" t="s">
        <v>92</v>
      </c>
      <c r="F777" s="154" t="str">
        <f t="array" ref="F777">XLOOKUP(Cover!$D$12,$S$1:$AA$1,$S777:$AA777)</f>
        <v>Mandatory</v>
      </c>
      <c r="G777" s="247" t="s">
        <v>2301</v>
      </c>
      <c r="H777" s="154" t="s">
        <v>347</v>
      </c>
      <c r="I777" s="154" t="s">
        <v>389</v>
      </c>
      <c r="J777" s="154" t="s">
        <v>445</v>
      </c>
      <c r="K777" s="154"/>
      <c r="L777" s="154" t="str">
        <f t="shared" si="1"/>
        <v/>
      </c>
      <c r="M777" s="249" t="s">
        <v>2302</v>
      </c>
      <c r="N777" s="248" t="str">
        <f>IFERROR(__xludf.DUMMYFUNCTION("VLOOKUP(C777,IMPORTRANGE(""https://docs.google.com/spreadsheets/d/1ihFlp3_ePlYtFuPbUNbYj1muErVpI73WHXbEwJDIA7Q/edit#gid=1493122344"",""MTR!C:O""),8,false)"),"Complies")</f>
        <v>Complies</v>
      </c>
      <c r="O777" s="241" t="str">
        <f>IFERROR(__xludf.DUMMYFUNCTION("VLOOKUP(C777,IMPORTRANGE(""https://docs.google.com/spreadsheets/d/1P8eX0NWBhUPS_hvzA11R6jkTNFrPrRYIx_dX_hYbxrk/edit?resourcekey=0-iw9bsKY2OqkUHCFMkCar3A&amp;gid=2055363397#gid=2055363397"",""MTR!C:O""),9,false)"),"")</f>
        <v/>
      </c>
      <c r="P777" s="241"/>
      <c r="Q777" s="251" t="s">
        <v>445</v>
      </c>
      <c r="R777" s="251"/>
      <c r="S777" s="154" t="s">
        <v>60</v>
      </c>
      <c r="T777" s="154" t="s">
        <v>60</v>
      </c>
      <c r="U777" s="154" t="s">
        <v>60</v>
      </c>
      <c r="V777" s="154" t="s">
        <v>60</v>
      </c>
      <c r="W777" s="154" t="s">
        <v>60</v>
      </c>
      <c r="X777" s="154" t="s">
        <v>60</v>
      </c>
      <c r="Y777" s="154" t="s">
        <v>60</v>
      </c>
      <c r="Z777" s="154" t="s">
        <v>60</v>
      </c>
      <c r="AA777" s="154" t="s">
        <v>60</v>
      </c>
      <c r="AB777" s="154"/>
      <c r="AC777" s="242" t="b">
        <f t="shared" si="2"/>
        <v>1</v>
      </c>
      <c r="AD777" s="154" t="s">
        <v>391</v>
      </c>
      <c r="AE777" s="243" t="b">
        <f t="shared" si="3"/>
        <v>0</v>
      </c>
      <c r="AF777" s="154"/>
      <c r="AG777" s="243" t="b">
        <f t="shared" si="4"/>
        <v>0</v>
      </c>
      <c r="AH777" s="154"/>
      <c r="AI777" s="243" t="str">
        <f t="shared" si="5"/>
        <v>N/A</v>
      </c>
      <c r="AJ777" s="157" t="str">
        <f t="shared" si="6"/>
        <v/>
      </c>
    </row>
    <row r="778" ht="12.75" customHeight="1">
      <c r="A778" s="244" t="s">
        <v>621</v>
      </c>
      <c r="B778" s="244" t="s">
        <v>2214</v>
      </c>
      <c r="C778" s="244" t="s">
        <v>2303</v>
      </c>
      <c r="D778" s="154" t="s">
        <v>747</v>
      </c>
      <c r="E778" s="250"/>
      <c r="F778" s="154" t="str">
        <f t="array" ref="F778">XLOOKUP(Cover!$D$12,$S$1:$AA$1,$S778:$AA778)</f>
        <v>Recommended</v>
      </c>
      <c r="G778" s="154" t="s">
        <v>2304</v>
      </c>
      <c r="H778" s="154"/>
      <c r="I778" s="154" t="s">
        <v>389</v>
      </c>
      <c r="J778" s="154" t="s">
        <v>445</v>
      </c>
      <c r="K778" s="154"/>
      <c r="L778" s="154" t="str">
        <f t="shared" si="1"/>
        <v/>
      </c>
      <c r="M778" s="248" t="str">
        <f>IFERROR(__xludf.DUMMYFUNCTION("VLOOKUP(C778,IMPORTRANGE(""https://docs.google.com/spreadsheets/d/1P8eX0NWBhUPS_hvzA11R6jkTNFrPrRYIx_dX_hYbxrk/edit?resourcekey=0-iw9bsKY2OqkUHCFMkCar3A&amp;gid=2055363397#gid=2055363397"",""MTR!C:O""),11,false)"),"PMW-IMS")</f>
        <v>PMW-IMS</v>
      </c>
      <c r="N778" s="248" t="str">
        <f>IFERROR(__xludf.DUMMYFUNCTION("VLOOKUP(C778,IMPORTRANGE(""https://docs.google.com/spreadsheets/d/1ihFlp3_ePlYtFuPbUNbYj1muErVpI73WHXbEwJDIA7Q/edit#gid=1493122344"",""MTR!C:O""),8,false)"),"Complies")</f>
        <v>Complies</v>
      </c>
      <c r="O778" s="241" t="str">
        <f>IFERROR(__xludf.DUMMYFUNCTION("VLOOKUP(C778,IMPORTRANGE(""https://docs.google.com/spreadsheets/d/1P8eX0NWBhUPS_hvzA11R6jkTNFrPrRYIx_dX_hYbxrk/edit?resourcekey=0-iw9bsKY2OqkUHCFMkCar3A&amp;gid=2055363397#gid=2055363397"",""MTR!C:O""),9,false)"),"")</f>
        <v/>
      </c>
      <c r="P778" s="241"/>
      <c r="Q778" s="251" t="s">
        <v>445</v>
      </c>
      <c r="R778" s="241"/>
      <c r="S778" s="154" t="s">
        <v>64</v>
      </c>
      <c r="T778" s="154" t="s">
        <v>64</v>
      </c>
      <c r="U778" s="154" t="s">
        <v>64</v>
      </c>
      <c r="V778" s="154" t="s">
        <v>64</v>
      </c>
      <c r="W778" s="154" t="s">
        <v>64</v>
      </c>
      <c r="X778" s="154" t="s">
        <v>64</v>
      </c>
      <c r="Y778" s="154" t="s">
        <v>64</v>
      </c>
      <c r="Z778" s="154" t="s">
        <v>64</v>
      </c>
      <c r="AA778" s="154" t="s">
        <v>64</v>
      </c>
      <c r="AB778" s="154"/>
      <c r="AC778" s="242" t="b">
        <f t="shared" si="2"/>
        <v>1</v>
      </c>
      <c r="AD778" s="154" t="s">
        <v>391</v>
      </c>
      <c r="AE778" s="243" t="b">
        <f t="shared" si="3"/>
        <v>0</v>
      </c>
      <c r="AF778" s="154"/>
      <c r="AG778" s="243" t="b">
        <f t="shared" si="4"/>
        <v>0</v>
      </c>
      <c r="AH778" s="154"/>
      <c r="AI778" s="243" t="str">
        <f t="shared" si="5"/>
        <v>N/A</v>
      </c>
      <c r="AJ778" s="157" t="str">
        <f t="shared" si="6"/>
        <v/>
      </c>
    </row>
    <row r="779" ht="12.75" customHeight="1">
      <c r="A779" s="244" t="s">
        <v>621</v>
      </c>
      <c r="B779" s="244" t="s">
        <v>2214</v>
      </c>
      <c r="C779" s="255" t="s">
        <v>2305</v>
      </c>
      <c r="D779" s="256" t="s">
        <v>42</v>
      </c>
      <c r="E779" s="257" t="s">
        <v>489</v>
      </c>
      <c r="F779" s="154" t="str">
        <f t="array" ref="F779">XLOOKUP(Cover!$D$12,$S$1:$AA$1,$S779:$AA779)</f>
        <v>Mandatory</v>
      </c>
      <c r="G779" s="154" t="s">
        <v>2306</v>
      </c>
      <c r="H779" s="154" t="s">
        <v>2307</v>
      </c>
      <c r="I779" s="154" t="s">
        <v>2155</v>
      </c>
      <c r="J779" s="247" t="s">
        <v>506</v>
      </c>
      <c r="K779" s="154" t="s">
        <v>2308</v>
      </c>
      <c r="L779" s="154" t="str">
        <f t="shared" si="1"/>
        <v/>
      </c>
      <c r="M779" s="253" t="s">
        <v>2194</v>
      </c>
      <c r="N779" s="253" t="str">
        <f>IFERROR(__xludf.DUMMYFUNCTION("VLOOKUP(C779,IMPORTRANGE(""https://docs.google.com/spreadsheets/d/1ihFlp3_ePlYtFuPbUNbYj1muErVpI73WHXbEwJDIA7Q/edit#gid=1493122344"",""MTR!C:O""),8,false)"),"#N/A")</f>
        <v>#N/A</v>
      </c>
      <c r="O779" s="253" t="str">
        <f>IFERROR(__xludf.DUMMYFUNCTION("VLOOKUP(C779,IMPORTRANGE(""https://docs.google.com/spreadsheets/d/1P8eX0NWBhUPS_hvzA11R6jkTNFrPrRYIx_dX_hYbxrk/edit?resourcekey=0-iw9bsKY2OqkUHCFMkCar3A&amp;gid=2055363397#gid=2055363397"",""MTR!C:O""),9,false)"),"#N/A")</f>
        <v>#N/A</v>
      </c>
      <c r="P779" s="253"/>
      <c r="Q779" s="259"/>
      <c r="R779" s="253"/>
      <c r="S779" s="154" t="s">
        <v>68</v>
      </c>
      <c r="T779" s="154" t="s">
        <v>68</v>
      </c>
      <c r="U779" s="154" t="s">
        <v>60</v>
      </c>
      <c r="V779" s="154" t="s">
        <v>60</v>
      </c>
      <c r="W779" s="154" t="s">
        <v>60</v>
      </c>
      <c r="X779" s="154" t="s">
        <v>60</v>
      </c>
      <c r="Y779" s="154" t="s">
        <v>68</v>
      </c>
      <c r="Z779" s="154" t="s">
        <v>60</v>
      </c>
      <c r="AA779" s="154" t="s">
        <v>60</v>
      </c>
      <c r="AB779" s="154"/>
      <c r="AC779" s="242" t="b">
        <f t="shared" si="2"/>
        <v>1</v>
      </c>
      <c r="AD779" s="154"/>
      <c r="AE779" s="243" t="b">
        <f t="shared" si="3"/>
        <v>0</v>
      </c>
      <c r="AF779" s="154"/>
      <c r="AG779" s="243" t="b">
        <f t="shared" si="4"/>
        <v>0</v>
      </c>
      <c r="AH779" s="154"/>
      <c r="AI779" s="243" t="str">
        <f t="shared" si="5"/>
        <v>N/A</v>
      </c>
      <c r="AJ779" s="157" t="str">
        <f t="shared" si="6"/>
        <v/>
      </c>
    </row>
    <row r="780" ht="12.75" customHeight="1">
      <c r="A780" s="244" t="s">
        <v>621</v>
      </c>
      <c r="B780" s="244" t="s">
        <v>2214</v>
      </c>
      <c r="C780" s="255" t="s">
        <v>2309</v>
      </c>
      <c r="D780" s="256" t="s">
        <v>42</v>
      </c>
      <c r="E780" s="257" t="s">
        <v>489</v>
      </c>
      <c r="F780" s="154" t="str">
        <f t="array" ref="F780">XLOOKUP(Cover!$D$12,$S$1:$AA$1,$S780:$AA780)</f>
        <v>Mandatory</v>
      </c>
      <c r="G780" s="154" t="s">
        <v>2310</v>
      </c>
      <c r="H780" s="154" t="s">
        <v>2307</v>
      </c>
      <c r="I780" s="154" t="s">
        <v>2155</v>
      </c>
      <c r="J780" s="247" t="s">
        <v>506</v>
      </c>
      <c r="K780" s="154" t="s">
        <v>2308</v>
      </c>
      <c r="L780" s="154" t="str">
        <f t="shared" si="1"/>
        <v/>
      </c>
      <c r="M780" s="253" t="s">
        <v>2194</v>
      </c>
      <c r="N780" s="253" t="str">
        <f>IFERROR(__xludf.DUMMYFUNCTION("VLOOKUP(C780,IMPORTRANGE(""https://docs.google.com/spreadsheets/d/1ihFlp3_ePlYtFuPbUNbYj1muErVpI73WHXbEwJDIA7Q/edit#gid=1493122344"",""MTR!C:O""),8,false)"),"#N/A")</f>
        <v>#N/A</v>
      </c>
      <c r="O780" s="253" t="str">
        <f>IFERROR(__xludf.DUMMYFUNCTION("VLOOKUP(C780,IMPORTRANGE(""https://docs.google.com/spreadsheets/d/1P8eX0NWBhUPS_hvzA11R6jkTNFrPrRYIx_dX_hYbxrk/edit?resourcekey=0-iw9bsKY2OqkUHCFMkCar3A&amp;gid=2055363397#gid=2055363397"",""MTR!C:O""),9,false)"),"#N/A")</f>
        <v>#N/A</v>
      </c>
      <c r="P780" s="253"/>
      <c r="Q780" s="253"/>
      <c r="R780" s="253"/>
      <c r="S780" s="154" t="s">
        <v>68</v>
      </c>
      <c r="T780" s="154" t="s">
        <v>68</v>
      </c>
      <c r="U780" s="154" t="s">
        <v>60</v>
      </c>
      <c r="V780" s="154" t="s">
        <v>60</v>
      </c>
      <c r="W780" s="154" t="s">
        <v>60</v>
      </c>
      <c r="X780" s="154" t="s">
        <v>60</v>
      </c>
      <c r="Y780" s="154" t="s">
        <v>68</v>
      </c>
      <c r="Z780" s="154" t="s">
        <v>60</v>
      </c>
      <c r="AA780" s="154" t="s">
        <v>60</v>
      </c>
      <c r="AB780" s="154"/>
      <c r="AC780" s="242" t="b">
        <f t="shared" si="2"/>
        <v>1</v>
      </c>
      <c r="AD780" s="154"/>
      <c r="AE780" s="243" t="b">
        <f t="shared" si="3"/>
        <v>0</v>
      </c>
      <c r="AF780" s="154"/>
      <c r="AG780" s="243" t="b">
        <f t="shared" si="4"/>
        <v>0</v>
      </c>
      <c r="AH780" s="154"/>
      <c r="AI780" s="243" t="str">
        <f t="shared" si="5"/>
        <v>N/A</v>
      </c>
      <c r="AJ780" s="157" t="str">
        <f t="shared" si="6"/>
        <v/>
      </c>
    </row>
    <row r="781" ht="12.75" customHeight="1">
      <c r="A781" s="238" t="s">
        <v>621</v>
      </c>
      <c r="B781" s="238" t="s">
        <v>2214</v>
      </c>
      <c r="C781" s="238" t="s">
        <v>2311</v>
      </c>
      <c r="D781" s="240"/>
      <c r="E781" s="252" t="s">
        <v>92</v>
      </c>
      <c r="F781" s="154" t="str">
        <f t="array" ref="F781">XLOOKUP(Cover!$D$12,$S$1:$AA$1,$S781:$AA781)</f>
        <v>Heading</v>
      </c>
      <c r="G781" s="239" t="s">
        <v>2312</v>
      </c>
      <c r="H781" s="240"/>
      <c r="I781" s="240" t="s">
        <v>389</v>
      </c>
      <c r="J781" s="240"/>
      <c r="K781" s="240"/>
      <c r="L781" s="154" t="str">
        <f t="shared" si="1"/>
        <v/>
      </c>
      <c r="M781" s="241" t="str">
        <f>IFERROR(__xludf.DUMMYFUNCTION("VLOOKUP(C781,IMPORTRANGE(""https://docs.google.com/spreadsheets/d/1P8eX0NWBhUPS_hvzA11R6jkTNFrPrRYIx_dX_hYbxrk/edit?resourcekey=0-iw9bsKY2OqkUHCFMkCar3A&amp;gid=2055363397#gid=2055363397"",""MTR!C:O""),11,false)"),"")</f>
        <v/>
      </c>
      <c r="N781" s="241" t="str">
        <f>IFERROR(__xludf.DUMMYFUNCTION("VLOOKUP(C781,IMPORTRANGE(""https://docs.google.com/spreadsheets/d/1ihFlp3_ePlYtFuPbUNbYj1muErVpI73WHXbEwJDIA7Q/edit#gid=1493122344"",""MTR!C:O""),8,false)"),"")</f>
        <v/>
      </c>
      <c r="O781" s="241" t="str">
        <f>IFERROR(__xludf.DUMMYFUNCTION("VLOOKUP(C781,IMPORTRANGE(""https://docs.google.com/spreadsheets/d/1P8eX0NWBhUPS_hvzA11R6jkTNFrPrRYIx_dX_hYbxrk/edit?resourcekey=0-iw9bsKY2OqkUHCFMkCar3A&amp;gid=2055363397#gid=2055363397"",""MTR!C:O""),9,false)"),"")</f>
        <v/>
      </c>
      <c r="P781" s="241"/>
      <c r="Q781" s="241"/>
      <c r="R781" s="241"/>
      <c r="S781" s="240" t="s">
        <v>390</v>
      </c>
      <c r="T781" s="240" t="s">
        <v>390</v>
      </c>
      <c r="U781" s="240" t="s">
        <v>390</v>
      </c>
      <c r="V781" s="240" t="s">
        <v>390</v>
      </c>
      <c r="W781" s="240" t="s">
        <v>390</v>
      </c>
      <c r="X781" s="240" t="s">
        <v>390</v>
      </c>
      <c r="Y781" s="240" t="s">
        <v>390</v>
      </c>
      <c r="Z781" s="240" t="s">
        <v>390</v>
      </c>
      <c r="AA781" s="240" t="s">
        <v>390</v>
      </c>
      <c r="AB781" s="240"/>
      <c r="AC781" s="242" t="b">
        <f t="shared" si="2"/>
        <v>0</v>
      </c>
      <c r="AD781" s="240" t="s">
        <v>391</v>
      </c>
      <c r="AE781" s="243" t="b">
        <f t="shared" si="3"/>
        <v>0</v>
      </c>
      <c r="AF781" s="240"/>
      <c r="AG781" s="243" t="b">
        <f t="shared" si="4"/>
        <v>0</v>
      </c>
      <c r="AH781" s="240"/>
      <c r="AI781" s="243" t="str">
        <f t="shared" si="5"/>
        <v>N/A</v>
      </c>
      <c r="AJ781" s="157" t="str">
        <f t="shared" si="6"/>
        <v/>
      </c>
    </row>
    <row r="782" ht="12.75" customHeight="1">
      <c r="A782" s="244" t="s">
        <v>621</v>
      </c>
      <c r="B782" s="244" t="s">
        <v>2214</v>
      </c>
      <c r="C782" s="245" t="s">
        <v>2313</v>
      </c>
      <c r="D782" s="155" t="s">
        <v>1211</v>
      </c>
      <c r="E782" s="246" t="s">
        <v>92</v>
      </c>
      <c r="F782" s="154" t="str">
        <f t="array" ref="F782">XLOOKUP(Cover!$D$12,$S$1:$AA$1,$S782:$AA782)</f>
        <v>Mandatory</v>
      </c>
      <c r="G782" s="154" t="s">
        <v>2314</v>
      </c>
      <c r="H782" s="154" t="s">
        <v>398</v>
      </c>
      <c r="I782" s="154" t="s">
        <v>420</v>
      </c>
      <c r="J782" s="154" t="s">
        <v>445</v>
      </c>
      <c r="K782" s="154"/>
      <c r="L782" s="154" t="str">
        <f t="shared" si="1"/>
        <v/>
      </c>
      <c r="M782" s="248" t="str">
        <f>IFERROR(__xludf.DUMMYFUNCTION("VLOOKUP(C782,IMPORTRANGE(""https://docs.google.com/spreadsheets/d/1P8eX0NWBhUPS_hvzA11R6jkTNFrPrRYIx_dX_hYbxrk/edit?resourcekey=0-iw9bsKY2OqkUHCFMkCar3A&amp;gid=2055363397#gid=2055363397"",""MTR!C:O""),11,false)"),"PMW-MCE-AS")</f>
        <v>PMW-MCE-AS</v>
      </c>
      <c r="N782" s="248" t="str">
        <f>IFERROR(__xludf.DUMMYFUNCTION("VLOOKUP(C782,IMPORTRANGE(""https://docs.google.com/spreadsheets/d/1ihFlp3_ePlYtFuPbUNbYj1muErVpI73WHXbEwJDIA7Q/edit#gid=1493122344"",""MTR!C:O""),8,false)"),"Complies")</f>
        <v>Complies</v>
      </c>
      <c r="O782" s="241" t="str">
        <f>IFERROR(__xludf.DUMMYFUNCTION("VLOOKUP(C782,IMPORTRANGE(""https://docs.google.com/spreadsheets/d/1P8eX0NWBhUPS_hvzA11R6jkTNFrPrRYIx_dX_hYbxrk/edit?resourcekey=0-iw9bsKY2OqkUHCFMkCar3A&amp;gid=2055363397#gid=2055363397"",""MTR!C:O""),9,false)"),"")</f>
        <v/>
      </c>
      <c r="P782" s="241"/>
      <c r="Q782" s="251" t="s">
        <v>445</v>
      </c>
      <c r="R782" s="241"/>
      <c r="S782" s="154" t="s">
        <v>60</v>
      </c>
      <c r="T782" s="154" t="s">
        <v>60</v>
      </c>
      <c r="U782" s="154" t="s">
        <v>60</v>
      </c>
      <c r="V782" s="154" t="s">
        <v>60</v>
      </c>
      <c r="W782" s="154" t="s">
        <v>60</v>
      </c>
      <c r="X782" s="154" t="s">
        <v>60</v>
      </c>
      <c r="Y782" s="154" t="s">
        <v>60</v>
      </c>
      <c r="Z782" s="154" t="s">
        <v>60</v>
      </c>
      <c r="AA782" s="154" t="s">
        <v>60</v>
      </c>
      <c r="AB782" s="154"/>
      <c r="AC782" s="242" t="b">
        <f t="shared" si="2"/>
        <v>1</v>
      </c>
      <c r="AD782" s="154" t="s">
        <v>391</v>
      </c>
      <c r="AE782" s="243" t="b">
        <f t="shared" si="3"/>
        <v>0</v>
      </c>
      <c r="AF782" s="154"/>
      <c r="AG782" s="243" t="b">
        <f t="shared" si="4"/>
        <v>0</v>
      </c>
      <c r="AH782" s="154"/>
      <c r="AI782" s="243" t="str">
        <f t="shared" si="5"/>
        <v>N/A</v>
      </c>
      <c r="AJ782" s="157" t="str">
        <f t="shared" si="6"/>
        <v/>
      </c>
    </row>
    <row r="783" ht="12.75" customHeight="1">
      <c r="A783" s="238" t="s">
        <v>621</v>
      </c>
      <c r="B783" s="238" t="s">
        <v>2214</v>
      </c>
      <c r="C783" s="238" t="s">
        <v>2315</v>
      </c>
      <c r="D783" s="240"/>
      <c r="E783" s="252" t="s">
        <v>92</v>
      </c>
      <c r="F783" s="154" t="str">
        <f t="array" ref="F783">XLOOKUP(Cover!$D$12,$S$1:$AA$1,$S783:$AA783)</f>
        <v>Heading</v>
      </c>
      <c r="G783" s="239" t="s">
        <v>2316</v>
      </c>
      <c r="H783" s="240"/>
      <c r="I783" s="240" t="s">
        <v>389</v>
      </c>
      <c r="J783" s="240"/>
      <c r="K783" s="240"/>
      <c r="L783" s="154" t="str">
        <f t="shared" si="1"/>
        <v/>
      </c>
      <c r="M783" s="241" t="str">
        <f>IFERROR(__xludf.DUMMYFUNCTION("VLOOKUP(C783,IMPORTRANGE(""https://docs.google.com/spreadsheets/d/1P8eX0NWBhUPS_hvzA11R6jkTNFrPrRYIx_dX_hYbxrk/edit?resourcekey=0-iw9bsKY2OqkUHCFMkCar3A&amp;gid=2055363397#gid=2055363397"",""MTR!C:O""),11,false)"),"")</f>
        <v/>
      </c>
      <c r="N783" s="241" t="str">
        <f>IFERROR(__xludf.DUMMYFUNCTION("VLOOKUP(C783,IMPORTRANGE(""https://docs.google.com/spreadsheets/d/1ihFlp3_ePlYtFuPbUNbYj1muErVpI73WHXbEwJDIA7Q/edit#gid=1493122344"",""MTR!C:O""),8,false)"),"")</f>
        <v/>
      </c>
      <c r="O783" s="241" t="str">
        <f>IFERROR(__xludf.DUMMYFUNCTION("VLOOKUP(C783,IMPORTRANGE(""https://docs.google.com/spreadsheets/d/1P8eX0NWBhUPS_hvzA11R6jkTNFrPrRYIx_dX_hYbxrk/edit?resourcekey=0-iw9bsKY2OqkUHCFMkCar3A&amp;gid=2055363397#gid=2055363397"",""MTR!C:O""),9,false)"),"")</f>
        <v/>
      </c>
      <c r="P783" s="241"/>
      <c r="Q783" s="251"/>
      <c r="R783" s="241"/>
      <c r="S783" s="240" t="s">
        <v>390</v>
      </c>
      <c r="T783" s="240" t="s">
        <v>390</v>
      </c>
      <c r="U783" s="240" t="s">
        <v>390</v>
      </c>
      <c r="V783" s="240" t="s">
        <v>390</v>
      </c>
      <c r="W783" s="240" t="s">
        <v>390</v>
      </c>
      <c r="X783" s="240" t="s">
        <v>390</v>
      </c>
      <c r="Y783" s="240" t="s">
        <v>390</v>
      </c>
      <c r="Z783" s="240" t="s">
        <v>390</v>
      </c>
      <c r="AA783" s="240" t="s">
        <v>390</v>
      </c>
      <c r="AB783" s="240"/>
      <c r="AC783" s="242" t="b">
        <f t="shared" si="2"/>
        <v>0</v>
      </c>
      <c r="AD783" s="240" t="s">
        <v>391</v>
      </c>
      <c r="AE783" s="243" t="b">
        <f t="shared" si="3"/>
        <v>0</v>
      </c>
      <c r="AF783" s="240"/>
      <c r="AG783" s="243" t="b">
        <f t="shared" si="4"/>
        <v>0</v>
      </c>
      <c r="AH783" s="240"/>
      <c r="AI783" s="243" t="str">
        <f t="shared" si="5"/>
        <v>N/A</v>
      </c>
      <c r="AJ783" s="157" t="str">
        <f t="shared" si="6"/>
        <v/>
      </c>
    </row>
    <row r="784" ht="12.75" customHeight="1">
      <c r="A784" s="244" t="s">
        <v>621</v>
      </c>
      <c r="B784" s="244" t="s">
        <v>2214</v>
      </c>
      <c r="C784" s="244" t="s">
        <v>2317</v>
      </c>
      <c r="D784" s="154" t="s">
        <v>443</v>
      </c>
      <c r="E784" s="250"/>
      <c r="F784" s="154" t="str">
        <f t="array" ref="F784">XLOOKUP(Cover!$D$12,$S$1:$AA$1,$S784:$AA784)</f>
        <v>Mandatory</v>
      </c>
      <c r="G784" s="154" t="s">
        <v>2318</v>
      </c>
      <c r="H784" s="154" t="s">
        <v>398</v>
      </c>
      <c r="I784" s="154" t="s">
        <v>389</v>
      </c>
      <c r="J784" s="154" t="s">
        <v>445</v>
      </c>
      <c r="K784" s="154"/>
      <c r="L784" s="154" t="str">
        <f t="shared" si="1"/>
        <v/>
      </c>
      <c r="M784" s="248" t="str">
        <f>IFERROR(__xludf.DUMMYFUNCTION("VLOOKUP(C784,IMPORTRANGE(""https://docs.google.com/spreadsheets/d/1P8eX0NWBhUPS_hvzA11R6jkTNFrPrRYIx_dX_hYbxrk/edit?resourcekey=0-iw9bsKY2OqkUHCFMkCar3A&amp;gid=2055363397#gid=2055363397"",""MTR!C:O""),11,false)"),"PMW-MCE-NAS")</f>
        <v>PMW-MCE-NAS</v>
      </c>
      <c r="N784" s="248" t="str">
        <f>IFERROR(__xludf.DUMMYFUNCTION("VLOOKUP(C784,IMPORTRANGE(""https://docs.google.com/spreadsheets/d/1ihFlp3_ePlYtFuPbUNbYj1muErVpI73WHXbEwJDIA7Q/edit#gid=1493122344"",""MTR!C:O""),8,false)"),"Complies")</f>
        <v>Complies</v>
      </c>
      <c r="O784" s="241" t="str">
        <f>IFERROR(__xludf.DUMMYFUNCTION("VLOOKUP(C784,IMPORTRANGE(""https://docs.google.com/spreadsheets/d/1P8eX0NWBhUPS_hvzA11R6jkTNFrPrRYIx_dX_hYbxrk/edit?resourcekey=0-iw9bsKY2OqkUHCFMkCar3A&amp;gid=2055363397#gid=2055363397"",""MTR!C:O""),9,false)"),"")</f>
        <v/>
      </c>
      <c r="P784" s="241"/>
      <c r="Q784" s="251" t="s">
        <v>445</v>
      </c>
      <c r="R784" s="241"/>
      <c r="S784" s="154" t="s">
        <v>60</v>
      </c>
      <c r="T784" s="154" t="s">
        <v>60</v>
      </c>
      <c r="U784" s="154" t="s">
        <v>60</v>
      </c>
      <c r="V784" s="154" t="s">
        <v>60</v>
      </c>
      <c r="W784" s="154" t="s">
        <v>60</v>
      </c>
      <c r="X784" s="154" t="s">
        <v>60</v>
      </c>
      <c r="Y784" s="154" t="s">
        <v>60</v>
      </c>
      <c r="Z784" s="154" t="s">
        <v>60</v>
      </c>
      <c r="AA784" s="154" t="s">
        <v>60</v>
      </c>
      <c r="AB784" s="154"/>
      <c r="AC784" s="242" t="b">
        <f t="shared" si="2"/>
        <v>1</v>
      </c>
      <c r="AD784" s="154" t="s">
        <v>391</v>
      </c>
      <c r="AE784" s="243" t="b">
        <f t="shared" si="3"/>
        <v>0</v>
      </c>
      <c r="AF784" s="154"/>
      <c r="AG784" s="243" t="b">
        <f t="shared" si="4"/>
        <v>0</v>
      </c>
      <c r="AH784" s="154"/>
      <c r="AI784" s="243" t="str">
        <f t="shared" si="5"/>
        <v>N/A</v>
      </c>
      <c r="AJ784" s="157" t="str">
        <f t="shared" si="6"/>
        <v/>
      </c>
    </row>
    <row r="785" ht="12.75" customHeight="1">
      <c r="A785" s="238" t="s">
        <v>621</v>
      </c>
      <c r="B785" s="238" t="s">
        <v>2214</v>
      </c>
      <c r="C785" s="238" t="s">
        <v>2319</v>
      </c>
      <c r="D785" s="240"/>
      <c r="E785" s="252" t="s">
        <v>92</v>
      </c>
      <c r="F785" s="154" t="str">
        <f t="array" ref="F785">XLOOKUP(Cover!$D$12,$S$1:$AA$1,$S785:$AA785)</f>
        <v>Heading</v>
      </c>
      <c r="G785" s="239" t="s">
        <v>2320</v>
      </c>
      <c r="H785" s="240"/>
      <c r="I785" s="240" t="s">
        <v>632</v>
      </c>
      <c r="J785" s="240"/>
      <c r="K785" s="240"/>
      <c r="L785" s="154" t="str">
        <f t="shared" si="1"/>
        <v/>
      </c>
      <c r="M785" s="241" t="str">
        <f>IFERROR(__xludf.DUMMYFUNCTION("VLOOKUP(C785,IMPORTRANGE(""https://docs.google.com/spreadsheets/d/1P8eX0NWBhUPS_hvzA11R6jkTNFrPrRYIx_dX_hYbxrk/edit?resourcekey=0-iw9bsKY2OqkUHCFMkCar3A&amp;gid=2055363397#gid=2055363397"",""MTR!C:O""),11,false)"),"")</f>
        <v/>
      </c>
      <c r="N785" s="241" t="str">
        <f>IFERROR(__xludf.DUMMYFUNCTION("VLOOKUP(C785,IMPORTRANGE(""https://docs.google.com/spreadsheets/d/1ihFlp3_ePlYtFuPbUNbYj1muErVpI73WHXbEwJDIA7Q/edit#gid=1493122344"",""MTR!C:O""),8,false)"),"")</f>
        <v/>
      </c>
      <c r="O785" s="241" t="str">
        <f>IFERROR(__xludf.DUMMYFUNCTION("VLOOKUP(C785,IMPORTRANGE(""https://docs.google.com/spreadsheets/d/1P8eX0NWBhUPS_hvzA11R6jkTNFrPrRYIx_dX_hYbxrk/edit?resourcekey=0-iw9bsKY2OqkUHCFMkCar3A&amp;gid=2055363397#gid=2055363397"",""MTR!C:O""),9,false)"),"")</f>
        <v/>
      </c>
      <c r="P785" s="241"/>
      <c r="Q785" s="251"/>
      <c r="R785" s="241"/>
      <c r="S785" s="240" t="s">
        <v>390</v>
      </c>
      <c r="T785" s="240" t="s">
        <v>390</v>
      </c>
      <c r="U785" s="240" t="s">
        <v>390</v>
      </c>
      <c r="V785" s="240" t="s">
        <v>390</v>
      </c>
      <c r="W785" s="240" t="s">
        <v>390</v>
      </c>
      <c r="X785" s="240" t="s">
        <v>390</v>
      </c>
      <c r="Y785" s="240" t="s">
        <v>390</v>
      </c>
      <c r="Z785" s="240" t="s">
        <v>390</v>
      </c>
      <c r="AA785" s="240" t="s">
        <v>390</v>
      </c>
      <c r="AB785" s="240"/>
      <c r="AC785" s="242" t="b">
        <f t="shared" si="2"/>
        <v>0</v>
      </c>
      <c r="AD785" s="240" t="s">
        <v>391</v>
      </c>
      <c r="AE785" s="243" t="b">
        <f t="shared" si="3"/>
        <v>0</v>
      </c>
      <c r="AF785" s="240"/>
      <c r="AG785" s="243" t="b">
        <f t="shared" si="4"/>
        <v>0</v>
      </c>
      <c r="AH785" s="240"/>
      <c r="AI785" s="243" t="str">
        <f t="shared" si="5"/>
        <v>N/A</v>
      </c>
      <c r="AJ785" s="157" t="str">
        <f t="shared" si="6"/>
        <v/>
      </c>
    </row>
    <row r="786" ht="12.75" customHeight="1">
      <c r="A786" s="244" t="s">
        <v>621</v>
      </c>
      <c r="B786" s="244" t="s">
        <v>2214</v>
      </c>
      <c r="C786" s="244" t="s">
        <v>2321</v>
      </c>
      <c r="D786" s="154" t="s">
        <v>443</v>
      </c>
      <c r="E786" s="250"/>
      <c r="F786" s="154" t="str">
        <f t="array" ref="F786">XLOOKUP(Cover!$D$12,$S$1:$AA$1,$S786:$AA786)</f>
        <v>Mandatory</v>
      </c>
      <c r="G786" s="153" t="s">
        <v>2322</v>
      </c>
      <c r="H786" s="154" t="s">
        <v>147</v>
      </c>
      <c r="I786" s="154" t="s">
        <v>632</v>
      </c>
      <c r="J786" s="154" t="s">
        <v>445</v>
      </c>
      <c r="K786" s="154"/>
      <c r="L786" s="154" t="str">
        <f t="shared" si="1"/>
        <v/>
      </c>
      <c r="M786" s="248" t="str">
        <f>IFERROR(__xludf.DUMMYFUNCTION("VLOOKUP(C786,IMPORTRANGE(""https://docs.google.com/spreadsheets/d/1P8eX0NWBhUPS_hvzA11R6jkTNFrPrRYIx_dX_hYbxrk/edit?resourcekey=0-iw9bsKY2OqkUHCFMkCar3A&amp;gid=2055363397#gid=2055363397"",""MTR!C:O""),11,false)"),"PMW-MCE-AS")</f>
        <v>PMW-MCE-AS</v>
      </c>
      <c r="N786" s="248" t="str">
        <f>IFERROR(__xludf.DUMMYFUNCTION("VLOOKUP(C786,IMPORTRANGE(""https://docs.google.com/spreadsheets/d/1ihFlp3_ePlYtFuPbUNbYj1muErVpI73WHXbEwJDIA7Q/edit#gid=1493122344"",""MTR!C:O""),8,false)"),"Complies")</f>
        <v>Complies</v>
      </c>
      <c r="O786" s="241" t="str">
        <f>IFERROR(__xludf.DUMMYFUNCTION("VLOOKUP(C786,IMPORTRANGE(""https://docs.google.com/spreadsheets/d/1P8eX0NWBhUPS_hvzA11R6jkTNFrPrRYIx_dX_hYbxrk/edit?resourcekey=0-iw9bsKY2OqkUHCFMkCar3A&amp;gid=2055363397#gid=2055363397"",""MTR!C:O""),9,false)"),"")</f>
        <v/>
      </c>
      <c r="P786" s="241"/>
      <c r="Q786" s="251" t="s">
        <v>445</v>
      </c>
      <c r="R786" s="241"/>
      <c r="S786" s="154" t="s">
        <v>60</v>
      </c>
      <c r="T786" s="154" t="s">
        <v>60</v>
      </c>
      <c r="U786" s="154" t="s">
        <v>60</v>
      </c>
      <c r="V786" s="154" t="s">
        <v>60</v>
      </c>
      <c r="W786" s="154" t="s">
        <v>60</v>
      </c>
      <c r="X786" s="154" t="s">
        <v>60</v>
      </c>
      <c r="Y786" s="154" t="s">
        <v>60</v>
      </c>
      <c r="Z786" s="154" t="s">
        <v>60</v>
      </c>
      <c r="AA786" s="154" t="s">
        <v>60</v>
      </c>
      <c r="AB786" s="154"/>
      <c r="AC786" s="242" t="b">
        <f t="shared" si="2"/>
        <v>1</v>
      </c>
      <c r="AD786" s="154" t="s">
        <v>391</v>
      </c>
      <c r="AE786" s="243" t="b">
        <f t="shared" si="3"/>
        <v>0</v>
      </c>
      <c r="AF786" s="154"/>
      <c r="AG786" s="243" t="b">
        <f t="shared" si="4"/>
        <v>0</v>
      </c>
      <c r="AH786" s="154" t="s">
        <v>629</v>
      </c>
      <c r="AI786" s="243" t="str">
        <f t="shared" si="5"/>
        <v>Complies</v>
      </c>
      <c r="AJ786" s="157" t="str">
        <f t="shared" si="6"/>
        <v/>
      </c>
    </row>
    <row r="787" ht="12.75" customHeight="1">
      <c r="A787" s="244" t="s">
        <v>621</v>
      </c>
      <c r="B787" s="244" t="s">
        <v>2214</v>
      </c>
      <c r="C787" s="244" t="s">
        <v>2323</v>
      </c>
      <c r="D787" s="154" t="s">
        <v>443</v>
      </c>
      <c r="E787" s="250"/>
      <c r="F787" s="154" t="str">
        <f t="array" ref="F787">XLOOKUP(Cover!$D$12,$S$1:$AA$1,$S787:$AA787)</f>
        <v>Mandatory</v>
      </c>
      <c r="G787" s="153" t="s">
        <v>2324</v>
      </c>
      <c r="H787" s="154" t="s">
        <v>147</v>
      </c>
      <c r="I787" s="154" t="s">
        <v>632</v>
      </c>
      <c r="J787" s="154" t="s">
        <v>445</v>
      </c>
      <c r="K787" s="154"/>
      <c r="L787" s="154" t="str">
        <f t="shared" si="1"/>
        <v/>
      </c>
      <c r="M787" s="248" t="str">
        <f>IFERROR(__xludf.DUMMYFUNCTION("VLOOKUP(C787,IMPORTRANGE(""https://docs.google.com/spreadsheets/d/1P8eX0NWBhUPS_hvzA11R6jkTNFrPrRYIx_dX_hYbxrk/edit?resourcekey=0-iw9bsKY2OqkUHCFMkCar3A&amp;gid=2055363397#gid=2055363397"",""MTR!C:O""),11,false)"),"PMW-MCE-AS")</f>
        <v>PMW-MCE-AS</v>
      </c>
      <c r="N787" s="248" t="str">
        <f>IFERROR(__xludf.DUMMYFUNCTION("VLOOKUP(C787,IMPORTRANGE(""https://docs.google.com/spreadsheets/d/1ihFlp3_ePlYtFuPbUNbYj1muErVpI73WHXbEwJDIA7Q/edit#gid=1493122344"",""MTR!C:O""),8,false)"),"Complies")</f>
        <v>Complies</v>
      </c>
      <c r="O787" s="241" t="str">
        <f>IFERROR(__xludf.DUMMYFUNCTION("VLOOKUP(C787,IMPORTRANGE(""https://docs.google.com/spreadsheets/d/1P8eX0NWBhUPS_hvzA11R6jkTNFrPrRYIx_dX_hYbxrk/edit?resourcekey=0-iw9bsKY2OqkUHCFMkCar3A&amp;gid=2055363397#gid=2055363397"",""MTR!C:O""),9,false)"),"")</f>
        <v/>
      </c>
      <c r="P787" s="241"/>
      <c r="Q787" s="251" t="s">
        <v>445</v>
      </c>
      <c r="R787" s="241"/>
      <c r="S787" s="154" t="s">
        <v>60</v>
      </c>
      <c r="T787" s="154" t="s">
        <v>60</v>
      </c>
      <c r="U787" s="154" t="s">
        <v>60</v>
      </c>
      <c r="V787" s="154" t="s">
        <v>60</v>
      </c>
      <c r="W787" s="154" t="s">
        <v>60</v>
      </c>
      <c r="X787" s="154" t="s">
        <v>60</v>
      </c>
      <c r="Y787" s="154" t="s">
        <v>60</v>
      </c>
      <c r="Z787" s="154" t="s">
        <v>60</v>
      </c>
      <c r="AA787" s="154" t="s">
        <v>60</v>
      </c>
      <c r="AB787" s="154"/>
      <c r="AC787" s="242" t="b">
        <f t="shared" si="2"/>
        <v>1</v>
      </c>
      <c r="AD787" s="154" t="s">
        <v>391</v>
      </c>
      <c r="AE787" s="243" t="b">
        <f t="shared" si="3"/>
        <v>0</v>
      </c>
      <c r="AF787" s="154"/>
      <c r="AG787" s="243" t="b">
        <f t="shared" si="4"/>
        <v>0</v>
      </c>
      <c r="AH787" s="154"/>
      <c r="AI787" s="243" t="str">
        <f t="shared" si="5"/>
        <v>N/A</v>
      </c>
      <c r="AJ787" s="157" t="str">
        <f t="shared" si="6"/>
        <v/>
      </c>
    </row>
    <row r="788" ht="12.75" customHeight="1">
      <c r="A788" s="244" t="s">
        <v>621</v>
      </c>
      <c r="B788" s="244" t="s">
        <v>2214</v>
      </c>
      <c r="C788" s="244" t="s">
        <v>2325</v>
      </c>
      <c r="D788" s="154" t="s">
        <v>2326</v>
      </c>
      <c r="E788" s="250"/>
      <c r="F788" s="154" t="str">
        <f t="array" ref="F788">XLOOKUP(Cover!$D$12,$S$1:$AA$1,$S788:$AA788)</f>
        <v>Mandatory</v>
      </c>
      <c r="G788" s="153" t="s">
        <v>2327</v>
      </c>
      <c r="H788" s="154" t="s">
        <v>147</v>
      </c>
      <c r="I788" s="154" t="s">
        <v>632</v>
      </c>
      <c r="J788" s="154" t="s">
        <v>445</v>
      </c>
      <c r="K788" s="154"/>
      <c r="L788" s="154" t="str">
        <f t="shared" si="1"/>
        <v/>
      </c>
      <c r="M788" s="248" t="str">
        <f>IFERROR(__xludf.DUMMYFUNCTION("VLOOKUP(C788,IMPORTRANGE(""https://docs.google.com/spreadsheets/d/1P8eX0NWBhUPS_hvzA11R6jkTNFrPrRYIx_dX_hYbxrk/edit?resourcekey=0-iw9bsKY2OqkUHCFMkCar3A&amp;gid=2055363397#gid=2055363397"",""MTR!C:O""),11,false)"),"PMW-MCE-AS")</f>
        <v>PMW-MCE-AS</v>
      </c>
      <c r="N788" s="248" t="str">
        <f>IFERROR(__xludf.DUMMYFUNCTION("VLOOKUP(C788,IMPORTRANGE(""https://docs.google.com/spreadsheets/d/1ihFlp3_ePlYtFuPbUNbYj1muErVpI73WHXbEwJDIA7Q/edit#gid=1493122344"",""MTR!C:O""),8,false)"),"Complies")</f>
        <v>Complies</v>
      </c>
      <c r="O788" s="241" t="str">
        <f>IFERROR(__xludf.DUMMYFUNCTION("VLOOKUP(C788,IMPORTRANGE(""https://docs.google.com/spreadsheets/d/1P8eX0NWBhUPS_hvzA11R6jkTNFrPrRYIx_dX_hYbxrk/edit?resourcekey=0-iw9bsKY2OqkUHCFMkCar3A&amp;gid=2055363397#gid=2055363397"",""MTR!C:O""),9,false)"),"")</f>
        <v/>
      </c>
      <c r="P788" s="241"/>
      <c r="Q788" s="251" t="s">
        <v>445</v>
      </c>
      <c r="R788" s="241"/>
      <c r="S788" s="154" t="s">
        <v>60</v>
      </c>
      <c r="T788" s="154" t="s">
        <v>60</v>
      </c>
      <c r="U788" s="154" t="s">
        <v>60</v>
      </c>
      <c r="V788" s="154" t="s">
        <v>60</v>
      </c>
      <c r="W788" s="154" t="s">
        <v>60</v>
      </c>
      <c r="X788" s="154" t="s">
        <v>60</v>
      </c>
      <c r="Y788" s="154" t="s">
        <v>60</v>
      </c>
      <c r="Z788" s="154" t="s">
        <v>60</v>
      </c>
      <c r="AA788" s="154" t="s">
        <v>60</v>
      </c>
      <c r="AB788" s="154"/>
      <c r="AC788" s="242" t="b">
        <f t="shared" si="2"/>
        <v>1</v>
      </c>
      <c r="AD788" s="154" t="s">
        <v>391</v>
      </c>
      <c r="AE788" s="243" t="b">
        <f t="shared" si="3"/>
        <v>0</v>
      </c>
      <c r="AF788" s="154"/>
      <c r="AG788" s="243" t="b">
        <f t="shared" si="4"/>
        <v>0</v>
      </c>
      <c r="AH788" s="154" t="s">
        <v>629</v>
      </c>
      <c r="AI788" s="243" t="str">
        <f t="shared" si="5"/>
        <v>Complies</v>
      </c>
      <c r="AJ788" s="157" t="str">
        <f t="shared" si="6"/>
        <v/>
      </c>
    </row>
    <row r="789" ht="12.75" customHeight="1">
      <c r="A789" s="244" t="s">
        <v>621</v>
      </c>
      <c r="B789" s="244" t="s">
        <v>2214</v>
      </c>
      <c r="C789" s="244" t="s">
        <v>2328</v>
      </c>
      <c r="D789" s="154" t="s">
        <v>1282</v>
      </c>
      <c r="E789" s="250"/>
      <c r="F789" s="154" t="str">
        <f t="array" ref="F789">XLOOKUP(Cover!$D$12,$S$1:$AA$1,$S789:$AA789)</f>
        <v>Mandatory</v>
      </c>
      <c r="G789" s="153" t="s">
        <v>2329</v>
      </c>
      <c r="H789" s="154" t="s">
        <v>147</v>
      </c>
      <c r="I789" s="154" t="s">
        <v>632</v>
      </c>
      <c r="J789" s="154" t="s">
        <v>445</v>
      </c>
      <c r="K789" s="154"/>
      <c r="L789" s="154" t="str">
        <f t="shared" si="1"/>
        <v/>
      </c>
      <c r="M789" s="248" t="str">
        <f>IFERROR(__xludf.DUMMYFUNCTION("VLOOKUP(C789,IMPORTRANGE(""https://docs.google.com/spreadsheets/d/1P8eX0NWBhUPS_hvzA11R6jkTNFrPrRYIx_dX_hYbxrk/edit?resourcekey=0-iw9bsKY2OqkUHCFMkCar3A&amp;gid=2055363397#gid=2055363397"",""MTR!C:O""),11,false)"),"PMW-MCE-AS")</f>
        <v>PMW-MCE-AS</v>
      </c>
      <c r="N789" s="248" t="str">
        <f>IFERROR(__xludf.DUMMYFUNCTION("VLOOKUP(C789,IMPORTRANGE(""https://docs.google.com/spreadsheets/d/1ihFlp3_ePlYtFuPbUNbYj1muErVpI73WHXbEwJDIA7Q/edit#gid=1493122344"",""MTR!C:O""),8,false)"),"Complies")</f>
        <v>Complies</v>
      </c>
      <c r="O789" s="241" t="str">
        <f>IFERROR(__xludf.DUMMYFUNCTION("VLOOKUP(C789,IMPORTRANGE(""https://docs.google.com/spreadsheets/d/1P8eX0NWBhUPS_hvzA11R6jkTNFrPrRYIx_dX_hYbxrk/edit?resourcekey=0-iw9bsKY2OqkUHCFMkCar3A&amp;gid=2055363397#gid=2055363397"",""MTR!C:O""),9,false)"),"")</f>
        <v/>
      </c>
      <c r="P789" s="241"/>
      <c r="Q789" s="251" t="s">
        <v>445</v>
      </c>
      <c r="R789" s="241"/>
      <c r="S789" s="154" t="s">
        <v>60</v>
      </c>
      <c r="T789" s="154" t="s">
        <v>60</v>
      </c>
      <c r="U789" s="154" t="s">
        <v>60</v>
      </c>
      <c r="V789" s="154" t="s">
        <v>60</v>
      </c>
      <c r="W789" s="154" t="s">
        <v>60</v>
      </c>
      <c r="X789" s="154" t="s">
        <v>60</v>
      </c>
      <c r="Y789" s="154" t="s">
        <v>60</v>
      </c>
      <c r="Z789" s="154" t="s">
        <v>60</v>
      </c>
      <c r="AA789" s="154" t="s">
        <v>60</v>
      </c>
      <c r="AB789" s="154"/>
      <c r="AC789" s="242" t="b">
        <f t="shared" si="2"/>
        <v>1</v>
      </c>
      <c r="AD789" s="154" t="s">
        <v>391</v>
      </c>
      <c r="AE789" s="243" t="b">
        <f t="shared" si="3"/>
        <v>0</v>
      </c>
      <c r="AF789" s="154"/>
      <c r="AG789" s="243" t="b">
        <f t="shared" si="4"/>
        <v>0</v>
      </c>
      <c r="AH789" s="154" t="s">
        <v>629</v>
      </c>
      <c r="AI789" s="243" t="str">
        <f t="shared" si="5"/>
        <v>Complies</v>
      </c>
      <c r="AJ789" s="157" t="str">
        <f t="shared" si="6"/>
        <v/>
      </c>
    </row>
    <row r="790" ht="12.75" customHeight="1">
      <c r="A790" s="244" t="s">
        <v>621</v>
      </c>
      <c r="B790" s="244" t="s">
        <v>2214</v>
      </c>
      <c r="C790" s="244" t="s">
        <v>2330</v>
      </c>
      <c r="D790" s="154" t="s">
        <v>528</v>
      </c>
      <c r="E790" s="250"/>
      <c r="F790" s="154" t="str">
        <f t="array" ref="F790">XLOOKUP(Cover!$D$12,$S$1:$AA$1,$S790:$AA790)</f>
        <v>Mandatory</v>
      </c>
      <c r="G790" s="153" t="s">
        <v>2331</v>
      </c>
      <c r="H790" s="154" t="s">
        <v>147</v>
      </c>
      <c r="I790" s="154" t="s">
        <v>632</v>
      </c>
      <c r="J790" s="154" t="s">
        <v>445</v>
      </c>
      <c r="K790" s="154"/>
      <c r="L790" s="154" t="str">
        <f t="shared" si="1"/>
        <v/>
      </c>
      <c r="M790" s="248" t="str">
        <f>IFERROR(__xludf.DUMMYFUNCTION("VLOOKUP(C790,IMPORTRANGE(""https://docs.google.com/spreadsheets/d/1P8eX0NWBhUPS_hvzA11R6jkTNFrPrRYIx_dX_hYbxrk/edit?resourcekey=0-iw9bsKY2OqkUHCFMkCar3A&amp;gid=2055363397#gid=2055363397"",""MTR!C:O""),11,false)"),"PMW-MCE-AS")</f>
        <v>PMW-MCE-AS</v>
      </c>
      <c r="N790" s="248" t="str">
        <f>IFERROR(__xludf.DUMMYFUNCTION("VLOOKUP(C790,IMPORTRANGE(""https://docs.google.com/spreadsheets/d/1ihFlp3_ePlYtFuPbUNbYj1muErVpI73WHXbEwJDIA7Q/edit#gid=1493122344"",""MTR!C:O""),8,false)"),"Complies")</f>
        <v>Complies</v>
      </c>
      <c r="O790" s="241" t="str">
        <f>IFERROR(__xludf.DUMMYFUNCTION("VLOOKUP(C790,IMPORTRANGE(""https://docs.google.com/spreadsheets/d/1P8eX0NWBhUPS_hvzA11R6jkTNFrPrRYIx_dX_hYbxrk/edit?resourcekey=0-iw9bsKY2OqkUHCFMkCar3A&amp;gid=2055363397#gid=2055363397"",""MTR!C:O""),9,false)"),"")</f>
        <v/>
      </c>
      <c r="P790" s="241"/>
      <c r="Q790" s="251" t="s">
        <v>445</v>
      </c>
      <c r="R790" s="241"/>
      <c r="S790" s="154" t="s">
        <v>60</v>
      </c>
      <c r="T790" s="154" t="s">
        <v>60</v>
      </c>
      <c r="U790" s="154" t="s">
        <v>60</v>
      </c>
      <c r="V790" s="154" t="s">
        <v>60</v>
      </c>
      <c r="W790" s="154" t="s">
        <v>60</v>
      </c>
      <c r="X790" s="154" t="s">
        <v>60</v>
      </c>
      <c r="Y790" s="154" t="s">
        <v>60</v>
      </c>
      <c r="Z790" s="154" t="s">
        <v>60</v>
      </c>
      <c r="AA790" s="154" t="s">
        <v>60</v>
      </c>
      <c r="AB790" s="154"/>
      <c r="AC790" s="242" t="b">
        <f t="shared" si="2"/>
        <v>1</v>
      </c>
      <c r="AD790" s="154" t="s">
        <v>391</v>
      </c>
      <c r="AE790" s="243" t="b">
        <f t="shared" si="3"/>
        <v>0</v>
      </c>
      <c r="AF790" s="154"/>
      <c r="AG790" s="243" t="b">
        <f t="shared" si="4"/>
        <v>0</v>
      </c>
      <c r="AH790" s="154" t="s">
        <v>629</v>
      </c>
      <c r="AI790" s="243" t="str">
        <f t="shared" si="5"/>
        <v>Complies</v>
      </c>
      <c r="AJ790" s="157" t="str">
        <f t="shared" si="6"/>
        <v/>
      </c>
    </row>
    <row r="791" ht="12.75" customHeight="1">
      <c r="A791" s="244" t="s">
        <v>621</v>
      </c>
      <c r="B791" s="244" t="s">
        <v>2214</v>
      </c>
      <c r="C791" s="244" t="s">
        <v>2332</v>
      </c>
      <c r="D791" s="154" t="s">
        <v>1120</v>
      </c>
      <c r="E791" s="250"/>
      <c r="F791" s="154" t="str">
        <f t="array" ref="F791">XLOOKUP(Cover!$D$12,$S$1:$AA$1,$S791:$AA791)</f>
        <v>Mandatory</v>
      </c>
      <c r="G791" s="153" t="s">
        <v>2333</v>
      </c>
      <c r="H791" s="154" t="s">
        <v>147</v>
      </c>
      <c r="I791" s="154" t="s">
        <v>632</v>
      </c>
      <c r="J791" s="154" t="s">
        <v>445</v>
      </c>
      <c r="K791" s="154"/>
      <c r="L791" s="154" t="str">
        <f t="shared" si="1"/>
        <v/>
      </c>
      <c r="M791" s="248" t="str">
        <f>IFERROR(__xludf.DUMMYFUNCTION("VLOOKUP(C791,IMPORTRANGE(""https://docs.google.com/spreadsheets/d/1P8eX0NWBhUPS_hvzA11R6jkTNFrPrRYIx_dX_hYbxrk/edit?resourcekey=0-iw9bsKY2OqkUHCFMkCar3A&amp;gid=2055363397#gid=2055363397"",""MTR!C:O""),11,false)"),"PMW-MCE-AS")</f>
        <v>PMW-MCE-AS</v>
      </c>
      <c r="N791" s="248" t="str">
        <f>IFERROR(__xludf.DUMMYFUNCTION("VLOOKUP(C791,IMPORTRANGE(""https://docs.google.com/spreadsheets/d/1ihFlp3_ePlYtFuPbUNbYj1muErVpI73WHXbEwJDIA7Q/edit#gid=1493122344"",""MTR!C:O""),8,false)"),"Complies")</f>
        <v>Complies</v>
      </c>
      <c r="O791" s="241" t="str">
        <f>IFERROR(__xludf.DUMMYFUNCTION("VLOOKUP(C791,IMPORTRANGE(""https://docs.google.com/spreadsheets/d/1P8eX0NWBhUPS_hvzA11R6jkTNFrPrRYIx_dX_hYbxrk/edit?resourcekey=0-iw9bsKY2OqkUHCFMkCar3A&amp;gid=2055363397#gid=2055363397"",""MTR!C:O""),9,false)"),"")</f>
        <v/>
      </c>
      <c r="P791" s="241"/>
      <c r="Q791" s="251" t="s">
        <v>445</v>
      </c>
      <c r="R791" s="241"/>
      <c r="S791" s="154" t="s">
        <v>60</v>
      </c>
      <c r="T791" s="154" t="s">
        <v>60</v>
      </c>
      <c r="U791" s="154" t="s">
        <v>60</v>
      </c>
      <c r="V791" s="154" t="s">
        <v>60</v>
      </c>
      <c r="W791" s="154" t="s">
        <v>60</v>
      </c>
      <c r="X791" s="154" t="s">
        <v>60</v>
      </c>
      <c r="Y791" s="154" t="s">
        <v>60</v>
      </c>
      <c r="Z791" s="154" t="s">
        <v>60</v>
      </c>
      <c r="AA791" s="154" t="s">
        <v>60</v>
      </c>
      <c r="AB791" s="154"/>
      <c r="AC791" s="242" t="b">
        <f t="shared" si="2"/>
        <v>1</v>
      </c>
      <c r="AD791" s="154" t="s">
        <v>391</v>
      </c>
      <c r="AE791" s="243" t="b">
        <f t="shared" si="3"/>
        <v>0</v>
      </c>
      <c r="AF791" s="154"/>
      <c r="AG791" s="243" t="b">
        <f t="shared" si="4"/>
        <v>0</v>
      </c>
      <c r="AH791" s="154" t="s">
        <v>629</v>
      </c>
      <c r="AI791" s="243" t="str">
        <f t="shared" si="5"/>
        <v>Complies</v>
      </c>
      <c r="AJ791" s="157" t="str">
        <f t="shared" si="6"/>
        <v/>
      </c>
    </row>
    <row r="792" ht="12.75" customHeight="1">
      <c r="A792" s="244" t="s">
        <v>621</v>
      </c>
      <c r="B792" s="244" t="s">
        <v>2214</v>
      </c>
      <c r="C792" s="244" t="s">
        <v>2334</v>
      </c>
      <c r="D792" s="154" t="s">
        <v>443</v>
      </c>
      <c r="E792" s="250"/>
      <c r="F792" s="154" t="str">
        <f t="array" ref="F792">XLOOKUP(Cover!$D$12,$S$1:$AA$1,$S792:$AA792)</f>
        <v>Mandatory</v>
      </c>
      <c r="G792" s="153" t="s">
        <v>2335</v>
      </c>
      <c r="H792" s="154" t="s">
        <v>147</v>
      </c>
      <c r="I792" s="154" t="s">
        <v>632</v>
      </c>
      <c r="J792" s="154" t="s">
        <v>445</v>
      </c>
      <c r="K792" s="154"/>
      <c r="L792" s="154" t="str">
        <f t="shared" si="1"/>
        <v/>
      </c>
      <c r="M792" s="248" t="str">
        <f>IFERROR(__xludf.DUMMYFUNCTION("VLOOKUP(C792,IMPORTRANGE(""https://docs.google.com/spreadsheets/d/1P8eX0NWBhUPS_hvzA11R6jkTNFrPrRYIx_dX_hYbxrk/edit?resourcekey=0-iw9bsKY2OqkUHCFMkCar3A&amp;gid=2055363397#gid=2055363397"",""MTR!C:O""),11,false)"),"PMW-MCE-AS")</f>
        <v>PMW-MCE-AS</v>
      </c>
      <c r="N792" s="248" t="str">
        <f>IFERROR(__xludf.DUMMYFUNCTION("VLOOKUP(C792,IMPORTRANGE(""https://docs.google.com/spreadsheets/d/1ihFlp3_ePlYtFuPbUNbYj1muErVpI73WHXbEwJDIA7Q/edit#gid=1493122344"",""MTR!C:O""),8,false)"),"Complies")</f>
        <v>Complies</v>
      </c>
      <c r="O792" s="241" t="str">
        <f>IFERROR(__xludf.DUMMYFUNCTION("VLOOKUP(C792,IMPORTRANGE(""https://docs.google.com/spreadsheets/d/1P8eX0NWBhUPS_hvzA11R6jkTNFrPrRYIx_dX_hYbxrk/edit?resourcekey=0-iw9bsKY2OqkUHCFMkCar3A&amp;gid=2055363397#gid=2055363397"",""MTR!C:O""),9,false)"),"")</f>
        <v/>
      </c>
      <c r="P792" s="241"/>
      <c r="Q792" s="251" t="s">
        <v>445</v>
      </c>
      <c r="R792" s="241"/>
      <c r="S792" s="154" t="s">
        <v>60</v>
      </c>
      <c r="T792" s="154" t="s">
        <v>60</v>
      </c>
      <c r="U792" s="154" t="s">
        <v>60</v>
      </c>
      <c r="V792" s="154" t="s">
        <v>60</v>
      </c>
      <c r="W792" s="154" t="s">
        <v>60</v>
      </c>
      <c r="X792" s="154" t="s">
        <v>60</v>
      </c>
      <c r="Y792" s="154" t="s">
        <v>60</v>
      </c>
      <c r="Z792" s="154" t="s">
        <v>60</v>
      </c>
      <c r="AA792" s="154" t="s">
        <v>60</v>
      </c>
      <c r="AB792" s="154"/>
      <c r="AC792" s="242" t="b">
        <f t="shared" si="2"/>
        <v>1</v>
      </c>
      <c r="AD792" s="154" t="s">
        <v>391</v>
      </c>
      <c r="AE792" s="243" t="b">
        <f t="shared" si="3"/>
        <v>0</v>
      </c>
      <c r="AF792" s="154"/>
      <c r="AG792" s="243" t="b">
        <f t="shared" si="4"/>
        <v>0</v>
      </c>
      <c r="AH792" s="154" t="s">
        <v>629</v>
      </c>
      <c r="AI792" s="243" t="str">
        <f t="shared" si="5"/>
        <v>Complies</v>
      </c>
      <c r="AJ792" s="157" t="str">
        <f t="shared" si="6"/>
        <v/>
      </c>
    </row>
    <row r="793" ht="12.75" customHeight="1">
      <c r="A793" s="244" t="s">
        <v>621</v>
      </c>
      <c r="B793" s="244" t="s">
        <v>2214</v>
      </c>
      <c r="C793" s="244" t="s">
        <v>2336</v>
      </c>
      <c r="D793" s="154" t="s">
        <v>2337</v>
      </c>
      <c r="E793" s="250"/>
      <c r="F793" s="154" t="str">
        <f t="array" ref="F793">XLOOKUP(Cover!$D$12,$S$1:$AA$1,$S793:$AA793)</f>
        <v>Mandatory</v>
      </c>
      <c r="G793" s="153" t="s">
        <v>2338</v>
      </c>
      <c r="H793" s="154" t="s">
        <v>147</v>
      </c>
      <c r="I793" s="154" t="s">
        <v>632</v>
      </c>
      <c r="J793" s="154" t="s">
        <v>445</v>
      </c>
      <c r="K793" s="154"/>
      <c r="L793" s="154" t="str">
        <f t="shared" si="1"/>
        <v/>
      </c>
      <c r="M793" s="248" t="str">
        <f>IFERROR(__xludf.DUMMYFUNCTION("VLOOKUP(C793,IMPORTRANGE(""https://docs.google.com/spreadsheets/d/1P8eX0NWBhUPS_hvzA11R6jkTNFrPrRYIx_dX_hYbxrk/edit?resourcekey=0-iw9bsKY2OqkUHCFMkCar3A&amp;gid=2055363397#gid=2055363397"",""MTR!C:O""),11,false)"),"PMW-MCE-AS")</f>
        <v>PMW-MCE-AS</v>
      </c>
      <c r="N793" s="248" t="str">
        <f>IFERROR(__xludf.DUMMYFUNCTION("VLOOKUP(C793,IMPORTRANGE(""https://docs.google.com/spreadsheets/d/1ihFlp3_ePlYtFuPbUNbYj1muErVpI73WHXbEwJDIA7Q/edit#gid=1493122344"",""MTR!C:O""),8,false)"),"Complies")</f>
        <v>Complies</v>
      </c>
      <c r="O793" s="241" t="str">
        <f>IFERROR(__xludf.DUMMYFUNCTION("VLOOKUP(C793,IMPORTRANGE(""https://docs.google.com/spreadsheets/d/1P8eX0NWBhUPS_hvzA11R6jkTNFrPrRYIx_dX_hYbxrk/edit?resourcekey=0-iw9bsKY2OqkUHCFMkCar3A&amp;gid=2055363397#gid=2055363397"",""MTR!C:O""),9,false)"),"")</f>
        <v/>
      </c>
      <c r="P793" s="241"/>
      <c r="Q793" s="251" t="s">
        <v>445</v>
      </c>
      <c r="R793" s="241"/>
      <c r="S793" s="154" t="s">
        <v>60</v>
      </c>
      <c r="T793" s="154" t="s">
        <v>60</v>
      </c>
      <c r="U793" s="154" t="s">
        <v>60</v>
      </c>
      <c r="V793" s="154" t="s">
        <v>60</v>
      </c>
      <c r="W793" s="154" t="s">
        <v>60</v>
      </c>
      <c r="X793" s="154" t="s">
        <v>60</v>
      </c>
      <c r="Y793" s="154" t="s">
        <v>60</v>
      </c>
      <c r="Z793" s="154" t="s">
        <v>60</v>
      </c>
      <c r="AA793" s="154" t="s">
        <v>60</v>
      </c>
      <c r="AB793" s="154"/>
      <c r="AC793" s="242" t="b">
        <f t="shared" si="2"/>
        <v>1</v>
      </c>
      <c r="AD793" s="154" t="s">
        <v>391</v>
      </c>
      <c r="AE793" s="243" t="b">
        <f t="shared" si="3"/>
        <v>0</v>
      </c>
      <c r="AF793" s="154"/>
      <c r="AG793" s="243" t="b">
        <f t="shared" si="4"/>
        <v>0</v>
      </c>
      <c r="AH793" s="154" t="s">
        <v>629</v>
      </c>
      <c r="AI793" s="243" t="str">
        <f t="shared" si="5"/>
        <v>Complies</v>
      </c>
      <c r="AJ793" s="157" t="str">
        <f t="shared" si="6"/>
        <v/>
      </c>
    </row>
    <row r="794" ht="12.75" customHeight="1">
      <c r="A794" s="244" t="s">
        <v>621</v>
      </c>
      <c r="B794" s="244" t="s">
        <v>2214</v>
      </c>
      <c r="C794" s="244" t="s">
        <v>2339</v>
      </c>
      <c r="D794" s="154" t="s">
        <v>1282</v>
      </c>
      <c r="E794" s="250"/>
      <c r="F794" s="154" t="str">
        <f t="array" ref="F794">XLOOKUP(Cover!$D$12,$S$1:$AA$1,$S794:$AA794)</f>
        <v>Recommended</v>
      </c>
      <c r="G794" s="153" t="s">
        <v>2340</v>
      </c>
      <c r="H794" s="154"/>
      <c r="I794" s="154" t="s">
        <v>632</v>
      </c>
      <c r="J794" s="154" t="s">
        <v>617</v>
      </c>
      <c r="K794" s="154"/>
      <c r="L794" s="154" t="str">
        <f t="shared" si="1"/>
        <v/>
      </c>
      <c r="M794" s="248" t="str">
        <f>IFERROR(__xludf.DUMMYFUNCTION("VLOOKUP(C794,IMPORTRANGE(""https://docs.google.com/spreadsheets/d/1P8eX0NWBhUPS_hvzA11R6jkTNFrPrRYIx_dX_hYbxrk/edit?resourcekey=0-iw9bsKY2OqkUHCFMkCar3A&amp;gid=2055363397#gid=2055363397"",""MTR!C:O""),11,false)"),"PMW-MCE-AS")</f>
        <v>PMW-MCE-AS</v>
      </c>
      <c r="N794" s="248" t="str">
        <f>IFERROR(__xludf.DUMMYFUNCTION("VLOOKUP(C794,IMPORTRANGE(""https://docs.google.com/spreadsheets/d/1ihFlp3_ePlYtFuPbUNbYj1muErVpI73WHXbEwJDIA7Q/edit#gid=1493122344"",""MTR!C:O""),8,false)"),"Not Applicable")</f>
        <v>Not Applicable</v>
      </c>
      <c r="O794" s="241" t="str">
        <f>IFERROR(__xludf.DUMMYFUNCTION("VLOOKUP(C794,IMPORTRANGE(""https://docs.google.com/spreadsheets/d/1P8eX0NWBhUPS_hvzA11R6jkTNFrPrRYIx_dX_hYbxrk/edit?resourcekey=0-iw9bsKY2OqkUHCFMkCar3A&amp;gid=2055363397#gid=2055363397"",""MTR!C:O""),9,false)"),"")</f>
        <v/>
      </c>
      <c r="P794" s="241"/>
      <c r="Q794" s="251" t="s">
        <v>617</v>
      </c>
      <c r="R794" s="241"/>
      <c r="S794" s="154" t="s">
        <v>64</v>
      </c>
      <c r="T794" s="154" t="s">
        <v>64</v>
      </c>
      <c r="U794" s="154" t="s">
        <v>64</v>
      </c>
      <c r="V794" s="154" t="s">
        <v>64</v>
      </c>
      <c r="W794" s="154" t="s">
        <v>64</v>
      </c>
      <c r="X794" s="154" t="s">
        <v>64</v>
      </c>
      <c r="Y794" s="154" t="s">
        <v>64</v>
      </c>
      <c r="Z794" s="154" t="s">
        <v>64</v>
      </c>
      <c r="AA794" s="154" t="s">
        <v>64</v>
      </c>
      <c r="AB794" s="154"/>
      <c r="AC794" s="242" t="b">
        <f t="shared" si="2"/>
        <v>1</v>
      </c>
      <c r="AD794" s="154" t="s">
        <v>391</v>
      </c>
      <c r="AE794" s="243" t="b">
        <f t="shared" si="3"/>
        <v>0</v>
      </c>
      <c r="AF794" s="154"/>
      <c r="AG794" s="243" t="b">
        <f t="shared" si="4"/>
        <v>0</v>
      </c>
      <c r="AH794" s="154" t="s">
        <v>629</v>
      </c>
      <c r="AI794" s="243" t="str">
        <f t="shared" si="5"/>
        <v>Complies</v>
      </c>
      <c r="AJ794" s="157" t="str">
        <f t="shared" si="6"/>
        <v/>
      </c>
    </row>
    <row r="795" ht="12.75" customHeight="1">
      <c r="A795" s="238" t="s">
        <v>621</v>
      </c>
      <c r="B795" s="238" t="s">
        <v>2214</v>
      </c>
      <c r="C795" s="238" t="s">
        <v>2341</v>
      </c>
      <c r="D795" s="240"/>
      <c r="E795" s="252" t="s">
        <v>92</v>
      </c>
      <c r="F795" s="154" t="str">
        <f t="array" ref="F795">XLOOKUP(Cover!$D$12,$S$1:$AA$1,$S795:$AA795)</f>
        <v>Heading</v>
      </c>
      <c r="G795" s="239" t="s">
        <v>2342</v>
      </c>
      <c r="H795" s="240"/>
      <c r="I795" s="240" t="s">
        <v>389</v>
      </c>
      <c r="J795" s="240"/>
      <c r="K795" s="240"/>
      <c r="L795" s="154" t="str">
        <f t="shared" si="1"/>
        <v/>
      </c>
      <c r="M795" s="241" t="str">
        <f>IFERROR(__xludf.DUMMYFUNCTION("VLOOKUP(C795,IMPORTRANGE(""https://docs.google.com/spreadsheets/d/1P8eX0NWBhUPS_hvzA11R6jkTNFrPrRYIx_dX_hYbxrk/edit?resourcekey=0-iw9bsKY2OqkUHCFMkCar3A&amp;gid=2055363397#gid=2055363397"",""MTR!C:O""),11,false)"),"")</f>
        <v/>
      </c>
      <c r="N795" s="241" t="str">
        <f>IFERROR(__xludf.DUMMYFUNCTION("VLOOKUP(C795,IMPORTRANGE(""https://docs.google.com/spreadsheets/d/1ihFlp3_ePlYtFuPbUNbYj1muErVpI73WHXbEwJDIA7Q/edit#gid=1493122344"",""MTR!C:O""),8,false)"),"")</f>
        <v/>
      </c>
      <c r="O795" s="241" t="str">
        <f>IFERROR(__xludf.DUMMYFUNCTION("VLOOKUP(C795,IMPORTRANGE(""https://docs.google.com/spreadsheets/d/1P8eX0NWBhUPS_hvzA11R6jkTNFrPrRYIx_dX_hYbxrk/edit?resourcekey=0-iw9bsKY2OqkUHCFMkCar3A&amp;gid=2055363397#gid=2055363397"",""MTR!C:O""),9,false)"),"")</f>
        <v/>
      </c>
      <c r="P795" s="241"/>
      <c r="Q795" s="251"/>
      <c r="R795" s="241"/>
      <c r="S795" s="240" t="s">
        <v>390</v>
      </c>
      <c r="T795" s="240" t="s">
        <v>390</v>
      </c>
      <c r="U795" s="240" t="s">
        <v>390</v>
      </c>
      <c r="V795" s="240" t="s">
        <v>390</v>
      </c>
      <c r="W795" s="240" t="s">
        <v>390</v>
      </c>
      <c r="X795" s="240" t="s">
        <v>390</v>
      </c>
      <c r="Y795" s="240" t="s">
        <v>390</v>
      </c>
      <c r="Z795" s="240" t="s">
        <v>390</v>
      </c>
      <c r="AA795" s="240" t="s">
        <v>390</v>
      </c>
      <c r="AB795" s="240"/>
      <c r="AC795" s="242" t="b">
        <f t="shared" si="2"/>
        <v>0</v>
      </c>
      <c r="AD795" s="240" t="s">
        <v>391</v>
      </c>
      <c r="AE795" s="243" t="b">
        <f t="shared" si="3"/>
        <v>0</v>
      </c>
      <c r="AF795" s="240"/>
      <c r="AG795" s="243" t="b">
        <f t="shared" si="4"/>
        <v>0</v>
      </c>
      <c r="AH795" s="240"/>
      <c r="AI795" s="243" t="str">
        <f t="shared" si="5"/>
        <v>N/A</v>
      </c>
      <c r="AJ795" s="157" t="str">
        <f t="shared" si="6"/>
        <v/>
      </c>
    </row>
    <row r="796" ht="12.75" customHeight="1">
      <c r="A796" s="244" t="s">
        <v>621</v>
      </c>
      <c r="B796" s="244" t="s">
        <v>2214</v>
      </c>
      <c r="C796" s="244" t="s">
        <v>2343</v>
      </c>
      <c r="D796" s="154" t="s">
        <v>1069</v>
      </c>
      <c r="E796" s="250"/>
      <c r="F796" s="154" t="str">
        <f t="array" ref="F796">XLOOKUP(Cover!$D$12,$S$1:$AA$1,$S796:$AA796)</f>
        <v>Mandatory</v>
      </c>
      <c r="G796" s="153" t="s">
        <v>2344</v>
      </c>
      <c r="H796" s="154" t="s">
        <v>144</v>
      </c>
      <c r="I796" s="154" t="s">
        <v>389</v>
      </c>
      <c r="J796" s="154" t="s">
        <v>445</v>
      </c>
      <c r="K796" s="154" t="s">
        <v>2345</v>
      </c>
      <c r="L796" s="154" t="str">
        <f t="shared" si="1"/>
        <v/>
      </c>
      <c r="M796" s="248" t="str">
        <f>IFERROR(__xludf.DUMMYFUNCTION("VLOOKUP(C796,IMPORTRANGE(""https://docs.google.com/spreadsheets/d/1P8eX0NWBhUPS_hvzA11R6jkTNFrPrRYIx_dX_hYbxrk/edit?resourcekey=0-iw9bsKY2OqkUHCFMkCar3A&amp;gid=2055363397#gid=2055363397"",""MTR!C:O""),11,false)"),"PMW-MCE-AS")</f>
        <v>PMW-MCE-AS</v>
      </c>
      <c r="N796" s="248" t="str">
        <f>IFERROR(__xludf.DUMMYFUNCTION("VLOOKUP(C796,IMPORTRANGE(""https://docs.google.com/spreadsheets/d/1ihFlp3_ePlYtFuPbUNbYj1muErVpI73WHXbEwJDIA7Q/edit#gid=1493122344"",""MTR!C:O""),8,false)"),"Complies")</f>
        <v>Complies</v>
      </c>
      <c r="O796" s="248" t="str">
        <f>IFERROR(__xludf.DUMMYFUNCTION("VLOOKUP(C796,IMPORTRANGE(""https://docs.google.com/spreadsheets/d/1P8eX0NWBhUPS_hvzA11R6jkTNFrPrRYIx_dX_hYbxrk/edit?resourcekey=0-iw9bsKY2OqkUHCFMkCar3A&amp;gid=2055363397#gid=2055363397"",""MTR!C:O""),9,false)"),"EIA0/EEA0 support")</f>
        <v>EIA0/EEA0 support</v>
      </c>
      <c r="P796" s="248"/>
      <c r="Q796" s="249" t="s">
        <v>445</v>
      </c>
      <c r="R796" s="249" t="s">
        <v>2345</v>
      </c>
      <c r="S796" s="154" t="s">
        <v>60</v>
      </c>
      <c r="T796" s="154" t="s">
        <v>60</v>
      </c>
      <c r="U796" s="154" t="s">
        <v>60</v>
      </c>
      <c r="V796" s="154" t="s">
        <v>60</v>
      </c>
      <c r="W796" s="154" t="s">
        <v>60</v>
      </c>
      <c r="X796" s="154" t="s">
        <v>60</v>
      </c>
      <c r="Y796" s="154" t="s">
        <v>60</v>
      </c>
      <c r="Z796" s="154" t="s">
        <v>60</v>
      </c>
      <c r="AA796" s="154" t="s">
        <v>60</v>
      </c>
      <c r="AB796" s="154"/>
      <c r="AC796" s="242" t="b">
        <f t="shared" si="2"/>
        <v>1</v>
      </c>
      <c r="AD796" s="154" t="s">
        <v>391</v>
      </c>
      <c r="AE796" s="243" t="b">
        <f t="shared" si="3"/>
        <v>0</v>
      </c>
      <c r="AF796" s="154"/>
      <c r="AG796" s="243" t="b">
        <f t="shared" si="4"/>
        <v>0</v>
      </c>
      <c r="AH796" s="154" t="s">
        <v>637</v>
      </c>
      <c r="AI796" s="243" t="str">
        <f t="shared" si="5"/>
        <v>Complies</v>
      </c>
      <c r="AJ796" s="157" t="str">
        <f t="shared" si="6"/>
        <v/>
      </c>
    </row>
    <row r="797" ht="12.75" customHeight="1">
      <c r="A797" s="244" t="s">
        <v>621</v>
      </c>
      <c r="B797" s="244" t="s">
        <v>2214</v>
      </c>
      <c r="C797" s="244" t="s">
        <v>2346</v>
      </c>
      <c r="D797" s="154" t="s">
        <v>459</v>
      </c>
      <c r="E797" s="250"/>
      <c r="F797" s="154" t="str">
        <f t="array" ref="F797">XLOOKUP(Cover!$D$12,$S$1:$AA$1,$S797:$AA797)</f>
        <v>Mandatory</v>
      </c>
      <c r="G797" s="153" t="s">
        <v>2347</v>
      </c>
      <c r="H797" s="154" t="s">
        <v>144</v>
      </c>
      <c r="I797" s="154" t="s">
        <v>389</v>
      </c>
      <c r="J797" s="154" t="s">
        <v>445</v>
      </c>
      <c r="K797" s="154"/>
      <c r="L797" s="154" t="str">
        <f t="shared" si="1"/>
        <v/>
      </c>
      <c r="M797" s="248" t="str">
        <f>IFERROR(__xludf.DUMMYFUNCTION("VLOOKUP(C797,IMPORTRANGE(""https://docs.google.com/spreadsheets/d/1P8eX0NWBhUPS_hvzA11R6jkTNFrPrRYIx_dX_hYbxrk/edit?resourcekey=0-iw9bsKY2OqkUHCFMkCar3A&amp;gid=2055363397#gid=2055363397"",""MTR!C:O""),11,false)"),"PMW-MCE-AS")</f>
        <v>PMW-MCE-AS</v>
      </c>
      <c r="N797" s="248" t="str">
        <f>IFERROR(__xludf.DUMMYFUNCTION("VLOOKUP(C797,IMPORTRANGE(""https://docs.google.com/spreadsheets/d/1ihFlp3_ePlYtFuPbUNbYj1muErVpI73WHXbEwJDIA7Q/edit#gid=1493122344"",""MTR!C:O""),8,false)"),"Complies")</f>
        <v>Complies</v>
      </c>
      <c r="O797" s="241" t="str">
        <f>IFERROR(__xludf.DUMMYFUNCTION("VLOOKUP(C797,IMPORTRANGE(""https://docs.google.com/spreadsheets/d/1P8eX0NWBhUPS_hvzA11R6jkTNFrPrRYIx_dX_hYbxrk/edit?resourcekey=0-iw9bsKY2OqkUHCFMkCar3A&amp;gid=2055363397#gid=2055363397"",""MTR!C:O""),9,false)"),"")</f>
        <v/>
      </c>
      <c r="P797" s="241"/>
      <c r="Q797" s="251" t="s">
        <v>445</v>
      </c>
      <c r="R797" s="251"/>
      <c r="S797" s="154" t="s">
        <v>60</v>
      </c>
      <c r="T797" s="154" t="s">
        <v>60</v>
      </c>
      <c r="U797" s="154" t="s">
        <v>60</v>
      </c>
      <c r="V797" s="154" t="s">
        <v>60</v>
      </c>
      <c r="W797" s="154" t="s">
        <v>60</v>
      </c>
      <c r="X797" s="154" t="s">
        <v>60</v>
      </c>
      <c r="Y797" s="154" t="s">
        <v>60</v>
      </c>
      <c r="Z797" s="154" t="s">
        <v>60</v>
      </c>
      <c r="AA797" s="154" t="s">
        <v>60</v>
      </c>
      <c r="AB797" s="154"/>
      <c r="AC797" s="242" t="b">
        <f t="shared" si="2"/>
        <v>1</v>
      </c>
      <c r="AD797" s="154" t="s">
        <v>391</v>
      </c>
      <c r="AE797" s="243" t="b">
        <f t="shared" si="3"/>
        <v>0</v>
      </c>
      <c r="AF797" s="154"/>
      <c r="AG797" s="243" t="b">
        <f t="shared" si="4"/>
        <v>0</v>
      </c>
      <c r="AH797" s="154" t="s">
        <v>637</v>
      </c>
      <c r="AI797" s="243" t="str">
        <f t="shared" si="5"/>
        <v>Complies</v>
      </c>
      <c r="AJ797" s="157" t="str">
        <f t="shared" si="6"/>
        <v/>
      </c>
    </row>
    <row r="798" ht="12.75" customHeight="1">
      <c r="A798" s="244" t="s">
        <v>621</v>
      </c>
      <c r="B798" s="244" t="s">
        <v>2214</v>
      </c>
      <c r="C798" s="244" t="s">
        <v>2348</v>
      </c>
      <c r="D798" s="154" t="s">
        <v>459</v>
      </c>
      <c r="E798" s="250"/>
      <c r="F798" s="154" t="str">
        <f t="array" ref="F798">XLOOKUP(Cover!$D$12,$S$1:$AA$1,$S798:$AA798)</f>
        <v>Mandatory</v>
      </c>
      <c r="G798" s="153" t="s">
        <v>2349</v>
      </c>
      <c r="H798" s="154" t="s">
        <v>144</v>
      </c>
      <c r="I798" s="154" t="s">
        <v>389</v>
      </c>
      <c r="J798" s="154" t="s">
        <v>445</v>
      </c>
      <c r="K798" s="154"/>
      <c r="L798" s="154" t="str">
        <f t="shared" si="1"/>
        <v/>
      </c>
      <c r="M798" s="248" t="str">
        <f>IFERROR(__xludf.DUMMYFUNCTION("VLOOKUP(C798,IMPORTRANGE(""https://docs.google.com/spreadsheets/d/1P8eX0NWBhUPS_hvzA11R6jkTNFrPrRYIx_dX_hYbxrk/edit?resourcekey=0-iw9bsKY2OqkUHCFMkCar3A&amp;gid=2055363397#gid=2055363397"",""MTR!C:O""),11,false)"),"PMW-MCE-AS")</f>
        <v>PMW-MCE-AS</v>
      </c>
      <c r="N798" s="248" t="str">
        <f>IFERROR(__xludf.DUMMYFUNCTION("VLOOKUP(C798,IMPORTRANGE(""https://docs.google.com/spreadsheets/d/1ihFlp3_ePlYtFuPbUNbYj1muErVpI73WHXbEwJDIA7Q/edit#gid=1493122344"",""MTR!C:O""),8,false)"),"Complies")</f>
        <v>Complies</v>
      </c>
      <c r="O798" s="241" t="str">
        <f>IFERROR(__xludf.DUMMYFUNCTION("VLOOKUP(C798,IMPORTRANGE(""https://docs.google.com/spreadsheets/d/1P8eX0NWBhUPS_hvzA11R6jkTNFrPrRYIx_dX_hYbxrk/edit?resourcekey=0-iw9bsKY2OqkUHCFMkCar3A&amp;gid=2055363397#gid=2055363397"",""MTR!C:O""),9,false)"),"")</f>
        <v/>
      </c>
      <c r="P798" s="241"/>
      <c r="Q798" s="251" t="s">
        <v>445</v>
      </c>
      <c r="R798" s="241"/>
      <c r="S798" s="154" t="s">
        <v>60</v>
      </c>
      <c r="T798" s="154" t="s">
        <v>60</v>
      </c>
      <c r="U798" s="154" t="s">
        <v>60</v>
      </c>
      <c r="V798" s="154" t="s">
        <v>60</v>
      </c>
      <c r="W798" s="154" t="s">
        <v>60</v>
      </c>
      <c r="X798" s="154" t="s">
        <v>60</v>
      </c>
      <c r="Y798" s="154" t="s">
        <v>60</v>
      </c>
      <c r="Z798" s="154" t="s">
        <v>60</v>
      </c>
      <c r="AA798" s="154" t="s">
        <v>60</v>
      </c>
      <c r="AB798" s="154"/>
      <c r="AC798" s="242" t="b">
        <f t="shared" si="2"/>
        <v>1</v>
      </c>
      <c r="AD798" s="154" t="s">
        <v>391</v>
      </c>
      <c r="AE798" s="243" t="b">
        <f t="shared" si="3"/>
        <v>0</v>
      </c>
      <c r="AF798" s="154"/>
      <c r="AG798" s="243" t="b">
        <f t="shared" si="4"/>
        <v>0</v>
      </c>
      <c r="AH798" s="154" t="s">
        <v>637</v>
      </c>
      <c r="AI798" s="243" t="str">
        <f t="shared" si="5"/>
        <v>Complies</v>
      </c>
      <c r="AJ798" s="157" t="str">
        <f t="shared" si="6"/>
        <v/>
      </c>
    </row>
    <row r="799" ht="12.75" customHeight="1">
      <c r="A799" s="244" t="s">
        <v>621</v>
      </c>
      <c r="B799" s="244" t="s">
        <v>2214</v>
      </c>
      <c r="C799" s="244" t="s">
        <v>2350</v>
      </c>
      <c r="D799" s="154" t="s">
        <v>649</v>
      </c>
      <c r="E799" s="250"/>
      <c r="F799" s="154" t="str">
        <f t="array" ref="F799">XLOOKUP(Cover!$D$12,$S$1:$AA$1,$S799:$AA799)</f>
        <v>Recommended</v>
      </c>
      <c r="G799" s="153" t="s">
        <v>2351</v>
      </c>
      <c r="H799" s="154"/>
      <c r="I799" s="154" t="s">
        <v>389</v>
      </c>
      <c r="J799" s="154" t="s">
        <v>445</v>
      </c>
      <c r="K799" s="154"/>
      <c r="L799" s="154" t="str">
        <f t="shared" si="1"/>
        <v/>
      </c>
      <c r="M799" s="248" t="str">
        <f>IFERROR(__xludf.DUMMYFUNCTION("VLOOKUP(C799,IMPORTRANGE(""https://docs.google.com/spreadsheets/d/1P8eX0NWBhUPS_hvzA11R6jkTNFrPrRYIx_dX_hYbxrk/edit?resourcekey=0-iw9bsKY2OqkUHCFMkCar3A&amp;gid=2055363397#gid=2055363397"",""MTR!C:O""),11,false)"),"PMW-MCE-AS")</f>
        <v>PMW-MCE-AS</v>
      </c>
      <c r="N799" s="248" t="str">
        <f>IFERROR(__xludf.DUMMYFUNCTION("VLOOKUP(C799,IMPORTRANGE(""https://docs.google.com/spreadsheets/d/1ihFlp3_ePlYtFuPbUNbYj1muErVpI73WHXbEwJDIA7Q/edit#gid=1493122344"",""MTR!C:O""),8,false)"),"Complies")</f>
        <v>Complies</v>
      </c>
      <c r="O799" s="241" t="str">
        <f>IFERROR(__xludf.DUMMYFUNCTION("VLOOKUP(C799,IMPORTRANGE(""https://docs.google.com/spreadsheets/d/1P8eX0NWBhUPS_hvzA11R6jkTNFrPrRYIx_dX_hYbxrk/edit?resourcekey=0-iw9bsKY2OqkUHCFMkCar3A&amp;gid=2055363397#gid=2055363397"",""MTR!C:O""),9,false)"),"")</f>
        <v/>
      </c>
      <c r="P799" s="241"/>
      <c r="Q799" s="251" t="s">
        <v>445</v>
      </c>
      <c r="R799" s="241"/>
      <c r="S799" s="154" t="s">
        <v>64</v>
      </c>
      <c r="T799" s="154" t="s">
        <v>64</v>
      </c>
      <c r="U799" s="154" t="s">
        <v>64</v>
      </c>
      <c r="V799" s="154" t="s">
        <v>64</v>
      </c>
      <c r="W799" s="154" t="s">
        <v>64</v>
      </c>
      <c r="X799" s="154" t="s">
        <v>64</v>
      </c>
      <c r="Y799" s="154" t="s">
        <v>64</v>
      </c>
      <c r="Z799" s="154" t="s">
        <v>64</v>
      </c>
      <c r="AA799" s="154" t="s">
        <v>64</v>
      </c>
      <c r="AB799" s="154"/>
      <c r="AC799" s="242" t="b">
        <f t="shared" si="2"/>
        <v>1</v>
      </c>
      <c r="AD799" s="154" t="s">
        <v>391</v>
      </c>
      <c r="AE799" s="243" t="b">
        <f t="shared" si="3"/>
        <v>0</v>
      </c>
      <c r="AF799" s="154"/>
      <c r="AG799" s="243" t="b">
        <f t="shared" si="4"/>
        <v>0</v>
      </c>
      <c r="AH799" s="154" t="s">
        <v>637</v>
      </c>
      <c r="AI799" s="243" t="str">
        <f t="shared" si="5"/>
        <v>Complies</v>
      </c>
      <c r="AJ799" s="157" t="str">
        <f t="shared" si="6"/>
        <v/>
      </c>
    </row>
    <row r="800" ht="12.75" customHeight="1">
      <c r="A800" s="244" t="s">
        <v>621</v>
      </c>
      <c r="B800" s="244" t="s">
        <v>2214</v>
      </c>
      <c r="C800" s="244" t="s">
        <v>2352</v>
      </c>
      <c r="D800" s="154" t="s">
        <v>45</v>
      </c>
      <c r="E800" s="250"/>
      <c r="F800" s="154" t="str">
        <f t="array" ref="F800">XLOOKUP(Cover!$D$12,$S$1:$AA$1,$S800:$AA800)</f>
        <v>Mandatory</v>
      </c>
      <c r="G800" s="153" t="s">
        <v>2353</v>
      </c>
      <c r="H800" s="154"/>
      <c r="I800" s="154" t="s">
        <v>389</v>
      </c>
      <c r="J800" s="247" t="s">
        <v>445</v>
      </c>
      <c r="K800" s="154"/>
      <c r="L800" s="154" t="str">
        <f t="shared" si="1"/>
        <v/>
      </c>
      <c r="M800" s="253" t="s">
        <v>2194</v>
      </c>
      <c r="N800" s="253" t="str">
        <f>IFERROR(__xludf.DUMMYFUNCTION("VLOOKUP(C800,IMPORTRANGE(""https://docs.google.com/spreadsheets/d/1ihFlp3_ePlYtFuPbUNbYj1muErVpI73WHXbEwJDIA7Q/edit#gid=1493122344"",""MTR!C:O""),8,false)"),"#N/A")</f>
        <v>#N/A</v>
      </c>
      <c r="O800" s="241" t="str">
        <f>IFERROR(__xludf.DUMMYFUNCTION("VLOOKUP(C800,IMPORTRANGE(""https://docs.google.com/spreadsheets/d/1P8eX0NWBhUPS_hvzA11R6jkTNFrPrRYIx_dX_hYbxrk/edit?resourcekey=0-iw9bsKY2OqkUHCFMkCar3A&amp;gid=2055363397#gid=2055363397"",""MTR!C:O""),9,false)"),"")</f>
        <v/>
      </c>
      <c r="P800" s="241"/>
      <c r="Q800" s="251"/>
      <c r="R800" s="241"/>
      <c r="S800" s="154" t="s">
        <v>60</v>
      </c>
      <c r="T800" s="154" t="s">
        <v>60</v>
      </c>
      <c r="U800" s="154" t="s">
        <v>60</v>
      </c>
      <c r="V800" s="154" t="s">
        <v>60</v>
      </c>
      <c r="W800" s="154" t="s">
        <v>60</v>
      </c>
      <c r="X800" s="154" t="s">
        <v>60</v>
      </c>
      <c r="Y800" s="154" t="s">
        <v>60</v>
      </c>
      <c r="Z800" s="154" t="s">
        <v>60</v>
      </c>
      <c r="AA800" s="154" t="s">
        <v>60</v>
      </c>
      <c r="AB800" s="154"/>
      <c r="AC800" s="242" t="b">
        <f t="shared" si="2"/>
        <v>1</v>
      </c>
      <c r="AD800" s="154" t="s">
        <v>391</v>
      </c>
      <c r="AE800" s="243" t="b">
        <f t="shared" si="3"/>
        <v>0</v>
      </c>
      <c r="AF800" s="154"/>
      <c r="AG800" s="243" t="b">
        <f t="shared" si="4"/>
        <v>0</v>
      </c>
      <c r="AH800" s="154" t="s">
        <v>637</v>
      </c>
      <c r="AI800" s="243" t="str">
        <f t="shared" si="5"/>
        <v>Complies</v>
      </c>
      <c r="AJ800" s="157" t="str">
        <f t="shared" si="6"/>
        <v/>
      </c>
    </row>
    <row r="801" ht="12.75" customHeight="1">
      <c r="A801" s="238" t="s">
        <v>621</v>
      </c>
      <c r="B801" s="238" t="s">
        <v>2214</v>
      </c>
      <c r="C801" s="238" t="s">
        <v>2354</v>
      </c>
      <c r="D801" s="240"/>
      <c r="E801" s="252" t="s">
        <v>92</v>
      </c>
      <c r="F801" s="154" t="str">
        <f t="array" ref="F801">XLOOKUP(Cover!$D$12,$S$1:$AA$1,$S801:$AA801)</f>
        <v>Heading</v>
      </c>
      <c r="G801" s="239" t="s">
        <v>2355</v>
      </c>
      <c r="H801" s="240"/>
      <c r="I801" s="240" t="s">
        <v>759</v>
      </c>
      <c r="J801" s="240"/>
      <c r="K801" s="240"/>
      <c r="L801" s="154" t="str">
        <f t="shared" si="1"/>
        <v/>
      </c>
      <c r="M801" s="241" t="str">
        <f>IFERROR(__xludf.DUMMYFUNCTION("VLOOKUP(C801,IMPORTRANGE(""https://docs.google.com/spreadsheets/d/1P8eX0NWBhUPS_hvzA11R6jkTNFrPrRYIx_dX_hYbxrk/edit?resourcekey=0-iw9bsKY2OqkUHCFMkCar3A&amp;gid=2055363397#gid=2055363397"",""MTR!C:O""),11,false)"),"")</f>
        <v/>
      </c>
      <c r="N801" s="241" t="str">
        <f>IFERROR(__xludf.DUMMYFUNCTION("VLOOKUP(C801,IMPORTRANGE(""https://docs.google.com/spreadsheets/d/1ihFlp3_ePlYtFuPbUNbYj1muErVpI73WHXbEwJDIA7Q/edit#gid=1493122344"",""MTR!C:O""),8,false)"),"")</f>
        <v/>
      </c>
      <c r="O801" s="241" t="str">
        <f>IFERROR(__xludf.DUMMYFUNCTION("VLOOKUP(C801,IMPORTRANGE(""https://docs.google.com/spreadsheets/d/1P8eX0NWBhUPS_hvzA11R6jkTNFrPrRYIx_dX_hYbxrk/edit?resourcekey=0-iw9bsKY2OqkUHCFMkCar3A&amp;gid=2055363397#gid=2055363397"",""MTR!C:O""),9,false)"),"")</f>
        <v/>
      </c>
      <c r="P801" s="241"/>
      <c r="Q801" s="241"/>
      <c r="R801" s="241"/>
      <c r="S801" s="240" t="s">
        <v>390</v>
      </c>
      <c r="T801" s="240" t="s">
        <v>390</v>
      </c>
      <c r="U801" s="240" t="s">
        <v>390</v>
      </c>
      <c r="V801" s="240" t="s">
        <v>390</v>
      </c>
      <c r="W801" s="240" t="s">
        <v>390</v>
      </c>
      <c r="X801" s="240" t="s">
        <v>390</v>
      </c>
      <c r="Y801" s="240" t="s">
        <v>390</v>
      </c>
      <c r="Z801" s="240" t="s">
        <v>390</v>
      </c>
      <c r="AA801" s="240" t="s">
        <v>390</v>
      </c>
      <c r="AB801" s="240"/>
      <c r="AC801" s="242" t="b">
        <f t="shared" si="2"/>
        <v>0</v>
      </c>
      <c r="AD801" s="240" t="s">
        <v>391</v>
      </c>
      <c r="AE801" s="243" t="b">
        <f t="shared" si="3"/>
        <v>0</v>
      </c>
      <c r="AF801" s="240"/>
      <c r="AG801" s="243" t="b">
        <f t="shared" si="4"/>
        <v>0</v>
      </c>
      <c r="AH801" s="240"/>
      <c r="AI801" s="243" t="str">
        <f t="shared" si="5"/>
        <v>N/A</v>
      </c>
      <c r="AJ801" s="157" t="str">
        <f t="shared" si="6"/>
        <v/>
      </c>
    </row>
    <row r="802" ht="12.75" customHeight="1">
      <c r="A802" s="244" t="s">
        <v>621</v>
      </c>
      <c r="B802" s="244" t="s">
        <v>2214</v>
      </c>
      <c r="C802" s="244" t="s">
        <v>2356</v>
      </c>
      <c r="D802" s="154" t="s">
        <v>542</v>
      </c>
      <c r="E802" s="250"/>
      <c r="F802" s="154" t="str">
        <f t="array" ref="F802">XLOOKUP(Cover!$D$12,$S$1:$AA$1,$S802:$AA802)</f>
        <v>Mandatory</v>
      </c>
      <c r="G802" s="153" t="s">
        <v>2357</v>
      </c>
      <c r="H802" s="154" t="s">
        <v>232</v>
      </c>
      <c r="I802" s="154" t="s">
        <v>759</v>
      </c>
      <c r="J802" s="154" t="s">
        <v>445</v>
      </c>
      <c r="K802" s="154" t="s">
        <v>2358</v>
      </c>
      <c r="L802" s="154" t="str">
        <f t="shared" si="1"/>
        <v/>
      </c>
      <c r="M802" s="248" t="str">
        <f>IFERROR(__xludf.DUMMYFUNCTION("VLOOKUP(C802,IMPORTRANGE(""https://docs.google.com/spreadsheets/d/1P8eX0NWBhUPS_hvzA11R6jkTNFrPrRYIx_dX_hYbxrk/edit?resourcekey=0-iw9bsKY2OqkUHCFMkCar3A&amp;gid=2055363397#gid=2055363397"",""MTR!C:O""),11,false)"),"PMW-MCE-AS")</f>
        <v>PMW-MCE-AS</v>
      </c>
      <c r="N802" s="248" t="str">
        <f>IFERROR(__xludf.DUMMYFUNCTION("VLOOKUP(C802,IMPORTRANGE(""https://docs.google.com/spreadsheets/d/1ihFlp3_ePlYtFuPbUNbYj1muErVpI73WHXbEwJDIA7Q/edit#gid=1493122344"",""MTR!C:O""),8,false)"),"Complies")</f>
        <v>Complies</v>
      </c>
      <c r="O802" s="248" t="str">
        <f>IFERROR(__xludf.DUMMYFUNCTION("VLOOKUP(C802,IMPORTRANGE(""https://docs.google.com/spreadsheets/d/1P8eX0NWBhUPS_hvzA11R6jkTNFrPrRYIx_dX_hYbxrk/edit?resourcekey=0-iw9bsKY2OqkUHCFMkCar3A&amp;gid=2055363397#gid=2055363397"",""MTR!C:O""),9,false)"),"5G-EA0 is support, 5G-IA0 5G-IA0 is supported only under limited service")</f>
        <v>5G-EA0 is support, 5G-IA0 5G-IA0 is supported only under limited service</v>
      </c>
      <c r="P802" s="248"/>
      <c r="Q802" s="249" t="s">
        <v>445</v>
      </c>
      <c r="R802" s="249" t="s">
        <v>2358</v>
      </c>
      <c r="S802" s="154" t="s">
        <v>68</v>
      </c>
      <c r="T802" s="154" t="s">
        <v>68</v>
      </c>
      <c r="U802" s="154" t="s">
        <v>60</v>
      </c>
      <c r="V802" s="154" t="s">
        <v>60</v>
      </c>
      <c r="W802" s="154" t="s">
        <v>60</v>
      </c>
      <c r="X802" s="154" t="s">
        <v>60</v>
      </c>
      <c r="Y802" s="154" t="s">
        <v>68</v>
      </c>
      <c r="Z802" s="154" t="s">
        <v>60</v>
      </c>
      <c r="AA802" s="154" t="s">
        <v>60</v>
      </c>
      <c r="AB802" s="154"/>
      <c r="AC802" s="242" t="b">
        <f t="shared" si="2"/>
        <v>1</v>
      </c>
      <c r="AD802" s="154" t="s">
        <v>391</v>
      </c>
      <c r="AE802" s="243" t="b">
        <f t="shared" si="3"/>
        <v>0</v>
      </c>
      <c r="AF802" s="154"/>
      <c r="AG802" s="243" t="b">
        <f t="shared" si="4"/>
        <v>0</v>
      </c>
      <c r="AH802" s="154" t="s">
        <v>652</v>
      </c>
      <c r="AI802" s="243" t="str">
        <f t="shared" si="5"/>
        <v>Complies</v>
      </c>
      <c r="AJ802" s="157" t="str">
        <f t="shared" si="6"/>
        <v/>
      </c>
    </row>
    <row r="803" ht="12.75" customHeight="1">
      <c r="A803" s="244" t="s">
        <v>621</v>
      </c>
      <c r="B803" s="244" t="s">
        <v>2214</v>
      </c>
      <c r="C803" s="244" t="s">
        <v>2359</v>
      </c>
      <c r="D803" s="154" t="s">
        <v>1315</v>
      </c>
      <c r="E803" s="250"/>
      <c r="F803" s="154" t="str">
        <f t="array" ref="F803">XLOOKUP(Cover!$D$12,$S$1:$AA$1,$S803:$AA803)</f>
        <v>Mandatory</v>
      </c>
      <c r="G803" s="154" t="s">
        <v>2360</v>
      </c>
      <c r="H803" s="154" t="s">
        <v>234</v>
      </c>
      <c r="I803" s="154" t="s">
        <v>759</v>
      </c>
      <c r="J803" s="247" t="s">
        <v>506</v>
      </c>
      <c r="K803" s="154" t="s">
        <v>2150</v>
      </c>
      <c r="L803" s="154" t="str">
        <f t="shared" si="1"/>
        <v/>
      </c>
      <c r="M803" s="248" t="str">
        <f>IFERROR(__xludf.DUMMYFUNCTION("VLOOKUP(C803,IMPORTRANGE(""https://docs.google.com/spreadsheets/d/1P8eX0NWBhUPS_hvzA11R6jkTNFrPrRYIx_dX_hYbxrk/edit?resourcekey=0-iw9bsKY2OqkUHCFMkCar3A&amp;gid=2055363397#gid=2055363397"",""MTR!C:O""),11,false)"),"PMW-MCE-AS")</f>
        <v>PMW-MCE-AS</v>
      </c>
      <c r="N803" s="248" t="str">
        <f>IFERROR(__xludf.DUMMYFUNCTION("VLOOKUP(C803,IMPORTRANGE(""https://docs.google.com/spreadsheets/d/1ihFlp3_ePlYtFuPbUNbYj1muErVpI73WHXbEwJDIA7Q/edit#gid=1493122344"",""MTR!C:O""),8,false)"),"Does Not Comply")</f>
        <v>Does Not Comply</v>
      </c>
      <c r="O803" s="248" t="str">
        <f>IFERROR(__xludf.DUMMYFUNCTION("VLOOKUP(C803,IMPORTRANGE(""https://docs.google.com/spreadsheets/d/1P8eX0NWBhUPS_hvzA11R6jkTNFrPrRYIx_dX_hYbxrk/edit?resourcekey=0-iw9bsKY2OqkUHCFMkCar3A&amp;gid=2055363397#gid=2055363397"",""MTR!C:O""),9,false)"),"5G SA default disabled.")</f>
        <v>5G SA default disabled.</v>
      </c>
      <c r="P803" s="248"/>
      <c r="Q803" s="249" t="s">
        <v>516</v>
      </c>
      <c r="R803" s="249" t="s">
        <v>1642</v>
      </c>
      <c r="S803" s="154" t="s">
        <v>68</v>
      </c>
      <c r="T803" s="154" t="s">
        <v>68</v>
      </c>
      <c r="U803" s="154" t="s">
        <v>60</v>
      </c>
      <c r="V803" s="154" t="s">
        <v>60</v>
      </c>
      <c r="W803" s="154" t="s">
        <v>60</v>
      </c>
      <c r="X803" s="154" t="s">
        <v>60</v>
      </c>
      <c r="Y803" s="154" t="s">
        <v>68</v>
      </c>
      <c r="Z803" s="154" t="s">
        <v>60</v>
      </c>
      <c r="AA803" s="154" t="s">
        <v>60</v>
      </c>
      <c r="AB803" s="154"/>
      <c r="AC803" s="242" t="b">
        <f t="shared" si="2"/>
        <v>1</v>
      </c>
      <c r="AD803" s="154" t="s">
        <v>391</v>
      </c>
      <c r="AE803" s="243" t="b">
        <f t="shared" si="3"/>
        <v>0</v>
      </c>
      <c r="AF803" s="154"/>
      <c r="AG803" s="243" t="b">
        <f t="shared" si="4"/>
        <v>0</v>
      </c>
      <c r="AH803" s="154" t="s">
        <v>1346</v>
      </c>
      <c r="AI803" s="243" t="str">
        <f t="shared" si="5"/>
        <v>Partially Complies</v>
      </c>
      <c r="AJ803" s="157" t="str">
        <f t="shared" si="6"/>
        <v/>
      </c>
    </row>
    <row r="804" ht="12.75" customHeight="1">
      <c r="A804" s="244" t="s">
        <v>621</v>
      </c>
      <c r="B804" s="244" t="s">
        <v>2214</v>
      </c>
      <c r="C804" s="244" t="s">
        <v>2361</v>
      </c>
      <c r="D804" s="154" t="s">
        <v>542</v>
      </c>
      <c r="E804" s="250"/>
      <c r="F804" s="154" t="str">
        <f t="array" ref="F804">XLOOKUP(Cover!$D$12,$S$1:$AA$1,$S804:$AA804)</f>
        <v>Mandatory</v>
      </c>
      <c r="G804" s="153" t="s">
        <v>2362</v>
      </c>
      <c r="H804" s="154" t="s">
        <v>232</v>
      </c>
      <c r="I804" s="154" t="s">
        <v>759</v>
      </c>
      <c r="J804" s="154" t="s">
        <v>445</v>
      </c>
      <c r="K804" s="154"/>
      <c r="L804" s="154" t="str">
        <f t="shared" si="1"/>
        <v/>
      </c>
      <c r="M804" s="248" t="str">
        <f>IFERROR(__xludf.DUMMYFUNCTION("VLOOKUP(C804,IMPORTRANGE(""https://docs.google.com/spreadsheets/d/1P8eX0NWBhUPS_hvzA11R6jkTNFrPrRYIx_dX_hYbxrk/edit?resourcekey=0-iw9bsKY2OqkUHCFMkCar3A&amp;gid=2055363397#gid=2055363397"",""MTR!C:O""),11,false)"),"PMW-MCE-AS")</f>
        <v>PMW-MCE-AS</v>
      </c>
      <c r="N804" s="248" t="str">
        <f>IFERROR(__xludf.DUMMYFUNCTION("VLOOKUP(C804,IMPORTRANGE(""https://docs.google.com/spreadsheets/d/1ihFlp3_ePlYtFuPbUNbYj1muErVpI73WHXbEwJDIA7Q/edit#gid=1493122344"",""MTR!C:O""),8,false)"),"Complies")</f>
        <v>Complies</v>
      </c>
      <c r="O804" s="241" t="str">
        <f>IFERROR(__xludf.DUMMYFUNCTION("VLOOKUP(C804,IMPORTRANGE(""https://docs.google.com/spreadsheets/d/1P8eX0NWBhUPS_hvzA11R6jkTNFrPrRYIx_dX_hYbxrk/edit?resourcekey=0-iw9bsKY2OqkUHCFMkCar3A&amp;gid=2055363397#gid=2055363397"",""MTR!C:O""),9,false)"),"")</f>
        <v/>
      </c>
      <c r="P804" s="241"/>
      <c r="Q804" s="251" t="s">
        <v>445</v>
      </c>
      <c r="R804" s="251"/>
      <c r="S804" s="154" t="s">
        <v>68</v>
      </c>
      <c r="T804" s="154" t="s">
        <v>68</v>
      </c>
      <c r="U804" s="154" t="s">
        <v>60</v>
      </c>
      <c r="V804" s="154" t="s">
        <v>60</v>
      </c>
      <c r="W804" s="154" t="s">
        <v>60</v>
      </c>
      <c r="X804" s="154" t="s">
        <v>60</v>
      </c>
      <c r="Y804" s="154" t="s">
        <v>68</v>
      </c>
      <c r="Z804" s="154" t="s">
        <v>60</v>
      </c>
      <c r="AA804" s="154" t="s">
        <v>60</v>
      </c>
      <c r="AB804" s="154"/>
      <c r="AC804" s="242" t="b">
        <f t="shared" si="2"/>
        <v>1</v>
      </c>
      <c r="AD804" s="154" t="s">
        <v>391</v>
      </c>
      <c r="AE804" s="243" t="b">
        <f t="shared" si="3"/>
        <v>0</v>
      </c>
      <c r="AF804" s="154"/>
      <c r="AG804" s="243" t="b">
        <f t="shared" si="4"/>
        <v>0</v>
      </c>
      <c r="AH804" s="154" t="s">
        <v>652</v>
      </c>
      <c r="AI804" s="243" t="str">
        <f t="shared" si="5"/>
        <v>Complies</v>
      </c>
      <c r="AJ804" s="157" t="str">
        <f t="shared" si="6"/>
        <v/>
      </c>
    </row>
    <row r="805" ht="12.75" customHeight="1">
      <c r="A805" s="244" t="s">
        <v>621</v>
      </c>
      <c r="B805" s="244" t="s">
        <v>2214</v>
      </c>
      <c r="C805" s="244" t="s">
        <v>2363</v>
      </c>
      <c r="D805" s="154" t="s">
        <v>542</v>
      </c>
      <c r="E805" s="250"/>
      <c r="F805" s="154" t="str">
        <f t="array" ref="F805">XLOOKUP(Cover!$D$12,$S$1:$AA$1,$S805:$AA805)</f>
        <v>Mandatory</v>
      </c>
      <c r="G805" s="153" t="s">
        <v>2364</v>
      </c>
      <c r="H805" s="154" t="s">
        <v>232</v>
      </c>
      <c r="I805" s="154" t="s">
        <v>759</v>
      </c>
      <c r="J805" s="154" t="s">
        <v>445</v>
      </c>
      <c r="K805" s="154"/>
      <c r="L805" s="154" t="str">
        <f t="shared" si="1"/>
        <v/>
      </c>
      <c r="M805" s="248" t="str">
        <f>IFERROR(__xludf.DUMMYFUNCTION("VLOOKUP(C805,IMPORTRANGE(""https://docs.google.com/spreadsheets/d/1P8eX0NWBhUPS_hvzA11R6jkTNFrPrRYIx_dX_hYbxrk/edit?resourcekey=0-iw9bsKY2OqkUHCFMkCar3A&amp;gid=2055363397#gid=2055363397"",""MTR!C:O""),11,false)"),"PMW-MCE-AS")</f>
        <v>PMW-MCE-AS</v>
      </c>
      <c r="N805" s="248" t="str">
        <f>IFERROR(__xludf.DUMMYFUNCTION("VLOOKUP(C805,IMPORTRANGE(""https://docs.google.com/spreadsheets/d/1ihFlp3_ePlYtFuPbUNbYj1muErVpI73WHXbEwJDIA7Q/edit#gid=1493122344"",""MTR!C:O""),8,false)"),"Complies")</f>
        <v>Complies</v>
      </c>
      <c r="O805" s="241" t="str">
        <f>IFERROR(__xludf.DUMMYFUNCTION("VLOOKUP(C805,IMPORTRANGE(""https://docs.google.com/spreadsheets/d/1P8eX0NWBhUPS_hvzA11R6jkTNFrPrRYIx_dX_hYbxrk/edit?resourcekey=0-iw9bsKY2OqkUHCFMkCar3A&amp;gid=2055363397#gid=2055363397"",""MTR!C:O""),9,false)"),"")</f>
        <v/>
      </c>
      <c r="P805" s="241"/>
      <c r="Q805" s="251" t="s">
        <v>445</v>
      </c>
      <c r="R805" s="241"/>
      <c r="S805" s="154" t="s">
        <v>68</v>
      </c>
      <c r="T805" s="154" t="s">
        <v>68</v>
      </c>
      <c r="U805" s="154" t="s">
        <v>60</v>
      </c>
      <c r="V805" s="154" t="s">
        <v>60</v>
      </c>
      <c r="W805" s="154" t="s">
        <v>60</v>
      </c>
      <c r="X805" s="154" t="s">
        <v>60</v>
      </c>
      <c r="Y805" s="154" t="s">
        <v>68</v>
      </c>
      <c r="Z805" s="154" t="s">
        <v>60</v>
      </c>
      <c r="AA805" s="154" t="s">
        <v>60</v>
      </c>
      <c r="AB805" s="154"/>
      <c r="AC805" s="242" t="b">
        <f t="shared" si="2"/>
        <v>1</v>
      </c>
      <c r="AD805" s="154" t="s">
        <v>391</v>
      </c>
      <c r="AE805" s="243" t="b">
        <f t="shared" si="3"/>
        <v>0</v>
      </c>
      <c r="AF805" s="154"/>
      <c r="AG805" s="243" t="b">
        <f t="shared" si="4"/>
        <v>0</v>
      </c>
      <c r="AH805" s="154" t="s">
        <v>652</v>
      </c>
      <c r="AI805" s="243" t="str">
        <f t="shared" si="5"/>
        <v>Complies</v>
      </c>
      <c r="AJ805" s="157" t="str">
        <f t="shared" si="6"/>
        <v/>
      </c>
    </row>
    <row r="806" ht="12.75" customHeight="1">
      <c r="A806" s="244" t="s">
        <v>621</v>
      </c>
      <c r="B806" s="244" t="s">
        <v>2214</v>
      </c>
      <c r="C806" s="244" t="s">
        <v>2365</v>
      </c>
      <c r="D806" s="154" t="s">
        <v>542</v>
      </c>
      <c r="E806" s="250"/>
      <c r="F806" s="154" t="str">
        <f t="array" ref="F806">XLOOKUP(Cover!$D$12,$S$1:$AA$1,$S806:$AA806)</f>
        <v>Information</v>
      </c>
      <c r="G806" s="153" t="s">
        <v>2366</v>
      </c>
      <c r="H806" s="154"/>
      <c r="I806" s="154" t="s">
        <v>759</v>
      </c>
      <c r="J806" s="154" t="s">
        <v>445</v>
      </c>
      <c r="K806" s="154"/>
      <c r="L806" s="154" t="str">
        <f t="shared" si="1"/>
        <v/>
      </c>
      <c r="M806" s="248" t="str">
        <f>IFERROR(__xludf.DUMMYFUNCTION("VLOOKUP(C806,IMPORTRANGE(""https://docs.google.com/spreadsheets/d/1P8eX0NWBhUPS_hvzA11R6jkTNFrPrRYIx_dX_hYbxrk/edit?resourcekey=0-iw9bsKY2OqkUHCFMkCar3A&amp;gid=2055363397#gid=2055363397"",""MTR!C:O""),11,false)"),"PMW-MCE-AS")</f>
        <v>PMW-MCE-AS</v>
      </c>
      <c r="N806" s="248" t="str">
        <f>IFERROR(__xludf.DUMMYFUNCTION("VLOOKUP(C806,IMPORTRANGE(""https://docs.google.com/spreadsheets/d/1ihFlp3_ePlYtFuPbUNbYj1muErVpI73WHXbEwJDIA7Q/edit#gid=1493122344"",""MTR!C:O""),8,false)"),"Complies")</f>
        <v>Complies</v>
      </c>
      <c r="O806" s="241" t="str">
        <f>IFERROR(__xludf.DUMMYFUNCTION("VLOOKUP(C806,IMPORTRANGE(""https://docs.google.com/spreadsheets/d/1P8eX0NWBhUPS_hvzA11R6jkTNFrPrRYIx_dX_hYbxrk/edit?resourcekey=0-iw9bsKY2OqkUHCFMkCar3A&amp;gid=2055363397#gid=2055363397"",""MTR!C:O""),9,false)"),"")</f>
        <v/>
      </c>
      <c r="P806" s="241"/>
      <c r="Q806" s="251" t="s">
        <v>445</v>
      </c>
      <c r="R806" s="241"/>
      <c r="S806" s="154" t="s">
        <v>68</v>
      </c>
      <c r="T806" s="154" t="s">
        <v>68</v>
      </c>
      <c r="U806" s="154" t="s">
        <v>66</v>
      </c>
      <c r="V806" s="154" t="s">
        <v>66</v>
      </c>
      <c r="W806" s="154" t="s">
        <v>66</v>
      </c>
      <c r="X806" s="154" t="s">
        <v>66</v>
      </c>
      <c r="Y806" s="154" t="s">
        <v>68</v>
      </c>
      <c r="Z806" s="154" t="s">
        <v>66</v>
      </c>
      <c r="AA806" s="154" t="s">
        <v>66</v>
      </c>
      <c r="AB806" s="154"/>
      <c r="AC806" s="242" t="b">
        <f t="shared" si="2"/>
        <v>1</v>
      </c>
      <c r="AD806" s="154" t="s">
        <v>391</v>
      </c>
      <c r="AE806" s="243" t="b">
        <f t="shared" si="3"/>
        <v>0</v>
      </c>
      <c r="AF806" s="154"/>
      <c r="AG806" s="243" t="b">
        <f t="shared" si="4"/>
        <v>0</v>
      </c>
      <c r="AH806" s="154" t="s">
        <v>652</v>
      </c>
      <c r="AI806" s="243" t="str">
        <f t="shared" si="5"/>
        <v>Complies</v>
      </c>
      <c r="AJ806" s="157" t="str">
        <f t="shared" si="6"/>
        <v/>
      </c>
    </row>
    <row r="807" ht="12.75" customHeight="1">
      <c r="A807" s="244" t="s">
        <v>621</v>
      </c>
      <c r="B807" s="244" t="s">
        <v>2214</v>
      </c>
      <c r="C807" s="255" t="s">
        <v>2367</v>
      </c>
      <c r="D807" s="256" t="s">
        <v>42</v>
      </c>
      <c r="E807" s="257" t="s">
        <v>489</v>
      </c>
      <c r="F807" s="154" t="str">
        <f t="array" ref="F807">XLOOKUP(Cover!$D$12,$S$1:$AA$1,$S807:$AA807)</f>
        <v>Mandatory</v>
      </c>
      <c r="G807" s="153" t="s">
        <v>2368</v>
      </c>
      <c r="H807" s="154" t="s">
        <v>234</v>
      </c>
      <c r="I807" s="154" t="s">
        <v>759</v>
      </c>
      <c r="J807" s="247" t="s">
        <v>506</v>
      </c>
      <c r="K807" s="154" t="s">
        <v>2308</v>
      </c>
      <c r="L807" s="154" t="str">
        <f t="shared" si="1"/>
        <v/>
      </c>
      <c r="M807" s="253" t="s">
        <v>2194</v>
      </c>
      <c r="N807" s="253" t="str">
        <f>IFERROR(__xludf.DUMMYFUNCTION("VLOOKUP(C807,IMPORTRANGE(""https://docs.google.com/spreadsheets/d/1ihFlp3_ePlYtFuPbUNbYj1muErVpI73WHXbEwJDIA7Q/edit#gid=1493122344"",""MTR!C:O""),8,false)"),"#N/A")</f>
        <v>#N/A</v>
      </c>
      <c r="O807" s="253" t="str">
        <f>IFERROR(__xludf.DUMMYFUNCTION("VLOOKUP(C807,IMPORTRANGE(""https://docs.google.com/spreadsheets/d/1P8eX0NWBhUPS_hvzA11R6jkTNFrPrRYIx_dX_hYbxrk/edit?resourcekey=0-iw9bsKY2OqkUHCFMkCar3A&amp;gid=2055363397#gid=2055363397"",""MTR!C:O""),9,false)"),"#N/A")</f>
        <v>#N/A</v>
      </c>
      <c r="P807" s="253"/>
      <c r="Q807" s="259"/>
      <c r="R807" s="253"/>
      <c r="S807" s="154" t="s">
        <v>68</v>
      </c>
      <c r="T807" s="154" t="s">
        <v>68</v>
      </c>
      <c r="U807" s="154" t="s">
        <v>60</v>
      </c>
      <c r="V807" s="154" t="s">
        <v>60</v>
      </c>
      <c r="W807" s="154" t="s">
        <v>60</v>
      </c>
      <c r="X807" s="154" t="s">
        <v>60</v>
      </c>
      <c r="Y807" s="154" t="s">
        <v>68</v>
      </c>
      <c r="Z807" s="154" t="s">
        <v>60</v>
      </c>
      <c r="AA807" s="154" t="s">
        <v>60</v>
      </c>
      <c r="AB807" s="154"/>
      <c r="AC807" s="242" t="b">
        <f t="shared" si="2"/>
        <v>1</v>
      </c>
      <c r="AD807" s="154" t="s">
        <v>391</v>
      </c>
      <c r="AE807" s="243" t="b">
        <f t="shared" si="3"/>
        <v>0</v>
      </c>
      <c r="AF807" s="154"/>
      <c r="AG807" s="243" t="b">
        <f t="shared" si="4"/>
        <v>0</v>
      </c>
      <c r="AH807" s="154" t="s">
        <v>1346</v>
      </c>
      <c r="AI807" s="243" t="str">
        <f t="shared" si="5"/>
        <v>Partially Complies</v>
      </c>
      <c r="AJ807" s="157" t="str">
        <f t="shared" si="6"/>
        <v/>
      </c>
    </row>
    <row r="808" ht="12.75" customHeight="1">
      <c r="A808" s="244" t="s">
        <v>621</v>
      </c>
      <c r="B808" s="244" t="s">
        <v>2214</v>
      </c>
      <c r="C808" s="244" t="s">
        <v>2369</v>
      </c>
      <c r="D808" s="154" t="s">
        <v>781</v>
      </c>
      <c r="E808" s="250"/>
      <c r="F808" s="154" t="str">
        <f t="array" ref="F808">XLOOKUP(Cover!$D$12,$S$1:$AA$1,$S808:$AA808)</f>
        <v>Mandatory</v>
      </c>
      <c r="G808" s="153" t="s">
        <v>2370</v>
      </c>
      <c r="H808" s="154" t="s">
        <v>234</v>
      </c>
      <c r="I808" s="154" t="s">
        <v>759</v>
      </c>
      <c r="J808" s="247" t="s">
        <v>506</v>
      </c>
      <c r="K808" s="154" t="s">
        <v>2308</v>
      </c>
      <c r="L808" s="154" t="str">
        <f t="shared" si="1"/>
        <v/>
      </c>
      <c r="M808" s="248" t="s">
        <v>2194</v>
      </c>
      <c r="N808" s="248" t="str">
        <f>IFERROR(__xludf.DUMMYFUNCTION("VLOOKUP(C808,IMPORTRANGE(""https://docs.google.com/spreadsheets/d/1ihFlp3_ePlYtFuPbUNbYj1muErVpI73WHXbEwJDIA7Q/edit#gid=1493122344"",""MTR!C:O""),8,false)"),"Does Not Comply")</f>
        <v>Does Not Comply</v>
      </c>
      <c r="O808" s="248" t="str">
        <f>IFERROR(__xludf.DUMMYFUNCTION("VLOOKUP(C808,IMPORTRANGE(""https://docs.google.com/spreadsheets/d/1P8eX0NWBhUPS_hvzA11R6jkTNFrPrRYIx_dX_hYbxrk/edit?resourcekey=0-iw9bsKY2OqkUHCFMkCar3A&amp;gid=2055363397#gid=2055363397"",""MTR!C:O""),9,false)"),"5G SA default disabled. Reach out to TAM for feature enablement once SA is enabled.")</f>
        <v>5G SA default disabled. Reach out to TAM for feature enablement once SA is enabled.</v>
      </c>
      <c r="P808" s="248"/>
      <c r="Q808" s="249" t="s">
        <v>516</v>
      </c>
      <c r="R808" s="249" t="s">
        <v>1642</v>
      </c>
      <c r="S808" s="154" t="s">
        <v>68</v>
      </c>
      <c r="T808" s="154" t="s">
        <v>68</v>
      </c>
      <c r="U808" s="154" t="s">
        <v>60</v>
      </c>
      <c r="V808" s="154" t="s">
        <v>60</v>
      </c>
      <c r="W808" s="154" t="s">
        <v>60</v>
      </c>
      <c r="X808" s="154" t="s">
        <v>60</v>
      </c>
      <c r="Y808" s="154" t="s">
        <v>68</v>
      </c>
      <c r="Z808" s="154" t="s">
        <v>60</v>
      </c>
      <c r="AA808" s="154" t="s">
        <v>60</v>
      </c>
      <c r="AB808" s="154"/>
      <c r="AC808" s="242" t="b">
        <f t="shared" si="2"/>
        <v>1</v>
      </c>
      <c r="AD808" s="154" t="s">
        <v>391</v>
      </c>
      <c r="AE808" s="243" t="b">
        <f t="shared" si="3"/>
        <v>0</v>
      </c>
      <c r="AF808" s="154"/>
      <c r="AG808" s="243" t="b">
        <f t="shared" si="4"/>
        <v>0</v>
      </c>
      <c r="AH808" s="154" t="s">
        <v>1346</v>
      </c>
      <c r="AI808" s="243" t="str">
        <f t="shared" si="5"/>
        <v>Partially Complies</v>
      </c>
      <c r="AJ808" s="157" t="str">
        <f t="shared" si="6"/>
        <v/>
      </c>
    </row>
    <row r="809" ht="12.75" customHeight="1">
      <c r="A809" s="244" t="s">
        <v>621</v>
      </c>
      <c r="B809" s="244" t="s">
        <v>2214</v>
      </c>
      <c r="C809" s="244" t="s">
        <v>2371</v>
      </c>
      <c r="D809" s="154" t="s">
        <v>781</v>
      </c>
      <c r="E809" s="250"/>
      <c r="F809" s="154" t="str">
        <f t="array" ref="F809">XLOOKUP(Cover!$D$12,$S$1:$AA$1,$S809:$AA809)</f>
        <v>Mandatory</v>
      </c>
      <c r="G809" s="153" t="s">
        <v>2372</v>
      </c>
      <c r="H809" s="154" t="s">
        <v>234</v>
      </c>
      <c r="I809" s="154" t="s">
        <v>759</v>
      </c>
      <c r="J809" s="247" t="s">
        <v>506</v>
      </c>
      <c r="K809" s="154" t="s">
        <v>2150</v>
      </c>
      <c r="L809" s="154" t="str">
        <f t="shared" si="1"/>
        <v/>
      </c>
      <c r="M809" s="248" t="str">
        <f>IFERROR(__xludf.DUMMYFUNCTION("VLOOKUP(C809,IMPORTRANGE(""https://docs.google.com/spreadsheets/d/1P8eX0NWBhUPS_hvzA11R6jkTNFrPrRYIx_dX_hYbxrk/edit?resourcekey=0-iw9bsKY2OqkUHCFMkCar3A&amp;gid=2055363397#gid=2055363397"",""MTR!C:O""),11,false)"),"PMW-MCE-AS")</f>
        <v>PMW-MCE-AS</v>
      </c>
      <c r="N809" s="248" t="str">
        <f>IFERROR(__xludf.DUMMYFUNCTION("VLOOKUP(C809,IMPORTRANGE(""https://docs.google.com/spreadsheets/d/1ihFlp3_ePlYtFuPbUNbYj1muErVpI73WHXbEwJDIA7Q/edit#gid=1493122344"",""MTR!C:O""),8,false)"),"Does Not Comply")</f>
        <v>Does Not Comply</v>
      </c>
      <c r="O809" s="248" t="str">
        <f>IFERROR(__xludf.DUMMYFUNCTION("VLOOKUP(C809,IMPORTRANGE(""https://docs.google.com/spreadsheets/d/1P8eX0NWBhUPS_hvzA11R6jkTNFrPrRYIx_dX_hYbxrk/edit?resourcekey=0-iw9bsKY2OqkUHCFMkCar3A&amp;gid=2055363397#gid=2055363397"",""MTR!C:O""),9,false)"),"5G SA default disabled.")</f>
        <v>5G SA default disabled.</v>
      </c>
      <c r="P809" s="248"/>
      <c r="Q809" s="249" t="s">
        <v>516</v>
      </c>
      <c r="R809" s="249" t="s">
        <v>1642</v>
      </c>
      <c r="S809" s="154" t="s">
        <v>68</v>
      </c>
      <c r="T809" s="154" t="s">
        <v>68</v>
      </c>
      <c r="U809" s="154" t="s">
        <v>60</v>
      </c>
      <c r="V809" s="154" t="s">
        <v>60</v>
      </c>
      <c r="W809" s="154" t="s">
        <v>60</v>
      </c>
      <c r="X809" s="154" t="s">
        <v>60</v>
      </c>
      <c r="Y809" s="154" t="s">
        <v>68</v>
      </c>
      <c r="Z809" s="154" t="s">
        <v>60</v>
      </c>
      <c r="AA809" s="154" t="s">
        <v>60</v>
      </c>
      <c r="AB809" s="154"/>
      <c r="AC809" s="242" t="b">
        <f t="shared" si="2"/>
        <v>1</v>
      </c>
      <c r="AD809" s="154" t="s">
        <v>391</v>
      </c>
      <c r="AE809" s="243" t="b">
        <f t="shared" si="3"/>
        <v>0</v>
      </c>
      <c r="AF809" s="154"/>
      <c r="AG809" s="243" t="b">
        <f t="shared" si="4"/>
        <v>0</v>
      </c>
      <c r="AH809" s="154" t="s">
        <v>1346</v>
      </c>
      <c r="AI809" s="243" t="str">
        <f t="shared" si="5"/>
        <v>Partially Complies</v>
      </c>
      <c r="AJ809" s="157" t="str">
        <f t="shared" si="6"/>
        <v/>
      </c>
    </row>
    <row r="810" ht="12.75" customHeight="1">
      <c r="A810" s="244" t="s">
        <v>621</v>
      </c>
      <c r="B810" s="244" t="s">
        <v>2214</v>
      </c>
      <c r="C810" s="244" t="s">
        <v>2373</v>
      </c>
      <c r="D810" s="154" t="s">
        <v>1315</v>
      </c>
      <c r="E810" s="250"/>
      <c r="F810" s="154" t="str">
        <f t="array" ref="F810">XLOOKUP(Cover!$D$12,$S$1:$AA$1,$S810:$AA810)</f>
        <v>Mandatory</v>
      </c>
      <c r="G810" s="153" t="s">
        <v>2374</v>
      </c>
      <c r="H810" s="154" t="s">
        <v>234</v>
      </c>
      <c r="I810" s="154" t="s">
        <v>759</v>
      </c>
      <c r="J810" s="247" t="s">
        <v>506</v>
      </c>
      <c r="K810" s="154" t="s">
        <v>2308</v>
      </c>
      <c r="L810" s="154" t="str">
        <f t="shared" si="1"/>
        <v/>
      </c>
      <c r="M810" s="248" t="str">
        <f>IFERROR(__xludf.DUMMYFUNCTION("VLOOKUP(C810,IMPORTRANGE(""https://docs.google.com/spreadsheets/d/1P8eX0NWBhUPS_hvzA11R6jkTNFrPrRYIx_dX_hYbxrk/edit?resourcekey=0-iw9bsKY2OqkUHCFMkCar3A&amp;gid=2055363397#gid=2055363397"",""MTR!C:O""),11,false)"),"PMW-MCE-AS")</f>
        <v>PMW-MCE-AS</v>
      </c>
      <c r="N810" s="248" t="str">
        <f>IFERROR(__xludf.DUMMYFUNCTION("VLOOKUP(C810,IMPORTRANGE(""https://docs.google.com/spreadsheets/d/1ihFlp3_ePlYtFuPbUNbYj1muErVpI73WHXbEwJDIA7Q/edit#gid=1493122344"",""MTR!C:O""),8,false)"),"Does Not Comply")</f>
        <v>Does Not Comply</v>
      </c>
      <c r="O810" s="248" t="str">
        <f>IFERROR(__xludf.DUMMYFUNCTION("VLOOKUP(C810,IMPORTRANGE(""https://docs.google.com/spreadsheets/d/1P8eX0NWBhUPS_hvzA11R6jkTNFrPrRYIx_dX_hYbxrk/edit?resourcekey=0-iw9bsKY2OqkUHCFMkCar3A&amp;gid=2055363397#gid=2055363397"",""MTR!C:O""),9,false)"),"5G SA default disabled. Reach out to TAM for feature enablement once SA is enabled.")</f>
        <v>5G SA default disabled. Reach out to TAM for feature enablement once SA is enabled.</v>
      </c>
      <c r="P810" s="248"/>
      <c r="Q810" s="249" t="s">
        <v>516</v>
      </c>
      <c r="R810" s="249" t="s">
        <v>1642</v>
      </c>
      <c r="S810" s="154" t="s">
        <v>68</v>
      </c>
      <c r="T810" s="154" t="s">
        <v>68</v>
      </c>
      <c r="U810" s="154" t="s">
        <v>60</v>
      </c>
      <c r="V810" s="154" t="s">
        <v>60</v>
      </c>
      <c r="W810" s="154" t="s">
        <v>60</v>
      </c>
      <c r="X810" s="154" t="s">
        <v>60</v>
      </c>
      <c r="Y810" s="154" t="s">
        <v>68</v>
      </c>
      <c r="Z810" s="154" t="s">
        <v>60</v>
      </c>
      <c r="AA810" s="154" t="s">
        <v>60</v>
      </c>
      <c r="AB810" s="154"/>
      <c r="AC810" s="242" t="b">
        <f t="shared" si="2"/>
        <v>1</v>
      </c>
      <c r="AD810" s="154" t="s">
        <v>391</v>
      </c>
      <c r="AE810" s="243" t="b">
        <f t="shared" si="3"/>
        <v>0</v>
      </c>
      <c r="AF810" s="154"/>
      <c r="AG810" s="243" t="b">
        <f t="shared" si="4"/>
        <v>0</v>
      </c>
      <c r="AH810" s="154" t="s">
        <v>1346</v>
      </c>
      <c r="AI810" s="243" t="str">
        <f t="shared" si="5"/>
        <v>Partially Complies</v>
      </c>
      <c r="AJ810" s="157" t="str">
        <f t="shared" si="6"/>
        <v/>
      </c>
    </row>
    <row r="811" ht="12.75" customHeight="1">
      <c r="A811" s="244" t="s">
        <v>621</v>
      </c>
      <c r="B811" s="244" t="s">
        <v>2214</v>
      </c>
      <c r="C811" s="244" t="s">
        <v>2375</v>
      </c>
      <c r="D811" s="154" t="s">
        <v>1315</v>
      </c>
      <c r="E811" s="250"/>
      <c r="F811" s="154" t="str">
        <f t="array" ref="F811">XLOOKUP(Cover!$D$12,$S$1:$AA$1,$S811:$AA811)</f>
        <v>Mandatory</v>
      </c>
      <c r="G811" s="153" t="s">
        <v>2376</v>
      </c>
      <c r="H811" s="154" t="s">
        <v>234</v>
      </c>
      <c r="I811" s="154" t="s">
        <v>759</v>
      </c>
      <c r="J811" s="247" t="s">
        <v>506</v>
      </c>
      <c r="K811" s="154" t="s">
        <v>2308</v>
      </c>
      <c r="L811" s="154" t="str">
        <f t="shared" si="1"/>
        <v/>
      </c>
      <c r="M811" s="248" t="str">
        <f>IFERROR(__xludf.DUMMYFUNCTION("VLOOKUP(C811,IMPORTRANGE(""https://docs.google.com/spreadsheets/d/1P8eX0NWBhUPS_hvzA11R6jkTNFrPrRYIx_dX_hYbxrk/edit?resourcekey=0-iw9bsKY2OqkUHCFMkCar3A&amp;gid=2055363397#gid=2055363397"",""MTR!C:O""),11,false)"),"PMW-MCE-AS")</f>
        <v>PMW-MCE-AS</v>
      </c>
      <c r="N811" s="248" t="str">
        <f>IFERROR(__xludf.DUMMYFUNCTION("VLOOKUP(C811,IMPORTRANGE(""https://docs.google.com/spreadsheets/d/1ihFlp3_ePlYtFuPbUNbYj1muErVpI73WHXbEwJDIA7Q/edit#gid=1493122344"",""MTR!C:O""),8,false)"),"Does Not Comply")</f>
        <v>Does Not Comply</v>
      </c>
      <c r="O811" s="248" t="str">
        <f>IFERROR(__xludf.DUMMYFUNCTION("VLOOKUP(C811,IMPORTRANGE(""https://docs.google.com/spreadsheets/d/1P8eX0NWBhUPS_hvzA11R6jkTNFrPrRYIx_dX_hYbxrk/edit?resourcekey=0-iw9bsKY2OqkUHCFMkCar3A&amp;gid=2055363397#gid=2055363397"",""MTR!C:O""),9,false)"),"5G SA default disabled. Reach out to TAM for feature enablement once SA is enabled.")</f>
        <v>5G SA default disabled. Reach out to TAM for feature enablement once SA is enabled.</v>
      </c>
      <c r="P811" s="248"/>
      <c r="Q811" s="249" t="s">
        <v>516</v>
      </c>
      <c r="R811" s="249" t="s">
        <v>1642</v>
      </c>
      <c r="S811" s="154" t="s">
        <v>68</v>
      </c>
      <c r="T811" s="154" t="s">
        <v>68</v>
      </c>
      <c r="U811" s="154" t="s">
        <v>60</v>
      </c>
      <c r="V811" s="154" t="s">
        <v>60</v>
      </c>
      <c r="W811" s="154" t="s">
        <v>60</v>
      </c>
      <c r="X811" s="154" t="s">
        <v>60</v>
      </c>
      <c r="Y811" s="154" t="s">
        <v>68</v>
      </c>
      <c r="Z811" s="154" t="s">
        <v>60</v>
      </c>
      <c r="AA811" s="154" t="s">
        <v>60</v>
      </c>
      <c r="AB811" s="154"/>
      <c r="AC811" s="242" t="b">
        <f t="shared" si="2"/>
        <v>1</v>
      </c>
      <c r="AD811" s="154" t="s">
        <v>391</v>
      </c>
      <c r="AE811" s="243" t="b">
        <f t="shared" si="3"/>
        <v>0</v>
      </c>
      <c r="AF811" s="154"/>
      <c r="AG811" s="243" t="b">
        <f t="shared" si="4"/>
        <v>0</v>
      </c>
      <c r="AH811" s="154" t="s">
        <v>1346</v>
      </c>
      <c r="AI811" s="243" t="str">
        <f t="shared" si="5"/>
        <v>Partially Complies</v>
      </c>
      <c r="AJ811" s="157" t="str">
        <f t="shared" si="6"/>
        <v/>
      </c>
    </row>
    <row r="812" ht="12.75" customHeight="1">
      <c r="A812" s="244" t="s">
        <v>621</v>
      </c>
      <c r="B812" s="244" t="s">
        <v>2214</v>
      </c>
      <c r="C812" s="244" t="s">
        <v>2377</v>
      </c>
      <c r="D812" s="154" t="s">
        <v>1315</v>
      </c>
      <c r="E812" s="250"/>
      <c r="F812" s="154" t="str">
        <f t="array" ref="F812">XLOOKUP(Cover!$D$12,$S$1:$AA$1,$S812:$AA812)</f>
        <v>Mandatory</v>
      </c>
      <c r="G812" s="154" t="s">
        <v>2378</v>
      </c>
      <c r="H812" s="154" t="s">
        <v>234</v>
      </c>
      <c r="I812" s="154" t="s">
        <v>759</v>
      </c>
      <c r="J812" s="247" t="s">
        <v>506</v>
      </c>
      <c r="K812" s="154" t="s">
        <v>2308</v>
      </c>
      <c r="L812" s="154" t="str">
        <f t="shared" si="1"/>
        <v/>
      </c>
      <c r="M812" s="248" t="str">
        <f>IFERROR(__xludf.DUMMYFUNCTION("VLOOKUP(C812,IMPORTRANGE(""https://docs.google.com/spreadsheets/d/1P8eX0NWBhUPS_hvzA11R6jkTNFrPrRYIx_dX_hYbxrk/edit?resourcekey=0-iw9bsKY2OqkUHCFMkCar3A&amp;gid=2055363397#gid=2055363397"",""MTR!C:O""),11,false)"),"PMW-MCE-AS")</f>
        <v>PMW-MCE-AS</v>
      </c>
      <c r="N812" s="248" t="str">
        <f>IFERROR(__xludf.DUMMYFUNCTION("VLOOKUP(C812,IMPORTRANGE(""https://docs.google.com/spreadsheets/d/1ihFlp3_ePlYtFuPbUNbYj1muErVpI73WHXbEwJDIA7Q/edit#gid=1493122344"",""MTR!C:O""),8,false)"),"Does Not Comply")</f>
        <v>Does Not Comply</v>
      </c>
      <c r="O812" s="248" t="str">
        <f>IFERROR(__xludf.DUMMYFUNCTION("VLOOKUP(C812,IMPORTRANGE(""https://docs.google.com/spreadsheets/d/1P8eX0NWBhUPS_hvzA11R6jkTNFrPrRYIx_dX_hYbxrk/edit?resourcekey=0-iw9bsKY2OqkUHCFMkCar3A&amp;gid=2055363397#gid=2055363397"",""MTR!C:O""),9,false)"),"5G SA default disabled. Reach out to TAM for feature enablement once SA is enabled.")</f>
        <v>5G SA default disabled. Reach out to TAM for feature enablement once SA is enabled.</v>
      </c>
      <c r="P812" s="248"/>
      <c r="Q812" s="249" t="s">
        <v>516</v>
      </c>
      <c r="R812" s="249" t="s">
        <v>1642</v>
      </c>
      <c r="S812" s="154" t="s">
        <v>68</v>
      </c>
      <c r="T812" s="154" t="s">
        <v>68</v>
      </c>
      <c r="U812" s="154" t="s">
        <v>60</v>
      </c>
      <c r="V812" s="154" t="s">
        <v>60</v>
      </c>
      <c r="W812" s="154" t="s">
        <v>60</v>
      </c>
      <c r="X812" s="154" t="s">
        <v>60</v>
      </c>
      <c r="Y812" s="154" t="s">
        <v>68</v>
      </c>
      <c r="Z812" s="154" t="s">
        <v>60</v>
      </c>
      <c r="AA812" s="154" t="s">
        <v>60</v>
      </c>
      <c r="AB812" s="154"/>
      <c r="AC812" s="242" t="b">
        <f t="shared" si="2"/>
        <v>1</v>
      </c>
      <c r="AD812" s="154" t="s">
        <v>391</v>
      </c>
      <c r="AE812" s="243" t="b">
        <f t="shared" si="3"/>
        <v>0</v>
      </c>
      <c r="AF812" s="154"/>
      <c r="AG812" s="243" t="b">
        <f t="shared" si="4"/>
        <v>0</v>
      </c>
      <c r="AH812" s="154" t="s">
        <v>1346</v>
      </c>
      <c r="AI812" s="243" t="str">
        <f t="shared" si="5"/>
        <v>Partially Complies</v>
      </c>
      <c r="AJ812" s="157" t="str">
        <f t="shared" si="6"/>
        <v/>
      </c>
    </row>
    <row r="813" ht="12.75" customHeight="1">
      <c r="A813" s="244" t="s">
        <v>621</v>
      </c>
      <c r="B813" s="244" t="s">
        <v>2214</v>
      </c>
      <c r="C813" s="244" t="s">
        <v>2379</v>
      </c>
      <c r="D813" s="154" t="s">
        <v>1315</v>
      </c>
      <c r="E813" s="250"/>
      <c r="F813" s="154" t="str">
        <f t="array" ref="F813">XLOOKUP(Cover!$D$12,$S$1:$AA$1,$S813:$AA813)</f>
        <v>Mandatory</v>
      </c>
      <c r="G813" s="154" t="s">
        <v>2380</v>
      </c>
      <c r="H813" s="154" t="s">
        <v>234</v>
      </c>
      <c r="I813" s="154" t="s">
        <v>759</v>
      </c>
      <c r="J813" s="247" t="s">
        <v>506</v>
      </c>
      <c r="K813" s="154" t="s">
        <v>2308</v>
      </c>
      <c r="L813" s="154" t="str">
        <f t="shared" si="1"/>
        <v/>
      </c>
      <c r="M813" s="248" t="str">
        <f>IFERROR(__xludf.DUMMYFUNCTION("VLOOKUP(C813,IMPORTRANGE(""https://docs.google.com/spreadsheets/d/1P8eX0NWBhUPS_hvzA11R6jkTNFrPrRYIx_dX_hYbxrk/edit?resourcekey=0-iw9bsKY2OqkUHCFMkCar3A&amp;gid=2055363397#gid=2055363397"",""MTR!C:O""),11,false)"),"PMW-MCE-AS")</f>
        <v>PMW-MCE-AS</v>
      </c>
      <c r="N813" s="248" t="str">
        <f>IFERROR(__xludf.DUMMYFUNCTION("VLOOKUP(C813,IMPORTRANGE(""https://docs.google.com/spreadsheets/d/1ihFlp3_ePlYtFuPbUNbYj1muErVpI73WHXbEwJDIA7Q/edit#gid=1493122344"",""MTR!C:O""),8,false)"),"Does Not Comply")</f>
        <v>Does Not Comply</v>
      </c>
      <c r="O813" s="248" t="str">
        <f>IFERROR(__xludf.DUMMYFUNCTION("VLOOKUP(C813,IMPORTRANGE(""https://docs.google.com/spreadsheets/d/1P8eX0NWBhUPS_hvzA11R6jkTNFrPrRYIx_dX_hYbxrk/edit?resourcekey=0-iw9bsKY2OqkUHCFMkCar3A&amp;gid=2055363397#gid=2055363397"",""MTR!C:O""),9,false)"),"5G SA default disabled. Reach out to TAM for feature enablement once SA is enabled.")</f>
        <v>5G SA default disabled. Reach out to TAM for feature enablement once SA is enabled.</v>
      </c>
      <c r="P813" s="248"/>
      <c r="Q813" s="249" t="s">
        <v>516</v>
      </c>
      <c r="R813" s="249" t="s">
        <v>1642</v>
      </c>
      <c r="S813" s="154" t="s">
        <v>68</v>
      </c>
      <c r="T813" s="154" t="s">
        <v>68</v>
      </c>
      <c r="U813" s="154" t="s">
        <v>60</v>
      </c>
      <c r="V813" s="154" t="s">
        <v>60</v>
      </c>
      <c r="W813" s="154" t="s">
        <v>60</v>
      </c>
      <c r="X813" s="154" t="s">
        <v>60</v>
      </c>
      <c r="Y813" s="154" t="s">
        <v>68</v>
      </c>
      <c r="Z813" s="154" t="s">
        <v>60</v>
      </c>
      <c r="AA813" s="154" t="s">
        <v>60</v>
      </c>
      <c r="AB813" s="154"/>
      <c r="AC813" s="242" t="b">
        <f t="shared" si="2"/>
        <v>1</v>
      </c>
      <c r="AD813" s="154" t="s">
        <v>391</v>
      </c>
      <c r="AE813" s="243" t="b">
        <f t="shared" si="3"/>
        <v>0</v>
      </c>
      <c r="AF813" s="154"/>
      <c r="AG813" s="243" t="b">
        <f t="shared" si="4"/>
        <v>0</v>
      </c>
      <c r="AH813" s="154" t="s">
        <v>1346</v>
      </c>
      <c r="AI813" s="243" t="str">
        <f t="shared" si="5"/>
        <v>Partially Complies</v>
      </c>
      <c r="AJ813" s="157" t="str">
        <f t="shared" si="6"/>
        <v/>
      </c>
    </row>
    <row r="814" ht="12.75" customHeight="1">
      <c r="A814" s="244" t="s">
        <v>621</v>
      </c>
      <c r="B814" s="244" t="s">
        <v>2214</v>
      </c>
      <c r="C814" s="244" t="s">
        <v>2381</v>
      </c>
      <c r="D814" s="154" t="s">
        <v>1315</v>
      </c>
      <c r="E814" s="250"/>
      <c r="F814" s="154" t="str">
        <f t="array" ref="F814">XLOOKUP(Cover!$D$12,$S$1:$AA$1,$S814:$AA814)</f>
        <v>Mandatory</v>
      </c>
      <c r="G814" s="154" t="s">
        <v>2382</v>
      </c>
      <c r="H814" s="154" t="s">
        <v>234</v>
      </c>
      <c r="I814" s="154" t="s">
        <v>759</v>
      </c>
      <c r="J814" s="247" t="s">
        <v>506</v>
      </c>
      <c r="K814" s="154" t="s">
        <v>2308</v>
      </c>
      <c r="L814" s="154" t="str">
        <f t="shared" si="1"/>
        <v/>
      </c>
      <c r="M814" s="248" t="str">
        <f>IFERROR(__xludf.DUMMYFUNCTION("VLOOKUP(C814,IMPORTRANGE(""https://docs.google.com/spreadsheets/d/1P8eX0NWBhUPS_hvzA11R6jkTNFrPrRYIx_dX_hYbxrk/edit?resourcekey=0-iw9bsKY2OqkUHCFMkCar3A&amp;gid=2055363397#gid=2055363397"",""MTR!C:O""),11,false)"),"PMW-MCE-AS")</f>
        <v>PMW-MCE-AS</v>
      </c>
      <c r="N814" s="248" t="str">
        <f>IFERROR(__xludf.DUMMYFUNCTION("VLOOKUP(C814,IMPORTRANGE(""https://docs.google.com/spreadsheets/d/1ihFlp3_ePlYtFuPbUNbYj1muErVpI73WHXbEwJDIA7Q/edit#gid=1493122344"",""MTR!C:O""),8,false)"),"Does Not Comply")</f>
        <v>Does Not Comply</v>
      </c>
      <c r="O814" s="248" t="str">
        <f>IFERROR(__xludf.DUMMYFUNCTION("VLOOKUP(C814,IMPORTRANGE(""https://docs.google.com/spreadsheets/d/1P8eX0NWBhUPS_hvzA11R6jkTNFrPrRYIx_dX_hYbxrk/edit?resourcekey=0-iw9bsKY2OqkUHCFMkCar3A&amp;gid=2055363397#gid=2055363397"",""MTR!C:O""),9,false)"),"5G SA default disabled. Reach out to TAM for feature enablement once SA is enabled.")</f>
        <v>5G SA default disabled. Reach out to TAM for feature enablement once SA is enabled.</v>
      </c>
      <c r="P814" s="248"/>
      <c r="Q814" s="249" t="s">
        <v>516</v>
      </c>
      <c r="R814" s="249" t="s">
        <v>1642</v>
      </c>
      <c r="S814" s="154" t="s">
        <v>68</v>
      </c>
      <c r="T814" s="154" t="s">
        <v>68</v>
      </c>
      <c r="U814" s="154" t="s">
        <v>60</v>
      </c>
      <c r="V814" s="154" t="s">
        <v>60</v>
      </c>
      <c r="W814" s="154" t="s">
        <v>60</v>
      </c>
      <c r="X814" s="154" t="s">
        <v>60</v>
      </c>
      <c r="Y814" s="154" t="s">
        <v>68</v>
      </c>
      <c r="Z814" s="154" t="s">
        <v>60</v>
      </c>
      <c r="AA814" s="154" t="s">
        <v>60</v>
      </c>
      <c r="AB814" s="154"/>
      <c r="AC814" s="242" t="b">
        <f t="shared" si="2"/>
        <v>1</v>
      </c>
      <c r="AD814" s="154" t="s">
        <v>391</v>
      </c>
      <c r="AE814" s="243" t="b">
        <f t="shared" si="3"/>
        <v>0</v>
      </c>
      <c r="AF814" s="154"/>
      <c r="AG814" s="243" t="b">
        <f t="shared" si="4"/>
        <v>0</v>
      </c>
      <c r="AH814" s="154" t="s">
        <v>1346</v>
      </c>
      <c r="AI814" s="243" t="str">
        <f t="shared" si="5"/>
        <v>Partially Complies</v>
      </c>
      <c r="AJ814" s="157" t="str">
        <f t="shared" si="6"/>
        <v/>
      </c>
    </row>
    <row r="815" ht="12.75" customHeight="1">
      <c r="A815" s="238" t="s">
        <v>621</v>
      </c>
      <c r="B815" s="238" t="s">
        <v>2214</v>
      </c>
      <c r="C815" s="238" t="s">
        <v>2383</v>
      </c>
      <c r="D815" s="240"/>
      <c r="E815" s="252" t="s">
        <v>92</v>
      </c>
      <c r="F815" s="154" t="str">
        <f t="array" ref="F815">XLOOKUP(Cover!$D$12,$S$1:$AA$1,$S815:$AA815)</f>
        <v>Heading</v>
      </c>
      <c r="G815" s="239" t="s">
        <v>2384</v>
      </c>
      <c r="H815" s="240"/>
      <c r="I815" s="240" t="s">
        <v>759</v>
      </c>
      <c r="J815" s="240"/>
      <c r="K815" s="262"/>
      <c r="L815" s="154" t="str">
        <f t="shared" si="1"/>
        <v/>
      </c>
      <c r="M815" s="241" t="str">
        <f>IFERROR(__xludf.DUMMYFUNCTION("VLOOKUP(C815,IMPORTRANGE(""https://docs.google.com/spreadsheets/d/1P8eX0NWBhUPS_hvzA11R6jkTNFrPrRYIx_dX_hYbxrk/edit?resourcekey=0-iw9bsKY2OqkUHCFMkCar3A&amp;gid=2055363397#gid=2055363397"",""MTR!C:O""),11,false)"),"")</f>
        <v/>
      </c>
      <c r="N815" s="241" t="str">
        <f>IFERROR(__xludf.DUMMYFUNCTION("VLOOKUP(C815,IMPORTRANGE(""https://docs.google.com/spreadsheets/d/1ihFlp3_ePlYtFuPbUNbYj1muErVpI73WHXbEwJDIA7Q/edit#gid=1493122344"",""MTR!C:O""),8,false)"),"")</f>
        <v/>
      </c>
      <c r="O815" s="241" t="str">
        <f>IFERROR(__xludf.DUMMYFUNCTION("VLOOKUP(C815,IMPORTRANGE(""https://docs.google.com/spreadsheets/d/1P8eX0NWBhUPS_hvzA11R6jkTNFrPrRYIx_dX_hYbxrk/edit?resourcekey=0-iw9bsKY2OqkUHCFMkCar3A&amp;gid=2055363397#gid=2055363397"",""MTR!C:O""),9,false)"),"")</f>
        <v/>
      </c>
      <c r="P815" s="241"/>
      <c r="Q815" s="251"/>
      <c r="R815" s="251"/>
      <c r="S815" s="240" t="s">
        <v>390</v>
      </c>
      <c r="T815" s="240" t="s">
        <v>390</v>
      </c>
      <c r="U815" s="240" t="s">
        <v>390</v>
      </c>
      <c r="V815" s="240" t="s">
        <v>390</v>
      </c>
      <c r="W815" s="240" t="s">
        <v>390</v>
      </c>
      <c r="X815" s="240" t="s">
        <v>390</v>
      </c>
      <c r="Y815" s="240" t="s">
        <v>390</v>
      </c>
      <c r="Z815" s="240" t="s">
        <v>390</v>
      </c>
      <c r="AA815" s="240" t="s">
        <v>390</v>
      </c>
      <c r="AB815" s="240"/>
      <c r="AC815" s="242" t="b">
        <f t="shared" si="2"/>
        <v>0</v>
      </c>
      <c r="AD815" s="240" t="s">
        <v>391</v>
      </c>
      <c r="AE815" s="243" t="b">
        <f t="shared" si="3"/>
        <v>0</v>
      </c>
      <c r="AF815" s="240"/>
      <c r="AG815" s="243" t="b">
        <f t="shared" si="4"/>
        <v>0</v>
      </c>
      <c r="AH815" s="240"/>
      <c r="AI815" s="243" t="str">
        <f t="shared" si="5"/>
        <v>N/A</v>
      </c>
      <c r="AJ815" s="157" t="str">
        <f t="shared" si="6"/>
        <v/>
      </c>
    </row>
    <row r="816" ht="12.75" customHeight="1">
      <c r="A816" s="238" t="s">
        <v>621</v>
      </c>
      <c r="B816" s="238" t="s">
        <v>2214</v>
      </c>
      <c r="C816" s="238" t="s">
        <v>2385</v>
      </c>
      <c r="D816" s="240"/>
      <c r="E816" s="252" t="s">
        <v>92</v>
      </c>
      <c r="F816" s="154" t="str">
        <f t="array" ref="F816">XLOOKUP(Cover!$D$12,$S$1:$AA$1,$S816:$AA816)</f>
        <v>Heading</v>
      </c>
      <c r="G816" s="239" t="s">
        <v>2386</v>
      </c>
      <c r="H816" s="240"/>
      <c r="I816" s="240" t="s">
        <v>759</v>
      </c>
      <c r="J816" s="240"/>
      <c r="K816" s="240"/>
      <c r="L816" s="154" t="str">
        <f t="shared" si="1"/>
        <v/>
      </c>
      <c r="M816" s="241" t="str">
        <f>IFERROR(__xludf.DUMMYFUNCTION("VLOOKUP(C816,IMPORTRANGE(""https://docs.google.com/spreadsheets/d/1P8eX0NWBhUPS_hvzA11R6jkTNFrPrRYIx_dX_hYbxrk/edit?resourcekey=0-iw9bsKY2OqkUHCFMkCar3A&amp;gid=2055363397#gid=2055363397"",""MTR!C:O""),11,false)"),"")</f>
        <v/>
      </c>
      <c r="N816" s="241" t="str">
        <f>IFERROR(__xludf.DUMMYFUNCTION("VLOOKUP(C816,IMPORTRANGE(""https://docs.google.com/spreadsheets/d/1ihFlp3_ePlYtFuPbUNbYj1muErVpI73WHXbEwJDIA7Q/edit#gid=1493122344"",""MTR!C:O""),8,false)"),"")</f>
        <v/>
      </c>
      <c r="O816" s="241" t="str">
        <f>IFERROR(__xludf.DUMMYFUNCTION("VLOOKUP(C816,IMPORTRANGE(""https://docs.google.com/spreadsheets/d/1P8eX0NWBhUPS_hvzA11R6jkTNFrPrRYIx_dX_hYbxrk/edit?resourcekey=0-iw9bsKY2OqkUHCFMkCar3A&amp;gid=2055363397#gid=2055363397"",""MTR!C:O""),9,false)"),"")</f>
        <v/>
      </c>
      <c r="P816" s="241"/>
      <c r="Q816" s="241"/>
      <c r="R816" s="241"/>
      <c r="S816" s="240" t="s">
        <v>390</v>
      </c>
      <c r="T816" s="240" t="s">
        <v>390</v>
      </c>
      <c r="U816" s="240" t="s">
        <v>390</v>
      </c>
      <c r="V816" s="240" t="s">
        <v>390</v>
      </c>
      <c r="W816" s="240" t="s">
        <v>390</v>
      </c>
      <c r="X816" s="240" t="s">
        <v>390</v>
      </c>
      <c r="Y816" s="240" t="s">
        <v>390</v>
      </c>
      <c r="Z816" s="240" t="s">
        <v>390</v>
      </c>
      <c r="AA816" s="240" t="s">
        <v>390</v>
      </c>
      <c r="AB816" s="240"/>
      <c r="AC816" s="242" t="b">
        <f t="shared" si="2"/>
        <v>0</v>
      </c>
      <c r="AD816" s="240" t="s">
        <v>391</v>
      </c>
      <c r="AE816" s="243" t="b">
        <f t="shared" si="3"/>
        <v>0</v>
      </c>
      <c r="AF816" s="240"/>
      <c r="AG816" s="243" t="b">
        <f t="shared" si="4"/>
        <v>0</v>
      </c>
      <c r="AH816" s="240"/>
      <c r="AI816" s="243" t="str">
        <f t="shared" si="5"/>
        <v>N/A</v>
      </c>
      <c r="AJ816" s="157" t="str">
        <f t="shared" si="6"/>
        <v/>
      </c>
    </row>
    <row r="817" ht="12.75" customHeight="1">
      <c r="A817" s="244" t="s">
        <v>621</v>
      </c>
      <c r="B817" s="244" t="s">
        <v>2214</v>
      </c>
      <c r="C817" s="245" t="s">
        <v>2387</v>
      </c>
      <c r="D817" s="155" t="s">
        <v>1315</v>
      </c>
      <c r="E817" s="246" t="s">
        <v>92</v>
      </c>
      <c r="F817" s="154" t="str">
        <f t="array" ref="F817">XLOOKUP(Cover!$D$12,$S$1:$AA$1,$S817:$AA817)</f>
        <v>Mandatory</v>
      </c>
      <c r="G817" s="154" t="s">
        <v>2388</v>
      </c>
      <c r="H817" s="154" t="s">
        <v>2389</v>
      </c>
      <c r="I817" s="154" t="s">
        <v>759</v>
      </c>
      <c r="J817" s="247" t="s">
        <v>506</v>
      </c>
      <c r="K817" s="154" t="s">
        <v>2238</v>
      </c>
      <c r="L817" s="154" t="str">
        <f t="shared" si="1"/>
        <v/>
      </c>
      <c r="M817" s="248" t="str">
        <f>IFERROR(__xludf.DUMMYFUNCTION("VLOOKUP(C817,IMPORTRANGE(""https://docs.google.com/spreadsheets/d/1P8eX0NWBhUPS_hvzA11R6jkTNFrPrRYIx_dX_hYbxrk/edit?resourcekey=0-iw9bsKY2OqkUHCFMkCar3A&amp;gid=2055363397#gid=2055363397"",""MTR!C:O""),11,false)"),"PMW-MCE-NAS")</f>
        <v>PMW-MCE-NAS</v>
      </c>
      <c r="N817" s="248" t="str">
        <f>IFERROR(__xludf.DUMMYFUNCTION("VLOOKUP(C817,IMPORTRANGE(""https://docs.google.com/spreadsheets/d/1ihFlp3_ePlYtFuPbUNbYj1muErVpI73WHXbEwJDIA7Q/edit#gid=1493122344"",""MTR!C:O""),8,false)"),"Does Not Comply")</f>
        <v>Does Not Comply</v>
      </c>
      <c r="O817" s="248" t="str">
        <f>IFERROR(__xludf.DUMMYFUNCTION("VLOOKUP(C817,IMPORTRANGE(""https://docs.google.com/spreadsheets/d/1P8eX0NWBhUPS_hvzA11R6jkTNFrPrRYIx_dX_hYbxrk/edit?resourcekey=0-iw9bsKY2OqkUHCFMkCar3A&amp;gid=2055363397#gid=2055363397"",""MTR!C:O""),9,false)"),"The feature will be supported once SA is enabled for DT_DE.
Please discuss with Google TAM for feature enablement plans if the feature is deployed in live network.")</f>
        <v>The feature will be supported once SA is enabled for DT_DE.
Please discuss with Google TAM for feature enablement plans if the feature is deployed in live network.</v>
      </c>
      <c r="P817" s="248"/>
      <c r="Q817" s="249" t="s">
        <v>516</v>
      </c>
      <c r="R817" s="249" t="s">
        <v>2238</v>
      </c>
      <c r="S817" s="154" t="s">
        <v>68</v>
      </c>
      <c r="T817" s="154" t="s">
        <v>68</v>
      </c>
      <c r="U817" s="154" t="s">
        <v>64</v>
      </c>
      <c r="V817" s="154" t="s">
        <v>64</v>
      </c>
      <c r="W817" s="154" t="s">
        <v>64</v>
      </c>
      <c r="X817" s="154" t="s">
        <v>60</v>
      </c>
      <c r="Y817" s="154" t="s">
        <v>68</v>
      </c>
      <c r="Z817" s="154" t="s">
        <v>64</v>
      </c>
      <c r="AA817" s="154" t="s">
        <v>60</v>
      </c>
      <c r="AB817" s="154"/>
      <c r="AC817" s="242" t="b">
        <f t="shared" si="2"/>
        <v>1</v>
      </c>
      <c r="AD817" s="154" t="s">
        <v>391</v>
      </c>
      <c r="AE817" s="243" t="b">
        <f t="shared" si="3"/>
        <v>0</v>
      </c>
      <c r="AF817" s="154"/>
      <c r="AG817" s="243" t="b">
        <f t="shared" si="4"/>
        <v>0</v>
      </c>
      <c r="AH817" s="154" t="s">
        <v>1346</v>
      </c>
      <c r="AI817" s="243" t="str">
        <f t="shared" si="5"/>
        <v>Partially Complies</v>
      </c>
      <c r="AJ817" s="157" t="str">
        <f t="shared" si="6"/>
        <v/>
      </c>
    </row>
    <row r="818" ht="12.75" customHeight="1">
      <c r="A818" s="244" t="s">
        <v>621</v>
      </c>
      <c r="B818" s="244" t="s">
        <v>2214</v>
      </c>
      <c r="C818" s="244" t="s">
        <v>2390</v>
      </c>
      <c r="D818" s="154" t="s">
        <v>45</v>
      </c>
      <c r="E818" s="250"/>
      <c r="F818" s="154" t="str">
        <f t="array" ref="F818">XLOOKUP(Cover!$D$12,$S$1:$AA$1,$S818:$AA818)</f>
        <v>Mandatory</v>
      </c>
      <c r="G818" s="154" t="s">
        <v>2391</v>
      </c>
      <c r="H818" s="154" t="s">
        <v>175</v>
      </c>
      <c r="I818" s="154" t="s">
        <v>759</v>
      </c>
      <c r="J818" s="247" t="s">
        <v>445</v>
      </c>
      <c r="K818" s="154"/>
      <c r="L818" s="154" t="str">
        <f t="shared" si="1"/>
        <v/>
      </c>
      <c r="M818" s="253" t="s">
        <v>2302</v>
      </c>
      <c r="N818" s="253" t="str">
        <f>IFERROR(__xludf.DUMMYFUNCTION("VLOOKUP(C818,IMPORTRANGE(""https://docs.google.com/spreadsheets/d/1ihFlp3_ePlYtFuPbUNbYj1muErVpI73WHXbEwJDIA7Q/edit#gid=1493122344"",""MTR!C:O""),8,false)"),"#N/A")</f>
        <v>#N/A</v>
      </c>
      <c r="O818" s="241" t="str">
        <f>IFERROR(__xludf.DUMMYFUNCTION("VLOOKUP(C818,IMPORTRANGE(""https://docs.google.com/spreadsheets/d/1P8eX0NWBhUPS_hvzA11R6jkTNFrPrRYIx_dX_hYbxrk/edit?resourcekey=0-iw9bsKY2OqkUHCFMkCar3A&amp;gid=2055363397#gid=2055363397"",""MTR!C:O""),9,false)"),"")</f>
        <v/>
      </c>
      <c r="P818" s="241"/>
      <c r="Q818" s="251"/>
      <c r="R818" s="251"/>
      <c r="S818" s="154" t="s">
        <v>68</v>
      </c>
      <c r="T818" s="154" t="s">
        <v>68</v>
      </c>
      <c r="U818" s="154" t="s">
        <v>64</v>
      </c>
      <c r="V818" s="154" t="s">
        <v>64</v>
      </c>
      <c r="W818" s="154" t="s">
        <v>64</v>
      </c>
      <c r="X818" s="154" t="s">
        <v>60</v>
      </c>
      <c r="Y818" s="154" t="s">
        <v>68</v>
      </c>
      <c r="Z818" s="154" t="s">
        <v>64</v>
      </c>
      <c r="AA818" s="154" t="s">
        <v>60</v>
      </c>
      <c r="AB818" s="154"/>
      <c r="AC818" s="242" t="b">
        <f t="shared" si="2"/>
        <v>1</v>
      </c>
      <c r="AD818" s="154" t="s">
        <v>391</v>
      </c>
      <c r="AE818" s="243" t="b">
        <f t="shared" si="3"/>
        <v>0</v>
      </c>
      <c r="AF818" s="154"/>
      <c r="AG818" s="243" t="b">
        <f t="shared" si="4"/>
        <v>0</v>
      </c>
      <c r="AH818" s="154" t="s">
        <v>1346</v>
      </c>
      <c r="AI818" s="243" t="str">
        <f t="shared" si="5"/>
        <v>Partially Complies</v>
      </c>
      <c r="AJ818" s="157" t="str">
        <f t="shared" si="6"/>
        <v/>
      </c>
    </row>
    <row r="819" ht="12.75" customHeight="1">
      <c r="A819" s="238" t="s">
        <v>621</v>
      </c>
      <c r="B819" s="238" t="s">
        <v>2214</v>
      </c>
      <c r="C819" s="238" t="s">
        <v>2392</v>
      </c>
      <c r="D819" s="240"/>
      <c r="E819" s="252" t="s">
        <v>92</v>
      </c>
      <c r="F819" s="154" t="str">
        <f t="array" ref="F819">XLOOKUP(Cover!$D$12,$S$1:$AA$1,$S819:$AA819)</f>
        <v>Heading</v>
      </c>
      <c r="G819" s="239" t="s">
        <v>2393</v>
      </c>
      <c r="H819" s="240"/>
      <c r="I819" s="240" t="s">
        <v>759</v>
      </c>
      <c r="J819" s="240"/>
      <c r="K819" s="240"/>
      <c r="L819" s="154" t="str">
        <f t="shared" si="1"/>
        <v/>
      </c>
      <c r="M819" s="241" t="str">
        <f>IFERROR(__xludf.DUMMYFUNCTION("VLOOKUP(C819,IMPORTRANGE(""https://docs.google.com/spreadsheets/d/1P8eX0NWBhUPS_hvzA11R6jkTNFrPrRYIx_dX_hYbxrk/edit?resourcekey=0-iw9bsKY2OqkUHCFMkCar3A&amp;gid=2055363397#gid=2055363397"",""MTR!C:O""),11,false)"),"")</f>
        <v/>
      </c>
      <c r="N819" s="241" t="str">
        <f>IFERROR(__xludf.DUMMYFUNCTION("VLOOKUP(C819,IMPORTRANGE(""https://docs.google.com/spreadsheets/d/1ihFlp3_ePlYtFuPbUNbYj1muErVpI73WHXbEwJDIA7Q/edit#gid=1493122344"",""MTR!C:O""),8,false)"),"")</f>
        <v/>
      </c>
      <c r="O819" s="241" t="str">
        <f>IFERROR(__xludf.DUMMYFUNCTION("VLOOKUP(C819,IMPORTRANGE(""https://docs.google.com/spreadsheets/d/1P8eX0NWBhUPS_hvzA11R6jkTNFrPrRYIx_dX_hYbxrk/edit?resourcekey=0-iw9bsKY2OqkUHCFMkCar3A&amp;gid=2055363397#gid=2055363397"",""MTR!C:O""),9,false)"),"")</f>
        <v/>
      </c>
      <c r="P819" s="241"/>
      <c r="Q819" s="241"/>
      <c r="R819" s="241"/>
      <c r="S819" s="240" t="s">
        <v>390</v>
      </c>
      <c r="T819" s="240" t="s">
        <v>390</v>
      </c>
      <c r="U819" s="240" t="s">
        <v>390</v>
      </c>
      <c r="V819" s="240" t="s">
        <v>390</v>
      </c>
      <c r="W819" s="240" t="s">
        <v>390</v>
      </c>
      <c r="X819" s="240" t="s">
        <v>390</v>
      </c>
      <c r="Y819" s="240" t="s">
        <v>390</v>
      </c>
      <c r="Z819" s="240" t="s">
        <v>390</v>
      </c>
      <c r="AA819" s="240" t="s">
        <v>390</v>
      </c>
      <c r="AB819" s="240"/>
      <c r="AC819" s="242" t="b">
        <f t="shared" si="2"/>
        <v>0</v>
      </c>
      <c r="AD819" s="240" t="s">
        <v>391</v>
      </c>
      <c r="AE819" s="243" t="b">
        <f t="shared" si="3"/>
        <v>0</v>
      </c>
      <c r="AF819" s="240"/>
      <c r="AG819" s="243" t="b">
        <f t="shared" si="4"/>
        <v>0</v>
      </c>
      <c r="AH819" s="240"/>
      <c r="AI819" s="243" t="str">
        <f t="shared" si="5"/>
        <v>N/A</v>
      </c>
      <c r="AJ819" s="157" t="str">
        <f t="shared" si="6"/>
        <v/>
      </c>
    </row>
    <row r="820" ht="12.75" customHeight="1">
      <c r="A820" s="244" t="s">
        <v>621</v>
      </c>
      <c r="B820" s="244" t="s">
        <v>2214</v>
      </c>
      <c r="C820" s="244" t="s">
        <v>2394</v>
      </c>
      <c r="D820" s="154" t="s">
        <v>1315</v>
      </c>
      <c r="E820" s="250"/>
      <c r="F820" s="154" t="str">
        <f t="array" ref="F820">XLOOKUP(Cover!$D$12,$S$1:$AA$1,$S820:$AA820)</f>
        <v>Recommended</v>
      </c>
      <c r="G820" s="154" t="s">
        <v>2395</v>
      </c>
      <c r="H820" s="154"/>
      <c r="I820" s="154" t="s">
        <v>759</v>
      </c>
      <c r="J820" s="247" t="s">
        <v>516</v>
      </c>
      <c r="K820" s="154"/>
      <c r="L820" s="154" t="str">
        <f t="shared" si="1"/>
        <v/>
      </c>
      <c r="M820" s="248" t="str">
        <f>IFERROR(__xludf.DUMMYFUNCTION("VLOOKUP(C820,IMPORTRANGE(""https://docs.google.com/spreadsheets/d/1P8eX0NWBhUPS_hvzA11R6jkTNFrPrRYIx_dX_hYbxrk/edit?resourcekey=0-iw9bsKY2OqkUHCFMkCar3A&amp;gid=2055363397#gid=2055363397"",""MTR!C:O""),11,false)"),"PMW-MCE-AS")</f>
        <v>PMW-MCE-AS</v>
      </c>
      <c r="N820" s="248" t="str">
        <f>IFERROR(__xludf.DUMMYFUNCTION("VLOOKUP(C820,IMPORTRANGE(""https://docs.google.com/spreadsheets/d/1ihFlp3_ePlYtFuPbUNbYj1muErVpI73WHXbEwJDIA7Q/edit#gid=1493122344"",""MTR!C:O""),8,false)"),"Does Not Comply")</f>
        <v>Does Not Comply</v>
      </c>
      <c r="O820" s="241" t="str">
        <f>IFERROR(__xludf.DUMMYFUNCTION("VLOOKUP(C820,IMPORTRANGE(""https://docs.google.com/spreadsheets/d/1P8eX0NWBhUPS_hvzA11R6jkTNFrPrRYIx_dX_hYbxrk/edit?resourcekey=0-iw9bsKY2OqkUHCFMkCar3A&amp;gid=2055363397#gid=2055363397"",""MTR!C:O""),9,false)"),"")</f>
        <v/>
      </c>
      <c r="P820" s="241"/>
      <c r="Q820" s="251" t="s">
        <v>516</v>
      </c>
      <c r="R820" s="241"/>
      <c r="S820" s="154" t="s">
        <v>68</v>
      </c>
      <c r="T820" s="154" t="s">
        <v>68</v>
      </c>
      <c r="U820" s="154" t="s">
        <v>64</v>
      </c>
      <c r="V820" s="154" t="s">
        <v>64</v>
      </c>
      <c r="W820" s="154" t="s">
        <v>64</v>
      </c>
      <c r="X820" s="154" t="s">
        <v>64</v>
      </c>
      <c r="Y820" s="154" t="s">
        <v>68</v>
      </c>
      <c r="Z820" s="154" t="s">
        <v>64</v>
      </c>
      <c r="AA820" s="154" t="s">
        <v>64</v>
      </c>
      <c r="AB820" s="154"/>
      <c r="AC820" s="242" t="b">
        <f t="shared" si="2"/>
        <v>1</v>
      </c>
      <c r="AD820" s="154" t="s">
        <v>391</v>
      </c>
      <c r="AE820" s="243" t="b">
        <f t="shared" si="3"/>
        <v>0</v>
      </c>
      <c r="AF820" s="154"/>
      <c r="AG820" s="243" t="b">
        <f t="shared" si="4"/>
        <v>0</v>
      </c>
      <c r="AH820" s="154" t="s">
        <v>1346</v>
      </c>
      <c r="AI820" s="243" t="str">
        <f t="shared" si="5"/>
        <v>Partially Complies</v>
      </c>
      <c r="AJ820" s="157" t="str">
        <f t="shared" si="6"/>
        <v/>
      </c>
    </row>
    <row r="821" ht="12.75" customHeight="1">
      <c r="A821" s="244" t="s">
        <v>621</v>
      </c>
      <c r="B821" s="244" t="s">
        <v>2214</v>
      </c>
      <c r="C821" s="244" t="s">
        <v>2396</v>
      </c>
      <c r="D821" s="154" t="s">
        <v>1315</v>
      </c>
      <c r="E821" s="250"/>
      <c r="F821" s="154" t="str">
        <f t="array" ref="F821">XLOOKUP(Cover!$D$12,$S$1:$AA$1,$S821:$AA821)</f>
        <v>Recommended</v>
      </c>
      <c r="G821" s="154" t="s">
        <v>2397</v>
      </c>
      <c r="H821" s="154"/>
      <c r="I821" s="154" t="s">
        <v>759</v>
      </c>
      <c r="J821" s="247" t="s">
        <v>516</v>
      </c>
      <c r="K821" s="154"/>
      <c r="L821" s="154" t="str">
        <f t="shared" si="1"/>
        <v/>
      </c>
      <c r="M821" s="248" t="str">
        <f>IFERROR(__xludf.DUMMYFUNCTION("VLOOKUP(C821,IMPORTRANGE(""https://docs.google.com/spreadsheets/d/1P8eX0NWBhUPS_hvzA11R6jkTNFrPrRYIx_dX_hYbxrk/edit?resourcekey=0-iw9bsKY2OqkUHCFMkCar3A&amp;gid=2055363397#gid=2055363397"",""MTR!C:O""),11,false)"),"PMW-MCE-AS")</f>
        <v>PMW-MCE-AS</v>
      </c>
      <c r="N821" s="248" t="str">
        <f>IFERROR(__xludf.DUMMYFUNCTION("VLOOKUP(C821,IMPORTRANGE(""https://docs.google.com/spreadsheets/d/1ihFlp3_ePlYtFuPbUNbYj1muErVpI73WHXbEwJDIA7Q/edit#gid=1493122344"",""MTR!C:O""),8,false)"),"Does Not Comply")</f>
        <v>Does Not Comply</v>
      </c>
      <c r="O821" s="241" t="str">
        <f>IFERROR(__xludf.DUMMYFUNCTION("VLOOKUP(C821,IMPORTRANGE(""https://docs.google.com/spreadsheets/d/1P8eX0NWBhUPS_hvzA11R6jkTNFrPrRYIx_dX_hYbxrk/edit?resourcekey=0-iw9bsKY2OqkUHCFMkCar3A&amp;gid=2055363397#gid=2055363397"",""MTR!C:O""),9,false)"),"")</f>
        <v/>
      </c>
      <c r="P821" s="241"/>
      <c r="Q821" s="251" t="s">
        <v>516</v>
      </c>
      <c r="R821" s="241"/>
      <c r="S821" s="154" t="s">
        <v>64</v>
      </c>
      <c r="T821" s="154" t="s">
        <v>64</v>
      </c>
      <c r="U821" s="154" t="s">
        <v>64</v>
      </c>
      <c r="V821" s="154" t="s">
        <v>64</v>
      </c>
      <c r="W821" s="154" t="s">
        <v>64</v>
      </c>
      <c r="X821" s="154" t="s">
        <v>64</v>
      </c>
      <c r="Y821" s="154" t="s">
        <v>64</v>
      </c>
      <c r="Z821" s="154" t="s">
        <v>64</v>
      </c>
      <c r="AA821" s="154" t="s">
        <v>64</v>
      </c>
      <c r="AB821" s="154"/>
      <c r="AC821" s="242" t="b">
        <f t="shared" si="2"/>
        <v>1</v>
      </c>
      <c r="AD821" s="154" t="s">
        <v>391</v>
      </c>
      <c r="AE821" s="243" t="b">
        <f t="shared" si="3"/>
        <v>0</v>
      </c>
      <c r="AF821" s="154"/>
      <c r="AG821" s="243" t="b">
        <f t="shared" si="4"/>
        <v>0</v>
      </c>
      <c r="AH821" s="154"/>
      <c r="AI821" s="243" t="str">
        <f t="shared" si="5"/>
        <v>N/A</v>
      </c>
      <c r="AJ821" s="157" t="str">
        <f t="shared" si="6"/>
        <v/>
      </c>
    </row>
    <row r="822" ht="12.75" customHeight="1">
      <c r="A822" s="244" t="s">
        <v>621</v>
      </c>
      <c r="B822" s="244" t="s">
        <v>2214</v>
      </c>
      <c r="C822" s="244" t="s">
        <v>2398</v>
      </c>
      <c r="D822" s="154" t="s">
        <v>1315</v>
      </c>
      <c r="E822" s="250"/>
      <c r="F822" s="154" t="str">
        <f t="array" ref="F822">XLOOKUP(Cover!$D$12,$S$1:$AA$1,$S822:$AA822)</f>
        <v>Recommended</v>
      </c>
      <c r="G822" s="154" t="s">
        <v>2399</v>
      </c>
      <c r="H822" s="154"/>
      <c r="I822" s="154" t="s">
        <v>759</v>
      </c>
      <c r="J822" s="247" t="s">
        <v>516</v>
      </c>
      <c r="K822" s="154"/>
      <c r="L822" s="154" t="str">
        <f t="shared" si="1"/>
        <v/>
      </c>
      <c r="M822" s="248" t="str">
        <f>IFERROR(__xludf.DUMMYFUNCTION("VLOOKUP(C822,IMPORTRANGE(""https://docs.google.com/spreadsheets/d/1P8eX0NWBhUPS_hvzA11R6jkTNFrPrRYIx_dX_hYbxrk/edit?resourcekey=0-iw9bsKY2OqkUHCFMkCar3A&amp;gid=2055363397#gid=2055363397"",""MTR!C:O""),11,false)"),"PMW-MCE-AS")</f>
        <v>PMW-MCE-AS</v>
      </c>
      <c r="N822" s="248" t="str">
        <f>IFERROR(__xludf.DUMMYFUNCTION("VLOOKUP(C822,IMPORTRANGE(""https://docs.google.com/spreadsheets/d/1ihFlp3_ePlYtFuPbUNbYj1muErVpI73WHXbEwJDIA7Q/edit#gid=1493122344"",""MTR!C:O""),8,false)"),"Does Not Comply")</f>
        <v>Does Not Comply</v>
      </c>
      <c r="O822" s="241" t="str">
        <f>IFERROR(__xludf.DUMMYFUNCTION("VLOOKUP(C822,IMPORTRANGE(""https://docs.google.com/spreadsheets/d/1P8eX0NWBhUPS_hvzA11R6jkTNFrPrRYIx_dX_hYbxrk/edit?resourcekey=0-iw9bsKY2OqkUHCFMkCar3A&amp;gid=2055363397#gid=2055363397"",""MTR!C:O""),9,false)"),"")</f>
        <v/>
      </c>
      <c r="P822" s="241"/>
      <c r="Q822" s="251" t="s">
        <v>516</v>
      </c>
      <c r="R822" s="241"/>
      <c r="S822" s="154" t="s">
        <v>64</v>
      </c>
      <c r="T822" s="154" t="s">
        <v>64</v>
      </c>
      <c r="U822" s="154" t="s">
        <v>64</v>
      </c>
      <c r="V822" s="154" t="s">
        <v>64</v>
      </c>
      <c r="W822" s="154" t="s">
        <v>64</v>
      </c>
      <c r="X822" s="154" t="s">
        <v>64</v>
      </c>
      <c r="Y822" s="154" t="s">
        <v>64</v>
      </c>
      <c r="Z822" s="154" t="s">
        <v>64</v>
      </c>
      <c r="AA822" s="154" t="s">
        <v>64</v>
      </c>
      <c r="AB822" s="154"/>
      <c r="AC822" s="242" t="b">
        <f t="shared" si="2"/>
        <v>1</v>
      </c>
      <c r="AD822" s="154" t="s">
        <v>391</v>
      </c>
      <c r="AE822" s="243" t="b">
        <f t="shared" si="3"/>
        <v>0</v>
      </c>
      <c r="AF822" s="154"/>
      <c r="AG822" s="243" t="b">
        <f t="shared" si="4"/>
        <v>0</v>
      </c>
      <c r="AH822" s="154"/>
      <c r="AI822" s="243" t="str">
        <f t="shared" si="5"/>
        <v>N/A</v>
      </c>
      <c r="AJ822" s="157" t="str">
        <f t="shared" si="6"/>
        <v/>
      </c>
    </row>
    <row r="823" ht="12.75" customHeight="1">
      <c r="A823" s="244" t="s">
        <v>621</v>
      </c>
      <c r="B823" s="244" t="s">
        <v>2214</v>
      </c>
      <c r="C823" s="244" t="s">
        <v>2400</v>
      </c>
      <c r="D823" s="154" t="s">
        <v>1315</v>
      </c>
      <c r="E823" s="250"/>
      <c r="F823" s="154" t="str">
        <f t="array" ref="F823">XLOOKUP(Cover!$D$12,$S$1:$AA$1,$S823:$AA823)</f>
        <v>Recommended</v>
      </c>
      <c r="G823" s="154" t="s">
        <v>2401</v>
      </c>
      <c r="H823" s="154"/>
      <c r="I823" s="154" t="s">
        <v>759</v>
      </c>
      <c r="J823" s="247" t="s">
        <v>516</v>
      </c>
      <c r="K823" s="154"/>
      <c r="L823" s="154" t="str">
        <f t="shared" si="1"/>
        <v/>
      </c>
      <c r="M823" s="248" t="str">
        <f>IFERROR(__xludf.DUMMYFUNCTION("VLOOKUP(C823,IMPORTRANGE(""https://docs.google.com/spreadsheets/d/1P8eX0NWBhUPS_hvzA11R6jkTNFrPrRYIx_dX_hYbxrk/edit?resourcekey=0-iw9bsKY2OqkUHCFMkCar3A&amp;gid=2055363397#gid=2055363397"",""MTR!C:O""),11,false)"),"PMW-MCE-AS")</f>
        <v>PMW-MCE-AS</v>
      </c>
      <c r="N823" s="248" t="str">
        <f>IFERROR(__xludf.DUMMYFUNCTION("VLOOKUP(C823,IMPORTRANGE(""https://docs.google.com/spreadsheets/d/1ihFlp3_ePlYtFuPbUNbYj1muErVpI73WHXbEwJDIA7Q/edit#gid=1493122344"",""MTR!C:O""),8,false)"),"Does Not Comply")</f>
        <v>Does Not Comply</v>
      </c>
      <c r="O823" s="241" t="str">
        <f>IFERROR(__xludf.DUMMYFUNCTION("VLOOKUP(C823,IMPORTRANGE(""https://docs.google.com/spreadsheets/d/1P8eX0NWBhUPS_hvzA11R6jkTNFrPrRYIx_dX_hYbxrk/edit?resourcekey=0-iw9bsKY2OqkUHCFMkCar3A&amp;gid=2055363397#gid=2055363397"",""MTR!C:O""),9,false)"),"")</f>
        <v/>
      </c>
      <c r="P823" s="241"/>
      <c r="Q823" s="251" t="s">
        <v>516</v>
      </c>
      <c r="R823" s="241"/>
      <c r="S823" s="154" t="s">
        <v>64</v>
      </c>
      <c r="T823" s="154" t="s">
        <v>64</v>
      </c>
      <c r="U823" s="154" t="s">
        <v>64</v>
      </c>
      <c r="V823" s="154" t="s">
        <v>64</v>
      </c>
      <c r="W823" s="154" t="s">
        <v>64</v>
      </c>
      <c r="X823" s="154" t="s">
        <v>64</v>
      </c>
      <c r="Y823" s="154" t="s">
        <v>64</v>
      </c>
      <c r="Z823" s="154" t="s">
        <v>64</v>
      </c>
      <c r="AA823" s="154" t="s">
        <v>64</v>
      </c>
      <c r="AB823" s="154"/>
      <c r="AC823" s="242" t="b">
        <f t="shared" si="2"/>
        <v>1</v>
      </c>
      <c r="AD823" s="154" t="s">
        <v>391</v>
      </c>
      <c r="AE823" s="243" t="b">
        <f t="shared" si="3"/>
        <v>0</v>
      </c>
      <c r="AF823" s="154"/>
      <c r="AG823" s="243" t="b">
        <f t="shared" si="4"/>
        <v>0</v>
      </c>
      <c r="AH823" s="154" t="s">
        <v>1346</v>
      </c>
      <c r="AI823" s="243" t="str">
        <f t="shared" si="5"/>
        <v>Partially Complies</v>
      </c>
      <c r="AJ823" s="157" t="str">
        <f t="shared" si="6"/>
        <v/>
      </c>
    </row>
    <row r="824" ht="12.75" customHeight="1">
      <c r="A824" s="244" t="s">
        <v>621</v>
      </c>
      <c r="B824" s="244" t="s">
        <v>2214</v>
      </c>
      <c r="C824" s="245" t="s">
        <v>2402</v>
      </c>
      <c r="D824" s="155" t="s">
        <v>1315</v>
      </c>
      <c r="E824" s="246" t="s">
        <v>92</v>
      </c>
      <c r="F824" s="154" t="str">
        <f t="array" ref="F824">XLOOKUP(Cover!$D$12,$S$1:$AA$1,$S824:$AA824)</f>
        <v>Information</v>
      </c>
      <c r="G824" s="154" t="s">
        <v>2403</v>
      </c>
      <c r="H824" s="154"/>
      <c r="I824" s="154" t="s">
        <v>759</v>
      </c>
      <c r="J824" s="247" t="s">
        <v>516</v>
      </c>
      <c r="K824" s="154"/>
      <c r="L824" s="154" t="str">
        <f t="shared" si="1"/>
        <v/>
      </c>
      <c r="M824" s="248" t="str">
        <f>IFERROR(__xludf.DUMMYFUNCTION("VLOOKUP(C824,IMPORTRANGE(""https://docs.google.com/spreadsheets/d/1P8eX0NWBhUPS_hvzA11R6jkTNFrPrRYIx_dX_hYbxrk/edit?resourcekey=0-iw9bsKY2OqkUHCFMkCar3A&amp;gid=2055363397#gid=2055363397"",""MTR!C:O""),11,false)"),"PMW-MCE-AS")</f>
        <v>PMW-MCE-AS</v>
      </c>
      <c r="N824" s="248" t="str">
        <f>IFERROR(__xludf.DUMMYFUNCTION("VLOOKUP(C824,IMPORTRANGE(""https://docs.google.com/spreadsheets/d/1ihFlp3_ePlYtFuPbUNbYj1muErVpI73WHXbEwJDIA7Q/edit#gid=1493122344"",""MTR!C:O""),8,false)"),"Does Not Comply")</f>
        <v>Does Not Comply</v>
      </c>
      <c r="O824" s="241" t="str">
        <f>IFERROR(__xludf.DUMMYFUNCTION("VLOOKUP(C824,IMPORTRANGE(""https://docs.google.com/spreadsheets/d/1P8eX0NWBhUPS_hvzA11R6jkTNFrPrRYIx_dX_hYbxrk/edit?resourcekey=0-iw9bsKY2OqkUHCFMkCar3A&amp;gid=2055363397#gid=2055363397"",""MTR!C:O""),9,false)"),"")</f>
        <v/>
      </c>
      <c r="P824" s="241"/>
      <c r="Q824" s="251" t="s">
        <v>516</v>
      </c>
      <c r="R824" s="241"/>
      <c r="S824" s="154" t="s">
        <v>68</v>
      </c>
      <c r="T824" s="154" t="s">
        <v>68</v>
      </c>
      <c r="U824" s="154" t="s">
        <v>66</v>
      </c>
      <c r="V824" s="154" t="s">
        <v>66</v>
      </c>
      <c r="W824" s="154" t="s">
        <v>66</v>
      </c>
      <c r="X824" s="154" t="s">
        <v>66</v>
      </c>
      <c r="Y824" s="154" t="s">
        <v>68</v>
      </c>
      <c r="Z824" s="154" t="s">
        <v>66</v>
      </c>
      <c r="AA824" s="154" t="s">
        <v>66</v>
      </c>
      <c r="AB824" s="154"/>
      <c r="AC824" s="242" t="b">
        <f t="shared" si="2"/>
        <v>1</v>
      </c>
      <c r="AD824" s="154" t="s">
        <v>391</v>
      </c>
      <c r="AE824" s="243" t="b">
        <f t="shared" si="3"/>
        <v>0</v>
      </c>
      <c r="AF824" s="154"/>
      <c r="AG824" s="243" t="b">
        <f t="shared" si="4"/>
        <v>0</v>
      </c>
      <c r="AH824" s="154" t="s">
        <v>1346</v>
      </c>
      <c r="AI824" s="243" t="str">
        <f t="shared" si="5"/>
        <v>Partially Complies</v>
      </c>
      <c r="AJ824" s="157" t="str">
        <f t="shared" si="6"/>
        <v/>
      </c>
    </row>
    <row r="825" ht="12.75" customHeight="1">
      <c r="A825" s="238" t="s">
        <v>621</v>
      </c>
      <c r="B825" s="238" t="s">
        <v>2214</v>
      </c>
      <c r="C825" s="238" t="s">
        <v>2404</v>
      </c>
      <c r="D825" s="240"/>
      <c r="E825" s="252" t="s">
        <v>92</v>
      </c>
      <c r="F825" s="154" t="str">
        <f t="array" ref="F825">XLOOKUP(Cover!$D$12,$S$1:$AA$1,$S825:$AA825)</f>
        <v>Heading</v>
      </c>
      <c r="G825" s="239" t="s">
        <v>2405</v>
      </c>
      <c r="H825" s="240"/>
      <c r="I825" s="240" t="s">
        <v>759</v>
      </c>
      <c r="J825" s="240"/>
      <c r="K825" s="240"/>
      <c r="L825" s="154" t="str">
        <f t="shared" si="1"/>
        <v/>
      </c>
      <c r="M825" s="241" t="str">
        <f>IFERROR(__xludf.DUMMYFUNCTION("VLOOKUP(C825,IMPORTRANGE(""https://docs.google.com/spreadsheets/d/1P8eX0NWBhUPS_hvzA11R6jkTNFrPrRYIx_dX_hYbxrk/edit?resourcekey=0-iw9bsKY2OqkUHCFMkCar3A&amp;gid=2055363397#gid=2055363397"",""MTR!C:O""),11,false)"),"")</f>
        <v/>
      </c>
      <c r="N825" s="241" t="str">
        <f>IFERROR(__xludf.DUMMYFUNCTION("VLOOKUP(C825,IMPORTRANGE(""https://docs.google.com/spreadsheets/d/1ihFlp3_ePlYtFuPbUNbYj1muErVpI73WHXbEwJDIA7Q/edit#gid=1493122344"",""MTR!C:O""),8,false)"),"")</f>
        <v/>
      </c>
      <c r="O825" s="241" t="str">
        <f>IFERROR(__xludf.DUMMYFUNCTION("VLOOKUP(C825,IMPORTRANGE(""https://docs.google.com/spreadsheets/d/1P8eX0NWBhUPS_hvzA11R6jkTNFrPrRYIx_dX_hYbxrk/edit?resourcekey=0-iw9bsKY2OqkUHCFMkCar3A&amp;gid=2055363397#gid=2055363397"",""MTR!C:O""),9,false)"),"")</f>
        <v/>
      </c>
      <c r="P825" s="241"/>
      <c r="Q825" s="251"/>
      <c r="R825" s="241"/>
      <c r="S825" s="240" t="s">
        <v>390</v>
      </c>
      <c r="T825" s="240" t="s">
        <v>390</v>
      </c>
      <c r="U825" s="240" t="s">
        <v>390</v>
      </c>
      <c r="V825" s="240" t="s">
        <v>390</v>
      </c>
      <c r="W825" s="240" t="s">
        <v>390</v>
      </c>
      <c r="X825" s="240" t="s">
        <v>390</v>
      </c>
      <c r="Y825" s="240" t="s">
        <v>390</v>
      </c>
      <c r="Z825" s="240" t="s">
        <v>390</v>
      </c>
      <c r="AA825" s="240" t="s">
        <v>390</v>
      </c>
      <c r="AB825" s="240"/>
      <c r="AC825" s="242" t="b">
        <f t="shared" si="2"/>
        <v>0</v>
      </c>
      <c r="AD825" s="240" t="s">
        <v>391</v>
      </c>
      <c r="AE825" s="243" t="b">
        <f t="shared" si="3"/>
        <v>0</v>
      </c>
      <c r="AF825" s="240"/>
      <c r="AG825" s="243" t="b">
        <f t="shared" si="4"/>
        <v>0</v>
      </c>
      <c r="AH825" s="240"/>
      <c r="AI825" s="243" t="str">
        <f t="shared" si="5"/>
        <v>N/A</v>
      </c>
      <c r="AJ825" s="157" t="str">
        <f t="shared" si="6"/>
        <v/>
      </c>
    </row>
    <row r="826" ht="12.75" customHeight="1">
      <c r="A826" s="244" t="s">
        <v>621</v>
      </c>
      <c r="B826" s="244" t="s">
        <v>2214</v>
      </c>
      <c r="C826" s="245" t="s">
        <v>2406</v>
      </c>
      <c r="D826" s="155" t="s">
        <v>1315</v>
      </c>
      <c r="E826" s="246" t="s">
        <v>92</v>
      </c>
      <c r="F826" s="154" t="str">
        <f t="array" ref="F826">XLOOKUP(Cover!$D$12,$S$1:$AA$1,$S826:$AA826)</f>
        <v>Information</v>
      </c>
      <c r="G826" s="154" t="s">
        <v>2407</v>
      </c>
      <c r="H826" s="154"/>
      <c r="I826" s="154" t="s">
        <v>759</v>
      </c>
      <c r="J826" s="247" t="s">
        <v>516</v>
      </c>
      <c r="K826" s="154"/>
      <c r="L826" s="154" t="str">
        <f t="shared" si="1"/>
        <v/>
      </c>
      <c r="M826" s="248" t="str">
        <f>IFERROR(__xludf.DUMMYFUNCTION("VLOOKUP(C826,IMPORTRANGE(""https://docs.google.com/spreadsheets/d/1P8eX0NWBhUPS_hvzA11R6jkTNFrPrRYIx_dX_hYbxrk/edit?resourcekey=0-iw9bsKY2OqkUHCFMkCar3A&amp;gid=2055363397#gid=2055363397"",""MTR!C:O""),11,false)"),"PMW-MCE-AS")</f>
        <v>PMW-MCE-AS</v>
      </c>
      <c r="N826" s="248" t="str">
        <f>IFERROR(__xludf.DUMMYFUNCTION("VLOOKUP(C826,IMPORTRANGE(""https://docs.google.com/spreadsheets/d/1ihFlp3_ePlYtFuPbUNbYj1muErVpI73WHXbEwJDIA7Q/edit#gid=1493122344"",""MTR!C:O""),8,false)"),"Does Not Comply")</f>
        <v>Does Not Comply</v>
      </c>
      <c r="O826" s="241" t="str">
        <f>IFERROR(__xludf.DUMMYFUNCTION("VLOOKUP(C826,IMPORTRANGE(""https://docs.google.com/spreadsheets/d/1P8eX0NWBhUPS_hvzA11R6jkTNFrPrRYIx_dX_hYbxrk/edit?resourcekey=0-iw9bsKY2OqkUHCFMkCar3A&amp;gid=2055363397#gid=2055363397"",""MTR!C:O""),9,false)"),"")</f>
        <v/>
      </c>
      <c r="P826" s="241"/>
      <c r="Q826" s="251" t="s">
        <v>516</v>
      </c>
      <c r="R826" s="241"/>
      <c r="S826" s="154" t="s">
        <v>68</v>
      </c>
      <c r="T826" s="154" t="s">
        <v>68</v>
      </c>
      <c r="U826" s="154" t="s">
        <v>66</v>
      </c>
      <c r="V826" s="154" t="s">
        <v>66</v>
      </c>
      <c r="W826" s="154" t="s">
        <v>66</v>
      </c>
      <c r="X826" s="154" t="s">
        <v>66</v>
      </c>
      <c r="Y826" s="154" t="s">
        <v>68</v>
      </c>
      <c r="Z826" s="154" t="s">
        <v>66</v>
      </c>
      <c r="AA826" s="154" t="s">
        <v>66</v>
      </c>
      <c r="AB826" s="154"/>
      <c r="AC826" s="242" t="b">
        <f t="shared" si="2"/>
        <v>1</v>
      </c>
      <c r="AD826" s="154" t="s">
        <v>391</v>
      </c>
      <c r="AE826" s="243" t="b">
        <f t="shared" si="3"/>
        <v>0</v>
      </c>
      <c r="AF826" s="154"/>
      <c r="AG826" s="243" t="b">
        <f t="shared" si="4"/>
        <v>0</v>
      </c>
      <c r="AH826" s="154" t="s">
        <v>1346</v>
      </c>
      <c r="AI826" s="243" t="str">
        <f t="shared" si="5"/>
        <v>Partially Complies</v>
      </c>
      <c r="AJ826" s="157" t="str">
        <f t="shared" si="6"/>
        <v/>
      </c>
    </row>
    <row r="827" ht="12.75" customHeight="1">
      <c r="A827" s="244" t="s">
        <v>621</v>
      </c>
      <c r="B827" s="244" t="s">
        <v>2214</v>
      </c>
      <c r="C827" s="245" t="s">
        <v>2408</v>
      </c>
      <c r="D827" s="155" t="s">
        <v>1315</v>
      </c>
      <c r="E827" s="246" t="s">
        <v>92</v>
      </c>
      <c r="F827" s="154" t="str">
        <f t="array" ref="F827">XLOOKUP(Cover!$D$12,$S$1:$AA$1,$S827:$AA827)</f>
        <v>Information</v>
      </c>
      <c r="G827" s="154" t="s">
        <v>2409</v>
      </c>
      <c r="H827" s="154"/>
      <c r="I827" s="154" t="s">
        <v>759</v>
      </c>
      <c r="J827" s="247" t="s">
        <v>516</v>
      </c>
      <c r="K827" s="154"/>
      <c r="L827" s="154" t="str">
        <f t="shared" si="1"/>
        <v/>
      </c>
      <c r="M827" s="248" t="str">
        <f>IFERROR(__xludf.DUMMYFUNCTION("VLOOKUP(C827,IMPORTRANGE(""https://docs.google.com/spreadsheets/d/1P8eX0NWBhUPS_hvzA11R6jkTNFrPrRYIx_dX_hYbxrk/edit?resourcekey=0-iw9bsKY2OqkUHCFMkCar3A&amp;gid=2055363397#gid=2055363397"",""MTR!C:O""),11,false)"),"PMW-MCE-AS")</f>
        <v>PMW-MCE-AS</v>
      </c>
      <c r="N827" s="248" t="str">
        <f>IFERROR(__xludf.DUMMYFUNCTION("VLOOKUP(C827,IMPORTRANGE(""https://docs.google.com/spreadsheets/d/1ihFlp3_ePlYtFuPbUNbYj1muErVpI73WHXbEwJDIA7Q/edit#gid=1493122344"",""MTR!C:O""),8,false)"),"Does Not Comply")</f>
        <v>Does Not Comply</v>
      </c>
      <c r="O827" s="241" t="str">
        <f>IFERROR(__xludf.DUMMYFUNCTION("VLOOKUP(C827,IMPORTRANGE(""https://docs.google.com/spreadsheets/d/1P8eX0NWBhUPS_hvzA11R6jkTNFrPrRYIx_dX_hYbxrk/edit?resourcekey=0-iw9bsKY2OqkUHCFMkCar3A&amp;gid=2055363397#gid=2055363397"",""MTR!C:O""),9,false)"),"")</f>
        <v/>
      </c>
      <c r="P827" s="241"/>
      <c r="Q827" s="251" t="s">
        <v>516</v>
      </c>
      <c r="R827" s="241"/>
      <c r="S827" s="154" t="s">
        <v>68</v>
      </c>
      <c r="T827" s="154" t="s">
        <v>68</v>
      </c>
      <c r="U827" s="154" t="s">
        <v>66</v>
      </c>
      <c r="V827" s="154" t="s">
        <v>66</v>
      </c>
      <c r="W827" s="154" t="s">
        <v>66</v>
      </c>
      <c r="X827" s="154" t="s">
        <v>66</v>
      </c>
      <c r="Y827" s="154" t="s">
        <v>68</v>
      </c>
      <c r="Z827" s="154" t="s">
        <v>66</v>
      </c>
      <c r="AA827" s="154" t="s">
        <v>66</v>
      </c>
      <c r="AB827" s="154"/>
      <c r="AC827" s="242" t="b">
        <f t="shared" si="2"/>
        <v>1</v>
      </c>
      <c r="AD827" s="154" t="s">
        <v>391</v>
      </c>
      <c r="AE827" s="243" t="b">
        <f t="shared" si="3"/>
        <v>0</v>
      </c>
      <c r="AF827" s="154"/>
      <c r="AG827" s="243" t="b">
        <f t="shared" si="4"/>
        <v>0</v>
      </c>
      <c r="AH827" s="154" t="s">
        <v>1346</v>
      </c>
      <c r="AI827" s="243" t="str">
        <f t="shared" si="5"/>
        <v>Partially Complies</v>
      </c>
      <c r="AJ827" s="157" t="str">
        <f t="shared" si="6"/>
        <v/>
      </c>
    </row>
    <row r="828" ht="12.75" customHeight="1">
      <c r="A828" s="244" t="s">
        <v>621</v>
      </c>
      <c r="B828" s="244" t="s">
        <v>2214</v>
      </c>
      <c r="C828" s="245" t="s">
        <v>2410</v>
      </c>
      <c r="D828" s="155" t="s">
        <v>1315</v>
      </c>
      <c r="E828" s="246" t="s">
        <v>92</v>
      </c>
      <c r="F828" s="154" t="str">
        <f t="array" ref="F828">XLOOKUP(Cover!$D$12,$S$1:$AA$1,$S828:$AA828)</f>
        <v>Information</v>
      </c>
      <c r="G828" s="154" t="s">
        <v>2411</v>
      </c>
      <c r="H828" s="154"/>
      <c r="I828" s="154" t="s">
        <v>759</v>
      </c>
      <c r="J828" s="247" t="s">
        <v>516</v>
      </c>
      <c r="K828" s="154"/>
      <c r="L828" s="154" t="str">
        <f t="shared" si="1"/>
        <v/>
      </c>
      <c r="M828" s="248" t="str">
        <f>IFERROR(__xludf.DUMMYFUNCTION("VLOOKUP(C828,IMPORTRANGE(""https://docs.google.com/spreadsheets/d/1P8eX0NWBhUPS_hvzA11R6jkTNFrPrRYIx_dX_hYbxrk/edit?resourcekey=0-iw9bsKY2OqkUHCFMkCar3A&amp;gid=2055363397#gid=2055363397"",""MTR!C:O""),11,false)"),"PMW-MCE-AS")</f>
        <v>PMW-MCE-AS</v>
      </c>
      <c r="N828" s="248" t="str">
        <f>IFERROR(__xludf.DUMMYFUNCTION("VLOOKUP(C828,IMPORTRANGE(""https://docs.google.com/spreadsheets/d/1ihFlp3_ePlYtFuPbUNbYj1muErVpI73WHXbEwJDIA7Q/edit#gid=1493122344"",""MTR!C:O""),8,false)"),"Does Not Comply")</f>
        <v>Does Not Comply</v>
      </c>
      <c r="O828" s="241" t="str">
        <f>IFERROR(__xludf.DUMMYFUNCTION("VLOOKUP(C828,IMPORTRANGE(""https://docs.google.com/spreadsheets/d/1P8eX0NWBhUPS_hvzA11R6jkTNFrPrRYIx_dX_hYbxrk/edit?resourcekey=0-iw9bsKY2OqkUHCFMkCar3A&amp;gid=2055363397#gid=2055363397"",""MTR!C:O""),9,false)"),"")</f>
        <v/>
      </c>
      <c r="P828" s="241"/>
      <c r="Q828" s="251" t="s">
        <v>516</v>
      </c>
      <c r="R828" s="241"/>
      <c r="S828" s="154" t="s">
        <v>68</v>
      </c>
      <c r="T828" s="154" t="s">
        <v>68</v>
      </c>
      <c r="U828" s="154" t="s">
        <v>66</v>
      </c>
      <c r="V828" s="154" t="s">
        <v>66</v>
      </c>
      <c r="W828" s="154" t="s">
        <v>66</v>
      </c>
      <c r="X828" s="154" t="s">
        <v>66</v>
      </c>
      <c r="Y828" s="154" t="s">
        <v>68</v>
      </c>
      <c r="Z828" s="154" t="s">
        <v>66</v>
      </c>
      <c r="AA828" s="154" t="s">
        <v>66</v>
      </c>
      <c r="AB828" s="154"/>
      <c r="AC828" s="242" t="b">
        <f t="shared" si="2"/>
        <v>1</v>
      </c>
      <c r="AD828" s="154" t="s">
        <v>391</v>
      </c>
      <c r="AE828" s="243" t="b">
        <f t="shared" si="3"/>
        <v>0</v>
      </c>
      <c r="AF828" s="154"/>
      <c r="AG828" s="243" t="b">
        <f t="shared" si="4"/>
        <v>0</v>
      </c>
      <c r="AH828" s="154" t="s">
        <v>1346</v>
      </c>
      <c r="AI828" s="243" t="str">
        <f t="shared" si="5"/>
        <v>Partially Complies</v>
      </c>
      <c r="AJ828" s="157" t="str">
        <f t="shared" si="6"/>
        <v/>
      </c>
    </row>
    <row r="829" ht="12.75" customHeight="1">
      <c r="A829" s="238" t="s">
        <v>2412</v>
      </c>
      <c r="B829" s="238"/>
      <c r="C829" s="238" t="s">
        <v>2413</v>
      </c>
      <c r="D829" s="238"/>
      <c r="E829" s="238"/>
      <c r="F829" s="154" t="str">
        <f t="array" ref="F829">XLOOKUP(Cover!$D$12,$S$1:$AA$1,$S829:$AA829)</f>
        <v>Heading</v>
      </c>
      <c r="G829" s="239" t="s">
        <v>2414</v>
      </c>
      <c r="H829" s="240"/>
      <c r="I829" s="240" t="s">
        <v>420</v>
      </c>
      <c r="J829" s="240"/>
      <c r="K829" s="240"/>
      <c r="L829" s="154" t="str">
        <f t="shared" si="1"/>
        <v/>
      </c>
      <c r="M829" s="241" t="str">
        <f>IFERROR(__xludf.DUMMYFUNCTION("VLOOKUP(C829,IMPORTRANGE(""https://docs.google.com/spreadsheets/d/1P8eX0NWBhUPS_hvzA11R6jkTNFrPrRYIx_dX_hYbxrk/edit?resourcekey=0-iw9bsKY2OqkUHCFMkCar3A&amp;gid=2055363397#gid=2055363397"",""MTR!C:O""),11,false)"),"")</f>
        <v/>
      </c>
      <c r="N829" s="241" t="str">
        <f>IFERROR(__xludf.DUMMYFUNCTION("VLOOKUP(C829,IMPORTRANGE(""https://docs.google.com/spreadsheets/d/1ihFlp3_ePlYtFuPbUNbYj1muErVpI73WHXbEwJDIA7Q/edit#gid=1493122344"",""MTR!C:O""),8,false)"),"")</f>
        <v/>
      </c>
      <c r="O829" s="241" t="str">
        <f>IFERROR(__xludf.DUMMYFUNCTION("VLOOKUP(C829,IMPORTRANGE(""https://docs.google.com/spreadsheets/d/1P8eX0NWBhUPS_hvzA11R6jkTNFrPrRYIx_dX_hYbxrk/edit?resourcekey=0-iw9bsKY2OqkUHCFMkCar3A&amp;gid=2055363397#gid=2055363397"",""MTR!C:O""),9,false)"),"")</f>
        <v/>
      </c>
      <c r="P829" s="241"/>
      <c r="Q829" s="251"/>
      <c r="R829" s="241"/>
      <c r="S829" s="240" t="s">
        <v>390</v>
      </c>
      <c r="T829" s="240" t="s">
        <v>390</v>
      </c>
      <c r="U829" s="240" t="s">
        <v>390</v>
      </c>
      <c r="V829" s="240" t="s">
        <v>390</v>
      </c>
      <c r="W829" s="240" t="s">
        <v>390</v>
      </c>
      <c r="X829" s="240" t="s">
        <v>390</v>
      </c>
      <c r="Y829" s="240" t="s">
        <v>390</v>
      </c>
      <c r="Z829" s="240" t="s">
        <v>390</v>
      </c>
      <c r="AA829" s="240" t="s">
        <v>390</v>
      </c>
      <c r="AB829" s="240"/>
      <c r="AC829" s="242" t="b">
        <f t="shared" si="2"/>
        <v>0</v>
      </c>
      <c r="AD829" s="240" t="s">
        <v>391</v>
      </c>
      <c r="AE829" s="243" t="b">
        <f t="shared" si="3"/>
        <v>0</v>
      </c>
      <c r="AF829" s="240"/>
      <c r="AG829" s="243" t="b">
        <f t="shared" si="4"/>
        <v>0</v>
      </c>
      <c r="AH829" s="240"/>
      <c r="AI829" s="243" t="str">
        <f t="shared" si="5"/>
        <v>N/A</v>
      </c>
      <c r="AJ829" s="157" t="str">
        <f t="shared" si="6"/>
        <v/>
      </c>
    </row>
    <row r="830" ht="12.75" customHeight="1">
      <c r="A830" s="238" t="s">
        <v>2412</v>
      </c>
      <c r="B830" s="238" t="s">
        <v>2415</v>
      </c>
      <c r="C830" s="238" t="s">
        <v>2416</v>
      </c>
      <c r="D830" s="238"/>
      <c r="E830" s="238"/>
      <c r="F830" s="154" t="str">
        <f t="array" ref="F830">XLOOKUP(Cover!$D$12,$S$1:$AA$1,$S830:$AA830)</f>
        <v>Heading</v>
      </c>
      <c r="G830" s="239" t="s">
        <v>2417</v>
      </c>
      <c r="H830" s="240"/>
      <c r="I830" s="240" t="s">
        <v>420</v>
      </c>
      <c r="J830" s="240"/>
      <c r="K830" s="240"/>
      <c r="L830" s="154" t="str">
        <f t="shared" si="1"/>
        <v/>
      </c>
      <c r="M830" s="241" t="str">
        <f>IFERROR(__xludf.DUMMYFUNCTION("VLOOKUP(C830,IMPORTRANGE(""https://docs.google.com/spreadsheets/d/1P8eX0NWBhUPS_hvzA11R6jkTNFrPrRYIx_dX_hYbxrk/edit?resourcekey=0-iw9bsKY2OqkUHCFMkCar3A&amp;gid=2055363397#gid=2055363397"",""MTR!C:O""),11,false)"),"")</f>
        <v/>
      </c>
      <c r="N830" s="241" t="str">
        <f>IFERROR(__xludf.DUMMYFUNCTION("VLOOKUP(C830,IMPORTRANGE(""https://docs.google.com/spreadsheets/d/1ihFlp3_ePlYtFuPbUNbYj1muErVpI73WHXbEwJDIA7Q/edit#gid=1493122344"",""MTR!C:O""),8,false)"),"")</f>
        <v/>
      </c>
      <c r="O830" s="241" t="str">
        <f>IFERROR(__xludf.DUMMYFUNCTION("VLOOKUP(C830,IMPORTRANGE(""https://docs.google.com/spreadsheets/d/1P8eX0NWBhUPS_hvzA11R6jkTNFrPrRYIx_dX_hYbxrk/edit?resourcekey=0-iw9bsKY2OqkUHCFMkCar3A&amp;gid=2055363397#gid=2055363397"",""MTR!C:O""),9,false)"),"")</f>
        <v/>
      </c>
      <c r="P830" s="241"/>
      <c r="Q830" s="241"/>
      <c r="R830" s="241"/>
      <c r="S830" s="240" t="s">
        <v>390</v>
      </c>
      <c r="T830" s="240" t="s">
        <v>390</v>
      </c>
      <c r="U830" s="240" t="s">
        <v>390</v>
      </c>
      <c r="V830" s="240" t="s">
        <v>390</v>
      </c>
      <c r="W830" s="240" t="s">
        <v>390</v>
      </c>
      <c r="X830" s="240" t="s">
        <v>390</v>
      </c>
      <c r="Y830" s="240" t="s">
        <v>390</v>
      </c>
      <c r="Z830" s="240" t="s">
        <v>390</v>
      </c>
      <c r="AA830" s="240" t="s">
        <v>390</v>
      </c>
      <c r="AB830" s="240"/>
      <c r="AC830" s="242" t="b">
        <f t="shared" si="2"/>
        <v>0</v>
      </c>
      <c r="AD830" s="240" t="s">
        <v>391</v>
      </c>
      <c r="AE830" s="243" t="b">
        <f t="shared" si="3"/>
        <v>0</v>
      </c>
      <c r="AF830" s="240"/>
      <c r="AG830" s="243" t="b">
        <f t="shared" si="4"/>
        <v>0</v>
      </c>
      <c r="AH830" s="240"/>
      <c r="AI830" s="243" t="str">
        <f t="shared" si="5"/>
        <v>N/A</v>
      </c>
      <c r="AJ830" s="157" t="str">
        <f t="shared" si="6"/>
        <v/>
      </c>
    </row>
    <row r="831" ht="12.75" customHeight="1">
      <c r="A831" s="238" t="s">
        <v>2412</v>
      </c>
      <c r="B831" s="238" t="s">
        <v>2415</v>
      </c>
      <c r="C831" s="238" t="s">
        <v>2418</v>
      </c>
      <c r="D831" s="238"/>
      <c r="E831" s="238"/>
      <c r="F831" s="154" t="str">
        <f t="array" ref="F831">XLOOKUP(Cover!$D$12,$S$1:$AA$1,$S831:$AA831)</f>
        <v>Heading</v>
      </c>
      <c r="G831" s="239" t="s">
        <v>2419</v>
      </c>
      <c r="H831" s="240"/>
      <c r="I831" s="240" t="s">
        <v>420</v>
      </c>
      <c r="J831" s="240"/>
      <c r="K831" s="240"/>
      <c r="L831" s="154" t="str">
        <f t="shared" si="1"/>
        <v/>
      </c>
      <c r="M831" s="241" t="str">
        <f>IFERROR(__xludf.DUMMYFUNCTION("VLOOKUP(C831,IMPORTRANGE(""https://docs.google.com/spreadsheets/d/1P8eX0NWBhUPS_hvzA11R6jkTNFrPrRYIx_dX_hYbxrk/edit?resourcekey=0-iw9bsKY2OqkUHCFMkCar3A&amp;gid=2055363397#gid=2055363397"",""MTR!C:O""),11,false)"),"")</f>
        <v/>
      </c>
      <c r="N831" s="241" t="str">
        <f>IFERROR(__xludf.DUMMYFUNCTION("VLOOKUP(C831,IMPORTRANGE(""https://docs.google.com/spreadsheets/d/1ihFlp3_ePlYtFuPbUNbYj1muErVpI73WHXbEwJDIA7Q/edit#gid=1493122344"",""MTR!C:O""),8,false)"),"")</f>
        <v/>
      </c>
      <c r="O831" s="241" t="str">
        <f>IFERROR(__xludf.DUMMYFUNCTION("VLOOKUP(C831,IMPORTRANGE(""https://docs.google.com/spreadsheets/d/1P8eX0NWBhUPS_hvzA11R6jkTNFrPrRYIx_dX_hYbxrk/edit?resourcekey=0-iw9bsKY2OqkUHCFMkCar3A&amp;gid=2055363397#gid=2055363397"",""MTR!C:O""),9,false)"),"")</f>
        <v/>
      </c>
      <c r="P831" s="241"/>
      <c r="Q831" s="241"/>
      <c r="R831" s="241"/>
      <c r="S831" s="240" t="s">
        <v>390</v>
      </c>
      <c r="T831" s="240" t="s">
        <v>390</v>
      </c>
      <c r="U831" s="240" t="s">
        <v>390</v>
      </c>
      <c r="V831" s="240" t="s">
        <v>390</v>
      </c>
      <c r="W831" s="240" t="s">
        <v>390</v>
      </c>
      <c r="X831" s="240" t="s">
        <v>390</v>
      </c>
      <c r="Y831" s="240" t="s">
        <v>390</v>
      </c>
      <c r="Z831" s="240" t="s">
        <v>390</v>
      </c>
      <c r="AA831" s="240" t="s">
        <v>390</v>
      </c>
      <c r="AB831" s="240"/>
      <c r="AC831" s="242" t="b">
        <f t="shared" si="2"/>
        <v>0</v>
      </c>
      <c r="AD831" s="240" t="s">
        <v>391</v>
      </c>
      <c r="AE831" s="243" t="b">
        <f t="shared" si="3"/>
        <v>0</v>
      </c>
      <c r="AF831" s="240"/>
      <c r="AG831" s="243" t="b">
        <f t="shared" si="4"/>
        <v>0</v>
      </c>
      <c r="AH831" s="240"/>
      <c r="AI831" s="243" t="str">
        <f t="shared" si="5"/>
        <v>N/A</v>
      </c>
      <c r="AJ831" s="157" t="str">
        <f t="shared" si="6"/>
        <v/>
      </c>
    </row>
    <row r="832" ht="12.75" customHeight="1">
      <c r="A832" s="238" t="s">
        <v>2412</v>
      </c>
      <c r="B832" s="238" t="s">
        <v>2415</v>
      </c>
      <c r="C832" s="238" t="s">
        <v>2420</v>
      </c>
      <c r="D832" s="238"/>
      <c r="E832" s="238"/>
      <c r="F832" s="154" t="str">
        <f t="array" ref="F832">XLOOKUP(Cover!$D$12,$S$1:$AA$1,$S832:$AA832)</f>
        <v>Heading</v>
      </c>
      <c r="G832" s="239" t="s">
        <v>2421</v>
      </c>
      <c r="H832" s="240"/>
      <c r="I832" s="240" t="s">
        <v>420</v>
      </c>
      <c r="J832" s="240"/>
      <c r="K832" s="240"/>
      <c r="L832" s="154" t="str">
        <f t="shared" si="1"/>
        <v/>
      </c>
      <c r="M832" s="241" t="str">
        <f>IFERROR(__xludf.DUMMYFUNCTION("VLOOKUP(C832,IMPORTRANGE(""https://docs.google.com/spreadsheets/d/1P8eX0NWBhUPS_hvzA11R6jkTNFrPrRYIx_dX_hYbxrk/edit?resourcekey=0-iw9bsKY2OqkUHCFMkCar3A&amp;gid=2055363397#gid=2055363397"",""MTR!C:O""),11,false)"),"")</f>
        <v/>
      </c>
      <c r="N832" s="241" t="str">
        <f>IFERROR(__xludf.DUMMYFUNCTION("VLOOKUP(C832,IMPORTRANGE(""https://docs.google.com/spreadsheets/d/1ihFlp3_ePlYtFuPbUNbYj1muErVpI73WHXbEwJDIA7Q/edit#gid=1493122344"",""MTR!C:O""),8,false)"),"")</f>
        <v/>
      </c>
      <c r="O832" s="241" t="str">
        <f>IFERROR(__xludf.DUMMYFUNCTION("VLOOKUP(C832,IMPORTRANGE(""https://docs.google.com/spreadsheets/d/1P8eX0NWBhUPS_hvzA11R6jkTNFrPrRYIx_dX_hYbxrk/edit?resourcekey=0-iw9bsKY2OqkUHCFMkCar3A&amp;gid=2055363397#gid=2055363397"",""MTR!C:O""),9,false)"),"")</f>
        <v/>
      </c>
      <c r="P832" s="241"/>
      <c r="Q832" s="241"/>
      <c r="R832" s="241"/>
      <c r="S832" s="240" t="s">
        <v>390</v>
      </c>
      <c r="T832" s="240" t="s">
        <v>390</v>
      </c>
      <c r="U832" s="240" t="s">
        <v>390</v>
      </c>
      <c r="V832" s="240" t="s">
        <v>390</v>
      </c>
      <c r="W832" s="240" t="s">
        <v>390</v>
      </c>
      <c r="X832" s="240" t="s">
        <v>390</v>
      </c>
      <c r="Y832" s="240" t="s">
        <v>390</v>
      </c>
      <c r="Z832" s="240" t="s">
        <v>390</v>
      </c>
      <c r="AA832" s="240" t="s">
        <v>390</v>
      </c>
      <c r="AB832" s="240"/>
      <c r="AC832" s="242" t="b">
        <f t="shared" si="2"/>
        <v>0</v>
      </c>
      <c r="AD832" s="240" t="s">
        <v>391</v>
      </c>
      <c r="AE832" s="243" t="b">
        <f t="shared" si="3"/>
        <v>0</v>
      </c>
      <c r="AF832" s="240"/>
      <c r="AG832" s="243" t="b">
        <f t="shared" si="4"/>
        <v>0</v>
      </c>
      <c r="AH832" s="240"/>
      <c r="AI832" s="243" t="str">
        <f t="shared" si="5"/>
        <v>N/A</v>
      </c>
      <c r="AJ832" s="157" t="str">
        <f t="shared" si="6"/>
        <v/>
      </c>
    </row>
    <row r="833" ht="12.75" customHeight="1">
      <c r="A833" s="244" t="s">
        <v>2412</v>
      </c>
      <c r="B833" s="244" t="s">
        <v>2415</v>
      </c>
      <c r="C833" s="244" t="s">
        <v>2422</v>
      </c>
      <c r="D833" s="154" t="s">
        <v>528</v>
      </c>
      <c r="E833" s="250"/>
      <c r="F833" s="154" t="str">
        <f t="array" ref="F833">XLOOKUP(Cover!$D$12,$S$1:$AA$1,$S833:$AA833)</f>
        <v>Mandatory</v>
      </c>
      <c r="G833" s="154" t="s">
        <v>2423</v>
      </c>
      <c r="H833" s="154" t="s">
        <v>419</v>
      </c>
      <c r="I833" s="154" t="s">
        <v>420</v>
      </c>
      <c r="J833" s="247" t="s">
        <v>445</v>
      </c>
      <c r="K833" s="154"/>
      <c r="L833" s="154" t="str">
        <f t="shared" si="1"/>
        <v/>
      </c>
      <c r="M833" s="248" t="str">
        <f>IFERROR(__xludf.DUMMYFUNCTION("VLOOKUP(C833,IMPORTRANGE(""https://docs.google.com/spreadsheets/d/1P8eX0NWBhUPS_hvzA11R6jkTNFrPrRYIx_dX_hYbxrk/edit?resourcekey=0-iw9bsKY2OqkUHCFMkCar3A&amp;gid=2055363397#gid=2055363397"",""MTR!C:O""),11,false)"),"TAM")</f>
        <v>TAM</v>
      </c>
      <c r="N833" s="248" t="str">
        <f>IFERROR(__xludf.DUMMYFUNCTION("VLOOKUP(C833,IMPORTRANGE(""https://docs.google.com/spreadsheets/d/1ihFlp3_ePlYtFuPbUNbYj1muErVpI73WHXbEwJDIA7Q/edit#gid=1493122344"",""MTR!C:O""),8,false)"),"Complies")</f>
        <v>Complies</v>
      </c>
      <c r="O833" s="241" t="str">
        <f>IFERROR(__xludf.DUMMYFUNCTION("VLOOKUP(C833,IMPORTRANGE(""https://docs.google.com/spreadsheets/d/1P8eX0NWBhUPS_hvzA11R6jkTNFrPrRYIx_dX_hYbxrk/edit?resourcekey=0-iw9bsKY2OqkUHCFMkCar3A&amp;gid=2055363397#gid=2055363397"",""MTR!C:O""),9,false)"),"")</f>
        <v/>
      </c>
      <c r="P833" s="241"/>
      <c r="Q833" s="251" t="s">
        <v>445</v>
      </c>
      <c r="R833" s="241"/>
      <c r="S833" s="154" t="s">
        <v>64</v>
      </c>
      <c r="T833" s="154" t="s">
        <v>60</v>
      </c>
      <c r="U833" s="154" t="s">
        <v>60</v>
      </c>
      <c r="V833" s="154" t="s">
        <v>60</v>
      </c>
      <c r="W833" s="154" t="s">
        <v>60</v>
      </c>
      <c r="X833" s="154" t="s">
        <v>60</v>
      </c>
      <c r="Y833" s="154" t="s">
        <v>60</v>
      </c>
      <c r="Z833" s="154" t="s">
        <v>60</v>
      </c>
      <c r="AA833" s="154" t="s">
        <v>60</v>
      </c>
      <c r="AB833" s="154"/>
      <c r="AC833" s="242" t="b">
        <f t="shared" si="2"/>
        <v>1</v>
      </c>
      <c r="AD833" s="154" t="s">
        <v>391</v>
      </c>
      <c r="AE833" s="243" t="b">
        <f t="shared" si="3"/>
        <v>0</v>
      </c>
      <c r="AF833" s="154"/>
      <c r="AG833" s="243" t="b">
        <f t="shared" si="4"/>
        <v>0</v>
      </c>
      <c r="AH833" s="154"/>
      <c r="AI833" s="243" t="str">
        <f t="shared" si="5"/>
        <v>N/A</v>
      </c>
      <c r="AJ833" s="157" t="str">
        <f t="shared" si="6"/>
        <v/>
      </c>
    </row>
    <row r="834" ht="12.75" customHeight="1">
      <c r="A834" s="244" t="s">
        <v>2412</v>
      </c>
      <c r="B834" s="244" t="s">
        <v>2415</v>
      </c>
      <c r="C834" s="244" t="s">
        <v>2424</v>
      </c>
      <c r="D834" s="154" t="s">
        <v>602</v>
      </c>
      <c r="E834" s="250"/>
      <c r="F834" s="154" t="str">
        <f t="array" ref="F834">XLOOKUP(Cover!$D$12,$S$1:$AA$1,$S834:$AA834)</f>
        <v>Mandatory</v>
      </c>
      <c r="G834" s="154" t="s">
        <v>2425</v>
      </c>
      <c r="H834" s="154" t="s">
        <v>419</v>
      </c>
      <c r="I834" s="154" t="s">
        <v>420</v>
      </c>
      <c r="J834" s="247" t="s">
        <v>445</v>
      </c>
      <c r="K834" s="247" t="s">
        <v>2426</v>
      </c>
      <c r="L834" s="154" t="str">
        <f t="shared" si="1"/>
        <v/>
      </c>
      <c r="M834" s="248" t="str">
        <f>IFERROR(__xludf.DUMMYFUNCTION("VLOOKUP(C834,IMPORTRANGE(""https://docs.google.com/spreadsheets/d/1P8eX0NWBhUPS_hvzA11R6jkTNFrPrRYIx_dX_hYbxrk/edit?resourcekey=0-iw9bsKY2OqkUHCFMkCar3A&amp;gid=2055363397#gid=2055363397"",""MTR!C:O""),11,false)"),"TAM")</f>
        <v>TAM</v>
      </c>
      <c r="N834" s="248" t="str">
        <f>IFERROR(__xludf.DUMMYFUNCTION("VLOOKUP(C834,IMPORTRANGE(""https://docs.google.com/spreadsheets/d/1ihFlp3_ePlYtFuPbUNbYj1muErVpI73WHXbEwJDIA7Q/edit#gid=1493122344"",""MTR!C:O""),8,false)"),"Complies")</f>
        <v>Complies</v>
      </c>
      <c r="O834" s="248" t="str">
        <f>IFERROR(__xludf.DUMMYFUNCTION("VLOOKUP(C834,IMPORTRANGE(""https://docs.google.com/spreadsheets/d/1P8eX0NWBhUPS_hvzA11R6jkTNFrPrRYIx_dX_hYbxrk/edit?resourcekey=0-iw9bsKY2OqkUHCFMkCar3A&amp;gid=2055363397#gid=2055363397"",""MTR!C:O""),9,false)"),"BT v5.3")</f>
        <v>BT v5.3</v>
      </c>
      <c r="P834" s="248"/>
      <c r="Q834" s="249" t="s">
        <v>445</v>
      </c>
      <c r="R834" s="249" t="s">
        <v>2427</v>
      </c>
      <c r="S834" s="154" t="s">
        <v>64</v>
      </c>
      <c r="T834" s="154" t="s">
        <v>60</v>
      </c>
      <c r="U834" s="154" t="s">
        <v>60</v>
      </c>
      <c r="V834" s="154" t="s">
        <v>60</v>
      </c>
      <c r="W834" s="154" t="s">
        <v>60</v>
      </c>
      <c r="X834" s="154" t="s">
        <v>60</v>
      </c>
      <c r="Y834" s="154" t="s">
        <v>60</v>
      </c>
      <c r="Z834" s="154" t="s">
        <v>60</v>
      </c>
      <c r="AA834" s="154" t="s">
        <v>60</v>
      </c>
      <c r="AB834" s="154"/>
      <c r="AC834" s="242" t="b">
        <f t="shared" si="2"/>
        <v>1</v>
      </c>
      <c r="AD834" s="154" t="s">
        <v>391</v>
      </c>
      <c r="AE834" s="243" t="b">
        <f t="shared" si="3"/>
        <v>0</v>
      </c>
      <c r="AF834" s="154"/>
      <c r="AG834" s="243" t="b">
        <f t="shared" si="4"/>
        <v>0</v>
      </c>
      <c r="AH834" s="154"/>
      <c r="AI834" s="243" t="str">
        <f t="shared" si="5"/>
        <v>N/A</v>
      </c>
      <c r="AJ834" s="157" t="str">
        <f t="shared" si="6"/>
        <v/>
      </c>
    </row>
    <row r="835" ht="12.75" customHeight="1">
      <c r="A835" s="244" t="s">
        <v>2412</v>
      </c>
      <c r="B835" s="244" t="s">
        <v>2415</v>
      </c>
      <c r="C835" s="244" t="s">
        <v>2428</v>
      </c>
      <c r="D835" s="154" t="s">
        <v>861</v>
      </c>
      <c r="E835" s="250"/>
      <c r="F835" s="154" t="str">
        <f t="array" ref="F835">XLOOKUP(Cover!$D$12,$S$1:$AA$1,$S835:$AA835)</f>
        <v>Comments Vendor</v>
      </c>
      <c r="G835" s="154" t="s">
        <v>2429</v>
      </c>
      <c r="H835" s="154" t="s">
        <v>419</v>
      </c>
      <c r="I835" s="154" t="s">
        <v>420</v>
      </c>
      <c r="J835" s="154"/>
      <c r="K835" s="247" t="s">
        <v>2430</v>
      </c>
      <c r="L835" s="154" t="str">
        <f t="shared" si="1"/>
        <v/>
      </c>
      <c r="M835" s="248" t="str">
        <f>IFERROR(__xludf.DUMMYFUNCTION("VLOOKUP(C835,IMPORTRANGE(""https://docs.google.com/spreadsheets/d/1P8eX0NWBhUPS_hvzA11R6jkTNFrPrRYIx_dX_hYbxrk/edit?resourcekey=0-iw9bsKY2OqkUHCFMkCar3A&amp;gid=2055363397#gid=2055363397"",""MTR!C:O""),11,false)"),"TAM")</f>
        <v>TAM</v>
      </c>
      <c r="N835" s="241" t="str">
        <f>IFERROR(__xludf.DUMMYFUNCTION("VLOOKUP(C835,IMPORTRANGE(""https://docs.google.com/spreadsheets/d/1ihFlp3_ePlYtFuPbUNbYj1muErVpI73WHXbEwJDIA7Q/edit#gid=1493122344"",""MTR!C:O""),8,false)"),"")</f>
        <v/>
      </c>
      <c r="O835" s="248" t="str">
        <f>IFERROR(__xludf.DUMMYFUNCTION("VLOOKUP(C835,IMPORTRANGE(""https://docs.google.com/spreadsheets/d/1P8eX0NWBhUPS_hvzA11R6jkTNFrPrRYIx_dX_hYbxrk/edit?resourcekey=0-iw9bsKY2OqkUHCFMkCar3A&amp;gid=2055363397#gid=2055363397"",""MTR!C:O""),9,false)"),"A2DP 1.3.2
AVRCP v1.5
Device ID 1.3
HFP 1.7.2
HID 1.0
HSP v1.2
MAP 1.4.2
OPP v1.2.1
PAN 1.0
PBAP 1.2.3
SAP  v1.1.1
SPP v1.2")</f>
        <v>A2DP 1.3.2
AVRCP v1.5
Device ID 1.3
HFP 1.7.2
HID 1.0
HSP v1.2
MAP 1.4.2
OPP v1.2.1
PAN 1.0
PBAP 1.2.3
SAP  v1.1.1
SPP v1.2</v>
      </c>
      <c r="P835" s="248"/>
      <c r="Q835" s="249"/>
      <c r="R835" s="249" t="s">
        <v>2430</v>
      </c>
      <c r="S835" s="154" t="s">
        <v>62</v>
      </c>
      <c r="T835" s="154" t="s">
        <v>62</v>
      </c>
      <c r="U835" s="154" t="s">
        <v>62</v>
      </c>
      <c r="V835" s="154" t="s">
        <v>62</v>
      </c>
      <c r="W835" s="154" t="s">
        <v>62</v>
      </c>
      <c r="X835" s="154" t="s">
        <v>62</v>
      </c>
      <c r="Y835" s="154" t="s">
        <v>62</v>
      </c>
      <c r="Z835" s="154" t="s">
        <v>62</v>
      </c>
      <c r="AA835" s="154" t="s">
        <v>62</v>
      </c>
      <c r="AB835" s="154"/>
      <c r="AC835" s="242" t="b">
        <f t="shared" si="2"/>
        <v>1</v>
      </c>
      <c r="AD835" s="154" t="s">
        <v>68</v>
      </c>
      <c r="AE835" s="243" t="b">
        <f t="shared" si="3"/>
        <v>1</v>
      </c>
      <c r="AF835" s="154"/>
      <c r="AG835" s="243" t="b">
        <f t="shared" si="4"/>
        <v>0</v>
      </c>
      <c r="AH835" s="154"/>
      <c r="AI835" s="243" t="str">
        <f t="shared" si="5"/>
        <v>N/A</v>
      </c>
      <c r="AJ835" s="157" t="str">
        <f t="shared" si="6"/>
        <v/>
      </c>
    </row>
    <row r="836" ht="12.75" customHeight="1">
      <c r="A836" s="244" t="s">
        <v>2412</v>
      </c>
      <c r="B836" s="244" t="s">
        <v>2415</v>
      </c>
      <c r="C836" s="244" t="s">
        <v>2431</v>
      </c>
      <c r="D836" s="154" t="s">
        <v>427</v>
      </c>
      <c r="E836" s="250"/>
      <c r="F836" s="154" t="str">
        <f t="array" ref="F836">XLOOKUP(Cover!$D$12,$S$1:$AA$1,$S836:$AA836)</f>
        <v>Mandatory</v>
      </c>
      <c r="G836" s="154" t="s">
        <v>2432</v>
      </c>
      <c r="H836" s="154" t="s">
        <v>419</v>
      </c>
      <c r="I836" s="154" t="s">
        <v>420</v>
      </c>
      <c r="J836" s="247" t="s">
        <v>445</v>
      </c>
      <c r="K836" s="154"/>
      <c r="L836" s="154" t="str">
        <f t="shared" si="1"/>
        <v/>
      </c>
      <c r="M836" s="248" t="str">
        <f>IFERROR(__xludf.DUMMYFUNCTION("VLOOKUP(C836,IMPORTRANGE(""https://docs.google.com/spreadsheets/d/1P8eX0NWBhUPS_hvzA11R6jkTNFrPrRYIx_dX_hYbxrk/edit?resourcekey=0-iw9bsKY2OqkUHCFMkCar3A&amp;gid=2055363397#gid=2055363397"",""MTR!C:O""),11,false)"),"TAM")</f>
        <v>TAM</v>
      </c>
      <c r="N836" s="248" t="str">
        <f>IFERROR(__xludf.DUMMYFUNCTION("VLOOKUP(C836,IMPORTRANGE(""https://docs.google.com/spreadsheets/d/1ihFlp3_ePlYtFuPbUNbYj1muErVpI73WHXbEwJDIA7Q/edit#gid=1493122344"",""MTR!C:O""),8,false)"),"Complies")</f>
        <v>Complies</v>
      </c>
      <c r="O836" s="241" t="str">
        <f>IFERROR(__xludf.DUMMYFUNCTION("VLOOKUP(C836,IMPORTRANGE(""https://docs.google.com/spreadsheets/d/1P8eX0NWBhUPS_hvzA11R6jkTNFrPrRYIx_dX_hYbxrk/edit?resourcekey=0-iw9bsKY2OqkUHCFMkCar3A&amp;gid=2055363397#gid=2055363397"",""MTR!C:O""),9,false)"),"")</f>
        <v/>
      </c>
      <c r="P836" s="241"/>
      <c r="Q836" s="251" t="s">
        <v>445</v>
      </c>
      <c r="R836" s="251"/>
      <c r="S836" s="154" t="s">
        <v>64</v>
      </c>
      <c r="T836" s="154" t="s">
        <v>60</v>
      </c>
      <c r="U836" s="154" t="s">
        <v>60</v>
      </c>
      <c r="V836" s="154" t="s">
        <v>60</v>
      </c>
      <c r="W836" s="154" t="s">
        <v>60</v>
      </c>
      <c r="X836" s="154" t="s">
        <v>60</v>
      </c>
      <c r="Y836" s="154" t="s">
        <v>60</v>
      </c>
      <c r="Z836" s="154" t="s">
        <v>60</v>
      </c>
      <c r="AA836" s="154" t="s">
        <v>60</v>
      </c>
      <c r="AB836" s="154"/>
      <c r="AC836" s="242" t="b">
        <f t="shared" si="2"/>
        <v>1</v>
      </c>
      <c r="AD836" s="154" t="s">
        <v>391</v>
      </c>
      <c r="AE836" s="243" t="b">
        <f t="shared" si="3"/>
        <v>0</v>
      </c>
      <c r="AF836" s="154"/>
      <c r="AG836" s="243" t="b">
        <f t="shared" si="4"/>
        <v>0</v>
      </c>
      <c r="AH836" s="154"/>
      <c r="AI836" s="243" t="str">
        <f t="shared" si="5"/>
        <v>N/A</v>
      </c>
      <c r="AJ836" s="157" t="str">
        <f t="shared" si="6"/>
        <v/>
      </c>
    </row>
    <row r="837" ht="12.75" customHeight="1">
      <c r="A837" s="244" t="s">
        <v>2412</v>
      </c>
      <c r="B837" s="244" t="s">
        <v>2415</v>
      </c>
      <c r="C837" s="244" t="s">
        <v>2433</v>
      </c>
      <c r="D837" s="154" t="s">
        <v>2434</v>
      </c>
      <c r="E837" s="250"/>
      <c r="F837" s="154" t="str">
        <f t="array" ref="F837">XLOOKUP(Cover!$D$12,$S$1:$AA$1,$S837:$AA837)</f>
        <v>Mandatory</v>
      </c>
      <c r="G837" s="154" t="s">
        <v>2435</v>
      </c>
      <c r="H837" s="154" t="s">
        <v>419</v>
      </c>
      <c r="I837" s="154" t="s">
        <v>420</v>
      </c>
      <c r="J837" s="247" t="s">
        <v>445</v>
      </c>
      <c r="K837" s="154"/>
      <c r="L837" s="154" t="str">
        <f t="shared" si="1"/>
        <v/>
      </c>
      <c r="M837" s="248" t="str">
        <f>IFERROR(__xludf.DUMMYFUNCTION("VLOOKUP(C837,IMPORTRANGE(""https://docs.google.com/spreadsheets/d/1P8eX0NWBhUPS_hvzA11R6jkTNFrPrRYIx_dX_hYbxrk/edit?resourcekey=0-iw9bsKY2OqkUHCFMkCar3A&amp;gid=2055363397#gid=2055363397"",""MTR!C:O""),11,false)"),"TAM")</f>
        <v>TAM</v>
      </c>
      <c r="N837" s="248" t="str">
        <f>IFERROR(__xludf.DUMMYFUNCTION("VLOOKUP(C837,IMPORTRANGE(""https://docs.google.com/spreadsheets/d/1ihFlp3_ePlYtFuPbUNbYj1muErVpI73WHXbEwJDIA7Q/edit#gid=1493122344"",""MTR!C:O""),8,false)"),"Complies")</f>
        <v>Complies</v>
      </c>
      <c r="O837" s="241" t="str">
        <f>IFERROR(__xludf.DUMMYFUNCTION("VLOOKUP(C837,IMPORTRANGE(""https://docs.google.com/spreadsheets/d/1P8eX0NWBhUPS_hvzA11R6jkTNFrPrRYIx_dX_hYbxrk/edit?resourcekey=0-iw9bsKY2OqkUHCFMkCar3A&amp;gid=2055363397#gid=2055363397"",""MTR!C:O""),9,false)"),"")</f>
        <v/>
      </c>
      <c r="P837" s="241"/>
      <c r="Q837" s="251" t="s">
        <v>445</v>
      </c>
      <c r="R837" s="241"/>
      <c r="S837" s="154" t="s">
        <v>64</v>
      </c>
      <c r="T837" s="154" t="s">
        <v>60</v>
      </c>
      <c r="U837" s="154" t="s">
        <v>60</v>
      </c>
      <c r="V837" s="154" t="s">
        <v>60</v>
      </c>
      <c r="W837" s="154" t="s">
        <v>60</v>
      </c>
      <c r="X837" s="154" t="s">
        <v>60</v>
      </c>
      <c r="Y837" s="154" t="s">
        <v>60</v>
      </c>
      <c r="Z837" s="154" t="s">
        <v>60</v>
      </c>
      <c r="AA837" s="154" t="s">
        <v>60</v>
      </c>
      <c r="AB837" s="154"/>
      <c r="AC837" s="242" t="b">
        <f t="shared" si="2"/>
        <v>1</v>
      </c>
      <c r="AD837" s="154" t="s">
        <v>391</v>
      </c>
      <c r="AE837" s="243" t="b">
        <f t="shared" si="3"/>
        <v>0</v>
      </c>
      <c r="AF837" s="154"/>
      <c r="AG837" s="243" t="b">
        <f t="shared" si="4"/>
        <v>0</v>
      </c>
      <c r="AH837" s="154"/>
      <c r="AI837" s="243" t="str">
        <f t="shared" si="5"/>
        <v>N/A</v>
      </c>
      <c r="AJ837" s="157" t="str">
        <f t="shared" si="6"/>
        <v/>
      </c>
    </row>
    <row r="838" ht="12.75" customHeight="1">
      <c r="A838" s="244" t="s">
        <v>2412</v>
      </c>
      <c r="B838" s="244" t="s">
        <v>2415</v>
      </c>
      <c r="C838" s="244" t="s">
        <v>2436</v>
      </c>
      <c r="D838" s="154" t="s">
        <v>427</v>
      </c>
      <c r="E838" s="250"/>
      <c r="F838" s="154" t="str">
        <f t="array" ref="F838">XLOOKUP(Cover!$D$12,$S$1:$AA$1,$S838:$AA838)</f>
        <v>Mandatory</v>
      </c>
      <c r="G838" s="154" t="s">
        <v>2437</v>
      </c>
      <c r="H838" s="154" t="s">
        <v>419</v>
      </c>
      <c r="I838" s="154" t="s">
        <v>420</v>
      </c>
      <c r="J838" s="247" t="s">
        <v>445</v>
      </c>
      <c r="K838" s="154"/>
      <c r="L838" s="154" t="str">
        <f t="shared" si="1"/>
        <v/>
      </c>
      <c r="M838" s="248" t="str">
        <f>IFERROR(__xludf.DUMMYFUNCTION("VLOOKUP(C838,IMPORTRANGE(""https://docs.google.com/spreadsheets/d/1P8eX0NWBhUPS_hvzA11R6jkTNFrPrRYIx_dX_hYbxrk/edit?resourcekey=0-iw9bsKY2OqkUHCFMkCar3A&amp;gid=2055363397#gid=2055363397"",""MTR!C:O""),11,false)"),"TAM")</f>
        <v>TAM</v>
      </c>
      <c r="N838" s="248" t="str">
        <f>IFERROR(__xludf.DUMMYFUNCTION("VLOOKUP(C838,IMPORTRANGE(""https://docs.google.com/spreadsheets/d/1ihFlp3_ePlYtFuPbUNbYj1muErVpI73WHXbEwJDIA7Q/edit#gid=1493122344"",""MTR!C:O""),8,false)"),"Complies")</f>
        <v>Complies</v>
      </c>
      <c r="O838" s="241" t="str">
        <f>IFERROR(__xludf.DUMMYFUNCTION("VLOOKUP(C838,IMPORTRANGE(""https://docs.google.com/spreadsheets/d/1P8eX0NWBhUPS_hvzA11R6jkTNFrPrRYIx_dX_hYbxrk/edit?resourcekey=0-iw9bsKY2OqkUHCFMkCar3A&amp;gid=2055363397#gid=2055363397"",""MTR!C:O""),9,false)"),"")</f>
        <v/>
      </c>
      <c r="P838" s="241"/>
      <c r="Q838" s="251" t="s">
        <v>445</v>
      </c>
      <c r="R838" s="241"/>
      <c r="S838" s="154" t="s">
        <v>64</v>
      </c>
      <c r="T838" s="154" t="s">
        <v>60</v>
      </c>
      <c r="U838" s="154" t="s">
        <v>60</v>
      </c>
      <c r="V838" s="154" t="s">
        <v>60</v>
      </c>
      <c r="W838" s="154" t="s">
        <v>60</v>
      </c>
      <c r="X838" s="154" t="s">
        <v>60</v>
      </c>
      <c r="Y838" s="154" t="s">
        <v>60</v>
      </c>
      <c r="Z838" s="154" t="s">
        <v>60</v>
      </c>
      <c r="AA838" s="154" t="s">
        <v>60</v>
      </c>
      <c r="AB838" s="154"/>
      <c r="AC838" s="242" t="b">
        <f t="shared" si="2"/>
        <v>1</v>
      </c>
      <c r="AD838" s="154" t="s">
        <v>391</v>
      </c>
      <c r="AE838" s="243" t="b">
        <f t="shared" si="3"/>
        <v>0</v>
      </c>
      <c r="AF838" s="154"/>
      <c r="AG838" s="243" t="b">
        <f t="shared" si="4"/>
        <v>0</v>
      </c>
      <c r="AH838" s="154"/>
      <c r="AI838" s="243" t="str">
        <f t="shared" si="5"/>
        <v>N/A</v>
      </c>
      <c r="AJ838" s="157" t="str">
        <f t="shared" si="6"/>
        <v/>
      </c>
    </row>
    <row r="839" ht="12.75" customHeight="1">
      <c r="A839" s="244" t="s">
        <v>2412</v>
      </c>
      <c r="B839" s="244" t="s">
        <v>2415</v>
      </c>
      <c r="C839" s="244" t="s">
        <v>2438</v>
      </c>
      <c r="D839" s="154" t="s">
        <v>406</v>
      </c>
      <c r="E839" s="250"/>
      <c r="F839" s="154" t="str">
        <f t="array" ref="F839">XLOOKUP(Cover!$D$12,$S$1:$AA$1,$S839:$AA839)</f>
        <v>Mandatory</v>
      </c>
      <c r="G839" s="154" t="s">
        <v>2439</v>
      </c>
      <c r="H839" s="154" t="s">
        <v>419</v>
      </c>
      <c r="I839" s="154" t="s">
        <v>420</v>
      </c>
      <c r="J839" s="247" t="s">
        <v>445</v>
      </c>
      <c r="K839" s="154"/>
      <c r="L839" s="154" t="str">
        <f t="shared" si="1"/>
        <v/>
      </c>
      <c r="M839" s="248" t="str">
        <f>IFERROR(__xludf.DUMMYFUNCTION("VLOOKUP(C839,IMPORTRANGE(""https://docs.google.com/spreadsheets/d/1P8eX0NWBhUPS_hvzA11R6jkTNFrPrRYIx_dX_hYbxrk/edit?resourcekey=0-iw9bsKY2OqkUHCFMkCar3A&amp;gid=2055363397#gid=2055363397"",""MTR!C:O""),11,false)"),"TAM")</f>
        <v>TAM</v>
      </c>
      <c r="N839" s="248" t="str">
        <f>IFERROR(__xludf.DUMMYFUNCTION("VLOOKUP(C839,IMPORTRANGE(""https://docs.google.com/spreadsheets/d/1ihFlp3_ePlYtFuPbUNbYj1muErVpI73WHXbEwJDIA7Q/edit#gid=1493122344"",""MTR!C:O""),8,false)"),"Complies")</f>
        <v>Complies</v>
      </c>
      <c r="O839" s="241" t="str">
        <f>IFERROR(__xludf.DUMMYFUNCTION("VLOOKUP(C839,IMPORTRANGE(""https://docs.google.com/spreadsheets/d/1P8eX0NWBhUPS_hvzA11R6jkTNFrPrRYIx_dX_hYbxrk/edit?resourcekey=0-iw9bsKY2OqkUHCFMkCar3A&amp;gid=2055363397#gid=2055363397"",""MTR!C:O""),9,false)"),"")</f>
        <v/>
      </c>
      <c r="P839" s="241"/>
      <c r="Q839" s="251" t="s">
        <v>445</v>
      </c>
      <c r="R839" s="241"/>
      <c r="S839" s="154" t="s">
        <v>64</v>
      </c>
      <c r="T839" s="154" t="s">
        <v>60</v>
      </c>
      <c r="U839" s="154" t="s">
        <v>60</v>
      </c>
      <c r="V839" s="154" t="s">
        <v>60</v>
      </c>
      <c r="W839" s="154" t="s">
        <v>60</v>
      </c>
      <c r="X839" s="154" t="s">
        <v>60</v>
      </c>
      <c r="Y839" s="154" t="s">
        <v>60</v>
      </c>
      <c r="Z839" s="154" t="s">
        <v>60</v>
      </c>
      <c r="AA839" s="154" t="s">
        <v>60</v>
      </c>
      <c r="AB839" s="154"/>
      <c r="AC839" s="242" t="b">
        <f t="shared" si="2"/>
        <v>1</v>
      </c>
      <c r="AD839" s="154" t="s">
        <v>391</v>
      </c>
      <c r="AE839" s="243" t="b">
        <f t="shared" si="3"/>
        <v>0</v>
      </c>
      <c r="AF839" s="154"/>
      <c r="AG839" s="243" t="b">
        <f t="shared" si="4"/>
        <v>0</v>
      </c>
      <c r="AH839" s="154"/>
      <c r="AI839" s="243" t="str">
        <f t="shared" si="5"/>
        <v>N/A</v>
      </c>
      <c r="AJ839" s="157" t="str">
        <f t="shared" si="6"/>
        <v/>
      </c>
    </row>
    <row r="840" ht="12.75" customHeight="1">
      <c r="A840" s="238" t="s">
        <v>2412</v>
      </c>
      <c r="B840" s="238" t="s">
        <v>2415</v>
      </c>
      <c r="C840" s="238" t="s">
        <v>2440</v>
      </c>
      <c r="D840" s="238"/>
      <c r="E840" s="238"/>
      <c r="F840" s="154" t="str">
        <f t="array" ref="F840">XLOOKUP(Cover!$D$12,$S$1:$AA$1,$S840:$AA840)</f>
        <v>Heading</v>
      </c>
      <c r="G840" s="239" t="s">
        <v>2441</v>
      </c>
      <c r="H840" s="240"/>
      <c r="I840" s="240" t="s">
        <v>420</v>
      </c>
      <c r="J840" s="240"/>
      <c r="K840" s="240"/>
      <c r="L840" s="154" t="str">
        <f t="shared" si="1"/>
        <v/>
      </c>
      <c r="M840" s="241" t="str">
        <f>IFERROR(__xludf.DUMMYFUNCTION("VLOOKUP(C840,IMPORTRANGE(""https://docs.google.com/spreadsheets/d/1P8eX0NWBhUPS_hvzA11R6jkTNFrPrRYIx_dX_hYbxrk/edit?resourcekey=0-iw9bsKY2OqkUHCFMkCar3A&amp;gid=2055363397#gid=2055363397"",""MTR!C:O""),11,false)"),"")</f>
        <v/>
      </c>
      <c r="N840" s="241" t="str">
        <f>IFERROR(__xludf.DUMMYFUNCTION("VLOOKUP(C840,IMPORTRANGE(""https://docs.google.com/spreadsheets/d/1ihFlp3_ePlYtFuPbUNbYj1muErVpI73WHXbEwJDIA7Q/edit#gid=1493122344"",""MTR!C:O""),8,false)"),"")</f>
        <v/>
      </c>
      <c r="O840" s="241" t="str">
        <f>IFERROR(__xludf.DUMMYFUNCTION("VLOOKUP(C840,IMPORTRANGE(""https://docs.google.com/spreadsheets/d/1P8eX0NWBhUPS_hvzA11R6jkTNFrPrRYIx_dX_hYbxrk/edit?resourcekey=0-iw9bsKY2OqkUHCFMkCar3A&amp;gid=2055363397#gid=2055363397"",""MTR!C:O""),9,false)"),"")</f>
        <v/>
      </c>
      <c r="P840" s="241"/>
      <c r="Q840" s="251"/>
      <c r="R840" s="241"/>
      <c r="S840" s="240" t="s">
        <v>390</v>
      </c>
      <c r="T840" s="240" t="s">
        <v>390</v>
      </c>
      <c r="U840" s="240" t="s">
        <v>390</v>
      </c>
      <c r="V840" s="240" t="s">
        <v>390</v>
      </c>
      <c r="W840" s="240" t="s">
        <v>390</v>
      </c>
      <c r="X840" s="240" t="s">
        <v>390</v>
      </c>
      <c r="Y840" s="240" t="s">
        <v>390</v>
      </c>
      <c r="Z840" s="240" t="s">
        <v>390</v>
      </c>
      <c r="AA840" s="240" t="s">
        <v>390</v>
      </c>
      <c r="AB840" s="240"/>
      <c r="AC840" s="242" t="b">
        <f t="shared" si="2"/>
        <v>0</v>
      </c>
      <c r="AD840" s="240" t="s">
        <v>391</v>
      </c>
      <c r="AE840" s="243" t="b">
        <f t="shared" si="3"/>
        <v>0</v>
      </c>
      <c r="AF840" s="240"/>
      <c r="AG840" s="243" t="b">
        <f t="shared" si="4"/>
        <v>0</v>
      </c>
      <c r="AH840" s="240"/>
      <c r="AI840" s="243" t="str">
        <f t="shared" si="5"/>
        <v>N/A</v>
      </c>
      <c r="AJ840" s="157" t="str">
        <f t="shared" si="6"/>
        <v/>
      </c>
    </row>
    <row r="841" ht="12.75" customHeight="1">
      <c r="A841" s="244" t="s">
        <v>2412</v>
      </c>
      <c r="B841" s="244" t="s">
        <v>2415</v>
      </c>
      <c r="C841" s="244" t="s">
        <v>2442</v>
      </c>
      <c r="D841" s="154" t="s">
        <v>411</v>
      </c>
      <c r="E841" s="250"/>
      <c r="F841" s="154" t="str">
        <f t="array" ref="F841">XLOOKUP(Cover!$D$12,$S$1:$AA$1,$S841:$AA841)</f>
        <v>Recommended</v>
      </c>
      <c r="G841" s="154" t="s">
        <v>2443</v>
      </c>
      <c r="H841" s="154"/>
      <c r="I841" s="154" t="s">
        <v>420</v>
      </c>
      <c r="J841" s="247" t="s">
        <v>516</v>
      </c>
      <c r="K841" s="247" t="s">
        <v>2444</v>
      </c>
      <c r="L841" s="154" t="str">
        <f t="shared" si="1"/>
        <v/>
      </c>
      <c r="M841" s="248" t="str">
        <f>IFERROR(__xludf.DUMMYFUNCTION("VLOOKUP(C841,IMPORTRANGE(""https://docs.google.com/spreadsheets/d/1P8eX0NWBhUPS_hvzA11R6jkTNFrPrRYIx_dX_hYbxrk/edit?resourcekey=0-iw9bsKY2OqkUHCFMkCar3A&amp;gid=2055363397#gid=2055363397"",""MTR!C:O""),11,false)"),"TAM")</f>
        <v>TAM</v>
      </c>
      <c r="N841" s="248" t="str">
        <f>IFERROR(__xludf.DUMMYFUNCTION("VLOOKUP(C841,IMPORTRANGE(""https://docs.google.com/spreadsheets/d/1ihFlp3_ePlYtFuPbUNbYj1muErVpI73WHXbEwJDIA7Q/edit#gid=1493122344"",""MTR!C:O""),8,false)"),"Does Not Comply")</f>
        <v>Does Not Comply</v>
      </c>
      <c r="O841" s="248" t="str">
        <f>IFERROR(__xludf.DUMMYFUNCTION("VLOOKUP(C841,IMPORTRANGE(""https://docs.google.com/spreadsheets/d/1P8eX0NWBhUPS_hvzA11R6jkTNFrPrRYIx_dX_hYbxrk/edit?resourcekey=0-iw9bsKY2OqkUHCFMkCar3A&amp;gid=2055363397#gid=2055363397"",""MTR!C:O""),9,false)"),"Bluetooth is enabled by default")</f>
        <v>Bluetooth is enabled by default</v>
      </c>
      <c r="P841" s="248"/>
      <c r="Q841" s="249" t="s">
        <v>516</v>
      </c>
      <c r="R841" s="249" t="s">
        <v>2444</v>
      </c>
      <c r="S841" s="154" t="s">
        <v>64</v>
      </c>
      <c r="T841" s="154" t="s">
        <v>64</v>
      </c>
      <c r="U841" s="154" t="s">
        <v>64</v>
      </c>
      <c r="V841" s="154" t="s">
        <v>64</v>
      </c>
      <c r="W841" s="154" t="s">
        <v>64</v>
      </c>
      <c r="X841" s="154" t="s">
        <v>64</v>
      </c>
      <c r="Y841" s="154" t="s">
        <v>64</v>
      </c>
      <c r="Z841" s="154" t="s">
        <v>64</v>
      </c>
      <c r="AA841" s="154" t="s">
        <v>64</v>
      </c>
      <c r="AB841" s="154"/>
      <c r="AC841" s="242" t="b">
        <f t="shared" si="2"/>
        <v>1</v>
      </c>
      <c r="AD841" s="154" t="s">
        <v>391</v>
      </c>
      <c r="AE841" s="243" t="b">
        <f t="shared" si="3"/>
        <v>0</v>
      </c>
      <c r="AF841" s="154"/>
      <c r="AG841" s="243" t="b">
        <f t="shared" si="4"/>
        <v>0</v>
      </c>
      <c r="AH841" s="154"/>
      <c r="AI841" s="243" t="str">
        <f t="shared" si="5"/>
        <v>N/A</v>
      </c>
      <c r="AJ841" s="157" t="str">
        <f t="shared" si="6"/>
        <v/>
      </c>
    </row>
    <row r="842" ht="12.75" customHeight="1">
      <c r="A842" s="244" t="s">
        <v>2412</v>
      </c>
      <c r="B842" s="244" t="s">
        <v>2415</v>
      </c>
      <c r="C842" s="244" t="s">
        <v>2445</v>
      </c>
      <c r="D842" s="154" t="s">
        <v>411</v>
      </c>
      <c r="E842" s="250"/>
      <c r="F842" s="154" t="str">
        <f t="array" ref="F842">XLOOKUP(Cover!$D$12,$S$1:$AA$1,$S842:$AA842)</f>
        <v>Recommended</v>
      </c>
      <c r="G842" s="154" t="s">
        <v>2446</v>
      </c>
      <c r="H842" s="154"/>
      <c r="I842" s="154" t="s">
        <v>420</v>
      </c>
      <c r="J842" s="247" t="s">
        <v>516</v>
      </c>
      <c r="K842" s="154"/>
      <c r="L842" s="154" t="str">
        <f t="shared" si="1"/>
        <v/>
      </c>
      <c r="M842" s="248" t="str">
        <f>IFERROR(__xludf.DUMMYFUNCTION("VLOOKUP(C842,IMPORTRANGE(""https://docs.google.com/spreadsheets/d/1P8eX0NWBhUPS_hvzA11R6jkTNFrPrRYIx_dX_hYbxrk/edit?resourcekey=0-iw9bsKY2OqkUHCFMkCar3A&amp;gid=2055363397#gid=2055363397"",""MTR!C:O""),11,false)"),"TAM")</f>
        <v>TAM</v>
      </c>
      <c r="N842" s="248" t="str">
        <f>IFERROR(__xludf.DUMMYFUNCTION("VLOOKUP(C842,IMPORTRANGE(""https://docs.google.com/spreadsheets/d/1ihFlp3_ePlYtFuPbUNbYj1muErVpI73WHXbEwJDIA7Q/edit#gid=1493122344"",""MTR!C:O""),8,false)"),"Does Not Comply")</f>
        <v>Does Not Comply</v>
      </c>
      <c r="O842" s="241" t="str">
        <f>IFERROR(__xludf.DUMMYFUNCTION("VLOOKUP(C842,IMPORTRANGE(""https://docs.google.com/spreadsheets/d/1P8eX0NWBhUPS_hvzA11R6jkTNFrPrRYIx_dX_hYbxrk/edit?resourcekey=0-iw9bsKY2OqkUHCFMkCar3A&amp;gid=2055363397#gid=2055363397"",""MTR!C:O""),9,false)"),"")</f>
        <v/>
      </c>
      <c r="P842" s="241"/>
      <c r="Q842" s="251" t="s">
        <v>516</v>
      </c>
      <c r="R842" s="251"/>
      <c r="S842" s="154" t="s">
        <v>64</v>
      </c>
      <c r="T842" s="154" t="s">
        <v>64</v>
      </c>
      <c r="U842" s="154" t="s">
        <v>64</v>
      </c>
      <c r="V842" s="154" t="s">
        <v>64</v>
      </c>
      <c r="W842" s="154" t="s">
        <v>64</v>
      </c>
      <c r="X842" s="154" t="s">
        <v>64</v>
      </c>
      <c r="Y842" s="154" t="s">
        <v>64</v>
      </c>
      <c r="Z842" s="154" t="s">
        <v>64</v>
      </c>
      <c r="AA842" s="154" t="s">
        <v>64</v>
      </c>
      <c r="AB842" s="154"/>
      <c r="AC842" s="242" t="b">
        <f t="shared" si="2"/>
        <v>1</v>
      </c>
      <c r="AD842" s="154" t="s">
        <v>391</v>
      </c>
      <c r="AE842" s="243" t="b">
        <f t="shared" si="3"/>
        <v>0</v>
      </c>
      <c r="AF842" s="154"/>
      <c r="AG842" s="243" t="b">
        <f t="shared" si="4"/>
        <v>0</v>
      </c>
      <c r="AH842" s="154"/>
      <c r="AI842" s="243" t="str">
        <f t="shared" si="5"/>
        <v>N/A</v>
      </c>
      <c r="AJ842" s="157" t="str">
        <f t="shared" si="6"/>
        <v/>
      </c>
    </row>
    <row r="843" ht="12.75" customHeight="1">
      <c r="A843" s="244" t="s">
        <v>2412</v>
      </c>
      <c r="B843" s="244" t="s">
        <v>2415</v>
      </c>
      <c r="C843" s="244" t="s">
        <v>2447</v>
      </c>
      <c r="D843" s="154" t="s">
        <v>411</v>
      </c>
      <c r="E843" s="250"/>
      <c r="F843" s="154" t="str">
        <f t="array" ref="F843">XLOOKUP(Cover!$D$12,$S$1:$AA$1,$S843:$AA843)</f>
        <v>Recommended</v>
      </c>
      <c r="G843" s="154" t="s">
        <v>2448</v>
      </c>
      <c r="H843" s="154"/>
      <c r="I843" s="154" t="s">
        <v>420</v>
      </c>
      <c r="J843" s="247" t="s">
        <v>516</v>
      </c>
      <c r="K843" s="154"/>
      <c r="L843" s="154" t="str">
        <f t="shared" si="1"/>
        <v/>
      </c>
      <c r="M843" s="248" t="str">
        <f>IFERROR(__xludf.DUMMYFUNCTION("VLOOKUP(C843,IMPORTRANGE(""https://docs.google.com/spreadsheets/d/1P8eX0NWBhUPS_hvzA11R6jkTNFrPrRYIx_dX_hYbxrk/edit?resourcekey=0-iw9bsKY2OqkUHCFMkCar3A&amp;gid=2055363397#gid=2055363397"",""MTR!C:O""),11,false)"),"TAM")</f>
        <v>TAM</v>
      </c>
      <c r="N843" s="248" t="str">
        <f>IFERROR(__xludf.DUMMYFUNCTION("VLOOKUP(C843,IMPORTRANGE(""https://docs.google.com/spreadsheets/d/1ihFlp3_ePlYtFuPbUNbYj1muErVpI73WHXbEwJDIA7Q/edit#gid=1493122344"",""MTR!C:O""),8,false)"),"Does Not Comply")</f>
        <v>Does Not Comply</v>
      </c>
      <c r="O843" s="241" t="str">
        <f>IFERROR(__xludf.DUMMYFUNCTION("VLOOKUP(C843,IMPORTRANGE(""https://docs.google.com/spreadsheets/d/1P8eX0NWBhUPS_hvzA11R6jkTNFrPrRYIx_dX_hYbxrk/edit?resourcekey=0-iw9bsKY2OqkUHCFMkCar3A&amp;gid=2055363397#gid=2055363397"",""MTR!C:O""),9,false)"),"")</f>
        <v/>
      </c>
      <c r="P843" s="241"/>
      <c r="Q843" s="251" t="s">
        <v>516</v>
      </c>
      <c r="R843" s="241"/>
      <c r="S843" s="154" t="s">
        <v>64</v>
      </c>
      <c r="T843" s="154" t="s">
        <v>64</v>
      </c>
      <c r="U843" s="154" t="s">
        <v>64</v>
      </c>
      <c r="V843" s="154" t="s">
        <v>64</v>
      </c>
      <c r="W843" s="154" t="s">
        <v>64</v>
      </c>
      <c r="X843" s="154" t="s">
        <v>64</v>
      </c>
      <c r="Y843" s="154" t="s">
        <v>64</v>
      </c>
      <c r="Z843" s="154" t="s">
        <v>64</v>
      </c>
      <c r="AA843" s="154" t="s">
        <v>64</v>
      </c>
      <c r="AB843" s="154"/>
      <c r="AC843" s="242" t="b">
        <f t="shared" si="2"/>
        <v>1</v>
      </c>
      <c r="AD843" s="154" t="s">
        <v>391</v>
      </c>
      <c r="AE843" s="243" t="b">
        <f t="shared" si="3"/>
        <v>0</v>
      </c>
      <c r="AF843" s="154"/>
      <c r="AG843" s="243" t="b">
        <f t="shared" si="4"/>
        <v>0</v>
      </c>
      <c r="AH843" s="154"/>
      <c r="AI843" s="243" t="str">
        <f t="shared" si="5"/>
        <v>N/A</v>
      </c>
      <c r="AJ843" s="157" t="str">
        <f t="shared" si="6"/>
        <v/>
      </c>
    </row>
    <row r="844" ht="12.75" customHeight="1">
      <c r="A844" s="244" t="s">
        <v>2412</v>
      </c>
      <c r="B844" s="244" t="s">
        <v>2415</v>
      </c>
      <c r="C844" s="244" t="s">
        <v>2449</v>
      </c>
      <c r="D844" s="154" t="s">
        <v>411</v>
      </c>
      <c r="E844" s="250"/>
      <c r="F844" s="154" t="str">
        <f t="array" ref="F844">XLOOKUP(Cover!$D$12,$S$1:$AA$1,$S844:$AA844)</f>
        <v>Mandatory</v>
      </c>
      <c r="G844" s="154" t="s">
        <v>2450</v>
      </c>
      <c r="H844" s="154" t="s">
        <v>419</v>
      </c>
      <c r="I844" s="154" t="s">
        <v>420</v>
      </c>
      <c r="J844" s="247" t="s">
        <v>445</v>
      </c>
      <c r="K844" s="154"/>
      <c r="L844" s="154" t="str">
        <f t="shared" si="1"/>
        <v/>
      </c>
      <c r="M844" s="248" t="str">
        <f>IFERROR(__xludf.DUMMYFUNCTION("VLOOKUP(C844,IMPORTRANGE(""https://docs.google.com/spreadsheets/d/1P8eX0NWBhUPS_hvzA11R6jkTNFrPrRYIx_dX_hYbxrk/edit?resourcekey=0-iw9bsKY2OqkUHCFMkCar3A&amp;gid=2055363397#gid=2055363397"",""MTR!C:O""),11,false)"),"TAM")</f>
        <v>TAM</v>
      </c>
      <c r="N844" s="248" t="str">
        <f>IFERROR(__xludf.DUMMYFUNCTION("VLOOKUP(C844,IMPORTRANGE(""https://docs.google.com/spreadsheets/d/1ihFlp3_ePlYtFuPbUNbYj1muErVpI73WHXbEwJDIA7Q/edit#gid=1493122344"",""MTR!C:O""),8,false)"),"Complies")</f>
        <v>Complies</v>
      </c>
      <c r="O844" s="241" t="str">
        <f>IFERROR(__xludf.DUMMYFUNCTION("VLOOKUP(C844,IMPORTRANGE(""https://docs.google.com/spreadsheets/d/1P8eX0NWBhUPS_hvzA11R6jkTNFrPrRYIx_dX_hYbxrk/edit?resourcekey=0-iw9bsKY2OqkUHCFMkCar3A&amp;gid=2055363397#gid=2055363397"",""MTR!C:O""),9,false)"),"")</f>
        <v/>
      </c>
      <c r="P844" s="241"/>
      <c r="Q844" s="251" t="s">
        <v>445</v>
      </c>
      <c r="R844" s="241"/>
      <c r="S844" s="154" t="s">
        <v>64</v>
      </c>
      <c r="T844" s="154" t="s">
        <v>60</v>
      </c>
      <c r="U844" s="154" t="s">
        <v>60</v>
      </c>
      <c r="V844" s="154" t="s">
        <v>60</v>
      </c>
      <c r="W844" s="154" t="s">
        <v>60</v>
      </c>
      <c r="X844" s="154" t="s">
        <v>60</v>
      </c>
      <c r="Y844" s="154" t="s">
        <v>60</v>
      </c>
      <c r="Z844" s="154" t="s">
        <v>60</v>
      </c>
      <c r="AA844" s="154" t="s">
        <v>60</v>
      </c>
      <c r="AB844" s="154"/>
      <c r="AC844" s="242" t="b">
        <f t="shared" si="2"/>
        <v>1</v>
      </c>
      <c r="AD844" s="154" t="s">
        <v>391</v>
      </c>
      <c r="AE844" s="243" t="b">
        <f t="shared" si="3"/>
        <v>0</v>
      </c>
      <c r="AF844" s="154"/>
      <c r="AG844" s="243" t="b">
        <f t="shared" si="4"/>
        <v>0</v>
      </c>
      <c r="AH844" s="154"/>
      <c r="AI844" s="243" t="str">
        <f t="shared" si="5"/>
        <v>N/A</v>
      </c>
      <c r="AJ844" s="157" t="str">
        <f t="shared" si="6"/>
        <v/>
      </c>
    </row>
    <row r="845" ht="12.75" customHeight="1">
      <c r="A845" s="244" t="s">
        <v>2412</v>
      </c>
      <c r="B845" s="244" t="s">
        <v>2415</v>
      </c>
      <c r="C845" s="244" t="s">
        <v>2451</v>
      </c>
      <c r="D845" s="154" t="s">
        <v>411</v>
      </c>
      <c r="E845" s="250"/>
      <c r="F845" s="154" t="str">
        <f t="array" ref="F845">XLOOKUP(Cover!$D$12,$S$1:$AA$1,$S845:$AA845)</f>
        <v>Mandatory</v>
      </c>
      <c r="G845" s="154" t="s">
        <v>2452</v>
      </c>
      <c r="H845" s="154" t="s">
        <v>419</v>
      </c>
      <c r="I845" s="154" t="s">
        <v>420</v>
      </c>
      <c r="J845" s="247" t="s">
        <v>516</v>
      </c>
      <c r="K845" s="247" t="s">
        <v>2453</v>
      </c>
      <c r="L845" s="154" t="str">
        <f t="shared" si="1"/>
        <v/>
      </c>
      <c r="M845" s="248" t="str">
        <f>IFERROR(__xludf.DUMMYFUNCTION("VLOOKUP(C845,IMPORTRANGE(""https://docs.google.com/spreadsheets/d/1P8eX0NWBhUPS_hvzA11R6jkTNFrPrRYIx_dX_hYbxrk/edit?resourcekey=0-iw9bsKY2OqkUHCFMkCar3A&amp;gid=2055363397#gid=2055363397"",""MTR!C:O""),11,false)"),"TAM")</f>
        <v>TAM</v>
      </c>
      <c r="N845" s="248" t="str">
        <f>IFERROR(__xludf.DUMMYFUNCTION("VLOOKUP(C845,IMPORTRANGE(""https://docs.google.com/spreadsheets/d/1ihFlp3_ePlYtFuPbUNbYj1muErVpI73WHXbEwJDIA7Q/edit#gid=1493122344"",""MTR!C:O""),8,false)"),"Does Not Comply")</f>
        <v>Does Not Comply</v>
      </c>
      <c r="O845" s="248" t="str">
        <f>IFERROR(__xludf.DUMMYFUNCTION("VLOOKUP(C845,IMPORTRANGE(""https://docs.google.com/spreadsheets/d/1P8eX0NWBhUPS_hvzA11R6jkTNFrPrRYIx_dX_hYbxrk/edit?resourcekey=0-iw9bsKY2OqkUHCFMkCar3A&amp;gid=2055363397#gid=2055363397"",""MTR!C:O""),9,false)"),"Always show visible in bluetooth settings")</f>
        <v>Always show visible in bluetooth settings</v>
      </c>
      <c r="P845" s="248"/>
      <c r="Q845" s="249" t="s">
        <v>516</v>
      </c>
      <c r="R845" s="249" t="s">
        <v>2453</v>
      </c>
      <c r="S845" s="154" t="s">
        <v>64</v>
      </c>
      <c r="T845" s="154" t="s">
        <v>60</v>
      </c>
      <c r="U845" s="154" t="s">
        <v>60</v>
      </c>
      <c r="V845" s="154" t="s">
        <v>60</v>
      </c>
      <c r="W845" s="154" t="s">
        <v>60</v>
      </c>
      <c r="X845" s="154" t="s">
        <v>60</v>
      </c>
      <c r="Y845" s="154" t="s">
        <v>60</v>
      </c>
      <c r="Z845" s="154" t="s">
        <v>60</v>
      </c>
      <c r="AA845" s="154" t="s">
        <v>60</v>
      </c>
      <c r="AB845" s="154"/>
      <c r="AC845" s="242" t="b">
        <f t="shared" si="2"/>
        <v>1</v>
      </c>
      <c r="AD845" s="154" t="s">
        <v>391</v>
      </c>
      <c r="AE845" s="243" t="b">
        <f t="shared" si="3"/>
        <v>0</v>
      </c>
      <c r="AF845" s="154"/>
      <c r="AG845" s="243" t="b">
        <f t="shared" si="4"/>
        <v>0</v>
      </c>
      <c r="AH845" s="154"/>
      <c r="AI845" s="243" t="str">
        <f t="shared" si="5"/>
        <v>N/A</v>
      </c>
      <c r="AJ845" s="157" t="str">
        <f t="shared" si="6"/>
        <v/>
      </c>
    </row>
    <row r="846" ht="12.75" customHeight="1">
      <c r="A846" s="238" t="s">
        <v>2412</v>
      </c>
      <c r="B846" s="238" t="s">
        <v>2415</v>
      </c>
      <c r="C846" s="238" t="s">
        <v>2454</v>
      </c>
      <c r="D846" s="238"/>
      <c r="E846" s="238"/>
      <c r="F846" s="154" t="str">
        <f t="array" ref="F846">XLOOKUP(Cover!$D$12,$S$1:$AA$1,$S846:$AA846)</f>
        <v>Heading</v>
      </c>
      <c r="G846" s="239" t="s">
        <v>2455</v>
      </c>
      <c r="H846" s="240"/>
      <c r="I846" s="240" t="s">
        <v>414</v>
      </c>
      <c r="J846" s="240"/>
      <c r="K846" s="240"/>
      <c r="L846" s="154" t="str">
        <f t="shared" si="1"/>
        <v/>
      </c>
      <c r="M846" s="241" t="str">
        <f>IFERROR(__xludf.DUMMYFUNCTION("VLOOKUP(C846,IMPORTRANGE(""https://docs.google.com/spreadsheets/d/1P8eX0NWBhUPS_hvzA11R6jkTNFrPrRYIx_dX_hYbxrk/edit?resourcekey=0-iw9bsKY2OqkUHCFMkCar3A&amp;gid=2055363397#gid=2055363397"",""MTR!C:O""),11,false)"),"")</f>
        <v/>
      </c>
      <c r="N846" s="241" t="str">
        <f>IFERROR(__xludf.DUMMYFUNCTION("VLOOKUP(C846,IMPORTRANGE(""https://docs.google.com/spreadsheets/d/1ihFlp3_ePlYtFuPbUNbYj1muErVpI73WHXbEwJDIA7Q/edit#gid=1493122344"",""MTR!C:O""),8,false)"),"")</f>
        <v/>
      </c>
      <c r="O846" s="241" t="str">
        <f>IFERROR(__xludf.DUMMYFUNCTION("VLOOKUP(C846,IMPORTRANGE(""https://docs.google.com/spreadsheets/d/1P8eX0NWBhUPS_hvzA11R6jkTNFrPrRYIx_dX_hYbxrk/edit?resourcekey=0-iw9bsKY2OqkUHCFMkCar3A&amp;gid=2055363397#gid=2055363397"",""MTR!C:O""),9,false)"),"")</f>
        <v/>
      </c>
      <c r="P846" s="241"/>
      <c r="Q846" s="251"/>
      <c r="R846" s="251"/>
      <c r="S846" s="240" t="s">
        <v>390</v>
      </c>
      <c r="T846" s="240" t="s">
        <v>390</v>
      </c>
      <c r="U846" s="240" t="s">
        <v>390</v>
      </c>
      <c r="V846" s="240" t="s">
        <v>390</v>
      </c>
      <c r="W846" s="240" t="s">
        <v>390</v>
      </c>
      <c r="X846" s="240" t="s">
        <v>390</v>
      </c>
      <c r="Y846" s="240" t="s">
        <v>390</v>
      </c>
      <c r="Z846" s="240" t="s">
        <v>390</v>
      </c>
      <c r="AA846" s="240" t="s">
        <v>390</v>
      </c>
      <c r="AB846" s="240"/>
      <c r="AC846" s="242" t="b">
        <f t="shared" si="2"/>
        <v>0</v>
      </c>
      <c r="AD846" s="240" t="s">
        <v>391</v>
      </c>
      <c r="AE846" s="243" t="b">
        <f t="shared" si="3"/>
        <v>0</v>
      </c>
      <c r="AF846" s="240"/>
      <c r="AG846" s="243" t="b">
        <f t="shared" si="4"/>
        <v>0</v>
      </c>
      <c r="AH846" s="240"/>
      <c r="AI846" s="243" t="str">
        <f t="shared" si="5"/>
        <v>N/A</v>
      </c>
      <c r="AJ846" s="157" t="str">
        <f t="shared" si="6"/>
        <v/>
      </c>
    </row>
    <row r="847" ht="12.75" customHeight="1">
      <c r="A847" s="238" t="s">
        <v>2412</v>
      </c>
      <c r="B847" s="238" t="s">
        <v>2415</v>
      </c>
      <c r="C847" s="238" t="s">
        <v>2456</v>
      </c>
      <c r="D847" s="238"/>
      <c r="E847" s="238"/>
      <c r="F847" s="154" t="str">
        <f t="array" ref="F847">XLOOKUP(Cover!$D$12,$S$1:$AA$1,$S847:$AA847)</f>
        <v>Heading</v>
      </c>
      <c r="G847" s="239" t="s">
        <v>2457</v>
      </c>
      <c r="H847" s="240"/>
      <c r="I847" s="240" t="s">
        <v>414</v>
      </c>
      <c r="J847" s="240"/>
      <c r="K847" s="240"/>
      <c r="L847" s="154" t="str">
        <f t="shared" si="1"/>
        <v/>
      </c>
      <c r="M847" s="241" t="str">
        <f>IFERROR(__xludf.DUMMYFUNCTION("VLOOKUP(C847,IMPORTRANGE(""https://docs.google.com/spreadsheets/d/1P8eX0NWBhUPS_hvzA11R6jkTNFrPrRYIx_dX_hYbxrk/edit?resourcekey=0-iw9bsKY2OqkUHCFMkCar3A&amp;gid=2055363397#gid=2055363397"",""MTR!C:O""),11,false)"),"")</f>
        <v/>
      </c>
      <c r="N847" s="241" t="str">
        <f>IFERROR(__xludf.DUMMYFUNCTION("VLOOKUP(C847,IMPORTRANGE(""https://docs.google.com/spreadsheets/d/1ihFlp3_ePlYtFuPbUNbYj1muErVpI73WHXbEwJDIA7Q/edit#gid=1493122344"",""MTR!C:O""),8,false)"),"")</f>
        <v/>
      </c>
      <c r="O847" s="241" t="str">
        <f>IFERROR(__xludf.DUMMYFUNCTION("VLOOKUP(C847,IMPORTRANGE(""https://docs.google.com/spreadsheets/d/1P8eX0NWBhUPS_hvzA11R6jkTNFrPrRYIx_dX_hYbxrk/edit?resourcekey=0-iw9bsKY2OqkUHCFMkCar3A&amp;gid=2055363397#gid=2055363397"",""MTR!C:O""),9,false)"),"")</f>
        <v/>
      </c>
      <c r="P847" s="241"/>
      <c r="Q847" s="241"/>
      <c r="R847" s="241"/>
      <c r="S847" s="240" t="s">
        <v>390</v>
      </c>
      <c r="T847" s="240" t="s">
        <v>390</v>
      </c>
      <c r="U847" s="240" t="s">
        <v>390</v>
      </c>
      <c r="V847" s="240" t="s">
        <v>390</v>
      </c>
      <c r="W847" s="240" t="s">
        <v>390</v>
      </c>
      <c r="X847" s="240" t="s">
        <v>390</v>
      </c>
      <c r="Y847" s="240" t="s">
        <v>390</v>
      </c>
      <c r="Z847" s="240" t="s">
        <v>390</v>
      </c>
      <c r="AA847" s="240" t="s">
        <v>390</v>
      </c>
      <c r="AB847" s="240"/>
      <c r="AC847" s="242" t="b">
        <f t="shared" si="2"/>
        <v>0</v>
      </c>
      <c r="AD847" s="240" t="s">
        <v>391</v>
      </c>
      <c r="AE847" s="243" t="b">
        <f t="shared" si="3"/>
        <v>0</v>
      </c>
      <c r="AF847" s="240"/>
      <c r="AG847" s="243" t="b">
        <f t="shared" si="4"/>
        <v>0</v>
      </c>
      <c r="AH847" s="240"/>
      <c r="AI847" s="243" t="str">
        <f t="shared" si="5"/>
        <v>N/A</v>
      </c>
      <c r="AJ847" s="157" t="str">
        <f t="shared" si="6"/>
        <v/>
      </c>
    </row>
    <row r="848" ht="12.75" customHeight="1">
      <c r="A848" s="244" t="s">
        <v>2412</v>
      </c>
      <c r="B848" s="244" t="s">
        <v>2415</v>
      </c>
      <c r="C848" s="244" t="s">
        <v>2458</v>
      </c>
      <c r="D848" s="154" t="s">
        <v>528</v>
      </c>
      <c r="E848" s="250"/>
      <c r="F848" s="154" t="str">
        <f t="array" ref="F848">XLOOKUP(Cover!$D$12,$S$1:$AA$1,$S848:$AA848)</f>
        <v>Information</v>
      </c>
      <c r="G848" s="153" t="s">
        <v>2459</v>
      </c>
      <c r="H848" s="154"/>
      <c r="I848" s="154" t="s">
        <v>420</v>
      </c>
      <c r="J848" s="247" t="s">
        <v>617</v>
      </c>
      <c r="K848" s="247" t="s">
        <v>2460</v>
      </c>
      <c r="L848" s="154" t="str">
        <f t="shared" si="1"/>
        <v/>
      </c>
      <c r="M848" s="248" t="str">
        <f>IFERROR(__xludf.DUMMYFUNCTION("VLOOKUP(C848,IMPORTRANGE(""https://docs.google.com/spreadsheets/d/1P8eX0NWBhUPS_hvzA11R6jkTNFrPrRYIx_dX_hYbxrk/edit?resourcekey=0-iw9bsKY2OqkUHCFMkCar3A&amp;gid=2055363397#gid=2055363397"",""MTR!C:O""),11,false)"),"TAM")</f>
        <v>TAM</v>
      </c>
      <c r="N848" s="248" t="str">
        <f>IFERROR(__xludf.DUMMYFUNCTION("VLOOKUP(C848,IMPORTRANGE(""https://docs.google.com/spreadsheets/d/1ihFlp3_ePlYtFuPbUNbYj1muErVpI73WHXbEwJDIA7Q/edit#gid=1493122344"",""MTR!C:O""),8,false)"),"Not Applicable")</f>
        <v>Not Applicable</v>
      </c>
      <c r="O848" s="241" t="str">
        <f>IFERROR(__xludf.DUMMYFUNCTION("VLOOKUP(C848,IMPORTRANGE(""https://docs.google.com/spreadsheets/d/1P8eX0NWBhUPS_hvzA11R6jkTNFrPrRYIx_dX_hYbxrk/edit?resourcekey=0-iw9bsKY2OqkUHCFMkCar3A&amp;gid=2055363397#gid=2055363397"",""MTR!C:O""),9,false)"),"")</f>
        <v/>
      </c>
      <c r="P848" s="241"/>
      <c r="Q848" s="251" t="s">
        <v>617</v>
      </c>
      <c r="R848" s="251" t="s">
        <v>2460</v>
      </c>
      <c r="S848" s="154" t="s">
        <v>66</v>
      </c>
      <c r="T848" s="154" t="s">
        <v>66</v>
      </c>
      <c r="U848" s="154" t="s">
        <v>66</v>
      </c>
      <c r="V848" s="154" t="s">
        <v>66</v>
      </c>
      <c r="W848" s="154" t="s">
        <v>66</v>
      </c>
      <c r="X848" s="154" t="s">
        <v>66</v>
      </c>
      <c r="Y848" s="154" t="s">
        <v>66</v>
      </c>
      <c r="Z848" s="154" t="s">
        <v>66</v>
      </c>
      <c r="AA848" s="154" t="s">
        <v>66</v>
      </c>
      <c r="AB848" s="154"/>
      <c r="AC848" s="242" t="b">
        <f t="shared" si="2"/>
        <v>1</v>
      </c>
      <c r="AD848" s="154" t="s">
        <v>391</v>
      </c>
      <c r="AE848" s="243" t="b">
        <f t="shared" si="3"/>
        <v>0</v>
      </c>
      <c r="AF848" s="154"/>
      <c r="AG848" s="243" t="b">
        <f t="shared" si="4"/>
        <v>0</v>
      </c>
      <c r="AH848" s="154"/>
      <c r="AI848" s="243" t="str">
        <f t="shared" si="5"/>
        <v>N/A</v>
      </c>
      <c r="AJ848" s="157" t="str">
        <f t="shared" si="6"/>
        <v/>
      </c>
    </row>
    <row r="849" ht="12.75" customHeight="1">
      <c r="A849" s="244" t="s">
        <v>2412</v>
      </c>
      <c r="B849" s="244" t="s">
        <v>2415</v>
      </c>
      <c r="C849" s="244" t="s">
        <v>2461</v>
      </c>
      <c r="D849" s="154" t="s">
        <v>433</v>
      </c>
      <c r="E849" s="250"/>
      <c r="F849" s="154" t="str">
        <f t="array" ref="F849">XLOOKUP(Cover!$D$12,$S$1:$AA$1,$S849:$AA849)</f>
        <v>Mandatory</v>
      </c>
      <c r="G849" s="153" t="s">
        <v>2462</v>
      </c>
      <c r="H849" s="154" t="s">
        <v>2463</v>
      </c>
      <c r="I849" s="154" t="s">
        <v>414</v>
      </c>
      <c r="J849" s="247" t="s">
        <v>445</v>
      </c>
      <c r="K849" s="154"/>
      <c r="L849" s="154" t="str">
        <f t="shared" si="1"/>
        <v/>
      </c>
      <c r="M849" s="248" t="str">
        <f>IFERROR(__xludf.DUMMYFUNCTION("VLOOKUP(C849,IMPORTRANGE(""https://docs.google.com/spreadsheets/d/1P8eX0NWBhUPS_hvzA11R6jkTNFrPrRYIx_dX_hYbxrk/edit?resourcekey=0-iw9bsKY2OqkUHCFMkCar3A&amp;gid=2055363397#gid=2055363397"",""MTR!C:O""),11,false)"),"TAM")</f>
        <v>TAM</v>
      </c>
      <c r="N849" s="248" t="str">
        <f>IFERROR(__xludf.DUMMYFUNCTION("VLOOKUP(C849,IMPORTRANGE(""https://docs.google.com/spreadsheets/d/1ihFlp3_ePlYtFuPbUNbYj1muErVpI73WHXbEwJDIA7Q/edit#gid=1493122344"",""MTR!C:O""),8,false)"),"Complies")</f>
        <v>Complies</v>
      </c>
      <c r="O849" s="241" t="str">
        <f>IFERROR(__xludf.DUMMYFUNCTION("VLOOKUP(C849,IMPORTRANGE(""https://docs.google.com/spreadsheets/d/1P8eX0NWBhUPS_hvzA11R6jkTNFrPrRYIx_dX_hYbxrk/edit?resourcekey=0-iw9bsKY2OqkUHCFMkCar3A&amp;gid=2055363397#gid=2055363397"",""MTR!C:O""),9,false)"),"")</f>
        <v/>
      </c>
      <c r="P849" s="241"/>
      <c r="Q849" s="251" t="s">
        <v>445</v>
      </c>
      <c r="R849" s="251"/>
      <c r="S849" s="154" t="s">
        <v>60</v>
      </c>
      <c r="T849" s="154" t="s">
        <v>60</v>
      </c>
      <c r="U849" s="154" t="s">
        <v>60</v>
      </c>
      <c r="V849" s="154" t="s">
        <v>60</v>
      </c>
      <c r="W849" s="154" t="s">
        <v>60</v>
      </c>
      <c r="X849" s="154" t="s">
        <v>60</v>
      </c>
      <c r="Y849" s="154" t="s">
        <v>60</v>
      </c>
      <c r="Z849" s="154" t="s">
        <v>60</v>
      </c>
      <c r="AA849" s="154" t="s">
        <v>60</v>
      </c>
      <c r="AB849" s="154"/>
      <c r="AC849" s="242" t="b">
        <f t="shared" si="2"/>
        <v>1</v>
      </c>
      <c r="AD849" s="154" t="s">
        <v>391</v>
      </c>
      <c r="AE849" s="243" t="b">
        <f t="shared" si="3"/>
        <v>0</v>
      </c>
      <c r="AF849" s="154"/>
      <c r="AG849" s="243" t="b">
        <f t="shared" si="4"/>
        <v>0</v>
      </c>
      <c r="AH849" s="154"/>
      <c r="AI849" s="243" t="str">
        <f t="shared" si="5"/>
        <v>N/A</v>
      </c>
      <c r="AJ849" s="157" t="str">
        <f t="shared" si="6"/>
        <v/>
      </c>
    </row>
    <row r="850" ht="12.75" customHeight="1">
      <c r="A850" s="244" t="s">
        <v>2412</v>
      </c>
      <c r="B850" s="244" t="s">
        <v>2415</v>
      </c>
      <c r="C850" s="244" t="s">
        <v>2464</v>
      </c>
      <c r="D850" s="154" t="s">
        <v>45</v>
      </c>
      <c r="E850" s="250"/>
      <c r="F850" s="154" t="str">
        <f t="array" ref="F850">XLOOKUP(Cover!$D$12,$S$1:$AA$1,$S850:$AA850)</f>
        <v>Comments Vendor</v>
      </c>
      <c r="G850" s="154" t="s">
        <v>2465</v>
      </c>
      <c r="H850" s="154" t="s">
        <v>2463</v>
      </c>
      <c r="I850" s="154" t="s">
        <v>414</v>
      </c>
      <c r="J850" s="154"/>
      <c r="K850" s="154" t="s">
        <v>2466</v>
      </c>
      <c r="L850" s="154" t="str">
        <f t="shared" si="1"/>
        <v/>
      </c>
      <c r="M850" s="253" t="str">
        <f>IFERROR(__xludf.DUMMYFUNCTION("VLOOKUP(C850,IMPORTRANGE(""https://docs.google.com/spreadsheets/d/1P8eX0NWBhUPS_hvzA11R6jkTNFrPrRYIx_dX_hYbxrk/edit?resourcekey=0-iw9bsKY2OqkUHCFMkCar3A&amp;gid=2055363397#gid=2055363397"",""MTR!C:O""),11,false)"),"#N/A")</f>
        <v>#N/A</v>
      </c>
      <c r="N850" s="253" t="str">
        <f>IFERROR(__xludf.DUMMYFUNCTION("VLOOKUP(C850,IMPORTRANGE(""https://docs.google.com/spreadsheets/d/1ihFlp3_ePlYtFuPbUNbYj1muErVpI73WHXbEwJDIA7Q/edit#gid=1493122344"",""MTR!C:O""),8,false)"),"#N/A")</f>
        <v>#N/A</v>
      </c>
      <c r="O850" s="248" t="str">
        <f>IFERROR(__xludf.DUMMYFUNCTION("VLOOKUP(C850,IMPORTRANGE(""https://docs.google.com/spreadsheets/d/1P8eX0NWBhUPS_hvzA11R6jkTNFrPrRYIx_dX_hYbxrk/edit?resourcekey=0-iw9bsKY2OqkUHCFMkCar3A&amp;gid=2055363397#gid=2055363397"",""MTR!C:O""),9,false)"),"C to C")</f>
        <v>C to C</v>
      </c>
      <c r="P850" s="248"/>
      <c r="Q850" s="249"/>
      <c r="R850" s="248"/>
      <c r="S850" s="154" t="s">
        <v>62</v>
      </c>
      <c r="T850" s="154" t="s">
        <v>62</v>
      </c>
      <c r="U850" s="154" t="s">
        <v>62</v>
      </c>
      <c r="V850" s="154" t="s">
        <v>62</v>
      </c>
      <c r="W850" s="154" t="s">
        <v>62</v>
      </c>
      <c r="X850" s="154" t="s">
        <v>62</v>
      </c>
      <c r="Y850" s="154" t="s">
        <v>62</v>
      </c>
      <c r="Z850" s="154" t="s">
        <v>62</v>
      </c>
      <c r="AA850" s="154" t="s">
        <v>62</v>
      </c>
      <c r="AB850" s="154"/>
      <c r="AC850" s="242" t="b">
        <f t="shared" si="2"/>
        <v>1</v>
      </c>
      <c r="AD850" s="154" t="s">
        <v>391</v>
      </c>
      <c r="AE850" s="243" t="b">
        <f t="shared" si="3"/>
        <v>1</v>
      </c>
      <c r="AF850" s="154"/>
      <c r="AG850" s="243" t="b">
        <f t="shared" si="4"/>
        <v>0</v>
      </c>
      <c r="AH850" s="154"/>
      <c r="AI850" s="243" t="str">
        <f t="shared" si="5"/>
        <v>N/A</v>
      </c>
      <c r="AJ850" s="157" t="str">
        <f t="shared" si="6"/>
        <v/>
      </c>
    </row>
    <row r="851" ht="12.75" customHeight="1">
      <c r="A851" s="238" t="s">
        <v>2412</v>
      </c>
      <c r="B851" s="238" t="s">
        <v>2415</v>
      </c>
      <c r="C851" s="238" t="s">
        <v>2467</v>
      </c>
      <c r="D851" s="238"/>
      <c r="E851" s="238"/>
      <c r="F851" s="154" t="str">
        <f t="array" ref="F851">XLOOKUP(Cover!$D$12,$S$1:$AA$1,$S851:$AA851)</f>
        <v>Heading</v>
      </c>
      <c r="G851" s="239" t="s">
        <v>2468</v>
      </c>
      <c r="H851" s="240"/>
      <c r="I851" s="240" t="s">
        <v>414</v>
      </c>
      <c r="J851" s="240"/>
      <c r="K851" s="240"/>
      <c r="L851" s="154" t="str">
        <f t="shared" si="1"/>
        <v/>
      </c>
      <c r="M851" s="241" t="str">
        <f>IFERROR(__xludf.DUMMYFUNCTION("VLOOKUP(C851,IMPORTRANGE(""https://docs.google.com/spreadsheets/d/1P8eX0NWBhUPS_hvzA11R6jkTNFrPrRYIx_dX_hYbxrk/edit?resourcekey=0-iw9bsKY2OqkUHCFMkCar3A&amp;gid=2055363397#gid=2055363397"",""MTR!C:O""),11,false)"),"")</f>
        <v/>
      </c>
      <c r="N851" s="241" t="str">
        <f>IFERROR(__xludf.DUMMYFUNCTION("VLOOKUP(C851,IMPORTRANGE(""https://docs.google.com/spreadsheets/d/1ihFlp3_ePlYtFuPbUNbYj1muErVpI73WHXbEwJDIA7Q/edit#gid=1493122344"",""MTR!C:O""),8,false)"),"")</f>
        <v/>
      </c>
      <c r="O851" s="241" t="str">
        <f>IFERROR(__xludf.DUMMYFUNCTION("VLOOKUP(C851,IMPORTRANGE(""https://docs.google.com/spreadsheets/d/1P8eX0NWBhUPS_hvzA11R6jkTNFrPrRYIx_dX_hYbxrk/edit?resourcekey=0-iw9bsKY2OqkUHCFMkCar3A&amp;gid=2055363397#gid=2055363397"",""MTR!C:O""),9,false)"),"")</f>
        <v/>
      </c>
      <c r="P851" s="241"/>
      <c r="Q851" s="241"/>
      <c r="R851" s="241"/>
      <c r="S851" s="240" t="s">
        <v>390</v>
      </c>
      <c r="T851" s="240" t="s">
        <v>390</v>
      </c>
      <c r="U851" s="240" t="s">
        <v>390</v>
      </c>
      <c r="V851" s="240" t="s">
        <v>390</v>
      </c>
      <c r="W851" s="240" t="s">
        <v>390</v>
      </c>
      <c r="X851" s="240" t="s">
        <v>390</v>
      </c>
      <c r="Y851" s="240" t="s">
        <v>390</v>
      </c>
      <c r="Z851" s="240" t="s">
        <v>390</v>
      </c>
      <c r="AA851" s="240" t="s">
        <v>390</v>
      </c>
      <c r="AB851" s="240"/>
      <c r="AC851" s="242" t="b">
        <f t="shared" si="2"/>
        <v>0</v>
      </c>
      <c r="AD851" s="240" t="s">
        <v>391</v>
      </c>
      <c r="AE851" s="243" t="b">
        <f t="shared" si="3"/>
        <v>0</v>
      </c>
      <c r="AF851" s="240"/>
      <c r="AG851" s="243" t="b">
        <f t="shared" si="4"/>
        <v>0</v>
      </c>
      <c r="AH851" s="240"/>
      <c r="AI851" s="243" t="str">
        <f t="shared" si="5"/>
        <v>N/A</v>
      </c>
      <c r="AJ851" s="157" t="str">
        <f t="shared" si="6"/>
        <v/>
      </c>
    </row>
    <row r="852" ht="12.75" customHeight="1">
      <c r="A852" s="238" t="s">
        <v>2412</v>
      </c>
      <c r="B852" s="238" t="s">
        <v>2415</v>
      </c>
      <c r="C852" s="238" t="s">
        <v>2469</v>
      </c>
      <c r="D852" s="238"/>
      <c r="E852" s="238"/>
      <c r="F852" s="154" t="str">
        <f t="array" ref="F852">XLOOKUP(Cover!$D$12,$S$1:$AA$1,$S852:$AA852)</f>
        <v>Heading</v>
      </c>
      <c r="G852" s="239" t="s">
        <v>2470</v>
      </c>
      <c r="H852" s="240"/>
      <c r="I852" s="240" t="s">
        <v>414</v>
      </c>
      <c r="J852" s="240"/>
      <c r="K852" s="240"/>
      <c r="L852" s="154" t="str">
        <f t="shared" si="1"/>
        <v/>
      </c>
      <c r="M852" s="241" t="str">
        <f>IFERROR(__xludf.DUMMYFUNCTION("VLOOKUP(C852,IMPORTRANGE(""https://docs.google.com/spreadsheets/d/1P8eX0NWBhUPS_hvzA11R6jkTNFrPrRYIx_dX_hYbxrk/edit?resourcekey=0-iw9bsKY2OqkUHCFMkCar3A&amp;gid=2055363397#gid=2055363397"",""MTR!C:O""),11,false)"),"")</f>
        <v/>
      </c>
      <c r="N852" s="241" t="str">
        <f>IFERROR(__xludf.DUMMYFUNCTION("VLOOKUP(C852,IMPORTRANGE(""https://docs.google.com/spreadsheets/d/1ihFlp3_ePlYtFuPbUNbYj1muErVpI73WHXbEwJDIA7Q/edit#gid=1493122344"",""MTR!C:O""),8,false)"),"")</f>
        <v/>
      </c>
      <c r="O852" s="241" t="str">
        <f>IFERROR(__xludf.DUMMYFUNCTION("VLOOKUP(C852,IMPORTRANGE(""https://docs.google.com/spreadsheets/d/1P8eX0NWBhUPS_hvzA11R6jkTNFrPrRYIx_dX_hYbxrk/edit?resourcekey=0-iw9bsKY2OqkUHCFMkCar3A&amp;gid=2055363397#gid=2055363397"",""MTR!C:O""),9,false)"),"")</f>
        <v/>
      </c>
      <c r="P852" s="241"/>
      <c r="Q852" s="241"/>
      <c r="R852" s="241"/>
      <c r="S852" s="240" t="s">
        <v>390</v>
      </c>
      <c r="T852" s="240" t="s">
        <v>390</v>
      </c>
      <c r="U852" s="240" t="s">
        <v>390</v>
      </c>
      <c r="V852" s="240" t="s">
        <v>390</v>
      </c>
      <c r="W852" s="240" t="s">
        <v>390</v>
      </c>
      <c r="X852" s="240" t="s">
        <v>390</v>
      </c>
      <c r="Y852" s="240" t="s">
        <v>390</v>
      </c>
      <c r="Z852" s="240" t="s">
        <v>390</v>
      </c>
      <c r="AA852" s="240" t="s">
        <v>390</v>
      </c>
      <c r="AB852" s="240"/>
      <c r="AC852" s="242" t="b">
        <f t="shared" si="2"/>
        <v>0</v>
      </c>
      <c r="AD852" s="240" t="s">
        <v>391</v>
      </c>
      <c r="AE852" s="243" t="b">
        <f t="shared" si="3"/>
        <v>0</v>
      </c>
      <c r="AF852" s="240"/>
      <c r="AG852" s="243" t="b">
        <f t="shared" si="4"/>
        <v>0</v>
      </c>
      <c r="AH852" s="240"/>
      <c r="AI852" s="243" t="str">
        <f t="shared" si="5"/>
        <v>N/A</v>
      </c>
      <c r="AJ852" s="157" t="str">
        <f t="shared" si="6"/>
        <v/>
      </c>
    </row>
    <row r="853" ht="12.75" customHeight="1">
      <c r="A853" s="238" t="s">
        <v>2412</v>
      </c>
      <c r="B853" s="238" t="s">
        <v>2415</v>
      </c>
      <c r="C853" s="238" t="s">
        <v>2471</v>
      </c>
      <c r="D853" s="238"/>
      <c r="E853" s="238"/>
      <c r="F853" s="154" t="str">
        <f t="array" ref="F853">XLOOKUP(Cover!$D$12,$S$1:$AA$1,$S853:$AA853)</f>
        <v>Heading</v>
      </c>
      <c r="G853" s="239" t="s">
        <v>2472</v>
      </c>
      <c r="H853" s="240"/>
      <c r="I853" s="240" t="s">
        <v>414</v>
      </c>
      <c r="J853" s="240"/>
      <c r="K853" s="240"/>
      <c r="L853" s="154" t="str">
        <f t="shared" si="1"/>
        <v/>
      </c>
      <c r="M853" s="241" t="str">
        <f>IFERROR(__xludf.DUMMYFUNCTION("VLOOKUP(C853,IMPORTRANGE(""https://docs.google.com/spreadsheets/d/1P8eX0NWBhUPS_hvzA11R6jkTNFrPrRYIx_dX_hYbxrk/edit?resourcekey=0-iw9bsKY2OqkUHCFMkCar3A&amp;gid=2055363397#gid=2055363397"",""MTR!C:O""),11,false)"),"")</f>
        <v/>
      </c>
      <c r="N853" s="241" t="str">
        <f>IFERROR(__xludf.DUMMYFUNCTION("VLOOKUP(C853,IMPORTRANGE(""https://docs.google.com/spreadsheets/d/1ihFlp3_ePlYtFuPbUNbYj1muErVpI73WHXbEwJDIA7Q/edit#gid=1493122344"",""MTR!C:O""),8,false)"),"")</f>
        <v/>
      </c>
      <c r="O853" s="241" t="str">
        <f>IFERROR(__xludf.DUMMYFUNCTION("VLOOKUP(C853,IMPORTRANGE(""https://docs.google.com/spreadsheets/d/1P8eX0NWBhUPS_hvzA11R6jkTNFrPrRYIx_dX_hYbxrk/edit?resourcekey=0-iw9bsKY2OqkUHCFMkCar3A&amp;gid=2055363397#gid=2055363397"",""MTR!C:O""),9,false)"),"")</f>
        <v/>
      </c>
      <c r="P853" s="241"/>
      <c r="Q853" s="241"/>
      <c r="R853" s="241"/>
      <c r="S853" s="240" t="s">
        <v>390</v>
      </c>
      <c r="T853" s="240" t="s">
        <v>390</v>
      </c>
      <c r="U853" s="240" t="s">
        <v>390</v>
      </c>
      <c r="V853" s="240" t="s">
        <v>390</v>
      </c>
      <c r="W853" s="240" t="s">
        <v>390</v>
      </c>
      <c r="X853" s="240" t="s">
        <v>390</v>
      </c>
      <c r="Y853" s="240" t="s">
        <v>390</v>
      </c>
      <c r="Z853" s="240" t="s">
        <v>390</v>
      </c>
      <c r="AA853" s="240" t="s">
        <v>390</v>
      </c>
      <c r="AB853" s="240"/>
      <c r="AC853" s="242" t="b">
        <f t="shared" si="2"/>
        <v>0</v>
      </c>
      <c r="AD853" s="240" t="s">
        <v>391</v>
      </c>
      <c r="AE853" s="243" t="b">
        <f t="shared" si="3"/>
        <v>0</v>
      </c>
      <c r="AF853" s="240"/>
      <c r="AG853" s="243" t="b">
        <f t="shared" si="4"/>
        <v>0</v>
      </c>
      <c r="AH853" s="240"/>
      <c r="AI853" s="243" t="str">
        <f t="shared" si="5"/>
        <v>N/A</v>
      </c>
      <c r="AJ853" s="157" t="str">
        <f t="shared" si="6"/>
        <v/>
      </c>
    </row>
    <row r="854" ht="12.75" customHeight="1">
      <c r="A854" s="244" t="s">
        <v>2412</v>
      </c>
      <c r="B854" s="244" t="s">
        <v>2415</v>
      </c>
      <c r="C854" s="244" t="s">
        <v>2473</v>
      </c>
      <c r="D854" s="154" t="s">
        <v>528</v>
      </c>
      <c r="E854" s="250"/>
      <c r="F854" s="154" t="str">
        <f t="array" ref="F854">XLOOKUP(Cover!$D$12,$S$1:$AA$1,$S854:$AA854)</f>
        <v>Mandatory</v>
      </c>
      <c r="G854" s="154" t="s">
        <v>2474</v>
      </c>
      <c r="H854" s="154" t="s">
        <v>2463</v>
      </c>
      <c r="I854" s="154" t="s">
        <v>420</v>
      </c>
      <c r="J854" s="247" t="s">
        <v>445</v>
      </c>
      <c r="K854" s="154"/>
      <c r="L854" s="154" t="str">
        <f t="shared" si="1"/>
        <v/>
      </c>
      <c r="M854" s="248" t="str">
        <f>IFERROR(__xludf.DUMMYFUNCTION("VLOOKUP(C854,IMPORTRANGE(""https://docs.google.com/spreadsheets/d/1P8eX0NWBhUPS_hvzA11R6jkTNFrPrRYIx_dX_hYbxrk/edit?resourcekey=0-iw9bsKY2OqkUHCFMkCar3A&amp;gid=2055363397#gid=2055363397"",""MTR!C:O""),11,false)"),"TAM")</f>
        <v>TAM</v>
      </c>
      <c r="N854" s="248" t="str">
        <f>IFERROR(__xludf.DUMMYFUNCTION("VLOOKUP(C854,IMPORTRANGE(""https://docs.google.com/spreadsheets/d/1ihFlp3_ePlYtFuPbUNbYj1muErVpI73WHXbEwJDIA7Q/edit#gid=1493122344"",""MTR!C:O""),8,false)"),"Complies")</f>
        <v>Complies</v>
      </c>
      <c r="O854" s="241" t="str">
        <f>IFERROR(__xludf.DUMMYFUNCTION("VLOOKUP(C854,IMPORTRANGE(""https://docs.google.com/spreadsheets/d/1P8eX0NWBhUPS_hvzA11R6jkTNFrPrRYIx_dX_hYbxrk/edit?resourcekey=0-iw9bsKY2OqkUHCFMkCar3A&amp;gid=2055363397#gid=2055363397"",""MTR!C:O""),9,false)"),"")</f>
        <v/>
      </c>
      <c r="P854" s="241"/>
      <c r="Q854" s="251" t="s">
        <v>445</v>
      </c>
      <c r="R854" s="241"/>
      <c r="S854" s="154" t="s">
        <v>60</v>
      </c>
      <c r="T854" s="154" t="s">
        <v>60</v>
      </c>
      <c r="U854" s="154" t="s">
        <v>60</v>
      </c>
      <c r="V854" s="154" t="s">
        <v>60</v>
      </c>
      <c r="W854" s="154" t="s">
        <v>60</v>
      </c>
      <c r="X854" s="154" t="s">
        <v>60</v>
      </c>
      <c r="Y854" s="154" t="s">
        <v>60</v>
      </c>
      <c r="Z854" s="154" t="s">
        <v>60</v>
      </c>
      <c r="AA854" s="154" t="s">
        <v>60</v>
      </c>
      <c r="AB854" s="154"/>
      <c r="AC854" s="242" t="b">
        <f t="shared" si="2"/>
        <v>1</v>
      </c>
      <c r="AD854" s="154" t="s">
        <v>391</v>
      </c>
      <c r="AE854" s="243" t="b">
        <f t="shared" si="3"/>
        <v>0</v>
      </c>
      <c r="AF854" s="154"/>
      <c r="AG854" s="243" t="b">
        <f t="shared" si="4"/>
        <v>0</v>
      </c>
      <c r="AH854" s="154"/>
      <c r="AI854" s="243" t="str">
        <f t="shared" si="5"/>
        <v>N/A</v>
      </c>
      <c r="AJ854" s="157" t="str">
        <f t="shared" si="6"/>
        <v/>
      </c>
    </row>
    <row r="855" ht="12.75" customHeight="1">
      <c r="A855" s="244" t="s">
        <v>2412</v>
      </c>
      <c r="B855" s="244" t="s">
        <v>2415</v>
      </c>
      <c r="C855" s="244" t="s">
        <v>2475</v>
      </c>
      <c r="D855" s="154" t="s">
        <v>2476</v>
      </c>
      <c r="E855" s="250"/>
      <c r="F855" s="154" t="str">
        <f t="array" ref="F855">XLOOKUP(Cover!$D$12,$S$1:$AA$1,$S855:$AA855)</f>
        <v>Recommended</v>
      </c>
      <c r="G855" s="154" t="s">
        <v>2477</v>
      </c>
      <c r="H855" s="154"/>
      <c r="I855" s="154" t="s">
        <v>420</v>
      </c>
      <c r="J855" s="247" t="s">
        <v>445</v>
      </c>
      <c r="K855" s="154"/>
      <c r="L855" s="154" t="str">
        <f t="shared" si="1"/>
        <v/>
      </c>
      <c r="M855" s="248" t="str">
        <f>IFERROR(__xludf.DUMMYFUNCTION("VLOOKUP(C855,IMPORTRANGE(""https://docs.google.com/spreadsheets/d/1P8eX0NWBhUPS_hvzA11R6jkTNFrPrRYIx_dX_hYbxrk/edit?resourcekey=0-iw9bsKY2OqkUHCFMkCar3A&amp;gid=2055363397#gid=2055363397"",""MTR!C:O""),11,false)"),"TAM")</f>
        <v>TAM</v>
      </c>
      <c r="N855" s="248" t="str">
        <f>IFERROR(__xludf.DUMMYFUNCTION("VLOOKUP(C855,IMPORTRANGE(""https://docs.google.com/spreadsheets/d/1ihFlp3_ePlYtFuPbUNbYj1muErVpI73WHXbEwJDIA7Q/edit#gid=1493122344"",""MTR!C:O""),8,false)"),"Complies")</f>
        <v>Complies</v>
      </c>
      <c r="O855" s="241" t="str">
        <f>IFERROR(__xludf.DUMMYFUNCTION("VLOOKUP(C855,IMPORTRANGE(""https://docs.google.com/spreadsheets/d/1P8eX0NWBhUPS_hvzA11R6jkTNFrPrRYIx_dX_hYbxrk/edit?resourcekey=0-iw9bsKY2OqkUHCFMkCar3A&amp;gid=2055363397#gid=2055363397"",""MTR!C:O""),9,false)"),"")</f>
        <v/>
      </c>
      <c r="P855" s="241"/>
      <c r="Q855" s="251" t="s">
        <v>445</v>
      </c>
      <c r="R855" s="241"/>
      <c r="S855" s="154" t="s">
        <v>64</v>
      </c>
      <c r="T855" s="154" t="s">
        <v>64</v>
      </c>
      <c r="U855" s="154" t="s">
        <v>64</v>
      </c>
      <c r="V855" s="154" t="s">
        <v>64</v>
      </c>
      <c r="W855" s="154" t="s">
        <v>64</v>
      </c>
      <c r="X855" s="154" t="s">
        <v>64</v>
      </c>
      <c r="Y855" s="154" t="s">
        <v>64</v>
      </c>
      <c r="Z855" s="154" t="s">
        <v>64</v>
      </c>
      <c r="AA855" s="154" t="s">
        <v>64</v>
      </c>
      <c r="AB855" s="154"/>
      <c r="AC855" s="242" t="b">
        <f t="shared" si="2"/>
        <v>1</v>
      </c>
      <c r="AD855" s="154" t="s">
        <v>391</v>
      </c>
      <c r="AE855" s="243" t="b">
        <f t="shared" si="3"/>
        <v>0</v>
      </c>
      <c r="AF855" s="154"/>
      <c r="AG855" s="243" t="b">
        <f t="shared" si="4"/>
        <v>0</v>
      </c>
      <c r="AH855" s="154"/>
      <c r="AI855" s="243" t="str">
        <f t="shared" si="5"/>
        <v>N/A</v>
      </c>
      <c r="AJ855" s="157" t="str">
        <f t="shared" si="6"/>
        <v/>
      </c>
    </row>
    <row r="856" ht="12.75" customHeight="1">
      <c r="A856" s="244" t="s">
        <v>2412</v>
      </c>
      <c r="B856" s="244" t="s">
        <v>2415</v>
      </c>
      <c r="C856" s="244" t="s">
        <v>2478</v>
      </c>
      <c r="D856" s="154" t="s">
        <v>433</v>
      </c>
      <c r="E856" s="250"/>
      <c r="F856" s="154" t="str">
        <f t="array" ref="F856">XLOOKUP(Cover!$D$12,$S$1:$AA$1,$S856:$AA856)</f>
        <v>Recommended</v>
      </c>
      <c r="G856" s="154" t="s">
        <v>2479</v>
      </c>
      <c r="H856" s="154"/>
      <c r="I856" s="154" t="s">
        <v>414</v>
      </c>
      <c r="J856" s="247" t="s">
        <v>445</v>
      </c>
      <c r="K856" s="247" t="s">
        <v>2480</v>
      </c>
      <c r="L856" s="154" t="str">
        <f t="shared" si="1"/>
        <v/>
      </c>
      <c r="M856" s="248" t="str">
        <f>IFERROR(__xludf.DUMMYFUNCTION("VLOOKUP(C856,IMPORTRANGE(""https://docs.google.com/spreadsheets/d/1P8eX0NWBhUPS_hvzA11R6jkTNFrPrRYIx_dX_hYbxrk/edit?resourcekey=0-iw9bsKY2OqkUHCFMkCar3A&amp;gid=2055363397#gid=2055363397"",""MTR!C:O""),11,false)"),"TAM")</f>
        <v>TAM</v>
      </c>
      <c r="N856" s="248" t="str">
        <f>IFERROR(__xludf.DUMMYFUNCTION("VLOOKUP(C856,IMPORTRANGE(""https://docs.google.com/spreadsheets/d/1ihFlp3_ePlYtFuPbUNbYj1muErVpI73WHXbEwJDIA7Q/edit#gid=1493122344"",""MTR!C:O""),8,false)"),"Complies")</f>
        <v>Complies</v>
      </c>
      <c r="O856" s="248" t="str">
        <f>IFERROR(__xludf.DUMMYFUNCTION("VLOOKUP(C856,IMPORTRANGE(""https://docs.google.com/spreadsheets/d/1P8eX0NWBhUPS_hvzA11R6jkTNFrPrRYIx_dX_hYbxrk/edit?resourcekey=0-iw9bsKY2OqkUHCFMkCar3A&amp;gid=2055363397#gid=2055363397"",""MTR!C:O""),9,false)"),"1.0 C wired charge rate")</f>
        <v>1.0 C wired charge rate</v>
      </c>
      <c r="P856" s="248"/>
      <c r="Q856" s="249" t="s">
        <v>445</v>
      </c>
      <c r="R856" s="249" t="s">
        <v>2480</v>
      </c>
      <c r="S856" s="154" t="s">
        <v>64</v>
      </c>
      <c r="T856" s="154" t="s">
        <v>64</v>
      </c>
      <c r="U856" s="154" t="s">
        <v>64</v>
      </c>
      <c r="V856" s="154" t="s">
        <v>64</v>
      </c>
      <c r="W856" s="154" t="s">
        <v>64</v>
      </c>
      <c r="X856" s="154" t="s">
        <v>64</v>
      </c>
      <c r="Y856" s="154" t="s">
        <v>64</v>
      </c>
      <c r="Z856" s="154" t="s">
        <v>64</v>
      </c>
      <c r="AA856" s="154" t="s">
        <v>64</v>
      </c>
      <c r="AB856" s="154"/>
      <c r="AC856" s="242" t="b">
        <f t="shared" si="2"/>
        <v>1</v>
      </c>
      <c r="AD856" s="154" t="s">
        <v>445</v>
      </c>
      <c r="AE856" s="243" t="b">
        <f t="shared" si="3"/>
        <v>0</v>
      </c>
      <c r="AF856" s="154"/>
      <c r="AG856" s="243" t="b">
        <f t="shared" si="4"/>
        <v>0</v>
      </c>
      <c r="AH856" s="154"/>
      <c r="AI856" s="243" t="str">
        <f t="shared" si="5"/>
        <v>N/A</v>
      </c>
      <c r="AJ856" s="157" t="str">
        <f t="shared" si="6"/>
        <v/>
      </c>
    </row>
    <row r="857" ht="12.75" customHeight="1">
      <c r="A857" s="238" t="s">
        <v>2412</v>
      </c>
      <c r="B857" s="238" t="s">
        <v>2415</v>
      </c>
      <c r="C857" s="238" t="s">
        <v>2481</v>
      </c>
      <c r="D857" s="238"/>
      <c r="E857" s="238"/>
      <c r="F857" s="154" t="str">
        <f t="array" ref="F857">XLOOKUP(Cover!$D$12,$S$1:$AA$1,$S857:$AA857)</f>
        <v>Heading</v>
      </c>
      <c r="G857" s="239" t="s">
        <v>2482</v>
      </c>
      <c r="H857" s="240"/>
      <c r="I857" s="240" t="s">
        <v>414</v>
      </c>
      <c r="J857" s="240"/>
      <c r="K857" s="240"/>
      <c r="L857" s="154" t="str">
        <f t="shared" si="1"/>
        <v/>
      </c>
      <c r="M857" s="241" t="str">
        <f>IFERROR(__xludf.DUMMYFUNCTION("VLOOKUP(C857,IMPORTRANGE(""https://docs.google.com/spreadsheets/d/1P8eX0NWBhUPS_hvzA11R6jkTNFrPrRYIx_dX_hYbxrk/edit?resourcekey=0-iw9bsKY2OqkUHCFMkCar3A&amp;gid=2055363397#gid=2055363397"",""MTR!C:O""),11,false)"),"")</f>
        <v/>
      </c>
      <c r="N857" s="241" t="str">
        <f>IFERROR(__xludf.DUMMYFUNCTION("VLOOKUP(C857,IMPORTRANGE(""https://docs.google.com/spreadsheets/d/1ihFlp3_ePlYtFuPbUNbYj1muErVpI73WHXbEwJDIA7Q/edit#gid=1493122344"",""MTR!C:O""),8,false)"),"")</f>
        <v/>
      </c>
      <c r="O857" s="241" t="str">
        <f>IFERROR(__xludf.DUMMYFUNCTION("VLOOKUP(C857,IMPORTRANGE(""https://docs.google.com/spreadsheets/d/1P8eX0NWBhUPS_hvzA11R6jkTNFrPrRYIx_dX_hYbxrk/edit?resourcekey=0-iw9bsKY2OqkUHCFMkCar3A&amp;gid=2055363397#gid=2055363397"",""MTR!C:O""),9,false)"),"")</f>
        <v/>
      </c>
      <c r="P857" s="241"/>
      <c r="Q857" s="251"/>
      <c r="R857" s="251"/>
      <c r="S857" s="240" t="s">
        <v>390</v>
      </c>
      <c r="T857" s="240" t="s">
        <v>390</v>
      </c>
      <c r="U857" s="240" t="s">
        <v>390</v>
      </c>
      <c r="V857" s="240" t="s">
        <v>390</v>
      </c>
      <c r="W857" s="240" t="s">
        <v>390</v>
      </c>
      <c r="X857" s="240" t="s">
        <v>390</v>
      </c>
      <c r="Y857" s="240" t="s">
        <v>390</v>
      </c>
      <c r="Z857" s="240" t="s">
        <v>390</v>
      </c>
      <c r="AA857" s="240" t="s">
        <v>390</v>
      </c>
      <c r="AB857" s="240"/>
      <c r="AC857" s="242" t="b">
        <f t="shared" si="2"/>
        <v>0</v>
      </c>
      <c r="AD857" s="240" t="s">
        <v>391</v>
      </c>
      <c r="AE857" s="243" t="b">
        <f t="shared" si="3"/>
        <v>0</v>
      </c>
      <c r="AF857" s="240"/>
      <c r="AG857" s="243" t="b">
        <f t="shared" si="4"/>
        <v>0</v>
      </c>
      <c r="AH857" s="240"/>
      <c r="AI857" s="243" t="str">
        <f t="shared" si="5"/>
        <v>N/A</v>
      </c>
      <c r="AJ857" s="157" t="str">
        <f t="shared" si="6"/>
        <v/>
      </c>
    </row>
    <row r="858" ht="12.75" customHeight="1">
      <c r="A858" s="244" t="s">
        <v>2412</v>
      </c>
      <c r="B858" s="244" t="s">
        <v>2415</v>
      </c>
      <c r="C858" s="244" t="s">
        <v>2483</v>
      </c>
      <c r="D858" s="154" t="s">
        <v>528</v>
      </c>
      <c r="E858" s="250"/>
      <c r="F858" s="154" t="str">
        <f t="array" ref="F858">XLOOKUP(Cover!$D$12,$S$1:$AA$1,$S858:$AA858)</f>
        <v>Mandatory</v>
      </c>
      <c r="G858" s="153" t="s">
        <v>2484</v>
      </c>
      <c r="H858" s="154"/>
      <c r="I858" s="154" t="s">
        <v>420</v>
      </c>
      <c r="J858" s="247" t="s">
        <v>445</v>
      </c>
      <c r="K858" s="154"/>
      <c r="L858" s="154" t="str">
        <f t="shared" si="1"/>
        <v/>
      </c>
      <c r="M858" s="248" t="str">
        <f>IFERROR(__xludf.DUMMYFUNCTION("VLOOKUP(C858,IMPORTRANGE(""https://docs.google.com/spreadsheets/d/1P8eX0NWBhUPS_hvzA11R6jkTNFrPrRYIx_dX_hYbxrk/edit?resourcekey=0-iw9bsKY2OqkUHCFMkCar3A&amp;gid=2055363397#gid=2055363397"",""MTR!C:O""),11,false)"),"TAM")</f>
        <v>TAM</v>
      </c>
      <c r="N858" s="248" t="str">
        <f>IFERROR(__xludf.DUMMYFUNCTION("VLOOKUP(C858,IMPORTRANGE(""https://docs.google.com/spreadsheets/d/1ihFlp3_ePlYtFuPbUNbYj1muErVpI73WHXbEwJDIA7Q/edit#gid=1493122344"",""MTR!C:O""),8,false)"),"Complies")</f>
        <v>Complies</v>
      </c>
      <c r="O858" s="241" t="str">
        <f>IFERROR(__xludf.DUMMYFUNCTION("VLOOKUP(C858,IMPORTRANGE(""https://docs.google.com/spreadsheets/d/1P8eX0NWBhUPS_hvzA11R6jkTNFrPrRYIx_dX_hYbxrk/edit?resourcekey=0-iw9bsKY2OqkUHCFMkCar3A&amp;gid=2055363397#gid=2055363397"",""MTR!C:O""),9,false)"),"")</f>
        <v/>
      </c>
      <c r="P858" s="241"/>
      <c r="Q858" s="251" t="s">
        <v>445</v>
      </c>
      <c r="R858" s="241"/>
      <c r="S858" s="154" t="s">
        <v>60</v>
      </c>
      <c r="T858" s="154" t="s">
        <v>60</v>
      </c>
      <c r="U858" s="154" t="s">
        <v>60</v>
      </c>
      <c r="V858" s="154" t="s">
        <v>60</v>
      </c>
      <c r="W858" s="154" t="s">
        <v>60</v>
      </c>
      <c r="X858" s="154" t="s">
        <v>60</v>
      </c>
      <c r="Y858" s="154" t="s">
        <v>60</v>
      </c>
      <c r="Z858" s="154" t="s">
        <v>60</v>
      </c>
      <c r="AA858" s="154" t="s">
        <v>60</v>
      </c>
      <c r="AB858" s="154"/>
      <c r="AC858" s="242" t="b">
        <f t="shared" si="2"/>
        <v>1</v>
      </c>
      <c r="AD858" s="154" t="s">
        <v>391</v>
      </c>
      <c r="AE858" s="243" t="b">
        <f t="shared" si="3"/>
        <v>0</v>
      </c>
      <c r="AF858" s="154"/>
      <c r="AG858" s="243" t="b">
        <f t="shared" si="4"/>
        <v>0</v>
      </c>
      <c r="AH858" s="154"/>
      <c r="AI858" s="243" t="str">
        <f t="shared" si="5"/>
        <v>N/A</v>
      </c>
      <c r="AJ858" s="157" t="str">
        <f t="shared" si="6"/>
        <v/>
      </c>
    </row>
    <row r="859" ht="12.75" customHeight="1">
      <c r="A859" s="244" t="s">
        <v>2412</v>
      </c>
      <c r="B859" s="244" t="s">
        <v>2415</v>
      </c>
      <c r="C859" s="244" t="s">
        <v>2485</v>
      </c>
      <c r="D859" s="154" t="s">
        <v>433</v>
      </c>
      <c r="E859" s="250"/>
      <c r="F859" s="154" t="str">
        <f t="array" ref="F859">XLOOKUP(Cover!$D$12,$S$1:$AA$1,$S859:$AA859)</f>
        <v>Recommended</v>
      </c>
      <c r="G859" s="153" t="s">
        <v>2486</v>
      </c>
      <c r="H859" s="154"/>
      <c r="I859" s="154" t="s">
        <v>420</v>
      </c>
      <c r="J859" s="247" t="s">
        <v>445</v>
      </c>
      <c r="K859" s="247" t="s">
        <v>2487</v>
      </c>
      <c r="L859" s="154" t="str">
        <f t="shared" si="1"/>
        <v/>
      </c>
      <c r="M859" s="248" t="str">
        <f>IFERROR(__xludf.DUMMYFUNCTION("VLOOKUP(C859,IMPORTRANGE(""https://docs.google.com/spreadsheets/d/1P8eX0NWBhUPS_hvzA11R6jkTNFrPrRYIx_dX_hYbxrk/edit?resourcekey=0-iw9bsKY2OqkUHCFMkCar3A&amp;gid=2055363397#gid=2055363397"",""MTR!C:O""),11,false)"),"TAM")</f>
        <v>TAM</v>
      </c>
      <c r="N859" s="248" t="str">
        <f>IFERROR(__xludf.DUMMYFUNCTION("VLOOKUP(C859,IMPORTRANGE(""https://docs.google.com/spreadsheets/d/1ihFlp3_ePlYtFuPbUNbYj1muErVpI73WHXbEwJDIA7Q/edit#gid=1493122344"",""MTR!C:O""),8,false)"),"Complies")</f>
        <v>Complies</v>
      </c>
      <c r="O859" s="248" t="str">
        <f>IFERROR(__xludf.DUMMYFUNCTION("VLOOKUP(C859,IMPORTRANGE(""https://docs.google.com/spreadsheets/d/1P8eX0NWBhUPS_hvzA11R6jkTNFrPrRYIx_dX_hYbxrk/edit?resourcekey=0-iw9bsKY2OqkUHCFMkCar3A&amp;gid=2055363397#gid=2055363397"",""MTR!C:O""),9,false)"),"USB-C 3.2 Gen2x1 (10 Gbps)")</f>
        <v>USB-C 3.2 Gen2x1 (10 Gbps)</v>
      </c>
      <c r="P859" s="248"/>
      <c r="Q859" s="249" t="s">
        <v>445</v>
      </c>
      <c r="R859" s="249" t="s">
        <v>2487</v>
      </c>
      <c r="S859" s="154" t="s">
        <v>64</v>
      </c>
      <c r="T859" s="154" t="s">
        <v>64</v>
      </c>
      <c r="U859" s="154" t="s">
        <v>64</v>
      </c>
      <c r="V859" s="154" t="s">
        <v>64</v>
      </c>
      <c r="W859" s="154" t="s">
        <v>64</v>
      </c>
      <c r="X859" s="154" t="s">
        <v>64</v>
      </c>
      <c r="Y859" s="154" t="s">
        <v>64</v>
      </c>
      <c r="Z859" s="154" t="s">
        <v>64</v>
      </c>
      <c r="AA859" s="154" t="s">
        <v>64</v>
      </c>
      <c r="AB859" s="154"/>
      <c r="AC859" s="242" t="b">
        <f t="shared" si="2"/>
        <v>1</v>
      </c>
      <c r="AD859" s="154" t="s">
        <v>516</v>
      </c>
      <c r="AE859" s="243" t="b">
        <f t="shared" si="3"/>
        <v>0</v>
      </c>
      <c r="AF859" s="154"/>
      <c r="AG859" s="243" t="b">
        <f t="shared" si="4"/>
        <v>0</v>
      </c>
      <c r="AH859" s="154"/>
      <c r="AI859" s="243" t="str">
        <f t="shared" si="5"/>
        <v>N/A</v>
      </c>
      <c r="AJ859" s="157" t="str">
        <f t="shared" si="6"/>
        <v/>
      </c>
    </row>
    <row r="860" ht="12.75" customHeight="1">
      <c r="A860" s="244" t="s">
        <v>2412</v>
      </c>
      <c r="B860" s="244" t="s">
        <v>2415</v>
      </c>
      <c r="C860" s="244" t="s">
        <v>2488</v>
      </c>
      <c r="D860" s="154" t="s">
        <v>739</v>
      </c>
      <c r="E860" s="250"/>
      <c r="F860" s="154" t="str">
        <f t="array" ref="F860">XLOOKUP(Cover!$D$12,$S$1:$AA$1,$S860:$AA860)</f>
        <v>Mandatory</v>
      </c>
      <c r="G860" s="154" t="s">
        <v>2489</v>
      </c>
      <c r="H860" s="154" t="s">
        <v>2463</v>
      </c>
      <c r="I860" s="154" t="s">
        <v>414</v>
      </c>
      <c r="J860" s="247" t="s">
        <v>445</v>
      </c>
      <c r="K860" s="247" t="s">
        <v>2487</v>
      </c>
      <c r="L860" s="154" t="str">
        <f t="shared" si="1"/>
        <v/>
      </c>
      <c r="M860" s="248" t="str">
        <f>IFERROR(__xludf.DUMMYFUNCTION("VLOOKUP(C860,IMPORTRANGE(""https://docs.google.com/spreadsheets/d/1P8eX0NWBhUPS_hvzA11R6jkTNFrPrRYIx_dX_hYbxrk/edit?resourcekey=0-iw9bsKY2OqkUHCFMkCar3A&amp;gid=2055363397#gid=2055363397"",""MTR!C:O""),11,false)"),"TAM")</f>
        <v>TAM</v>
      </c>
      <c r="N860" s="248" t="str">
        <f>IFERROR(__xludf.DUMMYFUNCTION("VLOOKUP(C860,IMPORTRANGE(""https://docs.google.com/spreadsheets/d/1ihFlp3_ePlYtFuPbUNbYj1muErVpI73WHXbEwJDIA7Q/edit#gid=1493122344"",""MTR!C:O""),8,false)"),"Complies")</f>
        <v>Complies</v>
      </c>
      <c r="O860" s="248" t="str">
        <f>IFERROR(__xludf.DUMMYFUNCTION("VLOOKUP(C860,IMPORTRANGE(""https://docs.google.com/spreadsheets/d/1P8eX0NWBhUPS_hvzA11R6jkTNFrPrRYIx_dX_hYbxrk/edit?resourcekey=0-iw9bsKY2OqkUHCFMkCar3A&amp;gid=2055363397#gid=2055363397"",""MTR!C:O""),9,false)"),"USB-C 3.2 Gen2x1 (10 Gbps)")</f>
        <v>USB-C 3.2 Gen2x1 (10 Gbps)</v>
      </c>
      <c r="P860" s="248"/>
      <c r="Q860" s="249" t="s">
        <v>445</v>
      </c>
      <c r="R860" s="249" t="s">
        <v>2487</v>
      </c>
      <c r="S860" s="154" t="s">
        <v>60</v>
      </c>
      <c r="T860" s="154" t="s">
        <v>60</v>
      </c>
      <c r="U860" s="154" t="s">
        <v>60</v>
      </c>
      <c r="V860" s="154" t="s">
        <v>60</v>
      </c>
      <c r="W860" s="154" t="s">
        <v>60</v>
      </c>
      <c r="X860" s="154" t="s">
        <v>60</v>
      </c>
      <c r="Y860" s="154" t="s">
        <v>60</v>
      </c>
      <c r="Z860" s="154" t="s">
        <v>60</v>
      </c>
      <c r="AA860" s="154" t="s">
        <v>60</v>
      </c>
      <c r="AB860" s="154"/>
      <c r="AC860" s="242" t="b">
        <f t="shared" si="2"/>
        <v>1</v>
      </c>
      <c r="AD860" s="154" t="s">
        <v>391</v>
      </c>
      <c r="AE860" s="243" t="b">
        <f t="shared" si="3"/>
        <v>0</v>
      </c>
      <c r="AF860" s="154"/>
      <c r="AG860" s="243" t="b">
        <f t="shared" si="4"/>
        <v>0</v>
      </c>
      <c r="AH860" s="154"/>
      <c r="AI860" s="243" t="str">
        <f t="shared" si="5"/>
        <v>N/A</v>
      </c>
      <c r="AJ860" s="157" t="str">
        <f t="shared" si="6"/>
        <v/>
      </c>
    </row>
    <row r="861" ht="12.75" customHeight="1">
      <c r="A861" s="238" t="s">
        <v>2412</v>
      </c>
      <c r="B861" s="238" t="s">
        <v>2415</v>
      </c>
      <c r="C861" s="238" t="s">
        <v>2490</v>
      </c>
      <c r="D861" s="238"/>
      <c r="E861" s="238"/>
      <c r="F861" s="154" t="str">
        <f t="array" ref="F861">XLOOKUP(Cover!$D$12,$S$1:$AA$1,$S861:$AA861)</f>
        <v>Heading</v>
      </c>
      <c r="G861" s="239" t="s">
        <v>2491</v>
      </c>
      <c r="H861" s="240"/>
      <c r="I861" s="240" t="s">
        <v>414</v>
      </c>
      <c r="J861" s="240"/>
      <c r="K861" s="240"/>
      <c r="L861" s="154" t="str">
        <f t="shared" si="1"/>
        <v/>
      </c>
      <c r="M861" s="241" t="str">
        <f>IFERROR(__xludf.DUMMYFUNCTION("VLOOKUP(C861,IMPORTRANGE(""https://docs.google.com/spreadsheets/d/1P8eX0NWBhUPS_hvzA11R6jkTNFrPrRYIx_dX_hYbxrk/edit?resourcekey=0-iw9bsKY2OqkUHCFMkCar3A&amp;gid=2055363397#gid=2055363397"",""MTR!C:O""),11,false)"),"")</f>
        <v/>
      </c>
      <c r="N861" s="241" t="str">
        <f>IFERROR(__xludf.DUMMYFUNCTION("VLOOKUP(C861,IMPORTRANGE(""https://docs.google.com/spreadsheets/d/1ihFlp3_ePlYtFuPbUNbYj1muErVpI73WHXbEwJDIA7Q/edit#gid=1493122344"",""MTR!C:O""),8,false)"),"")</f>
        <v/>
      </c>
      <c r="O861" s="241" t="str">
        <f>IFERROR(__xludf.DUMMYFUNCTION("VLOOKUP(C861,IMPORTRANGE(""https://docs.google.com/spreadsheets/d/1P8eX0NWBhUPS_hvzA11R6jkTNFrPrRYIx_dX_hYbxrk/edit?resourcekey=0-iw9bsKY2OqkUHCFMkCar3A&amp;gid=2055363397#gid=2055363397"",""MTR!C:O""),9,false)"),"")</f>
        <v/>
      </c>
      <c r="P861" s="241"/>
      <c r="Q861" s="251"/>
      <c r="R861" s="251"/>
      <c r="S861" s="240" t="s">
        <v>390</v>
      </c>
      <c r="T861" s="240" t="s">
        <v>390</v>
      </c>
      <c r="U861" s="240" t="s">
        <v>390</v>
      </c>
      <c r="V861" s="240" t="s">
        <v>390</v>
      </c>
      <c r="W861" s="240" t="s">
        <v>390</v>
      </c>
      <c r="X861" s="240" t="s">
        <v>390</v>
      </c>
      <c r="Y861" s="240" t="s">
        <v>390</v>
      </c>
      <c r="Z861" s="240" t="s">
        <v>390</v>
      </c>
      <c r="AA861" s="240" t="s">
        <v>390</v>
      </c>
      <c r="AB861" s="240"/>
      <c r="AC861" s="242" t="b">
        <f t="shared" si="2"/>
        <v>0</v>
      </c>
      <c r="AD861" s="240" t="s">
        <v>391</v>
      </c>
      <c r="AE861" s="243" t="b">
        <f t="shared" si="3"/>
        <v>0</v>
      </c>
      <c r="AF861" s="240"/>
      <c r="AG861" s="243" t="b">
        <f t="shared" si="4"/>
        <v>0</v>
      </c>
      <c r="AH861" s="240"/>
      <c r="AI861" s="243" t="str">
        <f t="shared" si="5"/>
        <v>N/A</v>
      </c>
      <c r="AJ861" s="157" t="str">
        <f t="shared" si="6"/>
        <v/>
      </c>
    </row>
    <row r="862" ht="12.75" customHeight="1">
      <c r="A862" s="244" t="s">
        <v>2412</v>
      </c>
      <c r="B862" s="244" t="s">
        <v>2415</v>
      </c>
      <c r="C862" s="244" t="s">
        <v>2492</v>
      </c>
      <c r="D862" s="154" t="s">
        <v>546</v>
      </c>
      <c r="E862" s="250"/>
      <c r="F862" s="154" t="str">
        <f t="array" ref="F862">XLOOKUP(Cover!$D$12,$S$1:$AA$1,$S862:$AA862)</f>
        <v>Information</v>
      </c>
      <c r="G862" s="154" t="s">
        <v>2493</v>
      </c>
      <c r="H862" s="154"/>
      <c r="I862" s="154" t="s">
        <v>486</v>
      </c>
      <c r="J862" s="247" t="s">
        <v>516</v>
      </c>
      <c r="K862" s="154"/>
      <c r="L862" s="154" t="str">
        <f t="shared" si="1"/>
        <v/>
      </c>
      <c r="M862" s="248" t="str">
        <f>IFERROR(__xludf.DUMMYFUNCTION("VLOOKUP(C862,IMPORTRANGE(""https://docs.google.com/spreadsheets/d/1P8eX0NWBhUPS_hvzA11R6jkTNFrPrRYIx_dX_hYbxrk/edit?resourcekey=0-iw9bsKY2OqkUHCFMkCar3A&amp;gid=2055363397#gid=2055363397"",""MTR!C:O""),11,false)"),"TAM")</f>
        <v>TAM</v>
      </c>
      <c r="N862" s="248" t="str">
        <f>IFERROR(__xludf.DUMMYFUNCTION("VLOOKUP(C862,IMPORTRANGE(""https://docs.google.com/spreadsheets/d/1ihFlp3_ePlYtFuPbUNbYj1muErVpI73WHXbEwJDIA7Q/edit#gid=1493122344"",""MTR!C:O""),8,false)"),"Does Not Comply")</f>
        <v>Does Not Comply</v>
      </c>
      <c r="O862" s="241" t="str">
        <f>IFERROR(__xludf.DUMMYFUNCTION("VLOOKUP(C862,IMPORTRANGE(""https://docs.google.com/spreadsheets/d/1P8eX0NWBhUPS_hvzA11R6jkTNFrPrRYIx_dX_hYbxrk/edit?resourcekey=0-iw9bsKY2OqkUHCFMkCar3A&amp;gid=2055363397#gid=2055363397"",""MTR!C:O""),9,false)"),"")</f>
        <v/>
      </c>
      <c r="P862" s="241"/>
      <c r="Q862" s="251" t="s">
        <v>516</v>
      </c>
      <c r="R862" s="241"/>
      <c r="S862" s="154" t="s">
        <v>66</v>
      </c>
      <c r="T862" s="154" t="s">
        <v>66</v>
      </c>
      <c r="U862" s="154" t="s">
        <v>66</v>
      </c>
      <c r="V862" s="154" t="s">
        <v>66</v>
      </c>
      <c r="W862" s="154" t="s">
        <v>66</v>
      </c>
      <c r="X862" s="154" t="s">
        <v>66</v>
      </c>
      <c r="Y862" s="154" t="s">
        <v>66</v>
      </c>
      <c r="Z862" s="154" t="s">
        <v>66</v>
      </c>
      <c r="AA862" s="154" t="s">
        <v>66</v>
      </c>
      <c r="AB862" s="154"/>
      <c r="AC862" s="242" t="b">
        <f t="shared" si="2"/>
        <v>1</v>
      </c>
      <c r="AD862" s="154" t="s">
        <v>391</v>
      </c>
      <c r="AE862" s="243" t="b">
        <f t="shared" si="3"/>
        <v>0</v>
      </c>
      <c r="AF862" s="154"/>
      <c r="AG862" s="243" t="b">
        <f t="shared" si="4"/>
        <v>0</v>
      </c>
      <c r="AH862" s="154"/>
      <c r="AI862" s="243" t="str">
        <f t="shared" si="5"/>
        <v>N/A</v>
      </c>
      <c r="AJ862" s="157" t="str">
        <f t="shared" si="6"/>
        <v/>
      </c>
    </row>
    <row r="863" ht="12.75" customHeight="1">
      <c r="A863" s="244" t="s">
        <v>2412</v>
      </c>
      <c r="B863" s="244" t="s">
        <v>2415</v>
      </c>
      <c r="C863" s="244" t="s">
        <v>2494</v>
      </c>
      <c r="D863" s="154"/>
      <c r="E863" s="250" t="s">
        <v>489</v>
      </c>
      <c r="F863" s="154" t="str">
        <f t="array" ref="F863">XLOOKUP(Cover!$D$12,$S$1:$AA$1,$S863:$AA863)</f>
        <v>Recommended</v>
      </c>
      <c r="G863" s="154" t="s">
        <v>2495</v>
      </c>
      <c r="H863" s="154"/>
      <c r="I863" s="154" t="s">
        <v>479</v>
      </c>
      <c r="J863" s="247" t="s">
        <v>516</v>
      </c>
      <c r="K863" s="154"/>
      <c r="L863" s="154" t="str">
        <f t="shared" si="1"/>
        <v/>
      </c>
      <c r="M863" s="253" t="str">
        <f>IFERROR(__xludf.DUMMYFUNCTION("VLOOKUP(C863,IMPORTRANGE(""https://docs.google.com/spreadsheets/d/1P8eX0NWBhUPS_hvzA11R6jkTNFrPrRYIx_dX_hYbxrk/edit?resourcekey=0-iw9bsKY2OqkUHCFMkCar3A&amp;gid=2055363397#gid=2055363397"",""MTR!C:O""),11,false)"),"#N/A")</f>
        <v>#N/A</v>
      </c>
      <c r="N863" s="253" t="str">
        <f>IFERROR(__xludf.DUMMYFUNCTION("VLOOKUP(C863,IMPORTRANGE(""https://docs.google.com/spreadsheets/d/1ihFlp3_ePlYtFuPbUNbYj1muErVpI73WHXbEwJDIA7Q/edit#gid=1493122344"",""MTR!C:O""),8,false)"),"#N/A")</f>
        <v>#N/A</v>
      </c>
      <c r="O863" s="253" t="str">
        <f>IFERROR(__xludf.DUMMYFUNCTION("VLOOKUP(C863,IMPORTRANGE(""https://docs.google.com/spreadsheets/d/1P8eX0NWBhUPS_hvzA11R6jkTNFrPrRYIx_dX_hYbxrk/edit?resourcekey=0-iw9bsKY2OqkUHCFMkCar3A&amp;gid=2055363397#gid=2055363397"",""MTR!C:O""),9,false)"),"#N/A")</f>
        <v>#N/A</v>
      </c>
      <c r="P863" s="253"/>
      <c r="Q863" s="259"/>
      <c r="R863" s="253"/>
      <c r="S863" s="154" t="s">
        <v>64</v>
      </c>
      <c r="T863" s="154" t="s">
        <v>64</v>
      </c>
      <c r="U863" s="154" t="s">
        <v>64</v>
      </c>
      <c r="V863" s="154" t="s">
        <v>64</v>
      </c>
      <c r="W863" s="154" t="s">
        <v>64</v>
      </c>
      <c r="X863" s="154" t="s">
        <v>64</v>
      </c>
      <c r="Y863" s="154" t="s">
        <v>64</v>
      </c>
      <c r="Z863" s="154" t="s">
        <v>64</v>
      </c>
      <c r="AA863" s="154" t="s">
        <v>64</v>
      </c>
      <c r="AB863" s="154"/>
      <c r="AC863" s="242" t="b">
        <f t="shared" si="2"/>
        <v>1</v>
      </c>
      <c r="AD863" s="154" t="s">
        <v>391</v>
      </c>
      <c r="AE863" s="243" t="b">
        <f t="shared" si="3"/>
        <v>0</v>
      </c>
      <c r="AF863" s="154"/>
      <c r="AG863" s="243" t="b">
        <f t="shared" si="4"/>
        <v>0</v>
      </c>
      <c r="AH863" s="154"/>
      <c r="AI863" s="243" t="str">
        <f t="shared" si="5"/>
        <v>N/A</v>
      </c>
      <c r="AJ863" s="157" t="str">
        <f t="shared" si="6"/>
        <v/>
      </c>
    </row>
    <row r="864" ht="12.75" customHeight="1">
      <c r="A864" s="238" t="s">
        <v>2412</v>
      </c>
      <c r="B864" s="238" t="s">
        <v>2415</v>
      </c>
      <c r="C864" s="238" t="s">
        <v>2496</v>
      </c>
      <c r="D864" s="238"/>
      <c r="E864" s="238"/>
      <c r="F864" s="154" t="str">
        <f t="array" ref="F864">XLOOKUP(Cover!$D$12,$S$1:$AA$1,$S864:$AA864)</f>
        <v>Heading</v>
      </c>
      <c r="G864" s="239" t="s">
        <v>2497</v>
      </c>
      <c r="H864" s="240"/>
      <c r="I864" s="240" t="s">
        <v>414</v>
      </c>
      <c r="J864" s="240"/>
      <c r="K864" s="240"/>
      <c r="L864" s="154" t="str">
        <f t="shared" si="1"/>
        <v/>
      </c>
      <c r="M864" s="241" t="str">
        <f>IFERROR(__xludf.DUMMYFUNCTION("VLOOKUP(C864,IMPORTRANGE(""https://docs.google.com/spreadsheets/d/1P8eX0NWBhUPS_hvzA11R6jkTNFrPrRYIx_dX_hYbxrk/edit?resourcekey=0-iw9bsKY2OqkUHCFMkCar3A&amp;gid=2055363397#gid=2055363397"",""MTR!C:O""),11,false)"),"")</f>
        <v/>
      </c>
      <c r="N864" s="241" t="str">
        <f>IFERROR(__xludf.DUMMYFUNCTION("VLOOKUP(C864,IMPORTRANGE(""https://docs.google.com/spreadsheets/d/1ihFlp3_ePlYtFuPbUNbYj1muErVpI73WHXbEwJDIA7Q/edit#gid=1493122344"",""MTR!C:O""),8,false)"),"")</f>
        <v/>
      </c>
      <c r="O864" s="241" t="str">
        <f>IFERROR(__xludf.DUMMYFUNCTION("VLOOKUP(C864,IMPORTRANGE(""https://docs.google.com/spreadsheets/d/1P8eX0NWBhUPS_hvzA11R6jkTNFrPrRYIx_dX_hYbxrk/edit?resourcekey=0-iw9bsKY2OqkUHCFMkCar3A&amp;gid=2055363397#gid=2055363397"",""MTR!C:O""),9,false)"),"")</f>
        <v/>
      </c>
      <c r="P864" s="241"/>
      <c r="Q864" s="241"/>
      <c r="R864" s="241"/>
      <c r="S864" s="240" t="s">
        <v>390</v>
      </c>
      <c r="T864" s="240" t="s">
        <v>390</v>
      </c>
      <c r="U864" s="240" t="s">
        <v>390</v>
      </c>
      <c r="V864" s="240" t="s">
        <v>390</v>
      </c>
      <c r="W864" s="240" t="s">
        <v>390</v>
      </c>
      <c r="X864" s="240" t="s">
        <v>390</v>
      </c>
      <c r="Y864" s="240" t="s">
        <v>390</v>
      </c>
      <c r="Z864" s="240" t="s">
        <v>390</v>
      </c>
      <c r="AA864" s="240" t="s">
        <v>390</v>
      </c>
      <c r="AB864" s="240"/>
      <c r="AC864" s="242" t="b">
        <f t="shared" si="2"/>
        <v>0</v>
      </c>
      <c r="AD864" s="240" t="s">
        <v>391</v>
      </c>
      <c r="AE864" s="243" t="b">
        <f t="shared" si="3"/>
        <v>0</v>
      </c>
      <c r="AF864" s="240"/>
      <c r="AG864" s="243" t="b">
        <f t="shared" si="4"/>
        <v>0</v>
      </c>
      <c r="AH864" s="240"/>
      <c r="AI864" s="243" t="str">
        <f t="shared" si="5"/>
        <v>N/A</v>
      </c>
      <c r="AJ864" s="157" t="str">
        <f t="shared" si="6"/>
        <v/>
      </c>
    </row>
    <row r="865" ht="12.75" customHeight="1">
      <c r="A865" s="244" t="s">
        <v>2412</v>
      </c>
      <c r="B865" s="244" t="s">
        <v>2415</v>
      </c>
      <c r="C865" s="244" t="s">
        <v>2498</v>
      </c>
      <c r="D865" s="154" t="s">
        <v>411</v>
      </c>
      <c r="E865" s="250"/>
      <c r="F865" s="154" t="str">
        <f t="array" ref="F865">XLOOKUP(Cover!$D$12,$S$1:$AA$1,$S865:$AA865)</f>
        <v>Mandatory</v>
      </c>
      <c r="G865" s="154" t="s">
        <v>2499</v>
      </c>
      <c r="H865" s="154" t="s">
        <v>413</v>
      </c>
      <c r="I865" s="154" t="s">
        <v>414</v>
      </c>
      <c r="J865" s="247" t="s">
        <v>445</v>
      </c>
      <c r="K865" s="154"/>
      <c r="L865" s="154" t="str">
        <f t="shared" si="1"/>
        <v/>
      </c>
      <c r="M865" s="248" t="str">
        <f>IFERROR(__xludf.DUMMYFUNCTION("VLOOKUP(C865,IMPORTRANGE(""https://docs.google.com/spreadsheets/d/1P8eX0NWBhUPS_hvzA11R6jkTNFrPrRYIx_dX_hYbxrk/edit?resourcekey=0-iw9bsKY2OqkUHCFMkCar3A&amp;gid=2055363397#gid=2055363397"",""MTR!C:O""),11,false)"),"TAM")</f>
        <v>TAM</v>
      </c>
      <c r="N865" s="248" t="str">
        <f>IFERROR(__xludf.DUMMYFUNCTION("VLOOKUP(C865,IMPORTRANGE(""https://docs.google.com/spreadsheets/d/1ihFlp3_ePlYtFuPbUNbYj1muErVpI73WHXbEwJDIA7Q/edit#gid=1493122344"",""MTR!C:O""),8,false)"),"Complies")</f>
        <v>Complies</v>
      </c>
      <c r="O865" s="241" t="str">
        <f>IFERROR(__xludf.DUMMYFUNCTION("VLOOKUP(C865,IMPORTRANGE(""https://docs.google.com/spreadsheets/d/1P8eX0NWBhUPS_hvzA11R6jkTNFrPrRYIx_dX_hYbxrk/edit?resourcekey=0-iw9bsKY2OqkUHCFMkCar3A&amp;gid=2055363397#gid=2055363397"",""MTR!C:O""),9,false)"),"")</f>
        <v/>
      </c>
      <c r="P865" s="241"/>
      <c r="Q865" s="251" t="s">
        <v>445</v>
      </c>
      <c r="R865" s="241"/>
      <c r="S865" s="154" t="s">
        <v>60</v>
      </c>
      <c r="T865" s="154" t="s">
        <v>60</v>
      </c>
      <c r="U865" s="154" t="s">
        <v>60</v>
      </c>
      <c r="V865" s="154" t="s">
        <v>60</v>
      </c>
      <c r="W865" s="154" t="s">
        <v>60</v>
      </c>
      <c r="X865" s="154" t="s">
        <v>60</v>
      </c>
      <c r="Y865" s="154" t="s">
        <v>60</v>
      </c>
      <c r="Z865" s="154" t="s">
        <v>60</v>
      </c>
      <c r="AA865" s="154" t="s">
        <v>60</v>
      </c>
      <c r="AB865" s="154"/>
      <c r="AC865" s="242" t="b">
        <f t="shared" si="2"/>
        <v>1</v>
      </c>
      <c r="AD865" s="154" t="s">
        <v>391</v>
      </c>
      <c r="AE865" s="243" t="b">
        <f t="shared" si="3"/>
        <v>0</v>
      </c>
      <c r="AF865" s="154"/>
      <c r="AG865" s="243" t="b">
        <f t="shared" si="4"/>
        <v>0</v>
      </c>
      <c r="AH865" s="154"/>
      <c r="AI865" s="243" t="str">
        <f t="shared" si="5"/>
        <v>N/A</v>
      </c>
      <c r="AJ865" s="157" t="str">
        <f t="shared" si="6"/>
        <v/>
      </c>
    </row>
    <row r="866" ht="12.75" customHeight="1">
      <c r="A866" s="238" t="s">
        <v>2412</v>
      </c>
      <c r="B866" s="238" t="s">
        <v>2415</v>
      </c>
      <c r="C866" s="238" t="s">
        <v>2500</v>
      </c>
      <c r="D866" s="238"/>
      <c r="E866" s="238"/>
      <c r="F866" s="154" t="str">
        <f t="array" ref="F866">XLOOKUP(Cover!$D$12,$S$1:$AA$1,$S866:$AA866)</f>
        <v>Heading</v>
      </c>
      <c r="G866" s="239" t="s">
        <v>2501</v>
      </c>
      <c r="H866" s="240"/>
      <c r="I866" s="240" t="s">
        <v>414</v>
      </c>
      <c r="J866" s="240"/>
      <c r="K866" s="240"/>
      <c r="L866" s="154" t="str">
        <f t="shared" si="1"/>
        <v/>
      </c>
      <c r="M866" s="241" t="str">
        <f>IFERROR(__xludf.DUMMYFUNCTION("VLOOKUP(C866,IMPORTRANGE(""https://docs.google.com/spreadsheets/d/1P8eX0NWBhUPS_hvzA11R6jkTNFrPrRYIx_dX_hYbxrk/edit?resourcekey=0-iw9bsKY2OqkUHCFMkCar3A&amp;gid=2055363397#gid=2055363397"",""MTR!C:O""),11,false)"),"")</f>
        <v/>
      </c>
      <c r="N866" s="241" t="str">
        <f>IFERROR(__xludf.DUMMYFUNCTION("VLOOKUP(C866,IMPORTRANGE(""https://docs.google.com/spreadsheets/d/1ihFlp3_ePlYtFuPbUNbYj1muErVpI73WHXbEwJDIA7Q/edit#gid=1493122344"",""MTR!C:O""),8,false)"),"")</f>
        <v/>
      </c>
      <c r="O866" s="241" t="str">
        <f>IFERROR(__xludf.DUMMYFUNCTION("VLOOKUP(C866,IMPORTRANGE(""https://docs.google.com/spreadsheets/d/1P8eX0NWBhUPS_hvzA11R6jkTNFrPrRYIx_dX_hYbxrk/edit?resourcekey=0-iw9bsKY2OqkUHCFMkCar3A&amp;gid=2055363397#gid=2055363397"",""MTR!C:O""),9,false)"),"")</f>
        <v/>
      </c>
      <c r="P866" s="241"/>
      <c r="Q866" s="251"/>
      <c r="R866" s="241"/>
      <c r="S866" s="240" t="s">
        <v>390</v>
      </c>
      <c r="T866" s="240" t="s">
        <v>390</v>
      </c>
      <c r="U866" s="240" t="s">
        <v>390</v>
      </c>
      <c r="V866" s="240" t="s">
        <v>390</v>
      </c>
      <c r="W866" s="240" t="s">
        <v>390</v>
      </c>
      <c r="X866" s="240" t="s">
        <v>390</v>
      </c>
      <c r="Y866" s="240" t="s">
        <v>390</v>
      </c>
      <c r="Z866" s="240" t="s">
        <v>390</v>
      </c>
      <c r="AA866" s="240" t="s">
        <v>390</v>
      </c>
      <c r="AB866" s="240"/>
      <c r="AC866" s="242" t="b">
        <f t="shared" si="2"/>
        <v>0</v>
      </c>
      <c r="AD866" s="240" t="s">
        <v>391</v>
      </c>
      <c r="AE866" s="243" t="b">
        <f t="shared" si="3"/>
        <v>0</v>
      </c>
      <c r="AF866" s="240"/>
      <c r="AG866" s="243" t="b">
        <f t="shared" si="4"/>
        <v>0</v>
      </c>
      <c r="AH866" s="240"/>
      <c r="AI866" s="243" t="str">
        <f t="shared" si="5"/>
        <v>N/A</v>
      </c>
      <c r="AJ866" s="157" t="str">
        <f t="shared" si="6"/>
        <v/>
      </c>
    </row>
    <row r="867" ht="12.75" customHeight="1">
      <c r="A867" s="244" t="s">
        <v>2412</v>
      </c>
      <c r="B867" s="244" t="s">
        <v>2415</v>
      </c>
      <c r="C867" s="244" t="s">
        <v>2502</v>
      </c>
      <c r="D867" s="154" t="s">
        <v>411</v>
      </c>
      <c r="E867" s="250"/>
      <c r="F867" s="154" t="str">
        <f t="array" ref="F867">XLOOKUP(Cover!$D$12,$S$1:$AA$1,$S867:$AA867)</f>
        <v>Mandatory</v>
      </c>
      <c r="G867" s="154" t="s">
        <v>2503</v>
      </c>
      <c r="H867" s="154" t="s">
        <v>413</v>
      </c>
      <c r="I867" s="154" t="s">
        <v>414</v>
      </c>
      <c r="J867" s="247" t="s">
        <v>445</v>
      </c>
      <c r="K867" s="154"/>
      <c r="L867" s="154" t="str">
        <f t="shared" si="1"/>
        <v/>
      </c>
      <c r="M867" s="248" t="str">
        <f>IFERROR(__xludf.DUMMYFUNCTION("VLOOKUP(C867,IMPORTRANGE(""https://docs.google.com/spreadsheets/d/1P8eX0NWBhUPS_hvzA11R6jkTNFrPrRYIx_dX_hYbxrk/edit?resourcekey=0-iw9bsKY2OqkUHCFMkCar3A&amp;gid=2055363397#gid=2055363397"",""MTR!C:O""),11,false)"),"TAM")</f>
        <v>TAM</v>
      </c>
      <c r="N867" s="248" t="str">
        <f>IFERROR(__xludf.DUMMYFUNCTION("VLOOKUP(C867,IMPORTRANGE(""https://docs.google.com/spreadsheets/d/1ihFlp3_ePlYtFuPbUNbYj1muErVpI73WHXbEwJDIA7Q/edit#gid=1493122344"",""MTR!C:O""),8,false)"),"Complies")</f>
        <v>Complies</v>
      </c>
      <c r="O867" s="241" t="str">
        <f>IFERROR(__xludf.DUMMYFUNCTION("VLOOKUP(C867,IMPORTRANGE(""https://docs.google.com/spreadsheets/d/1P8eX0NWBhUPS_hvzA11R6jkTNFrPrRYIx_dX_hYbxrk/edit?resourcekey=0-iw9bsKY2OqkUHCFMkCar3A&amp;gid=2055363397#gid=2055363397"",""MTR!C:O""),9,false)"),"")</f>
        <v/>
      </c>
      <c r="P867" s="241"/>
      <c r="Q867" s="251" t="s">
        <v>445</v>
      </c>
      <c r="R867" s="241"/>
      <c r="S867" s="154" t="s">
        <v>60</v>
      </c>
      <c r="T867" s="154" t="s">
        <v>60</v>
      </c>
      <c r="U867" s="154" t="s">
        <v>60</v>
      </c>
      <c r="V867" s="154" t="s">
        <v>60</v>
      </c>
      <c r="W867" s="154" t="s">
        <v>60</v>
      </c>
      <c r="X867" s="154" t="s">
        <v>60</v>
      </c>
      <c r="Y867" s="154" t="s">
        <v>60</v>
      </c>
      <c r="Z867" s="154" t="s">
        <v>60</v>
      </c>
      <c r="AA867" s="154" t="s">
        <v>60</v>
      </c>
      <c r="AB867" s="154"/>
      <c r="AC867" s="242" t="b">
        <f t="shared" si="2"/>
        <v>1</v>
      </c>
      <c r="AD867" s="154" t="s">
        <v>391</v>
      </c>
      <c r="AE867" s="243" t="b">
        <f t="shared" si="3"/>
        <v>0</v>
      </c>
      <c r="AF867" s="154"/>
      <c r="AG867" s="243" t="b">
        <f t="shared" si="4"/>
        <v>0</v>
      </c>
      <c r="AH867" s="154"/>
      <c r="AI867" s="243" t="str">
        <f t="shared" si="5"/>
        <v>N/A</v>
      </c>
      <c r="AJ867" s="157" t="str">
        <f t="shared" si="6"/>
        <v/>
      </c>
    </row>
    <row r="868" ht="12.75" customHeight="1">
      <c r="A868" s="244" t="s">
        <v>2412</v>
      </c>
      <c r="B868" s="244" t="s">
        <v>2415</v>
      </c>
      <c r="C868" s="244" t="s">
        <v>2504</v>
      </c>
      <c r="D868" s="154" t="s">
        <v>411</v>
      </c>
      <c r="E868" s="250"/>
      <c r="F868" s="154" t="str">
        <f t="array" ref="F868">XLOOKUP(Cover!$D$12,$S$1:$AA$1,$S868:$AA868)</f>
        <v>Mandatory</v>
      </c>
      <c r="G868" s="154" t="s">
        <v>2505</v>
      </c>
      <c r="H868" s="154" t="s">
        <v>413</v>
      </c>
      <c r="I868" s="154" t="s">
        <v>420</v>
      </c>
      <c r="J868" s="247" t="s">
        <v>445</v>
      </c>
      <c r="K868" s="247" t="s">
        <v>2506</v>
      </c>
      <c r="L868" s="154" t="str">
        <f t="shared" si="1"/>
        <v/>
      </c>
      <c r="M868" s="248" t="str">
        <f>IFERROR(__xludf.DUMMYFUNCTION("VLOOKUP(C868,IMPORTRANGE(""https://docs.google.com/spreadsheets/d/1P8eX0NWBhUPS_hvzA11R6jkTNFrPrRYIx_dX_hYbxrk/edit?resourcekey=0-iw9bsKY2OqkUHCFMkCar3A&amp;gid=2055363397#gid=2055363397"",""MTR!C:O""),11,false)"),"TAM")</f>
        <v>TAM</v>
      </c>
      <c r="N868" s="248" t="str">
        <f>IFERROR(__xludf.DUMMYFUNCTION("VLOOKUP(C868,IMPORTRANGE(""https://docs.google.com/spreadsheets/d/1ihFlp3_ePlYtFuPbUNbYj1muErVpI73WHXbEwJDIA7Q/edit#gid=1493122344"",""MTR!C:O""),8,false)"),"Complies")</f>
        <v>Complies</v>
      </c>
      <c r="O868" s="248" t="str">
        <f>IFERROR(__xludf.DUMMYFUNCTION("VLOOKUP(C868,IMPORTRANGE(""https://docs.google.com/spreadsheets/d/1P8eX0NWBhUPS_hvzA11R6jkTNFrPrRYIx_dX_hYbxrk/edit?resourcekey=0-iw9bsKY2OqkUHCFMkCar3A&amp;gid=2055363397#gid=2055363397"",""MTR!C:O""),9,false)"),"No filtering, blacklisting or proprietary priorisation applied.")</f>
        <v>No filtering, blacklisting or proprietary priorisation applied.</v>
      </c>
      <c r="P868" s="248"/>
      <c r="Q868" s="249" t="s">
        <v>445</v>
      </c>
      <c r="R868" s="249" t="s">
        <v>2506</v>
      </c>
      <c r="S868" s="154" t="s">
        <v>60</v>
      </c>
      <c r="T868" s="154" t="s">
        <v>60</v>
      </c>
      <c r="U868" s="154" t="s">
        <v>60</v>
      </c>
      <c r="V868" s="154" t="s">
        <v>60</v>
      </c>
      <c r="W868" s="154" t="s">
        <v>60</v>
      </c>
      <c r="X868" s="154" t="s">
        <v>60</v>
      </c>
      <c r="Y868" s="154" t="s">
        <v>60</v>
      </c>
      <c r="Z868" s="154" t="s">
        <v>60</v>
      </c>
      <c r="AA868" s="154" t="s">
        <v>60</v>
      </c>
      <c r="AB868" s="154"/>
      <c r="AC868" s="242" t="b">
        <f t="shared" si="2"/>
        <v>1</v>
      </c>
      <c r="AD868" s="154" t="s">
        <v>68</v>
      </c>
      <c r="AE868" s="243" t="b">
        <f t="shared" si="3"/>
        <v>0</v>
      </c>
      <c r="AF868" s="154"/>
      <c r="AG868" s="243" t="b">
        <f t="shared" si="4"/>
        <v>0</v>
      </c>
      <c r="AH868" s="154"/>
      <c r="AI868" s="243" t="str">
        <f t="shared" si="5"/>
        <v>N/A</v>
      </c>
      <c r="AJ868" s="157" t="str">
        <f t="shared" si="6"/>
        <v/>
      </c>
    </row>
    <row r="869" ht="12.75" customHeight="1">
      <c r="A869" s="238" t="s">
        <v>2412</v>
      </c>
      <c r="B869" s="238" t="s">
        <v>2415</v>
      </c>
      <c r="C869" s="238" t="s">
        <v>2507</v>
      </c>
      <c r="D869" s="238"/>
      <c r="E869" s="238"/>
      <c r="F869" s="154" t="str">
        <f t="array" ref="F869">XLOOKUP(Cover!$D$12,$S$1:$AA$1,$S869:$AA869)</f>
        <v>Heading</v>
      </c>
      <c r="G869" s="239" t="s">
        <v>2508</v>
      </c>
      <c r="H869" s="240"/>
      <c r="I869" s="240" t="s">
        <v>420</v>
      </c>
      <c r="J869" s="240"/>
      <c r="K869" s="240"/>
      <c r="L869" s="154" t="str">
        <f t="shared" si="1"/>
        <v/>
      </c>
      <c r="M869" s="241" t="str">
        <f>IFERROR(__xludf.DUMMYFUNCTION("VLOOKUP(C869,IMPORTRANGE(""https://docs.google.com/spreadsheets/d/1P8eX0NWBhUPS_hvzA11R6jkTNFrPrRYIx_dX_hYbxrk/edit?resourcekey=0-iw9bsKY2OqkUHCFMkCar3A&amp;gid=2055363397#gid=2055363397"",""MTR!C:O""),11,false)"),"")</f>
        <v/>
      </c>
      <c r="N869" s="241" t="str">
        <f>IFERROR(__xludf.DUMMYFUNCTION("VLOOKUP(C869,IMPORTRANGE(""https://docs.google.com/spreadsheets/d/1ihFlp3_ePlYtFuPbUNbYj1muErVpI73WHXbEwJDIA7Q/edit#gid=1493122344"",""MTR!C:O""),8,false)"),"")</f>
        <v/>
      </c>
      <c r="O869" s="241" t="str">
        <f>IFERROR(__xludf.DUMMYFUNCTION("VLOOKUP(C869,IMPORTRANGE(""https://docs.google.com/spreadsheets/d/1P8eX0NWBhUPS_hvzA11R6jkTNFrPrRYIx_dX_hYbxrk/edit?resourcekey=0-iw9bsKY2OqkUHCFMkCar3A&amp;gid=2055363397#gid=2055363397"",""MTR!C:O""),9,false)"),"")</f>
        <v/>
      </c>
      <c r="P869" s="241"/>
      <c r="Q869" s="251"/>
      <c r="R869" s="251"/>
      <c r="S869" s="240" t="s">
        <v>390</v>
      </c>
      <c r="T869" s="240" t="s">
        <v>390</v>
      </c>
      <c r="U869" s="240" t="s">
        <v>390</v>
      </c>
      <c r="V869" s="240" t="s">
        <v>390</v>
      </c>
      <c r="W869" s="240" t="s">
        <v>390</v>
      </c>
      <c r="X869" s="240" t="s">
        <v>390</v>
      </c>
      <c r="Y869" s="240" t="s">
        <v>390</v>
      </c>
      <c r="Z869" s="240" t="s">
        <v>390</v>
      </c>
      <c r="AA869" s="240" t="s">
        <v>390</v>
      </c>
      <c r="AB869" s="240"/>
      <c r="AC869" s="242" t="b">
        <f t="shared" si="2"/>
        <v>0</v>
      </c>
      <c r="AD869" s="240" t="s">
        <v>391</v>
      </c>
      <c r="AE869" s="243" t="b">
        <f t="shared" si="3"/>
        <v>0</v>
      </c>
      <c r="AF869" s="240"/>
      <c r="AG869" s="243" t="b">
        <f t="shared" si="4"/>
        <v>0</v>
      </c>
      <c r="AH869" s="240"/>
      <c r="AI869" s="243" t="str">
        <f t="shared" si="5"/>
        <v>N/A</v>
      </c>
      <c r="AJ869" s="157" t="str">
        <f t="shared" si="6"/>
        <v/>
      </c>
    </row>
    <row r="870" ht="12.75" customHeight="1">
      <c r="A870" s="244" t="s">
        <v>2412</v>
      </c>
      <c r="B870" s="244" t="s">
        <v>2415</v>
      </c>
      <c r="C870" s="244" t="s">
        <v>2509</v>
      </c>
      <c r="D870" s="154" t="s">
        <v>1282</v>
      </c>
      <c r="E870" s="250"/>
      <c r="F870" s="154" t="str">
        <f t="array" ref="F870">XLOOKUP(Cover!$D$12,$S$1:$AA$1,$S870:$AA870)</f>
        <v>Mandatory</v>
      </c>
      <c r="G870" s="154" t="s">
        <v>2510</v>
      </c>
      <c r="H870" s="154" t="s">
        <v>413</v>
      </c>
      <c r="I870" s="154" t="s">
        <v>414</v>
      </c>
      <c r="J870" s="247" t="s">
        <v>506</v>
      </c>
      <c r="K870" s="247" t="s">
        <v>2511</v>
      </c>
      <c r="L870" s="154" t="str">
        <f t="shared" si="1"/>
        <v/>
      </c>
      <c r="M870" s="248" t="str">
        <f>IFERROR(__xludf.DUMMYFUNCTION("VLOOKUP(C870,IMPORTRANGE(""https://docs.google.com/spreadsheets/d/1P8eX0NWBhUPS_hvzA11R6jkTNFrPrRYIx_dX_hYbxrk/edit?resourcekey=0-iw9bsKY2OqkUHCFMkCar3A&amp;gid=2055363397#gid=2055363397"",""MTR!C:O""),11,false)"),"TAM")</f>
        <v>TAM</v>
      </c>
      <c r="N870" s="248" t="str">
        <f>IFERROR(__xludf.DUMMYFUNCTION("VLOOKUP(C870,IMPORTRANGE(""https://docs.google.com/spreadsheets/d/1ihFlp3_ePlYtFuPbUNbYj1muErVpI73WHXbEwJDIA7Q/edit#gid=1493122344"",""MTR!C:O""),8,false)"),"Partially Complies")</f>
        <v>Partially Complies</v>
      </c>
      <c r="O870" s="248" t="str">
        <f>IFERROR(__xludf.DUMMYFUNCTION("VLOOKUP(C870,IMPORTRANGE(""https://docs.google.com/spreadsheets/d/1P8eX0NWBhUPS_hvzA11R6jkTNFrPrRYIx_dX_hYbxrk/edit?resourcekey=0-iw9bsKY2OqkUHCFMkCar3A&amp;gid=2055363397#gid=2055363397"",""MTR!C:O""),9,false)"),"No SSID customization or preferences but Google does bias connections to effective WLANs to improve customer experience.
 User can still access EAP WiFi manually, once connected the settings are retained.")</f>
        <v>No SSID customization or preferences but Google does bias connections to effective WLANs to improve customer experience.
 User can still access EAP WiFi manually, once connected the settings are retained.</v>
      </c>
      <c r="P870" s="248"/>
      <c r="Q870" s="249" t="s">
        <v>506</v>
      </c>
      <c r="R870" s="249" t="s">
        <v>2511</v>
      </c>
      <c r="S870" s="154" t="s">
        <v>60</v>
      </c>
      <c r="T870" s="154" t="s">
        <v>60</v>
      </c>
      <c r="U870" s="154" t="s">
        <v>60</v>
      </c>
      <c r="V870" s="154" t="s">
        <v>60</v>
      </c>
      <c r="W870" s="154" t="s">
        <v>60</v>
      </c>
      <c r="X870" s="154" t="s">
        <v>60</v>
      </c>
      <c r="Y870" s="154" t="s">
        <v>60</v>
      </c>
      <c r="Z870" s="154" t="s">
        <v>60</v>
      </c>
      <c r="AA870" s="154" t="s">
        <v>60</v>
      </c>
      <c r="AB870" s="154"/>
      <c r="AC870" s="242" t="b">
        <f t="shared" si="2"/>
        <v>1</v>
      </c>
      <c r="AD870" s="154" t="s">
        <v>391</v>
      </c>
      <c r="AE870" s="243" t="b">
        <f t="shared" si="3"/>
        <v>0</v>
      </c>
      <c r="AF870" s="154"/>
      <c r="AG870" s="243" t="b">
        <f t="shared" si="4"/>
        <v>0</v>
      </c>
      <c r="AH870" s="154"/>
      <c r="AI870" s="243" t="str">
        <f t="shared" si="5"/>
        <v>N/A</v>
      </c>
      <c r="AJ870" s="157" t="str">
        <f t="shared" si="6"/>
        <v/>
      </c>
    </row>
    <row r="871" ht="12.75" customHeight="1">
      <c r="A871" s="244" t="s">
        <v>2412</v>
      </c>
      <c r="B871" s="244" t="s">
        <v>2415</v>
      </c>
      <c r="C871" s="244" t="s">
        <v>2512</v>
      </c>
      <c r="D871" s="154" t="s">
        <v>484</v>
      </c>
      <c r="E871" s="250"/>
      <c r="F871" s="154" t="str">
        <f t="array" ref="F871">XLOOKUP(Cover!$D$12,$S$1:$AA$1,$S871:$AA871)</f>
        <v>Mandatory</v>
      </c>
      <c r="G871" s="154" t="s">
        <v>2513</v>
      </c>
      <c r="H871" s="154" t="s">
        <v>413</v>
      </c>
      <c r="I871" s="154" t="s">
        <v>420</v>
      </c>
      <c r="J871" s="247" t="s">
        <v>516</v>
      </c>
      <c r="K871" s="247" t="s">
        <v>2514</v>
      </c>
      <c r="L871" s="154" t="str">
        <f t="shared" si="1"/>
        <v/>
      </c>
      <c r="M871" s="248" t="str">
        <f>IFERROR(__xludf.DUMMYFUNCTION("VLOOKUP(C871,IMPORTRANGE(""https://docs.google.com/spreadsheets/d/1P8eX0NWBhUPS_hvzA11R6jkTNFrPrRYIx_dX_hYbxrk/edit?resourcekey=0-iw9bsKY2OqkUHCFMkCar3A&amp;gid=2055363397#gid=2055363397"",""MTR!C:O""),11,false)"),"TAM")</f>
        <v>TAM</v>
      </c>
      <c r="N871" s="248" t="str">
        <f>IFERROR(__xludf.DUMMYFUNCTION("VLOOKUP(C871,IMPORTRANGE(""https://docs.google.com/spreadsheets/d/1ihFlp3_ePlYtFuPbUNbYj1muErVpI73WHXbEwJDIA7Q/edit#gid=1493122344"",""MTR!C:O""),8,false)"),"Does Not Comply")</f>
        <v>Does Not Comply</v>
      </c>
      <c r="O871" s="248" t="str">
        <f>IFERROR(__xludf.DUMMYFUNCTION("VLOOKUP(C871,IMPORTRANGE(""https://docs.google.com/spreadsheets/d/1P8eX0NWBhUPS_hvzA11R6jkTNFrPrRYIx_dX_hYbxrk/edit?resourcekey=0-iw9bsKY2OqkUHCFMkCar3A&amp;gid=2055363397#gid=2055363397"",""MTR!C:O""),9,false)"),"Google keep it on as default to improve location accuracy, especially for ELS.
 Google does not support to customize this settings")</f>
        <v>Google keep it on as default to improve location accuracy, especially for ELS.
 Google does not support to customize this settings</v>
      </c>
      <c r="P871" s="248"/>
      <c r="Q871" s="249" t="s">
        <v>516</v>
      </c>
      <c r="R871" s="249" t="s">
        <v>2514</v>
      </c>
      <c r="S871" s="154" t="s">
        <v>60</v>
      </c>
      <c r="T871" s="154" t="s">
        <v>60</v>
      </c>
      <c r="U871" s="154" t="s">
        <v>60</v>
      </c>
      <c r="V871" s="154" t="s">
        <v>60</v>
      </c>
      <c r="W871" s="154" t="s">
        <v>60</v>
      </c>
      <c r="X871" s="154" t="s">
        <v>60</v>
      </c>
      <c r="Y871" s="154" t="s">
        <v>60</v>
      </c>
      <c r="Z871" s="154" t="s">
        <v>60</v>
      </c>
      <c r="AA871" s="154" t="s">
        <v>60</v>
      </c>
      <c r="AB871" s="154"/>
      <c r="AC871" s="242" t="b">
        <f t="shared" si="2"/>
        <v>1</v>
      </c>
      <c r="AD871" s="154" t="s">
        <v>391</v>
      </c>
      <c r="AE871" s="243" t="b">
        <f t="shared" si="3"/>
        <v>0</v>
      </c>
      <c r="AF871" s="154"/>
      <c r="AG871" s="243" t="b">
        <f t="shared" si="4"/>
        <v>0</v>
      </c>
      <c r="AH871" s="154"/>
      <c r="AI871" s="243" t="str">
        <f t="shared" si="5"/>
        <v>N/A</v>
      </c>
      <c r="AJ871" s="157" t="str">
        <f t="shared" si="6"/>
        <v/>
      </c>
    </row>
    <row r="872" ht="12.75" customHeight="1">
      <c r="A872" s="244" t="s">
        <v>2412</v>
      </c>
      <c r="B872" s="244" t="s">
        <v>2415</v>
      </c>
      <c r="C872" s="244" t="s">
        <v>2515</v>
      </c>
      <c r="D872" s="154" t="s">
        <v>630</v>
      </c>
      <c r="E872" s="250"/>
      <c r="F872" s="154" t="str">
        <f t="array" ref="F872">XLOOKUP(Cover!$D$12,$S$1:$AA$1,$S872:$AA872)</f>
        <v>Mandatory</v>
      </c>
      <c r="G872" s="154" t="s">
        <v>2516</v>
      </c>
      <c r="H872" s="154" t="s">
        <v>413</v>
      </c>
      <c r="I872" s="154" t="s">
        <v>414</v>
      </c>
      <c r="J872" s="247" t="s">
        <v>445</v>
      </c>
      <c r="K872" s="154"/>
      <c r="L872" s="154" t="str">
        <f t="shared" si="1"/>
        <v/>
      </c>
      <c r="M872" s="248" t="str">
        <f>IFERROR(__xludf.DUMMYFUNCTION("VLOOKUP(C872,IMPORTRANGE(""https://docs.google.com/spreadsheets/d/1P8eX0NWBhUPS_hvzA11R6jkTNFrPrRYIx_dX_hYbxrk/edit?resourcekey=0-iw9bsKY2OqkUHCFMkCar3A&amp;gid=2055363397#gid=2055363397"",""MTR!C:O""),11,false)"),"TAM")</f>
        <v>TAM</v>
      </c>
      <c r="N872" s="248" t="str">
        <f>IFERROR(__xludf.DUMMYFUNCTION("VLOOKUP(C872,IMPORTRANGE(""https://docs.google.com/spreadsheets/d/1ihFlp3_ePlYtFuPbUNbYj1muErVpI73WHXbEwJDIA7Q/edit#gid=1493122344"",""MTR!C:O""),8,false)"),"Complies")</f>
        <v>Complies</v>
      </c>
      <c r="O872" s="241" t="str">
        <f>IFERROR(__xludf.DUMMYFUNCTION("VLOOKUP(C872,IMPORTRANGE(""https://docs.google.com/spreadsheets/d/1P8eX0NWBhUPS_hvzA11R6jkTNFrPrRYIx_dX_hYbxrk/edit?resourcekey=0-iw9bsKY2OqkUHCFMkCar3A&amp;gid=2055363397#gid=2055363397"",""MTR!C:O""),9,false)"),"")</f>
        <v/>
      </c>
      <c r="P872" s="241"/>
      <c r="Q872" s="251" t="s">
        <v>445</v>
      </c>
      <c r="R872" s="251"/>
      <c r="S872" s="154" t="s">
        <v>60</v>
      </c>
      <c r="T872" s="154" t="s">
        <v>60</v>
      </c>
      <c r="U872" s="154" t="s">
        <v>60</v>
      </c>
      <c r="V872" s="154" t="s">
        <v>60</v>
      </c>
      <c r="W872" s="154" t="s">
        <v>60</v>
      </c>
      <c r="X872" s="154" t="s">
        <v>60</v>
      </c>
      <c r="Y872" s="154" t="s">
        <v>60</v>
      </c>
      <c r="Z872" s="154" t="s">
        <v>60</v>
      </c>
      <c r="AA872" s="154" t="s">
        <v>60</v>
      </c>
      <c r="AB872" s="154"/>
      <c r="AC872" s="242" t="b">
        <f t="shared" si="2"/>
        <v>1</v>
      </c>
      <c r="AD872" s="154" t="s">
        <v>391</v>
      </c>
      <c r="AE872" s="243" t="b">
        <f t="shared" si="3"/>
        <v>0</v>
      </c>
      <c r="AF872" s="154"/>
      <c r="AG872" s="243" t="b">
        <f t="shared" si="4"/>
        <v>0</v>
      </c>
      <c r="AH872" s="154"/>
      <c r="AI872" s="243" t="str">
        <f t="shared" si="5"/>
        <v>N/A</v>
      </c>
      <c r="AJ872" s="157" t="str">
        <f t="shared" si="6"/>
        <v/>
      </c>
    </row>
    <row r="873" ht="12.75" customHeight="1">
      <c r="A873" s="238" t="s">
        <v>2412</v>
      </c>
      <c r="B873" s="238" t="s">
        <v>2415</v>
      </c>
      <c r="C873" s="238" t="s">
        <v>2517</v>
      </c>
      <c r="D873" s="238"/>
      <c r="E873" s="238"/>
      <c r="F873" s="154" t="str">
        <f t="array" ref="F873">XLOOKUP(Cover!$D$12,$S$1:$AA$1,$S873:$AA873)</f>
        <v>Heading</v>
      </c>
      <c r="G873" s="239" t="s">
        <v>2518</v>
      </c>
      <c r="H873" s="240"/>
      <c r="I873" s="240" t="s">
        <v>420</v>
      </c>
      <c r="J873" s="240"/>
      <c r="K873" s="240"/>
      <c r="L873" s="154" t="str">
        <f t="shared" si="1"/>
        <v/>
      </c>
      <c r="M873" s="241" t="str">
        <f>IFERROR(__xludf.DUMMYFUNCTION("VLOOKUP(C873,IMPORTRANGE(""https://docs.google.com/spreadsheets/d/1P8eX0NWBhUPS_hvzA11R6jkTNFrPrRYIx_dX_hYbxrk/edit?resourcekey=0-iw9bsKY2OqkUHCFMkCar3A&amp;gid=2055363397#gid=2055363397"",""MTR!C:O""),11,false)"),"")</f>
        <v/>
      </c>
      <c r="N873" s="241" t="str">
        <f>IFERROR(__xludf.DUMMYFUNCTION("VLOOKUP(C873,IMPORTRANGE(""https://docs.google.com/spreadsheets/d/1ihFlp3_ePlYtFuPbUNbYj1muErVpI73WHXbEwJDIA7Q/edit#gid=1493122344"",""MTR!C:O""),8,false)"),"")</f>
        <v/>
      </c>
      <c r="O873" s="241" t="str">
        <f>IFERROR(__xludf.DUMMYFUNCTION("VLOOKUP(C873,IMPORTRANGE(""https://docs.google.com/spreadsheets/d/1P8eX0NWBhUPS_hvzA11R6jkTNFrPrRYIx_dX_hYbxrk/edit?resourcekey=0-iw9bsKY2OqkUHCFMkCar3A&amp;gid=2055363397#gid=2055363397"",""MTR!C:O""),9,false)"),"")</f>
        <v/>
      </c>
      <c r="P873" s="241"/>
      <c r="Q873" s="251"/>
      <c r="R873" s="241"/>
      <c r="S873" s="240" t="s">
        <v>390</v>
      </c>
      <c r="T873" s="240" t="s">
        <v>390</v>
      </c>
      <c r="U873" s="240" t="s">
        <v>390</v>
      </c>
      <c r="V873" s="240" t="s">
        <v>390</v>
      </c>
      <c r="W873" s="240" t="s">
        <v>390</v>
      </c>
      <c r="X873" s="240" t="s">
        <v>390</v>
      </c>
      <c r="Y873" s="240" t="s">
        <v>390</v>
      </c>
      <c r="Z873" s="240" t="s">
        <v>390</v>
      </c>
      <c r="AA873" s="240" t="s">
        <v>390</v>
      </c>
      <c r="AB873" s="240"/>
      <c r="AC873" s="242" t="b">
        <f t="shared" si="2"/>
        <v>0</v>
      </c>
      <c r="AD873" s="240" t="s">
        <v>391</v>
      </c>
      <c r="AE873" s="243" t="b">
        <f t="shared" si="3"/>
        <v>0</v>
      </c>
      <c r="AF873" s="240"/>
      <c r="AG873" s="243" t="b">
        <f t="shared" si="4"/>
        <v>0</v>
      </c>
      <c r="AH873" s="240"/>
      <c r="AI873" s="243" t="str">
        <f t="shared" si="5"/>
        <v>N/A</v>
      </c>
      <c r="AJ873" s="157" t="str">
        <f t="shared" si="6"/>
        <v/>
      </c>
    </row>
    <row r="874" ht="12.75" customHeight="1">
      <c r="A874" s="244" t="s">
        <v>2412</v>
      </c>
      <c r="B874" s="244" t="s">
        <v>2415</v>
      </c>
      <c r="C874" s="245" t="s">
        <v>2519</v>
      </c>
      <c r="D874" s="155" t="s">
        <v>1120</v>
      </c>
      <c r="E874" s="246" t="s">
        <v>92</v>
      </c>
      <c r="F874" s="154" t="str">
        <f t="array" ref="F874">XLOOKUP(Cover!$D$12,$S$1:$AA$1,$S874:$AA874)</f>
        <v>Comments Vendor</v>
      </c>
      <c r="G874" s="154" t="s">
        <v>2520</v>
      </c>
      <c r="H874" s="154" t="s">
        <v>413</v>
      </c>
      <c r="I874" s="154" t="s">
        <v>420</v>
      </c>
      <c r="J874" s="247" t="s">
        <v>445</v>
      </c>
      <c r="K874" s="247" t="s">
        <v>2521</v>
      </c>
      <c r="L874" s="154" t="str">
        <f t="shared" si="1"/>
        <v/>
      </c>
      <c r="M874" s="248" t="str">
        <f>IFERROR(__xludf.DUMMYFUNCTION("VLOOKUP(C874,IMPORTRANGE(""https://docs.google.com/spreadsheets/d/1P8eX0NWBhUPS_hvzA11R6jkTNFrPrRYIx_dX_hYbxrk/edit?resourcekey=0-iw9bsKY2OqkUHCFMkCar3A&amp;gid=2055363397#gid=2055363397"",""MTR!C:O""),11,false)"),"TAM")</f>
        <v>TAM</v>
      </c>
      <c r="N874" s="248" t="str">
        <f>IFERROR(__xludf.DUMMYFUNCTION("VLOOKUP(C874,IMPORTRANGE(""https://docs.google.com/spreadsheets/d/1ihFlp3_ePlYtFuPbUNbYj1muErVpI73WHXbEwJDIA7Q/edit#gid=1493122344"",""MTR!C:O""),8,false)"),"Complies")</f>
        <v>Complies</v>
      </c>
      <c r="O874" s="248" t="str">
        <f>IFERROR(__xludf.DUMMYFUNCTION("VLOOKUP(C874,IMPORTRANGE(""https://docs.google.com/spreadsheets/d/1P8eX0NWBhUPS_hvzA11R6jkTNFrPrRYIx_dX_hYbxrk/edit?resourcekey=0-iw9bsKY2OqkUHCFMkCar3A&amp;gid=2055363397#gid=2055363397"",""MTR!C:O""),9,false)"),"Google QNS")</f>
        <v>Google QNS</v>
      </c>
      <c r="P874" s="248"/>
      <c r="Q874" s="249" t="s">
        <v>445</v>
      </c>
      <c r="R874" s="249" t="s">
        <v>2521</v>
      </c>
      <c r="S874" s="154" t="s">
        <v>62</v>
      </c>
      <c r="T874" s="154" t="s">
        <v>62</v>
      </c>
      <c r="U874" s="154" t="s">
        <v>62</v>
      </c>
      <c r="V874" s="154" t="s">
        <v>62</v>
      </c>
      <c r="W874" s="154" t="s">
        <v>62</v>
      </c>
      <c r="X874" s="154" t="s">
        <v>62</v>
      </c>
      <c r="Y874" s="154" t="s">
        <v>62</v>
      </c>
      <c r="Z874" s="154" t="s">
        <v>62</v>
      </c>
      <c r="AA874" s="154" t="s">
        <v>62</v>
      </c>
      <c r="AB874" s="154"/>
      <c r="AC874" s="242" t="b">
        <f t="shared" si="2"/>
        <v>1</v>
      </c>
      <c r="AD874" s="154" t="s">
        <v>391</v>
      </c>
      <c r="AE874" s="243" t="b">
        <f t="shared" si="3"/>
        <v>1</v>
      </c>
      <c r="AF874" s="154"/>
      <c r="AG874" s="243" t="b">
        <f t="shared" si="4"/>
        <v>0</v>
      </c>
      <c r="AH874" s="154"/>
      <c r="AI874" s="243" t="str">
        <f t="shared" si="5"/>
        <v>N/A</v>
      </c>
      <c r="AJ874" s="157" t="str">
        <f t="shared" si="6"/>
        <v/>
      </c>
    </row>
    <row r="875" ht="12.75" customHeight="1">
      <c r="A875" s="238" t="s">
        <v>2412</v>
      </c>
      <c r="B875" s="238" t="s">
        <v>2415</v>
      </c>
      <c r="C875" s="238" t="s">
        <v>2522</v>
      </c>
      <c r="D875" s="238"/>
      <c r="E875" s="238"/>
      <c r="F875" s="154" t="str">
        <f t="array" ref="F875">XLOOKUP(Cover!$D$12,$S$1:$AA$1,$S875:$AA875)</f>
        <v>Heading</v>
      </c>
      <c r="G875" s="239" t="s">
        <v>2523</v>
      </c>
      <c r="H875" s="240"/>
      <c r="I875" s="240" t="s">
        <v>414</v>
      </c>
      <c r="J875" s="240"/>
      <c r="K875" s="240"/>
      <c r="L875" s="154" t="str">
        <f t="shared" si="1"/>
        <v/>
      </c>
      <c r="M875" s="241" t="str">
        <f>IFERROR(__xludf.DUMMYFUNCTION("VLOOKUP(C875,IMPORTRANGE(""https://docs.google.com/spreadsheets/d/1P8eX0NWBhUPS_hvzA11R6jkTNFrPrRYIx_dX_hYbxrk/edit?resourcekey=0-iw9bsKY2OqkUHCFMkCar3A&amp;gid=2055363397#gid=2055363397"",""MTR!C:O""),11,false)"),"")</f>
        <v/>
      </c>
      <c r="N875" s="241" t="str">
        <f>IFERROR(__xludf.DUMMYFUNCTION("VLOOKUP(C875,IMPORTRANGE(""https://docs.google.com/spreadsheets/d/1ihFlp3_ePlYtFuPbUNbYj1muErVpI73WHXbEwJDIA7Q/edit#gid=1493122344"",""MTR!C:O""),8,false)"),"")</f>
        <v/>
      </c>
      <c r="O875" s="241" t="str">
        <f>IFERROR(__xludf.DUMMYFUNCTION("VLOOKUP(C875,IMPORTRANGE(""https://docs.google.com/spreadsheets/d/1P8eX0NWBhUPS_hvzA11R6jkTNFrPrRYIx_dX_hYbxrk/edit?resourcekey=0-iw9bsKY2OqkUHCFMkCar3A&amp;gid=2055363397#gid=2055363397"",""MTR!C:O""),9,false)"),"")</f>
        <v/>
      </c>
      <c r="P875" s="241"/>
      <c r="Q875" s="251"/>
      <c r="R875" s="251"/>
      <c r="S875" s="240" t="s">
        <v>390</v>
      </c>
      <c r="T875" s="240" t="s">
        <v>390</v>
      </c>
      <c r="U875" s="240" t="s">
        <v>390</v>
      </c>
      <c r="V875" s="240" t="s">
        <v>390</v>
      </c>
      <c r="W875" s="240" t="s">
        <v>390</v>
      </c>
      <c r="X875" s="240" t="s">
        <v>390</v>
      </c>
      <c r="Y875" s="240" t="s">
        <v>390</v>
      </c>
      <c r="Z875" s="240" t="s">
        <v>390</v>
      </c>
      <c r="AA875" s="240" t="s">
        <v>390</v>
      </c>
      <c r="AB875" s="240"/>
      <c r="AC875" s="242" t="b">
        <f t="shared" si="2"/>
        <v>0</v>
      </c>
      <c r="AD875" s="240" t="s">
        <v>391</v>
      </c>
      <c r="AE875" s="243" t="b">
        <f t="shared" si="3"/>
        <v>0</v>
      </c>
      <c r="AF875" s="240"/>
      <c r="AG875" s="243" t="b">
        <f t="shared" si="4"/>
        <v>0</v>
      </c>
      <c r="AH875" s="240"/>
      <c r="AI875" s="243" t="str">
        <f t="shared" si="5"/>
        <v>N/A</v>
      </c>
      <c r="AJ875" s="157" t="str">
        <f t="shared" si="6"/>
        <v/>
      </c>
    </row>
    <row r="876" ht="12.75" customHeight="1">
      <c r="A876" s="244" t="s">
        <v>2412</v>
      </c>
      <c r="B876" s="244" t="s">
        <v>2415</v>
      </c>
      <c r="C876" s="244" t="s">
        <v>2524</v>
      </c>
      <c r="D876" s="154" t="s">
        <v>1282</v>
      </c>
      <c r="E876" s="250"/>
      <c r="F876" s="154" t="str">
        <f t="array" ref="F876">XLOOKUP(Cover!$D$12,$S$1:$AA$1,$S876:$AA876)</f>
        <v>Mandatory</v>
      </c>
      <c r="G876" s="154" t="s">
        <v>2525</v>
      </c>
      <c r="H876" s="154" t="s">
        <v>413</v>
      </c>
      <c r="I876" s="154" t="s">
        <v>414</v>
      </c>
      <c r="J876" s="247" t="s">
        <v>445</v>
      </c>
      <c r="K876" s="154"/>
      <c r="L876" s="154" t="str">
        <f t="shared" si="1"/>
        <v/>
      </c>
      <c r="M876" s="248" t="str">
        <f>IFERROR(__xludf.DUMMYFUNCTION("VLOOKUP(C876,IMPORTRANGE(""https://docs.google.com/spreadsheets/d/1P8eX0NWBhUPS_hvzA11R6jkTNFrPrRYIx_dX_hYbxrk/edit?resourcekey=0-iw9bsKY2OqkUHCFMkCar3A&amp;gid=2055363397#gid=2055363397"",""MTR!C:O""),11,false)"),"TAM")</f>
        <v>TAM</v>
      </c>
      <c r="N876" s="248" t="str">
        <f>IFERROR(__xludf.DUMMYFUNCTION("VLOOKUP(C876,IMPORTRANGE(""https://docs.google.com/spreadsheets/d/1ihFlp3_ePlYtFuPbUNbYj1muErVpI73WHXbEwJDIA7Q/edit#gid=1493122344"",""MTR!C:O""),8,false)"),"Complies")</f>
        <v>Complies</v>
      </c>
      <c r="O876" s="241" t="str">
        <f>IFERROR(__xludf.DUMMYFUNCTION("VLOOKUP(C876,IMPORTRANGE(""https://docs.google.com/spreadsheets/d/1P8eX0NWBhUPS_hvzA11R6jkTNFrPrRYIx_dX_hYbxrk/edit?resourcekey=0-iw9bsKY2OqkUHCFMkCar3A&amp;gid=2055363397#gid=2055363397"",""MTR!C:O""),9,false)"),"")</f>
        <v/>
      </c>
      <c r="P876" s="241"/>
      <c r="Q876" s="251" t="s">
        <v>445</v>
      </c>
      <c r="R876" s="241"/>
      <c r="S876" s="154" t="s">
        <v>64</v>
      </c>
      <c r="T876" s="154" t="s">
        <v>60</v>
      </c>
      <c r="U876" s="154" t="s">
        <v>60</v>
      </c>
      <c r="V876" s="154" t="s">
        <v>60</v>
      </c>
      <c r="W876" s="154" t="s">
        <v>60</v>
      </c>
      <c r="X876" s="154" t="s">
        <v>60</v>
      </c>
      <c r="Y876" s="154" t="s">
        <v>60</v>
      </c>
      <c r="Z876" s="154" t="s">
        <v>60</v>
      </c>
      <c r="AA876" s="154" t="s">
        <v>60</v>
      </c>
      <c r="AB876" s="154"/>
      <c r="AC876" s="242" t="b">
        <f t="shared" si="2"/>
        <v>1</v>
      </c>
      <c r="AD876" s="154" t="s">
        <v>391</v>
      </c>
      <c r="AE876" s="243" t="b">
        <f t="shared" si="3"/>
        <v>0</v>
      </c>
      <c r="AF876" s="154"/>
      <c r="AG876" s="243" t="b">
        <f t="shared" si="4"/>
        <v>0</v>
      </c>
      <c r="AH876" s="154"/>
      <c r="AI876" s="243" t="str">
        <f t="shared" si="5"/>
        <v>N/A</v>
      </c>
      <c r="AJ876" s="157" t="str">
        <f t="shared" si="6"/>
        <v/>
      </c>
    </row>
    <row r="877" ht="12.75" customHeight="1">
      <c r="A877" s="244" t="s">
        <v>2412</v>
      </c>
      <c r="B877" s="244" t="s">
        <v>2415</v>
      </c>
      <c r="C877" s="244" t="s">
        <v>2526</v>
      </c>
      <c r="D877" s="154" t="s">
        <v>649</v>
      </c>
      <c r="E877" s="250"/>
      <c r="F877" s="154" t="str">
        <f t="array" ref="F877">XLOOKUP(Cover!$D$12,$S$1:$AA$1,$S877:$AA877)</f>
        <v>Mandatory</v>
      </c>
      <c r="G877" s="154" t="s">
        <v>2527</v>
      </c>
      <c r="H877" s="154" t="s">
        <v>2528</v>
      </c>
      <c r="I877" s="154" t="s">
        <v>414</v>
      </c>
      <c r="J877" s="247" t="s">
        <v>445</v>
      </c>
      <c r="K877" s="154"/>
      <c r="L877" s="154" t="str">
        <f t="shared" si="1"/>
        <v/>
      </c>
      <c r="M877" s="248" t="str">
        <f>IFERROR(__xludf.DUMMYFUNCTION("VLOOKUP(C877,IMPORTRANGE(""https://docs.google.com/spreadsheets/d/1P8eX0NWBhUPS_hvzA11R6jkTNFrPrRYIx_dX_hYbxrk/edit?resourcekey=0-iw9bsKY2OqkUHCFMkCar3A&amp;gid=2055363397#gid=2055363397"",""MTR!C:O""),11,false)"),"TAM")</f>
        <v>TAM</v>
      </c>
      <c r="N877" s="248" t="str">
        <f>IFERROR(__xludf.DUMMYFUNCTION("VLOOKUP(C877,IMPORTRANGE(""https://docs.google.com/spreadsheets/d/1ihFlp3_ePlYtFuPbUNbYj1muErVpI73WHXbEwJDIA7Q/edit#gid=1493122344"",""MTR!C:O""),8,false)"),"Complies")</f>
        <v>Complies</v>
      </c>
      <c r="O877" s="241" t="str">
        <f>IFERROR(__xludf.DUMMYFUNCTION("VLOOKUP(C877,IMPORTRANGE(""https://docs.google.com/spreadsheets/d/1P8eX0NWBhUPS_hvzA11R6jkTNFrPrRYIx_dX_hYbxrk/edit?resourcekey=0-iw9bsKY2OqkUHCFMkCar3A&amp;gid=2055363397#gid=2055363397"",""MTR!C:O""),9,false)"),"")</f>
        <v/>
      </c>
      <c r="P877" s="241"/>
      <c r="Q877" s="251" t="s">
        <v>445</v>
      </c>
      <c r="R877" s="241"/>
      <c r="S877" s="154" t="s">
        <v>64</v>
      </c>
      <c r="T877" s="154" t="s">
        <v>60</v>
      </c>
      <c r="U877" s="154" t="s">
        <v>60</v>
      </c>
      <c r="V877" s="154" t="s">
        <v>60</v>
      </c>
      <c r="W877" s="154" t="s">
        <v>60</v>
      </c>
      <c r="X877" s="154" t="s">
        <v>60</v>
      </c>
      <c r="Y877" s="154" t="s">
        <v>60</v>
      </c>
      <c r="Z877" s="154" t="s">
        <v>60</v>
      </c>
      <c r="AA877" s="154" t="s">
        <v>60</v>
      </c>
      <c r="AB877" s="154"/>
      <c r="AC877" s="242" t="b">
        <f t="shared" si="2"/>
        <v>1</v>
      </c>
      <c r="AD877" s="154" t="s">
        <v>391</v>
      </c>
      <c r="AE877" s="243" t="b">
        <f t="shared" si="3"/>
        <v>0</v>
      </c>
      <c r="AF877" s="154"/>
      <c r="AG877" s="243" t="b">
        <f t="shared" si="4"/>
        <v>0</v>
      </c>
      <c r="AH877" s="154"/>
      <c r="AI877" s="243" t="str">
        <f t="shared" si="5"/>
        <v>N/A</v>
      </c>
      <c r="AJ877" s="157" t="str">
        <f t="shared" si="6"/>
        <v/>
      </c>
    </row>
    <row r="878" ht="12.75" customHeight="1">
      <c r="A878" s="244" t="s">
        <v>2412</v>
      </c>
      <c r="B878" s="244" t="s">
        <v>2415</v>
      </c>
      <c r="C878" s="244" t="s">
        <v>2529</v>
      </c>
      <c r="D878" s="154" t="s">
        <v>542</v>
      </c>
      <c r="E878" s="250"/>
      <c r="F878" s="154" t="str">
        <f t="array" ref="F878">XLOOKUP(Cover!$D$12,$S$1:$AA$1,$S878:$AA878)</f>
        <v>Mandatory</v>
      </c>
      <c r="G878" s="154" t="s">
        <v>2530</v>
      </c>
      <c r="H878" s="154" t="s">
        <v>2531</v>
      </c>
      <c r="I878" s="154" t="s">
        <v>414</v>
      </c>
      <c r="J878" s="247" t="s">
        <v>445</v>
      </c>
      <c r="K878" s="247" t="s">
        <v>2532</v>
      </c>
      <c r="L878" s="154" t="str">
        <f t="shared" si="1"/>
        <v/>
      </c>
      <c r="M878" s="248" t="str">
        <f>IFERROR(__xludf.DUMMYFUNCTION("VLOOKUP(C878,IMPORTRANGE(""https://docs.google.com/spreadsheets/d/1P8eX0NWBhUPS_hvzA11R6jkTNFrPrRYIx_dX_hYbxrk/edit?resourcekey=0-iw9bsKY2OqkUHCFMkCar3A&amp;gid=2055363397#gid=2055363397"",""MTR!C:O""),11,false)"),"TAM")</f>
        <v>TAM</v>
      </c>
      <c r="N878" s="248" t="str">
        <f>IFERROR(__xludf.DUMMYFUNCTION("VLOOKUP(C878,IMPORTRANGE(""https://docs.google.com/spreadsheets/d/1ihFlp3_ePlYtFuPbUNbYj1muErVpI73WHXbEwJDIA7Q/edit#gid=1493122344"",""MTR!C:O""),8,false)"),"Complies")</f>
        <v>Complies</v>
      </c>
      <c r="O878" s="248" t="str">
        <f>IFERROR(__xludf.DUMMYFUNCTION("VLOOKUP(C878,IMPORTRANGE(""https://docs.google.com/spreadsheets/d/1P8eX0NWBhUPS_hvzA11R6jkTNFrPrRYIx_dX_hYbxrk/edit?resourcekey=0-iw9bsKY2OqkUHCFMkCar3A&amp;gid=2055363397#gid=2055363397"",""MTR!C:O""),9,false)"),"Support Wi-Fi 6E")</f>
        <v>Support Wi-Fi 6E</v>
      </c>
      <c r="P878" s="248"/>
      <c r="Q878" s="249" t="s">
        <v>445</v>
      </c>
      <c r="R878" s="249" t="s">
        <v>2532</v>
      </c>
      <c r="S878" s="154" t="s">
        <v>64</v>
      </c>
      <c r="T878" s="154" t="s">
        <v>64</v>
      </c>
      <c r="U878" s="154" t="s">
        <v>64</v>
      </c>
      <c r="V878" s="154" t="s">
        <v>60</v>
      </c>
      <c r="W878" s="154" t="s">
        <v>60</v>
      </c>
      <c r="X878" s="154" t="s">
        <v>60</v>
      </c>
      <c r="Y878" s="154" t="s">
        <v>64</v>
      </c>
      <c r="Z878" s="154" t="s">
        <v>60</v>
      </c>
      <c r="AA878" s="154" t="s">
        <v>60</v>
      </c>
      <c r="AB878" s="154"/>
      <c r="AC878" s="242" t="b">
        <f t="shared" si="2"/>
        <v>1</v>
      </c>
      <c r="AD878" s="154" t="s">
        <v>391</v>
      </c>
      <c r="AE878" s="243" t="b">
        <f t="shared" si="3"/>
        <v>0</v>
      </c>
      <c r="AF878" s="154"/>
      <c r="AG878" s="243" t="b">
        <f t="shared" si="4"/>
        <v>0</v>
      </c>
      <c r="AH878" s="154"/>
      <c r="AI878" s="243" t="str">
        <f t="shared" si="5"/>
        <v>N/A</v>
      </c>
      <c r="AJ878" s="157" t="str">
        <f t="shared" si="6"/>
        <v/>
      </c>
    </row>
    <row r="879" ht="12.75" customHeight="1">
      <c r="A879" s="244" t="s">
        <v>2412</v>
      </c>
      <c r="B879" s="244" t="s">
        <v>2415</v>
      </c>
      <c r="C879" s="244" t="s">
        <v>2533</v>
      </c>
      <c r="D879" s="154" t="s">
        <v>1069</v>
      </c>
      <c r="E879" s="250"/>
      <c r="F879" s="154" t="str">
        <f t="array" ref="F879">XLOOKUP(Cover!$D$12,$S$1:$AA$1,$S879:$AA879)</f>
        <v>Mandatory</v>
      </c>
      <c r="G879" s="154" t="s">
        <v>2534</v>
      </c>
      <c r="H879" s="154" t="s">
        <v>2531</v>
      </c>
      <c r="I879" s="154" t="s">
        <v>414</v>
      </c>
      <c r="J879" s="247" t="s">
        <v>445</v>
      </c>
      <c r="K879" s="154"/>
      <c r="L879" s="154" t="str">
        <f t="shared" si="1"/>
        <v/>
      </c>
      <c r="M879" s="248" t="str">
        <f>IFERROR(__xludf.DUMMYFUNCTION("VLOOKUP(C879,IMPORTRANGE(""https://docs.google.com/spreadsheets/d/1P8eX0NWBhUPS_hvzA11R6jkTNFrPrRYIx_dX_hYbxrk/edit?resourcekey=0-iw9bsKY2OqkUHCFMkCar3A&amp;gid=2055363397#gid=2055363397"",""MTR!C:O""),11,false)"),"TAM")</f>
        <v>TAM</v>
      </c>
      <c r="N879" s="248" t="str">
        <f>IFERROR(__xludf.DUMMYFUNCTION("VLOOKUP(C879,IMPORTRANGE(""https://docs.google.com/spreadsheets/d/1ihFlp3_ePlYtFuPbUNbYj1muErVpI73WHXbEwJDIA7Q/edit#gid=1493122344"",""MTR!C:O""),8,false)"),"Complies")</f>
        <v>Complies</v>
      </c>
      <c r="O879" s="241" t="str">
        <f>IFERROR(__xludf.DUMMYFUNCTION("VLOOKUP(C879,IMPORTRANGE(""https://docs.google.com/spreadsheets/d/1P8eX0NWBhUPS_hvzA11R6jkTNFrPrRYIx_dX_hYbxrk/edit?resourcekey=0-iw9bsKY2OqkUHCFMkCar3A&amp;gid=2055363397#gid=2055363397"",""MTR!C:O""),9,false)"),"")</f>
        <v/>
      </c>
      <c r="P879" s="241"/>
      <c r="Q879" s="251" t="s">
        <v>445</v>
      </c>
      <c r="R879" s="251"/>
      <c r="S879" s="154" t="s">
        <v>64</v>
      </c>
      <c r="T879" s="154" t="s">
        <v>64</v>
      </c>
      <c r="U879" s="154" t="s">
        <v>64</v>
      </c>
      <c r="V879" s="154" t="s">
        <v>60</v>
      </c>
      <c r="W879" s="154" t="s">
        <v>60</v>
      </c>
      <c r="X879" s="154" t="s">
        <v>60</v>
      </c>
      <c r="Y879" s="154" t="s">
        <v>64</v>
      </c>
      <c r="Z879" s="154" t="s">
        <v>60</v>
      </c>
      <c r="AA879" s="154" t="s">
        <v>60</v>
      </c>
      <c r="AB879" s="154"/>
      <c r="AC879" s="242" t="b">
        <f t="shared" si="2"/>
        <v>1</v>
      </c>
      <c r="AD879" s="154" t="s">
        <v>391</v>
      </c>
      <c r="AE879" s="243" t="b">
        <f t="shared" si="3"/>
        <v>0</v>
      </c>
      <c r="AF879" s="154"/>
      <c r="AG879" s="243" t="b">
        <f t="shared" si="4"/>
        <v>0</v>
      </c>
      <c r="AH879" s="154"/>
      <c r="AI879" s="243" t="str">
        <f t="shared" si="5"/>
        <v>N/A</v>
      </c>
      <c r="AJ879" s="157" t="str">
        <f t="shared" si="6"/>
        <v/>
      </c>
    </row>
    <row r="880" ht="12.75" customHeight="1">
      <c r="A880" s="244" t="s">
        <v>2412</v>
      </c>
      <c r="B880" s="244" t="s">
        <v>2415</v>
      </c>
      <c r="C880" s="244" t="s">
        <v>2535</v>
      </c>
      <c r="D880" s="154" t="s">
        <v>861</v>
      </c>
      <c r="E880" s="250"/>
      <c r="F880" s="154" t="str">
        <f t="array" ref="F880">XLOOKUP(Cover!$D$12,$S$1:$AA$1,$S880:$AA880)</f>
        <v>Mandatory</v>
      </c>
      <c r="G880" s="154" t="s">
        <v>2536</v>
      </c>
      <c r="H880" s="154" t="s">
        <v>2537</v>
      </c>
      <c r="I880" s="154" t="s">
        <v>414</v>
      </c>
      <c r="J880" s="247" t="s">
        <v>445</v>
      </c>
      <c r="K880" s="154"/>
      <c r="L880" s="154" t="str">
        <f t="shared" si="1"/>
        <v/>
      </c>
      <c r="M880" s="248" t="str">
        <f>IFERROR(__xludf.DUMMYFUNCTION("VLOOKUP(C880,IMPORTRANGE(""https://docs.google.com/spreadsheets/d/1P8eX0NWBhUPS_hvzA11R6jkTNFrPrRYIx_dX_hYbxrk/edit?resourcekey=0-iw9bsKY2OqkUHCFMkCar3A&amp;gid=2055363397#gid=2055363397"",""MTR!C:O""),11,false)"),"TAM")</f>
        <v>TAM</v>
      </c>
      <c r="N880" s="248" t="str">
        <f>IFERROR(__xludf.DUMMYFUNCTION("VLOOKUP(C880,IMPORTRANGE(""https://docs.google.com/spreadsheets/d/1ihFlp3_ePlYtFuPbUNbYj1muErVpI73WHXbEwJDIA7Q/edit#gid=1493122344"",""MTR!C:O""),8,false)"),"Complies")</f>
        <v>Complies</v>
      </c>
      <c r="O880" s="241" t="str">
        <f>IFERROR(__xludf.DUMMYFUNCTION("VLOOKUP(C880,IMPORTRANGE(""https://docs.google.com/spreadsheets/d/1P8eX0NWBhUPS_hvzA11R6jkTNFrPrRYIx_dX_hYbxrk/edit?resourcekey=0-iw9bsKY2OqkUHCFMkCar3A&amp;gid=2055363397#gid=2055363397"",""MTR!C:O""),9,false)"),"")</f>
        <v/>
      </c>
      <c r="P880" s="241"/>
      <c r="Q880" s="251" t="s">
        <v>445</v>
      </c>
      <c r="R880" s="241"/>
      <c r="S880" s="154" t="s">
        <v>64</v>
      </c>
      <c r="T880" s="154" t="s">
        <v>64</v>
      </c>
      <c r="U880" s="154" t="s">
        <v>64</v>
      </c>
      <c r="V880" s="154" t="s">
        <v>64</v>
      </c>
      <c r="W880" s="154" t="s">
        <v>60</v>
      </c>
      <c r="X880" s="154" t="s">
        <v>60</v>
      </c>
      <c r="Y880" s="154" t="s">
        <v>64</v>
      </c>
      <c r="Z880" s="154" t="s">
        <v>64</v>
      </c>
      <c r="AA880" s="154" t="s">
        <v>60</v>
      </c>
      <c r="AB880" s="154"/>
      <c r="AC880" s="242" t="b">
        <f t="shared" si="2"/>
        <v>1</v>
      </c>
      <c r="AD880" s="154" t="s">
        <v>391</v>
      </c>
      <c r="AE880" s="243" t="b">
        <f t="shared" si="3"/>
        <v>0</v>
      </c>
      <c r="AF880" s="154"/>
      <c r="AG880" s="243" t="b">
        <f t="shared" si="4"/>
        <v>0</v>
      </c>
      <c r="AH880" s="154"/>
      <c r="AI880" s="243" t="str">
        <f t="shared" si="5"/>
        <v>N/A</v>
      </c>
      <c r="AJ880" s="157" t="str">
        <f t="shared" si="6"/>
        <v/>
      </c>
    </row>
    <row r="881" ht="12.75" customHeight="1">
      <c r="A881" s="244" t="s">
        <v>2412</v>
      </c>
      <c r="B881" s="244" t="s">
        <v>2415</v>
      </c>
      <c r="C881" s="244" t="s">
        <v>2538</v>
      </c>
      <c r="D881" s="154" t="s">
        <v>433</v>
      </c>
      <c r="E881" s="250"/>
      <c r="F881" s="154" t="str">
        <f t="array" ref="F881">XLOOKUP(Cover!$D$12,$S$1:$AA$1,$S881:$AA881)</f>
        <v>Mandatory</v>
      </c>
      <c r="G881" s="154" t="s">
        <v>2539</v>
      </c>
      <c r="H881" s="154" t="s">
        <v>413</v>
      </c>
      <c r="I881" s="154" t="s">
        <v>414</v>
      </c>
      <c r="J881" s="247" t="s">
        <v>445</v>
      </c>
      <c r="K881" s="154"/>
      <c r="L881" s="154" t="str">
        <f t="shared" si="1"/>
        <v/>
      </c>
      <c r="M881" s="248" t="str">
        <f>IFERROR(__xludf.DUMMYFUNCTION("VLOOKUP(C881,IMPORTRANGE(""https://docs.google.com/spreadsheets/d/1P8eX0NWBhUPS_hvzA11R6jkTNFrPrRYIx_dX_hYbxrk/edit?resourcekey=0-iw9bsKY2OqkUHCFMkCar3A&amp;gid=2055363397#gid=2055363397"",""MTR!C:O""),11,false)"),"TAM")</f>
        <v>TAM</v>
      </c>
      <c r="N881" s="248" t="str">
        <f>IFERROR(__xludf.DUMMYFUNCTION("VLOOKUP(C881,IMPORTRANGE(""https://docs.google.com/spreadsheets/d/1ihFlp3_ePlYtFuPbUNbYj1muErVpI73WHXbEwJDIA7Q/edit#gid=1493122344"",""MTR!C:O""),8,false)"),"Complies")</f>
        <v>Complies</v>
      </c>
      <c r="O881" s="241" t="str">
        <f>IFERROR(__xludf.DUMMYFUNCTION("VLOOKUP(C881,IMPORTRANGE(""https://docs.google.com/spreadsheets/d/1P8eX0NWBhUPS_hvzA11R6jkTNFrPrRYIx_dX_hYbxrk/edit?resourcekey=0-iw9bsKY2OqkUHCFMkCar3A&amp;gid=2055363397#gid=2055363397"",""MTR!C:O""),9,false)"),"")</f>
        <v/>
      </c>
      <c r="P881" s="241"/>
      <c r="Q881" s="251" t="s">
        <v>445</v>
      </c>
      <c r="R881" s="241"/>
      <c r="S881" s="154" t="s">
        <v>64</v>
      </c>
      <c r="T881" s="154" t="s">
        <v>60</v>
      </c>
      <c r="U881" s="154" t="s">
        <v>60</v>
      </c>
      <c r="V881" s="154" t="s">
        <v>60</v>
      </c>
      <c r="W881" s="154" t="s">
        <v>60</v>
      </c>
      <c r="X881" s="154" t="s">
        <v>60</v>
      </c>
      <c r="Y881" s="154" t="s">
        <v>60</v>
      </c>
      <c r="Z881" s="154" t="s">
        <v>60</v>
      </c>
      <c r="AA881" s="154" t="s">
        <v>60</v>
      </c>
      <c r="AB881" s="154"/>
      <c r="AC881" s="242" t="b">
        <f t="shared" si="2"/>
        <v>1</v>
      </c>
      <c r="AD881" s="154" t="s">
        <v>391</v>
      </c>
      <c r="AE881" s="243" t="b">
        <f t="shared" si="3"/>
        <v>0</v>
      </c>
      <c r="AF881" s="154"/>
      <c r="AG881" s="243" t="b">
        <f t="shared" si="4"/>
        <v>0</v>
      </c>
      <c r="AH881" s="154"/>
      <c r="AI881" s="243" t="str">
        <f t="shared" si="5"/>
        <v>N/A</v>
      </c>
      <c r="AJ881" s="157" t="str">
        <f t="shared" si="6"/>
        <v/>
      </c>
    </row>
    <row r="882" ht="12.75" customHeight="1">
      <c r="A882" s="244" t="s">
        <v>2412</v>
      </c>
      <c r="B882" s="244" t="s">
        <v>2415</v>
      </c>
      <c r="C882" s="244" t="s">
        <v>2540</v>
      </c>
      <c r="D882" s="154" t="s">
        <v>1069</v>
      </c>
      <c r="E882" s="250"/>
      <c r="F882" s="154" t="str">
        <f t="array" ref="F882">XLOOKUP(Cover!$D$12,$S$1:$AA$1,$S882:$AA882)</f>
        <v>Recommended</v>
      </c>
      <c r="G882" s="154" t="s">
        <v>2541</v>
      </c>
      <c r="H882" s="154"/>
      <c r="I882" s="154" t="s">
        <v>414</v>
      </c>
      <c r="J882" s="247" t="s">
        <v>516</v>
      </c>
      <c r="K882" s="154"/>
      <c r="L882" s="154" t="str">
        <f t="shared" si="1"/>
        <v/>
      </c>
      <c r="M882" s="248" t="str">
        <f>IFERROR(__xludf.DUMMYFUNCTION("VLOOKUP(C882,IMPORTRANGE(""https://docs.google.com/spreadsheets/d/1P8eX0NWBhUPS_hvzA11R6jkTNFrPrRYIx_dX_hYbxrk/edit?resourcekey=0-iw9bsKY2OqkUHCFMkCar3A&amp;gid=2055363397#gid=2055363397"",""MTR!C:O""),11,false)"),"TAM")</f>
        <v>TAM</v>
      </c>
      <c r="N882" s="248" t="str">
        <f>IFERROR(__xludf.DUMMYFUNCTION("VLOOKUP(C882,IMPORTRANGE(""https://docs.google.com/spreadsheets/d/1ihFlp3_ePlYtFuPbUNbYj1muErVpI73WHXbEwJDIA7Q/edit#gid=1493122344"",""MTR!C:O""),8,false)"),"Does Not Comply")</f>
        <v>Does Not Comply</v>
      </c>
      <c r="O882" s="241" t="str">
        <f>IFERROR(__xludf.DUMMYFUNCTION("VLOOKUP(C882,IMPORTRANGE(""https://docs.google.com/spreadsheets/d/1P8eX0NWBhUPS_hvzA11R6jkTNFrPrRYIx_dX_hYbxrk/edit?resourcekey=0-iw9bsKY2OqkUHCFMkCar3A&amp;gid=2055363397#gid=2055363397"",""MTR!C:O""),9,false)"),"")</f>
        <v/>
      </c>
      <c r="P882" s="241"/>
      <c r="Q882" s="251" t="s">
        <v>516</v>
      </c>
      <c r="R882" s="241"/>
      <c r="S882" s="154" t="s">
        <v>66</v>
      </c>
      <c r="T882" s="154" t="s">
        <v>64</v>
      </c>
      <c r="U882" s="154" t="s">
        <v>64</v>
      </c>
      <c r="V882" s="154" t="s">
        <v>64</v>
      </c>
      <c r="W882" s="154" t="s">
        <v>64</v>
      </c>
      <c r="X882" s="154" t="s">
        <v>64</v>
      </c>
      <c r="Y882" s="154" t="s">
        <v>64</v>
      </c>
      <c r="Z882" s="154" t="s">
        <v>64</v>
      </c>
      <c r="AA882" s="154" t="s">
        <v>64</v>
      </c>
      <c r="AB882" s="154"/>
      <c r="AC882" s="242" t="b">
        <f t="shared" si="2"/>
        <v>1</v>
      </c>
      <c r="AD882" s="154" t="s">
        <v>391</v>
      </c>
      <c r="AE882" s="243" t="b">
        <f t="shared" si="3"/>
        <v>0</v>
      </c>
      <c r="AF882" s="154"/>
      <c r="AG882" s="243" t="b">
        <f t="shared" si="4"/>
        <v>0</v>
      </c>
      <c r="AH882" s="154"/>
      <c r="AI882" s="243" t="str">
        <f t="shared" si="5"/>
        <v>N/A</v>
      </c>
      <c r="AJ882" s="157" t="str">
        <f t="shared" si="6"/>
        <v/>
      </c>
    </row>
    <row r="883" ht="12.75" customHeight="1">
      <c r="A883" s="244" t="s">
        <v>2412</v>
      </c>
      <c r="B883" s="244" t="s">
        <v>2415</v>
      </c>
      <c r="C883" s="244" t="s">
        <v>2542</v>
      </c>
      <c r="D883" s="154" t="s">
        <v>503</v>
      </c>
      <c r="E883" s="250"/>
      <c r="F883" s="154" t="str">
        <f t="array" ref="F883">XLOOKUP(Cover!$D$12,$S$1:$AA$1,$S883:$AA883)</f>
        <v>Mandatory</v>
      </c>
      <c r="G883" s="154" t="s">
        <v>2543</v>
      </c>
      <c r="H883" s="154" t="s">
        <v>343</v>
      </c>
      <c r="I883" s="154" t="s">
        <v>414</v>
      </c>
      <c r="J883" s="247" t="s">
        <v>516</v>
      </c>
      <c r="K883" s="247" t="s">
        <v>341</v>
      </c>
      <c r="L883" s="154" t="str">
        <f t="shared" si="1"/>
        <v/>
      </c>
      <c r="M883" s="248" t="str">
        <f>IFERROR(__xludf.DUMMYFUNCTION("VLOOKUP(C883,IMPORTRANGE(""https://docs.google.com/spreadsheets/d/1P8eX0NWBhUPS_hvzA11R6jkTNFrPrRYIx_dX_hYbxrk/edit?resourcekey=0-iw9bsKY2OqkUHCFMkCar3A&amp;gid=2055363397#gid=2055363397"",""MTR!C:O""),11,false)"),"TAM")</f>
        <v>TAM</v>
      </c>
      <c r="N883" s="248" t="str">
        <f>IFERROR(__xludf.DUMMYFUNCTION("VLOOKUP(C883,IMPORTRANGE(""https://docs.google.com/spreadsheets/d/1ihFlp3_ePlYtFuPbUNbYj1muErVpI73WHXbEwJDIA7Q/edit#gid=1493122344"",""MTR!C:O""),8,false)"),"Does Not Comply")</f>
        <v>Does Not Comply</v>
      </c>
      <c r="O883" s="248" t="str">
        <f>IFERROR(__xludf.DUMMYFUNCTION("VLOOKUP(C883,IMPORTRANGE(""https://docs.google.com/spreadsheets/d/1P8eX0NWBhUPS_hvzA11R6jkTNFrPrRYIx_dX_hYbxrk/edit?resourcekey=0-iw9bsKY2OqkUHCFMkCar3A&amp;gid=2055363397#gid=2055363397"",""MTR!C:O""),9,false)"),"WiFi 7")</f>
        <v>WiFi 7</v>
      </c>
      <c r="P883" s="248"/>
      <c r="Q883" s="249" t="s">
        <v>516</v>
      </c>
      <c r="R883" s="249" t="s">
        <v>341</v>
      </c>
      <c r="S883" s="154" t="s">
        <v>68</v>
      </c>
      <c r="T883" s="154" t="s">
        <v>66</v>
      </c>
      <c r="U883" s="154" t="s">
        <v>66</v>
      </c>
      <c r="V883" s="154" t="s">
        <v>64</v>
      </c>
      <c r="W883" s="154" t="s">
        <v>64</v>
      </c>
      <c r="X883" s="154" t="s">
        <v>60</v>
      </c>
      <c r="Y883" s="154" t="s">
        <v>66</v>
      </c>
      <c r="Z883" s="154" t="s">
        <v>64</v>
      </c>
      <c r="AA883" s="154" t="s">
        <v>60</v>
      </c>
      <c r="AB883" s="154"/>
      <c r="AC883" s="242" t="b">
        <f t="shared" si="2"/>
        <v>1</v>
      </c>
      <c r="AD883" s="154" t="s">
        <v>391</v>
      </c>
      <c r="AE883" s="243" t="b">
        <f t="shared" si="3"/>
        <v>0</v>
      </c>
      <c r="AF883" s="154"/>
      <c r="AG883" s="243" t="b">
        <f t="shared" si="4"/>
        <v>0</v>
      </c>
      <c r="AH883" s="154"/>
      <c r="AI883" s="243" t="str">
        <f t="shared" si="5"/>
        <v>N/A</v>
      </c>
      <c r="AJ883" s="157" t="str">
        <f t="shared" si="6"/>
        <v/>
      </c>
    </row>
    <row r="884" ht="12.75" customHeight="1">
      <c r="A884" s="244" t="s">
        <v>2412</v>
      </c>
      <c r="B884" s="244" t="s">
        <v>2415</v>
      </c>
      <c r="C884" s="244" t="s">
        <v>2544</v>
      </c>
      <c r="D884" s="154" t="s">
        <v>747</v>
      </c>
      <c r="E884" s="250"/>
      <c r="F884" s="154" t="str">
        <f t="array" ref="F884">XLOOKUP(Cover!$D$12,$S$1:$AA$1,$S884:$AA884)</f>
        <v>Recommended</v>
      </c>
      <c r="G884" s="154" t="s">
        <v>2545</v>
      </c>
      <c r="H884" s="154"/>
      <c r="I884" s="154" t="s">
        <v>414</v>
      </c>
      <c r="J884" s="247" t="s">
        <v>516</v>
      </c>
      <c r="K884" s="247" t="s">
        <v>2546</v>
      </c>
      <c r="L884" s="154" t="str">
        <f t="shared" si="1"/>
        <v/>
      </c>
      <c r="M884" s="248" t="str">
        <f>IFERROR(__xludf.DUMMYFUNCTION("VLOOKUP(C884,IMPORTRANGE(""https://docs.google.com/spreadsheets/d/1P8eX0NWBhUPS_hvzA11R6jkTNFrPrRYIx_dX_hYbxrk/edit?resourcekey=0-iw9bsKY2OqkUHCFMkCar3A&amp;gid=2055363397#gid=2055363397"",""MTR!C:O""),11,false)"),"TAM")</f>
        <v>TAM</v>
      </c>
      <c r="N884" s="248" t="str">
        <f>IFERROR(__xludf.DUMMYFUNCTION("VLOOKUP(C884,IMPORTRANGE(""https://docs.google.com/spreadsheets/d/1ihFlp3_ePlYtFuPbUNbYj1muErVpI73WHXbEwJDIA7Q/edit#gid=1493122344"",""MTR!C:O""),8,false)"),"Does Not Comply")</f>
        <v>Does Not Comply</v>
      </c>
      <c r="O884" s="248" t="str">
        <f>IFERROR(__xludf.DUMMYFUNCTION("VLOOKUP(C884,IMPORTRANGE(""https://docs.google.com/spreadsheets/d/1P8eX0NWBhUPS_hvzA11R6jkTNFrPrRYIx_dX_hYbxrk/edit?resourcekey=0-iw9bsKY2OqkUHCFMkCar3A&amp;gid=2055363397#gid=2055363397"",""MTR!C:O""),9,false)"),"Not support specific icon to display supported Wi-F")</f>
        <v>Not support specific icon to display supported Wi-F</v>
      </c>
      <c r="P884" s="248"/>
      <c r="Q884" s="249" t="s">
        <v>516</v>
      </c>
      <c r="R884" s="249" t="s">
        <v>2546</v>
      </c>
      <c r="S884" s="154" t="s">
        <v>64</v>
      </c>
      <c r="T884" s="154" t="s">
        <v>64</v>
      </c>
      <c r="U884" s="154" t="s">
        <v>64</v>
      </c>
      <c r="V884" s="154" t="s">
        <v>64</v>
      </c>
      <c r="W884" s="154" t="s">
        <v>64</v>
      </c>
      <c r="X884" s="154" t="s">
        <v>64</v>
      </c>
      <c r="Y884" s="154" t="s">
        <v>64</v>
      </c>
      <c r="Z884" s="154" t="s">
        <v>64</v>
      </c>
      <c r="AA884" s="154" t="s">
        <v>64</v>
      </c>
      <c r="AB884" s="154"/>
      <c r="AC884" s="242" t="b">
        <f t="shared" si="2"/>
        <v>1</v>
      </c>
      <c r="AD884" s="154" t="s">
        <v>391</v>
      </c>
      <c r="AE884" s="243" t="b">
        <f t="shared" si="3"/>
        <v>0</v>
      </c>
      <c r="AF884" s="154"/>
      <c r="AG884" s="243" t="b">
        <f t="shared" si="4"/>
        <v>0</v>
      </c>
      <c r="AH884" s="154"/>
      <c r="AI884" s="243" t="str">
        <f t="shared" si="5"/>
        <v>N/A</v>
      </c>
      <c r="AJ884" s="157" t="str">
        <f t="shared" si="6"/>
        <v/>
      </c>
    </row>
    <row r="885" ht="12.75" customHeight="1">
      <c r="A885" s="244" t="s">
        <v>2412</v>
      </c>
      <c r="B885" s="244" t="s">
        <v>2415</v>
      </c>
      <c r="C885" s="244" t="s">
        <v>2547</v>
      </c>
      <c r="D885" s="154" t="s">
        <v>433</v>
      </c>
      <c r="E885" s="250"/>
      <c r="F885" s="154" t="str">
        <f t="array" ref="F885">XLOOKUP(Cover!$D$12,$S$1:$AA$1,$S885:$AA885)</f>
        <v>Recommended</v>
      </c>
      <c r="G885" s="154" t="s">
        <v>2548</v>
      </c>
      <c r="H885" s="154"/>
      <c r="I885" s="154" t="s">
        <v>414</v>
      </c>
      <c r="J885" s="247" t="s">
        <v>516</v>
      </c>
      <c r="K885" s="154"/>
      <c r="L885" s="154" t="str">
        <f t="shared" si="1"/>
        <v/>
      </c>
      <c r="M885" s="248" t="str">
        <f>IFERROR(__xludf.DUMMYFUNCTION("VLOOKUP(C885,IMPORTRANGE(""https://docs.google.com/spreadsheets/d/1P8eX0NWBhUPS_hvzA11R6jkTNFrPrRYIx_dX_hYbxrk/edit?resourcekey=0-iw9bsKY2OqkUHCFMkCar3A&amp;gid=2055363397#gid=2055363397"",""MTR!C:O""),11,false)"),"TAM")</f>
        <v>TAM</v>
      </c>
      <c r="N885" s="248" t="str">
        <f>IFERROR(__xludf.DUMMYFUNCTION("VLOOKUP(C885,IMPORTRANGE(""https://docs.google.com/spreadsheets/d/1ihFlp3_ePlYtFuPbUNbYj1muErVpI73WHXbEwJDIA7Q/edit#gid=1493122344"",""MTR!C:O""),8,false)"),"Does Not Comply")</f>
        <v>Does Not Comply</v>
      </c>
      <c r="O885" s="241" t="str">
        <f>IFERROR(__xludf.DUMMYFUNCTION("VLOOKUP(C885,IMPORTRANGE(""https://docs.google.com/spreadsheets/d/1P8eX0NWBhUPS_hvzA11R6jkTNFrPrRYIx_dX_hYbxrk/edit?resourcekey=0-iw9bsKY2OqkUHCFMkCar3A&amp;gid=2055363397#gid=2055363397"",""MTR!C:O""),9,false)"),"")</f>
        <v/>
      </c>
      <c r="P885" s="241"/>
      <c r="Q885" s="251" t="s">
        <v>516</v>
      </c>
      <c r="R885" s="251"/>
      <c r="S885" s="154" t="s">
        <v>64</v>
      </c>
      <c r="T885" s="154" t="s">
        <v>64</v>
      </c>
      <c r="U885" s="154" t="s">
        <v>64</v>
      </c>
      <c r="V885" s="154" t="s">
        <v>64</v>
      </c>
      <c r="W885" s="154" t="s">
        <v>64</v>
      </c>
      <c r="X885" s="154" t="s">
        <v>64</v>
      </c>
      <c r="Y885" s="154" t="s">
        <v>64</v>
      </c>
      <c r="Z885" s="154" t="s">
        <v>64</v>
      </c>
      <c r="AA885" s="154" t="s">
        <v>64</v>
      </c>
      <c r="AB885" s="154"/>
      <c r="AC885" s="242" t="b">
        <f t="shared" si="2"/>
        <v>1</v>
      </c>
      <c r="AD885" s="154" t="s">
        <v>391</v>
      </c>
      <c r="AE885" s="243" t="b">
        <f t="shared" si="3"/>
        <v>0</v>
      </c>
      <c r="AF885" s="154"/>
      <c r="AG885" s="243" t="b">
        <f t="shared" si="4"/>
        <v>0</v>
      </c>
      <c r="AH885" s="154"/>
      <c r="AI885" s="243" t="str">
        <f t="shared" si="5"/>
        <v>N/A</v>
      </c>
      <c r="AJ885" s="157" t="str">
        <f t="shared" si="6"/>
        <v/>
      </c>
    </row>
    <row r="886" ht="12.75" customHeight="1">
      <c r="A886" s="244" t="s">
        <v>2412</v>
      </c>
      <c r="B886" s="244" t="s">
        <v>2415</v>
      </c>
      <c r="C886" s="244" t="s">
        <v>2549</v>
      </c>
      <c r="D886" s="154" t="s">
        <v>747</v>
      </c>
      <c r="E886" s="250"/>
      <c r="F886" s="154" t="str">
        <f t="array" ref="F886">XLOOKUP(Cover!$D$12,$S$1:$AA$1,$S886:$AA886)</f>
        <v>Recommended</v>
      </c>
      <c r="G886" s="154" t="s">
        <v>2550</v>
      </c>
      <c r="H886" s="154"/>
      <c r="I886" s="154" t="s">
        <v>414</v>
      </c>
      <c r="J886" s="247" t="s">
        <v>516</v>
      </c>
      <c r="K886" s="154"/>
      <c r="L886" s="154" t="str">
        <f t="shared" si="1"/>
        <v/>
      </c>
      <c r="M886" s="248" t="str">
        <f>IFERROR(__xludf.DUMMYFUNCTION("VLOOKUP(C886,IMPORTRANGE(""https://docs.google.com/spreadsheets/d/1P8eX0NWBhUPS_hvzA11R6jkTNFrPrRYIx_dX_hYbxrk/edit?resourcekey=0-iw9bsKY2OqkUHCFMkCar3A&amp;gid=2055363397#gid=2055363397"",""MTR!C:O""),11,false)"),"TAM")</f>
        <v>TAM</v>
      </c>
      <c r="N886" s="248" t="str">
        <f>IFERROR(__xludf.DUMMYFUNCTION("VLOOKUP(C886,IMPORTRANGE(""https://docs.google.com/spreadsheets/d/1ihFlp3_ePlYtFuPbUNbYj1muErVpI73WHXbEwJDIA7Q/edit#gid=1493122344"",""MTR!C:O""),8,false)"),"Does Not Comply")</f>
        <v>Does Not Comply</v>
      </c>
      <c r="O886" s="241" t="str">
        <f>IFERROR(__xludf.DUMMYFUNCTION("VLOOKUP(C886,IMPORTRANGE(""https://docs.google.com/spreadsheets/d/1P8eX0NWBhUPS_hvzA11R6jkTNFrPrRYIx_dX_hYbxrk/edit?resourcekey=0-iw9bsKY2OqkUHCFMkCar3A&amp;gid=2055363397#gid=2055363397"",""MTR!C:O""),9,false)"),"")</f>
        <v/>
      </c>
      <c r="P886" s="241"/>
      <c r="Q886" s="251" t="s">
        <v>516</v>
      </c>
      <c r="R886" s="241"/>
      <c r="S886" s="154" t="s">
        <v>64</v>
      </c>
      <c r="T886" s="154" t="s">
        <v>64</v>
      </c>
      <c r="U886" s="154" t="s">
        <v>64</v>
      </c>
      <c r="V886" s="154" t="s">
        <v>64</v>
      </c>
      <c r="W886" s="154" t="s">
        <v>64</v>
      </c>
      <c r="X886" s="154" t="s">
        <v>64</v>
      </c>
      <c r="Y886" s="154" t="s">
        <v>64</v>
      </c>
      <c r="Z886" s="154" t="s">
        <v>64</v>
      </c>
      <c r="AA886" s="154" t="s">
        <v>64</v>
      </c>
      <c r="AB886" s="154"/>
      <c r="AC886" s="242" t="b">
        <f t="shared" si="2"/>
        <v>1</v>
      </c>
      <c r="AD886" s="154" t="s">
        <v>391</v>
      </c>
      <c r="AE886" s="243" t="b">
        <f t="shared" si="3"/>
        <v>0</v>
      </c>
      <c r="AF886" s="154"/>
      <c r="AG886" s="243" t="b">
        <f t="shared" si="4"/>
        <v>0</v>
      </c>
      <c r="AH886" s="154"/>
      <c r="AI886" s="243" t="str">
        <f t="shared" si="5"/>
        <v>N/A</v>
      </c>
      <c r="AJ886" s="157" t="str">
        <f t="shared" si="6"/>
        <v/>
      </c>
    </row>
    <row r="887" ht="12.75" customHeight="1">
      <c r="A887" s="244" t="s">
        <v>2412</v>
      </c>
      <c r="B887" s="244" t="s">
        <v>2415</v>
      </c>
      <c r="C887" s="244" t="s">
        <v>2551</v>
      </c>
      <c r="D887" s="154" t="s">
        <v>649</v>
      </c>
      <c r="E887" s="250"/>
      <c r="F887" s="154" t="str">
        <f t="array" ref="F887">XLOOKUP(Cover!$D$12,$S$1:$AA$1,$S887:$AA887)</f>
        <v>Mandatory</v>
      </c>
      <c r="G887" s="154" t="s">
        <v>2552</v>
      </c>
      <c r="H887" s="154" t="s">
        <v>413</v>
      </c>
      <c r="I887" s="154" t="s">
        <v>414</v>
      </c>
      <c r="J887" s="247" t="s">
        <v>445</v>
      </c>
      <c r="K887" s="154"/>
      <c r="L887" s="154" t="str">
        <f t="shared" si="1"/>
        <v/>
      </c>
      <c r="M887" s="248" t="str">
        <f>IFERROR(__xludf.DUMMYFUNCTION("VLOOKUP(C887,IMPORTRANGE(""https://docs.google.com/spreadsheets/d/1P8eX0NWBhUPS_hvzA11R6jkTNFrPrRYIx_dX_hYbxrk/edit?resourcekey=0-iw9bsKY2OqkUHCFMkCar3A&amp;gid=2055363397#gid=2055363397"",""MTR!C:O""),11,false)"),"TAM")</f>
        <v>TAM</v>
      </c>
      <c r="N887" s="248" t="str">
        <f>IFERROR(__xludf.DUMMYFUNCTION("VLOOKUP(C887,IMPORTRANGE(""https://docs.google.com/spreadsheets/d/1ihFlp3_ePlYtFuPbUNbYj1muErVpI73WHXbEwJDIA7Q/edit#gid=1493122344"",""MTR!C:O""),8,false)"),"Complies")</f>
        <v>Complies</v>
      </c>
      <c r="O887" s="241" t="str">
        <f>IFERROR(__xludf.DUMMYFUNCTION("VLOOKUP(C887,IMPORTRANGE(""https://docs.google.com/spreadsheets/d/1P8eX0NWBhUPS_hvzA11R6jkTNFrPrRYIx_dX_hYbxrk/edit?resourcekey=0-iw9bsKY2OqkUHCFMkCar3A&amp;gid=2055363397#gid=2055363397"",""MTR!C:O""),9,false)"),"")</f>
        <v/>
      </c>
      <c r="P887" s="241"/>
      <c r="Q887" s="251" t="s">
        <v>445</v>
      </c>
      <c r="R887" s="241"/>
      <c r="S887" s="154" t="s">
        <v>60</v>
      </c>
      <c r="T887" s="154" t="s">
        <v>60</v>
      </c>
      <c r="U887" s="154" t="s">
        <v>60</v>
      </c>
      <c r="V887" s="154" t="s">
        <v>60</v>
      </c>
      <c r="W887" s="154" t="s">
        <v>60</v>
      </c>
      <c r="X887" s="154" t="s">
        <v>60</v>
      </c>
      <c r="Y887" s="154" t="s">
        <v>60</v>
      </c>
      <c r="Z887" s="154" t="s">
        <v>60</v>
      </c>
      <c r="AA887" s="154" t="s">
        <v>60</v>
      </c>
      <c r="AB887" s="154"/>
      <c r="AC887" s="242" t="b">
        <f t="shared" si="2"/>
        <v>1</v>
      </c>
      <c r="AD887" s="154" t="s">
        <v>391</v>
      </c>
      <c r="AE887" s="243" t="b">
        <f t="shared" si="3"/>
        <v>0</v>
      </c>
      <c r="AF887" s="154"/>
      <c r="AG887" s="243" t="b">
        <f t="shared" si="4"/>
        <v>0</v>
      </c>
      <c r="AH887" s="154"/>
      <c r="AI887" s="243" t="str">
        <f t="shared" si="5"/>
        <v>N/A</v>
      </c>
      <c r="AJ887" s="157" t="str">
        <f t="shared" si="6"/>
        <v/>
      </c>
    </row>
    <row r="888" ht="12.75" customHeight="1">
      <c r="A888" s="244" t="s">
        <v>2412</v>
      </c>
      <c r="B888" s="244" t="s">
        <v>2415</v>
      </c>
      <c r="C888" s="244" t="s">
        <v>2553</v>
      </c>
      <c r="D888" s="154" t="s">
        <v>649</v>
      </c>
      <c r="E888" s="250"/>
      <c r="F888" s="154" t="str">
        <f t="array" ref="F888">XLOOKUP(Cover!$D$12,$S$1:$AA$1,$S888:$AA888)</f>
        <v>Mandatory</v>
      </c>
      <c r="G888" s="154" t="s">
        <v>2554</v>
      </c>
      <c r="H888" s="154" t="s">
        <v>413</v>
      </c>
      <c r="I888" s="154" t="s">
        <v>414</v>
      </c>
      <c r="J888" s="247" t="s">
        <v>445</v>
      </c>
      <c r="K888" s="154"/>
      <c r="L888" s="154" t="str">
        <f t="shared" si="1"/>
        <v/>
      </c>
      <c r="M888" s="248" t="str">
        <f>IFERROR(__xludf.DUMMYFUNCTION("VLOOKUP(C888,IMPORTRANGE(""https://docs.google.com/spreadsheets/d/1P8eX0NWBhUPS_hvzA11R6jkTNFrPrRYIx_dX_hYbxrk/edit?resourcekey=0-iw9bsKY2OqkUHCFMkCar3A&amp;gid=2055363397#gid=2055363397"",""MTR!C:O""),11,false)"),"TAM")</f>
        <v>TAM</v>
      </c>
      <c r="N888" s="248" t="str">
        <f>IFERROR(__xludf.DUMMYFUNCTION("VLOOKUP(C888,IMPORTRANGE(""https://docs.google.com/spreadsheets/d/1ihFlp3_ePlYtFuPbUNbYj1muErVpI73WHXbEwJDIA7Q/edit#gid=1493122344"",""MTR!C:O""),8,false)"),"Complies")</f>
        <v>Complies</v>
      </c>
      <c r="O888" s="241" t="str">
        <f>IFERROR(__xludf.DUMMYFUNCTION("VLOOKUP(C888,IMPORTRANGE(""https://docs.google.com/spreadsheets/d/1P8eX0NWBhUPS_hvzA11R6jkTNFrPrRYIx_dX_hYbxrk/edit?resourcekey=0-iw9bsKY2OqkUHCFMkCar3A&amp;gid=2055363397#gid=2055363397"",""MTR!C:O""),9,false)"),"")</f>
        <v/>
      </c>
      <c r="P888" s="241"/>
      <c r="Q888" s="251" t="s">
        <v>445</v>
      </c>
      <c r="R888" s="241"/>
      <c r="S888" s="154" t="s">
        <v>60</v>
      </c>
      <c r="T888" s="154" t="s">
        <v>60</v>
      </c>
      <c r="U888" s="154" t="s">
        <v>60</v>
      </c>
      <c r="V888" s="154" t="s">
        <v>60</v>
      </c>
      <c r="W888" s="154" t="s">
        <v>60</v>
      </c>
      <c r="X888" s="154" t="s">
        <v>60</v>
      </c>
      <c r="Y888" s="154" t="s">
        <v>60</v>
      </c>
      <c r="Z888" s="154" t="s">
        <v>60</v>
      </c>
      <c r="AA888" s="154" t="s">
        <v>60</v>
      </c>
      <c r="AB888" s="154"/>
      <c r="AC888" s="242" t="b">
        <f t="shared" si="2"/>
        <v>1</v>
      </c>
      <c r="AD888" s="154" t="s">
        <v>391</v>
      </c>
      <c r="AE888" s="243" t="b">
        <f t="shared" si="3"/>
        <v>0</v>
      </c>
      <c r="AF888" s="154"/>
      <c r="AG888" s="243" t="b">
        <f t="shared" si="4"/>
        <v>0</v>
      </c>
      <c r="AH888" s="154"/>
      <c r="AI888" s="243" t="str">
        <f t="shared" si="5"/>
        <v>N/A</v>
      </c>
      <c r="AJ888" s="157" t="str">
        <f t="shared" si="6"/>
        <v/>
      </c>
    </row>
    <row r="889" ht="12.75" customHeight="1">
      <c r="A889" s="244" t="s">
        <v>2412</v>
      </c>
      <c r="B889" s="244" t="s">
        <v>2415</v>
      </c>
      <c r="C889" s="244" t="s">
        <v>2555</v>
      </c>
      <c r="D889" s="154" t="s">
        <v>411</v>
      </c>
      <c r="E889" s="250"/>
      <c r="F889" s="154" t="str">
        <f t="array" ref="F889">XLOOKUP(Cover!$D$12,$S$1:$AA$1,$S889:$AA889)</f>
        <v>Mandatory</v>
      </c>
      <c r="G889" s="154" t="s">
        <v>2556</v>
      </c>
      <c r="H889" s="154" t="s">
        <v>413</v>
      </c>
      <c r="I889" s="154" t="s">
        <v>414</v>
      </c>
      <c r="J889" s="247" t="s">
        <v>445</v>
      </c>
      <c r="K889" s="154"/>
      <c r="L889" s="154" t="str">
        <f t="shared" si="1"/>
        <v/>
      </c>
      <c r="M889" s="248" t="str">
        <f>IFERROR(__xludf.DUMMYFUNCTION("VLOOKUP(C889,IMPORTRANGE(""https://docs.google.com/spreadsheets/d/1P8eX0NWBhUPS_hvzA11R6jkTNFrPrRYIx_dX_hYbxrk/edit?resourcekey=0-iw9bsKY2OqkUHCFMkCar3A&amp;gid=2055363397#gid=2055363397"",""MTR!C:O""),11,false)"),"TAM")</f>
        <v>TAM</v>
      </c>
      <c r="N889" s="248" t="str">
        <f>IFERROR(__xludf.DUMMYFUNCTION("VLOOKUP(C889,IMPORTRANGE(""https://docs.google.com/spreadsheets/d/1ihFlp3_ePlYtFuPbUNbYj1muErVpI73WHXbEwJDIA7Q/edit#gid=1493122344"",""MTR!C:O""),8,false)"),"Complies")</f>
        <v>Complies</v>
      </c>
      <c r="O889" s="241" t="str">
        <f>IFERROR(__xludf.DUMMYFUNCTION("VLOOKUP(C889,IMPORTRANGE(""https://docs.google.com/spreadsheets/d/1P8eX0NWBhUPS_hvzA11R6jkTNFrPrRYIx_dX_hYbxrk/edit?resourcekey=0-iw9bsKY2OqkUHCFMkCar3A&amp;gid=2055363397#gid=2055363397"",""MTR!C:O""),9,false)"),"")</f>
        <v/>
      </c>
      <c r="P889" s="241"/>
      <c r="Q889" s="251" t="s">
        <v>445</v>
      </c>
      <c r="R889" s="241"/>
      <c r="S889" s="154" t="s">
        <v>60</v>
      </c>
      <c r="T889" s="154" t="s">
        <v>60</v>
      </c>
      <c r="U889" s="154" t="s">
        <v>60</v>
      </c>
      <c r="V889" s="154" t="s">
        <v>60</v>
      </c>
      <c r="W889" s="154" t="s">
        <v>60</v>
      </c>
      <c r="X889" s="154" t="s">
        <v>60</v>
      </c>
      <c r="Y889" s="154" t="s">
        <v>60</v>
      </c>
      <c r="Z889" s="154" t="s">
        <v>60</v>
      </c>
      <c r="AA889" s="154" t="s">
        <v>60</v>
      </c>
      <c r="AB889" s="154"/>
      <c r="AC889" s="242" t="b">
        <f t="shared" si="2"/>
        <v>1</v>
      </c>
      <c r="AD889" s="154" t="s">
        <v>391</v>
      </c>
      <c r="AE889" s="243" t="b">
        <f t="shared" si="3"/>
        <v>0</v>
      </c>
      <c r="AF889" s="154"/>
      <c r="AG889" s="243" t="b">
        <f t="shared" si="4"/>
        <v>0</v>
      </c>
      <c r="AH889" s="154"/>
      <c r="AI889" s="243" t="str">
        <f t="shared" si="5"/>
        <v>N/A</v>
      </c>
      <c r="AJ889" s="157" t="str">
        <f t="shared" si="6"/>
        <v/>
      </c>
    </row>
    <row r="890" ht="12.75" customHeight="1">
      <c r="A890" s="244" t="s">
        <v>2412</v>
      </c>
      <c r="B890" s="244" t="s">
        <v>2415</v>
      </c>
      <c r="C890" s="244" t="s">
        <v>2557</v>
      </c>
      <c r="D890" s="154" t="s">
        <v>747</v>
      </c>
      <c r="E890" s="250"/>
      <c r="F890" s="154" t="str">
        <f t="array" ref="F890">XLOOKUP(Cover!$D$12,$S$1:$AA$1,$S890:$AA890)</f>
        <v>Recommended</v>
      </c>
      <c r="G890" s="154" t="s">
        <v>2558</v>
      </c>
      <c r="H890" s="154"/>
      <c r="I890" s="154" t="s">
        <v>414</v>
      </c>
      <c r="J890" s="247" t="s">
        <v>445</v>
      </c>
      <c r="K890" s="154"/>
      <c r="L890" s="154" t="str">
        <f t="shared" si="1"/>
        <v/>
      </c>
      <c r="M890" s="248" t="str">
        <f>IFERROR(__xludf.DUMMYFUNCTION("VLOOKUP(C890,IMPORTRANGE(""https://docs.google.com/spreadsheets/d/1P8eX0NWBhUPS_hvzA11R6jkTNFrPrRYIx_dX_hYbxrk/edit?resourcekey=0-iw9bsKY2OqkUHCFMkCar3A&amp;gid=2055363397#gid=2055363397"",""MTR!C:O""),11,false)"),"TAM")</f>
        <v>TAM</v>
      </c>
      <c r="N890" s="248" t="str">
        <f>IFERROR(__xludf.DUMMYFUNCTION("VLOOKUP(C890,IMPORTRANGE(""https://docs.google.com/spreadsheets/d/1ihFlp3_ePlYtFuPbUNbYj1muErVpI73WHXbEwJDIA7Q/edit#gid=1493122344"",""MTR!C:O""),8,false)"),"Complies")</f>
        <v>Complies</v>
      </c>
      <c r="O890" s="241" t="str">
        <f>IFERROR(__xludf.DUMMYFUNCTION("VLOOKUP(C890,IMPORTRANGE(""https://docs.google.com/spreadsheets/d/1P8eX0NWBhUPS_hvzA11R6jkTNFrPrRYIx_dX_hYbxrk/edit?resourcekey=0-iw9bsKY2OqkUHCFMkCar3A&amp;gid=2055363397#gid=2055363397"",""MTR!C:O""),9,false)"),"")</f>
        <v/>
      </c>
      <c r="P890" s="241"/>
      <c r="Q890" s="251" t="s">
        <v>445</v>
      </c>
      <c r="R890" s="241"/>
      <c r="S890" s="154" t="s">
        <v>64</v>
      </c>
      <c r="T890" s="154" t="s">
        <v>64</v>
      </c>
      <c r="U890" s="154" t="s">
        <v>64</v>
      </c>
      <c r="V890" s="154" t="s">
        <v>64</v>
      </c>
      <c r="W890" s="154" t="s">
        <v>64</v>
      </c>
      <c r="X890" s="154" t="s">
        <v>64</v>
      </c>
      <c r="Y890" s="154" t="s">
        <v>64</v>
      </c>
      <c r="Z890" s="154" t="s">
        <v>64</v>
      </c>
      <c r="AA890" s="154" t="s">
        <v>64</v>
      </c>
      <c r="AB890" s="154"/>
      <c r="AC890" s="242" t="b">
        <f t="shared" si="2"/>
        <v>1</v>
      </c>
      <c r="AD890" s="154" t="s">
        <v>391</v>
      </c>
      <c r="AE890" s="243" t="b">
        <f t="shared" si="3"/>
        <v>0</v>
      </c>
      <c r="AF890" s="154"/>
      <c r="AG890" s="243" t="b">
        <f t="shared" si="4"/>
        <v>0</v>
      </c>
      <c r="AH890" s="154"/>
      <c r="AI890" s="243" t="str">
        <f t="shared" si="5"/>
        <v>N/A</v>
      </c>
      <c r="AJ890" s="157" t="str">
        <f t="shared" si="6"/>
        <v/>
      </c>
    </row>
    <row r="891" ht="12.75" customHeight="1">
      <c r="A891" s="244" t="s">
        <v>2412</v>
      </c>
      <c r="B891" s="244" t="s">
        <v>2415</v>
      </c>
      <c r="C891" s="244" t="s">
        <v>2559</v>
      </c>
      <c r="D891" s="154" t="s">
        <v>747</v>
      </c>
      <c r="E891" s="250"/>
      <c r="F891" s="154" t="str">
        <f t="array" ref="F891">XLOOKUP(Cover!$D$12,$S$1:$AA$1,$S891:$AA891)</f>
        <v>Recommended</v>
      </c>
      <c r="G891" s="154" t="s">
        <v>2560</v>
      </c>
      <c r="H891" s="154"/>
      <c r="I891" s="154" t="s">
        <v>414</v>
      </c>
      <c r="J891" s="247" t="s">
        <v>445</v>
      </c>
      <c r="K891" s="154"/>
      <c r="L891" s="154" t="str">
        <f t="shared" si="1"/>
        <v/>
      </c>
      <c r="M891" s="248" t="str">
        <f>IFERROR(__xludf.DUMMYFUNCTION("VLOOKUP(C891,IMPORTRANGE(""https://docs.google.com/spreadsheets/d/1P8eX0NWBhUPS_hvzA11R6jkTNFrPrRYIx_dX_hYbxrk/edit?resourcekey=0-iw9bsKY2OqkUHCFMkCar3A&amp;gid=2055363397#gid=2055363397"",""MTR!C:O""),11,false)"),"TAM")</f>
        <v>TAM</v>
      </c>
      <c r="N891" s="248" t="str">
        <f>IFERROR(__xludf.DUMMYFUNCTION("VLOOKUP(C891,IMPORTRANGE(""https://docs.google.com/spreadsheets/d/1ihFlp3_ePlYtFuPbUNbYj1muErVpI73WHXbEwJDIA7Q/edit#gid=1493122344"",""MTR!C:O""),8,false)"),"Complies")</f>
        <v>Complies</v>
      </c>
      <c r="O891" s="241" t="str">
        <f>IFERROR(__xludf.DUMMYFUNCTION("VLOOKUP(C891,IMPORTRANGE(""https://docs.google.com/spreadsheets/d/1P8eX0NWBhUPS_hvzA11R6jkTNFrPrRYIx_dX_hYbxrk/edit?resourcekey=0-iw9bsKY2OqkUHCFMkCar3A&amp;gid=2055363397#gid=2055363397"",""MTR!C:O""),9,false)"),"")</f>
        <v/>
      </c>
      <c r="P891" s="241"/>
      <c r="Q891" s="251" t="s">
        <v>445</v>
      </c>
      <c r="R891" s="241"/>
      <c r="S891" s="154" t="s">
        <v>64</v>
      </c>
      <c r="T891" s="154" t="s">
        <v>64</v>
      </c>
      <c r="U891" s="154" t="s">
        <v>64</v>
      </c>
      <c r="V891" s="154" t="s">
        <v>64</v>
      </c>
      <c r="W891" s="154" t="s">
        <v>64</v>
      </c>
      <c r="X891" s="154" t="s">
        <v>64</v>
      </c>
      <c r="Y891" s="154" t="s">
        <v>64</v>
      </c>
      <c r="Z891" s="154" t="s">
        <v>64</v>
      </c>
      <c r="AA891" s="154" t="s">
        <v>64</v>
      </c>
      <c r="AB891" s="154"/>
      <c r="AC891" s="242" t="b">
        <f t="shared" si="2"/>
        <v>1</v>
      </c>
      <c r="AD891" s="154" t="s">
        <v>391</v>
      </c>
      <c r="AE891" s="243" t="b">
        <f t="shared" si="3"/>
        <v>0</v>
      </c>
      <c r="AF891" s="154"/>
      <c r="AG891" s="243" t="b">
        <f t="shared" si="4"/>
        <v>0</v>
      </c>
      <c r="AH891" s="154"/>
      <c r="AI891" s="243" t="str">
        <f t="shared" si="5"/>
        <v>N/A</v>
      </c>
      <c r="AJ891" s="157" t="str">
        <f t="shared" si="6"/>
        <v/>
      </c>
    </row>
    <row r="892" ht="12.75" customHeight="1">
      <c r="A892" s="238" t="s">
        <v>2412</v>
      </c>
      <c r="B892" s="238" t="s">
        <v>2415</v>
      </c>
      <c r="C892" s="238" t="s">
        <v>2561</v>
      </c>
      <c r="D892" s="238"/>
      <c r="E892" s="238"/>
      <c r="F892" s="154" t="str">
        <f t="array" ref="F892">XLOOKUP(Cover!$D$12,$S$1:$AA$1,$S892:$AA892)</f>
        <v>Heading</v>
      </c>
      <c r="G892" s="239" t="s">
        <v>2562</v>
      </c>
      <c r="H892" s="240"/>
      <c r="I892" s="240" t="s">
        <v>414</v>
      </c>
      <c r="J892" s="240"/>
      <c r="K892" s="240"/>
      <c r="L892" s="154" t="str">
        <f t="shared" si="1"/>
        <v/>
      </c>
      <c r="M892" s="241" t="str">
        <f>IFERROR(__xludf.DUMMYFUNCTION("VLOOKUP(C892,IMPORTRANGE(""https://docs.google.com/spreadsheets/d/1P8eX0NWBhUPS_hvzA11R6jkTNFrPrRYIx_dX_hYbxrk/edit?resourcekey=0-iw9bsKY2OqkUHCFMkCar3A&amp;gid=2055363397#gid=2055363397"",""MTR!C:O""),11,false)"),"")</f>
        <v/>
      </c>
      <c r="N892" s="241" t="str">
        <f>IFERROR(__xludf.DUMMYFUNCTION("VLOOKUP(C892,IMPORTRANGE(""https://docs.google.com/spreadsheets/d/1ihFlp3_ePlYtFuPbUNbYj1muErVpI73WHXbEwJDIA7Q/edit#gid=1493122344"",""MTR!C:O""),8,false)"),"")</f>
        <v/>
      </c>
      <c r="O892" s="241" t="str">
        <f>IFERROR(__xludf.DUMMYFUNCTION("VLOOKUP(C892,IMPORTRANGE(""https://docs.google.com/spreadsheets/d/1P8eX0NWBhUPS_hvzA11R6jkTNFrPrRYIx_dX_hYbxrk/edit?resourcekey=0-iw9bsKY2OqkUHCFMkCar3A&amp;gid=2055363397#gid=2055363397"",""MTR!C:O""),9,false)"),"")</f>
        <v/>
      </c>
      <c r="P892" s="241"/>
      <c r="Q892" s="251"/>
      <c r="R892" s="241"/>
      <c r="S892" s="240" t="s">
        <v>390</v>
      </c>
      <c r="T892" s="240" t="s">
        <v>390</v>
      </c>
      <c r="U892" s="240" t="s">
        <v>390</v>
      </c>
      <c r="V892" s="240" t="s">
        <v>390</v>
      </c>
      <c r="W892" s="240" t="s">
        <v>390</v>
      </c>
      <c r="X892" s="240" t="s">
        <v>390</v>
      </c>
      <c r="Y892" s="240" t="s">
        <v>390</v>
      </c>
      <c r="Z892" s="240" t="s">
        <v>390</v>
      </c>
      <c r="AA892" s="240" t="s">
        <v>390</v>
      </c>
      <c r="AB892" s="240"/>
      <c r="AC892" s="242" t="b">
        <f t="shared" si="2"/>
        <v>0</v>
      </c>
      <c r="AD892" s="240" t="s">
        <v>391</v>
      </c>
      <c r="AE892" s="243" t="b">
        <f t="shared" si="3"/>
        <v>0</v>
      </c>
      <c r="AF892" s="240"/>
      <c r="AG892" s="243" t="b">
        <f t="shared" si="4"/>
        <v>0</v>
      </c>
      <c r="AH892" s="240"/>
      <c r="AI892" s="243" t="str">
        <f t="shared" si="5"/>
        <v>N/A</v>
      </c>
      <c r="AJ892" s="157" t="str">
        <f t="shared" si="6"/>
        <v/>
      </c>
    </row>
    <row r="893" ht="12.75" customHeight="1">
      <c r="A893" s="244" t="s">
        <v>2412</v>
      </c>
      <c r="B893" s="244" t="s">
        <v>2415</v>
      </c>
      <c r="C893" s="244" t="s">
        <v>2563</v>
      </c>
      <c r="D893" s="154" t="s">
        <v>443</v>
      </c>
      <c r="E893" s="250"/>
      <c r="F893" s="154" t="str">
        <f t="array" ref="F893">XLOOKUP(Cover!$D$12,$S$1:$AA$1,$S893:$AA893)</f>
        <v>Mandatory</v>
      </c>
      <c r="G893" s="154" t="s">
        <v>2564</v>
      </c>
      <c r="H893" s="154" t="s">
        <v>413</v>
      </c>
      <c r="I893" s="154" t="s">
        <v>414</v>
      </c>
      <c r="J893" s="247" t="s">
        <v>445</v>
      </c>
      <c r="K893" s="154"/>
      <c r="L893" s="154" t="str">
        <f t="shared" si="1"/>
        <v/>
      </c>
      <c r="M893" s="248" t="str">
        <f>IFERROR(__xludf.DUMMYFUNCTION("VLOOKUP(C893,IMPORTRANGE(""https://docs.google.com/spreadsheets/d/1P8eX0NWBhUPS_hvzA11R6jkTNFrPrRYIx_dX_hYbxrk/edit?resourcekey=0-iw9bsKY2OqkUHCFMkCar3A&amp;gid=2055363397#gid=2055363397"",""MTR!C:O""),11,false)"),"TAM")</f>
        <v>TAM</v>
      </c>
      <c r="N893" s="248" t="str">
        <f>IFERROR(__xludf.DUMMYFUNCTION("VLOOKUP(C893,IMPORTRANGE(""https://docs.google.com/spreadsheets/d/1ihFlp3_ePlYtFuPbUNbYj1muErVpI73WHXbEwJDIA7Q/edit#gid=1493122344"",""MTR!C:O""),8,false)"),"Complies")</f>
        <v>Complies</v>
      </c>
      <c r="O893" s="241" t="str">
        <f>IFERROR(__xludf.DUMMYFUNCTION("VLOOKUP(C893,IMPORTRANGE(""https://docs.google.com/spreadsheets/d/1P8eX0NWBhUPS_hvzA11R6jkTNFrPrRYIx_dX_hYbxrk/edit?resourcekey=0-iw9bsKY2OqkUHCFMkCar3A&amp;gid=2055363397#gid=2055363397"",""MTR!C:O""),9,false)"),"")</f>
        <v/>
      </c>
      <c r="P893" s="241"/>
      <c r="Q893" s="251" t="s">
        <v>445</v>
      </c>
      <c r="R893" s="241"/>
      <c r="S893" s="154" t="s">
        <v>66</v>
      </c>
      <c r="T893" s="154" t="s">
        <v>60</v>
      </c>
      <c r="U893" s="154" t="s">
        <v>60</v>
      </c>
      <c r="V893" s="154" t="s">
        <v>60</v>
      </c>
      <c r="W893" s="154" t="s">
        <v>60</v>
      </c>
      <c r="X893" s="154" t="s">
        <v>60</v>
      </c>
      <c r="Y893" s="154" t="s">
        <v>60</v>
      </c>
      <c r="Z893" s="154" t="s">
        <v>60</v>
      </c>
      <c r="AA893" s="154" t="s">
        <v>60</v>
      </c>
      <c r="AB893" s="154"/>
      <c r="AC893" s="242" t="b">
        <f t="shared" si="2"/>
        <v>1</v>
      </c>
      <c r="AD893" s="154" t="s">
        <v>391</v>
      </c>
      <c r="AE893" s="243" t="b">
        <f t="shared" si="3"/>
        <v>0</v>
      </c>
      <c r="AF893" s="154"/>
      <c r="AG893" s="243" t="b">
        <f t="shared" si="4"/>
        <v>0</v>
      </c>
      <c r="AH893" s="154"/>
      <c r="AI893" s="243" t="str">
        <f t="shared" si="5"/>
        <v>N/A</v>
      </c>
      <c r="AJ893" s="157" t="str">
        <f t="shared" si="6"/>
        <v/>
      </c>
    </row>
    <row r="894" ht="12.75" customHeight="1">
      <c r="A894" s="244" t="s">
        <v>2412</v>
      </c>
      <c r="B894" s="244" t="s">
        <v>2415</v>
      </c>
      <c r="C894" s="244" t="s">
        <v>2565</v>
      </c>
      <c r="D894" s="154" t="s">
        <v>1282</v>
      </c>
      <c r="E894" s="250"/>
      <c r="F894" s="154" t="str">
        <f t="array" ref="F894">XLOOKUP(Cover!$D$12,$S$1:$AA$1,$S894:$AA894)</f>
        <v>Mandatory</v>
      </c>
      <c r="G894" s="154" t="s">
        <v>2566</v>
      </c>
      <c r="H894" s="154" t="s">
        <v>413</v>
      </c>
      <c r="I894" s="154" t="s">
        <v>414</v>
      </c>
      <c r="J894" s="247" t="s">
        <v>445</v>
      </c>
      <c r="K894" s="154"/>
      <c r="L894" s="154" t="str">
        <f t="shared" si="1"/>
        <v/>
      </c>
      <c r="M894" s="248" t="str">
        <f>IFERROR(__xludf.DUMMYFUNCTION("VLOOKUP(C894,IMPORTRANGE(""https://docs.google.com/spreadsheets/d/1P8eX0NWBhUPS_hvzA11R6jkTNFrPrRYIx_dX_hYbxrk/edit?resourcekey=0-iw9bsKY2OqkUHCFMkCar3A&amp;gid=2055363397#gid=2055363397"",""MTR!C:O""),11,false)"),"TAM")</f>
        <v>TAM</v>
      </c>
      <c r="N894" s="248" t="str">
        <f>IFERROR(__xludf.DUMMYFUNCTION("VLOOKUP(C894,IMPORTRANGE(""https://docs.google.com/spreadsheets/d/1ihFlp3_ePlYtFuPbUNbYj1muErVpI73WHXbEwJDIA7Q/edit#gid=1493122344"",""MTR!C:O""),8,false)"),"Complies")</f>
        <v>Complies</v>
      </c>
      <c r="O894" s="241" t="str">
        <f>IFERROR(__xludf.DUMMYFUNCTION("VLOOKUP(C894,IMPORTRANGE(""https://docs.google.com/spreadsheets/d/1P8eX0NWBhUPS_hvzA11R6jkTNFrPrRYIx_dX_hYbxrk/edit?resourcekey=0-iw9bsKY2OqkUHCFMkCar3A&amp;gid=2055363397#gid=2055363397"",""MTR!C:O""),9,false)"),"")</f>
        <v/>
      </c>
      <c r="P894" s="241"/>
      <c r="Q894" s="251" t="s">
        <v>445</v>
      </c>
      <c r="R894" s="241"/>
      <c r="S894" s="154" t="s">
        <v>66</v>
      </c>
      <c r="T894" s="154" t="s">
        <v>60</v>
      </c>
      <c r="U894" s="154" t="s">
        <v>60</v>
      </c>
      <c r="V894" s="154" t="s">
        <v>60</v>
      </c>
      <c r="W894" s="154" t="s">
        <v>60</v>
      </c>
      <c r="X894" s="154" t="s">
        <v>60</v>
      </c>
      <c r="Y894" s="154" t="s">
        <v>60</v>
      </c>
      <c r="Z894" s="154" t="s">
        <v>60</v>
      </c>
      <c r="AA894" s="154" t="s">
        <v>60</v>
      </c>
      <c r="AB894" s="154"/>
      <c r="AC894" s="242" t="b">
        <f t="shared" si="2"/>
        <v>1</v>
      </c>
      <c r="AD894" s="154" t="s">
        <v>391</v>
      </c>
      <c r="AE894" s="243" t="b">
        <f t="shared" si="3"/>
        <v>0</v>
      </c>
      <c r="AF894" s="154"/>
      <c r="AG894" s="243" t="b">
        <f t="shared" si="4"/>
        <v>0</v>
      </c>
      <c r="AH894" s="154"/>
      <c r="AI894" s="243" t="str">
        <f t="shared" si="5"/>
        <v>N/A</v>
      </c>
      <c r="AJ894" s="157" t="str">
        <f t="shared" si="6"/>
        <v/>
      </c>
    </row>
    <row r="895" ht="12.75" customHeight="1">
      <c r="A895" s="244" t="s">
        <v>2412</v>
      </c>
      <c r="B895" s="244" t="s">
        <v>2415</v>
      </c>
      <c r="C895" s="244" t="s">
        <v>2567</v>
      </c>
      <c r="D895" s="154" t="s">
        <v>396</v>
      </c>
      <c r="E895" s="250"/>
      <c r="F895" s="154" t="str">
        <f t="array" ref="F895">XLOOKUP(Cover!$D$12,$S$1:$AA$1,$S895:$AA895)</f>
        <v>Mandatory</v>
      </c>
      <c r="G895" s="154" t="s">
        <v>2568</v>
      </c>
      <c r="H895" s="154" t="s">
        <v>413</v>
      </c>
      <c r="I895" s="154" t="s">
        <v>414</v>
      </c>
      <c r="J895" s="247" t="s">
        <v>445</v>
      </c>
      <c r="K895" s="154"/>
      <c r="L895" s="154" t="str">
        <f t="shared" si="1"/>
        <v/>
      </c>
      <c r="M895" s="248" t="str">
        <f>IFERROR(__xludf.DUMMYFUNCTION("VLOOKUP(C895,IMPORTRANGE(""https://docs.google.com/spreadsheets/d/1P8eX0NWBhUPS_hvzA11R6jkTNFrPrRYIx_dX_hYbxrk/edit?resourcekey=0-iw9bsKY2OqkUHCFMkCar3A&amp;gid=2055363397#gid=2055363397"",""MTR!C:O""),11,false)"),"TAM")</f>
        <v>TAM</v>
      </c>
      <c r="N895" s="248" t="str">
        <f>IFERROR(__xludf.DUMMYFUNCTION("VLOOKUP(C895,IMPORTRANGE(""https://docs.google.com/spreadsheets/d/1ihFlp3_ePlYtFuPbUNbYj1muErVpI73WHXbEwJDIA7Q/edit#gid=1493122344"",""MTR!C:O""),8,false)"),"Complies")</f>
        <v>Complies</v>
      </c>
      <c r="O895" s="241" t="str">
        <f>IFERROR(__xludf.DUMMYFUNCTION("VLOOKUP(C895,IMPORTRANGE(""https://docs.google.com/spreadsheets/d/1P8eX0NWBhUPS_hvzA11R6jkTNFrPrRYIx_dX_hYbxrk/edit?resourcekey=0-iw9bsKY2OqkUHCFMkCar3A&amp;gid=2055363397#gid=2055363397"",""MTR!C:O""),9,false)"),"")</f>
        <v/>
      </c>
      <c r="P895" s="241"/>
      <c r="Q895" s="251" t="s">
        <v>445</v>
      </c>
      <c r="R895" s="241"/>
      <c r="S895" s="154" t="s">
        <v>66</v>
      </c>
      <c r="T895" s="154" t="s">
        <v>60</v>
      </c>
      <c r="U895" s="154" t="s">
        <v>60</v>
      </c>
      <c r="V895" s="154" t="s">
        <v>60</v>
      </c>
      <c r="W895" s="154" t="s">
        <v>60</v>
      </c>
      <c r="X895" s="154" t="s">
        <v>60</v>
      </c>
      <c r="Y895" s="154" t="s">
        <v>60</v>
      </c>
      <c r="Z895" s="154" t="s">
        <v>60</v>
      </c>
      <c r="AA895" s="154" t="s">
        <v>60</v>
      </c>
      <c r="AB895" s="154"/>
      <c r="AC895" s="242" t="b">
        <f t="shared" si="2"/>
        <v>1</v>
      </c>
      <c r="AD895" s="154" t="s">
        <v>391</v>
      </c>
      <c r="AE895" s="243" t="b">
        <f t="shared" si="3"/>
        <v>0</v>
      </c>
      <c r="AF895" s="154"/>
      <c r="AG895" s="243" t="b">
        <f t="shared" si="4"/>
        <v>0</v>
      </c>
      <c r="AH895" s="154"/>
      <c r="AI895" s="243" t="str">
        <f t="shared" si="5"/>
        <v>N/A</v>
      </c>
      <c r="AJ895" s="157" t="str">
        <f t="shared" si="6"/>
        <v/>
      </c>
    </row>
    <row r="896" ht="12.75" customHeight="1">
      <c r="A896" s="244" t="s">
        <v>2412</v>
      </c>
      <c r="B896" s="244" t="s">
        <v>2415</v>
      </c>
      <c r="C896" s="244" t="s">
        <v>2569</v>
      </c>
      <c r="D896" s="154" t="s">
        <v>1282</v>
      </c>
      <c r="E896" s="250"/>
      <c r="F896" s="154" t="str">
        <f t="array" ref="F896">XLOOKUP(Cover!$D$12,$S$1:$AA$1,$S896:$AA896)</f>
        <v>Mandatory</v>
      </c>
      <c r="G896" s="154" t="s">
        <v>2570</v>
      </c>
      <c r="H896" s="154" t="s">
        <v>413</v>
      </c>
      <c r="I896" s="154" t="s">
        <v>414</v>
      </c>
      <c r="J896" s="247" t="s">
        <v>445</v>
      </c>
      <c r="K896" s="154"/>
      <c r="L896" s="154" t="str">
        <f t="shared" si="1"/>
        <v/>
      </c>
      <c r="M896" s="248" t="str">
        <f>IFERROR(__xludf.DUMMYFUNCTION("VLOOKUP(C896,IMPORTRANGE(""https://docs.google.com/spreadsheets/d/1P8eX0NWBhUPS_hvzA11R6jkTNFrPrRYIx_dX_hYbxrk/edit?resourcekey=0-iw9bsKY2OqkUHCFMkCar3A&amp;gid=2055363397#gid=2055363397"",""MTR!C:O""),11,false)"),"TAM")</f>
        <v>TAM</v>
      </c>
      <c r="N896" s="248" t="str">
        <f>IFERROR(__xludf.DUMMYFUNCTION("VLOOKUP(C896,IMPORTRANGE(""https://docs.google.com/spreadsheets/d/1ihFlp3_ePlYtFuPbUNbYj1muErVpI73WHXbEwJDIA7Q/edit#gid=1493122344"",""MTR!C:O""),8,false)"),"Complies")</f>
        <v>Complies</v>
      </c>
      <c r="O896" s="241" t="str">
        <f>IFERROR(__xludf.DUMMYFUNCTION("VLOOKUP(C896,IMPORTRANGE(""https://docs.google.com/spreadsheets/d/1P8eX0NWBhUPS_hvzA11R6jkTNFrPrRYIx_dX_hYbxrk/edit?resourcekey=0-iw9bsKY2OqkUHCFMkCar3A&amp;gid=2055363397#gid=2055363397"",""MTR!C:O""),9,false)"),"")</f>
        <v/>
      </c>
      <c r="P896" s="241"/>
      <c r="Q896" s="251" t="s">
        <v>445</v>
      </c>
      <c r="R896" s="241"/>
      <c r="S896" s="154" t="s">
        <v>66</v>
      </c>
      <c r="T896" s="154" t="s">
        <v>60</v>
      </c>
      <c r="U896" s="154" t="s">
        <v>60</v>
      </c>
      <c r="V896" s="154" t="s">
        <v>60</v>
      </c>
      <c r="W896" s="154" t="s">
        <v>60</v>
      </c>
      <c r="X896" s="154" t="s">
        <v>60</v>
      </c>
      <c r="Y896" s="154" t="s">
        <v>60</v>
      </c>
      <c r="Z896" s="154" t="s">
        <v>60</v>
      </c>
      <c r="AA896" s="154" t="s">
        <v>60</v>
      </c>
      <c r="AB896" s="154"/>
      <c r="AC896" s="242" t="b">
        <f t="shared" si="2"/>
        <v>1</v>
      </c>
      <c r="AD896" s="154" t="s">
        <v>391</v>
      </c>
      <c r="AE896" s="243" t="b">
        <f t="shared" si="3"/>
        <v>0</v>
      </c>
      <c r="AF896" s="154"/>
      <c r="AG896" s="243" t="b">
        <f t="shared" si="4"/>
        <v>0</v>
      </c>
      <c r="AH896" s="154"/>
      <c r="AI896" s="243" t="str">
        <f t="shared" si="5"/>
        <v>N/A</v>
      </c>
      <c r="AJ896" s="157" t="str">
        <f t="shared" si="6"/>
        <v/>
      </c>
    </row>
    <row r="897" ht="12.75" customHeight="1">
      <c r="A897" s="238" t="s">
        <v>2412</v>
      </c>
      <c r="B897" s="238" t="s">
        <v>2415</v>
      </c>
      <c r="C897" s="238" t="s">
        <v>2571</v>
      </c>
      <c r="D897" s="238"/>
      <c r="E897" s="238"/>
      <c r="F897" s="154" t="str">
        <f t="array" ref="F897">XLOOKUP(Cover!$D$12,$S$1:$AA$1,$S897:$AA897)</f>
        <v>Heading</v>
      </c>
      <c r="G897" s="239" t="s">
        <v>2572</v>
      </c>
      <c r="H897" s="240"/>
      <c r="I897" s="240" t="s">
        <v>479</v>
      </c>
      <c r="J897" s="240"/>
      <c r="K897" s="240"/>
      <c r="L897" s="154" t="str">
        <f t="shared" si="1"/>
        <v/>
      </c>
      <c r="M897" s="241" t="str">
        <f>IFERROR(__xludf.DUMMYFUNCTION("VLOOKUP(C897,IMPORTRANGE(""https://docs.google.com/spreadsheets/d/1P8eX0NWBhUPS_hvzA11R6jkTNFrPrRYIx_dX_hYbxrk/edit?resourcekey=0-iw9bsKY2OqkUHCFMkCar3A&amp;gid=2055363397#gid=2055363397"",""MTR!C:O""),11,false)"),"")</f>
        <v/>
      </c>
      <c r="N897" s="241" t="str">
        <f>IFERROR(__xludf.DUMMYFUNCTION("VLOOKUP(C897,IMPORTRANGE(""https://docs.google.com/spreadsheets/d/1ihFlp3_ePlYtFuPbUNbYj1muErVpI73WHXbEwJDIA7Q/edit#gid=1493122344"",""MTR!C:O""),8,false)"),"")</f>
        <v/>
      </c>
      <c r="O897" s="241" t="str">
        <f>IFERROR(__xludf.DUMMYFUNCTION("VLOOKUP(C897,IMPORTRANGE(""https://docs.google.com/spreadsheets/d/1P8eX0NWBhUPS_hvzA11R6jkTNFrPrRYIx_dX_hYbxrk/edit?resourcekey=0-iw9bsKY2OqkUHCFMkCar3A&amp;gid=2055363397#gid=2055363397"",""MTR!C:O""),9,false)"),"")</f>
        <v/>
      </c>
      <c r="P897" s="241"/>
      <c r="Q897" s="251"/>
      <c r="R897" s="241"/>
      <c r="S897" s="240" t="s">
        <v>390</v>
      </c>
      <c r="T897" s="240" t="s">
        <v>390</v>
      </c>
      <c r="U897" s="240" t="s">
        <v>390</v>
      </c>
      <c r="V897" s="240" t="s">
        <v>390</v>
      </c>
      <c r="W897" s="240" t="s">
        <v>390</v>
      </c>
      <c r="X897" s="240" t="s">
        <v>390</v>
      </c>
      <c r="Y897" s="240" t="s">
        <v>390</v>
      </c>
      <c r="Z897" s="240" t="s">
        <v>390</v>
      </c>
      <c r="AA897" s="240" t="s">
        <v>390</v>
      </c>
      <c r="AB897" s="240"/>
      <c r="AC897" s="242" t="b">
        <f t="shared" si="2"/>
        <v>0</v>
      </c>
      <c r="AD897" s="240" t="s">
        <v>391</v>
      </c>
      <c r="AE897" s="243" t="b">
        <f t="shared" si="3"/>
        <v>0</v>
      </c>
      <c r="AF897" s="240"/>
      <c r="AG897" s="243" t="b">
        <f t="shared" si="4"/>
        <v>0</v>
      </c>
      <c r="AH897" s="240"/>
      <c r="AI897" s="243" t="str">
        <f t="shared" si="5"/>
        <v>N/A</v>
      </c>
      <c r="AJ897" s="157" t="str">
        <f t="shared" si="6"/>
        <v/>
      </c>
    </row>
    <row r="898" ht="12.75" customHeight="1">
      <c r="A898" s="238" t="s">
        <v>2412</v>
      </c>
      <c r="B898" s="238" t="s">
        <v>2415</v>
      </c>
      <c r="C898" s="238" t="s">
        <v>2573</v>
      </c>
      <c r="D898" s="238"/>
      <c r="E898" s="238"/>
      <c r="F898" s="154" t="str">
        <f t="array" ref="F898">XLOOKUP(Cover!$D$12,$S$1:$AA$1,$S898:$AA898)</f>
        <v>Heading</v>
      </c>
      <c r="G898" s="239" t="s">
        <v>2574</v>
      </c>
      <c r="H898" s="240"/>
      <c r="I898" s="240" t="s">
        <v>486</v>
      </c>
      <c r="J898" s="240"/>
      <c r="K898" s="240"/>
      <c r="L898" s="154" t="str">
        <f t="shared" si="1"/>
        <v/>
      </c>
      <c r="M898" s="241" t="str">
        <f>IFERROR(__xludf.DUMMYFUNCTION("VLOOKUP(C898,IMPORTRANGE(""https://docs.google.com/spreadsheets/d/1P8eX0NWBhUPS_hvzA11R6jkTNFrPrRYIx_dX_hYbxrk/edit?resourcekey=0-iw9bsKY2OqkUHCFMkCar3A&amp;gid=2055363397#gid=2055363397"",""MTR!C:O""),11,false)"),"")</f>
        <v/>
      </c>
      <c r="N898" s="241" t="str">
        <f>IFERROR(__xludf.DUMMYFUNCTION("VLOOKUP(C898,IMPORTRANGE(""https://docs.google.com/spreadsheets/d/1ihFlp3_ePlYtFuPbUNbYj1muErVpI73WHXbEwJDIA7Q/edit#gid=1493122344"",""MTR!C:O""),8,false)"),"")</f>
        <v/>
      </c>
      <c r="O898" s="241" t="str">
        <f>IFERROR(__xludf.DUMMYFUNCTION("VLOOKUP(C898,IMPORTRANGE(""https://docs.google.com/spreadsheets/d/1P8eX0NWBhUPS_hvzA11R6jkTNFrPrRYIx_dX_hYbxrk/edit?resourcekey=0-iw9bsKY2OqkUHCFMkCar3A&amp;gid=2055363397#gid=2055363397"",""MTR!C:O""),9,false)"),"")</f>
        <v/>
      </c>
      <c r="P898" s="241"/>
      <c r="Q898" s="241"/>
      <c r="R898" s="241"/>
      <c r="S898" s="240" t="s">
        <v>390</v>
      </c>
      <c r="T898" s="240" t="s">
        <v>390</v>
      </c>
      <c r="U898" s="240" t="s">
        <v>390</v>
      </c>
      <c r="V898" s="240" t="s">
        <v>390</v>
      </c>
      <c r="W898" s="240" t="s">
        <v>390</v>
      </c>
      <c r="X898" s="240" t="s">
        <v>390</v>
      </c>
      <c r="Y898" s="240" t="s">
        <v>390</v>
      </c>
      <c r="Z898" s="240" t="s">
        <v>390</v>
      </c>
      <c r="AA898" s="240" t="s">
        <v>390</v>
      </c>
      <c r="AB898" s="240"/>
      <c r="AC898" s="242" t="b">
        <f t="shared" si="2"/>
        <v>0</v>
      </c>
      <c r="AD898" s="240" t="s">
        <v>391</v>
      </c>
      <c r="AE898" s="243" t="b">
        <f t="shared" si="3"/>
        <v>0</v>
      </c>
      <c r="AF898" s="240"/>
      <c r="AG898" s="243" t="b">
        <f t="shared" si="4"/>
        <v>0</v>
      </c>
      <c r="AH898" s="240"/>
      <c r="AI898" s="243" t="str">
        <f t="shared" si="5"/>
        <v>N/A</v>
      </c>
      <c r="AJ898" s="157" t="str">
        <f t="shared" si="6"/>
        <v/>
      </c>
    </row>
    <row r="899" ht="12.75" customHeight="1">
      <c r="A899" s="244" t="s">
        <v>2412</v>
      </c>
      <c r="B899" s="244" t="s">
        <v>2415</v>
      </c>
      <c r="C899" s="244" t="s">
        <v>2575</v>
      </c>
      <c r="D899" s="154" t="s">
        <v>581</v>
      </c>
      <c r="E899" s="250"/>
      <c r="F899" s="154" t="str">
        <f t="array" ref="F899">XLOOKUP(Cover!$D$12,$S$1:$AA$1,$S899:$AA899)</f>
        <v>Recommended</v>
      </c>
      <c r="G899" s="154" t="s">
        <v>2576</v>
      </c>
      <c r="H899" s="154"/>
      <c r="I899" s="154" t="s">
        <v>486</v>
      </c>
      <c r="J899" s="247" t="s">
        <v>445</v>
      </c>
      <c r="K899" s="154"/>
      <c r="L899" s="154" t="str">
        <f t="shared" si="1"/>
        <v/>
      </c>
      <c r="M899" s="248" t="str">
        <f>IFERROR(__xludf.DUMMYFUNCTION("VLOOKUP(C899,IMPORTRANGE(""https://docs.google.com/spreadsheets/d/1P8eX0NWBhUPS_hvzA11R6jkTNFrPrRYIx_dX_hYbxrk/edit?resourcekey=0-iw9bsKY2OqkUHCFMkCar3A&amp;gid=2055363397#gid=2055363397"",""MTR!C:O""),11,false)"),"TAM")</f>
        <v>TAM</v>
      </c>
      <c r="N899" s="248" t="str">
        <f>IFERROR(__xludf.DUMMYFUNCTION("VLOOKUP(C899,IMPORTRANGE(""https://docs.google.com/spreadsheets/d/1ihFlp3_ePlYtFuPbUNbYj1muErVpI73WHXbEwJDIA7Q/edit#gid=1493122344"",""MTR!C:O""),8,false)"),"Complies")</f>
        <v>Complies</v>
      </c>
      <c r="O899" s="241" t="str">
        <f>IFERROR(__xludf.DUMMYFUNCTION("VLOOKUP(C899,IMPORTRANGE(""https://docs.google.com/spreadsheets/d/1P8eX0NWBhUPS_hvzA11R6jkTNFrPrRYIx_dX_hYbxrk/edit?resourcekey=0-iw9bsKY2OqkUHCFMkCar3A&amp;gid=2055363397#gid=2055363397"",""MTR!C:O""),9,false)"),"")</f>
        <v/>
      </c>
      <c r="P899" s="241"/>
      <c r="Q899" s="251" t="s">
        <v>445</v>
      </c>
      <c r="R899" s="241"/>
      <c r="S899" s="154" t="s">
        <v>68</v>
      </c>
      <c r="T899" s="154" t="s">
        <v>64</v>
      </c>
      <c r="U899" s="154" t="s">
        <v>64</v>
      </c>
      <c r="V899" s="154" t="s">
        <v>64</v>
      </c>
      <c r="W899" s="154" t="s">
        <v>64</v>
      </c>
      <c r="X899" s="154" t="s">
        <v>64</v>
      </c>
      <c r="Y899" s="154" t="s">
        <v>64</v>
      </c>
      <c r="Z899" s="154" t="s">
        <v>64</v>
      </c>
      <c r="AA899" s="154" t="s">
        <v>64</v>
      </c>
      <c r="AB899" s="154"/>
      <c r="AC899" s="242" t="b">
        <f t="shared" si="2"/>
        <v>1</v>
      </c>
      <c r="AD899" s="154" t="s">
        <v>391</v>
      </c>
      <c r="AE899" s="243" t="b">
        <f t="shared" si="3"/>
        <v>0</v>
      </c>
      <c r="AF899" s="154"/>
      <c r="AG899" s="243" t="b">
        <f t="shared" si="4"/>
        <v>0</v>
      </c>
      <c r="AH899" s="154"/>
      <c r="AI899" s="243" t="str">
        <f t="shared" si="5"/>
        <v>N/A</v>
      </c>
      <c r="AJ899" s="157" t="str">
        <f t="shared" si="6"/>
        <v/>
      </c>
    </row>
    <row r="900" ht="12.75" customHeight="1">
      <c r="A900" s="244" t="s">
        <v>2412</v>
      </c>
      <c r="B900" s="244" t="s">
        <v>2415</v>
      </c>
      <c r="C900" s="244" t="s">
        <v>2577</v>
      </c>
      <c r="D900" s="154"/>
      <c r="E900" s="250" t="s">
        <v>489</v>
      </c>
      <c r="F900" s="154" t="str">
        <f t="array" ref="F900">XLOOKUP(Cover!$D$12,$S$1:$AA$1,$S900:$AA900)</f>
        <v>Recommended</v>
      </c>
      <c r="G900" s="154" t="s">
        <v>2578</v>
      </c>
      <c r="H900" s="154"/>
      <c r="I900" s="154" t="s">
        <v>553</v>
      </c>
      <c r="J900" s="247" t="s">
        <v>445</v>
      </c>
      <c r="K900" s="154"/>
      <c r="L900" s="154" t="str">
        <f t="shared" si="1"/>
        <v/>
      </c>
      <c r="M900" s="253" t="str">
        <f>IFERROR(__xludf.DUMMYFUNCTION("VLOOKUP(C900,IMPORTRANGE(""https://docs.google.com/spreadsheets/d/1P8eX0NWBhUPS_hvzA11R6jkTNFrPrRYIx_dX_hYbxrk/edit?resourcekey=0-iw9bsKY2OqkUHCFMkCar3A&amp;gid=2055363397#gid=2055363397"",""MTR!C:O""),11,false)"),"#N/A")</f>
        <v>#N/A</v>
      </c>
      <c r="N900" s="253" t="str">
        <f>IFERROR(__xludf.DUMMYFUNCTION("VLOOKUP(C900,IMPORTRANGE(""https://docs.google.com/spreadsheets/d/1ihFlp3_ePlYtFuPbUNbYj1muErVpI73WHXbEwJDIA7Q/edit#gid=1493122344"",""MTR!C:O""),8,false)"),"#N/A")</f>
        <v>#N/A</v>
      </c>
      <c r="O900" s="253" t="str">
        <f>IFERROR(__xludf.DUMMYFUNCTION("VLOOKUP(C900,IMPORTRANGE(""https://docs.google.com/spreadsheets/d/1P8eX0NWBhUPS_hvzA11R6jkTNFrPrRYIx_dX_hYbxrk/edit?resourcekey=0-iw9bsKY2OqkUHCFMkCar3A&amp;gid=2055363397#gid=2055363397"",""MTR!C:O""),9,false)"),"#N/A")</f>
        <v>#N/A</v>
      </c>
      <c r="P900" s="253"/>
      <c r="Q900" s="259"/>
      <c r="R900" s="253"/>
      <c r="S900" s="154" t="s">
        <v>68</v>
      </c>
      <c r="T900" s="154" t="s">
        <v>64</v>
      </c>
      <c r="U900" s="154" t="s">
        <v>64</v>
      </c>
      <c r="V900" s="154" t="s">
        <v>64</v>
      </c>
      <c r="W900" s="154" t="s">
        <v>64</v>
      </c>
      <c r="X900" s="154" t="s">
        <v>64</v>
      </c>
      <c r="Y900" s="154" t="s">
        <v>64</v>
      </c>
      <c r="Z900" s="154" t="s">
        <v>64</v>
      </c>
      <c r="AA900" s="154" t="s">
        <v>64</v>
      </c>
      <c r="AB900" s="154"/>
      <c r="AC900" s="242" t="b">
        <f t="shared" si="2"/>
        <v>1</v>
      </c>
      <c r="AD900" s="154" t="s">
        <v>391</v>
      </c>
      <c r="AE900" s="243" t="b">
        <f t="shared" si="3"/>
        <v>0</v>
      </c>
      <c r="AF900" s="154"/>
      <c r="AG900" s="243" t="b">
        <f t="shared" si="4"/>
        <v>0</v>
      </c>
      <c r="AH900" s="154"/>
      <c r="AI900" s="243" t="str">
        <f t="shared" si="5"/>
        <v>N/A</v>
      </c>
      <c r="AJ900" s="157" t="str">
        <f t="shared" si="6"/>
        <v/>
      </c>
    </row>
    <row r="901" ht="12.75" customHeight="1">
      <c r="A901" s="238" t="s">
        <v>2412</v>
      </c>
      <c r="B901" s="238" t="s">
        <v>2415</v>
      </c>
      <c r="C901" s="238" t="s">
        <v>2579</v>
      </c>
      <c r="D901" s="238"/>
      <c r="E901" s="238"/>
      <c r="F901" s="154" t="str">
        <f t="array" ref="F901">XLOOKUP(Cover!$D$12,$S$1:$AA$1,$S901:$AA901)</f>
        <v>Heading</v>
      </c>
      <c r="G901" s="239" t="s">
        <v>2580</v>
      </c>
      <c r="H901" s="240"/>
      <c r="I901" s="240" t="s">
        <v>420</v>
      </c>
      <c r="J901" s="240"/>
      <c r="K901" s="240"/>
      <c r="L901" s="154" t="str">
        <f t="shared" si="1"/>
        <v/>
      </c>
      <c r="M901" s="241" t="str">
        <f>IFERROR(__xludf.DUMMYFUNCTION("VLOOKUP(C901,IMPORTRANGE(""https://docs.google.com/spreadsheets/d/1P8eX0NWBhUPS_hvzA11R6jkTNFrPrRYIx_dX_hYbxrk/edit?resourcekey=0-iw9bsKY2OqkUHCFMkCar3A&amp;gid=2055363397#gid=2055363397"",""MTR!C:O""),11,false)"),"")</f>
        <v/>
      </c>
      <c r="N901" s="241" t="str">
        <f>IFERROR(__xludf.DUMMYFUNCTION("VLOOKUP(C901,IMPORTRANGE(""https://docs.google.com/spreadsheets/d/1ihFlp3_ePlYtFuPbUNbYj1muErVpI73WHXbEwJDIA7Q/edit#gid=1493122344"",""MTR!C:O""),8,false)"),"")</f>
        <v/>
      </c>
      <c r="O901" s="241" t="str">
        <f>IFERROR(__xludf.DUMMYFUNCTION("VLOOKUP(C901,IMPORTRANGE(""https://docs.google.com/spreadsheets/d/1P8eX0NWBhUPS_hvzA11R6jkTNFrPrRYIx_dX_hYbxrk/edit?resourcekey=0-iw9bsKY2OqkUHCFMkCar3A&amp;gid=2055363397#gid=2055363397"",""MTR!C:O""),9,false)"),"")</f>
        <v/>
      </c>
      <c r="P901" s="241"/>
      <c r="Q901" s="241"/>
      <c r="R901" s="241"/>
      <c r="S901" s="240" t="s">
        <v>390</v>
      </c>
      <c r="T901" s="240" t="s">
        <v>390</v>
      </c>
      <c r="U901" s="240" t="s">
        <v>390</v>
      </c>
      <c r="V901" s="240" t="s">
        <v>390</v>
      </c>
      <c r="W901" s="240" t="s">
        <v>390</v>
      </c>
      <c r="X901" s="240" t="s">
        <v>390</v>
      </c>
      <c r="Y901" s="240" t="s">
        <v>390</v>
      </c>
      <c r="Z901" s="240" t="s">
        <v>390</v>
      </c>
      <c r="AA901" s="240" t="s">
        <v>390</v>
      </c>
      <c r="AB901" s="240"/>
      <c r="AC901" s="242" t="b">
        <f t="shared" si="2"/>
        <v>0</v>
      </c>
      <c r="AD901" s="240" t="s">
        <v>391</v>
      </c>
      <c r="AE901" s="243" t="b">
        <f t="shared" si="3"/>
        <v>0</v>
      </c>
      <c r="AF901" s="240"/>
      <c r="AG901" s="243" t="b">
        <f t="shared" si="4"/>
        <v>0</v>
      </c>
      <c r="AH901" s="240"/>
      <c r="AI901" s="243" t="str">
        <f t="shared" si="5"/>
        <v>N/A</v>
      </c>
      <c r="AJ901" s="157" t="str">
        <f t="shared" si="6"/>
        <v/>
      </c>
    </row>
    <row r="902" ht="12.75" customHeight="1">
      <c r="A902" s="244" t="s">
        <v>2412</v>
      </c>
      <c r="B902" s="244" t="s">
        <v>2415</v>
      </c>
      <c r="C902" s="244" t="s">
        <v>2581</v>
      </c>
      <c r="D902" s="154" t="s">
        <v>642</v>
      </c>
      <c r="E902" s="250"/>
      <c r="F902" s="154" t="str">
        <f t="array" ref="F902">XLOOKUP(Cover!$D$12,$S$1:$AA$1,$S902:$AA902)</f>
        <v>Recommended</v>
      </c>
      <c r="G902" s="154" t="s">
        <v>2582</v>
      </c>
      <c r="H902" s="154"/>
      <c r="I902" s="154" t="s">
        <v>420</v>
      </c>
      <c r="J902" s="247" t="s">
        <v>445</v>
      </c>
      <c r="K902" s="154"/>
      <c r="L902" s="154" t="str">
        <f t="shared" si="1"/>
        <v/>
      </c>
      <c r="M902" s="248" t="str">
        <f>IFERROR(__xludf.DUMMYFUNCTION("VLOOKUP(C902,IMPORTRANGE(""https://docs.google.com/spreadsheets/d/1P8eX0NWBhUPS_hvzA11R6jkTNFrPrRYIx_dX_hYbxrk/edit?resourcekey=0-iw9bsKY2OqkUHCFMkCar3A&amp;gid=2055363397#gid=2055363397"",""MTR!C:O""),11,false)"),"TAM")</f>
        <v>TAM</v>
      </c>
      <c r="N902" s="248" t="str">
        <f>IFERROR(__xludf.DUMMYFUNCTION("VLOOKUP(C902,IMPORTRANGE(""https://docs.google.com/spreadsheets/d/1ihFlp3_ePlYtFuPbUNbYj1muErVpI73WHXbEwJDIA7Q/edit#gid=1493122344"",""MTR!C:O""),8,false)"),"Complies")</f>
        <v>Complies</v>
      </c>
      <c r="O902" s="241" t="str">
        <f>IFERROR(__xludf.DUMMYFUNCTION("VLOOKUP(C902,IMPORTRANGE(""https://docs.google.com/spreadsheets/d/1P8eX0NWBhUPS_hvzA11R6jkTNFrPrRYIx_dX_hYbxrk/edit?resourcekey=0-iw9bsKY2OqkUHCFMkCar3A&amp;gid=2055363397#gid=2055363397"",""MTR!C:O""),9,false)"),"")</f>
        <v/>
      </c>
      <c r="P902" s="241"/>
      <c r="Q902" s="251" t="s">
        <v>445</v>
      </c>
      <c r="R902" s="241"/>
      <c r="S902" s="154" t="s">
        <v>66</v>
      </c>
      <c r="T902" s="154" t="s">
        <v>64</v>
      </c>
      <c r="U902" s="154" t="s">
        <v>64</v>
      </c>
      <c r="V902" s="154" t="s">
        <v>64</v>
      </c>
      <c r="W902" s="154" t="s">
        <v>64</v>
      </c>
      <c r="X902" s="154" t="s">
        <v>64</v>
      </c>
      <c r="Y902" s="154" t="s">
        <v>64</v>
      </c>
      <c r="Z902" s="154" t="s">
        <v>64</v>
      </c>
      <c r="AA902" s="154" t="s">
        <v>64</v>
      </c>
      <c r="AB902" s="154"/>
      <c r="AC902" s="242" t="b">
        <f t="shared" si="2"/>
        <v>1</v>
      </c>
      <c r="AD902" s="154" t="s">
        <v>391</v>
      </c>
      <c r="AE902" s="243" t="b">
        <f t="shared" si="3"/>
        <v>0</v>
      </c>
      <c r="AF902" s="154"/>
      <c r="AG902" s="243" t="b">
        <f t="shared" si="4"/>
        <v>0</v>
      </c>
      <c r="AH902" s="154"/>
      <c r="AI902" s="243" t="str">
        <f t="shared" si="5"/>
        <v>N/A</v>
      </c>
      <c r="AJ902" s="157" t="str">
        <f t="shared" si="6"/>
        <v/>
      </c>
    </row>
    <row r="903" ht="12.75" customHeight="1">
      <c r="A903" s="244" t="s">
        <v>2412</v>
      </c>
      <c r="B903" s="244" t="s">
        <v>2415</v>
      </c>
      <c r="C903" s="244" t="s">
        <v>2583</v>
      </c>
      <c r="D903" s="154" t="s">
        <v>642</v>
      </c>
      <c r="E903" s="250"/>
      <c r="F903" s="154" t="str">
        <f t="array" ref="F903">XLOOKUP(Cover!$D$12,$S$1:$AA$1,$S903:$AA903)</f>
        <v>Recommended</v>
      </c>
      <c r="G903" s="154" t="s">
        <v>2584</v>
      </c>
      <c r="H903" s="154"/>
      <c r="I903" s="154" t="s">
        <v>420</v>
      </c>
      <c r="J903" s="247" t="s">
        <v>445</v>
      </c>
      <c r="K903" s="154"/>
      <c r="L903" s="154" t="str">
        <f t="shared" si="1"/>
        <v/>
      </c>
      <c r="M903" s="248" t="str">
        <f>IFERROR(__xludf.DUMMYFUNCTION("VLOOKUP(C903,IMPORTRANGE(""https://docs.google.com/spreadsheets/d/1P8eX0NWBhUPS_hvzA11R6jkTNFrPrRYIx_dX_hYbxrk/edit?resourcekey=0-iw9bsKY2OqkUHCFMkCar3A&amp;gid=2055363397#gid=2055363397"",""MTR!C:O""),11,false)"),"TAM")</f>
        <v>TAM</v>
      </c>
      <c r="N903" s="248" t="str">
        <f>IFERROR(__xludf.DUMMYFUNCTION("VLOOKUP(C903,IMPORTRANGE(""https://docs.google.com/spreadsheets/d/1ihFlp3_ePlYtFuPbUNbYj1muErVpI73WHXbEwJDIA7Q/edit#gid=1493122344"",""MTR!C:O""),8,false)"),"Complies")</f>
        <v>Complies</v>
      </c>
      <c r="O903" s="241" t="str">
        <f>IFERROR(__xludf.DUMMYFUNCTION("VLOOKUP(C903,IMPORTRANGE(""https://docs.google.com/spreadsheets/d/1P8eX0NWBhUPS_hvzA11R6jkTNFrPrRYIx_dX_hYbxrk/edit?resourcekey=0-iw9bsKY2OqkUHCFMkCar3A&amp;gid=2055363397#gid=2055363397"",""MTR!C:O""),9,false)"),"")</f>
        <v/>
      </c>
      <c r="P903" s="241"/>
      <c r="Q903" s="251" t="s">
        <v>445</v>
      </c>
      <c r="R903" s="241"/>
      <c r="S903" s="154" t="s">
        <v>68</v>
      </c>
      <c r="T903" s="154" t="s">
        <v>64</v>
      </c>
      <c r="U903" s="154" t="s">
        <v>64</v>
      </c>
      <c r="V903" s="154" t="s">
        <v>64</v>
      </c>
      <c r="W903" s="154" t="s">
        <v>64</v>
      </c>
      <c r="X903" s="154" t="s">
        <v>64</v>
      </c>
      <c r="Y903" s="154" t="s">
        <v>64</v>
      </c>
      <c r="Z903" s="154" t="s">
        <v>64</v>
      </c>
      <c r="AA903" s="154" t="s">
        <v>64</v>
      </c>
      <c r="AB903" s="154"/>
      <c r="AC903" s="242" t="b">
        <f t="shared" si="2"/>
        <v>1</v>
      </c>
      <c r="AD903" s="154" t="s">
        <v>391</v>
      </c>
      <c r="AE903" s="243" t="b">
        <f t="shared" si="3"/>
        <v>0</v>
      </c>
      <c r="AF903" s="154"/>
      <c r="AG903" s="243" t="b">
        <f t="shared" si="4"/>
        <v>0</v>
      </c>
      <c r="AH903" s="154"/>
      <c r="AI903" s="243" t="str">
        <f t="shared" si="5"/>
        <v>N/A</v>
      </c>
      <c r="AJ903" s="157" t="str">
        <f t="shared" si="6"/>
        <v/>
      </c>
    </row>
    <row r="904" ht="12.75" customHeight="1">
      <c r="A904" s="244" t="s">
        <v>2412</v>
      </c>
      <c r="B904" s="244" t="s">
        <v>2415</v>
      </c>
      <c r="C904" s="244" t="s">
        <v>2585</v>
      </c>
      <c r="D904" s="154" t="s">
        <v>642</v>
      </c>
      <c r="E904" s="250"/>
      <c r="F904" s="154" t="str">
        <f t="array" ref="F904">XLOOKUP(Cover!$D$12,$S$1:$AA$1,$S904:$AA904)</f>
        <v>Mandatory</v>
      </c>
      <c r="G904" s="154" t="s">
        <v>2586</v>
      </c>
      <c r="H904" s="154" t="s">
        <v>413</v>
      </c>
      <c r="I904" s="154" t="s">
        <v>420</v>
      </c>
      <c r="J904" s="247" t="s">
        <v>445</v>
      </c>
      <c r="K904" s="154"/>
      <c r="L904" s="154" t="str">
        <f t="shared" si="1"/>
        <v/>
      </c>
      <c r="M904" s="248" t="str">
        <f>IFERROR(__xludf.DUMMYFUNCTION("VLOOKUP(C904,IMPORTRANGE(""https://docs.google.com/spreadsheets/d/1P8eX0NWBhUPS_hvzA11R6jkTNFrPrRYIx_dX_hYbxrk/edit?resourcekey=0-iw9bsKY2OqkUHCFMkCar3A&amp;gid=2055363397#gid=2055363397"",""MTR!C:O""),11,false)"),"TAM")</f>
        <v>TAM</v>
      </c>
      <c r="N904" s="248" t="str">
        <f>IFERROR(__xludf.DUMMYFUNCTION("VLOOKUP(C904,IMPORTRANGE(""https://docs.google.com/spreadsheets/d/1ihFlp3_ePlYtFuPbUNbYj1muErVpI73WHXbEwJDIA7Q/edit#gid=1493122344"",""MTR!C:O""),8,false)"),"Complies")</f>
        <v>Complies</v>
      </c>
      <c r="O904" s="241" t="str">
        <f>IFERROR(__xludf.DUMMYFUNCTION("VLOOKUP(C904,IMPORTRANGE(""https://docs.google.com/spreadsheets/d/1P8eX0NWBhUPS_hvzA11R6jkTNFrPrRYIx_dX_hYbxrk/edit?resourcekey=0-iw9bsKY2OqkUHCFMkCar3A&amp;gid=2055363397#gid=2055363397"",""MTR!C:O""),9,false)"),"")</f>
        <v/>
      </c>
      <c r="P904" s="241"/>
      <c r="Q904" s="251" t="s">
        <v>445</v>
      </c>
      <c r="R904" s="241"/>
      <c r="S904" s="154" t="s">
        <v>68</v>
      </c>
      <c r="T904" s="154" t="s">
        <v>60</v>
      </c>
      <c r="U904" s="154" t="s">
        <v>60</v>
      </c>
      <c r="V904" s="154" t="s">
        <v>60</v>
      </c>
      <c r="W904" s="154" t="s">
        <v>60</v>
      </c>
      <c r="X904" s="154" t="s">
        <v>60</v>
      </c>
      <c r="Y904" s="154" t="s">
        <v>60</v>
      </c>
      <c r="Z904" s="154" t="s">
        <v>60</v>
      </c>
      <c r="AA904" s="154" t="s">
        <v>60</v>
      </c>
      <c r="AB904" s="154"/>
      <c r="AC904" s="242" t="b">
        <f t="shared" si="2"/>
        <v>1</v>
      </c>
      <c r="AD904" s="154" t="s">
        <v>391</v>
      </c>
      <c r="AE904" s="243" t="b">
        <f t="shared" si="3"/>
        <v>0</v>
      </c>
      <c r="AF904" s="154"/>
      <c r="AG904" s="243" t="b">
        <f t="shared" si="4"/>
        <v>0</v>
      </c>
      <c r="AH904" s="154"/>
      <c r="AI904" s="243" t="str">
        <f t="shared" si="5"/>
        <v>N/A</v>
      </c>
      <c r="AJ904" s="157" t="str">
        <f t="shared" si="6"/>
        <v/>
      </c>
    </row>
    <row r="905" ht="12.75" customHeight="1">
      <c r="A905" s="244" t="s">
        <v>2412</v>
      </c>
      <c r="B905" s="244" t="s">
        <v>2415</v>
      </c>
      <c r="C905" s="244" t="s">
        <v>2587</v>
      </c>
      <c r="D905" s="154" t="s">
        <v>642</v>
      </c>
      <c r="E905" s="250"/>
      <c r="F905" s="154" t="str">
        <f t="array" ref="F905">XLOOKUP(Cover!$D$12,$S$1:$AA$1,$S905:$AA905)</f>
        <v>Recommended</v>
      </c>
      <c r="G905" s="154" t="s">
        <v>2588</v>
      </c>
      <c r="H905" s="154"/>
      <c r="I905" s="154" t="s">
        <v>420</v>
      </c>
      <c r="J905" s="247" t="s">
        <v>445</v>
      </c>
      <c r="K905" s="154"/>
      <c r="L905" s="154" t="str">
        <f t="shared" si="1"/>
        <v/>
      </c>
      <c r="M905" s="248" t="str">
        <f>IFERROR(__xludf.DUMMYFUNCTION("VLOOKUP(C905,IMPORTRANGE(""https://docs.google.com/spreadsheets/d/1P8eX0NWBhUPS_hvzA11R6jkTNFrPrRYIx_dX_hYbxrk/edit?resourcekey=0-iw9bsKY2OqkUHCFMkCar3A&amp;gid=2055363397#gid=2055363397"",""MTR!C:O""),11,false)"),"TAM")</f>
        <v>TAM</v>
      </c>
      <c r="N905" s="248" t="str">
        <f>IFERROR(__xludf.DUMMYFUNCTION("VLOOKUP(C905,IMPORTRANGE(""https://docs.google.com/spreadsheets/d/1ihFlp3_ePlYtFuPbUNbYj1muErVpI73WHXbEwJDIA7Q/edit#gid=1493122344"",""MTR!C:O""),8,false)"),"Complies")</f>
        <v>Complies</v>
      </c>
      <c r="O905" s="241" t="str">
        <f>IFERROR(__xludf.DUMMYFUNCTION("VLOOKUP(C905,IMPORTRANGE(""https://docs.google.com/spreadsheets/d/1P8eX0NWBhUPS_hvzA11R6jkTNFrPrRYIx_dX_hYbxrk/edit?resourcekey=0-iw9bsKY2OqkUHCFMkCar3A&amp;gid=2055363397#gid=2055363397"",""MTR!C:O""),9,false)"),"")</f>
        <v/>
      </c>
      <c r="P905" s="241"/>
      <c r="Q905" s="251" t="s">
        <v>445</v>
      </c>
      <c r="R905" s="241"/>
      <c r="S905" s="154" t="s">
        <v>68</v>
      </c>
      <c r="T905" s="154" t="s">
        <v>64</v>
      </c>
      <c r="U905" s="154" t="s">
        <v>64</v>
      </c>
      <c r="V905" s="154" t="s">
        <v>64</v>
      </c>
      <c r="W905" s="154" t="s">
        <v>64</v>
      </c>
      <c r="X905" s="154" t="s">
        <v>64</v>
      </c>
      <c r="Y905" s="154" t="s">
        <v>64</v>
      </c>
      <c r="Z905" s="154" t="s">
        <v>64</v>
      </c>
      <c r="AA905" s="154" t="s">
        <v>64</v>
      </c>
      <c r="AB905" s="154"/>
      <c r="AC905" s="242" t="b">
        <f t="shared" si="2"/>
        <v>1</v>
      </c>
      <c r="AD905" s="154" t="s">
        <v>391</v>
      </c>
      <c r="AE905" s="243" t="b">
        <f t="shared" si="3"/>
        <v>0</v>
      </c>
      <c r="AF905" s="154"/>
      <c r="AG905" s="243" t="b">
        <f t="shared" si="4"/>
        <v>0</v>
      </c>
      <c r="AH905" s="154"/>
      <c r="AI905" s="243" t="str">
        <f t="shared" si="5"/>
        <v>N/A</v>
      </c>
      <c r="AJ905" s="157" t="str">
        <f t="shared" si="6"/>
        <v/>
      </c>
    </row>
    <row r="906" ht="12.75" customHeight="1">
      <c r="A906" s="244" t="s">
        <v>2412</v>
      </c>
      <c r="B906" s="244" t="s">
        <v>2415</v>
      </c>
      <c r="C906" s="244" t="s">
        <v>2589</v>
      </c>
      <c r="D906" s="154" t="s">
        <v>1069</v>
      </c>
      <c r="E906" s="250"/>
      <c r="F906" s="154" t="str">
        <f t="array" ref="F906">XLOOKUP(Cover!$D$12,$S$1:$AA$1,$S906:$AA906)</f>
        <v>Comments Vendor</v>
      </c>
      <c r="G906" s="154" t="s">
        <v>2590</v>
      </c>
      <c r="H906" s="154" t="s">
        <v>413</v>
      </c>
      <c r="I906" s="154" t="s">
        <v>420</v>
      </c>
      <c r="J906" s="247"/>
      <c r="K906" s="247" t="s">
        <v>2591</v>
      </c>
      <c r="L906" s="154" t="str">
        <f t="shared" si="1"/>
        <v/>
      </c>
      <c r="M906" s="253" t="str">
        <f>IFERROR(__xludf.DUMMYFUNCTION("VLOOKUP(C906,IMPORTRANGE(""https://docs.google.com/spreadsheets/d/1P8eX0NWBhUPS_hvzA11R6jkTNFrPrRYIx_dX_hYbxrk/edit?resourcekey=0-iw9bsKY2OqkUHCFMkCar3A&amp;gid=2055363397#gid=2055363397"",""MTR!C:O""),11,false)"),"#N/A")</f>
        <v>#N/A</v>
      </c>
      <c r="N906" s="248" t="str">
        <f>IFERROR(__xludf.DUMMYFUNCTION("VLOOKUP(C906,IMPORTRANGE(""https://docs.google.com/spreadsheets/d/1ihFlp3_ePlYtFuPbUNbYj1muErVpI73WHXbEwJDIA7Q/edit#gid=1493122344"",""MTR!C:O""),8,false)"),"Complies")</f>
        <v>Complies</v>
      </c>
      <c r="O906" s="248" t="str">
        <f>IFERROR(__xludf.DUMMYFUNCTION("VLOOKUP(C906,IMPORTRANGE(""https://docs.google.com/spreadsheets/d/1P8eX0NWBhUPS_hvzA11R6jkTNFrPrRYIx_dX_hYbxrk/edit?resourcekey=0-iw9bsKY2OqkUHCFMkCar3A&amp;gid=2055363397#gid=2055363397"",""MTR!C:O""),9,false)"),"WiFi 4, WiFi 5, WiFi 6, WiFi 6e, WiFi 7")</f>
        <v>WiFi 4, WiFi 5, WiFi 6, WiFi 6e, WiFi 7</v>
      </c>
      <c r="P906" s="248"/>
      <c r="Q906" s="249" t="s">
        <v>445</v>
      </c>
      <c r="R906" s="249" t="s">
        <v>2592</v>
      </c>
      <c r="S906" s="154" t="s">
        <v>68</v>
      </c>
      <c r="T906" s="154" t="s">
        <v>62</v>
      </c>
      <c r="U906" s="154" t="s">
        <v>62</v>
      </c>
      <c r="V906" s="154" t="s">
        <v>62</v>
      </c>
      <c r="W906" s="154" t="s">
        <v>62</v>
      </c>
      <c r="X906" s="154" t="s">
        <v>62</v>
      </c>
      <c r="Y906" s="154" t="s">
        <v>62</v>
      </c>
      <c r="Z906" s="154" t="s">
        <v>62</v>
      </c>
      <c r="AA906" s="154" t="s">
        <v>62</v>
      </c>
      <c r="AB906" s="154"/>
      <c r="AC906" s="242" t="b">
        <f t="shared" si="2"/>
        <v>1</v>
      </c>
      <c r="AD906" s="154" t="s">
        <v>391</v>
      </c>
      <c r="AE906" s="243" t="b">
        <f t="shared" si="3"/>
        <v>1</v>
      </c>
      <c r="AF906" s="154"/>
      <c r="AG906" s="243" t="b">
        <f t="shared" si="4"/>
        <v>0</v>
      </c>
      <c r="AH906" s="154"/>
      <c r="AI906" s="243" t="str">
        <f t="shared" si="5"/>
        <v>N/A</v>
      </c>
      <c r="AJ906" s="157" t="str">
        <f t="shared" si="6"/>
        <v/>
      </c>
    </row>
    <row r="907" ht="12.75" customHeight="1">
      <c r="A907" s="244" t="s">
        <v>2412</v>
      </c>
      <c r="B907" s="244" t="s">
        <v>2415</v>
      </c>
      <c r="C907" s="244" t="s">
        <v>2593</v>
      </c>
      <c r="D907" s="154" t="s">
        <v>747</v>
      </c>
      <c r="E907" s="250"/>
      <c r="F907" s="154" t="str">
        <f t="array" ref="F907">XLOOKUP(Cover!$D$12,$S$1:$AA$1,$S907:$AA907)</f>
        <v>Mandatory</v>
      </c>
      <c r="G907" s="154" t="s">
        <v>2594</v>
      </c>
      <c r="H907" s="154" t="s">
        <v>413</v>
      </c>
      <c r="I907" s="154" t="s">
        <v>420</v>
      </c>
      <c r="J907" s="247" t="s">
        <v>445</v>
      </c>
      <c r="K907" s="154"/>
      <c r="L907" s="154" t="str">
        <f t="shared" si="1"/>
        <v/>
      </c>
      <c r="M907" s="248" t="str">
        <f>IFERROR(__xludf.DUMMYFUNCTION("VLOOKUP(C907,IMPORTRANGE(""https://docs.google.com/spreadsheets/d/1P8eX0NWBhUPS_hvzA11R6jkTNFrPrRYIx_dX_hYbxrk/edit?resourcekey=0-iw9bsKY2OqkUHCFMkCar3A&amp;gid=2055363397#gid=2055363397"",""MTR!C:O""),11,false)"),"TAM")</f>
        <v>TAM</v>
      </c>
      <c r="N907" s="248" t="str">
        <f>IFERROR(__xludf.DUMMYFUNCTION("VLOOKUP(C907,IMPORTRANGE(""https://docs.google.com/spreadsheets/d/1ihFlp3_ePlYtFuPbUNbYj1muErVpI73WHXbEwJDIA7Q/edit#gid=1493122344"",""MTR!C:O""),8,false)"),"Complies")</f>
        <v>Complies</v>
      </c>
      <c r="O907" s="241" t="str">
        <f>IFERROR(__xludf.DUMMYFUNCTION("VLOOKUP(C907,IMPORTRANGE(""https://docs.google.com/spreadsheets/d/1P8eX0NWBhUPS_hvzA11R6jkTNFrPrRYIx_dX_hYbxrk/edit?resourcekey=0-iw9bsKY2OqkUHCFMkCar3A&amp;gid=2055363397#gid=2055363397"",""MTR!C:O""),9,false)"),"")</f>
        <v/>
      </c>
      <c r="P907" s="241"/>
      <c r="Q907" s="251" t="s">
        <v>445</v>
      </c>
      <c r="R907" s="251"/>
      <c r="S907" s="154" t="s">
        <v>68</v>
      </c>
      <c r="T907" s="154" t="s">
        <v>60</v>
      </c>
      <c r="U907" s="154" t="s">
        <v>60</v>
      </c>
      <c r="V907" s="154" t="s">
        <v>60</v>
      </c>
      <c r="W907" s="154" t="s">
        <v>60</v>
      </c>
      <c r="X907" s="154" t="s">
        <v>60</v>
      </c>
      <c r="Y907" s="154" t="s">
        <v>60</v>
      </c>
      <c r="Z907" s="154" t="s">
        <v>60</v>
      </c>
      <c r="AA907" s="154" t="s">
        <v>60</v>
      </c>
      <c r="AB907" s="154"/>
      <c r="AC907" s="242" t="b">
        <f t="shared" si="2"/>
        <v>1</v>
      </c>
      <c r="AD907" s="154" t="s">
        <v>391</v>
      </c>
      <c r="AE907" s="243" t="b">
        <f t="shared" si="3"/>
        <v>0</v>
      </c>
      <c r="AF907" s="154"/>
      <c r="AG907" s="243" t="b">
        <f t="shared" si="4"/>
        <v>0</v>
      </c>
      <c r="AH907" s="154"/>
      <c r="AI907" s="243" t="str">
        <f t="shared" si="5"/>
        <v>N/A</v>
      </c>
      <c r="AJ907" s="157" t="str">
        <f t="shared" si="6"/>
        <v/>
      </c>
    </row>
    <row r="908" ht="12.75" customHeight="1">
      <c r="A908" s="244" t="s">
        <v>2412</v>
      </c>
      <c r="B908" s="244" t="s">
        <v>2415</v>
      </c>
      <c r="C908" s="244" t="s">
        <v>2595</v>
      </c>
      <c r="D908" s="154" t="s">
        <v>546</v>
      </c>
      <c r="E908" s="250"/>
      <c r="F908" s="154" t="str">
        <f t="array" ref="F908">XLOOKUP(Cover!$D$12,$S$1:$AA$1,$S908:$AA908)</f>
        <v>Mandatory</v>
      </c>
      <c r="G908" s="154" t="s">
        <v>2596</v>
      </c>
      <c r="H908" s="154" t="s">
        <v>413</v>
      </c>
      <c r="I908" s="154" t="s">
        <v>420</v>
      </c>
      <c r="J908" s="247" t="s">
        <v>516</v>
      </c>
      <c r="K908" s="154"/>
      <c r="L908" s="154" t="str">
        <f t="shared" si="1"/>
        <v/>
      </c>
      <c r="M908" s="248" t="str">
        <f>IFERROR(__xludf.DUMMYFUNCTION("VLOOKUP(C908,IMPORTRANGE(""https://docs.google.com/spreadsheets/d/1P8eX0NWBhUPS_hvzA11R6jkTNFrPrRYIx_dX_hYbxrk/edit?resourcekey=0-iw9bsKY2OqkUHCFMkCar3A&amp;gid=2055363397#gid=2055363397"",""MTR!C:O""),11,false)"),"TAM")</f>
        <v>TAM</v>
      </c>
      <c r="N908" s="248" t="str">
        <f>IFERROR(__xludf.DUMMYFUNCTION("VLOOKUP(C908,IMPORTRANGE(""https://docs.google.com/spreadsheets/d/1ihFlp3_ePlYtFuPbUNbYj1muErVpI73WHXbEwJDIA7Q/edit#gid=1493122344"",""MTR!C:O""),8,false)"),"Does Not Comply")</f>
        <v>Does Not Comply</v>
      </c>
      <c r="O908" s="241" t="str">
        <f>IFERROR(__xludf.DUMMYFUNCTION("VLOOKUP(C908,IMPORTRANGE(""https://docs.google.com/spreadsheets/d/1P8eX0NWBhUPS_hvzA11R6jkTNFrPrRYIx_dX_hYbxrk/edit?resourcekey=0-iw9bsKY2OqkUHCFMkCar3A&amp;gid=2055363397#gid=2055363397"",""MTR!C:O""),9,false)"),"")</f>
        <v/>
      </c>
      <c r="P908" s="241"/>
      <c r="Q908" s="251" t="s">
        <v>516</v>
      </c>
      <c r="R908" s="241"/>
      <c r="S908" s="154" t="s">
        <v>68</v>
      </c>
      <c r="T908" s="154" t="s">
        <v>60</v>
      </c>
      <c r="U908" s="154" t="s">
        <v>60</v>
      </c>
      <c r="V908" s="154" t="s">
        <v>60</v>
      </c>
      <c r="W908" s="154" t="s">
        <v>60</v>
      </c>
      <c r="X908" s="154" t="s">
        <v>60</v>
      </c>
      <c r="Y908" s="154" t="s">
        <v>60</v>
      </c>
      <c r="Z908" s="154" t="s">
        <v>60</v>
      </c>
      <c r="AA908" s="154" t="s">
        <v>60</v>
      </c>
      <c r="AB908" s="154"/>
      <c r="AC908" s="242" t="b">
        <f t="shared" si="2"/>
        <v>1</v>
      </c>
      <c r="AD908" s="154" t="s">
        <v>391</v>
      </c>
      <c r="AE908" s="243" t="b">
        <f t="shared" si="3"/>
        <v>0</v>
      </c>
      <c r="AF908" s="154"/>
      <c r="AG908" s="243" t="b">
        <f t="shared" si="4"/>
        <v>0</v>
      </c>
      <c r="AH908" s="154"/>
      <c r="AI908" s="243" t="str">
        <f t="shared" si="5"/>
        <v>N/A</v>
      </c>
      <c r="AJ908" s="157" t="str">
        <f t="shared" si="6"/>
        <v/>
      </c>
    </row>
    <row r="909" ht="12.75" customHeight="1">
      <c r="A909" s="244" t="s">
        <v>2412</v>
      </c>
      <c r="B909" s="244" t="s">
        <v>2415</v>
      </c>
      <c r="C909" s="244" t="s">
        <v>2597</v>
      </c>
      <c r="D909" s="154" t="s">
        <v>546</v>
      </c>
      <c r="E909" s="250"/>
      <c r="F909" s="154" t="str">
        <f t="array" ref="F909">XLOOKUP(Cover!$D$12,$S$1:$AA$1,$S909:$AA909)</f>
        <v>Recommended</v>
      </c>
      <c r="G909" s="154" t="s">
        <v>2598</v>
      </c>
      <c r="H909" s="154"/>
      <c r="I909" s="154" t="s">
        <v>420</v>
      </c>
      <c r="J909" s="247" t="s">
        <v>516</v>
      </c>
      <c r="K909" s="154"/>
      <c r="L909" s="154" t="str">
        <f t="shared" si="1"/>
        <v/>
      </c>
      <c r="M909" s="248" t="str">
        <f>IFERROR(__xludf.DUMMYFUNCTION("VLOOKUP(C909,IMPORTRANGE(""https://docs.google.com/spreadsheets/d/1P8eX0NWBhUPS_hvzA11R6jkTNFrPrRYIx_dX_hYbxrk/edit?resourcekey=0-iw9bsKY2OqkUHCFMkCar3A&amp;gid=2055363397#gid=2055363397"",""MTR!C:O""),11,false)"),"TAM")</f>
        <v>TAM</v>
      </c>
      <c r="N909" s="248" t="str">
        <f>IFERROR(__xludf.DUMMYFUNCTION("VLOOKUP(C909,IMPORTRANGE(""https://docs.google.com/spreadsheets/d/1ihFlp3_ePlYtFuPbUNbYj1muErVpI73WHXbEwJDIA7Q/edit#gid=1493122344"",""MTR!C:O""),8,false)"),"Does Not Comply")</f>
        <v>Does Not Comply</v>
      </c>
      <c r="O909" s="241" t="str">
        <f>IFERROR(__xludf.DUMMYFUNCTION("VLOOKUP(C909,IMPORTRANGE(""https://docs.google.com/spreadsheets/d/1P8eX0NWBhUPS_hvzA11R6jkTNFrPrRYIx_dX_hYbxrk/edit?resourcekey=0-iw9bsKY2OqkUHCFMkCar3A&amp;gid=2055363397#gid=2055363397"",""MTR!C:O""),9,false)"),"")</f>
        <v/>
      </c>
      <c r="P909" s="241"/>
      <c r="Q909" s="251" t="s">
        <v>516</v>
      </c>
      <c r="R909" s="241"/>
      <c r="S909" s="154" t="s">
        <v>68</v>
      </c>
      <c r="T909" s="154" t="s">
        <v>64</v>
      </c>
      <c r="U909" s="154" t="s">
        <v>64</v>
      </c>
      <c r="V909" s="154" t="s">
        <v>64</v>
      </c>
      <c r="W909" s="154" t="s">
        <v>64</v>
      </c>
      <c r="X909" s="154" t="s">
        <v>64</v>
      </c>
      <c r="Y909" s="154" t="s">
        <v>64</v>
      </c>
      <c r="Z909" s="154" t="s">
        <v>64</v>
      </c>
      <c r="AA909" s="154" t="s">
        <v>64</v>
      </c>
      <c r="AB909" s="154"/>
      <c r="AC909" s="242" t="b">
        <f t="shared" si="2"/>
        <v>1</v>
      </c>
      <c r="AD909" s="154" t="s">
        <v>391</v>
      </c>
      <c r="AE909" s="243" t="b">
        <f t="shared" si="3"/>
        <v>0</v>
      </c>
      <c r="AF909" s="154"/>
      <c r="AG909" s="243" t="b">
        <f t="shared" si="4"/>
        <v>0</v>
      </c>
      <c r="AH909" s="154"/>
      <c r="AI909" s="243" t="str">
        <f t="shared" si="5"/>
        <v>N/A</v>
      </c>
      <c r="AJ909" s="157" t="str">
        <f t="shared" si="6"/>
        <v/>
      </c>
    </row>
    <row r="910" ht="12.75" customHeight="1">
      <c r="A910" s="244" t="s">
        <v>2412</v>
      </c>
      <c r="B910" s="244" t="s">
        <v>2415</v>
      </c>
      <c r="C910" s="244" t="s">
        <v>2599</v>
      </c>
      <c r="D910" s="154" t="s">
        <v>1773</v>
      </c>
      <c r="E910" s="250"/>
      <c r="F910" s="154" t="str">
        <f t="array" ref="F910">XLOOKUP(Cover!$D$12,$S$1:$AA$1,$S910:$AA910)</f>
        <v>Mandatory</v>
      </c>
      <c r="G910" s="154" t="s">
        <v>2600</v>
      </c>
      <c r="H910" s="154"/>
      <c r="I910" s="154" t="s">
        <v>420</v>
      </c>
      <c r="J910" s="247" t="s">
        <v>516</v>
      </c>
      <c r="K910" s="154"/>
      <c r="L910" s="154" t="str">
        <f t="shared" si="1"/>
        <v/>
      </c>
      <c r="M910" s="253" t="str">
        <f>IFERROR(__xludf.DUMMYFUNCTION("VLOOKUP(C910,IMPORTRANGE(""https://docs.google.com/spreadsheets/d/1P8eX0NWBhUPS_hvzA11R6jkTNFrPrRYIx_dX_hYbxrk/edit?resourcekey=0-iw9bsKY2OqkUHCFMkCar3A&amp;gid=2055363397#gid=2055363397"",""MTR!C:O""),11,false)"),"#N/A")</f>
        <v>#N/A</v>
      </c>
      <c r="N910" s="248" t="str">
        <f>IFERROR(__xludf.DUMMYFUNCTION("VLOOKUP(C910,IMPORTRANGE(""https://docs.google.com/spreadsheets/d/1ihFlp3_ePlYtFuPbUNbYj1muErVpI73WHXbEwJDIA7Q/edit#gid=1493122344"",""MTR!C:O""),8,false)"),"Does Not Comply")</f>
        <v>Does Not Comply</v>
      </c>
      <c r="O910" s="241" t="str">
        <f>IFERROR(__xludf.DUMMYFUNCTION("VLOOKUP(C910,IMPORTRANGE(""https://docs.google.com/spreadsheets/d/1P8eX0NWBhUPS_hvzA11R6jkTNFrPrRYIx_dX_hYbxrk/edit?resourcekey=0-iw9bsKY2OqkUHCFMkCar3A&amp;gid=2055363397#gid=2055363397"",""MTR!C:O""),9,false)"),"")</f>
        <v/>
      </c>
      <c r="P910" s="241"/>
      <c r="Q910" s="251" t="s">
        <v>516</v>
      </c>
      <c r="R910" s="241"/>
      <c r="S910" s="154" t="s">
        <v>68</v>
      </c>
      <c r="T910" s="154" t="s">
        <v>60</v>
      </c>
      <c r="U910" s="154" t="s">
        <v>60</v>
      </c>
      <c r="V910" s="154" t="s">
        <v>60</v>
      </c>
      <c r="W910" s="154" t="s">
        <v>60</v>
      </c>
      <c r="X910" s="154" t="s">
        <v>60</v>
      </c>
      <c r="Y910" s="154" t="s">
        <v>60</v>
      </c>
      <c r="Z910" s="154" t="s">
        <v>60</v>
      </c>
      <c r="AA910" s="154" t="s">
        <v>60</v>
      </c>
      <c r="AB910" s="154"/>
      <c r="AC910" s="242" t="b">
        <f t="shared" si="2"/>
        <v>1</v>
      </c>
      <c r="AD910" s="154" t="s">
        <v>391</v>
      </c>
      <c r="AE910" s="243" t="b">
        <f t="shared" si="3"/>
        <v>0</v>
      </c>
      <c r="AF910" s="154"/>
      <c r="AG910" s="243" t="b">
        <f t="shared" si="4"/>
        <v>0</v>
      </c>
      <c r="AH910" s="154"/>
      <c r="AI910" s="243" t="str">
        <f t="shared" si="5"/>
        <v>N/A</v>
      </c>
      <c r="AJ910" s="157" t="str">
        <f t="shared" si="6"/>
        <v/>
      </c>
    </row>
    <row r="911" ht="12.75" customHeight="1">
      <c r="A911" s="238" t="s">
        <v>2412</v>
      </c>
      <c r="B911" s="238" t="s">
        <v>2415</v>
      </c>
      <c r="C911" s="238" t="s">
        <v>2601</v>
      </c>
      <c r="D911" s="238"/>
      <c r="E911" s="238"/>
      <c r="F911" s="154" t="str">
        <f t="array" ref="F911">XLOOKUP(Cover!$D$12,$S$1:$AA$1,$S911:$AA911)</f>
        <v>Heading</v>
      </c>
      <c r="G911" s="239" t="s">
        <v>2602</v>
      </c>
      <c r="H911" s="240"/>
      <c r="I911" s="240" t="s">
        <v>479</v>
      </c>
      <c r="J911" s="240"/>
      <c r="K911" s="240"/>
      <c r="L911" s="154" t="str">
        <f t="shared" si="1"/>
        <v/>
      </c>
      <c r="M911" s="241" t="str">
        <f>IFERROR(__xludf.DUMMYFUNCTION("VLOOKUP(C911,IMPORTRANGE(""https://docs.google.com/spreadsheets/d/1P8eX0NWBhUPS_hvzA11R6jkTNFrPrRYIx_dX_hYbxrk/edit?resourcekey=0-iw9bsKY2OqkUHCFMkCar3A&amp;gid=2055363397#gid=2055363397"",""MTR!C:O""),11,false)"),"")</f>
        <v/>
      </c>
      <c r="N911" s="241" t="str">
        <f>IFERROR(__xludf.DUMMYFUNCTION("VLOOKUP(C911,IMPORTRANGE(""https://docs.google.com/spreadsheets/d/1ihFlp3_ePlYtFuPbUNbYj1muErVpI73WHXbEwJDIA7Q/edit#gid=1493122344"",""MTR!C:O""),8,false)"),"")</f>
        <v/>
      </c>
      <c r="O911" s="241" t="str">
        <f>IFERROR(__xludf.DUMMYFUNCTION("VLOOKUP(C911,IMPORTRANGE(""https://docs.google.com/spreadsheets/d/1P8eX0NWBhUPS_hvzA11R6jkTNFrPrRYIx_dX_hYbxrk/edit?resourcekey=0-iw9bsKY2OqkUHCFMkCar3A&amp;gid=2055363397#gid=2055363397"",""MTR!C:O""),9,false)"),"")</f>
        <v/>
      </c>
      <c r="P911" s="241"/>
      <c r="Q911" s="251"/>
      <c r="R911" s="241"/>
      <c r="S911" s="240" t="s">
        <v>390</v>
      </c>
      <c r="T911" s="240" t="s">
        <v>390</v>
      </c>
      <c r="U911" s="240" t="s">
        <v>390</v>
      </c>
      <c r="V911" s="240" t="s">
        <v>390</v>
      </c>
      <c r="W911" s="240" t="s">
        <v>390</v>
      </c>
      <c r="X911" s="240" t="s">
        <v>390</v>
      </c>
      <c r="Y911" s="240" t="s">
        <v>390</v>
      </c>
      <c r="Z911" s="240" t="s">
        <v>390</v>
      </c>
      <c r="AA911" s="240" t="s">
        <v>390</v>
      </c>
      <c r="AB911" s="240"/>
      <c r="AC911" s="242" t="b">
        <f t="shared" si="2"/>
        <v>0</v>
      </c>
      <c r="AD911" s="240" t="s">
        <v>391</v>
      </c>
      <c r="AE911" s="243" t="b">
        <f t="shared" si="3"/>
        <v>0</v>
      </c>
      <c r="AF911" s="240"/>
      <c r="AG911" s="243" t="b">
        <f t="shared" si="4"/>
        <v>0</v>
      </c>
      <c r="AH911" s="240"/>
      <c r="AI911" s="243" t="str">
        <f t="shared" si="5"/>
        <v>N/A</v>
      </c>
      <c r="AJ911" s="157" t="str">
        <f t="shared" si="6"/>
        <v/>
      </c>
    </row>
    <row r="912" ht="12.75" customHeight="1">
      <c r="A912" s="238" t="s">
        <v>2412</v>
      </c>
      <c r="B912" s="238" t="s">
        <v>2415</v>
      </c>
      <c r="C912" s="238" t="s">
        <v>2603</v>
      </c>
      <c r="D912" s="238"/>
      <c r="E912" s="238"/>
      <c r="F912" s="154" t="str">
        <f t="array" ref="F912">XLOOKUP(Cover!$D$12,$S$1:$AA$1,$S912:$AA912)</f>
        <v>Heading</v>
      </c>
      <c r="G912" s="239" t="s">
        <v>2604</v>
      </c>
      <c r="H912" s="240"/>
      <c r="I912" s="240" t="s">
        <v>420</v>
      </c>
      <c r="J912" s="240"/>
      <c r="K912" s="240"/>
      <c r="L912" s="154" t="str">
        <f t="shared" si="1"/>
        <v/>
      </c>
      <c r="M912" s="241" t="str">
        <f>IFERROR(__xludf.DUMMYFUNCTION("VLOOKUP(C912,IMPORTRANGE(""https://docs.google.com/spreadsheets/d/1P8eX0NWBhUPS_hvzA11R6jkTNFrPrRYIx_dX_hYbxrk/edit?resourcekey=0-iw9bsKY2OqkUHCFMkCar3A&amp;gid=2055363397#gid=2055363397"",""MTR!C:O""),11,false)"),"")</f>
        <v/>
      </c>
      <c r="N912" s="241" t="str">
        <f>IFERROR(__xludf.DUMMYFUNCTION("VLOOKUP(C912,IMPORTRANGE(""https://docs.google.com/spreadsheets/d/1ihFlp3_ePlYtFuPbUNbYj1muErVpI73WHXbEwJDIA7Q/edit#gid=1493122344"",""MTR!C:O""),8,false)"),"")</f>
        <v/>
      </c>
      <c r="O912" s="241" t="str">
        <f>IFERROR(__xludf.DUMMYFUNCTION("VLOOKUP(C912,IMPORTRANGE(""https://docs.google.com/spreadsheets/d/1P8eX0NWBhUPS_hvzA11R6jkTNFrPrRYIx_dX_hYbxrk/edit?resourcekey=0-iw9bsKY2OqkUHCFMkCar3A&amp;gid=2055363397#gid=2055363397"",""MTR!C:O""),9,false)"),"")</f>
        <v/>
      </c>
      <c r="P912" s="241"/>
      <c r="Q912" s="241"/>
      <c r="R912" s="241"/>
      <c r="S912" s="240" t="s">
        <v>390</v>
      </c>
      <c r="T912" s="240" t="s">
        <v>390</v>
      </c>
      <c r="U912" s="240" t="s">
        <v>390</v>
      </c>
      <c r="V912" s="240" t="s">
        <v>390</v>
      </c>
      <c r="W912" s="240" t="s">
        <v>390</v>
      </c>
      <c r="X912" s="240" t="s">
        <v>390</v>
      </c>
      <c r="Y912" s="240" t="s">
        <v>390</v>
      </c>
      <c r="Z912" s="240" t="s">
        <v>390</v>
      </c>
      <c r="AA912" s="240" t="s">
        <v>390</v>
      </c>
      <c r="AB912" s="240"/>
      <c r="AC912" s="242" t="b">
        <f t="shared" si="2"/>
        <v>0</v>
      </c>
      <c r="AD912" s="240" t="s">
        <v>391</v>
      </c>
      <c r="AE912" s="243" t="b">
        <f t="shared" si="3"/>
        <v>0</v>
      </c>
      <c r="AF912" s="240"/>
      <c r="AG912" s="243" t="b">
        <f t="shared" si="4"/>
        <v>0</v>
      </c>
      <c r="AH912" s="240"/>
      <c r="AI912" s="243" t="str">
        <f t="shared" si="5"/>
        <v>N/A</v>
      </c>
      <c r="AJ912" s="157" t="str">
        <f t="shared" si="6"/>
        <v/>
      </c>
    </row>
    <row r="913" ht="12.75" customHeight="1">
      <c r="A913" s="244" t="s">
        <v>2412</v>
      </c>
      <c r="B913" s="244" t="s">
        <v>2415</v>
      </c>
      <c r="C913" s="244" t="s">
        <v>2605</v>
      </c>
      <c r="D913" s="154" t="s">
        <v>484</v>
      </c>
      <c r="E913" s="250"/>
      <c r="F913" s="154" t="str">
        <f t="array" ref="F913">XLOOKUP(Cover!$D$12,$S$1:$AA$1,$S913:$AA913)</f>
        <v>Information</v>
      </c>
      <c r="G913" s="154" t="s">
        <v>2606</v>
      </c>
      <c r="H913" s="154"/>
      <c r="I913" s="154" t="s">
        <v>420</v>
      </c>
      <c r="J913" s="247" t="s">
        <v>445</v>
      </c>
      <c r="K913" s="154"/>
      <c r="L913" s="154" t="str">
        <f t="shared" si="1"/>
        <v/>
      </c>
      <c r="M913" s="248" t="str">
        <f>IFERROR(__xludf.DUMMYFUNCTION("VLOOKUP(C913,IMPORTRANGE(""https://docs.google.com/spreadsheets/d/1P8eX0NWBhUPS_hvzA11R6jkTNFrPrRYIx_dX_hYbxrk/edit?resourcekey=0-iw9bsKY2OqkUHCFMkCar3A&amp;gid=2055363397#gid=2055363397"",""MTR!C:O""),11,false)"),"TAM")</f>
        <v>TAM</v>
      </c>
      <c r="N913" s="248" t="str">
        <f>IFERROR(__xludf.DUMMYFUNCTION("VLOOKUP(C913,IMPORTRANGE(""https://docs.google.com/spreadsheets/d/1ihFlp3_ePlYtFuPbUNbYj1muErVpI73WHXbEwJDIA7Q/edit#gid=1493122344"",""MTR!C:O""),8,false)"),"Complies")</f>
        <v>Complies</v>
      </c>
      <c r="O913" s="241" t="str">
        <f>IFERROR(__xludf.DUMMYFUNCTION("VLOOKUP(C913,IMPORTRANGE(""https://docs.google.com/spreadsheets/d/1P8eX0NWBhUPS_hvzA11R6jkTNFrPrRYIx_dX_hYbxrk/edit?resourcekey=0-iw9bsKY2OqkUHCFMkCar3A&amp;gid=2055363397#gid=2055363397"",""MTR!C:O""),9,false)"),"")</f>
        <v/>
      </c>
      <c r="P913" s="241"/>
      <c r="Q913" s="251" t="s">
        <v>445</v>
      </c>
      <c r="R913" s="241"/>
      <c r="S913" s="154" t="s">
        <v>66</v>
      </c>
      <c r="T913" s="154" t="s">
        <v>66</v>
      </c>
      <c r="U913" s="154" t="s">
        <v>66</v>
      </c>
      <c r="V913" s="154" t="s">
        <v>66</v>
      </c>
      <c r="W913" s="154" t="s">
        <v>66</v>
      </c>
      <c r="X913" s="154" t="s">
        <v>66</v>
      </c>
      <c r="Y913" s="154" t="s">
        <v>66</v>
      </c>
      <c r="Z913" s="154" t="s">
        <v>66</v>
      </c>
      <c r="AA913" s="154" t="s">
        <v>66</v>
      </c>
      <c r="AB913" s="154"/>
      <c r="AC913" s="242" t="b">
        <f t="shared" si="2"/>
        <v>1</v>
      </c>
      <c r="AD913" s="154" t="s">
        <v>391</v>
      </c>
      <c r="AE913" s="243" t="b">
        <f t="shared" si="3"/>
        <v>0</v>
      </c>
      <c r="AF913" s="154"/>
      <c r="AG913" s="243" t="b">
        <f t="shared" si="4"/>
        <v>0</v>
      </c>
      <c r="AH913" s="154"/>
      <c r="AI913" s="243" t="str">
        <f t="shared" si="5"/>
        <v>N/A</v>
      </c>
      <c r="AJ913" s="157" t="str">
        <f t="shared" si="6"/>
        <v/>
      </c>
    </row>
    <row r="914" ht="12.75" customHeight="1">
      <c r="A914" s="244" t="s">
        <v>2412</v>
      </c>
      <c r="B914" s="244" t="s">
        <v>2415</v>
      </c>
      <c r="C914" s="244" t="s">
        <v>2607</v>
      </c>
      <c r="D914" s="154" t="s">
        <v>739</v>
      </c>
      <c r="E914" s="250"/>
      <c r="F914" s="154" t="str">
        <f t="array" ref="F914">XLOOKUP(Cover!$D$12,$S$1:$AA$1,$S914:$AA914)</f>
        <v>Mandatory</v>
      </c>
      <c r="G914" s="154" t="s">
        <v>2608</v>
      </c>
      <c r="H914" s="154" t="s">
        <v>424</v>
      </c>
      <c r="I914" s="154" t="s">
        <v>420</v>
      </c>
      <c r="J914" s="247" t="s">
        <v>445</v>
      </c>
      <c r="K914" s="154"/>
      <c r="L914" s="154" t="str">
        <f t="shared" si="1"/>
        <v/>
      </c>
      <c r="M914" s="248" t="str">
        <f>IFERROR(__xludf.DUMMYFUNCTION("VLOOKUP(C914,IMPORTRANGE(""https://docs.google.com/spreadsheets/d/1P8eX0NWBhUPS_hvzA11R6jkTNFrPrRYIx_dX_hYbxrk/edit?resourcekey=0-iw9bsKY2OqkUHCFMkCar3A&amp;gid=2055363397#gid=2055363397"",""MTR!C:O""),11,false)"),"TAM")</f>
        <v>TAM</v>
      </c>
      <c r="N914" s="248" t="str">
        <f>IFERROR(__xludf.DUMMYFUNCTION("VLOOKUP(C914,IMPORTRANGE(""https://docs.google.com/spreadsheets/d/1ihFlp3_ePlYtFuPbUNbYj1muErVpI73WHXbEwJDIA7Q/edit#gid=1493122344"",""MTR!C:O""),8,false)"),"Complies")</f>
        <v>Complies</v>
      </c>
      <c r="O914" s="241" t="str">
        <f>IFERROR(__xludf.DUMMYFUNCTION("VLOOKUP(C914,IMPORTRANGE(""https://docs.google.com/spreadsheets/d/1P8eX0NWBhUPS_hvzA11R6jkTNFrPrRYIx_dX_hYbxrk/edit?resourcekey=0-iw9bsKY2OqkUHCFMkCar3A&amp;gid=2055363397#gid=2055363397"",""MTR!C:O""),9,false)"),"")</f>
        <v/>
      </c>
      <c r="P914" s="241"/>
      <c r="Q914" s="251" t="s">
        <v>445</v>
      </c>
      <c r="R914" s="241"/>
      <c r="S914" s="154" t="s">
        <v>66</v>
      </c>
      <c r="T914" s="154" t="s">
        <v>60</v>
      </c>
      <c r="U914" s="154" t="s">
        <v>60</v>
      </c>
      <c r="V914" s="154" t="s">
        <v>60</v>
      </c>
      <c r="W914" s="154" t="s">
        <v>60</v>
      </c>
      <c r="X914" s="154" t="s">
        <v>60</v>
      </c>
      <c r="Y914" s="154" t="s">
        <v>66</v>
      </c>
      <c r="Z914" s="154" t="s">
        <v>66</v>
      </c>
      <c r="AA914" s="154" t="s">
        <v>66</v>
      </c>
      <c r="AB914" s="154"/>
      <c r="AC914" s="242" t="b">
        <f t="shared" si="2"/>
        <v>1</v>
      </c>
      <c r="AD914" s="154" t="s">
        <v>391</v>
      </c>
      <c r="AE914" s="243" t="b">
        <f t="shared" si="3"/>
        <v>0</v>
      </c>
      <c r="AF914" s="154"/>
      <c r="AG914" s="243" t="b">
        <f t="shared" si="4"/>
        <v>0</v>
      </c>
      <c r="AH914" s="154"/>
      <c r="AI914" s="243" t="str">
        <f t="shared" si="5"/>
        <v>N/A</v>
      </c>
      <c r="AJ914" s="157" t="str">
        <f t="shared" si="6"/>
        <v/>
      </c>
    </row>
    <row r="915" ht="12.75" customHeight="1">
      <c r="A915" s="244" t="s">
        <v>2412</v>
      </c>
      <c r="B915" s="244" t="s">
        <v>2415</v>
      </c>
      <c r="C915" s="244" t="s">
        <v>2609</v>
      </c>
      <c r="D915" s="154" t="s">
        <v>1211</v>
      </c>
      <c r="E915" s="250"/>
      <c r="F915" s="154" t="str">
        <f t="array" ref="F915">XLOOKUP(Cover!$D$12,$S$1:$AA$1,$S915:$AA915)</f>
        <v>Mandatory</v>
      </c>
      <c r="G915" s="154" t="s">
        <v>2610</v>
      </c>
      <c r="H915" s="154" t="s">
        <v>424</v>
      </c>
      <c r="I915" s="154" t="s">
        <v>420</v>
      </c>
      <c r="J915" s="247" t="s">
        <v>445</v>
      </c>
      <c r="K915" s="154"/>
      <c r="L915" s="154" t="str">
        <f t="shared" si="1"/>
        <v/>
      </c>
      <c r="M915" s="248" t="str">
        <f>IFERROR(__xludf.DUMMYFUNCTION("VLOOKUP(C915,IMPORTRANGE(""https://docs.google.com/spreadsheets/d/1P8eX0NWBhUPS_hvzA11R6jkTNFrPrRYIx_dX_hYbxrk/edit?resourcekey=0-iw9bsKY2OqkUHCFMkCar3A&amp;gid=2055363397#gid=2055363397"",""MTR!C:O""),11,false)"),"TAM")</f>
        <v>TAM</v>
      </c>
      <c r="N915" s="248" t="str">
        <f>IFERROR(__xludf.DUMMYFUNCTION("VLOOKUP(C915,IMPORTRANGE(""https://docs.google.com/spreadsheets/d/1ihFlp3_ePlYtFuPbUNbYj1muErVpI73WHXbEwJDIA7Q/edit#gid=1493122344"",""MTR!C:O""),8,false)"),"Complies")</f>
        <v>Complies</v>
      </c>
      <c r="O915" s="241" t="str">
        <f>IFERROR(__xludf.DUMMYFUNCTION("VLOOKUP(C915,IMPORTRANGE(""https://docs.google.com/spreadsheets/d/1P8eX0NWBhUPS_hvzA11R6jkTNFrPrRYIx_dX_hYbxrk/edit?resourcekey=0-iw9bsKY2OqkUHCFMkCar3A&amp;gid=2055363397#gid=2055363397"",""MTR!C:O""),9,false)"),"")</f>
        <v/>
      </c>
      <c r="P915" s="241"/>
      <c r="Q915" s="251" t="s">
        <v>445</v>
      </c>
      <c r="R915" s="241"/>
      <c r="S915" s="154" t="s">
        <v>66</v>
      </c>
      <c r="T915" s="154" t="s">
        <v>60</v>
      </c>
      <c r="U915" s="154" t="s">
        <v>60</v>
      </c>
      <c r="V915" s="154" t="s">
        <v>60</v>
      </c>
      <c r="W915" s="154" t="s">
        <v>60</v>
      </c>
      <c r="X915" s="154" t="s">
        <v>60</v>
      </c>
      <c r="Y915" s="154" t="s">
        <v>66</v>
      </c>
      <c r="Z915" s="154" t="s">
        <v>66</v>
      </c>
      <c r="AA915" s="154" t="s">
        <v>66</v>
      </c>
      <c r="AB915" s="154"/>
      <c r="AC915" s="242" t="b">
        <f t="shared" si="2"/>
        <v>1</v>
      </c>
      <c r="AD915" s="154" t="s">
        <v>391</v>
      </c>
      <c r="AE915" s="243" t="b">
        <f t="shared" si="3"/>
        <v>0</v>
      </c>
      <c r="AF915" s="154"/>
      <c r="AG915" s="243" t="b">
        <f t="shared" si="4"/>
        <v>0</v>
      </c>
      <c r="AH915" s="154"/>
      <c r="AI915" s="243" t="str">
        <f t="shared" si="5"/>
        <v>N/A</v>
      </c>
      <c r="AJ915" s="157" t="str">
        <f t="shared" si="6"/>
        <v/>
      </c>
    </row>
    <row r="916" ht="12.75" customHeight="1">
      <c r="A916" s="244" t="s">
        <v>2412</v>
      </c>
      <c r="B916" s="244" t="s">
        <v>2415</v>
      </c>
      <c r="C916" s="244" t="s">
        <v>2611</v>
      </c>
      <c r="D916" s="154" t="s">
        <v>1282</v>
      </c>
      <c r="E916" s="250"/>
      <c r="F916" s="154" t="str">
        <f t="array" ref="F916">XLOOKUP(Cover!$D$12,$S$1:$AA$1,$S916:$AA916)</f>
        <v>Information</v>
      </c>
      <c r="G916" s="154" t="s">
        <v>2612</v>
      </c>
      <c r="H916" s="154"/>
      <c r="I916" s="154" t="s">
        <v>420</v>
      </c>
      <c r="J916" s="247" t="s">
        <v>445</v>
      </c>
      <c r="K916" s="247" t="s">
        <v>2613</v>
      </c>
      <c r="L916" s="154" t="str">
        <f t="shared" si="1"/>
        <v/>
      </c>
      <c r="M916" s="248" t="str">
        <f>IFERROR(__xludf.DUMMYFUNCTION("VLOOKUP(C916,IMPORTRANGE(""https://docs.google.com/spreadsheets/d/1P8eX0NWBhUPS_hvzA11R6jkTNFrPrRYIx_dX_hYbxrk/edit?resourcekey=0-iw9bsKY2OqkUHCFMkCar3A&amp;gid=2055363397#gid=2055363397"",""MTR!C:O""),11,false)"),"TAM")</f>
        <v>TAM</v>
      </c>
      <c r="N916" s="248" t="str">
        <f>IFERROR(__xludf.DUMMYFUNCTION("VLOOKUP(C916,IMPORTRANGE(""https://docs.google.com/spreadsheets/d/1ihFlp3_ePlYtFuPbUNbYj1muErVpI73WHXbEwJDIA7Q/edit#gid=1493122344"",""MTR!C:O""),8,false)"),"Complies")</f>
        <v>Complies</v>
      </c>
      <c r="O916" s="248" t="str">
        <f>IFERROR(__xludf.DUMMYFUNCTION("VLOOKUP(C916,IMPORTRANGE(""https://docs.google.com/spreadsheets/d/1P8eX0NWBhUPS_hvzA11R6jkTNFrPrRYIx_dX_hYbxrk/edit?resourcekey=0-iw9bsKY2OqkUHCFMkCar3A&amp;gid=2055363397#gid=2055363397"",""MTR!C:O""),9,false)"),"Google Pay supports Emulation of closed loop cards and Account-based cards with tokens on the phone")</f>
        <v>Google Pay supports Emulation of closed loop cards and Account-based cards with tokens on the phone</v>
      </c>
      <c r="P916" s="248"/>
      <c r="Q916" s="249" t="s">
        <v>445</v>
      </c>
      <c r="R916" s="249" t="s">
        <v>2613</v>
      </c>
      <c r="S916" s="154" t="s">
        <v>66</v>
      </c>
      <c r="T916" s="154" t="s">
        <v>66</v>
      </c>
      <c r="U916" s="154" t="s">
        <v>66</v>
      </c>
      <c r="V916" s="154" t="s">
        <v>66</v>
      </c>
      <c r="W916" s="154" t="s">
        <v>66</v>
      </c>
      <c r="X916" s="154" t="s">
        <v>66</v>
      </c>
      <c r="Y916" s="154" t="s">
        <v>66</v>
      </c>
      <c r="Z916" s="154" t="s">
        <v>66</v>
      </c>
      <c r="AA916" s="154" t="s">
        <v>66</v>
      </c>
      <c r="AB916" s="154"/>
      <c r="AC916" s="242" t="b">
        <f t="shared" si="2"/>
        <v>1</v>
      </c>
      <c r="AD916" s="154" t="s">
        <v>391</v>
      </c>
      <c r="AE916" s="243" t="b">
        <f t="shared" si="3"/>
        <v>0</v>
      </c>
      <c r="AF916" s="154"/>
      <c r="AG916" s="243" t="b">
        <f t="shared" si="4"/>
        <v>0</v>
      </c>
      <c r="AH916" s="154"/>
      <c r="AI916" s="243" t="str">
        <f t="shared" si="5"/>
        <v>N/A</v>
      </c>
      <c r="AJ916" s="157" t="str">
        <f t="shared" si="6"/>
        <v/>
      </c>
    </row>
    <row r="917" ht="12.75" customHeight="1">
      <c r="A917" s="244" t="s">
        <v>2412</v>
      </c>
      <c r="B917" s="244" t="s">
        <v>2415</v>
      </c>
      <c r="C917" s="244" t="s">
        <v>2614</v>
      </c>
      <c r="D917" s="154" t="s">
        <v>1282</v>
      </c>
      <c r="E917" s="250"/>
      <c r="F917" s="154" t="str">
        <f t="array" ref="F917">XLOOKUP(Cover!$D$12,$S$1:$AA$1,$S917:$AA917)</f>
        <v>Information</v>
      </c>
      <c r="G917" s="154" t="s">
        <v>2615</v>
      </c>
      <c r="H917" s="154"/>
      <c r="I917" s="154" t="s">
        <v>420</v>
      </c>
      <c r="J917" s="247" t="s">
        <v>445</v>
      </c>
      <c r="K917" s="247" t="s">
        <v>2613</v>
      </c>
      <c r="L917" s="154" t="str">
        <f t="shared" si="1"/>
        <v/>
      </c>
      <c r="M917" s="248" t="str">
        <f>IFERROR(__xludf.DUMMYFUNCTION("VLOOKUP(C917,IMPORTRANGE(""https://docs.google.com/spreadsheets/d/1P8eX0NWBhUPS_hvzA11R6jkTNFrPrRYIx_dX_hYbxrk/edit?resourcekey=0-iw9bsKY2OqkUHCFMkCar3A&amp;gid=2055363397#gid=2055363397"",""MTR!C:O""),11,false)"),"TAM")</f>
        <v>TAM</v>
      </c>
      <c r="N917" s="248" t="str">
        <f>IFERROR(__xludf.DUMMYFUNCTION("VLOOKUP(C917,IMPORTRANGE(""https://docs.google.com/spreadsheets/d/1ihFlp3_ePlYtFuPbUNbYj1muErVpI73WHXbEwJDIA7Q/edit#gid=1493122344"",""MTR!C:O""),8,false)"),"Complies")</f>
        <v>Complies</v>
      </c>
      <c r="O917" s="248" t="str">
        <f>IFERROR(__xludf.DUMMYFUNCTION("VLOOKUP(C917,IMPORTRANGE(""https://docs.google.com/spreadsheets/d/1P8eX0NWBhUPS_hvzA11R6jkTNFrPrRYIx_dX_hYbxrk/edit?resourcekey=0-iw9bsKY2OqkUHCFMkCar3A&amp;gid=2055363397#gid=2055363397"",""MTR!C:O""),9,false)"),"Google Pay supports Emulation of closed loop cards and Account-based cards with tokens on the phone")</f>
        <v>Google Pay supports Emulation of closed loop cards and Account-based cards with tokens on the phone</v>
      </c>
      <c r="P917" s="248"/>
      <c r="Q917" s="249" t="s">
        <v>445</v>
      </c>
      <c r="R917" s="249" t="s">
        <v>2613</v>
      </c>
      <c r="S917" s="154" t="s">
        <v>66</v>
      </c>
      <c r="T917" s="154" t="s">
        <v>66</v>
      </c>
      <c r="U917" s="154" t="s">
        <v>66</v>
      </c>
      <c r="V917" s="154" t="s">
        <v>66</v>
      </c>
      <c r="W917" s="154" t="s">
        <v>66</v>
      </c>
      <c r="X917" s="154" t="s">
        <v>66</v>
      </c>
      <c r="Y917" s="154" t="s">
        <v>66</v>
      </c>
      <c r="Z917" s="154" t="s">
        <v>66</v>
      </c>
      <c r="AA917" s="154" t="s">
        <v>66</v>
      </c>
      <c r="AB917" s="154"/>
      <c r="AC917" s="242" t="b">
        <f t="shared" si="2"/>
        <v>1</v>
      </c>
      <c r="AD917" s="154" t="s">
        <v>391</v>
      </c>
      <c r="AE917" s="243" t="b">
        <f t="shared" si="3"/>
        <v>0</v>
      </c>
      <c r="AF917" s="154"/>
      <c r="AG917" s="243" t="b">
        <f t="shared" si="4"/>
        <v>0</v>
      </c>
      <c r="AH917" s="154"/>
      <c r="AI917" s="243" t="str">
        <f t="shared" si="5"/>
        <v>N/A</v>
      </c>
      <c r="AJ917" s="157" t="str">
        <f t="shared" si="6"/>
        <v/>
      </c>
    </row>
    <row r="918" ht="12.75" customHeight="1">
      <c r="A918" s="244" t="s">
        <v>2412</v>
      </c>
      <c r="B918" s="244" t="s">
        <v>2415</v>
      </c>
      <c r="C918" s="244" t="s">
        <v>2616</v>
      </c>
      <c r="D918" s="154" t="s">
        <v>477</v>
      </c>
      <c r="E918" s="250"/>
      <c r="F918" s="154" t="str">
        <f t="array" ref="F918">XLOOKUP(Cover!$D$12,$S$1:$AA$1,$S918:$AA918)</f>
        <v>Information</v>
      </c>
      <c r="G918" s="154" t="s">
        <v>2617</v>
      </c>
      <c r="H918" s="154"/>
      <c r="I918" s="154" t="s">
        <v>420</v>
      </c>
      <c r="J918" s="247" t="s">
        <v>445</v>
      </c>
      <c r="K918" s="154"/>
      <c r="L918" s="154" t="str">
        <f t="shared" si="1"/>
        <v/>
      </c>
      <c r="M918" s="248" t="str">
        <f>IFERROR(__xludf.DUMMYFUNCTION("VLOOKUP(C918,IMPORTRANGE(""https://docs.google.com/spreadsheets/d/1P8eX0NWBhUPS_hvzA11R6jkTNFrPrRYIx_dX_hYbxrk/edit?resourcekey=0-iw9bsKY2OqkUHCFMkCar3A&amp;gid=2055363397#gid=2055363397"",""MTR!C:O""),11,false)"),"TAM")</f>
        <v>TAM</v>
      </c>
      <c r="N918" s="248" t="str">
        <f>IFERROR(__xludf.DUMMYFUNCTION("VLOOKUP(C918,IMPORTRANGE(""https://docs.google.com/spreadsheets/d/1ihFlp3_ePlYtFuPbUNbYj1muErVpI73WHXbEwJDIA7Q/edit#gid=1493122344"",""MTR!C:O""),8,false)"),"Complies")</f>
        <v>Complies</v>
      </c>
      <c r="O918" s="241" t="str">
        <f>IFERROR(__xludf.DUMMYFUNCTION("VLOOKUP(C918,IMPORTRANGE(""https://docs.google.com/spreadsheets/d/1P8eX0NWBhUPS_hvzA11R6jkTNFrPrRYIx_dX_hYbxrk/edit?resourcekey=0-iw9bsKY2OqkUHCFMkCar3A&amp;gid=2055363397#gid=2055363397"",""MTR!C:O""),9,false)"),"")</f>
        <v/>
      </c>
      <c r="P918" s="241"/>
      <c r="Q918" s="251" t="s">
        <v>445</v>
      </c>
      <c r="R918" s="251"/>
      <c r="S918" s="154" t="s">
        <v>66</v>
      </c>
      <c r="T918" s="154" t="s">
        <v>66</v>
      </c>
      <c r="U918" s="154" t="s">
        <v>66</v>
      </c>
      <c r="V918" s="154" t="s">
        <v>66</v>
      </c>
      <c r="W918" s="154" t="s">
        <v>66</v>
      </c>
      <c r="X918" s="154" t="s">
        <v>66</v>
      </c>
      <c r="Y918" s="154" t="s">
        <v>66</v>
      </c>
      <c r="Z918" s="154" t="s">
        <v>66</v>
      </c>
      <c r="AA918" s="154" t="s">
        <v>66</v>
      </c>
      <c r="AB918" s="154"/>
      <c r="AC918" s="242" t="b">
        <f t="shared" si="2"/>
        <v>1</v>
      </c>
      <c r="AD918" s="154" t="s">
        <v>391</v>
      </c>
      <c r="AE918" s="243" t="b">
        <f t="shared" si="3"/>
        <v>0</v>
      </c>
      <c r="AF918" s="154"/>
      <c r="AG918" s="243" t="b">
        <f t="shared" si="4"/>
        <v>0</v>
      </c>
      <c r="AH918" s="154"/>
      <c r="AI918" s="243" t="str">
        <f t="shared" si="5"/>
        <v>N/A</v>
      </c>
      <c r="AJ918" s="157" t="str">
        <f t="shared" si="6"/>
        <v/>
      </c>
    </row>
    <row r="919" ht="12.75" customHeight="1">
      <c r="A919" s="238" t="s">
        <v>2412</v>
      </c>
      <c r="B919" s="238" t="s">
        <v>2415</v>
      </c>
      <c r="C919" s="238" t="s">
        <v>2618</v>
      </c>
      <c r="D919" s="238"/>
      <c r="E919" s="238"/>
      <c r="F919" s="154" t="str">
        <f t="array" ref="F919">XLOOKUP(Cover!$D$12,$S$1:$AA$1,$S919:$AA919)</f>
        <v>Heading</v>
      </c>
      <c r="G919" s="239" t="s">
        <v>2619</v>
      </c>
      <c r="H919" s="240"/>
      <c r="I919" s="240" t="s">
        <v>389</v>
      </c>
      <c r="J919" s="240"/>
      <c r="K919" s="240"/>
      <c r="L919" s="154" t="str">
        <f t="shared" si="1"/>
        <v/>
      </c>
      <c r="M919" s="253" t="str">
        <f>IFERROR(__xludf.DUMMYFUNCTION("VLOOKUP(C919,IMPORTRANGE(""https://docs.google.com/spreadsheets/d/1P8eX0NWBhUPS_hvzA11R6jkTNFrPrRYIx_dX_hYbxrk/edit?resourcekey=0-iw9bsKY2OqkUHCFMkCar3A&amp;gid=2055363397#gid=2055363397"",""MTR!C:O""),11,false)"),"#N/A")</f>
        <v>#N/A</v>
      </c>
      <c r="N919" s="253" t="str">
        <f>IFERROR(__xludf.DUMMYFUNCTION("VLOOKUP(C919,IMPORTRANGE(""https://docs.google.com/spreadsheets/d/1ihFlp3_ePlYtFuPbUNbYj1muErVpI73WHXbEwJDIA7Q/edit#gid=1493122344"",""MTR!C:O""),8,false)"),"#N/A")</f>
        <v>#N/A</v>
      </c>
      <c r="O919" s="241" t="str">
        <f>IFERROR(__xludf.DUMMYFUNCTION("VLOOKUP(C919,IMPORTRANGE(""https://docs.google.com/spreadsheets/d/1P8eX0NWBhUPS_hvzA11R6jkTNFrPrRYIx_dX_hYbxrk/edit?resourcekey=0-iw9bsKY2OqkUHCFMkCar3A&amp;gid=2055363397#gid=2055363397"",""MTR!C:O""),9,false)"),"")</f>
        <v/>
      </c>
      <c r="P919" s="241"/>
      <c r="Q919" s="251"/>
      <c r="R919" s="241"/>
      <c r="S919" s="240" t="s">
        <v>390</v>
      </c>
      <c r="T919" s="240" t="s">
        <v>390</v>
      </c>
      <c r="U919" s="240" t="s">
        <v>390</v>
      </c>
      <c r="V919" s="240" t="s">
        <v>390</v>
      </c>
      <c r="W919" s="240" t="s">
        <v>390</v>
      </c>
      <c r="X919" s="240" t="s">
        <v>390</v>
      </c>
      <c r="Y919" s="240" t="s">
        <v>390</v>
      </c>
      <c r="Z919" s="240" t="s">
        <v>390</v>
      </c>
      <c r="AA919" s="240" t="s">
        <v>390</v>
      </c>
      <c r="AB919" s="240"/>
      <c r="AC919" s="242" t="b">
        <f t="shared" si="2"/>
        <v>0</v>
      </c>
      <c r="AD919" s="240" t="s">
        <v>391</v>
      </c>
      <c r="AE919" s="243" t="b">
        <f t="shared" si="3"/>
        <v>0</v>
      </c>
      <c r="AF919" s="240"/>
      <c r="AG919" s="243" t="b">
        <f t="shared" si="4"/>
        <v>0</v>
      </c>
      <c r="AH919" s="240"/>
      <c r="AI919" s="243" t="str">
        <f t="shared" si="5"/>
        <v>N/A</v>
      </c>
      <c r="AJ919" s="157" t="str">
        <f t="shared" si="6"/>
        <v/>
      </c>
    </row>
    <row r="920" ht="12.75" customHeight="1">
      <c r="A920" s="244" t="s">
        <v>2412</v>
      </c>
      <c r="B920" s="244" t="s">
        <v>2415</v>
      </c>
      <c r="C920" s="244" t="s">
        <v>2620</v>
      </c>
      <c r="D920" s="154" t="s">
        <v>45</v>
      </c>
      <c r="E920" s="250"/>
      <c r="F920" s="154" t="str">
        <f t="array" ref="F920">XLOOKUP(Cover!$D$12,$S$1:$AA$1,$S920:$AA920)</f>
        <v>Information</v>
      </c>
      <c r="G920" s="154" t="s">
        <v>2621</v>
      </c>
      <c r="H920" s="154"/>
      <c r="I920" s="154" t="s">
        <v>389</v>
      </c>
      <c r="J920" s="247" t="s">
        <v>506</v>
      </c>
      <c r="K920" s="154" t="s">
        <v>2622</v>
      </c>
      <c r="L920" s="154" t="str">
        <f t="shared" si="1"/>
        <v/>
      </c>
      <c r="M920" s="253" t="str">
        <f>IFERROR(__xludf.DUMMYFUNCTION("VLOOKUP(C920,IMPORTRANGE(""https://docs.google.com/spreadsheets/d/1P8eX0NWBhUPS_hvzA11R6jkTNFrPrRYIx_dX_hYbxrk/edit?resourcekey=0-iw9bsKY2OqkUHCFMkCar3A&amp;gid=2055363397#gid=2055363397"",""MTR!C:O""),11,false)"),"#N/A")</f>
        <v>#N/A</v>
      </c>
      <c r="N920" s="253" t="str">
        <f>IFERROR(__xludf.DUMMYFUNCTION("VLOOKUP(C920,IMPORTRANGE(""https://docs.google.com/spreadsheets/d/1ihFlp3_ePlYtFuPbUNbYj1muErVpI73WHXbEwJDIA7Q/edit#gid=1493122344"",""MTR!C:O""),8,false)"),"#N/A")</f>
        <v>#N/A</v>
      </c>
      <c r="O920" s="248" t="str">
        <f>IFERROR(__xludf.DUMMYFUNCTION("VLOOKUP(C920,IMPORTRANGE(""https://docs.google.com/spreadsheets/d/1P8eX0NWBhUPS_hvzA11R6jkTNFrPrRYIx_dX_hYbxrk/edit?resourcekey=0-iw9bsKY2OqkUHCFMkCar3A&amp;gid=2055363397#gid=2055363397"",""MTR!C:O""),9,false)"),"NTN Not enabled for EMEA at launch")</f>
        <v>NTN Not enabled for EMEA at launch</v>
      </c>
      <c r="P920" s="248"/>
      <c r="Q920" s="248"/>
      <c r="R920" s="248"/>
      <c r="S920" s="154" t="s">
        <v>66</v>
      </c>
      <c r="T920" s="154" t="s">
        <v>66</v>
      </c>
      <c r="U920" s="154" t="s">
        <v>66</v>
      </c>
      <c r="V920" s="154" t="s">
        <v>66</v>
      </c>
      <c r="W920" s="154" t="s">
        <v>66</v>
      </c>
      <c r="X920" s="154" t="s">
        <v>66</v>
      </c>
      <c r="Y920" s="154" t="s">
        <v>66</v>
      </c>
      <c r="Z920" s="154" t="s">
        <v>66</v>
      </c>
      <c r="AA920" s="154" t="s">
        <v>66</v>
      </c>
      <c r="AB920" s="154"/>
      <c r="AC920" s="242" t="b">
        <f t="shared" si="2"/>
        <v>1</v>
      </c>
      <c r="AD920" s="154" t="s">
        <v>445</v>
      </c>
      <c r="AE920" s="243" t="b">
        <f t="shared" si="3"/>
        <v>0</v>
      </c>
      <c r="AF920" s="154"/>
      <c r="AG920" s="243" t="b">
        <f t="shared" si="4"/>
        <v>0</v>
      </c>
      <c r="AH920" s="154"/>
      <c r="AI920" s="243" t="str">
        <f t="shared" si="5"/>
        <v>N/A</v>
      </c>
      <c r="AJ920" s="157" t="str">
        <f t="shared" si="6"/>
        <v/>
      </c>
    </row>
    <row r="921" ht="12.75" customHeight="1">
      <c r="A921" s="244" t="s">
        <v>2412</v>
      </c>
      <c r="B921" s="244" t="s">
        <v>2415</v>
      </c>
      <c r="C921" s="244" t="s">
        <v>2623</v>
      </c>
      <c r="D921" s="154" t="s">
        <v>45</v>
      </c>
      <c r="E921" s="250"/>
      <c r="F921" s="154" t="str">
        <f t="array" ref="F921">XLOOKUP(Cover!$D$12,$S$1:$AA$1,$S921:$AA921)</f>
        <v>Information</v>
      </c>
      <c r="G921" s="154" t="s">
        <v>2624</v>
      </c>
      <c r="H921" s="154"/>
      <c r="I921" s="154" t="s">
        <v>389</v>
      </c>
      <c r="J921" s="247" t="s">
        <v>506</v>
      </c>
      <c r="K921" s="154" t="s">
        <v>2622</v>
      </c>
      <c r="L921" s="154" t="str">
        <f t="shared" si="1"/>
        <v/>
      </c>
      <c r="M921" s="253" t="str">
        <f>IFERROR(__xludf.DUMMYFUNCTION("VLOOKUP(C921,IMPORTRANGE(""https://docs.google.com/spreadsheets/d/1P8eX0NWBhUPS_hvzA11R6jkTNFrPrRYIx_dX_hYbxrk/edit?resourcekey=0-iw9bsKY2OqkUHCFMkCar3A&amp;gid=2055363397#gid=2055363397"",""MTR!C:O""),11,false)"),"#N/A")</f>
        <v>#N/A</v>
      </c>
      <c r="N921" s="253" t="str">
        <f>IFERROR(__xludf.DUMMYFUNCTION("VLOOKUP(C921,IMPORTRANGE(""https://docs.google.com/spreadsheets/d/1ihFlp3_ePlYtFuPbUNbYj1muErVpI73WHXbEwJDIA7Q/edit#gid=1493122344"",""MTR!C:O""),8,false)"),"#N/A")</f>
        <v>#N/A</v>
      </c>
      <c r="O921" s="248" t="str">
        <f>IFERROR(__xludf.DUMMYFUNCTION("VLOOKUP(C921,IMPORTRANGE(""https://docs.google.com/spreadsheets/d/1P8eX0NWBhUPS_hvzA11R6jkTNFrPrRYIx_dX_hYbxrk/edit?resourcekey=0-iw9bsKY2OqkUHCFMkCar3A&amp;gid=2055363397#gid=2055363397"",""MTR!C:O""),9,false)"),"NTN Not enabled for EMEA at launch")</f>
        <v>NTN Not enabled for EMEA at launch</v>
      </c>
      <c r="P921" s="248"/>
      <c r="Q921" s="248"/>
      <c r="R921" s="248"/>
      <c r="S921" s="154" t="s">
        <v>66</v>
      </c>
      <c r="T921" s="154" t="s">
        <v>66</v>
      </c>
      <c r="U921" s="154" t="s">
        <v>66</v>
      </c>
      <c r="V921" s="154" t="s">
        <v>66</v>
      </c>
      <c r="W921" s="154" t="s">
        <v>66</v>
      </c>
      <c r="X921" s="154" t="s">
        <v>66</v>
      </c>
      <c r="Y921" s="154" t="s">
        <v>66</v>
      </c>
      <c r="Z921" s="154" t="s">
        <v>66</v>
      </c>
      <c r="AA921" s="154" t="s">
        <v>66</v>
      </c>
      <c r="AB921" s="154"/>
      <c r="AC921" s="242" t="b">
        <f t="shared" si="2"/>
        <v>1</v>
      </c>
      <c r="AD921" s="154" t="s">
        <v>445</v>
      </c>
      <c r="AE921" s="243" t="b">
        <f t="shared" si="3"/>
        <v>0</v>
      </c>
      <c r="AF921" s="154"/>
      <c r="AG921" s="243" t="b">
        <f t="shared" si="4"/>
        <v>0</v>
      </c>
      <c r="AH921" s="154" t="s">
        <v>2620</v>
      </c>
      <c r="AI921" s="243" t="str">
        <f t="shared" si="5"/>
        <v>Partially Complies</v>
      </c>
      <c r="AJ921" s="157" t="str">
        <f t="shared" si="6"/>
        <v/>
      </c>
    </row>
    <row r="922" ht="12.75" customHeight="1">
      <c r="A922" s="244" t="s">
        <v>2412</v>
      </c>
      <c r="B922" s="244" t="s">
        <v>2415</v>
      </c>
      <c r="C922" s="244" t="s">
        <v>2625</v>
      </c>
      <c r="D922" s="154" t="s">
        <v>45</v>
      </c>
      <c r="E922" s="250"/>
      <c r="F922" s="154" t="str">
        <f t="array" ref="F922">XLOOKUP(Cover!$D$12,$S$1:$AA$1,$S922:$AA922)</f>
        <v>Comments Vendor</v>
      </c>
      <c r="G922" s="154" t="s">
        <v>2626</v>
      </c>
      <c r="H922" s="154"/>
      <c r="I922" s="154" t="s">
        <v>389</v>
      </c>
      <c r="J922" s="154"/>
      <c r="K922" s="154" t="s">
        <v>2627</v>
      </c>
      <c r="L922" s="154" t="str">
        <f t="shared" si="1"/>
        <v/>
      </c>
      <c r="M922" s="253" t="str">
        <f>IFERROR(__xludf.DUMMYFUNCTION("VLOOKUP(C922,IMPORTRANGE(""https://docs.google.com/spreadsheets/d/1P8eX0NWBhUPS_hvzA11R6jkTNFrPrRYIx_dX_hYbxrk/edit?resourcekey=0-iw9bsKY2OqkUHCFMkCar3A&amp;gid=2055363397#gid=2055363397"",""MTR!C:O""),11,false)"),"#N/A")</f>
        <v>#N/A</v>
      </c>
      <c r="N922" s="253" t="str">
        <f>IFERROR(__xludf.DUMMYFUNCTION("VLOOKUP(C922,IMPORTRANGE(""https://docs.google.com/spreadsheets/d/1ihFlp3_ePlYtFuPbUNbYj1muErVpI73WHXbEwJDIA7Q/edit#gid=1493122344"",""MTR!C:O""),8,false)"),"#N/A")</f>
        <v>#N/A</v>
      </c>
      <c r="O922" s="248" t="str">
        <f>IFERROR(__xludf.DUMMYFUNCTION("VLOOKUP(C922,IMPORTRANGE(""https://docs.google.com/spreadsheets/d/1P8eX0NWBhUPS_hvzA11R6jkTNFrPrRYIx_dX_hYbxrk/edit?resourcekey=0-iw9bsKY2OqkUHCFMkCar3A&amp;gid=2055363397#gid=2055363397"",""MTR!C:O""),9,false)"),"NTN Not enabled for EMEA at launch. GEO")</f>
        <v>NTN Not enabled for EMEA at launch. GEO</v>
      </c>
      <c r="P922" s="248"/>
      <c r="Q922" s="248"/>
      <c r="R922" s="248"/>
      <c r="S922" s="154" t="s">
        <v>62</v>
      </c>
      <c r="T922" s="154" t="s">
        <v>62</v>
      </c>
      <c r="U922" s="154" t="s">
        <v>62</v>
      </c>
      <c r="V922" s="154" t="s">
        <v>62</v>
      </c>
      <c r="W922" s="154" t="s">
        <v>62</v>
      </c>
      <c r="X922" s="154" t="s">
        <v>62</v>
      </c>
      <c r="Y922" s="154" t="s">
        <v>62</v>
      </c>
      <c r="Z922" s="154" t="s">
        <v>62</v>
      </c>
      <c r="AA922" s="154" t="s">
        <v>62</v>
      </c>
      <c r="AB922" s="154"/>
      <c r="AC922" s="242" t="b">
        <f t="shared" si="2"/>
        <v>1</v>
      </c>
      <c r="AD922" s="154" t="s">
        <v>68</v>
      </c>
      <c r="AE922" s="243" t="b">
        <f t="shared" si="3"/>
        <v>1</v>
      </c>
      <c r="AF922" s="154"/>
      <c r="AG922" s="243" t="b">
        <f t="shared" si="4"/>
        <v>0</v>
      </c>
      <c r="AH922" s="154" t="s">
        <v>2620</v>
      </c>
      <c r="AI922" s="243" t="str">
        <f t="shared" si="5"/>
        <v>Partially Complies</v>
      </c>
      <c r="AJ922" s="157" t="str">
        <f t="shared" si="6"/>
        <v/>
      </c>
    </row>
    <row r="923" ht="12.75" customHeight="1">
      <c r="A923" s="244" t="s">
        <v>2412</v>
      </c>
      <c r="B923" s="244" t="s">
        <v>2415</v>
      </c>
      <c r="C923" s="245" t="s">
        <v>2628</v>
      </c>
      <c r="D923" s="155" t="s">
        <v>45</v>
      </c>
      <c r="E923" s="246" t="s">
        <v>92</v>
      </c>
      <c r="F923" s="154" t="str">
        <f t="array" ref="F923">XLOOKUP(Cover!$D$12,$S$1:$AA$1,$S923:$AA923)</f>
        <v>Comments Vendor</v>
      </c>
      <c r="G923" s="154" t="s">
        <v>2629</v>
      </c>
      <c r="H923" s="154"/>
      <c r="I923" s="154" t="s">
        <v>414</v>
      </c>
      <c r="J923" s="154"/>
      <c r="K923" s="154" t="s">
        <v>2630</v>
      </c>
      <c r="L923" s="154" t="str">
        <f t="shared" si="1"/>
        <v/>
      </c>
      <c r="M923" s="253" t="str">
        <f>IFERROR(__xludf.DUMMYFUNCTION("VLOOKUP(C923,IMPORTRANGE(""https://docs.google.com/spreadsheets/d/1P8eX0NWBhUPS_hvzA11R6jkTNFrPrRYIx_dX_hYbxrk/edit?resourcekey=0-iw9bsKY2OqkUHCFMkCar3A&amp;gid=2055363397#gid=2055363397"",""MTR!C:O""),11,false)"),"#N/A")</f>
        <v>#N/A</v>
      </c>
      <c r="N923" s="253" t="str">
        <f>IFERROR(__xludf.DUMMYFUNCTION("VLOOKUP(C923,IMPORTRANGE(""https://docs.google.com/spreadsheets/d/1ihFlp3_ePlYtFuPbUNbYj1muErVpI73WHXbEwJDIA7Q/edit#gid=1493122344"",""MTR!C:O""),8,false)"),"#N/A")</f>
        <v>#N/A</v>
      </c>
      <c r="O923" s="248" t="str">
        <f>IFERROR(__xludf.DUMMYFUNCTION("VLOOKUP(C923,IMPORTRANGE(""https://docs.google.com/spreadsheets/d/1P8eX0NWBhUPS_hvzA11R6jkTNFrPrRYIx_dX_hYbxrk/edit?resourcekey=0-iw9bsKY2OqkUHCFMkCar3A&amp;gid=2055363397#gid=2055363397"",""MTR!C:O""),9,false)"),"NTN Not enabled for EMEA at launch. Skylo")</f>
        <v>NTN Not enabled for EMEA at launch. Skylo</v>
      </c>
      <c r="P923" s="248"/>
      <c r="Q923" s="248"/>
      <c r="R923" s="248"/>
      <c r="S923" s="154" t="s">
        <v>62</v>
      </c>
      <c r="T923" s="154" t="s">
        <v>62</v>
      </c>
      <c r="U923" s="154" t="s">
        <v>62</v>
      </c>
      <c r="V923" s="154" t="s">
        <v>62</v>
      </c>
      <c r="W923" s="154" t="s">
        <v>62</v>
      </c>
      <c r="X923" s="154" t="s">
        <v>62</v>
      </c>
      <c r="Y923" s="154" t="s">
        <v>62</v>
      </c>
      <c r="Z923" s="154" t="s">
        <v>62</v>
      </c>
      <c r="AA923" s="154" t="s">
        <v>62</v>
      </c>
      <c r="AB923" s="154"/>
      <c r="AC923" s="242" t="b">
        <f t="shared" si="2"/>
        <v>1</v>
      </c>
      <c r="AD923" s="154" t="s">
        <v>68</v>
      </c>
      <c r="AE923" s="243" t="b">
        <f t="shared" si="3"/>
        <v>1</v>
      </c>
      <c r="AF923" s="154"/>
      <c r="AG923" s="243" t="b">
        <f t="shared" si="4"/>
        <v>0</v>
      </c>
      <c r="AH923" s="154" t="s">
        <v>2620</v>
      </c>
      <c r="AI923" s="243" t="str">
        <f t="shared" si="5"/>
        <v>Partially Complies</v>
      </c>
      <c r="AJ923" s="157" t="str">
        <f t="shared" si="6"/>
        <v/>
      </c>
    </row>
    <row r="924" ht="12.75" customHeight="1">
      <c r="A924" s="244" t="s">
        <v>2412</v>
      </c>
      <c r="B924" s="244" t="s">
        <v>2415</v>
      </c>
      <c r="C924" s="245" t="s">
        <v>2631</v>
      </c>
      <c r="D924" s="155" t="s">
        <v>45</v>
      </c>
      <c r="E924" s="246" t="s">
        <v>92</v>
      </c>
      <c r="F924" s="154" t="str">
        <f t="array" ref="F924">XLOOKUP(Cover!$D$12,$S$1:$AA$1,$S924:$AA924)</f>
        <v>Comments Vendor</v>
      </c>
      <c r="G924" s="154" t="s">
        <v>2632</v>
      </c>
      <c r="H924" s="154"/>
      <c r="I924" s="154" t="s">
        <v>414</v>
      </c>
      <c r="J924" s="154"/>
      <c r="K924" s="154" t="s">
        <v>2622</v>
      </c>
      <c r="L924" s="154" t="str">
        <f t="shared" si="1"/>
        <v/>
      </c>
      <c r="M924" s="253" t="str">
        <f>IFERROR(__xludf.DUMMYFUNCTION("VLOOKUP(C924,IMPORTRANGE(""https://docs.google.com/spreadsheets/d/1P8eX0NWBhUPS_hvzA11R6jkTNFrPrRYIx_dX_hYbxrk/edit?resourcekey=0-iw9bsKY2OqkUHCFMkCar3A&amp;gid=2055363397#gid=2055363397"",""MTR!C:O""),11,false)"),"#N/A")</f>
        <v>#N/A</v>
      </c>
      <c r="N924" s="253" t="str">
        <f>IFERROR(__xludf.DUMMYFUNCTION("VLOOKUP(C924,IMPORTRANGE(""https://docs.google.com/spreadsheets/d/1ihFlp3_ePlYtFuPbUNbYj1muErVpI73WHXbEwJDIA7Q/edit#gid=1493122344"",""MTR!C:O""),8,false)"),"#N/A")</f>
        <v>#N/A</v>
      </c>
      <c r="O924" s="248" t="str">
        <f>IFERROR(__xludf.DUMMYFUNCTION("VLOOKUP(C924,IMPORTRANGE(""https://docs.google.com/spreadsheets/d/1P8eX0NWBhUPS_hvzA11R6jkTNFrPrRYIx_dX_hYbxrk/edit?resourcekey=0-iw9bsKY2OqkUHCFMkCar3A&amp;gid=2055363397#gid=2055363397"",""MTR!C:O""),9,false)"),"NTN Not enabled for EMEA at launch")</f>
        <v>NTN Not enabled for EMEA at launch</v>
      </c>
      <c r="P924" s="248"/>
      <c r="Q924" s="248"/>
      <c r="R924" s="248"/>
      <c r="S924" s="154" t="s">
        <v>62</v>
      </c>
      <c r="T924" s="154" t="s">
        <v>62</v>
      </c>
      <c r="U924" s="154" t="s">
        <v>62</v>
      </c>
      <c r="V924" s="154" t="s">
        <v>62</v>
      </c>
      <c r="W924" s="154" t="s">
        <v>62</v>
      </c>
      <c r="X924" s="154" t="s">
        <v>62</v>
      </c>
      <c r="Y924" s="154" t="s">
        <v>62</v>
      </c>
      <c r="Z924" s="154" t="s">
        <v>62</v>
      </c>
      <c r="AA924" s="154" t="s">
        <v>62</v>
      </c>
      <c r="AB924" s="154"/>
      <c r="AC924" s="242" t="b">
        <f t="shared" si="2"/>
        <v>1</v>
      </c>
      <c r="AD924" s="154" t="s">
        <v>68</v>
      </c>
      <c r="AE924" s="243" t="b">
        <f t="shared" si="3"/>
        <v>1</v>
      </c>
      <c r="AF924" s="154"/>
      <c r="AG924" s="243" t="b">
        <f t="shared" si="4"/>
        <v>0</v>
      </c>
      <c r="AH924" s="154" t="s">
        <v>2620</v>
      </c>
      <c r="AI924" s="243" t="str">
        <f t="shared" si="5"/>
        <v>Partially Complies</v>
      </c>
      <c r="AJ924" s="157" t="str">
        <f t="shared" si="6"/>
        <v/>
      </c>
    </row>
    <row r="925" ht="12.75" customHeight="1">
      <c r="A925" s="238" t="s">
        <v>2412</v>
      </c>
      <c r="B925" s="238" t="s">
        <v>2633</v>
      </c>
      <c r="C925" s="238" t="s">
        <v>2634</v>
      </c>
      <c r="D925" s="238"/>
      <c r="E925" s="238"/>
      <c r="F925" s="154" t="str">
        <f t="array" ref="F925">XLOOKUP(Cover!$D$12,$S$1:$AA$1,$S925:$AA925)</f>
        <v>Heading</v>
      </c>
      <c r="G925" s="239" t="s">
        <v>2635</v>
      </c>
      <c r="H925" s="240"/>
      <c r="I925" s="240" t="s">
        <v>414</v>
      </c>
      <c r="J925" s="240"/>
      <c r="K925" s="240"/>
      <c r="L925" s="154" t="str">
        <f t="shared" si="1"/>
        <v/>
      </c>
      <c r="M925" s="241" t="str">
        <f>IFERROR(__xludf.DUMMYFUNCTION("VLOOKUP(C925,IMPORTRANGE(""https://docs.google.com/spreadsheets/d/1P8eX0NWBhUPS_hvzA11R6jkTNFrPrRYIx_dX_hYbxrk/edit?resourcekey=0-iw9bsKY2OqkUHCFMkCar3A&amp;gid=2055363397#gid=2055363397"",""MTR!C:O""),11,false)"),"")</f>
        <v/>
      </c>
      <c r="N925" s="241" t="str">
        <f>IFERROR(__xludf.DUMMYFUNCTION("VLOOKUP(C925,IMPORTRANGE(""https://docs.google.com/spreadsheets/d/1ihFlp3_ePlYtFuPbUNbYj1muErVpI73WHXbEwJDIA7Q/edit#gid=1493122344"",""MTR!C:O""),8,false)"),"")</f>
        <v/>
      </c>
      <c r="O925" s="241" t="str">
        <f>IFERROR(__xludf.DUMMYFUNCTION("VLOOKUP(C925,IMPORTRANGE(""https://docs.google.com/spreadsheets/d/1P8eX0NWBhUPS_hvzA11R6jkTNFrPrRYIx_dX_hYbxrk/edit?resourcekey=0-iw9bsKY2OqkUHCFMkCar3A&amp;gid=2055363397#gid=2055363397"",""MTR!C:O""),9,false)"),"")</f>
        <v/>
      </c>
      <c r="P925" s="241"/>
      <c r="Q925" s="241"/>
      <c r="R925" s="241"/>
      <c r="S925" s="240" t="s">
        <v>390</v>
      </c>
      <c r="T925" s="240" t="s">
        <v>390</v>
      </c>
      <c r="U925" s="240" t="s">
        <v>390</v>
      </c>
      <c r="V925" s="240" t="s">
        <v>390</v>
      </c>
      <c r="W925" s="240" t="s">
        <v>390</v>
      </c>
      <c r="X925" s="240" t="s">
        <v>390</v>
      </c>
      <c r="Y925" s="240" t="s">
        <v>390</v>
      </c>
      <c r="Z925" s="240" t="s">
        <v>390</v>
      </c>
      <c r="AA925" s="240" t="s">
        <v>390</v>
      </c>
      <c r="AB925" s="240"/>
      <c r="AC925" s="242" t="b">
        <f t="shared" si="2"/>
        <v>0</v>
      </c>
      <c r="AD925" s="240" t="s">
        <v>391</v>
      </c>
      <c r="AE925" s="243" t="b">
        <f t="shared" si="3"/>
        <v>0</v>
      </c>
      <c r="AF925" s="240"/>
      <c r="AG925" s="243" t="b">
        <f t="shared" si="4"/>
        <v>0</v>
      </c>
      <c r="AH925" s="240"/>
      <c r="AI925" s="243" t="str">
        <f t="shared" si="5"/>
        <v>N/A</v>
      </c>
      <c r="AJ925" s="157" t="str">
        <f t="shared" si="6"/>
        <v/>
      </c>
    </row>
    <row r="926" ht="12.75" customHeight="1">
      <c r="A926" s="238" t="s">
        <v>2412</v>
      </c>
      <c r="B926" s="238" t="s">
        <v>2633</v>
      </c>
      <c r="C926" s="238" t="s">
        <v>2636</v>
      </c>
      <c r="D926" s="238"/>
      <c r="E926" s="238"/>
      <c r="F926" s="154" t="str">
        <f t="array" ref="F926">XLOOKUP(Cover!$D$12,$S$1:$AA$1,$S926:$AA926)</f>
        <v>Heading</v>
      </c>
      <c r="G926" s="239" t="s">
        <v>2637</v>
      </c>
      <c r="H926" s="240"/>
      <c r="I926" s="240" t="s">
        <v>414</v>
      </c>
      <c r="J926" s="240"/>
      <c r="K926" s="240"/>
      <c r="L926" s="154" t="str">
        <f t="shared" si="1"/>
        <v/>
      </c>
      <c r="M926" s="241" t="str">
        <f>IFERROR(__xludf.DUMMYFUNCTION("VLOOKUP(C926,IMPORTRANGE(""https://docs.google.com/spreadsheets/d/1P8eX0NWBhUPS_hvzA11R6jkTNFrPrRYIx_dX_hYbxrk/edit?resourcekey=0-iw9bsKY2OqkUHCFMkCar3A&amp;gid=2055363397#gid=2055363397"",""MTR!C:O""),11,false)"),"")</f>
        <v/>
      </c>
      <c r="N926" s="241" t="str">
        <f>IFERROR(__xludf.DUMMYFUNCTION("VLOOKUP(C926,IMPORTRANGE(""https://docs.google.com/spreadsheets/d/1ihFlp3_ePlYtFuPbUNbYj1muErVpI73WHXbEwJDIA7Q/edit#gid=1493122344"",""MTR!C:O""),8,false)"),"")</f>
        <v/>
      </c>
      <c r="O926" s="241" t="str">
        <f>IFERROR(__xludf.DUMMYFUNCTION("VLOOKUP(C926,IMPORTRANGE(""https://docs.google.com/spreadsheets/d/1P8eX0NWBhUPS_hvzA11R6jkTNFrPrRYIx_dX_hYbxrk/edit?resourcekey=0-iw9bsKY2OqkUHCFMkCar3A&amp;gid=2055363397#gid=2055363397"",""MTR!C:O""),9,false)"),"")</f>
        <v/>
      </c>
      <c r="P926" s="241"/>
      <c r="Q926" s="241"/>
      <c r="R926" s="241"/>
      <c r="S926" s="240" t="s">
        <v>390</v>
      </c>
      <c r="T926" s="240" t="s">
        <v>390</v>
      </c>
      <c r="U926" s="240" t="s">
        <v>390</v>
      </c>
      <c r="V926" s="240" t="s">
        <v>390</v>
      </c>
      <c r="W926" s="240" t="s">
        <v>390</v>
      </c>
      <c r="X926" s="240" t="s">
        <v>390</v>
      </c>
      <c r="Y926" s="240" t="s">
        <v>390</v>
      </c>
      <c r="Z926" s="240" t="s">
        <v>390</v>
      </c>
      <c r="AA926" s="240" t="s">
        <v>390</v>
      </c>
      <c r="AB926" s="240"/>
      <c r="AC926" s="242" t="b">
        <f t="shared" si="2"/>
        <v>0</v>
      </c>
      <c r="AD926" s="240" t="s">
        <v>391</v>
      </c>
      <c r="AE926" s="243" t="b">
        <f t="shared" si="3"/>
        <v>0</v>
      </c>
      <c r="AF926" s="240"/>
      <c r="AG926" s="243" t="b">
        <f t="shared" si="4"/>
        <v>0</v>
      </c>
      <c r="AH926" s="240"/>
      <c r="AI926" s="243" t="str">
        <f t="shared" si="5"/>
        <v>N/A</v>
      </c>
      <c r="AJ926" s="157" t="str">
        <f t="shared" si="6"/>
        <v/>
      </c>
    </row>
    <row r="927" ht="12.75" customHeight="1">
      <c r="A927" s="238" t="s">
        <v>2412</v>
      </c>
      <c r="B927" s="238" t="s">
        <v>2633</v>
      </c>
      <c r="C927" s="238" t="s">
        <v>2638</v>
      </c>
      <c r="D927" s="238"/>
      <c r="E927" s="238"/>
      <c r="F927" s="154" t="str">
        <f t="array" ref="F927">XLOOKUP(Cover!$D$12,$S$1:$AA$1,$S927:$AA927)</f>
        <v>Heading</v>
      </c>
      <c r="G927" s="239" t="s">
        <v>2639</v>
      </c>
      <c r="H927" s="240"/>
      <c r="I927" s="240" t="s">
        <v>420</v>
      </c>
      <c r="J927" s="240"/>
      <c r="K927" s="240"/>
      <c r="L927" s="154" t="str">
        <f t="shared" si="1"/>
        <v/>
      </c>
      <c r="M927" s="241" t="str">
        <f>IFERROR(__xludf.DUMMYFUNCTION("VLOOKUP(C927,IMPORTRANGE(""https://docs.google.com/spreadsheets/d/1P8eX0NWBhUPS_hvzA11R6jkTNFrPrRYIx_dX_hYbxrk/edit?resourcekey=0-iw9bsKY2OqkUHCFMkCar3A&amp;gid=2055363397#gid=2055363397"",""MTR!C:O""),11,false)"),"")</f>
        <v/>
      </c>
      <c r="N927" s="241" t="str">
        <f>IFERROR(__xludf.DUMMYFUNCTION("VLOOKUP(C927,IMPORTRANGE(""https://docs.google.com/spreadsheets/d/1ihFlp3_ePlYtFuPbUNbYj1muErVpI73WHXbEwJDIA7Q/edit#gid=1493122344"",""MTR!C:O""),8,false)"),"")</f>
        <v/>
      </c>
      <c r="O927" s="241" t="str">
        <f>IFERROR(__xludf.DUMMYFUNCTION("VLOOKUP(C927,IMPORTRANGE(""https://docs.google.com/spreadsheets/d/1P8eX0NWBhUPS_hvzA11R6jkTNFrPrRYIx_dX_hYbxrk/edit?resourcekey=0-iw9bsKY2OqkUHCFMkCar3A&amp;gid=2055363397#gid=2055363397"",""MTR!C:O""),9,false)"),"")</f>
        <v/>
      </c>
      <c r="P927" s="241"/>
      <c r="Q927" s="241"/>
      <c r="R927" s="241"/>
      <c r="S927" s="240" t="s">
        <v>390</v>
      </c>
      <c r="T927" s="240" t="s">
        <v>390</v>
      </c>
      <c r="U927" s="240" t="s">
        <v>390</v>
      </c>
      <c r="V927" s="240" t="s">
        <v>390</v>
      </c>
      <c r="W927" s="240" t="s">
        <v>390</v>
      </c>
      <c r="X927" s="240" t="s">
        <v>390</v>
      </c>
      <c r="Y927" s="240" t="s">
        <v>390</v>
      </c>
      <c r="Z927" s="240" t="s">
        <v>390</v>
      </c>
      <c r="AA927" s="240" t="s">
        <v>390</v>
      </c>
      <c r="AB927" s="240"/>
      <c r="AC927" s="242" t="b">
        <f t="shared" si="2"/>
        <v>0</v>
      </c>
      <c r="AD927" s="240" t="s">
        <v>391</v>
      </c>
      <c r="AE927" s="243" t="b">
        <f t="shared" si="3"/>
        <v>0</v>
      </c>
      <c r="AF927" s="240"/>
      <c r="AG927" s="243" t="b">
        <f t="shared" si="4"/>
        <v>0</v>
      </c>
      <c r="AH927" s="240"/>
      <c r="AI927" s="243" t="str">
        <f t="shared" si="5"/>
        <v>N/A</v>
      </c>
      <c r="AJ927" s="157" t="str">
        <f t="shared" si="6"/>
        <v/>
      </c>
    </row>
    <row r="928" ht="12.75" customHeight="1">
      <c r="A928" s="244" t="s">
        <v>2412</v>
      </c>
      <c r="B928" s="244" t="s">
        <v>2633</v>
      </c>
      <c r="C928" s="244" t="s">
        <v>2640</v>
      </c>
      <c r="D928" s="154" t="s">
        <v>477</v>
      </c>
      <c r="E928" s="250"/>
      <c r="F928" s="154" t="str">
        <f t="array" ref="F928">XLOOKUP(Cover!$D$12,$S$1:$AA$1,$S928:$AA928)</f>
        <v>Comments Vendor</v>
      </c>
      <c r="G928" s="153" t="s">
        <v>2641</v>
      </c>
      <c r="H928" s="154" t="s">
        <v>2642</v>
      </c>
      <c r="I928" s="154" t="s">
        <v>414</v>
      </c>
      <c r="J928" s="154"/>
      <c r="K928" s="247" t="s">
        <v>2643</v>
      </c>
      <c r="L928" s="154" t="str">
        <f t="shared" si="1"/>
        <v/>
      </c>
      <c r="M928" s="248" t="str">
        <f>IFERROR(__xludf.DUMMYFUNCTION("VLOOKUP(C928,IMPORTRANGE(""https://docs.google.com/spreadsheets/d/1P8eX0NWBhUPS_hvzA11R6jkTNFrPrRYIx_dX_hYbxrk/edit?resourcekey=0-iw9bsKY2OqkUHCFMkCar3A&amp;gid=2055363397#gid=2055363397"",""MTR!C:O""),11,false)"),"TAM-SPEC")</f>
        <v>TAM-SPEC</v>
      </c>
      <c r="N928" s="241" t="str">
        <f>IFERROR(__xludf.DUMMYFUNCTION("VLOOKUP(C928,IMPORTRANGE(""https://docs.google.com/spreadsheets/d/1ihFlp3_ePlYtFuPbUNbYj1muErVpI73WHXbEwJDIA7Q/edit#gid=1493122344"",""MTR!C:O""),8,false)"),"")</f>
        <v/>
      </c>
      <c r="O928" s="248" t="str">
        <f>IFERROR(__xludf.DUMMYFUNCTION("VLOOKUP(C928,IMPORTRANGE(""https://docs.google.com/spreadsheets/d/1P8eX0NWBhUPS_hvzA11R6jkTNFrPrRYIx_dX_hYbxrk/edit?resourcekey=0-iw9bsKY2OqkUHCFMkCar3A&amp;gid=2055363397#gid=2055363397"",""MTR!C:O""),9,false)"),"pOLED")</f>
        <v>pOLED</v>
      </c>
      <c r="P928" s="248"/>
      <c r="Q928" s="248"/>
      <c r="R928" s="249" t="s">
        <v>2643</v>
      </c>
      <c r="S928" s="154" t="s">
        <v>62</v>
      </c>
      <c r="T928" s="154" t="s">
        <v>62</v>
      </c>
      <c r="U928" s="154" t="s">
        <v>62</v>
      </c>
      <c r="V928" s="154" t="s">
        <v>62</v>
      </c>
      <c r="W928" s="154" t="s">
        <v>62</v>
      </c>
      <c r="X928" s="154" t="s">
        <v>62</v>
      </c>
      <c r="Y928" s="154" t="s">
        <v>62</v>
      </c>
      <c r="Z928" s="154" t="s">
        <v>62</v>
      </c>
      <c r="AA928" s="154" t="s">
        <v>62</v>
      </c>
      <c r="AB928" s="154"/>
      <c r="AC928" s="242" t="b">
        <f t="shared" si="2"/>
        <v>1</v>
      </c>
      <c r="AD928" s="154" t="s">
        <v>68</v>
      </c>
      <c r="AE928" s="243" t="b">
        <f t="shared" si="3"/>
        <v>1</v>
      </c>
      <c r="AF928" s="154"/>
      <c r="AG928" s="243" t="b">
        <f t="shared" si="4"/>
        <v>0</v>
      </c>
      <c r="AH928" s="154"/>
      <c r="AI928" s="243" t="str">
        <f t="shared" si="5"/>
        <v>N/A</v>
      </c>
      <c r="AJ928" s="157" t="str">
        <f t="shared" si="6"/>
        <v/>
      </c>
    </row>
    <row r="929" ht="12.75" customHeight="1">
      <c r="A929" s="244" t="s">
        <v>2412</v>
      </c>
      <c r="B929" s="244" t="s">
        <v>2633</v>
      </c>
      <c r="C929" s="244" t="s">
        <v>2644</v>
      </c>
      <c r="D929" s="154" t="s">
        <v>45</v>
      </c>
      <c r="E929" s="250"/>
      <c r="F929" s="154" t="str">
        <f t="array" ref="F929">XLOOKUP(Cover!$D$12,$S$1:$AA$1,$S929:$AA929)</f>
        <v>Comments Vendor</v>
      </c>
      <c r="G929" s="153" t="s">
        <v>2645</v>
      </c>
      <c r="H929" s="154" t="s">
        <v>2642</v>
      </c>
      <c r="I929" s="154" t="s">
        <v>420</v>
      </c>
      <c r="J929" s="154"/>
      <c r="K929" s="247" t="s">
        <v>2646</v>
      </c>
      <c r="L929" s="154" t="str">
        <f t="shared" si="1"/>
        <v/>
      </c>
      <c r="M929" s="248" t="str">
        <f>IFERROR(__xludf.DUMMYFUNCTION("VLOOKUP(C929,IMPORTRANGE(""https://docs.google.com/spreadsheets/d/1P8eX0NWBhUPS_hvzA11R6jkTNFrPrRYIx_dX_hYbxrk/edit?resourcekey=0-iw9bsKY2OqkUHCFMkCar3A&amp;gid=2055363397#gid=2055363397"",""MTR!C:O""),11,false)"),"TAM-SPEC")</f>
        <v>TAM-SPEC</v>
      </c>
      <c r="N929" s="253" t="str">
        <f>IFERROR(__xludf.DUMMYFUNCTION("VLOOKUP(C929,IMPORTRANGE(""https://docs.google.com/spreadsheets/d/1ihFlp3_ePlYtFuPbUNbYj1muErVpI73WHXbEwJDIA7Q/edit#gid=1493122344"",""MTR!C:O""),8,false)"),"#N/A")</f>
        <v>#N/A</v>
      </c>
      <c r="O929" s="248" t="str">
        <f>IFERROR(__xludf.DUMMYFUNCTION("VLOOKUP(C929,IMPORTRANGE(""https://docs.google.com/spreadsheets/d/1P8eX0NWBhUPS_hvzA11R6jkTNFrPrRYIx_dX_hYbxrk/edit?resourcekey=0-iw9bsKY2OqkUHCFMkCar3A&amp;gid=2055363397#gid=2055363397"",""MTR!C:O""),9,false)"),"Gorilla glass GG8")</f>
        <v>Gorilla glass GG8</v>
      </c>
      <c r="P929" s="248"/>
      <c r="Q929" s="248"/>
      <c r="R929" s="249"/>
      <c r="S929" s="154" t="s">
        <v>62</v>
      </c>
      <c r="T929" s="154" t="s">
        <v>62</v>
      </c>
      <c r="U929" s="154" t="s">
        <v>62</v>
      </c>
      <c r="V929" s="154" t="s">
        <v>62</v>
      </c>
      <c r="W929" s="154" t="s">
        <v>62</v>
      </c>
      <c r="X929" s="154" t="s">
        <v>62</v>
      </c>
      <c r="Y929" s="154" t="s">
        <v>62</v>
      </c>
      <c r="Z929" s="154" t="s">
        <v>62</v>
      </c>
      <c r="AA929" s="154" t="s">
        <v>62</v>
      </c>
      <c r="AB929" s="154"/>
      <c r="AC929" s="242" t="b">
        <f t="shared" si="2"/>
        <v>1</v>
      </c>
      <c r="AD929" s="154" t="s">
        <v>391</v>
      </c>
      <c r="AE929" s="243" t="b">
        <f t="shared" si="3"/>
        <v>1</v>
      </c>
      <c r="AF929" s="154"/>
      <c r="AG929" s="243" t="b">
        <f t="shared" si="4"/>
        <v>0</v>
      </c>
      <c r="AH929" s="154"/>
      <c r="AI929" s="243" t="str">
        <f t="shared" si="5"/>
        <v>N/A</v>
      </c>
      <c r="AJ929" s="157" t="str">
        <f t="shared" si="6"/>
        <v/>
      </c>
    </row>
    <row r="930" ht="12.75" customHeight="1">
      <c r="A930" s="244" t="s">
        <v>2412</v>
      </c>
      <c r="B930" s="244" t="s">
        <v>2633</v>
      </c>
      <c r="C930" s="244" t="s">
        <v>2647</v>
      </c>
      <c r="D930" s="154" t="s">
        <v>45</v>
      </c>
      <c r="E930" s="250"/>
      <c r="F930" s="154" t="str">
        <f t="array" ref="F930">XLOOKUP(Cover!$D$12,$S$1:$AA$1,$S930:$AA930)</f>
        <v>Comments Vendor</v>
      </c>
      <c r="G930" s="153" t="s">
        <v>2648</v>
      </c>
      <c r="H930" s="154" t="s">
        <v>2642</v>
      </c>
      <c r="I930" s="154" t="s">
        <v>420</v>
      </c>
      <c r="J930" s="154"/>
      <c r="K930" s="247" t="s">
        <v>2649</v>
      </c>
      <c r="L930" s="154" t="str">
        <f t="shared" si="1"/>
        <v/>
      </c>
      <c r="M930" s="248" t="str">
        <f>IFERROR(__xludf.DUMMYFUNCTION("VLOOKUP(C930,IMPORTRANGE(""https://docs.google.com/spreadsheets/d/1P8eX0NWBhUPS_hvzA11R6jkTNFrPrRYIx_dX_hYbxrk/edit?resourcekey=0-iw9bsKY2OqkUHCFMkCar3A&amp;gid=2055363397#gid=2055363397"",""MTR!C:O""),11,false)"),"TAM-SPEC")</f>
        <v>TAM-SPEC</v>
      </c>
      <c r="N930" s="253" t="str">
        <f>IFERROR(__xludf.DUMMYFUNCTION("VLOOKUP(C930,IMPORTRANGE(""https://docs.google.com/spreadsheets/d/1ihFlp3_ePlYtFuPbUNbYj1muErVpI73WHXbEwJDIA7Q/edit#gid=1493122344"",""MTR!C:O""),8,false)"),"#N/A")</f>
        <v>#N/A</v>
      </c>
      <c r="O930" s="248" t="str">
        <f>IFERROR(__xludf.DUMMYFUNCTION("VLOOKUP(C930,IMPORTRANGE(""https://docs.google.com/spreadsheets/d/1P8eX0NWBhUPS_hvzA11R6jkTNFrPrRYIx_dX_hYbxrk/edit?resourcekey=0-iw9bsKY2OqkUHCFMkCar3A&amp;gid=2055363397#gid=2055363397"",""MTR!C:O""),9,false)"),"1/10/30/60/80/120Hz")</f>
        <v>1/10/30/60/80/120Hz</v>
      </c>
      <c r="P930" s="248"/>
      <c r="Q930" s="248"/>
      <c r="R930" s="248"/>
      <c r="S930" s="154" t="s">
        <v>62</v>
      </c>
      <c r="T930" s="154" t="s">
        <v>62</v>
      </c>
      <c r="U930" s="154" t="s">
        <v>62</v>
      </c>
      <c r="V930" s="154" t="s">
        <v>62</v>
      </c>
      <c r="W930" s="154" t="s">
        <v>62</v>
      </c>
      <c r="X930" s="154" t="s">
        <v>62</v>
      </c>
      <c r="Y930" s="154" t="s">
        <v>62</v>
      </c>
      <c r="Z930" s="154" t="s">
        <v>62</v>
      </c>
      <c r="AA930" s="154" t="s">
        <v>62</v>
      </c>
      <c r="AB930" s="154"/>
      <c r="AC930" s="242" t="b">
        <f t="shared" si="2"/>
        <v>1</v>
      </c>
      <c r="AD930" s="154" t="s">
        <v>391</v>
      </c>
      <c r="AE930" s="243" t="b">
        <f t="shared" si="3"/>
        <v>1</v>
      </c>
      <c r="AF930" s="154"/>
      <c r="AG930" s="243" t="b">
        <f t="shared" si="4"/>
        <v>0</v>
      </c>
      <c r="AH930" s="154"/>
      <c r="AI930" s="243" t="str">
        <f t="shared" si="5"/>
        <v>N/A</v>
      </c>
      <c r="AJ930" s="157" t="str">
        <f t="shared" si="6"/>
        <v/>
      </c>
    </row>
    <row r="931" ht="12.75" customHeight="1">
      <c r="A931" s="244" t="s">
        <v>2412</v>
      </c>
      <c r="B931" s="244" t="s">
        <v>2633</v>
      </c>
      <c r="C931" s="244" t="s">
        <v>2650</v>
      </c>
      <c r="D931" s="154" t="s">
        <v>45</v>
      </c>
      <c r="E931" s="250"/>
      <c r="F931" s="154" t="str">
        <f t="array" ref="F931">XLOOKUP(Cover!$D$12,$S$1:$AA$1,$S931:$AA931)</f>
        <v>Comments Vendor</v>
      </c>
      <c r="G931" s="153" t="s">
        <v>2651</v>
      </c>
      <c r="H931" s="154" t="s">
        <v>2642</v>
      </c>
      <c r="I931" s="154" t="s">
        <v>420</v>
      </c>
      <c r="J931" s="154"/>
      <c r="K931" s="247" t="s">
        <v>2652</v>
      </c>
      <c r="L931" s="154" t="str">
        <f t="shared" si="1"/>
        <v/>
      </c>
      <c r="M931" s="248" t="str">
        <f>IFERROR(__xludf.DUMMYFUNCTION("VLOOKUP(C931,IMPORTRANGE(""https://docs.google.com/spreadsheets/d/1P8eX0NWBhUPS_hvzA11R6jkTNFrPrRYIx_dX_hYbxrk/edit?resourcekey=0-iw9bsKY2OqkUHCFMkCar3A&amp;gid=2055363397#gid=2055363397"",""MTR!C:O""),11,false)"),"TAM-SPEC")</f>
        <v>TAM-SPEC</v>
      </c>
      <c r="N931" s="253" t="str">
        <f>IFERROR(__xludf.DUMMYFUNCTION("VLOOKUP(C931,IMPORTRANGE(""https://docs.google.com/spreadsheets/d/1ihFlp3_ePlYtFuPbUNbYj1muErVpI73WHXbEwJDIA7Q/edit#gid=1493122344"",""MTR!C:O""),8,false)"),"#N/A")</f>
        <v>#N/A</v>
      </c>
      <c r="O931" s="248" t="str">
        <f>IFERROR(__xludf.DUMMYFUNCTION("VLOOKUP(C931,IMPORTRANGE(""https://docs.google.com/spreadsheets/d/1P8eX0NWBhUPS_hvzA11R6jkTNFrPrRYIx_dX_hYbxrk/edit?resourcekey=0-iw9bsKY2OqkUHCFMkCar3A&amp;gid=2055363397#gid=2055363397"",""MTR!C:O""),9,false)"),"AA/Body 87.68%")</f>
        <v>AA/Body 87.68%</v>
      </c>
      <c r="P931" s="248"/>
      <c r="Q931" s="248"/>
      <c r="R931" s="248"/>
      <c r="S931" s="154" t="s">
        <v>62</v>
      </c>
      <c r="T931" s="154" t="s">
        <v>62</v>
      </c>
      <c r="U931" s="154" t="s">
        <v>62</v>
      </c>
      <c r="V931" s="154" t="s">
        <v>62</v>
      </c>
      <c r="W931" s="154" t="s">
        <v>62</v>
      </c>
      <c r="X931" s="154" t="s">
        <v>62</v>
      </c>
      <c r="Y931" s="154" t="s">
        <v>62</v>
      </c>
      <c r="Z931" s="154" t="s">
        <v>62</v>
      </c>
      <c r="AA931" s="154" t="s">
        <v>62</v>
      </c>
      <c r="AB931" s="154"/>
      <c r="AC931" s="242" t="b">
        <f t="shared" si="2"/>
        <v>1</v>
      </c>
      <c r="AD931" s="154" t="s">
        <v>391</v>
      </c>
      <c r="AE931" s="243" t="b">
        <f t="shared" si="3"/>
        <v>1</v>
      </c>
      <c r="AF931" s="154"/>
      <c r="AG931" s="243" t="b">
        <f t="shared" si="4"/>
        <v>0</v>
      </c>
      <c r="AH931" s="154"/>
      <c r="AI931" s="243" t="str">
        <f t="shared" si="5"/>
        <v>N/A</v>
      </c>
      <c r="AJ931" s="157" t="str">
        <f t="shared" si="6"/>
        <v/>
      </c>
    </row>
    <row r="932" ht="12.75" customHeight="1">
      <c r="A932" s="244" t="s">
        <v>2412</v>
      </c>
      <c r="B932" s="244" t="s">
        <v>2633</v>
      </c>
      <c r="C932" s="244" t="s">
        <v>2653</v>
      </c>
      <c r="D932" s="154" t="s">
        <v>477</v>
      </c>
      <c r="E932" s="250"/>
      <c r="F932" s="154" t="str">
        <f t="array" ref="F932">XLOOKUP(Cover!$D$12,$S$1:$AA$1,$S932:$AA932)</f>
        <v>Comments Vendor</v>
      </c>
      <c r="G932" s="153" t="s">
        <v>2654</v>
      </c>
      <c r="H932" s="154" t="s">
        <v>2642</v>
      </c>
      <c r="I932" s="154" t="s">
        <v>479</v>
      </c>
      <c r="J932" s="154"/>
      <c r="K932" s="247" t="s">
        <v>2655</v>
      </c>
      <c r="L932" s="154" t="str">
        <f t="shared" si="1"/>
        <v/>
      </c>
      <c r="M932" s="248" t="str">
        <f>IFERROR(__xludf.DUMMYFUNCTION("VLOOKUP(C932,IMPORTRANGE(""https://docs.google.com/spreadsheets/d/1P8eX0NWBhUPS_hvzA11R6jkTNFrPrRYIx_dX_hYbxrk/edit?resourcekey=0-iw9bsKY2OqkUHCFMkCar3A&amp;gid=2055363397#gid=2055363397"",""MTR!C:O""),11,false)"),"TAM-SPEC")</f>
        <v>TAM-SPEC</v>
      </c>
      <c r="N932" s="241" t="str">
        <f>IFERROR(__xludf.DUMMYFUNCTION("VLOOKUP(C932,IMPORTRANGE(""https://docs.google.com/spreadsheets/d/1ihFlp3_ePlYtFuPbUNbYj1muErVpI73WHXbEwJDIA7Q/edit#gid=1493122344"",""MTR!C:O""),8,false)"),"")</f>
        <v/>
      </c>
      <c r="O932" s="248" t="str">
        <f>IFERROR(__xludf.DUMMYFUNCTION("VLOOKUP(C932,IMPORTRANGE(""https://docs.google.com/spreadsheets/d/1P8eX0NWBhUPS_hvzA11R6jkTNFrPrRYIx_dX_hYbxrk/edit?resourcekey=0-iw9bsKY2OqkUHCFMkCar3A&amp;gid=2055363397#gid=2055363397"",""MTR!C:O""),9,false)"),"NA")</f>
        <v>NA</v>
      </c>
      <c r="P932" s="248"/>
      <c r="Q932" s="248"/>
      <c r="R932" s="249" t="s">
        <v>2655</v>
      </c>
      <c r="S932" s="154" t="s">
        <v>62</v>
      </c>
      <c r="T932" s="154" t="s">
        <v>62</v>
      </c>
      <c r="U932" s="154" t="s">
        <v>62</v>
      </c>
      <c r="V932" s="154" t="s">
        <v>62</v>
      </c>
      <c r="W932" s="154" t="s">
        <v>62</v>
      </c>
      <c r="X932" s="154" t="s">
        <v>62</v>
      </c>
      <c r="Y932" s="154" t="s">
        <v>62</v>
      </c>
      <c r="Z932" s="154" t="s">
        <v>62</v>
      </c>
      <c r="AA932" s="154" t="s">
        <v>62</v>
      </c>
      <c r="AB932" s="154"/>
      <c r="AC932" s="242" t="b">
        <f t="shared" si="2"/>
        <v>1</v>
      </c>
      <c r="AD932" s="154" t="s">
        <v>68</v>
      </c>
      <c r="AE932" s="243" t="b">
        <f t="shared" si="3"/>
        <v>1</v>
      </c>
      <c r="AF932" s="154"/>
      <c r="AG932" s="243" t="b">
        <f t="shared" si="4"/>
        <v>0</v>
      </c>
      <c r="AH932" s="154"/>
      <c r="AI932" s="243" t="str">
        <f t="shared" si="5"/>
        <v>N/A</v>
      </c>
      <c r="AJ932" s="157" t="str">
        <f t="shared" si="6"/>
        <v/>
      </c>
    </row>
    <row r="933" ht="12.75" customHeight="1">
      <c r="A933" s="244" t="s">
        <v>2412</v>
      </c>
      <c r="B933" s="244" t="s">
        <v>2633</v>
      </c>
      <c r="C933" s="244" t="s">
        <v>2656</v>
      </c>
      <c r="D933" s="154" t="s">
        <v>477</v>
      </c>
      <c r="E933" s="250"/>
      <c r="F933" s="154" t="str">
        <f t="array" ref="F933">XLOOKUP(Cover!$D$12,$S$1:$AA$1,$S933:$AA933)</f>
        <v>Comments Vendor</v>
      </c>
      <c r="G933" s="153" t="s">
        <v>2657</v>
      </c>
      <c r="H933" s="154" t="s">
        <v>2642</v>
      </c>
      <c r="I933" s="154" t="s">
        <v>414</v>
      </c>
      <c r="J933" s="154"/>
      <c r="K933" s="247" t="s">
        <v>2658</v>
      </c>
      <c r="L933" s="154" t="str">
        <f t="shared" si="1"/>
        <v/>
      </c>
      <c r="M933" s="248" t="str">
        <f>IFERROR(__xludf.DUMMYFUNCTION("VLOOKUP(C933,IMPORTRANGE(""https://docs.google.com/spreadsheets/d/1P8eX0NWBhUPS_hvzA11R6jkTNFrPrRYIx_dX_hYbxrk/edit?resourcekey=0-iw9bsKY2OqkUHCFMkCar3A&amp;gid=2055363397#gid=2055363397"",""MTR!C:O""),11,false)"),"TAM-SPEC")</f>
        <v>TAM-SPEC</v>
      </c>
      <c r="N933" s="241" t="str">
        <f>IFERROR(__xludf.DUMMYFUNCTION("VLOOKUP(C933,IMPORTRANGE(""https://docs.google.com/spreadsheets/d/1ihFlp3_ePlYtFuPbUNbYj1muErVpI73WHXbEwJDIA7Q/edit#gid=1493122344"",""MTR!C:O""),8,false)"),"")</f>
        <v/>
      </c>
      <c r="O933" s="263">
        <f>IFERROR(__xludf.DUMMYFUNCTION("VLOOKUP(C933,IMPORTRANGE(""https://docs.google.com/spreadsheets/d/1P8eX0NWBhUPS_hvzA11R6jkTNFrPrRYIx_dX_hYbxrk/edit?resourcekey=0-iw9bsKY2OqkUHCFMkCar3A&amp;gid=2055363397#gid=2055363397"",""MTR!C:O""),9,false)"),6.32)</f>
        <v>6.32</v>
      </c>
      <c r="P933" s="263"/>
      <c r="Q933" s="263"/>
      <c r="R933" s="264">
        <v>6.124</v>
      </c>
      <c r="S933" s="154" t="s">
        <v>62</v>
      </c>
      <c r="T933" s="154" t="s">
        <v>62</v>
      </c>
      <c r="U933" s="154" t="s">
        <v>62</v>
      </c>
      <c r="V933" s="154" t="s">
        <v>62</v>
      </c>
      <c r="W933" s="154" t="s">
        <v>62</v>
      </c>
      <c r="X933" s="154" t="s">
        <v>62</v>
      </c>
      <c r="Y933" s="154" t="s">
        <v>62</v>
      </c>
      <c r="Z933" s="154" t="s">
        <v>62</v>
      </c>
      <c r="AA933" s="154" t="s">
        <v>62</v>
      </c>
      <c r="AB933" s="154"/>
      <c r="AC933" s="242" t="b">
        <f t="shared" si="2"/>
        <v>1</v>
      </c>
      <c r="AD933" s="154" t="s">
        <v>68</v>
      </c>
      <c r="AE933" s="243" t="b">
        <f t="shared" si="3"/>
        <v>1</v>
      </c>
      <c r="AF933" s="154"/>
      <c r="AG933" s="243" t="b">
        <f t="shared" si="4"/>
        <v>0</v>
      </c>
      <c r="AH933" s="154"/>
      <c r="AI933" s="243" t="str">
        <f t="shared" si="5"/>
        <v>N/A</v>
      </c>
      <c r="AJ933" s="157" t="str">
        <f t="shared" si="6"/>
        <v/>
      </c>
    </row>
    <row r="934" ht="12.75" customHeight="1">
      <c r="A934" s="244" t="s">
        <v>2412</v>
      </c>
      <c r="B934" s="244" t="s">
        <v>2633</v>
      </c>
      <c r="C934" s="244" t="s">
        <v>2659</v>
      </c>
      <c r="D934" s="154" t="s">
        <v>477</v>
      </c>
      <c r="E934" s="250"/>
      <c r="F934" s="154" t="str">
        <f t="array" ref="F934">XLOOKUP(Cover!$D$12,$S$1:$AA$1,$S934:$AA934)</f>
        <v>Comments Vendor</v>
      </c>
      <c r="G934" s="153" t="s">
        <v>2660</v>
      </c>
      <c r="H934" s="154" t="s">
        <v>2642</v>
      </c>
      <c r="I934" s="154" t="s">
        <v>414</v>
      </c>
      <c r="J934" s="154"/>
      <c r="K934" s="247" t="s">
        <v>2661</v>
      </c>
      <c r="L934" s="154" t="str">
        <f t="shared" si="1"/>
        <v/>
      </c>
      <c r="M934" s="248" t="str">
        <f>IFERROR(__xludf.DUMMYFUNCTION("VLOOKUP(C934,IMPORTRANGE(""https://docs.google.com/spreadsheets/d/1P8eX0NWBhUPS_hvzA11R6jkTNFrPrRYIx_dX_hYbxrk/edit?resourcekey=0-iw9bsKY2OqkUHCFMkCar3A&amp;gid=2055363397#gid=2055363397"",""MTR!C:O""),11,false)"),"TAM-SPEC")</f>
        <v>TAM-SPEC</v>
      </c>
      <c r="N934" s="241" t="str">
        <f>IFERROR(__xludf.DUMMYFUNCTION("VLOOKUP(C934,IMPORTRANGE(""https://docs.google.com/spreadsheets/d/1ihFlp3_ePlYtFuPbUNbYj1muErVpI73WHXbEwJDIA7Q/edit#gid=1493122344"",""MTR!C:O""),8,false)"),"")</f>
        <v/>
      </c>
      <c r="O934" s="248" t="str">
        <f>IFERROR(__xludf.DUMMYFUNCTION("VLOOKUP(C934,IMPORTRANGE(""https://docs.google.com/spreadsheets/d/1P8eX0NWBhUPS_hvzA11R6jkTNFrPrRYIx_dX_hYbxrk/edit?resourcekey=0-iw9bsKY2OqkUHCFMkCar3A&amp;gid=2055363397#gid=2055363397"",""MTR!C:O""),9,false)"),"1280x2856")</f>
        <v>1280x2856</v>
      </c>
      <c r="P934" s="248"/>
      <c r="Q934" s="248"/>
      <c r="R934" s="249" t="s">
        <v>2662</v>
      </c>
      <c r="S934" s="154" t="s">
        <v>62</v>
      </c>
      <c r="T934" s="154" t="s">
        <v>62</v>
      </c>
      <c r="U934" s="154" t="s">
        <v>62</v>
      </c>
      <c r="V934" s="154" t="s">
        <v>62</v>
      </c>
      <c r="W934" s="154" t="s">
        <v>62</v>
      </c>
      <c r="X934" s="154" t="s">
        <v>62</v>
      </c>
      <c r="Y934" s="154" t="s">
        <v>62</v>
      </c>
      <c r="Z934" s="154" t="s">
        <v>62</v>
      </c>
      <c r="AA934" s="154" t="s">
        <v>62</v>
      </c>
      <c r="AB934" s="154"/>
      <c r="AC934" s="242" t="b">
        <f t="shared" si="2"/>
        <v>1</v>
      </c>
      <c r="AD934" s="154" t="s">
        <v>68</v>
      </c>
      <c r="AE934" s="243" t="b">
        <f t="shared" si="3"/>
        <v>1</v>
      </c>
      <c r="AF934" s="154"/>
      <c r="AG934" s="243" t="b">
        <f t="shared" si="4"/>
        <v>0</v>
      </c>
      <c r="AH934" s="154"/>
      <c r="AI934" s="243" t="str">
        <f t="shared" si="5"/>
        <v>N/A</v>
      </c>
      <c r="AJ934" s="157" t="str">
        <f t="shared" si="6"/>
        <v/>
      </c>
    </row>
    <row r="935" ht="12.75" customHeight="1">
      <c r="A935" s="244" t="s">
        <v>2412</v>
      </c>
      <c r="B935" s="244" t="s">
        <v>2633</v>
      </c>
      <c r="C935" s="244" t="s">
        <v>2663</v>
      </c>
      <c r="D935" s="154" t="s">
        <v>45</v>
      </c>
      <c r="E935" s="250"/>
      <c r="F935" s="154" t="str">
        <f t="array" ref="F935">XLOOKUP(Cover!$D$12,$S$1:$AA$1,$S935:$AA935)</f>
        <v>Comments Vendor</v>
      </c>
      <c r="G935" s="153" t="s">
        <v>2664</v>
      </c>
      <c r="H935" s="154" t="s">
        <v>2642</v>
      </c>
      <c r="I935" s="154" t="s">
        <v>420</v>
      </c>
      <c r="J935" s="154"/>
      <c r="K935" s="247" t="s">
        <v>2665</v>
      </c>
      <c r="L935" s="154" t="str">
        <f t="shared" si="1"/>
        <v/>
      </c>
      <c r="M935" s="248" t="str">
        <f>IFERROR(__xludf.DUMMYFUNCTION("VLOOKUP(C935,IMPORTRANGE(""https://docs.google.com/spreadsheets/d/1P8eX0NWBhUPS_hvzA11R6jkTNFrPrRYIx_dX_hYbxrk/edit?resourcekey=0-iw9bsKY2OqkUHCFMkCar3A&amp;gid=2055363397#gid=2055363397"",""MTR!C:O""),11,false)"),"TAM-SPEC")</f>
        <v>TAM-SPEC</v>
      </c>
      <c r="N935" s="253" t="str">
        <f>IFERROR(__xludf.DUMMYFUNCTION("VLOOKUP(C935,IMPORTRANGE(""https://docs.google.com/spreadsheets/d/1ihFlp3_ePlYtFuPbUNbYj1muErVpI73WHXbEwJDIA7Q/edit#gid=1493122344"",""MTR!C:O""),8,false)"),"#N/A")</f>
        <v>#N/A</v>
      </c>
      <c r="O935" s="248" t="str">
        <f>IFERROR(__xludf.DUMMYFUNCTION("VLOOKUP(C935,IMPORTRANGE(""https://docs.google.com/spreadsheets/d/1P8eX0NWBhUPS_hvzA11R6jkTNFrPrRYIx_dX_hYbxrk/edit?resourcekey=0-iw9bsKY2OqkUHCFMkCar3A&amp;gid=2055363397#gid=2055363397"",""MTR!C:O""),9,false)"),"1200/2000/3000 Nits")</f>
        <v>1200/2000/3000 Nits</v>
      </c>
      <c r="P935" s="248"/>
      <c r="Q935" s="248"/>
      <c r="R935" s="249"/>
      <c r="S935" s="154" t="s">
        <v>62</v>
      </c>
      <c r="T935" s="154" t="s">
        <v>62</v>
      </c>
      <c r="U935" s="154" t="s">
        <v>62</v>
      </c>
      <c r="V935" s="154" t="s">
        <v>62</v>
      </c>
      <c r="W935" s="154" t="s">
        <v>62</v>
      </c>
      <c r="X935" s="154" t="s">
        <v>62</v>
      </c>
      <c r="Y935" s="154" t="s">
        <v>62</v>
      </c>
      <c r="Z935" s="154" t="s">
        <v>62</v>
      </c>
      <c r="AA935" s="154" t="s">
        <v>62</v>
      </c>
      <c r="AB935" s="154"/>
      <c r="AC935" s="242" t="b">
        <f t="shared" si="2"/>
        <v>1</v>
      </c>
      <c r="AD935" s="154" t="s">
        <v>391</v>
      </c>
      <c r="AE935" s="243" t="b">
        <f t="shared" si="3"/>
        <v>1</v>
      </c>
      <c r="AF935" s="154"/>
      <c r="AG935" s="243" t="b">
        <f t="shared" si="4"/>
        <v>0</v>
      </c>
      <c r="AH935" s="154"/>
      <c r="AI935" s="243" t="str">
        <f t="shared" si="5"/>
        <v>N/A</v>
      </c>
      <c r="AJ935" s="157" t="str">
        <f t="shared" si="6"/>
        <v/>
      </c>
    </row>
    <row r="936" ht="12.75" customHeight="1">
      <c r="A936" s="244" t="s">
        <v>2412</v>
      </c>
      <c r="B936" s="244" t="s">
        <v>2633</v>
      </c>
      <c r="C936" s="244" t="s">
        <v>2666</v>
      </c>
      <c r="D936" s="154" t="s">
        <v>477</v>
      </c>
      <c r="E936" s="250"/>
      <c r="F936" s="154" t="str">
        <f t="array" ref="F936">XLOOKUP(Cover!$D$12,$S$1:$AA$1,$S936:$AA936)</f>
        <v>Comments Vendor</v>
      </c>
      <c r="G936" s="153" t="s">
        <v>2667</v>
      </c>
      <c r="H936" s="154" t="s">
        <v>2642</v>
      </c>
      <c r="I936" s="154" t="s">
        <v>414</v>
      </c>
      <c r="J936" s="154"/>
      <c r="K936" s="247" t="s">
        <v>2668</v>
      </c>
      <c r="L936" s="154" t="str">
        <f t="shared" si="1"/>
        <v/>
      </c>
      <c r="M936" s="248" t="str">
        <f>IFERROR(__xludf.DUMMYFUNCTION("VLOOKUP(C936,IMPORTRANGE(""https://docs.google.com/spreadsheets/d/1P8eX0NWBhUPS_hvzA11R6jkTNFrPrRYIx_dX_hYbxrk/edit?resourcekey=0-iw9bsKY2OqkUHCFMkCar3A&amp;gid=2055363397#gid=2055363397"",""MTR!C:O""),11,false)"),"TAM-SPEC")</f>
        <v>TAM-SPEC</v>
      </c>
      <c r="N936" s="241" t="str">
        <f>IFERROR(__xludf.DUMMYFUNCTION("VLOOKUP(C936,IMPORTRANGE(""https://docs.google.com/spreadsheets/d/1ihFlp3_ePlYtFuPbUNbYj1muErVpI73WHXbEwJDIA7Q/edit#gid=1493122344"",""MTR!C:O""),8,false)"),"")</f>
        <v/>
      </c>
      <c r="O936" s="248" t="str">
        <f>IFERROR(__xludf.DUMMYFUNCTION("VLOOKUP(C936,IMPORTRANGE(""https://docs.google.com/spreadsheets/d/1P8eX0NWBhUPS_hvzA11R6jkTNFrPrRYIx_dX_hYbxrk/edit?resourcekey=0-iw9bsKY2OqkUHCFMkCar3A&amp;gid=2055363397#gid=2055363397"",""MTR!C:O""),9,false)"),"24bit")</f>
        <v>24bit</v>
      </c>
      <c r="P936" s="248"/>
      <c r="Q936" s="248"/>
      <c r="R936" s="249" t="s">
        <v>2668</v>
      </c>
      <c r="S936" s="154" t="s">
        <v>62</v>
      </c>
      <c r="T936" s="154" t="s">
        <v>62</v>
      </c>
      <c r="U936" s="154" t="s">
        <v>62</v>
      </c>
      <c r="V936" s="154" t="s">
        <v>62</v>
      </c>
      <c r="W936" s="154" t="s">
        <v>62</v>
      </c>
      <c r="X936" s="154" t="s">
        <v>62</v>
      </c>
      <c r="Y936" s="154" t="s">
        <v>62</v>
      </c>
      <c r="Z936" s="154" t="s">
        <v>62</v>
      </c>
      <c r="AA936" s="154" t="s">
        <v>62</v>
      </c>
      <c r="AB936" s="154"/>
      <c r="AC936" s="242" t="b">
        <f t="shared" si="2"/>
        <v>1</v>
      </c>
      <c r="AD936" s="154" t="s">
        <v>68</v>
      </c>
      <c r="AE936" s="243" t="b">
        <f t="shared" si="3"/>
        <v>1</v>
      </c>
      <c r="AF936" s="154"/>
      <c r="AG936" s="243" t="b">
        <f t="shared" si="4"/>
        <v>0</v>
      </c>
      <c r="AH936" s="154"/>
      <c r="AI936" s="243" t="str">
        <f t="shared" si="5"/>
        <v>N/A</v>
      </c>
      <c r="AJ936" s="157" t="str">
        <f t="shared" si="6"/>
        <v/>
      </c>
    </row>
    <row r="937" ht="12.75" customHeight="1">
      <c r="A937" s="244" t="s">
        <v>2412</v>
      </c>
      <c r="B937" s="244" t="s">
        <v>2633</v>
      </c>
      <c r="C937" s="244" t="s">
        <v>2669</v>
      </c>
      <c r="D937" s="154" t="s">
        <v>433</v>
      </c>
      <c r="E937" s="250"/>
      <c r="F937" s="154" t="str">
        <f t="array" ref="F937">XLOOKUP(Cover!$D$12,$S$1:$AA$1,$S937:$AA937)</f>
        <v>Comments Vendor</v>
      </c>
      <c r="G937" s="154" t="s">
        <v>2670</v>
      </c>
      <c r="H937" s="154" t="s">
        <v>2642</v>
      </c>
      <c r="I937" s="154" t="s">
        <v>414</v>
      </c>
      <c r="J937" s="154"/>
      <c r="K937" s="247" t="s">
        <v>2671</v>
      </c>
      <c r="L937" s="154" t="str">
        <f t="shared" si="1"/>
        <v/>
      </c>
      <c r="M937" s="248" t="str">
        <f>IFERROR(__xludf.DUMMYFUNCTION("VLOOKUP(C937,IMPORTRANGE(""https://docs.google.com/spreadsheets/d/1P8eX0NWBhUPS_hvzA11R6jkTNFrPrRYIx_dX_hYbxrk/edit?resourcekey=0-iw9bsKY2OqkUHCFMkCar3A&amp;gid=2055363397#gid=2055363397"",""MTR!C:O""),11,false)"),"TAM-SPEC")</f>
        <v>TAM-SPEC</v>
      </c>
      <c r="N937" s="241" t="str">
        <f>IFERROR(__xludf.DUMMYFUNCTION("VLOOKUP(C937,IMPORTRANGE(""https://docs.google.com/spreadsheets/d/1ihFlp3_ePlYtFuPbUNbYj1muErVpI73WHXbEwJDIA7Q/edit#gid=1493122344"",""MTR!C:O""),8,false)"),"")</f>
        <v/>
      </c>
      <c r="O937" s="248" t="str">
        <f>IFERROR(__xludf.DUMMYFUNCTION("VLOOKUP(C937,IMPORTRANGE(""https://docs.google.com/spreadsheets/d/1P8eX0NWBhUPS_hvzA11R6jkTNFrPrRYIx_dX_hYbxrk/edit?resourcekey=0-iw9bsKY2OqkUHCFMkCar3A&amp;gid=2055363397#gid=2055363397"",""MTR!C:O""),9,false)"),"2,000,000:1")</f>
        <v>2,000,000:1</v>
      </c>
      <c r="P937" s="248"/>
      <c r="Q937" s="248"/>
      <c r="R937" s="249" t="s">
        <v>2671</v>
      </c>
      <c r="S937" s="154" t="s">
        <v>62</v>
      </c>
      <c r="T937" s="154" t="s">
        <v>62</v>
      </c>
      <c r="U937" s="154" t="s">
        <v>62</v>
      </c>
      <c r="V937" s="154" t="s">
        <v>62</v>
      </c>
      <c r="W937" s="154" t="s">
        <v>62</v>
      </c>
      <c r="X937" s="154" t="s">
        <v>62</v>
      </c>
      <c r="Y937" s="154" t="s">
        <v>62</v>
      </c>
      <c r="Z937" s="154" t="s">
        <v>62</v>
      </c>
      <c r="AA937" s="154" t="s">
        <v>62</v>
      </c>
      <c r="AB937" s="154"/>
      <c r="AC937" s="242" t="b">
        <f t="shared" si="2"/>
        <v>1</v>
      </c>
      <c r="AD937" s="154" t="s">
        <v>68</v>
      </c>
      <c r="AE937" s="243" t="b">
        <f t="shared" si="3"/>
        <v>1</v>
      </c>
      <c r="AF937" s="154"/>
      <c r="AG937" s="243" t="b">
        <f t="shared" si="4"/>
        <v>0</v>
      </c>
      <c r="AH937" s="154"/>
      <c r="AI937" s="243" t="str">
        <f t="shared" si="5"/>
        <v>N/A</v>
      </c>
      <c r="AJ937" s="157" t="str">
        <f t="shared" si="6"/>
        <v/>
      </c>
    </row>
    <row r="938" ht="12.75" customHeight="1">
      <c r="A938" s="244" t="s">
        <v>2412</v>
      </c>
      <c r="B938" s="244" t="s">
        <v>2633</v>
      </c>
      <c r="C938" s="244" t="s">
        <v>2672</v>
      </c>
      <c r="D938" s="154" t="s">
        <v>433</v>
      </c>
      <c r="E938" s="250"/>
      <c r="F938" s="154" t="str">
        <f t="array" ref="F938">XLOOKUP(Cover!$D$12,$S$1:$AA$1,$S938:$AA938)</f>
        <v>Comments Vendor</v>
      </c>
      <c r="G938" s="154" t="s">
        <v>2673</v>
      </c>
      <c r="H938" s="154" t="s">
        <v>2642</v>
      </c>
      <c r="I938" s="154" t="s">
        <v>414</v>
      </c>
      <c r="J938" s="154"/>
      <c r="K938" s="247" t="s">
        <v>2655</v>
      </c>
      <c r="L938" s="154" t="str">
        <f t="shared" si="1"/>
        <v/>
      </c>
      <c r="M938" s="248" t="str">
        <f>IFERROR(__xludf.DUMMYFUNCTION("VLOOKUP(C938,IMPORTRANGE(""https://docs.google.com/spreadsheets/d/1P8eX0NWBhUPS_hvzA11R6jkTNFrPrRYIx_dX_hYbxrk/edit?resourcekey=0-iw9bsKY2OqkUHCFMkCar3A&amp;gid=2055363397#gid=2055363397"",""MTR!C:O""),11,false)"),"TAM-SPEC")</f>
        <v>TAM-SPEC</v>
      </c>
      <c r="N938" s="241" t="str">
        <f>IFERROR(__xludf.DUMMYFUNCTION("VLOOKUP(C938,IMPORTRANGE(""https://docs.google.com/spreadsheets/d/1ihFlp3_ePlYtFuPbUNbYj1muErVpI73WHXbEwJDIA7Q/edit#gid=1493122344"",""MTR!C:O""),8,false)"),"")</f>
        <v/>
      </c>
      <c r="O938" s="248" t="str">
        <f>IFERROR(__xludf.DUMMYFUNCTION("VLOOKUP(C938,IMPORTRANGE(""https://docs.google.com/spreadsheets/d/1P8eX0NWBhUPS_hvzA11R6jkTNFrPrRYIx_dX_hYbxrk/edit?resourcekey=0-iw9bsKY2OqkUHCFMkCar3A&amp;gid=2055363397#gid=2055363397"",""MTR!C:O""),9,false)"),"NA")</f>
        <v>NA</v>
      </c>
      <c r="P938" s="248"/>
      <c r="Q938" s="248"/>
      <c r="R938" s="249" t="s">
        <v>2655</v>
      </c>
      <c r="S938" s="154" t="s">
        <v>62</v>
      </c>
      <c r="T938" s="154" t="s">
        <v>62</v>
      </c>
      <c r="U938" s="154" t="s">
        <v>62</v>
      </c>
      <c r="V938" s="154" t="s">
        <v>62</v>
      </c>
      <c r="W938" s="154" t="s">
        <v>62</v>
      </c>
      <c r="X938" s="154" t="s">
        <v>62</v>
      </c>
      <c r="Y938" s="154" t="s">
        <v>62</v>
      </c>
      <c r="Z938" s="154" t="s">
        <v>62</v>
      </c>
      <c r="AA938" s="154" t="s">
        <v>62</v>
      </c>
      <c r="AB938" s="154"/>
      <c r="AC938" s="242" t="b">
        <f t="shared" si="2"/>
        <v>1</v>
      </c>
      <c r="AD938" s="154" t="s">
        <v>68</v>
      </c>
      <c r="AE938" s="243" t="b">
        <f t="shared" si="3"/>
        <v>1</v>
      </c>
      <c r="AF938" s="154"/>
      <c r="AG938" s="243" t="b">
        <f t="shared" si="4"/>
        <v>0</v>
      </c>
      <c r="AH938" s="154"/>
      <c r="AI938" s="243" t="str">
        <f t="shared" si="5"/>
        <v>N/A</v>
      </c>
      <c r="AJ938" s="157" t="str">
        <f t="shared" si="6"/>
        <v/>
      </c>
    </row>
    <row r="939" ht="12.75" customHeight="1">
      <c r="A939" s="244" t="s">
        <v>2412</v>
      </c>
      <c r="B939" s="244" t="s">
        <v>2633</v>
      </c>
      <c r="C939" s="244" t="s">
        <v>2674</v>
      </c>
      <c r="D939" s="154" t="s">
        <v>1773</v>
      </c>
      <c r="E939" s="250"/>
      <c r="F939" s="154" t="str">
        <f t="array" ref="F939">XLOOKUP(Cover!$D$12,$S$1:$AA$1,$S939:$AA939)</f>
        <v>Comments Vendor</v>
      </c>
      <c r="G939" s="154" t="s">
        <v>2675</v>
      </c>
      <c r="H939" s="154" t="s">
        <v>2642</v>
      </c>
      <c r="I939" s="154" t="s">
        <v>420</v>
      </c>
      <c r="J939" s="154"/>
      <c r="K939" s="247" t="s">
        <v>2665</v>
      </c>
      <c r="L939" s="154" t="str">
        <f t="shared" si="1"/>
        <v/>
      </c>
      <c r="M939" s="248" t="str">
        <f>IFERROR(__xludf.DUMMYFUNCTION("VLOOKUP(C939,IMPORTRANGE(""https://docs.google.com/spreadsheets/d/1P8eX0NWBhUPS_hvzA11R6jkTNFrPrRYIx_dX_hYbxrk/edit?resourcekey=0-iw9bsKY2OqkUHCFMkCar3A&amp;gid=2055363397#gid=2055363397"",""MTR!C:O""),11,false)"),"TAM-SPEC")</f>
        <v>TAM-SPEC</v>
      </c>
      <c r="N939" s="241" t="str">
        <f>IFERROR(__xludf.DUMMYFUNCTION("VLOOKUP(C939,IMPORTRANGE(""https://docs.google.com/spreadsheets/d/1ihFlp3_ePlYtFuPbUNbYj1muErVpI73WHXbEwJDIA7Q/edit#gid=1493122344"",""MTR!C:O""),8,false)"),"")</f>
        <v/>
      </c>
      <c r="O939" s="248" t="str">
        <f>IFERROR(__xludf.DUMMYFUNCTION("VLOOKUP(C939,IMPORTRANGE(""https://docs.google.com/spreadsheets/d/1P8eX0NWBhUPS_hvzA11R6jkTNFrPrRYIx_dX_hYbxrk/edit?resourcekey=0-iw9bsKY2OqkUHCFMkCar3A&amp;gid=2055363397#gid=2055363397"",""MTR!C:O""),9,false)"),"1200/2000/3000nits")</f>
        <v>1200/2000/3000nits</v>
      </c>
      <c r="P939" s="248"/>
      <c r="Q939" s="248"/>
      <c r="R939" s="249" t="s">
        <v>2676</v>
      </c>
      <c r="S939" s="154" t="s">
        <v>62</v>
      </c>
      <c r="T939" s="154" t="s">
        <v>62</v>
      </c>
      <c r="U939" s="154" t="s">
        <v>62</v>
      </c>
      <c r="V939" s="154" t="s">
        <v>62</v>
      </c>
      <c r="W939" s="154" t="s">
        <v>62</v>
      </c>
      <c r="X939" s="154" t="s">
        <v>62</v>
      </c>
      <c r="Y939" s="154" t="s">
        <v>62</v>
      </c>
      <c r="Z939" s="154" t="s">
        <v>62</v>
      </c>
      <c r="AA939" s="154" t="s">
        <v>62</v>
      </c>
      <c r="AB939" s="154"/>
      <c r="AC939" s="242" t="b">
        <f t="shared" si="2"/>
        <v>1</v>
      </c>
      <c r="AD939" s="154" t="s">
        <v>391</v>
      </c>
      <c r="AE939" s="243" t="b">
        <f t="shared" si="3"/>
        <v>1</v>
      </c>
      <c r="AF939" s="154"/>
      <c r="AG939" s="243" t="b">
        <f t="shared" si="4"/>
        <v>0</v>
      </c>
      <c r="AH939" s="154"/>
      <c r="AI939" s="243" t="str">
        <f t="shared" si="5"/>
        <v>N/A</v>
      </c>
      <c r="AJ939" s="157" t="str">
        <f t="shared" si="6"/>
        <v/>
      </c>
    </row>
    <row r="940" ht="12.75" customHeight="1">
      <c r="A940" s="244" t="s">
        <v>2412</v>
      </c>
      <c r="B940" s="244" t="s">
        <v>2633</v>
      </c>
      <c r="C940" s="244" t="s">
        <v>2677</v>
      </c>
      <c r="D940" s="154" t="s">
        <v>542</v>
      </c>
      <c r="E940" s="250"/>
      <c r="F940" s="154" t="str">
        <f t="array" ref="F940">XLOOKUP(Cover!$D$12,$S$1:$AA$1,$S940:$AA940)</f>
        <v>Comments Vendor</v>
      </c>
      <c r="G940" s="154" t="s">
        <v>2678</v>
      </c>
      <c r="H940" s="154"/>
      <c r="I940" s="154" t="s">
        <v>420</v>
      </c>
      <c r="J940" s="247" t="s">
        <v>445</v>
      </c>
      <c r="K940" s="265"/>
      <c r="L940" s="154" t="str">
        <f t="shared" si="1"/>
        <v>Comments Vendor missing!
</v>
      </c>
      <c r="M940" s="248" t="str">
        <f>IFERROR(__xludf.DUMMYFUNCTION("VLOOKUP(C940,IMPORTRANGE(""https://docs.google.com/spreadsheets/d/1P8eX0NWBhUPS_hvzA11R6jkTNFrPrRYIx_dX_hYbxrk/edit?resourcekey=0-iw9bsKY2OqkUHCFMkCar3A&amp;gid=2055363397#gid=2055363397"",""MTR!C:O""),11,false)"),"TAM-SPEC")</f>
        <v>TAM-SPEC</v>
      </c>
      <c r="N940" s="248" t="str">
        <f>IFERROR(__xludf.DUMMYFUNCTION("VLOOKUP(C940,IMPORTRANGE(""https://docs.google.com/spreadsheets/d/1ihFlp3_ePlYtFuPbUNbYj1muErVpI73WHXbEwJDIA7Q/edit#gid=1493122344"",""MTR!C:O""),8,false)"),"Complies")</f>
        <v>Complies</v>
      </c>
      <c r="O940" s="241" t="str">
        <f>IFERROR(__xludf.DUMMYFUNCTION("VLOOKUP(C940,IMPORTRANGE(""https://docs.google.com/spreadsheets/d/1P8eX0NWBhUPS_hvzA11R6jkTNFrPrRYIx_dX_hYbxrk/edit?resourcekey=0-iw9bsKY2OqkUHCFMkCar3A&amp;gid=2055363397#gid=2055363397"",""MTR!C:O""),9,false)"),"")</f>
        <v/>
      </c>
      <c r="P940" s="241"/>
      <c r="Q940" s="251" t="s">
        <v>445</v>
      </c>
      <c r="R940" s="251"/>
      <c r="S940" s="154" t="s">
        <v>62</v>
      </c>
      <c r="T940" s="154" t="s">
        <v>62</v>
      </c>
      <c r="U940" s="154" t="s">
        <v>62</v>
      </c>
      <c r="V940" s="154" t="s">
        <v>62</v>
      </c>
      <c r="W940" s="154" t="s">
        <v>62</v>
      </c>
      <c r="X940" s="154" t="s">
        <v>62</v>
      </c>
      <c r="Y940" s="154" t="s">
        <v>62</v>
      </c>
      <c r="Z940" s="154" t="s">
        <v>62</v>
      </c>
      <c r="AA940" s="154" t="s">
        <v>62</v>
      </c>
      <c r="AB940" s="154"/>
      <c r="AC940" s="242" t="b">
        <f t="shared" si="2"/>
        <v>1</v>
      </c>
      <c r="AD940" s="154" t="s">
        <v>68</v>
      </c>
      <c r="AE940" s="243" t="b">
        <f t="shared" si="3"/>
        <v>1</v>
      </c>
      <c r="AF940" s="154"/>
      <c r="AG940" s="243" t="b">
        <f t="shared" si="4"/>
        <v>1</v>
      </c>
      <c r="AH940" s="154"/>
      <c r="AI940" s="243" t="str">
        <f t="shared" si="5"/>
        <v>N/A</v>
      </c>
      <c r="AJ940" s="157" t="str">
        <f t="shared" si="6"/>
        <v>Comments Vendor missing!
</v>
      </c>
    </row>
    <row r="941" ht="12.75" customHeight="1">
      <c r="A941" s="238" t="s">
        <v>2412</v>
      </c>
      <c r="B941" s="238" t="s">
        <v>2633</v>
      </c>
      <c r="C941" s="238" t="s">
        <v>2679</v>
      </c>
      <c r="D941" s="238"/>
      <c r="E941" s="238"/>
      <c r="F941" s="154" t="str">
        <f t="array" ref="F941">XLOOKUP(Cover!$D$12,$S$1:$AA$1,$S941:$AA941)</f>
        <v>Heading</v>
      </c>
      <c r="G941" s="239" t="s">
        <v>2680</v>
      </c>
      <c r="H941" s="240"/>
      <c r="I941" s="240" t="s">
        <v>414</v>
      </c>
      <c r="J941" s="262"/>
      <c r="K941" s="240"/>
      <c r="L941" s="154" t="str">
        <f t="shared" si="1"/>
        <v/>
      </c>
      <c r="M941" s="241" t="str">
        <f>IFERROR(__xludf.DUMMYFUNCTION("VLOOKUP(C941,IMPORTRANGE(""https://docs.google.com/spreadsheets/d/1P8eX0NWBhUPS_hvzA11R6jkTNFrPrRYIx_dX_hYbxrk/edit?resourcekey=0-iw9bsKY2OqkUHCFMkCar3A&amp;gid=2055363397#gid=2055363397"",""MTR!C:O""),11,false)"),"")</f>
        <v/>
      </c>
      <c r="N941" s="241" t="str">
        <f>IFERROR(__xludf.DUMMYFUNCTION("VLOOKUP(C941,IMPORTRANGE(""https://docs.google.com/spreadsheets/d/1ihFlp3_ePlYtFuPbUNbYj1muErVpI73WHXbEwJDIA7Q/edit#gid=1493122344"",""MTR!C:O""),8,false)"),"")</f>
        <v/>
      </c>
      <c r="O941" s="241" t="str">
        <f>IFERROR(__xludf.DUMMYFUNCTION("VLOOKUP(C941,IMPORTRANGE(""https://docs.google.com/spreadsheets/d/1P8eX0NWBhUPS_hvzA11R6jkTNFrPrRYIx_dX_hYbxrk/edit?resourcekey=0-iw9bsKY2OqkUHCFMkCar3A&amp;gid=2055363397#gid=2055363397"",""MTR!C:O""),9,false)"),"")</f>
        <v/>
      </c>
      <c r="P941" s="241"/>
      <c r="Q941" s="251"/>
      <c r="R941" s="241"/>
      <c r="S941" s="240" t="s">
        <v>390</v>
      </c>
      <c r="T941" s="240" t="s">
        <v>390</v>
      </c>
      <c r="U941" s="240" t="s">
        <v>390</v>
      </c>
      <c r="V941" s="240" t="s">
        <v>390</v>
      </c>
      <c r="W941" s="240" t="s">
        <v>390</v>
      </c>
      <c r="X941" s="240" t="s">
        <v>390</v>
      </c>
      <c r="Y941" s="240" t="s">
        <v>390</v>
      </c>
      <c r="Z941" s="240" t="s">
        <v>390</v>
      </c>
      <c r="AA941" s="240" t="s">
        <v>390</v>
      </c>
      <c r="AB941" s="240"/>
      <c r="AC941" s="242" t="b">
        <f t="shared" si="2"/>
        <v>0</v>
      </c>
      <c r="AD941" s="240" t="s">
        <v>391</v>
      </c>
      <c r="AE941" s="243" t="b">
        <f t="shared" si="3"/>
        <v>0</v>
      </c>
      <c r="AF941" s="240"/>
      <c r="AG941" s="243" t="b">
        <f t="shared" si="4"/>
        <v>0</v>
      </c>
      <c r="AH941" s="240"/>
      <c r="AI941" s="243" t="str">
        <f t="shared" si="5"/>
        <v>N/A</v>
      </c>
      <c r="AJ941" s="157" t="str">
        <f t="shared" si="6"/>
        <v/>
      </c>
    </row>
    <row r="942" ht="12.75" customHeight="1">
      <c r="A942" s="244" t="s">
        <v>2412</v>
      </c>
      <c r="B942" s="244" t="s">
        <v>2633</v>
      </c>
      <c r="C942" s="244" t="s">
        <v>2681</v>
      </c>
      <c r="D942" s="154" t="s">
        <v>396</v>
      </c>
      <c r="E942" s="250"/>
      <c r="F942" s="154" t="str">
        <f t="array" ref="F942">XLOOKUP(Cover!$D$12,$S$1:$AA$1,$S942:$AA942)</f>
        <v>Information</v>
      </c>
      <c r="G942" s="153" t="s">
        <v>2682</v>
      </c>
      <c r="H942" s="154"/>
      <c r="I942" s="154" t="s">
        <v>414</v>
      </c>
      <c r="J942" s="247" t="s">
        <v>445</v>
      </c>
      <c r="K942" s="247" t="s">
        <v>2643</v>
      </c>
      <c r="L942" s="154" t="str">
        <f t="shared" si="1"/>
        <v/>
      </c>
      <c r="M942" s="248" t="str">
        <f>IFERROR(__xludf.DUMMYFUNCTION("VLOOKUP(C942,IMPORTRANGE(""https://docs.google.com/spreadsheets/d/1P8eX0NWBhUPS_hvzA11R6jkTNFrPrRYIx_dX_hYbxrk/edit?resourcekey=0-iw9bsKY2OqkUHCFMkCar3A&amp;gid=2055363397#gid=2055363397"",""MTR!C:O""),11,false)"),"TAM-SPEC")</f>
        <v>TAM-SPEC</v>
      </c>
      <c r="N942" s="248" t="str">
        <f>IFERROR(__xludf.DUMMYFUNCTION("VLOOKUP(C942,IMPORTRANGE(""https://docs.google.com/spreadsheets/d/1ihFlp3_ePlYtFuPbUNbYj1muErVpI73WHXbEwJDIA7Q/edit#gid=1493122344"",""MTR!C:O""),8,false)"),"Complies")</f>
        <v>Complies</v>
      </c>
      <c r="O942" s="248" t="str">
        <f>IFERROR(__xludf.DUMMYFUNCTION("VLOOKUP(C942,IMPORTRANGE(""https://docs.google.com/spreadsheets/d/1P8eX0NWBhUPS_hvzA11R6jkTNFrPrRYIx_dX_hYbxrk/edit?resourcekey=0-iw9bsKY2OqkUHCFMkCar3A&amp;gid=2055363397#gid=2055363397"",""MTR!C:O""),9,false)"),"pOLED")</f>
        <v>pOLED</v>
      </c>
      <c r="P942" s="248"/>
      <c r="Q942" s="249" t="s">
        <v>445</v>
      </c>
      <c r="R942" s="249" t="s">
        <v>2643</v>
      </c>
      <c r="S942" s="154" t="s">
        <v>66</v>
      </c>
      <c r="T942" s="154" t="s">
        <v>66</v>
      </c>
      <c r="U942" s="154" t="s">
        <v>66</v>
      </c>
      <c r="V942" s="154" t="s">
        <v>66</v>
      </c>
      <c r="W942" s="154" t="s">
        <v>66</v>
      </c>
      <c r="X942" s="154" t="s">
        <v>66</v>
      </c>
      <c r="Y942" s="154" t="s">
        <v>66</v>
      </c>
      <c r="Z942" s="154" t="s">
        <v>66</v>
      </c>
      <c r="AA942" s="154" t="s">
        <v>66</v>
      </c>
      <c r="AB942" s="154"/>
      <c r="AC942" s="242" t="b">
        <f t="shared" si="2"/>
        <v>1</v>
      </c>
      <c r="AD942" s="154" t="s">
        <v>445</v>
      </c>
      <c r="AE942" s="243" t="b">
        <f t="shared" si="3"/>
        <v>0</v>
      </c>
      <c r="AF942" s="154"/>
      <c r="AG942" s="243" t="b">
        <f t="shared" si="4"/>
        <v>0</v>
      </c>
      <c r="AH942" s="154"/>
      <c r="AI942" s="243" t="str">
        <f t="shared" si="5"/>
        <v>N/A</v>
      </c>
      <c r="AJ942" s="157" t="str">
        <f t="shared" si="6"/>
        <v/>
      </c>
    </row>
    <row r="943" ht="12.75" customHeight="1">
      <c r="A943" s="244" t="s">
        <v>2412</v>
      </c>
      <c r="B943" s="244" t="s">
        <v>2633</v>
      </c>
      <c r="C943" s="244" t="s">
        <v>2683</v>
      </c>
      <c r="D943" s="154" t="s">
        <v>2476</v>
      </c>
      <c r="E943" s="250"/>
      <c r="F943" s="154" t="str">
        <f t="array" ref="F943">XLOOKUP(Cover!$D$12,$S$1:$AA$1,$S943:$AA943)</f>
        <v>Mandatory</v>
      </c>
      <c r="G943" s="154" t="s">
        <v>2684</v>
      </c>
      <c r="H943" s="154" t="s">
        <v>2642</v>
      </c>
      <c r="I943" s="154" t="s">
        <v>420</v>
      </c>
      <c r="J943" s="247" t="s">
        <v>445</v>
      </c>
      <c r="K943" s="247"/>
      <c r="L943" s="154" t="str">
        <f t="shared" si="1"/>
        <v/>
      </c>
      <c r="M943" s="248" t="str">
        <f>IFERROR(__xludf.DUMMYFUNCTION("VLOOKUP(C943,IMPORTRANGE(""https://docs.google.com/spreadsheets/d/1P8eX0NWBhUPS_hvzA11R6jkTNFrPrRYIx_dX_hYbxrk/edit?resourcekey=0-iw9bsKY2OqkUHCFMkCar3A&amp;gid=2055363397#gid=2055363397"",""MTR!C:O""),11,false)"),"TAM-SPEC")</f>
        <v>TAM-SPEC</v>
      </c>
      <c r="N943" s="248" t="str">
        <f>IFERROR(__xludf.DUMMYFUNCTION("VLOOKUP(C943,IMPORTRANGE(""https://docs.google.com/spreadsheets/d/1ihFlp3_ePlYtFuPbUNbYj1muErVpI73WHXbEwJDIA7Q/edit#gid=1493122344"",""MTR!C:O""),8,false)"),"Complies")</f>
        <v>Complies</v>
      </c>
      <c r="O943" s="241" t="str">
        <f>IFERROR(__xludf.DUMMYFUNCTION("VLOOKUP(C943,IMPORTRANGE(""https://docs.google.com/spreadsheets/d/1P8eX0NWBhUPS_hvzA11R6jkTNFrPrRYIx_dX_hYbxrk/edit?resourcekey=0-iw9bsKY2OqkUHCFMkCar3A&amp;gid=2055363397#gid=2055363397"",""MTR!C:O""),9,false)"),"")</f>
        <v/>
      </c>
      <c r="P943" s="241"/>
      <c r="Q943" s="251" t="s">
        <v>445</v>
      </c>
      <c r="R943" s="251"/>
      <c r="S943" s="154" t="s">
        <v>60</v>
      </c>
      <c r="T943" s="154" t="s">
        <v>60</v>
      </c>
      <c r="U943" s="154" t="s">
        <v>60</v>
      </c>
      <c r="V943" s="154" t="s">
        <v>60</v>
      </c>
      <c r="W943" s="154" t="s">
        <v>60</v>
      </c>
      <c r="X943" s="154" t="s">
        <v>60</v>
      </c>
      <c r="Y943" s="154" t="s">
        <v>60</v>
      </c>
      <c r="Z943" s="154" t="s">
        <v>60</v>
      </c>
      <c r="AA943" s="154" t="s">
        <v>60</v>
      </c>
      <c r="AB943" s="154"/>
      <c r="AC943" s="242" t="b">
        <f t="shared" si="2"/>
        <v>1</v>
      </c>
      <c r="AD943" s="154" t="s">
        <v>391</v>
      </c>
      <c r="AE943" s="243" t="b">
        <f t="shared" si="3"/>
        <v>0</v>
      </c>
      <c r="AF943" s="154"/>
      <c r="AG943" s="243" t="b">
        <f t="shared" si="4"/>
        <v>0</v>
      </c>
      <c r="AH943" s="154"/>
      <c r="AI943" s="243" t="str">
        <f t="shared" si="5"/>
        <v>N/A</v>
      </c>
      <c r="AJ943" s="157" t="str">
        <f t="shared" si="6"/>
        <v/>
      </c>
    </row>
    <row r="944" ht="12.75" customHeight="1">
      <c r="A944" s="244" t="s">
        <v>2412</v>
      </c>
      <c r="B944" s="244" t="s">
        <v>2633</v>
      </c>
      <c r="C944" s="244" t="s">
        <v>2685</v>
      </c>
      <c r="D944" s="154" t="s">
        <v>542</v>
      </c>
      <c r="E944" s="250"/>
      <c r="F944" s="154" t="str">
        <f t="array" ref="F944">XLOOKUP(Cover!$D$12,$S$1:$AA$1,$S944:$AA944)</f>
        <v>Information</v>
      </c>
      <c r="G944" s="154" t="s">
        <v>2686</v>
      </c>
      <c r="H944" s="154"/>
      <c r="I944" s="154" t="s">
        <v>414</v>
      </c>
      <c r="J944" s="247" t="s">
        <v>617</v>
      </c>
      <c r="K944" s="247"/>
      <c r="L944" s="154" t="str">
        <f t="shared" si="1"/>
        <v/>
      </c>
      <c r="M944" s="248" t="str">
        <f>IFERROR(__xludf.DUMMYFUNCTION("VLOOKUP(C944,IMPORTRANGE(""https://docs.google.com/spreadsheets/d/1P8eX0NWBhUPS_hvzA11R6jkTNFrPrRYIx_dX_hYbxrk/edit?resourcekey=0-iw9bsKY2OqkUHCFMkCar3A&amp;gid=2055363397#gid=2055363397"",""MTR!C:O""),11,false)"),"TAM-SPEC")</f>
        <v>TAM-SPEC</v>
      </c>
      <c r="N944" s="248" t="str">
        <f>IFERROR(__xludf.DUMMYFUNCTION("VLOOKUP(C944,IMPORTRANGE(""https://docs.google.com/spreadsheets/d/1ihFlp3_ePlYtFuPbUNbYj1muErVpI73WHXbEwJDIA7Q/edit#gid=1493122344"",""MTR!C:O""),8,false)"),"Not Applicable")</f>
        <v>Not Applicable</v>
      </c>
      <c r="O944" s="241" t="str">
        <f>IFERROR(__xludf.DUMMYFUNCTION("VLOOKUP(C944,IMPORTRANGE(""https://docs.google.com/spreadsheets/d/1P8eX0NWBhUPS_hvzA11R6jkTNFrPrRYIx_dX_hYbxrk/edit?resourcekey=0-iw9bsKY2OqkUHCFMkCar3A&amp;gid=2055363397#gid=2055363397"",""MTR!C:O""),9,false)"),"")</f>
        <v/>
      </c>
      <c r="P944" s="241"/>
      <c r="Q944" s="251" t="s">
        <v>617</v>
      </c>
      <c r="R944" s="241"/>
      <c r="S944" s="154" t="s">
        <v>66</v>
      </c>
      <c r="T944" s="154" t="s">
        <v>66</v>
      </c>
      <c r="U944" s="154" t="s">
        <v>66</v>
      </c>
      <c r="V944" s="154" t="s">
        <v>66</v>
      </c>
      <c r="W944" s="154" t="s">
        <v>66</v>
      </c>
      <c r="X944" s="154" t="s">
        <v>66</v>
      </c>
      <c r="Y944" s="154" t="s">
        <v>66</v>
      </c>
      <c r="Z944" s="154" t="s">
        <v>66</v>
      </c>
      <c r="AA944" s="154" t="s">
        <v>66</v>
      </c>
      <c r="AB944" s="154"/>
      <c r="AC944" s="242" t="b">
        <f t="shared" si="2"/>
        <v>1</v>
      </c>
      <c r="AD944" s="154" t="s">
        <v>445</v>
      </c>
      <c r="AE944" s="243" t="b">
        <f t="shared" si="3"/>
        <v>0</v>
      </c>
      <c r="AF944" s="154"/>
      <c r="AG944" s="243" t="b">
        <f t="shared" si="4"/>
        <v>0</v>
      </c>
      <c r="AH944" s="154"/>
      <c r="AI944" s="243" t="str">
        <f t="shared" si="5"/>
        <v>N/A</v>
      </c>
      <c r="AJ944" s="157" t="str">
        <f t="shared" si="6"/>
        <v/>
      </c>
    </row>
    <row r="945" ht="12.75" customHeight="1">
      <c r="A945" s="238" t="s">
        <v>2412</v>
      </c>
      <c r="B945" s="238" t="s">
        <v>2633</v>
      </c>
      <c r="C945" s="238" t="s">
        <v>2687</v>
      </c>
      <c r="D945" s="238"/>
      <c r="E945" s="238"/>
      <c r="F945" s="154" t="str">
        <f t="array" ref="F945">XLOOKUP(Cover!$D$12,$S$1:$AA$1,$S945:$AA945)</f>
        <v>Heading</v>
      </c>
      <c r="G945" s="239" t="s">
        <v>2688</v>
      </c>
      <c r="H945" s="240"/>
      <c r="I945" s="240" t="s">
        <v>479</v>
      </c>
      <c r="J945" s="240"/>
      <c r="K945" s="240"/>
      <c r="L945" s="154" t="str">
        <f t="shared" si="1"/>
        <v/>
      </c>
      <c r="M945" s="241" t="str">
        <f>IFERROR(__xludf.DUMMYFUNCTION("VLOOKUP(C945,IMPORTRANGE(""https://docs.google.com/spreadsheets/d/1P8eX0NWBhUPS_hvzA11R6jkTNFrPrRYIx_dX_hYbxrk/edit?resourcekey=0-iw9bsKY2OqkUHCFMkCar3A&amp;gid=2055363397#gid=2055363397"",""MTR!C:O""),11,false)"),"")</f>
        <v/>
      </c>
      <c r="N945" s="241" t="str">
        <f>IFERROR(__xludf.DUMMYFUNCTION("VLOOKUP(C945,IMPORTRANGE(""https://docs.google.com/spreadsheets/d/1ihFlp3_ePlYtFuPbUNbYj1muErVpI73WHXbEwJDIA7Q/edit#gid=1493122344"",""MTR!C:O""),8,false)"),"")</f>
        <v/>
      </c>
      <c r="O945" s="241" t="str">
        <f>IFERROR(__xludf.DUMMYFUNCTION("VLOOKUP(C945,IMPORTRANGE(""https://docs.google.com/spreadsheets/d/1P8eX0NWBhUPS_hvzA11R6jkTNFrPrRYIx_dX_hYbxrk/edit?resourcekey=0-iw9bsKY2OqkUHCFMkCar3A&amp;gid=2055363397#gid=2055363397"",""MTR!C:O""),9,false)"),"")</f>
        <v/>
      </c>
      <c r="P945" s="241"/>
      <c r="Q945" s="251"/>
      <c r="R945" s="241"/>
      <c r="S945" s="240" t="s">
        <v>390</v>
      </c>
      <c r="T945" s="240" t="s">
        <v>390</v>
      </c>
      <c r="U945" s="240" t="s">
        <v>390</v>
      </c>
      <c r="V945" s="240" t="s">
        <v>390</v>
      </c>
      <c r="W945" s="240" t="s">
        <v>390</v>
      </c>
      <c r="X945" s="240" t="s">
        <v>390</v>
      </c>
      <c r="Y945" s="240" t="s">
        <v>390</v>
      </c>
      <c r="Z945" s="240" t="s">
        <v>390</v>
      </c>
      <c r="AA945" s="240" t="s">
        <v>390</v>
      </c>
      <c r="AB945" s="240"/>
      <c r="AC945" s="242" t="b">
        <f t="shared" si="2"/>
        <v>0</v>
      </c>
      <c r="AD945" s="240" t="s">
        <v>391</v>
      </c>
      <c r="AE945" s="243" t="b">
        <f t="shared" si="3"/>
        <v>0</v>
      </c>
      <c r="AF945" s="240"/>
      <c r="AG945" s="243" t="b">
        <f t="shared" si="4"/>
        <v>0</v>
      </c>
      <c r="AH945" s="240"/>
      <c r="AI945" s="243" t="str">
        <f t="shared" si="5"/>
        <v>N/A</v>
      </c>
      <c r="AJ945" s="157" t="str">
        <f t="shared" si="6"/>
        <v/>
      </c>
    </row>
    <row r="946" ht="12.75" customHeight="1">
      <c r="A946" s="244" t="s">
        <v>2412</v>
      </c>
      <c r="B946" s="244" t="s">
        <v>2633</v>
      </c>
      <c r="C946" s="244" t="s">
        <v>2689</v>
      </c>
      <c r="D946" s="154" t="s">
        <v>739</v>
      </c>
      <c r="E946" s="250"/>
      <c r="F946" s="154" t="str">
        <f t="array" ref="F946">XLOOKUP(Cover!$D$12,$S$1:$AA$1,$S946:$AA946)</f>
        <v>Mandatory</v>
      </c>
      <c r="G946" s="153" t="s">
        <v>2690</v>
      </c>
      <c r="H946" s="154" t="s">
        <v>398</v>
      </c>
      <c r="I946" s="154" t="s">
        <v>479</v>
      </c>
      <c r="J946" s="247" t="s">
        <v>445</v>
      </c>
      <c r="K946" s="154"/>
      <c r="L946" s="154" t="str">
        <f t="shared" si="1"/>
        <v/>
      </c>
      <c r="M946" s="248" t="str">
        <f>IFERROR(__xludf.DUMMYFUNCTION("VLOOKUP(C946,IMPORTRANGE(""https://docs.google.com/spreadsheets/d/1P8eX0NWBhUPS_hvzA11R6jkTNFrPrRYIx_dX_hYbxrk/edit?resourcekey=0-iw9bsKY2OqkUHCFMkCar3A&amp;gid=2055363397#gid=2055363397"",""MTR!C:O""),11,false)"),"TAM-SPEC")</f>
        <v>TAM-SPEC</v>
      </c>
      <c r="N946" s="248" t="str">
        <f>IFERROR(__xludf.DUMMYFUNCTION("VLOOKUP(C946,IMPORTRANGE(""https://docs.google.com/spreadsheets/d/1ihFlp3_ePlYtFuPbUNbYj1muErVpI73WHXbEwJDIA7Q/edit#gid=1493122344"",""MTR!C:O""),8,false)"),"Complies")</f>
        <v>Complies</v>
      </c>
      <c r="O946" s="241" t="str">
        <f>IFERROR(__xludf.DUMMYFUNCTION("VLOOKUP(C946,IMPORTRANGE(""https://docs.google.com/spreadsheets/d/1P8eX0NWBhUPS_hvzA11R6jkTNFrPrRYIx_dX_hYbxrk/edit?resourcekey=0-iw9bsKY2OqkUHCFMkCar3A&amp;gid=2055363397#gid=2055363397"",""MTR!C:O""),9,false)"),"")</f>
        <v/>
      </c>
      <c r="P946" s="241"/>
      <c r="Q946" s="251" t="s">
        <v>445</v>
      </c>
      <c r="R946" s="241"/>
      <c r="S946" s="154" t="s">
        <v>60</v>
      </c>
      <c r="T946" s="154" t="s">
        <v>60</v>
      </c>
      <c r="U946" s="154" t="s">
        <v>60</v>
      </c>
      <c r="V946" s="154" t="s">
        <v>60</v>
      </c>
      <c r="W946" s="154" t="s">
        <v>60</v>
      </c>
      <c r="X946" s="154" t="s">
        <v>60</v>
      </c>
      <c r="Y946" s="154" t="s">
        <v>60</v>
      </c>
      <c r="Z946" s="154" t="s">
        <v>60</v>
      </c>
      <c r="AA946" s="154" t="s">
        <v>60</v>
      </c>
      <c r="AB946" s="154"/>
      <c r="AC946" s="242" t="b">
        <f t="shared" si="2"/>
        <v>1</v>
      </c>
      <c r="AD946" s="154" t="s">
        <v>391</v>
      </c>
      <c r="AE946" s="243" t="b">
        <f t="shared" si="3"/>
        <v>0</v>
      </c>
      <c r="AF946" s="154"/>
      <c r="AG946" s="243" t="b">
        <f t="shared" si="4"/>
        <v>0</v>
      </c>
      <c r="AH946" s="154"/>
      <c r="AI946" s="243" t="str">
        <f t="shared" si="5"/>
        <v>N/A</v>
      </c>
      <c r="AJ946" s="157" t="str">
        <f t="shared" si="6"/>
        <v/>
      </c>
    </row>
    <row r="947" ht="12.75" customHeight="1">
      <c r="A947" s="244" t="s">
        <v>2412</v>
      </c>
      <c r="B947" s="244" t="s">
        <v>2633</v>
      </c>
      <c r="C947" s="244" t="s">
        <v>2691</v>
      </c>
      <c r="D947" s="154" t="s">
        <v>542</v>
      </c>
      <c r="E947" s="250"/>
      <c r="F947" s="154" t="str">
        <f t="array" ref="F947">XLOOKUP(Cover!$D$12,$S$1:$AA$1,$S947:$AA947)</f>
        <v>Comments Vendor</v>
      </c>
      <c r="G947" s="153" t="s">
        <v>2692</v>
      </c>
      <c r="H947" s="154" t="s">
        <v>398</v>
      </c>
      <c r="I947" s="154" t="s">
        <v>479</v>
      </c>
      <c r="J947" s="154"/>
      <c r="K947" s="247" t="s">
        <v>2693</v>
      </c>
      <c r="L947" s="154" t="str">
        <f t="shared" si="1"/>
        <v/>
      </c>
      <c r="M947" s="248" t="str">
        <f>IFERROR(__xludf.DUMMYFUNCTION("VLOOKUP(C947,IMPORTRANGE(""https://docs.google.com/spreadsheets/d/1P8eX0NWBhUPS_hvzA11R6jkTNFrPrRYIx_dX_hYbxrk/edit?resourcekey=0-iw9bsKY2OqkUHCFMkCar3A&amp;gid=2055363397#gid=2055363397"",""MTR!C:O""),11,false)"),"TAM-SPEC")</f>
        <v>TAM-SPEC</v>
      </c>
      <c r="N947" s="241" t="str">
        <f>IFERROR(__xludf.DUMMYFUNCTION("VLOOKUP(C947,IMPORTRANGE(""https://docs.google.com/spreadsheets/d/1ihFlp3_ePlYtFuPbUNbYj1muErVpI73WHXbEwJDIA7Q/edit#gid=1493122344"",""MTR!C:O""),8,false)"),"")</f>
        <v/>
      </c>
      <c r="O947" s="248" t="str">
        <f>IFERROR(__xludf.DUMMYFUNCTION("VLOOKUP(C947,IMPORTRANGE(""https://docs.google.com/spreadsheets/d/1P8eX0NWBhUPS_hvzA11R6jkTNFrPrRYIx_dX_hYbxrk/edit?resourcekey=0-iw9bsKY2OqkUHCFMkCar3A&amp;gid=2055363397#gid=2055363397"",""MTR!C:O""),9,false)"),"Triple RGB Camera
(50MP wide+ 48MP tele + 48MP ultra wide)")</f>
        <v>Triple RGB Camera
(50MP wide+ 48MP tele + 48MP ultra wide)</v>
      </c>
      <c r="P947" s="248"/>
      <c r="Q947" s="249"/>
      <c r="R947" s="249" t="s">
        <v>2694</v>
      </c>
      <c r="S947" s="154" t="s">
        <v>62</v>
      </c>
      <c r="T947" s="154" t="s">
        <v>62</v>
      </c>
      <c r="U947" s="154" t="s">
        <v>62</v>
      </c>
      <c r="V947" s="154" t="s">
        <v>62</v>
      </c>
      <c r="W947" s="154" t="s">
        <v>62</v>
      </c>
      <c r="X947" s="154" t="s">
        <v>62</v>
      </c>
      <c r="Y947" s="154" t="s">
        <v>62</v>
      </c>
      <c r="Z947" s="154" t="s">
        <v>62</v>
      </c>
      <c r="AA947" s="154" t="s">
        <v>62</v>
      </c>
      <c r="AB947" s="154"/>
      <c r="AC947" s="242" t="b">
        <f t="shared" si="2"/>
        <v>1</v>
      </c>
      <c r="AD947" s="154" t="s">
        <v>68</v>
      </c>
      <c r="AE947" s="243" t="b">
        <f t="shared" si="3"/>
        <v>1</v>
      </c>
      <c r="AF947" s="154"/>
      <c r="AG947" s="243" t="b">
        <f t="shared" si="4"/>
        <v>0</v>
      </c>
      <c r="AH947" s="154"/>
      <c r="AI947" s="243" t="str">
        <f t="shared" si="5"/>
        <v>N/A</v>
      </c>
      <c r="AJ947" s="157" t="str">
        <f t="shared" si="6"/>
        <v/>
      </c>
    </row>
    <row r="948" ht="12.75" customHeight="1">
      <c r="A948" s="244" t="s">
        <v>2412</v>
      </c>
      <c r="B948" s="244" t="s">
        <v>2633</v>
      </c>
      <c r="C948" s="244" t="s">
        <v>2695</v>
      </c>
      <c r="D948" s="154" t="s">
        <v>45</v>
      </c>
      <c r="E948" s="250"/>
      <c r="F948" s="154" t="str">
        <f t="array" ref="F948">XLOOKUP(Cover!$D$12,$S$1:$AA$1,$S948:$AA948)</f>
        <v>Mandatory</v>
      </c>
      <c r="G948" s="154" t="s">
        <v>2696</v>
      </c>
      <c r="H948" s="154" t="s">
        <v>2642</v>
      </c>
      <c r="I948" s="154" t="s">
        <v>479</v>
      </c>
      <c r="J948" s="247" t="s">
        <v>445</v>
      </c>
      <c r="K948" s="154"/>
      <c r="L948" s="154" t="str">
        <f t="shared" si="1"/>
        <v/>
      </c>
      <c r="M948" s="248" t="str">
        <f>IFERROR(__xludf.DUMMYFUNCTION("VLOOKUP(C948,IMPORTRANGE(""https://docs.google.com/spreadsheets/d/1P8eX0NWBhUPS_hvzA11R6jkTNFrPrRYIx_dX_hYbxrk/edit?resourcekey=0-iw9bsKY2OqkUHCFMkCar3A&amp;gid=2055363397#gid=2055363397"",""MTR!C:O""),11,false)"),"TAM-SPEC")</f>
        <v>TAM-SPEC</v>
      </c>
      <c r="N948" s="253" t="str">
        <f>IFERROR(__xludf.DUMMYFUNCTION("VLOOKUP(C948,IMPORTRANGE(""https://docs.google.com/spreadsheets/d/1ihFlp3_ePlYtFuPbUNbYj1muErVpI73WHXbEwJDIA7Q/edit#gid=1493122344"",""MTR!C:O""),8,false)"),"#N/A")</f>
        <v>#N/A</v>
      </c>
      <c r="O948" s="248" t="str">
        <f>IFERROR(__xludf.DUMMYFUNCTION("VLOOKUP(C948,IMPORTRANGE(""https://docs.google.com/spreadsheets/d/1P8eX0NWBhUPS_hvzA11R6jkTNFrPrRYIx_dX_hYbxrk/edit?resourcekey=0-iw9bsKY2OqkUHCFMkCar3A&amp;gid=2055363397#gid=2055363397"",""MTR!C:O""),9,false)"),"Support")</f>
        <v>Support</v>
      </c>
      <c r="P948" s="248"/>
      <c r="Q948" s="248"/>
      <c r="R948" s="249"/>
      <c r="S948" s="154" t="s">
        <v>64</v>
      </c>
      <c r="T948" s="154" t="s">
        <v>64</v>
      </c>
      <c r="U948" s="154" t="s">
        <v>64</v>
      </c>
      <c r="V948" s="154" t="s">
        <v>64</v>
      </c>
      <c r="W948" s="154" t="s">
        <v>60</v>
      </c>
      <c r="X948" s="154" t="s">
        <v>60</v>
      </c>
      <c r="Y948" s="154" t="s">
        <v>64</v>
      </c>
      <c r="Z948" s="154" t="s">
        <v>64</v>
      </c>
      <c r="AA948" s="154" t="s">
        <v>64</v>
      </c>
      <c r="AB948" s="154"/>
      <c r="AC948" s="242" t="b">
        <f t="shared" si="2"/>
        <v>1</v>
      </c>
      <c r="AD948" s="154" t="s">
        <v>391</v>
      </c>
      <c r="AE948" s="243" t="b">
        <f t="shared" si="3"/>
        <v>0</v>
      </c>
      <c r="AF948" s="154"/>
      <c r="AG948" s="243" t="b">
        <f t="shared" si="4"/>
        <v>0</v>
      </c>
      <c r="AH948" s="154"/>
      <c r="AI948" s="243" t="str">
        <f t="shared" si="5"/>
        <v>N/A</v>
      </c>
      <c r="AJ948" s="157" t="str">
        <f t="shared" si="6"/>
        <v/>
      </c>
    </row>
    <row r="949" ht="12.75" customHeight="1">
      <c r="A949" s="244" t="s">
        <v>2412</v>
      </c>
      <c r="B949" s="244" t="s">
        <v>2633</v>
      </c>
      <c r="C949" s="244" t="s">
        <v>2697</v>
      </c>
      <c r="D949" s="154" t="s">
        <v>739</v>
      </c>
      <c r="E949" s="250"/>
      <c r="F949" s="154" t="str">
        <f t="array" ref="F949">XLOOKUP(Cover!$D$12,$S$1:$AA$1,$S949:$AA949)</f>
        <v>Mandatory</v>
      </c>
      <c r="G949" s="153" t="s">
        <v>2698</v>
      </c>
      <c r="H949" s="154" t="s">
        <v>398</v>
      </c>
      <c r="I949" s="154" t="s">
        <v>479</v>
      </c>
      <c r="J949" s="247" t="s">
        <v>445</v>
      </c>
      <c r="K949" s="154"/>
      <c r="L949" s="154" t="str">
        <f t="shared" si="1"/>
        <v/>
      </c>
      <c r="M949" s="248" t="str">
        <f>IFERROR(__xludf.DUMMYFUNCTION("VLOOKUP(C949,IMPORTRANGE(""https://docs.google.com/spreadsheets/d/1P8eX0NWBhUPS_hvzA11R6jkTNFrPrRYIx_dX_hYbxrk/edit?resourcekey=0-iw9bsKY2OqkUHCFMkCar3A&amp;gid=2055363397#gid=2055363397"",""MTR!C:O""),11,false)"),"TAM-SPEC")</f>
        <v>TAM-SPEC</v>
      </c>
      <c r="N949" s="248" t="str">
        <f>IFERROR(__xludf.DUMMYFUNCTION("VLOOKUP(C949,IMPORTRANGE(""https://docs.google.com/spreadsheets/d/1ihFlp3_ePlYtFuPbUNbYj1muErVpI73WHXbEwJDIA7Q/edit#gid=1493122344"",""MTR!C:O""),8,false)"),"Complies")</f>
        <v>Complies</v>
      </c>
      <c r="O949" s="241" t="str">
        <f>IFERROR(__xludf.DUMMYFUNCTION("VLOOKUP(C949,IMPORTRANGE(""https://docs.google.com/spreadsheets/d/1P8eX0NWBhUPS_hvzA11R6jkTNFrPrRYIx_dX_hYbxrk/edit?resourcekey=0-iw9bsKY2OqkUHCFMkCar3A&amp;gid=2055363397#gid=2055363397"",""MTR!C:O""),9,false)"),"")</f>
        <v/>
      </c>
      <c r="P949" s="241"/>
      <c r="Q949" s="251" t="s">
        <v>445</v>
      </c>
      <c r="R949" s="241"/>
      <c r="S949" s="154" t="s">
        <v>64</v>
      </c>
      <c r="T949" s="154" t="s">
        <v>60</v>
      </c>
      <c r="U949" s="154" t="s">
        <v>60</v>
      </c>
      <c r="V949" s="154" t="s">
        <v>60</v>
      </c>
      <c r="W949" s="154" t="s">
        <v>60</v>
      </c>
      <c r="X949" s="154" t="s">
        <v>60</v>
      </c>
      <c r="Y949" s="154" t="s">
        <v>60</v>
      </c>
      <c r="Z949" s="154" t="s">
        <v>60</v>
      </c>
      <c r="AA949" s="154" t="s">
        <v>60</v>
      </c>
      <c r="AB949" s="154"/>
      <c r="AC949" s="242" t="b">
        <f t="shared" si="2"/>
        <v>1</v>
      </c>
      <c r="AD949" s="154" t="s">
        <v>391</v>
      </c>
      <c r="AE949" s="243" t="b">
        <f t="shared" si="3"/>
        <v>0</v>
      </c>
      <c r="AF949" s="154"/>
      <c r="AG949" s="243" t="b">
        <f t="shared" si="4"/>
        <v>0</v>
      </c>
      <c r="AH949" s="154"/>
      <c r="AI949" s="243" t="str">
        <f t="shared" si="5"/>
        <v>N/A</v>
      </c>
      <c r="AJ949" s="157" t="str">
        <f t="shared" si="6"/>
        <v/>
      </c>
    </row>
    <row r="950" ht="12.75" customHeight="1">
      <c r="A950" s="244" t="s">
        <v>2412</v>
      </c>
      <c r="B950" s="244" t="s">
        <v>2633</v>
      </c>
      <c r="C950" s="244" t="s">
        <v>2699</v>
      </c>
      <c r="D950" s="154" t="s">
        <v>542</v>
      </c>
      <c r="E950" s="250"/>
      <c r="F950" s="154" t="str">
        <f t="array" ref="F950">XLOOKUP(Cover!$D$12,$S$1:$AA$1,$S950:$AA950)</f>
        <v>Comments Vendor</v>
      </c>
      <c r="G950" s="153" t="s">
        <v>2700</v>
      </c>
      <c r="H950" s="154" t="s">
        <v>398</v>
      </c>
      <c r="I950" s="154" t="s">
        <v>479</v>
      </c>
      <c r="J950" s="154"/>
      <c r="K950" s="247" t="s">
        <v>2701</v>
      </c>
      <c r="L950" s="154" t="str">
        <f t="shared" si="1"/>
        <v/>
      </c>
      <c r="M950" s="248" t="str">
        <f>IFERROR(__xludf.DUMMYFUNCTION("VLOOKUP(C950,IMPORTRANGE(""https://docs.google.com/spreadsheets/d/1P8eX0NWBhUPS_hvzA11R6jkTNFrPrRYIx_dX_hYbxrk/edit?resourcekey=0-iw9bsKY2OqkUHCFMkCar3A&amp;gid=2055363397#gid=2055363397"",""MTR!C:O""),11,false)"),"TAM-SPEC")</f>
        <v>TAM-SPEC</v>
      </c>
      <c r="N950" s="241" t="str">
        <f>IFERROR(__xludf.DUMMYFUNCTION("VLOOKUP(C950,IMPORTRANGE(""https://docs.google.com/spreadsheets/d/1ihFlp3_ePlYtFuPbUNbYj1muErVpI73WHXbEwJDIA7Q/edit#gid=1493122344"",""MTR!C:O""),8,false)"),"")</f>
        <v/>
      </c>
      <c r="O950" s="248" t="str">
        <f>IFERROR(__xludf.DUMMYFUNCTION("VLOOKUP(C950,IMPORTRANGE(""https://docs.google.com/spreadsheets/d/1P8eX0NWBhUPS_hvzA11R6jkTNFrPrRYIx_dX_hYbxrk/edit?resourcekey=0-iw9bsKY2OqkUHCFMkCar3A&amp;gid=2055363397#gid=2055363397"",""MTR!C:O""),9,false)"),"Single FFC with punch hole")</f>
        <v>Single FFC with punch hole</v>
      </c>
      <c r="P950" s="248"/>
      <c r="Q950" s="249"/>
      <c r="R950" s="249" t="s">
        <v>2701</v>
      </c>
      <c r="S950" s="154" t="s">
        <v>62</v>
      </c>
      <c r="T950" s="154" t="s">
        <v>62</v>
      </c>
      <c r="U950" s="154" t="s">
        <v>62</v>
      </c>
      <c r="V950" s="154" t="s">
        <v>62</v>
      </c>
      <c r="W950" s="154" t="s">
        <v>62</v>
      </c>
      <c r="X950" s="154" t="s">
        <v>62</v>
      </c>
      <c r="Y950" s="154" t="s">
        <v>62</v>
      </c>
      <c r="Z950" s="154" t="s">
        <v>62</v>
      </c>
      <c r="AA950" s="154" t="s">
        <v>62</v>
      </c>
      <c r="AB950" s="154"/>
      <c r="AC950" s="242" t="b">
        <f t="shared" si="2"/>
        <v>1</v>
      </c>
      <c r="AD950" s="154" t="s">
        <v>68</v>
      </c>
      <c r="AE950" s="243" t="b">
        <f t="shared" si="3"/>
        <v>1</v>
      </c>
      <c r="AF950" s="154"/>
      <c r="AG950" s="243" t="b">
        <f t="shared" si="4"/>
        <v>0</v>
      </c>
      <c r="AH950" s="154"/>
      <c r="AI950" s="243" t="str">
        <f t="shared" si="5"/>
        <v>N/A</v>
      </c>
      <c r="AJ950" s="157" t="str">
        <f t="shared" si="6"/>
        <v/>
      </c>
    </row>
    <row r="951" ht="12.75" customHeight="1">
      <c r="A951" s="244" t="s">
        <v>2412</v>
      </c>
      <c r="B951" s="244" t="s">
        <v>2633</v>
      </c>
      <c r="C951" s="244" t="s">
        <v>2702</v>
      </c>
      <c r="D951" s="154" t="s">
        <v>528</v>
      </c>
      <c r="E951" s="250"/>
      <c r="F951" s="154" t="str">
        <f t="array" ref="F951">XLOOKUP(Cover!$D$12,$S$1:$AA$1,$S951:$AA951)</f>
        <v>Mandatory</v>
      </c>
      <c r="G951" s="154" t="s">
        <v>2703</v>
      </c>
      <c r="H951" s="154" t="s">
        <v>2642</v>
      </c>
      <c r="I951" s="154" t="s">
        <v>479</v>
      </c>
      <c r="J951" s="247" t="s">
        <v>445</v>
      </c>
      <c r="K951" s="154"/>
      <c r="L951" s="154" t="str">
        <f t="shared" si="1"/>
        <v/>
      </c>
      <c r="M951" s="248" t="str">
        <f>IFERROR(__xludf.DUMMYFUNCTION("VLOOKUP(C951,IMPORTRANGE(""https://docs.google.com/spreadsheets/d/1P8eX0NWBhUPS_hvzA11R6jkTNFrPrRYIx_dX_hYbxrk/edit?resourcekey=0-iw9bsKY2OqkUHCFMkCar3A&amp;gid=2055363397#gid=2055363397"",""MTR!C:O""),11,false)"),"TAM-SPEC")</f>
        <v>TAM-SPEC</v>
      </c>
      <c r="N951" s="248" t="str">
        <f>IFERROR(__xludf.DUMMYFUNCTION("VLOOKUP(C951,IMPORTRANGE(""https://docs.google.com/spreadsheets/d/1ihFlp3_ePlYtFuPbUNbYj1muErVpI73WHXbEwJDIA7Q/edit#gid=1493122344"",""MTR!C:O""),8,false)"),"Complies")</f>
        <v>Complies</v>
      </c>
      <c r="O951" s="241" t="str">
        <f>IFERROR(__xludf.DUMMYFUNCTION("VLOOKUP(C951,IMPORTRANGE(""https://docs.google.com/spreadsheets/d/1P8eX0NWBhUPS_hvzA11R6jkTNFrPrRYIx_dX_hYbxrk/edit?resourcekey=0-iw9bsKY2OqkUHCFMkCar3A&amp;gid=2055363397#gid=2055363397"",""MTR!C:O""),9,false)"),"")</f>
        <v/>
      </c>
      <c r="P951" s="241"/>
      <c r="Q951" s="251" t="s">
        <v>445</v>
      </c>
      <c r="R951" s="251"/>
      <c r="S951" s="154" t="s">
        <v>64</v>
      </c>
      <c r="T951" s="154" t="s">
        <v>60</v>
      </c>
      <c r="U951" s="154" t="s">
        <v>60</v>
      </c>
      <c r="V951" s="154" t="s">
        <v>60</v>
      </c>
      <c r="W951" s="154" t="s">
        <v>60</v>
      </c>
      <c r="X951" s="154" t="s">
        <v>60</v>
      </c>
      <c r="Y951" s="154" t="s">
        <v>60</v>
      </c>
      <c r="Z951" s="154" t="s">
        <v>60</v>
      </c>
      <c r="AA951" s="154" t="s">
        <v>60</v>
      </c>
      <c r="AB951" s="154"/>
      <c r="AC951" s="242" t="b">
        <f t="shared" si="2"/>
        <v>1</v>
      </c>
      <c r="AD951" s="154" t="s">
        <v>391</v>
      </c>
      <c r="AE951" s="243" t="b">
        <f t="shared" si="3"/>
        <v>0</v>
      </c>
      <c r="AF951" s="154"/>
      <c r="AG951" s="243" t="b">
        <f t="shared" si="4"/>
        <v>0</v>
      </c>
      <c r="AH951" s="154"/>
      <c r="AI951" s="243" t="str">
        <f t="shared" si="5"/>
        <v>N/A</v>
      </c>
      <c r="AJ951" s="157" t="str">
        <f t="shared" si="6"/>
        <v/>
      </c>
    </row>
    <row r="952" ht="12.75" customHeight="1">
      <c r="A952" s="244" t="s">
        <v>2412</v>
      </c>
      <c r="B952" s="244" t="s">
        <v>2633</v>
      </c>
      <c r="C952" s="244" t="s">
        <v>2704</v>
      </c>
      <c r="D952" s="154" t="s">
        <v>528</v>
      </c>
      <c r="E952" s="250"/>
      <c r="F952" s="154" t="str">
        <f t="array" ref="F952">XLOOKUP(Cover!$D$12,$S$1:$AA$1,$S952:$AA952)</f>
        <v>Mandatory</v>
      </c>
      <c r="G952" s="153" t="s">
        <v>2705</v>
      </c>
      <c r="H952" s="154" t="s">
        <v>2642</v>
      </c>
      <c r="I952" s="154" t="s">
        <v>479</v>
      </c>
      <c r="J952" s="247" t="s">
        <v>445</v>
      </c>
      <c r="K952" s="154"/>
      <c r="L952" s="154" t="str">
        <f t="shared" si="1"/>
        <v/>
      </c>
      <c r="M952" s="248" t="str">
        <f>IFERROR(__xludf.DUMMYFUNCTION("VLOOKUP(C952,IMPORTRANGE(""https://docs.google.com/spreadsheets/d/1P8eX0NWBhUPS_hvzA11R6jkTNFrPrRYIx_dX_hYbxrk/edit?resourcekey=0-iw9bsKY2OqkUHCFMkCar3A&amp;gid=2055363397#gid=2055363397"",""MTR!C:O""),11,false)"),"TAM-SPEC")</f>
        <v>TAM-SPEC</v>
      </c>
      <c r="N952" s="248" t="str">
        <f>IFERROR(__xludf.DUMMYFUNCTION("VLOOKUP(C952,IMPORTRANGE(""https://docs.google.com/spreadsheets/d/1ihFlp3_ePlYtFuPbUNbYj1muErVpI73WHXbEwJDIA7Q/edit#gid=1493122344"",""MTR!C:O""),8,false)"),"Complies")</f>
        <v>Complies</v>
      </c>
      <c r="O952" s="241" t="str">
        <f>IFERROR(__xludf.DUMMYFUNCTION("VLOOKUP(C952,IMPORTRANGE(""https://docs.google.com/spreadsheets/d/1P8eX0NWBhUPS_hvzA11R6jkTNFrPrRYIx_dX_hYbxrk/edit?resourcekey=0-iw9bsKY2OqkUHCFMkCar3A&amp;gid=2055363397#gid=2055363397"",""MTR!C:O""),9,false)"),"")</f>
        <v/>
      </c>
      <c r="P952" s="241"/>
      <c r="Q952" s="251" t="s">
        <v>445</v>
      </c>
      <c r="R952" s="241"/>
      <c r="S952" s="154" t="s">
        <v>64</v>
      </c>
      <c r="T952" s="154" t="s">
        <v>60</v>
      </c>
      <c r="U952" s="154" t="s">
        <v>60</v>
      </c>
      <c r="V952" s="154" t="s">
        <v>60</v>
      </c>
      <c r="W952" s="154" t="s">
        <v>60</v>
      </c>
      <c r="X952" s="154" t="s">
        <v>60</v>
      </c>
      <c r="Y952" s="154" t="s">
        <v>60</v>
      </c>
      <c r="Z952" s="154" t="s">
        <v>60</v>
      </c>
      <c r="AA952" s="154" t="s">
        <v>60</v>
      </c>
      <c r="AB952" s="154"/>
      <c r="AC952" s="242" t="b">
        <f t="shared" si="2"/>
        <v>1</v>
      </c>
      <c r="AD952" s="154" t="s">
        <v>391</v>
      </c>
      <c r="AE952" s="243" t="b">
        <f t="shared" si="3"/>
        <v>0</v>
      </c>
      <c r="AF952" s="154"/>
      <c r="AG952" s="243" t="b">
        <f t="shared" si="4"/>
        <v>0</v>
      </c>
      <c r="AH952" s="154"/>
      <c r="AI952" s="243" t="str">
        <f t="shared" si="5"/>
        <v>N/A</v>
      </c>
      <c r="AJ952" s="157" t="str">
        <f t="shared" si="6"/>
        <v/>
      </c>
    </row>
    <row r="953" ht="12.75" customHeight="1">
      <c r="A953" s="244" t="s">
        <v>2412</v>
      </c>
      <c r="B953" s="244" t="s">
        <v>2633</v>
      </c>
      <c r="C953" s="244" t="s">
        <v>2706</v>
      </c>
      <c r="D953" s="154" t="s">
        <v>781</v>
      </c>
      <c r="E953" s="250"/>
      <c r="F953" s="154" t="str">
        <f t="array" ref="F953">XLOOKUP(Cover!$D$12,$S$1:$AA$1,$S953:$AA953)</f>
        <v>Recommended</v>
      </c>
      <c r="G953" s="154" t="s">
        <v>2707</v>
      </c>
      <c r="H953" s="154"/>
      <c r="I953" s="154" t="s">
        <v>479</v>
      </c>
      <c r="J953" s="247" t="s">
        <v>445</v>
      </c>
      <c r="K953" s="154"/>
      <c r="L953" s="154" t="str">
        <f t="shared" si="1"/>
        <v/>
      </c>
      <c r="M953" s="248" t="str">
        <f>IFERROR(__xludf.DUMMYFUNCTION("VLOOKUP(C953,IMPORTRANGE(""https://docs.google.com/spreadsheets/d/1P8eX0NWBhUPS_hvzA11R6jkTNFrPrRYIx_dX_hYbxrk/edit?resourcekey=0-iw9bsKY2OqkUHCFMkCar3A&amp;gid=2055363397#gid=2055363397"",""MTR!C:O""),11,false)"),"TAM-SPEC")</f>
        <v>TAM-SPEC</v>
      </c>
      <c r="N953" s="248" t="str">
        <f>IFERROR(__xludf.DUMMYFUNCTION("VLOOKUP(C953,IMPORTRANGE(""https://docs.google.com/spreadsheets/d/1ihFlp3_ePlYtFuPbUNbYj1muErVpI73WHXbEwJDIA7Q/edit#gid=1493122344"",""MTR!C:O""),8,false)"),"Complies")</f>
        <v>Complies</v>
      </c>
      <c r="O953" s="241" t="str">
        <f>IFERROR(__xludf.DUMMYFUNCTION("VLOOKUP(C953,IMPORTRANGE(""https://docs.google.com/spreadsheets/d/1P8eX0NWBhUPS_hvzA11R6jkTNFrPrRYIx_dX_hYbxrk/edit?resourcekey=0-iw9bsKY2OqkUHCFMkCar3A&amp;gid=2055363397#gid=2055363397"",""MTR!C:O""),9,false)"),"")</f>
        <v/>
      </c>
      <c r="P953" s="241"/>
      <c r="Q953" s="251" t="s">
        <v>445</v>
      </c>
      <c r="R953" s="241"/>
      <c r="S953" s="154" t="s">
        <v>66</v>
      </c>
      <c r="T953" s="154" t="s">
        <v>64</v>
      </c>
      <c r="U953" s="154" t="s">
        <v>64</v>
      </c>
      <c r="V953" s="154" t="s">
        <v>64</v>
      </c>
      <c r="W953" s="154" t="s">
        <v>64</v>
      </c>
      <c r="X953" s="154" t="s">
        <v>64</v>
      </c>
      <c r="Y953" s="154" t="s">
        <v>64</v>
      </c>
      <c r="Z953" s="154" t="s">
        <v>64</v>
      </c>
      <c r="AA953" s="154" t="s">
        <v>64</v>
      </c>
      <c r="AB953" s="154"/>
      <c r="AC953" s="242" t="b">
        <f t="shared" si="2"/>
        <v>1</v>
      </c>
      <c r="AD953" s="154" t="s">
        <v>391</v>
      </c>
      <c r="AE953" s="243" t="b">
        <f t="shared" si="3"/>
        <v>0</v>
      </c>
      <c r="AF953" s="154"/>
      <c r="AG953" s="243" t="b">
        <f t="shared" si="4"/>
        <v>0</v>
      </c>
      <c r="AH953" s="154"/>
      <c r="AI953" s="243" t="str">
        <f t="shared" si="5"/>
        <v>N/A</v>
      </c>
      <c r="AJ953" s="157" t="str">
        <f t="shared" si="6"/>
        <v/>
      </c>
    </row>
    <row r="954" ht="12.75" customHeight="1">
      <c r="A954" s="238" t="s">
        <v>2412</v>
      </c>
      <c r="B954" s="238" t="s">
        <v>2633</v>
      </c>
      <c r="C954" s="238" t="s">
        <v>2708</v>
      </c>
      <c r="D954" s="238"/>
      <c r="E954" s="238"/>
      <c r="F954" s="154" t="str">
        <f t="array" ref="F954">XLOOKUP(Cover!$D$12,$S$1:$AA$1,$S954:$AA954)</f>
        <v>Heading</v>
      </c>
      <c r="G954" s="239" t="s">
        <v>2709</v>
      </c>
      <c r="H954" s="240"/>
      <c r="I954" s="240" t="s">
        <v>420</v>
      </c>
      <c r="J954" s="240"/>
      <c r="K954" s="240"/>
      <c r="L954" s="154" t="str">
        <f t="shared" si="1"/>
        <v/>
      </c>
      <c r="M954" s="241" t="str">
        <f>IFERROR(__xludf.DUMMYFUNCTION("VLOOKUP(C954,IMPORTRANGE(""https://docs.google.com/spreadsheets/d/1P8eX0NWBhUPS_hvzA11R6jkTNFrPrRYIx_dX_hYbxrk/edit?resourcekey=0-iw9bsKY2OqkUHCFMkCar3A&amp;gid=2055363397#gid=2055363397"",""MTR!C:O""),11,false)"),"")</f>
        <v/>
      </c>
      <c r="N954" s="241" t="str">
        <f>IFERROR(__xludf.DUMMYFUNCTION("VLOOKUP(C954,IMPORTRANGE(""https://docs.google.com/spreadsheets/d/1ihFlp3_ePlYtFuPbUNbYj1muErVpI73WHXbEwJDIA7Q/edit#gid=1493122344"",""MTR!C:O""),8,false)"),"")</f>
        <v/>
      </c>
      <c r="O954" s="241" t="str">
        <f>IFERROR(__xludf.DUMMYFUNCTION("VLOOKUP(C954,IMPORTRANGE(""https://docs.google.com/spreadsheets/d/1P8eX0NWBhUPS_hvzA11R6jkTNFrPrRYIx_dX_hYbxrk/edit?resourcekey=0-iw9bsKY2OqkUHCFMkCar3A&amp;gid=2055363397#gid=2055363397"",""MTR!C:O""),9,false)"),"")</f>
        <v/>
      </c>
      <c r="P954" s="241"/>
      <c r="Q954" s="251"/>
      <c r="R954" s="241"/>
      <c r="S954" s="240" t="s">
        <v>390</v>
      </c>
      <c r="T954" s="240" t="s">
        <v>390</v>
      </c>
      <c r="U954" s="240" t="s">
        <v>390</v>
      </c>
      <c r="V954" s="240" t="s">
        <v>390</v>
      </c>
      <c r="W954" s="240" t="s">
        <v>390</v>
      </c>
      <c r="X954" s="240" t="s">
        <v>390</v>
      </c>
      <c r="Y954" s="240" t="s">
        <v>390</v>
      </c>
      <c r="Z954" s="240" t="s">
        <v>390</v>
      </c>
      <c r="AA954" s="240" t="s">
        <v>390</v>
      </c>
      <c r="AB954" s="240"/>
      <c r="AC954" s="242" t="b">
        <f t="shared" si="2"/>
        <v>0</v>
      </c>
      <c r="AD954" s="240" t="s">
        <v>391</v>
      </c>
      <c r="AE954" s="243" t="b">
        <f t="shared" si="3"/>
        <v>0</v>
      </c>
      <c r="AF954" s="240"/>
      <c r="AG954" s="243" t="b">
        <f t="shared" si="4"/>
        <v>0</v>
      </c>
      <c r="AH954" s="240"/>
      <c r="AI954" s="243" t="str">
        <f t="shared" si="5"/>
        <v>N/A</v>
      </c>
      <c r="AJ954" s="157" t="str">
        <f t="shared" si="6"/>
        <v/>
      </c>
    </row>
    <row r="955" ht="12.75" customHeight="1">
      <c r="A955" s="238" t="s">
        <v>2412</v>
      </c>
      <c r="B955" s="238" t="s">
        <v>2633</v>
      </c>
      <c r="C955" s="238" t="s">
        <v>2710</v>
      </c>
      <c r="D955" s="238"/>
      <c r="E955" s="238"/>
      <c r="F955" s="154" t="str">
        <f t="array" ref="F955">XLOOKUP(Cover!$D$12,$S$1:$AA$1,$S955:$AA955)</f>
        <v>Heading</v>
      </c>
      <c r="G955" s="239" t="s">
        <v>2711</v>
      </c>
      <c r="H955" s="240"/>
      <c r="I955" s="240" t="s">
        <v>420</v>
      </c>
      <c r="J955" s="240"/>
      <c r="K955" s="240"/>
      <c r="L955" s="154" t="str">
        <f t="shared" si="1"/>
        <v/>
      </c>
      <c r="M955" s="241" t="str">
        <f>IFERROR(__xludf.DUMMYFUNCTION("VLOOKUP(C955,IMPORTRANGE(""https://docs.google.com/spreadsheets/d/1P8eX0NWBhUPS_hvzA11R6jkTNFrPrRYIx_dX_hYbxrk/edit?resourcekey=0-iw9bsKY2OqkUHCFMkCar3A&amp;gid=2055363397#gid=2055363397"",""MTR!C:O""),11,false)"),"")</f>
        <v/>
      </c>
      <c r="N955" s="241" t="str">
        <f>IFERROR(__xludf.DUMMYFUNCTION("VLOOKUP(C955,IMPORTRANGE(""https://docs.google.com/spreadsheets/d/1ihFlp3_ePlYtFuPbUNbYj1muErVpI73WHXbEwJDIA7Q/edit#gid=1493122344"",""MTR!C:O""),8,false)"),"")</f>
        <v/>
      </c>
      <c r="O955" s="241" t="str">
        <f>IFERROR(__xludf.DUMMYFUNCTION("VLOOKUP(C955,IMPORTRANGE(""https://docs.google.com/spreadsheets/d/1P8eX0NWBhUPS_hvzA11R6jkTNFrPrRYIx_dX_hYbxrk/edit?resourcekey=0-iw9bsKY2OqkUHCFMkCar3A&amp;gid=2055363397#gid=2055363397"",""MTR!C:O""),9,false)"),"")</f>
        <v/>
      </c>
      <c r="P955" s="241"/>
      <c r="Q955" s="241"/>
      <c r="R955" s="241"/>
      <c r="S955" s="240" t="s">
        <v>390</v>
      </c>
      <c r="T955" s="240" t="s">
        <v>390</v>
      </c>
      <c r="U955" s="240" t="s">
        <v>390</v>
      </c>
      <c r="V955" s="240" t="s">
        <v>390</v>
      </c>
      <c r="W955" s="240" t="s">
        <v>390</v>
      </c>
      <c r="X955" s="240" t="s">
        <v>390</v>
      </c>
      <c r="Y955" s="240" t="s">
        <v>390</v>
      </c>
      <c r="Z955" s="240" t="s">
        <v>390</v>
      </c>
      <c r="AA955" s="240" t="s">
        <v>390</v>
      </c>
      <c r="AB955" s="240"/>
      <c r="AC955" s="242" t="b">
        <f t="shared" si="2"/>
        <v>0</v>
      </c>
      <c r="AD955" s="240" t="s">
        <v>391</v>
      </c>
      <c r="AE955" s="243" t="b">
        <f t="shared" si="3"/>
        <v>0</v>
      </c>
      <c r="AF955" s="240"/>
      <c r="AG955" s="243" t="b">
        <f t="shared" si="4"/>
        <v>0</v>
      </c>
      <c r="AH955" s="240"/>
      <c r="AI955" s="243" t="str">
        <f t="shared" si="5"/>
        <v>N/A</v>
      </c>
      <c r="AJ955" s="157" t="str">
        <f t="shared" si="6"/>
        <v/>
      </c>
    </row>
    <row r="956" ht="12.75" customHeight="1">
      <c r="A956" s="244" t="s">
        <v>2412</v>
      </c>
      <c r="B956" s="244" t="s">
        <v>2633</v>
      </c>
      <c r="C956" s="244" t="s">
        <v>2712</v>
      </c>
      <c r="D956" s="154" t="s">
        <v>1211</v>
      </c>
      <c r="E956" s="250"/>
      <c r="F956" s="154" t="str">
        <f t="array" ref="F956">XLOOKUP(Cover!$D$12,$S$1:$AA$1,$S956:$AA956)</f>
        <v>Mandatory</v>
      </c>
      <c r="G956" s="154" t="s">
        <v>2713</v>
      </c>
      <c r="H956" s="154" t="s">
        <v>2642</v>
      </c>
      <c r="I956" s="154" t="s">
        <v>420</v>
      </c>
      <c r="J956" s="247" t="s">
        <v>445</v>
      </c>
      <c r="K956" s="247" t="s">
        <v>2714</v>
      </c>
      <c r="L956" s="154" t="str">
        <f t="shared" si="1"/>
        <v/>
      </c>
      <c r="M956" s="248" t="str">
        <f>IFERROR(__xludf.DUMMYFUNCTION("VLOOKUP(C956,IMPORTRANGE(""https://docs.google.com/spreadsheets/d/1P8eX0NWBhUPS_hvzA11R6jkTNFrPrRYIx_dX_hYbxrk/edit?resourcekey=0-iw9bsKY2OqkUHCFMkCar3A&amp;gid=2055363397#gid=2055363397"",""MTR!C:O""),11,false)"),"TAM-SPEC")</f>
        <v>TAM-SPEC</v>
      </c>
      <c r="N956" s="248" t="str">
        <f>IFERROR(__xludf.DUMMYFUNCTION("VLOOKUP(C956,IMPORTRANGE(""https://docs.google.com/spreadsheets/d/1ihFlp3_ePlYtFuPbUNbYj1muErVpI73WHXbEwJDIA7Q/edit#gid=1493122344"",""MTR!C:O""),8,false)"),"Complies")</f>
        <v>Complies</v>
      </c>
      <c r="O956" s="248" t="str">
        <f>IFERROR(__xludf.DUMMYFUNCTION("VLOOKUP(C956,IMPORTRANGE(""https://docs.google.com/spreadsheets/d/1P8eX0NWBhUPS_hvzA11R6jkTNFrPrRYIx_dX_hYbxrk/edit?resourcekey=0-iw9bsKY2OqkUHCFMkCar3A&amp;gid=2055363397#gid=2055363397"",""MTR!C:O""),9,false)"),"Accel, Gyro, Magnetometer, Prox, ALS, Barometer and HAL")</f>
        <v>Accel, Gyro, Magnetometer, Prox, ALS, Barometer and HAL</v>
      </c>
      <c r="P956" s="248"/>
      <c r="Q956" s="249" t="s">
        <v>445</v>
      </c>
      <c r="R956" s="249" t="s">
        <v>2714</v>
      </c>
      <c r="S956" s="154" t="s">
        <v>60</v>
      </c>
      <c r="T956" s="154" t="s">
        <v>60</v>
      </c>
      <c r="U956" s="154" t="s">
        <v>60</v>
      </c>
      <c r="V956" s="154" t="s">
        <v>60</v>
      </c>
      <c r="W956" s="154" t="s">
        <v>60</v>
      </c>
      <c r="X956" s="154" t="s">
        <v>60</v>
      </c>
      <c r="Y956" s="154" t="s">
        <v>60</v>
      </c>
      <c r="Z956" s="154" t="s">
        <v>60</v>
      </c>
      <c r="AA956" s="154" t="s">
        <v>60</v>
      </c>
      <c r="AB956" s="154"/>
      <c r="AC956" s="242" t="b">
        <f t="shared" si="2"/>
        <v>1</v>
      </c>
      <c r="AD956" s="154" t="s">
        <v>68</v>
      </c>
      <c r="AE956" s="243" t="b">
        <f t="shared" si="3"/>
        <v>0</v>
      </c>
      <c r="AF956" s="154"/>
      <c r="AG956" s="243" t="b">
        <f t="shared" si="4"/>
        <v>0</v>
      </c>
      <c r="AH956" s="154"/>
      <c r="AI956" s="243" t="str">
        <f t="shared" si="5"/>
        <v>N/A</v>
      </c>
      <c r="AJ956" s="157" t="str">
        <f t="shared" si="6"/>
        <v/>
      </c>
    </row>
    <row r="957" ht="12.75" customHeight="1">
      <c r="A957" s="238" t="s">
        <v>2412</v>
      </c>
      <c r="B957" s="238" t="s">
        <v>2633</v>
      </c>
      <c r="C957" s="238" t="s">
        <v>2715</v>
      </c>
      <c r="D957" s="238"/>
      <c r="E957" s="238"/>
      <c r="F957" s="154" t="str">
        <f t="array" ref="F957">XLOOKUP(Cover!$D$12,$S$1:$AA$1,$S957:$AA957)</f>
        <v>Heading</v>
      </c>
      <c r="G957" s="239" t="s">
        <v>2716</v>
      </c>
      <c r="H957" s="240"/>
      <c r="I957" s="240" t="s">
        <v>420</v>
      </c>
      <c r="J957" s="240"/>
      <c r="K957" s="240"/>
      <c r="L957" s="154" t="str">
        <f t="shared" si="1"/>
        <v/>
      </c>
      <c r="M957" s="241" t="str">
        <f>IFERROR(__xludf.DUMMYFUNCTION("VLOOKUP(C957,IMPORTRANGE(""https://docs.google.com/spreadsheets/d/1P8eX0NWBhUPS_hvzA11R6jkTNFrPrRYIx_dX_hYbxrk/edit?resourcekey=0-iw9bsKY2OqkUHCFMkCar3A&amp;gid=2055363397#gid=2055363397"",""MTR!C:O""),11,false)"),"")</f>
        <v/>
      </c>
      <c r="N957" s="241" t="str">
        <f>IFERROR(__xludf.DUMMYFUNCTION("VLOOKUP(C957,IMPORTRANGE(""https://docs.google.com/spreadsheets/d/1ihFlp3_ePlYtFuPbUNbYj1muErVpI73WHXbEwJDIA7Q/edit#gid=1493122344"",""MTR!C:O""),8,false)"),"")</f>
        <v/>
      </c>
      <c r="O957" s="241" t="str">
        <f>IFERROR(__xludf.DUMMYFUNCTION("VLOOKUP(C957,IMPORTRANGE(""https://docs.google.com/spreadsheets/d/1P8eX0NWBhUPS_hvzA11R6jkTNFrPrRYIx_dX_hYbxrk/edit?resourcekey=0-iw9bsKY2OqkUHCFMkCar3A&amp;gid=2055363397#gid=2055363397"",""MTR!C:O""),9,false)"),"")</f>
        <v/>
      </c>
      <c r="P957" s="241"/>
      <c r="Q957" s="251"/>
      <c r="R957" s="251"/>
      <c r="S957" s="240" t="s">
        <v>390</v>
      </c>
      <c r="T957" s="240" t="s">
        <v>390</v>
      </c>
      <c r="U957" s="240" t="s">
        <v>390</v>
      </c>
      <c r="V957" s="240" t="s">
        <v>390</v>
      </c>
      <c r="W957" s="240" t="s">
        <v>390</v>
      </c>
      <c r="X957" s="240" t="s">
        <v>390</v>
      </c>
      <c r="Y957" s="240" t="s">
        <v>390</v>
      </c>
      <c r="Z957" s="240" t="s">
        <v>390</v>
      </c>
      <c r="AA957" s="240" t="s">
        <v>390</v>
      </c>
      <c r="AB957" s="240"/>
      <c r="AC957" s="242" t="b">
        <f t="shared" si="2"/>
        <v>0</v>
      </c>
      <c r="AD957" s="240" t="s">
        <v>391</v>
      </c>
      <c r="AE957" s="243" t="b">
        <f t="shared" si="3"/>
        <v>0</v>
      </c>
      <c r="AF957" s="240"/>
      <c r="AG957" s="243" t="b">
        <f t="shared" si="4"/>
        <v>0</v>
      </c>
      <c r="AH957" s="240"/>
      <c r="AI957" s="243" t="str">
        <f t="shared" si="5"/>
        <v>N/A</v>
      </c>
      <c r="AJ957" s="157" t="str">
        <f t="shared" si="6"/>
        <v/>
      </c>
    </row>
    <row r="958" ht="12.75" customHeight="1">
      <c r="A958" s="244" t="s">
        <v>2412</v>
      </c>
      <c r="B958" s="244" t="s">
        <v>2633</v>
      </c>
      <c r="C958" s="244" t="s">
        <v>2717</v>
      </c>
      <c r="D958" s="154" t="s">
        <v>396</v>
      </c>
      <c r="E958" s="250"/>
      <c r="F958" s="154" t="str">
        <f t="array" ref="F958">XLOOKUP(Cover!$D$12,$S$1:$AA$1,$S958:$AA958)</f>
        <v>Mandatory</v>
      </c>
      <c r="G958" s="154" t="s">
        <v>2718</v>
      </c>
      <c r="H958" s="154" t="s">
        <v>2719</v>
      </c>
      <c r="I958" s="154" t="s">
        <v>420</v>
      </c>
      <c r="J958" s="247" t="s">
        <v>445</v>
      </c>
      <c r="K958" s="154"/>
      <c r="L958" s="154" t="str">
        <f t="shared" si="1"/>
        <v/>
      </c>
      <c r="M958" s="248" t="str">
        <f>IFERROR(__xludf.DUMMYFUNCTION("VLOOKUP(C958,IMPORTRANGE(""https://docs.google.com/spreadsheets/d/1P8eX0NWBhUPS_hvzA11R6jkTNFrPrRYIx_dX_hYbxrk/edit?resourcekey=0-iw9bsKY2OqkUHCFMkCar3A&amp;gid=2055363397#gid=2055363397"",""MTR!C:O""),11,false)"),"TAM-SPEC")</f>
        <v>TAM-SPEC</v>
      </c>
      <c r="N958" s="248" t="str">
        <f>IFERROR(__xludf.DUMMYFUNCTION("VLOOKUP(C958,IMPORTRANGE(""https://docs.google.com/spreadsheets/d/1ihFlp3_ePlYtFuPbUNbYj1muErVpI73WHXbEwJDIA7Q/edit#gid=1493122344"",""MTR!C:O""),8,false)"),"Complies")</f>
        <v>Complies</v>
      </c>
      <c r="O958" s="241" t="str">
        <f>IFERROR(__xludf.DUMMYFUNCTION("VLOOKUP(C958,IMPORTRANGE(""https://docs.google.com/spreadsheets/d/1P8eX0NWBhUPS_hvzA11R6jkTNFrPrRYIx_dX_hYbxrk/edit?resourcekey=0-iw9bsKY2OqkUHCFMkCar3A&amp;gid=2055363397#gid=2055363397"",""MTR!C:O""),9,false)"),"")</f>
        <v/>
      </c>
      <c r="P958" s="241"/>
      <c r="Q958" s="251" t="s">
        <v>445</v>
      </c>
      <c r="R958" s="241"/>
      <c r="S958" s="154" t="s">
        <v>64</v>
      </c>
      <c r="T958" s="154" t="s">
        <v>60</v>
      </c>
      <c r="U958" s="154" t="s">
        <v>60</v>
      </c>
      <c r="V958" s="154" t="s">
        <v>60</v>
      </c>
      <c r="W958" s="154" t="s">
        <v>60</v>
      </c>
      <c r="X958" s="154" t="s">
        <v>60</v>
      </c>
      <c r="Y958" s="154" t="s">
        <v>60</v>
      </c>
      <c r="Z958" s="154" t="s">
        <v>60</v>
      </c>
      <c r="AA958" s="154" t="s">
        <v>60</v>
      </c>
      <c r="AB958" s="154"/>
      <c r="AC958" s="242" t="b">
        <f t="shared" si="2"/>
        <v>1</v>
      </c>
      <c r="AD958" s="154" t="s">
        <v>391</v>
      </c>
      <c r="AE958" s="243" t="b">
        <f t="shared" si="3"/>
        <v>0</v>
      </c>
      <c r="AF958" s="154"/>
      <c r="AG958" s="243" t="b">
        <f t="shared" si="4"/>
        <v>0</v>
      </c>
      <c r="AH958" s="154"/>
      <c r="AI958" s="243" t="str">
        <f t="shared" si="5"/>
        <v>N/A</v>
      </c>
      <c r="AJ958" s="157" t="str">
        <f t="shared" si="6"/>
        <v/>
      </c>
    </row>
    <row r="959" ht="12.75" customHeight="1">
      <c r="A959" s="244" t="s">
        <v>2412</v>
      </c>
      <c r="B959" s="244" t="s">
        <v>2633</v>
      </c>
      <c r="C959" s="244" t="s">
        <v>2720</v>
      </c>
      <c r="D959" s="154" t="s">
        <v>477</v>
      </c>
      <c r="E959" s="250"/>
      <c r="F959" s="154" t="str">
        <f t="array" ref="F959">XLOOKUP(Cover!$D$12,$S$1:$AA$1,$S959:$AA959)</f>
        <v>Comments Vendor</v>
      </c>
      <c r="G959" s="154" t="s">
        <v>2721</v>
      </c>
      <c r="H959" s="154" t="s">
        <v>2719</v>
      </c>
      <c r="I959" s="154" t="s">
        <v>420</v>
      </c>
      <c r="J959" s="154"/>
      <c r="K959" s="247" t="s">
        <v>2722</v>
      </c>
      <c r="L959" s="154" t="str">
        <f t="shared" si="1"/>
        <v/>
      </c>
      <c r="M959" s="248" t="str">
        <f>IFERROR(__xludf.DUMMYFUNCTION("VLOOKUP(C959,IMPORTRANGE(""https://docs.google.com/spreadsheets/d/1P8eX0NWBhUPS_hvzA11R6jkTNFrPrRYIx_dX_hYbxrk/edit?resourcekey=0-iw9bsKY2OqkUHCFMkCar3A&amp;gid=2055363397#gid=2055363397"",""MTR!C:O""),11,false)"),"TAM-SPEC")</f>
        <v>TAM-SPEC</v>
      </c>
      <c r="N959" s="241" t="str">
        <f>IFERROR(__xludf.DUMMYFUNCTION("VLOOKUP(C959,IMPORTRANGE(""https://docs.google.com/spreadsheets/d/1ihFlp3_ePlYtFuPbUNbYj1muErVpI73WHXbEwJDIA7Q/edit#gid=1493122344"",""MTR!C:O""),8,false)"),"")</f>
        <v/>
      </c>
      <c r="O959" s="248" t="str">
        <f>IFERROR(__xludf.DUMMYFUNCTION("VLOOKUP(C959,IMPORTRANGE(""https://docs.google.com/spreadsheets/d/1P8eX0NWBhUPS_hvzA11R6jkTNFrPrRYIx_dX_hYbxrk/edit?resourcekey=0-iw9bsKY2OqkUHCFMkCar3A&amp;gid=2055363397#gid=2055363397"",""MTR!C:O""),9,false)"),"Integrated ")</f>
        <v>Integrated </v>
      </c>
      <c r="P959" s="248"/>
      <c r="Q959" s="249"/>
      <c r="R959" s="249" t="s">
        <v>2722</v>
      </c>
      <c r="S959" s="154" t="s">
        <v>62</v>
      </c>
      <c r="T959" s="154" t="s">
        <v>62</v>
      </c>
      <c r="U959" s="154" t="s">
        <v>62</v>
      </c>
      <c r="V959" s="154" t="s">
        <v>62</v>
      </c>
      <c r="W959" s="154" t="s">
        <v>62</v>
      </c>
      <c r="X959" s="154" t="s">
        <v>62</v>
      </c>
      <c r="Y959" s="154" t="s">
        <v>62</v>
      </c>
      <c r="Z959" s="154" t="s">
        <v>62</v>
      </c>
      <c r="AA959" s="154" t="s">
        <v>62</v>
      </c>
      <c r="AB959" s="154"/>
      <c r="AC959" s="242" t="b">
        <f t="shared" si="2"/>
        <v>1</v>
      </c>
      <c r="AD959" s="154" t="s">
        <v>68</v>
      </c>
      <c r="AE959" s="243" t="b">
        <f t="shared" si="3"/>
        <v>1</v>
      </c>
      <c r="AF959" s="154"/>
      <c r="AG959" s="243" t="b">
        <f t="shared" si="4"/>
        <v>0</v>
      </c>
      <c r="AH959" s="154"/>
      <c r="AI959" s="243" t="str">
        <f t="shared" si="5"/>
        <v>N/A</v>
      </c>
      <c r="AJ959" s="157" t="str">
        <f t="shared" si="6"/>
        <v/>
      </c>
    </row>
    <row r="960" ht="12.75" customHeight="1">
      <c r="A960" s="244" t="s">
        <v>2412</v>
      </c>
      <c r="B960" s="244" t="s">
        <v>2633</v>
      </c>
      <c r="C960" s="244" t="s">
        <v>2723</v>
      </c>
      <c r="D960" s="154" t="s">
        <v>411</v>
      </c>
      <c r="E960" s="250"/>
      <c r="F960" s="154" t="str">
        <f t="array" ref="F960">XLOOKUP(Cover!$D$12,$S$1:$AA$1,$S960:$AA960)</f>
        <v>Comments Vendor</v>
      </c>
      <c r="G960" s="154" t="s">
        <v>2724</v>
      </c>
      <c r="H960" s="154" t="s">
        <v>2719</v>
      </c>
      <c r="I960" s="154" t="s">
        <v>420</v>
      </c>
      <c r="J960" s="154"/>
      <c r="K960" s="247" t="s">
        <v>2725</v>
      </c>
      <c r="L960" s="154" t="str">
        <f t="shared" si="1"/>
        <v/>
      </c>
      <c r="M960" s="248" t="str">
        <f>IFERROR(__xludf.DUMMYFUNCTION("VLOOKUP(C960,IMPORTRANGE(""https://docs.google.com/spreadsheets/d/1P8eX0NWBhUPS_hvzA11R6jkTNFrPrRYIx_dX_hYbxrk/edit?resourcekey=0-iw9bsKY2OqkUHCFMkCar3A&amp;gid=2055363397#gid=2055363397"",""MTR!C:O""),11,false)"),"TAM-SPEC")</f>
        <v>TAM-SPEC</v>
      </c>
      <c r="N960" s="241" t="str">
        <f>IFERROR(__xludf.DUMMYFUNCTION("VLOOKUP(C960,IMPORTRANGE(""https://docs.google.com/spreadsheets/d/1ihFlp3_ePlYtFuPbUNbYj1muErVpI73WHXbEwJDIA7Q/edit#gid=1493122344"",""MTR!C:O""),8,false)"),"")</f>
        <v/>
      </c>
      <c r="O960" s="248" t="str">
        <f>IFERROR(__xludf.DUMMYFUNCTION("VLOOKUP(C960,IMPORTRANGE(""https://docs.google.com/spreadsheets/d/1P8eX0NWBhUPS_hvzA11R6jkTNFrPrRYIx_dX_hYbxrk/edit?resourcekey=0-iw9bsKY2OqkUHCFMkCar3A&amp;gid=2055363397#gid=2055363397"",""MTR!C:O""),9,false)"),"Only L1 support")</f>
        <v>Only L1 support</v>
      </c>
      <c r="P960" s="248"/>
      <c r="Q960" s="248"/>
      <c r="R960" s="249" t="s">
        <v>2725</v>
      </c>
      <c r="S960" s="154" t="s">
        <v>62</v>
      </c>
      <c r="T960" s="154" t="s">
        <v>62</v>
      </c>
      <c r="U960" s="154" t="s">
        <v>62</v>
      </c>
      <c r="V960" s="154" t="s">
        <v>62</v>
      </c>
      <c r="W960" s="154" t="s">
        <v>62</v>
      </c>
      <c r="X960" s="154" t="s">
        <v>62</v>
      </c>
      <c r="Y960" s="154" t="s">
        <v>62</v>
      </c>
      <c r="Z960" s="154" t="s">
        <v>62</v>
      </c>
      <c r="AA960" s="154" t="s">
        <v>62</v>
      </c>
      <c r="AB960" s="154"/>
      <c r="AC960" s="242" t="b">
        <f t="shared" si="2"/>
        <v>1</v>
      </c>
      <c r="AD960" s="154" t="s">
        <v>68</v>
      </c>
      <c r="AE960" s="243" t="b">
        <f t="shared" si="3"/>
        <v>1</v>
      </c>
      <c r="AF960" s="154"/>
      <c r="AG960" s="243" t="b">
        <f t="shared" si="4"/>
        <v>0</v>
      </c>
      <c r="AH960" s="154"/>
      <c r="AI960" s="243" t="str">
        <f t="shared" si="5"/>
        <v>N/A</v>
      </c>
      <c r="AJ960" s="157" t="str">
        <f t="shared" si="6"/>
        <v/>
      </c>
    </row>
    <row r="961" ht="12.75" customHeight="1">
      <c r="A961" s="244" t="s">
        <v>2412</v>
      </c>
      <c r="B961" s="244" t="s">
        <v>2633</v>
      </c>
      <c r="C961" s="244" t="s">
        <v>2726</v>
      </c>
      <c r="D961" s="154" t="s">
        <v>1211</v>
      </c>
      <c r="E961" s="250"/>
      <c r="F961" s="154" t="str">
        <f t="array" ref="F961">XLOOKUP(Cover!$D$12,$S$1:$AA$1,$S961:$AA961)</f>
        <v>Mandatory</v>
      </c>
      <c r="G961" s="154" t="s">
        <v>2727</v>
      </c>
      <c r="H961" s="154" t="s">
        <v>2719</v>
      </c>
      <c r="I961" s="154" t="s">
        <v>420</v>
      </c>
      <c r="J961" s="247" t="s">
        <v>445</v>
      </c>
      <c r="K961" s="247" t="s">
        <v>2728</v>
      </c>
      <c r="L961" s="154" t="str">
        <f t="shared" si="1"/>
        <v/>
      </c>
      <c r="M961" s="248" t="str">
        <f>IFERROR(__xludf.DUMMYFUNCTION("VLOOKUP(C961,IMPORTRANGE(""https://docs.google.com/spreadsheets/d/1P8eX0NWBhUPS_hvzA11R6jkTNFrPrRYIx_dX_hYbxrk/edit?resourcekey=0-iw9bsKY2OqkUHCFMkCar3A&amp;gid=2055363397#gid=2055363397"",""MTR!C:O""),11,false)"),"TAM-SPEC")</f>
        <v>TAM-SPEC</v>
      </c>
      <c r="N961" s="248" t="str">
        <f>IFERROR(__xludf.DUMMYFUNCTION("VLOOKUP(C961,IMPORTRANGE(""https://docs.google.com/spreadsheets/d/1ihFlp3_ePlYtFuPbUNbYj1muErVpI73WHXbEwJDIA7Q/edit#gid=1493122344"",""MTR!C:O""),8,false)"),"Complies")</f>
        <v>Complies</v>
      </c>
      <c r="O961" s="248" t="str">
        <f>IFERROR(__xludf.DUMMYFUNCTION("VLOOKUP(C961,IMPORTRANGE(""https://docs.google.com/spreadsheets/d/1P8eX0NWBhUPS_hvzA11R6jkTNFrPrRYIx_dX_hYbxrk/edit?resourcekey=0-iw9bsKY2OqkUHCFMkCar3A&amp;gid=2055363397#gid=2055363397"",""MTR!C:O""),9,false)"),"GPS, GLONASS, Gaileo, BeiDou")</f>
        <v>GPS, GLONASS, Gaileo, BeiDou</v>
      </c>
      <c r="P961" s="248"/>
      <c r="Q961" s="249" t="s">
        <v>445</v>
      </c>
      <c r="R961" s="249" t="s">
        <v>2728</v>
      </c>
      <c r="S961" s="154" t="s">
        <v>64</v>
      </c>
      <c r="T961" s="154" t="s">
        <v>60</v>
      </c>
      <c r="U961" s="154" t="s">
        <v>60</v>
      </c>
      <c r="V961" s="154" t="s">
        <v>60</v>
      </c>
      <c r="W961" s="154" t="s">
        <v>60</v>
      </c>
      <c r="X961" s="154" t="s">
        <v>60</v>
      </c>
      <c r="Y961" s="154" t="s">
        <v>60</v>
      </c>
      <c r="Z961" s="154" t="s">
        <v>60</v>
      </c>
      <c r="AA961" s="154" t="s">
        <v>60</v>
      </c>
      <c r="AB961" s="154"/>
      <c r="AC961" s="242" t="b">
        <f t="shared" si="2"/>
        <v>1</v>
      </c>
      <c r="AD961" s="154" t="s">
        <v>445</v>
      </c>
      <c r="AE961" s="243" t="b">
        <f t="shared" si="3"/>
        <v>0</v>
      </c>
      <c r="AF961" s="154"/>
      <c r="AG961" s="243" t="b">
        <f t="shared" si="4"/>
        <v>0</v>
      </c>
      <c r="AH961" s="154"/>
      <c r="AI961" s="243" t="str">
        <f t="shared" si="5"/>
        <v>N/A</v>
      </c>
      <c r="AJ961" s="157" t="str">
        <f t="shared" si="6"/>
        <v/>
      </c>
    </row>
    <row r="962" ht="12.75" customHeight="1">
      <c r="A962" s="244" t="s">
        <v>2412</v>
      </c>
      <c r="B962" s="244" t="s">
        <v>2633</v>
      </c>
      <c r="C962" s="244" t="s">
        <v>2729</v>
      </c>
      <c r="D962" s="154" t="s">
        <v>45</v>
      </c>
      <c r="E962" s="250"/>
      <c r="F962" s="154" t="str">
        <f t="array" ref="F962">XLOOKUP(Cover!$D$12,$S$1:$AA$1,$S962:$AA962)</f>
        <v>Mandatory</v>
      </c>
      <c r="G962" s="154" t="s">
        <v>2730</v>
      </c>
      <c r="H962" s="154"/>
      <c r="I962" s="154" t="s">
        <v>420</v>
      </c>
      <c r="J962" s="247" t="s">
        <v>516</v>
      </c>
      <c r="K962" s="154"/>
      <c r="L962" s="154" t="str">
        <f t="shared" si="1"/>
        <v/>
      </c>
      <c r="M962" s="253" t="str">
        <f>IFERROR(__xludf.DUMMYFUNCTION("VLOOKUP(C962,IMPORTRANGE(""https://docs.google.com/spreadsheets/d/1P8eX0NWBhUPS_hvzA11R6jkTNFrPrRYIx_dX_hYbxrk/edit?resourcekey=0-iw9bsKY2OqkUHCFMkCar3A&amp;gid=2055363397#gid=2055363397"",""MTR!C:O""),11,false)"),"#N/A")</f>
        <v>#N/A</v>
      </c>
      <c r="N962" s="253" t="str">
        <f>IFERROR(__xludf.DUMMYFUNCTION("VLOOKUP(C962,IMPORTRANGE(""https://docs.google.com/spreadsheets/d/1ihFlp3_ePlYtFuPbUNbYj1muErVpI73WHXbEwJDIA7Q/edit#gid=1493122344"",""MTR!C:O""),8,false)"),"#N/A")</f>
        <v>#N/A</v>
      </c>
      <c r="O962" s="248" t="str">
        <f>IFERROR(__xludf.DUMMYFUNCTION("VLOOKUP(C962,IMPORTRANGE(""https://docs.google.com/spreadsheets/d/1P8eX0NWBhUPS_hvzA11R6jkTNFrPrRYIx_dX_hYbxrk/edit?resourcekey=0-iw9bsKY2OqkUHCFMkCar3A&amp;gid=2055363397#gid=2055363397"",""MTR!C:O""),9,false)"),"Not supported")</f>
        <v>Not supported</v>
      </c>
      <c r="P962" s="248"/>
      <c r="Q962" s="249"/>
      <c r="R962" s="249"/>
      <c r="S962" s="154" t="s">
        <v>68</v>
      </c>
      <c r="T962" s="154" t="s">
        <v>66</v>
      </c>
      <c r="U962" s="154" t="s">
        <v>60</v>
      </c>
      <c r="V962" s="154" t="s">
        <v>60</v>
      </c>
      <c r="W962" s="154" t="s">
        <v>60</v>
      </c>
      <c r="X962" s="154" t="s">
        <v>60</v>
      </c>
      <c r="Y962" s="154" t="s">
        <v>66</v>
      </c>
      <c r="Z962" s="154" t="s">
        <v>66</v>
      </c>
      <c r="AA962" s="154" t="s">
        <v>66</v>
      </c>
      <c r="AB962" s="154"/>
      <c r="AC962" s="242" t="b">
        <f t="shared" si="2"/>
        <v>1</v>
      </c>
      <c r="AD962" s="154" t="s">
        <v>391</v>
      </c>
      <c r="AE962" s="243" t="b">
        <f t="shared" si="3"/>
        <v>0</v>
      </c>
      <c r="AF962" s="154"/>
      <c r="AG962" s="243" t="b">
        <f t="shared" si="4"/>
        <v>0</v>
      </c>
      <c r="AH962" s="154"/>
      <c r="AI962" s="243" t="str">
        <f t="shared" si="5"/>
        <v>N/A</v>
      </c>
      <c r="AJ962" s="157" t="str">
        <f t="shared" si="6"/>
        <v/>
      </c>
    </row>
    <row r="963" ht="12.75" customHeight="1">
      <c r="A963" s="244" t="s">
        <v>2412</v>
      </c>
      <c r="B963" s="244" t="s">
        <v>2633</v>
      </c>
      <c r="C963" s="244" t="s">
        <v>2731</v>
      </c>
      <c r="D963" s="154" t="s">
        <v>45</v>
      </c>
      <c r="E963" s="250"/>
      <c r="F963" s="154" t="str">
        <f t="array" ref="F963">XLOOKUP(Cover!$D$12,$S$1:$AA$1,$S963:$AA963)</f>
        <v>Mandatory</v>
      </c>
      <c r="G963" s="154" t="s">
        <v>2732</v>
      </c>
      <c r="H963" s="154"/>
      <c r="I963" s="154" t="s">
        <v>420</v>
      </c>
      <c r="J963" s="247" t="s">
        <v>516</v>
      </c>
      <c r="K963" s="154"/>
      <c r="L963" s="154" t="str">
        <f t="shared" si="1"/>
        <v/>
      </c>
      <c r="M963" s="253" t="str">
        <f>IFERROR(__xludf.DUMMYFUNCTION("VLOOKUP(C963,IMPORTRANGE(""https://docs.google.com/spreadsheets/d/1P8eX0NWBhUPS_hvzA11R6jkTNFrPrRYIx_dX_hYbxrk/edit?resourcekey=0-iw9bsKY2OqkUHCFMkCar3A&amp;gid=2055363397#gid=2055363397"",""MTR!C:O""),11,false)"),"#N/A")</f>
        <v>#N/A</v>
      </c>
      <c r="N963" s="253" t="str">
        <f>IFERROR(__xludf.DUMMYFUNCTION("VLOOKUP(C963,IMPORTRANGE(""https://docs.google.com/spreadsheets/d/1ihFlp3_ePlYtFuPbUNbYj1muErVpI73WHXbEwJDIA7Q/edit#gid=1493122344"",""MTR!C:O""),8,false)"),"#N/A")</f>
        <v>#N/A</v>
      </c>
      <c r="O963" s="248" t="str">
        <f>IFERROR(__xludf.DUMMYFUNCTION("VLOOKUP(C963,IMPORTRANGE(""https://docs.google.com/spreadsheets/d/1P8eX0NWBhUPS_hvzA11R6jkTNFrPrRYIx_dX_hYbxrk/edit?resourcekey=0-iw9bsKY2OqkUHCFMkCar3A&amp;gid=2055363397#gid=2055363397"",""MTR!C:O""),9,false)"),"Not supported")</f>
        <v>Not supported</v>
      </c>
      <c r="P963" s="248"/>
      <c r="Q963" s="248"/>
      <c r="R963" s="248"/>
      <c r="S963" s="154" t="s">
        <v>68</v>
      </c>
      <c r="T963" s="154" t="s">
        <v>66</v>
      </c>
      <c r="U963" s="154" t="s">
        <v>60</v>
      </c>
      <c r="V963" s="154" t="s">
        <v>60</v>
      </c>
      <c r="W963" s="154" t="s">
        <v>60</v>
      </c>
      <c r="X963" s="154" t="s">
        <v>60</v>
      </c>
      <c r="Y963" s="154" t="s">
        <v>66</v>
      </c>
      <c r="Z963" s="154" t="s">
        <v>66</v>
      </c>
      <c r="AA963" s="154" t="s">
        <v>66</v>
      </c>
      <c r="AB963" s="154"/>
      <c r="AC963" s="242" t="b">
        <f t="shared" si="2"/>
        <v>1</v>
      </c>
      <c r="AD963" s="154" t="s">
        <v>391</v>
      </c>
      <c r="AE963" s="243" t="b">
        <f t="shared" si="3"/>
        <v>0</v>
      </c>
      <c r="AF963" s="154"/>
      <c r="AG963" s="243" t="b">
        <f t="shared" si="4"/>
        <v>0</v>
      </c>
      <c r="AH963" s="154"/>
      <c r="AI963" s="243" t="str">
        <f t="shared" si="5"/>
        <v>N/A</v>
      </c>
      <c r="AJ963" s="157" t="str">
        <f t="shared" si="6"/>
        <v/>
      </c>
    </row>
    <row r="964" ht="12.75" customHeight="1">
      <c r="A964" s="238" t="s">
        <v>2412</v>
      </c>
      <c r="B964" s="238" t="s">
        <v>2633</v>
      </c>
      <c r="C964" s="238" t="s">
        <v>2733</v>
      </c>
      <c r="D964" s="238"/>
      <c r="E964" s="238"/>
      <c r="F964" s="154" t="str">
        <f t="array" ref="F964">XLOOKUP(Cover!$D$12,$S$1:$AA$1,$S964:$AA964)</f>
        <v>Heading</v>
      </c>
      <c r="G964" s="239" t="s">
        <v>2734</v>
      </c>
      <c r="H964" s="240"/>
      <c r="I964" s="240" t="s">
        <v>420</v>
      </c>
      <c r="J964" s="240"/>
      <c r="K964" s="240"/>
      <c r="L964" s="154" t="str">
        <f t="shared" si="1"/>
        <v/>
      </c>
      <c r="M964" s="241" t="str">
        <f>IFERROR(__xludf.DUMMYFUNCTION("VLOOKUP(C964,IMPORTRANGE(""https://docs.google.com/spreadsheets/d/1P8eX0NWBhUPS_hvzA11R6jkTNFrPrRYIx_dX_hYbxrk/edit?resourcekey=0-iw9bsKY2OqkUHCFMkCar3A&amp;gid=2055363397#gid=2055363397"",""MTR!C:O""),11,false)"),"")</f>
        <v/>
      </c>
      <c r="N964" s="241" t="str">
        <f>IFERROR(__xludf.DUMMYFUNCTION("VLOOKUP(C964,IMPORTRANGE(""https://docs.google.com/spreadsheets/d/1ihFlp3_ePlYtFuPbUNbYj1muErVpI73WHXbEwJDIA7Q/edit#gid=1493122344"",""MTR!C:O""),8,false)"),"")</f>
        <v/>
      </c>
      <c r="O964" s="241" t="str">
        <f>IFERROR(__xludf.DUMMYFUNCTION("VLOOKUP(C964,IMPORTRANGE(""https://docs.google.com/spreadsheets/d/1P8eX0NWBhUPS_hvzA11R6jkTNFrPrRYIx_dX_hYbxrk/edit?resourcekey=0-iw9bsKY2OqkUHCFMkCar3A&amp;gid=2055363397#gid=2055363397"",""MTR!C:O""),9,false)"),"")</f>
        <v/>
      </c>
      <c r="P964" s="241"/>
      <c r="Q964" s="241"/>
      <c r="R964" s="241"/>
      <c r="S964" s="240" t="s">
        <v>390</v>
      </c>
      <c r="T964" s="240" t="s">
        <v>390</v>
      </c>
      <c r="U964" s="240" t="s">
        <v>390</v>
      </c>
      <c r="V964" s="240" t="s">
        <v>390</v>
      </c>
      <c r="W964" s="240" t="s">
        <v>390</v>
      </c>
      <c r="X964" s="240" t="s">
        <v>390</v>
      </c>
      <c r="Y964" s="240" t="s">
        <v>390</v>
      </c>
      <c r="Z964" s="240" t="s">
        <v>390</v>
      </c>
      <c r="AA964" s="240" t="s">
        <v>390</v>
      </c>
      <c r="AB964" s="240"/>
      <c r="AC964" s="242" t="b">
        <f t="shared" si="2"/>
        <v>0</v>
      </c>
      <c r="AD964" s="240" t="s">
        <v>391</v>
      </c>
      <c r="AE964" s="243" t="b">
        <f t="shared" si="3"/>
        <v>0</v>
      </c>
      <c r="AF964" s="240"/>
      <c r="AG964" s="243" t="b">
        <f t="shared" si="4"/>
        <v>0</v>
      </c>
      <c r="AH964" s="240"/>
      <c r="AI964" s="243" t="str">
        <f t="shared" si="5"/>
        <v>N/A</v>
      </c>
      <c r="AJ964" s="157" t="str">
        <f t="shared" si="6"/>
        <v/>
      </c>
    </row>
    <row r="965" ht="12.75" customHeight="1">
      <c r="A965" s="238" t="s">
        <v>2412</v>
      </c>
      <c r="B965" s="238" t="s">
        <v>2633</v>
      </c>
      <c r="C965" s="238" t="s">
        <v>2735</v>
      </c>
      <c r="D965" s="238"/>
      <c r="E965" s="238"/>
      <c r="F965" s="154" t="str">
        <f t="array" ref="F965">XLOOKUP(Cover!$D$12,$S$1:$AA$1,$S965:$AA965)</f>
        <v>Heading</v>
      </c>
      <c r="G965" s="239" t="s">
        <v>2736</v>
      </c>
      <c r="H965" s="240"/>
      <c r="I965" s="240" t="s">
        <v>420</v>
      </c>
      <c r="J965" s="240"/>
      <c r="K965" s="240"/>
      <c r="L965" s="154" t="str">
        <f t="shared" si="1"/>
        <v/>
      </c>
      <c r="M965" s="241" t="str">
        <f>IFERROR(__xludf.DUMMYFUNCTION("VLOOKUP(C965,IMPORTRANGE(""https://docs.google.com/spreadsheets/d/1P8eX0NWBhUPS_hvzA11R6jkTNFrPrRYIx_dX_hYbxrk/edit?resourcekey=0-iw9bsKY2OqkUHCFMkCar3A&amp;gid=2055363397#gid=2055363397"",""MTR!C:O""),11,false)"),"")</f>
        <v/>
      </c>
      <c r="N965" s="241" t="str">
        <f>IFERROR(__xludf.DUMMYFUNCTION("VLOOKUP(C965,IMPORTRANGE(""https://docs.google.com/spreadsheets/d/1ihFlp3_ePlYtFuPbUNbYj1muErVpI73WHXbEwJDIA7Q/edit#gid=1493122344"",""MTR!C:O""),8,false)"),"")</f>
        <v/>
      </c>
      <c r="O965" s="241" t="str">
        <f>IFERROR(__xludf.DUMMYFUNCTION("VLOOKUP(C965,IMPORTRANGE(""https://docs.google.com/spreadsheets/d/1P8eX0NWBhUPS_hvzA11R6jkTNFrPrRYIx_dX_hYbxrk/edit?resourcekey=0-iw9bsKY2OqkUHCFMkCar3A&amp;gid=2055363397#gid=2055363397"",""MTR!C:O""),9,false)"),"")</f>
        <v/>
      </c>
      <c r="P965" s="241"/>
      <c r="Q965" s="241"/>
      <c r="R965" s="241"/>
      <c r="S965" s="240" t="s">
        <v>390</v>
      </c>
      <c r="T965" s="240" t="s">
        <v>390</v>
      </c>
      <c r="U965" s="240" t="s">
        <v>390</v>
      </c>
      <c r="V965" s="240" t="s">
        <v>390</v>
      </c>
      <c r="W965" s="240" t="s">
        <v>390</v>
      </c>
      <c r="X965" s="240" t="s">
        <v>390</v>
      </c>
      <c r="Y965" s="240" t="s">
        <v>390</v>
      </c>
      <c r="Z965" s="240" t="s">
        <v>390</v>
      </c>
      <c r="AA965" s="240" t="s">
        <v>390</v>
      </c>
      <c r="AB965" s="240"/>
      <c r="AC965" s="242" t="b">
        <f t="shared" si="2"/>
        <v>0</v>
      </c>
      <c r="AD965" s="240" t="s">
        <v>391</v>
      </c>
      <c r="AE965" s="243" t="b">
        <f t="shared" si="3"/>
        <v>0</v>
      </c>
      <c r="AF965" s="240"/>
      <c r="AG965" s="243" t="b">
        <f t="shared" si="4"/>
        <v>0</v>
      </c>
      <c r="AH965" s="240"/>
      <c r="AI965" s="243" t="str">
        <f t="shared" si="5"/>
        <v>N/A</v>
      </c>
      <c r="AJ965" s="157" t="str">
        <f t="shared" si="6"/>
        <v/>
      </c>
    </row>
    <row r="966" ht="12.75" customHeight="1">
      <c r="A966" s="238" t="s">
        <v>2412</v>
      </c>
      <c r="B966" s="238" t="s">
        <v>2633</v>
      </c>
      <c r="C966" s="238" t="s">
        <v>2737</v>
      </c>
      <c r="D966" s="238"/>
      <c r="E966" s="238"/>
      <c r="F966" s="154" t="str">
        <f t="array" ref="F966">XLOOKUP(Cover!$D$12,$S$1:$AA$1,$S966:$AA966)</f>
        <v>Heading</v>
      </c>
      <c r="G966" s="239" t="s">
        <v>2738</v>
      </c>
      <c r="H966" s="240"/>
      <c r="I966" s="240" t="s">
        <v>420</v>
      </c>
      <c r="J966" s="240"/>
      <c r="K966" s="240"/>
      <c r="L966" s="154" t="str">
        <f t="shared" si="1"/>
        <v/>
      </c>
      <c r="M966" s="241" t="str">
        <f>IFERROR(__xludf.DUMMYFUNCTION("VLOOKUP(C966,IMPORTRANGE(""https://docs.google.com/spreadsheets/d/1P8eX0NWBhUPS_hvzA11R6jkTNFrPrRYIx_dX_hYbxrk/edit?resourcekey=0-iw9bsKY2OqkUHCFMkCar3A&amp;gid=2055363397#gid=2055363397"",""MTR!C:O""),11,false)"),"")</f>
        <v/>
      </c>
      <c r="N966" s="241" t="str">
        <f>IFERROR(__xludf.DUMMYFUNCTION("VLOOKUP(C966,IMPORTRANGE(""https://docs.google.com/spreadsheets/d/1ihFlp3_ePlYtFuPbUNbYj1muErVpI73WHXbEwJDIA7Q/edit#gid=1493122344"",""MTR!C:O""),8,false)"),"")</f>
        <v/>
      </c>
      <c r="O966" s="241" t="str">
        <f>IFERROR(__xludf.DUMMYFUNCTION("VLOOKUP(C966,IMPORTRANGE(""https://docs.google.com/spreadsheets/d/1P8eX0NWBhUPS_hvzA11R6jkTNFrPrRYIx_dX_hYbxrk/edit?resourcekey=0-iw9bsKY2OqkUHCFMkCar3A&amp;gid=2055363397#gid=2055363397"",""MTR!C:O""),9,false)"),"")</f>
        <v/>
      </c>
      <c r="P966" s="241"/>
      <c r="Q966" s="241"/>
      <c r="R966" s="241"/>
      <c r="S966" s="240" t="s">
        <v>390</v>
      </c>
      <c r="T966" s="240" t="s">
        <v>390</v>
      </c>
      <c r="U966" s="240" t="s">
        <v>390</v>
      </c>
      <c r="V966" s="240" t="s">
        <v>390</v>
      </c>
      <c r="W966" s="240" t="s">
        <v>390</v>
      </c>
      <c r="X966" s="240" t="s">
        <v>390</v>
      </c>
      <c r="Y966" s="240" t="s">
        <v>390</v>
      </c>
      <c r="Z966" s="240" t="s">
        <v>390</v>
      </c>
      <c r="AA966" s="240" t="s">
        <v>390</v>
      </c>
      <c r="AB966" s="240"/>
      <c r="AC966" s="242" t="b">
        <f t="shared" si="2"/>
        <v>0</v>
      </c>
      <c r="AD966" s="240" t="s">
        <v>391</v>
      </c>
      <c r="AE966" s="243" t="b">
        <f t="shared" si="3"/>
        <v>0</v>
      </c>
      <c r="AF966" s="240"/>
      <c r="AG966" s="243" t="b">
        <f t="shared" si="4"/>
        <v>0</v>
      </c>
      <c r="AH966" s="240"/>
      <c r="AI966" s="243" t="str">
        <f t="shared" si="5"/>
        <v>N/A</v>
      </c>
      <c r="AJ966" s="157" t="str">
        <f t="shared" si="6"/>
        <v/>
      </c>
    </row>
    <row r="967" ht="12.75" customHeight="1">
      <c r="A967" s="238" t="s">
        <v>2412</v>
      </c>
      <c r="B967" s="238" t="s">
        <v>2633</v>
      </c>
      <c r="C967" s="238" t="s">
        <v>2739</v>
      </c>
      <c r="D967" s="238"/>
      <c r="E967" s="238"/>
      <c r="F967" s="154" t="str">
        <f t="array" ref="F967">XLOOKUP(Cover!$D$12,$S$1:$AA$1,$S967:$AA967)</f>
        <v>Heading</v>
      </c>
      <c r="G967" s="239" t="s">
        <v>2740</v>
      </c>
      <c r="H967" s="240"/>
      <c r="I967" s="240" t="s">
        <v>632</v>
      </c>
      <c r="J967" s="240"/>
      <c r="K967" s="240"/>
      <c r="L967" s="154" t="str">
        <f t="shared" si="1"/>
        <v/>
      </c>
      <c r="M967" s="241" t="str">
        <f>IFERROR(__xludf.DUMMYFUNCTION("VLOOKUP(C967,IMPORTRANGE(""https://docs.google.com/spreadsheets/d/1P8eX0NWBhUPS_hvzA11R6jkTNFrPrRYIx_dX_hYbxrk/edit?resourcekey=0-iw9bsKY2OqkUHCFMkCar3A&amp;gid=2055363397#gid=2055363397"",""MTR!C:O""),11,false)"),"")</f>
        <v/>
      </c>
      <c r="N967" s="241" t="str">
        <f>IFERROR(__xludf.DUMMYFUNCTION("VLOOKUP(C967,IMPORTRANGE(""https://docs.google.com/spreadsheets/d/1ihFlp3_ePlYtFuPbUNbYj1muErVpI73WHXbEwJDIA7Q/edit#gid=1493122344"",""MTR!C:O""),8,false)"),"")</f>
        <v/>
      </c>
      <c r="O967" s="241" t="str">
        <f>IFERROR(__xludf.DUMMYFUNCTION("VLOOKUP(C967,IMPORTRANGE(""https://docs.google.com/spreadsheets/d/1P8eX0NWBhUPS_hvzA11R6jkTNFrPrRYIx_dX_hYbxrk/edit?resourcekey=0-iw9bsKY2OqkUHCFMkCar3A&amp;gid=2055363397#gid=2055363397"",""MTR!C:O""),9,false)"),"")</f>
        <v/>
      </c>
      <c r="P967" s="241"/>
      <c r="Q967" s="241"/>
      <c r="R967" s="241"/>
      <c r="S967" s="240" t="s">
        <v>390</v>
      </c>
      <c r="T967" s="240" t="s">
        <v>390</v>
      </c>
      <c r="U967" s="240" t="s">
        <v>390</v>
      </c>
      <c r="V967" s="240" t="s">
        <v>390</v>
      </c>
      <c r="W967" s="240" t="s">
        <v>390</v>
      </c>
      <c r="X967" s="240" t="s">
        <v>390</v>
      </c>
      <c r="Y967" s="240" t="s">
        <v>390</v>
      </c>
      <c r="Z967" s="240" t="s">
        <v>390</v>
      </c>
      <c r="AA967" s="240" t="s">
        <v>390</v>
      </c>
      <c r="AB967" s="240"/>
      <c r="AC967" s="242" t="b">
        <f t="shared" si="2"/>
        <v>0</v>
      </c>
      <c r="AD967" s="240" t="s">
        <v>391</v>
      </c>
      <c r="AE967" s="243" t="b">
        <f t="shared" si="3"/>
        <v>0</v>
      </c>
      <c r="AF967" s="240"/>
      <c r="AG967" s="243" t="b">
        <f t="shared" si="4"/>
        <v>0</v>
      </c>
      <c r="AH967" s="240"/>
      <c r="AI967" s="243" t="str">
        <f t="shared" si="5"/>
        <v>N/A</v>
      </c>
      <c r="AJ967" s="157" t="str">
        <f t="shared" si="6"/>
        <v/>
      </c>
    </row>
    <row r="968" ht="12.75" customHeight="1">
      <c r="A968" s="244" t="s">
        <v>2412</v>
      </c>
      <c r="B968" s="244" t="s">
        <v>2633</v>
      </c>
      <c r="C968" s="245" t="s">
        <v>2741</v>
      </c>
      <c r="D968" s="155" t="s">
        <v>2326</v>
      </c>
      <c r="E968" s="246" t="s">
        <v>92</v>
      </c>
      <c r="F968" s="154" t="str">
        <f t="array" ref="F968">XLOOKUP(Cover!$D$12,$S$1:$AA$1,$S968:$AA968)</f>
        <v>Mandatory</v>
      </c>
      <c r="G968" s="154" t="s">
        <v>2742</v>
      </c>
      <c r="H968" s="154" t="s">
        <v>2642</v>
      </c>
      <c r="I968" s="154" t="s">
        <v>420</v>
      </c>
      <c r="J968" s="247" t="s">
        <v>445</v>
      </c>
      <c r="K968" s="154"/>
      <c r="L968" s="154" t="str">
        <f t="shared" si="1"/>
        <v/>
      </c>
      <c r="M968" s="248" t="str">
        <f>IFERROR(__xludf.DUMMYFUNCTION("VLOOKUP(C968,IMPORTRANGE(""https://docs.google.com/spreadsheets/d/1P8eX0NWBhUPS_hvzA11R6jkTNFrPrRYIx_dX_hYbxrk/edit?resourcekey=0-iw9bsKY2OqkUHCFMkCar3A&amp;gid=2055363397#gid=2055363397"",""MTR!C:O""),11,false)"),"TAM")</f>
        <v>TAM</v>
      </c>
      <c r="N968" s="248" t="str">
        <f>IFERROR(__xludf.DUMMYFUNCTION("VLOOKUP(C968,IMPORTRANGE(""https://docs.google.com/spreadsheets/d/1ihFlp3_ePlYtFuPbUNbYj1muErVpI73WHXbEwJDIA7Q/edit#gid=1493122344"",""MTR!C:O""),8,false)"),"Complies")</f>
        <v>Complies</v>
      </c>
      <c r="O968" s="241" t="str">
        <f>IFERROR(__xludf.DUMMYFUNCTION("VLOOKUP(C968,IMPORTRANGE(""https://docs.google.com/spreadsheets/d/1P8eX0NWBhUPS_hvzA11R6jkTNFrPrRYIx_dX_hYbxrk/edit?resourcekey=0-iw9bsKY2OqkUHCFMkCar3A&amp;gid=2055363397#gid=2055363397"",""MTR!C:O""),9,false)"),"")</f>
        <v/>
      </c>
      <c r="P968" s="241"/>
      <c r="Q968" s="251" t="s">
        <v>445</v>
      </c>
      <c r="R968" s="241"/>
      <c r="S968" s="154" t="s">
        <v>66</v>
      </c>
      <c r="T968" s="154" t="s">
        <v>60</v>
      </c>
      <c r="U968" s="154" t="s">
        <v>60</v>
      </c>
      <c r="V968" s="154" t="s">
        <v>60</v>
      </c>
      <c r="W968" s="154" t="s">
        <v>60</v>
      </c>
      <c r="X968" s="154" t="s">
        <v>60</v>
      </c>
      <c r="Y968" s="154" t="s">
        <v>60</v>
      </c>
      <c r="Z968" s="154" t="s">
        <v>60</v>
      </c>
      <c r="AA968" s="154" t="s">
        <v>60</v>
      </c>
      <c r="AB968" s="154"/>
      <c r="AC968" s="242" t="b">
        <f t="shared" si="2"/>
        <v>1</v>
      </c>
      <c r="AD968" s="154" t="s">
        <v>391</v>
      </c>
      <c r="AE968" s="243" t="b">
        <f t="shared" si="3"/>
        <v>0</v>
      </c>
      <c r="AF968" s="154"/>
      <c r="AG968" s="243" t="b">
        <f t="shared" si="4"/>
        <v>0</v>
      </c>
      <c r="AH968" s="154"/>
      <c r="AI968" s="243" t="str">
        <f t="shared" si="5"/>
        <v>N/A</v>
      </c>
      <c r="AJ968" s="157" t="str">
        <f t="shared" si="6"/>
        <v/>
      </c>
    </row>
    <row r="969" ht="12.75" customHeight="1">
      <c r="A969" s="244" t="s">
        <v>2412</v>
      </c>
      <c r="B969" s="244" t="s">
        <v>2633</v>
      </c>
      <c r="C969" s="245" t="s">
        <v>2743</v>
      </c>
      <c r="D969" s="155" t="s">
        <v>528</v>
      </c>
      <c r="E969" s="246" t="s">
        <v>92</v>
      </c>
      <c r="F969" s="154" t="str">
        <f t="array" ref="F969">XLOOKUP(Cover!$D$12,$S$1:$AA$1,$S969:$AA969)</f>
        <v>Mandatory</v>
      </c>
      <c r="G969" s="154" t="s">
        <v>2744</v>
      </c>
      <c r="H969" s="154" t="s">
        <v>2642</v>
      </c>
      <c r="I969" s="154" t="s">
        <v>420</v>
      </c>
      <c r="J969" s="247" t="s">
        <v>445</v>
      </c>
      <c r="K969" s="154"/>
      <c r="L969" s="154" t="str">
        <f t="shared" si="1"/>
        <v/>
      </c>
      <c r="M969" s="248" t="str">
        <f>IFERROR(__xludf.DUMMYFUNCTION("VLOOKUP(C969,IMPORTRANGE(""https://docs.google.com/spreadsheets/d/1P8eX0NWBhUPS_hvzA11R6jkTNFrPrRYIx_dX_hYbxrk/edit?resourcekey=0-iw9bsKY2OqkUHCFMkCar3A&amp;gid=2055363397#gid=2055363397"",""MTR!C:O""),11,false)"),"TAM")</f>
        <v>TAM</v>
      </c>
      <c r="N969" s="248" t="str">
        <f>IFERROR(__xludf.DUMMYFUNCTION("VLOOKUP(C969,IMPORTRANGE(""https://docs.google.com/spreadsheets/d/1ihFlp3_ePlYtFuPbUNbYj1muErVpI73WHXbEwJDIA7Q/edit#gid=1493122344"",""MTR!C:O""),8,false)"),"Complies")</f>
        <v>Complies</v>
      </c>
      <c r="O969" s="241" t="str">
        <f>IFERROR(__xludf.DUMMYFUNCTION("VLOOKUP(C969,IMPORTRANGE(""https://docs.google.com/spreadsheets/d/1P8eX0NWBhUPS_hvzA11R6jkTNFrPrRYIx_dX_hYbxrk/edit?resourcekey=0-iw9bsKY2OqkUHCFMkCar3A&amp;gid=2055363397#gid=2055363397"",""MTR!C:O""),9,false)"),"")</f>
        <v/>
      </c>
      <c r="P969" s="241"/>
      <c r="Q969" s="251" t="s">
        <v>445</v>
      </c>
      <c r="R969" s="241"/>
      <c r="S969" s="154" t="s">
        <v>66</v>
      </c>
      <c r="T969" s="154" t="s">
        <v>60</v>
      </c>
      <c r="U969" s="154" t="s">
        <v>60</v>
      </c>
      <c r="V969" s="154" t="s">
        <v>60</v>
      </c>
      <c r="W969" s="154" t="s">
        <v>60</v>
      </c>
      <c r="X969" s="154" t="s">
        <v>60</v>
      </c>
      <c r="Y969" s="154" t="s">
        <v>60</v>
      </c>
      <c r="Z969" s="154" t="s">
        <v>60</v>
      </c>
      <c r="AA969" s="154" t="s">
        <v>60</v>
      </c>
      <c r="AB969" s="154"/>
      <c r="AC969" s="242" t="b">
        <f t="shared" si="2"/>
        <v>1</v>
      </c>
      <c r="AD969" s="154" t="s">
        <v>391</v>
      </c>
      <c r="AE969" s="243" t="b">
        <f t="shared" si="3"/>
        <v>0</v>
      </c>
      <c r="AF969" s="154"/>
      <c r="AG969" s="243" t="b">
        <f t="shared" si="4"/>
        <v>0</v>
      </c>
      <c r="AH969" s="154"/>
      <c r="AI969" s="243" t="str">
        <f t="shared" si="5"/>
        <v>N/A</v>
      </c>
      <c r="AJ969" s="157" t="str">
        <f t="shared" si="6"/>
        <v/>
      </c>
    </row>
    <row r="970" ht="12.75" customHeight="1">
      <c r="A970" s="244" t="s">
        <v>2412</v>
      </c>
      <c r="B970" s="244" t="s">
        <v>2633</v>
      </c>
      <c r="C970" s="245" t="s">
        <v>2745</v>
      </c>
      <c r="D970" s="155" t="s">
        <v>2746</v>
      </c>
      <c r="E970" s="246" t="s">
        <v>92</v>
      </c>
      <c r="F970" s="154" t="str">
        <f t="array" ref="F970">XLOOKUP(Cover!$D$12,$S$1:$AA$1,$S970:$AA970)</f>
        <v>Mandatory</v>
      </c>
      <c r="G970" s="154" t="s">
        <v>2747</v>
      </c>
      <c r="H970" s="154" t="s">
        <v>2642</v>
      </c>
      <c r="I970" s="154" t="s">
        <v>420</v>
      </c>
      <c r="J970" s="247" t="s">
        <v>445</v>
      </c>
      <c r="K970" s="154"/>
      <c r="L970" s="154" t="str">
        <f t="shared" si="1"/>
        <v/>
      </c>
      <c r="M970" s="248" t="str">
        <f>IFERROR(__xludf.DUMMYFUNCTION("VLOOKUP(C970,IMPORTRANGE(""https://docs.google.com/spreadsheets/d/1P8eX0NWBhUPS_hvzA11R6jkTNFrPrRYIx_dX_hYbxrk/edit?resourcekey=0-iw9bsKY2OqkUHCFMkCar3A&amp;gid=2055363397#gid=2055363397"",""MTR!C:O""),11,false)"),"TAM")</f>
        <v>TAM</v>
      </c>
      <c r="N970" s="248" t="str">
        <f>IFERROR(__xludf.DUMMYFUNCTION("VLOOKUP(C970,IMPORTRANGE(""https://docs.google.com/spreadsheets/d/1ihFlp3_ePlYtFuPbUNbYj1muErVpI73WHXbEwJDIA7Q/edit#gid=1493122344"",""MTR!C:O""),8,false)"),"Complies")</f>
        <v>Complies</v>
      </c>
      <c r="O970" s="241" t="str">
        <f>IFERROR(__xludf.DUMMYFUNCTION("VLOOKUP(C970,IMPORTRANGE(""https://docs.google.com/spreadsheets/d/1P8eX0NWBhUPS_hvzA11R6jkTNFrPrRYIx_dX_hYbxrk/edit?resourcekey=0-iw9bsKY2OqkUHCFMkCar3A&amp;gid=2055363397#gid=2055363397"",""MTR!C:O""),9,false)"),"")</f>
        <v/>
      </c>
      <c r="P970" s="241"/>
      <c r="Q970" s="251" t="s">
        <v>445</v>
      </c>
      <c r="R970" s="241"/>
      <c r="S970" s="154" t="s">
        <v>66</v>
      </c>
      <c r="T970" s="154" t="s">
        <v>60</v>
      </c>
      <c r="U970" s="154" t="s">
        <v>60</v>
      </c>
      <c r="V970" s="154" t="s">
        <v>60</v>
      </c>
      <c r="W970" s="154" t="s">
        <v>60</v>
      </c>
      <c r="X970" s="154" t="s">
        <v>60</v>
      </c>
      <c r="Y970" s="154" t="s">
        <v>60</v>
      </c>
      <c r="Z970" s="154" t="s">
        <v>60</v>
      </c>
      <c r="AA970" s="154" t="s">
        <v>60</v>
      </c>
      <c r="AB970" s="154"/>
      <c r="AC970" s="242" t="b">
        <f t="shared" si="2"/>
        <v>1</v>
      </c>
      <c r="AD970" s="154" t="s">
        <v>391</v>
      </c>
      <c r="AE970" s="243" t="b">
        <f t="shared" si="3"/>
        <v>0</v>
      </c>
      <c r="AF970" s="154"/>
      <c r="AG970" s="243" t="b">
        <f t="shared" si="4"/>
        <v>0</v>
      </c>
      <c r="AH970" s="154"/>
      <c r="AI970" s="243" t="str">
        <f t="shared" si="5"/>
        <v>N/A</v>
      </c>
      <c r="AJ970" s="157" t="str">
        <f t="shared" si="6"/>
        <v/>
      </c>
    </row>
    <row r="971" ht="12.75" customHeight="1">
      <c r="A971" s="244" t="s">
        <v>2412</v>
      </c>
      <c r="B971" s="244" t="s">
        <v>2633</v>
      </c>
      <c r="C971" s="245" t="s">
        <v>2748</v>
      </c>
      <c r="D971" s="155" t="s">
        <v>433</v>
      </c>
      <c r="E971" s="246" t="s">
        <v>92</v>
      </c>
      <c r="F971" s="154" t="str">
        <f t="array" ref="F971">XLOOKUP(Cover!$D$12,$S$1:$AA$1,$S971:$AA971)</f>
        <v>Mandatory</v>
      </c>
      <c r="G971" s="154" t="s">
        <v>2749</v>
      </c>
      <c r="H971" s="154"/>
      <c r="I971" s="154" t="s">
        <v>420</v>
      </c>
      <c r="J971" s="247" t="s">
        <v>445</v>
      </c>
      <c r="K971" s="154"/>
      <c r="L971" s="154" t="str">
        <f t="shared" si="1"/>
        <v/>
      </c>
      <c r="M971" s="248" t="str">
        <f>IFERROR(__xludf.DUMMYFUNCTION("VLOOKUP(C971,IMPORTRANGE(""https://docs.google.com/spreadsheets/d/1P8eX0NWBhUPS_hvzA11R6jkTNFrPrRYIx_dX_hYbxrk/edit?resourcekey=0-iw9bsKY2OqkUHCFMkCar3A&amp;gid=2055363397#gid=2055363397"",""MTR!C:O""),11,false)"),"TAM")</f>
        <v>TAM</v>
      </c>
      <c r="N971" s="248" t="str">
        <f>IFERROR(__xludf.DUMMYFUNCTION("VLOOKUP(C971,IMPORTRANGE(""https://docs.google.com/spreadsheets/d/1ihFlp3_ePlYtFuPbUNbYj1muErVpI73WHXbEwJDIA7Q/edit#gid=1493122344"",""MTR!C:O""),8,false)"),"Complies")</f>
        <v>Complies</v>
      </c>
      <c r="O971" s="241" t="str">
        <f>IFERROR(__xludf.DUMMYFUNCTION("VLOOKUP(C971,IMPORTRANGE(""https://docs.google.com/spreadsheets/d/1P8eX0NWBhUPS_hvzA11R6jkTNFrPrRYIx_dX_hYbxrk/edit?resourcekey=0-iw9bsKY2OqkUHCFMkCar3A&amp;gid=2055363397#gid=2055363397"",""MTR!C:O""),9,false)"),"")</f>
        <v/>
      </c>
      <c r="P971" s="241"/>
      <c r="Q971" s="251" t="s">
        <v>445</v>
      </c>
      <c r="R971" s="241"/>
      <c r="S971" s="154" t="s">
        <v>66</v>
      </c>
      <c r="T971" s="154" t="s">
        <v>64</v>
      </c>
      <c r="U971" s="154" t="s">
        <v>64</v>
      </c>
      <c r="V971" s="154" t="s">
        <v>60</v>
      </c>
      <c r="W971" s="154" t="s">
        <v>60</v>
      </c>
      <c r="X971" s="154" t="s">
        <v>60</v>
      </c>
      <c r="Y971" s="154" t="s">
        <v>64</v>
      </c>
      <c r="Z971" s="154" t="s">
        <v>60</v>
      </c>
      <c r="AA971" s="154" t="s">
        <v>60</v>
      </c>
      <c r="AB971" s="154"/>
      <c r="AC971" s="242" t="b">
        <f t="shared" si="2"/>
        <v>1</v>
      </c>
      <c r="AD971" s="154" t="s">
        <v>391</v>
      </c>
      <c r="AE971" s="243" t="b">
        <f t="shared" si="3"/>
        <v>0</v>
      </c>
      <c r="AF971" s="154"/>
      <c r="AG971" s="243" t="b">
        <f t="shared" si="4"/>
        <v>0</v>
      </c>
      <c r="AH971" s="154"/>
      <c r="AI971" s="243" t="str">
        <f t="shared" si="5"/>
        <v>N/A</v>
      </c>
      <c r="AJ971" s="157" t="str">
        <f t="shared" si="6"/>
        <v/>
      </c>
    </row>
    <row r="972" ht="12.75" customHeight="1">
      <c r="A972" s="244" t="s">
        <v>2412</v>
      </c>
      <c r="B972" s="244" t="s">
        <v>2633</v>
      </c>
      <c r="C972" s="245" t="s">
        <v>2750</v>
      </c>
      <c r="D972" s="155" t="s">
        <v>781</v>
      </c>
      <c r="E972" s="246" t="s">
        <v>92</v>
      </c>
      <c r="F972" s="154" t="str">
        <f t="array" ref="F972">XLOOKUP(Cover!$D$12,$S$1:$AA$1,$S972:$AA972)</f>
        <v>Recommended</v>
      </c>
      <c r="G972" s="154" t="s">
        <v>2751</v>
      </c>
      <c r="H972" s="154"/>
      <c r="I972" s="154" t="s">
        <v>420</v>
      </c>
      <c r="J972" s="247" t="s">
        <v>445</v>
      </c>
      <c r="K972" s="154"/>
      <c r="L972" s="154" t="str">
        <f t="shared" si="1"/>
        <v/>
      </c>
      <c r="M972" s="248" t="str">
        <f>IFERROR(__xludf.DUMMYFUNCTION("VLOOKUP(C972,IMPORTRANGE(""https://docs.google.com/spreadsheets/d/1P8eX0NWBhUPS_hvzA11R6jkTNFrPrRYIx_dX_hYbxrk/edit?resourcekey=0-iw9bsKY2OqkUHCFMkCar3A&amp;gid=2055363397#gid=2055363397"",""MTR!C:O""),11,false)"),"TAM")</f>
        <v>TAM</v>
      </c>
      <c r="N972" s="248" t="str">
        <f>IFERROR(__xludf.DUMMYFUNCTION("VLOOKUP(C972,IMPORTRANGE(""https://docs.google.com/spreadsheets/d/1ihFlp3_ePlYtFuPbUNbYj1muErVpI73WHXbEwJDIA7Q/edit#gid=1493122344"",""MTR!C:O""),8,false)"),"Complies")</f>
        <v>Complies</v>
      </c>
      <c r="O972" s="241" t="str">
        <f>IFERROR(__xludf.DUMMYFUNCTION("VLOOKUP(C972,IMPORTRANGE(""https://docs.google.com/spreadsheets/d/1P8eX0NWBhUPS_hvzA11R6jkTNFrPrRYIx_dX_hYbxrk/edit?resourcekey=0-iw9bsKY2OqkUHCFMkCar3A&amp;gid=2055363397#gid=2055363397"",""MTR!C:O""),9,false)"),"")</f>
        <v/>
      </c>
      <c r="P972" s="241"/>
      <c r="Q972" s="251" t="s">
        <v>445</v>
      </c>
      <c r="R972" s="241"/>
      <c r="S972" s="154" t="s">
        <v>66</v>
      </c>
      <c r="T972" s="154" t="s">
        <v>64</v>
      </c>
      <c r="U972" s="154" t="s">
        <v>64</v>
      </c>
      <c r="V972" s="154" t="s">
        <v>64</v>
      </c>
      <c r="W972" s="154" t="s">
        <v>64</v>
      </c>
      <c r="X972" s="154" t="s">
        <v>64</v>
      </c>
      <c r="Y972" s="154" t="s">
        <v>64</v>
      </c>
      <c r="Z972" s="154" t="s">
        <v>64</v>
      </c>
      <c r="AA972" s="154" t="s">
        <v>64</v>
      </c>
      <c r="AB972" s="154"/>
      <c r="AC972" s="242" t="b">
        <f t="shared" si="2"/>
        <v>1</v>
      </c>
      <c r="AD972" s="154" t="s">
        <v>391</v>
      </c>
      <c r="AE972" s="243" t="b">
        <f t="shared" si="3"/>
        <v>0</v>
      </c>
      <c r="AF972" s="154"/>
      <c r="AG972" s="243" t="b">
        <f t="shared" si="4"/>
        <v>0</v>
      </c>
      <c r="AH972" s="154"/>
      <c r="AI972" s="243" t="str">
        <f t="shared" si="5"/>
        <v>N/A</v>
      </c>
      <c r="AJ972" s="157" t="str">
        <f t="shared" si="6"/>
        <v/>
      </c>
    </row>
    <row r="973" ht="12.75" customHeight="1">
      <c r="A973" s="244" t="s">
        <v>2412</v>
      </c>
      <c r="B973" s="244" t="s">
        <v>2633</v>
      </c>
      <c r="C973" s="245" t="s">
        <v>2752</v>
      </c>
      <c r="D973" s="155" t="s">
        <v>630</v>
      </c>
      <c r="E973" s="246" t="s">
        <v>92</v>
      </c>
      <c r="F973" s="154" t="str">
        <f t="array" ref="F973">XLOOKUP(Cover!$D$12,$S$1:$AA$1,$S973:$AA973)</f>
        <v>Mandatory</v>
      </c>
      <c r="G973" s="154" t="s">
        <v>2753</v>
      </c>
      <c r="H973" s="154" t="s">
        <v>2642</v>
      </c>
      <c r="I973" s="154" t="s">
        <v>420</v>
      </c>
      <c r="J973" s="247" t="s">
        <v>445</v>
      </c>
      <c r="K973" s="154"/>
      <c r="L973" s="154" t="str">
        <f t="shared" si="1"/>
        <v/>
      </c>
      <c r="M973" s="248" t="str">
        <f>IFERROR(__xludf.DUMMYFUNCTION("VLOOKUP(C973,IMPORTRANGE(""https://docs.google.com/spreadsheets/d/1P8eX0NWBhUPS_hvzA11R6jkTNFrPrRYIx_dX_hYbxrk/edit?resourcekey=0-iw9bsKY2OqkUHCFMkCar3A&amp;gid=2055363397#gid=2055363397"",""MTR!C:O""),11,false)"),"TAM")</f>
        <v>TAM</v>
      </c>
      <c r="N973" s="248" t="str">
        <f>IFERROR(__xludf.DUMMYFUNCTION("VLOOKUP(C973,IMPORTRANGE(""https://docs.google.com/spreadsheets/d/1ihFlp3_ePlYtFuPbUNbYj1muErVpI73WHXbEwJDIA7Q/edit#gid=1493122344"",""MTR!C:O""),8,false)"),"Complies")</f>
        <v>Complies</v>
      </c>
      <c r="O973" s="241" t="str">
        <f>IFERROR(__xludf.DUMMYFUNCTION("VLOOKUP(C973,IMPORTRANGE(""https://docs.google.com/spreadsheets/d/1P8eX0NWBhUPS_hvzA11R6jkTNFrPrRYIx_dX_hYbxrk/edit?resourcekey=0-iw9bsKY2OqkUHCFMkCar3A&amp;gid=2055363397#gid=2055363397"",""MTR!C:O""),9,false)"),"")</f>
        <v/>
      </c>
      <c r="P973" s="241"/>
      <c r="Q973" s="251" t="s">
        <v>445</v>
      </c>
      <c r="R973" s="241"/>
      <c r="S973" s="154" t="s">
        <v>66</v>
      </c>
      <c r="T973" s="154" t="s">
        <v>60</v>
      </c>
      <c r="U973" s="154" t="s">
        <v>60</v>
      </c>
      <c r="V973" s="154" t="s">
        <v>60</v>
      </c>
      <c r="W973" s="154" t="s">
        <v>60</v>
      </c>
      <c r="X973" s="154" t="s">
        <v>60</v>
      </c>
      <c r="Y973" s="154" t="s">
        <v>60</v>
      </c>
      <c r="Z973" s="154" t="s">
        <v>60</v>
      </c>
      <c r="AA973" s="154" t="s">
        <v>60</v>
      </c>
      <c r="AB973" s="154"/>
      <c r="AC973" s="242" t="b">
        <f t="shared" si="2"/>
        <v>1</v>
      </c>
      <c r="AD973" s="154" t="s">
        <v>391</v>
      </c>
      <c r="AE973" s="243" t="b">
        <f t="shared" si="3"/>
        <v>0</v>
      </c>
      <c r="AF973" s="154"/>
      <c r="AG973" s="243" t="b">
        <f t="shared" si="4"/>
        <v>0</v>
      </c>
      <c r="AH973" s="154"/>
      <c r="AI973" s="243" t="str">
        <f t="shared" si="5"/>
        <v>N/A</v>
      </c>
      <c r="AJ973" s="157" t="str">
        <f t="shared" si="6"/>
        <v/>
      </c>
    </row>
    <row r="974" ht="12.75" customHeight="1">
      <c r="A974" s="244" t="s">
        <v>2412</v>
      </c>
      <c r="B974" s="244" t="s">
        <v>2633</v>
      </c>
      <c r="C974" s="245" t="s">
        <v>2754</v>
      </c>
      <c r="D974" s="155" t="s">
        <v>630</v>
      </c>
      <c r="E974" s="246" t="s">
        <v>92</v>
      </c>
      <c r="F974" s="154" t="str">
        <f t="array" ref="F974">XLOOKUP(Cover!$D$12,$S$1:$AA$1,$S974:$AA974)</f>
        <v>Recommended</v>
      </c>
      <c r="G974" s="154" t="s">
        <v>2755</v>
      </c>
      <c r="H974" s="154"/>
      <c r="I974" s="154" t="s">
        <v>420</v>
      </c>
      <c r="J974" s="247" t="s">
        <v>445</v>
      </c>
      <c r="K974" s="154"/>
      <c r="L974" s="154" t="str">
        <f t="shared" si="1"/>
        <v/>
      </c>
      <c r="M974" s="248" t="str">
        <f>IFERROR(__xludf.DUMMYFUNCTION("VLOOKUP(C974,IMPORTRANGE(""https://docs.google.com/spreadsheets/d/1P8eX0NWBhUPS_hvzA11R6jkTNFrPrRYIx_dX_hYbxrk/edit?resourcekey=0-iw9bsKY2OqkUHCFMkCar3A&amp;gid=2055363397#gid=2055363397"",""MTR!C:O""),11,false)"),"TAM")</f>
        <v>TAM</v>
      </c>
      <c r="N974" s="248" t="str">
        <f>IFERROR(__xludf.DUMMYFUNCTION("VLOOKUP(C974,IMPORTRANGE(""https://docs.google.com/spreadsheets/d/1ihFlp3_ePlYtFuPbUNbYj1muErVpI73WHXbEwJDIA7Q/edit#gid=1493122344"",""MTR!C:O""),8,false)"),"Complies")</f>
        <v>Complies</v>
      </c>
      <c r="O974" s="241" t="str">
        <f>IFERROR(__xludf.DUMMYFUNCTION("VLOOKUP(C974,IMPORTRANGE(""https://docs.google.com/spreadsheets/d/1P8eX0NWBhUPS_hvzA11R6jkTNFrPrRYIx_dX_hYbxrk/edit?resourcekey=0-iw9bsKY2OqkUHCFMkCar3A&amp;gid=2055363397#gid=2055363397"",""MTR!C:O""),9,false)"),"")</f>
        <v/>
      </c>
      <c r="P974" s="241"/>
      <c r="Q974" s="251" t="s">
        <v>445</v>
      </c>
      <c r="R974" s="241"/>
      <c r="S974" s="154" t="s">
        <v>66</v>
      </c>
      <c r="T974" s="154" t="s">
        <v>64</v>
      </c>
      <c r="U974" s="154" t="s">
        <v>64</v>
      </c>
      <c r="V974" s="154" t="s">
        <v>64</v>
      </c>
      <c r="W974" s="154" t="s">
        <v>64</v>
      </c>
      <c r="X974" s="154" t="s">
        <v>64</v>
      </c>
      <c r="Y974" s="154" t="s">
        <v>64</v>
      </c>
      <c r="Z974" s="154" t="s">
        <v>64</v>
      </c>
      <c r="AA974" s="154" t="s">
        <v>64</v>
      </c>
      <c r="AB974" s="154"/>
      <c r="AC974" s="242" t="b">
        <f t="shared" si="2"/>
        <v>1</v>
      </c>
      <c r="AD974" s="154" t="s">
        <v>391</v>
      </c>
      <c r="AE974" s="243" t="b">
        <f t="shared" si="3"/>
        <v>0</v>
      </c>
      <c r="AF974" s="154"/>
      <c r="AG974" s="243" t="b">
        <f t="shared" si="4"/>
        <v>0</v>
      </c>
      <c r="AH974" s="154"/>
      <c r="AI974" s="243" t="str">
        <f t="shared" si="5"/>
        <v>N/A</v>
      </c>
      <c r="AJ974" s="157" t="str">
        <f t="shared" si="6"/>
        <v/>
      </c>
    </row>
    <row r="975" ht="12.75" customHeight="1">
      <c r="A975" s="244" t="s">
        <v>2412</v>
      </c>
      <c r="B975" s="244" t="s">
        <v>2633</v>
      </c>
      <c r="C975" s="245" t="s">
        <v>2756</v>
      </c>
      <c r="D975" s="155" t="s">
        <v>546</v>
      </c>
      <c r="E975" s="246" t="s">
        <v>92</v>
      </c>
      <c r="F975" s="154" t="str">
        <f t="array" ref="F975">XLOOKUP(Cover!$D$12,$S$1:$AA$1,$S975:$AA975)</f>
        <v>Mandatory</v>
      </c>
      <c r="G975" s="154" t="s">
        <v>2757</v>
      </c>
      <c r="H975" s="154" t="s">
        <v>2642</v>
      </c>
      <c r="I975" s="154" t="s">
        <v>420</v>
      </c>
      <c r="J975" s="247" t="s">
        <v>445</v>
      </c>
      <c r="K975" s="154"/>
      <c r="L975" s="154" t="str">
        <f t="shared" si="1"/>
        <v/>
      </c>
      <c r="M975" s="248" t="str">
        <f>IFERROR(__xludf.DUMMYFUNCTION("VLOOKUP(C975,IMPORTRANGE(""https://docs.google.com/spreadsheets/d/1P8eX0NWBhUPS_hvzA11R6jkTNFrPrRYIx_dX_hYbxrk/edit?resourcekey=0-iw9bsKY2OqkUHCFMkCar3A&amp;gid=2055363397#gid=2055363397"",""MTR!C:O""),11,false)"),"TAM")</f>
        <v>TAM</v>
      </c>
      <c r="N975" s="248" t="str">
        <f>IFERROR(__xludf.DUMMYFUNCTION("VLOOKUP(C975,IMPORTRANGE(""https://docs.google.com/spreadsheets/d/1ihFlp3_ePlYtFuPbUNbYj1muErVpI73WHXbEwJDIA7Q/edit#gid=1493122344"",""MTR!C:O""),8,false)"),"Complies")</f>
        <v>Complies</v>
      </c>
      <c r="O975" s="241" t="str">
        <f>IFERROR(__xludf.DUMMYFUNCTION("VLOOKUP(C975,IMPORTRANGE(""https://docs.google.com/spreadsheets/d/1P8eX0NWBhUPS_hvzA11R6jkTNFrPrRYIx_dX_hYbxrk/edit?resourcekey=0-iw9bsKY2OqkUHCFMkCar3A&amp;gid=2055363397#gid=2055363397"",""MTR!C:O""),9,false)"),"")</f>
        <v/>
      </c>
      <c r="P975" s="241"/>
      <c r="Q975" s="251" t="s">
        <v>445</v>
      </c>
      <c r="R975" s="241"/>
      <c r="S975" s="154" t="s">
        <v>66</v>
      </c>
      <c r="T975" s="154" t="s">
        <v>60</v>
      </c>
      <c r="U975" s="154" t="s">
        <v>60</v>
      </c>
      <c r="V975" s="154" t="s">
        <v>60</v>
      </c>
      <c r="W975" s="154" t="s">
        <v>60</v>
      </c>
      <c r="X975" s="154" t="s">
        <v>60</v>
      </c>
      <c r="Y975" s="154" t="s">
        <v>60</v>
      </c>
      <c r="Z975" s="154" t="s">
        <v>60</v>
      </c>
      <c r="AA975" s="154" t="s">
        <v>60</v>
      </c>
      <c r="AB975" s="154"/>
      <c r="AC975" s="242" t="b">
        <f t="shared" si="2"/>
        <v>1</v>
      </c>
      <c r="AD975" s="154" t="s">
        <v>391</v>
      </c>
      <c r="AE975" s="243" t="b">
        <f t="shared" si="3"/>
        <v>0</v>
      </c>
      <c r="AF975" s="154"/>
      <c r="AG975" s="243" t="b">
        <f t="shared" si="4"/>
        <v>0</v>
      </c>
      <c r="AH975" s="154"/>
      <c r="AI975" s="243" t="str">
        <f t="shared" si="5"/>
        <v>N/A</v>
      </c>
      <c r="AJ975" s="157" t="str">
        <f t="shared" si="6"/>
        <v/>
      </c>
    </row>
    <row r="976" ht="12.75" customHeight="1">
      <c r="A976" s="244" t="s">
        <v>2412</v>
      </c>
      <c r="B976" s="244" t="s">
        <v>2633</v>
      </c>
      <c r="C976" s="255" t="s">
        <v>2758</v>
      </c>
      <c r="D976" s="256" t="s">
        <v>42</v>
      </c>
      <c r="E976" s="257" t="s">
        <v>489</v>
      </c>
      <c r="F976" s="154" t="str">
        <f t="array" ref="F976">XLOOKUP(Cover!$D$12,$S$1:$AA$1,$S976:$AA976)</f>
        <v>Mandatory</v>
      </c>
      <c r="G976" s="154" t="s">
        <v>2759</v>
      </c>
      <c r="H976" s="154" t="s">
        <v>2642</v>
      </c>
      <c r="I976" s="154" t="s">
        <v>632</v>
      </c>
      <c r="J976" s="247" t="s">
        <v>445</v>
      </c>
      <c r="K976" s="154"/>
      <c r="L976" s="154" t="str">
        <f t="shared" si="1"/>
        <v/>
      </c>
      <c r="M976" s="253" t="str">
        <f>IFERROR(__xludf.DUMMYFUNCTION("VLOOKUP(C976,IMPORTRANGE(""https://docs.google.com/spreadsheets/d/1P8eX0NWBhUPS_hvzA11R6jkTNFrPrRYIx_dX_hYbxrk/edit?resourcekey=0-iw9bsKY2OqkUHCFMkCar3A&amp;gid=2055363397#gid=2055363397"",""MTR!C:O""),11,false)"),"#N/A")</f>
        <v>#N/A</v>
      </c>
      <c r="N976" s="253" t="str">
        <f>IFERROR(__xludf.DUMMYFUNCTION("VLOOKUP(C976,IMPORTRANGE(""https://docs.google.com/spreadsheets/d/1ihFlp3_ePlYtFuPbUNbYj1muErVpI73WHXbEwJDIA7Q/edit#gid=1493122344"",""MTR!C:O""),8,false)"),"#N/A")</f>
        <v>#N/A</v>
      </c>
      <c r="O976" s="253" t="str">
        <f>IFERROR(__xludf.DUMMYFUNCTION("VLOOKUP(C976,IMPORTRANGE(""https://docs.google.com/spreadsheets/d/1P8eX0NWBhUPS_hvzA11R6jkTNFrPrRYIx_dX_hYbxrk/edit?resourcekey=0-iw9bsKY2OqkUHCFMkCar3A&amp;gid=2055363397#gid=2055363397"",""MTR!C:O""),9,false)"),"#N/A")</f>
        <v>#N/A</v>
      </c>
      <c r="P976" s="253"/>
      <c r="Q976" s="259"/>
      <c r="R976" s="253"/>
      <c r="S976" s="154" t="s">
        <v>66</v>
      </c>
      <c r="T976" s="154" t="s">
        <v>64</v>
      </c>
      <c r="U976" s="154" t="s">
        <v>64</v>
      </c>
      <c r="V976" s="154" t="s">
        <v>64</v>
      </c>
      <c r="W976" s="154" t="s">
        <v>60</v>
      </c>
      <c r="X976" s="154" t="s">
        <v>60</v>
      </c>
      <c r="Y976" s="154" t="s">
        <v>64</v>
      </c>
      <c r="Z976" s="154" t="s">
        <v>60</v>
      </c>
      <c r="AA976" s="154" t="s">
        <v>60</v>
      </c>
      <c r="AB976" s="154"/>
      <c r="AC976" s="242" t="b">
        <f t="shared" si="2"/>
        <v>1</v>
      </c>
      <c r="AD976" s="154" t="s">
        <v>391</v>
      </c>
      <c r="AE976" s="243" t="b">
        <f t="shared" si="3"/>
        <v>0</v>
      </c>
      <c r="AF976" s="154"/>
      <c r="AG976" s="243" t="b">
        <f t="shared" si="4"/>
        <v>0</v>
      </c>
      <c r="AH976" s="154"/>
      <c r="AI976" s="243" t="str">
        <f t="shared" si="5"/>
        <v>N/A</v>
      </c>
      <c r="AJ976" s="157" t="str">
        <f t="shared" si="6"/>
        <v/>
      </c>
    </row>
    <row r="977" ht="12.75" customHeight="1">
      <c r="A977" s="244" t="s">
        <v>2412</v>
      </c>
      <c r="B977" s="244" t="s">
        <v>2633</v>
      </c>
      <c r="C977" s="245" t="s">
        <v>2760</v>
      </c>
      <c r="D977" s="155" t="s">
        <v>546</v>
      </c>
      <c r="E977" s="246" t="s">
        <v>92</v>
      </c>
      <c r="F977" s="154" t="str">
        <f t="array" ref="F977">XLOOKUP(Cover!$D$12,$S$1:$AA$1,$S977:$AA977)</f>
        <v>Mandatory</v>
      </c>
      <c r="G977" s="154" t="s">
        <v>2761</v>
      </c>
      <c r="H977" s="154" t="s">
        <v>2642</v>
      </c>
      <c r="I977" s="154" t="s">
        <v>420</v>
      </c>
      <c r="J977" s="247" t="s">
        <v>506</v>
      </c>
      <c r="K977" s="247" t="s">
        <v>2762</v>
      </c>
      <c r="L977" s="154" t="str">
        <f t="shared" si="1"/>
        <v/>
      </c>
      <c r="M977" s="248" t="str">
        <f>IFERROR(__xludf.DUMMYFUNCTION("VLOOKUP(C977,IMPORTRANGE(""https://docs.google.com/spreadsheets/d/1P8eX0NWBhUPS_hvzA11R6jkTNFrPrRYIx_dX_hYbxrk/edit?resourcekey=0-iw9bsKY2OqkUHCFMkCar3A&amp;gid=2055363397#gid=2055363397"",""MTR!C:O""),11,false)"),"TAM")</f>
        <v>TAM</v>
      </c>
      <c r="N977" s="248" t="str">
        <f>IFERROR(__xludf.DUMMYFUNCTION("VLOOKUP(C977,IMPORTRANGE(""https://docs.google.com/spreadsheets/d/1ihFlp3_ePlYtFuPbUNbYj1muErVpI73WHXbEwJDIA7Q/edit#gid=1493122344"",""MTR!C:O""),8,false)"),"Partially Complies")</f>
        <v>Partially Complies</v>
      </c>
      <c r="O977" s="248" t="str">
        <f>IFERROR(__xludf.DUMMYFUNCTION("VLOOKUP(C977,IMPORTRANGE(""https://docs.google.com/spreadsheets/d/1P8eX0NWBhUPS_hvzA11R6jkTNFrPrRYIx_dX_hYbxrk/edit?resourcekey=0-iw9bsKY2OqkUHCFMkCar3A&amp;gid=2055363397#gid=2055363397"",""MTR!C:O""),9,false)"),"HDCP 2.2 supported")</f>
        <v>HDCP 2.2 supported</v>
      </c>
      <c r="P977" s="248"/>
      <c r="Q977" s="249" t="s">
        <v>506</v>
      </c>
      <c r="R977" s="249" t="s">
        <v>2762</v>
      </c>
      <c r="S977" s="154" t="s">
        <v>66</v>
      </c>
      <c r="T977" s="154" t="s">
        <v>60</v>
      </c>
      <c r="U977" s="154" t="s">
        <v>60</v>
      </c>
      <c r="V977" s="154" t="s">
        <v>60</v>
      </c>
      <c r="W977" s="154" t="s">
        <v>60</v>
      </c>
      <c r="X977" s="154" t="s">
        <v>60</v>
      </c>
      <c r="Y977" s="154" t="s">
        <v>60</v>
      </c>
      <c r="Z977" s="154" t="s">
        <v>60</v>
      </c>
      <c r="AA977" s="154" t="s">
        <v>60</v>
      </c>
      <c r="AB977" s="154"/>
      <c r="AC977" s="242" t="b">
        <f t="shared" si="2"/>
        <v>1</v>
      </c>
      <c r="AD977" s="154" t="s">
        <v>391</v>
      </c>
      <c r="AE977" s="243" t="b">
        <f t="shared" si="3"/>
        <v>0</v>
      </c>
      <c r="AF977" s="154"/>
      <c r="AG977" s="243" t="b">
        <f t="shared" si="4"/>
        <v>0</v>
      </c>
      <c r="AH977" s="154"/>
      <c r="AI977" s="243" t="str">
        <f t="shared" si="5"/>
        <v>N/A</v>
      </c>
      <c r="AJ977" s="157" t="str">
        <f t="shared" si="6"/>
        <v/>
      </c>
    </row>
    <row r="978" ht="12.75" customHeight="1">
      <c r="A978" s="238" t="s">
        <v>2412</v>
      </c>
      <c r="B978" s="238" t="s">
        <v>2633</v>
      </c>
      <c r="C978" s="238" t="s">
        <v>2763</v>
      </c>
      <c r="D978" s="238"/>
      <c r="E978" s="238"/>
      <c r="F978" s="154" t="str">
        <f t="array" ref="F978">XLOOKUP(Cover!$D$12,$S$1:$AA$1,$S978:$AA978)</f>
        <v>Heading</v>
      </c>
      <c r="G978" s="239" t="s">
        <v>2764</v>
      </c>
      <c r="H978" s="240"/>
      <c r="I978" s="240" t="s">
        <v>414</v>
      </c>
      <c r="J978" s="240"/>
      <c r="K978" s="240"/>
      <c r="L978" s="154" t="str">
        <f t="shared" si="1"/>
        <v/>
      </c>
      <c r="M978" s="241" t="str">
        <f>IFERROR(__xludf.DUMMYFUNCTION("VLOOKUP(C978,IMPORTRANGE(""https://docs.google.com/spreadsheets/d/1P8eX0NWBhUPS_hvzA11R6jkTNFrPrRYIx_dX_hYbxrk/edit?resourcekey=0-iw9bsKY2OqkUHCFMkCar3A&amp;gid=2055363397#gid=2055363397"",""MTR!C:O""),11,false)"),"")</f>
        <v/>
      </c>
      <c r="N978" s="241" t="str">
        <f>IFERROR(__xludf.DUMMYFUNCTION("VLOOKUP(C978,IMPORTRANGE(""https://docs.google.com/spreadsheets/d/1ihFlp3_ePlYtFuPbUNbYj1muErVpI73WHXbEwJDIA7Q/edit#gid=1493122344"",""MTR!C:O""),8,false)"),"")</f>
        <v/>
      </c>
      <c r="O978" s="241" t="str">
        <f>IFERROR(__xludf.DUMMYFUNCTION("VLOOKUP(C978,IMPORTRANGE(""https://docs.google.com/spreadsheets/d/1P8eX0NWBhUPS_hvzA11R6jkTNFrPrRYIx_dX_hYbxrk/edit?resourcekey=0-iw9bsKY2OqkUHCFMkCar3A&amp;gid=2055363397#gid=2055363397"",""MTR!C:O""),9,false)"),"")</f>
        <v/>
      </c>
      <c r="P978" s="241"/>
      <c r="Q978" s="251"/>
      <c r="R978" s="251"/>
      <c r="S978" s="240" t="s">
        <v>390</v>
      </c>
      <c r="T978" s="240" t="s">
        <v>390</v>
      </c>
      <c r="U978" s="240" t="s">
        <v>390</v>
      </c>
      <c r="V978" s="240" t="s">
        <v>390</v>
      </c>
      <c r="W978" s="240" t="s">
        <v>390</v>
      </c>
      <c r="X978" s="240" t="s">
        <v>390</v>
      </c>
      <c r="Y978" s="240" t="s">
        <v>390</v>
      </c>
      <c r="Z978" s="240" t="s">
        <v>390</v>
      </c>
      <c r="AA978" s="240" t="s">
        <v>390</v>
      </c>
      <c r="AB978" s="240"/>
      <c r="AC978" s="242" t="b">
        <f t="shared" si="2"/>
        <v>0</v>
      </c>
      <c r="AD978" s="240" t="s">
        <v>391</v>
      </c>
      <c r="AE978" s="243" t="b">
        <f t="shared" si="3"/>
        <v>0</v>
      </c>
      <c r="AF978" s="240"/>
      <c r="AG978" s="243" t="b">
        <f t="shared" si="4"/>
        <v>0</v>
      </c>
      <c r="AH978" s="240"/>
      <c r="AI978" s="243" t="str">
        <f t="shared" si="5"/>
        <v>N/A</v>
      </c>
      <c r="AJ978" s="157" t="str">
        <f t="shared" si="6"/>
        <v/>
      </c>
    </row>
    <row r="979" ht="12.75" customHeight="1">
      <c r="A979" s="244" t="s">
        <v>2412</v>
      </c>
      <c r="B979" s="244" t="s">
        <v>2633</v>
      </c>
      <c r="C979" s="245" t="s">
        <v>2765</v>
      </c>
      <c r="D979" s="155" t="s">
        <v>2476</v>
      </c>
      <c r="E979" s="246" t="s">
        <v>92</v>
      </c>
      <c r="F979" s="154" t="str">
        <f t="array" ref="F979">XLOOKUP(Cover!$D$12,$S$1:$AA$1,$S979:$AA979)</f>
        <v>Comments Vendor</v>
      </c>
      <c r="G979" s="154" t="s">
        <v>2766</v>
      </c>
      <c r="H979" s="154"/>
      <c r="I979" s="154" t="s">
        <v>414</v>
      </c>
      <c r="J979" s="154"/>
      <c r="K979" s="247" t="s">
        <v>2767</v>
      </c>
      <c r="L979" s="154" t="str">
        <f t="shared" si="1"/>
        <v/>
      </c>
      <c r="M979" s="248" t="str">
        <f>IFERROR(__xludf.DUMMYFUNCTION("VLOOKUP(C979,IMPORTRANGE(""https://docs.google.com/spreadsheets/d/1P8eX0NWBhUPS_hvzA11R6jkTNFrPrRYIx_dX_hYbxrk/edit?resourcekey=0-iw9bsKY2OqkUHCFMkCar3A&amp;gid=2055363397#gid=2055363397"",""MTR!C:O""),11,false)"),"TAM-SPEC")</f>
        <v>TAM-SPEC</v>
      </c>
      <c r="N979" s="241" t="str">
        <f>IFERROR(__xludf.DUMMYFUNCTION("VLOOKUP(C979,IMPORTRANGE(""https://docs.google.com/spreadsheets/d/1ihFlp3_ePlYtFuPbUNbYj1muErVpI73WHXbEwJDIA7Q/edit#gid=1493122344"",""MTR!C:O""),8,false)"),"")</f>
        <v/>
      </c>
      <c r="O979" s="248" t="str">
        <f>IFERROR(__xludf.DUMMYFUNCTION("VLOOKUP(C979,IMPORTRANGE(""https://docs.google.com/spreadsheets/d/1P8eX0NWBhUPS_hvzA11R6jkTNFrPrRYIx_dX_hYbxrk/edit?resourcekey=0-iw9bsKY2OqkUHCFMkCar3A&amp;gid=2055363397#gid=2055363397"",""MTR!C:O""),9,false)"),"16GB LPDDR5X")</f>
        <v>16GB LPDDR5X</v>
      </c>
      <c r="P979" s="248"/>
      <c r="Q979" s="248"/>
      <c r="R979" s="249" t="s">
        <v>2767</v>
      </c>
      <c r="S979" s="154" t="s">
        <v>62</v>
      </c>
      <c r="T979" s="154" t="s">
        <v>62</v>
      </c>
      <c r="U979" s="154" t="s">
        <v>62</v>
      </c>
      <c r="V979" s="154" t="s">
        <v>62</v>
      </c>
      <c r="W979" s="154" t="s">
        <v>62</v>
      </c>
      <c r="X979" s="154" t="s">
        <v>62</v>
      </c>
      <c r="Y979" s="154" t="s">
        <v>62</v>
      </c>
      <c r="Z979" s="154" t="s">
        <v>62</v>
      </c>
      <c r="AA979" s="154" t="s">
        <v>62</v>
      </c>
      <c r="AB979" s="154"/>
      <c r="AC979" s="242" t="b">
        <f t="shared" si="2"/>
        <v>1</v>
      </c>
      <c r="AD979" s="154" t="s">
        <v>68</v>
      </c>
      <c r="AE979" s="243" t="b">
        <f t="shared" si="3"/>
        <v>1</v>
      </c>
      <c r="AF979" s="154"/>
      <c r="AG979" s="243" t="b">
        <f t="shared" si="4"/>
        <v>0</v>
      </c>
      <c r="AH979" s="154"/>
      <c r="AI979" s="243" t="str">
        <f t="shared" si="5"/>
        <v>N/A</v>
      </c>
      <c r="AJ979" s="157" t="str">
        <f t="shared" si="6"/>
        <v/>
      </c>
    </row>
    <row r="980" ht="12.75" customHeight="1">
      <c r="A980" s="244" t="s">
        <v>2412</v>
      </c>
      <c r="B980" s="244" t="s">
        <v>2633</v>
      </c>
      <c r="C980" s="244" t="s">
        <v>2768</v>
      </c>
      <c r="D980" s="154" t="s">
        <v>2476</v>
      </c>
      <c r="E980" s="250"/>
      <c r="F980" s="154" t="str">
        <f t="array" ref="F980">XLOOKUP(Cover!$D$12,$S$1:$AA$1,$S980:$AA980)</f>
        <v>Comments Vendor</v>
      </c>
      <c r="G980" s="154" t="s">
        <v>2769</v>
      </c>
      <c r="H980" s="154"/>
      <c r="I980" s="154" t="s">
        <v>414</v>
      </c>
      <c r="J980" s="154"/>
      <c r="K980" s="247" t="s">
        <v>2770</v>
      </c>
      <c r="L980" s="154" t="str">
        <f t="shared" si="1"/>
        <v/>
      </c>
      <c r="M980" s="248" t="str">
        <f>IFERROR(__xludf.DUMMYFUNCTION("VLOOKUP(C980,IMPORTRANGE(""https://docs.google.com/spreadsheets/d/1P8eX0NWBhUPS_hvzA11R6jkTNFrPrRYIx_dX_hYbxrk/edit?resourcekey=0-iw9bsKY2OqkUHCFMkCar3A&amp;gid=2055363397#gid=2055363397"",""MTR!C:O""),11,false)"),"TAM-SPEC")</f>
        <v>TAM-SPEC</v>
      </c>
      <c r="N980" s="241" t="str">
        <f>IFERROR(__xludf.DUMMYFUNCTION("VLOOKUP(C980,IMPORTRANGE(""https://docs.google.com/spreadsheets/d/1ihFlp3_ePlYtFuPbUNbYj1muErVpI73WHXbEwJDIA7Q/edit#gid=1493122344"",""MTR!C:O""),8,false)"),"")</f>
        <v/>
      </c>
      <c r="O980" s="248" t="str">
        <f>IFERROR(__xludf.DUMMYFUNCTION("VLOOKUP(C980,IMPORTRANGE(""https://docs.google.com/spreadsheets/d/1P8eX0NWBhUPS_hvzA11R6jkTNFrPrRYIx_dX_hYbxrk/edit?resourcekey=0-iw9bsKY2OqkUHCFMkCar3A&amp;gid=2055363397#gid=2055363397"",""MTR!C:O""),9,false)"),"128/256/512GB/1TB ")</f>
        <v>128/256/512GB/1TB </v>
      </c>
      <c r="P980" s="248"/>
      <c r="Q980" s="248"/>
      <c r="R980" s="249" t="s">
        <v>2770</v>
      </c>
      <c r="S980" s="154" t="s">
        <v>62</v>
      </c>
      <c r="T980" s="154" t="s">
        <v>62</v>
      </c>
      <c r="U980" s="154" t="s">
        <v>62</v>
      </c>
      <c r="V980" s="154" t="s">
        <v>62</v>
      </c>
      <c r="W980" s="154" t="s">
        <v>62</v>
      </c>
      <c r="X980" s="154" t="s">
        <v>62</v>
      </c>
      <c r="Y980" s="154" t="s">
        <v>62</v>
      </c>
      <c r="Z980" s="154" t="s">
        <v>62</v>
      </c>
      <c r="AA980" s="154" t="s">
        <v>62</v>
      </c>
      <c r="AB980" s="154"/>
      <c r="AC980" s="242" t="b">
        <f t="shared" si="2"/>
        <v>1</v>
      </c>
      <c r="AD980" s="154" t="s">
        <v>68</v>
      </c>
      <c r="AE980" s="243" t="b">
        <f t="shared" si="3"/>
        <v>1</v>
      </c>
      <c r="AF980" s="154"/>
      <c r="AG980" s="243" t="b">
        <f t="shared" si="4"/>
        <v>0</v>
      </c>
      <c r="AH980" s="154"/>
      <c r="AI980" s="243" t="str">
        <f t="shared" si="5"/>
        <v>N/A</v>
      </c>
      <c r="AJ980" s="157" t="str">
        <f t="shared" si="6"/>
        <v/>
      </c>
    </row>
    <row r="981" ht="12.75" customHeight="1">
      <c r="A981" s="244" t="s">
        <v>2412</v>
      </c>
      <c r="B981" s="244" t="s">
        <v>2633</v>
      </c>
      <c r="C981" s="244" t="s">
        <v>2771</v>
      </c>
      <c r="D981" s="154" t="s">
        <v>422</v>
      </c>
      <c r="E981" s="250"/>
      <c r="F981" s="154" t="str">
        <f t="array" ref="F981">XLOOKUP(Cover!$D$12,$S$1:$AA$1,$S981:$AA981)</f>
        <v>Mandatory</v>
      </c>
      <c r="G981" s="154" t="s">
        <v>2772</v>
      </c>
      <c r="H981" s="154" t="s">
        <v>2642</v>
      </c>
      <c r="I981" s="154" t="s">
        <v>420</v>
      </c>
      <c r="J981" s="247" t="s">
        <v>617</v>
      </c>
      <c r="K981" s="247" t="s">
        <v>2773</v>
      </c>
      <c r="L981" s="154" t="str">
        <f t="shared" si="1"/>
        <v/>
      </c>
      <c r="M981" s="248" t="str">
        <f>IFERROR(__xludf.DUMMYFUNCTION("VLOOKUP(C981,IMPORTRANGE(""https://docs.google.com/spreadsheets/d/1P8eX0NWBhUPS_hvzA11R6jkTNFrPrRYIx_dX_hYbxrk/edit?resourcekey=0-iw9bsKY2OqkUHCFMkCar3A&amp;gid=2055363397#gid=2055363397"",""MTR!C:O""),11,false)"),"TAM-SPEC")</f>
        <v>TAM-SPEC</v>
      </c>
      <c r="N981" s="248" t="str">
        <f>IFERROR(__xludf.DUMMYFUNCTION("VLOOKUP(C981,IMPORTRANGE(""https://docs.google.com/spreadsheets/d/1ihFlp3_ePlYtFuPbUNbYj1muErVpI73WHXbEwJDIA7Q/edit#gid=1493122344"",""MTR!C:O""),8,false)"),"Not Applicable")</f>
        <v>Not Applicable</v>
      </c>
      <c r="O981" s="248" t="str">
        <f>IFERROR(__xludf.DUMMYFUNCTION("VLOOKUP(C981,IMPORTRANGE(""https://docs.google.com/spreadsheets/d/1P8eX0NWBhUPS_hvzA11R6jkTNFrPrRYIx_dX_hYbxrk/edit?resourcekey=0-iw9bsKY2OqkUHCFMkCar3A&amp;gid=2055363397#gid=2055363397"",""MTR!C:O""),9,false)"),"Offer one 3rd party application via PAI")</f>
        <v>Offer one 3rd party application via PAI</v>
      </c>
      <c r="P981" s="248"/>
      <c r="Q981" s="249" t="s">
        <v>617</v>
      </c>
      <c r="R981" s="249" t="s">
        <v>2773</v>
      </c>
      <c r="S981" s="154" t="s">
        <v>68</v>
      </c>
      <c r="T981" s="154" t="s">
        <v>60</v>
      </c>
      <c r="U981" s="154" t="s">
        <v>60</v>
      </c>
      <c r="V981" s="154" t="s">
        <v>60</v>
      </c>
      <c r="W981" s="154" t="s">
        <v>60</v>
      </c>
      <c r="X981" s="154" t="s">
        <v>60</v>
      </c>
      <c r="Y981" s="154" t="s">
        <v>60</v>
      </c>
      <c r="Z981" s="154" t="s">
        <v>60</v>
      </c>
      <c r="AA981" s="154" t="s">
        <v>60</v>
      </c>
      <c r="AB981" s="154"/>
      <c r="AC981" s="242" t="b">
        <f t="shared" si="2"/>
        <v>1</v>
      </c>
      <c r="AD981" s="154" t="s">
        <v>68</v>
      </c>
      <c r="AE981" s="243" t="b">
        <f t="shared" si="3"/>
        <v>0</v>
      </c>
      <c r="AF981" s="154"/>
      <c r="AG981" s="243" t="b">
        <f t="shared" si="4"/>
        <v>0</v>
      </c>
      <c r="AH981" s="154"/>
      <c r="AI981" s="243" t="str">
        <f t="shared" si="5"/>
        <v>N/A</v>
      </c>
      <c r="AJ981" s="157" t="str">
        <f t="shared" si="6"/>
        <v/>
      </c>
    </row>
    <row r="982" ht="12.75" customHeight="1">
      <c r="A982" s="244" t="s">
        <v>2412</v>
      </c>
      <c r="B982" s="244" t="s">
        <v>2633</v>
      </c>
      <c r="C982" s="244" t="s">
        <v>2774</v>
      </c>
      <c r="D982" s="154" t="s">
        <v>2746</v>
      </c>
      <c r="E982" s="250"/>
      <c r="F982" s="154" t="str">
        <f t="array" ref="F982">XLOOKUP(Cover!$D$12,$S$1:$AA$1,$S982:$AA982)</f>
        <v>Comments Vendor</v>
      </c>
      <c r="G982" s="153" t="s">
        <v>2775</v>
      </c>
      <c r="H982" s="154"/>
      <c r="I982" s="154" t="s">
        <v>420</v>
      </c>
      <c r="J982" s="154"/>
      <c r="K982" s="247" t="s">
        <v>2776</v>
      </c>
      <c r="L982" s="154" t="str">
        <f t="shared" si="1"/>
        <v/>
      </c>
      <c r="M982" s="248" t="str">
        <f>IFERROR(__xludf.DUMMYFUNCTION("VLOOKUP(C982,IMPORTRANGE(""https://docs.google.com/spreadsheets/d/1P8eX0NWBhUPS_hvzA11R6jkTNFrPrRYIx_dX_hYbxrk/edit?resourcekey=0-iw9bsKY2OqkUHCFMkCar3A&amp;gid=2055363397#gid=2055363397"",""MTR!C:O""),11,false)"),"TAM-SPEC")</f>
        <v>TAM-SPEC</v>
      </c>
      <c r="N982" s="241" t="str">
        <f>IFERROR(__xludf.DUMMYFUNCTION("VLOOKUP(C982,IMPORTRANGE(""https://docs.google.com/spreadsheets/d/1ihFlp3_ePlYtFuPbUNbYj1muErVpI73WHXbEwJDIA7Q/edit#gid=1493122344"",""MTR!C:O""),8,false)"),"")</f>
        <v/>
      </c>
      <c r="O982" s="248" t="str">
        <f>IFERROR(__xludf.DUMMYFUNCTION("VLOOKUP(C982,IMPORTRANGE(""https://docs.google.com/spreadsheets/d/1P8eX0NWBhUPS_hvzA11R6jkTNFrPrRYIx_dX_hYbxrk/edit?resourcekey=0-iw9bsKY2OqkUHCFMkCar3A&amp;gid=2055363397#gid=2055363397"",""MTR!C:O""),9,false)"),"System takes up to 30 GB")</f>
        <v>System takes up to 30 GB</v>
      </c>
      <c r="P982" s="248"/>
      <c r="Q982" s="249"/>
      <c r="R982" s="249" t="s">
        <v>2776</v>
      </c>
      <c r="S982" s="154" t="s">
        <v>62</v>
      </c>
      <c r="T982" s="154" t="s">
        <v>62</v>
      </c>
      <c r="U982" s="154" t="s">
        <v>62</v>
      </c>
      <c r="V982" s="154" t="s">
        <v>62</v>
      </c>
      <c r="W982" s="154" t="s">
        <v>62</v>
      </c>
      <c r="X982" s="154" t="s">
        <v>62</v>
      </c>
      <c r="Y982" s="154" t="s">
        <v>62</v>
      </c>
      <c r="Z982" s="154" t="s">
        <v>62</v>
      </c>
      <c r="AA982" s="154" t="s">
        <v>62</v>
      </c>
      <c r="AB982" s="154"/>
      <c r="AC982" s="242" t="b">
        <f t="shared" si="2"/>
        <v>1</v>
      </c>
      <c r="AD982" s="154" t="s">
        <v>68</v>
      </c>
      <c r="AE982" s="243" t="b">
        <f t="shared" si="3"/>
        <v>1</v>
      </c>
      <c r="AF982" s="154"/>
      <c r="AG982" s="243" t="b">
        <f t="shared" si="4"/>
        <v>0</v>
      </c>
      <c r="AH982" s="154"/>
      <c r="AI982" s="243" t="str">
        <f t="shared" si="5"/>
        <v>N/A</v>
      </c>
      <c r="AJ982" s="157" t="str">
        <f t="shared" si="6"/>
        <v/>
      </c>
    </row>
    <row r="983" ht="12.75" customHeight="1">
      <c r="A983" s="244" t="s">
        <v>2412</v>
      </c>
      <c r="B983" s="244" t="s">
        <v>2633</v>
      </c>
      <c r="C983" s="244" t="s">
        <v>2777</v>
      </c>
      <c r="D983" s="154" t="s">
        <v>477</v>
      </c>
      <c r="E983" s="250"/>
      <c r="F983" s="154" t="str">
        <f t="array" ref="F983">XLOOKUP(Cover!$D$12,$S$1:$AA$1,$S983:$AA983)</f>
        <v>Mandatory</v>
      </c>
      <c r="G983" s="153" t="s">
        <v>2778</v>
      </c>
      <c r="H983" s="154" t="s">
        <v>2642</v>
      </c>
      <c r="I983" s="154" t="s">
        <v>414</v>
      </c>
      <c r="J983" s="247" t="s">
        <v>617</v>
      </c>
      <c r="K983" s="154"/>
      <c r="L983" s="154" t="str">
        <f t="shared" si="1"/>
        <v/>
      </c>
      <c r="M983" s="248" t="str">
        <f>IFERROR(__xludf.DUMMYFUNCTION("VLOOKUP(C983,IMPORTRANGE(""https://docs.google.com/spreadsheets/d/1P8eX0NWBhUPS_hvzA11R6jkTNFrPrRYIx_dX_hYbxrk/edit?resourcekey=0-iw9bsKY2OqkUHCFMkCar3A&amp;gid=2055363397#gid=2055363397"",""MTR!C:O""),11,false)"),"TAM-SPEC")</f>
        <v>TAM-SPEC</v>
      </c>
      <c r="N983" s="248" t="str">
        <f>IFERROR(__xludf.DUMMYFUNCTION("VLOOKUP(C983,IMPORTRANGE(""https://docs.google.com/spreadsheets/d/1ihFlp3_ePlYtFuPbUNbYj1muErVpI73WHXbEwJDIA7Q/edit#gid=1493122344"",""MTR!C:O""),8,false)"),"Not Applicable")</f>
        <v>Not Applicable</v>
      </c>
      <c r="O983" s="241" t="str">
        <f>IFERROR(__xludf.DUMMYFUNCTION("VLOOKUP(C983,IMPORTRANGE(""https://docs.google.com/spreadsheets/d/1P8eX0NWBhUPS_hvzA11R6jkTNFrPrRYIx_dX_hYbxrk/edit?resourcekey=0-iw9bsKY2OqkUHCFMkCar3A&amp;gid=2055363397#gid=2055363397"",""MTR!C:O""),9,false)"),"")</f>
        <v/>
      </c>
      <c r="P983" s="241"/>
      <c r="Q983" s="251" t="s">
        <v>617</v>
      </c>
      <c r="R983" s="251"/>
      <c r="S983" s="154" t="s">
        <v>60</v>
      </c>
      <c r="T983" s="154" t="s">
        <v>60</v>
      </c>
      <c r="U983" s="154" t="s">
        <v>60</v>
      </c>
      <c r="V983" s="154" t="s">
        <v>60</v>
      </c>
      <c r="W983" s="154" t="s">
        <v>60</v>
      </c>
      <c r="X983" s="154" t="s">
        <v>60</v>
      </c>
      <c r="Y983" s="154" t="s">
        <v>60</v>
      </c>
      <c r="Z983" s="154" t="s">
        <v>60</v>
      </c>
      <c r="AA983" s="154" t="s">
        <v>60</v>
      </c>
      <c r="AB983" s="154"/>
      <c r="AC983" s="242" t="b">
        <f t="shared" si="2"/>
        <v>1</v>
      </c>
      <c r="AD983" s="154" t="s">
        <v>445</v>
      </c>
      <c r="AE983" s="243" t="b">
        <f t="shared" si="3"/>
        <v>0</v>
      </c>
      <c r="AF983" s="154"/>
      <c r="AG983" s="243" t="b">
        <f t="shared" si="4"/>
        <v>0</v>
      </c>
      <c r="AH983" s="154"/>
      <c r="AI983" s="243" t="str">
        <f t="shared" si="5"/>
        <v>N/A</v>
      </c>
      <c r="AJ983" s="157" t="str">
        <f t="shared" si="6"/>
        <v/>
      </c>
    </row>
    <row r="984" ht="12.75" customHeight="1">
      <c r="A984" s="238" t="s">
        <v>2412</v>
      </c>
      <c r="B984" s="238" t="s">
        <v>2633</v>
      </c>
      <c r="C984" s="238" t="s">
        <v>2779</v>
      </c>
      <c r="D984" s="238"/>
      <c r="E984" s="238"/>
      <c r="F984" s="154" t="str">
        <f t="array" ref="F984">XLOOKUP(Cover!$D$12,$S$1:$AA$1,$S984:$AA984)</f>
        <v>Heading</v>
      </c>
      <c r="G984" s="239" t="s">
        <v>2780</v>
      </c>
      <c r="H984" s="240"/>
      <c r="I984" s="240" t="s">
        <v>414</v>
      </c>
      <c r="J984" s="240"/>
      <c r="K984" s="240"/>
      <c r="L984" s="154" t="str">
        <f t="shared" si="1"/>
        <v/>
      </c>
      <c r="M984" s="241" t="str">
        <f>IFERROR(__xludf.DUMMYFUNCTION("VLOOKUP(C984,IMPORTRANGE(""https://docs.google.com/spreadsheets/d/1P8eX0NWBhUPS_hvzA11R6jkTNFrPrRYIx_dX_hYbxrk/edit?resourcekey=0-iw9bsKY2OqkUHCFMkCar3A&amp;gid=2055363397#gid=2055363397"",""MTR!C:O""),11,false)"),"")</f>
        <v/>
      </c>
      <c r="N984" s="241" t="str">
        <f>IFERROR(__xludf.DUMMYFUNCTION("VLOOKUP(C984,IMPORTRANGE(""https://docs.google.com/spreadsheets/d/1ihFlp3_ePlYtFuPbUNbYj1muErVpI73WHXbEwJDIA7Q/edit#gid=1493122344"",""MTR!C:O""),8,false)"),"")</f>
        <v/>
      </c>
      <c r="O984" s="241" t="str">
        <f>IFERROR(__xludf.DUMMYFUNCTION("VLOOKUP(C984,IMPORTRANGE(""https://docs.google.com/spreadsheets/d/1P8eX0NWBhUPS_hvzA11R6jkTNFrPrRYIx_dX_hYbxrk/edit?resourcekey=0-iw9bsKY2OqkUHCFMkCar3A&amp;gid=2055363397#gid=2055363397"",""MTR!C:O""),9,false)"),"")</f>
        <v/>
      </c>
      <c r="P984" s="241"/>
      <c r="Q984" s="251"/>
      <c r="R984" s="241"/>
      <c r="S984" s="240" t="s">
        <v>390</v>
      </c>
      <c r="T984" s="240" t="s">
        <v>390</v>
      </c>
      <c r="U984" s="240" t="s">
        <v>390</v>
      </c>
      <c r="V984" s="240" t="s">
        <v>390</v>
      </c>
      <c r="W984" s="240" t="s">
        <v>390</v>
      </c>
      <c r="X984" s="240" t="s">
        <v>390</v>
      </c>
      <c r="Y984" s="240" t="s">
        <v>390</v>
      </c>
      <c r="Z984" s="240" t="s">
        <v>390</v>
      </c>
      <c r="AA984" s="240" t="s">
        <v>390</v>
      </c>
      <c r="AB984" s="240"/>
      <c r="AC984" s="242" t="b">
        <f t="shared" si="2"/>
        <v>0</v>
      </c>
      <c r="AD984" s="240" t="s">
        <v>391</v>
      </c>
      <c r="AE984" s="243" t="b">
        <f t="shared" si="3"/>
        <v>0</v>
      </c>
      <c r="AF984" s="240"/>
      <c r="AG984" s="243" t="b">
        <f t="shared" si="4"/>
        <v>0</v>
      </c>
      <c r="AH984" s="240"/>
      <c r="AI984" s="243" t="str">
        <f t="shared" si="5"/>
        <v>N/A</v>
      </c>
      <c r="AJ984" s="157" t="str">
        <f t="shared" si="6"/>
        <v/>
      </c>
    </row>
    <row r="985" ht="12.75" customHeight="1">
      <c r="A985" s="244" t="s">
        <v>2412</v>
      </c>
      <c r="B985" s="244" t="s">
        <v>2633</v>
      </c>
      <c r="C985" s="244" t="s">
        <v>2781</v>
      </c>
      <c r="D985" s="154" t="s">
        <v>2746</v>
      </c>
      <c r="E985" s="250"/>
      <c r="F985" s="154" t="str">
        <f t="array" ref="F985">XLOOKUP(Cover!$D$12,$S$1:$AA$1,$S985:$AA985)</f>
        <v>Mandatory</v>
      </c>
      <c r="G985" s="154" t="s">
        <v>2782</v>
      </c>
      <c r="H985" s="154" t="s">
        <v>2642</v>
      </c>
      <c r="I985" s="154" t="s">
        <v>414</v>
      </c>
      <c r="J985" s="247" t="s">
        <v>445</v>
      </c>
      <c r="K985" s="154"/>
      <c r="L985" s="154" t="str">
        <f t="shared" si="1"/>
        <v/>
      </c>
      <c r="M985" s="248" t="str">
        <f>IFERROR(__xludf.DUMMYFUNCTION("VLOOKUP(C985,IMPORTRANGE(""https://docs.google.com/spreadsheets/d/1P8eX0NWBhUPS_hvzA11R6jkTNFrPrRYIx_dX_hYbxrk/edit?resourcekey=0-iw9bsKY2OqkUHCFMkCar3A&amp;gid=2055363397#gid=2055363397"",""MTR!C:O""),11,false)"),"TAM-SPEC")</f>
        <v>TAM-SPEC</v>
      </c>
      <c r="N985" s="248" t="str">
        <f>IFERROR(__xludf.DUMMYFUNCTION("VLOOKUP(C985,IMPORTRANGE(""https://docs.google.com/spreadsheets/d/1ihFlp3_ePlYtFuPbUNbYj1muErVpI73WHXbEwJDIA7Q/edit#gid=1493122344"",""MTR!C:O""),8,false)"),"Complies")</f>
        <v>Complies</v>
      </c>
      <c r="O985" s="241" t="str">
        <f>IFERROR(__xludf.DUMMYFUNCTION("VLOOKUP(C985,IMPORTRANGE(""https://docs.google.com/spreadsheets/d/1P8eX0NWBhUPS_hvzA11R6jkTNFrPrRYIx_dX_hYbxrk/edit?resourcekey=0-iw9bsKY2OqkUHCFMkCar3A&amp;gid=2055363397#gid=2055363397"",""MTR!C:O""),9,false)"),"")</f>
        <v/>
      </c>
      <c r="P985" s="241"/>
      <c r="Q985" s="251" t="s">
        <v>445</v>
      </c>
      <c r="R985" s="241"/>
      <c r="S985" s="154" t="s">
        <v>60</v>
      </c>
      <c r="T985" s="154" t="s">
        <v>60</v>
      </c>
      <c r="U985" s="154" t="s">
        <v>60</v>
      </c>
      <c r="V985" s="154" t="s">
        <v>60</v>
      </c>
      <c r="W985" s="154" t="s">
        <v>60</v>
      </c>
      <c r="X985" s="154" t="s">
        <v>60</v>
      </c>
      <c r="Y985" s="154" t="s">
        <v>60</v>
      </c>
      <c r="Z985" s="154" t="s">
        <v>60</v>
      </c>
      <c r="AA985" s="154" t="s">
        <v>60</v>
      </c>
      <c r="AB985" s="154"/>
      <c r="AC985" s="242" t="b">
        <f t="shared" si="2"/>
        <v>1</v>
      </c>
      <c r="AD985" s="154" t="s">
        <v>391</v>
      </c>
      <c r="AE985" s="243" t="b">
        <f t="shared" si="3"/>
        <v>0</v>
      </c>
      <c r="AF985" s="154"/>
      <c r="AG985" s="243" t="b">
        <f t="shared" si="4"/>
        <v>0</v>
      </c>
      <c r="AH985" s="154"/>
      <c r="AI985" s="243" t="str">
        <f t="shared" si="5"/>
        <v>N/A</v>
      </c>
      <c r="AJ985" s="157" t="str">
        <f t="shared" si="6"/>
        <v/>
      </c>
    </row>
    <row r="986" ht="12.75" customHeight="1">
      <c r="A986" s="244" t="s">
        <v>2412</v>
      </c>
      <c r="B986" s="244" t="s">
        <v>2633</v>
      </c>
      <c r="C986" s="244" t="s">
        <v>2783</v>
      </c>
      <c r="D986" s="154" t="s">
        <v>2746</v>
      </c>
      <c r="E986" s="250"/>
      <c r="F986" s="154" t="str">
        <f t="array" ref="F986">XLOOKUP(Cover!$D$12,$S$1:$AA$1,$S986:$AA986)</f>
        <v>Mandatory</v>
      </c>
      <c r="G986" s="154" t="s">
        <v>2784</v>
      </c>
      <c r="H986" s="154" t="s">
        <v>2642</v>
      </c>
      <c r="I986" s="154" t="s">
        <v>414</v>
      </c>
      <c r="J986" s="247" t="s">
        <v>445</v>
      </c>
      <c r="K986" s="154"/>
      <c r="L986" s="154" t="str">
        <f t="shared" si="1"/>
        <v/>
      </c>
      <c r="M986" s="248" t="str">
        <f>IFERROR(__xludf.DUMMYFUNCTION("VLOOKUP(C986,IMPORTRANGE(""https://docs.google.com/spreadsheets/d/1P8eX0NWBhUPS_hvzA11R6jkTNFrPrRYIx_dX_hYbxrk/edit?resourcekey=0-iw9bsKY2OqkUHCFMkCar3A&amp;gid=2055363397#gid=2055363397"",""MTR!C:O""),11,false)"),"TAM-SPEC")</f>
        <v>TAM-SPEC</v>
      </c>
      <c r="N986" s="248" t="str">
        <f>IFERROR(__xludf.DUMMYFUNCTION("VLOOKUP(C986,IMPORTRANGE(""https://docs.google.com/spreadsheets/d/1ihFlp3_ePlYtFuPbUNbYj1muErVpI73WHXbEwJDIA7Q/edit#gid=1493122344"",""MTR!C:O""),8,false)"),"Complies")</f>
        <v>Complies</v>
      </c>
      <c r="O986" s="241" t="str">
        <f>IFERROR(__xludf.DUMMYFUNCTION("VLOOKUP(C986,IMPORTRANGE(""https://docs.google.com/spreadsheets/d/1P8eX0NWBhUPS_hvzA11R6jkTNFrPrRYIx_dX_hYbxrk/edit?resourcekey=0-iw9bsKY2OqkUHCFMkCar3A&amp;gid=2055363397#gid=2055363397"",""MTR!C:O""),9,false)"),"")</f>
        <v/>
      </c>
      <c r="P986" s="241"/>
      <c r="Q986" s="251" t="s">
        <v>445</v>
      </c>
      <c r="R986" s="241"/>
      <c r="S986" s="154" t="s">
        <v>60</v>
      </c>
      <c r="T986" s="154" t="s">
        <v>60</v>
      </c>
      <c r="U986" s="154" t="s">
        <v>60</v>
      </c>
      <c r="V986" s="154" t="s">
        <v>60</v>
      </c>
      <c r="W986" s="154" t="s">
        <v>60</v>
      </c>
      <c r="X986" s="154" t="s">
        <v>60</v>
      </c>
      <c r="Y986" s="154" t="s">
        <v>60</v>
      </c>
      <c r="Z986" s="154" t="s">
        <v>60</v>
      </c>
      <c r="AA986" s="154" t="s">
        <v>60</v>
      </c>
      <c r="AB986" s="154"/>
      <c r="AC986" s="242" t="b">
        <f t="shared" si="2"/>
        <v>1</v>
      </c>
      <c r="AD986" s="154" t="s">
        <v>516</v>
      </c>
      <c r="AE986" s="243" t="b">
        <f t="shared" si="3"/>
        <v>0</v>
      </c>
      <c r="AF986" s="154"/>
      <c r="AG986" s="243" t="b">
        <f t="shared" si="4"/>
        <v>0</v>
      </c>
      <c r="AH986" s="154"/>
      <c r="AI986" s="243" t="str">
        <f t="shared" si="5"/>
        <v>N/A</v>
      </c>
      <c r="AJ986" s="157" t="str">
        <f t="shared" si="6"/>
        <v/>
      </c>
    </row>
    <row r="987" ht="12.75" customHeight="1">
      <c r="A987" s="244" t="s">
        <v>2412</v>
      </c>
      <c r="B987" s="244" t="s">
        <v>2633</v>
      </c>
      <c r="C987" s="245" t="s">
        <v>2785</v>
      </c>
      <c r="D987" s="155" t="s">
        <v>2746</v>
      </c>
      <c r="E987" s="246" t="s">
        <v>92</v>
      </c>
      <c r="F987" s="154" t="str">
        <f t="array" ref="F987">XLOOKUP(Cover!$D$12,$S$1:$AA$1,$S987:$AA987)</f>
        <v>Mandatory</v>
      </c>
      <c r="G987" s="153" t="s">
        <v>2786</v>
      </c>
      <c r="H987" s="154" t="s">
        <v>2642</v>
      </c>
      <c r="I987" s="154" t="s">
        <v>414</v>
      </c>
      <c r="J987" s="247" t="s">
        <v>445</v>
      </c>
      <c r="K987" s="154"/>
      <c r="L987" s="154" t="str">
        <f t="shared" si="1"/>
        <v/>
      </c>
      <c r="M987" s="248" t="str">
        <f>IFERROR(__xludf.DUMMYFUNCTION("VLOOKUP(C987,IMPORTRANGE(""https://docs.google.com/spreadsheets/d/1P8eX0NWBhUPS_hvzA11R6jkTNFrPrRYIx_dX_hYbxrk/edit?resourcekey=0-iw9bsKY2OqkUHCFMkCar3A&amp;gid=2055363397#gid=2055363397"",""MTR!C:O""),11,false)"),"TAM-SPEC")</f>
        <v>TAM-SPEC</v>
      </c>
      <c r="N987" s="248" t="str">
        <f>IFERROR(__xludf.DUMMYFUNCTION("VLOOKUP(C987,IMPORTRANGE(""https://docs.google.com/spreadsheets/d/1ihFlp3_ePlYtFuPbUNbYj1muErVpI73WHXbEwJDIA7Q/edit#gid=1493122344"",""MTR!C:O""),8,false)"),"Complies")</f>
        <v>Complies</v>
      </c>
      <c r="O987" s="241" t="str">
        <f>IFERROR(__xludf.DUMMYFUNCTION("VLOOKUP(C987,IMPORTRANGE(""https://docs.google.com/spreadsheets/d/1P8eX0NWBhUPS_hvzA11R6jkTNFrPrRYIx_dX_hYbxrk/edit?resourcekey=0-iw9bsKY2OqkUHCFMkCar3A&amp;gid=2055363397#gid=2055363397"",""MTR!C:O""),9,false)"),"")</f>
        <v/>
      </c>
      <c r="P987" s="241"/>
      <c r="Q987" s="251" t="s">
        <v>445</v>
      </c>
      <c r="R987" s="241"/>
      <c r="S987" s="154" t="s">
        <v>60</v>
      </c>
      <c r="T987" s="154" t="s">
        <v>60</v>
      </c>
      <c r="U987" s="154" t="s">
        <v>60</v>
      </c>
      <c r="V987" s="154" t="s">
        <v>60</v>
      </c>
      <c r="W987" s="154" t="s">
        <v>60</v>
      </c>
      <c r="X987" s="154" t="s">
        <v>60</v>
      </c>
      <c r="Y987" s="154" t="s">
        <v>60</v>
      </c>
      <c r="Z987" s="154" t="s">
        <v>60</v>
      </c>
      <c r="AA987" s="154" t="s">
        <v>60</v>
      </c>
      <c r="AB987" s="154"/>
      <c r="AC987" s="242" t="b">
        <f t="shared" si="2"/>
        <v>1</v>
      </c>
      <c r="AD987" s="154" t="s">
        <v>391</v>
      </c>
      <c r="AE987" s="243" t="b">
        <f t="shared" si="3"/>
        <v>0</v>
      </c>
      <c r="AF987" s="154"/>
      <c r="AG987" s="243" t="b">
        <f t="shared" si="4"/>
        <v>0</v>
      </c>
      <c r="AH987" s="154"/>
      <c r="AI987" s="243" t="str">
        <f t="shared" si="5"/>
        <v>N/A</v>
      </c>
      <c r="AJ987" s="157" t="str">
        <f t="shared" si="6"/>
        <v/>
      </c>
    </row>
    <row r="988" ht="12.75" customHeight="1">
      <c r="A988" s="244" t="s">
        <v>2412</v>
      </c>
      <c r="B988" s="244" t="s">
        <v>2633</v>
      </c>
      <c r="C988" s="245" t="s">
        <v>2787</v>
      </c>
      <c r="D988" s="155" t="s">
        <v>2746</v>
      </c>
      <c r="E988" s="246" t="s">
        <v>92</v>
      </c>
      <c r="F988" s="154" t="str">
        <f t="array" ref="F988">XLOOKUP(Cover!$D$12,$S$1:$AA$1,$S988:$AA988)</f>
        <v>Mandatory</v>
      </c>
      <c r="G988" s="153" t="s">
        <v>2788</v>
      </c>
      <c r="H988" s="154" t="s">
        <v>2642</v>
      </c>
      <c r="I988" s="154" t="s">
        <v>414</v>
      </c>
      <c r="J988" s="247" t="s">
        <v>445</v>
      </c>
      <c r="K988" s="154"/>
      <c r="L988" s="154" t="str">
        <f t="shared" si="1"/>
        <v/>
      </c>
      <c r="M988" s="248" t="str">
        <f>IFERROR(__xludf.DUMMYFUNCTION("VLOOKUP(C988,IMPORTRANGE(""https://docs.google.com/spreadsheets/d/1P8eX0NWBhUPS_hvzA11R6jkTNFrPrRYIx_dX_hYbxrk/edit?resourcekey=0-iw9bsKY2OqkUHCFMkCar3A&amp;gid=2055363397#gid=2055363397"",""MTR!C:O""),11,false)"),"TAM-SPEC")</f>
        <v>TAM-SPEC</v>
      </c>
      <c r="N988" s="248" t="str">
        <f>IFERROR(__xludf.DUMMYFUNCTION("VLOOKUP(C988,IMPORTRANGE(""https://docs.google.com/spreadsheets/d/1ihFlp3_ePlYtFuPbUNbYj1muErVpI73WHXbEwJDIA7Q/edit#gid=1493122344"",""MTR!C:O""),8,false)"),"Complies")</f>
        <v>Complies</v>
      </c>
      <c r="O988" s="241" t="str">
        <f>IFERROR(__xludf.DUMMYFUNCTION("VLOOKUP(C988,IMPORTRANGE(""https://docs.google.com/spreadsheets/d/1P8eX0NWBhUPS_hvzA11R6jkTNFrPrRYIx_dX_hYbxrk/edit?resourcekey=0-iw9bsKY2OqkUHCFMkCar3A&amp;gid=2055363397#gid=2055363397"",""MTR!C:O""),9,false)"),"")</f>
        <v/>
      </c>
      <c r="P988" s="241"/>
      <c r="Q988" s="251" t="s">
        <v>445</v>
      </c>
      <c r="R988" s="241"/>
      <c r="S988" s="154" t="s">
        <v>60</v>
      </c>
      <c r="T988" s="154" t="s">
        <v>60</v>
      </c>
      <c r="U988" s="154" t="s">
        <v>60</v>
      </c>
      <c r="V988" s="154" t="s">
        <v>60</v>
      </c>
      <c r="W988" s="154" t="s">
        <v>60</v>
      </c>
      <c r="X988" s="154" t="s">
        <v>60</v>
      </c>
      <c r="Y988" s="154" t="s">
        <v>60</v>
      </c>
      <c r="Z988" s="154" t="s">
        <v>60</v>
      </c>
      <c r="AA988" s="154" t="s">
        <v>60</v>
      </c>
      <c r="AB988" s="154"/>
      <c r="AC988" s="242" t="b">
        <f t="shared" si="2"/>
        <v>1</v>
      </c>
      <c r="AD988" s="154" t="s">
        <v>391</v>
      </c>
      <c r="AE988" s="243" t="b">
        <f t="shared" si="3"/>
        <v>0</v>
      </c>
      <c r="AF988" s="154"/>
      <c r="AG988" s="243" t="b">
        <f t="shared" si="4"/>
        <v>0</v>
      </c>
      <c r="AH988" s="154"/>
      <c r="AI988" s="243" t="str">
        <f t="shared" si="5"/>
        <v>N/A</v>
      </c>
      <c r="AJ988" s="157" t="str">
        <f t="shared" si="6"/>
        <v/>
      </c>
    </row>
    <row r="989" ht="12.75" customHeight="1">
      <c r="A989" s="244" t="s">
        <v>2412</v>
      </c>
      <c r="B989" s="244" t="s">
        <v>2633</v>
      </c>
      <c r="C989" s="245" t="s">
        <v>2789</v>
      </c>
      <c r="D989" s="155" t="s">
        <v>2746</v>
      </c>
      <c r="E989" s="246" t="s">
        <v>92</v>
      </c>
      <c r="F989" s="154" t="str">
        <f t="array" ref="F989">XLOOKUP(Cover!$D$12,$S$1:$AA$1,$S989:$AA989)</f>
        <v>Mandatory</v>
      </c>
      <c r="G989" s="153" t="s">
        <v>2790</v>
      </c>
      <c r="H989" s="154" t="s">
        <v>2642</v>
      </c>
      <c r="I989" s="154" t="s">
        <v>414</v>
      </c>
      <c r="J989" s="247" t="s">
        <v>445</v>
      </c>
      <c r="K989" s="154"/>
      <c r="L989" s="154" t="str">
        <f t="shared" si="1"/>
        <v/>
      </c>
      <c r="M989" s="248" t="str">
        <f>IFERROR(__xludf.DUMMYFUNCTION("VLOOKUP(C989,IMPORTRANGE(""https://docs.google.com/spreadsheets/d/1P8eX0NWBhUPS_hvzA11R6jkTNFrPrRYIx_dX_hYbxrk/edit?resourcekey=0-iw9bsKY2OqkUHCFMkCar3A&amp;gid=2055363397#gid=2055363397"",""MTR!C:O""),11,false)"),"TAM-SPEC")</f>
        <v>TAM-SPEC</v>
      </c>
      <c r="N989" s="248" t="str">
        <f>IFERROR(__xludf.DUMMYFUNCTION("VLOOKUP(C989,IMPORTRANGE(""https://docs.google.com/spreadsheets/d/1ihFlp3_ePlYtFuPbUNbYj1muErVpI73WHXbEwJDIA7Q/edit#gid=1493122344"",""MTR!C:O""),8,false)"),"Complies")</f>
        <v>Complies</v>
      </c>
      <c r="O989" s="241" t="str">
        <f>IFERROR(__xludf.DUMMYFUNCTION("VLOOKUP(C989,IMPORTRANGE(""https://docs.google.com/spreadsheets/d/1P8eX0NWBhUPS_hvzA11R6jkTNFrPrRYIx_dX_hYbxrk/edit?resourcekey=0-iw9bsKY2OqkUHCFMkCar3A&amp;gid=2055363397#gid=2055363397"",""MTR!C:O""),9,false)"),"")</f>
        <v/>
      </c>
      <c r="P989" s="241"/>
      <c r="Q989" s="251" t="s">
        <v>445</v>
      </c>
      <c r="R989" s="241"/>
      <c r="S989" s="154" t="s">
        <v>60</v>
      </c>
      <c r="T989" s="154" t="s">
        <v>60</v>
      </c>
      <c r="U989" s="154" t="s">
        <v>60</v>
      </c>
      <c r="V989" s="154" t="s">
        <v>60</v>
      </c>
      <c r="W989" s="154" t="s">
        <v>60</v>
      </c>
      <c r="X989" s="154" t="s">
        <v>60</v>
      </c>
      <c r="Y989" s="154" t="s">
        <v>60</v>
      </c>
      <c r="Z989" s="154" t="s">
        <v>60</v>
      </c>
      <c r="AA989" s="154" t="s">
        <v>60</v>
      </c>
      <c r="AB989" s="154"/>
      <c r="AC989" s="242" t="b">
        <f t="shared" si="2"/>
        <v>1</v>
      </c>
      <c r="AD989" s="154" t="s">
        <v>391</v>
      </c>
      <c r="AE989" s="243" t="b">
        <f t="shared" si="3"/>
        <v>0</v>
      </c>
      <c r="AF989" s="154"/>
      <c r="AG989" s="243" t="b">
        <f t="shared" si="4"/>
        <v>0</v>
      </c>
      <c r="AH989" s="154"/>
      <c r="AI989" s="243" t="str">
        <f t="shared" si="5"/>
        <v>N/A</v>
      </c>
      <c r="AJ989" s="157" t="str">
        <f t="shared" si="6"/>
        <v/>
      </c>
    </row>
    <row r="990" ht="12.75" customHeight="1">
      <c r="A990" s="244" t="s">
        <v>2412</v>
      </c>
      <c r="B990" s="244" t="s">
        <v>2633</v>
      </c>
      <c r="C990" s="245" t="s">
        <v>2791</v>
      </c>
      <c r="D990" s="155" t="s">
        <v>2746</v>
      </c>
      <c r="E990" s="246" t="s">
        <v>92</v>
      </c>
      <c r="F990" s="154" t="str">
        <f t="array" ref="F990">XLOOKUP(Cover!$D$12,$S$1:$AA$1,$S990:$AA990)</f>
        <v>Mandatory</v>
      </c>
      <c r="G990" s="153" t="s">
        <v>2792</v>
      </c>
      <c r="H990" s="154" t="s">
        <v>2642</v>
      </c>
      <c r="I990" s="154" t="s">
        <v>414</v>
      </c>
      <c r="J990" s="247" t="s">
        <v>445</v>
      </c>
      <c r="K990" s="154"/>
      <c r="L990" s="154" t="str">
        <f t="shared" si="1"/>
        <v/>
      </c>
      <c r="M990" s="248" t="str">
        <f>IFERROR(__xludf.DUMMYFUNCTION("VLOOKUP(C990,IMPORTRANGE(""https://docs.google.com/spreadsheets/d/1P8eX0NWBhUPS_hvzA11R6jkTNFrPrRYIx_dX_hYbxrk/edit?resourcekey=0-iw9bsKY2OqkUHCFMkCar3A&amp;gid=2055363397#gid=2055363397"",""MTR!C:O""),11,false)"),"TAM-SPEC")</f>
        <v>TAM-SPEC</v>
      </c>
      <c r="N990" s="248" t="str">
        <f>IFERROR(__xludf.DUMMYFUNCTION("VLOOKUP(C990,IMPORTRANGE(""https://docs.google.com/spreadsheets/d/1ihFlp3_ePlYtFuPbUNbYj1muErVpI73WHXbEwJDIA7Q/edit#gid=1493122344"",""MTR!C:O""),8,false)"),"Complies")</f>
        <v>Complies</v>
      </c>
      <c r="O990" s="241" t="str">
        <f>IFERROR(__xludf.DUMMYFUNCTION("VLOOKUP(C990,IMPORTRANGE(""https://docs.google.com/spreadsheets/d/1P8eX0NWBhUPS_hvzA11R6jkTNFrPrRYIx_dX_hYbxrk/edit?resourcekey=0-iw9bsKY2OqkUHCFMkCar3A&amp;gid=2055363397#gid=2055363397"",""MTR!C:O""),9,false)"),"")</f>
        <v/>
      </c>
      <c r="P990" s="241"/>
      <c r="Q990" s="251" t="s">
        <v>445</v>
      </c>
      <c r="R990" s="241"/>
      <c r="S990" s="154" t="s">
        <v>60</v>
      </c>
      <c r="T990" s="154" t="s">
        <v>60</v>
      </c>
      <c r="U990" s="154" t="s">
        <v>60</v>
      </c>
      <c r="V990" s="154" t="s">
        <v>60</v>
      </c>
      <c r="W990" s="154" t="s">
        <v>60</v>
      </c>
      <c r="X990" s="154" t="s">
        <v>60</v>
      </c>
      <c r="Y990" s="154" t="s">
        <v>60</v>
      </c>
      <c r="Z990" s="154" t="s">
        <v>60</v>
      </c>
      <c r="AA990" s="154" t="s">
        <v>60</v>
      </c>
      <c r="AB990" s="154"/>
      <c r="AC990" s="242" t="b">
        <f t="shared" si="2"/>
        <v>1</v>
      </c>
      <c r="AD990" s="154" t="s">
        <v>391</v>
      </c>
      <c r="AE990" s="243" t="b">
        <f t="shared" si="3"/>
        <v>0</v>
      </c>
      <c r="AF990" s="154"/>
      <c r="AG990" s="243" t="b">
        <f t="shared" si="4"/>
        <v>0</v>
      </c>
      <c r="AH990" s="154"/>
      <c r="AI990" s="243" t="str">
        <f t="shared" si="5"/>
        <v>N/A</v>
      </c>
      <c r="AJ990" s="157" t="str">
        <f t="shared" si="6"/>
        <v/>
      </c>
    </row>
    <row r="991" ht="12.75" customHeight="1">
      <c r="A991" s="244" t="s">
        <v>2412</v>
      </c>
      <c r="B991" s="244" t="s">
        <v>2633</v>
      </c>
      <c r="C991" s="245" t="s">
        <v>2793</v>
      </c>
      <c r="D991" s="155" t="s">
        <v>477</v>
      </c>
      <c r="E991" s="246" t="s">
        <v>92</v>
      </c>
      <c r="F991" s="154" t="str">
        <f t="array" ref="F991">XLOOKUP(Cover!$D$12,$S$1:$AA$1,$S991:$AA991)</f>
        <v>Mandatory</v>
      </c>
      <c r="G991" s="153" t="s">
        <v>2794</v>
      </c>
      <c r="H991" s="154" t="s">
        <v>2642</v>
      </c>
      <c r="I991" s="154" t="s">
        <v>414</v>
      </c>
      <c r="J991" s="247" t="s">
        <v>445</v>
      </c>
      <c r="K991" s="154"/>
      <c r="L991" s="154" t="str">
        <f t="shared" si="1"/>
        <v/>
      </c>
      <c r="M991" s="248" t="str">
        <f>IFERROR(__xludf.DUMMYFUNCTION("VLOOKUP(C991,IMPORTRANGE(""https://docs.google.com/spreadsheets/d/1P8eX0NWBhUPS_hvzA11R6jkTNFrPrRYIx_dX_hYbxrk/edit?resourcekey=0-iw9bsKY2OqkUHCFMkCar3A&amp;gid=2055363397#gid=2055363397"",""MTR!C:O""),11,false)"),"TAM-SPEC")</f>
        <v>TAM-SPEC</v>
      </c>
      <c r="N991" s="248" t="str">
        <f>IFERROR(__xludf.DUMMYFUNCTION("VLOOKUP(C991,IMPORTRANGE(""https://docs.google.com/spreadsheets/d/1ihFlp3_ePlYtFuPbUNbYj1muErVpI73WHXbEwJDIA7Q/edit#gid=1493122344"",""MTR!C:O""),8,false)"),"Complies")</f>
        <v>Complies</v>
      </c>
      <c r="O991" s="241" t="str">
        <f>IFERROR(__xludf.DUMMYFUNCTION("VLOOKUP(C991,IMPORTRANGE(""https://docs.google.com/spreadsheets/d/1P8eX0NWBhUPS_hvzA11R6jkTNFrPrRYIx_dX_hYbxrk/edit?resourcekey=0-iw9bsKY2OqkUHCFMkCar3A&amp;gid=2055363397#gid=2055363397"",""MTR!C:O""),9,false)"),"")</f>
        <v/>
      </c>
      <c r="P991" s="241"/>
      <c r="Q991" s="251" t="s">
        <v>445</v>
      </c>
      <c r="R991" s="241"/>
      <c r="S991" s="154" t="s">
        <v>60</v>
      </c>
      <c r="T991" s="154" t="s">
        <v>60</v>
      </c>
      <c r="U991" s="154" t="s">
        <v>60</v>
      </c>
      <c r="V991" s="154" t="s">
        <v>60</v>
      </c>
      <c r="W991" s="154" t="s">
        <v>60</v>
      </c>
      <c r="X991" s="154" t="s">
        <v>60</v>
      </c>
      <c r="Y991" s="154" t="s">
        <v>60</v>
      </c>
      <c r="Z991" s="154" t="s">
        <v>60</v>
      </c>
      <c r="AA991" s="154" t="s">
        <v>60</v>
      </c>
      <c r="AB991" s="154"/>
      <c r="AC991" s="242" t="b">
        <f t="shared" si="2"/>
        <v>1</v>
      </c>
      <c r="AD991" s="154" t="s">
        <v>391</v>
      </c>
      <c r="AE991" s="243" t="b">
        <f t="shared" si="3"/>
        <v>0</v>
      </c>
      <c r="AF991" s="154"/>
      <c r="AG991" s="243" t="b">
        <f t="shared" si="4"/>
        <v>0</v>
      </c>
      <c r="AH991" s="154"/>
      <c r="AI991" s="243" t="str">
        <f t="shared" si="5"/>
        <v>N/A</v>
      </c>
      <c r="AJ991" s="157" t="str">
        <f t="shared" si="6"/>
        <v/>
      </c>
    </row>
    <row r="992" ht="12.75" customHeight="1">
      <c r="A992" s="244" t="s">
        <v>2412</v>
      </c>
      <c r="B992" s="244" t="s">
        <v>2633</v>
      </c>
      <c r="C992" s="245" t="s">
        <v>2795</v>
      </c>
      <c r="D992" s="155" t="s">
        <v>2746</v>
      </c>
      <c r="E992" s="246" t="s">
        <v>92</v>
      </c>
      <c r="F992" s="154" t="str">
        <f t="array" ref="F992">XLOOKUP(Cover!$D$12,$S$1:$AA$1,$S992:$AA992)</f>
        <v>Mandatory</v>
      </c>
      <c r="G992" s="153" t="s">
        <v>2796</v>
      </c>
      <c r="H992" s="154" t="s">
        <v>2642</v>
      </c>
      <c r="I992" s="154" t="s">
        <v>414</v>
      </c>
      <c r="J992" s="247" t="s">
        <v>445</v>
      </c>
      <c r="K992" s="154"/>
      <c r="L992" s="154" t="str">
        <f t="shared" si="1"/>
        <v/>
      </c>
      <c r="M992" s="248" t="str">
        <f>IFERROR(__xludf.DUMMYFUNCTION("VLOOKUP(C992,IMPORTRANGE(""https://docs.google.com/spreadsheets/d/1P8eX0NWBhUPS_hvzA11R6jkTNFrPrRYIx_dX_hYbxrk/edit?resourcekey=0-iw9bsKY2OqkUHCFMkCar3A&amp;gid=2055363397#gid=2055363397"",""MTR!C:O""),11,false)"),"TAM-SPEC")</f>
        <v>TAM-SPEC</v>
      </c>
      <c r="N992" s="248" t="str">
        <f>IFERROR(__xludf.DUMMYFUNCTION("VLOOKUP(C992,IMPORTRANGE(""https://docs.google.com/spreadsheets/d/1ihFlp3_ePlYtFuPbUNbYj1muErVpI73WHXbEwJDIA7Q/edit#gid=1493122344"",""MTR!C:O""),8,false)"),"Complies")</f>
        <v>Complies</v>
      </c>
      <c r="O992" s="241" t="str">
        <f>IFERROR(__xludf.DUMMYFUNCTION("VLOOKUP(C992,IMPORTRANGE(""https://docs.google.com/spreadsheets/d/1P8eX0NWBhUPS_hvzA11R6jkTNFrPrRYIx_dX_hYbxrk/edit?resourcekey=0-iw9bsKY2OqkUHCFMkCar3A&amp;gid=2055363397#gid=2055363397"",""MTR!C:O""),9,false)"),"")</f>
        <v/>
      </c>
      <c r="P992" s="241"/>
      <c r="Q992" s="251" t="s">
        <v>445</v>
      </c>
      <c r="R992" s="241"/>
      <c r="S992" s="154" t="s">
        <v>60</v>
      </c>
      <c r="T992" s="154" t="s">
        <v>60</v>
      </c>
      <c r="U992" s="154" t="s">
        <v>60</v>
      </c>
      <c r="V992" s="154" t="s">
        <v>60</v>
      </c>
      <c r="W992" s="154" t="s">
        <v>60</v>
      </c>
      <c r="X992" s="154" t="s">
        <v>60</v>
      </c>
      <c r="Y992" s="154" t="s">
        <v>60</v>
      </c>
      <c r="Z992" s="154" t="s">
        <v>60</v>
      </c>
      <c r="AA992" s="154" t="s">
        <v>60</v>
      </c>
      <c r="AB992" s="154"/>
      <c r="AC992" s="242" t="b">
        <f t="shared" si="2"/>
        <v>1</v>
      </c>
      <c r="AD992" s="154" t="s">
        <v>391</v>
      </c>
      <c r="AE992" s="243" t="b">
        <f t="shared" si="3"/>
        <v>0</v>
      </c>
      <c r="AF992" s="154"/>
      <c r="AG992" s="243" t="b">
        <f t="shared" si="4"/>
        <v>0</v>
      </c>
      <c r="AH992" s="154"/>
      <c r="AI992" s="243" t="str">
        <f t="shared" si="5"/>
        <v>N/A</v>
      </c>
      <c r="AJ992" s="157" t="str">
        <f t="shared" si="6"/>
        <v/>
      </c>
    </row>
    <row r="993" ht="12.75" customHeight="1">
      <c r="A993" s="244" t="s">
        <v>2412</v>
      </c>
      <c r="B993" s="244" t="s">
        <v>2633</v>
      </c>
      <c r="C993" s="245" t="s">
        <v>2797</v>
      </c>
      <c r="D993" s="155" t="s">
        <v>2746</v>
      </c>
      <c r="E993" s="246" t="s">
        <v>92</v>
      </c>
      <c r="F993" s="154" t="str">
        <f t="array" ref="F993">XLOOKUP(Cover!$D$12,$S$1:$AA$1,$S993:$AA993)</f>
        <v>Mandatory</v>
      </c>
      <c r="G993" s="153" t="s">
        <v>2798</v>
      </c>
      <c r="H993" s="154" t="s">
        <v>2642</v>
      </c>
      <c r="I993" s="154" t="s">
        <v>414</v>
      </c>
      <c r="J993" s="247" t="s">
        <v>445</v>
      </c>
      <c r="K993" s="154"/>
      <c r="L993" s="154" t="str">
        <f t="shared" si="1"/>
        <v/>
      </c>
      <c r="M993" s="248" t="str">
        <f>IFERROR(__xludf.DUMMYFUNCTION("VLOOKUP(C993,IMPORTRANGE(""https://docs.google.com/spreadsheets/d/1P8eX0NWBhUPS_hvzA11R6jkTNFrPrRYIx_dX_hYbxrk/edit?resourcekey=0-iw9bsKY2OqkUHCFMkCar3A&amp;gid=2055363397#gid=2055363397"",""MTR!C:O""),11,false)"),"TAM-SPEC")</f>
        <v>TAM-SPEC</v>
      </c>
      <c r="N993" s="248" t="str">
        <f>IFERROR(__xludf.DUMMYFUNCTION("VLOOKUP(C993,IMPORTRANGE(""https://docs.google.com/spreadsheets/d/1ihFlp3_ePlYtFuPbUNbYj1muErVpI73WHXbEwJDIA7Q/edit#gid=1493122344"",""MTR!C:O""),8,false)"),"Complies")</f>
        <v>Complies</v>
      </c>
      <c r="O993" s="241" t="str">
        <f>IFERROR(__xludf.DUMMYFUNCTION("VLOOKUP(C993,IMPORTRANGE(""https://docs.google.com/spreadsheets/d/1P8eX0NWBhUPS_hvzA11R6jkTNFrPrRYIx_dX_hYbxrk/edit?resourcekey=0-iw9bsKY2OqkUHCFMkCar3A&amp;gid=2055363397#gid=2055363397"",""MTR!C:O""),9,false)"),"")</f>
        <v/>
      </c>
      <c r="P993" s="241"/>
      <c r="Q993" s="251" t="s">
        <v>445</v>
      </c>
      <c r="R993" s="241"/>
      <c r="S993" s="154" t="s">
        <v>60</v>
      </c>
      <c r="T993" s="154" t="s">
        <v>60</v>
      </c>
      <c r="U993" s="154" t="s">
        <v>60</v>
      </c>
      <c r="V993" s="154" t="s">
        <v>60</v>
      </c>
      <c r="W993" s="154" t="s">
        <v>60</v>
      </c>
      <c r="X993" s="154" t="s">
        <v>60</v>
      </c>
      <c r="Y993" s="154" t="s">
        <v>60</v>
      </c>
      <c r="Z993" s="154" t="s">
        <v>60</v>
      </c>
      <c r="AA993" s="154" t="s">
        <v>60</v>
      </c>
      <c r="AB993" s="154"/>
      <c r="AC993" s="242" t="b">
        <f t="shared" si="2"/>
        <v>1</v>
      </c>
      <c r="AD993" s="154" t="s">
        <v>391</v>
      </c>
      <c r="AE993" s="243" t="b">
        <f t="shared" si="3"/>
        <v>0</v>
      </c>
      <c r="AF993" s="154"/>
      <c r="AG993" s="243" t="b">
        <f t="shared" si="4"/>
        <v>0</v>
      </c>
      <c r="AH993" s="154"/>
      <c r="AI993" s="243" t="str">
        <f t="shared" si="5"/>
        <v>N/A</v>
      </c>
      <c r="AJ993" s="157" t="str">
        <f t="shared" si="6"/>
        <v/>
      </c>
    </row>
    <row r="994" ht="12.75" customHeight="1">
      <c r="A994" s="244" t="s">
        <v>2412</v>
      </c>
      <c r="B994" s="244" t="s">
        <v>2633</v>
      </c>
      <c r="C994" s="245" t="s">
        <v>2799</v>
      </c>
      <c r="D994" s="155" t="s">
        <v>2746</v>
      </c>
      <c r="E994" s="246" t="s">
        <v>92</v>
      </c>
      <c r="F994" s="154" t="str">
        <f t="array" ref="F994">XLOOKUP(Cover!$D$12,$S$1:$AA$1,$S994:$AA994)</f>
        <v>Mandatory</v>
      </c>
      <c r="G994" s="153" t="s">
        <v>2800</v>
      </c>
      <c r="H994" s="154" t="s">
        <v>2642</v>
      </c>
      <c r="I994" s="154" t="s">
        <v>414</v>
      </c>
      <c r="J994" s="247" t="s">
        <v>445</v>
      </c>
      <c r="K994" s="154"/>
      <c r="L994" s="154" t="str">
        <f t="shared" si="1"/>
        <v/>
      </c>
      <c r="M994" s="248" t="str">
        <f>IFERROR(__xludf.DUMMYFUNCTION("VLOOKUP(C994,IMPORTRANGE(""https://docs.google.com/spreadsheets/d/1P8eX0NWBhUPS_hvzA11R6jkTNFrPrRYIx_dX_hYbxrk/edit?resourcekey=0-iw9bsKY2OqkUHCFMkCar3A&amp;gid=2055363397#gid=2055363397"",""MTR!C:O""),11,false)"),"TAM-SPEC")</f>
        <v>TAM-SPEC</v>
      </c>
      <c r="N994" s="248" t="str">
        <f>IFERROR(__xludf.DUMMYFUNCTION("VLOOKUP(C994,IMPORTRANGE(""https://docs.google.com/spreadsheets/d/1ihFlp3_ePlYtFuPbUNbYj1muErVpI73WHXbEwJDIA7Q/edit#gid=1493122344"",""MTR!C:O""),8,false)"),"Complies")</f>
        <v>Complies</v>
      </c>
      <c r="O994" s="241" t="str">
        <f>IFERROR(__xludf.DUMMYFUNCTION("VLOOKUP(C994,IMPORTRANGE(""https://docs.google.com/spreadsheets/d/1P8eX0NWBhUPS_hvzA11R6jkTNFrPrRYIx_dX_hYbxrk/edit?resourcekey=0-iw9bsKY2OqkUHCFMkCar3A&amp;gid=2055363397#gid=2055363397"",""MTR!C:O""),9,false)"),"")</f>
        <v/>
      </c>
      <c r="P994" s="241"/>
      <c r="Q994" s="251" t="s">
        <v>445</v>
      </c>
      <c r="R994" s="241"/>
      <c r="S994" s="154" t="s">
        <v>60</v>
      </c>
      <c r="T994" s="154" t="s">
        <v>60</v>
      </c>
      <c r="U994" s="154" t="s">
        <v>60</v>
      </c>
      <c r="V994" s="154" t="s">
        <v>60</v>
      </c>
      <c r="W994" s="154" t="s">
        <v>60</v>
      </c>
      <c r="X994" s="154" t="s">
        <v>60</v>
      </c>
      <c r="Y994" s="154" t="s">
        <v>60</v>
      </c>
      <c r="Z994" s="154" t="s">
        <v>60</v>
      </c>
      <c r="AA994" s="154" t="s">
        <v>60</v>
      </c>
      <c r="AB994" s="154"/>
      <c r="AC994" s="242" t="b">
        <f t="shared" si="2"/>
        <v>1</v>
      </c>
      <c r="AD994" s="154" t="s">
        <v>391</v>
      </c>
      <c r="AE994" s="243" t="b">
        <f t="shared" si="3"/>
        <v>0</v>
      </c>
      <c r="AF994" s="154"/>
      <c r="AG994" s="243" t="b">
        <f t="shared" si="4"/>
        <v>0</v>
      </c>
      <c r="AH994" s="154"/>
      <c r="AI994" s="243" t="str">
        <f t="shared" si="5"/>
        <v>N/A</v>
      </c>
      <c r="AJ994" s="157" t="str">
        <f t="shared" si="6"/>
        <v/>
      </c>
    </row>
    <row r="995" ht="12.75" customHeight="1">
      <c r="A995" s="244" t="s">
        <v>2412</v>
      </c>
      <c r="B995" s="244" t="s">
        <v>2633</v>
      </c>
      <c r="C995" s="245" t="s">
        <v>2801</v>
      </c>
      <c r="D995" s="155" t="s">
        <v>2802</v>
      </c>
      <c r="E995" s="246" t="s">
        <v>92</v>
      </c>
      <c r="F995" s="154" t="str">
        <f t="array" ref="F995">XLOOKUP(Cover!$D$12,$S$1:$AA$1,$S995:$AA995)</f>
        <v>Mandatory</v>
      </c>
      <c r="G995" s="153" t="s">
        <v>2803</v>
      </c>
      <c r="H995" s="154" t="s">
        <v>2642</v>
      </c>
      <c r="I995" s="154" t="s">
        <v>414</v>
      </c>
      <c r="J995" s="247" t="s">
        <v>445</v>
      </c>
      <c r="K995" s="154"/>
      <c r="L995" s="154" t="str">
        <f t="shared" si="1"/>
        <v/>
      </c>
      <c r="M995" s="248" t="str">
        <f>IFERROR(__xludf.DUMMYFUNCTION("VLOOKUP(C995,IMPORTRANGE(""https://docs.google.com/spreadsheets/d/1P8eX0NWBhUPS_hvzA11R6jkTNFrPrRYIx_dX_hYbxrk/edit?resourcekey=0-iw9bsKY2OqkUHCFMkCar3A&amp;gid=2055363397#gid=2055363397"",""MTR!C:O""),11,false)"),"TAM-SPEC")</f>
        <v>TAM-SPEC</v>
      </c>
      <c r="N995" s="248" t="str">
        <f>IFERROR(__xludf.DUMMYFUNCTION("VLOOKUP(C995,IMPORTRANGE(""https://docs.google.com/spreadsheets/d/1ihFlp3_ePlYtFuPbUNbYj1muErVpI73WHXbEwJDIA7Q/edit#gid=1493122344"",""MTR!C:O""),8,false)"),"Complies")</f>
        <v>Complies</v>
      </c>
      <c r="O995" s="241" t="str">
        <f>IFERROR(__xludf.DUMMYFUNCTION("VLOOKUP(C995,IMPORTRANGE(""https://docs.google.com/spreadsheets/d/1P8eX0NWBhUPS_hvzA11R6jkTNFrPrRYIx_dX_hYbxrk/edit?resourcekey=0-iw9bsKY2OqkUHCFMkCar3A&amp;gid=2055363397#gid=2055363397"",""MTR!C:O""),9,false)"),"")</f>
        <v/>
      </c>
      <c r="P995" s="241"/>
      <c r="Q995" s="251" t="s">
        <v>445</v>
      </c>
      <c r="R995" s="241"/>
      <c r="S995" s="154" t="s">
        <v>60</v>
      </c>
      <c r="T995" s="154" t="s">
        <v>60</v>
      </c>
      <c r="U995" s="154" t="s">
        <v>60</v>
      </c>
      <c r="V995" s="154" t="s">
        <v>60</v>
      </c>
      <c r="W995" s="154" t="s">
        <v>60</v>
      </c>
      <c r="X995" s="154" t="s">
        <v>60</v>
      </c>
      <c r="Y995" s="154" t="s">
        <v>60</v>
      </c>
      <c r="Z995" s="154" t="s">
        <v>60</v>
      </c>
      <c r="AA995" s="154" t="s">
        <v>60</v>
      </c>
      <c r="AB995" s="154"/>
      <c r="AC995" s="242" t="b">
        <f t="shared" si="2"/>
        <v>1</v>
      </c>
      <c r="AD995" s="154" t="s">
        <v>391</v>
      </c>
      <c r="AE995" s="243" t="b">
        <f t="shared" si="3"/>
        <v>0</v>
      </c>
      <c r="AF995" s="154"/>
      <c r="AG995" s="243" t="b">
        <f t="shared" si="4"/>
        <v>0</v>
      </c>
      <c r="AH995" s="154"/>
      <c r="AI995" s="243" t="str">
        <f t="shared" si="5"/>
        <v>N/A</v>
      </c>
      <c r="AJ995" s="157" t="str">
        <f t="shared" si="6"/>
        <v/>
      </c>
    </row>
    <row r="996" ht="12.75" customHeight="1">
      <c r="A996" s="244" t="s">
        <v>2412</v>
      </c>
      <c r="B996" s="244" t="s">
        <v>2633</v>
      </c>
      <c r="C996" s="245" t="s">
        <v>2804</v>
      </c>
      <c r="D996" s="155" t="s">
        <v>2802</v>
      </c>
      <c r="E996" s="246" t="s">
        <v>92</v>
      </c>
      <c r="F996" s="154" t="str">
        <f t="array" ref="F996">XLOOKUP(Cover!$D$12,$S$1:$AA$1,$S996:$AA996)</f>
        <v>Mandatory</v>
      </c>
      <c r="G996" s="153" t="s">
        <v>2805</v>
      </c>
      <c r="H996" s="154" t="s">
        <v>2642</v>
      </c>
      <c r="I996" s="154" t="s">
        <v>414</v>
      </c>
      <c r="J996" s="247" t="s">
        <v>445</v>
      </c>
      <c r="K996" s="154"/>
      <c r="L996" s="154" t="str">
        <f t="shared" si="1"/>
        <v/>
      </c>
      <c r="M996" s="248" t="str">
        <f>IFERROR(__xludf.DUMMYFUNCTION("VLOOKUP(C996,IMPORTRANGE(""https://docs.google.com/spreadsheets/d/1P8eX0NWBhUPS_hvzA11R6jkTNFrPrRYIx_dX_hYbxrk/edit?resourcekey=0-iw9bsKY2OqkUHCFMkCar3A&amp;gid=2055363397#gid=2055363397"",""MTR!C:O""),11,false)"),"TAM-SPEC")</f>
        <v>TAM-SPEC</v>
      </c>
      <c r="N996" s="248" t="str">
        <f>IFERROR(__xludf.DUMMYFUNCTION("VLOOKUP(C996,IMPORTRANGE(""https://docs.google.com/spreadsheets/d/1ihFlp3_ePlYtFuPbUNbYj1muErVpI73WHXbEwJDIA7Q/edit#gid=1493122344"",""MTR!C:O""),8,false)"),"Complies")</f>
        <v>Complies</v>
      </c>
      <c r="O996" s="241" t="str">
        <f>IFERROR(__xludf.DUMMYFUNCTION("VLOOKUP(C996,IMPORTRANGE(""https://docs.google.com/spreadsheets/d/1P8eX0NWBhUPS_hvzA11R6jkTNFrPrRYIx_dX_hYbxrk/edit?resourcekey=0-iw9bsKY2OqkUHCFMkCar3A&amp;gid=2055363397#gid=2055363397"",""MTR!C:O""),9,false)"),"")</f>
        <v/>
      </c>
      <c r="P996" s="241"/>
      <c r="Q996" s="251" t="s">
        <v>445</v>
      </c>
      <c r="R996" s="241"/>
      <c r="S996" s="154" t="s">
        <v>60</v>
      </c>
      <c r="T996" s="154" t="s">
        <v>60</v>
      </c>
      <c r="U996" s="154" t="s">
        <v>60</v>
      </c>
      <c r="V996" s="154" t="s">
        <v>60</v>
      </c>
      <c r="W996" s="154" t="s">
        <v>60</v>
      </c>
      <c r="X996" s="154" t="s">
        <v>60</v>
      </c>
      <c r="Y996" s="154" t="s">
        <v>60</v>
      </c>
      <c r="Z996" s="154" t="s">
        <v>60</v>
      </c>
      <c r="AA996" s="154" t="s">
        <v>60</v>
      </c>
      <c r="AB996" s="154"/>
      <c r="AC996" s="242" t="b">
        <f t="shared" si="2"/>
        <v>1</v>
      </c>
      <c r="AD996" s="154" t="s">
        <v>391</v>
      </c>
      <c r="AE996" s="243" t="b">
        <f t="shared" si="3"/>
        <v>0</v>
      </c>
      <c r="AF996" s="154"/>
      <c r="AG996" s="243" t="b">
        <f t="shared" si="4"/>
        <v>0</v>
      </c>
      <c r="AH996" s="154"/>
      <c r="AI996" s="243" t="str">
        <f t="shared" si="5"/>
        <v>N/A</v>
      </c>
      <c r="AJ996" s="157" t="str">
        <f t="shared" si="6"/>
        <v/>
      </c>
    </row>
    <row r="997" ht="12.75" customHeight="1">
      <c r="A997" s="244" t="s">
        <v>2412</v>
      </c>
      <c r="B997" s="244" t="s">
        <v>2633</v>
      </c>
      <c r="C997" s="245" t="s">
        <v>2806</v>
      </c>
      <c r="D997" s="155" t="s">
        <v>477</v>
      </c>
      <c r="E997" s="246" t="s">
        <v>92</v>
      </c>
      <c r="F997" s="154" t="str">
        <f t="array" ref="F997">XLOOKUP(Cover!$D$12,$S$1:$AA$1,$S997:$AA997)</f>
        <v>Mandatory</v>
      </c>
      <c r="G997" s="153" t="s">
        <v>2807</v>
      </c>
      <c r="H997" s="154" t="s">
        <v>2642</v>
      </c>
      <c r="I997" s="154" t="s">
        <v>414</v>
      </c>
      <c r="J997" s="247" t="s">
        <v>445</v>
      </c>
      <c r="K997" s="154"/>
      <c r="L997" s="154" t="str">
        <f t="shared" si="1"/>
        <v/>
      </c>
      <c r="M997" s="248" t="str">
        <f>IFERROR(__xludf.DUMMYFUNCTION("VLOOKUP(C997,IMPORTRANGE(""https://docs.google.com/spreadsheets/d/1P8eX0NWBhUPS_hvzA11R6jkTNFrPrRYIx_dX_hYbxrk/edit?resourcekey=0-iw9bsKY2OqkUHCFMkCar3A&amp;gid=2055363397#gid=2055363397"",""MTR!C:O""),11,false)"),"TAM-SPEC")</f>
        <v>TAM-SPEC</v>
      </c>
      <c r="N997" s="248" t="str">
        <f>IFERROR(__xludf.DUMMYFUNCTION("VLOOKUP(C997,IMPORTRANGE(""https://docs.google.com/spreadsheets/d/1ihFlp3_ePlYtFuPbUNbYj1muErVpI73WHXbEwJDIA7Q/edit#gid=1493122344"",""MTR!C:O""),8,false)"),"Complies")</f>
        <v>Complies</v>
      </c>
      <c r="O997" s="241" t="str">
        <f>IFERROR(__xludf.DUMMYFUNCTION("VLOOKUP(C997,IMPORTRANGE(""https://docs.google.com/spreadsheets/d/1P8eX0NWBhUPS_hvzA11R6jkTNFrPrRYIx_dX_hYbxrk/edit?resourcekey=0-iw9bsKY2OqkUHCFMkCar3A&amp;gid=2055363397#gid=2055363397"",""MTR!C:O""),9,false)"),"")</f>
        <v/>
      </c>
      <c r="P997" s="241"/>
      <c r="Q997" s="251" t="s">
        <v>445</v>
      </c>
      <c r="R997" s="241"/>
      <c r="S997" s="154" t="s">
        <v>60</v>
      </c>
      <c r="T997" s="154" t="s">
        <v>60</v>
      </c>
      <c r="U997" s="154" t="s">
        <v>60</v>
      </c>
      <c r="V997" s="154" t="s">
        <v>60</v>
      </c>
      <c r="W997" s="154" t="s">
        <v>60</v>
      </c>
      <c r="X997" s="154" t="s">
        <v>60</v>
      </c>
      <c r="Y997" s="154" t="s">
        <v>60</v>
      </c>
      <c r="Z997" s="154" t="s">
        <v>60</v>
      </c>
      <c r="AA997" s="154" t="s">
        <v>60</v>
      </c>
      <c r="AB997" s="154"/>
      <c r="AC997" s="242" t="b">
        <f t="shared" si="2"/>
        <v>1</v>
      </c>
      <c r="AD997" s="154" t="s">
        <v>391</v>
      </c>
      <c r="AE997" s="243" t="b">
        <f t="shared" si="3"/>
        <v>0</v>
      </c>
      <c r="AF997" s="154"/>
      <c r="AG997" s="243" t="b">
        <f t="shared" si="4"/>
        <v>0</v>
      </c>
      <c r="AH997" s="154"/>
      <c r="AI997" s="243" t="str">
        <f t="shared" si="5"/>
        <v>N/A</v>
      </c>
      <c r="AJ997" s="157" t="str">
        <f t="shared" si="6"/>
        <v/>
      </c>
    </row>
    <row r="998" ht="12.75" customHeight="1">
      <c r="A998" s="244" t="s">
        <v>2412</v>
      </c>
      <c r="B998" s="244" t="s">
        <v>2633</v>
      </c>
      <c r="C998" s="245" t="s">
        <v>2808</v>
      </c>
      <c r="D998" s="155" t="s">
        <v>477</v>
      </c>
      <c r="E998" s="246" t="s">
        <v>92</v>
      </c>
      <c r="F998" s="154" t="str">
        <f t="array" ref="F998">XLOOKUP(Cover!$D$12,$S$1:$AA$1,$S998:$AA998)</f>
        <v>Mandatory</v>
      </c>
      <c r="G998" s="153" t="s">
        <v>2809</v>
      </c>
      <c r="H998" s="154" t="s">
        <v>2642</v>
      </c>
      <c r="I998" s="154" t="s">
        <v>414</v>
      </c>
      <c r="J998" s="247" t="s">
        <v>445</v>
      </c>
      <c r="K998" s="154"/>
      <c r="L998" s="154" t="str">
        <f t="shared" si="1"/>
        <v/>
      </c>
      <c r="M998" s="248" t="str">
        <f>IFERROR(__xludf.DUMMYFUNCTION("VLOOKUP(C998,IMPORTRANGE(""https://docs.google.com/spreadsheets/d/1P8eX0NWBhUPS_hvzA11R6jkTNFrPrRYIx_dX_hYbxrk/edit?resourcekey=0-iw9bsKY2OqkUHCFMkCar3A&amp;gid=2055363397#gid=2055363397"",""MTR!C:O""),11,false)"),"TAM-SPEC")</f>
        <v>TAM-SPEC</v>
      </c>
      <c r="N998" s="248" t="str">
        <f>IFERROR(__xludf.DUMMYFUNCTION("VLOOKUP(C998,IMPORTRANGE(""https://docs.google.com/spreadsheets/d/1ihFlp3_ePlYtFuPbUNbYj1muErVpI73WHXbEwJDIA7Q/edit#gid=1493122344"",""MTR!C:O""),8,false)"),"Complies")</f>
        <v>Complies</v>
      </c>
      <c r="O998" s="241" t="str">
        <f>IFERROR(__xludf.DUMMYFUNCTION("VLOOKUP(C998,IMPORTRANGE(""https://docs.google.com/spreadsheets/d/1P8eX0NWBhUPS_hvzA11R6jkTNFrPrRYIx_dX_hYbxrk/edit?resourcekey=0-iw9bsKY2OqkUHCFMkCar3A&amp;gid=2055363397#gid=2055363397"",""MTR!C:O""),9,false)"),"")</f>
        <v/>
      </c>
      <c r="P998" s="241"/>
      <c r="Q998" s="251" t="s">
        <v>445</v>
      </c>
      <c r="R998" s="241"/>
      <c r="S998" s="154" t="s">
        <v>60</v>
      </c>
      <c r="T998" s="154" t="s">
        <v>60</v>
      </c>
      <c r="U998" s="154" t="s">
        <v>60</v>
      </c>
      <c r="V998" s="154" t="s">
        <v>60</v>
      </c>
      <c r="W998" s="154" t="s">
        <v>60</v>
      </c>
      <c r="X998" s="154" t="s">
        <v>60</v>
      </c>
      <c r="Y998" s="154" t="s">
        <v>60</v>
      </c>
      <c r="Z998" s="154" t="s">
        <v>60</v>
      </c>
      <c r="AA998" s="154" t="s">
        <v>60</v>
      </c>
      <c r="AB998" s="154"/>
      <c r="AC998" s="242" t="b">
        <f t="shared" si="2"/>
        <v>1</v>
      </c>
      <c r="AD998" s="154" t="s">
        <v>391</v>
      </c>
      <c r="AE998" s="243" t="b">
        <f t="shared" si="3"/>
        <v>0</v>
      </c>
      <c r="AF998" s="154"/>
      <c r="AG998" s="243" t="b">
        <f t="shared" si="4"/>
        <v>0</v>
      </c>
      <c r="AH998" s="154"/>
      <c r="AI998" s="243" t="str">
        <f t="shared" si="5"/>
        <v>N/A</v>
      </c>
      <c r="AJ998" s="157" t="str">
        <f t="shared" si="6"/>
        <v/>
      </c>
    </row>
    <row r="999" ht="12.75" customHeight="1">
      <c r="A999" s="244" t="s">
        <v>2412</v>
      </c>
      <c r="B999" s="244" t="s">
        <v>2633</v>
      </c>
      <c r="C999" s="245" t="s">
        <v>2810</v>
      </c>
      <c r="D999" s="155" t="s">
        <v>1211</v>
      </c>
      <c r="E999" s="246" t="s">
        <v>92</v>
      </c>
      <c r="F999" s="154" t="str">
        <f t="array" ref="F999">XLOOKUP(Cover!$D$12,$S$1:$AA$1,$S999:$AA999)</f>
        <v>Mandatory</v>
      </c>
      <c r="G999" s="153" t="s">
        <v>2811</v>
      </c>
      <c r="H999" s="154" t="s">
        <v>2642</v>
      </c>
      <c r="I999" s="154" t="s">
        <v>414</v>
      </c>
      <c r="J999" s="247" t="s">
        <v>445</v>
      </c>
      <c r="K999" s="154"/>
      <c r="L999" s="154" t="str">
        <f t="shared" si="1"/>
        <v/>
      </c>
      <c r="M999" s="248" t="str">
        <f>IFERROR(__xludf.DUMMYFUNCTION("VLOOKUP(C999,IMPORTRANGE(""https://docs.google.com/spreadsheets/d/1P8eX0NWBhUPS_hvzA11R6jkTNFrPrRYIx_dX_hYbxrk/edit?resourcekey=0-iw9bsKY2OqkUHCFMkCar3A&amp;gid=2055363397#gid=2055363397"",""MTR!C:O""),11,false)"),"TAM-SPEC")</f>
        <v>TAM-SPEC</v>
      </c>
      <c r="N999" s="248" t="str">
        <f>IFERROR(__xludf.DUMMYFUNCTION("VLOOKUP(C999,IMPORTRANGE(""https://docs.google.com/spreadsheets/d/1ihFlp3_ePlYtFuPbUNbYj1muErVpI73WHXbEwJDIA7Q/edit#gid=1493122344"",""MTR!C:O""),8,false)"),"Complies")</f>
        <v>Complies</v>
      </c>
      <c r="O999" s="241" t="str">
        <f>IFERROR(__xludf.DUMMYFUNCTION("VLOOKUP(C999,IMPORTRANGE(""https://docs.google.com/spreadsheets/d/1P8eX0NWBhUPS_hvzA11R6jkTNFrPrRYIx_dX_hYbxrk/edit?resourcekey=0-iw9bsKY2OqkUHCFMkCar3A&amp;gid=2055363397#gid=2055363397"",""MTR!C:O""),9,false)"),"")</f>
        <v/>
      </c>
      <c r="P999" s="241"/>
      <c r="Q999" s="251" t="s">
        <v>445</v>
      </c>
      <c r="R999" s="241"/>
      <c r="S999" s="154" t="s">
        <v>60</v>
      </c>
      <c r="T999" s="154" t="s">
        <v>60</v>
      </c>
      <c r="U999" s="154" t="s">
        <v>60</v>
      </c>
      <c r="V999" s="154" t="s">
        <v>60</v>
      </c>
      <c r="W999" s="154" t="s">
        <v>60</v>
      </c>
      <c r="X999" s="154" t="s">
        <v>60</v>
      </c>
      <c r="Y999" s="154" t="s">
        <v>60</v>
      </c>
      <c r="Z999" s="154" t="s">
        <v>60</v>
      </c>
      <c r="AA999" s="154" t="s">
        <v>60</v>
      </c>
      <c r="AB999" s="154"/>
      <c r="AC999" s="242" t="b">
        <f t="shared" si="2"/>
        <v>1</v>
      </c>
      <c r="AD999" s="154" t="s">
        <v>391</v>
      </c>
      <c r="AE999" s="243" t="b">
        <f t="shared" si="3"/>
        <v>0</v>
      </c>
      <c r="AF999" s="154"/>
      <c r="AG999" s="243" t="b">
        <f t="shared" si="4"/>
        <v>0</v>
      </c>
      <c r="AH999" s="154"/>
      <c r="AI999" s="243" t="str">
        <f t="shared" si="5"/>
        <v>N/A</v>
      </c>
      <c r="AJ999" s="157" t="str">
        <f t="shared" si="6"/>
        <v/>
      </c>
    </row>
    <row r="1000" ht="12.75" customHeight="1">
      <c r="A1000" s="244" t="s">
        <v>2412</v>
      </c>
      <c r="B1000" s="244" t="s">
        <v>2633</v>
      </c>
      <c r="C1000" s="245" t="s">
        <v>2812</v>
      </c>
      <c r="D1000" s="155" t="s">
        <v>1211</v>
      </c>
      <c r="E1000" s="246" t="s">
        <v>92</v>
      </c>
      <c r="F1000" s="154" t="str">
        <f t="array" ref="F1000">XLOOKUP(Cover!$D$12,$S$1:$AA$1,$S1000:$AA1000)</f>
        <v>Mandatory</v>
      </c>
      <c r="G1000" s="153" t="s">
        <v>2813</v>
      </c>
      <c r="H1000" s="154" t="s">
        <v>2642</v>
      </c>
      <c r="I1000" s="154" t="s">
        <v>414</v>
      </c>
      <c r="J1000" s="247" t="s">
        <v>506</v>
      </c>
      <c r="K1000" s="247" t="s">
        <v>2814</v>
      </c>
      <c r="L1000" s="154" t="str">
        <f t="shared" si="1"/>
        <v/>
      </c>
      <c r="M1000" s="248" t="str">
        <f>IFERROR(__xludf.DUMMYFUNCTION("VLOOKUP(C1000,IMPORTRANGE(""https://docs.google.com/spreadsheets/d/1P8eX0NWBhUPS_hvzA11R6jkTNFrPrRYIx_dX_hYbxrk/edit?resourcekey=0-iw9bsKY2OqkUHCFMkCar3A&amp;gid=2055363397#gid=2055363397"",""MTR!C:O""),11,false)"),"TAM-SPEC")</f>
        <v>TAM-SPEC</v>
      </c>
      <c r="N1000" s="248" t="str">
        <f>IFERROR(__xludf.DUMMYFUNCTION("VLOOKUP(C1000,IMPORTRANGE(""https://docs.google.com/spreadsheets/d/1ihFlp3_ePlYtFuPbUNbYj1muErVpI73WHXbEwJDIA7Q/edit#gid=1493122344"",""MTR!C:O""),8,false)"),"Partially Complies")</f>
        <v>Partially Complies</v>
      </c>
      <c r="O1000" s="248" t="str">
        <f>IFERROR(__xludf.DUMMYFUNCTION("VLOOKUP(C1000,IMPORTRANGE(""https://docs.google.com/spreadsheets/d/1P8eX0NWBhUPS_hvzA11R6jkTNFrPrRYIx_dX_hYbxrk/edit?resourcekey=0-iw9bsKY2OqkUHCFMkCar3A&amp;gid=2055363397#gid=2055363397"",""MTR!C:O""),9,false)"),"Android supports Serbian")</f>
        <v>Android supports Serbian</v>
      </c>
      <c r="P1000" s="248"/>
      <c r="Q1000" s="249" t="s">
        <v>506</v>
      </c>
      <c r="R1000" s="249" t="s">
        <v>2814</v>
      </c>
      <c r="S1000" s="154" t="s">
        <v>60</v>
      </c>
      <c r="T1000" s="154" t="s">
        <v>60</v>
      </c>
      <c r="U1000" s="154" t="s">
        <v>60</v>
      </c>
      <c r="V1000" s="154" t="s">
        <v>60</v>
      </c>
      <c r="W1000" s="154" t="s">
        <v>60</v>
      </c>
      <c r="X1000" s="154" t="s">
        <v>60</v>
      </c>
      <c r="Y1000" s="154" t="s">
        <v>60</v>
      </c>
      <c r="Z1000" s="154" t="s">
        <v>60</v>
      </c>
      <c r="AA1000" s="154" t="s">
        <v>60</v>
      </c>
      <c r="AB1000" s="154"/>
      <c r="AC1000" s="242" t="b">
        <f t="shared" si="2"/>
        <v>1</v>
      </c>
      <c r="AD1000" s="154" t="s">
        <v>391</v>
      </c>
      <c r="AE1000" s="243" t="b">
        <f t="shared" si="3"/>
        <v>0</v>
      </c>
      <c r="AF1000" s="154"/>
      <c r="AG1000" s="243" t="b">
        <f t="shared" si="4"/>
        <v>0</v>
      </c>
      <c r="AH1000" s="154"/>
      <c r="AI1000" s="243" t="str">
        <f t="shared" si="5"/>
        <v>N/A</v>
      </c>
      <c r="AJ1000" s="157" t="str">
        <f t="shared" si="6"/>
        <v/>
      </c>
    </row>
    <row r="1001" ht="12.75" customHeight="1">
      <c r="A1001" s="238" t="s">
        <v>2412</v>
      </c>
      <c r="B1001" s="238" t="s">
        <v>2633</v>
      </c>
      <c r="C1001" s="238" t="s">
        <v>2815</v>
      </c>
      <c r="D1001" s="240"/>
      <c r="E1001" s="252" t="s">
        <v>92</v>
      </c>
      <c r="F1001" s="154" t="str">
        <f t="array" ref="F1001">XLOOKUP(Cover!$D$12,$S$1:$AA$1,$S1001:$AA1001)</f>
        <v>Heading</v>
      </c>
      <c r="G1001" s="239" t="s">
        <v>2816</v>
      </c>
      <c r="H1001" s="240"/>
      <c r="I1001" s="240" t="s">
        <v>550</v>
      </c>
      <c r="J1001" s="262"/>
      <c r="K1001" s="262"/>
      <c r="L1001" s="154" t="str">
        <f t="shared" si="1"/>
        <v/>
      </c>
      <c r="M1001" s="241" t="str">
        <f>IFERROR(__xludf.DUMMYFUNCTION("VLOOKUP(C1001,IMPORTRANGE(""https://docs.google.com/spreadsheets/d/1P8eX0NWBhUPS_hvzA11R6jkTNFrPrRYIx_dX_hYbxrk/edit?resourcekey=0-iw9bsKY2OqkUHCFMkCar3A&amp;gid=2055363397#gid=2055363397"",""MTR!C:O""),11,false)"),"")</f>
        <v/>
      </c>
      <c r="N1001" s="241" t="str">
        <f>IFERROR(__xludf.DUMMYFUNCTION("VLOOKUP(C1001,IMPORTRANGE(""https://docs.google.com/spreadsheets/d/1ihFlp3_ePlYtFuPbUNbYj1muErVpI73WHXbEwJDIA7Q/edit#gid=1493122344"",""MTR!C:O""),8,false)"),"")</f>
        <v/>
      </c>
      <c r="O1001" s="241" t="str">
        <f>IFERROR(__xludf.DUMMYFUNCTION("VLOOKUP(C1001,IMPORTRANGE(""https://docs.google.com/spreadsheets/d/1P8eX0NWBhUPS_hvzA11R6jkTNFrPrRYIx_dX_hYbxrk/edit?resourcekey=0-iw9bsKY2OqkUHCFMkCar3A&amp;gid=2055363397#gid=2055363397"",""MTR!C:O""),9,false)"),"")</f>
        <v/>
      </c>
      <c r="P1001" s="241"/>
      <c r="Q1001" s="251"/>
      <c r="R1001" s="251"/>
      <c r="S1001" s="240" t="s">
        <v>390</v>
      </c>
      <c r="T1001" s="240" t="s">
        <v>390</v>
      </c>
      <c r="U1001" s="240" t="s">
        <v>390</v>
      </c>
      <c r="V1001" s="240" t="s">
        <v>390</v>
      </c>
      <c r="W1001" s="240" t="s">
        <v>390</v>
      </c>
      <c r="X1001" s="240" t="s">
        <v>390</v>
      </c>
      <c r="Y1001" s="240" t="s">
        <v>390</v>
      </c>
      <c r="Z1001" s="240" t="s">
        <v>390</v>
      </c>
      <c r="AA1001" s="240" t="s">
        <v>390</v>
      </c>
      <c r="AB1001" s="240"/>
      <c r="AC1001" s="242" t="b">
        <f t="shared" si="2"/>
        <v>0</v>
      </c>
      <c r="AD1001" s="240" t="s">
        <v>391</v>
      </c>
      <c r="AE1001" s="243" t="b">
        <f t="shared" si="3"/>
        <v>0</v>
      </c>
      <c r="AF1001" s="240"/>
      <c r="AG1001" s="243" t="b">
        <f t="shared" si="4"/>
        <v>0</v>
      </c>
      <c r="AH1001" s="240"/>
      <c r="AI1001" s="243" t="str">
        <f t="shared" si="5"/>
        <v>N/A</v>
      </c>
      <c r="AJ1001" s="157" t="str">
        <f t="shared" si="6"/>
        <v/>
      </c>
    </row>
    <row r="1002" ht="12.75" customHeight="1">
      <c r="A1002" s="244" t="s">
        <v>2412</v>
      </c>
      <c r="B1002" s="244" t="s">
        <v>2633</v>
      </c>
      <c r="C1002" s="255" t="s">
        <v>2817</v>
      </c>
      <c r="D1002" s="256" t="s">
        <v>42</v>
      </c>
      <c r="E1002" s="257" t="s">
        <v>489</v>
      </c>
      <c r="F1002" s="154" t="str">
        <f t="array" ref="F1002">XLOOKUP(Cover!$D$12,$S$1:$AA$1,$S1002:$AA1002)</f>
        <v>Mandatory</v>
      </c>
      <c r="G1002" s="154" t="s">
        <v>2818</v>
      </c>
      <c r="H1002" s="154" t="s">
        <v>2642</v>
      </c>
      <c r="I1002" s="154" t="s">
        <v>550</v>
      </c>
      <c r="J1002" s="154"/>
      <c r="L1002" s="154" t="str">
        <f t="shared" si="1"/>
        <v>Compliance Statement missing!</v>
      </c>
      <c r="M1002" s="253" t="str">
        <f>IFERROR(__xludf.DUMMYFUNCTION("VLOOKUP(C1002,IMPORTRANGE(""https://docs.google.com/spreadsheets/d/1P8eX0NWBhUPS_hvzA11R6jkTNFrPrRYIx_dX_hYbxrk/edit?resourcekey=0-iw9bsKY2OqkUHCFMkCar3A&amp;gid=2055363397#gid=2055363397"",""MTR!C:O""),11,false)"),"#N/A")</f>
        <v>#N/A</v>
      </c>
      <c r="N1002" s="253" t="str">
        <f>IFERROR(__xludf.DUMMYFUNCTION("VLOOKUP(C1002,IMPORTRANGE(""https://docs.google.com/spreadsheets/d/1ihFlp3_ePlYtFuPbUNbYj1muErVpI73WHXbEwJDIA7Q/edit#gid=1493122344"",""MTR!C:O""),8,false)"),"#N/A")</f>
        <v>#N/A</v>
      </c>
      <c r="O1002" s="253" t="str">
        <f>IFERROR(__xludf.DUMMYFUNCTION("VLOOKUP(C1002,IMPORTRANGE(""https://docs.google.com/spreadsheets/d/1P8eX0NWBhUPS_hvzA11R6jkTNFrPrRYIx_dX_hYbxrk/edit?resourcekey=0-iw9bsKY2OqkUHCFMkCar3A&amp;gid=2055363397#gid=2055363397"",""MTR!C:O""),9,false)"),"#N/A")</f>
        <v>#N/A</v>
      </c>
      <c r="P1002" s="266" t="s">
        <v>2819</v>
      </c>
      <c r="Q1002" s="253"/>
      <c r="S1002" s="154" t="s">
        <v>60</v>
      </c>
      <c r="T1002" s="154" t="s">
        <v>60</v>
      </c>
      <c r="U1002" s="154" t="s">
        <v>60</v>
      </c>
      <c r="V1002" s="154" t="s">
        <v>60</v>
      </c>
      <c r="W1002" s="154" t="s">
        <v>60</v>
      </c>
      <c r="X1002" s="154" t="s">
        <v>60</v>
      </c>
      <c r="Y1002" s="154" t="s">
        <v>60</v>
      </c>
      <c r="Z1002" s="154" t="s">
        <v>60</v>
      </c>
      <c r="AA1002" s="154" t="s">
        <v>60</v>
      </c>
      <c r="AB1002" s="154"/>
      <c r="AC1002" s="242" t="b">
        <f t="shared" si="2"/>
        <v>0</v>
      </c>
      <c r="AD1002" s="154"/>
      <c r="AE1002" s="243" t="b">
        <f t="shared" si="3"/>
        <v>0</v>
      </c>
      <c r="AF1002" s="154"/>
      <c r="AG1002" s="243" t="b">
        <f>IF(AF1002&lt;&gt;"",AND(J1002&lt;&gt;NA,OR(NOT(ISERROR(FIND("xx",P1002))),P1002="",P1002="tbd",P1002=AF1002)),AND(P1002="",OR(NOT(ISERROR(FIND(AD1002,J1002,1))),J1002=PC,AND(AE1002,J1002&lt;&gt;NA)),OR(AI1002=COM,AI1002=PC,AI1002="N/A")))</f>
        <v>0</v>
      </c>
      <c r="AH1002" s="154"/>
      <c r="AI1002" s="243" t="str">
        <f t="shared" si="5"/>
        <v>N/A</v>
      </c>
      <c r="AJ1002" s="157" t="str">
        <f t="shared" si="6"/>
        <v>Compliance Statement missing!</v>
      </c>
    </row>
    <row r="1003" ht="12.75" customHeight="1">
      <c r="A1003" s="244" t="s">
        <v>2412</v>
      </c>
      <c r="B1003" s="244" t="s">
        <v>2633</v>
      </c>
      <c r="C1003" s="255" t="s">
        <v>2820</v>
      </c>
      <c r="D1003" s="256" t="s">
        <v>42</v>
      </c>
      <c r="E1003" s="257" t="s">
        <v>489</v>
      </c>
      <c r="F1003" s="154" t="str">
        <f t="array" ref="F1003">XLOOKUP(Cover!$D$12,$S$1:$AA$1,$S1003:$AA1003)</f>
        <v>Mandatory</v>
      </c>
      <c r="G1003" s="154" t="s">
        <v>2821</v>
      </c>
      <c r="H1003" s="154" t="s">
        <v>2642</v>
      </c>
      <c r="I1003" s="154" t="s">
        <v>550</v>
      </c>
      <c r="J1003" s="154"/>
      <c r="K1003" s="154"/>
      <c r="L1003" s="154" t="str">
        <f t="shared" si="1"/>
        <v>Compliance Statement missing!</v>
      </c>
      <c r="M1003" s="253" t="str">
        <f>IFERROR(__xludf.DUMMYFUNCTION("VLOOKUP(C1003,IMPORTRANGE(""https://docs.google.com/spreadsheets/d/1P8eX0NWBhUPS_hvzA11R6jkTNFrPrRYIx_dX_hYbxrk/edit?resourcekey=0-iw9bsKY2OqkUHCFMkCar3A&amp;gid=2055363397#gid=2055363397"",""MTR!C:O""),11,false)"),"#N/A")</f>
        <v>#N/A</v>
      </c>
      <c r="N1003" s="253" t="str">
        <f>IFERROR(__xludf.DUMMYFUNCTION("VLOOKUP(C1003,IMPORTRANGE(""https://docs.google.com/spreadsheets/d/1ihFlp3_ePlYtFuPbUNbYj1muErVpI73WHXbEwJDIA7Q/edit#gid=1493122344"",""MTR!C:O""),8,false)"),"#N/A")</f>
        <v>#N/A</v>
      </c>
      <c r="O1003" s="253" t="str">
        <f>IFERROR(__xludf.DUMMYFUNCTION("VLOOKUP(C1003,IMPORTRANGE(""https://docs.google.com/spreadsheets/d/1P8eX0NWBhUPS_hvzA11R6jkTNFrPrRYIx_dX_hYbxrk/edit?resourcekey=0-iw9bsKY2OqkUHCFMkCar3A&amp;gid=2055363397#gid=2055363397"",""MTR!C:O""),9,false)"),"#N/A")</f>
        <v>#N/A</v>
      </c>
      <c r="P1003" s="253"/>
      <c r="Q1003" s="253"/>
      <c r="R1003" s="253"/>
      <c r="S1003" s="154" t="s">
        <v>60</v>
      </c>
      <c r="T1003" s="154" t="s">
        <v>60</v>
      </c>
      <c r="U1003" s="154" t="s">
        <v>60</v>
      </c>
      <c r="V1003" s="154" t="s">
        <v>60</v>
      </c>
      <c r="W1003" s="154" t="s">
        <v>60</v>
      </c>
      <c r="X1003" s="154" t="s">
        <v>60</v>
      </c>
      <c r="Y1003" s="154" t="s">
        <v>60</v>
      </c>
      <c r="Z1003" s="154" t="s">
        <v>60</v>
      </c>
      <c r="AA1003" s="154" t="s">
        <v>60</v>
      </c>
      <c r="AB1003" s="154"/>
      <c r="AC1003" s="242" t="b">
        <f t="shared" si="2"/>
        <v>0</v>
      </c>
      <c r="AD1003" s="154"/>
      <c r="AE1003" s="243" t="b">
        <f t="shared" si="3"/>
        <v>0</v>
      </c>
      <c r="AF1003" s="154"/>
      <c r="AG1003" s="243" t="b">
        <f t="shared" ref="AG1003:AG2056" si="7">IF(AF1003&lt;&gt;"",AND(J1003&lt;&gt;NA,OR(NOT(ISERROR(FIND("xx",K1003))),K1003="",K1003="tbd",K1003=AF1003)),AND(K1003="",OR(NOT(ISERROR(FIND(AD1003,J1003,1))),J1003=PC,AND(AE1003,J1003&lt;&gt;NA)),OR(AI1003=COM,AI1003=PC,AI1003="N/A")))</f>
        <v>0</v>
      </c>
      <c r="AH1003" s="154"/>
      <c r="AI1003" s="243" t="str">
        <f t="shared" si="5"/>
        <v>N/A</v>
      </c>
      <c r="AJ1003" s="157" t="str">
        <f t="shared" si="6"/>
        <v>Compliance Statement missing!</v>
      </c>
    </row>
    <row r="1004" ht="12.75" customHeight="1">
      <c r="A1004" s="244" t="s">
        <v>2412</v>
      </c>
      <c r="B1004" s="244" t="s">
        <v>2633</v>
      </c>
      <c r="C1004" s="255" t="s">
        <v>2822</v>
      </c>
      <c r="D1004" s="256" t="s">
        <v>42</v>
      </c>
      <c r="E1004" s="257" t="s">
        <v>489</v>
      </c>
      <c r="F1004" s="154" t="str">
        <f t="array" ref="F1004">XLOOKUP(Cover!$D$12,$S$1:$AA$1,$S1004:$AA1004)</f>
        <v>Mandatory</v>
      </c>
      <c r="G1004" s="154" t="s">
        <v>2823</v>
      </c>
      <c r="H1004" s="154" t="s">
        <v>2642</v>
      </c>
      <c r="I1004" s="154" t="s">
        <v>550</v>
      </c>
      <c r="J1004" s="154"/>
      <c r="K1004" s="154"/>
      <c r="L1004" s="154" t="str">
        <f t="shared" si="1"/>
        <v>Compliance Statement missing!</v>
      </c>
      <c r="M1004" s="253" t="str">
        <f>IFERROR(__xludf.DUMMYFUNCTION("VLOOKUP(C1004,IMPORTRANGE(""https://docs.google.com/spreadsheets/d/1P8eX0NWBhUPS_hvzA11R6jkTNFrPrRYIx_dX_hYbxrk/edit?resourcekey=0-iw9bsKY2OqkUHCFMkCar3A&amp;gid=2055363397#gid=2055363397"",""MTR!C:O""),11,false)"),"#N/A")</f>
        <v>#N/A</v>
      </c>
      <c r="N1004" s="253" t="str">
        <f>IFERROR(__xludf.DUMMYFUNCTION("VLOOKUP(C1004,IMPORTRANGE(""https://docs.google.com/spreadsheets/d/1ihFlp3_ePlYtFuPbUNbYj1muErVpI73WHXbEwJDIA7Q/edit#gid=1493122344"",""MTR!C:O""),8,false)"),"#N/A")</f>
        <v>#N/A</v>
      </c>
      <c r="O1004" s="253" t="str">
        <f>IFERROR(__xludf.DUMMYFUNCTION("VLOOKUP(C1004,IMPORTRANGE(""https://docs.google.com/spreadsheets/d/1P8eX0NWBhUPS_hvzA11R6jkTNFrPrRYIx_dX_hYbxrk/edit?resourcekey=0-iw9bsKY2OqkUHCFMkCar3A&amp;gid=2055363397#gid=2055363397"",""MTR!C:O""),9,false)"),"#N/A")</f>
        <v>#N/A</v>
      </c>
      <c r="P1004" s="253"/>
      <c r="Q1004" s="253"/>
      <c r="R1004" s="253"/>
      <c r="S1004" s="154" t="s">
        <v>60</v>
      </c>
      <c r="T1004" s="154" t="s">
        <v>60</v>
      </c>
      <c r="U1004" s="154" t="s">
        <v>60</v>
      </c>
      <c r="V1004" s="154" t="s">
        <v>60</v>
      </c>
      <c r="W1004" s="154" t="s">
        <v>60</v>
      </c>
      <c r="X1004" s="154" t="s">
        <v>60</v>
      </c>
      <c r="Y1004" s="154" t="s">
        <v>60</v>
      </c>
      <c r="Z1004" s="154" t="s">
        <v>60</v>
      </c>
      <c r="AA1004" s="154" t="s">
        <v>60</v>
      </c>
      <c r="AB1004" s="154"/>
      <c r="AC1004" s="242" t="b">
        <f t="shared" si="2"/>
        <v>0</v>
      </c>
      <c r="AD1004" s="154"/>
      <c r="AE1004" s="243" t="b">
        <f t="shared" si="3"/>
        <v>0</v>
      </c>
      <c r="AF1004" s="154"/>
      <c r="AG1004" s="243" t="b">
        <f t="shared" si="7"/>
        <v>0</v>
      </c>
      <c r="AH1004" s="154"/>
      <c r="AI1004" s="243" t="str">
        <f t="shared" si="5"/>
        <v>N/A</v>
      </c>
      <c r="AJ1004" s="157" t="str">
        <f t="shared" si="6"/>
        <v>Compliance Statement missing!</v>
      </c>
    </row>
    <row r="1005" ht="12.75" customHeight="1">
      <c r="A1005" s="244" t="s">
        <v>2412</v>
      </c>
      <c r="B1005" s="244" t="s">
        <v>2633</v>
      </c>
      <c r="C1005" s="255" t="s">
        <v>2824</v>
      </c>
      <c r="D1005" s="256" t="s">
        <v>42</v>
      </c>
      <c r="E1005" s="257" t="s">
        <v>489</v>
      </c>
      <c r="F1005" s="154" t="str">
        <f t="array" ref="F1005">XLOOKUP(Cover!$D$12,$S$1:$AA$1,$S1005:$AA1005)</f>
        <v>Mandatory</v>
      </c>
      <c r="G1005" s="154" t="s">
        <v>2825</v>
      </c>
      <c r="H1005" s="154" t="s">
        <v>2642</v>
      </c>
      <c r="I1005" s="154" t="s">
        <v>550</v>
      </c>
      <c r="J1005" s="154"/>
      <c r="K1005" s="154"/>
      <c r="L1005" s="154" t="str">
        <f t="shared" si="1"/>
        <v>Compliance Statement missing!</v>
      </c>
      <c r="M1005" s="253" t="str">
        <f>IFERROR(__xludf.DUMMYFUNCTION("VLOOKUP(C1005,IMPORTRANGE(""https://docs.google.com/spreadsheets/d/1P8eX0NWBhUPS_hvzA11R6jkTNFrPrRYIx_dX_hYbxrk/edit?resourcekey=0-iw9bsKY2OqkUHCFMkCar3A&amp;gid=2055363397#gid=2055363397"",""MTR!C:O""),11,false)"),"#N/A")</f>
        <v>#N/A</v>
      </c>
      <c r="N1005" s="253" t="str">
        <f>IFERROR(__xludf.DUMMYFUNCTION("VLOOKUP(C1005,IMPORTRANGE(""https://docs.google.com/spreadsheets/d/1ihFlp3_ePlYtFuPbUNbYj1muErVpI73WHXbEwJDIA7Q/edit#gid=1493122344"",""MTR!C:O""),8,false)"),"#N/A")</f>
        <v>#N/A</v>
      </c>
      <c r="O1005" s="253" t="str">
        <f>IFERROR(__xludf.DUMMYFUNCTION("VLOOKUP(C1005,IMPORTRANGE(""https://docs.google.com/spreadsheets/d/1P8eX0NWBhUPS_hvzA11R6jkTNFrPrRYIx_dX_hYbxrk/edit?resourcekey=0-iw9bsKY2OqkUHCFMkCar3A&amp;gid=2055363397#gid=2055363397"",""MTR!C:O""),9,false)"),"#N/A")</f>
        <v>#N/A</v>
      </c>
      <c r="P1005" s="253"/>
      <c r="Q1005" s="253"/>
      <c r="R1005" s="253"/>
      <c r="S1005" s="154" t="s">
        <v>60</v>
      </c>
      <c r="T1005" s="154" t="s">
        <v>60</v>
      </c>
      <c r="U1005" s="154" t="s">
        <v>60</v>
      </c>
      <c r="V1005" s="154" t="s">
        <v>60</v>
      </c>
      <c r="W1005" s="154" t="s">
        <v>60</v>
      </c>
      <c r="X1005" s="154" t="s">
        <v>60</v>
      </c>
      <c r="Y1005" s="154" t="s">
        <v>60</v>
      </c>
      <c r="Z1005" s="154" t="s">
        <v>60</v>
      </c>
      <c r="AA1005" s="154" t="s">
        <v>60</v>
      </c>
      <c r="AB1005" s="154"/>
      <c r="AC1005" s="242" t="b">
        <f t="shared" si="2"/>
        <v>0</v>
      </c>
      <c r="AD1005" s="154"/>
      <c r="AE1005" s="243" t="b">
        <f t="shared" si="3"/>
        <v>0</v>
      </c>
      <c r="AF1005" s="154"/>
      <c r="AG1005" s="243" t="b">
        <f t="shared" si="7"/>
        <v>0</v>
      </c>
      <c r="AH1005" s="154"/>
      <c r="AI1005" s="243" t="str">
        <f t="shared" si="5"/>
        <v>N/A</v>
      </c>
      <c r="AJ1005" s="157" t="str">
        <f t="shared" si="6"/>
        <v>Compliance Statement missing!</v>
      </c>
    </row>
    <row r="1006" ht="12.75" customHeight="1">
      <c r="A1006" s="244" t="s">
        <v>2412</v>
      </c>
      <c r="B1006" s="244" t="s">
        <v>2633</v>
      </c>
      <c r="C1006" s="255" t="s">
        <v>2826</v>
      </c>
      <c r="D1006" s="256" t="s">
        <v>42</v>
      </c>
      <c r="E1006" s="257" t="s">
        <v>489</v>
      </c>
      <c r="F1006" s="154" t="str">
        <f t="array" ref="F1006">XLOOKUP(Cover!$D$12,$S$1:$AA$1,$S1006:$AA1006)</f>
        <v>Mandatory</v>
      </c>
      <c r="G1006" s="154" t="s">
        <v>2827</v>
      </c>
      <c r="H1006" s="154" t="s">
        <v>2642</v>
      </c>
      <c r="I1006" s="154" t="s">
        <v>550</v>
      </c>
      <c r="J1006" s="154"/>
      <c r="K1006" s="154"/>
      <c r="L1006" s="154" t="str">
        <f t="shared" si="1"/>
        <v>Compliance Statement missing!</v>
      </c>
      <c r="M1006" s="253" t="str">
        <f>IFERROR(__xludf.DUMMYFUNCTION("VLOOKUP(C1006,IMPORTRANGE(""https://docs.google.com/spreadsheets/d/1P8eX0NWBhUPS_hvzA11R6jkTNFrPrRYIx_dX_hYbxrk/edit?resourcekey=0-iw9bsKY2OqkUHCFMkCar3A&amp;gid=2055363397#gid=2055363397"",""MTR!C:O""),11,false)"),"#N/A")</f>
        <v>#N/A</v>
      </c>
      <c r="N1006" s="253" t="str">
        <f>IFERROR(__xludf.DUMMYFUNCTION("VLOOKUP(C1006,IMPORTRANGE(""https://docs.google.com/spreadsheets/d/1ihFlp3_ePlYtFuPbUNbYj1muErVpI73WHXbEwJDIA7Q/edit#gid=1493122344"",""MTR!C:O""),8,false)"),"#N/A")</f>
        <v>#N/A</v>
      </c>
      <c r="O1006" s="253" t="str">
        <f>IFERROR(__xludf.DUMMYFUNCTION("VLOOKUP(C1006,IMPORTRANGE(""https://docs.google.com/spreadsheets/d/1P8eX0NWBhUPS_hvzA11R6jkTNFrPrRYIx_dX_hYbxrk/edit?resourcekey=0-iw9bsKY2OqkUHCFMkCar3A&amp;gid=2055363397#gid=2055363397"",""MTR!C:O""),9,false)"),"#N/A")</f>
        <v>#N/A</v>
      </c>
      <c r="P1006" s="253"/>
      <c r="Q1006" s="253"/>
      <c r="R1006" s="253"/>
      <c r="S1006" s="154" t="s">
        <v>60</v>
      </c>
      <c r="T1006" s="154" t="s">
        <v>60</v>
      </c>
      <c r="U1006" s="154" t="s">
        <v>60</v>
      </c>
      <c r="V1006" s="154" t="s">
        <v>60</v>
      </c>
      <c r="W1006" s="154" t="s">
        <v>60</v>
      </c>
      <c r="X1006" s="154" t="s">
        <v>60</v>
      </c>
      <c r="Y1006" s="154" t="s">
        <v>60</v>
      </c>
      <c r="Z1006" s="154" t="s">
        <v>60</v>
      </c>
      <c r="AA1006" s="154" t="s">
        <v>60</v>
      </c>
      <c r="AB1006" s="154"/>
      <c r="AC1006" s="242" t="b">
        <f t="shared" si="2"/>
        <v>0</v>
      </c>
      <c r="AD1006" s="154"/>
      <c r="AE1006" s="243" t="b">
        <f t="shared" si="3"/>
        <v>0</v>
      </c>
      <c r="AF1006" s="154"/>
      <c r="AG1006" s="243" t="b">
        <f t="shared" si="7"/>
        <v>0</v>
      </c>
      <c r="AH1006" s="154"/>
      <c r="AI1006" s="243" t="str">
        <f t="shared" si="5"/>
        <v>N/A</v>
      </c>
      <c r="AJ1006" s="157" t="str">
        <f t="shared" si="6"/>
        <v>Compliance Statement missing!</v>
      </c>
    </row>
    <row r="1007" ht="12.75" customHeight="1">
      <c r="A1007" s="244" t="s">
        <v>2412</v>
      </c>
      <c r="B1007" s="244" t="s">
        <v>2633</v>
      </c>
      <c r="C1007" s="255" t="s">
        <v>2828</v>
      </c>
      <c r="D1007" s="256" t="s">
        <v>42</v>
      </c>
      <c r="E1007" s="257" t="s">
        <v>489</v>
      </c>
      <c r="F1007" s="154" t="str">
        <f t="array" ref="F1007">XLOOKUP(Cover!$D$12,$S$1:$AA$1,$S1007:$AA1007)</f>
        <v>Mandatory</v>
      </c>
      <c r="G1007" s="154" t="s">
        <v>2829</v>
      </c>
      <c r="H1007" s="154" t="s">
        <v>2642</v>
      </c>
      <c r="I1007" s="154" t="s">
        <v>550</v>
      </c>
      <c r="J1007" s="154"/>
      <c r="K1007" s="154"/>
      <c r="L1007" s="154" t="str">
        <f t="shared" si="1"/>
        <v>Compliance Statement missing!</v>
      </c>
      <c r="M1007" s="253" t="str">
        <f>IFERROR(__xludf.DUMMYFUNCTION("VLOOKUP(C1007,IMPORTRANGE(""https://docs.google.com/spreadsheets/d/1P8eX0NWBhUPS_hvzA11R6jkTNFrPrRYIx_dX_hYbxrk/edit?resourcekey=0-iw9bsKY2OqkUHCFMkCar3A&amp;gid=2055363397#gid=2055363397"",""MTR!C:O""),11,false)"),"#N/A")</f>
        <v>#N/A</v>
      </c>
      <c r="N1007" s="253" t="str">
        <f>IFERROR(__xludf.DUMMYFUNCTION("VLOOKUP(C1007,IMPORTRANGE(""https://docs.google.com/spreadsheets/d/1ihFlp3_ePlYtFuPbUNbYj1muErVpI73WHXbEwJDIA7Q/edit#gid=1493122344"",""MTR!C:O""),8,false)"),"#N/A")</f>
        <v>#N/A</v>
      </c>
      <c r="O1007" s="253" t="str">
        <f>IFERROR(__xludf.DUMMYFUNCTION("VLOOKUP(C1007,IMPORTRANGE(""https://docs.google.com/spreadsheets/d/1P8eX0NWBhUPS_hvzA11R6jkTNFrPrRYIx_dX_hYbxrk/edit?resourcekey=0-iw9bsKY2OqkUHCFMkCar3A&amp;gid=2055363397#gid=2055363397"",""MTR!C:O""),9,false)"),"#N/A")</f>
        <v>#N/A</v>
      </c>
      <c r="P1007" s="253"/>
      <c r="Q1007" s="253"/>
      <c r="R1007" s="253"/>
      <c r="S1007" s="154" t="s">
        <v>60</v>
      </c>
      <c r="T1007" s="154" t="s">
        <v>60</v>
      </c>
      <c r="U1007" s="154" t="s">
        <v>60</v>
      </c>
      <c r="V1007" s="154" t="s">
        <v>60</v>
      </c>
      <c r="W1007" s="154" t="s">
        <v>60</v>
      </c>
      <c r="X1007" s="154" t="s">
        <v>60</v>
      </c>
      <c r="Y1007" s="154" t="s">
        <v>60</v>
      </c>
      <c r="Z1007" s="154" t="s">
        <v>60</v>
      </c>
      <c r="AA1007" s="154" t="s">
        <v>60</v>
      </c>
      <c r="AB1007" s="154"/>
      <c r="AC1007" s="242" t="b">
        <f t="shared" si="2"/>
        <v>0</v>
      </c>
      <c r="AD1007" s="154"/>
      <c r="AE1007" s="243" t="b">
        <f t="shared" si="3"/>
        <v>0</v>
      </c>
      <c r="AF1007" s="154"/>
      <c r="AG1007" s="243" t="b">
        <f t="shared" si="7"/>
        <v>0</v>
      </c>
      <c r="AH1007" s="154"/>
      <c r="AI1007" s="243" t="str">
        <f t="shared" si="5"/>
        <v>N/A</v>
      </c>
      <c r="AJ1007" s="157" t="str">
        <f t="shared" si="6"/>
        <v>Compliance Statement missing!</v>
      </c>
    </row>
    <row r="1008" ht="12.75" customHeight="1">
      <c r="A1008" s="244" t="s">
        <v>2412</v>
      </c>
      <c r="B1008" s="244" t="s">
        <v>2633</v>
      </c>
      <c r="C1008" s="244" t="s">
        <v>2830</v>
      </c>
      <c r="D1008" s="154" t="s">
        <v>503</v>
      </c>
      <c r="E1008" s="250"/>
      <c r="F1008" s="154" t="str">
        <f t="array" ref="F1008">XLOOKUP(Cover!$D$12,$S$1:$AA$1,$S1008:$AA1008)</f>
        <v>Recommended</v>
      </c>
      <c r="G1008" s="154" t="s">
        <v>2831</v>
      </c>
      <c r="H1008" s="154" t="s">
        <v>2642</v>
      </c>
      <c r="I1008" s="154" t="s">
        <v>550</v>
      </c>
      <c r="J1008" s="154" t="s">
        <v>516</v>
      </c>
      <c r="K1008" s="154" t="s">
        <v>2832</v>
      </c>
      <c r="L1008" s="154" t="str">
        <f t="shared" si="1"/>
        <v/>
      </c>
      <c r="M1008" s="248" t="str">
        <f>IFERROR(__xludf.DUMMYFUNCTION("VLOOKUP(C1008,IMPORTRANGE(""https://docs.google.com/spreadsheets/d/1P8eX0NWBhUPS_hvzA11R6jkTNFrPrRYIx_dX_hYbxrk/edit?resourcekey=0-iw9bsKY2OqkUHCFMkCar3A&amp;gid=2055363397#gid=2055363397"",""MTR!C:O""),11,false)"),"TAM")</f>
        <v>TAM</v>
      </c>
      <c r="N1008" s="248" t="str">
        <f>IFERROR(__xludf.DUMMYFUNCTION("VLOOKUP(C1008,IMPORTRANGE(""https://docs.google.com/spreadsheets/d/1ihFlp3_ePlYtFuPbUNbYj1muErVpI73WHXbEwJDIA7Q/edit#gid=1493122344"",""MTR!C:O""),8,false)"),"Does Not Comply")</f>
        <v>Does Not Comply</v>
      </c>
      <c r="O1008" s="248" t="str">
        <f>IFERROR(__xludf.DUMMYFUNCTION("VLOOKUP(C1008,IMPORTRANGE(""https://docs.google.com/spreadsheets/d/1P8eX0NWBhUPS_hvzA11R6jkTNFrPrRYIx_dX_hYbxrk/edit?resourcekey=0-iw9bsKY2OqkUHCFMkCar3A&amp;gid=2055363397#gid=2055363397"",""MTR!C:O""),9,false)"),"Not supported")</f>
        <v>Not supported</v>
      </c>
      <c r="P1008" s="248"/>
      <c r="Q1008" s="249" t="s">
        <v>516</v>
      </c>
      <c r="R1008" s="249" t="s">
        <v>2832</v>
      </c>
      <c r="S1008" s="154" t="s">
        <v>64</v>
      </c>
      <c r="T1008" s="154" t="s">
        <v>64</v>
      </c>
      <c r="U1008" s="154" t="s">
        <v>64</v>
      </c>
      <c r="V1008" s="154" t="s">
        <v>64</v>
      </c>
      <c r="W1008" s="154" t="s">
        <v>64</v>
      </c>
      <c r="X1008" s="154" t="s">
        <v>64</v>
      </c>
      <c r="Y1008" s="154" t="s">
        <v>64</v>
      </c>
      <c r="Z1008" s="154" t="s">
        <v>64</v>
      </c>
      <c r="AA1008" s="154" t="s">
        <v>64</v>
      </c>
      <c r="AB1008" s="154"/>
      <c r="AC1008" s="242" t="b">
        <f t="shared" si="2"/>
        <v>1</v>
      </c>
      <c r="AD1008" s="154" t="s">
        <v>391</v>
      </c>
      <c r="AE1008" s="243" t="b">
        <f t="shared" si="3"/>
        <v>0</v>
      </c>
      <c r="AF1008" s="154"/>
      <c r="AG1008" s="243" t="b">
        <f t="shared" si="7"/>
        <v>0</v>
      </c>
      <c r="AH1008" s="154"/>
      <c r="AI1008" s="243" t="str">
        <f t="shared" si="5"/>
        <v>N/A</v>
      </c>
      <c r="AJ1008" s="157" t="str">
        <f t="shared" si="6"/>
        <v/>
      </c>
    </row>
    <row r="1009" ht="12.75" customHeight="1">
      <c r="A1009" s="244" t="s">
        <v>2412</v>
      </c>
      <c r="B1009" s="244" t="s">
        <v>2633</v>
      </c>
      <c r="C1009" s="244" t="s">
        <v>2833</v>
      </c>
      <c r="D1009" s="154" t="s">
        <v>503</v>
      </c>
      <c r="E1009" s="250"/>
      <c r="F1009" s="154" t="str">
        <f t="array" ref="F1009">XLOOKUP(Cover!$D$12,$S$1:$AA$1,$S1009:$AA1009)</f>
        <v>Recommended</v>
      </c>
      <c r="G1009" s="154" t="s">
        <v>2834</v>
      </c>
      <c r="H1009" s="154" t="s">
        <v>2642</v>
      </c>
      <c r="I1009" s="154" t="s">
        <v>550</v>
      </c>
      <c r="J1009" s="154" t="s">
        <v>516</v>
      </c>
      <c r="K1009" s="154" t="s">
        <v>2832</v>
      </c>
      <c r="L1009" s="154" t="str">
        <f t="shared" si="1"/>
        <v/>
      </c>
      <c r="M1009" s="248" t="str">
        <f>IFERROR(__xludf.DUMMYFUNCTION("VLOOKUP(C1009,IMPORTRANGE(""https://docs.google.com/spreadsheets/d/1P8eX0NWBhUPS_hvzA11R6jkTNFrPrRYIx_dX_hYbxrk/edit?resourcekey=0-iw9bsKY2OqkUHCFMkCar3A&amp;gid=2055363397#gid=2055363397"",""MTR!C:O""),11,false)"),"TAM")</f>
        <v>TAM</v>
      </c>
      <c r="N1009" s="248" t="str">
        <f>IFERROR(__xludf.DUMMYFUNCTION("VLOOKUP(C1009,IMPORTRANGE(""https://docs.google.com/spreadsheets/d/1ihFlp3_ePlYtFuPbUNbYj1muErVpI73WHXbEwJDIA7Q/edit#gid=1493122344"",""MTR!C:O""),8,false)"),"Does Not Comply")</f>
        <v>Does Not Comply</v>
      </c>
      <c r="O1009" s="248" t="str">
        <f>IFERROR(__xludf.DUMMYFUNCTION("VLOOKUP(C1009,IMPORTRANGE(""https://docs.google.com/spreadsheets/d/1P8eX0NWBhUPS_hvzA11R6jkTNFrPrRYIx_dX_hYbxrk/edit?resourcekey=0-iw9bsKY2OqkUHCFMkCar3A&amp;gid=2055363397#gid=2055363397"",""MTR!C:O""),9,false)"),"Not supported")</f>
        <v>Not supported</v>
      </c>
      <c r="P1009" s="248"/>
      <c r="Q1009" s="249" t="s">
        <v>516</v>
      </c>
      <c r="R1009" s="249" t="s">
        <v>2832</v>
      </c>
      <c r="S1009" s="154" t="s">
        <v>64</v>
      </c>
      <c r="T1009" s="154" t="s">
        <v>64</v>
      </c>
      <c r="U1009" s="154" t="s">
        <v>64</v>
      </c>
      <c r="V1009" s="154" t="s">
        <v>64</v>
      </c>
      <c r="W1009" s="154" t="s">
        <v>64</v>
      </c>
      <c r="X1009" s="154" t="s">
        <v>64</v>
      </c>
      <c r="Y1009" s="154" t="s">
        <v>64</v>
      </c>
      <c r="Z1009" s="154" t="s">
        <v>64</v>
      </c>
      <c r="AA1009" s="154" t="s">
        <v>64</v>
      </c>
      <c r="AB1009" s="154"/>
      <c r="AC1009" s="242" t="b">
        <f t="shared" si="2"/>
        <v>1</v>
      </c>
      <c r="AD1009" s="154" t="s">
        <v>391</v>
      </c>
      <c r="AE1009" s="243" t="b">
        <f t="shared" si="3"/>
        <v>0</v>
      </c>
      <c r="AF1009" s="154"/>
      <c r="AG1009" s="243" t="b">
        <f t="shared" si="7"/>
        <v>0</v>
      </c>
      <c r="AH1009" s="154"/>
      <c r="AI1009" s="243" t="str">
        <f t="shared" si="5"/>
        <v>N/A</v>
      </c>
      <c r="AJ1009" s="157" t="str">
        <f t="shared" si="6"/>
        <v/>
      </c>
    </row>
    <row r="1010" ht="12.75" customHeight="1">
      <c r="A1010" s="244" t="s">
        <v>2412</v>
      </c>
      <c r="B1010" s="244" t="s">
        <v>2633</v>
      </c>
      <c r="C1010" s="244" t="s">
        <v>2835</v>
      </c>
      <c r="D1010" s="154" t="s">
        <v>503</v>
      </c>
      <c r="E1010" s="250"/>
      <c r="F1010" s="154" t="str">
        <f t="array" ref="F1010">XLOOKUP(Cover!$D$12,$S$1:$AA$1,$S1010:$AA1010)</f>
        <v>Recommended</v>
      </c>
      <c r="G1010" s="154" t="s">
        <v>2836</v>
      </c>
      <c r="H1010" s="154" t="s">
        <v>2642</v>
      </c>
      <c r="I1010" s="154" t="s">
        <v>550</v>
      </c>
      <c r="J1010" s="154" t="s">
        <v>445</v>
      </c>
      <c r="K1010" s="154" t="s">
        <v>2837</v>
      </c>
      <c r="L1010" s="154" t="str">
        <f t="shared" si="1"/>
        <v/>
      </c>
      <c r="M1010" s="248" t="str">
        <f>IFERROR(__xludf.DUMMYFUNCTION("VLOOKUP(C1010,IMPORTRANGE(""https://docs.google.com/spreadsheets/d/1P8eX0NWBhUPS_hvzA11R6jkTNFrPrRYIx_dX_hYbxrk/edit?resourcekey=0-iw9bsKY2OqkUHCFMkCar3A&amp;gid=2055363397#gid=2055363397"",""MTR!C:O""),11,false)"),"TAM")</f>
        <v>TAM</v>
      </c>
      <c r="N1010" s="248" t="str">
        <f>IFERROR(__xludf.DUMMYFUNCTION("VLOOKUP(C1010,IMPORTRANGE(""https://docs.google.com/spreadsheets/d/1ihFlp3_ePlYtFuPbUNbYj1muErVpI73WHXbEwJDIA7Q/edit#gid=1493122344"",""MTR!C:O""),8,false)"),"Complies")</f>
        <v>Complies</v>
      </c>
      <c r="O1010" s="248" t="str">
        <f>IFERROR(__xludf.DUMMYFUNCTION("VLOOKUP(C1010,IMPORTRANGE(""https://docs.google.com/spreadsheets/d/1P8eX0NWBhUPS_hvzA11R6jkTNFrPrRYIx_dX_hYbxrk/edit?resourcekey=0-iw9bsKY2OqkUHCFMkCar3A&amp;gid=2055363397#gid=2055363397"",""MTR!C:O""),9,false)"),"Hearing Aid Compatibility (HAC):  M3/T4 (HAC Rating)")</f>
        <v>Hearing Aid Compatibility (HAC):  M3/T4 (HAC Rating)</v>
      </c>
      <c r="P1010" s="248"/>
      <c r="Q1010" s="249" t="s">
        <v>445</v>
      </c>
      <c r="R1010" s="249" t="s">
        <v>2837</v>
      </c>
      <c r="S1010" s="154" t="s">
        <v>64</v>
      </c>
      <c r="T1010" s="154" t="s">
        <v>64</v>
      </c>
      <c r="U1010" s="154" t="s">
        <v>64</v>
      </c>
      <c r="V1010" s="154" t="s">
        <v>64</v>
      </c>
      <c r="W1010" s="154" t="s">
        <v>64</v>
      </c>
      <c r="X1010" s="154" t="s">
        <v>64</v>
      </c>
      <c r="Y1010" s="154" t="s">
        <v>64</v>
      </c>
      <c r="Z1010" s="154" t="s">
        <v>64</v>
      </c>
      <c r="AA1010" s="154" t="s">
        <v>64</v>
      </c>
      <c r="AB1010" s="154"/>
      <c r="AC1010" s="242" t="b">
        <f t="shared" si="2"/>
        <v>1</v>
      </c>
      <c r="AD1010" s="154" t="s">
        <v>391</v>
      </c>
      <c r="AE1010" s="243" t="b">
        <f t="shared" si="3"/>
        <v>0</v>
      </c>
      <c r="AF1010" s="154"/>
      <c r="AG1010" s="243" t="b">
        <f t="shared" si="7"/>
        <v>0</v>
      </c>
      <c r="AH1010" s="154"/>
      <c r="AI1010" s="243" t="str">
        <f t="shared" si="5"/>
        <v>N/A</v>
      </c>
      <c r="AJ1010" s="157" t="str">
        <f t="shared" si="6"/>
        <v/>
      </c>
    </row>
    <row r="1011" ht="12.75" customHeight="1">
      <c r="A1011" s="244" t="s">
        <v>2412</v>
      </c>
      <c r="B1011" s="244" t="s">
        <v>2633</v>
      </c>
      <c r="C1011" s="244" t="s">
        <v>2838</v>
      </c>
      <c r="D1011" s="154" t="s">
        <v>503</v>
      </c>
      <c r="E1011" s="250"/>
      <c r="F1011" s="154" t="str">
        <f t="array" ref="F1011">XLOOKUP(Cover!$D$12,$S$1:$AA$1,$S1011:$AA1011)</f>
        <v>Recommended</v>
      </c>
      <c r="G1011" s="154" t="s">
        <v>2839</v>
      </c>
      <c r="H1011" s="154" t="s">
        <v>2642</v>
      </c>
      <c r="I1011" s="154" t="s">
        <v>550</v>
      </c>
      <c r="J1011" s="267" t="s">
        <v>516</v>
      </c>
      <c r="K1011" s="267" t="s">
        <v>2832</v>
      </c>
      <c r="L1011" s="154" t="str">
        <f t="shared" si="1"/>
        <v/>
      </c>
      <c r="M1011" s="248" t="str">
        <f>IFERROR(__xludf.DUMMYFUNCTION("VLOOKUP(C1011,IMPORTRANGE(""https://docs.google.com/spreadsheets/d/1P8eX0NWBhUPS_hvzA11R6jkTNFrPrRYIx_dX_hYbxrk/edit?resourcekey=0-iw9bsKY2OqkUHCFMkCar3A&amp;gid=2055363397#gid=2055363397"",""MTR!C:O""),11,false)"),"TAM")</f>
        <v>TAM</v>
      </c>
      <c r="N1011" s="248" t="str">
        <f>IFERROR(__xludf.DUMMYFUNCTION("VLOOKUP(C1011,IMPORTRANGE(""https://docs.google.com/spreadsheets/d/1ihFlp3_ePlYtFuPbUNbYj1muErVpI73WHXbEwJDIA7Q/edit#gid=1493122344"",""MTR!C:O""),8,false)"),"Does Not Comply")</f>
        <v>Does Not Comply</v>
      </c>
      <c r="O1011" s="248" t="str">
        <f>IFERROR(__xludf.DUMMYFUNCTION("VLOOKUP(C1011,IMPORTRANGE(""https://docs.google.com/spreadsheets/d/1P8eX0NWBhUPS_hvzA11R6jkTNFrPrRYIx_dX_hYbxrk/edit?resourcekey=0-iw9bsKY2OqkUHCFMkCar3A&amp;gid=2055363397#gid=2055363397"",""MTR!C:O""),9,false)"),"Not supported")</f>
        <v>Not supported</v>
      </c>
      <c r="P1011" s="248"/>
      <c r="Q1011" s="249" t="s">
        <v>516</v>
      </c>
      <c r="R1011" s="249" t="s">
        <v>2832</v>
      </c>
      <c r="S1011" s="154" t="s">
        <v>64</v>
      </c>
      <c r="T1011" s="154" t="s">
        <v>64</v>
      </c>
      <c r="U1011" s="154" t="s">
        <v>64</v>
      </c>
      <c r="V1011" s="154" t="s">
        <v>64</v>
      </c>
      <c r="W1011" s="154" t="s">
        <v>64</v>
      </c>
      <c r="X1011" s="154" t="s">
        <v>64</v>
      </c>
      <c r="Y1011" s="154" t="s">
        <v>64</v>
      </c>
      <c r="Z1011" s="154" t="s">
        <v>64</v>
      </c>
      <c r="AA1011" s="154" t="s">
        <v>64</v>
      </c>
      <c r="AB1011" s="154"/>
      <c r="AC1011" s="242" t="b">
        <f t="shared" si="2"/>
        <v>1</v>
      </c>
      <c r="AD1011" s="154" t="s">
        <v>391</v>
      </c>
      <c r="AE1011" s="243" t="b">
        <f t="shared" si="3"/>
        <v>0</v>
      </c>
      <c r="AF1011" s="154"/>
      <c r="AG1011" s="243" t="b">
        <f t="shared" si="7"/>
        <v>0</v>
      </c>
      <c r="AH1011" s="154"/>
      <c r="AI1011" s="243" t="str">
        <f t="shared" si="5"/>
        <v>N/A</v>
      </c>
      <c r="AJ1011" s="157" t="str">
        <f t="shared" si="6"/>
        <v/>
      </c>
    </row>
    <row r="1012" ht="12.75" customHeight="1">
      <c r="A1012" s="238" t="s">
        <v>2412</v>
      </c>
      <c r="B1012" s="238" t="s">
        <v>2633</v>
      </c>
      <c r="C1012" s="238" t="s">
        <v>2840</v>
      </c>
      <c r="D1012" s="240"/>
      <c r="E1012" s="252" t="s">
        <v>92</v>
      </c>
      <c r="F1012" s="154" t="str">
        <f t="array" ref="F1012">XLOOKUP(Cover!$D$12,$S$1:$AA$1,$S1012:$AA1012)</f>
        <v>Heading</v>
      </c>
      <c r="G1012" s="239" t="s">
        <v>2841</v>
      </c>
      <c r="H1012" s="240"/>
      <c r="I1012" s="240" t="s">
        <v>414</v>
      </c>
      <c r="J1012" s="262"/>
      <c r="K1012" s="262"/>
      <c r="L1012" s="154" t="str">
        <f t="shared" si="1"/>
        <v/>
      </c>
      <c r="M1012" s="241" t="str">
        <f>IFERROR(__xludf.DUMMYFUNCTION("VLOOKUP(C1012,IMPORTRANGE(""https://docs.google.com/spreadsheets/d/1P8eX0NWBhUPS_hvzA11R6jkTNFrPrRYIx_dX_hYbxrk/edit?resourcekey=0-iw9bsKY2OqkUHCFMkCar3A&amp;gid=2055363397#gid=2055363397"",""MTR!C:O""),11,false)"),"")</f>
        <v/>
      </c>
      <c r="N1012" s="241" t="str">
        <f>IFERROR(__xludf.DUMMYFUNCTION("VLOOKUP(C1012,IMPORTRANGE(""https://docs.google.com/spreadsheets/d/1ihFlp3_ePlYtFuPbUNbYj1muErVpI73WHXbEwJDIA7Q/edit#gid=1493122344"",""MTR!C:O""),8,false)"),"")</f>
        <v/>
      </c>
      <c r="O1012" s="241" t="str">
        <f>IFERROR(__xludf.DUMMYFUNCTION("VLOOKUP(C1012,IMPORTRANGE(""https://docs.google.com/spreadsheets/d/1P8eX0NWBhUPS_hvzA11R6jkTNFrPrRYIx_dX_hYbxrk/edit?resourcekey=0-iw9bsKY2OqkUHCFMkCar3A&amp;gid=2055363397#gid=2055363397"",""MTR!C:O""),9,false)"),"")</f>
        <v/>
      </c>
      <c r="P1012" s="241"/>
      <c r="Q1012" s="251"/>
      <c r="R1012" s="251"/>
      <c r="S1012" s="240" t="s">
        <v>390</v>
      </c>
      <c r="T1012" s="240" t="s">
        <v>390</v>
      </c>
      <c r="U1012" s="240" t="s">
        <v>390</v>
      </c>
      <c r="V1012" s="240" t="s">
        <v>390</v>
      </c>
      <c r="W1012" s="240" t="s">
        <v>390</v>
      </c>
      <c r="X1012" s="240" t="s">
        <v>390</v>
      </c>
      <c r="Y1012" s="240" t="s">
        <v>390</v>
      </c>
      <c r="Z1012" s="240" t="s">
        <v>390</v>
      </c>
      <c r="AA1012" s="240" t="s">
        <v>390</v>
      </c>
      <c r="AB1012" s="240"/>
      <c r="AC1012" s="242" t="b">
        <f t="shared" si="2"/>
        <v>0</v>
      </c>
      <c r="AD1012" s="240" t="s">
        <v>391</v>
      </c>
      <c r="AE1012" s="243" t="b">
        <f t="shared" si="3"/>
        <v>0</v>
      </c>
      <c r="AF1012" s="240"/>
      <c r="AG1012" s="243" t="b">
        <f t="shared" si="7"/>
        <v>0</v>
      </c>
      <c r="AH1012" s="240"/>
      <c r="AI1012" s="243" t="str">
        <f t="shared" si="5"/>
        <v>N/A</v>
      </c>
      <c r="AJ1012" s="157" t="str">
        <f t="shared" si="6"/>
        <v/>
      </c>
    </row>
    <row r="1013" ht="12.75" customHeight="1">
      <c r="A1013" s="244" t="s">
        <v>2412</v>
      </c>
      <c r="B1013" s="244" t="s">
        <v>2633</v>
      </c>
      <c r="C1013" s="244" t="s">
        <v>2842</v>
      </c>
      <c r="D1013" s="154" t="s">
        <v>528</v>
      </c>
      <c r="E1013" s="250"/>
      <c r="F1013" s="154" t="str">
        <f t="array" ref="F1013">XLOOKUP(Cover!$D$12,$S$1:$AA$1,$S1013:$AA1013)</f>
        <v>Mandatory</v>
      </c>
      <c r="G1013" s="153" t="s">
        <v>2843</v>
      </c>
      <c r="H1013" s="154" t="s">
        <v>2642</v>
      </c>
      <c r="I1013" s="154" t="s">
        <v>420</v>
      </c>
      <c r="J1013" s="247"/>
      <c r="K1013" s="247" t="s">
        <v>480</v>
      </c>
      <c r="L1013" s="154" t="str">
        <f t="shared" si="1"/>
        <v>Compliance Statement missing!</v>
      </c>
      <c r="M1013" s="248" t="str">
        <f>IFERROR(__xludf.DUMMYFUNCTION("VLOOKUP(C1013,IMPORTRANGE(""https://docs.google.com/spreadsheets/d/1P8eX0NWBhUPS_hvzA11R6jkTNFrPrRYIx_dX_hYbxrk/edit?resourcekey=0-iw9bsKY2OqkUHCFMkCar3A&amp;gid=2055363397#gid=2055363397"",""MTR!C:O""),11,false)"),"TAM-SPEC")</f>
        <v>TAM-SPEC</v>
      </c>
      <c r="N1013" s="248" t="str">
        <f>IFERROR(__xludf.DUMMYFUNCTION("VLOOKUP(C1013,IMPORTRANGE(""https://docs.google.com/spreadsheets/d/1ihFlp3_ePlYtFuPbUNbYj1muErVpI73WHXbEwJDIA7Q/edit#gid=1493122344"",""MTR!C:O""),8,false)"),"Complies")</f>
        <v>Complies</v>
      </c>
      <c r="O1013" s="248" t="str">
        <f>IFERROR(__xludf.DUMMYFUNCTION("VLOOKUP(C1013,IMPORTRANGE(""https://docs.google.com/spreadsheets/d/1P8eX0NWBhUPS_hvzA11R6jkTNFrPrRYIx_dX_hYbxrk/edit?resourcekey=0-iw9bsKY2OqkUHCFMkCar3A&amp;gid=2055363397#gid=2055363397"",""MTR!C:O""),9,false)"),"Values will be supplied before LE1")</f>
        <v>Values will be supplied before LE1</v>
      </c>
      <c r="P1013" s="248"/>
      <c r="Q1013" s="249" t="s">
        <v>445</v>
      </c>
      <c r="R1013" s="249" t="s">
        <v>2844</v>
      </c>
      <c r="S1013" s="154" t="s">
        <v>60</v>
      </c>
      <c r="T1013" s="154" t="s">
        <v>60</v>
      </c>
      <c r="U1013" s="154" t="s">
        <v>60</v>
      </c>
      <c r="V1013" s="154" t="s">
        <v>60</v>
      </c>
      <c r="W1013" s="154" t="s">
        <v>60</v>
      </c>
      <c r="X1013" s="154" t="s">
        <v>60</v>
      </c>
      <c r="Y1013" s="154" t="s">
        <v>60</v>
      </c>
      <c r="Z1013" s="154" t="s">
        <v>60</v>
      </c>
      <c r="AA1013" s="154" t="s">
        <v>60</v>
      </c>
      <c r="AB1013" s="154"/>
      <c r="AC1013" s="242" t="b">
        <f t="shared" si="2"/>
        <v>0</v>
      </c>
      <c r="AD1013" s="154" t="s">
        <v>445</v>
      </c>
      <c r="AE1013" s="243" t="b">
        <f t="shared" si="3"/>
        <v>0</v>
      </c>
      <c r="AF1013" s="154"/>
      <c r="AG1013" s="243" t="b">
        <f t="shared" si="7"/>
        <v>0</v>
      </c>
      <c r="AH1013" s="154"/>
      <c r="AI1013" s="243" t="str">
        <f t="shared" si="5"/>
        <v>N/A</v>
      </c>
      <c r="AJ1013" s="157" t="str">
        <f t="shared" si="6"/>
        <v>Compliance Statement missing!</v>
      </c>
    </row>
    <row r="1014" ht="12.75" customHeight="1">
      <c r="A1014" s="244" t="s">
        <v>2412</v>
      </c>
      <c r="B1014" s="244" t="s">
        <v>2633</v>
      </c>
      <c r="C1014" s="244" t="s">
        <v>2845</v>
      </c>
      <c r="D1014" s="154" t="s">
        <v>528</v>
      </c>
      <c r="E1014" s="250"/>
      <c r="F1014" s="154" t="str">
        <f t="array" ref="F1014">XLOOKUP(Cover!$D$12,$S$1:$AA$1,$S1014:$AA1014)</f>
        <v>Mandatory</v>
      </c>
      <c r="G1014" s="153" t="s">
        <v>2846</v>
      </c>
      <c r="H1014" s="154" t="s">
        <v>2642</v>
      </c>
      <c r="I1014" s="154" t="s">
        <v>420</v>
      </c>
      <c r="J1014" s="247"/>
      <c r="K1014" s="247" t="s">
        <v>480</v>
      </c>
      <c r="L1014" s="154" t="str">
        <f t="shared" si="1"/>
        <v>Compliance Statement missing!</v>
      </c>
      <c r="M1014" s="248" t="str">
        <f>IFERROR(__xludf.DUMMYFUNCTION("VLOOKUP(C1014,IMPORTRANGE(""https://docs.google.com/spreadsheets/d/1P8eX0NWBhUPS_hvzA11R6jkTNFrPrRYIx_dX_hYbxrk/edit?resourcekey=0-iw9bsKY2OqkUHCFMkCar3A&amp;gid=2055363397#gid=2055363397"",""MTR!C:O""),11,false)"),"TAM-SPEC")</f>
        <v>TAM-SPEC</v>
      </c>
      <c r="N1014" s="248" t="str">
        <f>IFERROR(__xludf.DUMMYFUNCTION("VLOOKUP(C1014,IMPORTRANGE(""https://docs.google.com/spreadsheets/d/1ihFlp3_ePlYtFuPbUNbYj1muErVpI73WHXbEwJDIA7Q/edit#gid=1493122344"",""MTR!C:O""),8,false)"),"Complies")</f>
        <v>Complies</v>
      </c>
      <c r="O1014" s="248" t="str">
        <f>IFERROR(__xludf.DUMMYFUNCTION("VLOOKUP(C1014,IMPORTRANGE(""https://docs.google.com/spreadsheets/d/1P8eX0NWBhUPS_hvzA11R6jkTNFrPrRYIx_dX_hYbxrk/edit?resourcekey=0-iw9bsKY2OqkUHCFMkCar3A&amp;gid=2055363397#gid=2055363397"",""MTR!C:O""),9,false)"),"Values will be supplied before LE1")</f>
        <v>Values will be supplied before LE1</v>
      </c>
      <c r="P1014" s="248"/>
      <c r="Q1014" s="249" t="s">
        <v>445</v>
      </c>
      <c r="R1014" s="249" t="s">
        <v>2847</v>
      </c>
      <c r="S1014" s="154" t="s">
        <v>60</v>
      </c>
      <c r="T1014" s="154" t="s">
        <v>60</v>
      </c>
      <c r="U1014" s="154" t="s">
        <v>60</v>
      </c>
      <c r="V1014" s="154" t="s">
        <v>60</v>
      </c>
      <c r="W1014" s="154" t="s">
        <v>60</v>
      </c>
      <c r="X1014" s="154" t="s">
        <v>60</v>
      </c>
      <c r="Y1014" s="154" t="s">
        <v>60</v>
      </c>
      <c r="Z1014" s="154" t="s">
        <v>60</v>
      </c>
      <c r="AA1014" s="154" t="s">
        <v>60</v>
      </c>
      <c r="AB1014" s="154"/>
      <c r="AC1014" s="242" t="b">
        <f t="shared" si="2"/>
        <v>0</v>
      </c>
      <c r="AD1014" s="154" t="s">
        <v>445</v>
      </c>
      <c r="AE1014" s="243" t="b">
        <f t="shared" si="3"/>
        <v>0</v>
      </c>
      <c r="AF1014" s="154"/>
      <c r="AG1014" s="243" t="b">
        <f t="shared" si="7"/>
        <v>0</v>
      </c>
      <c r="AH1014" s="154"/>
      <c r="AI1014" s="243" t="str">
        <f t="shared" si="5"/>
        <v>N/A</v>
      </c>
      <c r="AJ1014" s="157" t="str">
        <f t="shared" si="6"/>
        <v>Compliance Statement missing!</v>
      </c>
    </row>
    <row r="1015" ht="12.75" customHeight="1">
      <c r="A1015" s="244" t="s">
        <v>2412</v>
      </c>
      <c r="B1015" s="244" t="s">
        <v>2633</v>
      </c>
      <c r="C1015" s="244" t="s">
        <v>2848</v>
      </c>
      <c r="D1015" s="154" t="s">
        <v>433</v>
      </c>
      <c r="E1015" s="250"/>
      <c r="F1015" s="154" t="str">
        <f t="array" ref="F1015">XLOOKUP(Cover!$D$12,$S$1:$AA$1,$S1015:$AA1015)</f>
        <v>Mandatory</v>
      </c>
      <c r="G1015" s="153" t="s">
        <v>2849</v>
      </c>
      <c r="H1015" s="154" t="s">
        <v>2850</v>
      </c>
      <c r="I1015" s="154" t="s">
        <v>420</v>
      </c>
      <c r="J1015" s="247"/>
      <c r="K1015" s="247" t="s">
        <v>480</v>
      </c>
      <c r="L1015" s="154" t="str">
        <f t="shared" si="1"/>
        <v>Compliance Statement missing!</v>
      </c>
      <c r="M1015" s="248" t="str">
        <f>IFERROR(__xludf.DUMMYFUNCTION("VLOOKUP(C1015,IMPORTRANGE(""https://docs.google.com/spreadsheets/d/1P8eX0NWBhUPS_hvzA11R6jkTNFrPrRYIx_dX_hYbxrk/edit?resourcekey=0-iw9bsKY2OqkUHCFMkCar3A&amp;gid=2055363397#gid=2055363397"",""MTR!C:O""),11,false)"),"TAM-SPEC")</f>
        <v>TAM-SPEC</v>
      </c>
      <c r="N1015" s="248" t="str">
        <f>IFERROR(__xludf.DUMMYFUNCTION("VLOOKUP(C1015,IMPORTRANGE(""https://docs.google.com/spreadsheets/d/1ihFlp3_ePlYtFuPbUNbYj1muErVpI73WHXbEwJDIA7Q/edit#gid=1493122344"",""MTR!C:O""),8,false)"),"Complies")</f>
        <v>Complies</v>
      </c>
      <c r="O1015" s="248" t="str">
        <f>IFERROR(__xludf.DUMMYFUNCTION("VLOOKUP(C1015,IMPORTRANGE(""https://docs.google.com/spreadsheets/d/1P8eX0NWBhUPS_hvzA11R6jkTNFrPrRYIx_dX_hYbxrk/edit?resourcekey=0-iw9bsKY2OqkUHCFMkCar3A&amp;gid=2055363397#gid=2055363397"",""MTR!C:O""),9,false)"),"Values will be supplied before LE1")</f>
        <v>Values will be supplied before LE1</v>
      </c>
      <c r="P1015" s="248"/>
      <c r="Q1015" s="249" t="s">
        <v>445</v>
      </c>
      <c r="R1015" s="249" t="s">
        <v>2851</v>
      </c>
      <c r="S1015" s="154" t="s">
        <v>60</v>
      </c>
      <c r="T1015" s="154" t="s">
        <v>60</v>
      </c>
      <c r="U1015" s="154" t="s">
        <v>60</v>
      </c>
      <c r="V1015" s="154" t="s">
        <v>60</v>
      </c>
      <c r="W1015" s="154" t="s">
        <v>60</v>
      </c>
      <c r="X1015" s="154" t="s">
        <v>60</v>
      </c>
      <c r="Y1015" s="154" t="s">
        <v>60</v>
      </c>
      <c r="Z1015" s="154" t="s">
        <v>60</v>
      </c>
      <c r="AA1015" s="154" t="s">
        <v>60</v>
      </c>
      <c r="AB1015" s="154"/>
      <c r="AC1015" s="242" t="b">
        <f t="shared" si="2"/>
        <v>0</v>
      </c>
      <c r="AD1015" s="154" t="s">
        <v>445</v>
      </c>
      <c r="AE1015" s="243" t="b">
        <f t="shared" si="3"/>
        <v>0</v>
      </c>
      <c r="AF1015" s="154"/>
      <c r="AG1015" s="243" t="b">
        <f t="shared" si="7"/>
        <v>0</v>
      </c>
      <c r="AH1015" s="154"/>
      <c r="AI1015" s="243" t="str">
        <f t="shared" si="5"/>
        <v>N/A</v>
      </c>
      <c r="AJ1015" s="157" t="str">
        <f t="shared" si="6"/>
        <v>Compliance Statement missing!</v>
      </c>
    </row>
    <row r="1016" ht="12.75" customHeight="1">
      <c r="A1016" s="244" t="s">
        <v>2412</v>
      </c>
      <c r="B1016" s="244" t="s">
        <v>2633</v>
      </c>
      <c r="C1016" s="244" t="s">
        <v>2852</v>
      </c>
      <c r="D1016" s="154" t="s">
        <v>433</v>
      </c>
      <c r="E1016" s="250"/>
      <c r="F1016" s="154" t="str">
        <f t="array" ref="F1016">XLOOKUP(Cover!$D$12,$S$1:$AA$1,$S1016:$AA1016)</f>
        <v>Mandatory</v>
      </c>
      <c r="G1016" s="153" t="s">
        <v>2853</v>
      </c>
      <c r="H1016" s="154" t="s">
        <v>2642</v>
      </c>
      <c r="I1016" s="154" t="s">
        <v>420</v>
      </c>
      <c r="J1016" s="247"/>
      <c r="K1016" s="247" t="s">
        <v>480</v>
      </c>
      <c r="L1016" s="154" t="str">
        <f t="shared" si="1"/>
        <v>Compliance Statement missing!</v>
      </c>
      <c r="M1016" s="248" t="str">
        <f>IFERROR(__xludf.DUMMYFUNCTION("VLOOKUP(C1016,IMPORTRANGE(""https://docs.google.com/spreadsheets/d/1P8eX0NWBhUPS_hvzA11R6jkTNFrPrRYIx_dX_hYbxrk/edit?resourcekey=0-iw9bsKY2OqkUHCFMkCar3A&amp;gid=2055363397#gid=2055363397"",""MTR!C:O""),11,false)"),"TAM-SPEC")</f>
        <v>TAM-SPEC</v>
      </c>
      <c r="N1016" s="248" t="str">
        <f>IFERROR(__xludf.DUMMYFUNCTION("VLOOKUP(C1016,IMPORTRANGE(""https://docs.google.com/spreadsheets/d/1ihFlp3_ePlYtFuPbUNbYj1muErVpI73WHXbEwJDIA7Q/edit#gid=1493122344"",""MTR!C:O""),8,false)"),"Complies")</f>
        <v>Complies</v>
      </c>
      <c r="O1016" s="248" t="str">
        <f>IFERROR(__xludf.DUMMYFUNCTION("VLOOKUP(C1016,IMPORTRANGE(""https://docs.google.com/spreadsheets/d/1P8eX0NWBhUPS_hvzA11R6jkTNFrPrRYIx_dX_hYbxrk/edit?resourcekey=0-iw9bsKY2OqkUHCFMkCar3A&amp;gid=2055363397#gid=2055363397"",""MTR!C:O""),9,false)"),"Values will be supplied before LE1")</f>
        <v>Values will be supplied before LE1</v>
      </c>
      <c r="P1016" s="248"/>
      <c r="Q1016" s="249" t="s">
        <v>445</v>
      </c>
      <c r="R1016" s="249" t="s">
        <v>2854</v>
      </c>
      <c r="S1016" s="154" t="s">
        <v>60</v>
      </c>
      <c r="T1016" s="154" t="s">
        <v>60</v>
      </c>
      <c r="U1016" s="154" t="s">
        <v>60</v>
      </c>
      <c r="V1016" s="154" t="s">
        <v>60</v>
      </c>
      <c r="W1016" s="154" t="s">
        <v>60</v>
      </c>
      <c r="X1016" s="154" t="s">
        <v>60</v>
      </c>
      <c r="Y1016" s="154" t="s">
        <v>60</v>
      </c>
      <c r="Z1016" s="154" t="s">
        <v>60</v>
      </c>
      <c r="AA1016" s="154" t="s">
        <v>60</v>
      </c>
      <c r="AB1016" s="154"/>
      <c r="AC1016" s="242" t="b">
        <f t="shared" si="2"/>
        <v>0</v>
      </c>
      <c r="AD1016" s="154" t="s">
        <v>445</v>
      </c>
      <c r="AE1016" s="243" t="b">
        <f t="shared" si="3"/>
        <v>0</v>
      </c>
      <c r="AF1016" s="154"/>
      <c r="AG1016" s="243" t="b">
        <f t="shared" si="7"/>
        <v>0</v>
      </c>
      <c r="AH1016" s="154"/>
      <c r="AI1016" s="243" t="str">
        <f t="shared" si="5"/>
        <v>N/A</v>
      </c>
      <c r="AJ1016" s="157" t="str">
        <f t="shared" si="6"/>
        <v>Compliance Statement missing!</v>
      </c>
    </row>
    <row r="1017" ht="12.75" customHeight="1">
      <c r="A1017" s="244" t="s">
        <v>2412</v>
      </c>
      <c r="B1017" s="244" t="s">
        <v>2633</v>
      </c>
      <c r="C1017" s="244" t="s">
        <v>2855</v>
      </c>
      <c r="D1017" s="154" t="s">
        <v>433</v>
      </c>
      <c r="E1017" s="250"/>
      <c r="F1017" s="154" t="str">
        <f t="array" ref="F1017">XLOOKUP(Cover!$D$12,$S$1:$AA$1,$S1017:$AA1017)</f>
        <v>Mandatory</v>
      </c>
      <c r="G1017" s="153" t="s">
        <v>2856</v>
      </c>
      <c r="H1017" s="154" t="s">
        <v>2642</v>
      </c>
      <c r="I1017" s="154" t="s">
        <v>414</v>
      </c>
      <c r="J1017" s="247"/>
      <c r="K1017" s="247" t="s">
        <v>480</v>
      </c>
      <c r="L1017" s="154" t="str">
        <f t="shared" si="1"/>
        <v>Compliance Statement missing!</v>
      </c>
      <c r="M1017" s="248" t="str">
        <f>IFERROR(__xludf.DUMMYFUNCTION("VLOOKUP(C1017,IMPORTRANGE(""https://docs.google.com/spreadsheets/d/1P8eX0NWBhUPS_hvzA11R6jkTNFrPrRYIx_dX_hYbxrk/edit?resourcekey=0-iw9bsKY2OqkUHCFMkCar3A&amp;gid=2055363397#gid=2055363397"",""MTR!C:O""),11,false)"),"TAM-SPEC")</f>
        <v>TAM-SPEC</v>
      </c>
      <c r="N1017" s="248" t="str">
        <f>IFERROR(__xludf.DUMMYFUNCTION("VLOOKUP(C1017,IMPORTRANGE(""https://docs.google.com/spreadsheets/d/1ihFlp3_ePlYtFuPbUNbYj1muErVpI73WHXbEwJDIA7Q/edit#gid=1493122344"",""MTR!C:O""),8,false)"),"Complies")</f>
        <v>Complies</v>
      </c>
      <c r="O1017" s="248" t="str">
        <f>IFERROR(__xludf.DUMMYFUNCTION("VLOOKUP(C1017,IMPORTRANGE(""https://docs.google.com/spreadsheets/d/1P8eX0NWBhUPS_hvzA11R6jkTNFrPrRYIx_dX_hYbxrk/edit?resourcekey=0-iw9bsKY2OqkUHCFMkCar3A&amp;gid=2055363397#gid=2055363397"",""MTR!C:O""),9,false)"),"Values will be supplied before LE1")</f>
        <v>Values will be supplied before LE1</v>
      </c>
      <c r="P1017" s="248"/>
      <c r="Q1017" s="249" t="s">
        <v>445</v>
      </c>
      <c r="R1017" s="249" t="s">
        <v>2857</v>
      </c>
      <c r="S1017" s="154" t="s">
        <v>60</v>
      </c>
      <c r="T1017" s="154" t="s">
        <v>60</v>
      </c>
      <c r="U1017" s="154" t="s">
        <v>60</v>
      </c>
      <c r="V1017" s="154" t="s">
        <v>60</v>
      </c>
      <c r="W1017" s="154" t="s">
        <v>60</v>
      </c>
      <c r="X1017" s="154" t="s">
        <v>60</v>
      </c>
      <c r="Y1017" s="154" t="s">
        <v>60</v>
      </c>
      <c r="Z1017" s="154" t="s">
        <v>60</v>
      </c>
      <c r="AA1017" s="154" t="s">
        <v>60</v>
      </c>
      <c r="AB1017" s="154"/>
      <c r="AC1017" s="242" t="b">
        <f t="shared" si="2"/>
        <v>0</v>
      </c>
      <c r="AD1017" s="154" t="s">
        <v>445</v>
      </c>
      <c r="AE1017" s="243" t="b">
        <f t="shared" si="3"/>
        <v>0</v>
      </c>
      <c r="AF1017" s="154"/>
      <c r="AG1017" s="243" t="b">
        <f t="shared" si="7"/>
        <v>0</v>
      </c>
      <c r="AH1017" s="154"/>
      <c r="AI1017" s="243" t="str">
        <f t="shared" si="5"/>
        <v>N/A</v>
      </c>
      <c r="AJ1017" s="157" t="str">
        <f t="shared" si="6"/>
        <v>Compliance Statement missing!</v>
      </c>
    </row>
    <row r="1018" ht="12.75" customHeight="1">
      <c r="A1018" s="244" t="s">
        <v>2412</v>
      </c>
      <c r="B1018" s="244" t="s">
        <v>2633</v>
      </c>
      <c r="C1018" s="244" t="s">
        <v>2858</v>
      </c>
      <c r="D1018" s="154" t="s">
        <v>411</v>
      </c>
      <c r="E1018" s="250"/>
      <c r="F1018" s="154" t="str">
        <f t="array" ref="F1018">XLOOKUP(Cover!$D$12,$S$1:$AA$1,$S1018:$AA1018)</f>
        <v>Mandatory</v>
      </c>
      <c r="G1018" s="153" t="s">
        <v>2859</v>
      </c>
      <c r="H1018" s="154" t="s">
        <v>2642</v>
      </c>
      <c r="I1018" s="154" t="s">
        <v>420</v>
      </c>
      <c r="J1018" s="247"/>
      <c r="K1018" s="247" t="s">
        <v>480</v>
      </c>
      <c r="L1018" s="154" t="str">
        <f t="shared" si="1"/>
        <v>Compliance Statement missing!</v>
      </c>
      <c r="M1018" s="248" t="str">
        <f>IFERROR(__xludf.DUMMYFUNCTION("VLOOKUP(C1018,IMPORTRANGE(""https://docs.google.com/spreadsheets/d/1P8eX0NWBhUPS_hvzA11R6jkTNFrPrRYIx_dX_hYbxrk/edit?resourcekey=0-iw9bsKY2OqkUHCFMkCar3A&amp;gid=2055363397#gid=2055363397"",""MTR!C:O""),11,false)"),"TAM-SPEC")</f>
        <v>TAM-SPEC</v>
      </c>
      <c r="N1018" s="248" t="str">
        <f>IFERROR(__xludf.DUMMYFUNCTION("VLOOKUP(C1018,IMPORTRANGE(""https://docs.google.com/spreadsheets/d/1ihFlp3_ePlYtFuPbUNbYj1muErVpI73WHXbEwJDIA7Q/edit#gid=1493122344"",""MTR!C:O""),8,false)"),"Complies")</f>
        <v>Complies</v>
      </c>
      <c r="O1018" s="248" t="str">
        <f>IFERROR(__xludf.DUMMYFUNCTION("VLOOKUP(C1018,IMPORTRANGE(""https://docs.google.com/spreadsheets/d/1P8eX0NWBhUPS_hvzA11R6jkTNFrPrRYIx_dX_hYbxrk/edit?resourcekey=0-iw9bsKY2OqkUHCFMkCar3A&amp;gid=2055363397#gid=2055363397"",""MTR!C:O""),9,false)"),"Values will be supplied before LE1")</f>
        <v>Values will be supplied before LE1</v>
      </c>
      <c r="P1018" s="248"/>
      <c r="Q1018" s="249" t="s">
        <v>445</v>
      </c>
      <c r="R1018" s="249" t="s">
        <v>2860</v>
      </c>
      <c r="S1018" s="154" t="s">
        <v>60</v>
      </c>
      <c r="T1018" s="154" t="s">
        <v>60</v>
      </c>
      <c r="U1018" s="154" t="s">
        <v>60</v>
      </c>
      <c r="V1018" s="154" t="s">
        <v>60</v>
      </c>
      <c r="W1018" s="154" t="s">
        <v>60</v>
      </c>
      <c r="X1018" s="154" t="s">
        <v>60</v>
      </c>
      <c r="Y1018" s="154" t="s">
        <v>60</v>
      </c>
      <c r="Z1018" s="154" t="s">
        <v>60</v>
      </c>
      <c r="AA1018" s="154" t="s">
        <v>60</v>
      </c>
      <c r="AB1018" s="154"/>
      <c r="AC1018" s="242" t="b">
        <f t="shared" si="2"/>
        <v>0</v>
      </c>
      <c r="AD1018" s="154" t="s">
        <v>445</v>
      </c>
      <c r="AE1018" s="243" t="b">
        <f t="shared" si="3"/>
        <v>0</v>
      </c>
      <c r="AF1018" s="154"/>
      <c r="AG1018" s="243" t="b">
        <f t="shared" si="7"/>
        <v>0</v>
      </c>
      <c r="AH1018" s="154"/>
      <c r="AI1018" s="243" t="str">
        <f t="shared" si="5"/>
        <v>N/A</v>
      </c>
      <c r="AJ1018" s="157" t="str">
        <f t="shared" si="6"/>
        <v>Compliance Statement missing!</v>
      </c>
    </row>
    <row r="1019" ht="12.75" customHeight="1">
      <c r="A1019" s="244" t="s">
        <v>2412</v>
      </c>
      <c r="B1019" s="244" t="s">
        <v>2633</v>
      </c>
      <c r="C1019" s="244" t="s">
        <v>2861</v>
      </c>
      <c r="D1019" s="154" t="s">
        <v>45</v>
      </c>
      <c r="E1019" s="250"/>
      <c r="F1019" s="154" t="str">
        <f t="array" ref="F1019">XLOOKUP(Cover!$D$12,$S$1:$AA$1,$S1019:$AA1019)</f>
        <v>Mandatory</v>
      </c>
      <c r="G1019" s="153" t="s">
        <v>2862</v>
      </c>
      <c r="H1019" s="154" t="s">
        <v>2863</v>
      </c>
      <c r="I1019" s="154" t="s">
        <v>479</v>
      </c>
      <c r="J1019" s="247" t="s">
        <v>617</v>
      </c>
      <c r="K1019" s="247"/>
      <c r="L1019" s="154" t="str">
        <f t="shared" si="1"/>
        <v/>
      </c>
      <c r="M1019" s="253" t="str">
        <f>IFERROR(__xludf.DUMMYFUNCTION("VLOOKUP(C1019,IMPORTRANGE(""https://docs.google.com/spreadsheets/d/1P8eX0NWBhUPS_hvzA11R6jkTNFrPrRYIx_dX_hYbxrk/edit?resourcekey=0-iw9bsKY2OqkUHCFMkCar3A&amp;gid=2055363397#gid=2055363397"",""MTR!C:O""),11,false)"),"#N/A")</f>
        <v>#N/A</v>
      </c>
      <c r="N1019" s="253" t="str">
        <f>IFERROR(__xludf.DUMMYFUNCTION("VLOOKUP(C1019,IMPORTRANGE(""https://docs.google.com/spreadsheets/d/1ihFlp3_ePlYtFuPbUNbYj1muErVpI73WHXbEwJDIA7Q/edit#gid=1493122344"",""MTR!C:O""),8,false)"),"#N/A")</f>
        <v>#N/A</v>
      </c>
      <c r="O1019" s="248" t="str">
        <f>IFERROR(__xludf.DUMMYFUNCTION("VLOOKUP(C1019,IMPORTRANGE(""https://docs.google.com/spreadsheets/d/1P8eX0NWBhUPS_hvzA11R6jkTNFrPrRYIx_dX_hYbxrk/edit?resourcekey=0-iw9bsKY2OqkUHCFMkCar3A&amp;gid=2055363397#gid=2055363397"",""MTR!C:O""),9,false)"),"SA not enabled")</f>
        <v>SA not enabled</v>
      </c>
      <c r="P1019" s="248"/>
      <c r="Q1019" s="249"/>
      <c r="R1019" s="249"/>
      <c r="S1019" s="154" t="s">
        <v>66</v>
      </c>
      <c r="T1019" s="154" t="s">
        <v>60</v>
      </c>
      <c r="U1019" s="154" t="s">
        <v>60</v>
      </c>
      <c r="V1019" s="154" t="s">
        <v>60</v>
      </c>
      <c r="W1019" s="154" t="s">
        <v>60</v>
      </c>
      <c r="X1019" s="154" t="s">
        <v>60</v>
      </c>
      <c r="Y1019" s="154" t="s">
        <v>60</v>
      </c>
      <c r="Z1019" s="154" t="s">
        <v>60</v>
      </c>
      <c r="AA1019" s="154" t="s">
        <v>60</v>
      </c>
      <c r="AB1019" s="154"/>
      <c r="AC1019" s="242" t="b">
        <f t="shared" si="2"/>
        <v>1</v>
      </c>
      <c r="AD1019" s="154" t="s">
        <v>445</v>
      </c>
      <c r="AE1019" s="243" t="b">
        <f t="shared" si="3"/>
        <v>0</v>
      </c>
      <c r="AF1019" s="154"/>
      <c r="AG1019" s="243" t="b">
        <f t="shared" si="7"/>
        <v>0</v>
      </c>
      <c r="AH1019" s="154"/>
      <c r="AI1019" s="243" t="str">
        <f t="shared" si="5"/>
        <v>N/A</v>
      </c>
      <c r="AJ1019" s="157" t="str">
        <f t="shared" si="6"/>
        <v/>
      </c>
    </row>
    <row r="1020" ht="12.75" customHeight="1">
      <c r="A1020" s="244" t="s">
        <v>2412</v>
      </c>
      <c r="B1020" s="244" t="s">
        <v>2633</v>
      </c>
      <c r="C1020" s="244" t="s">
        <v>2864</v>
      </c>
      <c r="D1020" s="154" t="s">
        <v>1773</v>
      </c>
      <c r="E1020" s="250"/>
      <c r="F1020" s="154" t="str">
        <f t="array" ref="F1020">XLOOKUP(Cover!$D$12,$S$1:$AA$1,$S1020:$AA1020)</f>
        <v>Mandatory</v>
      </c>
      <c r="G1020" s="153" t="s">
        <v>2865</v>
      </c>
      <c r="H1020" s="154" t="s">
        <v>2866</v>
      </c>
      <c r="I1020" s="154" t="s">
        <v>486</v>
      </c>
      <c r="J1020" s="247" t="s">
        <v>617</v>
      </c>
      <c r="K1020" s="247" t="s">
        <v>2867</v>
      </c>
      <c r="L1020" s="154" t="str">
        <f t="shared" si="1"/>
        <v/>
      </c>
      <c r="M1020" s="248" t="str">
        <f>IFERROR(__xludf.DUMMYFUNCTION("VLOOKUP(C1020,IMPORTRANGE(""https://docs.google.com/spreadsheets/d/1P8eX0NWBhUPS_hvzA11R6jkTNFrPrRYIx_dX_hYbxrk/edit?resourcekey=0-iw9bsKY2OqkUHCFMkCar3A&amp;gid=2055363397#gid=2055363397"",""MTR!C:O""),11,false)"),"TAM-SPEC")</f>
        <v>TAM-SPEC</v>
      </c>
      <c r="N1020" s="248" t="str">
        <f>IFERROR(__xludf.DUMMYFUNCTION("VLOOKUP(C1020,IMPORTRANGE(""https://docs.google.com/spreadsheets/d/1ihFlp3_ePlYtFuPbUNbYj1muErVpI73WHXbEwJDIA7Q/edit#gid=1493122344"",""MTR!C:O""),8,false)"),"Not Applicable")</f>
        <v>Not Applicable</v>
      </c>
      <c r="O1020" s="241" t="str">
        <f>IFERROR(__xludf.DUMMYFUNCTION("VLOOKUP(C1020,IMPORTRANGE(""https://docs.google.com/spreadsheets/d/1P8eX0NWBhUPS_hvzA11R6jkTNFrPrRYIx_dX_hYbxrk/edit?resourcekey=0-iw9bsKY2OqkUHCFMkCar3A&amp;gid=2055363397#gid=2055363397"",""MTR!C:O""),9,false)"),"")</f>
        <v/>
      </c>
      <c r="P1020" s="241"/>
      <c r="Q1020" s="251" t="s">
        <v>617</v>
      </c>
      <c r="R1020" s="251" t="s">
        <v>2867</v>
      </c>
      <c r="S1020" s="154" t="s">
        <v>66</v>
      </c>
      <c r="T1020" s="154" t="s">
        <v>60</v>
      </c>
      <c r="U1020" s="154" t="s">
        <v>60</v>
      </c>
      <c r="V1020" s="154" t="s">
        <v>60</v>
      </c>
      <c r="W1020" s="154" t="s">
        <v>60</v>
      </c>
      <c r="X1020" s="154" t="s">
        <v>60</v>
      </c>
      <c r="Y1020" s="154" t="s">
        <v>60</v>
      </c>
      <c r="Z1020" s="154" t="s">
        <v>60</v>
      </c>
      <c r="AA1020" s="154" t="s">
        <v>60</v>
      </c>
      <c r="AB1020" s="154"/>
      <c r="AC1020" s="242" t="b">
        <f t="shared" si="2"/>
        <v>1</v>
      </c>
      <c r="AD1020" s="154" t="s">
        <v>445</v>
      </c>
      <c r="AE1020" s="243" t="b">
        <f t="shared" si="3"/>
        <v>0</v>
      </c>
      <c r="AF1020" s="154"/>
      <c r="AG1020" s="243" t="b">
        <f t="shared" si="7"/>
        <v>0</v>
      </c>
      <c r="AH1020" s="154"/>
      <c r="AI1020" s="243" t="str">
        <f t="shared" si="5"/>
        <v>N/A</v>
      </c>
      <c r="AJ1020" s="157" t="str">
        <f t="shared" si="6"/>
        <v/>
      </c>
    </row>
    <row r="1021" ht="12.75" customHeight="1">
      <c r="A1021" s="244" t="s">
        <v>2412</v>
      </c>
      <c r="B1021" s="244" t="s">
        <v>2633</v>
      </c>
      <c r="C1021" s="244" t="s">
        <v>2868</v>
      </c>
      <c r="D1021" s="154" t="s">
        <v>45</v>
      </c>
      <c r="E1021" s="250"/>
      <c r="F1021" s="154" t="str">
        <f t="array" ref="F1021">XLOOKUP(Cover!$D$12,$S$1:$AA$1,$S1021:$AA1021)</f>
        <v>Mandatory</v>
      </c>
      <c r="G1021" s="153" t="s">
        <v>2869</v>
      </c>
      <c r="H1021" s="154" t="s">
        <v>2863</v>
      </c>
      <c r="I1021" s="154" t="s">
        <v>486</v>
      </c>
      <c r="J1021" s="247" t="s">
        <v>617</v>
      </c>
      <c r="K1021" s="247"/>
      <c r="L1021" s="154" t="str">
        <f t="shared" si="1"/>
        <v/>
      </c>
      <c r="M1021" s="253" t="str">
        <f>IFERROR(__xludf.DUMMYFUNCTION("VLOOKUP(C1021,IMPORTRANGE(""https://docs.google.com/spreadsheets/d/1P8eX0NWBhUPS_hvzA11R6jkTNFrPrRYIx_dX_hYbxrk/edit?resourcekey=0-iw9bsKY2OqkUHCFMkCar3A&amp;gid=2055363397#gid=2055363397"",""MTR!C:O""),11,false)"),"#N/A")</f>
        <v>#N/A</v>
      </c>
      <c r="N1021" s="253" t="str">
        <f>IFERROR(__xludf.DUMMYFUNCTION("VLOOKUP(C1021,IMPORTRANGE(""https://docs.google.com/spreadsheets/d/1ihFlp3_ePlYtFuPbUNbYj1muErVpI73WHXbEwJDIA7Q/edit#gid=1493122344"",""MTR!C:O""),8,false)"),"#N/A")</f>
        <v>#N/A</v>
      </c>
      <c r="O1021" s="248" t="str">
        <f>IFERROR(__xludf.DUMMYFUNCTION("VLOOKUP(C1021,IMPORTRANGE(""https://docs.google.com/spreadsheets/d/1P8eX0NWBhUPS_hvzA11R6jkTNFrPrRYIx_dX_hYbxrk/edit?resourcekey=0-iw9bsKY2OqkUHCFMkCar3A&amp;gid=2055363397#gid=2055363397"",""MTR!C:O""),9,false)"),"SA not enabled")</f>
        <v>SA not enabled</v>
      </c>
      <c r="P1021" s="248"/>
      <c r="Q1021" s="249"/>
      <c r="R1021" s="249"/>
      <c r="S1021" s="154" t="s">
        <v>66</v>
      </c>
      <c r="T1021" s="154" t="s">
        <v>60</v>
      </c>
      <c r="U1021" s="154" t="s">
        <v>60</v>
      </c>
      <c r="V1021" s="154" t="s">
        <v>60</v>
      </c>
      <c r="W1021" s="154" t="s">
        <v>60</v>
      </c>
      <c r="X1021" s="154" t="s">
        <v>60</v>
      </c>
      <c r="Y1021" s="154" t="s">
        <v>60</v>
      </c>
      <c r="Z1021" s="154" t="s">
        <v>60</v>
      </c>
      <c r="AA1021" s="154" t="s">
        <v>60</v>
      </c>
      <c r="AB1021" s="154"/>
      <c r="AC1021" s="242" t="b">
        <f t="shared" si="2"/>
        <v>1</v>
      </c>
      <c r="AD1021" s="154" t="s">
        <v>445</v>
      </c>
      <c r="AE1021" s="243" t="b">
        <f t="shared" si="3"/>
        <v>0</v>
      </c>
      <c r="AF1021" s="154"/>
      <c r="AG1021" s="243" t="b">
        <f t="shared" si="7"/>
        <v>0</v>
      </c>
      <c r="AH1021" s="154"/>
      <c r="AI1021" s="243" t="str">
        <f t="shared" si="5"/>
        <v>N/A</v>
      </c>
      <c r="AJ1021" s="157" t="str">
        <f t="shared" si="6"/>
        <v/>
      </c>
    </row>
    <row r="1022" ht="12.75" customHeight="1">
      <c r="A1022" s="244" t="s">
        <v>2412</v>
      </c>
      <c r="B1022" s="244" t="s">
        <v>2633</v>
      </c>
      <c r="C1022" s="244" t="s">
        <v>2870</v>
      </c>
      <c r="D1022" s="154" t="s">
        <v>433</v>
      </c>
      <c r="E1022" s="250"/>
      <c r="F1022" s="154" t="str">
        <f t="array" ref="F1022">XLOOKUP(Cover!$D$12,$S$1:$AA$1,$S1022:$AA1022)</f>
        <v>Mandatory</v>
      </c>
      <c r="G1022" s="153" t="s">
        <v>2871</v>
      </c>
      <c r="H1022" s="154" t="s">
        <v>2642</v>
      </c>
      <c r="I1022" s="154" t="s">
        <v>420</v>
      </c>
      <c r="J1022" s="247" t="s">
        <v>445</v>
      </c>
      <c r="K1022" s="154" t="s">
        <v>2872</v>
      </c>
      <c r="L1022" s="154" t="str">
        <f t="shared" si="1"/>
        <v/>
      </c>
      <c r="M1022" s="248" t="str">
        <f>IFERROR(__xludf.DUMMYFUNCTION("VLOOKUP(C1022,IMPORTRANGE(""https://docs.google.com/spreadsheets/d/1P8eX0NWBhUPS_hvzA11R6jkTNFrPrRYIx_dX_hYbxrk/edit?resourcekey=0-iw9bsKY2OqkUHCFMkCar3A&amp;gid=2055363397#gid=2055363397"",""MTR!C:O""),11,false)"),"TAM-SPEC")</f>
        <v>TAM-SPEC</v>
      </c>
      <c r="N1022" s="248" t="str">
        <f>IFERROR(__xludf.DUMMYFUNCTION("VLOOKUP(C1022,IMPORTRANGE(""https://docs.google.com/spreadsheets/d/1ihFlp3_ePlYtFuPbUNbYj1muErVpI73WHXbEwJDIA7Q/edit#gid=1493122344"",""MTR!C:O""),8,false)"),"Complies")</f>
        <v>Complies</v>
      </c>
      <c r="O1022" s="248" t="str">
        <f>IFERROR(__xludf.DUMMYFUNCTION("VLOOKUP(C1022,IMPORTRANGE(""https://docs.google.com/spreadsheets/d/1P8eX0NWBhUPS_hvzA11R6jkTNFrPrRYIx_dX_hYbxrk/edit?resourcekey=0-iw9bsKY2OqkUHCFMkCar3A&amp;gid=2055363397#gid=2055363397"",""MTR!C:O""),9,false)"),"Values will be supplied before LE1")</f>
        <v>Values will be supplied before LE1</v>
      </c>
      <c r="P1022" s="248"/>
      <c r="Q1022" s="249" t="s">
        <v>445</v>
      </c>
      <c r="R1022" s="249" t="s">
        <v>2873</v>
      </c>
      <c r="S1022" s="154" t="s">
        <v>60</v>
      </c>
      <c r="T1022" s="154" t="s">
        <v>60</v>
      </c>
      <c r="U1022" s="154" t="s">
        <v>60</v>
      </c>
      <c r="V1022" s="154" t="s">
        <v>60</v>
      </c>
      <c r="W1022" s="154" t="s">
        <v>60</v>
      </c>
      <c r="X1022" s="154" t="s">
        <v>60</v>
      </c>
      <c r="Y1022" s="154" t="s">
        <v>60</v>
      </c>
      <c r="Z1022" s="154" t="s">
        <v>60</v>
      </c>
      <c r="AA1022" s="154" t="s">
        <v>60</v>
      </c>
      <c r="AB1022" s="154"/>
      <c r="AC1022" s="242" t="b">
        <f t="shared" si="2"/>
        <v>1</v>
      </c>
      <c r="AD1022" s="154" t="s">
        <v>445</v>
      </c>
      <c r="AE1022" s="243" t="b">
        <f t="shared" si="3"/>
        <v>0</v>
      </c>
      <c r="AF1022" s="154"/>
      <c r="AG1022" s="243" t="b">
        <f t="shared" si="7"/>
        <v>0</v>
      </c>
      <c r="AH1022" s="154"/>
      <c r="AI1022" s="243" t="str">
        <f t="shared" si="5"/>
        <v>N/A</v>
      </c>
      <c r="AJ1022" s="157" t="str">
        <f t="shared" si="6"/>
        <v/>
      </c>
    </row>
    <row r="1023" ht="12.75" customHeight="1">
      <c r="A1023" s="244" t="s">
        <v>2412</v>
      </c>
      <c r="B1023" s="244" t="s">
        <v>2633</v>
      </c>
      <c r="C1023" s="244" t="s">
        <v>2874</v>
      </c>
      <c r="D1023" s="154" t="s">
        <v>433</v>
      </c>
      <c r="E1023" s="250"/>
      <c r="F1023" s="154" t="str">
        <f t="array" ref="F1023">XLOOKUP(Cover!$D$12,$S$1:$AA$1,$S1023:$AA1023)</f>
        <v>Mandatory</v>
      </c>
      <c r="G1023" s="153" t="s">
        <v>2875</v>
      </c>
      <c r="H1023" s="154" t="s">
        <v>2642</v>
      </c>
      <c r="I1023" s="154" t="s">
        <v>420</v>
      </c>
      <c r="J1023" s="247" t="s">
        <v>445</v>
      </c>
      <c r="K1023" s="154" t="s">
        <v>2872</v>
      </c>
      <c r="L1023" s="154" t="str">
        <f t="shared" si="1"/>
        <v/>
      </c>
      <c r="M1023" s="248" t="str">
        <f>IFERROR(__xludf.DUMMYFUNCTION("VLOOKUP(C1023,IMPORTRANGE(""https://docs.google.com/spreadsheets/d/1P8eX0NWBhUPS_hvzA11R6jkTNFrPrRYIx_dX_hYbxrk/edit?resourcekey=0-iw9bsKY2OqkUHCFMkCar3A&amp;gid=2055363397#gid=2055363397"",""MTR!C:O""),11,false)"),"TAM-SPEC")</f>
        <v>TAM-SPEC</v>
      </c>
      <c r="N1023" s="248" t="str">
        <f>IFERROR(__xludf.DUMMYFUNCTION("VLOOKUP(C1023,IMPORTRANGE(""https://docs.google.com/spreadsheets/d/1ihFlp3_ePlYtFuPbUNbYj1muErVpI73WHXbEwJDIA7Q/edit#gid=1493122344"",""MTR!C:O""),8,false)"),"Complies")</f>
        <v>Complies</v>
      </c>
      <c r="O1023" s="248" t="str">
        <f>IFERROR(__xludf.DUMMYFUNCTION("VLOOKUP(C1023,IMPORTRANGE(""https://docs.google.com/spreadsheets/d/1P8eX0NWBhUPS_hvzA11R6jkTNFrPrRYIx_dX_hYbxrk/edit?resourcekey=0-iw9bsKY2OqkUHCFMkCar3A&amp;gid=2055363397#gid=2055363397"",""MTR!C:O""),9,false)"),"Values will be supplied before LE1")</f>
        <v>Values will be supplied before LE1</v>
      </c>
      <c r="P1023" s="248"/>
      <c r="Q1023" s="249" t="s">
        <v>445</v>
      </c>
      <c r="R1023" s="249" t="s">
        <v>2876</v>
      </c>
      <c r="S1023" s="154" t="s">
        <v>60</v>
      </c>
      <c r="T1023" s="154" t="s">
        <v>60</v>
      </c>
      <c r="U1023" s="154" t="s">
        <v>60</v>
      </c>
      <c r="V1023" s="154" t="s">
        <v>60</v>
      </c>
      <c r="W1023" s="154" t="s">
        <v>60</v>
      </c>
      <c r="X1023" s="154" t="s">
        <v>60</v>
      </c>
      <c r="Y1023" s="154" t="s">
        <v>60</v>
      </c>
      <c r="Z1023" s="154" t="s">
        <v>60</v>
      </c>
      <c r="AA1023" s="154" t="s">
        <v>60</v>
      </c>
      <c r="AB1023" s="154"/>
      <c r="AC1023" s="242" t="b">
        <f t="shared" si="2"/>
        <v>1</v>
      </c>
      <c r="AD1023" s="154" t="s">
        <v>445</v>
      </c>
      <c r="AE1023" s="243" t="b">
        <f t="shared" si="3"/>
        <v>0</v>
      </c>
      <c r="AF1023" s="154"/>
      <c r="AG1023" s="243" t="b">
        <f t="shared" si="7"/>
        <v>0</v>
      </c>
      <c r="AH1023" s="154"/>
      <c r="AI1023" s="243" t="str">
        <f t="shared" si="5"/>
        <v>N/A</v>
      </c>
      <c r="AJ1023" s="157" t="str">
        <f t="shared" si="6"/>
        <v/>
      </c>
    </row>
    <row r="1024" ht="12.75" customHeight="1">
      <c r="A1024" s="244" t="s">
        <v>2412</v>
      </c>
      <c r="B1024" s="244" t="s">
        <v>2633</v>
      </c>
      <c r="C1024" s="244" t="s">
        <v>2877</v>
      </c>
      <c r="D1024" s="154" t="s">
        <v>433</v>
      </c>
      <c r="E1024" s="250"/>
      <c r="F1024" s="154" t="str">
        <f t="array" ref="F1024">XLOOKUP(Cover!$D$12,$S$1:$AA$1,$S1024:$AA1024)</f>
        <v>Recommended</v>
      </c>
      <c r="G1024" s="153" t="s">
        <v>2878</v>
      </c>
      <c r="H1024" s="154"/>
      <c r="I1024" s="154" t="s">
        <v>420</v>
      </c>
      <c r="J1024" s="247" t="s">
        <v>445</v>
      </c>
      <c r="K1024" s="154" t="s">
        <v>2872</v>
      </c>
      <c r="L1024" s="154" t="str">
        <f t="shared" si="1"/>
        <v/>
      </c>
      <c r="M1024" s="248" t="str">
        <f>IFERROR(__xludf.DUMMYFUNCTION("VLOOKUP(C1024,IMPORTRANGE(""https://docs.google.com/spreadsheets/d/1P8eX0NWBhUPS_hvzA11R6jkTNFrPrRYIx_dX_hYbxrk/edit?resourcekey=0-iw9bsKY2OqkUHCFMkCar3A&amp;gid=2055363397#gid=2055363397"",""MTR!C:O""),11,false)"),"TAM-SPEC")</f>
        <v>TAM-SPEC</v>
      </c>
      <c r="N1024" s="248" t="str">
        <f>IFERROR(__xludf.DUMMYFUNCTION("VLOOKUP(C1024,IMPORTRANGE(""https://docs.google.com/spreadsheets/d/1ihFlp3_ePlYtFuPbUNbYj1muErVpI73WHXbEwJDIA7Q/edit#gid=1493122344"",""MTR!C:O""),8,false)"),"Complies")</f>
        <v>Complies</v>
      </c>
      <c r="O1024" s="248" t="str">
        <f>IFERROR(__xludf.DUMMYFUNCTION("VLOOKUP(C1024,IMPORTRANGE(""https://docs.google.com/spreadsheets/d/1P8eX0NWBhUPS_hvzA11R6jkTNFrPrRYIx_dX_hYbxrk/edit?resourcekey=0-iw9bsKY2OqkUHCFMkCar3A&amp;gid=2055363397#gid=2055363397"",""MTR!C:O""),9,false)"),"Values will be supplied before LE1")</f>
        <v>Values will be supplied before LE1</v>
      </c>
      <c r="P1024" s="248"/>
      <c r="Q1024" s="249" t="s">
        <v>445</v>
      </c>
      <c r="R1024" s="249" t="s">
        <v>2879</v>
      </c>
      <c r="S1024" s="154" t="s">
        <v>64</v>
      </c>
      <c r="T1024" s="154" t="s">
        <v>64</v>
      </c>
      <c r="U1024" s="154" t="s">
        <v>64</v>
      </c>
      <c r="V1024" s="154" t="s">
        <v>64</v>
      </c>
      <c r="W1024" s="154" t="s">
        <v>64</v>
      </c>
      <c r="X1024" s="154" t="s">
        <v>64</v>
      </c>
      <c r="Y1024" s="154" t="s">
        <v>64</v>
      </c>
      <c r="Z1024" s="154" t="s">
        <v>64</v>
      </c>
      <c r="AA1024" s="154" t="s">
        <v>64</v>
      </c>
      <c r="AB1024" s="154"/>
      <c r="AC1024" s="242" t="b">
        <f t="shared" si="2"/>
        <v>1</v>
      </c>
      <c r="AD1024" s="154" t="s">
        <v>445</v>
      </c>
      <c r="AE1024" s="243" t="b">
        <f t="shared" si="3"/>
        <v>0</v>
      </c>
      <c r="AF1024" s="154"/>
      <c r="AG1024" s="243" t="b">
        <f t="shared" si="7"/>
        <v>0</v>
      </c>
      <c r="AH1024" s="154"/>
      <c r="AI1024" s="243" t="str">
        <f t="shared" si="5"/>
        <v>N/A</v>
      </c>
      <c r="AJ1024" s="157" t="str">
        <f t="shared" si="6"/>
        <v/>
      </c>
    </row>
    <row r="1025" ht="12.75" customHeight="1">
      <c r="A1025" s="244" t="s">
        <v>2412</v>
      </c>
      <c r="B1025" s="244" t="s">
        <v>2633</v>
      </c>
      <c r="C1025" s="244" t="s">
        <v>2880</v>
      </c>
      <c r="D1025" s="154" t="s">
        <v>433</v>
      </c>
      <c r="E1025" s="250"/>
      <c r="F1025" s="154" t="str">
        <f t="array" ref="F1025">XLOOKUP(Cover!$D$12,$S$1:$AA$1,$S1025:$AA1025)</f>
        <v>Recommended</v>
      </c>
      <c r="G1025" s="153" t="s">
        <v>2881</v>
      </c>
      <c r="H1025" s="154"/>
      <c r="I1025" s="154" t="s">
        <v>420</v>
      </c>
      <c r="J1025" s="247" t="s">
        <v>445</v>
      </c>
      <c r="K1025" s="154" t="s">
        <v>2872</v>
      </c>
      <c r="L1025" s="154" t="str">
        <f t="shared" si="1"/>
        <v/>
      </c>
      <c r="M1025" s="248" t="str">
        <f>IFERROR(__xludf.DUMMYFUNCTION("VLOOKUP(C1025,IMPORTRANGE(""https://docs.google.com/spreadsheets/d/1P8eX0NWBhUPS_hvzA11R6jkTNFrPrRYIx_dX_hYbxrk/edit?resourcekey=0-iw9bsKY2OqkUHCFMkCar3A&amp;gid=2055363397#gid=2055363397"",""MTR!C:O""),11,false)"),"TAM-SPEC")</f>
        <v>TAM-SPEC</v>
      </c>
      <c r="N1025" s="248" t="str">
        <f>IFERROR(__xludf.DUMMYFUNCTION("VLOOKUP(C1025,IMPORTRANGE(""https://docs.google.com/spreadsheets/d/1ihFlp3_ePlYtFuPbUNbYj1muErVpI73WHXbEwJDIA7Q/edit#gid=1493122344"",""MTR!C:O""),8,false)"),"Complies")</f>
        <v>Complies</v>
      </c>
      <c r="O1025" s="248" t="str">
        <f>IFERROR(__xludf.DUMMYFUNCTION("VLOOKUP(C1025,IMPORTRANGE(""https://docs.google.com/spreadsheets/d/1P8eX0NWBhUPS_hvzA11R6jkTNFrPrRYIx_dX_hYbxrk/edit?resourcekey=0-iw9bsKY2OqkUHCFMkCar3A&amp;gid=2055363397#gid=2055363397"",""MTR!C:O""),9,false)"),"Values will be supplied before LE1")</f>
        <v>Values will be supplied before LE1</v>
      </c>
      <c r="P1025" s="248"/>
      <c r="Q1025" s="249" t="s">
        <v>445</v>
      </c>
      <c r="R1025" s="249" t="s">
        <v>2882</v>
      </c>
      <c r="S1025" s="154" t="s">
        <v>64</v>
      </c>
      <c r="T1025" s="154" t="s">
        <v>64</v>
      </c>
      <c r="U1025" s="154" t="s">
        <v>64</v>
      </c>
      <c r="V1025" s="154" t="s">
        <v>64</v>
      </c>
      <c r="W1025" s="154" t="s">
        <v>64</v>
      </c>
      <c r="X1025" s="154" t="s">
        <v>64</v>
      </c>
      <c r="Y1025" s="154" t="s">
        <v>64</v>
      </c>
      <c r="Z1025" s="154" t="s">
        <v>64</v>
      </c>
      <c r="AA1025" s="154" t="s">
        <v>64</v>
      </c>
      <c r="AB1025" s="154"/>
      <c r="AC1025" s="242" t="b">
        <f t="shared" si="2"/>
        <v>1</v>
      </c>
      <c r="AD1025" s="154" t="s">
        <v>445</v>
      </c>
      <c r="AE1025" s="243" t="b">
        <f t="shared" si="3"/>
        <v>0</v>
      </c>
      <c r="AF1025" s="154"/>
      <c r="AG1025" s="243" t="b">
        <f t="shared" si="7"/>
        <v>0</v>
      </c>
      <c r="AH1025" s="154"/>
      <c r="AI1025" s="243" t="str">
        <f t="shared" si="5"/>
        <v>N/A</v>
      </c>
      <c r="AJ1025" s="157" t="str">
        <f t="shared" si="6"/>
        <v/>
      </c>
    </row>
    <row r="1026" ht="12.75" customHeight="1">
      <c r="A1026" s="244" t="s">
        <v>2412</v>
      </c>
      <c r="B1026" s="244" t="s">
        <v>2633</v>
      </c>
      <c r="C1026" s="244" t="s">
        <v>2883</v>
      </c>
      <c r="D1026" s="154" t="s">
        <v>433</v>
      </c>
      <c r="E1026" s="250"/>
      <c r="F1026" s="154" t="str">
        <f t="array" ref="F1026">XLOOKUP(Cover!$D$12,$S$1:$AA$1,$S1026:$AA1026)</f>
        <v>Mandatory</v>
      </c>
      <c r="G1026" s="153" t="s">
        <v>2884</v>
      </c>
      <c r="H1026" s="154" t="s">
        <v>2642</v>
      </c>
      <c r="I1026" s="154" t="s">
        <v>414</v>
      </c>
      <c r="J1026" s="247" t="s">
        <v>445</v>
      </c>
      <c r="K1026" s="154" t="s">
        <v>2872</v>
      </c>
      <c r="L1026" s="154" t="str">
        <f t="shared" si="1"/>
        <v/>
      </c>
      <c r="M1026" s="248" t="str">
        <f>IFERROR(__xludf.DUMMYFUNCTION("VLOOKUP(C1026,IMPORTRANGE(""https://docs.google.com/spreadsheets/d/1P8eX0NWBhUPS_hvzA11R6jkTNFrPrRYIx_dX_hYbxrk/edit?resourcekey=0-iw9bsKY2OqkUHCFMkCar3A&amp;gid=2055363397#gid=2055363397"",""MTR!C:O""),11,false)"),"TAM-SPEC")</f>
        <v>TAM-SPEC</v>
      </c>
      <c r="N1026" s="248" t="str">
        <f>IFERROR(__xludf.DUMMYFUNCTION("VLOOKUP(C1026,IMPORTRANGE(""https://docs.google.com/spreadsheets/d/1ihFlp3_ePlYtFuPbUNbYj1muErVpI73WHXbEwJDIA7Q/edit#gid=1493122344"",""MTR!C:O""),8,false)"),"Complies")</f>
        <v>Complies</v>
      </c>
      <c r="O1026" s="248" t="str">
        <f>IFERROR(__xludf.DUMMYFUNCTION("VLOOKUP(C1026,IMPORTRANGE(""https://docs.google.com/spreadsheets/d/1P8eX0NWBhUPS_hvzA11R6jkTNFrPrRYIx_dX_hYbxrk/edit?resourcekey=0-iw9bsKY2OqkUHCFMkCar3A&amp;gid=2055363397#gid=2055363397"",""MTR!C:O""),9,false)"),"Values will be supplied before LE1")</f>
        <v>Values will be supplied before LE1</v>
      </c>
      <c r="P1026" s="248"/>
      <c r="Q1026" s="249" t="s">
        <v>445</v>
      </c>
      <c r="R1026" s="249" t="s">
        <v>2885</v>
      </c>
      <c r="S1026" s="154" t="s">
        <v>60</v>
      </c>
      <c r="T1026" s="154" t="s">
        <v>60</v>
      </c>
      <c r="U1026" s="154" t="s">
        <v>60</v>
      </c>
      <c r="V1026" s="154" t="s">
        <v>60</v>
      </c>
      <c r="W1026" s="154" t="s">
        <v>60</v>
      </c>
      <c r="X1026" s="154" t="s">
        <v>60</v>
      </c>
      <c r="Y1026" s="154" t="s">
        <v>60</v>
      </c>
      <c r="Z1026" s="154" t="s">
        <v>60</v>
      </c>
      <c r="AA1026" s="154" t="s">
        <v>60</v>
      </c>
      <c r="AB1026" s="154"/>
      <c r="AC1026" s="242" t="b">
        <f t="shared" si="2"/>
        <v>1</v>
      </c>
      <c r="AD1026" s="154" t="s">
        <v>445</v>
      </c>
      <c r="AE1026" s="243" t="b">
        <f t="shared" si="3"/>
        <v>0</v>
      </c>
      <c r="AF1026" s="154"/>
      <c r="AG1026" s="243" t="b">
        <f t="shared" si="7"/>
        <v>0</v>
      </c>
      <c r="AH1026" s="154"/>
      <c r="AI1026" s="243" t="str">
        <f t="shared" si="5"/>
        <v>N/A</v>
      </c>
      <c r="AJ1026" s="157" t="str">
        <f t="shared" si="6"/>
        <v/>
      </c>
    </row>
    <row r="1027" ht="12.75" customHeight="1">
      <c r="A1027" s="244" t="s">
        <v>2412</v>
      </c>
      <c r="B1027" s="244" t="s">
        <v>2633</v>
      </c>
      <c r="C1027" s="244" t="s">
        <v>2886</v>
      </c>
      <c r="D1027" s="154" t="s">
        <v>433</v>
      </c>
      <c r="E1027" s="250"/>
      <c r="F1027" s="154" t="str">
        <f t="array" ref="F1027">XLOOKUP(Cover!$D$12,$S$1:$AA$1,$S1027:$AA1027)</f>
        <v>Mandatory</v>
      </c>
      <c r="G1027" s="153" t="s">
        <v>2887</v>
      </c>
      <c r="H1027" s="154" t="s">
        <v>2642</v>
      </c>
      <c r="I1027" s="154" t="s">
        <v>414</v>
      </c>
      <c r="J1027" s="247" t="s">
        <v>445</v>
      </c>
      <c r="K1027" s="154" t="s">
        <v>2872</v>
      </c>
      <c r="L1027" s="154" t="str">
        <f t="shared" si="1"/>
        <v/>
      </c>
      <c r="M1027" s="248" t="str">
        <f>IFERROR(__xludf.DUMMYFUNCTION("VLOOKUP(C1027,IMPORTRANGE(""https://docs.google.com/spreadsheets/d/1P8eX0NWBhUPS_hvzA11R6jkTNFrPrRYIx_dX_hYbxrk/edit?resourcekey=0-iw9bsKY2OqkUHCFMkCar3A&amp;gid=2055363397#gid=2055363397"",""MTR!C:O""),11,false)"),"TAM-SPEC")</f>
        <v>TAM-SPEC</v>
      </c>
      <c r="N1027" s="248" t="str">
        <f>IFERROR(__xludf.DUMMYFUNCTION("VLOOKUP(C1027,IMPORTRANGE(""https://docs.google.com/spreadsheets/d/1ihFlp3_ePlYtFuPbUNbYj1muErVpI73WHXbEwJDIA7Q/edit#gid=1493122344"",""MTR!C:O""),8,false)"),"Complies")</f>
        <v>Complies</v>
      </c>
      <c r="O1027" s="248" t="str">
        <f>IFERROR(__xludf.DUMMYFUNCTION("VLOOKUP(C1027,IMPORTRANGE(""https://docs.google.com/spreadsheets/d/1P8eX0NWBhUPS_hvzA11R6jkTNFrPrRYIx_dX_hYbxrk/edit?resourcekey=0-iw9bsKY2OqkUHCFMkCar3A&amp;gid=2055363397#gid=2055363397"",""MTR!C:O""),9,false)"),"Values will be supplied before LE1")</f>
        <v>Values will be supplied before LE1</v>
      </c>
      <c r="P1027" s="248"/>
      <c r="Q1027" s="249" t="s">
        <v>445</v>
      </c>
      <c r="R1027" s="249" t="s">
        <v>2888</v>
      </c>
      <c r="S1027" s="154" t="s">
        <v>60</v>
      </c>
      <c r="T1027" s="154" t="s">
        <v>60</v>
      </c>
      <c r="U1027" s="154" t="s">
        <v>60</v>
      </c>
      <c r="V1027" s="154" t="s">
        <v>60</v>
      </c>
      <c r="W1027" s="154" t="s">
        <v>60</v>
      </c>
      <c r="X1027" s="154" t="s">
        <v>60</v>
      </c>
      <c r="Y1027" s="154" t="s">
        <v>60</v>
      </c>
      <c r="Z1027" s="154" t="s">
        <v>60</v>
      </c>
      <c r="AA1027" s="154" t="s">
        <v>60</v>
      </c>
      <c r="AB1027" s="154"/>
      <c r="AC1027" s="242" t="b">
        <f t="shared" si="2"/>
        <v>1</v>
      </c>
      <c r="AD1027" s="154" t="s">
        <v>445</v>
      </c>
      <c r="AE1027" s="243" t="b">
        <f t="shared" si="3"/>
        <v>0</v>
      </c>
      <c r="AF1027" s="154"/>
      <c r="AG1027" s="243" t="b">
        <f t="shared" si="7"/>
        <v>0</v>
      </c>
      <c r="AH1027" s="154"/>
      <c r="AI1027" s="243" t="str">
        <f t="shared" si="5"/>
        <v>N/A</v>
      </c>
      <c r="AJ1027" s="157" t="str">
        <f t="shared" si="6"/>
        <v/>
      </c>
    </row>
    <row r="1028" ht="12.75" customHeight="1">
      <c r="A1028" s="244" t="s">
        <v>2412</v>
      </c>
      <c r="B1028" s="244" t="s">
        <v>2633</v>
      </c>
      <c r="C1028" s="244" t="s">
        <v>2889</v>
      </c>
      <c r="D1028" s="154" t="s">
        <v>739</v>
      </c>
      <c r="E1028" s="250"/>
      <c r="F1028" s="154" t="str">
        <f t="array" ref="F1028">XLOOKUP(Cover!$D$12,$S$1:$AA$1,$S1028:$AA1028)</f>
        <v>Comments Vendor</v>
      </c>
      <c r="G1028" s="153" t="s">
        <v>2890</v>
      </c>
      <c r="H1028" s="154" t="s">
        <v>2642</v>
      </c>
      <c r="I1028" s="154" t="s">
        <v>414</v>
      </c>
      <c r="J1028" s="247"/>
      <c r="K1028" s="247" t="s">
        <v>2891</v>
      </c>
      <c r="L1028" s="154" t="str">
        <f t="shared" si="1"/>
        <v/>
      </c>
      <c r="M1028" s="248" t="str">
        <f>IFERROR(__xludf.DUMMYFUNCTION("VLOOKUP(C1028,IMPORTRANGE(""https://docs.google.com/spreadsheets/d/1P8eX0NWBhUPS_hvzA11R6jkTNFrPrRYIx_dX_hYbxrk/edit?resourcekey=0-iw9bsKY2OqkUHCFMkCar3A&amp;gid=2055363397#gid=2055363397"",""MTR!C:O""),11,false)"),"TAM-SPEC")</f>
        <v>TAM-SPEC</v>
      </c>
      <c r="N1028" s="241" t="str">
        <f>IFERROR(__xludf.DUMMYFUNCTION("VLOOKUP(C1028,IMPORTRANGE(""https://docs.google.com/spreadsheets/d/1ihFlp3_ePlYtFuPbUNbYj1muErVpI73WHXbEwJDIA7Q/edit#gid=1493122344"",""MTR!C:O""),8,false)"),"")</f>
        <v/>
      </c>
      <c r="O1028" s="248" t="str">
        <f>IFERROR(__xludf.DUMMYFUNCTION("VLOOKUP(C1028,IMPORTRANGE(""https://docs.google.com/spreadsheets/d/1P8eX0NWBhUPS_hvzA11R6jkTNFrPrRYIx_dX_hYbxrk/edit?resourcekey=0-iw9bsKY2OqkUHCFMkCar3A&amp;gid=2055363397#gid=2055363397"",""MTR!C:O""),9,false)"),"4700 mAh")</f>
        <v>4700 mAh</v>
      </c>
      <c r="P1028" s="248"/>
      <c r="Q1028" s="249"/>
      <c r="R1028" s="249" t="s">
        <v>2892</v>
      </c>
      <c r="S1028" s="154" t="s">
        <v>62</v>
      </c>
      <c r="T1028" s="154" t="s">
        <v>62</v>
      </c>
      <c r="U1028" s="154" t="s">
        <v>62</v>
      </c>
      <c r="V1028" s="154" t="s">
        <v>62</v>
      </c>
      <c r="W1028" s="154" t="s">
        <v>62</v>
      </c>
      <c r="X1028" s="154" t="s">
        <v>62</v>
      </c>
      <c r="Y1028" s="154" t="s">
        <v>62</v>
      </c>
      <c r="Z1028" s="154" t="s">
        <v>62</v>
      </c>
      <c r="AA1028" s="154" t="s">
        <v>62</v>
      </c>
      <c r="AB1028" s="154"/>
      <c r="AC1028" s="242" t="b">
        <f t="shared" si="2"/>
        <v>1</v>
      </c>
      <c r="AD1028" s="154" t="s">
        <v>445</v>
      </c>
      <c r="AE1028" s="243" t="b">
        <f t="shared" si="3"/>
        <v>1</v>
      </c>
      <c r="AF1028" s="154"/>
      <c r="AG1028" s="243" t="b">
        <f t="shared" si="7"/>
        <v>0</v>
      </c>
      <c r="AH1028" s="154"/>
      <c r="AI1028" s="243" t="str">
        <f t="shared" si="5"/>
        <v>N/A</v>
      </c>
      <c r="AJ1028" s="157" t="str">
        <f t="shared" si="6"/>
        <v/>
      </c>
    </row>
    <row r="1029" ht="12.75" customHeight="1">
      <c r="A1029" s="244" t="s">
        <v>2412</v>
      </c>
      <c r="B1029" s="244" t="s">
        <v>2633</v>
      </c>
      <c r="C1029" s="244" t="s">
        <v>2893</v>
      </c>
      <c r="D1029" s="154" t="s">
        <v>642</v>
      </c>
      <c r="E1029" s="250"/>
      <c r="F1029" s="154" t="str">
        <f t="array" ref="F1029">XLOOKUP(Cover!$D$12,$S$1:$AA$1,$S1029:$AA1029)</f>
        <v>Mandatory</v>
      </c>
      <c r="G1029" s="154" t="s">
        <v>2894</v>
      </c>
      <c r="H1029" s="154" t="s">
        <v>2642</v>
      </c>
      <c r="I1029" s="154" t="s">
        <v>414</v>
      </c>
      <c r="J1029" s="247" t="s">
        <v>445</v>
      </c>
      <c r="K1029" s="247"/>
      <c r="L1029" s="154" t="str">
        <f t="shared" si="1"/>
        <v/>
      </c>
      <c r="M1029" s="248" t="str">
        <f>IFERROR(__xludf.DUMMYFUNCTION("VLOOKUP(C1029,IMPORTRANGE(""https://docs.google.com/spreadsheets/d/1P8eX0NWBhUPS_hvzA11R6jkTNFrPrRYIx_dX_hYbxrk/edit?resourcekey=0-iw9bsKY2OqkUHCFMkCar3A&amp;gid=2055363397#gid=2055363397"",""MTR!C:O""),11,false)"),"TAM-SPEC")</f>
        <v>TAM-SPEC</v>
      </c>
      <c r="N1029" s="248" t="str">
        <f>IFERROR(__xludf.DUMMYFUNCTION("VLOOKUP(C1029,IMPORTRANGE(""https://docs.google.com/spreadsheets/d/1ihFlp3_ePlYtFuPbUNbYj1muErVpI73WHXbEwJDIA7Q/edit#gid=1493122344"",""MTR!C:O""),8,false)"),"Complies")</f>
        <v>Complies</v>
      </c>
      <c r="O1029" s="241" t="str">
        <f>IFERROR(__xludf.DUMMYFUNCTION("VLOOKUP(C1029,IMPORTRANGE(""https://docs.google.com/spreadsheets/d/1P8eX0NWBhUPS_hvzA11R6jkTNFrPrRYIx_dX_hYbxrk/edit?resourcekey=0-iw9bsKY2OqkUHCFMkCar3A&amp;gid=2055363397#gid=2055363397"",""MTR!C:O""),9,false)"),"")</f>
        <v/>
      </c>
      <c r="P1029" s="241"/>
      <c r="Q1029" s="251" t="s">
        <v>445</v>
      </c>
      <c r="R1029" s="251"/>
      <c r="S1029" s="154" t="s">
        <v>60</v>
      </c>
      <c r="T1029" s="154" t="s">
        <v>60</v>
      </c>
      <c r="U1029" s="154" t="s">
        <v>60</v>
      </c>
      <c r="V1029" s="154" t="s">
        <v>60</v>
      </c>
      <c r="W1029" s="154" t="s">
        <v>60</v>
      </c>
      <c r="X1029" s="154" t="s">
        <v>60</v>
      </c>
      <c r="Y1029" s="154" t="s">
        <v>60</v>
      </c>
      <c r="Z1029" s="154" t="s">
        <v>60</v>
      </c>
      <c r="AA1029" s="154" t="s">
        <v>60</v>
      </c>
      <c r="AB1029" s="154"/>
      <c r="AC1029" s="242" t="b">
        <f t="shared" si="2"/>
        <v>1</v>
      </c>
      <c r="AD1029" s="154" t="s">
        <v>391</v>
      </c>
      <c r="AE1029" s="243" t="b">
        <f t="shared" si="3"/>
        <v>0</v>
      </c>
      <c r="AF1029" s="154"/>
      <c r="AG1029" s="243" t="b">
        <f t="shared" si="7"/>
        <v>0</v>
      </c>
      <c r="AH1029" s="154"/>
      <c r="AI1029" s="243" t="str">
        <f t="shared" si="5"/>
        <v>N/A</v>
      </c>
      <c r="AJ1029" s="157" t="str">
        <f t="shared" si="6"/>
        <v/>
      </c>
    </row>
    <row r="1030" ht="12.75" customHeight="1">
      <c r="A1030" s="244" t="s">
        <v>2412</v>
      </c>
      <c r="B1030" s="244" t="s">
        <v>2633</v>
      </c>
      <c r="C1030" s="244" t="s">
        <v>2895</v>
      </c>
      <c r="D1030" s="154" t="s">
        <v>642</v>
      </c>
      <c r="E1030" s="250"/>
      <c r="F1030" s="154" t="str">
        <f t="array" ref="F1030">XLOOKUP(Cover!$D$12,$S$1:$AA$1,$S1030:$AA1030)</f>
        <v>Mandatory</v>
      </c>
      <c r="G1030" s="154" t="s">
        <v>2896</v>
      </c>
      <c r="H1030" s="154" t="s">
        <v>2642</v>
      </c>
      <c r="I1030" s="154" t="s">
        <v>414</v>
      </c>
      <c r="J1030" s="247" t="s">
        <v>445</v>
      </c>
      <c r="K1030" s="154"/>
      <c r="L1030" s="154" t="str">
        <f t="shared" si="1"/>
        <v/>
      </c>
      <c r="M1030" s="248" t="str">
        <f>IFERROR(__xludf.DUMMYFUNCTION("VLOOKUP(C1030,IMPORTRANGE(""https://docs.google.com/spreadsheets/d/1P8eX0NWBhUPS_hvzA11R6jkTNFrPrRYIx_dX_hYbxrk/edit?resourcekey=0-iw9bsKY2OqkUHCFMkCar3A&amp;gid=2055363397#gid=2055363397"",""MTR!C:O""),11,false)"),"TAM-SPEC")</f>
        <v>TAM-SPEC</v>
      </c>
      <c r="N1030" s="248" t="str">
        <f>IFERROR(__xludf.DUMMYFUNCTION("VLOOKUP(C1030,IMPORTRANGE(""https://docs.google.com/spreadsheets/d/1ihFlp3_ePlYtFuPbUNbYj1muErVpI73WHXbEwJDIA7Q/edit#gid=1493122344"",""MTR!C:O""),8,false)"),"Complies")</f>
        <v>Complies</v>
      </c>
      <c r="O1030" s="241" t="str">
        <f>IFERROR(__xludf.DUMMYFUNCTION("VLOOKUP(C1030,IMPORTRANGE(""https://docs.google.com/spreadsheets/d/1P8eX0NWBhUPS_hvzA11R6jkTNFrPrRYIx_dX_hYbxrk/edit?resourcekey=0-iw9bsKY2OqkUHCFMkCar3A&amp;gid=2055363397#gid=2055363397"",""MTR!C:O""),9,false)"),"")</f>
        <v/>
      </c>
      <c r="P1030" s="241"/>
      <c r="Q1030" s="251" t="s">
        <v>445</v>
      </c>
      <c r="R1030" s="241"/>
      <c r="S1030" s="154" t="s">
        <v>60</v>
      </c>
      <c r="T1030" s="154" t="s">
        <v>60</v>
      </c>
      <c r="U1030" s="154" t="s">
        <v>60</v>
      </c>
      <c r="V1030" s="154" t="s">
        <v>60</v>
      </c>
      <c r="W1030" s="154" t="s">
        <v>60</v>
      </c>
      <c r="X1030" s="154" t="s">
        <v>60</v>
      </c>
      <c r="Y1030" s="154" t="s">
        <v>60</v>
      </c>
      <c r="Z1030" s="154" t="s">
        <v>60</v>
      </c>
      <c r="AA1030" s="154" t="s">
        <v>60</v>
      </c>
      <c r="AB1030" s="154"/>
      <c r="AC1030" s="242" t="b">
        <f t="shared" si="2"/>
        <v>1</v>
      </c>
      <c r="AD1030" s="154" t="s">
        <v>391</v>
      </c>
      <c r="AE1030" s="243" t="b">
        <f t="shared" si="3"/>
        <v>0</v>
      </c>
      <c r="AF1030" s="154"/>
      <c r="AG1030" s="243" t="b">
        <f t="shared" si="7"/>
        <v>0</v>
      </c>
      <c r="AH1030" s="154"/>
      <c r="AI1030" s="243" t="str">
        <f t="shared" si="5"/>
        <v>N/A</v>
      </c>
      <c r="AJ1030" s="157" t="str">
        <f t="shared" si="6"/>
        <v/>
      </c>
    </row>
    <row r="1031" ht="12.75" customHeight="1">
      <c r="A1031" s="244" t="s">
        <v>2412</v>
      </c>
      <c r="B1031" s="244" t="s">
        <v>2633</v>
      </c>
      <c r="C1031" s="244" t="s">
        <v>2897</v>
      </c>
      <c r="D1031" s="154" t="s">
        <v>649</v>
      </c>
      <c r="E1031" s="250"/>
      <c r="F1031" s="154" t="str">
        <f t="array" ref="F1031">XLOOKUP(Cover!$D$12,$S$1:$AA$1,$S1031:$AA1031)</f>
        <v>Recommended</v>
      </c>
      <c r="G1031" s="154" t="s">
        <v>2898</v>
      </c>
      <c r="H1031" s="154"/>
      <c r="I1031" s="154" t="s">
        <v>414</v>
      </c>
      <c r="J1031" s="247" t="s">
        <v>445</v>
      </c>
      <c r="K1031" s="154"/>
      <c r="L1031" s="154" t="str">
        <f t="shared" si="1"/>
        <v/>
      </c>
      <c r="M1031" s="248" t="str">
        <f>IFERROR(__xludf.DUMMYFUNCTION("VLOOKUP(C1031,IMPORTRANGE(""https://docs.google.com/spreadsheets/d/1P8eX0NWBhUPS_hvzA11R6jkTNFrPrRYIx_dX_hYbxrk/edit?resourcekey=0-iw9bsKY2OqkUHCFMkCar3A&amp;gid=2055363397#gid=2055363397"",""MTR!C:O""),11,false)"),"TAM-SPEC")</f>
        <v>TAM-SPEC</v>
      </c>
      <c r="N1031" s="248" t="str">
        <f>IFERROR(__xludf.DUMMYFUNCTION("VLOOKUP(C1031,IMPORTRANGE(""https://docs.google.com/spreadsheets/d/1ihFlp3_ePlYtFuPbUNbYj1muErVpI73WHXbEwJDIA7Q/edit#gid=1493122344"",""MTR!C:O""),8,false)"),"Complies")</f>
        <v>Complies</v>
      </c>
      <c r="O1031" s="241" t="str">
        <f>IFERROR(__xludf.DUMMYFUNCTION("VLOOKUP(C1031,IMPORTRANGE(""https://docs.google.com/spreadsheets/d/1P8eX0NWBhUPS_hvzA11R6jkTNFrPrRYIx_dX_hYbxrk/edit?resourcekey=0-iw9bsKY2OqkUHCFMkCar3A&amp;gid=2055363397#gid=2055363397"",""MTR!C:O""),9,false)"),"")</f>
        <v/>
      </c>
      <c r="P1031" s="241"/>
      <c r="Q1031" s="251" t="s">
        <v>445</v>
      </c>
      <c r="R1031" s="241"/>
      <c r="S1031" s="154" t="s">
        <v>64</v>
      </c>
      <c r="T1031" s="154" t="s">
        <v>64</v>
      </c>
      <c r="U1031" s="154" t="s">
        <v>64</v>
      </c>
      <c r="V1031" s="154" t="s">
        <v>64</v>
      </c>
      <c r="W1031" s="154" t="s">
        <v>64</v>
      </c>
      <c r="X1031" s="154" t="s">
        <v>64</v>
      </c>
      <c r="Y1031" s="154" t="s">
        <v>64</v>
      </c>
      <c r="Z1031" s="154" t="s">
        <v>64</v>
      </c>
      <c r="AA1031" s="154" t="s">
        <v>64</v>
      </c>
      <c r="AB1031" s="154"/>
      <c r="AC1031" s="242" t="b">
        <f t="shared" si="2"/>
        <v>1</v>
      </c>
      <c r="AD1031" s="154" t="s">
        <v>391</v>
      </c>
      <c r="AE1031" s="243" t="b">
        <f t="shared" si="3"/>
        <v>0</v>
      </c>
      <c r="AF1031" s="154"/>
      <c r="AG1031" s="243" t="b">
        <f t="shared" si="7"/>
        <v>0</v>
      </c>
      <c r="AH1031" s="154"/>
      <c r="AI1031" s="243" t="str">
        <f t="shared" si="5"/>
        <v>N/A</v>
      </c>
      <c r="AJ1031" s="157" t="str">
        <f t="shared" si="6"/>
        <v/>
      </c>
    </row>
    <row r="1032" ht="12.75" customHeight="1">
      <c r="A1032" s="244" t="s">
        <v>2412</v>
      </c>
      <c r="B1032" s="244" t="s">
        <v>2633</v>
      </c>
      <c r="C1032" s="244" t="s">
        <v>2899</v>
      </c>
      <c r="D1032" s="154" t="s">
        <v>1282</v>
      </c>
      <c r="E1032" s="250"/>
      <c r="F1032" s="154" t="str">
        <f t="array" ref="F1032">XLOOKUP(Cover!$D$12,$S$1:$AA$1,$S1032:$AA1032)</f>
        <v>Mandatory</v>
      </c>
      <c r="G1032" s="154" t="s">
        <v>2900</v>
      </c>
      <c r="H1032" s="154" t="s">
        <v>2642</v>
      </c>
      <c r="I1032" s="154" t="s">
        <v>414</v>
      </c>
      <c r="J1032" s="247" t="s">
        <v>445</v>
      </c>
      <c r="K1032" s="154"/>
      <c r="L1032" s="154" t="str">
        <f t="shared" si="1"/>
        <v/>
      </c>
      <c r="M1032" s="248" t="str">
        <f>IFERROR(__xludf.DUMMYFUNCTION("VLOOKUP(C1032,IMPORTRANGE(""https://docs.google.com/spreadsheets/d/1P8eX0NWBhUPS_hvzA11R6jkTNFrPrRYIx_dX_hYbxrk/edit?resourcekey=0-iw9bsKY2OqkUHCFMkCar3A&amp;gid=2055363397#gid=2055363397"",""MTR!C:O""),11,false)"),"TAM-SPEC")</f>
        <v>TAM-SPEC</v>
      </c>
      <c r="N1032" s="248" t="str">
        <f>IFERROR(__xludf.DUMMYFUNCTION("VLOOKUP(C1032,IMPORTRANGE(""https://docs.google.com/spreadsheets/d/1ihFlp3_ePlYtFuPbUNbYj1muErVpI73WHXbEwJDIA7Q/edit#gid=1493122344"",""MTR!C:O""),8,false)"),"Complies")</f>
        <v>Complies</v>
      </c>
      <c r="O1032" s="241" t="str">
        <f>IFERROR(__xludf.DUMMYFUNCTION("VLOOKUP(C1032,IMPORTRANGE(""https://docs.google.com/spreadsheets/d/1P8eX0NWBhUPS_hvzA11R6jkTNFrPrRYIx_dX_hYbxrk/edit?resourcekey=0-iw9bsKY2OqkUHCFMkCar3A&amp;gid=2055363397#gid=2055363397"",""MTR!C:O""),9,false)"),"")</f>
        <v/>
      </c>
      <c r="P1032" s="241"/>
      <c r="Q1032" s="251" t="s">
        <v>445</v>
      </c>
      <c r="R1032" s="241"/>
      <c r="S1032" s="154" t="s">
        <v>60</v>
      </c>
      <c r="T1032" s="154" t="s">
        <v>60</v>
      </c>
      <c r="U1032" s="154" t="s">
        <v>60</v>
      </c>
      <c r="V1032" s="154" t="s">
        <v>60</v>
      </c>
      <c r="W1032" s="154" t="s">
        <v>60</v>
      </c>
      <c r="X1032" s="154" t="s">
        <v>60</v>
      </c>
      <c r="Y1032" s="154" t="s">
        <v>60</v>
      </c>
      <c r="Z1032" s="154" t="s">
        <v>60</v>
      </c>
      <c r="AA1032" s="154" t="s">
        <v>60</v>
      </c>
      <c r="AB1032" s="154"/>
      <c r="AC1032" s="242" t="b">
        <f t="shared" si="2"/>
        <v>1</v>
      </c>
      <c r="AD1032" s="154" t="s">
        <v>391</v>
      </c>
      <c r="AE1032" s="243" t="b">
        <f t="shared" si="3"/>
        <v>0</v>
      </c>
      <c r="AF1032" s="154"/>
      <c r="AG1032" s="243" t="b">
        <f t="shared" si="7"/>
        <v>0</v>
      </c>
      <c r="AH1032" s="154"/>
      <c r="AI1032" s="243" t="str">
        <f t="shared" si="5"/>
        <v>N/A</v>
      </c>
      <c r="AJ1032" s="157" t="str">
        <f t="shared" si="6"/>
        <v/>
      </c>
    </row>
    <row r="1033" ht="12.75" customHeight="1">
      <c r="A1033" s="244" t="s">
        <v>2412</v>
      </c>
      <c r="B1033" s="244" t="s">
        <v>2633</v>
      </c>
      <c r="C1033" s="244" t="s">
        <v>2901</v>
      </c>
      <c r="D1033" s="154" t="s">
        <v>1282</v>
      </c>
      <c r="E1033" s="250"/>
      <c r="F1033" s="154" t="str">
        <f t="array" ref="F1033">XLOOKUP(Cover!$D$12,$S$1:$AA$1,$S1033:$AA1033)</f>
        <v>Mandatory</v>
      </c>
      <c r="G1033" s="154" t="s">
        <v>2902</v>
      </c>
      <c r="H1033" s="154" t="s">
        <v>2642</v>
      </c>
      <c r="I1033" s="154" t="s">
        <v>414</v>
      </c>
      <c r="J1033" s="247" t="s">
        <v>445</v>
      </c>
      <c r="K1033" s="154"/>
      <c r="L1033" s="154" t="str">
        <f t="shared" si="1"/>
        <v/>
      </c>
      <c r="M1033" s="248" t="str">
        <f>IFERROR(__xludf.DUMMYFUNCTION("VLOOKUP(C1033,IMPORTRANGE(""https://docs.google.com/spreadsheets/d/1P8eX0NWBhUPS_hvzA11R6jkTNFrPrRYIx_dX_hYbxrk/edit?resourcekey=0-iw9bsKY2OqkUHCFMkCar3A&amp;gid=2055363397#gid=2055363397"",""MTR!C:O""),11,false)"),"TAM-SPEC")</f>
        <v>TAM-SPEC</v>
      </c>
      <c r="N1033" s="248" t="str">
        <f>IFERROR(__xludf.DUMMYFUNCTION("VLOOKUP(C1033,IMPORTRANGE(""https://docs.google.com/spreadsheets/d/1ihFlp3_ePlYtFuPbUNbYj1muErVpI73WHXbEwJDIA7Q/edit#gid=1493122344"",""MTR!C:O""),8,false)"),"Complies")</f>
        <v>Complies</v>
      </c>
      <c r="O1033" s="241" t="str">
        <f>IFERROR(__xludf.DUMMYFUNCTION("VLOOKUP(C1033,IMPORTRANGE(""https://docs.google.com/spreadsheets/d/1P8eX0NWBhUPS_hvzA11R6jkTNFrPrRYIx_dX_hYbxrk/edit?resourcekey=0-iw9bsKY2OqkUHCFMkCar3A&amp;gid=2055363397#gid=2055363397"",""MTR!C:O""),9,false)"),"")</f>
        <v/>
      </c>
      <c r="P1033" s="241"/>
      <c r="Q1033" s="251" t="s">
        <v>445</v>
      </c>
      <c r="R1033" s="241"/>
      <c r="S1033" s="154" t="s">
        <v>60</v>
      </c>
      <c r="T1033" s="154" t="s">
        <v>60</v>
      </c>
      <c r="U1033" s="154" t="s">
        <v>60</v>
      </c>
      <c r="V1033" s="154" t="s">
        <v>60</v>
      </c>
      <c r="W1033" s="154" t="s">
        <v>60</v>
      </c>
      <c r="X1033" s="154" t="s">
        <v>60</v>
      </c>
      <c r="Y1033" s="154" t="s">
        <v>60</v>
      </c>
      <c r="Z1033" s="154" t="s">
        <v>60</v>
      </c>
      <c r="AA1033" s="154" t="s">
        <v>60</v>
      </c>
      <c r="AB1033" s="154"/>
      <c r="AC1033" s="242" t="b">
        <f t="shared" si="2"/>
        <v>1</v>
      </c>
      <c r="AD1033" s="154" t="s">
        <v>391</v>
      </c>
      <c r="AE1033" s="243" t="b">
        <f t="shared" si="3"/>
        <v>0</v>
      </c>
      <c r="AF1033" s="154"/>
      <c r="AG1033" s="243" t="b">
        <f t="shared" si="7"/>
        <v>0</v>
      </c>
      <c r="AH1033" s="154"/>
      <c r="AI1033" s="243" t="str">
        <f t="shared" si="5"/>
        <v>N/A</v>
      </c>
      <c r="AJ1033" s="157" t="str">
        <f t="shared" si="6"/>
        <v/>
      </c>
    </row>
    <row r="1034" ht="12.75" customHeight="1">
      <c r="A1034" s="244" t="s">
        <v>2412</v>
      </c>
      <c r="B1034" s="244" t="s">
        <v>2633</v>
      </c>
      <c r="C1034" s="244" t="s">
        <v>2903</v>
      </c>
      <c r="D1034" s="154" t="s">
        <v>1773</v>
      </c>
      <c r="E1034" s="250"/>
      <c r="F1034" s="154" t="str">
        <f t="array" ref="F1034">XLOOKUP(Cover!$D$12,$S$1:$AA$1,$S1034:$AA1034)</f>
        <v>Comments Vendor</v>
      </c>
      <c r="G1034" s="154" t="s">
        <v>2904</v>
      </c>
      <c r="H1034" s="154" t="s">
        <v>2642</v>
      </c>
      <c r="I1034" s="154" t="s">
        <v>414</v>
      </c>
      <c r="J1034" s="247"/>
      <c r="K1034" s="247" t="s">
        <v>2905</v>
      </c>
      <c r="L1034" s="154" t="str">
        <f t="shared" si="1"/>
        <v/>
      </c>
      <c r="M1034" s="248" t="str">
        <f>IFERROR(__xludf.DUMMYFUNCTION("VLOOKUP(C1034,IMPORTRANGE(""https://docs.google.com/spreadsheets/d/1P8eX0NWBhUPS_hvzA11R6jkTNFrPrRYIx_dX_hYbxrk/edit?resourcekey=0-iw9bsKY2OqkUHCFMkCar3A&amp;gid=2055363397#gid=2055363397"",""MTR!C:O""),11,false)"),"TAM-SPEC")</f>
        <v>TAM-SPEC</v>
      </c>
      <c r="N1034" s="241" t="str">
        <f>IFERROR(__xludf.DUMMYFUNCTION("VLOOKUP(C1034,IMPORTRANGE(""https://docs.google.com/spreadsheets/d/1ihFlp3_ePlYtFuPbUNbYj1muErVpI73WHXbEwJDIA7Q/edit#gid=1493122344"",""MTR!C:O""),8,false)"),"")</f>
        <v/>
      </c>
      <c r="O1034" s="248" t="str">
        <f>IFERROR(__xludf.DUMMYFUNCTION("VLOOKUP(C1034,IMPORTRANGE(""https://docs.google.com/spreadsheets/d/1P8eX0NWBhUPS_hvzA11R6jkTNFrPrRYIx_dX_hYbxrk/edit?resourcekey=0-iw9bsKY2OqkUHCFMkCar3A&amp;gid=2055363397#gid=2055363397"",""MTR!C:O""),9,false)"),"~50% &lt; in 25mins
Full in &lt; 70mins
24W power  to cell")</f>
        <v>~50% &lt; in 25mins
Full in &lt; 70mins
24W power  to cell</v>
      </c>
      <c r="P1034" s="248"/>
      <c r="Q1034" s="249"/>
      <c r="R1034" s="249" t="s">
        <v>2906</v>
      </c>
      <c r="S1034" s="154" t="s">
        <v>62</v>
      </c>
      <c r="T1034" s="154" t="s">
        <v>62</v>
      </c>
      <c r="U1034" s="154" t="s">
        <v>62</v>
      </c>
      <c r="V1034" s="154" t="s">
        <v>62</v>
      </c>
      <c r="W1034" s="154" t="s">
        <v>62</v>
      </c>
      <c r="X1034" s="154" t="s">
        <v>62</v>
      </c>
      <c r="Y1034" s="154" t="s">
        <v>62</v>
      </c>
      <c r="Z1034" s="154" t="s">
        <v>62</v>
      </c>
      <c r="AA1034" s="154" t="s">
        <v>62</v>
      </c>
      <c r="AB1034" s="154"/>
      <c r="AC1034" s="242" t="b">
        <f t="shared" si="2"/>
        <v>1</v>
      </c>
      <c r="AD1034" s="154" t="s">
        <v>391</v>
      </c>
      <c r="AE1034" s="243" t="b">
        <f t="shared" si="3"/>
        <v>1</v>
      </c>
      <c r="AF1034" s="154"/>
      <c r="AG1034" s="243" t="b">
        <f t="shared" si="7"/>
        <v>0</v>
      </c>
      <c r="AH1034" s="154"/>
      <c r="AI1034" s="243" t="str">
        <f t="shared" si="5"/>
        <v>N/A</v>
      </c>
      <c r="AJ1034" s="157" t="str">
        <f t="shared" si="6"/>
        <v/>
      </c>
    </row>
    <row r="1035" ht="12.75" customHeight="1">
      <c r="A1035" s="244" t="s">
        <v>2412</v>
      </c>
      <c r="B1035" s="244" t="s">
        <v>2633</v>
      </c>
      <c r="C1035" s="244" t="s">
        <v>2907</v>
      </c>
      <c r="D1035" s="154" t="s">
        <v>1773</v>
      </c>
      <c r="E1035" s="250"/>
      <c r="F1035" s="154" t="str">
        <f t="array" ref="F1035">XLOOKUP(Cover!$D$12,$S$1:$AA$1,$S1035:$AA1035)</f>
        <v>Mandatory</v>
      </c>
      <c r="G1035" s="153" t="s">
        <v>2908</v>
      </c>
      <c r="H1035" s="154" t="s">
        <v>2642</v>
      </c>
      <c r="I1035" s="154" t="s">
        <v>414</v>
      </c>
      <c r="J1035" s="247"/>
      <c r="K1035" s="247" t="s">
        <v>2909</v>
      </c>
      <c r="L1035" s="154" t="str">
        <f t="shared" si="1"/>
        <v>Compliance Statement missing!</v>
      </c>
      <c r="M1035" s="248" t="str">
        <f>IFERROR(__xludf.DUMMYFUNCTION("VLOOKUP(C1035,IMPORTRANGE(""https://docs.google.com/spreadsheets/d/1P8eX0NWBhUPS_hvzA11R6jkTNFrPrRYIx_dX_hYbxrk/edit?resourcekey=0-iw9bsKY2OqkUHCFMkCar3A&amp;gid=2055363397#gid=2055363397"",""MTR!C:O""),11,false)"),"TAM-SPEC")</f>
        <v>TAM-SPEC</v>
      </c>
      <c r="N1035" s="241" t="str">
        <f>IFERROR(__xludf.DUMMYFUNCTION("VLOOKUP(C1035,IMPORTRANGE(""https://docs.google.com/spreadsheets/d/1ihFlp3_ePlYtFuPbUNbYj1muErVpI73WHXbEwJDIA7Q/edit#gid=1493122344"",""MTR!C:O""),8,false)"),"")</f>
        <v/>
      </c>
      <c r="O1035" s="248" t="str">
        <f>IFERROR(__xludf.DUMMYFUNCTION("VLOOKUP(C1035,IMPORTRANGE(""https://docs.google.com/spreadsheets/d/1P8eX0NWBhUPS_hvzA11R6jkTNFrPrRYIx_dX_hYbxrk/edit?resourcekey=0-iw9bsKY2OqkUHCFMkCar3A&amp;gid=2055363397#gid=2055363397"",""MTR!C:O""),9,false)"),"GPP(48W) with pixel charger")</f>
        <v>GPP(48W) with pixel charger</v>
      </c>
      <c r="P1035" s="248"/>
      <c r="Q1035" s="248"/>
      <c r="R1035" s="249" t="s">
        <v>2910</v>
      </c>
      <c r="S1035" s="154" t="s">
        <v>60</v>
      </c>
      <c r="T1035" s="154" t="s">
        <v>60</v>
      </c>
      <c r="U1035" s="154" t="s">
        <v>60</v>
      </c>
      <c r="V1035" s="154" t="s">
        <v>60</v>
      </c>
      <c r="W1035" s="154" t="s">
        <v>60</v>
      </c>
      <c r="X1035" s="154" t="s">
        <v>60</v>
      </c>
      <c r="Y1035" s="154" t="s">
        <v>60</v>
      </c>
      <c r="Z1035" s="154" t="s">
        <v>60</v>
      </c>
      <c r="AA1035" s="154" t="s">
        <v>60</v>
      </c>
      <c r="AB1035" s="154"/>
      <c r="AC1035" s="242" t="b">
        <f t="shared" si="2"/>
        <v>0</v>
      </c>
      <c r="AD1035" s="154" t="s">
        <v>445</v>
      </c>
      <c r="AE1035" s="243" t="b">
        <f t="shared" si="3"/>
        <v>0</v>
      </c>
      <c r="AF1035" s="154"/>
      <c r="AG1035" s="243" t="b">
        <f t="shared" si="7"/>
        <v>0</v>
      </c>
      <c r="AH1035" s="154"/>
      <c r="AI1035" s="243" t="str">
        <f t="shared" si="5"/>
        <v>N/A</v>
      </c>
      <c r="AJ1035" s="157" t="str">
        <f t="shared" si="6"/>
        <v>Compliance Statement missing!</v>
      </c>
    </row>
    <row r="1036" ht="12.75" customHeight="1">
      <c r="A1036" s="244" t="s">
        <v>2412</v>
      </c>
      <c r="B1036" s="244" t="s">
        <v>2633</v>
      </c>
      <c r="C1036" s="244" t="s">
        <v>2911</v>
      </c>
      <c r="D1036" s="154" t="s">
        <v>45</v>
      </c>
      <c r="E1036" s="250"/>
      <c r="F1036" s="154" t="str">
        <f t="array" ref="F1036">XLOOKUP(Cover!$D$12,$S$1:$AA$1,$S1036:$AA1036)</f>
        <v>Mandatory</v>
      </c>
      <c r="G1036" s="153" t="s">
        <v>2912</v>
      </c>
      <c r="H1036" s="154" t="s">
        <v>2642</v>
      </c>
      <c r="I1036" s="154" t="s">
        <v>414</v>
      </c>
      <c r="J1036" s="247"/>
      <c r="K1036" s="247" t="s">
        <v>2913</v>
      </c>
      <c r="L1036" s="154" t="str">
        <f t="shared" si="1"/>
        <v>Compliance Statement missing!</v>
      </c>
      <c r="M1036" s="253" t="str">
        <f>IFERROR(__xludf.DUMMYFUNCTION("VLOOKUP(C1036,IMPORTRANGE(""https://docs.google.com/spreadsheets/d/1P8eX0NWBhUPS_hvzA11R6jkTNFrPrRYIx_dX_hYbxrk/edit?resourcekey=0-iw9bsKY2OqkUHCFMkCar3A&amp;gid=2055363397#gid=2055363397"",""MTR!C:O""),11,false)"),"#N/A")</f>
        <v>#N/A</v>
      </c>
      <c r="N1036" s="253" t="str">
        <f>IFERROR(__xludf.DUMMYFUNCTION("VLOOKUP(C1036,IMPORTRANGE(""https://docs.google.com/spreadsheets/d/1ihFlp3_ePlYtFuPbUNbYj1muErVpI73WHXbEwJDIA7Q/edit#gid=1493122344"",""MTR!C:O""),8,false)"),"#N/A")</f>
        <v>#N/A</v>
      </c>
      <c r="O1036" s="248" t="str">
        <f>IFERROR(__xludf.DUMMYFUNCTION("VLOOKUP(C1036,IMPORTRANGE(""https://docs.google.com/spreadsheets/d/1P8eX0NWBhUPS_hvzA11R6jkTNFrPrRYIx_dX_hYbxrk/edit?resourcekey=0-iw9bsKY2OqkUHCFMkCar3A&amp;gid=2055363397#gid=2055363397"",""MTR!C:O""),9,false)"),"USB PD 3.0")</f>
        <v>USB PD 3.0</v>
      </c>
      <c r="P1036" s="248"/>
      <c r="Q1036" s="248"/>
      <c r="R1036" s="249"/>
      <c r="S1036" s="154" t="s">
        <v>60</v>
      </c>
      <c r="T1036" s="154" t="s">
        <v>60</v>
      </c>
      <c r="U1036" s="154" t="s">
        <v>60</v>
      </c>
      <c r="V1036" s="154" t="s">
        <v>60</v>
      </c>
      <c r="W1036" s="154" t="s">
        <v>60</v>
      </c>
      <c r="X1036" s="154" t="s">
        <v>60</v>
      </c>
      <c r="Y1036" s="154" t="s">
        <v>60</v>
      </c>
      <c r="Z1036" s="154" t="s">
        <v>60</v>
      </c>
      <c r="AA1036" s="154" t="s">
        <v>60</v>
      </c>
      <c r="AB1036" s="154"/>
      <c r="AC1036" s="242" t="b">
        <f t="shared" si="2"/>
        <v>0</v>
      </c>
      <c r="AD1036" s="154" t="s">
        <v>445</v>
      </c>
      <c r="AE1036" s="243" t="b">
        <f t="shared" si="3"/>
        <v>0</v>
      </c>
      <c r="AF1036" s="154"/>
      <c r="AG1036" s="243" t="b">
        <f t="shared" si="7"/>
        <v>0</v>
      </c>
      <c r="AH1036" s="154"/>
      <c r="AI1036" s="243" t="str">
        <f t="shared" si="5"/>
        <v>N/A</v>
      </c>
      <c r="AJ1036" s="157" t="str">
        <f t="shared" si="6"/>
        <v>Compliance Statement missing!</v>
      </c>
    </row>
    <row r="1037" ht="12.75" customHeight="1">
      <c r="A1037" s="244" t="s">
        <v>2412</v>
      </c>
      <c r="B1037" s="244" t="s">
        <v>2633</v>
      </c>
      <c r="C1037" s="244" t="s">
        <v>2914</v>
      </c>
      <c r="D1037" s="154" t="s">
        <v>1773</v>
      </c>
      <c r="E1037" s="250"/>
      <c r="F1037" s="154" t="str">
        <f t="array" ref="F1037">XLOOKUP(Cover!$D$12,$S$1:$AA$1,$S1037:$AA1037)</f>
        <v>Recommended</v>
      </c>
      <c r="G1037" s="153" t="s">
        <v>2915</v>
      </c>
      <c r="H1037" s="154" t="s">
        <v>2642</v>
      </c>
      <c r="I1037" s="154" t="s">
        <v>414</v>
      </c>
      <c r="J1037" s="247"/>
      <c r="K1037" s="247" t="s">
        <v>2916</v>
      </c>
      <c r="L1037" s="154" t="str">
        <f t="shared" si="1"/>
        <v>Compliance Statement missing!</v>
      </c>
      <c r="M1037" s="248" t="str">
        <f>IFERROR(__xludf.DUMMYFUNCTION("VLOOKUP(C1037,IMPORTRANGE(""https://docs.google.com/spreadsheets/d/1P8eX0NWBhUPS_hvzA11R6jkTNFrPrRYIx_dX_hYbxrk/edit?resourcekey=0-iw9bsKY2OqkUHCFMkCar3A&amp;gid=2055363397#gid=2055363397"",""MTR!C:O""),11,false)"),"TAM-SPEC")</f>
        <v>TAM-SPEC</v>
      </c>
      <c r="N1037" s="241" t="str">
        <f>IFERROR(__xludf.DUMMYFUNCTION("VLOOKUP(C1037,IMPORTRANGE(""https://docs.google.com/spreadsheets/d/1ihFlp3_ePlYtFuPbUNbYj1muErVpI73WHXbEwJDIA7Q/edit#gid=1493122344"",""MTR!C:O""),8,false)"),"")</f>
        <v/>
      </c>
      <c r="O1037" s="248" t="str">
        <f>IFERROR(__xludf.DUMMYFUNCTION("VLOOKUP(C1037,IMPORTRANGE(""https://docs.google.com/spreadsheets/d/1P8eX0NWBhUPS_hvzA11R6jkTNFrPrRYIx_dX_hYbxrk/edit?resourcekey=0-iw9bsKY2OqkUHCFMkCar3A&amp;gid=2055363397#gid=2055363397"",""MTR!C:O""),9,false)"),"21W Wireless charging
12W Qi EPP
5W Reverse Wireless charge")</f>
        <v>21W Wireless charging
12W Qi EPP
5W Reverse Wireless charge</v>
      </c>
      <c r="P1037" s="248"/>
      <c r="Q1037" s="248"/>
      <c r="R1037" s="249" t="s">
        <v>2916</v>
      </c>
      <c r="S1037" s="154" t="s">
        <v>64</v>
      </c>
      <c r="T1037" s="154" t="s">
        <v>64</v>
      </c>
      <c r="U1037" s="154" t="s">
        <v>64</v>
      </c>
      <c r="V1037" s="154" t="s">
        <v>64</v>
      </c>
      <c r="W1037" s="154" t="s">
        <v>64</v>
      </c>
      <c r="X1037" s="154" t="s">
        <v>64</v>
      </c>
      <c r="Y1037" s="154" t="s">
        <v>64</v>
      </c>
      <c r="Z1037" s="154" t="s">
        <v>64</v>
      </c>
      <c r="AA1037" s="154" t="s">
        <v>64</v>
      </c>
      <c r="AB1037" s="154"/>
      <c r="AC1037" s="242" t="b">
        <f t="shared" si="2"/>
        <v>0</v>
      </c>
      <c r="AD1037" s="154" t="s">
        <v>445</v>
      </c>
      <c r="AE1037" s="243" t="b">
        <f t="shared" si="3"/>
        <v>0</v>
      </c>
      <c r="AF1037" s="154"/>
      <c r="AG1037" s="243" t="b">
        <f t="shared" si="7"/>
        <v>0</v>
      </c>
      <c r="AH1037" s="154"/>
      <c r="AI1037" s="243" t="str">
        <f t="shared" si="5"/>
        <v>N/A</v>
      </c>
      <c r="AJ1037" s="157" t="str">
        <f t="shared" si="6"/>
        <v>Compliance Statement missing!</v>
      </c>
    </row>
    <row r="1038" ht="12.75" customHeight="1">
      <c r="A1038" s="238" t="s">
        <v>2412</v>
      </c>
      <c r="B1038" s="238" t="s">
        <v>2633</v>
      </c>
      <c r="C1038" s="238" t="s">
        <v>2917</v>
      </c>
      <c r="D1038" s="240"/>
      <c r="E1038" s="252" t="s">
        <v>92</v>
      </c>
      <c r="F1038" s="154" t="str">
        <f t="array" ref="F1038">XLOOKUP(Cover!$D$12,$S$1:$AA$1,$S1038:$AA1038)</f>
        <v>Heading</v>
      </c>
      <c r="G1038" s="239" t="s">
        <v>2918</v>
      </c>
      <c r="H1038" s="240"/>
      <c r="I1038" s="240" t="s">
        <v>420</v>
      </c>
      <c r="J1038" s="262"/>
      <c r="K1038" s="262"/>
      <c r="L1038" s="154" t="str">
        <f t="shared" si="1"/>
        <v/>
      </c>
      <c r="M1038" s="241" t="str">
        <f>IFERROR(__xludf.DUMMYFUNCTION("VLOOKUP(C1038,IMPORTRANGE(""https://docs.google.com/spreadsheets/d/1P8eX0NWBhUPS_hvzA11R6jkTNFrPrRYIx_dX_hYbxrk/edit?resourcekey=0-iw9bsKY2OqkUHCFMkCar3A&amp;gid=2055363397#gid=2055363397"",""MTR!C:O""),11,false)"),"")</f>
        <v/>
      </c>
      <c r="N1038" s="241" t="str">
        <f>IFERROR(__xludf.DUMMYFUNCTION("VLOOKUP(C1038,IMPORTRANGE(""https://docs.google.com/spreadsheets/d/1ihFlp3_ePlYtFuPbUNbYj1muErVpI73WHXbEwJDIA7Q/edit#gid=1493122344"",""MTR!C:O""),8,false)"),"")</f>
        <v/>
      </c>
      <c r="O1038" s="241" t="str">
        <f>IFERROR(__xludf.DUMMYFUNCTION("VLOOKUP(C1038,IMPORTRANGE(""https://docs.google.com/spreadsheets/d/1P8eX0NWBhUPS_hvzA11R6jkTNFrPrRYIx_dX_hYbxrk/edit?resourcekey=0-iw9bsKY2OqkUHCFMkCar3A&amp;gid=2055363397#gid=2055363397"",""MTR!C:O""),9,false)"),"")</f>
        <v/>
      </c>
      <c r="P1038" s="241"/>
      <c r="Q1038" s="241"/>
      <c r="R1038" s="251"/>
      <c r="S1038" s="240" t="s">
        <v>390</v>
      </c>
      <c r="T1038" s="240" t="s">
        <v>390</v>
      </c>
      <c r="U1038" s="240" t="s">
        <v>390</v>
      </c>
      <c r="V1038" s="240" t="s">
        <v>390</v>
      </c>
      <c r="W1038" s="240" t="s">
        <v>390</v>
      </c>
      <c r="X1038" s="240" t="s">
        <v>390</v>
      </c>
      <c r="Y1038" s="240" t="s">
        <v>390</v>
      </c>
      <c r="Z1038" s="240" t="s">
        <v>390</v>
      </c>
      <c r="AA1038" s="240" t="s">
        <v>390</v>
      </c>
      <c r="AB1038" s="240"/>
      <c r="AC1038" s="242" t="b">
        <f t="shared" si="2"/>
        <v>0</v>
      </c>
      <c r="AD1038" s="240" t="s">
        <v>391</v>
      </c>
      <c r="AE1038" s="243" t="b">
        <f t="shared" si="3"/>
        <v>0</v>
      </c>
      <c r="AF1038" s="240"/>
      <c r="AG1038" s="243" t="b">
        <f t="shared" si="7"/>
        <v>0</v>
      </c>
      <c r="AH1038" s="240"/>
      <c r="AI1038" s="243" t="str">
        <f t="shared" si="5"/>
        <v>N/A</v>
      </c>
      <c r="AJ1038" s="157" t="str">
        <f t="shared" si="6"/>
        <v/>
      </c>
    </row>
    <row r="1039" ht="12.75" customHeight="1">
      <c r="A1039" s="244" t="s">
        <v>2412</v>
      </c>
      <c r="B1039" s="244" t="s">
        <v>2633</v>
      </c>
      <c r="C1039" s="244" t="s">
        <v>2919</v>
      </c>
      <c r="D1039" s="154" t="s">
        <v>2746</v>
      </c>
      <c r="E1039" s="250"/>
      <c r="F1039" s="154" t="str">
        <f t="array" ref="F1039">XLOOKUP(Cover!$D$12,$S$1:$AA$1,$S1039:$AA1039)</f>
        <v>Information</v>
      </c>
      <c r="G1039" s="154" t="s">
        <v>2920</v>
      </c>
      <c r="H1039" s="154"/>
      <c r="I1039" s="154" t="s">
        <v>420</v>
      </c>
      <c r="J1039" s="154" t="s">
        <v>445</v>
      </c>
      <c r="K1039" s="154"/>
      <c r="L1039" s="154" t="str">
        <f t="shared" si="1"/>
        <v/>
      </c>
      <c r="M1039" s="248" t="str">
        <f>IFERROR(__xludf.DUMMYFUNCTION("VLOOKUP(C1039,IMPORTRANGE(""https://docs.google.com/spreadsheets/d/1P8eX0NWBhUPS_hvzA11R6jkTNFrPrRYIx_dX_hYbxrk/edit?resourcekey=0-iw9bsKY2OqkUHCFMkCar3A&amp;gid=2055363397#gid=2055363397"",""MTR!C:O""),11,false)"),"TAM")</f>
        <v>TAM</v>
      </c>
      <c r="N1039" s="248" t="str">
        <f>IFERROR(__xludf.DUMMYFUNCTION("VLOOKUP(C1039,IMPORTRANGE(""https://docs.google.com/spreadsheets/d/1ihFlp3_ePlYtFuPbUNbYj1muErVpI73WHXbEwJDIA7Q/edit#gid=1493122344"",""MTR!C:O""),8,false)"),"Complies")</f>
        <v>Complies</v>
      </c>
      <c r="O1039" s="241" t="str">
        <f>IFERROR(__xludf.DUMMYFUNCTION("VLOOKUP(C1039,IMPORTRANGE(""https://docs.google.com/spreadsheets/d/1P8eX0NWBhUPS_hvzA11R6jkTNFrPrRYIx_dX_hYbxrk/edit?resourcekey=0-iw9bsKY2OqkUHCFMkCar3A&amp;gid=2055363397#gid=2055363397"",""MTR!C:O""),9,false)"),"")</f>
        <v/>
      </c>
      <c r="P1039" s="241"/>
      <c r="Q1039" s="251" t="s">
        <v>445</v>
      </c>
      <c r="R1039" s="241"/>
      <c r="S1039" s="154" t="s">
        <v>66</v>
      </c>
      <c r="T1039" s="154" t="s">
        <v>66</v>
      </c>
      <c r="U1039" s="154" t="s">
        <v>66</v>
      </c>
      <c r="V1039" s="154" t="s">
        <v>66</v>
      </c>
      <c r="W1039" s="154" t="s">
        <v>66</v>
      </c>
      <c r="X1039" s="154" t="s">
        <v>66</v>
      </c>
      <c r="Y1039" s="154" t="s">
        <v>66</v>
      </c>
      <c r="Z1039" s="154" t="s">
        <v>66</v>
      </c>
      <c r="AA1039" s="154" t="s">
        <v>66</v>
      </c>
      <c r="AB1039" s="154"/>
      <c r="AC1039" s="242" t="b">
        <f t="shared" si="2"/>
        <v>1</v>
      </c>
      <c r="AD1039" s="154" t="s">
        <v>391</v>
      </c>
      <c r="AE1039" s="243" t="b">
        <f t="shared" si="3"/>
        <v>0</v>
      </c>
      <c r="AF1039" s="154"/>
      <c r="AG1039" s="243" t="b">
        <f t="shared" si="7"/>
        <v>0</v>
      </c>
      <c r="AH1039" s="154"/>
      <c r="AI1039" s="243" t="str">
        <f t="shared" si="5"/>
        <v>N/A</v>
      </c>
      <c r="AJ1039" s="157" t="str">
        <f t="shared" si="6"/>
        <v/>
      </c>
    </row>
    <row r="1040" ht="12.75" customHeight="1">
      <c r="A1040" s="244" t="s">
        <v>2412</v>
      </c>
      <c r="B1040" s="244" t="s">
        <v>2633</v>
      </c>
      <c r="C1040" s="244" t="s">
        <v>2921</v>
      </c>
      <c r="D1040" s="244" t="s">
        <v>861</v>
      </c>
      <c r="E1040" s="244"/>
      <c r="F1040" s="154" t="str">
        <f t="array" ref="F1040">XLOOKUP(Cover!$D$12,$S$1:$AA$1,$S1040:$AA1040)</f>
        <v>Information</v>
      </c>
      <c r="G1040" s="154" t="s">
        <v>2922</v>
      </c>
      <c r="H1040" s="154"/>
      <c r="I1040" s="154" t="s">
        <v>420</v>
      </c>
      <c r="J1040" s="154"/>
      <c r="K1040" s="154" t="s">
        <v>2923</v>
      </c>
      <c r="L1040" s="154" t="str">
        <f t="shared" si="1"/>
        <v>Compliance Statement missing!</v>
      </c>
      <c r="M1040" s="248" t="str">
        <f>IFERROR(__xludf.DUMMYFUNCTION("VLOOKUP(C1040,IMPORTRANGE(""https://docs.google.com/spreadsheets/d/1P8eX0NWBhUPS_hvzA11R6jkTNFrPrRYIx_dX_hYbxrk/edit?resourcekey=0-iw9bsKY2OqkUHCFMkCar3A&amp;gid=2055363397#gid=2055363397"",""MTR!C:O""),11,false)"),"TAM")</f>
        <v>TAM</v>
      </c>
      <c r="N1040" s="241" t="str">
        <f>IFERROR(__xludf.DUMMYFUNCTION("VLOOKUP(C1040,IMPORTRANGE(""https://docs.google.com/spreadsheets/d/1ihFlp3_ePlYtFuPbUNbYj1muErVpI73WHXbEwJDIA7Q/edit#gid=1493122344"",""MTR!C:O""),8,false)"),"")</f>
        <v/>
      </c>
      <c r="O1040" s="248" t="str">
        <f>IFERROR(__xludf.DUMMYFUNCTION("VLOOKUP(C1040,IMPORTRANGE(""https://docs.google.com/spreadsheets/d/1P8eX0NWBhUPS_hvzA11R6jkTNFrPrRYIx_dX_hYbxrk/edit?resourcekey=0-iw9bsKY2OqkUHCFMkCar3A&amp;gid=2055363397#gid=2055363397"",""MTR!C:O""),9,false)"),"POP3, IMAP4, SMTP")</f>
        <v>POP3, IMAP4, SMTP</v>
      </c>
      <c r="P1040" s="248"/>
      <c r="Q1040" s="249"/>
      <c r="R1040" s="249" t="s">
        <v>2923</v>
      </c>
      <c r="S1040" s="154" t="s">
        <v>66</v>
      </c>
      <c r="T1040" s="154" t="s">
        <v>66</v>
      </c>
      <c r="U1040" s="154" t="s">
        <v>66</v>
      </c>
      <c r="V1040" s="154" t="s">
        <v>66</v>
      </c>
      <c r="W1040" s="154" t="s">
        <v>66</v>
      </c>
      <c r="X1040" s="154" t="s">
        <v>66</v>
      </c>
      <c r="Y1040" s="154" t="s">
        <v>66</v>
      </c>
      <c r="Z1040" s="154" t="s">
        <v>66</v>
      </c>
      <c r="AA1040" s="154" t="s">
        <v>66</v>
      </c>
      <c r="AB1040" s="154"/>
      <c r="AC1040" s="242" t="b">
        <f t="shared" si="2"/>
        <v>0</v>
      </c>
      <c r="AD1040" s="154" t="s">
        <v>68</v>
      </c>
      <c r="AE1040" s="243" t="b">
        <f t="shared" si="3"/>
        <v>0</v>
      </c>
      <c r="AF1040" s="154"/>
      <c r="AG1040" s="243" t="b">
        <f t="shared" si="7"/>
        <v>0</v>
      </c>
      <c r="AH1040" s="154"/>
      <c r="AI1040" s="243" t="str">
        <f t="shared" si="5"/>
        <v>N/A</v>
      </c>
      <c r="AJ1040" s="157" t="str">
        <f t="shared" si="6"/>
        <v>Compliance Statement missing!</v>
      </c>
    </row>
    <row r="1041" ht="12.75" customHeight="1">
      <c r="A1041" s="238" t="s">
        <v>2412</v>
      </c>
      <c r="B1041" s="238" t="s">
        <v>2633</v>
      </c>
      <c r="C1041" s="238" t="s">
        <v>2924</v>
      </c>
      <c r="D1041" s="240"/>
      <c r="E1041" s="252" t="s">
        <v>92</v>
      </c>
      <c r="F1041" s="154" t="str">
        <f t="array" ref="F1041">XLOOKUP(Cover!$D$12,$S$1:$AA$1,$S1041:$AA1041)</f>
        <v>Heading</v>
      </c>
      <c r="G1041" s="239" t="s">
        <v>2925</v>
      </c>
      <c r="H1041" s="240"/>
      <c r="I1041" s="240" t="s">
        <v>414</v>
      </c>
      <c r="J1041" s="262"/>
      <c r="K1041" s="262"/>
      <c r="L1041" s="154" t="str">
        <f t="shared" si="1"/>
        <v/>
      </c>
      <c r="M1041" s="241" t="str">
        <f>IFERROR(__xludf.DUMMYFUNCTION("VLOOKUP(C1041,IMPORTRANGE(""https://docs.google.com/spreadsheets/d/1P8eX0NWBhUPS_hvzA11R6jkTNFrPrRYIx_dX_hYbxrk/edit?resourcekey=0-iw9bsKY2OqkUHCFMkCar3A&amp;gid=2055363397#gid=2055363397"",""MTR!C:O""),11,false)"),"")</f>
        <v/>
      </c>
      <c r="N1041" s="241" t="str">
        <f>IFERROR(__xludf.DUMMYFUNCTION("VLOOKUP(C1041,IMPORTRANGE(""https://docs.google.com/spreadsheets/d/1ihFlp3_ePlYtFuPbUNbYj1muErVpI73WHXbEwJDIA7Q/edit#gid=1493122344"",""MTR!C:O""),8,false)"),"")</f>
        <v/>
      </c>
      <c r="O1041" s="241" t="str">
        <f>IFERROR(__xludf.DUMMYFUNCTION("VLOOKUP(C1041,IMPORTRANGE(""https://docs.google.com/spreadsheets/d/1P8eX0NWBhUPS_hvzA11R6jkTNFrPrRYIx_dX_hYbxrk/edit?resourcekey=0-iw9bsKY2OqkUHCFMkCar3A&amp;gid=2055363397#gid=2055363397"",""MTR!C:O""),9,false)"),"")</f>
        <v/>
      </c>
      <c r="P1041" s="241"/>
      <c r="Q1041" s="241"/>
      <c r="R1041" s="251"/>
      <c r="S1041" s="240" t="s">
        <v>390</v>
      </c>
      <c r="T1041" s="240" t="s">
        <v>390</v>
      </c>
      <c r="U1041" s="240" t="s">
        <v>390</v>
      </c>
      <c r="V1041" s="240" t="s">
        <v>390</v>
      </c>
      <c r="W1041" s="240" t="s">
        <v>390</v>
      </c>
      <c r="X1041" s="240" t="s">
        <v>390</v>
      </c>
      <c r="Y1041" s="240" t="s">
        <v>390</v>
      </c>
      <c r="Z1041" s="240" t="s">
        <v>390</v>
      </c>
      <c r="AA1041" s="240" t="s">
        <v>390</v>
      </c>
      <c r="AB1041" s="240"/>
      <c r="AC1041" s="242" t="b">
        <f t="shared" si="2"/>
        <v>0</v>
      </c>
      <c r="AD1041" s="240" t="s">
        <v>391</v>
      </c>
      <c r="AE1041" s="243" t="b">
        <f t="shared" si="3"/>
        <v>0</v>
      </c>
      <c r="AF1041" s="240"/>
      <c r="AG1041" s="243" t="b">
        <f t="shared" si="7"/>
        <v>0</v>
      </c>
      <c r="AH1041" s="240"/>
      <c r="AI1041" s="243" t="str">
        <f t="shared" si="5"/>
        <v>N/A</v>
      </c>
      <c r="AJ1041" s="157" t="str">
        <f t="shared" si="6"/>
        <v/>
      </c>
    </row>
    <row r="1042" ht="12.75" customHeight="1">
      <c r="A1042" s="244" t="s">
        <v>2412</v>
      </c>
      <c r="B1042" s="244" t="s">
        <v>2633</v>
      </c>
      <c r="C1042" s="244" t="s">
        <v>2926</v>
      </c>
      <c r="D1042" s="154" t="s">
        <v>528</v>
      </c>
      <c r="E1042" s="250"/>
      <c r="F1042" s="154" t="str">
        <f t="array" ref="F1042">XLOOKUP(Cover!$D$12,$S$1:$AA$1,$S1042:$AA1042)</f>
        <v>Mandatory</v>
      </c>
      <c r="G1042" s="154" t="s">
        <v>2927</v>
      </c>
      <c r="H1042" s="154" t="s">
        <v>2642</v>
      </c>
      <c r="I1042" s="154" t="s">
        <v>414</v>
      </c>
      <c r="J1042" s="154" t="s">
        <v>445</v>
      </c>
      <c r="K1042" s="247" t="s">
        <v>2928</v>
      </c>
      <c r="L1042" s="154" t="str">
        <f t="shared" si="1"/>
        <v/>
      </c>
      <c r="M1042" s="248" t="str">
        <f>IFERROR(__xludf.DUMMYFUNCTION("VLOOKUP(C1042,IMPORTRANGE(""https://docs.google.com/spreadsheets/d/1P8eX0NWBhUPS_hvzA11R6jkTNFrPrRYIx_dX_hYbxrk/edit?resourcekey=0-iw9bsKY2OqkUHCFMkCar3A&amp;gid=2055363397#gid=2055363397"",""MTR!C:O""),11,false)"),"TAM")</f>
        <v>TAM</v>
      </c>
      <c r="N1042" s="248" t="str">
        <f>IFERROR(__xludf.DUMMYFUNCTION("VLOOKUP(C1042,IMPORTRANGE(""https://docs.google.com/spreadsheets/d/1ihFlp3_ePlYtFuPbUNbYj1muErVpI73WHXbEwJDIA7Q/edit#gid=1493122344"",""MTR!C:O""),8,false)"),"Complies")</f>
        <v>Complies</v>
      </c>
      <c r="O1042" s="248" t="str">
        <f>IFERROR(__xludf.DUMMYFUNCTION("VLOOKUP(C1042,IMPORTRANGE(""https://docs.google.com/spreadsheets/d/1P8eX0NWBhUPS_hvzA11R6jkTNFrPrRYIx_dX_hYbxrk/edit?resourcekey=0-iw9bsKY2OqkUHCFMkCar3A&amp;gid=2055363397#gid=2055363397"",""MTR!C:O""),9,false)"),"Power On device to bootloader mode -&gt; Recovery Mode -&gt; Wipe data/factory reset")</f>
        <v>Power On device to bootloader mode -&gt; Recovery Mode -&gt; Wipe data/factory reset</v>
      </c>
      <c r="P1042" s="248"/>
      <c r="Q1042" s="249" t="s">
        <v>445</v>
      </c>
      <c r="R1042" s="249" t="s">
        <v>2928</v>
      </c>
      <c r="S1042" s="154" t="s">
        <v>60</v>
      </c>
      <c r="T1042" s="154" t="s">
        <v>60</v>
      </c>
      <c r="U1042" s="154" t="s">
        <v>60</v>
      </c>
      <c r="V1042" s="154" t="s">
        <v>60</v>
      </c>
      <c r="W1042" s="154" t="s">
        <v>60</v>
      </c>
      <c r="X1042" s="154" t="s">
        <v>60</v>
      </c>
      <c r="Y1042" s="154" t="s">
        <v>60</v>
      </c>
      <c r="Z1042" s="154" t="s">
        <v>60</v>
      </c>
      <c r="AA1042" s="154" t="s">
        <v>60</v>
      </c>
      <c r="AB1042" s="154"/>
      <c r="AC1042" s="242" t="b">
        <f t="shared" si="2"/>
        <v>1</v>
      </c>
      <c r="AD1042" s="154" t="s">
        <v>391</v>
      </c>
      <c r="AE1042" s="243" t="b">
        <f t="shared" si="3"/>
        <v>0</v>
      </c>
      <c r="AF1042" s="154"/>
      <c r="AG1042" s="243" t="b">
        <f t="shared" si="7"/>
        <v>0</v>
      </c>
      <c r="AH1042" s="154"/>
      <c r="AI1042" s="243" t="str">
        <f t="shared" si="5"/>
        <v>N/A</v>
      </c>
      <c r="AJ1042" s="157" t="str">
        <f t="shared" si="6"/>
        <v/>
      </c>
    </row>
    <row r="1043" ht="12.75" customHeight="1">
      <c r="A1043" s="244" t="s">
        <v>2412</v>
      </c>
      <c r="B1043" s="244" t="s">
        <v>2633</v>
      </c>
      <c r="C1043" s="244" t="s">
        <v>2929</v>
      </c>
      <c r="D1043" s="154" t="s">
        <v>528</v>
      </c>
      <c r="E1043" s="250"/>
      <c r="F1043" s="154" t="str">
        <f t="array" ref="F1043">XLOOKUP(Cover!$D$12,$S$1:$AA$1,$S1043:$AA1043)</f>
        <v>Mandatory</v>
      </c>
      <c r="G1043" s="154" t="s">
        <v>2930</v>
      </c>
      <c r="H1043" s="154" t="s">
        <v>2642</v>
      </c>
      <c r="I1043" s="154" t="s">
        <v>420</v>
      </c>
      <c r="J1043" s="247" t="s">
        <v>445</v>
      </c>
      <c r="K1043" s="247" t="s">
        <v>2931</v>
      </c>
      <c r="L1043" s="154" t="str">
        <f t="shared" si="1"/>
        <v/>
      </c>
      <c r="M1043" s="248" t="str">
        <f>IFERROR(__xludf.DUMMYFUNCTION("VLOOKUP(C1043,IMPORTRANGE(""https://docs.google.com/spreadsheets/d/1P8eX0NWBhUPS_hvzA11R6jkTNFrPrRYIx_dX_hYbxrk/edit?resourcekey=0-iw9bsKY2OqkUHCFMkCar3A&amp;gid=2055363397#gid=2055363397"",""MTR!C:O""),11,false)"),"TAM")</f>
        <v>TAM</v>
      </c>
      <c r="N1043" s="248" t="str">
        <f>IFERROR(__xludf.DUMMYFUNCTION("VLOOKUP(C1043,IMPORTRANGE(""https://docs.google.com/spreadsheets/d/1ihFlp3_ePlYtFuPbUNbYj1muErVpI73WHXbEwJDIA7Q/edit#gid=1493122344"",""MTR!C:O""),8,false)"),"Complies")</f>
        <v>Complies</v>
      </c>
      <c r="O1043" s="248" t="str">
        <f>IFERROR(__xludf.DUMMYFUNCTION("VLOOKUP(C1043,IMPORTRANGE(""https://docs.google.com/spreadsheets/d/1P8eX0NWBhUPS_hvzA11R6jkTNFrPrRYIx_dX_hYbxrk/edit?resourcekey=0-iw9bsKY2OqkUHCFMkCar3A&amp;gid=2055363397#gid=2055363397"",""MTR!C:O""),9,false)"),"Settings -&gt; Systems -&gt; Reset options -&gt; Erase all data (factory reset)")</f>
        <v>Settings -&gt; Systems -&gt; Reset options -&gt; Erase all data (factory reset)</v>
      </c>
      <c r="P1043" s="248"/>
      <c r="Q1043" s="249" t="s">
        <v>445</v>
      </c>
      <c r="R1043" s="249" t="s">
        <v>2931</v>
      </c>
      <c r="S1043" s="154" t="s">
        <v>60</v>
      </c>
      <c r="T1043" s="154" t="s">
        <v>60</v>
      </c>
      <c r="U1043" s="154" t="s">
        <v>60</v>
      </c>
      <c r="V1043" s="154" t="s">
        <v>60</v>
      </c>
      <c r="W1043" s="154" t="s">
        <v>60</v>
      </c>
      <c r="X1043" s="154" t="s">
        <v>60</v>
      </c>
      <c r="Y1043" s="154" t="s">
        <v>60</v>
      </c>
      <c r="Z1043" s="154" t="s">
        <v>60</v>
      </c>
      <c r="AA1043" s="154" t="s">
        <v>60</v>
      </c>
      <c r="AB1043" s="154"/>
      <c r="AC1043" s="242" t="b">
        <f t="shared" si="2"/>
        <v>1</v>
      </c>
      <c r="AD1043" s="154" t="s">
        <v>445</v>
      </c>
      <c r="AE1043" s="243" t="b">
        <f t="shared" si="3"/>
        <v>0</v>
      </c>
      <c r="AF1043" s="154"/>
      <c r="AG1043" s="243" t="b">
        <f t="shared" si="7"/>
        <v>0</v>
      </c>
      <c r="AH1043" s="154"/>
      <c r="AI1043" s="243" t="str">
        <f t="shared" si="5"/>
        <v>N/A</v>
      </c>
      <c r="AJ1043" s="157" t="str">
        <f t="shared" si="6"/>
        <v/>
      </c>
    </row>
    <row r="1044" ht="12.75" customHeight="1">
      <c r="A1044" s="244" t="s">
        <v>2412</v>
      </c>
      <c r="B1044" s="244" t="s">
        <v>2633</v>
      </c>
      <c r="C1044" s="244" t="s">
        <v>2932</v>
      </c>
      <c r="D1044" s="154" t="s">
        <v>2476</v>
      </c>
      <c r="E1044" s="250"/>
      <c r="F1044" s="154" t="str">
        <f t="array" ref="F1044">XLOOKUP(Cover!$D$12,$S$1:$AA$1,$S1044:$AA1044)</f>
        <v>Mandatory</v>
      </c>
      <c r="G1044" s="154" t="s">
        <v>2933</v>
      </c>
      <c r="H1044" s="154"/>
      <c r="I1044" s="154" t="s">
        <v>420</v>
      </c>
      <c r="J1044" s="247" t="s">
        <v>445</v>
      </c>
      <c r="K1044" s="247" t="s">
        <v>2934</v>
      </c>
      <c r="L1044" s="154" t="str">
        <f t="shared" si="1"/>
        <v/>
      </c>
      <c r="M1044" s="248" t="str">
        <f>IFERROR(__xludf.DUMMYFUNCTION("VLOOKUP(C1044,IMPORTRANGE(""https://docs.google.com/spreadsheets/d/1P8eX0NWBhUPS_hvzA11R6jkTNFrPrRYIx_dX_hYbxrk/edit?resourcekey=0-iw9bsKY2OqkUHCFMkCar3A&amp;gid=2055363397#gid=2055363397"",""MTR!C:O""),11,false)"),"TAM")</f>
        <v>TAM</v>
      </c>
      <c r="N1044" s="248" t="str">
        <f>IFERROR(__xludf.DUMMYFUNCTION("VLOOKUP(C1044,IMPORTRANGE(""https://docs.google.com/spreadsheets/d/1ihFlp3_ePlYtFuPbUNbYj1muErVpI73WHXbEwJDIA7Q/edit#gid=1493122344"",""MTR!C:O""),8,false)"),"Complies")</f>
        <v>Complies</v>
      </c>
      <c r="O1044" s="248" t="str">
        <f>IFERROR(__xludf.DUMMYFUNCTION("VLOOKUP(C1044,IMPORTRANGE(""https://docs.google.com/spreadsheets/d/1P8eX0NWBhUPS_hvzA11R6jkTNFrPrRYIx_dX_hYbxrk/edit?resourcekey=0-iw9bsKY2OqkUHCFMkCar3A&amp;gid=2055363397#gid=2055363397"",""MTR!C:O""),9,false)"),"Press and hold power for ten seconds for Soft Reset.")</f>
        <v>Press and hold power for ten seconds for Soft Reset.</v>
      </c>
      <c r="P1044" s="248"/>
      <c r="Q1044" s="249" t="s">
        <v>445</v>
      </c>
      <c r="R1044" s="249" t="s">
        <v>2934</v>
      </c>
      <c r="S1044" s="154" t="s">
        <v>60</v>
      </c>
      <c r="T1044" s="154" t="s">
        <v>60</v>
      </c>
      <c r="U1044" s="154" t="s">
        <v>60</v>
      </c>
      <c r="V1044" s="154" t="s">
        <v>60</v>
      </c>
      <c r="W1044" s="154" t="s">
        <v>60</v>
      </c>
      <c r="X1044" s="154" t="s">
        <v>60</v>
      </c>
      <c r="Y1044" s="154" t="s">
        <v>60</v>
      </c>
      <c r="Z1044" s="154" t="s">
        <v>60</v>
      </c>
      <c r="AA1044" s="154" t="s">
        <v>60</v>
      </c>
      <c r="AB1044" s="154"/>
      <c r="AC1044" s="242" t="b">
        <f t="shared" si="2"/>
        <v>1</v>
      </c>
      <c r="AD1044" s="154" t="s">
        <v>445</v>
      </c>
      <c r="AE1044" s="243" t="b">
        <f t="shared" si="3"/>
        <v>0</v>
      </c>
      <c r="AF1044" s="154"/>
      <c r="AG1044" s="243" t="b">
        <f t="shared" si="7"/>
        <v>0</v>
      </c>
      <c r="AH1044" s="154"/>
      <c r="AI1044" s="243" t="str">
        <f t="shared" si="5"/>
        <v>N/A</v>
      </c>
      <c r="AJ1044" s="157" t="str">
        <f t="shared" si="6"/>
        <v/>
      </c>
    </row>
    <row r="1045" ht="12.75" customHeight="1">
      <c r="A1045" s="238" t="s">
        <v>2412</v>
      </c>
      <c r="B1045" s="238" t="s">
        <v>2633</v>
      </c>
      <c r="C1045" s="238" t="s">
        <v>2935</v>
      </c>
      <c r="D1045" s="240"/>
      <c r="E1045" s="252" t="s">
        <v>92</v>
      </c>
      <c r="F1045" s="154" t="str">
        <f t="array" ref="F1045">XLOOKUP(Cover!$D$12,$S$1:$AA$1,$S1045:$AA1045)</f>
        <v>Heading</v>
      </c>
      <c r="G1045" s="239" t="s">
        <v>2936</v>
      </c>
      <c r="H1045" s="240"/>
      <c r="I1045" s="240" t="s">
        <v>414</v>
      </c>
      <c r="J1045" s="262"/>
      <c r="K1045" s="262"/>
      <c r="L1045" s="154" t="str">
        <f t="shared" si="1"/>
        <v/>
      </c>
      <c r="M1045" s="241" t="str">
        <f>IFERROR(__xludf.DUMMYFUNCTION("VLOOKUP(C1045,IMPORTRANGE(""https://docs.google.com/spreadsheets/d/1P8eX0NWBhUPS_hvzA11R6jkTNFrPrRYIx_dX_hYbxrk/edit?resourcekey=0-iw9bsKY2OqkUHCFMkCar3A&amp;gid=2055363397#gid=2055363397"",""MTR!C:O""),11,false)"),"")</f>
        <v/>
      </c>
      <c r="N1045" s="241" t="str">
        <f>IFERROR(__xludf.DUMMYFUNCTION("VLOOKUP(C1045,IMPORTRANGE(""https://docs.google.com/spreadsheets/d/1ihFlp3_ePlYtFuPbUNbYj1muErVpI73WHXbEwJDIA7Q/edit#gid=1493122344"",""MTR!C:O""),8,false)"),"")</f>
        <v/>
      </c>
      <c r="O1045" s="241" t="str">
        <f>IFERROR(__xludf.DUMMYFUNCTION("VLOOKUP(C1045,IMPORTRANGE(""https://docs.google.com/spreadsheets/d/1P8eX0NWBhUPS_hvzA11R6jkTNFrPrRYIx_dX_hYbxrk/edit?resourcekey=0-iw9bsKY2OqkUHCFMkCar3A&amp;gid=2055363397#gid=2055363397"",""MTR!C:O""),9,false)"),"")</f>
        <v/>
      </c>
      <c r="P1045" s="241"/>
      <c r="Q1045" s="251"/>
      <c r="R1045" s="251"/>
      <c r="S1045" s="240" t="s">
        <v>390</v>
      </c>
      <c r="T1045" s="240" t="s">
        <v>390</v>
      </c>
      <c r="U1045" s="240" t="s">
        <v>390</v>
      </c>
      <c r="V1045" s="240" t="s">
        <v>390</v>
      </c>
      <c r="W1045" s="240" t="s">
        <v>390</v>
      </c>
      <c r="X1045" s="240" t="s">
        <v>390</v>
      </c>
      <c r="Y1045" s="240" t="s">
        <v>390</v>
      </c>
      <c r="Z1045" s="240" t="s">
        <v>390</v>
      </c>
      <c r="AA1045" s="240" t="s">
        <v>390</v>
      </c>
      <c r="AB1045" s="240"/>
      <c r="AC1045" s="242" t="b">
        <f t="shared" si="2"/>
        <v>0</v>
      </c>
      <c r="AD1045" s="240" t="s">
        <v>391</v>
      </c>
      <c r="AE1045" s="243" t="b">
        <f t="shared" si="3"/>
        <v>0</v>
      </c>
      <c r="AF1045" s="240"/>
      <c r="AG1045" s="243" t="b">
        <f t="shared" si="7"/>
        <v>0</v>
      </c>
      <c r="AH1045" s="240"/>
      <c r="AI1045" s="243" t="str">
        <f t="shared" si="5"/>
        <v>N/A</v>
      </c>
      <c r="AJ1045" s="157" t="str">
        <f t="shared" si="6"/>
        <v/>
      </c>
    </row>
    <row r="1046" ht="12.75" customHeight="1">
      <c r="A1046" s="244" t="s">
        <v>2412</v>
      </c>
      <c r="B1046" s="244" t="s">
        <v>2633</v>
      </c>
      <c r="C1046" s="244" t="s">
        <v>2937</v>
      </c>
      <c r="D1046" s="154" t="s">
        <v>528</v>
      </c>
      <c r="E1046" s="250"/>
      <c r="F1046" s="154" t="str">
        <f t="array" ref="F1046">XLOOKUP(Cover!$D$12,$S$1:$AA$1,$S1046:$AA1046)</f>
        <v>Mandatory</v>
      </c>
      <c r="G1046" s="154" t="s">
        <v>2938</v>
      </c>
      <c r="H1046" s="154" t="s">
        <v>2642</v>
      </c>
      <c r="I1046" s="154" t="s">
        <v>414</v>
      </c>
      <c r="J1046" s="247" t="s">
        <v>445</v>
      </c>
      <c r="K1046" s="247" t="s">
        <v>2939</v>
      </c>
      <c r="L1046" s="154" t="str">
        <f t="shared" si="1"/>
        <v/>
      </c>
      <c r="M1046" s="248" t="str">
        <f>IFERROR(__xludf.DUMMYFUNCTION("VLOOKUP(C1046,IMPORTRANGE(""https://docs.google.com/spreadsheets/d/1P8eX0NWBhUPS_hvzA11R6jkTNFrPrRYIx_dX_hYbxrk/edit?resourcekey=0-iw9bsKY2OqkUHCFMkCar3A&amp;gid=2055363397#gid=2055363397"",""MTR!C:O""),11,false)"),"TAM")</f>
        <v>TAM</v>
      </c>
      <c r="N1046" s="248" t="str">
        <f>IFERROR(__xludf.DUMMYFUNCTION("VLOOKUP(C1046,IMPORTRANGE(""https://docs.google.com/spreadsheets/d/1ihFlp3_ePlYtFuPbUNbYj1muErVpI73WHXbEwJDIA7Q/edit#gid=1493122344"",""MTR!C:O""),8,false)"),"Complies")</f>
        <v>Complies</v>
      </c>
      <c r="O1046" s="248" t="str">
        <f>IFERROR(__xludf.DUMMYFUNCTION("VLOOKUP(C1046,IMPORTRANGE(""https://docs.google.com/spreadsheets/d/1P8eX0NWBhUPS_hvzA11R6jkTNFrPrRYIx_dX_hYbxrk/edit?resourcekey=0-iw9bsKY2OqkUHCFMkCar3A&amp;gid=2055363397#gid=2055363397"",""MTR!C:O""),9,false)"),"Settings -&gt; About phone -&gt; IMEI")</f>
        <v>Settings -&gt; About phone -&gt; IMEI</v>
      </c>
      <c r="P1046" s="248"/>
      <c r="Q1046" s="249" t="s">
        <v>445</v>
      </c>
      <c r="R1046" s="249" t="s">
        <v>2939</v>
      </c>
      <c r="S1046" s="154" t="s">
        <v>60</v>
      </c>
      <c r="T1046" s="154" t="s">
        <v>60</v>
      </c>
      <c r="U1046" s="154" t="s">
        <v>60</v>
      </c>
      <c r="V1046" s="154" t="s">
        <v>60</v>
      </c>
      <c r="W1046" s="154" t="s">
        <v>60</v>
      </c>
      <c r="X1046" s="154" t="s">
        <v>60</v>
      </c>
      <c r="Y1046" s="154" t="s">
        <v>60</v>
      </c>
      <c r="Z1046" s="154" t="s">
        <v>60</v>
      </c>
      <c r="AA1046" s="154" t="s">
        <v>60</v>
      </c>
      <c r="AB1046" s="154"/>
      <c r="AC1046" s="242" t="b">
        <f t="shared" si="2"/>
        <v>1</v>
      </c>
      <c r="AD1046" s="154" t="s">
        <v>445</v>
      </c>
      <c r="AE1046" s="243" t="b">
        <f t="shared" si="3"/>
        <v>0</v>
      </c>
      <c r="AF1046" s="154"/>
      <c r="AG1046" s="243" t="b">
        <f t="shared" si="7"/>
        <v>0</v>
      </c>
      <c r="AH1046" s="154"/>
      <c r="AI1046" s="243" t="str">
        <f t="shared" si="5"/>
        <v>N/A</v>
      </c>
      <c r="AJ1046" s="157" t="str">
        <f t="shared" si="6"/>
        <v/>
      </c>
    </row>
    <row r="1047" ht="12.75" customHeight="1">
      <c r="A1047" s="244" t="s">
        <v>2412</v>
      </c>
      <c r="B1047" s="244" t="s">
        <v>2633</v>
      </c>
      <c r="C1047" s="244" t="s">
        <v>2940</v>
      </c>
      <c r="D1047" s="154" t="s">
        <v>528</v>
      </c>
      <c r="E1047" s="250"/>
      <c r="F1047" s="154" t="str">
        <f t="array" ref="F1047">XLOOKUP(Cover!$D$12,$S$1:$AA$1,$S1047:$AA1047)</f>
        <v>Mandatory</v>
      </c>
      <c r="G1047" s="154" t="s">
        <v>2941</v>
      </c>
      <c r="H1047" s="154" t="s">
        <v>2642</v>
      </c>
      <c r="I1047" s="154" t="s">
        <v>414</v>
      </c>
      <c r="J1047" s="247" t="s">
        <v>445</v>
      </c>
      <c r="K1047" s="247" t="s">
        <v>2942</v>
      </c>
      <c r="L1047" s="154" t="str">
        <f t="shared" si="1"/>
        <v/>
      </c>
      <c r="M1047" s="248" t="str">
        <f>IFERROR(__xludf.DUMMYFUNCTION("VLOOKUP(C1047,IMPORTRANGE(""https://docs.google.com/spreadsheets/d/1P8eX0NWBhUPS_hvzA11R6jkTNFrPrRYIx_dX_hYbxrk/edit?resourcekey=0-iw9bsKY2OqkUHCFMkCar3A&amp;gid=2055363397#gid=2055363397"",""MTR!C:O""),11,false)"),"TAM")</f>
        <v>TAM</v>
      </c>
      <c r="N1047" s="248" t="str">
        <f>IFERROR(__xludf.DUMMYFUNCTION("VLOOKUP(C1047,IMPORTRANGE(""https://docs.google.com/spreadsheets/d/1ihFlp3_ePlYtFuPbUNbYj1muErVpI73WHXbEwJDIA7Q/edit#gid=1493122344"",""MTR!C:O""),8,false)"),"Complies")</f>
        <v>Complies</v>
      </c>
      <c r="O1047" s="248" t="str">
        <f>IFERROR(__xludf.DUMMYFUNCTION("VLOOKUP(C1047,IMPORTRANGE(""https://docs.google.com/spreadsheets/d/1P8eX0NWBhUPS_hvzA11R6jkTNFrPrRYIx_dX_hYbxrk/edit?resourcekey=0-iw9bsKY2OqkUHCFMkCar3A&amp;gid=2055363397#gid=2055363397"",""MTR!C:O""),9,false)"),"Settings -&gt; About phone -&gt; build number")</f>
        <v>Settings -&gt; About phone -&gt; build number</v>
      </c>
      <c r="P1047" s="248"/>
      <c r="Q1047" s="249" t="s">
        <v>445</v>
      </c>
      <c r="R1047" s="249" t="s">
        <v>2942</v>
      </c>
      <c r="S1047" s="154" t="s">
        <v>60</v>
      </c>
      <c r="T1047" s="154" t="s">
        <v>60</v>
      </c>
      <c r="U1047" s="154" t="s">
        <v>60</v>
      </c>
      <c r="V1047" s="154" t="s">
        <v>60</v>
      </c>
      <c r="W1047" s="154" t="s">
        <v>60</v>
      </c>
      <c r="X1047" s="154" t="s">
        <v>60</v>
      </c>
      <c r="Y1047" s="154" t="s">
        <v>60</v>
      </c>
      <c r="Z1047" s="154" t="s">
        <v>60</v>
      </c>
      <c r="AA1047" s="154" t="s">
        <v>60</v>
      </c>
      <c r="AB1047" s="154"/>
      <c r="AC1047" s="242" t="b">
        <f t="shared" si="2"/>
        <v>1</v>
      </c>
      <c r="AD1047" s="154" t="s">
        <v>445</v>
      </c>
      <c r="AE1047" s="243" t="b">
        <f t="shared" si="3"/>
        <v>0</v>
      </c>
      <c r="AF1047" s="154"/>
      <c r="AG1047" s="243" t="b">
        <f t="shared" si="7"/>
        <v>0</v>
      </c>
      <c r="AH1047" s="154"/>
      <c r="AI1047" s="243" t="str">
        <f t="shared" si="5"/>
        <v>N/A</v>
      </c>
      <c r="AJ1047" s="157" t="str">
        <f t="shared" si="6"/>
        <v/>
      </c>
    </row>
    <row r="1048" ht="12.75" customHeight="1">
      <c r="A1048" s="244" t="s">
        <v>2412</v>
      </c>
      <c r="B1048" s="244" t="s">
        <v>2633</v>
      </c>
      <c r="C1048" s="244" t="s">
        <v>2943</v>
      </c>
      <c r="D1048" s="154" t="s">
        <v>528</v>
      </c>
      <c r="E1048" s="250"/>
      <c r="F1048" s="154" t="str">
        <f t="array" ref="F1048">XLOOKUP(Cover!$D$12,$S$1:$AA$1,$S1048:$AA1048)</f>
        <v>Mandatory</v>
      </c>
      <c r="G1048" s="154" t="s">
        <v>2944</v>
      </c>
      <c r="H1048" s="154" t="s">
        <v>2642</v>
      </c>
      <c r="I1048" s="154" t="s">
        <v>414</v>
      </c>
      <c r="J1048" s="247" t="s">
        <v>617</v>
      </c>
      <c r="K1048" s="247"/>
      <c r="L1048" s="154" t="str">
        <f t="shared" si="1"/>
        <v/>
      </c>
      <c r="M1048" s="248" t="str">
        <f>IFERROR(__xludf.DUMMYFUNCTION("VLOOKUP(C1048,IMPORTRANGE(""https://docs.google.com/spreadsheets/d/1P8eX0NWBhUPS_hvzA11R6jkTNFrPrRYIx_dX_hYbxrk/edit?resourcekey=0-iw9bsKY2OqkUHCFMkCar3A&amp;gid=2055363397#gid=2055363397"",""MTR!C:O""),11,false)"),"TAM")</f>
        <v>TAM</v>
      </c>
      <c r="N1048" s="248" t="str">
        <f>IFERROR(__xludf.DUMMYFUNCTION("VLOOKUP(C1048,IMPORTRANGE(""https://docs.google.com/spreadsheets/d/1ihFlp3_ePlYtFuPbUNbYj1muErVpI73WHXbEwJDIA7Q/edit#gid=1493122344"",""MTR!C:O""),8,false)"),"Not Applicable")</f>
        <v>Not Applicable</v>
      </c>
      <c r="O1048" s="241" t="str">
        <f>IFERROR(__xludf.DUMMYFUNCTION("VLOOKUP(C1048,IMPORTRANGE(""https://docs.google.com/spreadsheets/d/1P8eX0NWBhUPS_hvzA11R6jkTNFrPrRYIx_dX_hYbxrk/edit?resourcekey=0-iw9bsKY2OqkUHCFMkCar3A&amp;gid=2055363397#gid=2055363397"",""MTR!C:O""),9,false)"),"")</f>
        <v/>
      </c>
      <c r="P1048" s="241"/>
      <c r="Q1048" s="251" t="s">
        <v>617</v>
      </c>
      <c r="R1048" s="251"/>
      <c r="S1048" s="154" t="s">
        <v>60</v>
      </c>
      <c r="T1048" s="154" t="s">
        <v>60</v>
      </c>
      <c r="U1048" s="154" t="s">
        <v>60</v>
      </c>
      <c r="V1048" s="154" t="s">
        <v>60</v>
      </c>
      <c r="W1048" s="154" t="s">
        <v>60</v>
      </c>
      <c r="X1048" s="154" t="s">
        <v>60</v>
      </c>
      <c r="Y1048" s="154" t="s">
        <v>60</v>
      </c>
      <c r="Z1048" s="154" t="s">
        <v>60</v>
      </c>
      <c r="AA1048" s="154" t="s">
        <v>60</v>
      </c>
      <c r="AB1048" s="154"/>
      <c r="AC1048" s="242" t="b">
        <f t="shared" si="2"/>
        <v>1</v>
      </c>
      <c r="AD1048" s="154" t="s">
        <v>445</v>
      </c>
      <c r="AE1048" s="243" t="b">
        <f t="shared" si="3"/>
        <v>0</v>
      </c>
      <c r="AF1048" s="154"/>
      <c r="AG1048" s="243" t="b">
        <f t="shared" si="7"/>
        <v>0</v>
      </c>
      <c r="AH1048" s="154"/>
      <c r="AI1048" s="243" t="str">
        <f t="shared" si="5"/>
        <v>N/A</v>
      </c>
      <c r="AJ1048" s="157" t="str">
        <f t="shared" si="6"/>
        <v/>
      </c>
    </row>
    <row r="1049" ht="12.75" customHeight="1">
      <c r="A1049" s="244" t="s">
        <v>2412</v>
      </c>
      <c r="B1049" s="244" t="s">
        <v>2633</v>
      </c>
      <c r="C1049" s="244" t="s">
        <v>2945</v>
      </c>
      <c r="D1049" s="154" t="s">
        <v>528</v>
      </c>
      <c r="E1049" s="250"/>
      <c r="F1049" s="154" t="str">
        <f t="array" ref="F1049">XLOOKUP(Cover!$D$12,$S$1:$AA$1,$S1049:$AA1049)</f>
        <v>Mandatory</v>
      </c>
      <c r="G1049" s="154" t="s">
        <v>2946</v>
      </c>
      <c r="H1049" s="154" t="s">
        <v>2642</v>
      </c>
      <c r="I1049" s="154" t="s">
        <v>414</v>
      </c>
      <c r="J1049" s="247" t="s">
        <v>445</v>
      </c>
      <c r="K1049" s="247" t="s">
        <v>2947</v>
      </c>
      <c r="L1049" s="154" t="str">
        <f t="shared" si="1"/>
        <v/>
      </c>
      <c r="M1049" s="248" t="str">
        <f>IFERROR(__xludf.DUMMYFUNCTION("VLOOKUP(C1049,IMPORTRANGE(""https://docs.google.com/spreadsheets/d/1P8eX0NWBhUPS_hvzA11R6jkTNFrPrRYIx_dX_hYbxrk/edit?resourcekey=0-iw9bsKY2OqkUHCFMkCar3A&amp;gid=2055363397#gid=2055363397"",""MTR!C:O""),11,false)"),"TAM")</f>
        <v>TAM</v>
      </c>
      <c r="N1049" s="248" t="str">
        <f>IFERROR(__xludf.DUMMYFUNCTION("VLOOKUP(C1049,IMPORTRANGE(""https://docs.google.com/spreadsheets/d/1ihFlp3_ePlYtFuPbUNbYj1muErVpI73WHXbEwJDIA7Q/edit#gid=1493122344"",""MTR!C:O""),8,false)"),"Complies")</f>
        <v>Complies</v>
      </c>
      <c r="O1049" s="248" t="str">
        <f>IFERROR(__xludf.DUMMYFUNCTION("VLOOKUP(C1049,IMPORTRANGE(""https://docs.google.com/spreadsheets/d/1P8eX0NWBhUPS_hvzA11R6jkTNFrPrRYIx_dX_hYbxrk/edit?resourcekey=0-iw9bsKY2OqkUHCFMkCar3A&amp;gid=2055363397#gid=2055363397"",""MTR!C:O""),9,false)"),"Settings -&gt; About phone -&gt; Model")</f>
        <v>Settings -&gt; About phone -&gt; Model</v>
      </c>
      <c r="P1049" s="248"/>
      <c r="Q1049" s="249" t="s">
        <v>445</v>
      </c>
      <c r="R1049" s="249" t="s">
        <v>2947</v>
      </c>
      <c r="S1049" s="154" t="s">
        <v>60</v>
      </c>
      <c r="T1049" s="154" t="s">
        <v>60</v>
      </c>
      <c r="U1049" s="154" t="s">
        <v>60</v>
      </c>
      <c r="V1049" s="154" t="s">
        <v>60</v>
      </c>
      <c r="W1049" s="154" t="s">
        <v>60</v>
      </c>
      <c r="X1049" s="154" t="s">
        <v>60</v>
      </c>
      <c r="Y1049" s="154" t="s">
        <v>60</v>
      </c>
      <c r="Z1049" s="154" t="s">
        <v>60</v>
      </c>
      <c r="AA1049" s="154" t="s">
        <v>60</v>
      </c>
      <c r="AB1049" s="154"/>
      <c r="AC1049" s="242" t="b">
        <f t="shared" si="2"/>
        <v>1</v>
      </c>
      <c r="AD1049" s="154" t="s">
        <v>445</v>
      </c>
      <c r="AE1049" s="243" t="b">
        <f t="shared" si="3"/>
        <v>0</v>
      </c>
      <c r="AF1049" s="154"/>
      <c r="AG1049" s="243" t="b">
        <f t="shared" si="7"/>
        <v>0</v>
      </c>
      <c r="AH1049" s="154"/>
      <c r="AI1049" s="243" t="str">
        <f t="shared" si="5"/>
        <v>N/A</v>
      </c>
      <c r="AJ1049" s="157" t="str">
        <f t="shared" si="6"/>
        <v/>
      </c>
    </row>
    <row r="1050" ht="12.75" customHeight="1">
      <c r="A1050" s="244" t="s">
        <v>2412</v>
      </c>
      <c r="B1050" s="244" t="s">
        <v>2633</v>
      </c>
      <c r="C1050" s="244" t="s">
        <v>2948</v>
      </c>
      <c r="D1050" s="154" t="s">
        <v>2746</v>
      </c>
      <c r="E1050" s="250"/>
      <c r="F1050" s="154" t="str">
        <f t="array" ref="F1050">XLOOKUP(Cover!$D$12,$S$1:$AA$1,$S1050:$AA1050)</f>
        <v>Mandatory</v>
      </c>
      <c r="G1050" s="154" t="s">
        <v>2949</v>
      </c>
      <c r="H1050" s="154"/>
      <c r="I1050" s="154" t="s">
        <v>420</v>
      </c>
      <c r="J1050" s="247" t="s">
        <v>445</v>
      </c>
      <c r="K1050" s="247"/>
      <c r="L1050" s="154" t="str">
        <f t="shared" si="1"/>
        <v/>
      </c>
      <c r="M1050" s="248" t="str">
        <f>IFERROR(__xludf.DUMMYFUNCTION("VLOOKUP(C1050,IMPORTRANGE(""https://docs.google.com/spreadsheets/d/1P8eX0NWBhUPS_hvzA11R6jkTNFrPrRYIx_dX_hYbxrk/edit?resourcekey=0-iw9bsKY2OqkUHCFMkCar3A&amp;gid=2055363397#gid=2055363397"",""MTR!C:O""),11,false)"),"TAM")</f>
        <v>TAM</v>
      </c>
      <c r="N1050" s="248" t="str">
        <f>IFERROR(__xludf.DUMMYFUNCTION("VLOOKUP(C1050,IMPORTRANGE(""https://docs.google.com/spreadsheets/d/1ihFlp3_ePlYtFuPbUNbYj1muErVpI73WHXbEwJDIA7Q/edit#gid=1493122344"",""MTR!C:O""),8,false)"),"Complies")</f>
        <v>Complies</v>
      </c>
      <c r="O1050" s="241" t="str">
        <f>IFERROR(__xludf.DUMMYFUNCTION("VLOOKUP(C1050,IMPORTRANGE(""https://docs.google.com/spreadsheets/d/1P8eX0NWBhUPS_hvzA11R6jkTNFrPrRYIx_dX_hYbxrk/edit?resourcekey=0-iw9bsKY2OqkUHCFMkCar3A&amp;gid=2055363397#gid=2055363397"",""MTR!C:O""),9,false)"),"")</f>
        <v/>
      </c>
      <c r="P1050" s="241"/>
      <c r="Q1050" s="251" t="s">
        <v>445</v>
      </c>
      <c r="R1050" s="251"/>
      <c r="S1050" s="154" t="s">
        <v>64</v>
      </c>
      <c r="T1050" s="154" t="s">
        <v>60</v>
      </c>
      <c r="U1050" s="154" t="s">
        <v>60</v>
      </c>
      <c r="V1050" s="154" t="s">
        <v>60</v>
      </c>
      <c r="W1050" s="154" t="s">
        <v>60</v>
      </c>
      <c r="X1050" s="154" t="s">
        <v>60</v>
      </c>
      <c r="Y1050" s="154" t="s">
        <v>60</v>
      </c>
      <c r="Z1050" s="154" t="s">
        <v>60</v>
      </c>
      <c r="AA1050" s="154" t="s">
        <v>60</v>
      </c>
      <c r="AB1050" s="154"/>
      <c r="AC1050" s="242" t="b">
        <f t="shared" si="2"/>
        <v>1</v>
      </c>
      <c r="AD1050" s="154" t="s">
        <v>391</v>
      </c>
      <c r="AE1050" s="243" t="b">
        <f t="shared" si="3"/>
        <v>0</v>
      </c>
      <c r="AF1050" s="154"/>
      <c r="AG1050" s="243" t="b">
        <f t="shared" si="7"/>
        <v>0</v>
      </c>
      <c r="AH1050" s="154"/>
      <c r="AI1050" s="243" t="str">
        <f t="shared" si="5"/>
        <v>N/A</v>
      </c>
      <c r="AJ1050" s="157" t="str">
        <f t="shared" si="6"/>
        <v/>
      </c>
    </row>
    <row r="1051" ht="12.75" customHeight="1">
      <c r="A1051" s="244" t="s">
        <v>2412</v>
      </c>
      <c r="B1051" s="244" t="s">
        <v>2633</v>
      </c>
      <c r="C1051" s="244" t="s">
        <v>2950</v>
      </c>
      <c r="D1051" s="154" t="s">
        <v>2746</v>
      </c>
      <c r="E1051" s="250"/>
      <c r="F1051" s="154" t="str">
        <f t="array" ref="F1051">XLOOKUP(Cover!$D$12,$S$1:$AA$1,$S1051:$AA1051)</f>
        <v>Mandatory</v>
      </c>
      <c r="G1051" s="154" t="s">
        <v>2951</v>
      </c>
      <c r="H1051" s="154" t="s">
        <v>2642</v>
      </c>
      <c r="I1051" s="154" t="s">
        <v>420</v>
      </c>
      <c r="J1051" s="247" t="s">
        <v>445</v>
      </c>
      <c r="K1051" s="154"/>
      <c r="L1051" s="154" t="str">
        <f t="shared" si="1"/>
        <v/>
      </c>
      <c r="M1051" s="248" t="str">
        <f>IFERROR(__xludf.DUMMYFUNCTION("VLOOKUP(C1051,IMPORTRANGE(""https://docs.google.com/spreadsheets/d/1P8eX0NWBhUPS_hvzA11R6jkTNFrPrRYIx_dX_hYbxrk/edit?resourcekey=0-iw9bsKY2OqkUHCFMkCar3A&amp;gid=2055363397#gid=2055363397"",""MTR!C:O""),11,false)"),"TAM")</f>
        <v>TAM</v>
      </c>
      <c r="N1051" s="248" t="str">
        <f>IFERROR(__xludf.DUMMYFUNCTION("VLOOKUP(C1051,IMPORTRANGE(""https://docs.google.com/spreadsheets/d/1ihFlp3_ePlYtFuPbUNbYj1muErVpI73WHXbEwJDIA7Q/edit#gid=1493122344"",""MTR!C:O""),8,false)"),"Complies")</f>
        <v>Complies</v>
      </c>
      <c r="O1051" s="241" t="str">
        <f>IFERROR(__xludf.DUMMYFUNCTION("VLOOKUP(C1051,IMPORTRANGE(""https://docs.google.com/spreadsheets/d/1P8eX0NWBhUPS_hvzA11R6jkTNFrPrRYIx_dX_hYbxrk/edit?resourcekey=0-iw9bsKY2OqkUHCFMkCar3A&amp;gid=2055363397#gid=2055363397"",""MTR!C:O""),9,false)"),"")</f>
        <v/>
      </c>
      <c r="P1051" s="241"/>
      <c r="Q1051" s="251" t="s">
        <v>445</v>
      </c>
      <c r="R1051" s="241"/>
      <c r="S1051" s="154" t="s">
        <v>60</v>
      </c>
      <c r="T1051" s="154" t="s">
        <v>60</v>
      </c>
      <c r="U1051" s="154" t="s">
        <v>60</v>
      </c>
      <c r="V1051" s="154" t="s">
        <v>60</v>
      </c>
      <c r="W1051" s="154" t="s">
        <v>60</v>
      </c>
      <c r="X1051" s="154" t="s">
        <v>60</v>
      </c>
      <c r="Y1051" s="154" t="s">
        <v>60</v>
      </c>
      <c r="Z1051" s="154" t="s">
        <v>60</v>
      </c>
      <c r="AA1051" s="154" t="s">
        <v>60</v>
      </c>
      <c r="AB1051" s="154"/>
      <c r="AC1051" s="242" t="b">
        <f t="shared" si="2"/>
        <v>1</v>
      </c>
      <c r="AD1051" s="154" t="s">
        <v>391</v>
      </c>
      <c r="AE1051" s="243" t="b">
        <f t="shared" si="3"/>
        <v>0</v>
      </c>
      <c r="AF1051" s="154"/>
      <c r="AG1051" s="243" t="b">
        <f t="shared" si="7"/>
        <v>0</v>
      </c>
      <c r="AH1051" s="154"/>
      <c r="AI1051" s="243" t="str">
        <f t="shared" si="5"/>
        <v>N/A</v>
      </c>
      <c r="AJ1051" s="157" t="str">
        <f t="shared" si="6"/>
        <v/>
      </c>
    </row>
    <row r="1052" ht="12.75" customHeight="1">
      <c r="A1052" s="238" t="s">
        <v>2412</v>
      </c>
      <c r="B1052" s="238" t="s">
        <v>2633</v>
      </c>
      <c r="C1052" s="238" t="s">
        <v>2952</v>
      </c>
      <c r="D1052" s="240"/>
      <c r="E1052" s="252" t="s">
        <v>92</v>
      </c>
      <c r="F1052" s="154" t="str">
        <f t="array" ref="F1052">XLOOKUP(Cover!$D$12,$S$1:$AA$1,$S1052:$AA1052)</f>
        <v>Heading</v>
      </c>
      <c r="G1052" s="239" t="s">
        <v>2953</v>
      </c>
      <c r="H1052" s="240"/>
      <c r="I1052" s="240" t="s">
        <v>420</v>
      </c>
      <c r="J1052" s="262"/>
      <c r="K1052" s="240"/>
      <c r="L1052" s="154" t="str">
        <f t="shared" si="1"/>
        <v/>
      </c>
      <c r="M1052" s="241" t="str">
        <f>IFERROR(__xludf.DUMMYFUNCTION("VLOOKUP(C1052,IMPORTRANGE(""https://docs.google.com/spreadsheets/d/1P8eX0NWBhUPS_hvzA11R6jkTNFrPrRYIx_dX_hYbxrk/edit?resourcekey=0-iw9bsKY2OqkUHCFMkCar3A&amp;gid=2055363397#gid=2055363397"",""MTR!C:O""),11,false)"),"")</f>
        <v/>
      </c>
      <c r="N1052" s="241" t="str">
        <f>IFERROR(__xludf.DUMMYFUNCTION("VLOOKUP(C1052,IMPORTRANGE(""https://docs.google.com/spreadsheets/d/1ihFlp3_ePlYtFuPbUNbYj1muErVpI73WHXbEwJDIA7Q/edit#gid=1493122344"",""MTR!C:O""),8,false)"),"")</f>
        <v/>
      </c>
      <c r="O1052" s="241" t="str">
        <f>IFERROR(__xludf.DUMMYFUNCTION("VLOOKUP(C1052,IMPORTRANGE(""https://docs.google.com/spreadsheets/d/1P8eX0NWBhUPS_hvzA11R6jkTNFrPrRYIx_dX_hYbxrk/edit?resourcekey=0-iw9bsKY2OqkUHCFMkCar3A&amp;gid=2055363397#gid=2055363397"",""MTR!C:O""),9,false)"),"")</f>
        <v/>
      </c>
      <c r="P1052" s="241"/>
      <c r="Q1052" s="251"/>
      <c r="R1052" s="241"/>
      <c r="S1052" s="240" t="s">
        <v>390</v>
      </c>
      <c r="T1052" s="240" t="s">
        <v>390</v>
      </c>
      <c r="U1052" s="240" t="s">
        <v>390</v>
      </c>
      <c r="V1052" s="240" t="s">
        <v>390</v>
      </c>
      <c r="W1052" s="240" t="s">
        <v>390</v>
      </c>
      <c r="X1052" s="240" t="s">
        <v>390</v>
      </c>
      <c r="Y1052" s="240" t="s">
        <v>390</v>
      </c>
      <c r="Z1052" s="240" t="s">
        <v>390</v>
      </c>
      <c r="AA1052" s="240" t="s">
        <v>390</v>
      </c>
      <c r="AB1052" s="240"/>
      <c r="AC1052" s="242" t="b">
        <f t="shared" si="2"/>
        <v>0</v>
      </c>
      <c r="AD1052" s="240" t="s">
        <v>391</v>
      </c>
      <c r="AE1052" s="243" t="b">
        <f t="shared" si="3"/>
        <v>0</v>
      </c>
      <c r="AF1052" s="240"/>
      <c r="AG1052" s="243" t="b">
        <f t="shared" si="7"/>
        <v>0</v>
      </c>
      <c r="AH1052" s="240"/>
      <c r="AI1052" s="243" t="str">
        <f t="shared" si="5"/>
        <v>N/A</v>
      </c>
      <c r="AJ1052" s="157" t="str">
        <f t="shared" si="6"/>
        <v/>
      </c>
    </row>
    <row r="1053" ht="12.75" customHeight="1">
      <c r="A1053" s="244" t="s">
        <v>2412</v>
      </c>
      <c r="B1053" s="244" t="s">
        <v>2633</v>
      </c>
      <c r="C1053" s="244" t="s">
        <v>2954</v>
      </c>
      <c r="D1053" s="154" t="s">
        <v>2746</v>
      </c>
      <c r="E1053" s="250"/>
      <c r="F1053" s="154" t="str">
        <f t="array" ref="F1053">XLOOKUP(Cover!$D$12,$S$1:$AA$1,$S1053:$AA1053)</f>
        <v>Comments Vendor</v>
      </c>
      <c r="G1053" s="154" t="s">
        <v>2955</v>
      </c>
      <c r="H1053" s="154" t="s">
        <v>2642</v>
      </c>
      <c r="I1053" s="154" t="s">
        <v>420</v>
      </c>
      <c r="J1053" s="247" t="s">
        <v>445</v>
      </c>
      <c r="K1053" s="247" t="s">
        <v>2956</v>
      </c>
      <c r="L1053" s="154" t="str">
        <f t="shared" si="1"/>
        <v/>
      </c>
      <c r="M1053" s="248" t="str">
        <f>IFERROR(__xludf.DUMMYFUNCTION("VLOOKUP(C1053,IMPORTRANGE(""https://docs.google.com/spreadsheets/d/1P8eX0NWBhUPS_hvzA11R6jkTNFrPrRYIx_dX_hYbxrk/edit?resourcekey=0-iw9bsKY2OqkUHCFMkCar3A&amp;gid=2055363397#gid=2055363397"",""MTR!C:O""),11,false)"),"TAM")</f>
        <v>TAM</v>
      </c>
      <c r="N1053" s="248" t="str">
        <f>IFERROR(__xludf.DUMMYFUNCTION("VLOOKUP(C1053,IMPORTRANGE(""https://docs.google.com/spreadsheets/d/1ihFlp3_ePlYtFuPbUNbYj1muErVpI73WHXbEwJDIA7Q/edit#gid=1493122344"",""MTR!C:O""),8,false)"),"Complies")</f>
        <v>Complies</v>
      </c>
      <c r="O1053" s="248" t="str">
        <f>IFERROR(__xludf.DUMMYFUNCTION("VLOOKUP(C1053,IMPORTRANGE(""https://docs.google.com/spreadsheets/d/1P8eX0NWBhUPS_hvzA11R6jkTNFrPrRYIx_dX_hYbxrk/edit?resourcekey=0-iw9bsKY2OqkUHCFMkCar3A&amp;gid=2055363397#gid=2055363397"",""MTR!C:O""),9,false)"),"Stereo")</f>
        <v>Stereo</v>
      </c>
      <c r="P1053" s="248"/>
      <c r="Q1053" s="249" t="s">
        <v>445</v>
      </c>
      <c r="R1053" s="249" t="s">
        <v>2956</v>
      </c>
      <c r="S1053" s="154" t="s">
        <v>62</v>
      </c>
      <c r="T1053" s="154" t="s">
        <v>62</v>
      </c>
      <c r="U1053" s="154" t="s">
        <v>62</v>
      </c>
      <c r="V1053" s="154" t="s">
        <v>62</v>
      </c>
      <c r="W1053" s="154" t="s">
        <v>62</v>
      </c>
      <c r="X1053" s="154" t="s">
        <v>62</v>
      </c>
      <c r="Y1053" s="154" t="s">
        <v>62</v>
      </c>
      <c r="Z1053" s="154" t="s">
        <v>62</v>
      </c>
      <c r="AA1053" s="154" t="s">
        <v>62</v>
      </c>
      <c r="AB1053" s="154"/>
      <c r="AC1053" s="242" t="b">
        <f t="shared" si="2"/>
        <v>1</v>
      </c>
      <c r="AD1053" s="154" t="s">
        <v>445</v>
      </c>
      <c r="AE1053" s="243" t="b">
        <f t="shared" si="3"/>
        <v>1</v>
      </c>
      <c r="AF1053" s="154"/>
      <c r="AG1053" s="243" t="b">
        <f t="shared" si="7"/>
        <v>0</v>
      </c>
      <c r="AH1053" s="154"/>
      <c r="AI1053" s="243" t="str">
        <f t="shared" si="5"/>
        <v>N/A</v>
      </c>
      <c r="AJ1053" s="157" t="str">
        <f t="shared" si="6"/>
        <v/>
      </c>
    </row>
    <row r="1054" ht="12.75" customHeight="1">
      <c r="A1054" s="244" t="s">
        <v>2412</v>
      </c>
      <c r="B1054" s="244" t="s">
        <v>2633</v>
      </c>
      <c r="C1054" s="244" t="s">
        <v>2957</v>
      </c>
      <c r="D1054" s="154" t="s">
        <v>2746</v>
      </c>
      <c r="E1054" s="250"/>
      <c r="F1054" s="154" t="str">
        <f t="array" ref="F1054">XLOOKUP(Cover!$D$12,$S$1:$AA$1,$S1054:$AA1054)</f>
        <v>Information</v>
      </c>
      <c r="G1054" s="154" t="s">
        <v>2958</v>
      </c>
      <c r="H1054" s="154"/>
      <c r="I1054" s="154" t="s">
        <v>420</v>
      </c>
      <c r="J1054" s="247" t="s">
        <v>445</v>
      </c>
      <c r="K1054" s="247"/>
      <c r="L1054" s="154" t="str">
        <f t="shared" si="1"/>
        <v/>
      </c>
      <c r="M1054" s="248" t="str">
        <f>IFERROR(__xludf.DUMMYFUNCTION("VLOOKUP(C1054,IMPORTRANGE(""https://docs.google.com/spreadsheets/d/1P8eX0NWBhUPS_hvzA11R6jkTNFrPrRYIx_dX_hYbxrk/edit?resourcekey=0-iw9bsKY2OqkUHCFMkCar3A&amp;gid=2055363397#gid=2055363397"",""MTR!C:O""),11,false)"),"TAM")</f>
        <v>TAM</v>
      </c>
      <c r="N1054" s="248" t="str">
        <f>IFERROR(__xludf.DUMMYFUNCTION("VLOOKUP(C1054,IMPORTRANGE(""https://docs.google.com/spreadsheets/d/1ihFlp3_ePlYtFuPbUNbYj1muErVpI73WHXbEwJDIA7Q/edit#gid=1493122344"",""MTR!C:O""),8,false)"),"Complies")</f>
        <v>Complies</v>
      </c>
      <c r="O1054" s="241" t="str">
        <f>IFERROR(__xludf.DUMMYFUNCTION("VLOOKUP(C1054,IMPORTRANGE(""https://docs.google.com/spreadsheets/d/1P8eX0NWBhUPS_hvzA11R6jkTNFrPrRYIx_dX_hYbxrk/edit?resourcekey=0-iw9bsKY2OqkUHCFMkCar3A&amp;gid=2055363397#gid=2055363397"",""MTR!C:O""),9,false)"),"")</f>
        <v/>
      </c>
      <c r="P1054" s="241"/>
      <c r="Q1054" s="251" t="s">
        <v>445</v>
      </c>
      <c r="R1054" s="251"/>
      <c r="S1054" s="154" t="s">
        <v>66</v>
      </c>
      <c r="T1054" s="154" t="s">
        <v>66</v>
      </c>
      <c r="U1054" s="154" t="s">
        <v>66</v>
      </c>
      <c r="V1054" s="154" t="s">
        <v>66</v>
      </c>
      <c r="W1054" s="154" t="s">
        <v>66</v>
      </c>
      <c r="X1054" s="154" t="s">
        <v>66</v>
      </c>
      <c r="Y1054" s="154" t="s">
        <v>66</v>
      </c>
      <c r="Z1054" s="154" t="s">
        <v>66</v>
      </c>
      <c r="AA1054" s="154" t="s">
        <v>66</v>
      </c>
      <c r="AB1054" s="154"/>
      <c r="AC1054" s="242" t="b">
        <f t="shared" si="2"/>
        <v>1</v>
      </c>
      <c r="AD1054" s="154" t="s">
        <v>391</v>
      </c>
      <c r="AE1054" s="243" t="b">
        <f t="shared" si="3"/>
        <v>0</v>
      </c>
      <c r="AF1054" s="154"/>
      <c r="AG1054" s="243" t="b">
        <f t="shared" si="7"/>
        <v>0</v>
      </c>
      <c r="AH1054" s="154"/>
      <c r="AI1054" s="243" t="str">
        <f t="shared" si="5"/>
        <v>N/A</v>
      </c>
      <c r="AJ1054" s="157" t="str">
        <f t="shared" si="6"/>
        <v/>
      </c>
    </row>
    <row r="1055" ht="12.75" customHeight="1">
      <c r="A1055" s="244" t="s">
        <v>2412</v>
      </c>
      <c r="B1055" s="244" t="s">
        <v>2633</v>
      </c>
      <c r="C1055" s="244" t="s">
        <v>2959</v>
      </c>
      <c r="D1055" s="154" t="s">
        <v>528</v>
      </c>
      <c r="E1055" s="250"/>
      <c r="F1055" s="154" t="str">
        <f t="array" ref="F1055">XLOOKUP(Cover!$D$12,$S$1:$AA$1,$S1055:$AA1055)</f>
        <v>Information</v>
      </c>
      <c r="G1055" s="154" t="s">
        <v>2960</v>
      </c>
      <c r="H1055" s="154"/>
      <c r="I1055" s="154" t="s">
        <v>420</v>
      </c>
      <c r="J1055" s="247" t="s">
        <v>617</v>
      </c>
      <c r="K1055" s="154"/>
      <c r="L1055" s="154" t="str">
        <f t="shared" si="1"/>
        <v/>
      </c>
      <c r="M1055" s="248" t="str">
        <f>IFERROR(__xludf.DUMMYFUNCTION("VLOOKUP(C1055,IMPORTRANGE(""https://docs.google.com/spreadsheets/d/1P8eX0NWBhUPS_hvzA11R6jkTNFrPrRYIx_dX_hYbxrk/edit?resourcekey=0-iw9bsKY2OqkUHCFMkCar3A&amp;gid=2055363397#gid=2055363397"",""MTR!C:O""),11,false)"),"TAM")</f>
        <v>TAM</v>
      </c>
      <c r="N1055" s="248" t="str">
        <f>IFERROR(__xludf.DUMMYFUNCTION("VLOOKUP(C1055,IMPORTRANGE(""https://docs.google.com/spreadsheets/d/1ihFlp3_ePlYtFuPbUNbYj1muErVpI73WHXbEwJDIA7Q/edit#gid=1493122344"",""MTR!C:O""),8,false)"),"Not Applicable")</f>
        <v>Not Applicable</v>
      </c>
      <c r="O1055" s="241" t="str">
        <f>IFERROR(__xludf.DUMMYFUNCTION("VLOOKUP(C1055,IMPORTRANGE(""https://docs.google.com/spreadsheets/d/1P8eX0NWBhUPS_hvzA11R6jkTNFrPrRYIx_dX_hYbxrk/edit?resourcekey=0-iw9bsKY2OqkUHCFMkCar3A&amp;gid=2055363397#gid=2055363397"",""MTR!C:O""),9,false)"),"")</f>
        <v/>
      </c>
      <c r="P1055" s="241"/>
      <c r="Q1055" s="251" t="s">
        <v>617</v>
      </c>
      <c r="R1055" s="241"/>
      <c r="S1055" s="154" t="s">
        <v>66</v>
      </c>
      <c r="T1055" s="154" t="s">
        <v>66</v>
      </c>
      <c r="U1055" s="154" t="s">
        <v>66</v>
      </c>
      <c r="V1055" s="154" t="s">
        <v>66</v>
      </c>
      <c r="W1055" s="154" t="s">
        <v>66</v>
      </c>
      <c r="X1055" s="154" t="s">
        <v>66</v>
      </c>
      <c r="Y1055" s="154" t="s">
        <v>66</v>
      </c>
      <c r="Z1055" s="154" t="s">
        <v>66</v>
      </c>
      <c r="AA1055" s="154" t="s">
        <v>66</v>
      </c>
      <c r="AB1055" s="154"/>
      <c r="AC1055" s="242" t="b">
        <f t="shared" si="2"/>
        <v>1</v>
      </c>
      <c r="AD1055" s="154" t="s">
        <v>391</v>
      </c>
      <c r="AE1055" s="243" t="b">
        <f t="shared" si="3"/>
        <v>0</v>
      </c>
      <c r="AF1055" s="154"/>
      <c r="AG1055" s="243" t="b">
        <f t="shared" si="7"/>
        <v>0</v>
      </c>
      <c r="AH1055" s="154"/>
      <c r="AI1055" s="243" t="str">
        <f t="shared" si="5"/>
        <v>N/A</v>
      </c>
      <c r="AJ1055" s="157" t="str">
        <f t="shared" si="6"/>
        <v/>
      </c>
    </row>
    <row r="1056" ht="12.75" customHeight="1">
      <c r="A1056" s="244" t="s">
        <v>2412</v>
      </c>
      <c r="B1056" s="244" t="s">
        <v>2633</v>
      </c>
      <c r="C1056" s="244" t="s">
        <v>2961</v>
      </c>
      <c r="D1056" s="154" t="s">
        <v>1211</v>
      </c>
      <c r="E1056" s="250"/>
      <c r="F1056" s="154" t="str">
        <f t="array" ref="F1056">XLOOKUP(Cover!$D$12,$S$1:$AA$1,$S1056:$AA1056)</f>
        <v>Comments Vendor</v>
      </c>
      <c r="G1056" s="154" t="s">
        <v>2962</v>
      </c>
      <c r="H1056" s="154"/>
      <c r="I1056" s="154" t="s">
        <v>420</v>
      </c>
      <c r="J1056" s="247"/>
      <c r="K1056" s="247" t="s">
        <v>2963</v>
      </c>
      <c r="L1056" s="154" t="str">
        <f t="shared" si="1"/>
        <v/>
      </c>
      <c r="M1056" s="248" t="str">
        <f>IFERROR(__xludf.DUMMYFUNCTION("VLOOKUP(C1056,IMPORTRANGE(""https://docs.google.com/spreadsheets/d/1P8eX0NWBhUPS_hvzA11R6jkTNFrPrRYIx_dX_hYbxrk/edit?resourcekey=0-iw9bsKY2OqkUHCFMkCar3A&amp;gid=2055363397#gid=2055363397"",""MTR!C:O""),11,false)"),"TAM")</f>
        <v>TAM</v>
      </c>
      <c r="N1056" s="241" t="str">
        <f>IFERROR(__xludf.DUMMYFUNCTION("VLOOKUP(C1056,IMPORTRANGE(""https://docs.google.com/spreadsheets/d/1ihFlp3_ePlYtFuPbUNbYj1muErVpI73WHXbEwJDIA7Q/edit#gid=1493122344"",""MTR!C:O""),8,false)"),"")</f>
        <v/>
      </c>
      <c r="O1056" s="248" t="str">
        <f>IFERROR(__xludf.DUMMYFUNCTION("VLOOKUP(C1056,IMPORTRANGE(""https://docs.google.com/spreadsheets/d/1P8eX0NWBhUPS_hvzA11R6jkTNFrPrRYIx_dX_hYbxrk/edit?resourcekey=0-iw9bsKY2OqkUHCFMkCar3A&amp;gid=2055363397#gid=2055363397"",""MTR!C:O""),9,false)"),"Please discuss with Google TAM for more detailed informatoin")</f>
        <v>Please discuss with Google TAM for more detailed informatoin</v>
      </c>
      <c r="P1056" s="248"/>
      <c r="Q1056" s="249"/>
      <c r="R1056" s="249" t="s">
        <v>2963</v>
      </c>
      <c r="S1056" s="154" t="s">
        <v>62</v>
      </c>
      <c r="T1056" s="154" t="s">
        <v>62</v>
      </c>
      <c r="U1056" s="154" t="s">
        <v>62</v>
      </c>
      <c r="V1056" s="154" t="s">
        <v>62</v>
      </c>
      <c r="W1056" s="154" t="s">
        <v>62</v>
      </c>
      <c r="X1056" s="154" t="s">
        <v>62</v>
      </c>
      <c r="Y1056" s="154" t="s">
        <v>62</v>
      </c>
      <c r="Z1056" s="154" t="s">
        <v>62</v>
      </c>
      <c r="AA1056" s="154" t="s">
        <v>62</v>
      </c>
      <c r="AB1056" s="154"/>
      <c r="AC1056" s="242" t="b">
        <f t="shared" si="2"/>
        <v>1</v>
      </c>
      <c r="AD1056" s="154" t="s">
        <v>68</v>
      </c>
      <c r="AE1056" s="243" t="b">
        <f t="shared" si="3"/>
        <v>1</v>
      </c>
      <c r="AF1056" s="154"/>
      <c r="AG1056" s="243" t="b">
        <f t="shared" si="7"/>
        <v>0</v>
      </c>
      <c r="AH1056" s="154"/>
      <c r="AI1056" s="243" t="str">
        <f t="shared" si="5"/>
        <v>N/A</v>
      </c>
      <c r="AJ1056" s="157" t="str">
        <f t="shared" si="6"/>
        <v/>
      </c>
    </row>
    <row r="1057" ht="12.75" customHeight="1">
      <c r="A1057" s="244" t="s">
        <v>2412</v>
      </c>
      <c r="B1057" s="244" t="s">
        <v>2633</v>
      </c>
      <c r="C1057" s="244" t="s">
        <v>2964</v>
      </c>
      <c r="D1057" s="154" t="s">
        <v>581</v>
      </c>
      <c r="E1057" s="250"/>
      <c r="F1057" s="154" t="str">
        <f t="array" ref="F1057">XLOOKUP(Cover!$D$12,$S$1:$AA$1,$S1057:$AA1057)</f>
        <v>Comments Vendor</v>
      </c>
      <c r="G1057" s="154" t="s">
        <v>2965</v>
      </c>
      <c r="H1057" s="154"/>
      <c r="I1057" s="154" t="s">
        <v>420</v>
      </c>
      <c r="J1057" s="154"/>
      <c r="K1057" s="247" t="s">
        <v>2966</v>
      </c>
      <c r="L1057" s="154" t="str">
        <f t="shared" si="1"/>
        <v/>
      </c>
      <c r="M1057" s="248" t="str">
        <f>IFERROR(__xludf.DUMMYFUNCTION("VLOOKUP(C1057,IMPORTRANGE(""https://docs.google.com/spreadsheets/d/1P8eX0NWBhUPS_hvzA11R6jkTNFrPrRYIx_dX_hYbxrk/edit?resourcekey=0-iw9bsKY2OqkUHCFMkCar3A&amp;gid=2055363397#gid=2055363397"",""MTR!C:O""),11,false)"),"Carrier-TPM")</f>
        <v>Carrier-TPM</v>
      </c>
      <c r="N1057" s="241" t="str">
        <f>IFERROR(__xludf.DUMMYFUNCTION("VLOOKUP(C1057,IMPORTRANGE(""https://docs.google.com/spreadsheets/d/1ihFlp3_ePlYtFuPbUNbYj1muErVpI73WHXbEwJDIA7Q/edit#gid=1493122344"",""MTR!C:O""),8,false)"),"")</f>
        <v/>
      </c>
      <c r="O1057" s="248" t="str">
        <f>IFERROR(__xludf.DUMMYFUNCTION("VLOOKUP(C1057,IMPORTRANGE(""https://docs.google.com/spreadsheets/d/1P8eX0NWBhUPS_hvzA11R6jkTNFrPrRYIx_dX_hYbxrk/edit?resourcekey=0-iw9bsKY2OqkUHCFMkCar3A&amp;gid=2055363397#gid=2055363397"",""MTR!C:O""),9,false)"),"supports native Android multi-user operation")</f>
        <v>supports native Android multi-user operation</v>
      </c>
      <c r="P1057" s="248"/>
      <c r="Q1057" s="248"/>
      <c r="R1057" s="249" t="s">
        <v>2966</v>
      </c>
      <c r="S1057" s="154" t="s">
        <v>68</v>
      </c>
      <c r="T1057" s="154" t="s">
        <v>62</v>
      </c>
      <c r="U1057" s="154" t="s">
        <v>62</v>
      </c>
      <c r="V1057" s="154" t="s">
        <v>62</v>
      </c>
      <c r="W1057" s="154" t="s">
        <v>62</v>
      </c>
      <c r="X1057" s="154" t="s">
        <v>62</v>
      </c>
      <c r="Y1057" s="154" t="s">
        <v>62</v>
      </c>
      <c r="Z1057" s="154" t="s">
        <v>62</v>
      </c>
      <c r="AA1057" s="154" t="s">
        <v>62</v>
      </c>
      <c r="AB1057" s="154"/>
      <c r="AC1057" s="242" t="b">
        <f t="shared" si="2"/>
        <v>1</v>
      </c>
      <c r="AD1057" s="154" t="s">
        <v>68</v>
      </c>
      <c r="AE1057" s="243" t="b">
        <f t="shared" si="3"/>
        <v>1</v>
      </c>
      <c r="AF1057" s="154"/>
      <c r="AG1057" s="243" t="b">
        <f t="shared" si="7"/>
        <v>0</v>
      </c>
      <c r="AH1057" s="154"/>
      <c r="AI1057" s="243" t="str">
        <f t="shared" si="5"/>
        <v>N/A</v>
      </c>
      <c r="AJ1057" s="157" t="str">
        <f t="shared" si="6"/>
        <v/>
      </c>
    </row>
    <row r="1058" ht="12.75" customHeight="1">
      <c r="A1058" s="244" t="s">
        <v>2412</v>
      </c>
      <c r="B1058" s="244" t="s">
        <v>2633</v>
      </c>
      <c r="C1058" s="244" t="s">
        <v>2967</v>
      </c>
      <c r="D1058" s="154" t="s">
        <v>1773</v>
      </c>
      <c r="E1058" s="250"/>
      <c r="F1058" s="154" t="str">
        <f t="array" ref="F1058">XLOOKUP(Cover!$D$12,$S$1:$AA$1,$S1058:$AA1058)</f>
        <v>Comments Vendor</v>
      </c>
      <c r="G1058" s="154" t="s">
        <v>2968</v>
      </c>
      <c r="H1058" s="154"/>
      <c r="I1058" s="154" t="s">
        <v>420</v>
      </c>
      <c r="J1058" s="154"/>
      <c r="K1058" s="247" t="s">
        <v>2969</v>
      </c>
      <c r="L1058" s="154" t="str">
        <f t="shared" si="1"/>
        <v/>
      </c>
      <c r="M1058" s="248" t="str">
        <f>IFERROR(__xludf.DUMMYFUNCTION("VLOOKUP(C1058,IMPORTRANGE(""https://docs.google.com/spreadsheets/d/1P8eX0NWBhUPS_hvzA11R6jkTNFrPrRYIx_dX_hYbxrk/edit?resourcekey=0-iw9bsKY2OqkUHCFMkCar3A&amp;gid=2055363397#gid=2055363397"",""MTR!C:O""),11,false)"),"Carrier-TPM")</f>
        <v>Carrier-TPM</v>
      </c>
      <c r="N1058" s="241" t="str">
        <f>IFERROR(__xludf.DUMMYFUNCTION("VLOOKUP(C1058,IMPORTRANGE(""https://docs.google.com/spreadsheets/d/1ihFlp3_ePlYtFuPbUNbYj1muErVpI73WHXbEwJDIA7Q/edit#gid=1493122344"",""MTR!C:O""),8,false)"),"")</f>
        <v/>
      </c>
      <c r="O1058" s="248" t="str">
        <f>IFERROR(__xludf.DUMMYFUNCTION("VLOOKUP(C1058,IMPORTRANGE(""https://docs.google.com/spreadsheets/d/1P8eX0NWBhUPS_hvzA11R6jkTNFrPrRYIx_dX_hYbxrk/edit?resourcekey=0-iw9bsKY2OqkUHCFMkCar3A&amp;gid=2055363397#gid=2055363397"",""MTR!C:O""),9,false)"),"supports Screen Lock, Face &amp; Fingerprint Unlock")</f>
        <v>supports Screen Lock, Face &amp; Fingerprint Unlock</v>
      </c>
      <c r="P1058" s="248"/>
      <c r="Q1058" s="248"/>
      <c r="R1058" s="249" t="s">
        <v>2969</v>
      </c>
      <c r="S1058" s="154" t="s">
        <v>62</v>
      </c>
      <c r="T1058" s="154" t="s">
        <v>62</v>
      </c>
      <c r="U1058" s="154" t="s">
        <v>62</v>
      </c>
      <c r="V1058" s="154" t="s">
        <v>62</v>
      </c>
      <c r="W1058" s="154" t="s">
        <v>62</v>
      </c>
      <c r="X1058" s="154" t="s">
        <v>62</v>
      </c>
      <c r="Y1058" s="154" t="s">
        <v>62</v>
      </c>
      <c r="Z1058" s="154" t="s">
        <v>62</v>
      </c>
      <c r="AA1058" s="154" t="s">
        <v>62</v>
      </c>
      <c r="AB1058" s="154"/>
      <c r="AC1058" s="242" t="b">
        <f t="shared" si="2"/>
        <v>1</v>
      </c>
      <c r="AD1058" s="154" t="s">
        <v>391</v>
      </c>
      <c r="AE1058" s="243" t="b">
        <f t="shared" si="3"/>
        <v>1</v>
      </c>
      <c r="AF1058" s="154"/>
      <c r="AG1058" s="243" t="b">
        <f t="shared" si="7"/>
        <v>0</v>
      </c>
      <c r="AH1058" s="154"/>
      <c r="AI1058" s="243" t="str">
        <f t="shared" si="5"/>
        <v>N/A</v>
      </c>
      <c r="AJ1058" s="157" t="str">
        <f t="shared" si="6"/>
        <v/>
      </c>
    </row>
    <row r="1059" ht="12.75" customHeight="1">
      <c r="A1059" s="244" t="s">
        <v>2412</v>
      </c>
      <c r="B1059" s="244" t="s">
        <v>2633</v>
      </c>
      <c r="C1059" s="244" t="s">
        <v>2970</v>
      </c>
      <c r="D1059" s="154" t="s">
        <v>1773</v>
      </c>
      <c r="E1059" s="250"/>
      <c r="F1059" s="154" t="str">
        <f t="array" ref="F1059">XLOOKUP(Cover!$D$12,$S$1:$AA$1,$S1059:$AA1059)</f>
        <v>Comments Vendor</v>
      </c>
      <c r="G1059" s="154" t="s">
        <v>2971</v>
      </c>
      <c r="H1059" s="154"/>
      <c r="I1059" s="154" t="s">
        <v>420</v>
      </c>
      <c r="J1059" s="154"/>
      <c r="K1059" s="247" t="s">
        <v>2972</v>
      </c>
      <c r="L1059" s="154" t="str">
        <f t="shared" si="1"/>
        <v/>
      </c>
      <c r="M1059" s="248" t="str">
        <f>IFERROR(__xludf.DUMMYFUNCTION("VLOOKUP(C1059,IMPORTRANGE(""https://docs.google.com/spreadsheets/d/1P8eX0NWBhUPS_hvzA11R6jkTNFrPrRYIx_dX_hYbxrk/edit?resourcekey=0-iw9bsKY2OqkUHCFMkCar3A&amp;gid=2055363397#gid=2055363397"",""MTR!C:O""),11,false)"),"Carrier-TPM")</f>
        <v>Carrier-TPM</v>
      </c>
      <c r="N1059" s="241" t="str">
        <f>IFERROR(__xludf.DUMMYFUNCTION("VLOOKUP(C1059,IMPORTRANGE(""https://docs.google.com/spreadsheets/d/1ihFlp3_ePlYtFuPbUNbYj1muErVpI73WHXbEwJDIA7Q/edit#gid=1493122344"",""MTR!C:O""),8,false)"),"")</f>
        <v/>
      </c>
      <c r="O1059" s="248" t="str">
        <f>IFERROR(__xludf.DUMMYFUNCTION("VLOOKUP(C1059,IMPORTRANGE(""https://docs.google.com/spreadsheets/d/1P8eX0NWBhUPS_hvzA11R6jkTNFrPrRYIx_dX_hYbxrk/edit?resourcekey=0-iw9bsKY2OqkUHCFMkCar3A&amp;gid=2055363397#gid=2055363397"",""MTR!C:O""),9,false)"),"Accel, Gyro, Magnetometer, Prox, ALS, Barometer and Hall")</f>
        <v>Accel, Gyro, Magnetometer, Prox, ALS, Barometer and Hall</v>
      </c>
      <c r="P1059" s="248"/>
      <c r="Q1059" s="248"/>
      <c r="R1059" s="249" t="s">
        <v>2972</v>
      </c>
      <c r="S1059" s="154" t="s">
        <v>62</v>
      </c>
      <c r="T1059" s="154" t="s">
        <v>62</v>
      </c>
      <c r="U1059" s="154" t="s">
        <v>62</v>
      </c>
      <c r="V1059" s="154" t="s">
        <v>62</v>
      </c>
      <c r="W1059" s="154" t="s">
        <v>62</v>
      </c>
      <c r="X1059" s="154" t="s">
        <v>62</v>
      </c>
      <c r="Y1059" s="154" t="s">
        <v>62</v>
      </c>
      <c r="Z1059" s="154" t="s">
        <v>62</v>
      </c>
      <c r="AA1059" s="154" t="s">
        <v>62</v>
      </c>
      <c r="AB1059" s="154"/>
      <c r="AC1059" s="242" t="b">
        <f t="shared" si="2"/>
        <v>1</v>
      </c>
      <c r="AD1059" s="154" t="s">
        <v>391</v>
      </c>
      <c r="AE1059" s="243" t="b">
        <f t="shared" si="3"/>
        <v>1</v>
      </c>
      <c r="AF1059" s="154"/>
      <c r="AG1059" s="243" t="b">
        <f t="shared" si="7"/>
        <v>0</v>
      </c>
      <c r="AH1059" s="154"/>
      <c r="AI1059" s="243" t="str">
        <f t="shared" si="5"/>
        <v>N/A</v>
      </c>
      <c r="AJ1059" s="157" t="str">
        <f t="shared" si="6"/>
        <v/>
      </c>
    </row>
    <row r="1060" ht="12.75" customHeight="1">
      <c r="A1060" s="244" t="s">
        <v>2412</v>
      </c>
      <c r="B1060" s="244" t="s">
        <v>2633</v>
      </c>
      <c r="C1060" s="244" t="s">
        <v>2973</v>
      </c>
      <c r="D1060" s="154" t="s">
        <v>1773</v>
      </c>
      <c r="E1060" s="250"/>
      <c r="F1060" s="154" t="str">
        <f t="array" ref="F1060">XLOOKUP(Cover!$D$12,$S$1:$AA$1,$S1060:$AA1060)</f>
        <v>Mandatory</v>
      </c>
      <c r="G1060" s="154" t="s">
        <v>2974</v>
      </c>
      <c r="H1060" s="154" t="s">
        <v>398</v>
      </c>
      <c r="I1060" s="154" t="s">
        <v>420</v>
      </c>
      <c r="J1060" s="247" t="s">
        <v>445</v>
      </c>
      <c r="K1060" s="247" t="s">
        <v>2975</v>
      </c>
      <c r="L1060" s="154" t="str">
        <f t="shared" si="1"/>
        <v/>
      </c>
      <c r="M1060" s="248" t="str">
        <f>IFERROR(__xludf.DUMMYFUNCTION("VLOOKUP(C1060,IMPORTRANGE(""https://docs.google.com/spreadsheets/d/1P8eX0NWBhUPS_hvzA11R6jkTNFrPrRYIx_dX_hYbxrk/edit?resourcekey=0-iw9bsKY2OqkUHCFMkCar3A&amp;gid=2055363397#gid=2055363397"",""MTR!C:O""),11,false)"),"Carrier-TPM")</f>
        <v>Carrier-TPM</v>
      </c>
      <c r="N1060" s="248" t="str">
        <f>IFERROR(__xludf.DUMMYFUNCTION("VLOOKUP(C1060,IMPORTRANGE(""https://docs.google.com/spreadsheets/d/1ihFlp3_ePlYtFuPbUNbYj1muErVpI73WHXbEwJDIA7Q/edit#gid=1493122344"",""MTR!C:O""),8,false)"),"Complies")</f>
        <v>Complies</v>
      </c>
      <c r="O1060" s="248" t="str">
        <f>IFERROR(__xludf.DUMMYFUNCTION("VLOOKUP(C1060,IMPORTRANGE(""https://docs.google.com/spreadsheets/d/1P8eX0NWBhUPS_hvzA11R6jkTNFrPrRYIx_dX_hYbxrk/edit?resourcekey=0-iw9bsKY2OqkUHCFMkCar3A&amp;gid=2055363397#gid=2055363397"",""MTR!C:O""),9,false)"),"IPX68")</f>
        <v>IPX68</v>
      </c>
      <c r="P1060" s="248"/>
      <c r="Q1060" s="249" t="s">
        <v>445</v>
      </c>
      <c r="R1060" s="249" t="s">
        <v>2976</v>
      </c>
      <c r="S1060" s="154" t="s">
        <v>60</v>
      </c>
      <c r="T1060" s="154" t="s">
        <v>60</v>
      </c>
      <c r="U1060" s="154" t="s">
        <v>60</v>
      </c>
      <c r="V1060" s="154" t="s">
        <v>60</v>
      </c>
      <c r="W1060" s="154" t="s">
        <v>60</v>
      </c>
      <c r="X1060" s="154" t="s">
        <v>60</v>
      </c>
      <c r="Y1060" s="154" t="s">
        <v>60</v>
      </c>
      <c r="Z1060" s="154" t="s">
        <v>60</v>
      </c>
      <c r="AA1060" s="154" t="s">
        <v>60</v>
      </c>
      <c r="AB1060" s="154"/>
      <c r="AC1060" s="242" t="b">
        <f t="shared" si="2"/>
        <v>1</v>
      </c>
      <c r="AD1060" s="154" t="s">
        <v>445</v>
      </c>
      <c r="AE1060" s="243" t="b">
        <f t="shared" si="3"/>
        <v>0</v>
      </c>
      <c r="AF1060" s="154"/>
      <c r="AG1060" s="243" t="b">
        <f t="shared" si="7"/>
        <v>0</v>
      </c>
      <c r="AH1060" s="154"/>
      <c r="AI1060" s="243" t="str">
        <f t="shared" si="5"/>
        <v>N/A</v>
      </c>
      <c r="AJ1060" s="157" t="str">
        <f t="shared" si="6"/>
        <v/>
      </c>
    </row>
    <row r="1061" ht="12.75" customHeight="1">
      <c r="A1061" s="244" t="s">
        <v>2412</v>
      </c>
      <c r="B1061" s="244" t="s">
        <v>2633</v>
      </c>
      <c r="C1061" s="244" t="s">
        <v>2977</v>
      </c>
      <c r="D1061" s="154" t="s">
        <v>1773</v>
      </c>
      <c r="E1061" s="250"/>
      <c r="F1061" s="154" t="str">
        <f t="array" ref="F1061">XLOOKUP(Cover!$D$12,$S$1:$AA$1,$S1061:$AA1061)</f>
        <v>Comments Vendor</v>
      </c>
      <c r="G1061" s="154" t="s">
        <v>2978</v>
      </c>
      <c r="H1061" s="154"/>
      <c r="I1061" s="154" t="s">
        <v>420</v>
      </c>
      <c r="J1061" s="247"/>
      <c r="K1061" s="247" t="s">
        <v>2979</v>
      </c>
      <c r="L1061" s="154" t="str">
        <f t="shared" si="1"/>
        <v/>
      </c>
      <c r="M1061" s="248" t="str">
        <f>IFERROR(__xludf.DUMMYFUNCTION("VLOOKUP(C1061,IMPORTRANGE(""https://docs.google.com/spreadsheets/d/1P8eX0NWBhUPS_hvzA11R6jkTNFrPrRYIx_dX_hYbxrk/edit?resourcekey=0-iw9bsKY2OqkUHCFMkCar3A&amp;gid=2055363397#gid=2055363397"",""MTR!C:O""),11,false)"),"Carrier-TPM")</f>
        <v>Carrier-TPM</v>
      </c>
      <c r="N1061" s="241" t="str">
        <f>IFERROR(__xludf.DUMMYFUNCTION("VLOOKUP(C1061,IMPORTRANGE(""https://docs.google.com/spreadsheets/d/1ihFlp3_ePlYtFuPbUNbYj1muErVpI73WHXbEwJDIA7Q/edit#gid=1493122344"",""MTR!C:O""),8,false)"),"")</f>
        <v/>
      </c>
      <c r="O1061" s="248" t="str">
        <f>IFERROR(__xludf.DUMMYFUNCTION("VLOOKUP(C1061,IMPORTRANGE(""https://docs.google.com/spreadsheets/d/1P8eX0NWBhUPS_hvzA11R6jkTNFrPrRYIx_dX_hYbxrk/edit?resourcekey=0-iw9bsKY2OqkUHCFMkCar3A&amp;gid=2055363397#gid=2055363397"",""MTR!C:O""),9,false)"),"71.98x152.8x8.54")</f>
        <v>71.98x152.8x8.54</v>
      </c>
      <c r="P1061" s="248"/>
      <c r="Q1061" s="249"/>
      <c r="R1061" s="249" t="s">
        <v>2980</v>
      </c>
      <c r="S1061" s="154" t="s">
        <v>62</v>
      </c>
      <c r="T1061" s="154" t="s">
        <v>62</v>
      </c>
      <c r="U1061" s="154" t="s">
        <v>62</v>
      </c>
      <c r="V1061" s="154" t="s">
        <v>62</v>
      </c>
      <c r="W1061" s="154" t="s">
        <v>62</v>
      </c>
      <c r="X1061" s="154" t="s">
        <v>62</v>
      </c>
      <c r="Y1061" s="154" t="s">
        <v>62</v>
      </c>
      <c r="Z1061" s="154" t="s">
        <v>62</v>
      </c>
      <c r="AA1061" s="154" t="s">
        <v>62</v>
      </c>
      <c r="AB1061" s="154"/>
      <c r="AC1061" s="242" t="b">
        <f t="shared" si="2"/>
        <v>1</v>
      </c>
      <c r="AD1061" s="154" t="s">
        <v>391</v>
      </c>
      <c r="AE1061" s="243" t="b">
        <f t="shared" si="3"/>
        <v>1</v>
      </c>
      <c r="AF1061" s="154"/>
      <c r="AG1061" s="243" t="b">
        <f t="shared" si="7"/>
        <v>0</v>
      </c>
      <c r="AH1061" s="154"/>
      <c r="AI1061" s="243" t="str">
        <f t="shared" si="5"/>
        <v>N/A</v>
      </c>
      <c r="AJ1061" s="157" t="str">
        <f t="shared" si="6"/>
        <v/>
      </c>
    </row>
    <row r="1062" ht="12.75" customHeight="1">
      <c r="A1062" s="238" t="s">
        <v>2412</v>
      </c>
      <c r="B1062" s="238" t="s">
        <v>2981</v>
      </c>
      <c r="C1062" s="238" t="s">
        <v>2982</v>
      </c>
      <c r="D1062" s="238"/>
      <c r="E1062" s="238"/>
      <c r="F1062" s="154" t="str">
        <f t="array" ref="F1062">XLOOKUP(Cover!$D$12,$S$1:$AA$1,$S1062:$AA1062)</f>
        <v>Heading</v>
      </c>
      <c r="G1062" s="239" t="s">
        <v>2983</v>
      </c>
      <c r="H1062" s="240"/>
      <c r="I1062" s="240" t="s">
        <v>414</v>
      </c>
      <c r="J1062" s="240"/>
      <c r="K1062" s="262"/>
      <c r="L1062" s="154" t="str">
        <f t="shared" si="1"/>
        <v/>
      </c>
      <c r="M1062" s="241" t="str">
        <f>IFERROR(__xludf.DUMMYFUNCTION("VLOOKUP(C1062,IMPORTRANGE(""https://docs.google.com/spreadsheets/d/1P8eX0NWBhUPS_hvzA11R6jkTNFrPrRYIx_dX_hYbxrk/edit?resourcekey=0-iw9bsKY2OqkUHCFMkCar3A&amp;gid=2055363397#gid=2055363397"",""MTR!C:O""),11,false)"),"")</f>
        <v/>
      </c>
      <c r="N1062" s="241" t="str">
        <f>IFERROR(__xludf.DUMMYFUNCTION("VLOOKUP(C1062,IMPORTRANGE(""https://docs.google.com/spreadsheets/d/1ihFlp3_ePlYtFuPbUNbYj1muErVpI73WHXbEwJDIA7Q/edit#gid=1493122344"",""MTR!C:O""),8,false)"),"")</f>
        <v/>
      </c>
      <c r="O1062" s="241" t="str">
        <f>IFERROR(__xludf.DUMMYFUNCTION("VLOOKUP(C1062,IMPORTRANGE(""https://docs.google.com/spreadsheets/d/1P8eX0NWBhUPS_hvzA11R6jkTNFrPrRYIx_dX_hYbxrk/edit?resourcekey=0-iw9bsKY2OqkUHCFMkCar3A&amp;gid=2055363397#gid=2055363397"",""MTR!C:O""),9,false)"),"")</f>
        <v/>
      </c>
      <c r="P1062" s="241"/>
      <c r="Q1062" s="241"/>
      <c r="R1062" s="251"/>
      <c r="S1062" s="240" t="s">
        <v>390</v>
      </c>
      <c r="T1062" s="240" t="s">
        <v>390</v>
      </c>
      <c r="U1062" s="240" t="s">
        <v>390</v>
      </c>
      <c r="V1062" s="240" t="s">
        <v>390</v>
      </c>
      <c r="W1062" s="240" t="s">
        <v>390</v>
      </c>
      <c r="X1062" s="240" t="s">
        <v>390</v>
      </c>
      <c r="Y1062" s="240" t="s">
        <v>390</v>
      </c>
      <c r="Z1062" s="240" t="s">
        <v>390</v>
      </c>
      <c r="AA1062" s="240" t="s">
        <v>390</v>
      </c>
      <c r="AB1062" s="240"/>
      <c r="AC1062" s="242" t="b">
        <f t="shared" si="2"/>
        <v>0</v>
      </c>
      <c r="AD1062" s="240" t="s">
        <v>391</v>
      </c>
      <c r="AE1062" s="243" t="b">
        <f t="shared" si="3"/>
        <v>0</v>
      </c>
      <c r="AF1062" s="240"/>
      <c r="AG1062" s="243" t="b">
        <f t="shared" si="7"/>
        <v>0</v>
      </c>
      <c r="AH1062" s="240"/>
      <c r="AI1062" s="243" t="str">
        <f t="shared" si="5"/>
        <v>N/A</v>
      </c>
      <c r="AJ1062" s="157" t="str">
        <f t="shared" si="6"/>
        <v/>
      </c>
    </row>
    <row r="1063" ht="12.75" customHeight="1">
      <c r="A1063" s="238" t="s">
        <v>2412</v>
      </c>
      <c r="B1063" s="238" t="s">
        <v>2981</v>
      </c>
      <c r="C1063" s="238" t="s">
        <v>2984</v>
      </c>
      <c r="D1063" s="238"/>
      <c r="E1063" s="238"/>
      <c r="F1063" s="154" t="str">
        <f t="array" ref="F1063">XLOOKUP(Cover!$D$12,$S$1:$AA$1,$S1063:$AA1063)</f>
        <v>Heading</v>
      </c>
      <c r="G1063" s="239" t="s">
        <v>2985</v>
      </c>
      <c r="H1063" s="240"/>
      <c r="I1063" s="240" t="s">
        <v>414</v>
      </c>
      <c r="J1063" s="240"/>
      <c r="K1063" s="240"/>
      <c r="L1063" s="154" t="str">
        <f t="shared" si="1"/>
        <v/>
      </c>
      <c r="M1063" s="241" t="str">
        <f>IFERROR(__xludf.DUMMYFUNCTION("VLOOKUP(C1063,IMPORTRANGE(""https://docs.google.com/spreadsheets/d/1P8eX0NWBhUPS_hvzA11R6jkTNFrPrRYIx_dX_hYbxrk/edit?resourcekey=0-iw9bsKY2OqkUHCFMkCar3A&amp;gid=2055363397#gid=2055363397"",""MTR!C:O""),11,false)"),"")</f>
        <v/>
      </c>
      <c r="N1063" s="241" t="str">
        <f>IFERROR(__xludf.DUMMYFUNCTION("VLOOKUP(C1063,IMPORTRANGE(""https://docs.google.com/spreadsheets/d/1ihFlp3_ePlYtFuPbUNbYj1muErVpI73WHXbEwJDIA7Q/edit#gid=1493122344"",""MTR!C:O""),8,false)"),"")</f>
        <v/>
      </c>
      <c r="O1063" s="241" t="str">
        <f>IFERROR(__xludf.DUMMYFUNCTION("VLOOKUP(C1063,IMPORTRANGE(""https://docs.google.com/spreadsheets/d/1P8eX0NWBhUPS_hvzA11R6jkTNFrPrRYIx_dX_hYbxrk/edit?resourcekey=0-iw9bsKY2OqkUHCFMkCar3A&amp;gid=2055363397#gid=2055363397"",""MTR!C:O""),9,false)"),"")</f>
        <v/>
      </c>
      <c r="P1063" s="241"/>
      <c r="Q1063" s="241"/>
      <c r="R1063" s="241"/>
      <c r="S1063" s="240" t="s">
        <v>390</v>
      </c>
      <c r="T1063" s="240" t="s">
        <v>390</v>
      </c>
      <c r="U1063" s="240" t="s">
        <v>390</v>
      </c>
      <c r="V1063" s="240" t="s">
        <v>390</v>
      </c>
      <c r="W1063" s="240" t="s">
        <v>390</v>
      </c>
      <c r="X1063" s="240" t="s">
        <v>390</v>
      </c>
      <c r="Y1063" s="240" t="s">
        <v>390</v>
      </c>
      <c r="Z1063" s="240" t="s">
        <v>390</v>
      </c>
      <c r="AA1063" s="240" t="s">
        <v>390</v>
      </c>
      <c r="AB1063" s="240"/>
      <c r="AC1063" s="242" t="b">
        <f t="shared" si="2"/>
        <v>0</v>
      </c>
      <c r="AD1063" s="240" t="s">
        <v>391</v>
      </c>
      <c r="AE1063" s="243" t="b">
        <f t="shared" si="3"/>
        <v>0</v>
      </c>
      <c r="AF1063" s="240"/>
      <c r="AG1063" s="243" t="b">
        <f t="shared" si="7"/>
        <v>0</v>
      </c>
      <c r="AH1063" s="240"/>
      <c r="AI1063" s="243" t="str">
        <f t="shared" si="5"/>
        <v>N/A</v>
      </c>
      <c r="AJ1063" s="157" t="str">
        <f t="shared" si="6"/>
        <v/>
      </c>
    </row>
    <row r="1064" ht="12.75" customHeight="1">
      <c r="A1064" s="244" t="s">
        <v>2412</v>
      </c>
      <c r="B1064" s="244" t="s">
        <v>2981</v>
      </c>
      <c r="C1064" s="244" t="s">
        <v>2986</v>
      </c>
      <c r="D1064" s="154" t="s">
        <v>2802</v>
      </c>
      <c r="E1064" s="250"/>
      <c r="F1064" s="154" t="str">
        <f t="array" ref="F1064">XLOOKUP(Cover!$D$12,$S$1:$AA$1,$S1064:$AA1064)</f>
        <v>Mandatory</v>
      </c>
      <c r="G1064" s="154" t="s">
        <v>2987</v>
      </c>
      <c r="H1064" s="154" t="s">
        <v>398</v>
      </c>
      <c r="I1064" s="154" t="s">
        <v>414</v>
      </c>
      <c r="J1064" s="154" t="s">
        <v>445</v>
      </c>
      <c r="K1064" s="154"/>
      <c r="L1064" s="154" t="str">
        <f t="shared" si="1"/>
        <v/>
      </c>
      <c r="M1064" s="248" t="str">
        <f>IFERROR(__xludf.DUMMYFUNCTION("VLOOKUP(C1064,IMPORTRANGE(""https://docs.google.com/spreadsheets/d/1P8eX0NWBhUPS_hvzA11R6jkTNFrPrRYIx_dX_hYbxrk/edit?resourcekey=0-iw9bsKY2OqkUHCFMkCar3A&amp;gid=2055363397#gid=2055363397"",""MTR!C:O""),11,false)"),"PMW-IMS")</f>
        <v>PMW-IMS</v>
      </c>
      <c r="N1064" s="248" t="str">
        <f>IFERROR(__xludf.DUMMYFUNCTION("VLOOKUP(C1064,IMPORTRANGE(""https://docs.google.com/spreadsheets/d/1ihFlp3_ePlYtFuPbUNbYj1muErVpI73WHXbEwJDIA7Q/edit#gid=1493122344"",""MTR!C:O""),8,false)"),"Complies")</f>
        <v>Complies</v>
      </c>
      <c r="O1064" s="241" t="str">
        <f>IFERROR(__xludf.DUMMYFUNCTION("VLOOKUP(C1064,IMPORTRANGE(""https://docs.google.com/spreadsheets/d/1P8eX0NWBhUPS_hvzA11R6jkTNFrPrRYIx_dX_hYbxrk/edit?resourcekey=0-iw9bsKY2OqkUHCFMkCar3A&amp;gid=2055363397#gid=2055363397"",""MTR!C:O""),9,false)"),"")</f>
        <v/>
      </c>
      <c r="P1064" s="241"/>
      <c r="Q1064" s="251" t="s">
        <v>445</v>
      </c>
      <c r="R1064" s="241"/>
      <c r="S1064" s="154" t="s">
        <v>60</v>
      </c>
      <c r="T1064" s="154" t="s">
        <v>60</v>
      </c>
      <c r="U1064" s="154" t="s">
        <v>60</v>
      </c>
      <c r="V1064" s="154" t="s">
        <v>60</v>
      </c>
      <c r="W1064" s="154" t="s">
        <v>60</v>
      </c>
      <c r="X1064" s="154" t="s">
        <v>60</v>
      </c>
      <c r="Y1064" s="154" t="s">
        <v>60</v>
      </c>
      <c r="Z1064" s="154" t="s">
        <v>60</v>
      </c>
      <c r="AA1064" s="154" t="s">
        <v>60</v>
      </c>
      <c r="AB1064" s="154"/>
      <c r="AC1064" s="242" t="b">
        <f t="shared" si="2"/>
        <v>1</v>
      </c>
      <c r="AD1064" s="154" t="s">
        <v>391</v>
      </c>
      <c r="AE1064" s="243" t="b">
        <f t="shared" si="3"/>
        <v>0</v>
      </c>
      <c r="AF1064" s="154"/>
      <c r="AG1064" s="243" t="b">
        <f t="shared" si="7"/>
        <v>0</v>
      </c>
      <c r="AH1064" s="154"/>
      <c r="AI1064" s="243" t="str">
        <f t="shared" si="5"/>
        <v>N/A</v>
      </c>
      <c r="AJ1064" s="157" t="str">
        <f t="shared" si="6"/>
        <v/>
      </c>
    </row>
    <row r="1065" ht="12.75" customHeight="1">
      <c r="A1065" s="244" t="s">
        <v>2412</v>
      </c>
      <c r="B1065" s="244" t="s">
        <v>2981</v>
      </c>
      <c r="C1065" s="244" t="s">
        <v>2988</v>
      </c>
      <c r="D1065" s="154" t="s">
        <v>2802</v>
      </c>
      <c r="E1065" s="250"/>
      <c r="F1065" s="154" t="str">
        <f t="array" ref="F1065">XLOOKUP(Cover!$D$12,$S$1:$AA$1,$S1065:$AA1065)</f>
        <v>Mandatory</v>
      </c>
      <c r="G1065" s="154" t="s">
        <v>2989</v>
      </c>
      <c r="H1065" s="154" t="s">
        <v>398</v>
      </c>
      <c r="I1065" s="154" t="s">
        <v>414</v>
      </c>
      <c r="J1065" s="247" t="s">
        <v>445</v>
      </c>
      <c r="K1065" s="154"/>
      <c r="L1065" s="154" t="str">
        <f t="shared" si="1"/>
        <v/>
      </c>
      <c r="M1065" s="248" t="str">
        <f>IFERROR(__xludf.DUMMYFUNCTION("VLOOKUP(C1065,IMPORTRANGE(""https://docs.google.com/spreadsheets/d/1P8eX0NWBhUPS_hvzA11R6jkTNFrPrRYIx_dX_hYbxrk/edit?resourcekey=0-iw9bsKY2OqkUHCFMkCar3A&amp;gid=2055363397#gid=2055363397"",""MTR!C:O""),11,false)"),"PMW-IMS")</f>
        <v>PMW-IMS</v>
      </c>
      <c r="N1065" s="248" t="str">
        <f>IFERROR(__xludf.DUMMYFUNCTION("VLOOKUP(C1065,IMPORTRANGE(""https://docs.google.com/spreadsheets/d/1ihFlp3_ePlYtFuPbUNbYj1muErVpI73WHXbEwJDIA7Q/edit#gid=1493122344"",""MTR!C:O""),8,false)"),"Complies")</f>
        <v>Complies</v>
      </c>
      <c r="O1065" s="241" t="str">
        <f>IFERROR(__xludf.DUMMYFUNCTION("VLOOKUP(C1065,IMPORTRANGE(""https://docs.google.com/spreadsheets/d/1P8eX0NWBhUPS_hvzA11R6jkTNFrPrRYIx_dX_hYbxrk/edit?resourcekey=0-iw9bsKY2OqkUHCFMkCar3A&amp;gid=2055363397#gid=2055363397"",""MTR!C:O""),9,false)"),"")</f>
        <v/>
      </c>
      <c r="P1065" s="241"/>
      <c r="Q1065" s="251" t="s">
        <v>445</v>
      </c>
      <c r="R1065" s="241"/>
      <c r="S1065" s="154" t="s">
        <v>60</v>
      </c>
      <c r="T1065" s="154" t="s">
        <v>60</v>
      </c>
      <c r="U1065" s="154" t="s">
        <v>60</v>
      </c>
      <c r="V1065" s="154" t="s">
        <v>60</v>
      </c>
      <c r="W1065" s="154" t="s">
        <v>60</v>
      </c>
      <c r="X1065" s="154" t="s">
        <v>60</v>
      </c>
      <c r="Y1065" s="154" t="s">
        <v>60</v>
      </c>
      <c r="Z1065" s="154" t="s">
        <v>60</v>
      </c>
      <c r="AA1065" s="154" t="s">
        <v>60</v>
      </c>
      <c r="AB1065" s="154"/>
      <c r="AC1065" s="242" t="b">
        <f t="shared" si="2"/>
        <v>1</v>
      </c>
      <c r="AD1065" s="154" t="s">
        <v>391</v>
      </c>
      <c r="AE1065" s="243" t="b">
        <f t="shared" si="3"/>
        <v>0</v>
      </c>
      <c r="AF1065" s="154"/>
      <c r="AG1065" s="243" t="b">
        <f t="shared" si="7"/>
        <v>0</v>
      </c>
      <c r="AH1065" s="154"/>
      <c r="AI1065" s="243" t="str">
        <f t="shared" si="5"/>
        <v>N/A</v>
      </c>
      <c r="AJ1065" s="157" t="str">
        <f t="shared" si="6"/>
        <v/>
      </c>
    </row>
    <row r="1066" ht="12.75" customHeight="1">
      <c r="A1066" s="244" t="s">
        <v>2412</v>
      </c>
      <c r="B1066" s="244" t="s">
        <v>2981</v>
      </c>
      <c r="C1066" s="244" t="s">
        <v>2990</v>
      </c>
      <c r="D1066" s="154" t="s">
        <v>2802</v>
      </c>
      <c r="E1066" s="250"/>
      <c r="F1066" s="154" t="str">
        <f t="array" ref="F1066">XLOOKUP(Cover!$D$12,$S$1:$AA$1,$S1066:$AA1066)</f>
        <v>Mandatory</v>
      </c>
      <c r="G1066" s="154" t="s">
        <v>2991</v>
      </c>
      <c r="H1066" s="154" t="s">
        <v>398</v>
      </c>
      <c r="I1066" s="154" t="s">
        <v>414</v>
      </c>
      <c r="J1066" s="247" t="s">
        <v>445</v>
      </c>
      <c r="K1066" s="154"/>
      <c r="L1066" s="154" t="str">
        <f t="shared" si="1"/>
        <v/>
      </c>
      <c r="M1066" s="248" t="str">
        <f>IFERROR(__xludf.DUMMYFUNCTION("VLOOKUP(C1066,IMPORTRANGE(""https://docs.google.com/spreadsheets/d/1P8eX0NWBhUPS_hvzA11R6jkTNFrPrRYIx_dX_hYbxrk/edit?resourcekey=0-iw9bsKY2OqkUHCFMkCar3A&amp;gid=2055363397#gid=2055363397"",""MTR!C:O""),11,false)"),"PMW-IMS")</f>
        <v>PMW-IMS</v>
      </c>
      <c r="N1066" s="248" t="str">
        <f>IFERROR(__xludf.DUMMYFUNCTION("VLOOKUP(C1066,IMPORTRANGE(""https://docs.google.com/spreadsheets/d/1ihFlp3_ePlYtFuPbUNbYj1muErVpI73WHXbEwJDIA7Q/edit#gid=1493122344"",""MTR!C:O""),8,false)"),"Complies")</f>
        <v>Complies</v>
      </c>
      <c r="O1066" s="241" t="str">
        <f>IFERROR(__xludf.DUMMYFUNCTION("VLOOKUP(C1066,IMPORTRANGE(""https://docs.google.com/spreadsheets/d/1P8eX0NWBhUPS_hvzA11R6jkTNFrPrRYIx_dX_hYbxrk/edit?resourcekey=0-iw9bsKY2OqkUHCFMkCar3A&amp;gid=2055363397#gid=2055363397"",""MTR!C:O""),9,false)"),"")</f>
        <v/>
      </c>
      <c r="P1066" s="241"/>
      <c r="Q1066" s="251" t="s">
        <v>445</v>
      </c>
      <c r="R1066" s="241"/>
      <c r="S1066" s="154" t="s">
        <v>60</v>
      </c>
      <c r="T1066" s="154" t="s">
        <v>60</v>
      </c>
      <c r="U1066" s="154" t="s">
        <v>60</v>
      </c>
      <c r="V1066" s="154" t="s">
        <v>60</v>
      </c>
      <c r="W1066" s="154" t="s">
        <v>60</v>
      </c>
      <c r="X1066" s="154" t="s">
        <v>60</v>
      </c>
      <c r="Y1066" s="154" t="s">
        <v>60</v>
      </c>
      <c r="Z1066" s="154" t="s">
        <v>60</v>
      </c>
      <c r="AA1066" s="154" t="s">
        <v>60</v>
      </c>
      <c r="AB1066" s="154"/>
      <c r="AC1066" s="242" t="b">
        <f t="shared" si="2"/>
        <v>1</v>
      </c>
      <c r="AD1066" s="154" t="s">
        <v>391</v>
      </c>
      <c r="AE1066" s="243" t="b">
        <f t="shared" si="3"/>
        <v>0</v>
      </c>
      <c r="AF1066" s="154"/>
      <c r="AG1066" s="243" t="b">
        <f t="shared" si="7"/>
        <v>0</v>
      </c>
      <c r="AH1066" s="154"/>
      <c r="AI1066" s="243" t="str">
        <f t="shared" si="5"/>
        <v>N/A</v>
      </c>
      <c r="AJ1066" s="157" t="str">
        <f t="shared" si="6"/>
        <v/>
      </c>
    </row>
    <row r="1067" ht="12.75" customHeight="1">
      <c r="A1067" s="244" t="s">
        <v>2412</v>
      </c>
      <c r="B1067" s="244" t="s">
        <v>2981</v>
      </c>
      <c r="C1067" s="244" t="s">
        <v>2992</v>
      </c>
      <c r="D1067" s="154" t="s">
        <v>1211</v>
      </c>
      <c r="E1067" s="250"/>
      <c r="F1067" s="154" t="str">
        <f t="array" ref="F1067">XLOOKUP(Cover!$D$12,$S$1:$AA$1,$S1067:$AA1067)</f>
        <v>Mandatory</v>
      </c>
      <c r="G1067" s="154" t="s">
        <v>2993</v>
      </c>
      <c r="H1067" s="154" t="s">
        <v>398</v>
      </c>
      <c r="I1067" s="154" t="s">
        <v>414</v>
      </c>
      <c r="J1067" s="247" t="s">
        <v>445</v>
      </c>
      <c r="K1067" s="154"/>
      <c r="L1067" s="154" t="str">
        <f t="shared" si="1"/>
        <v/>
      </c>
      <c r="M1067" s="248" t="str">
        <f>IFERROR(__xludf.DUMMYFUNCTION("VLOOKUP(C1067,IMPORTRANGE(""https://docs.google.com/spreadsheets/d/1P8eX0NWBhUPS_hvzA11R6jkTNFrPrRYIx_dX_hYbxrk/edit?resourcekey=0-iw9bsKY2OqkUHCFMkCar3A&amp;gid=2055363397#gid=2055363397"",""MTR!C:O""),11,false)"),"PMW-IMS")</f>
        <v>PMW-IMS</v>
      </c>
      <c r="N1067" s="248" t="str">
        <f>IFERROR(__xludf.DUMMYFUNCTION("VLOOKUP(C1067,IMPORTRANGE(""https://docs.google.com/spreadsheets/d/1ihFlp3_ePlYtFuPbUNbYj1muErVpI73WHXbEwJDIA7Q/edit#gid=1493122344"",""MTR!C:O""),8,false)"),"Complies")</f>
        <v>Complies</v>
      </c>
      <c r="O1067" s="241" t="str">
        <f>IFERROR(__xludf.DUMMYFUNCTION("VLOOKUP(C1067,IMPORTRANGE(""https://docs.google.com/spreadsheets/d/1P8eX0NWBhUPS_hvzA11R6jkTNFrPrRYIx_dX_hYbxrk/edit?resourcekey=0-iw9bsKY2OqkUHCFMkCar3A&amp;gid=2055363397#gid=2055363397"",""MTR!C:O""),9,false)"),"")</f>
        <v/>
      </c>
      <c r="P1067" s="241"/>
      <c r="Q1067" s="251" t="s">
        <v>445</v>
      </c>
      <c r="R1067" s="241"/>
      <c r="S1067" s="154" t="s">
        <v>60</v>
      </c>
      <c r="T1067" s="154" t="s">
        <v>60</v>
      </c>
      <c r="U1067" s="154" t="s">
        <v>60</v>
      </c>
      <c r="V1067" s="154" t="s">
        <v>60</v>
      </c>
      <c r="W1067" s="154" t="s">
        <v>60</v>
      </c>
      <c r="X1067" s="154" t="s">
        <v>60</v>
      </c>
      <c r="Y1067" s="154" t="s">
        <v>60</v>
      </c>
      <c r="Z1067" s="154" t="s">
        <v>60</v>
      </c>
      <c r="AA1067" s="154" t="s">
        <v>60</v>
      </c>
      <c r="AB1067" s="154"/>
      <c r="AC1067" s="242" t="b">
        <f t="shared" si="2"/>
        <v>1</v>
      </c>
      <c r="AD1067" s="154" t="s">
        <v>391</v>
      </c>
      <c r="AE1067" s="243" t="b">
        <f t="shared" si="3"/>
        <v>0</v>
      </c>
      <c r="AF1067" s="154"/>
      <c r="AG1067" s="243" t="b">
        <f t="shared" si="7"/>
        <v>0</v>
      </c>
      <c r="AH1067" s="154"/>
      <c r="AI1067" s="243" t="str">
        <f t="shared" si="5"/>
        <v>N/A</v>
      </c>
      <c r="AJ1067" s="157" t="str">
        <f t="shared" si="6"/>
        <v/>
      </c>
    </row>
    <row r="1068" ht="12.75" customHeight="1">
      <c r="A1068" s="244" t="s">
        <v>2412</v>
      </c>
      <c r="B1068" s="244" t="s">
        <v>2981</v>
      </c>
      <c r="C1068" s="244" t="s">
        <v>2994</v>
      </c>
      <c r="D1068" s="154" t="s">
        <v>1211</v>
      </c>
      <c r="E1068" s="250"/>
      <c r="F1068" s="154" t="str">
        <f t="array" ref="F1068">XLOOKUP(Cover!$D$12,$S$1:$AA$1,$S1068:$AA1068)</f>
        <v>Mandatory</v>
      </c>
      <c r="G1068" s="153" t="s">
        <v>2995</v>
      </c>
      <c r="H1068" s="154" t="s">
        <v>398</v>
      </c>
      <c r="I1068" s="154" t="s">
        <v>414</v>
      </c>
      <c r="J1068" s="247" t="s">
        <v>445</v>
      </c>
      <c r="K1068" s="154"/>
      <c r="L1068" s="154" t="str">
        <f t="shared" si="1"/>
        <v/>
      </c>
      <c r="M1068" s="248" t="str">
        <f>IFERROR(__xludf.DUMMYFUNCTION("VLOOKUP(C1068,IMPORTRANGE(""https://docs.google.com/spreadsheets/d/1P8eX0NWBhUPS_hvzA11R6jkTNFrPrRYIx_dX_hYbxrk/edit?resourcekey=0-iw9bsKY2OqkUHCFMkCar3A&amp;gid=2055363397#gid=2055363397"",""MTR!C:O""),11,false)"),"PMW-IMS")</f>
        <v>PMW-IMS</v>
      </c>
      <c r="N1068" s="248" t="str">
        <f>IFERROR(__xludf.DUMMYFUNCTION("VLOOKUP(C1068,IMPORTRANGE(""https://docs.google.com/spreadsheets/d/1ihFlp3_ePlYtFuPbUNbYj1muErVpI73WHXbEwJDIA7Q/edit#gid=1493122344"",""MTR!C:O""),8,false)"),"Complies")</f>
        <v>Complies</v>
      </c>
      <c r="O1068" s="241" t="str">
        <f>IFERROR(__xludf.DUMMYFUNCTION("VLOOKUP(C1068,IMPORTRANGE(""https://docs.google.com/spreadsheets/d/1P8eX0NWBhUPS_hvzA11R6jkTNFrPrRYIx_dX_hYbxrk/edit?resourcekey=0-iw9bsKY2OqkUHCFMkCar3A&amp;gid=2055363397#gid=2055363397"",""MTR!C:O""),9,false)"),"")</f>
        <v/>
      </c>
      <c r="P1068" s="241"/>
      <c r="Q1068" s="251" t="s">
        <v>445</v>
      </c>
      <c r="R1068" s="241"/>
      <c r="S1068" s="154" t="s">
        <v>60</v>
      </c>
      <c r="T1068" s="154" t="s">
        <v>60</v>
      </c>
      <c r="U1068" s="154" t="s">
        <v>60</v>
      </c>
      <c r="V1068" s="154" t="s">
        <v>60</v>
      </c>
      <c r="W1068" s="154" t="s">
        <v>60</v>
      </c>
      <c r="X1068" s="154" t="s">
        <v>60</v>
      </c>
      <c r="Y1068" s="154" t="s">
        <v>60</v>
      </c>
      <c r="Z1068" s="154" t="s">
        <v>60</v>
      </c>
      <c r="AA1068" s="154" t="s">
        <v>60</v>
      </c>
      <c r="AB1068" s="154"/>
      <c r="AC1068" s="242" t="b">
        <f t="shared" si="2"/>
        <v>1</v>
      </c>
      <c r="AD1068" s="154" t="s">
        <v>391</v>
      </c>
      <c r="AE1068" s="243" t="b">
        <f t="shared" si="3"/>
        <v>0</v>
      </c>
      <c r="AF1068" s="154"/>
      <c r="AG1068" s="243" t="b">
        <f t="shared" si="7"/>
        <v>0</v>
      </c>
      <c r="AH1068" s="154"/>
      <c r="AI1068" s="243" t="str">
        <f t="shared" si="5"/>
        <v>N/A</v>
      </c>
      <c r="AJ1068" s="157" t="str">
        <f t="shared" si="6"/>
        <v/>
      </c>
    </row>
    <row r="1069" ht="12.75" customHeight="1">
      <c r="A1069" s="238" t="s">
        <v>2412</v>
      </c>
      <c r="B1069" s="238" t="s">
        <v>2981</v>
      </c>
      <c r="C1069" s="238" t="s">
        <v>2996</v>
      </c>
      <c r="D1069" s="238"/>
      <c r="E1069" s="238"/>
      <c r="F1069" s="154" t="str">
        <f t="array" ref="F1069">XLOOKUP(Cover!$D$12,$S$1:$AA$1,$S1069:$AA1069)</f>
        <v>Heading</v>
      </c>
      <c r="G1069" s="239" t="s">
        <v>2997</v>
      </c>
      <c r="H1069" s="240"/>
      <c r="I1069" s="240" t="s">
        <v>414</v>
      </c>
      <c r="J1069" s="262"/>
      <c r="K1069" s="240"/>
      <c r="L1069" s="154" t="str">
        <f t="shared" si="1"/>
        <v/>
      </c>
      <c r="M1069" s="241" t="str">
        <f>IFERROR(__xludf.DUMMYFUNCTION("VLOOKUP(C1069,IMPORTRANGE(""https://docs.google.com/spreadsheets/d/1P8eX0NWBhUPS_hvzA11R6jkTNFrPrRYIx_dX_hYbxrk/edit?resourcekey=0-iw9bsKY2OqkUHCFMkCar3A&amp;gid=2055363397#gid=2055363397"",""MTR!C:O""),11,false)"),"")</f>
        <v/>
      </c>
      <c r="N1069" s="241" t="str">
        <f>IFERROR(__xludf.DUMMYFUNCTION("VLOOKUP(C1069,IMPORTRANGE(""https://docs.google.com/spreadsheets/d/1ihFlp3_ePlYtFuPbUNbYj1muErVpI73WHXbEwJDIA7Q/edit#gid=1493122344"",""MTR!C:O""),8,false)"),"")</f>
        <v/>
      </c>
      <c r="O1069" s="241" t="str">
        <f>IFERROR(__xludf.DUMMYFUNCTION("VLOOKUP(C1069,IMPORTRANGE(""https://docs.google.com/spreadsheets/d/1P8eX0NWBhUPS_hvzA11R6jkTNFrPrRYIx_dX_hYbxrk/edit?resourcekey=0-iw9bsKY2OqkUHCFMkCar3A&amp;gid=2055363397#gid=2055363397"",""MTR!C:O""),9,false)"),"")</f>
        <v/>
      </c>
      <c r="P1069" s="241"/>
      <c r="Q1069" s="251"/>
      <c r="R1069" s="241"/>
      <c r="S1069" s="240" t="s">
        <v>390</v>
      </c>
      <c r="T1069" s="240" t="s">
        <v>390</v>
      </c>
      <c r="U1069" s="240" t="s">
        <v>390</v>
      </c>
      <c r="V1069" s="240" t="s">
        <v>390</v>
      </c>
      <c r="W1069" s="240" t="s">
        <v>390</v>
      </c>
      <c r="X1069" s="240" t="s">
        <v>390</v>
      </c>
      <c r="Y1069" s="240" t="s">
        <v>390</v>
      </c>
      <c r="Z1069" s="240" t="s">
        <v>390</v>
      </c>
      <c r="AA1069" s="240" t="s">
        <v>390</v>
      </c>
      <c r="AB1069" s="240"/>
      <c r="AC1069" s="242" t="b">
        <f t="shared" si="2"/>
        <v>0</v>
      </c>
      <c r="AD1069" s="240" t="s">
        <v>391</v>
      </c>
      <c r="AE1069" s="243" t="b">
        <f t="shared" si="3"/>
        <v>0</v>
      </c>
      <c r="AF1069" s="240"/>
      <c r="AG1069" s="243" t="b">
        <f t="shared" si="7"/>
        <v>0</v>
      </c>
      <c r="AH1069" s="240"/>
      <c r="AI1069" s="243" t="str">
        <f t="shared" si="5"/>
        <v>N/A</v>
      </c>
      <c r="AJ1069" s="157" t="str">
        <f t="shared" si="6"/>
        <v/>
      </c>
    </row>
    <row r="1070" ht="12.75" customHeight="1">
      <c r="A1070" s="244" t="s">
        <v>2412</v>
      </c>
      <c r="B1070" s="244" t="s">
        <v>2981</v>
      </c>
      <c r="C1070" s="244" t="s">
        <v>2998</v>
      </c>
      <c r="D1070" s="244" t="s">
        <v>433</v>
      </c>
      <c r="E1070" s="244"/>
      <c r="F1070" s="154" t="str">
        <f t="array" ref="F1070">XLOOKUP(Cover!$D$12,$S$1:$AA$1,$S1070:$AA1070)</f>
        <v>Comment</v>
      </c>
      <c r="G1070" s="153" t="s">
        <v>2999</v>
      </c>
      <c r="H1070" s="154"/>
      <c r="I1070" s="154" t="s">
        <v>414</v>
      </c>
      <c r="J1070" s="154"/>
      <c r="K1070" s="154"/>
      <c r="L1070" s="154" t="str">
        <f t="shared" si="1"/>
        <v/>
      </c>
      <c r="M1070" s="241" t="str">
        <f>IFERROR(__xludf.DUMMYFUNCTION("VLOOKUP(C1070,IMPORTRANGE(""https://docs.google.com/spreadsheets/d/1P8eX0NWBhUPS_hvzA11R6jkTNFrPrRYIx_dX_hYbxrk/edit?resourcekey=0-iw9bsKY2OqkUHCFMkCar3A&amp;gid=2055363397#gid=2055363397"",""MTR!C:O""),11,false)"),"")</f>
        <v/>
      </c>
      <c r="N1070" s="241" t="str">
        <f>IFERROR(__xludf.DUMMYFUNCTION("VLOOKUP(C1070,IMPORTRANGE(""https://docs.google.com/spreadsheets/d/1ihFlp3_ePlYtFuPbUNbYj1muErVpI73WHXbEwJDIA7Q/edit#gid=1493122344"",""MTR!C:O""),8,false)"),"")</f>
        <v/>
      </c>
      <c r="O1070" s="241" t="str">
        <f>IFERROR(__xludf.DUMMYFUNCTION("VLOOKUP(C1070,IMPORTRANGE(""https://docs.google.com/spreadsheets/d/1P8eX0NWBhUPS_hvzA11R6jkTNFrPrRYIx_dX_hYbxrk/edit?resourcekey=0-iw9bsKY2OqkUHCFMkCar3A&amp;gid=2055363397#gid=2055363397"",""MTR!C:O""),9,false)"),"")</f>
        <v/>
      </c>
      <c r="P1070" s="241"/>
      <c r="Q1070" s="241"/>
      <c r="R1070" s="241"/>
      <c r="S1070" s="154" t="s">
        <v>35</v>
      </c>
      <c r="T1070" s="154" t="s">
        <v>35</v>
      </c>
      <c r="U1070" s="154" t="s">
        <v>35</v>
      </c>
      <c r="V1070" s="154" t="s">
        <v>35</v>
      </c>
      <c r="W1070" s="154" t="s">
        <v>35</v>
      </c>
      <c r="X1070" s="154" t="s">
        <v>35</v>
      </c>
      <c r="Y1070" s="154" t="s">
        <v>35</v>
      </c>
      <c r="Z1070" s="154" t="s">
        <v>35</v>
      </c>
      <c r="AA1070" s="154" t="s">
        <v>35</v>
      </c>
      <c r="AB1070" s="154"/>
      <c r="AC1070" s="242" t="b">
        <f t="shared" si="2"/>
        <v>0</v>
      </c>
      <c r="AD1070" s="154" t="s">
        <v>391</v>
      </c>
      <c r="AE1070" s="243" t="b">
        <f t="shared" si="3"/>
        <v>0</v>
      </c>
      <c r="AF1070" s="154"/>
      <c r="AG1070" s="243" t="b">
        <f t="shared" si="7"/>
        <v>0</v>
      </c>
      <c r="AH1070" s="154"/>
      <c r="AI1070" s="243" t="str">
        <f t="shared" si="5"/>
        <v>N/A</v>
      </c>
      <c r="AJ1070" s="157" t="str">
        <f t="shared" si="6"/>
        <v/>
      </c>
    </row>
    <row r="1071" ht="12.75" customHeight="1">
      <c r="A1071" s="244" t="s">
        <v>2412</v>
      </c>
      <c r="B1071" s="244" t="s">
        <v>2981</v>
      </c>
      <c r="C1071" s="244" t="s">
        <v>3000</v>
      </c>
      <c r="D1071" s="154" t="s">
        <v>2434</v>
      </c>
      <c r="E1071" s="250"/>
      <c r="F1071" s="154" t="str">
        <f t="array" ref="F1071">XLOOKUP(Cover!$D$12,$S$1:$AA$1,$S1071:$AA1071)</f>
        <v>Mandatory</v>
      </c>
      <c r="G1071" s="154" t="s">
        <v>3001</v>
      </c>
      <c r="H1071" s="154" t="s">
        <v>398</v>
      </c>
      <c r="I1071" s="154" t="s">
        <v>414</v>
      </c>
      <c r="J1071" s="247" t="s">
        <v>445</v>
      </c>
      <c r="K1071" s="154"/>
      <c r="L1071" s="154" t="str">
        <f t="shared" si="1"/>
        <v/>
      </c>
      <c r="M1071" s="248" t="str">
        <f>IFERROR(__xludf.DUMMYFUNCTION("VLOOKUP(C1071,IMPORTRANGE(""https://docs.google.com/spreadsheets/d/1P8eX0NWBhUPS_hvzA11R6jkTNFrPrRYIx_dX_hYbxrk/edit?resourcekey=0-iw9bsKY2OqkUHCFMkCar3A&amp;gid=2055363397#gid=2055363397"",""MTR!C:O""),11,false)"),"PMW-IMS")</f>
        <v>PMW-IMS</v>
      </c>
      <c r="N1071" s="248" t="str">
        <f>IFERROR(__xludf.DUMMYFUNCTION("VLOOKUP(C1071,IMPORTRANGE(""https://docs.google.com/spreadsheets/d/1ihFlp3_ePlYtFuPbUNbYj1muErVpI73WHXbEwJDIA7Q/edit#gid=1493122344"",""MTR!C:O""),8,false)"),"Complies")</f>
        <v>Complies</v>
      </c>
      <c r="O1071" s="241" t="str">
        <f>IFERROR(__xludf.DUMMYFUNCTION("VLOOKUP(C1071,IMPORTRANGE(""https://docs.google.com/spreadsheets/d/1P8eX0NWBhUPS_hvzA11R6jkTNFrPrRYIx_dX_hYbxrk/edit?resourcekey=0-iw9bsKY2OqkUHCFMkCar3A&amp;gid=2055363397#gid=2055363397"",""MTR!C:O""),9,false)"),"")</f>
        <v/>
      </c>
      <c r="P1071" s="241"/>
      <c r="Q1071" s="251" t="s">
        <v>445</v>
      </c>
      <c r="R1071" s="241"/>
      <c r="S1071" s="154" t="s">
        <v>60</v>
      </c>
      <c r="T1071" s="154" t="s">
        <v>60</v>
      </c>
      <c r="U1071" s="154" t="s">
        <v>60</v>
      </c>
      <c r="V1071" s="154" t="s">
        <v>60</v>
      </c>
      <c r="W1071" s="154" t="s">
        <v>60</v>
      </c>
      <c r="X1071" s="154" t="s">
        <v>60</v>
      </c>
      <c r="Y1071" s="154" t="s">
        <v>60</v>
      </c>
      <c r="Z1071" s="154" t="s">
        <v>60</v>
      </c>
      <c r="AA1071" s="154" t="s">
        <v>60</v>
      </c>
      <c r="AB1071" s="154"/>
      <c r="AC1071" s="242" t="b">
        <f t="shared" si="2"/>
        <v>1</v>
      </c>
      <c r="AD1071" s="154" t="s">
        <v>391</v>
      </c>
      <c r="AE1071" s="243" t="b">
        <f t="shared" si="3"/>
        <v>0</v>
      </c>
      <c r="AF1071" s="154"/>
      <c r="AG1071" s="243" t="b">
        <f t="shared" si="7"/>
        <v>0</v>
      </c>
      <c r="AH1071" s="154"/>
      <c r="AI1071" s="243" t="str">
        <f t="shared" si="5"/>
        <v>N/A</v>
      </c>
      <c r="AJ1071" s="157" t="str">
        <f t="shared" si="6"/>
        <v/>
      </c>
    </row>
    <row r="1072" ht="12.75" customHeight="1">
      <c r="A1072" s="244" t="s">
        <v>2412</v>
      </c>
      <c r="B1072" s="244" t="s">
        <v>2981</v>
      </c>
      <c r="C1072" s="244" t="s">
        <v>3002</v>
      </c>
      <c r="D1072" s="154" t="s">
        <v>396</v>
      </c>
      <c r="E1072" s="250"/>
      <c r="F1072" s="154" t="str">
        <f t="array" ref="F1072">XLOOKUP(Cover!$D$12,$S$1:$AA$1,$S1072:$AA1072)</f>
        <v>Mandatory</v>
      </c>
      <c r="G1072" s="154" t="s">
        <v>3003</v>
      </c>
      <c r="H1072" s="154" t="s">
        <v>398</v>
      </c>
      <c r="I1072" s="154" t="s">
        <v>414</v>
      </c>
      <c r="J1072" s="247" t="s">
        <v>445</v>
      </c>
      <c r="K1072" s="154"/>
      <c r="L1072" s="154" t="str">
        <f t="shared" si="1"/>
        <v/>
      </c>
      <c r="M1072" s="248" t="str">
        <f>IFERROR(__xludf.DUMMYFUNCTION("VLOOKUP(C1072,IMPORTRANGE(""https://docs.google.com/spreadsheets/d/1P8eX0NWBhUPS_hvzA11R6jkTNFrPrRYIx_dX_hYbxrk/edit?resourcekey=0-iw9bsKY2OqkUHCFMkCar3A&amp;gid=2055363397#gid=2055363397"",""MTR!C:O""),11,false)"),"PMW-IMS")</f>
        <v>PMW-IMS</v>
      </c>
      <c r="N1072" s="248" t="str">
        <f>IFERROR(__xludf.DUMMYFUNCTION("VLOOKUP(C1072,IMPORTRANGE(""https://docs.google.com/spreadsheets/d/1ihFlp3_ePlYtFuPbUNbYj1muErVpI73WHXbEwJDIA7Q/edit#gid=1493122344"",""MTR!C:O""),8,false)"),"Complies")</f>
        <v>Complies</v>
      </c>
      <c r="O1072" s="241" t="str">
        <f>IFERROR(__xludf.DUMMYFUNCTION("VLOOKUP(C1072,IMPORTRANGE(""https://docs.google.com/spreadsheets/d/1P8eX0NWBhUPS_hvzA11R6jkTNFrPrRYIx_dX_hYbxrk/edit?resourcekey=0-iw9bsKY2OqkUHCFMkCar3A&amp;gid=2055363397#gid=2055363397"",""MTR!C:O""),9,false)"),"")</f>
        <v/>
      </c>
      <c r="P1072" s="241"/>
      <c r="Q1072" s="251" t="s">
        <v>445</v>
      </c>
      <c r="R1072" s="241"/>
      <c r="S1072" s="154" t="s">
        <v>60</v>
      </c>
      <c r="T1072" s="154" t="s">
        <v>60</v>
      </c>
      <c r="U1072" s="154" t="s">
        <v>60</v>
      </c>
      <c r="V1072" s="154" t="s">
        <v>60</v>
      </c>
      <c r="W1072" s="154" t="s">
        <v>60</v>
      </c>
      <c r="X1072" s="154" t="s">
        <v>60</v>
      </c>
      <c r="Y1072" s="154" t="s">
        <v>60</v>
      </c>
      <c r="Z1072" s="154" t="s">
        <v>60</v>
      </c>
      <c r="AA1072" s="154" t="s">
        <v>60</v>
      </c>
      <c r="AB1072" s="154"/>
      <c r="AC1072" s="242" t="b">
        <f t="shared" si="2"/>
        <v>1</v>
      </c>
      <c r="AD1072" s="154" t="s">
        <v>391</v>
      </c>
      <c r="AE1072" s="243" t="b">
        <f t="shared" si="3"/>
        <v>0</v>
      </c>
      <c r="AF1072" s="154"/>
      <c r="AG1072" s="243" t="b">
        <f t="shared" si="7"/>
        <v>0</v>
      </c>
      <c r="AH1072" s="154"/>
      <c r="AI1072" s="243" t="str">
        <f t="shared" si="5"/>
        <v>N/A</v>
      </c>
      <c r="AJ1072" s="157" t="str">
        <f t="shared" si="6"/>
        <v/>
      </c>
    </row>
    <row r="1073" ht="12.75" customHeight="1">
      <c r="A1073" s="244" t="s">
        <v>2412</v>
      </c>
      <c r="B1073" s="244" t="s">
        <v>2981</v>
      </c>
      <c r="C1073" s="244" t="s">
        <v>3004</v>
      </c>
      <c r="D1073" s="154" t="s">
        <v>2434</v>
      </c>
      <c r="E1073" s="250"/>
      <c r="F1073" s="154" t="str">
        <f t="array" ref="F1073">XLOOKUP(Cover!$D$12,$S$1:$AA$1,$S1073:$AA1073)</f>
        <v>Mandatory</v>
      </c>
      <c r="G1073" s="154" t="s">
        <v>3005</v>
      </c>
      <c r="H1073" s="154" t="s">
        <v>398</v>
      </c>
      <c r="I1073" s="154" t="s">
        <v>414</v>
      </c>
      <c r="J1073" s="247" t="s">
        <v>445</v>
      </c>
      <c r="K1073" s="154"/>
      <c r="L1073" s="154" t="str">
        <f t="shared" si="1"/>
        <v/>
      </c>
      <c r="M1073" s="248" t="str">
        <f>IFERROR(__xludf.DUMMYFUNCTION("VLOOKUP(C1073,IMPORTRANGE(""https://docs.google.com/spreadsheets/d/1P8eX0NWBhUPS_hvzA11R6jkTNFrPrRYIx_dX_hYbxrk/edit?resourcekey=0-iw9bsKY2OqkUHCFMkCar3A&amp;gid=2055363397#gid=2055363397"",""MTR!C:O""),11,false)"),"PMW-IMS")</f>
        <v>PMW-IMS</v>
      </c>
      <c r="N1073" s="248" t="str">
        <f>IFERROR(__xludf.DUMMYFUNCTION("VLOOKUP(C1073,IMPORTRANGE(""https://docs.google.com/spreadsheets/d/1ihFlp3_ePlYtFuPbUNbYj1muErVpI73WHXbEwJDIA7Q/edit#gid=1493122344"",""MTR!C:O""),8,false)"),"Complies")</f>
        <v>Complies</v>
      </c>
      <c r="O1073" s="241" t="str">
        <f>IFERROR(__xludf.DUMMYFUNCTION("VLOOKUP(C1073,IMPORTRANGE(""https://docs.google.com/spreadsheets/d/1P8eX0NWBhUPS_hvzA11R6jkTNFrPrRYIx_dX_hYbxrk/edit?resourcekey=0-iw9bsKY2OqkUHCFMkCar3A&amp;gid=2055363397#gid=2055363397"",""MTR!C:O""),9,false)"),"")</f>
        <v/>
      </c>
      <c r="P1073" s="241"/>
      <c r="Q1073" s="251" t="s">
        <v>445</v>
      </c>
      <c r="R1073" s="241"/>
      <c r="S1073" s="154" t="s">
        <v>60</v>
      </c>
      <c r="T1073" s="154" t="s">
        <v>60</v>
      </c>
      <c r="U1073" s="154" t="s">
        <v>60</v>
      </c>
      <c r="V1073" s="154" t="s">
        <v>60</v>
      </c>
      <c r="W1073" s="154" t="s">
        <v>60</v>
      </c>
      <c r="X1073" s="154" t="s">
        <v>60</v>
      </c>
      <c r="Y1073" s="154" t="s">
        <v>60</v>
      </c>
      <c r="Z1073" s="154" t="s">
        <v>60</v>
      </c>
      <c r="AA1073" s="154" t="s">
        <v>60</v>
      </c>
      <c r="AB1073" s="154"/>
      <c r="AC1073" s="242" t="b">
        <f t="shared" si="2"/>
        <v>1</v>
      </c>
      <c r="AD1073" s="154" t="s">
        <v>391</v>
      </c>
      <c r="AE1073" s="243" t="b">
        <f t="shared" si="3"/>
        <v>0</v>
      </c>
      <c r="AF1073" s="154"/>
      <c r="AG1073" s="243" t="b">
        <f t="shared" si="7"/>
        <v>0</v>
      </c>
      <c r="AH1073" s="154"/>
      <c r="AI1073" s="243" t="str">
        <f t="shared" si="5"/>
        <v>N/A</v>
      </c>
      <c r="AJ1073" s="157" t="str">
        <f t="shared" si="6"/>
        <v/>
      </c>
    </row>
    <row r="1074" ht="12.75" customHeight="1">
      <c r="A1074" s="244" t="s">
        <v>2412</v>
      </c>
      <c r="B1074" s="244" t="s">
        <v>2981</v>
      </c>
      <c r="C1074" s="244" t="s">
        <v>3006</v>
      </c>
      <c r="D1074" s="154" t="s">
        <v>459</v>
      </c>
      <c r="E1074" s="250"/>
      <c r="F1074" s="154" t="str">
        <f t="array" ref="F1074">XLOOKUP(Cover!$D$12,$S$1:$AA$1,$S1074:$AA1074)</f>
        <v>Mandatory</v>
      </c>
      <c r="G1074" s="154" t="s">
        <v>3007</v>
      </c>
      <c r="H1074" s="154" t="s">
        <v>398</v>
      </c>
      <c r="I1074" s="154" t="s">
        <v>414</v>
      </c>
      <c r="J1074" s="247" t="s">
        <v>516</v>
      </c>
      <c r="K1074" s="154"/>
      <c r="L1074" s="154" t="str">
        <f t="shared" si="1"/>
        <v/>
      </c>
      <c r="M1074" s="248" t="str">
        <f>IFERROR(__xludf.DUMMYFUNCTION("VLOOKUP(C1074,IMPORTRANGE(""https://docs.google.com/spreadsheets/d/1P8eX0NWBhUPS_hvzA11R6jkTNFrPrRYIx_dX_hYbxrk/edit?resourcekey=0-iw9bsKY2OqkUHCFMkCar3A&amp;gid=2055363397#gid=2055363397"",""MTR!C:O""),11,false)"),"PMW-IMS")</f>
        <v>PMW-IMS</v>
      </c>
      <c r="N1074" s="248" t="str">
        <f>IFERROR(__xludf.DUMMYFUNCTION("VLOOKUP(C1074,IMPORTRANGE(""https://docs.google.com/spreadsheets/d/1ihFlp3_ePlYtFuPbUNbYj1muErVpI73WHXbEwJDIA7Q/edit#gid=1493122344"",""MTR!C:O""),8,false)"),"Does Not Comply")</f>
        <v>Does Not Comply</v>
      </c>
      <c r="O1074" s="241" t="str">
        <f>IFERROR(__xludf.DUMMYFUNCTION("VLOOKUP(C1074,IMPORTRANGE(""https://docs.google.com/spreadsheets/d/1P8eX0NWBhUPS_hvzA11R6jkTNFrPrRYIx_dX_hYbxrk/edit?resourcekey=0-iw9bsKY2OqkUHCFMkCar3A&amp;gid=2055363397#gid=2055363397"",""MTR!C:O""),9,false)"),"")</f>
        <v/>
      </c>
      <c r="P1074" s="241"/>
      <c r="Q1074" s="251" t="s">
        <v>516</v>
      </c>
      <c r="R1074" s="241"/>
      <c r="S1074" s="154" t="s">
        <v>60</v>
      </c>
      <c r="T1074" s="154" t="s">
        <v>60</v>
      </c>
      <c r="U1074" s="154" t="s">
        <v>60</v>
      </c>
      <c r="V1074" s="154" t="s">
        <v>60</v>
      </c>
      <c r="W1074" s="154" t="s">
        <v>60</v>
      </c>
      <c r="X1074" s="154" t="s">
        <v>60</v>
      </c>
      <c r="Y1074" s="154" t="s">
        <v>60</v>
      </c>
      <c r="Z1074" s="154" t="s">
        <v>60</v>
      </c>
      <c r="AA1074" s="154" t="s">
        <v>60</v>
      </c>
      <c r="AB1074" s="154"/>
      <c r="AC1074" s="242" t="b">
        <f t="shared" si="2"/>
        <v>1</v>
      </c>
      <c r="AD1074" s="154" t="s">
        <v>391</v>
      </c>
      <c r="AE1074" s="243" t="b">
        <f t="shared" si="3"/>
        <v>0</v>
      </c>
      <c r="AF1074" s="154"/>
      <c r="AG1074" s="243" t="b">
        <f t="shared" si="7"/>
        <v>0</v>
      </c>
      <c r="AH1074" s="154"/>
      <c r="AI1074" s="243" t="str">
        <f t="shared" si="5"/>
        <v>N/A</v>
      </c>
      <c r="AJ1074" s="157" t="str">
        <f t="shared" si="6"/>
        <v/>
      </c>
    </row>
    <row r="1075" ht="12.75" customHeight="1">
      <c r="A1075" s="244" t="s">
        <v>2412</v>
      </c>
      <c r="B1075" s="244" t="s">
        <v>2981</v>
      </c>
      <c r="C1075" s="244" t="s">
        <v>3008</v>
      </c>
      <c r="D1075" s="154" t="s">
        <v>396</v>
      </c>
      <c r="E1075" s="250"/>
      <c r="F1075" s="154" t="str">
        <f t="array" ref="F1075">XLOOKUP(Cover!$D$12,$S$1:$AA$1,$S1075:$AA1075)</f>
        <v>Mandatory</v>
      </c>
      <c r="G1075" s="154" t="s">
        <v>3009</v>
      </c>
      <c r="H1075" s="154" t="s">
        <v>398</v>
      </c>
      <c r="I1075" s="154" t="s">
        <v>414</v>
      </c>
      <c r="J1075" s="247" t="s">
        <v>445</v>
      </c>
      <c r="K1075" s="154"/>
      <c r="L1075" s="154" t="str">
        <f t="shared" si="1"/>
        <v/>
      </c>
      <c r="M1075" s="248" t="str">
        <f>IFERROR(__xludf.DUMMYFUNCTION("VLOOKUP(C1075,IMPORTRANGE(""https://docs.google.com/spreadsheets/d/1P8eX0NWBhUPS_hvzA11R6jkTNFrPrRYIx_dX_hYbxrk/edit?resourcekey=0-iw9bsKY2OqkUHCFMkCar3A&amp;gid=2055363397#gid=2055363397"",""MTR!C:O""),11,false)"),"PMW-IMS")</f>
        <v>PMW-IMS</v>
      </c>
      <c r="N1075" s="248" t="str">
        <f>IFERROR(__xludf.DUMMYFUNCTION("VLOOKUP(C1075,IMPORTRANGE(""https://docs.google.com/spreadsheets/d/1ihFlp3_ePlYtFuPbUNbYj1muErVpI73WHXbEwJDIA7Q/edit#gid=1493122344"",""MTR!C:O""),8,false)"),"Complies")</f>
        <v>Complies</v>
      </c>
      <c r="O1075" s="241" t="str">
        <f>IFERROR(__xludf.DUMMYFUNCTION("VLOOKUP(C1075,IMPORTRANGE(""https://docs.google.com/spreadsheets/d/1P8eX0NWBhUPS_hvzA11R6jkTNFrPrRYIx_dX_hYbxrk/edit?resourcekey=0-iw9bsKY2OqkUHCFMkCar3A&amp;gid=2055363397#gid=2055363397"",""MTR!C:O""),9,false)"),"")</f>
        <v/>
      </c>
      <c r="P1075" s="241"/>
      <c r="Q1075" s="251" t="s">
        <v>445</v>
      </c>
      <c r="R1075" s="241"/>
      <c r="S1075" s="154" t="s">
        <v>60</v>
      </c>
      <c r="T1075" s="154" t="s">
        <v>60</v>
      </c>
      <c r="U1075" s="154" t="s">
        <v>60</v>
      </c>
      <c r="V1075" s="154" t="s">
        <v>60</v>
      </c>
      <c r="W1075" s="154" t="s">
        <v>60</v>
      </c>
      <c r="X1075" s="154" t="s">
        <v>60</v>
      </c>
      <c r="Y1075" s="154" t="s">
        <v>60</v>
      </c>
      <c r="Z1075" s="154" t="s">
        <v>60</v>
      </c>
      <c r="AA1075" s="154" t="s">
        <v>60</v>
      </c>
      <c r="AB1075" s="154"/>
      <c r="AC1075" s="242" t="b">
        <f t="shared" si="2"/>
        <v>1</v>
      </c>
      <c r="AD1075" s="154" t="s">
        <v>391</v>
      </c>
      <c r="AE1075" s="243" t="b">
        <f t="shared" si="3"/>
        <v>0</v>
      </c>
      <c r="AF1075" s="154"/>
      <c r="AG1075" s="243" t="b">
        <f t="shared" si="7"/>
        <v>0</v>
      </c>
      <c r="AH1075" s="154"/>
      <c r="AI1075" s="243" t="str">
        <f t="shared" si="5"/>
        <v>N/A</v>
      </c>
      <c r="AJ1075" s="157" t="str">
        <f t="shared" si="6"/>
        <v/>
      </c>
    </row>
    <row r="1076" ht="12.75" customHeight="1">
      <c r="A1076" s="244" t="s">
        <v>2412</v>
      </c>
      <c r="B1076" s="244" t="s">
        <v>2981</v>
      </c>
      <c r="C1076" s="244" t="s">
        <v>3010</v>
      </c>
      <c r="D1076" s="154" t="s">
        <v>396</v>
      </c>
      <c r="E1076" s="250"/>
      <c r="F1076" s="154" t="str">
        <f t="array" ref="F1076">XLOOKUP(Cover!$D$12,$S$1:$AA$1,$S1076:$AA1076)</f>
        <v>Mandatory</v>
      </c>
      <c r="G1076" s="154" t="s">
        <v>3011</v>
      </c>
      <c r="H1076" s="154" t="s">
        <v>398</v>
      </c>
      <c r="I1076" s="154" t="s">
        <v>414</v>
      </c>
      <c r="J1076" s="247" t="s">
        <v>445</v>
      </c>
      <c r="K1076" s="154"/>
      <c r="L1076" s="154" t="str">
        <f t="shared" si="1"/>
        <v/>
      </c>
      <c r="M1076" s="248" t="str">
        <f>IFERROR(__xludf.DUMMYFUNCTION("VLOOKUP(C1076,IMPORTRANGE(""https://docs.google.com/spreadsheets/d/1P8eX0NWBhUPS_hvzA11R6jkTNFrPrRYIx_dX_hYbxrk/edit?resourcekey=0-iw9bsKY2OqkUHCFMkCar3A&amp;gid=2055363397#gid=2055363397"",""MTR!C:O""),11,false)"),"PMW-IMS")</f>
        <v>PMW-IMS</v>
      </c>
      <c r="N1076" s="248" t="str">
        <f>IFERROR(__xludf.DUMMYFUNCTION("VLOOKUP(C1076,IMPORTRANGE(""https://docs.google.com/spreadsheets/d/1ihFlp3_ePlYtFuPbUNbYj1muErVpI73WHXbEwJDIA7Q/edit#gid=1493122344"",""MTR!C:O""),8,false)"),"Complies")</f>
        <v>Complies</v>
      </c>
      <c r="O1076" s="241" t="str">
        <f>IFERROR(__xludf.DUMMYFUNCTION("VLOOKUP(C1076,IMPORTRANGE(""https://docs.google.com/spreadsheets/d/1P8eX0NWBhUPS_hvzA11R6jkTNFrPrRYIx_dX_hYbxrk/edit?resourcekey=0-iw9bsKY2OqkUHCFMkCar3A&amp;gid=2055363397#gid=2055363397"",""MTR!C:O""),9,false)"),"")</f>
        <v/>
      </c>
      <c r="P1076" s="241"/>
      <c r="Q1076" s="251" t="s">
        <v>445</v>
      </c>
      <c r="R1076" s="241"/>
      <c r="S1076" s="154" t="s">
        <v>60</v>
      </c>
      <c r="T1076" s="154" t="s">
        <v>60</v>
      </c>
      <c r="U1076" s="154" t="s">
        <v>60</v>
      </c>
      <c r="V1076" s="154" t="s">
        <v>60</v>
      </c>
      <c r="W1076" s="154" t="s">
        <v>60</v>
      </c>
      <c r="X1076" s="154" t="s">
        <v>60</v>
      </c>
      <c r="Y1076" s="154" t="s">
        <v>60</v>
      </c>
      <c r="Z1076" s="154" t="s">
        <v>60</v>
      </c>
      <c r="AA1076" s="154" t="s">
        <v>60</v>
      </c>
      <c r="AB1076" s="154"/>
      <c r="AC1076" s="242" t="b">
        <f t="shared" si="2"/>
        <v>1</v>
      </c>
      <c r="AD1076" s="154" t="s">
        <v>391</v>
      </c>
      <c r="AE1076" s="243" t="b">
        <f t="shared" si="3"/>
        <v>0</v>
      </c>
      <c r="AF1076" s="154"/>
      <c r="AG1076" s="243" t="b">
        <f t="shared" si="7"/>
        <v>0</v>
      </c>
      <c r="AH1076" s="154"/>
      <c r="AI1076" s="243" t="str">
        <f t="shared" si="5"/>
        <v>N/A</v>
      </c>
      <c r="AJ1076" s="157" t="str">
        <f t="shared" si="6"/>
        <v/>
      </c>
    </row>
    <row r="1077" ht="12.75" customHeight="1">
      <c r="A1077" s="244" t="s">
        <v>2412</v>
      </c>
      <c r="B1077" s="244" t="s">
        <v>2981</v>
      </c>
      <c r="C1077" s="244" t="s">
        <v>3012</v>
      </c>
      <c r="D1077" s="154" t="s">
        <v>396</v>
      </c>
      <c r="E1077" s="250"/>
      <c r="F1077" s="154" t="str">
        <f t="array" ref="F1077">XLOOKUP(Cover!$D$12,$S$1:$AA$1,$S1077:$AA1077)</f>
        <v>Mandatory</v>
      </c>
      <c r="G1077" s="154" t="s">
        <v>3013</v>
      </c>
      <c r="H1077" s="154" t="s">
        <v>398</v>
      </c>
      <c r="I1077" s="154" t="s">
        <v>414</v>
      </c>
      <c r="J1077" s="247" t="s">
        <v>445</v>
      </c>
      <c r="K1077" s="154"/>
      <c r="L1077" s="154" t="str">
        <f t="shared" si="1"/>
        <v/>
      </c>
      <c r="M1077" s="248" t="str">
        <f>IFERROR(__xludf.DUMMYFUNCTION("VLOOKUP(C1077,IMPORTRANGE(""https://docs.google.com/spreadsheets/d/1P8eX0NWBhUPS_hvzA11R6jkTNFrPrRYIx_dX_hYbxrk/edit?resourcekey=0-iw9bsKY2OqkUHCFMkCar3A&amp;gid=2055363397#gid=2055363397"",""MTR!C:O""),11,false)"),"PMW-IMS")</f>
        <v>PMW-IMS</v>
      </c>
      <c r="N1077" s="248" t="str">
        <f>IFERROR(__xludf.DUMMYFUNCTION("VLOOKUP(C1077,IMPORTRANGE(""https://docs.google.com/spreadsheets/d/1ihFlp3_ePlYtFuPbUNbYj1muErVpI73WHXbEwJDIA7Q/edit#gid=1493122344"",""MTR!C:O""),8,false)"),"Complies")</f>
        <v>Complies</v>
      </c>
      <c r="O1077" s="241" t="str">
        <f>IFERROR(__xludf.DUMMYFUNCTION("VLOOKUP(C1077,IMPORTRANGE(""https://docs.google.com/spreadsheets/d/1P8eX0NWBhUPS_hvzA11R6jkTNFrPrRYIx_dX_hYbxrk/edit?resourcekey=0-iw9bsKY2OqkUHCFMkCar3A&amp;gid=2055363397#gid=2055363397"",""MTR!C:O""),9,false)"),"")</f>
        <v/>
      </c>
      <c r="P1077" s="241"/>
      <c r="Q1077" s="251" t="s">
        <v>445</v>
      </c>
      <c r="R1077" s="241"/>
      <c r="S1077" s="154" t="s">
        <v>60</v>
      </c>
      <c r="T1077" s="154" t="s">
        <v>60</v>
      </c>
      <c r="U1077" s="154" t="s">
        <v>60</v>
      </c>
      <c r="V1077" s="154" t="s">
        <v>60</v>
      </c>
      <c r="W1077" s="154" t="s">
        <v>60</v>
      </c>
      <c r="X1077" s="154" t="s">
        <v>60</v>
      </c>
      <c r="Y1077" s="154" t="s">
        <v>60</v>
      </c>
      <c r="Z1077" s="154" t="s">
        <v>60</v>
      </c>
      <c r="AA1077" s="154" t="s">
        <v>60</v>
      </c>
      <c r="AB1077" s="154"/>
      <c r="AC1077" s="242" t="b">
        <f t="shared" si="2"/>
        <v>1</v>
      </c>
      <c r="AD1077" s="154" t="s">
        <v>391</v>
      </c>
      <c r="AE1077" s="243" t="b">
        <f t="shared" si="3"/>
        <v>0</v>
      </c>
      <c r="AF1077" s="154"/>
      <c r="AG1077" s="243" t="b">
        <f t="shared" si="7"/>
        <v>0</v>
      </c>
      <c r="AH1077" s="154"/>
      <c r="AI1077" s="243" t="str">
        <f t="shared" si="5"/>
        <v>N/A</v>
      </c>
      <c r="AJ1077" s="157" t="str">
        <f t="shared" si="6"/>
        <v/>
      </c>
    </row>
    <row r="1078" ht="12.75" customHeight="1">
      <c r="A1078" s="244" t="s">
        <v>2412</v>
      </c>
      <c r="B1078" s="244" t="s">
        <v>2981</v>
      </c>
      <c r="C1078" s="244" t="s">
        <v>3014</v>
      </c>
      <c r="D1078" s="154" t="s">
        <v>459</v>
      </c>
      <c r="E1078" s="250"/>
      <c r="F1078" s="154" t="str">
        <f t="array" ref="F1078">XLOOKUP(Cover!$D$12,$S$1:$AA$1,$S1078:$AA1078)</f>
        <v>Mandatory</v>
      </c>
      <c r="G1078" s="154" t="s">
        <v>3015</v>
      </c>
      <c r="H1078" s="154" t="s">
        <v>398</v>
      </c>
      <c r="I1078" s="154" t="s">
        <v>414</v>
      </c>
      <c r="J1078" s="247" t="s">
        <v>445</v>
      </c>
      <c r="K1078" s="154"/>
      <c r="L1078" s="154" t="str">
        <f t="shared" si="1"/>
        <v/>
      </c>
      <c r="M1078" s="248" t="str">
        <f>IFERROR(__xludf.DUMMYFUNCTION("VLOOKUP(C1078,IMPORTRANGE(""https://docs.google.com/spreadsheets/d/1P8eX0NWBhUPS_hvzA11R6jkTNFrPrRYIx_dX_hYbxrk/edit?resourcekey=0-iw9bsKY2OqkUHCFMkCar3A&amp;gid=2055363397#gid=2055363397"",""MTR!C:O""),11,false)"),"PMW-IMS")</f>
        <v>PMW-IMS</v>
      </c>
      <c r="N1078" s="248" t="str">
        <f>IFERROR(__xludf.DUMMYFUNCTION("VLOOKUP(C1078,IMPORTRANGE(""https://docs.google.com/spreadsheets/d/1ihFlp3_ePlYtFuPbUNbYj1muErVpI73WHXbEwJDIA7Q/edit#gid=1493122344"",""MTR!C:O""),8,false)"),"Complies")</f>
        <v>Complies</v>
      </c>
      <c r="O1078" s="241" t="str">
        <f>IFERROR(__xludf.DUMMYFUNCTION("VLOOKUP(C1078,IMPORTRANGE(""https://docs.google.com/spreadsheets/d/1P8eX0NWBhUPS_hvzA11R6jkTNFrPrRYIx_dX_hYbxrk/edit?resourcekey=0-iw9bsKY2OqkUHCFMkCar3A&amp;gid=2055363397#gid=2055363397"",""MTR!C:O""),9,false)"),"")</f>
        <v/>
      </c>
      <c r="P1078" s="241"/>
      <c r="Q1078" s="251" t="s">
        <v>445</v>
      </c>
      <c r="R1078" s="241"/>
      <c r="S1078" s="154" t="s">
        <v>60</v>
      </c>
      <c r="T1078" s="154" t="s">
        <v>60</v>
      </c>
      <c r="U1078" s="154" t="s">
        <v>60</v>
      </c>
      <c r="V1078" s="154" t="s">
        <v>60</v>
      </c>
      <c r="W1078" s="154" t="s">
        <v>60</v>
      </c>
      <c r="X1078" s="154" t="s">
        <v>60</v>
      </c>
      <c r="Y1078" s="154" t="s">
        <v>60</v>
      </c>
      <c r="Z1078" s="154" t="s">
        <v>60</v>
      </c>
      <c r="AA1078" s="154" t="s">
        <v>60</v>
      </c>
      <c r="AB1078" s="154"/>
      <c r="AC1078" s="242" t="b">
        <f t="shared" si="2"/>
        <v>1</v>
      </c>
      <c r="AD1078" s="154" t="s">
        <v>391</v>
      </c>
      <c r="AE1078" s="243" t="b">
        <f t="shared" si="3"/>
        <v>0</v>
      </c>
      <c r="AF1078" s="154"/>
      <c r="AG1078" s="243" t="b">
        <f t="shared" si="7"/>
        <v>0</v>
      </c>
      <c r="AH1078" s="154"/>
      <c r="AI1078" s="243" t="str">
        <f t="shared" si="5"/>
        <v>N/A</v>
      </c>
      <c r="AJ1078" s="157" t="str">
        <f t="shared" si="6"/>
        <v/>
      </c>
    </row>
    <row r="1079" ht="12.75" customHeight="1">
      <c r="A1079" s="244" t="s">
        <v>2412</v>
      </c>
      <c r="B1079" s="244" t="s">
        <v>2981</v>
      </c>
      <c r="C1079" s="244" t="s">
        <v>3016</v>
      </c>
      <c r="D1079" s="154" t="s">
        <v>396</v>
      </c>
      <c r="E1079" s="250"/>
      <c r="F1079" s="154" t="str">
        <f t="array" ref="F1079">XLOOKUP(Cover!$D$12,$S$1:$AA$1,$S1079:$AA1079)</f>
        <v>Mandatory</v>
      </c>
      <c r="G1079" s="154" t="s">
        <v>3017</v>
      </c>
      <c r="H1079" s="154" t="s">
        <v>398</v>
      </c>
      <c r="I1079" s="154" t="s">
        <v>414</v>
      </c>
      <c r="J1079" s="247" t="s">
        <v>445</v>
      </c>
      <c r="K1079" s="154"/>
      <c r="L1079" s="154" t="str">
        <f t="shared" si="1"/>
        <v/>
      </c>
      <c r="M1079" s="248" t="str">
        <f>IFERROR(__xludf.DUMMYFUNCTION("VLOOKUP(C1079,IMPORTRANGE(""https://docs.google.com/spreadsheets/d/1P8eX0NWBhUPS_hvzA11R6jkTNFrPrRYIx_dX_hYbxrk/edit?resourcekey=0-iw9bsKY2OqkUHCFMkCar3A&amp;gid=2055363397#gid=2055363397"",""MTR!C:O""),11,false)"),"PMW-IMS")</f>
        <v>PMW-IMS</v>
      </c>
      <c r="N1079" s="248" t="str">
        <f>IFERROR(__xludf.DUMMYFUNCTION("VLOOKUP(C1079,IMPORTRANGE(""https://docs.google.com/spreadsheets/d/1ihFlp3_ePlYtFuPbUNbYj1muErVpI73WHXbEwJDIA7Q/edit#gid=1493122344"",""MTR!C:O""),8,false)"),"Complies")</f>
        <v>Complies</v>
      </c>
      <c r="O1079" s="241" t="str">
        <f>IFERROR(__xludf.DUMMYFUNCTION("VLOOKUP(C1079,IMPORTRANGE(""https://docs.google.com/spreadsheets/d/1P8eX0NWBhUPS_hvzA11R6jkTNFrPrRYIx_dX_hYbxrk/edit?resourcekey=0-iw9bsKY2OqkUHCFMkCar3A&amp;gid=2055363397#gid=2055363397"",""MTR!C:O""),9,false)"),"")</f>
        <v/>
      </c>
      <c r="P1079" s="241"/>
      <c r="Q1079" s="251" t="s">
        <v>445</v>
      </c>
      <c r="R1079" s="241"/>
      <c r="S1079" s="154" t="s">
        <v>60</v>
      </c>
      <c r="T1079" s="154" t="s">
        <v>60</v>
      </c>
      <c r="U1079" s="154" t="s">
        <v>60</v>
      </c>
      <c r="V1079" s="154" t="s">
        <v>60</v>
      </c>
      <c r="W1079" s="154" t="s">
        <v>60</v>
      </c>
      <c r="X1079" s="154" t="s">
        <v>60</v>
      </c>
      <c r="Y1079" s="154" t="s">
        <v>60</v>
      </c>
      <c r="Z1079" s="154" t="s">
        <v>60</v>
      </c>
      <c r="AA1079" s="154" t="s">
        <v>60</v>
      </c>
      <c r="AB1079" s="154"/>
      <c r="AC1079" s="242" t="b">
        <f t="shared" si="2"/>
        <v>1</v>
      </c>
      <c r="AD1079" s="154" t="s">
        <v>391</v>
      </c>
      <c r="AE1079" s="243" t="b">
        <f t="shared" si="3"/>
        <v>0</v>
      </c>
      <c r="AF1079" s="154"/>
      <c r="AG1079" s="243" t="b">
        <f t="shared" si="7"/>
        <v>0</v>
      </c>
      <c r="AH1079" s="154"/>
      <c r="AI1079" s="243" t="str">
        <f t="shared" si="5"/>
        <v>N/A</v>
      </c>
      <c r="AJ1079" s="157" t="str">
        <f t="shared" si="6"/>
        <v/>
      </c>
    </row>
    <row r="1080" ht="12.75" customHeight="1">
      <c r="A1080" s="244" t="s">
        <v>2412</v>
      </c>
      <c r="B1080" s="244" t="s">
        <v>2981</v>
      </c>
      <c r="C1080" s="244" t="s">
        <v>3018</v>
      </c>
      <c r="D1080" s="154" t="s">
        <v>459</v>
      </c>
      <c r="E1080" s="250"/>
      <c r="F1080" s="154" t="str">
        <f t="array" ref="F1080">XLOOKUP(Cover!$D$12,$S$1:$AA$1,$S1080:$AA1080)</f>
        <v>Mandatory</v>
      </c>
      <c r="G1080" s="154" t="s">
        <v>3019</v>
      </c>
      <c r="H1080" s="154" t="s">
        <v>398</v>
      </c>
      <c r="I1080" s="154" t="s">
        <v>414</v>
      </c>
      <c r="J1080" s="247" t="s">
        <v>445</v>
      </c>
      <c r="K1080" s="154"/>
      <c r="L1080" s="154" t="str">
        <f t="shared" si="1"/>
        <v/>
      </c>
      <c r="M1080" s="248" t="str">
        <f>IFERROR(__xludf.DUMMYFUNCTION("VLOOKUP(C1080,IMPORTRANGE(""https://docs.google.com/spreadsheets/d/1P8eX0NWBhUPS_hvzA11R6jkTNFrPrRYIx_dX_hYbxrk/edit?resourcekey=0-iw9bsKY2OqkUHCFMkCar3A&amp;gid=2055363397#gid=2055363397"",""MTR!C:O""),11,false)"),"PMW-IMS")</f>
        <v>PMW-IMS</v>
      </c>
      <c r="N1080" s="248" t="str">
        <f>IFERROR(__xludf.DUMMYFUNCTION("VLOOKUP(C1080,IMPORTRANGE(""https://docs.google.com/spreadsheets/d/1ihFlp3_ePlYtFuPbUNbYj1muErVpI73WHXbEwJDIA7Q/edit#gid=1493122344"",""MTR!C:O""),8,false)"),"Complies")</f>
        <v>Complies</v>
      </c>
      <c r="O1080" s="241" t="str">
        <f>IFERROR(__xludf.DUMMYFUNCTION("VLOOKUP(C1080,IMPORTRANGE(""https://docs.google.com/spreadsheets/d/1P8eX0NWBhUPS_hvzA11R6jkTNFrPrRYIx_dX_hYbxrk/edit?resourcekey=0-iw9bsKY2OqkUHCFMkCar3A&amp;gid=2055363397#gid=2055363397"",""MTR!C:O""),9,false)"),"")</f>
        <v/>
      </c>
      <c r="P1080" s="241"/>
      <c r="Q1080" s="251" t="s">
        <v>445</v>
      </c>
      <c r="R1080" s="241"/>
      <c r="S1080" s="154" t="s">
        <v>60</v>
      </c>
      <c r="T1080" s="154" t="s">
        <v>60</v>
      </c>
      <c r="U1080" s="154" t="s">
        <v>60</v>
      </c>
      <c r="V1080" s="154" t="s">
        <v>60</v>
      </c>
      <c r="W1080" s="154" t="s">
        <v>60</v>
      </c>
      <c r="X1080" s="154" t="s">
        <v>60</v>
      </c>
      <c r="Y1080" s="154" t="s">
        <v>60</v>
      </c>
      <c r="Z1080" s="154" t="s">
        <v>60</v>
      </c>
      <c r="AA1080" s="154" t="s">
        <v>60</v>
      </c>
      <c r="AB1080" s="154"/>
      <c r="AC1080" s="242" t="b">
        <f t="shared" si="2"/>
        <v>1</v>
      </c>
      <c r="AD1080" s="154" t="s">
        <v>391</v>
      </c>
      <c r="AE1080" s="243" t="b">
        <f t="shared" si="3"/>
        <v>0</v>
      </c>
      <c r="AF1080" s="154"/>
      <c r="AG1080" s="243" t="b">
        <f t="shared" si="7"/>
        <v>0</v>
      </c>
      <c r="AH1080" s="154"/>
      <c r="AI1080" s="243" t="str">
        <f t="shared" si="5"/>
        <v>N/A</v>
      </c>
      <c r="AJ1080" s="157" t="str">
        <f t="shared" si="6"/>
        <v/>
      </c>
    </row>
    <row r="1081" ht="12.75" customHeight="1">
      <c r="A1081" s="244" t="s">
        <v>2412</v>
      </c>
      <c r="B1081" s="244" t="s">
        <v>2981</v>
      </c>
      <c r="C1081" s="244" t="s">
        <v>3020</v>
      </c>
      <c r="D1081" s="154" t="s">
        <v>459</v>
      </c>
      <c r="E1081" s="250"/>
      <c r="F1081" s="154" t="str">
        <f t="array" ref="F1081">XLOOKUP(Cover!$D$12,$S$1:$AA$1,$S1081:$AA1081)</f>
        <v>Mandatory</v>
      </c>
      <c r="G1081" s="154" t="s">
        <v>3021</v>
      </c>
      <c r="H1081" s="154" t="s">
        <v>398</v>
      </c>
      <c r="I1081" s="154" t="s">
        <v>414</v>
      </c>
      <c r="J1081" s="247" t="s">
        <v>445</v>
      </c>
      <c r="K1081" s="154"/>
      <c r="L1081" s="154" t="str">
        <f t="shared" si="1"/>
        <v/>
      </c>
      <c r="M1081" s="248" t="str">
        <f>IFERROR(__xludf.DUMMYFUNCTION("VLOOKUP(C1081,IMPORTRANGE(""https://docs.google.com/spreadsheets/d/1P8eX0NWBhUPS_hvzA11R6jkTNFrPrRYIx_dX_hYbxrk/edit?resourcekey=0-iw9bsKY2OqkUHCFMkCar3A&amp;gid=2055363397#gid=2055363397"",""MTR!C:O""),11,false)"),"PMW-IMS")</f>
        <v>PMW-IMS</v>
      </c>
      <c r="N1081" s="248" t="str">
        <f>IFERROR(__xludf.DUMMYFUNCTION("VLOOKUP(C1081,IMPORTRANGE(""https://docs.google.com/spreadsheets/d/1ihFlp3_ePlYtFuPbUNbYj1muErVpI73WHXbEwJDIA7Q/edit#gid=1493122344"",""MTR!C:O""),8,false)"),"Complies")</f>
        <v>Complies</v>
      </c>
      <c r="O1081" s="241" t="str">
        <f>IFERROR(__xludf.DUMMYFUNCTION("VLOOKUP(C1081,IMPORTRANGE(""https://docs.google.com/spreadsheets/d/1P8eX0NWBhUPS_hvzA11R6jkTNFrPrRYIx_dX_hYbxrk/edit?resourcekey=0-iw9bsKY2OqkUHCFMkCar3A&amp;gid=2055363397#gid=2055363397"",""MTR!C:O""),9,false)"),"")</f>
        <v/>
      </c>
      <c r="P1081" s="241"/>
      <c r="Q1081" s="251" t="s">
        <v>445</v>
      </c>
      <c r="R1081" s="241"/>
      <c r="S1081" s="154" t="s">
        <v>60</v>
      </c>
      <c r="T1081" s="154" t="s">
        <v>60</v>
      </c>
      <c r="U1081" s="154" t="s">
        <v>60</v>
      </c>
      <c r="V1081" s="154" t="s">
        <v>60</v>
      </c>
      <c r="W1081" s="154" t="s">
        <v>60</v>
      </c>
      <c r="X1081" s="154" t="s">
        <v>60</v>
      </c>
      <c r="Y1081" s="154" t="s">
        <v>60</v>
      </c>
      <c r="Z1081" s="154" t="s">
        <v>60</v>
      </c>
      <c r="AA1081" s="154" t="s">
        <v>60</v>
      </c>
      <c r="AB1081" s="154"/>
      <c r="AC1081" s="242" t="b">
        <f t="shared" si="2"/>
        <v>1</v>
      </c>
      <c r="AD1081" s="154" t="s">
        <v>391</v>
      </c>
      <c r="AE1081" s="243" t="b">
        <f t="shared" si="3"/>
        <v>0</v>
      </c>
      <c r="AF1081" s="154"/>
      <c r="AG1081" s="243" t="b">
        <f t="shared" si="7"/>
        <v>0</v>
      </c>
      <c r="AH1081" s="154"/>
      <c r="AI1081" s="243" t="str">
        <f t="shared" si="5"/>
        <v>N/A</v>
      </c>
      <c r="AJ1081" s="157" t="str">
        <f t="shared" si="6"/>
        <v/>
      </c>
    </row>
    <row r="1082" ht="12.75" customHeight="1">
      <c r="A1082" s="244" t="s">
        <v>2412</v>
      </c>
      <c r="B1082" s="244" t="s">
        <v>2981</v>
      </c>
      <c r="C1082" s="244" t="s">
        <v>3022</v>
      </c>
      <c r="D1082" s="154" t="s">
        <v>459</v>
      </c>
      <c r="E1082" s="250"/>
      <c r="F1082" s="154" t="str">
        <f t="array" ref="F1082">XLOOKUP(Cover!$D$12,$S$1:$AA$1,$S1082:$AA1082)</f>
        <v>Mandatory</v>
      </c>
      <c r="G1082" s="154" t="s">
        <v>3023</v>
      </c>
      <c r="H1082" s="154" t="s">
        <v>398</v>
      </c>
      <c r="I1082" s="154" t="s">
        <v>414</v>
      </c>
      <c r="J1082" s="247" t="s">
        <v>445</v>
      </c>
      <c r="K1082" s="154"/>
      <c r="L1082" s="154" t="str">
        <f t="shared" si="1"/>
        <v/>
      </c>
      <c r="M1082" s="248" t="str">
        <f>IFERROR(__xludf.DUMMYFUNCTION("VLOOKUP(C1082,IMPORTRANGE(""https://docs.google.com/spreadsheets/d/1P8eX0NWBhUPS_hvzA11R6jkTNFrPrRYIx_dX_hYbxrk/edit?resourcekey=0-iw9bsKY2OqkUHCFMkCar3A&amp;gid=2055363397#gid=2055363397"",""MTR!C:O""),11,false)"),"PMW-IMS")</f>
        <v>PMW-IMS</v>
      </c>
      <c r="N1082" s="248" t="str">
        <f>IFERROR(__xludf.DUMMYFUNCTION("VLOOKUP(C1082,IMPORTRANGE(""https://docs.google.com/spreadsheets/d/1ihFlp3_ePlYtFuPbUNbYj1muErVpI73WHXbEwJDIA7Q/edit#gid=1493122344"",""MTR!C:O""),8,false)"),"Complies")</f>
        <v>Complies</v>
      </c>
      <c r="O1082" s="241" t="str">
        <f>IFERROR(__xludf.DUMMYFUNCTION("VLOOKUP(C1082,IMPORTRANGE(""https://docs.google.com/spreadsheets/d/1P8eX0NWBhUPS_hvzA11R6jkTNFrPrRYIx_dX_hYbxrk/edit?resourcekey=0-iw9bsKY2OqkUHCFMkCar3A&amp;gid=2055363397#gid=2055363397"",""MTR!C:O""),9,false)"),"")</f>
        <v/>
      </c>
      <c r="P1082" s="241"/>
      <c r="Q1082" s="251" t="s">
        <v>445</v>
      </c>
      <c r="R1082" s="241"/>
      <c r="S1082" s="154" t="s">
        <v>60</v>
      </c>
      <c r="T1082" s="154" t="s">
        <v>60</v>
      </c>
      <c r="U1082" s="154" t="s">
        <v>60</v>
      </c>
      <c r="V1082" s="154" t="s">
        <v>60</v>
      </c>
      <c r="W1082" s="154" t="s">
        <v>60</v>
      </c>
      <c r="X1082" s="154" t="s">
        <v>60</v>
      </c>
      <c r="Y1082" s="154" t="s">
        <v>60</v>
      </c>
      <c r="Z1082" s="154" t="s">
        <v>60</v>
      </c>
      <c r="AA1082" s="154" t="s">
        <v>60</v>
      </c>
      <c r="AB1082" s="154"/>
      <c r="AC1082" s="242" t="b">
        <f t="shared" si="2"/>
        <v>1</v>
      </c>
      <c r="AD1082" s="154" t="s">
        <v>391</v>
      </c>
      <c r="AE1082" s="243" t="b">
        <f t="shared" si="3"/>
        <v>0</v>
      </c>
      <c r="AF1082" s="154"/>
      <c r="AG1082" s="243" t="b">
        <f t="shared" si="7"/>
        <v>0</v>
      </c>
      <c r="AH1082" s="154"/>
      <c r="AI1082" s="243" t="str">
        <f t="shared" si="5"/>
        <v>N/A</v>
      </c>
      <c r="AJ1082" s="157" t="str">
        <f t="shared" si="6"/>
        <v/>
      </c>
    </row>
    <row r="1083" ht="12.75" customHeight="1">
      <c r="A1083" s="244" t="s">
        <v>2412</v>
      </c>
      <c r="B1083" s="244" t="s">
        <v>2981</v>
      </c>
      <c r="C1083" s="244" t="s">
        <v>3024</v>
      </c>
      <c r="D1083" s="154" t="s">
        <v>459</v>
      </c>
      <c r="E1083" s="250"/>
      <c r="F1083" s="154" t="str">
        <f t="array" ref="F1083">XLOOKUP(Cover!$D$12,$S$1:$AA$1,$S1083:$AA1083)</f>
        <v>Mandatory</v>
      </c>
      <c r="G1083" s="154" t="s">
        <v>3025</v>
      </c>
      <c r="H1083" s="154" t="s">
        <v>398</v>
      </c>
      <c r="I1083" s="154" t="s">
        <v>414</v>
      </c>
      <c r="J1083" s="247" t="s">
        <v>445</v>
      </c>
      <c r="K1083" s="154"/>
      <c r="L1083" s="154" t="str">
        <f t="shared" si="1"/>
        <v/>
      </c>
      <c r="M1083" s="248" t="str">
        <f>IFERROR(__xludf.DUMMYFUNCTION("VLOOKUP(C1083,IMPORTRANGE(""https://docs.google.com/spreadsheets/d/1P8eX0NWBhUPS_hvzA11R6jkTNFrPrRYIx_dX_hYbxrk/edit?resourcekey=0-iw9bsKY2OqkUHCFMkCar3A&amp;gid=2055363397#gid=2055363397"",""MTR!C:O""),11,false)"),"PMW-IMS")</f>
        <v>PMW-IMS</v>
      </c>
      <c r="N1083" s="248" t="str">
        <f>IFERROR(__xludf.DUMMYFUNCTION("VLOOKUP(C1083,IMPORTRANGE(""https://docs.google.com/spreadsheets/d/1ihFlp3_ePlYtFuPbUNbYj1muErVpI73WHXbEwJDIA7Q/edit#gid=1493122344"",""MTR!C:O""),8,false)"),"Complies")</f>
        <v>Complies</v>
      </c>
      <c r="O1083" s="241" t="str">
        <f>IFERROR(__xludf.DUMMYFUNCTION("VLOOKUP(C1083,IMPORTRANGE(""https://docs.google.com/spreadsheets/d/1P8eX0NWBhUPS_hvzA11R6jkTNFrPrRYIx_dX_hYbxrk/edit?resourcekey=0-iw9bsKY2OqkUHCFMkCar3A&amp;gid=2055363397#gid=2055363397"",""MTR!C:O""),9,false)"),"")</f>
        <v/>
      </c>
      <c r="P1083" s="241"/>
      <c r="Q1083" s="251" t="s">
        <v>445</v>
      </c>
      <c r="R1083" s="241"/>
      <c r="S1083" s="154" t="s">
        <v>60</v>
      </c>
      <c r="T1083" s="154" t="s">
        <v>60</v>
      </c>
      <c r="U1083" s="154" t="s">
        <v>60</v>
      </c>
      <c r="V1083" s="154" t="s">
        <v>60</v>
      </c>
      <c r="W1083" s="154" t="s">
        <v>60</v>
      </c>
      <c r="X1083" s="154" t="s">
        <v>60</v>
      </c>
      <c r="Y1083" s="154" t="s">
        <v>60</v>
      </c>
      <c r="Z1083" s="154" t="s">
        <v>60</v>
      </c>
      <c r="AA1083" s="154" t="s">
        <v>60</v>
      </c>
      <c r="AB1083" s="154"/>
      <c r="AC1083" s="242" t="b">
        <f t="shared" si="2"/>
        <v>1</v>
      </c>
      <c r="AD1083" s="154" t="s">
        <v>391</v>
      </c>
      <c r="AE1083" s="243" t="b">
        <f t="shared" si="3"/>
        <v>0</v>
      </c>
      <c r="AF1083" s="154"/>
      <c r="AG1083" s="243" t="b">
        <f t="shared" si="7"/>
        <v>0</v>
      </c>
      <c r="AH1083" s="154"/>
      <c r="AI1083" s="243" t="str">
        <f t="shared" si="5"/>
        <v>N/A</v>
      </c>
      <c r="AJ1083" s="157" t="str">
        <f t="shared" si="6"/>
        <v/>
      </c>
    </row>
    <row r="1084" ht="12.75" customHeight="1">
      <c r="A1084" s="244" t="s">
        <v>2412</v>
      </c>
      <c r="B1084" s="244" t="s">
        <v>2981</v>
      </c>
      <c r="C1084" s="244" t="s">
        <v>3026</v>
      </c>
      <c r="D1084" s="154" t="s">
        <v>459</v>
      </c>
      <c r="E1084" s="250"/>
      <c r="F1084" s="154" t="str">
        <f t="array" ref="F1084">XLOOKUP(Cover!$D$12,$S$1:$AA$1,$S1084:$AA1084)</f>
        <v>Mandatory</v>
      </c>
      <c r="G1084" s="154" t="s">
        <v>3027</v>
      </c>
      <c r="H1084" s="154" t="s">
        <v>398</v>
      </c>
      <c r="I1084" s="154" t="s">
        <v>414</v>
      </c>
      <c r="J1084" s="247" t="s">
        <v>445</v>
      </c>
      <c r="K1084" s="154"/>
      <c r="L1084" s="154" t="str">
        <f t="shared" si="1"/>
        <v/>
      </c>
      <c r="M1084" s="248" t="str">
        <f>IFERROR(__xludf.DUMMYFUNCTION("VLOOKUP(C1084,IMPORTRANGE(""https://docs.google.com/spreadsheets/d/1P8eX0NWBhUPS_hvzA11R6jkTNFrPrRYIx_dX_hYbxrk/edit?resourcekey=0-iw9bsKY2OqkUHCFMkCar3A&amp;gid=2055363397#gid=2055363397"",""MTR!C:O""),11,false)"),"PMW-IMS")</f>
        <v>PMW-IMS</v>
      </c>
      <c r="N1084" s="248" t="str">
        <f>IFERROR(__xludf.DUMMYFUNCTION("VLOOKUP(C1084,IMPORTRANGE(""https://docs.google.com/spreadsheets/d/1ihFlp3_ePlYtFuPbUNbYj1muErVpI73WHXbEwJDIA7Q/edit#gid=1493122344"",""MTR!C:O""),8,false)"),"Complies")</f>
        <v>Complies</v>
      </c>
      <c r="O1084" s="241" t="str">
        <f>IFERROR(__xludf.DUMMYFUNCTION("VLOOKUP(C1084,IMPORTRANGE(""https://docs.google.com/spreadsheets/d/1P8eX0NWBhUPS_hvzA11R6jkTNFrPrRYIx_dX_hYbxrk/edit?resourcekey=0-iw9bsKY2OqkUHCFMkCar3A&amp;gid=2055363397#gid=2055363397"",""MTR!C:O""),9,false)"),"")</f>
        <v/>
      </c>
      <c r="P1084" s="241"/>
      <c r="Q1084" s="251" t="s">
        <v>445</v>
      </c>
      <c r="R1084" s="241"/>
      <c r="S1084" s="154" t="s">
        <v>60</v>
      </c>
      <c r="T1084" s="154" t="s">
        <v>60</v>
      </c>
      <c r="U1084" s="154" t="s">
        <v>60</v>
      </c>
      <c r="V1084" s="154" t="s">
        <v>60</v>
      </c>
      <c r="W1084" s="154" t="s">
        <v>60</v>
      </c>
      <c r="X1084" s="154" t="s">
        <v>60</v>
      </c>
      <c r="Y1084" s="154" t="s">
        <v>60</v>
      </c>
      <c r="Z1084" s="154" t="s">
        <v>60</v>
      </c>
      <c r="AA1084" s="154" t="s">
        <v>60</v>
      </c>
      <c r="AB1084" s="154"/>
      <c r="AC1084" s="242" t="b">
        <f t="shared" si="2"/>
        <v>1</v>
      </c>
      <c r="AD1084" s="154" t="s">
        <v>391</v>
      </c>
      <c r="AE1084" s="243" t="b">
        <f t="shared" si="3"/>
        <v>0</v>
      </c>
      <c r="AF1084" s="154"/>
      <c r="AG1084" s="243" t="b">
        <f t="shared" si="7"/>
        <v>0</v>
      </c>
      <c r="AH1084" s="154"/>
      <c r="AI1084" s="243" t="str">
        <f t="shared" si="5"/>
        <v>N/A</v>
      </c>
      <c r="AJ1084" s="157" t="str">
        <f t="shared" si="6"/>
        <v/>
      </c>
    </row>
    <row r="1085" ht="12.75" customHeight="1">
      <c r="A1085" s="244" t="s">
        <v>2412</v>
      </c>
      <c r="B1085" s="244" t="s">
        <v>2981</v>
      </c>
      <c r="C1085" s="244" t="s">
        <v>3028</v>
      </c>
      <c r="D1085" s="154" t="s">
        <v>396</v>
      </c>
      <c r="E1085" s="250"/>
      <c r="F1085" s="154" t="str">
        <f t="array" ref="F1085">XLOOKUP(Cover!$D$12,$S$1:$AA$1,$S1085:$AA1085)</f>
        <v>Mandatory</v>
      </c>
      <c r="G1085" s="154" t="s">
        <v>3029</v>
      </c>
      <c r="H1085" s="154" t="s">
        <v>398</v>
      </c>
      <c r="I1085" s="154" t="s">
        <v>414</v>
      </c>
      <c r="J1085" s="247" t="s">
        <v>445</v>
      </c>
      <c r="K1085" s="154"/>
      <c r="L1085" s="154" t="str">
        <f t="shared" si="1"/>
        <v/>
      </c>
      <c r="M1085" s="248" t="str">
        <f>IFERROR(__xludf.DUMMYFUNCTION("VLOOKUP(C1085,IMPORTRANGE(""https://docs.google.com/spreadsheets/d/1P8eX0NWBhUPS_hvzA11R6jkTNFrPrRYIx_dX_hYbxrk/edit?resourcekey=0-iw9bsKY2OqkUHCFMkCar3A&amp;gid=2055363397#gid=2055363397"",""MTR!C:O""),11,false)"),"PMW-IMS")</f>
        <v>PMW-IMS</v>
      </c>
      <c r="N1085" s="248" t="str">
        <f>IFERROR(__xludf.DUMMYFUNCTION("VLOOKUP(C1085,IMPORTRANGE(""https://docs.google.com/spreadsheets/d/1ihFlp3_ePlYtFuPbUNbYj1muErVpI73WHXbEwJDIA7Q/edit#gid=1493122344"",""MTR!C:O""),8,false)"),"Complies")</f>
        <v>Complies</v>
      </c>
      <c r="O1085" s="241" t="str">
        <f>IFERROR(__xludf.DUMMYFUNCTION("VLOOKUP(C1085,IMPORTRANGE(""https://docs.google.com/spreadsheets/d/1P8eX0NWBhUPS_hvzA11R6jkTNFrPrRYIx_dX_hYbxrk/edit?resourcekey=0-iw9bsKY2OqkUHCFMkCar3A&amp;gid=2055363397#gid=2055363397"",""MTR!C:O""),9,false)"),"")</f>
        <v/>
      </c>
      <c r="P1085" s="241"/>
      <c r="Q1085" s="251" t="s">
        <v>445</v>
      </c>
      <c r="R1085" s="241"/>
      <c r="S1085" s="154" t="s">
        <v>60</v>
      </c>
      <c r="T1085" s="154" t="s">
        <v>60</v>
      </c>
      <c r="U1085" s="154" t="s">
        <v>60</v>
      </c>
      <c r="V1085" s="154" t="s">
        <v>60</v>
      </c>
      <c r="W1085" s="154" t="s">
        <v>60</v>
      </c>
      <c r="X1085" s="154" t="s">
        <v>60</v>
      </c>
      <c r="Y1085" s="154" t="s">
        <v>60</v>
      </c>
      <c r="Z1085" s="154" t="s">
        <v>60</v>
      </c>
      <c r="AA1085" s="154" t="s">
        <v>60</v>
      </c>
      <c r="AB1085" s="154"/>
      <c r="AC1085" s="242" t="b">
        <f t="shared" si="2"/>
        <v>1</v>
      </c>
      <c r="AD1085" s="154" t="s">
        <v>391</v>
      </c>
      <c r="AE1085" s="243" t="b">
        <f t="shared" si="3"/>
        <v>0</v>
      </c>
      <c r="AF1085" s="154"/>
      <c r="AG1085" s="243" t="b">
        <f t="shared" si="7"/>
        <v>0</v>
      </c>
      <c r="AH1085" s="154"/>
      <c r="AI1085" s="243" t="str">
        <f t="shared" si="5"/>
        <v>N/A</v>
      </c>
      <c r="AJ1085" s="157" t="str">
        <f t="shared" si="6"/>
        <v/>
      </c>
    </row>
    <row r="1086" ht="12.75" customHeight="1">
      <c r="A1086" s="244" t="s">
        <v>2412</v>
      </c>
      <c r="B1086" s="244" t="s">
        <v>2981</v>
      </c>
      <c r="C1086" s="244" t="s">
        <v>3030</v>
      </c>
      <c r="D1086" s="154" t="s">
        <v>396</v>
      </c>
      <c r="E1086" s="250"/>
      <c r="F1086" s="154" t="str">
        <f t="array" ref="F1086">XLOOKUP(Cover!$D$12,$S$1:$AA$1,$S1086:$AA1086)</f>
        <v>Mandatory</v>
      </c>
      <c r="G1086" s="154" t="s">
        <v>3031</v>
      </c>
      <c r="H1086" s="154" t="s">
        <v>398</v>
      </c>
      <c r="I1086" s="154" t="s">
        <v>414</v>
      </c>
      <c r="J1086" s="247" t="s">
        <v>445</v>
      </c>
      <c r="K1086" s="247" t="s">
        <v>3032</v>
      </c>
      <c r="L1086" s="154" t="str">
        <f t="shared" si="1"/>
        <v/>
      </c>
      <c r="M1086" s="248" t="str">
        <f>IFERROR(__xludf.DUMMYFUNCTION("VLOOKUP(C1086,IMPORTRANGE(""https://docs.google.com/spreadsheets/d/1P8eX0NWBhUPS_hvzA11R6jkTNFrPrRYIx_dX_hYbxrk/edit?resourcekey=0-iw9bsKY2OqkUHCFMkCar3A&amp;gid=2055363397#gid=2055363397"",""MTR!C:O""),11,false)"),"PMW-IMS")</f>
        <v>PMW-IMS</v>
      </c>
      <c r="N1086" s="248" t="str">
        <f>IFERROR(__xludf.DUMMYFUNCTION("VLOOKUP(C1086,IMPORTRANGE(""https://docs.google.com/spreadsheets/d/1ihFlp3_ePlYtFuPbUNbYj1muErVpI73WHXbEwJDIA7Q/edit#gid=1493122344"",""MTR!C:O""),8,false)"),"Complies")</f>
        <v>Complies</v>
      </c>
      <c r="O1086" s="248" t="str">
        <f>IFERROR(__xludf.DUMMYFUNCTION("VLOOKUP(C1086,IMPORTRANGE(""https://docs.google.com/spreadsheets/d/1P8eX0NWBhUPS_hvzA11R6jkTNFrPrRYIx_dX_hYbxrk/edit?resourcekey=0-iw9bsKY2OqkUHCFMkCar3A&amp;gid=2055363397#gid=2055363397"",""MTR!C:O""),9,false)"),"Device support both IPv4 and IPv6 PDP contexts/PDP connections in parallel")</f>
        <v>Device support both IPv4 and IPv6 PDP contexts/PDP connections in parallel</v>
      </c>
      <c r="P1086" s="248"/>
      <c r="Q1086" s="249" t="s">
        <v>445</v>
      </c>
      <c r="R1086" s="249" t="s">
        <v>3032</v>
      </c>
      <c r="S1086" s="154" t="s">
        <v>60</v>
      </c>
      <c r="T1086" s="154" t="s">
        <v>60</v>
      </c>
      <c r="U1086" s="154" t="s">
        <v>60</v>
      </c>
      <c r="V1086" s="154" t="s">
        <v>60</v>
      </c>
      <c r="W1086" s="154" t="s">
        <v>60</v>
      </c>
      <c r="X1086" s="154" t="s">
        <v>60</v>
      </c>
      <c r="Y1086" s="154" t="s">
        <v>60</v>
      </c>
      <c r="Z1086" s="154" t="s">
        <v>60</v>
      </c>
      <c r="AA1086" s="154" t="s">
        <v>60</v>
      </c>
      <c r="AB1086" s="154"/>
      <c r="AC1086" s="242" t="b">
        <f t="shared" si="2"/>
        <v>1</v>
      </c>
      <c r="AD1086" s="154" t="s">
        <v>391</v>
      </c>
      <c r="AE1086" s="243" t="b">
        <f t="shared" si="3"/>
        <v>0</v>
      </c>
      <c r="AF1086" s="154"/>
      <c r="AG1086" s="243" t="b">
        <f t="shared" si="7"/>
        <v>0</v>
      </c>
      <c r="AH1086" s="154"/>
      <c r="AI1086" s="243" t="str">
        <f t="shared" si="5"/>
        <v>N/A</v>
      </c>
      <c r="AJ1086" s="157" t="str">
        <f t="shared" si="6"/>
        <v/>
      </c>
    </row>
    <row r="1087" ht="12.75" customHeight="1">
      <c r="A1087" s="244" t="s">
        <v>2412</v>
      </c>
      <c r="B1087" s="244" t="s">
        <v>2981</v>
      </c>
      <c r="C1087" s="244" t="s">
        <v>3033</v>
      </c>
      <c r="D1087" s="154" t="s">
        <v>459</v>
      </c>
      <c r="E1087" s="250"/>
      <c r="F1087" s="154" t="str">
        <f t="array" ref="F1087">XLOOKUP(Cover!$D$12,$S$1:$AA$1,$S1087:$AA1087)</f>
        <v>Mandatory</v>
      </c>
      <c r="G1087" s="154" t="s">
        <v>3034</v>
      </c>
      <c r="H1087" s="154" t="s">
        <v>398</v>
      </c>
      <c r="I1087" s="154" t="s">
        <v>414</v>
      </c>
      <c r="J1087" s="247" t="s">
        <v>445</v>
      </c>
      <c r="K1087" s="247"/>
      <c r="L1087" s="154" t="str">
        <f t="shared" si="1"/>
        <v/>
      </c>
      <c r="M1087" s="248" t="str">
        <f>IFERROR(__xludf.DUMMYFUNCTION("VLOOKUP(C1087,IMPORTRANGE(""https://docs.google.com/spreadsheets/d/1P8eX0NWBhUPS_hvzA11R6jkTNFrPrRYIx_dX_hYbxrk/edit?resourcekey=0-iw9bsKY2OqkUHCFMkCar3A&amp;gid=2055363397#gid=2055363397"",""MTR!C:O""),11,false)"),"PMW-IMS")</f>
        <v>PMW-IMS</v>
      </c>
      <c r="N1087" s="248" t="str">
        <f>IFERROR(__xludf.DUMMYFUNCTION("VLOOKUP(C1087,IMPORTRANGE(""https://docs.google.com/spreadsheets/d/1ihFlp3_ePlYtFuPbUNbYj1muErVpI73WHXbEwJDIA7Q/edit#gid=1493122344"",""MTR!C:O""),8,false)"),"Complies")</f>
        <v>Complies</v>
      </c>
      <c r="O1087" s="241" t="str">
        <f>IFERROR(__xludf.DUMMYFUNCTION("VLOOKUP(C1087,IMPORTRANGE(""https://docs.google.com/spreadsheets/d/1P8eX0NWBhUPS_hvzA11R6jkTNFrPrRYIx_dX_hYbxrk/edit?resourcekey=0-iw9bsKY2OqkUHCFMkCar3A&amp;gid=2055363397#gid=2055363397"",""MTR!C:O""),9,false)"),"")</f>
        <v/>
      </c>
      <c r="P1087" s="241"/>
      <c r="Q1087" s="251" t="s">
        <v>445</v>
      </c>
      <c r="R1087" s="251"/>
      <c r="S1087" s="154" t="s">
        <v>60</v>
      </c>
      <c r="T1087" s="154" t="s">
        <v>60</v>
      </c>
      <c r="U1087" s="154" t="s">
        <v>60</v>
      </c>
      <c r="V1087" s="154" t="s">
        <v>60</v>
      </c>
      <c r="W1087" s="154" t="s">
        <v>60</v>
      </c>
      <c r="X1087" s="154" t="s">
        <v>60</v>
      </c>
      <c r="Y1087" s="154" t="s">
        <v>60</v>
      </c>
      <c r="Z1087" s="154" t="s">
        <v>60</v>
      </c>
      <c r="AA1087" s="154" t="s">
        <v>60</v>
      </c>
      <c r="AB1087" s="154"/>
      <c r="AC1087" s="242" t="b">
        <f t="shared" si="2"/>
        <v>1</v>
      </c>
      <c r="AD1087" s="154" t="s">
        <v>391</v>
      </c>
      <c r="AE1087" s="243" t="b">
        <f t="shared" si="3"/>
        <v>0</v>
      </c>
      <c r="AF1087" s="154"/>
      <c r="AG1087" s="243" t="b">
        <f t="shared" si="7"/>
        <v>0</v>
      </c>
      <c r="AH1087" s="154"/>
      <c r="AI1087" s="243" t="str">
        <f t="shared" si="5"/>
        <v>N/A</v>
      </c>
      <c r="AJ1087" s="157" t="str">
        <f t="shared" si="6"/>
        <v/>
      </c>
    </row>
    <row r="1088" ht="12.75" customHeight="1">
      <c r="A1088" s="244" t="s">
        <v>2412</v>
      </c>
      <c r="B1088" s="244" t="s">
        <v>2981</v>
      </c>
      <c r="C1088" s="244" t="s">
        <v>3035</v>
      </c>
      <c r="D1088" s="154" t="s">
        <v>396</v>
      </c>
      <c r="E1088" s="250"/>
      <c r="F1088" s="154" t="str">
        <f t="array" ref="F1088">XLOOKUP(Cover!$D$12,$S$1:$AA$1,$S1088:$AA1088)</f>
        <v>Mandatory</v>
      </c>
      <c r="G1088" s="154" t="s">
        <v>3036</v>
      </c>
      <c r="H1088" s="154" t="s">
        <v>398</v>
      </c>
      <c r="I1088" s="154" t="s">
        <v>414</v>
      </c>
      <c r="J1088" s="247" t="s">
        <v>445</v>
      </c>
      <c r="K1088" s="154"/>
      <c r="L1088" s="154" t="str">
        <f t="shared" si="1"/>
        <v/>
      </c>
      <c r="M1088" s="248" t="str">
        <f>IFERROR(__xludf.DUMMYFUNCTION("VLOOKUP(C1088,IMPORTRANGE(""https://docs.google.com/spreadsheets/d/1P8eX0NWBhUPS_hvzA11R6jkTNFrPrRYIx_dX_hYbxrk/edit?resourcekey=0-iw9bsKY2OqkUHCFMkCar3A&amp;gid=2055363397#gid=2055363397"",""MTR!C:O""),11,false)"),"PMW-IMS")</f>
        <v>PMW-IMS</v>
      </c>
      <c r="N1088" s="248" t="str">
        <f>IFERROR(__xludf.DUMMYFUNCTION("VLOOKUP(C1088,IMPORTRANGE(""https://docs.google.com/spreadsheets/d/1ihFlp3_ePlYtFuPbUNbYj1muErVpI73WHXbEwJDIA7Q/edit#gid=1493122344"",""MTR!C:O""),8,false)"),"Complies")</f>
        <v>Complies</v>
      </c>
      <c r="O1088" s="241" t="str">
        <f>IFERROR(__xludf.DUMMYFUNCTION("VLOOKUP(C1088,IMPORTRANGE(""https://docs.google.com/spreadsheets/d/1P8eX0NWBhUPS_hvzA11R6jkTNFrPrRYIx_dX_hYbxrk/edit?resourcekey=0-iw9bsKY2OqkUHCFMkCar3A&amp;gid=2055363397#gid=2055363397"",""MTR!C:O""),9,false)"),"")</f>
        <v/>
      </c>
      <c r="P1088" s="241"/>
      <c r="Q1088" s="251" t="s">
        <v>445</v>
      </c>
      <c r="R1088" s="241"/>
      <c r="S1088" s="154" t="s">
        <v>60</v>
      </c>
      <c r="T1088" s="154" t="s">
        <v>60</v>
      </c>
      <c r="U1088" s="154" t="s">
        <v>60</v>
      </c>
      <c r="V1088" s="154" t="s">
        <v>60</v>
      </c>
      <c r="W1088" s="154" t="s">
        <v>60</v>
      </c>
      <c r="X1088" s="154" t="s">
        <v>60</v>
      </c>
      <c r="Y1088" s="154" t="s">
        <v>60</v>
      </c>
      <c r="Z1088" s="154" t="s">
        <v>60</v>
      </c>
      <c r="AA1088" s="154" t="s">
        <v>60</v>
      </c>
      <c r="AB1088" s="154"/>
      <c r="AC1088" s="242" t="b">
        <f t="shared" si="2"/>
        <v>1</v>
      </c>
      <c r="AD1088" s="154" t="s">
        <v>391</v>
      </c>
      <c r="AE1088" s="243" t="b">
        <f t="shared" si="3"/>
        <v>0</v>
      </c>
      <c r="AF1088" s="154"/>
      <c r="AG1088" s="243" t="b">
        <f t="shared" si="7"/>
        <v>0</v>
      </c>
      <c r="AH1088" s="154"/>
      <c r="AI1088" s="243" t="str">
        <f t="shared" si="5"/>
        <v>N/A</v>
      </c>
      <c r="AJ1088" s="157" t="str">
        <f t="shared" si="6"/>
        <v/>
      </c>
    </row>
    <row r="1089" ht="12.75" customHeight="1">
      <c r="A1089" s="244" t="s">
        <v>2412</v>
      </c>
      <c r="B1089" s="244" t="s">
        <v>2981</v>
      </c>
      <c r="C1089" s="244" t="s">
        <v>3037</v>
      </c>
      <c r="D1089" s="154" t="s">
        <v>459</v>
      </c>
      <c r="E1089" s="250"/>
      <c r="F1089" s="154" t="str">
        <f t="array" ref="F1089">XLOOKUP(Cover!$D$12,$S$1:$AA$1,$S1089:$AA1089)</f>
        <v>Mandatory</v>
      </c>
      <c r="G1089" s="154" t="s">
        <v>3038</v>
      </c>
      <c r="H1089" s="154" t="s">
        <v>398</v>
      </c>
      <c r="I1089" s="154" t="s">
        <v>414</v>
      </c>
      <c r="J1089" s="247" t="s">
        <v>445</v>
      </c>
      <c r="K1089" s="154"/>
      <c r="L1089" s="154" t="str">
        <f t="shared" si="1"/>
        <v/>
      </c>
      <c r="M1089" s="248" t="str">
        <f>IFERROR(__xludf.DUMMYFUNCTION("VLOOKUP(C1089,IMPORTRANGE(""https://docs.google.com/spreadsheets/d/1P8eX0NWBhUPS_hvzA11R6jkTNFrPrRYIx_dX_hYbxrk/edit?resourcekey=0-iw9bsKY2OqkUHCFMkCar3A&amp;gid=2055363397#gid=2055363397"",""MTR!C:O""),11,false)"),"PMW-IMS")</f>
        <v>PMW-IMS</v>
      </c>
      <c r="N1089" s="248" t="str">
        <f>IFERROR(__xludf.DUMMYFUNCTION("VLOOKUP(C1089,IMPORTRANGE(""https://docs.google.com/spreadsheets/d/1ihFlp3_ePlYtFuPbUNbYj1muErVpI73WHXbEwJDIA7Q/edit#gid=1493122344"",""MTR!C:O""),8,false)"),"Complies")</f>
        <v>Complies</v>
      </c>
      <c r="O1089" s="241" t="str">
        <f>IFERROR(__xludf.DUMMYFUNCTION("VLOOKUP(C1089,IMPORTRANGE(""https://docs.google.com/spreadsheets/d/1P8eX0NWBhUPS_hvzA11R6jkTNFrPrRYIx_dX_hYbxrk/edit?resourcekey=0-iw9bsKY2OqkUHCFMkCar3A&amp;gid=2055363397#gid=2055363397"",""MTR!C:O""),9,false)"),"")</f>
        <v/>
      </c>
      <c r="P1089" s="241"/>
      <c r="Q1089" s="251" t="s">
        <v>445</v>
      </c>
      <c r="R1089" s="241"/>
      <c r="S1089" s="154" t="s">
        <v>60</v>
      </c>
      <c r="T1089" s="154" t="s">
        <v>60</v>
      </c>
      <c r="U1089" s="154" t="s">
        <v>60</v>
      </c>
      <c r="V1089" s="154" t="s">
        <v>60</v>
      </c>
      <c r="W1089" s="154" t="s">
        <v>60</v>
      </c>
      <c r="X1089" s="154" t="s">
        <v>60</v>
      </c>
      <c r="Y1089" s="154" t="s">
        <v>60</v>
      </c>
      <c r="Z1089" s="154" t="s">
        <v>60</v>
      </c>
      <c r="AA1089" s="154" t="s">
        <v>60</v>
      </c>
      <c r="AB1089" s="154"/>
      <c r="AC1089" s="242" t="b">
        <f t="shared" si="2"/>
        <v>1</v>
      </c>
      <c r="AD1089" s="154" t="s">
        <v>391</v>
      </c>
      <c r="AE1089" s="243" t="b">
        <f t="shared" si="3"/>
        <v>0</v>
      </c>
      <c r="AF1089" s="154"/>
      <c r="AG1089" s="243" t="b">
        <f t="shared" si="7"/>
        <v>0</v>
      </c>
      <c r="AH1089" s="154"/>
      <c r="AI1089" s="243" t="str">
        <f t="shared" si="5"/>
        <v>N/A</v>
      </c>
      <c r="AJ1089" s="157" t="str">
        <f t="shared" si="6"/>
        <v/>
      </c>
    </row>
    <row r="1090" ht="12.75" customHeight="1">
      <c r="A1090" s="244" t="s">
        <v>2412</v>
      </c>
      <c r="B1090" s="244" t="s">
        <v>2981</v>
      </c>
      <c r="C1090" s="244" t="s">
        <v>3039</v>
      </c>
      <c r="D1090" s="154" t="s">
        <v>739</v>
      </c>
      <c r="E1090" s="250"/>
      <c r="F1090" s="154" t="str">
        <f t="array" ref="F1090">XLOOKUP(Cover!$D$12,$S$1:$AA$1,$S1090:$AA1090)</f>
        <v>Mandatory</v>
      </c>
      <c r="G1090" s="154" t="s">
        <v>3040</v>
      </c>
      <c r="H1090" s="154" t="s">
        <v>398</v>
      </c>
      <c r="I1090" s="154" t="s">
        <v>414</v>
      </c>
      <c r="J1090" s="247" t="s">
        <v>445</v>
      </c>
      <c r="K1090" s="154"/>
      <c r="L1090" s="154" t="str">
        <f t="shared" si="1"/>
        <v/>
      </c>
      <c r="M1090" s="248" t="str">
        <f>IFERROR(__xludf.DUMMYFUNCTION("VLOOKUP(C1090,IMPORTRANGE(""https://docs.google.com/spreadsheets/d/1P8eX0NWBhUPS_hvzA11R6jkTNFrPrRYIx_dX_hYbxrk/edit?resourcekey=0-iw9bsKY2OqkUHCFMkCar3A&amp;gid=2055363397#gid=2055363397"",""MTR!C:O""),11,false)"),"PMW-IMS")</f>
        <v>PMW-IMS</v>
      </c>
      <c r="N1090" s="248" t="str">
        <f>IFERROR(__xludf.DUMMYFUNCTION("VLOOKUP(C1090,IMPORTRANGE(""https://docs.google.com/spreadsheets/d/1ihFlp3_ePlYtFuPbUNbYj1muErVpI73WHXbEwJDIA7Q/edit#gid=1493122344"",""MTR!C:O""),8,false)"),"Complies")</f>
        <v>Complies</v>
      </c>
      <c r="O1090" s="241" t="str">
        <f>IFERROR(__xludf.DUMMYFUNCTION("VLOOKUP(C1090,IMPORTRANGE(""https://docs.google.com/spreadsheets/d/1P8eX0NWBhUPS_hvzA11R6jkTNFrPrRYIx_dX_hYbxrk/edit?resourcekey=0-iw9bsKY2OqkUHCFMkCar3A&amp;gid=2055363397#gid=2055363397"",""MTR!C:O""),9,false)"),"")</f>
        <v/>
      </c>
      <c r="P1090" s="241"/>
      <c r="Q1090" s="251" t="s">
        <v>445</v>
      </c>
      <c r="R1090" s="241"/>
      <c r="S1090" s="154" t="s">
        <v>60</v>
      </c>
      <c r="T1090" s="154" t="s">
        <v>60</v>
      </c>
      <c r="U1090" s="154" t="s">
        <v>60</v>
      </c>
      <c r="V1090" s="154" t="s">
        <v>60</v>
      </c>
      <c r="W1090" s="154" t="s">
        <v>60</v>
      </c>
      <c r="X1090" s="154" t="s">
        <v>60</v>
      </c>
      <c r="Y1090" s="154" t="s">
        <v>60</v>
      </c>
      <c r="Z1090" s="154" t="s">
        <v>60</v>
      </c>
      <c r="AA1090" s="154" t="s">
        <v>60</v>
      </c>
      <c r="AB1090" s="154"/>
      <c r="AC1090" s="242" t="b">
        <f t="shared" si="2"/>
        <v>1</v>
      </c>
      <c r="AD1090" s="154" t="s">
        <v>391</v>
      </c>
      <c r="AE1090" s="243" t="b">
        <f t="shared" si="3"/>
        <v>0</v>
      </c>
      <c r="AF1090" s="154"/>
      <c r="AG1090" s="243" t="b">
        <f t="shared" si="7"/>
        <v>0</v>
      </c>
      <c r="AH1090" s="154"/>
      <c r="AI1090" s="243" t="str">
        <f t="shared" si="5"/>
        <v>N/A</v>
      </c>
      <c r="AJ1090" s="157" t="str">
        <f t="shared" si="6"/>
        <v/>
      </c>
    </row>
    <row r="1091" ht="12.75" customHeight="1">
      <c r="A1091" s="244" t="s">
        <v>2412</v>
      </c>
      <c r="B1091" s="244" t="s">
        <v>2981</v>
      </c>
      <c r="C1091" s="244" t="s">
        <v>3041</v>
      </c>
      <c r="D1091" s="154" t="s">
        <v>642</v>
      </c>
      <c r="E1091" s="250"/>
      <c r="F1091" s="154" t="str">
        <f t="array" ref="F1091">XLOOKUP(Cover!$D$12,$S$1:$AA$1,$S1091:$AA1091)</f>
        <v>Mandatory</v>
      </c>
      <c r="G1091" s="154" t="s">
        <v>3042</v>
      </c>
      <c r="H1091" s="154" t="s">
        <v>398</v>
      </c>
      <c r="I1091" s="154" t="s">
        <v>414</v>
      </c>
      <c r="J1091" s="247" t="s">
        <v>516</v>
      </c>
      <c r="K1091" s="154"/>
      <c r="L1091" s="154" t="str">
        <f t="shared" si="1"/>
        <v/>
      </c>
      <c r="M1091" s="248" t="str">
        <f>IFERROR(__xludf.DUMMYFUNCTION("VLOOKUP(C1091,IMPORTRANGE(""https://docs.google.com/spreadsheets/d/1P8eX0NWBhUPS_hvzA11R6jkTNFrPrRYIx_dX_hYbxrk/edit?resourcekey=0-iw9bsKY2OqkUHCFMkCar3A&amp;gid=2055363397#gid=2055363397"",""MTR!C:O""),11,false)"),"PMW-IMS")</f>
        <v>PMW-IMS</v>
      </c>
      <c r="N1091" s="248" t="str">
        <f>IFERROR(__xludf.DUMMYFUNCTION("VLOOKUP(C1091,IMPORTRANGE(""https://docs.google.com/spreadsheets/d/1ihFlp3_ePlYtFuPbUNbYj1muErVpI73WHXbEwJDIA7Q/edit#gid=1493122344"",""MTR!C:O""),8,false)"),"Does Not Comply")</f>
        <v>Does Not Comply</v>
      </c>
      <c r="O1091" s="241" t="str">
        <f>IFERROR(__xludf.DUMMYFUNCTION("VLOOKUP(C1091,IMPORTRANGE(""https://docs.google.com/spreadsheets/d/1P8eX0NWBhUPS_hvzA11R6jkTNFrPrRYIx_dX_hYbxrk/edit?resourcekey=0-iw9bsKY2OqkUHCFMkCar3A&amp;gid=2055363397#gid=2055363397"",""MTR!C:O""),9,false)"),"")</f>
        <v/>
      </c>
      <c r="P1091" s="241"/>
      <c r="Q1091" s="251" t="s">
        <v>516</v>
      </c>
      <c r="R1091" s="241"/>
      <c r="S1091" s="154" t="s">
        <v>60</v>
      </c>
      <c r="T1091" s="154" t="s">
        <v>60</v>
      </c>
      <c r="U1091" s="154" t="s">
        <v>60</v>
      </c>
      <c r="V1091" s="154" t="s">
        <v>60</v>
      </c>
      <c r="W1091" s="154" t="s">
        <v>60</v>
      </c>
      <c r="X1091" s="154" t="s">
        <v>60</v>
      </c>
      <c r="Y1091" s="154" t="s">
        <v>60</v>
      </c>
      <c r="Z1091" s="154" t="s">
        <v>60</v>
      </c>
      <c r="AA1091" s="154" t="s">
        <v>60</v>
      </c>
      <c r="AB1091" s="154"/>
      <c r="AC1091" s="242" t="b">
        <f t="shared" si="2"/>
        <v>1</v>
      </c>
      <c r="AD1091" s="154" t="s">
        <v>391</v>
      </c>
      <c r="AE1091" s="243" t="b">
        <f t="shared" si="3"/>
        <v>0</v>
      </c>
      <c r="AF1091" s="154"/>
      <c r="AG1091" s="243" t="b">
        <f t="shared" si="7"/>
        <v>0</v>
      </c>
      <c r="AH1091" s="154"/>
      <c r="AI1091" s="243" t="str">
        <f t="shared" si="5"/>
        <v>N/A</v>
      </c>
      <c r="AJ1091" s="157" t="str">
        <f t="shared" si="6"/>
        <v/>
      </c>
    </row>
    <row r="1092" ht="12.75" customHeight="1">
      <c r="A1092" s="244" t="s">
        <v>2412</v>
      </c>
      <c r="B1092" s="244" t="s">
        <v>2981</v>
      </c>
      <c r="C1092" s="244" t="s">
        <v>3043</v>
      </c>
      <c r="D1092" s="154" t="s">
        <v>1211</v>
      </c>
      <c r="E1092" s="250"/>
      <c r="F1092" s="154" t="str">
        <f t="array" ref="F1092">XLOOKUP(Cover!$D$12,$S$1:$AA$1,$S1092:$AA1092)</f>
        <v>Mandatory</v>
      </c>
      <c r="G1092" s="154" t="s">
        <v>3044</v>
      </c>
      <c r="H1092" s="154" t="s">
        <v>398</v>
      </c>
      <c r="I1092" s="154" t="s">
        <v>414</v>
      </c>
      <c r="J1092" s="247" t="s">
        <v>516</v>
      </c>
      <c r="K1092" s="247" t="s">
        <v>1720</v>
      </c>
      <c r="L1092" s="154" t="str">
        <f t="shared" si="1"/>
        <v/>
      </c>
      <c r="M1092" s="248" t="str">
        <f>IFERROR(__xludf.DUMMYFUNCTION("VLOOKUP(C1092,IMPORTRANGE(""https://docs.google.com/spreadsheets/d/1P8eX0NWBhUPS_hvzA11R6jkTNFrPrRYIx_dX_hYbxrk/edit?resourcekey=0-iw9bsKY2OqkUHCFMkCar3A&amp;gid=2055363397#gid=2055363397"",""MTR!C:O""),11,false)"),"PMW-IMS")</f>
        <v>PMW-IMS</v>
      </c>
      <c r="N1092" s="248" t="str">
        <f>IFERROR(__xludf.DUMMYFUNCTION("VLOOKUP(C1092,IMPORTRANGE(""https://docs.google.com/spreadsheets/d/1ihFlp3_ePlYtFuPbUNbYj1muErVpI73WHXbEwJDIA7Q/edit#gid=1493122344"",""MTR!C:O""),8,false)"),"Does Not Comply")</f>
        <v>Does Not Comply</v>
      </c>
      <c r="O1092" s="248" t="str">
        <f>IFERROR(__xludf.DUMMYFUNCTION("VLOOKUP(C1092,IMPORTRANGE(""https://docs.google.com/spreadsheets/d/1P8eX0NWBhUPS_hvzA11R6jkTNFrPrRYIx_dX_hYbxrk/edit?resourcekey=0-iw9bsKY2OqkUHCFMkCar3A&amp;gid=2055363397#gid=2055363397"",""MTR!C:O""),9,false)"),"The feature will be default supported once SA is enabled, please discuss with Google TAM for feature enablement plans")</f>
        <v>The feature will be default supported once SA is enabled, please discuss with Google TAM for feature enablement plans</v>
      </c>
      <c r="P1092" s="248"/>
      <c r="Q1092" s="249" t="s">
        <v>516</v>
      </c>
      <c r="R1092" s="249" t="s">
        <v>1720</v>
      </c>
      <c r="S1092" s="154" t="s">
        <v>60</v>
      </c>
      <c r="T1092" s="154" t="s">
        <v>60</v>
      </c>
      <c r="U1092" s="154" t="s">
        <v>60</v>
      </c>
      <c r="V1092" s="154" t="s">
        <v>60</v>
      </c>
      <c r="W1092" s="154" t="s">
        <v>60</v>
      </c>
      <c r="X1092" s="154" t="s">
        <v>60</v>
      </c>
      <c r="Y1092" s="154" t="s">
        <v>60</v>
      </c>
      <c r="Z1092" s="154" t="s">
        <v>60</v>
      </c>
      <c r="AA1092" s="154" t="s">
        <v>60</v>
      </c>
      <c r="AB1092" s="154"/>
      <c r="AC1092" s="242" t="b">
        <f t="shared" si="2"/>
        <v>1</v>
      </c>
      <c r="AD1092" s="154" t="s">
        <v>391</v>
      </c>
      <c r="AE1092" s="243" t="b">
        <f t="shared" si="3"/>
        <v>0</v>
      </c>
      <c r="AF1092" s="154"/>
      <c r="AG1092" s="243" t="b">
        <f t="shared" si="7"/>
        <v>0</v>
      </c>
      <c r="AH1092" s="154"/>
      <c r="AI1092" s="243" t="str">
        <f t="shared" si="5"/>
        <v>N/A</v>
      </c>
      <c r="AJ1092" s="157" t="str">
        <f t="shared" si="6"/>
        <v/>
      </c>
    </row>
    <row r="1093" ht="12.75" customHeight="1">
      <c r="A1093" s="244" t="s">
        <v>2412</v>
      </c>
      <c r="B1093" s="244" t="s">
        <v>2981</v>
      </c>
      <c r="C1093" s="244" t="s">
        <v>3045</v>
      </c>
      <c r="D1093" s="154" t="s">
        <v>1211</v>
      </c>
      <c r="E1093" s="250"/>
      <c r="F1093" s="154" t="str">
        <f t="array" ref="F1093">XLOOKUP(Cover!$D$12,$S$1:$AA$1,$S1093:$AA1093)</f>
        <v>Mandatory</v>
      </c>
      <c r="G1093" s="154" t="s">
        <v>3046</v>
      </c>
      <c r="H1093" s="154" t="s">
        <v>398</v>
      </c>
      <c r="I1093" s="154" t="s">
        <v>414</v>
      </c>
      <c r="J1093" s="247" t="s">
        <v>445</v>
      </c>
      <c r="K1093" s="247"/>
      <c r="L1093" s="154" t="str">
        <f t="shared" si="1"/>
        <v/>
      </c>
      <c r="M1093" s="248" t="str">
        <f>IFERROR(__xludf.DUMMYFUNCTION("VLOOKUP(C1093,IMPORTRANGE(""https://docs.google.com/spreadsheets/d/1P8eX0NWBhUPS_hvzA11R6jkTNFrPrRYIx_dX_hYbxrk/edit?resourcekey=0-iw9bsKY2OqkUHCFMkCar3A&amp;gid=2055363397#gid=2055363397"",""MTR!C:O""),11,false)"),"PMW-IMS")</f>
        <v>PMW-IMS</v>
      </c>
      <c r="N1093" s="248" t="str">
        <f>IFERROR(__xludf.DUMMYFUNCTION("VLOOKUP(C1093,IMPORTRANGE(""https://docs.google.com/spreadsheets/d/1ihFlp3_ePlYtFuPbUNbYj1muErVpI73WHXbEwJDIA7Q/edit#gid=1493122344"",""MTR!C:O""),8,false)"),"Complies")</f>
        <v>Complies</v>
      </c>
      <c r="O1093" s="241" t="str">
        <f>IFERROR(__xludf.DUMMYFUNCTION("VLOOKUP(C1093,IMPORTRANGE(""https://docs.google.com/spreadsheets/d/1P8eX0NWBhUPS_hvzA11R6jkTNFrPrRYIx_dX_hYbxrk/edit?resourcekey=0-iw9bsKY2OqkUHCFMkCar3A&amp;gid=2055363397#gid=2055363397"",""MTR!C:O""),9,false)"),"")</f>
        <v/>
      </c>
      <c r="P1093" s="241"/>
      <c r="Q1093" s="251" t="s">
        <v>445</v>
      </c>
      <c r="R1093" s="251"/>
      <c r="S1093" s="154" t="s">
        <v>60</v>
      </c>
      <c r="T1093" s="154" t="s">
        <v>60</v>
      </c>
      <c r="U1093" s="154" t="s">
        <v>60</v>
      </c>
      <c r="V1093" s="154" t="s">
        <v>60</v>
      </c>
      <c r="W1093" s="154" t="s">
        <v>60</v>
      </c>
      <c r="X1093" s="154" t="s">
        <v>60</v>
      </c>
      <c r="Y1093" s="154" t="s">
        <v>60</v>
      </c>
      <c r="Z1093" s="154" t="s">
        <v>60</v>
      </c>
      <c r="AA1093" s="154" t="s">
        <v>60</v>
      </c>
      <c r="AB1093" s="154"/>
      <c r="AC1093" s="242" t="b">
        <f t="shared" si="2"/>
        <v>1</v>
      </c>
      <c r="AD1093" s="154" t="s">
        <v>391</v>
      </c>
      <c r="AE1093" s="243" t="b">
        <f t="shared" si="3"/>
        <v>0</v>
      </c>
      <c r="AF1093" s="154"/>
      <c r="AG1093" s="243" t="b">
        <f t="shared" si="7"/>
        <v>0</v>
      </c>
      <c r="AH1093" s="154"/>
      <c r="AI1093" s="243" t="str">
        <f t="shared" si="5"/>
        <v>N/A</v>
      </c>
      <c r="AJ1093" s="157" t="str">
        <f t="shared" si="6"/>
        <v/>
      </c>
    </row>
    <row r="1094" ht="12.75" customHeight="1">
      <c r="A1094" s="244" t="s">
        <v>2412</v>
      </c>
      <c r="B1094" s="244" t="s">
        <v>2981</v>
      </c>
      <c r="C1094" s="244" t="s">
        <v>3047</v>
      </c>
      <c r="D1094" s="154" t="s">
        <v>1211</v>
      </c>
      <c r="E1094" s="250"/>
      <c r="F1094" s="154" t="str">
        <f t="array" ref="F1094">XLOOKUP(Cover!$D$12,$S$1:$AA$1,$S1094:$AA1094)</f>
        <v>Mandatory</v>
      </c>
      <c r="G1094" s="154" t="s">
        <v>3048</v>
      </c>
      <c r="H1094" s="154" t="s">
        <v>398</v>
      </c>
      <c r="I1094" s="154" t="s">
        <v>414</v>
      </c>
      <c r="J1094" s="247" t="s">
        <v>445</v>
      </c>
      <c r="K1094" s="154"/>
      <c r="L1094" s="154" t="str">
        <f t="shared" si="1"/>
        <v/>
      </c>
      <c r="M1094" s="248" t="str">
        <f>IFERROR(__xludf.DUMMYFUNCTION("VLOOKUP(C1094,IMPORTRANGE(""https://docs.google.com/spreadsheets/d/1P8eX0NWBhUPS_hvzA11R6jkTNFrPrRYIx_dX_hYbxrk/edit?resourcekey=0-iw9bsKY2OqkUHCFMkCar3A&amp;gid=2055363397#gid=2055363397"",""MTR!C:O""),11,false)"),"PMW-IMS")</f>
        <v>PMW-IMS</v>
      </c>
      <c r="N1094" s="248" t="str">
        <f>IFERROR(__xludf.DUMMYFUNCTION("VLOOKUP(C1094,IMPORTRANGE(""https://docs.google.com/spreadsheets/d/1ihFlp3_ePlYtFuPbUNbYj1muErVpI73WHXbEwJDIA7Q/edit#gid=1493122344"",""MTR!C:O""),8,false)"),"Complies")</f>
        <v>Complies</v>
      </c>
      <c r="O1094" s="241" t="str">
        <f>IFERROR(__xludf.DUMMYFUNCTION("VLOOKUP(C1094,IMPORTRANGE(""https://docs.google.com/spreadsheets/d/1P8eX0NWBhUPS_hvzA11R6jkTNFrPrRYIx_dX_hYbxrk/edit?resourcekey=0-iw9bsKY2OqkUHCFMkCar3A&amp;gid=2055363397#gid=2055363397"",""MTR!C:O""),9,false)"),"")</f>
        <v/>
      </c>
      <c r="P1094" s="241"/>
      <c r="Q1094" s="251" t="s">
        <v>445</v>
      </c>
      <c r="R1094" s="241"/>
      <c r="S1094" s="154" t="s">
        <v>60</v>
      </c>
      <c r="T1094" s="154" t="s">
        <v>60</v>
      </c>
      <c r="U1094" s="154" t="s">
        <v>60</v>
      </c>
      <c r="V1094" s="154" t="s">
        <v>60</v>
      </c>
      <c r="W1094" s="154" t="s">
        <v>60</v>
      </c>
      <c r="X1094" s="154" t="s">
        <v>60</v>
      </c>
      <c r="Y1094" s="154" t="s">
        <v>60</v>
      </c>
      <c r="Z1094" s="154" t="s">
        <v>60</v>
      </c>
      <c r="AA1094" s="154" t="s">
        <v>60</v>
      </c>
      <c r="AB1094" s="154"/>
      <c r="AC1094" s="242" t="b">
        <f t="shared" si="2"/>
        <v>1</v>
      </c>
      <c r="AD1094" s="154" t="s">
        <v>391</v>
      </c>
      <c r="AE1094" s="243" t="b">
        <f t="shared" si="3"/>
        <v>0</v>
      </c>
      <c r="AF1094" s="154"/>
      <c r="AG1094" s="243" t="b">
        <f t="shared" si="7"/>
        <v>0</v>
      </c>
      <c r="AH1094" s="154"/>
      <c r="AI1094" s="243" t="str">
        <f t="shared" si="5"/>
        <v>N/A</v>
      </c>
      <c r="AJ1094" s="157" t="str">
        <f t="shared" si="6"/>
        <v/>
      </c>
    </row>
    <row r="1095" ht="12.75" customHeight="1">
      <c r="A1095" s="238" t="s">
        <v>2412</v>
      </c>
      <c r="B1095" s="238" t="s">
        <v>2981</v>
      </c>
      <c r="C1095" s="238" t="s">
        <v>3049</v>
      </c>
      <c r="D1095" s="238"/>
      <c r="E1095" s="238"/>
      <c r="F1095" s="154" t="str">
        <f t="array" ref="F1095">XLOOKUP(Cover!$D$12,$S$1:$AA$1,$S1095:$AA1095)</f>
        <v>Heading</v>
      </c>
      <c r="G1095" s="239" t="s">
        <v>3050</v>
      </c>
      <c r="H1095" s="240"/>
      <c r="I1095" s="240" t="s">
        <v>414</v>
      </c>
      <c r="J1095" s="240"/>
      <c r="K1095" s="240"/>
      <c r="L1095" s="154" t="str">
        <f t="shared" si="1"/>
        <v/>
      </c>
      <c r="M1095" s="241" t="str">
        <f>IFERROR(__xludf.DUMMYFUNCTION("VLOOKUP(C1095,IMPORTRANGE(""https://docs.google.com/spreadsheets/d/1P8eX0NWBhUPS_hvzA11R6jkTNFrPrRYIx_dX_hYbxrk/edit?resourcekey=0-iw9bsKY2OqkUHCFMkCar3A&amp;gid=2055363397#gid=2055363397"",""MTR!C:O""),11,false)"),"")</f>
        <v/>
      </c>
      <c r="N1095" s="241" t="str">
        <f>IFERROR(__xludf.DUMMYFUNCTION("VLOOKUP(C1095,IMPORTRANGE(""https://docs.google.com/spreadsheets/d/1ihFlp3_ePlYtFuPbUNbYj1muErVpI73WHXbEwJDIA7Q/edit#gid=1493122344"",""MTR!C:O""),8,false)"),"")</f>
        <v/>
      </c>
      <c r="O1095" s="241" t="str">
        <f>IFERROR(__xludf.DUMMYFUNCTION("VLOOKUP(C1095,IMPORTRANGE(""https://docs.google.com/spreadsheets/d/1P8eX0NWBhUPS_hvzA11R6jkTNFrPrRYIx_dX_hYbxrk/edit?resourcekey=0-iw9bsKY2OqkUHCFMkCar3A&amp;gid=2055363397#gid=2055363397"",""MTR!C:O""),9,false)"),"")</f>
        <v/>
      </c>
      <c r="P1095" s="241"/>
      <c r="Q1095" s="251"/>
      <c r="R1095" s="241"/>
      <c r="S1095" s="240" t="s">
        <v>390</v>
      </c>
      <c r="T1095" s="240" t="s">
        <v>390</v>
      </c>
      <c r="U1095" s="240" t="s">
        <v>390</v>
      </c>
      <c r="V1095" s="240" t="s">
        <v>390</v>
      </c>
      <c r="W1095" s="240" t="s">
        <v>390</v>
      </c>
      <c r="X1095" s="240" t="s">
        <v>390</v>
      </c>
      <c r="Y1095" s="240" t="s">
        <v>390</v>
      </c>
      <c r="Z1095" s="240" t="s">
        <v>390</v>
      </c>
      <c r="AA1095" s="240" t="s">
        <v>390</v>
      </c>
      <c r="AB1095" s="240"/>
      <c r="AC1095" s="242" t="b">
        <f t="shared" si="2"/>
        <v>0</v>
      </c>
      <c r="AD1095" s="240" t="s">
        <v>391</v>
      </c>
      <c r="AE1095" s="243" t="b">
        <f t="shared" si="3"/>
        <v>0</v>
      </c>
      <c r="AF1095" s="240"/>
      <c r="AG1095" s="243" t="b">
        <f t="shared" si="7"/>
        <v>0</v>
      </c>
      <c r="AH1095" s="240"/>
      <c r="AI1095" s="243" t="str">
        <f t="shared" si="5"/>
        <v>N/A</v>
      </c>
      <c r="AJ1095" s="157" t="str">
        <f t="shared" si="6"/>
        <v/>
      </c>
    </row>
    <row r="1096" ht="12.75" customHeight="1">
      <c r="A1096" s="238" t="s">
        <v>2412</v>
      </c>
      <c r="B1096" s="238" t="s">
        <v>2981</v>
      </c>
      <c r="C1096" s="238" t="s">
        <v>3051</v>
      </c>
      <c r="D1096" s="238"/>
      <c r="E1096" s="238"/>
      <c r="F1096" s="154" t="str">
        <f t="array" ref="F1096">XLOOKUP(Cover!$D$12,$S$1:$AA$1,$S1096:$AA1096)</f>
        <v>Heading</v>
      </c>
      <c r="G1096" s="239" t="s">
        <v>3052</v>
      </c>
      <c r="H1096" s="240"/>
      <c r="I1096" s="240" t="s">
        <v>414</v>
      </c>
      <c r="J1096" s="240"/>
      <c r="K1096" s="240"/>
      <c r="L1096" s="154" t="str">
        <f t="shared" si="1"/>
        <v/>
      </c>
      <c r="M1096" s="241" t="str">
        <f>IFERROR(__xludf.DUMMYFUNCTION("VLOOKUP(C1096,IMPORTRANGE(""https://docs.google.com/spreadsheets/d/1P8eX0NWBhUPS_hvzA11R6jkTNFrPrRYIx_dX_hYbxrk/edit?resourcekey=0-iw9bsKY2OqkUHCFMkCar3A&amp;gid=2055363397#gid=2055363397"",""MTR!C:O""),11,false)"),"")</f>
        <v/>
      </c>
      <c r="N1096" s="241" t="str">
        <f>IFERROR(__xludf.DUMMYFUNCTION("VLOOKUP(C1096,IMPORTRANGE(""https://docs.google.com/spreadsheets/d/1ihFlp3_ePlYtFuPbUNbYj1muErVpI73WHXbEwJDIA7Q/edit#gid=1493122344"",""MTR!C:O""),8,false)"),"")</f>
        <v/>
      </c>
      <c r="O1096" s="241" t="str">
        <f>IFERROR(__xludf.DUMMYFUNCTION("VLOOKUP(C1096,IMPORTRANGE(""https://docs.google.com/spreadsheets/d/1P8eX0NWBhUPS_hvzA11R6jkTNFrPrRYIx_dX_hYbxrk/edit?resourcekey=0-iw9bsKY2OqkUHCFMkCar3A&amp;gid=2055363397#gid=2055363397"",""MTR!C:O""),9,false)"),"")</f>
        <v/>
      </c>
      <c r="P1096" s="241"/>
      <c r="Q1096" s="241"/>
      <c r="R1096" s="241"/>
      <c r="S1096" s="240" t="s">
        <v>390</v>
      </c>
      <c r="T1096" s="240" t="s">
        <v>390</v>
      </c>
      <c r="U1096" s="240" t="s">
        <v>390</v>
      </c>
      <c r="V1096" s="240" t="s">
        <v>390</v>
      </c>
      <c r="W1096" s="240" t="s">
        <v>390</v>
      </c>
      <c r="X1096" s="240" t="s">
        <v>390</v>
      </c>
      <c r="Y1096" s="240" t="s">
        <v>390</v>
      </c>
      <c r="Z1096" s="240" t="s">
        <v>390</v>
      </c>
      <c r="AA1096" s="240" t="s">
        <v>390</v>
      </c>
      <c r="AB1096" s="240"/>
      <c r="AC1096" s="242" t="b">
        <f t="shared" si="2"/>
        <v>0</v>
      </c>
      <c r="AD1096" s="240" t="s">
        <v>391</v>
      </c>
      <c r="AE1096" s="243" t="b">
        <f t="shared" si="3"/>
        <v>0</v>
      </c>
      <c r="AF1096" s="240"/>
      <c r="AG1096" s="243" t="b">
        <f t="shared" si="7"/>
        <v>0</v>
      </c>
      <c r="AH1096" s="240"/>
      <c r="AI1096" s="243" t="str">
        <f t="shared" si="5"/>
        <v>N/A</v>
      </c>
      <c r="AJ1096" s="157" t="str">
        <f t="shared" si="6"/>
        <v/>
      </c>
    </row>
    <row r="1097" ht="12.75" customHeight="1">
      <c r="A1097" s="244" t="s">
        <v>2412</v>
      </c>
      <c r="B1097" s="244" t="s">
        <v>2981</v>
      </c>
      <c r="C1097" s="244" t="s">
        <v>3053</v>
      </c>
      <c r="D1097" s="154" t="s">
        <v>459</v>
      </c>
      <c r="E1097" s="250"/>
      <c r="F1097" s="154" t="str">
        <f t="array" ref="F1097">XLOOKUP(Cover!$D$12,$S$1:$AA$1,$S1097:$AA1097)</f>
        <v>Mandatory</v>
      </c>
      <c r="G1097" s="154" t="s">
        <v>3054</v>
      </c>
      <c r="H1097" s="154" t="s">
        <v>398</v>
      </c>
      <c r="I1097" s="154" t="s">
        <v>414</v>
      </c>
      <c r="J1097" s="154" t="s">
        <v>516</v>
      </c>
      <c r="K1097" s="154"/>
      <c r="L1097" s="154" t="str">
        <f t="shared" si="1"/>
        <v/>
      </c>
      <c r="M1097" s="248" t="str">
        <f>IFERROR(__xludf.DUMMYFUNCTION("VLOOKUP(C1097,IMPORTRANGE(""https://docs.google.com/spreadsheets/d/1P8eX0NWBhUPS_hvzA11R6jkTNFrPrRYIx_dX_hYbxrk/edit?resourcekey=0-iw9bsKY2OqkUHCFMkCar3A&amp;gid=2055363397#gid=2055363397"",""MTR!C:O""),11,false)"),"PMW-IMS")</f>
        <v>PMW-IMS</v>
      </c>
      <c r="N1097" s="248" t="str">
        <f>IFERROR(__xludf.DUMMYFUNCTION("VLOOKUP(C1097,IMPORTRANGE(""https://docs.google.com/spreadsheets/d/1ihFlp3_ePlYtFuPbUNbYj1muErVpI73WHXbEwJDIA7Q/edit#gid=1493122344"",""MTR!C:O""),8,false)"),"Does Not Comply")</f>
        <v>Does Not Comply</v>
      </c>
      <c r="O1097" s="241" t="str">
        <f>IFERROR(__xludf.DUMMYFUNCTION("VLOOKUP(C1097,IMPORTRANGE(""https://docs.google.com/spreadsheets/d/1P8eX0NWBhUPS_hvzA11R6jkTNFrPrRYIx_dX_hYbxrk/edit?resourcekey=0-iw9bsKY2OqkUHCFMkCar3A&amp;gid=2055363397#gid=2055363397"",""MTR!C:O""),9,false)"),"")</f>
        <v/>
      </c>
      <c r="P1097" s="241"/>
      <c r="Q1097" s="251" t="s">
        <v>516</v>
      </c>
      <c r="R1097" s="241"/>
      <c r="S1097" s="154" t="s">
        <v>60</v>
      </c>
      <c r="T1097" s="154" t="s">
        <v>60</v>
      </c>
      <c r="U1097" s="154" t="s">
        <v>60</v>
      </c>
      <c r="V1097" s="154" t="s">
        <v>60</v>
      </c>
      <c r="W1097" s="154" t="s">
        <v>60</v>
      </c>
      <c r="X1097" s="154" t="s">
        <v>60</v>
      </c>
      <c r="Y1097" s="154" t="s">
        <v>60</v>
      </c>
      <c r="Z1097" s="154" t="s">
        <v>60</v>
      </c>
      <c r="AA1097" s="154" t="s">
        <v>60</v>
      </c>
      <c r="AB1097" s="154"/>
      <c r="AC1097" s="242" t="b">
        <f t="shared" si="2"/>
        <v>1</v>
      </c>
      <c r="AD1097" s="154" t="s">
        <v>391</v>
      </c>
      <c r="AE1097" s="243" t="b">
        <f t="shared" si="3"/>
        <v>0</v>
      </c>
      <c r="AF1097" s="154"/>
      <c r="AG1097" s="243" t="b">
        <f t="shared" si="7"/>
        <v>0</v>
      </c>
      <c r="AH1097" s="154"/>
      <c r="AI1097" s="243" t="str">
        <f t="shared" si="5"/>
        <v>N/A</v>
      </c>
      <c r="AJ1097" s="157" t="str">
        <f t="shared" si="6"/>
        <v/>
      </c>
    </row>
    <row r="1098" ht="12.75" customHeight="1">
      <c r="A1098" s="238" t="s">
        <v>2412</v>
      </c>
      <c r="B1098" s="238" t="s">
        <v>2981</v>
      </c>
      <c r="C1098" s="238" t="s">
        <v>3055</v>
      </c>
      <c r="D1098" s="238"/>
      <c r="E1098" s="238"/>
      <c r="F1098" s="154" t="str">
        <f t="array" ref="F1098">XLOOKUP(Cover!$D$12,$S$1:$AA$1,$S1098:$AA1098)</f>
        <v>Heading</v>
      </c>
      <c r="G1098" s="239" t="s">
        <v>3056</v>
      </c>
      <c r="H1098" s="240"/>
      <c r="I1098" s="240" t="s">
        <v>414</v>
      </c>
      <c r="J1098" s="240"/>
      <c r="K1098" s="240"/>
      <c r="L1098" s="154" t="str">
        <f t="shared" si="1"/>
        <v/>
      </c>
      <c r="M1098" s="241" t="str">
        <f>IFERROR(__xludf.DUMMYFUNCTION("VLOOKUP(C1098,IMPORTRANGE(""https://docs.google.com/spreadsheets/d/1P8eX0NWBhUPS_hvzA11R6jkTNFrPrRYIx_dX_hYbxrk/edit?resourcekey=0-iw9bsKY2OqkUHCFMkCar3A&amp;gid=2055363397#gid=2055363397"",""MTR!C:O""),11,false)"),"")</f>
        <v/>
      </c>
      <c r="N1098" s="241" t="str">
        <f>IFERROR(__xludf.DUMMYFUNCTION("VLOOKUP(C1098,IMPORTRANGE(""https://docs.google.com/spreadsheets/d/1ihFlp3_ePlYtFuPbUNbYj1muErVpI73WHXbEwJDIA7Q/edit#gid=1493122344"",""MTR!C:O""),8,false)"),"")</f>
        <v/>
      </c>
      <c r="O1098" s="241" t="str">
        <f>IFERROR(__xludf.DUMMYFUNCTION("VLOOKUP(C1098,IMPORTRANGE(""https://docs.google.com/spreadsheets/d/1P8eX0NWBhUPS_hvzA11R6jkTNFrPrRYIx_dX_hYbxrk/edit?resourcekey=0-iw9bsKY2OqkUHCFMkCar3A&amp;gid=2055363397#gid=2055363397"",""MTR!C:O""),9,false)"),"")</f>
        <v/>
      </c>
      <c r="P1098" s="241"/>
      <c r="Q1098" s="251"/>
      <c r="R1098" s="241"/>
      <c r="S1098" s="240" t="s">
        <v>390</v>
      </c>
      <c r="T1098" s="240" t="s">
        <v>390</v>
      </c>
      <c r="U1098" s="240" t="s">
        <v>390</v>
      </c>
      <c r="V1098" s="240" t="s">
        <v>390</v>
      </c>
      <c r="W1098" s="240" t="s">
        <v>390</v>
      </c>
      <c r="X1098" s="240" t="s">
        <v>390</v>
      </c>
      <c r="Y1098" s="240" t="s">
        <v>390</v>
      </c>
      <c r="Z1098" s="240" t="s">
        <v>390</v>
      </c>
      <c r="AA1098" s="240" t="s">
        <v>390</v>
      </c>
      <c r="AB1098" s="240"/>
      <c r="AC1098" s="242" t="b">
        <f t="shared" si="2"/>
        <v>0</v>
      </c>
      <c r="AD1098" s="240" t="s">
        <v>391</v>
      </c>
      <c r="AE1098" s="243" t="b">
        <f t="shared" si="3"/>
        <v>0</v>
      </c>
      <c r="AF1098" s="240"/>
      <c r="AG1098" s="243" t="b">
        <f t="shared" si="7"/>
        <v>0</v>
      </c>
      <c r="AH1098" s="240"/>
      <c r="AI1098" s="243" t="str">
        <f t="shared" si="5"/>
        <v>N/A</v>
      </c>
      <c r="AJ1098" s="157" t="str">
        <f t="shared" si="6"/>
        <v/>
      </c>
    </row>
    <row r="1099" ht="12.75" customHeight="1">
      <c r="A1099" s="244" t="s">
        <v>2412</v>
      </c>
      <c r="B1099" s="244" t="s">
        <v>2981</v>
      </c>
      <c r="C1099" s="244" t="s">
        <v>3057</v>
      </c>
      <c r="D1099" s="154" t="s">
        <v>459</v>
      </c>
      <c r="E1099" s="250"/>
      <c r="F1099" s="154" t="str">
        <f t="array" ref="F1099">XLOOKUP(Cover!$D$12,$S$1:$AA$1,$S1099:$AA1099)</f>
        <v>Mandatory</v>
      </c>
      <c r="G1099" s="154" t="s">
        <v>3058</v>
      </c>
      <c r="H1099" s="154" t="s">
        <v>398</v>
      </c>
      <c r="I1099" s="154" t="s">
        <v>414</v>
      </c>
      <c r="J1099" s="154" t="s">
        <v>445</v>
      </c>
      <c r="K1099" s="154"/>
      <c r="L1099" s="154" t="str">
        <f t="shared" si="1"/>
        <v/>
      </c>
      <c r="M1099" s="248" t="str">
        <f>IFERROR(__xludf.DUMMYFUNCTION("VLOOKUP(C1099,IMPORTRANGE(""https://docs.google.com/spreadsheets/d/1P8eX0NWBhUPS_hvzA11R6jkTNFrPrRYIx_dX_hYbxrk/edit?resourcekey=0-iw9bsKY2OqkUHCFMkCar3A&amp;gid=2055363397#gid=2055363397"",""MTR!C:O""),11,false)"),"PMW-IMS")</f>
        <v>PMW-IMS</v>
      </c>
      <c r="N1099" s="248" t="str">
        <f>IFERROR(__xludf.DUMMYFUNCTION("VLOOKUP(C1099,IMPORTRANGE(""https://docs.google.com/spreadsheets/d/1ihFlp3_ePlYtFuPbUNbYj1muErVpI73WHXbEwJDIA7Q/edit#gid=1493122344"",""MTR!C:O""),8,false)"),"Complies")</f>
        <v>Complies</v>
      </c>
      <c r="O1099" s="241" t="str">
        <f>IFERROR(__xludf.DUMMYFUNCTION("VLOOKUP(C1099,IMPORTRANGE(""https://docs.google.com/spreadsheets/d/1P8eX0NWBhUPS_hvzA11R6jkTNFrPrRYIx_dX_hYbxrk/edit?resourcekey=0-iw9bsKY2OqkUHCFMkCar3A&amp;gid=2055363397#gid=2055363397"",""MTR!C:O""),9,false)"),"")</f>
        <v/>
      </c>
      <c r="P1099" s="241"/>
      <c r="Q1099" s="251" t="s">
        <v>445</v>
      </c>
      <c r="R1099" s="241"/>
      <c r="S1099" s="154" t="s">
        <v>60</v>
      </c>
      <c r="T1099" s="154" t="s">
        <v>60</v>
      </c>
      <c r="U1099" s="154" t="s">
        <v>60</v>
      </c>
      <c r="V1099" s="154" t="s">
        <v>60</v>
      </c>
      <c r="W1099" s="154" t="s">
        <v>60</v>
      </c>
      <c r="X1099" s="154" t="s">
        <v>60</v>
      </c>
      <c r="Y1099" s="154" t="s">
        <v>60</v>
      </c>
      <c r="Z1099" s="154" t="s">
        <v>60</v>
      </c>
      <c r="AA1099" s="154" t="s">
        <v>60</v>
      </c>
      <c r="AB1099" s="154"/>
      <c r="AC1099" s="242" t="b">
        <f t="shared" si="2"/>
        <v>1</v>
      </c>
      <c r="AD1099" s="154" t="s">
        <v>391</v>
      </c>
      <c r="AE1099" s="243" t="b">
        <f t="shared" si="3"/>
        <v>0</v>
      </c>
      <c r="AF1099" s="154"/>
      <c r="AG1099" s="243" t="b">
        <f t="shared" si="7"/>
        <v>0</v>
      </c>
      <c r="AH1099" s="154"/>
      <c r="AI1099" s="243" t="str">
        <f t="shared" si="5"/>
        <v>N/A</v>
      </c>
      <c r="AJ1099" s="157" t="str">
        <f t="shared" si="6"/>
        <v/>
      </c>
    </row>
    <row r="1100" ht="12.75" customHeight="1">
      <c r="A1100" s="244" t="s">
        <v>2412</v>
      </c>
      <c r="B1100" s="244" t="s">
        <v>2981</v>
      </c>
      <c r="C1100" s="244" t="s">
        <v>3059</v>
      </c>
      <c r="D1100" s="154" t="s">
        <v>459</v>
      </c>
      <c r="E1100" s="250"/>
      <c r="F1100" s="154" t="str">
        <f t="array" ref="F1100">XLOOKUP(Cover!$D$12,$S$1:$AA$1,$S1100:$AA1100)</f>
        <v>Mandatory</v>
      </c>
      <c r="G1100" s="154" t="s">
        <v>3060</v>
      </c>
      <c r="H1100" s="154" t="s">
        <v>398</v>
      </c>
      <c r="I1100" s="154" t="s">
        <v>414</v>
      </c>
      <c r="J1100" s="247" t="s">
        <v>445</v>
      </c>
      <c r="K1100" s="154"/>
      <c r="L1100" s="154" t="str">
        <f t="shared" si="1"/>
        <v/>
      </c>
      <c r="M1100" s="248" t="str">
        <f>IFERROR(__xludf.DUMMYFUNCTION("VLOOKUP(C1100,IMPORTRANGE(""https://docs.google.com/spreadsheets/d/1P8eX0NWBhUPS_hvzA11R6jkTNFrPrRYIx_dX_hYbxrk/edit?resourcekey=0-iw9bsKY2OqkUHCFMkCar3A&amp;gid=2055363397#gid=2055363397"",""MTR!C:O""),11,false)"),"PMW-IMS")</f>
        <v>PMW-IMS</v>
      </c>
      <c r="N1100" s="248" t="str">
        <f>IFERROR(__xludf.DUMMYFUNCTION("VLOOKUP(C1100,IMPORTRANGE(""https://docs.google.com/spreadsheets/d/1ihFlp3_ePlYtFuPbUNbYj1muErVpI73WHXbEwJDIA7Q/edit#gid=1493122344"",""MTR!C:O""),8,false)"),"Complies")</f>
        <v>Complies</v>
      </c>
      <c r="O1100" s="241" t="str">
        <f>IFERROR(__xludf.DUMMYFUNCTION("VLOOKUP(C1100,IMPORTRANGE(""https://docs.google.com/spreadsheets/d/1P8eX0NWBhUPS_hvzA11R6jkTNFrPrRYIx_dX_hYbxrk/edit?resourcekey=0-iw9bsKY2OqkUHCFMkCar3A&amp;gid=2055363397#gid=2055363397"",""MTR!C:O""),9,false)"),"")</f>
        <v/>
      </c>
      <c r="P1100" s="241"/>
      <c r="Q1100" s="251" t="s">
        <v>445</v>
      </c>
      <c r="R1100" s="241"/>
      <c r="S1100" s="154" t="s">
        <v>60</v>
      </c>
      <c r="T1100" s="154" t="s">
        <v>60</v>
      </c>
      <c r="U1100" s="154" t="s">
        <v>60</v>
      </c>
      <c r="V1100" s="154" t="s">
        <v>60</v>
      </c>
      <c r="W1100" s="154" t="s">
        <v>60</v>
      </c>
      <c r="X1100" s="154" t="s">
        <v>60</v>
      </c>
      <c r="Y1100" s="154" t="s">
        <v>60</v>
      </c>
      <c r="Z1100" s="154" t="s">
        <v>60</v>
      </c>
      <c r="AA1100" s="154" t="s">
        <v>60</v>
      </c>
      <c r="AB1100" s="154"/>
      <c r="AC1100" s="242" t="b">
        <f t="shared" si="2"/>
        <v>1</v>
      </c>
      <c r="AD1100" s="154" t="s">
        <v>391</v>
      </c>
      <c r="AE1100" s="243" t="b">
        <f t="shared" si="3"/>
        <v>0</v>
      </c>
      <c r="AF1100" s="154"/>
      <c r="AG1100" s="243" t="b">
        <f t="shared" si="7"/>
        <v>0</v>
      </c>
      <c r="AH1100" s="154"/>
      <c r="AI1100" s="243" t="str">
        <f t="shared" si="5"/>
        <v>N/A</v>
      </c>
      <c r="AJ1100" s="157" t="str">
        <f t="shared" si="6"/>
        <v/>
      </c>
    </row>
    <row r="1101" ht="12.75" customHeight="1">
      <c r="A1101" s="244" t="s">
        <v>2412</v>
      </c>
      <c r="B1101" s="244" t="s">
        <v>2981</v>
      </c>
      <c r="C1101" s="244" t="s">
        <v>3061</v>
      </c>
      <c r="D1101" s="154" t="s">
        <v>781</v>
      </c>
      <c r="E1101" s="250"/>
      <c r="F1101" s="154" t="str">
        <f t="array" ref="F1101">XLOOKUP(Cover!$D$12,$S$1:$AA$1,$S1101:$AA1101)</f>
        <v>Mandatory</v>
      </c>
      <c r="G1101" s="154" t="s">
        <v>3062</v>
      </c>
      <c r="H1101" s="154" t="s">
        <v>398</v>
      </c>
      <c r="I1101" s="154" t="s">
        <v>414</v>
      </c>
      <c r="J1101" s="247" t="s">
        <v>445</v>
      </c>
      <c r="K1101" s="154"/>
      <c r="L1101" s="154" t="str">
        <f t="shared" si="1"/>
        <v/>
      </c>
      <c r="M1101" s="248" t="str">
        <f>IFERROR(__xludf.DUMMYFUNCTION("VLOOKUP(C1101,IMPORTRANGE(""https://docs.google.com/spreadsheets/d/1P8eX0NWBhUPS_hvzA11R6jkTNFrPrRYIx_dX_hYbxrk/edit?resourcekey=0-iw9bsKY2OqkUHCFMkCar3A&amp;gid=2055363397#gid=2055363397"",""MTR!C:O""),11,false)"),"PMW-IMS")</f>
        <v>PMW-IMS</v>
      </c>
      <c r="N1101" s="248" t="str">
        <f>IFERROR(__xludf.DUMMYFUNCTION("VLOOKUP(C1101,IMPORTRANGE(""https://docs.google.com/spreadsheets/d/1ihFlp3_ePlYtFuPbUNbYj1muErVpI73WHXbEwJDIA7Q/edit#gid=1493122344"",""MTR!C:O""),8,false)"),"Complies")</f>
        <v>Complies</v>
      </c>
      <c r="O1101" s="241" t="str">
        <f>IFERROR(__xludf.DUMMYFUNCTION("VLOOKUP(C1101,IMPORTRANGE(""https://docs.google.com/spreadsheets/d/1P8eX0NWBhUPS_hvzA11R6jkTNFrPrRYIx_dX_hYbxrk/edit?resourcekey=0-iw9bsKY2OqkUHCFMkCar3A&amp;gid=2055363397#gid=2055363397"",""MTR!C:O""),9,false)"),"")</f>
        <v/>
      </c>
      <c r="P1101" s="241"/>
      <c r="Q1101" s="251" t="s">
        <v>445</v>
      </c>
      <c r="R1101" s="241"/>
      <c r="S1101" s="154" t="s">
        <v>60</v>
      </c>
      <c r="T1101" s="154" t="s">
        <v>60</v>
      </c>
      <c r="U1101" s="154" t="s">
        <v>60</v>
      </c>
      <c r="V1101" s="154" t="s">
        <v>60</v>
      </c>
      <c r="W1101" s="154" t="s">
        <v>60</v>
      </c>
      <c r="X1101" s="154" t="s">
        <v>60</v>
      </c>
      <c r="Y1101" s="154" t="s">
        <v>60</v>
      </c>
      <c r="Z1101" s="154" t="s">
        <v>60</v>
      </c>
      <c r="AA1101" s="154" t="s">
        <v>60</v>
      </c>
      <c r="AB1101" s="154"/>
      <c r="AC1101" s="242" t="b">
        <f t="shared" si="2"/>
        <v>1</v>
      </c>
      <c r="AD1101" s="154" t="s">
        <v>391</v>
      </c>
      <c r="AE1101" s="243" t="b">
        <f t="shared" si="3"/>
        <v>0</v>
      </c>
      <c r="AF1101" s="154"/>
      <c r="AG1101" s="243" t="b">
        <f t="shared" si="7"/>
        <v>0</v>
      </c>
      <c r="AH1101" s="154"/>
      <c r="AI1101" s="243" t="str">
        <f t="shared" si="5"/>
        <v>N/A</v>
      </c>
      <c r="AJ1101" s="157" t="str">
        <f t="shared" si="6"/>
        <v/>
      </c>
    </row>
    <row r="1102" ht="12.75" customHeight="1">
      <c r="A1102" s="244" t="s">
        <v>2412</v>
      </c>
      <c r="B1102" s="244" t="s">
        <v>2981</v>
      </c>
      <c r="C1102" s="244" t="s">
        <v>3063</v>
      </c>
      <c r="D1102" s="154" t="s">
        <v>459</v>
      </c>
      <c r="E1102" s="250"/>
      <c r="F1102" s="154" t="str">
        <f t="array" ref="F1102">XLOOKUP(Cover!$D$12,$S$1:$AA$1,$S1102:$AA1102)</f>
        <v>Mandatory</v>
      </c>
      <c r="G1102" s="154" t="s">
        <v>3064</v>
      </c>
      <c r="H1102" s="154" t="s">
        <v>398</v>
      </c>
      <c r="I1102" s="154" t="s">
        <v>414</v>
      </c>
      <c r="J1102" s="247" t="s">
        <v>445</v>
      </c>
      <c r="K1102" s="154"/>
      <c r="L1102" s="154" t="str">
        <f t="shared" si="1"/>
        <v/>
      </c>
      <c r="M1102" s="248" t="str">
        <f>IFERROR(__xludf.DUMMYFUNCTION("VLOOKUP(C1102,IMPORTRANGE(""https://docs.google.com/spreadsheets/d/1P8eX0NWBhUPS_hvzA11R6jkTNFrPrRYIx_dX_hYbxrk/edit?resourcekey=0-iw9bsKY2OqkUHCFMkCar3A&amp;gid=2055363397#gid=2055363397"",""MTR!C:O""),11,false)"),"PMW-IMS")</f>
        <v>PMW-IMS</v>
      </c>
      <c r="N1102" s="248" t="str">
        <f>IFERROR(__xludf.DUMMYFUNCTION("VLOOKUP(C1102,IMPORTRANGE(""https://docs.google.com/spreadsheets/d/1ihFlp3_ePlYtFuPbUNbYj1muErVpI73WHXbEwJDIA7Q/edit#gid=1493122344"",""MTR!C:O""),8,false)"),"Complies")</f>
        <v>Complies</v>
      </c>
      <c r="O1102" s="241" t="str">
        <f>IFERROR(__xludf.DUMMYFUNCTION("VLOOKUP(C1102,IMPORTRANGE(""https://docs.google.com/spreadsheets/d/1P8eX0NWBhUPS_hvzA11R6jkTNFrPrRYIx_dX_hYbxrk/edit?resourcekey=0-iw9bsKY2OqkUHCFMkCar3A&amp;gid=2055363397#gid=2055363397"",""MTR!C:O""),9,false)"),"")</f>
        <v/>
      </c>
      <c r="P1102" s="241"/>
      <c r="Q1102" s="251" t="s">
        <v>445</v>
      </c>
      <c r="R1102" s="241"/>
      <c r="S1102" s="154" t="s">
        <v>60</v>
      </c>
      <c r="T1102" s="154" t="s">
        <v>60</v>
      </c>
      <c r="U1102" s="154" t="s">
        <v>60</v>
      </c>
      <c r="V1102" s="154" t="s">
        <v>60</v>
      </c>
      <c r="W1102" s="154" t="s">
        <v>60</v>
      </c>
      <c r="X1102" s="154" t="s">
        <v>60</v>
      </c>
      <c r="Y1102" s="154" t="s">
        <v>60</v>
      </c>
      <c r="Z1102" s="154" t="s">
        <v>60</v>
      </c>
      <c r="AA1102" s="154" t="s">
        <v>60</v>
      </c>
      <c r="AB1102" s="154"/>
      <c r="AC1102" s="242" t="b">
        <f t="shared" si="2"/>
        <v>1</v>
      </c>
      <c r="AD1102" s="154" t="s">
        <v>391</v>
      </c>
      <c r="AE1102" s="243" t="b">
        <f t="shared" si="3"/>
        <v>0</v>
      </c>
      <c r="AF1102" s="154"/>
      <c r="AG1102" s="243" t="b">
        <f t="shared" si="7"/>
        <v>0</v>
      </c>
      <c r="AH1102" s="154"/>
      <c r="AI1102" s="243" t="str">
        <f t="shared" si="5"/>
        <v>N/A</v>
      </c>
      <c r="AJ1102" s="157" t="str">
        <f t="shared" si="6"/>
        <v/>
      </c>
    </row>
    <row r="1103" ht="12.75" customHeight="1">
      <c r="A1103" s="238" t="s">
        <v>2412</v>
      </c>
      <c r="B1103" s="238" t="s">
        <v>2981</v>
      </c>
      <c r="C1103" s="238" t="s">
        <v>3065</v>
      </c>
      <c r="D1103" s="238"/>
      <c r="E1103" s="238"/>
      <c r="F1103" s="154" t="str">
        <f t="array" ref="F1103">XLOOKUP(Cover!$D$12,$S$1:$AA$1,$S1103:$AA1103)</f>
        <v>Heading</v>
      </c>
      <c r="G1103" s="239" t="s">
        <v>3066</v>
      </c>
      <c r="H1103" s="240"/>
      <c r="I1103" s="240" t="s">
        <v>414</v>
      </c>
      <c r="J1103" s="240"/>
      <c r="K1103" s="240"/>
      <c r="L1103" s="154" t="str">
        <f t="shared" si="1"/>
        <v/>
      </c>
      <c r="M1103" s="241" t="str">
        <f>IFERROR(__xludf.DUMMYFUNCTION("VLOOKUP(C1103,IMPORTRANGE(""https://docs.google.com/spreadsheets/d/1P8eX0NWBhUPS_hvzA11R6jkTNFrPrRYIx_dX_hYbxrk/edit?resourcekey=0-iw9bsKY2OqkUHCFMkCar3A&amp;gid=2055363397#gid=2055363397"",""MTR!C:O""),11,false)"),"")</f>
        <v/>
      </c>
      <c r="N1103" s="241" t="str">
        <f>IFERROR(__xludf.DUMMYFUNCTION("VLOOKUP(C1103,IMPORTRANGE(""https://docs.google.com/spreadsheets/d/1ihFlp3_ePlYtFuPbUNbYj1muErVpI73WHXbEwJDIA7Q/edit#gid=1493122344"",""MTR!C:O""),8,false)"),"")</f>
        <v/>
      </c>
      <c r="O1103" s="241" t="str">
        <f>IFERROR(__xludf.DUMMYFUNCTION("VLOOKUP(C1103,IMPORTRANGE(""https://docs.google.com/spreadsheets/d/1P8eX0NWBhUPS_hvzA11R6jkTNFrPrRYIx_dX_hYbxrk/edit?resourcekey=0-iw9bsKY2OqkUHCFMkCar3A&amp;gid=2055363397#gid=2055363397"",""MTR!C:O""),9,false)"),"")</f>
        <v/>
      </c>
      <c r="P1103" s="241"/>
      <c r="Q1103" s="251"/>
      <c r="R1103" s="241"/>
      <c r="S1103" s="240" t="s">
        <v>390</v>
      </c>
      <c r="T1103" s="240" t="s">
        <v>390</v>
      </c>
      <c r="U1103" s="240" t="s">
        <v>390</v>
      </c>
      <c r="V1103" s="240" t="s">
        <v>390</v>
      </c>
      <c r="W1103" s="240" t="s">
        <v>390</v>
      </c>
      <c r="X1103" s="240" t="s">
        <v>390</v>
      </c>
      <c r="Y1103" s="240" t="s">
        <v>390</v>
      </c>
      <c r="Z1103" s="240" t="s">
        <v>390</v>
      </c>
      <c r="AA1103" s="240" t="s">
        <v>390</v>
      </c>
      <c r="AB1103" s="240"/>
      <c r="AC1103" s="242" t="b">
        <f t="shared" si="2"/>
        <v>0</v>
      </c>
      <c r="AD1103" s="240" t="s">
        <v>391</v>
      </c>
      <c r="AE1103" s="243" t="b">
        <f t="shared" si="3"/>
        <v>0</v>
      </c>
      <c r="AF1103" s="240"/>
      <c r="AG1103" s="243" t="b">
        <f t="shared" si="7"/>
        <v>0</v>
      </c>
      <c r="AH1103" s="240"/>
      <c r="AI1103" s="243" t="str">
        <f t="shared" si="5"/>
        <v>N/A</v>
      </c>
      <c r="AJ1103" s="157" t="str">
        <f t="shared" si="6"/>
        <v/>
      </c>
    </row>
    <row r="1104" ht="12.75" customHeight="1">
      <c r="A1104" s="238" t="s">
        <v>2412</v>
      </c>
      <c r="B1104" s="238" t="s">
        <v>2981</v>
      </c>
      <c r="C1104" s="238" t="s">
        <v>3067</v>
      </c>
      <c r="D1104" s="238"/>
      <c r="E1104" s="238"/>
      <c r="F1104" s="154" t="str">
        <f t="array" ref="F1104">XLOOKUP(Cover!$D$12,$S$1:$AA$1,$S1104:$AA1104)</f>
        <v>Heading</v>
      </c>
      <c r="G1104" s="239" t="s">
        <v>3068</v>
      </c>
      <c r="H1104" s="240"/>
      <c r="I1104" s="240" t="s">
        <v>414</v>
      </c>
      <c r="J1104" s="240"/>
      <c r="K1104" s="240"/>
      <c r="L1104" s="154" t="str">
        <f t="shared" si="1"/>
        <v/>
      </c>
      <c r="M1104" s="241" t="str">
        <f>IFERROR(__xludf.DUMMYFUNCTION("VLOOKUP(C1104,IMPORTRANGE(""https://docs.google.com/spreadsheets/d/1P8eX0NWBhUPS_hvzA11R6jkTNFrPrRYIx_dX_hYbxrk/edit?resourcekey=0-iw9bsKY2OqkUHCFMkCar3A&amp;gid=2055363397#gid=2055363397"",""MTR!C:O""),11,false)"),"")</f>
        <v/>
      </c>
      <c r="N1104" s="241" t="str">
        <f>IFERROR(__xludf.DUMMYFUNCTION("VLOOKUP(C1104,IMPORTRANGE(""https://docs.google.com/spreadsheets/d/1ihFlp3_ePlYtFuPbUNbYj1muErVpI73WHXbEwJDIA7Q/edit#gid=1493122344"",""MTR!C:O""),8,false)"),"")</f>
        <v/>
      </c>
      <c r="O1104" s="241" t="str">
        <f>IFERROR(__xludf.DUMMYFUNCTION("VLOOKUP(C1104,IMPORTRANGE(""https://docs.google.com/spreadsheets/d/1P8eX0NWBhUPS_hvzA11R6jkTNFrPrRYIx_dX_hYbxrk/edit?resourcekey=0-iw9bsKY2OqkUHCFMkCar3A&amp;gid=2055363397#gid=2055363397"",""MTR!C:O""),9,false)"),"")</f>
        <v/>
      </c>
      <c r="P1104" s="241"/>
      <c r="Q1104" s="241"/>
      <c r="R1104" s="241"/>
      <c r="S1104" s="240" t="s">
        <v>390</v>
      </c>
      <c r="T1104" s="240" t="s">
        <v>390</v>
      </c>
      <c r="U1104" s="240" t="s">
        <v>390</v>
      </c>
      <c r="V1104" s="240" t="s">
        <v>390</v>
      </c>
      <c r="W1104" s="240" t="s">
        <v>390</v>
      </c>
      <c r="X1104" s="240" t="s">
        <v>390</v>
      </c>
      <c r="Y1104" s="240" t="s">
        <v>390</v>
      </c>
      <c r="Z1104" s="240" t="s">
        <v>390</v>
      </c>
      <c r="AA1104" s="240" t="s">
        <v>390</v>
      </c>
      <c r="AB1104" s="240"/>
      <c r="AC1104" s="242" t="b">
        <f t="shared" si="2"/>
        <v>0</v>
      </c>
      <c r="AD1104" s="240" t="s">
        <v>391</v>
      </c>
      <c r="AE1104" s="243" t="b">
        <f t="shared" si="3"/>
        <v>0</v>
      </c>
      <c r="AF1104" s="240"/>
      <c r="AG1104" s="243" t="b">
        <f t="shared" si="7"/>
        <v>0</v>
      </c>
      <c r="AH1104" s="240"/>
      <c r="AI1104" s="243" t="str">
        <f t="shared" si="5"/>
        <v>N/A</v>
      </c>
      <c r="AJ1104" s="157" t="str">
        <f t="shared" si="6"/>
        <v/>
      </c>
    </row>
    <row r="1105" ht="12.75" customHeight="1">
      <c r="A1105" s="244" t="s">
        <v>2412</v>
      </c>
      <c r="B1105" s="244" t="s">
        <v>2981</v>
      </c>
      <c r="C1105" s="244" t="s">
        <v>3069</v>
      </c>
      <c r="D1105" s="154" t="s">
        <v>642</v>
      </c>
      <c r="E1105" s="250"/>
      <c r="F1105" s="154" t="str">
        <f t="array" ref="F1105">XLOOKUP(Cover!$D$12,$S$1:$AA$1,$S1105:$AA1105)</f>
        <v>Mandatory</v>
      </c>
      <c r="G1105" s="154" t="s">
        <v>3070</v>
      </c>
      <c r="H1105" s="154" t="s">
        <v>398</v>
      </c>
      <c r="I1105" s="154" t="s">
        <v>479</v>
      </c>
      <c r="J1105" s="247" t="s">
        <v>445</v>
      </c>
      <c r="K1105" s="154"/>
      <c r="L1105" s="154" t="str">
        <f t="shared" si="1"/>
        <v/>
      </c>
      <c r="M1105" s="248" t="str">
        <f>IFERROR(__xludf.DUMMYFUNCTION("VLOOKUP(C1105,IMPORTRANGE(""https://docs.google.com/spreadsheets/d/1P8eX0NWBhUPS_hvzA11R6jkTNFrPrRYIx_dX_hYbxrk/edit?resourcekey=0-iw9bsKY2OqkUHCFMkCar3A&amp;gid=2055363397#gid=2055363397"",""MTR!C:O""),11,false)"),"TAM")</f>
        <v>TAM</v>
      </c>
      <c r="N1105" s="248" t="str">
        <f>IFERROR(__xludf.DUMMYFUNCTION("VLOOKUP(C1105,IMPORTRANGE(""https://docs.google.com/spreadsheets/d/1ihFlp3_ePlYtFuPbUNbYj1muErVpI73WHXbEwJDIA7Q/edit#gid=1493122344"",""MTR!C:O""),8,false)"),"Complies")</f>
        <v>Complies</v>
      </c>
      <c r="O1105" s="241" t="str">
        <f>IFERROR(__xludf.DUMMYFUNCTION("VLOOKUP(C1105,IMPORTRANGE(""https://docs.google.com/spreadsheets/d/1P8eX0NWBhUPS_hvzA11R6jkTNFrPrRYIx_dX_hYbxrk/edit?resourcekey=0-iw9bsKY2OqkUHCFMkCar3A&amp;gid=2055363397#gid=2055363397"",""MTR!C:O""),9,false)"),"")</f>
        <v/>
      </c>
      <c r="P1105" s="241"/>
      <c r="Q1105" s="251" t="s">
        <v>445</v>
      </c>
      <c r="R1105" s="241"/>
      <c r="S1105" s="154" t="s">
        <v>60</v>
      </c>
      <c r="T1105" s="154" t="s">
        <v>60</v>
      </c>
      <c r="U1105" s="154" t="s">
        <v>60</v>
      </c>
      <c r="V1105" s="154" t="s">
        <v>60</v>
      </c>
      <c r="W1105" s="154" t="s">
        <v>60</v>
      </c>
      <c r="X1105" s="154" t="s">
        <v>60</v>
      </c>
      <c r="Y1105" s="154" t="s">
        <v>60</v>
      </c>
      <c r="Z1105" s="154" t="s">
        <v>60</v>
      </c>
      <c r="AA1105" s="154" t="s">
        <v>60</v>
      </c>
      <c r="AB1105" s="154"/>
      <c r="AC1105" s="242" t="b">
        <f t="shared" si="2"/>
        <v>1</v>
      </c>
      <c r="AD1105" s="154" t="s">
        <v>391</v>
      </c>
      <c r="AE1105" s="243" t="b">
        <f t="shared" si="3"/>
        <v>0</v>
      </c>
      <c r="AF1105" s="154"/>
      <c r="AG1105" s="243" t="b">
        <f t="shared" si="7"/>
        <v>0</v>
      </c>
      <c r="AH1105" s="154"/>
      <c r="AI1105" s="243" t="str">
        <f t="shared" si="5"/>
        <v>N/A</v>
      </c>
      <c r="AJ1105" s="157" t="str">
        <f t="shared" si="6"/>
        <v/>
      </c>
    </row>
    <row r="1106" ht="12.75" customHeight="1">
      <c r="A1106" s="244" t="s">
        <v>2412</v>
      </c>
      <c r="B1106" s="244" t="s">
        <v>2981</v>
      </c>
      <c r="C1106" s="244" t="s">
        <v>3071</v>
      </c>
      <c r="D1106" s="154" t="s">
        <v>642</v>
      </c>
      <c r="E1106" s="250"/>
      <c r="F1106" s="154" t="str">
        <f t="array" ref="F1106">XLOOKUP(Cover!$D$12,$S$1:$AA$1,$S1106:$AA1106)</f>
        <v>Mandatory</v>
      </c>
      <c r="G1106" s="154" t="s">
        <v>3072</v>
      </c>
      <c r="H1106" s="154" t="s">
        <v>398</v>
      </c>
      <c r="I1106" s="154" t="s">
        <v>479</v>
      </c>
      <c r="J1106" s="247" t="s">
        <v>445</v>
      </c>
      <c r="K1106" s="154"/>
      <c r="L1106" s="154" t="str">
        <f t="shared" si="1"/>
        <v/>
      </c>
      <c r="M1106" s="248" t="str">
        <f>IFERROR(__xludf.DUMMYFUNCTION("VLOOKUP(C1106,IMPORTRANGE(""https://docs.google.com/spreadsheets/d/1P8eX0NWBhUPS_hvzA11R6jkTNFrPrRYIx_dX_hYbxrk/edit?resourcekey=0-iw9bsKY2OqkUHCFMkCar3A&amp;gid=2055363397#gid=2055363397"",""MTR!C:O""),11,false)"),"TAM")</f>
        <v>TAM</v>
      </c>
      <c r="N1106" s="248" t="str">
        <f>IFERROR(__xludf.DUMMYFUNCTION("VLOOKUP(C1106,IMPORTRANGE(""https://docs.google.com/spreadsheets/d/1ihFlp3_ePlYtFuPbUNbYj1muErVpI73WHXbEwJDIA7Q/edit#gid=1493122344"",""MTR!C:O""),8,false)"),"Complies")</f>
        <v>Complies</v>
      </c>
      <c r="O1106" s="241" t="str">
        <f>IFERROR(__xludf.DUMMYFUNCTION("VLOOKUP(C1106,IMPORTRANGE(""https://docs.google.com/spreadsheets/d/1P8eX0NWBhUPS_hvzA11R6jkTNFrPrRYIx_dX_hYbxrk/edit?resourcekey=0-iw9bsKY2OqkUHCFMkCar3A&amp;gid=2055363397#gid=2055363397"",""MTR!C:O""),9,false)"),"")</f>
        <v/>
      </c>
      <c r="P1106" s="241"/>
      <c r="Q1106" s="251" t="s">
        <v>445</v>
      </c>
      <c r="R1106" s="241"/>
      <c r="S1106" s="154" t="s">
        <v>60</v>
      </c>
      <c r="T1106" s="154" t="s">
        <v>60</v>
      </c>
      <c r="U1106" s="154" t="s">
        <v>60</v>
      </c>
      <c r="V1106" s="154" t="s">
        <v>60</v>
      </c>
      <c r="W1106" s="154" t="s">
        <v>60</v>
      </c>
      <c r="X1106" s="154" t="s">
        <v>60</v>
      </c>
      <c r="Y1106" s="154" t="s">
        <v>60</v>
      </c>
      <c r="Z1106" s="154" t="s">
        <v>60</v>
      </c>
      <c r="AA1106" s="154" t="s">
        <v>60</v>
      </c>
      <c r="AB1106" s="154"/>
      <c r="AC1106" s="242" t="b">
        <f t="shared" si="2"/>
        <v>1</v>
      </c>
      <c r="AD1106" s="154" t="s">
        <v>391</v>
      </c>
      <c r="AE1106" s="243" t="b">
        <f t="shared" si="3"/>
        <v>0</v>
      </c>
      <c r="AF1106" s="154"/>
      <c r="AG1106" s="243" t="b">
        <f t="shared" si="7"/>
        <v>0</v>
      </c>
      <c r="AH1106" s="154"/>
      <c r="AI1106" s="243" t="str">
        <f t="shared" si="5"/>
        <v>N/A</v>
      </c>
      <c r="AJ1106" s="157" t="str">
        <f t="shared" si="6"/>
        <v/>
      </c>
    </row>
    <row r="1107" ht="12.75" customHeight="1">
      <c r="A1107" s="244" t="s">
        <v>2412</v>
      </c>
      <c r="B1107" s="244" t="s">
        <v>2981</v>
      </c>
      <c r="C1107" s="244" t="s">
        <v>3073</v>
      </c>
      <c r="D1107" s="154" t="s">
        <v>642</v>
      </c>
      <c r="E1107" s="250"/>
      <c r="F1107" s="154" t="str">
        <f t="array" ref="F1107">XLOOKUP(Cover!$D$12,$S$1:$AA$1,$S1107:$AA1107)</f>
        <v>Mandatory</v>
      </c>
      <c r="G1107" s="154" t="s">
        <v>3074</v>
      </c>
      <c r="H1107" s="154" t="s">
        <v>398</v>
      </c>
      <c r="I1107" s="154" t="s">
        <v>479</v>
      </c>
      <c r="J1107" s="247" t="s">
        <v>516</v>
      </c>
      <c r="K1107" s="247" t="s">
        <v>3075</v>
      </c>
      <c r="L1107" s="154" t="str">
        <f t="shared" si="1"/>
        <v/>
      </c>
      <c r="M1107" s="248" t="str">
        <f>IFERROR(__xludf.DUMMYFUNCTION("VLOOKUP(C1107,IMPORTRANGE(""https://docs.google.com/spreadsheets/d/1P8eX0NWBhUPS_hvzA11R6jkTNFrPrRYIx_dX_hYbxrk/edit?resourcekey=0-iw9bsKY2OqkUHCFMkCar3A&amp;gid=2055363397#gid=2055363397"",""MTR!C:O""),11,false)"),"TAM")</f>
        <v>TAM</v>
      </c>
      <c r="N1107" s="248" t="str">
        <f>IFERROR(__xludf.DUMMYFUNCTION("VLOOKUP(C1107,IMPORTRANGE(""https://docs.google.com/spreadsheets/d/1ihFlp3_ePlYtFuPbUNbYj1muErVpI73WHXbEwJDIA7Q/edit#gid=1493122344"",""MTR!C:O""),8,false)"),"Does Not Comply")</f>
        <v>Does Not Comply</v>
      </c>
      <c r="O1107" s="248" t="str">
        <f>IFERROR(__xludf.DUMMYFUNCTION("VLOOKUP(C1107,IMPORTRANGE(""https://docs.google.com/spreadsheets/d/1P8eX0NWBhUPS_hvzA11R6jkTNFrPrRYIx_dX_hYbxrk/edit?resourcekey=0-iw9bsKY2OqkUHCFMkCar3A&amp;gid=2055363397#gid=2055363397"",""MTR!C:O""),9,false)"),"Supported, but not exactly as listed here, because preferred and valid lifetime of 0 is ignored by Windows PCs. So we had to deprecate the prefixes (by sending very small preferred lifetime) rather than 0 values.")</f>
        <v>Supported, but not exactly as listed here, because preferred and valid lifetime of 0 is ignored by Windows PCs. So we had to deprecate the prefixes (by sending very small preferred lifetime) rather than 0 values.</v>
      </c>
      <c r="P1107" s="248"/>
      <c r="Q1107" s="249" t="s">
        <v>516</v>
      </c>
      <c r="R1107" s="249" t="s">
        <v>3075</v>
      </c>
      <c r="S1107" s="154" t="s">
        <v>60</v>
      </c>
      <c r="T1107" s="154" t="s">
        <v>60</v>
      </c>
      <c r="U1107" s="154" t="s">
        <v>60</v>
      </c>
      <c r="V1107" s="154" t="s">
        <v>60</v>
      </c>
      <c r="W1107" s="154" t="s">
        <v>60</v>
      </c>
      <c r="X1107" s="154" t="s">
        <v>60</v>
      </c>
      <c r="Y1107" s="154" t="s">
        <v>60</v>
      </c>
      <c r="Z1107" s="154" t="s">
        <v>60</v>
      </c>
      <c r="AA1107" s="154" t="s">
        <v>60</v>
      </c>
      <c r="AB1107" s="154"/>
      <c r="AC1107" s="242" t="b">
        <f t="shared" si="2"/>
        <v>1</v>
      </c>
      <c r="AD1107" s="154" t="s">
        <v>391</v>
      </c>
      <c r="AE1107" s="243" t="b">
        <f t="shared" si="3"/>
        <v>0</v>
      </c>
      <c r="AF1107" s="154"/>
      <c r="AG1107" s="243" t="b">
        <f t="shared" si="7"/>
        <v>0</v>
      </c>
      <c r="AH1107" s="154"/>
      <c r="AI1107" s="243" t="str">
        <f t="shared" si="5"/>
        <v>N/A</v>
      </c>
      <c r="AJ1107" s="157" t="str">
        <f t="shared" si="6"/>
        <v/>
      </c>
    </row>
    <row r="1108" ht="12.75" customHeight="1">
      <c r="A1108" s="244" t="s">
        <v>2412</v>
      </c>
      <c r="B1108" s="244" t="s">
        <v>2981</v>
      </c>
      <c r="C1108" s="244" t="s">
        <v>3076</v>
      </c>
      <c r="D1108" s="154" t="s">
        <v>642</v>
      </c>
      <c r="E1108" s="250"/>
      <c r="F1108" s="154" t="str">
        <f t="array" ref="F1108">XLOOKUP(Cover!$D$12,$S$1:$AA$1,$S1108:$AA1108)</f>
        <v>Mandatory</v>
      </c>
      <c r="G1108" s="154" t="s">
        <v>3077</v>
      </c>
      <c r="H1108" s="154" t="s">
        <v>398</v>
      </c>
      <c r="I1108" s="154" t="s">
        <v>479</v>
      </c>
      <c r="J1108" s="247" t="s">
        <v>445</v>
      </c>
      <c r="K1108" s="247"/>
      <c r="L1108" s="154" t="str">
        <f t="shared" si="1"/>
        <v/>
      </c>
      <c r="M1108" s="248" t="str">
        <f>IFERROR(__xludf.DUMMYFUNCTION("VLOOKUP(C1108,IMPORTRANGE(""https://docs.google.com/spreadsheets/d/1P8eX0NWBhUPS_hvzA11R6jkTNFrPrRYIx_dX_hYbxrk/edit?resourcekey=0-iw9bsKY2OqkUHCFMkCar3A&amp;gid=2055363397#gid=2055363397"",""MTR!C:O""),11,false)"),"TAM")</f>
        <v>TAM</v>
      </c>
      <c r="N1108" s="248" t="str">
        <f>IFERROR(__xludf.DUMMYFUNCTION("VLOOKUP(C1108,IMPORTRANGE(""https://docs.google.com/spreadsheets/d/1ihFlp3_ePlYtFuPbUNbYj1muErVpI73WHXbEwJDIA7Q/edit#gid=1493122344"",""MTR!C:O""),8,false)"),"Complies")</f>
        <v>Complies</v>
      </c>
      <c r="O1108" s="241" t="str">
        <f>IFERROR(__xludf.DUMMYFUNCTION("VLOOKUP(C1108,IMPORTRANGE(""https://docs.google.com/spreadsheets/d/1P8eX0NWBhUPS_hvzA11R6jkTNFrPrRYIx_dX_hYbxrk/edit?resourcekey=0-iw9bsKY2OqkUHCFMkCar3A&amp;gid=2055363397#gid=2055363397"",""MTR!C:O""),9,false)"),"")</f>
        <v/>
      </c>
      <c r="P1108" s="241"/>
      <c r="Q1108" s="251" t="s">
        <v>445</v>
      </c>
      <c r="R1108" s="251"/>
      <c r="S1108" s="154" t="s">
        <v>60</v>
      </c>
      <c r="T1108" s="154" t="s">
        <v>60</v>
      </c>
      <c r="U1108" s="154" t="s">
        <v>60</v>
      </c>
      <c r="V1108" s="154" t="s">
        <v>60</v>
      </c>
      <c r="W1108" s="154" t="s">
        <v>60</v>
      </c>
      <c r="X1108" s="154" t="s">
        <v>60</v>
      </c>
      <c r="Y1108" s="154" t="s">
        <v>60</v>
      </c>
      <c r="Z1108" s="154" t="s">
        <v>60</v>
      </c>
      <c r="AA1108" s="154" t="s">
        <v>60</v>
      </c>
      <c r="AB1108" s="154"/>
      <c r="AC1108" s="242" t="b">
        <f t="shared" si="2"/>
        <v>1</v>
      </c>
      <c r="AD1108" s="154" t="s">
        <v>391</v>
      </c>
      <c r="AE1108" s="243" t="b">
        <f t="shared" si="3"/>
        <v>0</v>
      </c>
      <c r="AF1108" s="154"/>
      <c r="AG1108" s="243" t="b">
        <f t="shared" si="7"/>
        <v>0</v>
      </c>
      <c r="AH1108" s="154"/>
      <c r="AI1108" s="243" t="str">
        <f t="shared" si="5"/>
        <v>N/A</v>
      </c>
      <c r="AJ1108" s="157" t="str">
        <f t="shared" si="6"/>
        <v/>
      </c>
    </row>
    <row r="1109" ht="12.75" customHeight="1">
      <c r="A1109" s="244" t="s">
        <v>2412</v>
      </c>
      <c r="B1109" s="244" t="s">
        <v>2981</v>
      </c>
      <c r="C1109" s="244" t="s">
        <v>3078</v>
      </c>
      <c r="D1109" s="154" t="s">
        <v>642</v>
      </c>
      <c r="E1109" s="250"/>
      <c r="F1109" s="154" t="str">
        <f t="array" ref="F1109">XLOOKUP(Cover!$D$12,$S$1:$AA$1,$S1109:$AA1109)</f>
        <v>Mandatory</v>
      </c>
      <c r="G1109" s="154" t="s">
        <v>3079</v>
      </c>
      <c r="H1109" s="154" t="s">
        <v>398</v>
      </c>
      <c r="I1109" s="154" t="s">
        <v>479</v>
      </c>
      <c r="J1109" s="247" t="s">
        <v>445</v>
      </c>
      <c r="K1109" s="154"/>
      <c r="L1109" s="154" t="str">
        <f t="shared" si="1"/>
        <v/>
      </c>
      <c r="M1109" s="248" t="str">
        <f>IFERROR(__xludf.DUMMYFUNCTION("VLOOKUP(C1109,IMPORTRANGE(""https://docs.google.com/spreadsheets/d/1P8eX0NWBhUPS_hvzA11R6jkTNFrPrRYIx_dX_hYbxrk/edit?resourcekey=0-iw9bsKY2OqkUHCFMkCar3A&amp;gid=2055363397#gid=2055363397"",""MTR!C:O""),11,false)"),"TAM")</f>
        <v>TAM</v>
      </c>
      <c r="N1109" s="248" t="str">
        <f>IFERROR(__xludf.DUMMYFUNCTION("VLOOKUP(C1109,IMPORTRANGE(""https://docs.google.com/spreadsheets/d/1ihFlp3_ePlYtFuPbUNbYj1muErVpI73WHXbEwJDIA7Q/edit#gid=1493122344"",""MTR!C:O""),8,false)"),"Complies")</f>
        <v>Complies</v>
      </c>
      <c r="O1109" s="241" t="str">
        <f>IFERROR(__xludf.DUMMYFUNCTION("VLOOKUP(C1109,IMPORTRANGE(""https://docs.google.com/spreadsheets/d/1P8eX0NWBhUPS_hvzA11R6jkTNFrPrRYIx_dX_hYbxrk/edit?resourcekey=0-iw9bsKY2OqkUHCFMkCar3A&amp;gid=2055363397#gid=2055363397"",""MTR!C:O""),9,false)"),"")</f>
        <v/>
      </c>
      <c r="P1109" s="241"/>
      <c r="Q1109" s="251" t="s">
        <v>445</v>
      </c>
      <c r="R1109" s="241"/>
      <c r="S1109" s="154" t="s">
        <v>60</v>
      </c>
      <c r="T1109" s="154" t="s">
        <v>60</v>
      </c>
      <c r="U1109" s="154" t="s">
        <v>60</v>
      </c>
      <c r="V1109" s="154" t="s">
        <v>60</v>
      </c>
      <c r="W1109" s="154" t="s">
        <v>60</v>
      </c>
      <c r="X1109" s="154" t="s">
        <v>60</v>
      </c>
      <c r="Y1109" s="154" t="s">
        <v>60</v>
      </c>
      <c r="Z1109" s="154" t="s">
        <v>60</v>
      </c>
      <c r="AA1109" s="154" t="s">
        <v>60</v>
      </c>
      <c r="AB1109" s="154"/>
      <c r="AC1109" s="242" t="b">
        <f t="shared" si="2"/>
        <v>1</v>
      </c>
      <c r="AD1109" s="154" t="s">
        <v>391</v>
      </c>
      <c r="AE1109" s="243" t="b">
        <f t="shared" si="3"/>
        <v>0</v>
      </c>
      <c r="AF1109" s="154"/>
      <c r="AG1109" s="243" t="b">
        <f t="shared" si="7"/>
        <v>0</v>
      </c>
      <c r="AH1109" s="154"/>
      <c r="AI1109" s="243" t="str">
        <f t="shared" si="5"/>
        <v>N/A</v>
      </c>
      <c r="AJ1109" s="157" t="str">
        <f t="shared" si="6"/>
        <v/>
      </c>
    </row>
    <row r="1110" ht="12.75" customHeight="1">
      <c r="A1110" s="244" t="s">
        <v>2412</v>
      </c>
      <c r="B1110" s="244" t="s">
        <v>2981</v>
      </c>
      <c r="C1110" s="244" t="s">
        <v>3080</v>
      </c>
      <c r="D1110" s="154" t="s">
        <v>422</v>
      </c>
      <c r="E1110" s="250"/>
      <c r="F1110" s="154" t="str">
        <f t="array" ref="F1110">XLOOKUP(Cover!$D$12,$S$1:$AA$1,$S1110:$AA1110)</f>
        <v>Mandatory</v>
      </c>
      <c r="G1110" s="154" t="s">
        <v>3081</v>
      </c>
      <c r="H1110" s="154" t="s">
        <v>398</v>
      </c>
      <c r="I1110" s="154" t="s">
        <v>479</v>
      </c>
      <c r="J1110" s="247" t="s">
        <v>445</v>
      </c>
      <c r="K1110" s="154"/>
      <c r="L1110" s="154" t="str">
        <f t="shared" si="1"/>
        <v/>
      </c>
      <c r="M1110" s="248" t="str">
        <f>IFERROR(__xludf.DUMMYFUNCTION("VLOOKUP(C1110,IMPORTRANGE(""https://docs.google.com/spreadsheets/d/1P8eX0NWBhUPS_hvzA11R6jkTNFrPrRYIx_dX_hYbxrk/edit?resourcekey=0-iw9bsKY2OqkUHCFMkCar3A&amp;gid=2055363397#gid=2055363397"",""MTR!C:O""),11,false)"),"TAM")</f>
        <v>TAM</v>
      </c>
      <c r="N1110" s="248" t="str">
        <f>IFERROR(__xludf.DUMMYFUNCTION("VLOOKUP(C1110,IMPORTRANGE(""https://docs.google.com/spreadsheets/d/1ihFlp3_ePlYtFuPbUNbYj1muErVpI73WHXbEwJDIA7Q/edit#gid=1493122344"",""MTR!C:O""),8,false)"),"Complies")</f>
        <v>Complies</v>
      </c>
      <c r="O1110" s="241" t="str">
        <f>IFERROR(__xludf.DUMMYFUNCTION("VLOOKUP(C1110,IMPORTRANGE(""https://docs.google.com/spreadsheets/d/1P8eX0NWBhUPS_hvzA11R6jkTNFrPrRYIx_dX_hYbxrk/edit?resourcekey=0-iw9bsKY2OqkUHCFMkCar3A&amp;gid=2055363397#gid=2055363397"",""MTR!C:O""),9,false)"),"")</f>
        <v/>
      </c>
      <c r="P1110" s="241"/>
      <c r="Q1110" s="251" t="s">
        <v>445</v>
      </c>
      <c r="R1110" s="241"/>
      <c r="S1110" s="154" t="s">
        <v>60</v>
      </c>
      <c r="T1110" s="154" t="s">
        <v>60</v>
      </c>
      <c r="U1110" s="154" t="s">
        <v>60</v>
      </c>
      <c r="V1110" s="154" t="s">
        <v>60</v>
      </c>
      <c r="W1110" s="154" t="s">
        <v>60</v>
      </c>
      <c r="X1110" s="154" t="s">
        <v>60</v>
      </c>
      <c r="Y1110" s="154" t="s">
        <v>60</v>
      </c>
      <c r="Z1110" s="154" t="s">
        <v>60</v>
      </c>
      <c r="AA1110" s="154" t="s">
        <v>60</v>
      </c>
      <c r="AB1110" s="154"/>
      <c r="AC1110" s="242" t="b">
        <f t="shared" si="2"/>
        <v>1</v>
      </c>
      <c r="AD1110" s="154" t="s">
        <v>391</v>
      </c>
      <c r="AE1110" s="243" t="b">
        <f t="shared" si="3"/>
        <v>0</v>
      </c>
      <c r="AF1110" s="154"/>
      <c r="AG1110" s="243" t="b">
        <f t="shared" si="7"/>
        <v>0</v>
      </c>
      <c r="AH1110" s="154"/>
      <c r="AI1110" s="243" t="str">
        <f t="shared" si="5"/>
        <v>N/A</v>
      </c>
      <c r="AJ1110" s="157" t="str">
        <f t="shared" si="6"/>
        <v/>
      </c>
    </row>
    <row r="1111" ht="12.75" customHeight="1">
      <c r="A1111" s="238" t="s">
        <v>2412</v>
      </c>
      <c r="B1111" s="238" t="s">
        <v>2981</v>
      </c>
      <c r="C1111" s="238" t="s">
        <v>3082</v>
      </c>
      <c r="D1111" s="238"/>
      <c r="E1111" s="238"/>
      <c r="F1111" s="154" t="str">
        <f t="array" ref="F1111">XLOOKUP(Cover!$D$12,$S$1:$AA$1,$S1111:$AA1111)</f>
        <v>Heading</v>
      </c>
      <c r="G1111" s="239" t="s">
        <v>3083</v>
      </c>
      <c r="H1111" s="240"/>
      <c r="I1111" s="240" t="s">
        <v>414</v>
      </c>
      <c r="J1111" s="240"/>
      <c r="K1111" s="240"/>
      <c r="L1111" s="154" t="str">
        <f t="shared" si="1"/>
        <v/>
      </c>
      <c r="M1111" s="241" t="str">
        <f>IFERROR(__xludf.DUMMYFUNCTION("VLOOKUP(C1111,IMPORTRANGE(""https://docs.google.com/spreadsheets/d/1P8eX0NWBhUPS_hvzA11R6jkTNFrPrRYIx_dX_hYbxrk/edit?resourcekey=0-iw9bsKY2OqkUHCFMkCar3A&amp;gid=2055363397#gid=2055363397"",""MTR!C:O""),11,false)"),"")</f>
        <v/>
      </c>
      <c r="N1111" s="241" t="str">
        <f>IFERROR(__xludf.DUMMYFUNCTION("VLOOKUP(C1111,IMPORTRANGE(""https://docs.google.com/spreadsheets/d/1ihFlp3_ePlYtFuPbUNbYj1muErVpI73WHXbEwJDIA7Q/edit#gid=1493122344"",""MTR!C:O""),8,false)"),"")</f>
        <v/>
      </c>
      <c r="O1111" s="241" t="str">
        <f>IFERROR(__xludf.DUMMYFUNCTION("VLOOKUP(C1111,IMPORTRANGE(""https://docs.google.com/spreadsheets/d/1P8eX0NWBhUPS_hvzA11R6jkTNFrPrRYIx_dX_hYbxrk/edit?resourcekey=0-iw9bsKY2OqkUHCFMkCar3A&amp;gid=2055363397#gid=2055363397"",""MTR!C:O""),9,false)"),"")</f>
        <v/>
      </c>
      <c r="P1111" s="241"/>
      <c r="Q1111" s="251"/>
      <c r="R1111" s="241"/>
      <c r="S1111" s="240" t="s">
        <v>390</v>
      </c>
      <c r="T1111" s="240" t="s">
        <v>390</v>
      </c>
      <c r="U1111" s="240" t="s">
        <v>390</v>
      </c>
      <c r="V1111" s="240" t="s">
        <v>390</v>
      </c>
      <c r="W1111" s="240" t="s">
        <v>390</v>
      </c>
      <c r="X1111" s="240" t="s">
        <v>390</v>
      </c>
      <c r="Y1111" s="240" t="s">
        <v>390</v>
      </c>
      <c r="Z1111" s="240" t="s">
        <v>390</v>
      </c>
      <c r="AA1111" s="240" t="s">
        <v>390</v>
      </c>
      <c r="AB1111" s="240"/>
      <c r="AC1111" s="242" t="b">
        <f t="shared" si="2"/>
        <v>0</v>
      </c>
      <c r="AD1111" s="240" t="s">
        <v>391</v>
      </c>
      <c r="AE1111" s="243" t="b">
        <f t="shared" si="3"/>
        <v>0</v>
      </c>
      <c r="AF1111" s="240"/>
      <c r="AG1111" s="243" t="b">
        <f t="shared" si="7"/>
        <v>0</v>
      </c>
      <c r="AH1111" s="240"/>
      <c r="AI1111" s="243" t="str">
        <f t="shared" si="5"/>
        <v>N/A</v>
      </c>
      <c r="AJ1111" s="157" t="str">
        <f t="shared" si="6"/>
        <v/>
      </c>
    </row>
    <row r="1112" ht="12.75" customHeight="1">
      <c r="A1112" s="238" t="s">
        <v>2412</v>
      </c>
      <c r="B1112" s="238" t="s">
        <v>2981</v>
      </c>
      <c r="C1112" s="238" t="s">
        <v>3084</v>
      </c>
      <c r="D1112" s="238"/>
      <c r="E1112" s="238"/>
      <c r="F1112" s="154" t="str">
        <f t="array" ref="F1112">XLOOKUP(Cover!$D$12,$S$1:$AA$1,$S1112:$AA1112)</f>
        <v>Heading</v>
      </c>
      <c r="G1112" s="239" t="s">
        <v>3085</v>
      </c>
      <c r="H1112" s="240"/>
      <c r="I1112" s="240" t="s">
        <v>414</v>
      </c>
      <c r="J1112" s="240"/>
      <c r="K1112" s="240"/>
      <c r="L1112" s="154" t="str">
        <f t="shared" si="1"/>
        <v/>
      </c>
      <c r="M1112" s="241" t="str">
        <f>IFERROR(__xludf.DUMMYFUNCTION("VLOOKUP(C1112,IMPORTRANGE(""https://docs.google.com/spreadsheets/d/1P8eX0NWBhUPS_hvzA11R6jkTNFrPrRYIx_dX_hYbxrk/edit?resourcekey=0-iw9bsKY2OqkUHCFMkCar3A&amp;gid=2055363397#gid=2055363397"",""MTR!C:O""),11,false)"),"")</f>
        <v/>
      </c>
      <c r="N1112" s="241" t="str">
        <f>IFERROR(__xludf.DUMMYFUNCTION("VLOOKUP(C1112,IMPORTRANGE(""https://docs.google.com/spreadsheets/d/1ihFlp3_ePlYtFuPbUNbYj1muErVpI73WHXbEwJDIA7Q/edit#gid=1493122344"",""MTR!C:O""),8,false)"),"")</f>
        <v/>
      </c>
      <c r="O1112" s="241" t="str">
        <f>IFERROR(__xludf.DUMMYFUNCTION("VLOOKUP(C1112,IMPORTRANGE(""https://docs.google.com/spreadsheets/d/1P8eX0NWBhUPS_hvzA11R6jkTNFrPrRYIx_dX_hYbxrk/edit?resourcekey=0-iw9bsKY2OqkUHCFMkCar3A&amp;gid=2055363397#gid=2055363397"",""MTR!C:O""),9,false)"),"")</f>
        <v/>
      </c>
      <c r="P1112" s="241"/>
      <c r="Q1112" s="241"/>
      <c r="R1112" s="241"/>
      <c r="S1112" s="240" t="s">
        <v>390</v>
      </c>
      <c r="T1112" s="240" t="s">
        <v>390</v>
      </c>
      <c r="U1112" s="240" t="s">
        <v>390</v>
      </c>
      <c r="V1112" s="240" t="s">
        <v>390</v>
      </c>
      <c r="W1112" s="240" t="s">
        <v>390</v>
      </c>
      <c r="X1112" s="240" t="s">
        <v>390</v>
      </c>
      <c r="Y1112" s="240" t="s">
        <v>390</v>
      </c>
      <c r="Z1112" s="240" t="s">
        <v>390</v>
      </c>
      <c r="AA1112" s="240" t="s">
        <v>390</v>
      </c>
      <c r="AB1112" s="240"/>
      <c r="AC1112" s="242" t="b">
        <f t="shared" si="2"/>
        <v>0</v>
      </c>
      <c r="AD1112" s="240" t="s">
        <v>391</v>
      </c>
      <c r="AE1112" s="243" t="b">
        <f t="shared" si="3"/>
        <v>0</v>
      </c>
      <c r="AF1112" s="240"/>
      <c r="AG1112" s="243" t="b">
        <f t="shared" si="7"/>
        <v>0</v>
      </c>
      <c r="AH1112" s="240"/>
      <c r="AI1112" s="243" t="str">
        <f t="shared" si="5"/>
        <v>N/A</v>
      </c>
      <c r="AJ1112" s="157" t="str">
        <f t="shared" si="6"/>
        <v/>
      </c>
    </row>
    <row r="1113" ht="12.75" customHeight="1">
      <c r="A1113" s="244" t="s">
        <v>2412</v>
      </c>
      <c r="B1113" s="244" t="s">
        <v>2981</v>
      </c>
      <c r="C1113" s="244" t="s">
        <v>3086</v>
      </c>
      <c r="D1113" s="154" t="s">
        <v>422</v>
      </c>
      <c r="E1113" s="250"/>
      <c r="F1113" s="154" t="str">
        <f t="array" ref="F1113">XLOOKUP(Cover!$D$12,$S$1:$AA$1,$S1113:$AA1113)</f>
        <v>Mandatory</v>
      </c>
      <c r="G1113" s="154" t="s">
        <v>3087</v>
      </c>
      <c r="H1113" s="154" t="s">
        <v>398</v>
      </c>
      <c r="I1113" s="154" t="s">
        <v>414</v>
      </c>
      <c r="J1113" s="247" t="s">
        <v>445</v>
      </c>
      <c r="K1113" s="154"/>
      <c r="L1113" s="154" t="str">
        <f t="shared" si="1"/>
        <v/>
      </c>
      <c r="M1113" s="248" t="str">
        <f>IFERROR(__xludf.DUMMYFUNCTION("VLOOKUP(C1113,IMPORTRANGE(""https://docs.google.com/spreadsheets/d/1P8eX0NWBhUPS_hvzA11R6jkTNFrPrRYIx_dX_hYbxrk/edit?resourcekey=0-iw9bsKY2OqkUHCFMkCar3A&amp;gid=2055363397#gid=2055363397"",""MTR!C:O""),11,false)"),"TAM")</f>
        <v>TAM</v>
      </c>
      <c r="N1113" s="248" t="str">
        <f>IFERROR(__xludf.DUMMYFUNCTION("VLOOKUP(C1113,IMPORTRANGE(""https://docs.google.com/spreadsheets/d/1ihFlp3_ePlYtFuPbUNbYj1muErVpI73WHXbEwJDIA7Q/edit#gid=1493122344"",""MTR!C:O""),8,false)"),"Complies")</f>
        <v>Complies</v>
      </c>
      <c r="O1113" s="241" t="str">
        <f>IFERROR(__xludf.DUMMYFUNCTION("VLOOKUP(C1113,IMPORTRANGE(""https://docs.google.com/spreadsheets/d/1P8eX0NWBhUPS_hvzA11R6jkTNFrPrRYIx_dX_hYbxrk/edit?resourcekey=0-iw9bsKY2OqkUHCFMkCar3A&amp;gid=2055363397#gid=2055363397"",""MTR!C:O""),9,false)"),"")</f>
        <v/>
      </c>
      <c r="P1113" s="241"/>
      <c r="Q1113" s="251" t="s">
        <v>445</v>
      </c>
      <c r="R1113" s="241"/>
      <c r="S1113" s="154" t="s">
        <v>60</v>
      </c>
      <c r="T1113" s="154" t="s">
        <v>60</v>
      </c>
      <c r="U1113" s="154" t="s">
        <v>60</v>
      </c>
      <c r="V1113" s="154" t="s">
        <v>60</v>
      </c>
      <c r="W1113" s="154" t="s">
        <v>60</v>
      </c>
      <c r="X1113" s="154" t="s">
        <v>60</v>
      </c>
      <c r="Y1113" s="154" t="s">
        <v>60</v>
      </c>
      <c r="Z1113" s="154" t="s">
        <v>60</v>
      </c>
      <c r="AA1113" s="154" t="s">
        <v>60</v>
      </c>
      <c r="AB1113" s="154"/>
      <c r="AC1113" s="242" t="b">
        <f t="shared" si="2"/>
        <v>1</v>
      </c>
      <c r="AD1113" s="154" t="s">
        <v>391</v>
      </c>
      <c r="AE1113" s="243" t="b">
        <f t="shared" si="3"/>
        <v>0</v>
      </c>
      <c r="AF1113" s="154"/>
      <c r="AG1113" s="243" t="b">
        <f t="shared" si="7"/>
        <v>0</v>
      </c>
      <c r="AH1113" s="154"/>
      <c r="AI1113" s="243" t="str">
        <f t="shared" si="5"/>
        <v>N/A</v>
      </c>
      <c r="AJ1113" s="157" t="str">
        <f t="shared" si="6"/>
        <v/>
      </c>
    </row>
    <row r="1114" ht="12.75" customHeight="1">
      <c r="A1114" s="244" t="s">
        <v>2412</v>
      </c>
      <c r="B1114" s="244" t="s">
        <v>2981</v>
      </c>
      <c r="C1114" s="244" t="s">
        <v>3088</v>
      </c>
      <c r="D1114" s="154" t="s">
        <v>649</v>
      </c>
      <c r="E1114" s="250"/>
      <c r="F1114" s="154" t="str">
        <f t="array" ref="F1114">XLOOKUP(Cover!$D$12,$S$1:$AA$1,$S1114:$AA1114)</f>
        <v>Mandatory</v>
      </c>
      <c r="G1114" s="154" t="s">
        <v>3089</v>
      </c>
      <c r="H1114" s="154" t="s">
        <v>398</v>
      </c>
      <c r="I1114" s="154" t="s">
        <v>414</v>
      </c>
      <c r="J1114" s="247" t="s">
        <v>445</v>
      </c>
      <c r="K1114" s="154"/>
      <c r="L1114" s="154" t="str">
        <f t="shared" si="1"/>
        <v/>
      </c>
      <c r="M1114" s="248" t="str">
        <f>IFERROR(__xludf.DUMMYFUNCTION("VLOOKUP(C1114,IMPORTRANGE(""https://docs.google.com/spreadsheets/d/1P8eX0NWBhUPS_hvzA11R6jkTNFrPrRYIx_dX_hYbxrk/edit?resourcekey=0-iw9bsKY2OqkUHCFMkCar3A&amp;gid=2055363397#gid=2055363397"",""MTR!C:O""),11,false)"),"TAM")</f>
        <v>TAM</v>
      </c>
      <c r="N1114" s="248" t="str">
        <f>IFERROR(__xludf.DUMMYFUNCTION("VLOOKUP(C1114,IMPORTRANGE(""https://docs.google.com/spreadsheets/d/1ihFlp3_ePlYtFuPbUNbYj1muErVpI73WHXbEwJDIA7Q/edit#gid=1493122344"",""MTR!C:O""),8,false)"),"Complies")</f>
        <v>Complies</v>
      </c>
      <c r="O1114" s="241" t="str">
        <f>IFERROR(__xludf.DUMMYFUNCTION("VLOOKUP(C1114,IMPORTRANGE(""https://docs.google.com/spreadsheets/d/1P8eX0NWBhUPS_hvzA11R6jkTNFrPrRYIx_dX_hYbxrk/edit?resourcekey=0-iw9bsKY2OqkUHCFMkCar3A&amp;gid=2055363397#gid=2055363397"",""MTR!C:O""),9,false)"),"")</f>
        <v/>
      </c>
      <c r="P1114" s="241"/>
      <c r="Q1114" s="251" t="s">
        <v>445</v>
      </c>
      <c r="R1114" s="241"/>
      <c r="S1114" s="154" t="s">
        <v>60</v>
      </c>
      <c r="T1114" s="154" t="s">
        <v>60</v>
      </c>
      <c r="U1114" s="154" t="s">
        <v>60</v>
      </c>
      <c r="V1114" s="154" t="s">
        <v>60</v>
      </c>
      <c r="W1114" s="154" t="s">
        <v>60</v>
      </c>
      <c r="X1114" s="154" t="s">
        <v>60</v>
      </c>
      <c r="Y1114" s="154" t="s">
        <v>60</v>
      </c>
      <c r="Z1114" s="154" t="s">
        <v>60</v>
      </c>
      <c r="AA1114" s="154" t="s">
        <v>60</v>
      </c>
      <c r="AB1114" s="154"/>
      <c r="AC1114" s="242" t="b">
        <f t="shared" si="2"/>
        <v>1</v>
      </c>
      <c r="AD1114" s="154" t="s">
        <v>391</v>
      </c>
      <c r="AE1114" s="243" t="b">
        <f t="shared" si="3"/>
        <v>0</v>
      </c>
      <c r="AF1114" s="154"/>
      <c r="AG1114" s="243" t="b">
        <f t="shared" si="7"/>
        <v>0</v>
      </c>
      <c r="AH1114" s="154"/>
      <c r="AI1114" s="243" t="str">
        <f t="shared" si="5"/>
        <v>N/A</v>
      </c>
      <c r="AJ1114" s="157" t="str">
        <f t="shared" si="6"/>
        <v/>
      </c>
    </row>
    <row r="1115" ht="12.75" customHeight="1">
      <c r="A1115" s="244" t="s">
        <v>2412</v>
      </c>
      <c r="B1115" s="244" t="s">
        <v>2981</v>
      </c>
      <c r="C1115" s="244" t="s">
        <v>3090</v>
      </c>
      <c r="D1115" s="154" t="s">
        <v>422</v>
      </c>
      <c r="E1115" s="250"/>
      <c r="F1115" s="154" t="str">
        <f t="array" ref="F1115">XLOOKUP(Cover!$D$12,$S$1:$AA$1,$S1115:$AA1115)</f>
        <v>Mandatory</v>
      </c>
      <c r="G1115" s="154" t="s">
        <v>3091</v>
      </c>
      <c r="H1115" s="154" t="s">
        <v>398</v>
      </c>
      <c r="I1115" s="154" t="s">
        <v>414</v>
      </c>
      <c r="J1115" s="247" t="s">
        <v>516</v>
      </c>
      <c r="K1115" s="154"/>
      <c r="L1115" s="154" t="str">
        <f t="shared" si="1"/>
        <v/>
      </c>
      <c r="M1115" s="248" t="str">
        <f>IFERROR(__xludf.DUMMYFUNCTION("VLOOKUP(C1115,IMPORTRANGE(""https://docs.google.com/spreadsheets/d/1P8eX0NWBhUPS_hvzA11R6jkTNFrPrRYIx_dX_hYbxrk/edit?resourcekey=0-iw9bsKY2OqkUHCFMkCar3A&amp;gid=2055363397#gid=2055363397"",""MTR!C:O""),11,false)"),"TAM")</f>
        <v>TAM</v>
      </c>
      <c r="N1115" s="248" t="str">
        <f>IFERROR(__xludf.DUMMYFUNCTION("VLOOKUP(C1115,IMPORTRANGE(""https://docs.google.com/spreadsheets/d/1ihFlp3_ePlYtFuPbUNbYj1muErVpI73WHXbEwJDIA7Q/edit#gid=1493122344"",""MTR!C:O""),8,false)"),"Does Not Comply")</f>
        <v>Does Not Comply</v>
      </c>
      <c r="O1115" s="241" t="str">
        <f>IFERROR(__xludf.DUMMYFUNCTION("VLOOKUP(C1115,IMPORTRANGE(""https://docs.google.com/spreadsheets/d/1P8eX0NWBhUPS_hvzA11R6jkTNFrPrRYIx_dX_hYbxrk/edit?resourcekey=0-iw9bsKY2OqkUHCFMkCar3A&amp;gid=2055363397#gid=2055363397"",""MTR!C:O""),9,false)"),"")</f>
        <v/>
      </c>
      <c r="P1115" s="241"/>
      <c r="Q1115" s="251" t="s">
        <v>516</v>
      </c>
      <c r="R1115" s="241"/>
      <c r="S1115" s="154" t="s">
        <v>60</v>
      </c>
      <c r="T1115" s="154" t="s">
        <v>60</v>
      </c>
      <c r="U1115" s="154" t="s">
        <v>60</v>
      </c>
      <c r="V1115" s="154" t="s">
        <v>60</v>
      </c>
      <c r="W1115" s="154" t="s">
        <v>60</v>
      </c>
      <c r="X1115" s="154" t="s">
        <v>60</v>
      </c>
      <c r="Y1115" s="154" t="s">
        <v>60</v>
      </c>
      <c r="Z1115" s="154" t="s">
        <v>60</v>
      </c>
      <c r="AA1115" s="154" t="s">
        <v>60</v>
      </c>
      <c r="AB1115" s="154"/>
      <c r="AC1115" s="242" t="b">
        <f t="shared" si="2"/>
        <v>1</v>
      </c>
      <c r="AD1115" s="154" t="s">
        <v>391</v>
      </c>
      <c r="AE1115" s="243" t="b">
        <f t="shared" si="3"/>
        <v>0</v>
      </c>
      <c r="AF1115" s="154"/>
      <c r="AG1115" s="243" t="b">
        <f t="shared" si="7"/>
        <v>0</v>
      </c>
      <c r="AH1115" s="154"/>
      <c r="AI1115" s="243" t="str">
        <f t="shared" si="5"/>
        <v>N/A</v>
      </c>
      <c r="AJ1115" s="157" t="str">
        <f t="shared" si="6"/>
        <v/>
      </c>
    </row>
    <row r="1116" ht="12.75" customHeight="1">
      <c r="A1116" s="244" t="s">
        <v>2412</v>
      </c>
      <c r="B1116" s="244" t="s">
        <v>2981</v>
      </c>
      <c r="C1116" s="244" t="s">
        <v>3092</v>
      </c>
      <c r="D1116" s="154" t="s">
        <v>422</v>
      </c>
      <c r="E1116" s="250"/>
      <c r="F1116" s="154" t="str">
        <f t="array" ref="F1116">XLOOKUP(Cover!$D$12,$S$1:$AA$1,$S1116:$AA1116)</f>
        <v>Mandatory</v>
      </c>
      <c r="G1116" s="154" t="s">
        <v>3093</v>
      </c>
      <c r="H1116" s="154" t="s">
        <v>398</v>
      </c>
      <c r="I1116" s="154" t="s">
        <v>414</v>
      </c>
      <c r="J1116" s="247" t="s">
        <v>516</v>
      </c>
      <c r="K1116" s="154"/>
      <c r="L1116" s="154" t="str">
        <f t="shared" si="1"/>
        <v/>
      </c>
      <c r="M1116" s="248" t="str">
        <f>IFERROR(__xludf.DUMMYFUNCTION("VLOOKUP(C1116,IMPORTRANGE(""https://docs.google.com/spreadsheets/d/1P8eX0NWBhUPS_hvzA11R6jkTNFrPrRYIx_dX_hYbxrk/edit?resourcekey=0-iw9bsKY2OqkUHCFMkCar3A&amp;gid=2055363397#gid=2055363397"",""MTR!C:O""),11,false)"),"TAM")</f>
        <v>TAM</v>
      </c>
      <c r="N1116" s="248" t="str">
        <f>IFERROR(__xludf.DUMMYFUNCTION("VLOOKUP(C1116,IMPORTRANGE(""https://docs.google.com/spreadsheets/d/1ihFlp3_ePlYtFuPbUNbYj1muErVpI73WHXbEwJDIA7Q/edit#gid=1493122344"",""MTR!C:O""),8,false)"),"Does Not Comply")</f>
        <v>Does Not Comply</v>
      </c>
      <c r="O1116" s="241" t="str">
        <f>IFERROR(__xludf.DUMMYFUNCTION("VLOOKUP(C1116,IMPORTRANGE(""https://docs.google.com/spreadsheets/d/1P8eX0NWBhUPS_hvzA11R6jkTNFrPrRYIx_dX_hYbxrk/edit?resourcekey=0-iw9bsKY2OqkUHCFMkCar3A&amp;gid=2055363397#gid=2055363397"",""MTR!C:O""),9,false)"),"")</f>
        <v/>
      </c>
      <c r="P1116" s="241"/>
      <c r="Q1116" s="251" t="s">
        <v>516</v>
      </c>
      <c r="R1116" s="241"/>
      <c r="S1116" s="154" t="s">
        <v>60</v>
      </c>
      <c r="T1116" s="154" t="s">
        <v>60</v>
      </c>
      <c r="U1116" s="154" t="s">
        <v>60</v>
      </c>
      <c r="V1116" s="154" t="s">
        <v>60</v>
      </c>
      <c r="W1116" s="154" t="s">
        <v>60</v>
      </c>
      <c r="X1116" s="154" t="s">
        <v>60</v>
      </c>
      <c r="Y1116" s="154" t="s">
        <v>60</v>
      </c>
      <c r="Z1116" s="154" t="s">
        <v>60</v>
      </c>
      <c r="AA1116" s="154" t="s">
        <v>60</v>
      </c>
      <c r="AB1116" s="154"/>
      <c r="AC1116" s="242" t="b">
        <f t="shared" si="2"/>
        <v>1</v>
      </c>
      <c r="AD1116" s="154" t="s">
        <v>391</v>
      </c>
      <c r="AE1116" s="243" t="b">
        <f t="shared" si="3"/>
        <v>0</v>
      </c>
      <c r="AF1116" s="154"/>
      <c r="AG1116" s="243" t="b">
        <f t="shared" si="7"/>
        <v>0</v>
      </c>
      <c r="AH1116" s="154"/>
      <c r="AI1116" s="243" t="str">
        <f t="shared" si="5"/>
        <v>N/A</v>
      </c>
      <c r="AJ1116" s="157" t="str">
        <f t="shared" si="6"/>
        <v/>
      </c>
    </row>
    <row r="1117" ht="12.75" customHeight="1">
      <c r="A1117" s="244" t="s">
        <v>2412</v>
      </c>
      <c r="B1117" s="244" t="s">
        <v>2981</v>
      </c>
      <c r="C1117" s="244" t="s">
        <v>3094</v>
      </c>
      <c r="D1117" s="154" t="s">
        <v>649</v>
      </c>
      <c r="E1117" s="250"/>
      <c r="F1117" s="154" t="str">
        <f t="array" ref="F1117">XLOOKUP(Cover!$D$12,$S$1:$AA$1,$S1117:$AA1117)</f>
        <v>Mandatory</v>
      </c>
      <c r="G1117" s="154" t="s">
        <v>3095</v>
      </c>
      <c r="H1117" s="154" t="s">
        <v>398</v>
      </c>
      <c r="I1117" s="154" t="s">
        <v>414</v>
      </c>
      <c r="J1117" s="247" t="s">
        <v>445</v>
      </c>
      <c r="K1117" s="154"/>
      <c r="L1117" s="154" t="str">
        <f t="shared" si="1"/>
        <v/>
      </c>
      <c r="M1117" s="248" t="str">
        <f>IFERROR(__xludf.DUMMYFUNCTION("VLOOKUP(C1117,IMPORTRANGE(""https://docs.google.com/spreadsheets/d/1P8eX0NWBhUPS_hvzA11R6jkTNFrPrRYIx_dX_hYbxrk/edit?resourcekey=0-iw9bsKY2OqkUHCFMkCar3A&amp;gid=2055363397#gid=2055363397"",""MTR!C:O""),11,false)"),"TAM")</f>
        <v>TAM</v>
      </c>
      <c r="N1117" s="248" t="str">
        <f>IFERROR(__xludf.DUMMYFUNCTION("VLOOKUP(C1117,IMPORTRANGE(""https://docs.google.com/spreadsheets/d/1ihFlp3_ePlYtFuPbUNbYj1muErVpI73WHXbEwJDIA7Q/edit#gid=1493122344"",""MTR!C:O""),8,false)"),"Complies")</f>
        <v>Complies</v>
      </c>
      <c r="O1117" s="241" t="str">
        <f>IFERROR(__xludf.DUMMYFUNCTION("VLOOKUP(C1117,IMPORTRANGE(""https://docs.google.com/spreadsheets/d/1P8eX0NWBhUPS_hvzA11R6jkTNFrPrRYIx_dX_hYbxrk/edit?resourcekey=0-iw9bsKY2OqkUHCFMkCar3A&amp;gid=2055363397#gid=2055363397"",""MTR!C:O""),9,false)"),"")</f>
        <v/>
      </c>
      <c r="P1117" s="241"/>
      <c r="Q1117" s="251" t="s">
        <v>445</v>
      </c>
      <c r="R1117" s="241"/>
      <c r="S1117" s="154" t="s">
        <v>60</v>
      </c>
      <c r="T1117" s="154" t="s">
        <v>60</v>
      </c>
      <c r="U1117" s="154" t="s">
        <v>60</v>
      </c>
      <c r="V1117" s="154" t="s">
        <v>60</v>
      </c>
      <c r="W1117" s="154" t="s">
        <v>60</v>
      </c>
      <c r="X1117" s="154" t="s">
        <v>60</v>
      </c>
      <c r="Y1117" s="154" t="s">
        <v>60</v>
      </c>
      <c r="Z1117" s="154" t="s">
        <v>60</v>
      </c>
      <c r="AA1117" s="154" t="s">
        <v>60</v>
      </c>
      <c r="AB1117" s="154"/>
      <c r="AC1117" s="242" t="b">
        <f t="shared" si="2"/>
        <v>1</v>
      </c>
      <c r="AD1117" s="154" t="s">
        <v>391</v>
      </c>
      <c r="AE1117" s="243" t="b">
        <f t="shared" si="3"/>
        <v>0</v>
      </c>
      <c r="AF1117" s="154"/>
      <c r="AG1117" s="243" t="b">
        <f t="shared" si="7"/>
        <v>0</v>
      </c>
      <c r="AH1117" s="154"/>
      <c r="AI1117" s="243" t="str">
        <f t="shared" si="5"/>
        <v>N/A</v>
      </c>
      <c r="AJ1117" s="157" t="str">
        <f t="shared" si="6"/>
        <v/>
      </c>
    </row>
    <row r="1118" ht="12.75" customHeight="1">
      <c r="A1118" s="244" t="s">
        <v>2412</v>
      </c>
      <c r="B1118" s="244" t="s">
        <v>2981</v>
      </c>
      <c r="C1118" s="244" t="s">
        <v>3096</v>
      </c>
      <c r="D1118" s="154" t="s">
        <v>484</v>
      </c>
      <c r="E1118" s="250"/>
      <c r="F1118" s="154" t="str">
        <f t="array" ref="F1118">XLOOKUP(Cover!$D$12,$S$1:$AA$1,$S1118:$AA1118)</f>
        <v>Mandatory</v>
      </c>
      <c r="G1118" s="154" t="s">
        <v>3097</v>
      </c>
      <c r="H1118" s="154" t="s">
        <v>398</v>
      </c>
      <c r="I1118" s="154" t="s">
        <v>414</v>
      </c>
      <c r="J1118" s="247" t="s">
        <v>516</v>
      </c>
      <c r="K1118" s="154"/>
      <c r="L1118" s="154" t="str">
        <f t="shared" si="1"/>
        <v/>
      </c>
      <c r="M1118" s="248" t="str">
        <f>IFERROR(__xludf.DUMMYFUNCTION("VLOOKUP(C1118,IMPORTRANGE(""https://docs.google.com/spreadsheets/d/1P8eX0NWBhUPS_hvzA11R6jkTNFrPrRYIx_dX_hYbxrk/edit?resourcekey=0-iw9bsKY2OqkUHCFMkCar3A&amp;gid=2055363397#gid=2055363397"",""MTR!C:O""),11,false)"),"TAM")</f>
        <v>TAM</v>
      </c>
      <c r="N1118" s="248" t="str">
        <f>IFERROR(__xludf.DUMMYFUNCTION("VLOOKUP(C1118,IMPORTRANGE(""https://docs.google.com/spreadsheets/d/1ihFlp3_ePlYtFuPbUNbYj1muErVpI73WHXbEwJDIA7Q/edit#gid=1493122344"",""MTR!C:O""),8,false)"),"Does Not Comply")</f>
        <v>Does Not Comply</v>
      </c>
      <c r="O1118" s="241" t="str">
        <f>IFERROR(__xludf.DUMMYFUNCTION("VLOOKUP(C1118,IMPORTRANGE(""https://docs.google.com/spreadsheets/d/1P8eX0NWBhUPS_hvzA11R6jkTNFrPrRYIx_dX_hYbxrk/edit?resourcekey=0-iw9bsKY2OqkUHCFMkCar3A&amp;gid=2055363397#gid=2055363397"",""MTR!C:O""),9,false)"),"")</f>
        <v/>
      </c>
      <c r="P1118" s="241"/>
      <c r="Q1118" s="251" t="s">
        <v>516</v>
      </c>
      <c r="R1118" s="241"/>
      <c r="S1118" s="154" t="s">
        <v>60</v>
      </c>
      <c r="T1118" s="154" t="s">
        <v>60</v>
      </c>
      <c r="U1118" s="154" t="s">
        <v>60</v>
      </c>
      <c r="V1118" s="154" t="s">
        <v>60</v>
      </c>
      <c r="W1118" s="154" t="s">
        <v>60</v>
      </c>
      <c r="X1118" s="154" t="s">
        <v>60</v>
      </c>
      <c r="Y1118" s="154" t="s">
        <v>60</v>
      </c>
      <c r="Z1118" s="154" t="s">
        <v>60</v>
      </c>
      <c r="AA1118" s="154" t="s">
        <v>60</v>
      </c>
      <c r="AB1118" s="154"/>
      <c r="AC1118" s="242" t="b">
        <f t="shared" si="2"/>
        <v>1</v>
      </c>
      <c r="AD1118" s="154" t="s">
        <v>391</v>
      </c>
      <c r="AE1118" s="243" t="b">
        <f t="shared" si="3"/>
        <v>0</v>
      </c>
      <c r="AF1118" s="154"/>
      <c r="AG1118" s="243" t="b">
        <f t="shared" si="7"/>
        <v>0</v>
      </c>
      <c r="AH1118" s="154"/>
      <c r="AI1118" s="243" t="str">
        <f t="shared" si="5"/>
        <v>N/A</v>
      </c>
      <c r="AJ1118" s="157" t="str">
        <f t="shared" si="6"/>
        <v/>
      </c>
    </row>
    <row r="1119" ht="12.75" customHeight="1">
      <c r="A1119" s="244" t="s">
        <v>2412</v>
      </c>
      <c r="B1119" s="244" t="s">
        <v>2981</v>
      </c>
      <c r="C1119" s="244" t="s">
        <v>3098</v>
      </c>
      <c r="D1119" s="154" t="s">
        <v>484</v>
      </c>
      <c r="E1119" s="250"/>
      <c r="F1119" s="154" t="str">
        <f t="array" ref="F1119">XLOOKUP(Cover!$D$12,$S$1:$AA$1,$S1119:$AA1119)</f>
        <v>Mandatory</v>
      </c>
      <c r="G1119" s="154" t="s">
        <v>3099</v>
      </c>
      <c r="H1119" s="154" t="s">
        <v>398</v>
      </c>
      <c r="I1119" s="154" t="s">
        <v>414</v>
      </c>
      <c r="J1119" s="247" t="s">
        <v>516</v>
      </c>
      <c r="K1119" s="154"/>
      <c r="L1119" s="154" t="str">
        <f t="shared" si="1"/>
        <v/>
      </c>
      <c r="M1119" s="248" t="str">
        <f>IFERROR(__xludf.DUMMYFUNCTION("VLOOKUP(C1119,IMPORTRANGE(""https://docs.google.com/spreadsheets/d/1P8eX0NWBhUPS_hvzA11R6jkTNFrPrRYIx_dX_hYbxrk/edit?resourcekey=0-iw9bsKY2OqkUHCFMkCar3A&amp;gid=2055363397#gid=2055363397"",""MTR!C:O""),11,false)"),"TAM")</f>
        <v>TAM</v>
      </c>
      <c r="N1119" s="248" t="str">
        <f>IFERROR(__xludf.DUMMYFUNCTION("VLOOKUP(C1119,IMPORTRANGE(""https://docs.google.com/spreadsheets/d/1ihFlp3_ePlYtFuPbUNbYj1muErVpI73WHXbEwJDIA7Q/edit#gid=1493122344"",""MTR!C:O""),8,false)"),"Does Not Comply")</f>
        <v>Does Not Comply</v>
      </c>
      <c r="O1119" s="241" t="str">
        <f>IFERROR(__xludf.DUMMYFUNCTION("VLOOKUP(C1119,IMPORTRANGE(""https://docs.google.com/spreadsheets/d/1P8eX0NWBhUPS_hvzA11R6jkTNFrPrRYIx_dX_hYbxrk/edit?resourcekey=0-iw9bsKY2OqkUHCFMkCar3A&amp;gid=2055363397#gid=2055363397"",""MTR!C:O""),9,false)"),"")</f>
        <v/>
      </c>
      <c r="P1119" s="241"/>
      <c r="Q1119" s="251" t="s">
        <v>516</v>
      </c>
      <c r="R1119" s="241"/>
      <c r="S1119" s="154" t="s">
        <v>60</v>
      </c>
      <c r="T1119" s="154" t="s">
        <v>60</v>
      </c>
      <c r="U1119" s="154" t="s">
        <v>60</v>
      </c>
      <c r="V1119" s="154" t="s">
        <v>60</v>
      </c>
      <c r="W1119" s="154" t="s">
        <v>60</v>
      </c>
      <c r="X1119" s="154" t="s">
        <v>60</v>
      </c>
      <c r="Y1119" s="154" t="s">
        <v>60</v>
      </c>
      <c r="Z1119" s="154" t="s">
        <v>60</v>
      </c>
      <c r="AA1119" s="154" t="s">
        <v>60</v>
      </c>
      <c r="AB1119" s="154"/>
      <c r="AC1119" s="242" t="b">
        <f t="shared" si="2"/>
        <v>1</v>
      </c>
      <c r="AD1119" s="154" t="s">
        <v>391</v>
      </c>
      <c r="AE1119" s="243" t="b">
        <f t="shared" si="3"/>
        <v>0</v>
      </c>
      <c r="AF1119" s="154"/>
      <c r="AG1119" s="243" t="b">
        <f t="shared" si="7"/>
        <v>0</v>
      </c>
      <c r="AH1119" s="154"/>
      <c r="AI1119" s="243" t="str">
        <f t="shared" si="5"/>
        <v>N/A</v>
      </c>
      <c r="AJ1119" s="157" t="str">
        <f t="shared" si="6"/>
        <v/>
      </c>
    </row>
    <row r="1120" ht="12.75" customHeight="1">
      <c r="A1120" s="244" t="s">
        <v>2412</v>
      </c>
      <c r="B1120" s="244" t="s">
        <v>2981</v>
      </c>
      <c r="C1120" s="244" t="s">
        <v>3100</v>
      </c>
      <c r="D1120" s="154" t="s">
        <v>484</v>
      </c>
      <c r="E1120" s="250"/>
      <c r="F1120" s="154" t="str">
        <f t="array" ref="F1120">XLOOKUP(Cover!$D$12,$S$1:$AA$1,$S1120:$AA1120)</f>
        <v>Mandatory</v>
      </c>
      <c r="G1120" s="154" t="s">
        <v>3101</v>
      </c>
      <c r="H1120" s="154" t="s">
        <v>398</v>
      </c>
      <c r="I1120" s="154" t="s">
        <v>414</v>
      </c>
      <c r="J1120" s="247" t="s">
        <v>516</v>
      </c>
      <c r="K1120" s="154"/>
      <c r="L1120" s="154" t="str">
        <f t="shared" si="1"/>
        <v/>
      </c>
      <c r="M1120" s="248" t="str">
        <f>IFERROR(__xludf.DUMMYFUNCTION("VLOOKUP(C1120,IMPORTRANGE(""https://docs.google.com/spreadsheets/d/1P8eX0NWBhUPS_hvzA11R6jkTNFrPrRYIx_dX_hYbxrk/edit?resourcekey=0-iw9bsKY2OqkUHCFMkCar3A&amp;gid=2055363397#gid=2055363397"",""MTR!C:O""),11,false)"),"TAM")</f>
        <v>TAM</v>
      </c>
      <c r="N1120" s="248" t="str">
        <f>IFERROR(__xludf.DUMMYFUNCTION("VLOOKUP(C1120,IMPORTRANGE(""https://docs.google.com/spreadsheets/d/1ihFlp3_ePlYtFuPbUNbYj1muErVpI73WHXbEwJDIA7Q/edit#gid=1493122344"",""MTR!C:O""),8,false)"),"Does Not Comply")</f>
        <v>Does Not Comply</v>
      </c>
      <c r="O1120" s="241" t="str">
        <f>IFERROR(__xludf.DUMMYFUNCTION("VLOOKUP(C1120,IMPORTRANGE(""https://docs.google.com/spreadsheets/d/1P8eX0NWBhUPS_hvzA11R6jkTNFrPrRYIx_dX_hYbxrk/edit?resourcekey=0-iw9bsKY2OqkUHCFMkCar3A&amp;gid=2055363397#gid=2055363397"",""MTR!C:O""),9,false)"),"")</f>
        <v/>
      </c>
      <c r="P1120" s="241"/>
      <c r="Q1120" s="251" t="s">
        <v>516</v>
      </c>
      <c r="R1120" s="241"/>
      <c r="S1120" s="154" t="s">
        <v>60</v>
      </c>
      <c r="T1120" s="154" t="s">
        <v>60</v>
      </c>
      <c r="U1120" s="154" t="s">
        <v>60</v>
      </c>
      <c r="V1120" s="154" t="s">
        <v>60</v>
      </c>
      <c r="W1120" s="154" t="s">
        <v>60</v>
      </c>
      <c r="X1120" s="154" t="s">
        <v>60</v>
      </c>
      <c r="Y1120" s="154" t="s">
        <v>60</v>
      </c>
      <c r="Z1120" s="154" t="s">
        <v>60</v>
      </c>
      <c r="AA1120" s="154" t="s">
        <v>60</v>
      </c>
      <c r="AB1120" s="154"/>
      <c r="AC1120" s="242" t="b">
        <f t="shared" si="2"/>
        <v>1</v>
      </c>
      <c r="AD1120" s="154" t="s">
        <v>391</v>
      </c>
      <c r="AE1120" s="243" t="b">
        <f t="shared" si="3"/>
        <v>0</v>
      </c>
      <c r="AF1120" s="154"/>
      <c r="AG1120" s="243" t="b">
        <f t="shared" si="7"/>
        <v>0</v>
      </c>
      <c r="AH1120" s="154"/>
      <c r="AI1120" s="243" t="str">
        <f t="shared" si="5"/>
        <v>N/A</v>
      </c>
      <c r="AJ1120" s="157" t="str">
        <f t="shared" si="6"/>
        <v/>
      </c>
    </row>
    <row r="1121" ht="12.75" customHeight="1">
      <c r="A1121" s="238" t="s">
        <v>2412</v>
      </c>
      <c r="B1121" s="238" t="s">
        <v>3102</v>
      </c>
      <c r="C1121" s="238" t="s">
        <v>3103</v>
      </c>
      <c r="D1121" s="238"/>
      <c r="E1121" s="238"/>
      <c r="F1121" s="154" t="str">
        <f t="array" ref="F1121">XLOOKUP(Cover!$D$12,$S$1:$AA$1,$S1121:$AA1121)</f>
        <v>Heading</v>
      </c>
      <c r="G1121" s="239" t="s">
        <v>3104</v>
      </c>
      <c r="H1121" s="240"/>
      <c r="I1121" s="240" t="s">
        <v>389</v>
      </c>
      <c r="J1121" s="240"/>
      <c r="K1121" s="240"/>
      <c r="L1121" s="154" t="str">
        <f t="shared" si="1"/>
        <v/>
      </c>
      <c r="M1121" s="241" t="str">
        <f>IFERROR(__xludf.DUMMYFUNCTION("VLOOKUP(C1121,IMPORTRANGE(""https://docs.google.com/spreadsheets/d/1P8eX0NWBhUPS_hvzA11R6jkTNFrPrRYIx_dX_hYbxrk/edit?resourcekey=0-iw9bsKY2OqkUHCFMkCar3A&amp;gid=2055363397#gid=2055363397"",""MTR!C:O""),11,false)"),"")</f>
        <v/>
      </c>
      <c r="N1121" s="241" t="str">
        <f>IFERROR(__xludf.DUMMYFUNCTION("VLOOKUP(C1121,IMPORTRANGE(""https://docs.google.com/spreadsheets/d/1ihFlp3_ePlYtFuPbUNbYj1muErVpI73WHXbEwJDIA7Q/edit#gid=1493122344"",""MTR!C:O""),8,false)"),"")</f>
        <v/>
      </c>
      <c r="O1121" s="241" t="str">
        <f>IFERROR(__xludf.DUMMYFUNCTION("VLOOKUP(C1121,IMPORTRANGE(""https://docs.google.com/spreadsheets/d/1P8eX0NWBhUPS_hvzA11R6jkTNFrPrRYIx_dX_hYbxrk/edit?resourcekey=0-iw9bsKY2OqkUHCFMkCar3A&amp;gid=2055363397#gid=2055363397"",""MTR!C:O""),9,false)"),"")</f>
        <v/>
      </c>
      <c r="P1121" s="241"/>
      <c r="Q1121" s="251"/>
      <c r="R1121" s="241"/>
      <c r="S1121" s="240" t="s">
        <v>390</v>
      </c>
      <c r="T1121" s="240" t="s">
        <v>390</v>
      </c>
      <c r="U1121" s="240" t="s">
        <v>390</v>
      </c>
      <c r="V1121" s="240" t="s">
        <v>390</v>
      </c>
      <c r="W1121" s="240" t="s">
        <v>390</v>
      </c>
      <c r="X1121" s="240" t="s">
        <v>390</v>
      </c>
      <c r="Y1121" s="240" t="s">
        <v>390</v>
      </c>
      <c r="Z1121" s="240" t="s">
        <v>390</v>
      </c>
      <c r="AA1121" s="240" t="s">
        <v>390</v>
      </c>
      <c r="AB1121" s="240"/>
      <c r="AC1121" s="242" t="b">
        <f t="shared" si="2"/>
        <v>0</v>
      </c>
      <c r="AD1121" s="240" t="s">
        <v>391</v>
      </c>
      <c r="AE1121" s="243" t="b">
        <f t="shared" si="3"/>
        <v>0</v>
      </c>
      <c r="AF1121" s="240"/>
      <c r="AG1121" s="243" t="b">
        <f t="shared" si="7"/>
        <v>0</v>
      </c>
      <c r="AH1121" s="240"/>
      <c r="AI1121" s="243" t="str">
        <f t="shared" si="5"/>
        <v>N/A</v>
      </c>
      <c r="AJ1121" s="157" t="str">
        <f t="shared" si="6"/>
        <v/>
      </c>
    </row>
    <row r="1122" ht="12.75" customHeight="1">
      <c r="A1122" s="238" t="s">
        <v>2412</v>
      </c>
      <c r="B1122" s="238" t="s">
        <v>3102</v>
      </c>
      <c r="C1122" s="238" t="s">
        <v>3105</v>
      </c>
      <c r="D1122" s="238"/>
      <c r="E1122" s="238"/>
      <c r="F1122" s="154" t="str">
        <f t="array" ref="F1122">XLOOKUP(Cover!$D$12,$S$1:$AA$1,$S1122:$AA1122)</f>
        <v>Heading</v>
      </c>
      <c r="G1122" s="239" t="s">
        <v>3106</v>
      </c>
      <c r="H1122" s="240"/>
      <c r="I1122" s="240" t="s">
        <v>389</v>
      </c>
      <c r="J1122" s="240"/>
      <c r="K1122" s="240"/>
      <c r="L1122" s="154" t="str">
        <f t="shared" si="1"/>
        <v/>
      </c>
      <c r="M1122" s="241" t="str">
        <f>IFERROR(__xludf.DUMMYFUNCTION("VLOOKUP(C1122,IMPORTRANGE(""https://docs.google.com/spreadsheets/d/1P8eX0NWBhUPS_hvzA11R6jkTNFrPrRYIx_dX_hYbxrk/edit?resourcekey=0-iw9bsKY2OqkUHCFMkCar3A&amp;gid=2055363397#gid=2055363397"",""MTR!C:O""),11,false)"),"")</f>
        <v/>
      </c>
      <c r="N1122" s="241" t="str">
        <f>IFERROR(__xludf.DUMMYFUNCTION("VLOOKUP(C1122,IMPORTRANGE(""https://docs.google.com/spreadsheets/d/1ihFlp3_ePlYtFuPbUNbYj1muErVpI73WHXbEwJDIA7Q/edit#gid=1493122344"",""MTR!C:O""),8,false)"),"")</f>
        <v/>
      </c>
      <c r="O1122" s="241" t="str">
        <f>IFERROR(__xludf.DUMMYFUNCTION("VLOOKUP(C1122,IMPORTRANGE(""https://docs.google.com/spreadsheets/d/1P8eX0NWBhUPS_hvzA11R6jkTNFrPrRYIx_dX_hYbxrk/edit?resourcekey=0-iw9bsKY2OqkUHCFMkCar3A&amp;gid=2055363397#gid=2055363397"",""MTR!C:O""),9,false)"),"")</f>
        <v/>
      </c>
      <c r="P1122" s="241"/>
      <c r="Q1122" s="241"/>
      <c r="R1122" s="241"/>
      <c r="S1122" s="240" t="s">
        <v>390</v>
      </c>
      <c r="T1122" s="240" t="s">
        <v>390</v>
      </c>
      <c r="U1122" s="240" t="s">
        <v>390</v>
      </c>
      <c r="V1122" s="240" t="s">
        <v>390</v>
      </c>
      <c r="W1122" s="240" t="s">
        <v>390</v>
      </c>
      <c r="X1122" s="240" t="s">
        <v>390</v>
      </c>
      <c r="Y1122" s="240" t="s">
        <v>390</v>
      </c>
      <c r="Z1122" s="240" t="s">
        <v>390</v>
      </c>
      <c r="AA1122" s="240" t="s">
        <v>390</v>
      </c>
      <c r="AB1122" s="240"/>
      <c r="AC1122" s="242" t="b">
        <f t="shared" si="2"/>
        <v>0</v>
      </c>
      <c r="AD1122" s="240" t="s">
        <v>391</v>
      </c>
      <c r="AE1122" s="243" t="b">
        <f t="shared" si="3"/>
        <v>0</v>
      </c>
      <c r="AF1122" s="240"/>
      <c r="AG1122" s="243" t="b">
        <f t="shared" si="7"/>
        <v>0</v>
      </c>
      <c r="AH1122" s="240"/>
      <c r="AI1122" s="243" t="str">
        <f t="shared" si="5"/>
        <v>N/A</v>
      </c>
      <c r="AJ1122" s="157" t="str">
        <f t="shared" si="6"/>
        <v/>
      </c>
    </row>
    <row r="1123" ht="12.75" customHeight="1">
      <c r="A1123" s="244" t="s">
        <v>2412</v>
      </c>
      <c r="B1123" s="244" t="s">
        <v>3102</v>
      </c>
      <c r="C1123" s="244" t="s">
        <v>3107</v>
      </c>
      <c r="D1123" s="154" t="s">
        <v>2746</v>
      </c>
      <c r="E1123" s="250"/>
      <c r="F1123" s="154" t="str">
        <f t="array" ref="F1123">XLOOKUP(Cover!$D$12,$S$1:$AA$1,$S1123:$AA1123)</f>
        <v>Mandatory</v>
      </c>
      <c r="G1123" s="154" t="s">
        <v>3108</v>
      </c>
      <c r="H1123" s="154" t="s">
        <v>398</v>
      </c>
      <c r="I1123" s="154" t="s">
        <v>389</v>
      </c>
      <c r="J1123" s="247" t="s">
        <v>445</v>
      </c>
      <c r="K1123" s="154"/>
      <c r="L1123" s="154" t="str">
        <f t="shared" si="1"/>
        <v/>
      </c>
      <c r="M1123" s="248" t="str">
        <f>IFERROR(__xludf.DUMMYFUNCTION("VLOOKUP(C1123,IMPORTRANGE(""https://docs.google.com/spreadsheets/d/1P8eX0NWBhUPS_hvzA11R6jkTNFrPrRYIx_dX_hYbxrk/edit?resourcekey=0-iw9bsKY2OqkUHCFMkCar3A&amp;gid=2055363397#gid=2055363397"",""MTR!C:O""),11,false)"),"TAM")</f>
        <v>TAM</v>
      </c>
      <c r="N1123" s="248" t="str">
        <f>IFERROR(__xludf.DUMMYFUNCTION("VLOOKUP(C1123,IMPORTRANGE(""https://docs.google.com/spreadsheets/d/1ihFlp3_ePlYtFuPbUNbYj1muErVpI73WHXbEwJDIA7Q/edit#gid=1493122344"",""MTR!C:O""),8,false)"),"Complies")</f>
        <v>Complies</v>
      </c>
      <c r="O1123" s="241" t="str">
        <f>IFERROR(__xludf.DUMMYFUNCTION("VLOOKUP(C1123,IMPORTRANGE(""https://docs.google.com/spreadsheets/d/1P8eX0NWBhUPS_hvzA11R6jkTNFrPrRYIx_dX_hYbxrk/edit?resourcekey=0-iw9bsKY2OqkUHCFMkCar3A&amp;gid=2055363397#gid=2055363397"",""MTR!C:O""),9,false)"),"")</f>
        <v/>
      </c>
      <c r="P1123" s="241"/>
      <c r="Q1123" s="251" t="s">
        <v>445</v>
      </c>
      <c r="R1123" s="241"/>
      <c r="S1123" s="154" t="s">
        <v>60</v>
      </c>
      <c r="T1123" s="154" t="s">
        <v>60</v>
      </c>
      <c r="U1123" s="154" t="s">
        <v>60</v>
      </c>
      <c r="V1123" s="154" t="s">
        <v>60</v>
      </c>
      <c r="W1123" s="154" t="s">
        <v>60</v>
      </c>
      <c r="X1123" s="154" t="s">
        <v>60</v>
      </c>
      <c r="Y1123" s="154" t="s">
        <v>60</v>
      </c>
      <c r="Z1123" s="154" t="s">
        <v>60</v>
      </c>
      <c r="AA1123" s="154" t="s">
        <v>60</v>
      </c>
      <c r="AB1123" s="154"/>
      <c r="AC1123" s="242" t="b">
        <f t="shared" si="2"/>
        <v>1</v>
      </c>
      <c r="AD1123" s="154" t="s">
        <v>391</v>
      </c>
      <c r="AE1123" s="243" t="b">
        <f t="shared" si="3"/>
        <v>0</v>
      </c>
      <c r="AF1123" s="154"/>
      <c r="AG1123" s="243" t="b">
        <f t="shared" si="7"/>
        <v>0</v>
      </c>
      <c r="AH1123" s="154"/>
      <c r="AI1123" s="243" t="str">
        <f t="shared" si="5"/>
        <v>N/A</v>
      </c>
      <c r="AJ1123" s="157" t="str">
        <f t="shared" si="6"/>
        <v/>
      </c>
    </row>
    <row r="1124" ht="12.75" customHeight="1">
      <c r="A1124" s="244" t="s">
        <v>2412</v>
      </c>
      <c r="B1124" s="244" t="s">
        <v>3102</v>
      </c>
      <c r="C1124" s="244" t="s">
        <v>3109</v>
      </c>
      <c r="D1124" s="154" t="s">
        <v>2434</v>
      </c>
      <c r="E1124" s="250"/>
      <c r="F1124" s="154" t="str">
        <f t="array" ref="F1124">XLOOKUP(Cover!$D$12,$S$1:$AA$1,$S1124:$AA1124)</f>
        <v>Mandatory</v>
      </c>
      <c r="G1124" s="154" t="s">
        <v>3110</v>
      </c>
      <c r="H1124" s="154" t="s">
        <v>398</v>
      </c>
      <c r="I1124" s="154" t="s">
        <v>389</v>
      </c>
      <c r="J1124" s="247" t="s">
        <v>445</v>
      </c>
      <c r="K1124" s="154"/>
      <c r="L1124" s="154" t="str">
        <f t="shared" si="1"/>
        <v/>
      </c>
      <c r="M1124" s="248" t="str">
        <f>IFERROR(__xludf.DUMMYFUNCTION("VLOOKUP(C1124,IMPORTRANGE(""https://docs.google.com/spreadsheets/d/1P8eX0NWBhUPS_hvzA11R6jkTNFrPrRYIx_dX_hYbxrk/edit?resourcekey=0-iw9bsKY2OqkUHCFMkCar3A&amp;gid=2055363397#gid=2055363397"",""MTR!C:O""),11,false)"),"TAM")</f>
        <v>TAM</v>
      </c>
      <c r="N1124" s="248" t="str">
        <f>IFERROR(__xludf.DUMMYFUNCTION("VLOOKUP(C1124,IMPORTRANGE(""https://docs.google.com/spreadsheets/d/1ihFlp3_ePlYtFuPbUNbYj1muErVpI73WHXbEwJDIA7Q/edit#gid=1493122344"",""MTR!C:O""),8,false)"),"Complies")</f>
        <v>Complies</v>
      </c>
      <c r="O1124" s="241" t="str">
        <f>IFERROR(__xludf.DUMMYFUNCTION("VLOOKUP(C1124,IMPORTRANGE(""https://docs.google.com/spreadsheets/d/1P8eX0NWBhUPS_hvzA11R6jkTNFrPrRYIx_dX_hYbxrk/edit?resourcekey=0-iw9bsKY2OqkUHCFMkCar3A&amp;gid=2055363397#gid=2055363397"",""MTR!C:O""),9,false)"),"")</f>
        <v/>
      </c>
      <c r="P1124" s="241"/>
      <c r="Q1124" s="251" t="s">
        <v>445</v>
      </c>
      <c r="R1124" s="241"/>
      <c r="S1124" s="154" t="s">
        <v>60</v>
      </c>
      <c r="T1124" s="154" t="s">
        <v>60</v>
      </c>
      <c r="U1124" s="154" t="s">
        <v>60</v>
      </c>
      <c r="V1124" s="154" t="s">
        <v>60</v>
      </c>
      <c r="W1124" s="154" t="s">
        <v>60</v>
      </c>
      <c r="X1124" s="154" t="s">
        <v>60</v>
      </c>
      <c r="Y1124" s="154" t="s">
        <v>60</v>
      </c>
      <c r="Z1124" s="154" t="s">
        <v>60</v>
      </c>
      <c r="AA1124" s="154" t="s">
        <v>60</v>
      </c>
      <c r="AB1124" s="154"/>
      <c r="AC1124" s="242" t="b">
        <f t="shared" si="2"/>
        <v>1</v>
      </c>
      <c r="AD1124" s="154" t="s">
        <v>391</v>
      </c>
      <c r="AE1124" s="243" t="b">
        <f t="shared" si="3"/>
        <v>0</v>
      </c>
      <c r="AF1124" s="154"/>
      <c r="AG1124" s="243" t="b">
        <f t="shared" si="7"/>
        <v>0</v>
      </c>
      <c r="AH1124" s="154"/>
      <c r="AI1124" s="243" t="str">
        <f t="shared" si="5"/>
        <v>N/A</v>
      </c>
      <c r="AJ1124" s="157" t="str">
        <f t="shared" si="6"/>
        <v/>
      </c>
    </row>
    <row r="1125" ht="12.75" customHeight="1">
      <c r="A1125" s="244" t="s">
        <v>2412</v>
      </c>
      <c r="B1125" s="244" t="s">
        <v>3102</v>
      </c>
      <c r="C1125" s="244" t="s">
        <v>3111</v>
      </c>
      <c r="D1125" s="154" t="s">
        <v>396</v>
      </c>
      <c r="E1125" s="250"/>
      <c r="F1125" s="154" t="str">
        <f t="array" ref="F1125">XLOOKUP(Cover!$D$12,$S$1:$AA$1,$S1125:$AA1125)</f>
        <v>Mandatory</v>
      </c>
      <c r="G1125" s="154" t="s">
        <v>3112</v>
      </c>
      <c r="H1125" s="154" t="s">
        <v>398</v>
      </c>
      <c r="I1125" s="154" t="s">
        <v>414</v>
      </c>
      <c r="J1125" s="247" t="s">
        <v>617</v>
      </c>
      <c r="K1125" s="247" t="s">
        <v>3113</v>
      </c>
      <c r="L1125" s="154" t="str">
        <f t="shared" si="1"/>
        <v/>
      </c>
      <c r="M1125" s="248" t="str">
        <f>IFERROR(__xludf.DUMMYFUNCTION("VLOOKUP(C1125,IMPORTRANGE(""https://docs.google.com/spreadsheets/d/1P8eX0NWBhUPS_hvzA11R6jkTNFrPrRYIx_dX_hYbxrk/edit?resourcekey=0-iw9bsKY2OqkUHCFMkCar3A&amp;gid=2055363397#gid=2055363397"",""MTR!C:O""),11,false)"),"TAM")</f>
        <v>TAM</v>
      </c>
      <c r="N1125" s="248" t="str">
        <f>IFERROR(__xludf.DUMMYFUNCTION("VLOOKUP(C1125,IMPORTRANGE(""https://docs.google.com/spreadsheets/d/1ihFlp3_ePlYtFuPbUNbYj1muErVpI73WHXbEwJDIA7Q/edit#gid=1493122344"",""MTR!C:O""),8,false)"),"Not Applicable")</f>
        <v>Not Applicable</v>
      </c>
      <c r="O1125" s="241" t="str">
        <f>IFERROR(__xludf.DUMMYFUNCTION("VLOOKUP(C1125,IMPORTRANGE(""https://docs.google.com/spreadsheets/d/1P8eX0NWBhUPS_hvzA11R6jkTNFrPrRYIx_dX_hYbxrk/edit?resourcekey=0-iw9bsKY2OqkUHCFMkCar3A&amp;gid=2055363397#gid=2055363397"",""MTR!C:O""),9,false)"),"")</f>
        <v/>
      </c>
      <c r="P1125" s="241"/>
      <c r="Q1125" s="251" t="s">
        <v>617</v>
      </c>
      <c r="R1125" s="251" t="s">
        <v>3113</v>
      </c>
      <c r="S1125" s="154" t="s">
        <v>60</v>
      </c>
      <c r="T1125" s="154" t="s">
        <v>60</v>
      </c>
      <c r="U1125" s="154" t="s">
        <v>60</v>
      </c>
      <c r="V1125" s="154" t="s">
        <v>60</v>
      </c>
      <c r="W1125" s="154" t="s">
        <v>60</v>
      </c>
      <c r="X1125" s="154" t="s">
        <v>60</v>
      </c>
      <c r="Y1125" s="154" t="s">
        <v>60</v>
      </c>
      <c r="Z1125" s="154" t="s">
        <v>60</v>
      </c>
      <c r="AA1125" s="154" t="s">
        <v>60</v>
      </c>
      <c r="AB1125" s="154"/>
      <c r="AC1125" s="242" t="b">
        <f t="shared" si="2"/>
        <v>1</v>
      </c>
      <c r="AD1125" s="154" t="s">
        <v>391</v>
      </c>
      <c r="AE1125" s="243" t="b">
        <f t="shared" si="3"/>
        <v>0</v>
      </c>
      <c r="AF1125" s="154"/>
      <c r="AG1125" s="243" t="b">
        <f t="shared" si="7"/>
        <v>0</v>
      </c>
      <c r="AH1125" s="154"/>
      <c r="AI1125" s="243" t="str">
        <f t="shared" si="5"/>
        <v>N/A</v>
      </c>
      <c r="AJ1125" s="157" t="str">
        <f t="shared" si="6"/>
        <v/>
      </c>
    </row>
    <row r="1126" ht="12.75" customHeight="1">
      <c r="A1126" s="244" t="s">
        <v>2412</v>
      </c>
      <c r="B1126" s="244" t="s">
        <v>3102</v>
      </c>
      <c r="C1126" s="244" t="s">
        <v>3114</v>
      </c>
      <c r="D1126" s="154" t="s">
        <v>396</v>
      </c>
      <c r="E1126" s="250"/>
      <c r="F1126" s="154" t="str">
        <f t="array" ref="F1126">XLOOKUP(Cover!$D$12,$S$1:$AA$1,$S1126:$AA1126)</f>
        <v>Recommended</v>
      </c>
      <c r="G1126" s="154" t="s">
        <v>3115</v>
      </c>
      <c r="H1126" s="154"/>
      <c r="I1126" s="154" t="s">
        <v>414</v>
      </c>
      <c r="J1126" s="247" t="s">
        <v>617</v>
      </c>
      <c r="K1126" s="247" t="s">
        <v>3113</v>
      </c>
      <c r="L1126" s="154" t="str">
        <f t="shared" si="1"/>
        <v/>
      </c>
      <c r="M1126" s="248" t="str">
        <f>IFERROR(__xludf.DUMMYFUNCTION("VLOOKUP(C1126,IMPORTRANGE(""https://docs.google.com/spreadsheets/d/1P8eX0NWBhUPS_hvzA11R6jkTNFrPrRYIx_dX_hYbxrk/edit?resourcekey=0-iw9bsKY2OqkUHCFMkCar3A&amp;gid=2055363397#gid=2055363397"",""MTR!C:O""),11,false)"),"TAM")</f>
        <v>TAM</v>
      </c>
      <c r="N1126" s="248" t="str">
        <f>IFERROR(__xludf.DUMMYFUNCTION("VLOOKUP(C1126,IMPORTRANGE(""https://docs.google.com/spreadsheets/d/1ihFlp3_ePlYtFuPbUNbYj1muErVpI73WHXbEwJDIA7Q/edit#gid=1493122344"",""MTR!C:O""),8,false)"),"Not Applicable")</f>
        <v>Not Applicable</v>
      </c>
      <c r="O1126" s="241" t="str">
        <f>IFERROR(__xludf.DUMMYFUNCTION("VLOOKUP(C1126,IMPORTRANGE(""https://docs.google.com/spreadsheets/d/1P8eX0NWBhUPS_hvzA11R6jkTNFrPrRYIx_dX_hYbxrk/edit?resourcekey=0-iw9bsKY2OqkUHCFMkCar3A&amp;gid=2055363397#gid=2055363397"",""MTR!C:O""),9,false)"),"")</f>
        <v/>
      </c>
      <c r="P1126" s="241"/>
      <c r="Q1126" s="251" t="s">
        <v>617</v>
      </c>
      <c r="R1126" s="251" t="s">
        <v>3113</v>
      </c>
      <c r="S1126" s="154" t="s">
        <v>64</v>
      </c>
      <c r="T1126" s="154" t="s">
        <v>64</v>
      </c>
      <c r="U1126" s="154" t="s">
        <v>64</v>
      </c>
      <c r="V1126" s="154" t="s">
        <v>64</v>
      </c>
      <c r="W1126" s="154" t="s">
        <v>64</v>
      </c>
      <c r="X1126" s="154" t="s">
        <v>64</v>
      </c>
      <c r="Y1126" s="154" t="s">
        <v>64</v>
      </c>
      <c r="Z1126" s="154" t="s">
        <v>64</v>
      </c>
      <c r="AA1126" s="154" t="s">
        <v>64</v>
      </c>
      <c r="AB1126" s="154"/>
      <c r="AC1126" s="242" t="b">
        <f t="shared" si="2"/>
        <v>1</v>
      </c>
      <c r="AD1126" s="154" t="s">
        <v>391</v>
      </c>
      <c r="AE1126" s="243" t="b">
        <f t="shared" si="3"/>
        <v>0</v>
      </c>
      <c r="AF1126" s="154"/>
      <c r="AG1126" s="243" t="b">
        <f t="shared" si="7"/>
        <v>0</v>
      </c>
      <c r="AH1126" s="154"/>
      <c r="AI1126" s="243" t="str">
        <f t="shared" si="5"/>
        <v>N/A</v>
      </c>
      <c r="AJ1126" s="157" t="str">
        <f t="shared" si="6"/>
        <v/>
      </c>
    </row>
    <row r="1127" ht="12.75" customHeight="1">
      <c r="A1127" s="244" t="s">
        <v>2412</v>
      </c>
      <c r="B1127" s="244" t="s">
        <v>3102</v>
      </c>
      <c r="C1127" s="244" t="s">
        <v>3116</v>
      </c>
      <c r="D1127" s="154" t="s">
        <v>581</v>
      </c>
      <c r="E1127" s="250"/>
      <c r="F1127" s="154" t="str">
        <f t="array" ref="F1127">XLOOKUP(Cover!$D$12,$S$1:$AA$1,$S1127:$AA1127)</f>
        <v>Mandatory</v>
      </c>
      <c r="G1127" s="154" t="s">
        <v>3117</v>
      </c>
      <c r="H1127" s="154" t="s">
        <v>398</v>
      </c>
      <c r="I1127" s="154" t="s">
        <v>389</v>
      </c>
      <c r="J1127" s="247" t="s">
        <v>617</v>
      </c>
      <c r="K1127" s="247" t="s">
        <v>3113</v>
      </c>
      <c r="L1127" s="154" t="str">
        <f t="shared" si="1"/>
        <v/>
      </c>
      <c r="M1127" s="248" t="str">
        <f>IFERROR(__xludf.DUMMYFUNCTION("VLOOKUP(C1127,IMPORTRANGE(""https://docs.google.com/spreadsheets/d/1P8eX0NWBhUPS_hvzA11R6jkTNFrPrRYIx_dX_hYbxrk/edit?resourcekey=0-iw9bsKY2OqkUHCFMkCar3A&amp;gid=2055363397#gid=2055363397"",""MTR!C:O""),11,false)"),"TAM")</f>
        <v>TAM</v>
      </c>
      <c r="N1127" s="248" t="str">
        <f>IFERROR(__xludf.DUMMYFUNCTION("VLOOKUP(C1127,IMPORTRANGE(""https://docs.google.com/spreadsheets/d/1ihFlp3_ePlYtFuPbUNbYj1muErVpI73WHXbEwJDIA7Q/edit#gid=1493122344"",""MTR!C:O""),8,false)"),"Not Applicable")</f>
        <v>Not Applicable</v>
      </c>
      <c r="O1127" s="241" t="str">
        <f>IFERROR(__xludf.DUMMYFUNCTION("VLOOKUP(C1127,IMPORTRANGE(""https://docs.google.com/spreadsheets/d/1P8eX0NWBhUPS_hvzA11R6jkTNFrPrRYIx_dX_hYbxrk/edit?resourcekey=0-iw9bsKY2OqkUHCFMkCar3A&amp;gid=2055363397#gid=2055363397"",""MTR!C:O""),9,false)"),"")</f>
        <v/>
      </c>
      <c r="P1127" s="241"/>
      <c r="Q1127" s="251" t="s">
        <v>617</v>
      </c>
      <c r="R1127" s="251" t="s">
        <v>3113</v>
      </c>
      <c r="S1127" s="154" t="s">
        <v>60</v>
      </c>
      <c r="T1127" s="154" t="s">
        <v>60</v>
      </c>
      <c r="U1127" s="154" t="s">
        <v>60</v>
      </c>
      <c r="V1127" s="154" t="s">
        <v>60</v>
      </c>
      <c r="W1127" s="154" t="s">
        <v>60</v>
      </c>
      <c r="X1127" s="154" t="s">
        <v>60</v>
      </c>
      <c r="Y1127" s="154" t="s">
        <v>60</v>
      </c>
      <c r="Z1127" s="154" t="s">
        <v>60</v>
      </c>
      <c r="AA1127" s="154" t="s">
        <v>60</v>
      </c>
      <c r="AB1127" s="154"/>
      <c r="AC1127" s="242" t="b">
        <f t="shared" si="2"/>
        <v>1</v>
      </c>
      <c r="AD1127" s="154" t="s">
        <v>391</v>
      </c>
      <c r="AE1127" s="243" t="b">
        <f t="shared" si="3"/>
        <v>0</v>
      </c>
      <c r="AF1127" s="154"/>
      <c r="AG1127" s="243" t="b">
        <f t="shared" si="7"/>
        <v>0</v>
      </c>
      <c r="AH1127" s="154"/>
      <c r="AI1127" s="243" t="str">
        <f t="shared" si="5"/>
        <v>N/A</v>
      </c>
      <c r="AJ1127" s="157" t="str">
        <f t="shared" si="6"/>
        <v/>
      </c>
    </row>
    <row r="1128" ht="12.75" customHeight="1">
      <c r="A1128" s="244" t="s">
        <v>2412</v>
      </c>
      <c r="B1128" s="244" t="s">
        <v>3102</v>
      </c>
      <c r="C1128" s="244" t="s">
        <v>3118</v>
      </c>
      <c r="D1128" s="154" t="s">
        <v>581</v>
      </c>
      <c r="E1128" s="250"/>
      <c r="F1128" s="154" t="str">
        <f t="array" ref="F1128">XLOOKUP(Cover!$D$12,$S$1:$AA$1,$S1128:$AA1128)</f>
        <v>Mandatory</v>
      </c>
      <c r="G1128" s="154" t="s">
        <v>3119</v>
      </c>
      <c r="H1128" s="154" t="s">
        <v>398</v>
      </c>
      <c r="I1128" s="154" t="s">
        <v>389</v>
      </c>
      <c r="J1128" s="247" t="s">
        <v>445</v>
      </c>
      <c r="K1128" s="247" t="s">
        <v>3113</v>
      </c>
      <c r="L1128" s="154" t="str">
        <f t="shared" si="1"/>
        <v/>
      </c>
      <c r="M1128" s="248" t="str">
        <f>IFERROR(__xludf.DUMMYFUNCTION("VLOOKUP(C1128,IMPORTRANGE(""https://docs.google.com/spreadsheets/d/1P8eX0NWBhUPS_hvzA11R6jkTNFrPrRYIx_dX_hYbxrk/edit?resourcekey=0-iw9bsKY2OqkUHCFMkCar3A&amp;gid=2055363397#gid=2055363397"",""MTR!C:O""),11,false)"),"TAM")</f>
        <v>TAM</v>
      </c>
      <c r="N1128" s="248" t="str">
        <f>IFERROR(__xludf.DUMMYFUNCTION("VLOOKUP(C1128,IMPORTRANGE(""https://docs.google.com/spreadsheets/d/1ihFlp3_ePlYtFuPbUNbYj1muErVpI73WHXbEwJDIA7Q/edit#gid=1493122344"",""MTR!C:O""),8,false)"),"Complies")</f>
        <v>Complies</v>
      </c>
      <c r="O1128" s="248" t="str">
        <f>IFERROR(__xludf.DUMMYFUNCTION("VLOOKUP(C1128,IMPORTRANGE(""https://docs.google.com/spreadsheets/d/1P8eX0NWBhUPS_hvzA11R6jkTNFrPrRYIx_dX_hYbxrk/edit?resourcekey=0-iw9bsKY2OqkUHCFMkCar3A&amp;gid=2055363397#gid=2055363397"",""MTR!C:O""),9,false)"),"Only 4FF supported")</f>
        <v>Only 4FF supported</v>
      </c>
      <c r="P1128" s="248"/>
      <c r="Q1128" s="249" t="s">
        <v>445</v>
      </c>
      <c r="R1128" s="249" t="s">
        <v>3113</v>
      </c>
      <c r="S1128" s="154" t="s">
        <v>60</v>
      </c>
      <c r="T1128" s="154" t="s">
        <v>60</v>
      </c>
      <c r="U1128" s="154" t="s">
        <v>60</v>
      </c>
      <c r="V1128" s="154" t="s">
        <v>60</v>
      </c>
      <c r="W1128" s="154" t="s">
        <v>60</v>
      </c>
      <c r="X1128" s="154" t="s">
        <v>60</v>
      </c>
      <c r="Y1128" s="154" t="s">
        <v>60</v>
      </c>
      <c r="Z1128" s="154" t="s">
        <v>60</v>
      </c>
      <c r="AA1128" s="154" t="s">
        <v>60</v>
      </c>
      <c r="AB1128" s="154"/>
      <c r="AC1128" s="242" t="b">
        <f t="shared" si="2"/>
        <v>1</v>
      </c>
      <c r="AD1128" s="154" t="s">
        <v>516</v>
      </c>
      <c r="AE1128" s="243" t="b">
        <f t="shared" si="3"/>
        <v>0</v>
      </c>
      <c r="AF1128" s="154"/>
      <c r="AG1128" s="243" t="b">
        <f t="shared" si="7"/>
        <v>0</v>
      </c>
      <c r="AH1128" s="154"/>
      <c r="AI1128" s="243" t="str">
        <f t="shared" si="5"/>
        <v>N/A</v>
      </c>
      <c r="AJ1128" s="157" t="str">
        <f t="shared" si="6"/>
        <v/>
      </c>
    </row>
    <row r="1129" ht="12.75" customHeight="1">
      <c r="A1129" s="238" t="s">
        <v>2412</v>
      </c>
      <c r="B1129" s="238" t="s">
        <v>3102</v>
      </c>
      <c r="C1129" s="238" t="s">
        <v>3120</v>
      </c>
      <c r="D1129" s="238"/>
      <c r="E1129" s="238"/>
      <c r="F1129" s="154" t="str">
        <f t="array" ref="F1129">XLOOKUP(Cover!$D$12,$S$1:$AA$1,$S1129:$AA1129)</f>
        <v>Heading</v>
      </c>
      <c r="G1129" s="239" t="s">
        <v>3121</v>
      </c>
      <c r="H1129" s="240"/>
      <c r="I1129" s="240" t="s">
        <v>389</v>
      </c>
      <c r="J1129" s="240"/>
      <c r="K1129" s="240"/>
      <c r="L1129" s="154" t="str">
        <f t="shared" si="1"/>
        <v/>
      </c>
      <c r="M1129" s="241" t="str">
        <f>IFERROR(__xludf.DUMMYFUNCTION("VLOOKUP(C1129,IMPORTRANGE(""https://docs.google.com/spreadsheets/d/1P8eX0NWBhUPS_hvzA11R6jkTNFrPrRYIx_dX_hYbxrk/edit?resourcekey=0-iw9bsKY2OqkUHCFMkCar3A&amp;gid=2055363397#gid=2055363397"",""MTR!C:O""),11,false)"),"")</f>
        <v/>
      </c>
      <c r="N1129" s="241" t="str">
        <f>IFERROR(__xludf.DUMMYFUNCTION("VLOOKUP(C1129,IMPORTRANGE(""https://docs.google.com/spreadsheets/d/1ihFlp3_ePlYtFuPbUNbYj1muErVpI73WHXbEwJDIA7Q/edit#gid=1493122344"",""MTR!C:O""),8,false)"),"")</f>
        <v/>
      </c>
      <c r="O1129" s="241" t="str">
        <f>IFERROR(__xludf.DUMMYFUNCTION("VLOOKUP(C1129,IMPORTRANGE(""https://docs.google.com/spreadsheets/d/1P8eX0NWBhUPS_hvzA11R6jkTNFrPrRYIx_dX_hYbxrk/edit?resourcekey=0-iw9bsKY2OqkUHCFMkCar3A&amp;gid=2055363397#gid=2055363397"",""MTR!C:O""),9,false)"),"")</f>
        <v/>
      </c>
      <c r="P1129" s="241"/>
      <c r="Q1129" s="251"/>
      <c r="R1129" s="251"/>
      <c r="S1129" s="240" t="s">
        <v>390</v>
      </c>
      <c r="T1129" s="240" t="s">
        <v>390</v>
      </c>
      <c r="U1129" s="240" t="s">
        <v>390</v>
      </c>
      <c r="V1129" s="240" t="s">
        <v>390</v>
      </c>
      <c r="W1129" s="240" t="s">
        <v>390</v>
      </c>
      <c r="X1129" s="240" t="s">
        <v>390</v>
      </c>
      <c r="Y1129" s="240" t="s">
        <v>390</v>
      </c>
      <c r="Z1129" s="240" t="s">
        <v>390</v>
      </c>
      <c r="AA1129" s="240" t="s">
        <v>390</v>
      </c>
      <c r="AB1129" s="240"/>
      <c r="AC1129" s="242" t="b">
        <f t="shared" si="2"/>
        <v>0</v>
      </c>
      <c r="AD1129" s="240" t="s">
        <v>391</v>
      </c>
      <c r="AE1129" s="243" t="b">
        <f t="shared" si="3"/>
        <v>0</v>
      </c>
      <c r="AF1129" s="240"/>
      <c r="AG1129" s="243" t="b">
        <f t="shared" si="7"/>
        <v>0</v>
      </c>
      <c r="AH1129" s="240"/>
      <c r="AI1129" s="243" t="str">
        <f t="shared" si="5"/>
        <v>N/A</v>
      </c>
      <c r="AJ1129" s="157" t="str">
        <f t="shared" si="6"/>
        <v/>
      </c>
    </row>
    <row r="1130" ht="12.75" customHeight="1">
      <c r="A1130" s="244" t="s">
        <v>2412</v>
      </c>
      <c r="B1130" s="244" t="s">
        <v>3102</v>
      </c>
      <c r="C1130" s="244" t="s">
        <v>3122</v>
      </c>
      <c r="D1130" s="154" t="s">
        <v>2326</v>
      </c>
      <c r="E1130" s="250"/>
      <c r="F1130" s="154" t="str">
        <f t="array" ref="F1130">XLOOKUP(Cover!$D$12,$S$1:$AA$1,$S1130:$AA1130)</f>
        <v>Mandatory</v>
      </c>
      <c r="G1130" s="154" t="s">
        <v>3123</v>
      </c>
      <c r="H1130" s="154" t="s">
        <v>398</v>
      </c>
      <c r="I1130" s="154" t="s">
        <v>389</v>
      </c>
      <c r="J1130" s="247" t="s">
        <v>445</v>
      </c>
      <c r="K1130" s="247" t="s">
        <v>3124</v>
      </c>
      <c r="L1130" s="154" t="str">
        <f t="shared" si="1"/>
        <v/>
      </c>
      <c r="M1130" s="248" t="str">
        <f>IFERROR(__xludf.DUMMYFUNCTION("VLOOKUP(C1130,IMPORTRANGE(""https://docs.google.com/spreadsheets/d/1P8eX0NWBhUPS_hvzA11R6jkTNFrPrRYIx_dX_hYbxrk/edit?resourcekey=0-iw9bsKY2OqkUHCFMkCar3A&amp;gid=2055363397#gid=2055363397"",""MTR!C:O""),11,false)"),"TAM")</f>
        <v>TAM</v>
      </c>
      <c r="N1130" s="248" t="str">
        <f>IFERROR(__xludf.DUMMYFUNCTION("VLOOKUP(C1130,IMPORTRANGE(""https://docs.google.com/spreadsheets/d/1ihFlp3_ePlYtFuPbUNbYj1muErVpI73WHXbEwJDIA7Q/edit#gid=1493122344"",""MTR!C:O""),8,false)"),"Complies")</f>
        <v>Complies</v>
      </c>
      <c r="O1130" s="248" t="str">
        <f>IFERROR(__xludf.DUMMYFUNCTION("VLOOKUP(C1130,IMPORTRANGE(""https://docs.google.com/spreadsheets/d/1P8eX0NWBhUPS_hvzA11R6jkTNFrPrRYIx_dX_hYbxrk/edit?resourcekey=0-iw9bsKY2OqkUHCFMkCar3A&amp;gid=2055363397#gid=2055363397"",""MTR!C:O""),9,false)"),"V14.1")</f>
        <v>V14.1</v>
      </c>
      <c r="P1130" s="248"/>
      <c r="Q1130" s="249" t="s">
        <v>445</v>
      </c>
      <c r="R1130" s="249" t="s">
        <v>3124</v>
      </c>
      <c r="S1130" s="154" t="s">
        <v>60</v>
      </c>
      <c r="T1130" s="154" t="s">
        <v>60</v>
      </c>
      <c r="U1130" s="154" t="s">
        <v>60</v>
      </c>
      <c r="V1130" s="154" t="s">
        <v>60</v>
      </c>
      <c r="W1130" s="154" t="s">
        <v>60</v>
      </c>
      <c r="X1130" s="154" t="s">
        <v>60</v>
      </c>
      <c r="Y1130" s="154" t="s">
        <v>60</v>
      </c>
      <c r="Z1130" s="154" t="s">
        <v>60</v>
      </c>
      <c r="AA1130" s="154" t="s">
        <v>60</v>
      </c>
      <c r="AB1130" s="154"/>
      <c r="AC1130" s="242" t="b">
        <f t="shared" si="2"/>
        <v>1</v>
      </c>
      <c r="AD1130" s="154" t="s">
        <v>445</v>
      </c>
      <c r="AE1130" s="243" t="b">
        <f t="shared" si="3"/>
        <v>0</v>
      </c>
      <c r="AF1130" s="154"/>
      <c r="AG1130" s="243" t="b">
        <f t="shared" si="7"/>
        <v>0</v>
      </c>
      <c r="AH1130" s="154"/>
      <c r="AI1130" s="243" t="str">
        <f t="shared" si="5"/>
        <v>N/A</v>
      </c>
      <c r="AJ1130" s="157" t="str">
        <f t="shared" si="6"/>
        <v/>
      </c>
    </row>
    <row r="1131" ht="12.75" customHeight="1">
      <c r="A1131" s="244" t="s">
        <v>2412</v>
      </c>
      <c r="B1131" s="244" t="s">
        <v>3102</v>
      </c>
      <c r="C1131" s="244" t="s">
        <v>3125</v>
      </c>
      <c r="D1131" s="154" t="s">
        <v>2746</v>
      </c>
      <c r="E1131" s="250"/>
      <c r="F1131" s="154" t="str">
        <f t="array" ref="F1131">XLOOKUP(Cover!$D$12,$S$1:$AA$1,$S1131:$AA1131)</f>
        <v>Mandatory</v>
      </c>
      <c r="G1131" s="154" t="s">
        <v>3126</v>
      </c>
      <c r="H1131" s="154" t="s">
        <v>398</v>
      </c>
      <c r="I1131" s="154" t="s">
        <v>389</v>
      </c>
      <c r="J1131" s="247" t="s">
        <v>445</v>
      </c>
      <c r="K1131" s="247"/>
      <c r="L1131" s="154" t="str">
        <f t="shared" si="1"/>
        <v/>
      </c>
      <c r="M1131" s="248" t="str">
        <f>IFERROR(__xludf.DUMMYFUNCTION("VLOOKUP(C1131,IMPORTRANGE(""https://docs.google.com/spreadsheets/d/1P8eX0NWBhUPS_hvzA11R6jkTNFrPrRYIx_dX_hYbxrk/edit?resourcekey=0-iw9bsKY2OqkUHCFMkCar3A&amp;gid=2055363397#gid=2055363397"",""MTR!C:O""),11,false)"),"TAM")</f>
        <v>TAM</v>
      </c>
      <c r="N1131" s="248" t="str">
        <f>IFERROR(__xludf.DUMMYFUNCTION("VLOOKUP(C1131,IMPORTRANGE(""https://docs.google.com/spreadsheets/d/1ihFlp3_ePlYtFuPbUNbYj1muErVpI73WHXbEwJDIA7Q/edit#gid=1493122344"",""MTR!C:O""),8,false)"),"Complies")</f>
        <v>Complies</v>
      </c>
      <c r="O1131" s="241" t="str">
        <f>IFERROR(__xludf.DUMMYFUNCTION("VLOOKUP(C1131,IMPORTRANGE(""https://docs.google.com/spreadsheets/d/1P8eX0NWBhUPS_hvzA11R6jkTNFrPrRYIx_dX_hYbxrk/edit?resourcekey=0-iw9bsKY2OqkUHCFMkCar3A&amp;gid=2055363397#gid=2055363397"",""MTR!C:O""),9,false)"),"")</f>
        <v/>
      </c>
      <c r="P1131" s="241"/>
      <c r="Q1131" s="251" t="s">
        <v>445</v>
      </c>
      <c r="R1131" s="251"/>
      <c r="S1131" s="154" t="s">
        <v>60</v>
      </c>
      <c r="T1131" s="154" t="s">
        <v>60</v>
      </c>
      <c r="U1131" s="154" t="s">
        <v>60</v>
      </c>
      <c r="V1131" s="154" t="s">
        <v>60</v>
      </c>
      <c r="W1131" s="154" t="s">
        <v>60</v>
      </c>
      <c r="X1131" s="154" t="s">
        <v>60</v>
      </c>
      <c r="Y1131" s="154" t="s">
        <v>60</v>
      </c>
      <c r="Z1131" s="154" t="s">
        <v>60</v>
      </c>
      <c r="AA1131" s="154" t="s">
        <v>60</v>
      </c>
      <c r="AB1131" s="154"/>
      <c r="AC1131" s="242" t="b">
        <f t="shared" si="2"/>
        <v>1</v>
      </c>
      <c r="AD1131" s="154" t="s">
        <v>391</v>
      </c>
      <c r="AE1131" s="243" t="b">
        <f t="shared" si="3"/>
        <v>0</v>
      </c>
      <c r="AF1131" s="154"/>
      <c r="AG1131" s="243" t="b">
        <f t="shared" si="7"/>
        <v>0</v>
      </c>
      <c r="AH1131" s="154"/>
      <c r="AI1131" s="243" t="str">
        <f t="shared" si="5"/>
        <v>N/A</v>
      </c>
      <c r="AJ1131" s="157" t="str">
        <f t="shared" si="6"/>
        <v/>
      </c>
    </row>
    <row r="1132" ht="12.75" customHeight="1">
      <c r="A1132" s="244" t="s">
        <v>2412</v>
      </c>
      <c r="B1132" s="244" t="s">
        <v>3102</v>
      </c>
      <c r="C1132" s="244" t="s">
        <v>3127</v>
      </c>
      <c r="D1132" s="154" t="s">
        <v>2746</v>
      </c>
      <c r="E1132" s="250"/>
      <c r="F1132" s="154" t="str">
        <f t="array" ref="F1132">XLOOKUP(Cover!$D$12,$S$1:$AA$1,$S1132:$AA1132)</f>
        <v>Mandatory</v>
      </c>
      <c r="G1132" s="154" t="s">
        <v>3128</v>
      </c>
      <c r="H1132" s="154" t="s">
        <v>398</v>
      </c>
      <c r="I1132" s="154" t="s">
        <v>389</v>
      </c>
      <c r="J1132" s="247" t="s">
        <v>445</v>
      </c>
      <c r="K1132" s="154"/>
      <c r="L1132" s="154" t="str">
        <f t="shared" si="1"/>
        <v/>
      </c>
      <c r="M1132" s="248" t="str">
        <f>IFERROR(__xludf.DUMMYFUNCTION("VLOOKUP(C1132,IMPORTRANGE(""https://docs.google.com/spreadsheets/d/1P8eX0NWBhUPS_hvzA11R6jkTNFrPrRYIx_dX_hYbxrk/edit?resourcekey=0-iw9bsKY2OqkUHCFMkCar3A&amp;gid=2055363397#gid=2055363397"",""MTR!C:O""),11,false)"),"TAM")</f>
        <v>TAM</v>
      </c>
      <c r="N1132" s="248" t="str">
        <f>IFERROR(__xludf.DUMMYFUNCTION("VLOOKUP(C1132,IMPORTRANGE(""https://docs.google.com/spreadsheets/d/1ihFlp3_ePlYtFuPbUNbYj1muErVpI73WHXbEwJDIA7Q/edit#gid=1493122344"",""MTR!C:O""),8,false)"),"Complies")</f>
        <v>Complies</v>
      </c>
      <c r="O1132" s="241" t="str">
        <f>IFERROR(__xludf.DUMMYFUNCTION("VLOOKUP(C1132,IMPORTRANGE(""https://docs.google.com/spreadsheets/d/1P8eX0NWBhUPS_hvzA11R6jkTNFrPrRYIx_dX_hYbxrk/edit?resourcekey=0-iw9bsKY2OqkUHCFMkCar3A&amp;gid=2055363397#gid=2055363397"",""MTR!C:O""),9,false)"),"")</f>
        <v/>
      </c>
      <c r="P1132" s="241"/>
      <c r="Q1132" s="251" t="s">
        <v>445</v>
      </c>
      <c r="R1132" s="241"/>
      <c r="S1132" s="154" t="s">
        <v>60</v>
      </c>
      <c r="T1132" s="154" t="s">
        <v>60</v>
      </c>
      <c r="U1132" s="154" t="s">
        <v>60</v>
      </c>
      <c r="V1132" s="154" t="s">
        <v>60</v>
      </c>
      <c r="W1132" s="154" t="s">
        <v>60</v>
      </c>
      <c r="X1132" s="154" t="s">
        <v>60</v>
      </c>
      <c r="Y1132" s="154" t="s">
        <v>60</v>
      </c>
      <c r="Z1132" s="154" t="s">
        <v>60</v>
      </c>
      <c r="AA1132" s="154" t="s">
        <v>60</v>
      </c>
      <c r="AB1132" s="154"/>
      <c r="AC1132" s="242" t="b">
        <f t="shared" si="2"/>
        <v>1</v>
      </c>
      <c r="AD1132" s="154" t="s">
        <v>391</v>
      </c>
      <c r="AE1132" s="243" t="b">
        <f t="shared" si="3"/>
        <v>0</v>
      </c>
      <c r="AF1132" s="154"/>
      <c r="AG1132" s="243" t="b">
        <f t="shared" si="7"/>
        <v>0</v>
      </c>
      <c r="AH1132" s="154"/>
      <c r="AI1132" s="243" t="str">
        <f t="shared" si="5"/>
        <v>N/A</v>
      </c>
      <c r="AJ1132" s="157" t="str">
        <f t="shared" si="6"/>
        <v/>
      </c>
    </row>
    <row r="1133" ht="12.75" customHeight="1">
      <c r="A1133" s="244" t="s">
        <v>2412</v>
      </c>
      <c r="B1133" s="244" t="s">
        <v>3102</v>
      </c>
      <c r="C1133" s="244" t="s">
        <v>3129</v>
      </c>
      <c r="D1133" s="154" t="s">
        <v>2746</v>
      </c>
      <c r="E1133" s="250"/>
      <c r="F1133" s="154" t="str">
        <f t="array" ref="F1133">XLOOKUP(Cover!$D$12,$S$1:$AA$1,$S1133:$AA1133)</f>
        <v>Mandatory</v>
      </c>
      <c r="G1133" s="154" t="s">
        <v>3130</v>
      </c>
      <c r="H1133" s="154" t="s">
        <v>398</v>
      </c>
      <c r="I1133" s="154" t="s">
        <v>389</v>
      </c>
      <c r="J1133" s="247" t="s">
        <v>445</v>
      </c>
      <c r="K1133" s="154"/>
      <c r="L1133" s="154" t="str">
        <f t="shared" si="1"/>
        <v/>
      </c>
      <c r="M1133" s="248" t="str">
        <f>IFERROR(__xludf.DUMMYFUNCTION("VLOOKUP(C1133,IMPORTRANGE(""https://docs.google.com/spreadsheets/d/1P8eX0NWBhUPS_hvzA11R6jkTNFrPrRYIx_dX_hYbxrk/edit?resourcekey=0-iw9bsKY2OqkUHCFMkCar3A&amp;gid=2055363397#gid=2055363397"",""MTR!C:O""),11,false)"),"TAM")</f>
        <v>TAM</v>
      </c>
      <c r="N1133" s="248" t="str">
        <f>IFERROR(__xludf.DUMMYFUNCTION("VLOOKUP(C1133,IMPORTRANGE(""https://docs.google.com/spreadsheets/d/1ihFlp3_ePlYtFuPbUNbYj1muErVpI73WHXbEwJDIA7Q/edit#gid=1493122344"",""MTR!C:O""),8,false)"),"Complies")</f>
        <v>Complies</v>
      </c>
      <c r="O1133" s="241" t="str">
        <f>IFERROR(__xludf.DUMMYFUNCTION("VLOOKUP(C1133,IMPORTRANGE(""https://docs.google.com/spreadsheets/d/1P8eX0NWBhUPS_hvzA11R6jkTNFrPrRYIx_dX_hYbxrk/edit?resourcekey=0-iw9bsKY2OqkUHCFMkCar3A&amp;gid=2055363397#gid=2055363397"",""MTR!C:O""),9,false)"),"")</f>
        <v/>
      </c>
      <c r="P1133" s="241"/>
      <c r="Q1133" s="251" t="s">
        <v>445</v>
      </c>
      <c r="R1133" s="241"/>
      <c r="S1133" s="154" t="s">
        <v>60</v>
      </c>
      <c r="T1133" s="154" t="s">
        <v>60</v>
      </c>
      <c r="U1133" s="154" t="s">
        <v>60</v>
      </c>
      <c r="V1133" s="154" t="s">
        <v>60</v>
      </c>
      <c r="W1133" s="154" t="s">
        <v>60</v>
      </c>
      <c r="X1133" s="154" t="s">
        <v>60</v>
      </c>
      <c r="Y1133" s="154" t="s">
        <v>60</v>
      </c>
      <c r="Z1133" s="154" t="s">
        <v>60</v>
      </c>
      <c r="AA1133" s="154" t="s">
        <v>60</v>
      </c>
      <c r="AB1133" s="154"/>
      <c r="AC1133" s="242" t="b">
        <f t="shared" si="2"/>
        <v>1</v>
      </c>
      <c r="AD1133" s="154" t="s">
        <v>391</v>
      </c>
      <c r="AE1133" s="243" t="b">
        <f t="shared" si="3"/>
        <v>0</v>
      </c>
      <c r="AF1133" s="154"/>
      <c r="AG1133" s="243" t="b">
        <f t="shared" si="7"/>
        <v>0</v>
      </c>
      <c r="AH1133" s="154"/>
      <c r="AI1133" s="243" t="str">
        <f t="shared" si="5"/>
        <v>N/A</v>
      </c>
      <c r="AJ1133" s="157" t="str">
        <f t="shared" si="6"/>
        <v/>
      </c>
    </row>
    <row r="1134" ht="12.75" customHeight="1">
      <c r="A1134" s="244" t="s">
        <v>2412</v>
      </c>
      <c r="B1134" s="244" t="s">
        <v>3102</v>
      </c>
      <c r="C1134" s="244" t="s">
        <v>3131</v>
      </c>
      <c r="D1134" s="154" t="s">
        <v>406</v>
      </c>
      <c r="E1134" s="250"/>
      <c r="F1134" s="154" t="str">
        <f t="array" ref="F1134">XLOOKUP(Cover!$D$12,$S$1:$AA$1,$S1134:$AA1134)</f>
        <v>Mandatory</v>
      </c>
      <c r="G1134" s="154" t="s">
        <v>3132</v>
      </c>
      <c r="H1134" s="154" t="s">
        <v>398</v>
      </c>
      <c r="I1134" s="154" t="s">
        <v>389</v>
      </c>
      <c r="J1134" s="247" t="s">
        <v>445</v>
      </c>
      <c r="K1134" s="154"/>
      <c r="L1134" s="154" t="str">
        <f t="shared" si="1"/>
        <v/>
      </c>
      <c r="M1134" s="248" t="str">
        <f>IFERROR(__xludf.DUMMYFUNCTION("VLOOKUP(C1134,IMPORTRANGE(""https://docs.google.com/spreadsheets/d/1P8eX0NWBhUPS_hvzA11R6jkTNFrPrRYIx_dX_hYbxrk/edit?resourcekey=0-iw9bsKY2OqkUHCFMkCar3A&amp;gid=2055363397#gid=2055363397"",""MTR!C:O""),11,false)"),"TAM")</f>
        <v>TAM</v>
      </c>
      <c r="N1134" s="248" t="str">
        <f>IFERROR(__xludf.DUMMYFUNCTION("VLOOKUP(C1134,IMPORTRANGE(""https://docs.google.com/spreadsheets/d/1ihFlp3_ePlYtFuPbUNbYj1muErVpI73WHXbEwJDIA7Q/edit#gid=1493122344"",""MTR!C:O""),8,false)"),"Complies")</f>
        <v>Complies</v>
      </c>
      <c r="O1134" s="241" t="str">
        <f>IFERROR(__xludf.DUMMYFUNCTION("VLOOKUP(C1134,IMPORTRANGE(""https://docs.google.com/spreadsheets/d/1P8eX0NWBhUPS_hvzA11R6jkTNFrPrRYIx_dX_hYbxrk/edit?resourcekey=0-iw9bsKY2OqkUHCFMkCar3A&amp;gid=2055363397#gid=2055363397"",""MTR!C:O""),9,false)"),"")</f>
        <v/>
      </c>
      <c r="P1134" s="241"/>
      <c r="Q1134" s="251" t="s">
        <v>445</v>
      </c>
      <c r="R1134" s="241"/>
      <c r="S1134" s="154" t="s">
        <v>60</v>
      </c>
      <c r="T1134" s="154" t="s">
        <v>60</v>
      </c>
      <c r="U1134" s="154" t="s">
        <v>60</v>
      </c>
      <c r="V1134" s="154" t="s">
        <v>60</v>
      </c>
      <c r="W1134" s="154" t="s">
        <v>60</v>
      </c>
      <c r="X1134" s="154" t="s">
        <v>60</v>
      </c>
      <c r="Y1134" s="154" t="s">
        <v>60</v>
      </c>
      <c r="Z1134" s="154" t="s">
        <v>60</v>
      </c>
      <c r="AA1134" s="154" t="s">
        <v>60</v>
      </c>
      <c r="AB1134" s="154"/>
      <c r="AC1134" s="242" t="b">
        <f t="shared" si="2"/>
        <v>1</v>
      </c>
      <c r="AD1134" s="154" t="s">
        <v>391</v>
      </c>
      <c r="AE1134" s="243" t="b">
        <f t="shared" si="3"/>
        <v>0</v>
      </c>
      <c r="AF1134" s="154"/>
      <c r="AG1134" s="243" t="b">
        <f t="shared" si="7"/>
        <v>0</v>
      </c>
      <c r="AH1134" s="154"/>
      <c r="AI1134" s="243" t="str">
        <f t="shared" si="5"/>
        <v>N/A</v>
      </c>
      <c r="AJ1134" s="157" t="str">
        <f t="shared" si="6"/>
        <v/>
      </c>
    </row>
    <row r="1135" ht="12.75" customHeight="1">
      <c r="A1135" s="244" t="s">
        <v>2412</v>
      </c>
      <c r="B1135" s="244" t="s">
        <v>3102</v>
      </c>
      <c r="C1135" s="244" t="s">
        <v>3133</v>
      </c>
      <c r="D1135" s="154" t="s">
        <v>2746</v>
      </c>
      <c r="E1135" s="250"/>
      <c r="F1135" s="154" t="str">
        <f t="array" ref="F1135">XLOOKUP(Cover!$D$12,$S$1:$AA$1,$S1135:$AA1135)</f>
        <v>Information</v>
      </c>
      <c r="G1135" s="154" t="s">
        <v>3134</v>
      </c>
      <c r="H1135" s="154" t="s">
        <v>398</v>
      </c>
      <c r="I1135" s="154" t="s">
        <v>389</v>
      </c>
      <c r="J1135" s="247" t="s">
        <v>445</v>
      </c>
      <c r="K1135" s="154"/>
      <c r="L1135" s="154" t="str">
        <f t="shared" si="1"/>
        <v/>
      </c>
      <c r="M1135" s="248" t="str">
        <f>IFERROR(__xludf.DUMMYFUNCTION("VLOOKUP(C1135,IMPORTRANGE(""https://docs.google.com/spreadsheets/d/1P8eX0NWBhUPS_hvzA11R6jkTNFrPrRYIx_dX_hYbxrk/edit?resourcekey=0-iw9bsKY2OqkUHCFMkCar3A&amp;gid=2055363397#gid=2055363397"",""MTR!C:O""),11,false)"),"TAM")</f>
        <v>TAM</v>
      </c>
      <c r="N1135" s="248" t="str">
        <f>IFERROR(__xludf.DUMMYFUNCTION("VLOOKUP(C1135,IMPORTRANGE(""https://docs.google.com/spreadsheets/d/1ihFlp3_ePlYtFuPbUNbYj1muErVpI73WHXbEwJDIA7Q/edit#gid=1493122344"",""MTR!C:O""),8,false)"),"Complies")</f>
        <v>Complies</v>
      </c>
      <c r="O1135" s="241" t="str">
        <f>IFERROR(__xludf.DUMMYFUNCTION("VLOOKUP(C1135,IMPORTRANGE(""https://docs.google.com/spreadsheets/d/1P8eX0NWBhUPS_hvzA11R6jkTNFrPrRYIx_dX_hYbxrk/edit?resourcekey=0-iw9bsKY2OqkUHCFMkCar3A&amp;gid=2055363397#gid=2055363397"",""MTR!C:O""),9,false)"),"")</f>
        <v/>
      </c>
      <c r="P1135" s="241"/>
      <c r="Q1135" s="251" t="s">
        <v>445</v>
      </c>
      <c r="R1135" s="241"/>
      <c r="S1135" s="154" t="s">
        <v>66</v>
      </c>
      <c r="T1135" s="154" t="s">
        <v>66</v>
      </c>
      <c r="U1135" s="154" t="s">
        <v>66</v>
      </c>
      <c r="V1135" s="154" t="s">
        <v>66</v>
      </c>
      <c r="W1135" s="154" t="s">
        <v>66</v>
      </c>
      <c r="X1135" s="154" t="s">
        <v>66</v>
      </c>
      <c r="Y1135" s="154" t="s">
        <v>66</v>
      </c>
      <c r="Z1135" s="154" t="s">
        <v>66</v>
      </c>
      <c r="AA1135" s="154" t="s">
        <v>66</v>
      </c>
      <c r="AB1135" s="154"/>
      <c r="AC1135" s="242" t="b">
        <f t="shared" si="2"/>
        <v>1</v>
      </c>
      <c r="AD1135" s="154" t="s">
        <v>391</v>
      </c>
      <c r="AE1135" s="243" t="b">
        <f t="shared" si="3"/>
        <v>0</v>
      </c>
      <c r="AF1135" s="154"/>
      <c r="AG1135" s="243" t="b">
        <f t="shared" si="7"/>
        <v>0</v>
      </c>
      <c r="AH1135" s="154"/>
      <c r="AI1135" s="243" t="str">
        <f t="shared" si="5"/>
        <v>N/A</v>
      </c>
      <c r="AJ1135" s="157" t="str">
        <f t="shared" si="6"/>
        <v/>
      </c>
    </row>
    <row r="1136" ht="12.75" customHeight="1">
      <c r="A1136" s="238" t="s">
        <v>2412</v>
      </c>
      <c r="B1136" s="238" t="s">
        <v>3102</v>
      </c>
      <c r="C1136" s="238" t="s">
        <v>3135</v>
      </c>
      <c r="D1136" s="238"/>
      <c r="E1136" s="238"/>
      <c r="F1136" s="154" t="str">
        <f t="array" ref="F1136">XLOOKUP(Cover!$D$12,$S$1:$AA$1,$S1136:$AA1136)</f>
        <v>Heading</v>
      </c>
      <c r="G1136" s="239" t="s">
        <v>3136</v>
      </c>
      <c r="H1136" s="240"/>
      <c r="I1136" s="240" t="s">
        <v>389</v>
      </c>
      <c r="J1136" s="240"/>
      <c r="K1136" s="240"/>
      <c r="L1136" s="154" t="str">
        <f t="shared" si="1"/>
        <v/>
      </c>
      <c r="M1136" s="241" t="str">
        <f>IFERROR(__xludf.DUMMYFUNCTION("VLOOKUP(C1136,IMPORTRANGE(""https://docs.google.com/spreadsheets/d/1P8eX0NWBhUPS_hvzA11R6jkTNFrPrRYIx_dX_hYbxrk/edit?resourcekey=0-iw9bsKY2OqkUHCFMkCar3A&amp;gid=2055363397#gid=2055363397"",""MTR!C:O""),11,false)"),"")</f>
        <v/>
      </c>
      <c r="N1136" s="241" t="str">
        <f>IFERROR(__xludf.DUMMYFUNCTION("VLOOKUP(C1136,IMPORTRANGE(""https://docs.google.com/spreadsheets/d/1ihFlp3_ePlYtFuPbUNbYj1muErVpI73WHXbEwJDIA7Q/edit#gid=1493122344"",""MTR!C:O""),8,false)"),"")</f>
        <v/>
      </c>
      <c r="O1136" s="241" t="str">
        <f>IFERROR(__xludf.DUMMYFUNCTION("VLOOKUP(C1136,IMPORTRANGE(""https://docs.google.com/spreadsheets/d/1P8eX0NWBhUPS_hvzA11R6jkTNFrPrRYIx_dX_hYbxrk/edit?resourcekey=0-iw9bsKY2OqkUHCFMkCar3A&amp;gid=2055363397#gid=2055363397"",""MTR!C:O""),9,false)"),"")</f>
        <v/>
      </c>
      <c r="P1136" s="241"/>
      <c r="Q1136" s="251"/>
      <c r="R1136" s="241"/>
      <c r="S1136" s="240" t="s">
        <v>390</v>
      </c>
      <c r="T1136" s="240" t="s">
        <v>390</v>
      </c>
      <c r="U1136" s="240" t="s">
        <v>390</v>
      </c>
      <c r="V1136" s="240" t="s">
        <v>390</v>
      </c>
      <c r="W1136" s="240" t="s">
        <v>390</v>
      </c>
      <c r="X1136" s="240" t="s">
        <v>390</v>
      </c>
      <c r="Y1136" s="240" t="s">
        <v>390</v>
      </c>
      <c r="Z1136" s="240" t="s">
        <v>390</v>
      </c>
      <c r="AA1136" s="240" t="s">
        <v>390</v>
      </c>
      <c r="AB1136" s="240"/>
      <c r="AC1136" s="242" t="b">
        <f t="shared" si="2"/>
        <v>0</v>
      </c>
      <c r="AD1136" s="240" t="s">
        <v>391</v>
      </c>
      <c r="AE1136" s="243" t="b">
        <f t="shared" si="3"/>
        <v>0</v>
      </c>
      <c r="AF1136" s="240"/>
      <c r="AG1136" s="243" t="b">
        <f t="shared" si="7"/>
        <v>0</v>
      </c>
      <c r="AH1136" s="240"/>
      <c r="AI1136" s="243" t="str">
        <f t="shared" si="5"/>
        <v>N/A</v>
      </c>
      <c r="AJ1136" s="157" t="str">
        <f t="shared" si="6"/>
        <v/>
      </c>
    </row>
    <row r="1137" ht="12.75" customHeight="1">
      <c r="A1137" s="244" t="s">
        <v>2412</v>
      </c>
      <c r="B1137" s="244" t="s">
        <v>3102</v>
      </c>
      <c r="C1137" s="244" t="s">
        <v>3137</v>
      </c>
      <c r="D1137" s="154" t="s">
        <v>2746</v>
      </c>
      <c r="E1137" s="250"/>
      <c r="F1137" s="154" t="str">
        <f t="array" ref="F1137">XLOOKUP(Cover!$D$12,$S$1:$AA$1,$S1137:$AA1137)</f>
        <v>Mandatory</v>
      </c>
      <c r="G1137" s="154" t="s">
        <v>3138</v>
      </c>
      <c r="H1137" s="154" t="s">
        <v>398</v>
      </c>
      <c r="I1137" s="154" t="s">
        <v>389</v>
      </c>
      <c r="J1137" s="154" t="s">
        <v>445</v>
      </c>
      <c r="K1137" s="154"/>
      <c r="L1137" s="154" t="str">
        <f t="shared" si="1"/>
        <v/>
      </c>
      <c r="M1137" s="248" t="str">
        <f>IFERROR(__xludf.DUMMYFUNCTION("VLOOKUP(C1137,IMPORTRANGE(""https://docs.google.com/spreadsheets/d/1P8eX0NWBhUPS_hvzA11R6jkTNFrPrRYIx_dX_hYbxrk/edit?resourcekey=0-iw9bsKY2OqkUHCFMkCar3A&amp;gid=2055363397#gid=2055363397"",""MTR!C:O""),11,false)"),"PMW-MCE-NAS")</f>
        <v>PMW-MCE-NAS</v>
      </c>
      <c r="N1137" s="248" t="str">
        <f>IFERROR(__xludf.DUMMYFUNCTION("VLOOKUP(C1137,IMPORTRANGE(""https://docs.google.com/spreadsheets/d/1ihFlp3_ePlYtFuPbUNbYj1muErVpI73WHXbEwJDIA7Q/edit#gid=1493122344"",""MTR!C:O""),8,false)"),"Complies")</f>
        <v>Complies</v>
      </c>
      <c r="O1137" s="241" t="str">
        <f>IFERROR(__xludf.DUMMYFUNCTION("VLOOKUP(C1137,IMPORTRANGE(""https://docs.google.com/spreadsheets/d/1P8eX0NWBhUPS_hvzA11R6jkTNFrPrRYIx_dX_hYbxrk/edit?resourcekey=0-iw9bsKY2OqkUHCFMkCar3A&amp;gid=2055363397#gid=2055363397"",""MTR!C:O""),9,false)"),"")</f>
        <v/>
      </c>
      <c r="P1137" s="241"/>
      <c r="Q1137" s="251" t="s">
        <v>445</v>
      </c>
      <c r="R1137" s="241"/>
      <c r="S1137" s="154" t="s">
        <v>60</v>
      </c>
      <c r="T1137" s="154" t="s">
        <v>60</v>
      </c>
      <c r="U1137" s="154" t="s">
        <v>60</v>
      </c>
      <c r="V1137" s="154" t="s">
        <v>60</v>
      </c>
      <c r="W1137" s="154" t="s">
        <v>60</v>
      </c>
      <c r="X1137" s="154" t="s">
        <v>60</v>
      </c>
      <c r="Y1137" s="154" t="s">
        <v>60</v>
      </c>
      <c r="Z1137" s="154" t="s">
        <v>60</v>
      </c>
      <c r="AA1137" s="154" t="s">
        <v>60</v>
      </c>
      <c r="AB1137" s="154"/>
      <c r="AC1137" s="242" t="b">
        <f t="shared" si="2"/>
        <v>1</v>
      </c>
      <c r="AD1137" s="154" t="s">
        <v>391</v>
      </c>
      <c r="AE1137" s="243" t="b">
        <f t="shared" si="3"/>
        <v>0</v>
      </c>
      <c r="AF1137" s="154"/>
      <c r="AG1137" s="243" t="b">
        <f t="shared" si="7"/>
        <v>0</v>
      </c>
      <c r="AH1137" s="154"/>
      <c r="AI1137" s="243" t="str">
        <f t="shared" si="5"/>
        <v>N/A</v>
      </c>
      <c r="AJ1137" s="157" t="str">
        <f t="shared" si="6"/>
        <v/>
      </c>
    </row>
    <row r="1138" ht="12.75" customHeight="1">
      <c r="A1138" s="244" t="s">
        <v>2412</v>
      </c>
      <c r="B1138" s="244" t="s">
        <v>3102</v>
      </c>
      <c r="C1138" s="244" t="s">
        <v>3139</v>
      </c>
      <c r="D1138" s="154" t="s">
        <v>2746</v>
      </c>
      <c r="E1138" s="250"/>
      <c r="F1138" s="154" t="str">
        <f t="array" ref="F1138">XLOOKUP(Cover!$D$12,$S$1:$AA$1,$S1138:$AA1138)</f>
        <v>Mandatory</v>
      </c>
      <c r="G1138" s="154" t="s">
        <v>3140</v>
      </c>
      <c r="H1138" s="154" t="s">
        <v>398</v>
      </c>
      <c r="I1138" s="154" t="s">
        <v>389</v>
      </c>
      <c r="J1138" s="247" t="s">
        <v>445</v>
      </c>
      <c r="K1138" s="154"/>
      <c r="L1138" s="154" t="str">
        <f t="shared" si="1"/>
        <v/>
      </c>
      <c r="M1138" s="248" t="str">
        <f>IFERROR(__xludf.DUMMYFUNCTION("VLOOKUP(C1138,IMPORTRANGE(""https://docs.google.com/spreadsheets/d/1P8eX0NWBhUPS_hvzA11R6jkTNFrPrRYIx_dX_hYbxrk/edit?resourcekey=0-iw9bsKY2OqkUHCFMkCar3A&amp;gid=2055363397#gid=2055363397"",""MTR!C:O""),11,false)"),"PMW-MCE-NAS")</f>
        <v>PMW-MCE-NAS</v>
      </c>
      <c r="N1138" s="248" t="str">
        <f>IFERROR(__xludf.DUMMYFUNCTION("VLOOKUP(C1138,IMPORTRANGE(""https://docs.google.com/spreadsheets/d/1ihFlp3_ePlYtFuPbUNbYj1muErVpI73WHXbEwJDIA7Q/edit#gid=1493122344"",""MTR!C:O""),8,false)"),"Complies")</f>
        <v>Complies</v>
      </c>
      <c r="O1138" s="241" t="str">
        <f>IFERROR(__xludf.DUMMYFUNCTION("VLOOKUP(C1138,IMPORTRANGE(""https://docs.google.com/spreadsheets/d/1P8eX0NWBhUPS_hvzA11R6jkTNFrPrRYIx_dX_hYbxrk/edit?resourcekey=0-iw9bsKY2OqkUHCFMkCar3A&amp;gid=2055363397#gid=2055363397"",""MTR!C:O""),9,false)"),"")</f>
        <v/>
      </c>
      <c r="P1138" s="241"/>
      <c r="Q1138" s="251" t="s">
        <v>445</v>
      </c>
      <c r="R1138" s="241"/>
      <c r="S1138" s="154" t="s">
        <v>60</v>
      </c>
      <c r="T1138" s="154" t="s">
        <v>60</v>
      </c>
      <c r="U1138" s="154" t="s">
        <v>60</v>
      </c>
      <c r="V1138" s="154" t="s">
        <v>60</v>
      </c>
      <c r="W1138" s="154" t="s">
        <v>60</v>
      </c>
      <c r="X1138" s="154" t="s">
        <v>60</v>
      </c>
      <c r="Y1138" s="154" t="s">
        <v>60</v>
      </c>
      <c r="Z1138" s="154" t="s">
        <v>60</v>
      </c>
      <c r="AA1138" s="154" t="s">
        <v>60</v>
      </c>
      <c r="AB1138" s="154"/>
      <c r="AC1138" s="242" t="b">
        <f t="shared" si="2"/>
        <v>1</v>
      </c>
      <c r="AD1138" s="154" t="s">
        <v>391</v>
      </c>
      <c r="AE1138" s="243" t="b">
        <f t="shared" si="3"/>
        <v>0</v>
      </c>
      <c r="AF1138" s="154"/>
      <c r="AG1138" s="243" t="b">
        <f t="shared" si="7"/>
        <v>0</v>
      </c>
      <c r="AH1138" s="154"/>
      <c r="AI1138" s="243" t="str">
        <f t="shared" si="5"/>
        <v>N/A</v>
      </c>
      <c r="AJ1138" s="157" t="str">
        <f t="shared" si="6"/>
        <v/>
      </c>
    </row>
    <row r="1139" ht="12.75" customHeight="1">
      <c r="A1139" s="244" t="s">
        <v>2412</v>
      </c>
      <c r="B1139" s="244" t="s">
        <v>3102</v>
      </c>
      <c r="C1139" s="244" t="s">
        <v>3141</v>
      </c>
      <c r="D1139" s="154" t="s">
        <v>2746</v>
      </c>
      <c r="E1139" s="250"/>
      <c r="F1139" s="154" t="str">
        <f t="array" ref="F1139">XLOOKUP(Cover!$D$12,$S$1:$AA$1,$S1139:$AA1139)</f>
        <v>Mandatory</v>
      </c>
      <c r="G1139" s="154" t="s">
        <v>3142</v>
      </c>
      <c r="H1139" s="154" t="s">
        <v>398</v>
      </c>
      <c r="I1139" s="154" t="s">
        <v>389</v>
      </c>
      <c r="J1139" s="247" t="s">
        <v>445</v>
      </c>
      <c r="K1139" s="154"/>
      <c r="L1139" s="154" t="str">
        <f t="shared" si="1"/>
        <v/>
      </c>
      <c r="M1139" s="248" t="str">
        <f>IFERROR(__xludf.DUMMYFUNCTION("VLOOKUP(C1139,IMPORTRANGE(""https://docs.google.com/spreadsheets/d/1P8eX0NWBhUPS_hvzA11R6jkTNFrPrRYIx_dX_hYbxrk/edit?resourcekey=0-iw9bsKY2OqkUHCFMkCar3A&amp;gid=2055363397#gid=2055363397"",""MTR!C:O""),11,false)"),"PMW-MCE-NAS")</f>
        <v>PMW-MCE-NAS</v>
      </c>
      <c r="N1139" s="248" t="str">
        <f>IFERROR(__xludf.DUMMYFUNCTION("VLOOKUP(C1139,IMPORTRANGE(""https://docs.google.com/spreadsheets/d/1ihFlp3_ePlYtFuPbUNbYj1muErVpI73WHXbEwJDIA7Q/edit#gid=1493122344"",""MTR!C:O""),8,false)"),"Complies")</f>
        <v>Complies</v>
      </c>
      <c r="O1139" s="241" t="str">
        <f>IFERROR(__xludf.DUMMYFUNCTION("VLOOKUP(C1139,IMPORTRANGE(""https://docs.google.com/spreadsheets/d/1P8eX0NWBhUPS_hvzA11R6jkTNFrPrRYIx_dX_hYbxrk/edit?resourcekey=0-iw9bsKY2OqkUHCFMkCar3A&amp;gid=2055363397#gid=2055363397"",""MTR!C:O""),9,false)"),"")</f>
        <v/>
      </c>
      <c r="P1139" s="241"/>
      <c r="Q1139" s="251" t="s">
        <v>445</v>
      </c>
      <c r="R1139" s="241"/>
      <c r="S1139" s="154" t="s">
        <v>60</v>
      </c>
      <c r="T1139" s="154" t="s">
        <v>60</v>
      </c>
      <c r="U1139" s="154" t="s">
        <v>60</v>
      </c>
      <c r="V1139" s="154" t="s">
        <v>60</v>
      </c>
      <c r="W1139" s="154" t="s">
        <v>60</v>
      </c>
      <c r="X1139" s="154" t="s">
        <v>60</v>
      </c>
      <c r="Y1139" s="154" t="s">
        <v>60</v>
      </c>
      <c r="Z1139" s="154" t="s">
        <v>60</v>
      </c>
      <c r="AA1139" s="154" t="s">
        <v>60</v>
      </c>
      <c r="AB1139" s="154"/>
      <c r="AC1139" s="242" t="b">
        <f t="shared" si="2"/>
        <v>1</v>
      </c>
      <c r="AD1139" s="154" t="s">
        <v>391</v>
      </c>
      <c r="AE1139" s="243" t="b">
        <f t="shared" si="3"/>
        <v>0</v>
      </c>
      <c r="AF1139" s="154"/>
      <c r="AG1139" s="243" t="b">
        <f t="shared" si="7"/>
        <v>0</v>
      </c>
      <c r="AH1139" s="154"/>
      <c r="AI1139" s="243" t="str">
        <f t="shared" si="5"/>
        <v>N/A</v>
      </c>
      <c r="AJ1139" s="157" t="str">
        <f t="shared" si="6"/>
        <v/>
      </c>
    </row>
    <row r="1140" ht="12.75" customHeight="1">
      <c r="A1140" s="244" t="s">
        <v>2412</v>
      </c>
      <c r="B1140" s="244" t="s">
        <v>3102</v>
      </c>
      <c r="C1140" s="244" t="s">
        <v>3143</v>
      </c>
      <c r="D1140" s="154" t="s">
        <v>2746</v>
      </c>
      <c r="E1140" s="250"/>
      <c r="F1140" s="154" t="str">
        <f t="array" ref="F1140">XLOOKUP(Cover!$D$12,$S$1:$AA$1,$S1140:$AA1140)</f>
        <v>Mandatory</v>
      </c>
      <c r="G1140" s="154" t="s">
        <v>3144</v>
      </c>
      <c r="H1140" s="154" t="s">
        <v>398</v>
      </c>
      <c r="I1140" s="154" t="s">
        <v>389</v>
      </c>
      <c r="J1140" s="247" t="s">
        <v>445</v>
      </c>
      <c r="K1140" s="154"/>
      <c r="L1140" s="154" t="str">
        <f t="shared" si="1"/>
        <v/>
      </c>
      <c r="M1140" s="248" t="str">
        <f>IFERROR(__xludf.DUMMYFUNCTION("VLOOKUP(C1140,IMPORTRANGE(""https://docs.google.com/spreadsheets/d/1P8eX0NWBhUPS_hvzA11R6jkTNFrPrRYIx_dX_hYbxrk/edit?resourcekey=0-iw9bsKY2OqkUHCFMkCar3A&amp;gid=2055363397#gid=2055363397"",""MTR!C:O""),11,false)"),"PMW-MCE-NAS")</f>
        <v>PMW-MCE-NAS</v>
      </c>
      <c r="N1140" s="248" t="str">
        <f>IFERROR(__xludf.DUMMYFUNCTION("VLOOKUP(C1140,IMPORTRANGE(""https://docs.google.com/spreadsheets/d/1ihFlp3_ePlYtFuPbUNbYj1muErVpI73WHXbEwJDIA7Q/edit#gid=1493122344"",""MTR!C:O""),8,false)"),"Complies")</f>
        <v>Complies</v>
      </c>
      <c r="O1140" s="241" t="str">
        <f>IFERROR(__xludf.DUMMYFUNCTION("VLOOKUP(C1140,IMPORTRANGE(""https://docs.google.com/spreadsheets/d/1P8eX0NWBhUPS_hvzA11R6jkTNFrPrRYIx_dX_hYbxrk/edit?resourcekey=0-iw9bsKY2OqkUHCFMkCar3A&amp;gid=2055363397#gid=2055363397"",""MTR!C:O""),9,false)"),"")</f>
        <v/>
      </c>
      <c r="P1140" s="241"/>
      <c r="Q1140" s="251" t="s">
        <v>445</v>
      </c>
      <c r="R1140" s="241"/>
      <c r="S1140" s="154" t="s">
        <v>60</v>
      </c>
      <c r="T1140" s="154" t="s">
        <v>60</v>
      </c>
      <c r="U1140" s="154" t="s">
        <v>60</v>
      </c>
      <c r="V1140" s="154" t="s">
        <v>60</v>
      </c>
      <c r="W1140" s="154" t="s">
        <v>60</v>
      </c>
      <c r="X1140" s="154" t="s">
        <v>60</v>
      </c>
      <c r="Y1140" s="154" t="s">
        <v>60</v>
      </c>
      <c r="Z1140" s="154" t="s">
        <v>60</v>
      </c>
      <c r="AA1140" s="154" t="s">
        <v>60</v>
      </c>
      <c r="AB1140" s="154"/>
      <c r="AC1140" s="242" t="b">
        <f t="shared" si="2"/>
        <v>1</v>
      </c>
      <c r="AD1140" s="154" t="s">
        <v>391</v>
      </c>
      <c r="AE1140" s="243" t="b">
        <f t="shared" si="3"/>
        <v>0</v>
      </c>
      <c r="AF1140" s="154"/>
      <c r="AG1140" s="243" t="b">
        <f t="shared" si="7"/>
        <v>0</v>
      </c>
      <c r="AH1140" s="154"/>
      <c r="AI1140" s="243" t="str">
        <f t="shared" si="5"/>
        <v>N/A</v>
      </c>
      <c r="AJ1140" s="157" t="str">
        <f t="shared" si="6"/>
        <v/>
      </c>
    </row>
    <row r="1141" ht="12.75" customHeight="1">
      <c r="A1141" s="244" t="s">
        <v>2412</v>
      </c>
      <c r="B1141" s="244" t="s">
        <v>3102</v>
      </c>
      <c r="C1141" s="244" t="s">
        <v>3145</v>
      </c>
      <c r="D1141" s="154" t="s">
        <v>2746</v>
      </c>
      <c r="E1141" s="250"/>
      <c r="F1141" s="154" t="str">
        <f t="array" ref="F1141">XLOOKUP(Cover!$D$12,$S$1:$AA$1,$S1141:$AA1141)</f>
        <v>Recommended</v>
      </c>
      <c r="G1141" s="154" t="s">
        <v>3146</v>
      </c>
      <c r="H1141" s="154"/>
      <c r="I1141" s="154" t="s">
        <v>389</v>
      </c>
      <c r="J1141" s="247" t="s">
        <v>445</v>
      </c>
      <c r="K1141" s="154"/>
      <c r="L1141" s="154" t="str">
        <f t="shared" si="1"/>
        <v/>
      </c>
      <c r="M1141" s="248" t="str">
        <f>IFERROR(__xludf.DUMMYFUNCTION("VLOOKUP(C1141,IMPORTRANGE(""https://docs.google.com/spreadsheets/d/1P8eX0NWBhUPS_hvzA11R6jkTNFrPrRYIx_dX_hYbxrk/edit?resourcekey=0-iw9bsKY2OqkUHCFMkCar3A&amp;gid=2055363397#gid=2055363397"",""MTR!C:O""),11,false)"),"PMW-MCE-NAS")</f>
        <v>PMW-MCE-NAS</v>
      </c>
      <c r="N1141" s="248" t="str">
        <f>IFERROR(__xludf.DUMMYFUNCTION("VLOOKUP(C1141,IMPORTRANGE(""https://docs.google.com/spreadsheets/d/1ihFlp3_ePlYtFuPbUNbYj1muErVpI73WHXbEwJDIA7Q/edit#gid=1493122344"",""MTR!C:O""),8,false)"),"Complies")</f>
        <v>Complies</v>
      </c>
      <c r="O1141" s="241" t="str">
        <f>IFERROR(__xludf.DUMMYFUNCTION("VLOOKUP(C1141,IMPORTRANGE(""https://docs.google.com/spreadsheets/d/1P8eX0NWBhUPS_hvzA11R6jkTNFrPrRYIx_dX_hYbxrk/edit?resourcekey=0-iw9bsKY2OqkUHCFMkCar3A&amp;gid=2055363397#gid=2055363397"",""MTR!C:O""),9,false)"),"")</f>
        <v/>
      </c>
      <c r="P1141" s="241"/>
      <c r="Q1141" s="251" t="s">
        <v>445</v>
      </c>
      <c r="R1141" s="241"/>
      <c r="S1141" s="154" t="s">
        <v>64</v>
      </c>
      <c r="T1141" s="154" t="s">
        <v>64</v>
      </c>
      <c r="U1141" s="154" t="s">
        <v>64</v>
      </c>
      <c r="V1141" s="154" t="s">
        <v>64</v>
      </c>
      <c r="W1141" s="154" t="s">
        <v>64</v>
      </c>
      <c r="X1141" s="154" t="s">
        <v>64</v>
      </c>
      <c r="Y1141" s="154" t="s">
        <v>64</v>
      </c>
      <c r="Z1141" s="154" t="s">
        <v>64</v>
      </c>
      <c r="AA1141" s="154" t="s">
        <v>64</v>
      </c>
      <c r="AB1141" s="154"/>
      <c r="AC1141" s="242" t="b">
        <f t="shared" si="2"/>
        <v>1</v>
      </c>
      <c r="AD1141" s="154" t="s">
        <v>391</v>
      </c>
      <c r="AE1141" s="243" t="b">
        <f t="shared" si="3"/>
        <v>0</v>
      </c>
      <c r="AF1141" s="154"/>
      <c r="AG1141" s="243" t="b">
        <f t="shared" si="7"/>
        <v>0</v>
      </c>
      <c r="AH1141" s="154"/>
      <c r="AI1141" s="243" t="str">
        <f t="shared" si="5"/>
        <v>N/A</v>
      </c>
      <c r="AJ1141" s="157" t="str">
        <f t="shared" si="6"/>
        <v/>
      </c>
    </row>
    <row r="1142" ht="12.75" customHeight="1">
      <c r="A1142" s="244" t="s">
        <v>2412</v>
      </c>
      <c r="B1142" s="244" t="s">
        <v>3102</v>
      </c>
      <c r="C1142" s="244" t="s">
        <v>3147</v>
      </c>
      <c r="D1142" s="154" t="s">
        <v>2746</v>
      </c>
      <c r="E1142" s="250"/>
      <c r="F1142" s="154" t="str">
        <f t="array" ref="F1142">XLOOKUP(Cover!$D$12,$S$1:$AA$1,$S1142:$AA1142)</f>
        <v>Mandatory</v>
      </c>
      <c r="G1142" s="154" t="s">
        <v>3148</v>
      </c>
      <c r="H1142" s="154" t="s">
        <v>398</v>
      </c>
      <c r="I1142" s="154" t="s">
        <v>389</v>
      </c>
      <c r="J1142" s="247" t="s">
        <v>445</v>
      </c>
      <c r="K1142" s="154"/>
      <c r="L1142" s="154" t="str">
        <f t="shared" si="1"/>
        <v/>
      </c>
      <c r="M1142" s="248" t="str">
        <f>IFERROR(__xludf.DUMMYFUNCTION("VLOOKUP(C1142,IMPORTRANGE(""https://docs.google.com/spreadsheets/d/1P8eX0NWBhUPS_hvzA11R6jkTNFrPrRYIx_dX_hYbxrk/edit?resourcekey=0-iw9bsKY2OqkUHCFMkCar3A&amp;gid=2055363397#gid=2055363397"",""MTR!C:O""),11,false)"),"PMW-MCE-NAS")</f>
        <v>PMW-MCE-NAS</v>
      </c>
      <c r="N1142" s="248" t="str">
        <f>IFERROR(__xludf.DUMMYFUNCTION("VLOOKUP(C1142,IMPORTRANGE(""https://docs.google.com/spreadsheets/d/1ihFlp3_ePlYtFuPbUNbYj1muErVpI73WHXbEwJDIA7Q/edit#gid=1493122344"",""MTR!C:O""),8,false)"),"Complies")</f>
        <v>Complies</v>
      </c>
      <c r="O1142" s="241" t="str">
        <f>IFERROR(__xludf.DUMMYFUNCTION("VLOOKUP(C1142,IMPORTRANGE(""https://docs.google.com/spreadsheets/d/1P8eX0NWBhUPS_hvzA11R6jkTNFrPrRYIx_dX_hYbxrk/edit?resourcekey=0-iw9bsKY2OqkUHCFMkCar3A&amp;gid=2055363397#gid=2055363397"",""MTR!C:O""),9,false)"),"")</f>
        <v/>
      </c>
      <c r="P1142" s="241"/>
      <c r="Q1142" s="251" t="s">
        <v>445</v>
      </c>
      <c r="R1142" s="241"/>
      <c r="S1142" s="154" t="s">
        <v>60</v>
      </c>
      <c r="T1142" s="154" t="s">
        <v>60</v>
      </c>
      <c r="U1142" s="154" t="s">
        <v>60</v>
      </c>
      <c r="V1142" s="154" t="s">
        <v>60</v>
      </c>
      <c r="W1142" s="154" t="s">
        <v>60</v>
      </c>
      <c r="X1142" s="154" t="s">
        <v>60</v>
      </c>
      <c r="Y1142" s="154" t="s">
        <v>60</v>
      </c>
      <c r="Z1142" s="154" t="s">
        <v>60</v>
      </c>
      <c r="AA1142" s="154" t="s">
        <v>60</v>
      </c>
      <c r="AB1142" s="154"/>
      <c r="AC1142" s="242" t="b">
        <f t="shared" si="2"/>
        <v>1</v>
      </c>
      <c r="AD1142" s="154" t="s">
        <v>391</v>
      </c>
      <c r="AE1142" s="243" t="b">
        <f t="shared" si="3"/>
        <v>0</v>
      </c>
      <c r="AF1142" s="154"/>
      <c r="AG1142" s="243" t="b">
        <f t="shared" si="7"/>
        <v>0</v>
      </c>
      <c r="AH1142" s="154"/>
      <c r="AI1142" s="243" t="str">
        <f t="shared" si="5"/>
        <v>N/A</v>
      </c>
      <c r="AJ1142" s="157" t="str">
        <f t="shared" si="6"/>
        <v/>
      </c>
    </row>
    <row r="1143" ht="12.75" customHeight="1">
      <c r="A1143" s="244" t="s">
        <v>2412</v>
      </c>
      <c r="B1143" s="244" t="s">
        <v>3102</v>
      </c>
      <c r="C1143" s="244" t="s">
        <v>3149</v>
      </c>
      <c r="D1143" s="154" t="s">
        <v>1315</v>
      </c>
      <c r="E1143" s="250"/>
      <c r="F1143" s="154" t="str">
        <f t="array" ref="F1143">XLOOKUP(Cover!$D$12,$S$1:$AA$1,$S1143:$AA1143)</f>
        <v>Mandatory</v>
      </c>
      <c r="G1143" s="154" t="s">
        <v>3150</v>
      </c>
      <c r="H1143" s="154" t="s">
        <v>398</v>
      </c>
      <c r="I1143" s="154" t="s">
        <v>389</v>
      </c>
      <c r="J1143" s="247" t="s">
        <v>445</v>
      </c>
      <c r="K1143" s="154"/>
      <c r="L1143" s="154" t="str">
        <f t="shared" si="1"/>
        <v/>
      </c>
      <c r="M1143" s="248" t="str">
        <f>IFERROR(__xludf.DUMMYFUNCTION("VLOOKUP(C1143,IMPORTRANGE(""https://docs.google.com/spreadsheets/d/1P8eX0NWBhUPS_hvzA11R6jkTNFrPrRYIx_dX_hYbxrk/edit?resourcekey=0-iw9bsKY2OqkUHCFMkCar3A&amp;gid=2055363397#gid=2055363397"",""MTR!C:O""),11,false)"),"PMW-MCE-NAS")</f>
        <v>PMW-MCE-NAS</v>
      </c>
      <c r="N1143" s="248" t="str">
        <f>IFERROR(__xludf.DUMMYFUNCTION("VLOOKUP(C1143,IMPORTRANGE(""https://docs.google.com/spreadsheets/d/1ihFlp3_ePlYtFuPbUNbYj1muErVpI73WHXbEwJDIA7Q/edit#gid=1493122344"",""MTR!C:O""),8,false)"),"Complies")</f>
        <v>Complies</v>
      </c>
      <c r="O1143" s="241" t="str">
        <f>IFERROR(__xludf.DUMMYFUNCTION("VLOOKUP(C1143,IMPORTRANGE(""https://docs.google.com/spreadsheets/d/1P8eX0NWBhUPS_hvzA11R6jkTNFrPrRYIx_dX_hYbxrk/edit?resourcekey=0-iw9bsKY2OqkUHCFMkCar3A&amp;gid=2055363397#gid=2055363397"",""MTR!C:O""),9,false)"),"")</f>
        <v/>
      </c>
      <c r="P1143" s="241"/>
      <c r="Q1143" s="251" t="s">
        <v>445</v>
      </c>
      <c r="R1143" s="241"/>
      <c r="S1143" s="154" t="s">
        <v>60</v>
      </c>
      <c r="T1143" s="154" t="s">
        <v>60</v>
      </c>
      <c r="U1143" s="154" t="s">
        <v>60</v>
      </c>
      <c r="V1143" s="154" t="s">
        <v>60</v>
      </c>
      <c r="W1143" s="154" t="s">
        <v>60</v>
      </c>
      <c r="X1143" s="154" t="s">
        <v>60</v>
      </c>
      <c r="Y1143" s="154" t="s">
        <v>60</v>
      </c>
      <c r="Z1143" s="154" t="s">
        <v>60</v>
      </c>
      <c r="AA1143" s="154" t="s">
        <v>60</v>
      </c>
      <c r="AB1143" s="154"/>
      <c r="AC1143" s="242" t="b">
        <f t="shared" si="2"/>
        <v>1</v>
      </c>
      <c r="AD1143" s="154" t="s">
        <v>391</v>
      </c>
      <c r="AE1143" s="243" t="b">
        <f t="shared" si="3"/>
        <v>0</v>
      </c>
      <c r="AF1143" s="154"/>
      <c r="AG1143" s="243" t="b">
        <f t="shared" si="7"/>
        <v>0</v>
      </c>
      <c r="AH1143" s="154"/>
      <c r="AI1143" s="243" t="str">
        <f t="shared" si="5"/>
        <v>N/A</v>
      </c>
      <c r="AJ1143" s="157" t="str">
        <f t="shared" si="6"/>
        <v/>
      </c>
    </row>
    <row r="1144" ht="12.75" customHeight="1">
      <c r="A1144" s="238" t="s">
        <v>2412</v>
      </c>
      <c r="B1144" s="238" t="s">
        <v>3102</v>
      </c>
      <c r="C1144" s="238" t="s">
        <v>3151</v>
      </c>
      <c r="D1144" s="238"/>
      <c r="E1144" s="238"/>
      <c r="F1144" s="154" t="str">
        <f t="array" ref="F1144">XLOOKUP(Cover!$D$12,$S$1:$AA$1,$S1144:$AA1144)</f>
        <v>Heading</v>
      </c>
      <c r="G1144" s="239" t="s">
        <v>3152</v>
      </c>
      <c r="H1144" s="240"/>
      <c r="I1144" s="240" t="s">
        <v>389</v>
      </c>
      <c r="J1144" s="240"/>
      <c r="K1144" s="240"/>
      <c r="L1144" s="154" t="str">
        <f t="shared" si="1"/>
        <v/>
      </c>
      <c r="M1144" s="241" t="str">
        <f>IFERROR(__xludf.DUMMYFUNCTION("VLOOKUP(C1144,IMPORTRANGE(""https://docs.google.com/spreadsheets/d/1P8eX0NWBhUPS_hvzA11R6jkTNFrPrRYIx_dX_hYbxrk/edit?resourcekey=0-iw9bsKY2OqkUHCFMkCar3A&amp;gid=2055363397#gid=2055363397"",""MTR!C:O""),11,false)"),"")</f>
        <v/>
      </c>
      <c r="N1144" s="241" t="str">
        <f>IFERROR(__xludf.DUMMYFUNCTION("VLOOKUP(C1144,IMPORTRANGE(""https://docs.google.com/spreadsheets/d/1ihFlp3_ePlYtFuPbUNbYj1muErVpI73WHXbEwJDIA7Q/edit#gid=1493122344"",""MTR!C:O""),8,false)"),"")</f>
        <v/>
      </c>
      <c r="O1144" s="241" t="str">
        <f>IFERROR(__xludf.DUMMYFUNCTION("VLOOKUP(C1144,IMPORTRANGE(""https://docs.google.com/spreadsheets/d/1P8eX0NWBhUPS_hvzA11R6jkTNFrPrRYIx_dX_hYbxrk/edit?resourcekey=0-iw9bsKY2OqkUHCFMkCar3A&amp;gid=2055363397#gid=2055363397"",""MTR!C:O""),9,false)"),"")</f>
        <v/>
      </c>
      <c r="P1144" s="241"/>
      <c r="Q1144" s="251"/>
      <c r="R1144" s="241"/>
      <c r="S1144" s="240" t="s">
        <v>390</v>
      </c>
      <c r="T1144" s="240" t="s">
        <v>390</v>
      </c>
      <c r="U1144" s="240" t="s">
        <v>390</v>
      </c>
      <c r="V1144" s="240" t="s">
        <v>390</v>
      </c>
      <c r="W1144" s="240" t="s">
        <v>390</v>
      </c>
      <c r="X1144" s="240" t="s">
        <v>390</v>
      </c>
      <c r="Y1144" s="240" t="s">
        <v>390</v>
      </c>
      <c r="Z1144" s="240" t="s">
        <v>390</v>
      </c>
      <c r="AA1144" s="240" t="s">
        <v>390</v>
      </c>
      <c r="AB1144" s="240"/>
      <c r="AC1144" s="242" t="b">
        <f t="shared" si="2"/>
        <v>0</v>
      </c>
      <c r="AD1144" s="240" t="s">
        <v>391</v>
      </c>
      <c r="AE1144" s="243" t="b">
        <f t="shared" si="3"/>
        <v>0</v>
      </c>
      <c r="AF1144" s="240"/>
      <c r="AG1144" s="243" t="b">
        <f t="shared" si="7"/>
        <v>0</v>
      </c>
      <c r="AH1144" s="240"/>
      <c r="AI1144" s="243" t="str">
        <f t="shared" si="5"/>
        <v>N/A</v>
      </c>
      <c r="AJ1144" s="157" t="str">
        <f t="shared" si="6"/>
        <v/>
      </c>
    </row>
    <row r="1145" ht="12.75" customHeight="1">
      <c r="A1145" s="244" t="s">
        <v>2412</v>
      </c>
      <c r="B1145" s="244" t="s">
        <v>3102</v>
      </c>
      <c r="C1145" s="244" t="s">
        <v>3153</v>
      </c>
      <c r="D1145" s="154" t="s">
        <v>2746</v>
      </c>
      <c r="E1145" s="250"/>
      <c r="F1145" s="154" t="str">
        <f t="array" ref="F1145">XLOOKUP(Cover!$D$12,$S$1:$AA$1,$S1145:$AA1145)</f>
        <v>Mandatory</v>
      </c>
      <c r="G1145" s="154" t="s">
        <v>3154</v>
      </c>
      <c r="H1145" s="154" t="s">
        <v>398</v>
      </c>
      <c r="I1145" s="154" t="s">
        <v>389</v>
      </c>
      <c r="J1145" s="154" t="s">
        <v>445</v>
      </c>
      <c r="K1145" s="154"/>
      <c r="L1145" s="154" t="str">
        <f t="shared" si="1"/>
        <v/>
      </c>
      <c r="M1145" s="248" t="str">
        <f>IFERROR(__xludf.DUMMYFUNCTION("VLOOKUP(C1145,IMPORTRANGE(""https://docs.google.com/spreadsheets/d/1P8eX0NWBhUPS_hvzA11R6jkTNFrPrRYIx_dX_hYbxrk/edit?resourcekey=0-iw9bsKY2OqkUHCFMkCar3A&amp;gid=2055363397#gid=2055363397"",""MTR!C:O""),11,false)"),"PMW-MCE-NAS")</f>
        <v>PMW-MCE-NAS</v>
      </c>
      <c r="N1145" s="248" t="str">
        <f>IFERROR(__xludf.DUMMYFUNCTION("VLOOKUP(C1145,IMPORTRANGE(""https://docs.google.com/spreadsheets/d/1ihFlp3_ePlYtFuPbUNbYj1muErVpI73WHXbEwJDIA7Q/edit#gid=1493122344"",""MTR!C:O""),8,false)"),"Complies")</f>
        <v>Complies</v>
      </c>
      <c r="O1145" s="241" t="str">
        <f>IFERROR(__xludf.DUMMYFUNCTION("VLOOKUP(C1145,IMPORTRANGE(""https://docs.google.com/spreadsheets/d/1P8eX0NWBhUPS_hvzA11R6jkTNFrPrRYIx_dX_hYbxrk/edit?resourcekey=0-iw9bsKY2OqkUHCFMkCar3A&amp;gid=2055363397#gid=2055363397"",""MTR!C:O""),9,false)"),"")</f>
        <v/>
      </c>
      <c r="P1145" s="241"/>
      <c r="Q1145" s="251" t="s">
        <v>445</v>
      </c>
      <c r="R1145" s="241"/>
      <c r="S1145" s="154" t="s">
        <v>60</v>
      </c>
      <c r="T1145" s="154" t="s">
        <v>60</v>
      </c>
      <c r="U1145" s="154" t="s">
        <v>60</v>
      </c>
      <c r="V1145" s="154" t="s">
        <v>60</v>
      </c>
      <c r="W1145" s="154" t="s">
        <v>60</v>
      </c>
      <c r="X1145" s="154" t="s">
        <v>60</v>
      </c>
      <c r="Y1145" s="154" t="s">
        <v>60</v>
      </c>
      <c r="Z1145" s="154" t="s">
        <v>60</v>
      </c>
      <c r="AA1145" s="154" t="s">
        <v>60</v>
      </c>
      <c r="AB1145" s="154"/>
      <c r="AC1145" s="242" t="b">
        <f t="shared" si="2"/>
        <v>1</v>
      </c>
      <c r="AD1145" s="154" t="s">
        <v>391</v>
      </c>
      <c r="AE1145" s="243" t="b">
        <f t="shared" si="3"/>
        <v>0</v>
      </c>
      <c r="AF1145" s="154"/>
      <c r="AG1145" s="243" t="b">
        <f t="shared" si="7"/>
        <v>0</v>
      </c>
      <c r="AH1145" s="154"/>
      <c r="AI1145" s="243" t="str">
        <f t="shared" si="5"/>
        <v>N/A</v>
      </c>
      <c r="AJ1145" s="157" t="str">
        <f t="shared" si="6"/>
        <v/>
      </c>
    </row>
    <row r="1146" ht="12.75" customHeight="1">
      <c r="A1146" s="244" t="s">
        <v>2412</v>
      </c>
      <c r="B1146" s="244" t="s">
        <v>3102</v>
      </c>
      <c r="C1146" s="244" t="s">
        <v>3155</v>
      </c>
      <c r="D1146" s="154" t="s">
        <v>2746</v>
      </c>
      <c r="E1146" s="250"/>
      <c r="F1146" s="154" t="str">
        <f t="array" ref="F1146">XLOOKUP(Cover!$D$12,$S$1:$AA$1,$S1146:$AA1146)</f>
        <v>Mandatory</v>
      </c>
      <c r="G1146" s="154" t="s">
        <v>3156</v>
      </c>
      <c r="H1146" s="154" t="s">
        <v>398</v>
      </c>
      <c r="I1146" s="154" t="s">
        <v>389</v>
      </c>
      <c r="J1146" s="247" t="s">
        <v>445</v>
      </c>
      <c r="K1146" s="154"/>
      <c r="L1146" s="154" t="str">
        <f t="shared" si="1"/>
        <v/>
      </c>
      <c r="M1146" s="248" t="str">
        <f>IFERROR(__xludf.DUMMYFUNCTION("VLOOKUP(C1146,IMPORTRANGE(""https://docs.google.com/spreadsheets/d/1P8eX0NWBhUPS_hvzA11R6jkTNFrPrRYIx_dX_hYbxrk/edit?resourcekey=0-iw9bsKY2OqkUHCFMkCar3A&amp;gid=2055363397#gid=2055363397"",""MTR!C:O""),11,false)"),"PMW-MCE-NAS")</f>
        <v>PMW-MCE-NAS</v>
      </c>
      <c r="N1146" s="248" t="str">
        <f>IFERROR(__xludf.DUMMYFUNCTION("VLOOKUP(C1146,IMPORTRANGE(""https://docs.google.com/spreadsheets/d/1ihFlp3_ePlYtFuPbUNbYj1muErVpI73WHXbEwJDIA7Q/edit#gid=1493122344"",""MTR!C:O""),8,false)"),"Complies")</f>
        <v>Complies</v>
      </c>
      <c r="O1146" s="241" t="str">
        <f>IFERROR(__xludf.DUMMYFUNCTION("VLOOKUP(C1146,IMPORTRANGE(""https://docs.google.com/spreadsheets/d/1P8eX0NWBhUPS_hvzA11R6jkTNFrPrRYIx_dX_hYbxrk/edit?resourcekey=0-iw9bsKY2OqkUHCFMkCar3A&amp;gid=2055363397#gid=2055363397"",""MTR!C:O""),9,false)"),"")</f>
        <v/>
      </c>
      <c r="P1146" s="241"/>
      <c r="Q1146" s="251" t="s">
        <v>445</v>
      </c>
      <c r="R1146" s="241"/>
      <c r="S1146" s="154" t="s">
        <v>60</v>
      </c>
      <c r="T1146" s="154" t="s">
        <v>60</v>
      </c>
      <c r="U1146" s="154" t="s">
        <v>60</v>
      </c>
      <c r="V1146" s="154" t="s">
        <v>60</v>
      </c>
      <c r="W1146" s="154" t="s">
        <v>60</v>
      </c>
      <c r="X1146" s="154" t="s">
        <v>60</v>
      </c>
      <c r="Y1146" s="154" t="s">
        <v>60</v>
      </c>
      <c r="Z1146" s="154" t="s">
        <v>60</v>
      </c>
      <c r="AA1146" s="154" t="s">
        <v>60</v>
      </c>
      <c r="AB1146" s="154"/>
      <c r="AC1146" s="242" t="b">
        <f t="shared" si="2"/>
        <v>1</v>
      </c>
      <c r="AD1146" s="154" t="s">
        <v>391</v>
      </c>
      <c r="AE1146" s="243" t="b">
        <f t="shared" si="3"/>
        <v>0</v>
      </c>
      <c r="AF1146" s="154"/>
      <c r="AG1146" s="243" t="b">
        <f t="shared" si="7"/>
        <v>0</v>
      </c>
      <c r="AH1146" s="154"/>
      <c r="AI1146" s="243" t="str">
        <f t="shared" si="5"/>
        <v>N/A</v>
      </c>
      <c r="AJ1146" s="157" t="str">
        <f t="shared" si="6"/>
        <v/>
      </c>
    </row>
    <row r="1147" ht="12.75" customHeight="1">
      <c r="A1147" s="244" t="s">
        <v>2412</v>
      </c>
      <c r="B1147" s="244" t="s">
        <v>3102</v>
      </c>
      <c r="C1147" s="244" t="s">
        <v>3157</v>
      </c>
      <c r="D1147" s="154" t="s">
        <v>2746</v>
      </c>
      <c r="E1147" s="250"/>
      <c r="F1147" s="154" t="str">
        <f t="array" ref="F1147">XLOOKUP(Cover!$D$12,$S$1:$AA$1,$S1147:$AA1147)</f>
        <v>Mandatory</v>
      </c>
      <c r="G1147" s="154" t="s">
        <v>3158</v>
      </c>
      <c r="H1147" s="154" t="s">
        <v>398</v>
      </c>
      <c r="I1147" s="154" t="s">
        <v>389</v>
      </c>
      <c r="J1147" s="247" t="s">
        <v>445</v>
      </c>
      <c r="K1147" s="154"/>
      <c r="L1147" s="154" t="str">
        <f t="shared" si="1"/>
        <v/>
      </c>
      <c r="M1147" s="248" t="str">
        <f>IFERROR(__xludf.DUMMYFUNCTION("VLOOKUP(C1147,IMPORTRANGE(""https://docs.google.com/spreadsheets/d/1P8eX0NWBhUPS_hvzA11R6jkTNFrPrRYIx_dX_hYbxrk/edit?resourcekey=0-iw9bsKY2OqkUHCFMkCar3A&amp;gid=2055363397#gid=2055363397"",""MTR!C:O""),11,false)"),"PMW-MCE-NAS")</f>
        <v>PMW-MCE-NAS</v>
      </c>
      <c r="N1147" s="248" t="str">
        <f>IFERROR(__xludf.DUMMYFUNCTION("VLOOKUP(C1147,IMPORTRANGE(""https://docs.google.com/spreadsheets/d/1ihFlp3_ePlYtFuPbUNbYj1muErVpI73WHXbEwJDIA7Q/edit#gid=1493122344"",""MTR!C:O""),8,false)"),"Complies")</f>
        <v>Complies</v>
      </c>
      <c r="O1147" s="241" t="str">
        <f>IFERROR(__xludf.DUMMYFUNCTION("VLOOKUP(C1147,IMPORTRANGE(""https://docs.google.com/spreadsheets/d/1P8eX0NWBhUPS_hvzA11R6jkTNFrPrRYIx_dX_hYbxrk/edit?resourcekey=0-iw9bsKY2OqkUHCFMkCar3A&amp;gid=2055363397#gid=2055363397"",""MTR!C:O""),9,false)"),"")</f>
        <v/>
      </c>
      <c r="P1147" s="241"/>
      <c r="Q1147" s="251" t="s">
        <v>445</v>
      </c>
      <c r="R1147" s="241"/>
      <c r="S1147" s="154" t="s">
        <v>60</v>
      </c>
      <c r="T1147" s="154" t="s">
        <v>60</v>
      </c>
      <c r="U1147" s="154" t="s">
        <v>60</v>
      </c>
      <c r="V1147" s="154" t="s">
        <v>60</v>
      </c>
      <c r="W1147" s="154" t="s">
        <v>60</v>
      </c>
      <c r="X1147" s="154" t="s">
        <v>60</v>
      </c>
      <c r="Y1147" s="154" t="s">
        <v>60</v>
      </c>
      <c r="Z1147" s="154" t="s">
        <v>60</v>
      </c>
      <c r="AA1147" s="154" t="s">
        <v>60</v>
      </c>
      <c r="AB1147" s="154"/>
      <c r="AC1147" s="242" t="b">
        <f t="shared" si="2"/>
        <v>1</v>
      </c>
      <c r="AD1147" s="154" t="s">
        <v>391</v>
      </c>
      <c r="AE1147" s="243" t="b">
        <f t="shared" si="3"/>
        <v>0</v>
      </c>
      <c r="AF1147" s="154"/>
      <c r="AG1147" s="243" t="b">
        <f t="shared" si="7"/>
        <v>0</v>
      </c>
      <c r="AH1147" s="154"/>
      <c r="AI1147" s="243" t="str">
        <f t="shared" si="5"/>
        <v>N/A</v>
      </c>
      <c r="AJ1147" s="157" t="str">
        <f t="shared" si="6"/>
        <v/>
      </c>
    </row>
    <row r="1148" ht="12.75" customHeight="1">
      <c r="A1148" s="238" t="s">
        <v>2412</v>
      </c>
      <c r="B1148" s="238" t="s">
        <v>3102</v>
      </c>
      <c r="C1148" s="238" t="s">
        <v>3159</v>
      </c>
      <c r="D1148" s="238"/>
      <c r="E1148" s="238"/>
      <c r="F1148" s="154" t="str">
        <f t="array" ref="F1148">XLOOKUP(Cover!$D$12,$S$1:$AA$1,$S1148:$AA1148)</f>
        <v>Heading</v>
      </c>
      <c r="G1148" s="239" t="s">
        <v>3160</v>
      </c>
      <c r="H1148" s="240"/>
      <c r="I1148" s="240" t="s">
        <v>389</v>
      </c>
      <c r="J1148" s="240"/>
      <c r="K1148" s="240"/>
      <c r="L1148" s="154" t="str">
        <f t="shared" si="1"/>
        <v/>
      </c>
      <c r="M1148" s="241" t="str">
        <f>IFERROR(__xludf.DUMMYFUNCTION("VLOOKUP(C1148,IMPORTRANGE(""https://docs.google.com/spreadsheets/d/1P8eX0NWBhUPS_hvzA11R6jkTNFrPrRYIx_dX_hYbxrk/edit?resourcekey=0-iw9bsKY2OqkUHCFMkCar3A&amp;gid=2055363397#gid=2055363397"",""MTR!C:O""),11,false)"),"")</f>
        <v/>
      </c>
      <c r="N1148" s="241" t="str">
        <f>IFERROR(__xludf.DUMMYFUNCTION("VLOOKUP(C1148,IMPORTRANGE(""https://docs.google.com/spreadsheets/d/1ihFlp3_ePlYtFuPbUNbYj1muErVpI73WHXbEwJDIA7Q/edit#gid=1493122344"",""MTR!C:O""),8,false)"),"")</f>
        <v/>
      </c>
      <c r="O1148" s="241" t="str">
        <f>IFERROR(__xludf.DUMMYFUNCTION("VLOOKUP(C1148,IMPORTRANGE(""https://docs.google.com/spreadsheets/d/1P8eX0NWBhUPS_hvzA11R6jkTNFrPrRYIx_dX_hYbxrk/edit?resourcekey=0-iw9bsKY2OqkUHCFMkCar3A&amp;gid=2055363397#gid=2055363397"",""MTR!C:O""),9,false)"),"")</f>
        <v/>
      </c>
      <c r="P1148" s="241"/>
      <c r="Q1148" s="251"/>
      <c r="R1148" s="241"/>
      <c r="S1148" s="240" t="s">
        <v>390</v>
      </c>
      <c r="T1148" s="240" t="s">
        <v>390</v>
      </c>
      <c r="U1148" s="240" t="s">
        <v>390</v>
      </c>
      <c r="V1148" s="240" t="s">
        <v>390</v>
      </c>
      <c r="W1148" s="240" t="s">
        <v>390</v>
      </c>
      <c r="X1148" s="240" t="s">
        <v>390</v>
      </c>
      <c r="Y1148" s="240" t="s">
        <v>390</v>
      </c>
      <c r="Z1148" s="240" t="s">
        <v>390</v>
      </c>
      <c r="AA1148" s="240" t="s">
        <v>390</v>
      </c>
      <c r="AB1148" s="240"/>
      <c r="AC1148" s="242" t="b">
        <f t="shared" si="2"/>
        <v>0</v>
      </c>
      <c r="AD1148" s="240" t="s">
        <v>391</v>
      </c>
      <c r="AE1148" s="243" t="b">
        <f t="shared" si="3"/>
        <v>0</v>
      </c>
      <c r="AF1148" s="240"/>
      <c r="AG1148" s="243" t="b">
        <f t="shared" si="7"/>
        <v>0</v>
      </c>
      <c r="AH1148" s="240"/>
      <c r="AI1148" s="243" t="str">
        <f t="shared" si="5"/>
        <v>N/A</v>
      </c>
      <c r="AJ1148" s="157" t="str">
        <f t="shared" si="6"/>
        <v/>
      </c>
    </row>
    <row r="1149" ht="12.75" customHeight="1">
      <c r="A1149" s="244" t="s">
        <v>2412</v>
      </c>
      <c r="B1149" s="244" t="s">
        <v>3102</v>
      </c>
      <c r="C1149" s="244" t="s">
        <v>3161</v>
      </c>
      <c r="D1149" s="154" t="s">
        <v>2746</v>
      </c>
      <c r="E1149" s="250"/>
      <c r="F1149" s="154" t="str">
        <f t="array" ref="F1149">XLOOKUP(Cover!$D$12,$S$1:$AA$1,$S1149:$AA1149)</f>
        <v>Mandatory</v>
      </c>
      <c r="G1149" s="154" t="s">
        <v>3162</v>
      </c>
      <c r="H1149" s="154" t="s">
        <v>398</v>
      </c>
      <c r="I1149" s="154" t="s">
        <v>389</v>
      </c>
      <c r="J1149" s="154" t="s">
        <v>445</v>
      </c>
      <c r="K1149" s="154"/>
      <c r="L1149" s="154" t="str">
        <f t="shared" si="1"/>
        <v/>
      </c>
      <c r="M1149" s="248" t="str">
        <f>IFERROR(__xludf.DUMMYFUNCTION("VLOOKUP(C1149,IMPORTRANGE(""https://docs.google.com/spreadsheets/d/1P8eX0NWBhUPS_hvzA11R6jkTNFrPrRYIx_dX_hYbxrk/edit?resourcekey=0-iw9bsKY2OqkUHCFMkCar3A&amp;gid=2055363397#gid=2055363397"",""MTR!C:O""),11,false)"),"PMW-MCE-NAS")</f>
        <v>PMW-MCE-NAS</v>
      </c>
      <c r="N1149" s="248" t="str">
        <f>IFERROR(__xludf.DUMMYFUNCTION("VLOOKUP(C1149,IMPORTRANGE(""https://docs.google.com/spreadsheets/d/1ihFlp3_ePlYtFuPbUNbYj1muErVpI73WHXbEwJDIA7Q/edit#gid=1493122344"",""MTR!C:O""),8,false)"),"Complies")</f>
        <v>Complies</v>
      </c>
      <c r="O1149" s="241" t="str">
        <f>IFERROR(__xludf.DUMMYFUNCTION("VLOOKUP(C1149,IMPORTRANGE(""https://docs.google.com/spreadsheets/d/1P8eX0NWBhUPS_hvzA11R6jkTNFrPrRYIx_dX_hYbxrk/edit?resourcekey=0-iw9bsKY2OqkUHCFMkCar3A&amp;gid=2055363397#gid=2055363397"",""MTR!C:O""),9,false)"),"")</f>
        <v/>
      </c>
      <c r="P1149" s="241"/>
      <c r="Q1149" s="251" t="s">
        <v>445</v>
      </c>
      <c r="R1149" s="241"/>
      <c r="S1149" s="154" t="s">
        <v>60</v>
      </c>
      <c r="T1149" s="154" t="s">
        <v>60</v>
      </c>
      <c r="U1149" s="154" t="s">
        <v>60</v>
      </c>
      <c r="V1149" s="154" t="s">
        <v>60</v>
      </c>
      <c r="W1149" s="154" t="s">
        <v>60</v>
      </c>
      <c r="X1149" s="154" t="s">
        <v>60</v>
      </c>
      <c r="Y1149" s="154" t="s">
        <v>60</v>
      </c>
      <c r="Z1149" s="154" t="s">
        <v>60</v>
      </c>
      <c r="AA1149" s="154" t="s">
        <v>60</v>
      </c>
      <c r="AB1149" s="154"/>
      <c r="AC1149" s="242" t="b">
        <f t="shared" si="2"/>
        <v>1</v>
      </c>
      <c r="AD1149" s="154" t="s">
        <v>391</v>
      </c>
      <c r="AE1149" s="243" t="b">
        <f t="shared" si="3"/>
        <v>0</v>
      </c>
      <c r="AF1149" s="154"/>
      <c r="AG1149" s="243" t="b">
        <f t="shared" si="7"/>
        <v>0</v>
      </c>
      <c r="AH1149" s="154"/>
      <c r="AI1149" s="243" t="str">
        <f t="shared" si="5"/>
        <v>N/A</v>
      </c>
      <c r="AJ1149" s="157" t="str">
        <f t="shared" si="6"/>
        <v/>
      </c>
    </row>
    <row r="1150" ht="12.75" customHeight="1">
      <c r="A1150" s="244" t="s">
        <v>2412</v>
      </c>
      <c r="B1150" s="244" t="s">
        <v>3102</v>
      </c>
      <c r="C1150" s="244" t="s">
        <v>3163</v>
      </c>
      <c r="D1150" s="154" t="s">
        <v>2746</v>
      </c>
      <c r="E1150" s="250"/>
      <c r="F1150" s="154" t="str">
        <f t="array" ref="F1150">XLOOKUP(Cover!$D$12,$S$1:$AA$1,$S1150:$AA1150)</f>
        <v>Mandatory</v>
      </c>
      <c r="G1150" s="154" t="s">
        <v>3164</v>
      </c>
      <c r="H1150" s="154" t="s">
        <v>398</v>
      </c>
      <c r="I1150" s="154" t="s">
        <v>389</v>
      </c>
      <c r="J1150" s="247" t="s">
        <v>445</v>
      </c>
      <c r="K1150" s="154"/>
      <c r="L1150" s="154" t="str">
        <f t="shared" si="1"/>
        <v/>
      </c>
      <c r="M1150" s="248" t="str">
        <f>IFERROR(__xludf.DUMMYFUNCTION("VLOOKUP(C1150,IMPORTRANGE(""https://docs.google.com/spreadsheets/d/1P8eX0NWBhUPS_hvzA11R6jkTNFrPrRYIx_dX_hYbxrk/edit?resourcekey=0-iw9bsKY2OqkUHCFMkCar3A&amp;gid=2055363397#gid=2055363397"",""MTR!C:O""),11,false)"),"PMW-MCE-NAS")</f>
        <v>PMW-MCE-NAS</v>
      </c>
      <c r="N1150" s="248" t="str">
        <f>IFERROR(__xludf.DUMMYFUNCTION("VLOOKUP(C1150,IMPORTRANGE(""https://docs.google.com/spreadsheets/d/1ihFlp3_ePlYtFuPbUNbYj1muErVpI73WHXbEwJDIA7Q/edit#gid=1493122344"",""MTR!C:O""),8,false)"),"Complies")</f>
        <v>Complies</v>
      </c>
      <c r="O1150" s="241" t="str">
        <f>IFERROR(__xludf.DUMMYFUNCTION("VLOOKUP(C1150,IMPORTRANGE(""https://docs.google.com/spreadsheets/d/1P8eX0NWBhUPS_hvzA11R6jkTNFrPrRYIx_dX_hYbxrk/edit?resourcekey=0-iw9bsKY2OqkUHCFMkCar3A&amp;gid=2055363397#gid=2055363397"",""MTR!C:O""),9,false)"),"")</f>
        <v/>
      </c>
      <c r="P1150" s="241"/>
      <c r="Q1150" s="251" t="s">
        <v>445</v>
      </c>
      <c r="R1150" s="241"/>
      <c r="S1150" s="154" t="s">
        <v>60</v>
      </c>
      <c r="T1150" s="154" t="s">
        <v>60</v>
      </c>
      <c r="U1150" s="154" t="s">
        <v>60</v>
      </c>
      <c r="V1150" s="154" t="s">
        <v>60</v>
      </c>
      <c r="W1150" s="154" t="s">
        <v>60</v>
      </c>
      <c r="X1150" s="154" t="s">
        <v>60</v>
      </c>
      <c r="Y1150" s="154" t="s">
        <v>60</v>
      </c>
      <c r="Z1150" s="154" t="s">
        <v>60</v>
      </c>
      <c r="AA1150" s="154" t="s">
        <v>60</v>
      </c>
      <c r="AB1150" s="154"/>
      <c r="AC1150" s="242" t="b">
        <f t="shared" si="2"/>
        <v>1</v>
      </c>
      <c r="AD1150" s="154" t="s">
        <v>391</v>
      </c>
      <c r="AE1150" s="243" t="b">
        <f t="shared" si="3"/>
        <v>0</v>
      </c>
      <c r="AF1150" s="154"/>
      <c r="AG1150" s="243" t="b">
        <f t="shared" si="7"/>
        <v>0</v>
      </c>
      <c r="AH1150" s="154"/>
      <c r="AI1150" s="243" t="str">
        <f t="shared" si="5"/>
        <v>N/A</v>
      </c>
      <c r="AJ1150" s="157" t="str">
        <f t="shared" si="6"/>
        <v/>
      </c>
    </row>
    <row r="1151" ht="12.75" customHeight="1">
      <c r="A1151" s="244" t="s">
        <v>2412</v>
      </c>
      <c r="B1151" s="244" t="s">
        <v>3102</v>
      </c>
      <c r="C1151" s="244" t="s">
        <v>3165</v>
      </c>
      <c r="D1151" s="154" t="s">
        <v>2746</v>
      </c>
      <c r="E1151" s="250"/>
      <c r="F1151" s="154" t="str">
        <f t="array" ref="F1151">XLOOKUP(Cover!$D$12,$S$1:$AA$1,$S1151:$AA1151)</f>
        <v>Mandatory</v>
      </c>
      <c r="G1151" s="154" t="s">
        <v>3166</v>
      </c>
      <c r="H1151" s="154" t="s">
        <v>398</v>
      </c>
      <c r="I1151" s="154" t="s">
        <v>389</v>
      </c>
      <c r="J1151" s="247" t="s">
        <v>445</v>
      </c>
      <c r="K1151" s="154"/>
      <c r="L1151" s="154" t="str">
        <f t="shared" si="1"/>
        <v/>
      </c>
      <c r="M1151" s="248" t="str">
        <f>IFERROR(__xludf.DUMMYFUNCTION("VLOOKUP(C1151,IMPORTRANGE(""https://docs.google.com/spreadsheets/d/1P8eX0NWBhUPS_hvzA11R6jkTNFrPrRYIx_dX_hYbxrk/edit?resourcekey=0-iw9bsKY2OqkUHCFMkCar3A&amp;gid=2055363397#gid=2055363397"",""MTR!C:O""),11,false)"),"PMW-MCE-NAS")</f>
        <v>PMW-MCE-NAS</v>
      </c>
      <c r="N1151" s="248" t="str">
        <f>IFERROR(__xludf.DUMMYFUNCTION("VLOOKUP(C1151,IMPORTRANGE(""https://docs.google.com/spreadsheets/d/1ihFlp3_ePlYtFuPbUNbYj1muErVpI73WHXbEwJDIA7Q/edit#gid=1493122344"",""MTR!C:O""),8,false)"),"Complies")</f>
        <v>Complies</v>
      </c>
      <c r="O1151" s="241" t="str">
        <f>IFERROR(__xludf.DUMMYFUNCTION("VLOOKUP(C1151,IMPORTRANGE(""https://docs.google.com/spreadsheets/d/1P8eX0NWBhUPS_hvzA11R6jkTNFrPrRYIx_dX_hYbxrk/edit?resourcekey=0-iw9bsKY2OqkUHCFMkCar3A&amp;gid=2055363397#gid=2055363397"",""MTR!C:O""),9,false)"),"")</f>
        <v/>
      </c>
      <c r="P1151" s="241"/>
      <c r="Q1151" s="251" t="s">
        <v>445</v>
      </c>
      <c r="R1151" s="241"/>
      <c r="S1151" s="154" t="s">
        <v>60</v>
      </c>
      <c r="T1151" s="154" t="s">
        <v>60</v>
      </c>
      <c r="U1151" s="154" t="s">
        <v>60</v>
      </c>
      <c r="V1151" s="154" t="s">
        <v>60</v>
      </c>
      <c r="W1151" s="154" t="s">
        <v>60</v>
      </c>
      <c r="X1151" s="154" t="s">
        <v>60</v>
      </c>
      <c r="Y1151" s="154" t="s">
        <v>60</v>
      </c>
      <c r="Z1151" s="154" t="s">
        <v>60</v>
      </c>
      <c r="AA1151" s="154" t="s">
        <v>60</v>
      </c>
      <c r="AB1151" s="154"/>
      <c r="AC1151" s="242" t="b">
        <f t="shared" si="2"/>
        <v>1</v>
      </c>
      <c r="AD1151" s="154" t="s">
        <v>391</v>
      </c>
      <c r="AE1151" s="243" t="b">
        <f t="shared" si="3"/>
        <v>0</v>
      </c>
      <c r="AF1151" s="154"/>
      <c r="AG1151" s="243" t="b">
        <f t="shared" si="7"/>
        <v>0</v>
      </c>
      <c r="AH1151" s="154"/>
      <c r="AI1151" s="243" t="str">
        <f t="shared" si="5"/>
        <v>N/A</v>
      </c>
      <c r="AJ1151" s="157" t="str">
        <f t="shared" si="6"/>
        <v/>
      </c>
    </row>
    <row r="1152" ht="12.75" customHeight="1">
      <c r="A1152" s="244" t="s">
        <v>2412</v>
      </c>
      <c r="B1152" s="244" t="s">
        <v>3102</v>
      </c>
      <c r="C1152" s="244" t="s">
        <v>3167</v>
      </c>
      <c r="D1152" s="154" t="s">
        <v>2746</v>
      </c>
      <c r="E1152" s="250"/>
      <c r="F1152" s="154" t="str">
        <f t="array" ref="F1152">XLOOKUP(Cover!$D$12,$S$1:$AA$1,$S1152:$AA1152)</f>
        <v>Mandatory</v>
      </c>
      <c r="G1152" s="154" t="s">
        <v>3168</v>
      </c>
      <c r="H1152" s="154" t="s">
        <v>398</v>
      </c>
      <c r="I1152" s="154" t="s">
        <v>389</v>
      </c>
      <c r="J1152" s="247" t="s">
        <v>445</v>
      </c>
      <c r="K1152" s="154"/>
      <c r="L1152" s="154" t="str">
        <f t="shared" si="1"/>
        <v/>
      </c>
      <c r="M1152" s="248" t="str">
        <f>IFERROR(__xludf.DUMMYFUNCTION("VLOOKUP(C1152,IMPORTRANGE(""https://docs.google.com/spreadsheets/d/1P8eX0NWBhUPS_hvzA11R6jkTNFrPrRYIx_dX_hYbxrk/edit?resourcekey=0-iw9bsKY2OqkUHCFMkCar3A&amp;gid=2055363397#gid=2055363397"",""MTR!C:O""),11,false)"),"PMW-MCE-NAS")</f>
        <v>PMW-MCE-NAS</v>
      </c>
      <c r="N1152" s="248" t="str">
        <f>IFERROR(__xludf.DUMMYFUNCTION("VLOOKUP(C1152,IMPORTRANGE(""https://docs.google.com/spreadsheets/d/1ihFlp3_ePlYtFuPbUNbYj1muErVpI73WHXbEwJDIA7Q/edit#gid=1493122344"",""MTR!C:O""),8,false)"),"Complies")</f>
        <v>Complies</v>
      </c>
      <c r="O1152" s="241" t="str">
        <f>IFERROR(__xludf.DUMMYFUNCTION("VLOOKUP(C1152,IMPORTRANGE(""https://docs.google.com/spreadsheets/d/1P8eX0NWBhUPS_hvzA11R6jkTNFrPrRYIx_dX_hYbxrk/edit?resourcekey=0-iw9bsKY2OqkUHCFMkCar3A&amp;gid=2055363397#gid=2055363397"",""MTR!C:O""),9,false)"),"")</f>
        <v/>
      </c>
      <c r="P1152" s="241"/>
      <c r="Q1152" s="251" t="s">
        <v>445</v>
      </c>
      <c r="R1152" s="241"/>
      <c r="S1152" s="154" t="s">
        <v>60</v>
      </c>
      <c r="T1152" s="154" t="s">
        <v>60</v>
      </c>
      <c r="U1152" s="154" t="s">
        <v>60</v>
      </c>
      <c r="V1152" s="154" t="s">
        <v>60</v>
      </c>
      <c r="W1152" s="154" t="s">
        <v>60</v>
      </c>
      <c r="X1152" s="154" t="s">
        <v>60</v>
      </c>
      <c r="Y1152" s="154" t="s">
        <v>60</v>
      </c>
      <c r="Z1152" s="154" t="s">
        <v>60</v>
      </c>
      <c r="AA1152" s="154" t="s">
        <v>60</v>
      </c>
      <c r="AB1152" s="154"/>
      <c r="AC1152" s="242" t="b">
        <f t="shared" si="2"/>
        <v>1</v>
      </c>
      <c r="AD1152" s="154" t="s">
        <v>391</v>
      </c>
      <c r="AE1152" s="243" t="b">
        <f t="shared" si="3"/>
        <v>0</v>
      </c>
      <c r="AF1152" s="154"/>
      <c r="AG1152" s="243" t="b">
        <f t="shared" si="7"/>
        <v>0</v>
      </c>
      <c r="AH1152" s="154"/>
      <c r="AI1152" s="243" t="str">
        <f t="shared" si="5"/>
        <v>N/A</v>
      </c>
      <c r="AJ1152" s="157" t="str">
        <f t="shared" si="6"/>
        <v/>
      </c>
    </row>
    <row r="1153" ht="12.75" customHeight="1">
      <c r="A1153" s="244" t="s">
        <v>2412</v>
      </c>
      <c r="B1153" s="244" t="s">
        <v>3102</v>
      </c>
      <c r="C1153" s="244" t="s">
        <v>3169</v>
      </c>
      <c r="D1153" s="154" t="s">
        <v>2746</v>
      </c>
      <c r="E1153" s="250"/>
      <c r="F1153" s="154" t="str">
        <f t="array" ref="F1153">XLOOKUP(Cover!$D$12,$S$1:$AA$1,$S1153:$AA1153)</f>
        <v>Mandatory</v>
      </c>
      <c r="G1153" s="154" t="s">
        <v>3170</v>
      </c>
      <c r="H1153" s="154" t="s">
        <v>398</v>
      </c>
      <c r="I1153" s="154" t="s">
        <v>389</v>
      </c>
      <c r="J1153" s="247" t="s">
        <v>445</v>
      </c>
      <c r="K1153" s="154"/>
      <c r="L1153" s="154" t="str">
        <f t="shared" si="1"/>
        <v/>
      </c>
      <c r="M1153" s="248" t="str">
        <f>IFERROR(__xludf.DUMMYFUNCTION("VLOOKUP(C1153,IMPORTRANGE(""https://docs.google.com/spreadsheets/d/1P8eX0NWBhUPS_hvzA11R6jkTNFrPrRYIx_dX_hYbxrk/edit?resourcekey=0-iw9bsKY2OqkUHCFMkCar3A&amp;gid=2055363397#gid=2055363397"",""MTR!C:O""),11,false)"),"PMW-MCE-NAS")</f>
        <v>PMW-MCE-NAS</v>
      </c>
      <c r="N1153" s="248" t="str">
        <f>IFERROR(__xludf.DUMMYFUNCTION("VLOOKUP(C1153,IMPORTRANGE(""https://docs.google.com/spreadsheets/d/1ihFlp3_ePlYtFuPbUNbYj1muErVpI73WHXbEwJDIA7Q/edit#gid=1493122344"",""MTR!C:O""),8,false)"),"Complies")</f>
        <v>Complies</v>
      </c>
      <c r="O1153" s="241" t="str">
        <f>IFERROR(__xludf.DUMMYFUNCTION("VLOOKUP(C1153,IMPORTRANGE(""https://docs.google.com/spreadsheets/d/1P8eX0NWBhUPS_hvzA11R6jkTNFrPrRYIx_dX_hYbxrk/edit?resourcekey=0-iw9bsKY2OqkUHCFMkCar3A&amp;gid=2055363397#gid=2055363397"",""MTR!C:O""),9,false)"),"")</f>
        <v/>
      </c>
      <c r="P1153" s="241"/>
      <c r="Q1153" s="251" t="s">
        <v>445</v>
      </c>
      <c r="R1153" s="241"/>
      <c r="S1153" s="154" t="s">
        <v>60</v>
      </c>
      <c r="T1153" s="154" t="s">
        <v>60</v>
      </c>
      <c r="U1153" s="154" t="s">
        <v>60</v>
      </c>
      <c r="V1153" s="154" t="s">
        <v>60</v>
      </c>
      <c r="W1153" s="154" t="s">
        <v>60</v>
      </c>
      <c r="X1153" s="154" t="s">
        <v>60</v>
      </c>
      <c r="Y1153" s="154" t="s">
        <v>60</v>
      </c>
      <c r="Z1153" s="154" t="s">
        <v>60</v>
      </c>
      <c r="AA1153" s="154" t="s">
        <v>60</v>
      </c>
      <c r="AB1153" s="154"/>
      <c r="AC1153" s="242" t="b">
        <f t="shared" si="2"/>
        <v>1</v>
      </c>
      <c r="AD1153" s="154" t="s">
        <v>391</v>
      </c>
      <c r="AE1153" s="243" t="b">
        <f t="shared" si="3"/>
        <v>0</v>
      </c>
      <c r="AF1153" s="154"/>
      <c r="AG1153" s="243" t="b">
        <f t="shared" si="7"/>
        <v>0</v>
      </c>
      <c r="AH1153" s="154"/>
      <c r="AI1153" s="243" t="str">
        <f t="shared" si="5"/>
        <v>N/A</v>
      </c>
      <c r="AJ1153" s="157" t="str">
        <f t="shared" si="6"/>
        <v/>
      </c>
    </row>
    <row r="1154" ht="12.75" customHeight="1">
      <c r="A1154" s="244" t="s">
        <v>2412</v>
      </c>
      <c r="B1154" s="244" t="s">
        <v>3102</v>
      </c>
      <c r="C1154" s="244" t="s">
        <v>3171</v>
      </c>
      <c r="D1154" s="154" t="s">
        <v>2746</v>
      </c>
      <c r="E1154" s="250"/>
      <c r="F1154" s="154" t="str">
        <f t="array" ref="F1154">XLOOKUP(Cover!$D$12,$S$1:$AA$1,$S1154:$AA1154)</f>
        <v>Mandatory</v>
      </c>
      <c r="G1154" s="154" t="s">
        <v>3172</v>
      </c>
      <c r="H1154" s="154" t="s">
        <v>398</v>
      </c>
      <c r="I1154" s="154" t="s">
        <v>389</v>
      </c>
      <c r="J1154" s="247" t="s">
        <v>445</v>
      </c>
      <c r="K1154" s="154"/>
      <c r="L1154" s="154" t="str">
        <f t="shared" si="1"/>
        <v/>
      </c>
      <c r="M1154" s="248" t="str">
        <f>IFERROR(__xludf.DUMMYFUNCTION("VLOOKUP(C1154,IMPORTRANGE(""https://docs.google.com/spreadsheets/d/1P8eX0NWBhUPS_hvzA11R6jkTNFrPrRYIx_dX_hYbxrk/edit?resourcekey=0-iw9bsKY2OqkUHCFMkCar3A&amp;gid=2055363397#gid=2055363397"",""MTR!C:O""),11,false)"),"PMW-MCE-NAS")</f>
        <v>PMW-MCE-NAS</v>
      </c>
      <c r="N1154" s="248" t="str">
        <f>IFERROR(__xludf.DUMMYFUNCTION("VLOOKUP(C1154,IMPORTRANGE(""https://docs.google.com/spreadsheets/d/1ihFlp3_ePlYtFuPbUNbYj1muErVpI73WHXbEwJDIA7Q/edit#gid=1493122344"",""MTR!C:O""),8,false)"),"Complies")</f>
        <v>Complies</v>
      </c>
      <c r="O1154" s="241" t="str">
        <f>IFERROR(__xludf.DUMMYFUNCTION("VLOOKUP(C1154,IMPORTRANGE(""https://docs.google.com/spreadsheets/d/1P8eX0NWBhUPS_hvzA11R6jkTNFrPrRYIx_dX_hYbxrk/edit?resourcekey=0-iw9bsKY2OqkUHCFMkCar3A&amp;gid=2055363397#gid=2055363397"",""MTR!C:O""),9,false)"),"")</f>
        <v/>
      </c>
      <c r="P1154" s="241"/>
      <c r="Q1154" s="251" t="s">
        <v>445</v>
      </c>
      <c r="R1154" s="241"/>
      <c r="S1154" s="154" t="s">
        <v>60</v>
      </c>
      <c r="T1154" s="154" t="s">
        <v>60</v>
      </c>
      <c r="U1154" s="154" t="s">
        <v>60</v>
      </c>
      <c r="V1154" s="154" t="s">
        <v>60</v>
      </c>
      <c r="W1154" s="154" t="s">
        <v>60</v>
      </c>
      <c r="X1154" s="154" t="s">
        <v>60</v>
      </c>
      <c r="Y1154" s="154" t="s">
        <v>60</v>
      </c>
      <c r="Z1154" s="154" t="s">
        <v>60</v>
      </c>
      <c r="AA1154" s="154" t="s">
        <v>60</v>
      </c>
      <c r="AB1154" s="154"/>
      <c r="AC1154" s="242" t="b">
        <f t="shared" si="2"/>
        <v>1</v>
      </c>
      <c r="AD1154" s="154" t="s">
        <v>391</v>
      </c>
      <c r="AE1154" s="243" t="b">
        <f t="shared" si="3"/>
        <v>0</v>
      </c>
      <c r="AF1154" s="154"/>
      <c r="AG1154" s="243" t="b">
        <f t="shared" si="7"/>
        <v>0</v>
      </c>
      <c r="AH1154" s="154"/>
      <c r="AI1154" s="243" t="str">
        <f t="shared" si="5"/>
        <v>N/A</v>
      </c>
      <c r="AJ1154" s="157" t="str">
        <f t="shared" si="6"/>
        <v/>
      </c>
    </row>
    <row r="1155" ht="12.75" customHeight="1">
      <c r="A1155" s="244" t="s">
        <v>2412</v>
      </c>
      <c r="B1155" s="244" t="s">
        <v>3102</v>
      </c>
      <c r="C1155" s="244" t="s">
        <v>3173</v>
      </c>
      <c r="D1155" s="154" t="s">
        <v>2746</v>
      </c>
      <c r="E1155" s="250"/>
      <c r="F1155" s="154" t="str">
        <f t="array" ref="F1155">XLOOKUP(Cover!$D$12,$S$1:$AA$1,$S1155:$AA1155)</f>
        <v>Mandatory</v>
      </c>
      <c r="G1155" s="154" t="s">
        <v>3174</v>
      </c>
      <c r="H1155" s="154" t="s">
        <v>398</v>
      </c>
      <c r="I1155" s="154" t="s">
        <v>389</v>
      </c>
      <c r="J1155" s="247" t="s">
        <v>445</v>
      </c>
      <c r="K1155" s="154"/>
      <c r="L1155" s="154" t="str">
        <f t="shared" si="1"/>
        <v/>
      </c>
      <c r="M1155" s="248" t="str">
        <f>IFERROR(__xludf.DUMMYFUNCTION("VLOOKUP(C1155,IMPORTRANGE(""https://docs.google.com/spreadsheets/d/1P8eX0NWBhUPS_hvzA11R6jkTNFrPrRYIx_dX_hYbxrk/edit?resourcekey=0-iw9bsKY2OqkUHCFMkCar3A&amp;gid=2055363397#gid=2055363397"",""MTR!C:O""),11,false)"),"PMW-MCE-NAS")</f>
        <v>PMW-MCE-NAS</v>
      </c>
      <c r="N1155" s="248" t="str">
        <f>IFERROR(__xludf.DUMMYFUNCTION("VLOOKUP(C1155,IMPORTRANGE(""https://docs.google.com/spreadsheets/d/1ihFlp3_ePlYtFuPbUNbYj1muErVpI73WHXbEwJDIA7Q/edit#gid=1493122344"",""MTR!C:O""),8,false)"),"Complies")</f>
        <v>Complies</v>
      </c>
      <c r="O1155" s="241" t="str">
        <f>IFERROR(__xludf.DUMMYFUNCTION("VLOOKUP(C1155,IMPORTRANGE(""https://docs.google.com/spreadsheets/d/1P8eX0NWBhUPS_hvzA11R6jkTNFrPrRYIx_dX_hYbxrk/edit?resourcekey=0-iw9bsKY2OqkUHCFMkCar3A&amp;gid=2055363397#gid=2055363397"",""MTR!C:O""),9,false)"),"")</f>
        <v/>
      </c>
      <c r="P1155" s="241"/>
      <c r="Q1155" s="251" t="s">
        <v>445</v>
      </c>
      <c r="R1155" s="241"/>
      <c r="S1155" s="154" t="s">
        <v>60</v>
      </c>
      <c r="T1155" s="154" t="s">
        <v>60</v>
      </c>
      <c r="U1155" s="154" t="s">
        <v>60</v>
      </c>
      <c r="V1155" s="154" t="s">
        <v>60</v>
      </c>
      <c r="W1155" s="154" t="s">
        <v>60</v>
      </c>
      <c r="X1155" s="154" t="s">
        <v>60</v>
      </c>
      <c r="Y1155" s="154" t="s">
        <v>60</v>
      </c>
      <c r="Z1155" s="154" t="s">
        <v>60</v>
      </c>
      <c r="AA1155" s="154" t="s">
        <v>60</v>
      </c>
      <c r="AB1155" s="154"/>
      <c r="AC1155" s="242" t="b">
        <f t="shared" si="2"/>
        <v>1</v>
      </c>
      <c r="AD1155" s="154" t="s">
        <v>391</v>
      </c>
      <c r="AE1155" s="243" t="b">
        <f t="shared" si="3"/>
        <v>0</v>
      </c>
      <c r="AF1155" s="154"/>
      <c r="AG1155" s="243" t="b">
        <f t="shared" si="7"/>
        <v>0</v>
      </c>
      <c r="AH1155" s="154"/>
      <c r="AI1155" s="243" t="str">
        <f t="shared" si="5"/>
        <v>N/A</v>
      </c>
      <c r="AJ1155" s="157" t="str">
        <f t="shared" si="6"/>
        <v/>
      </c>
    </row>
    <row r="1156" ht="12.75" customHeight="1">
      <c r="A1156" s="244" t="s">
        <v>2412</v>
      </c>
      <c r="B1156" s="244" t="s">
        <v>3102</v>
      </c>
      <c r="C1156" s="244" t="s">
        <v>3175</v>
      </c>
      <c r="D1156" s="154" t="s">
        <v>2746</v>
      </c>
      <c r="E1156" s="250"/>
      <c r="F1156" s="154" t="str">
        <f t="array" ref="F1156">XLOOKUP(Cover!$D$12,$S$1:$AA$1,$S1156:$AA1156)</f>
        <v>Mandatory</v>
      </c>
      <c r="G1156" s="154" t="s">
        <v>3176</v>
      </c>
      <c r="H1156" s="154" t="s">
        <v>398</v>
      </c>
      <c r="I1156" s="154" t="s">
        <v>389</v>
      </c>
      <c r="J1156" s="247" t="s">
        <v>445</v>
      </c>
      <c r="K1156" s="154"/>
      <c r="L1156" s="154" t="str">
        <f t="shared" si="1"/>
        <v/>
      </c>
      <c r="M1156" s="248" t="str">
        <f>IFERROR(__xludf.DUMMYFUNCTION("VLOOKUP(C1156,IMPORTRANGE(""https://docs.google.com/spreadsheets/d/1P8eX0NWBhUPS_hvzA11R6jkTNFrPrRYIx_dX_hYbxrk/edit?resourcekey=0-iw9bsKY2OqkUHCFMkCar3A&amp;gid=2055363397#gid=2055363397"",""MTR!C:O""),11,false)"),"PMW-MCE-NAS")</f>
        <v>PMW-MCE-NAS</v>
      </c>
      <c r="N1156" s="248" t="str">
        <f>IFERROR(__xludf.DUMMYFUNCTION("VLOOKUP(C1156,IMPORTRANGE(""https://docs.google.com/spreadsheets/d/1ihFlp3_ePlYtFuPbUNbYj1muErVpI73WHXbEwJDIA7Q/edit#gid=1493122344"",""MTR!C:O""),8,false)"),"Complies")</f>
        <v>Complies</v>
      </c>
      <c r="O1156" s="241" t="str">
        <f>IFERROR(__xludf.DUMMYFUNCTION("VLOOKUP(C1156,IMPORTRANGE(""https://docs.google.com/spreadsheets/d/1P8eX0NWBhUPS_hvzA11R6jkTNFrPrRYIx_dX_hYbxrk/edit?resourcekey=0-iw9bsKY2OqkUHCFMkCar3A&amp;gid=2055363397#gid=2055363397"",""MTR!C:O""),9,false)"),"")</f>
        <v/>
      </c>
      <c r="P1156" s="241"/>
      <c r="Q1156" s="251" t="s">
        <v>445</v>
      </c>
      <c r="R1156" s="241"/>
      <c r="S1156" s="154" t="s">
        <v>60</v>
      </c>
      <c r="T1156" s="154" t="s">
        <v>60</v>
      </c>
      <c r="U1156" s="154" t="s">
        <v>60</v>
      </c>
      <c r="V1156" s="154" t="s">
        <v>60</v>
      </c>
      <c r="W1156" s="154" t="s">
        <v>60</v>
      </c>
      <c r="X1156" s="154" t="s">
        <v>60</v>
      </c>
      <c r="Y1156" s="154" t="s">
        <v>60</v>
      </c>
      <c r="Z1156" s="154" t="s">
        <v>60</v>
      </c>
      <c r="AA1156" s="154" t="s">
        <v>60</v>
      </c>
      <c r="AB1156" s="154"/>
      <c r="AC1156" s="242" t="b">
        <f t="shared" si="2"/>
        <v>1</v>
      </c>
      <c r="AD1156" s="154" t="s">
        <v>391</v>
      </c>
      <c r="AE1156" s="243" t="b">
        <f t="shared" si="3"/>
        <v>0</v>
      </c>
      <c r="AF1156" s="154"/>
      <c r="AG1156" s="243" t="b">
        <f t="shared" si="7"/>
        <v>0</v>
      </c>
      <c r="AH1156" s="154"/>
      <c r="AI1156" s="243" t="str">
        <f t="shared" si="5"/>
        <v>N/A</v>
      </c>
      <c r="AJ1156" s="157" t="str">
        <f t="shared" si="6"/>
        <v/>
      </c>
    </row>
    <row r="1157" ht="12.75" customHeight="1">
      <c r="A1157" s="244" t="s">
        <v>2412</v>
      </c>
      <c r="B1157" s="244" t="s">
        <v>3102</v>
      </c>
      <c r="C1157" s="244" t="s">
        <v>3177</v>
      </c>
      <c r="D1157" s="154" t="s">
        <v>2746</v>
      </c>
      <c r="E1157" s="250"/>
      <c r="F1157" s="154" t="str">
        <f t="array" ref="F1157">XLOOKUP(Cover!$D$12,$S$1:$AA$1,$S1157:$AA1157)</f>
        <v>Recommended</v>
      </c>
      <c r="G1157" s="154" t="s">
        <v>3178</v>
      </c>
      <c r="H1157" s="154"/>
      <c r="I1157" s="154" t="s">
        <v>389</v>
      </c>
      <c r="J1157" s="247" t="s">
        <v>445</v>
      </c>
      <c r="K1157" s="154"/>
      <c r="L1157" s="154" t="str">
        <f t="shared" si="1"/>
        <v/>
      </c>
      <c r="M1157" s="248" t="str">
        <f>IFERROR(__xludf.DUMMYFUNCTION("VLOOKUP(C1157,IMPORTRANGE(""https://docs.google.com/spreadsheets/d/1P8eX0NWBhUPS_hvzA11R6jkTNFrPrRYIx_dX_hYbxrk/edit?resourcekey=0-iw9bsKY2OqkUHCFMkCar3A&amp;gid=2055363397#gid=2055363397"",""MTR!C:O""),11,false)"),"PMW-MCE-NAS")</f>
        <v>PMW-MCE-NAS</v>
      </c>
      <c r="N1157" s="248" t="str">
        <f>IFERROR(__xludf.DUMMYFUNCTION("VLOOKUP(C1157,IMPORTRANGE(""https://docs.google.com/spreadsheets/d/1ihFlp3_ePlYtFuPbUNbYj1muErVpI73WHXbEwJDIA7Q/edit#gid=1493122344"",""MTR!C:O""),8,false)"),"Complies")</f>
        <v>Complies</v>
      </c>
      <c r="O1157" s="241" t="str">
        <f>IFERROR(__xludf.DUMMYFUNCTION("VLOOKUP(C1157,IMPORTRANGE(""https://docs.google.com/spreadsheets/d/1P8eX0NWBhUPS_hvzA11R6jkTNFrPrRYIx_dX_hYbxrk/edit?resourcekey=0-iw9bsKY2OqkUHCFMkCar3A&amp;gid=2055363397#gid=2055363397"",""MTR!C:O""),9,false)"),"")</f>
        <v/>
      </c>
      <c r="P1157" s="241"/>
      <c r="Q1157" s="251" t="s">
        <v>445</v>
      </c>
      <c r="R1157" s="241"/>
      <c r="S1157" s="154" t="s">
        <v>64</v>
      </c>
      <c r="T1157" s="154" t="s">
        <v>64</v>
      </c>
      <c r="U1157" s="154" t="s">
        <v>64</v>
      </c>
      <c r="V1157" s="154" t="s">
        <v>64</v>
      </c>
      <c r="W1157" s="154" t="s">
        <v>64</v>
      </c>
      <c r="X1157" s="154" t="s">
        <v>64</v>
      </c>
      <c r="Y1157" s="154" t="s">
        <v>64</v>
      </c>
      <c r="Z1157" s="154" t="s">
        <v>64</v>
      </c>
      <c r="AA1157" s="154" t="s">
        <v>64</v>
      </c>
      <c r="AB1157" s="154"/>
      <c r="AC1157" s="242" t="b">
        <f t="shared" si="2"/>
        <v>1</v>
      </c>
      <c r="AD1157" s="154" t="s">
        <v>391</v>
      </c>
      <c r="AE1157" s="243" t="b">
        <f t="shared" si="3"/>
        <v>0</v>
      </c>
      <c r="AF1157" s="154"/>
      <c r="AG1157" s="243" t="b">
        <f t="shared" si="7"/>
        <v>0</v>
      </c>
      <c r="AH1157" s="154"/>
      <c r="AI1157" s="243" t="str">
        <f t="shared" si="5"/>
        <v>N/A</v>
      </c>
      <c r="AJ1157" s="157" t="str">
        <f t="shared" si="6"/>
        <v/>
      </c>
    </row>
    <row r="1158" ht="12.75" customHeight="1">
      <c r="A1158" s="244" t="s">
        <v>2412</v>
      </c>
      <c r="B1158" s="244" t="s">
        <v>3102</v>
      </c>
      <c r="C1158" s="244" t="s">
        <v>3179</v>
      </c>
      <c r="D1158" s="154" t="s">
        <v>2746</v>
      </c>
      <c r="E1158" s="250"/>
      <c r="F1158" s="154" t="str">
        <f t="array" ref="F1158">XLOOKUP(Cover!$D$12,$S$1:$AA$1,$S1158:$AA1158)</f>
        <v>Mandatory</v>
      </c>
      <c r="G1158" s="154" t="s">
        <v>3180</v>
      </c>
      <c r="H1158" s="154" t="s">
        <v>398</v>
      </c>
      <c r="I1158" s="154" t="s">
        <v>389</v>
      </c>
      <c r="J1158" s="247" t="s">
        <v>445</v>
      </c>
      <c r="K1158" s="154"/>
      <c r="L1158" s="154" t="str">
        <f t="shared" si="1"/>
        <v/>
      </c>
      <c r="M1158" s="248" t="str">
        <f>IFERROR(__xludf.DUMMYFUNCTION("VLOOKUP(C1158,IMPORTRANGE(""https://docs.google.com/spreadsheets/d/1P8eX0NWBhUPS_hvzA11R6jkTNFrPrRYIx_dX_hYbxrk/edit?resourcekey=0-iw9bsKY2OqkUHCFMkCar3A&amp;gid=2055363397#gid=2055363397"",""MTR!C:O""),11,false)"),"PMW-MCE-NAS")</f>
        <v>PMW-MCE-NAS</v>
      </c>
      <c r="N1158" s="248" t="str">
        <f>IFERROR(__xludf.DUMMYFUNCTION("VLOOKUP(C1158,IMPORTRANGE(""https://docs.google.com/spreadsheets/d/1ihFlp3_ePlYtFuPbUNbYj1muErVpI73WHXbEwJDIA7Q/edit#gid=1493122344"",""MTR!C:O""),8,false)"),"Complies")</f>
        <v>Complies</v>
      </c>
      <c r="O1158" s="241" t="str">
        <f>IFERROR(__xludf.DUMMYFUNCTION("VLOOKUP(C1158,IMPORTRANGE(""https://docs.google.com/spreadsheets/d/1P8eX0NWBhUPS_hvzA11R6jkTNFrPrRYIx_dX_hYbxrk/edit?resourcekey=0-iw9bsKY2OqkUHCFMkCar3A&amp;gid=2055363397#gid=2055363397"",""MTR!C:O""),9,false)"),"")</f>
        <v/>
      </c>
      <c r="P1158" s="241"/>
      <c r="Q1158" s="251" t="s">
        <v>445</v>
      </c>
      <c r="R1158" s="241"/>
      <c r="S1158" s="154" t="s">
        <v>60</v>
      </c>
      <c r="T1158" s="154" t="s">
        <v>60</v>
      </c>
      <c r="U1158" s="154" t="s">
        <v>60</v>
      </c>
      <c r="V1158" s="154" t="s">
        <v>60</v>
      </c>
      <c r="W1158" s="154" t="s">
        <v>60</v>
      </c>
      <c r="X1158" s="154" t="s">
        <v>60</v>
      </c>
      <c r="Y1158" s="154" t="s">
        <v>60</v>
      </c>
      <c r="Z1158" s="154" t="s">
        <v>60</v>
      </c>
      <c r="AA1158" s="154" t="s">
        <v>60</v>
      </c>
      <c r="AB1158" s="154"/>
      <c r="AC1158" s="242" t="b">
        <f t="shared" si="2"/>
        <v>1</v>
      </c>
      <c r="AD1158" s="154" t="s">
        <v>391</v>
      </c>
      <c r="AE1158" s="243" t="b">
        <f t="shared" si="3"/>
        <v>0</v>
      </c>
      <c r="AF1158" s="154"/>
      <c r="AG1158" s="243" t="b">
        <f t="shared" si="7"/>
        <v>0</v>
      </c>
      <c r="AH1158" s="154"/>
      <c r="AI1158" s="243" t="str">
        <f t="shared" si="5"/>
        <v>N/A</v>
      </c>
      <c r="AJ1158" s="157" t="str">
        <f t="shared" si="6"/>
        <v/>
      </c>
    </row>
    <row r="1159" ht="12.75" customHeight="1">
      <c r="A1159" s="244" t="s">
        <v>2412</v>
      </c>
      <c r="B1159" s="244" t="s">
        <v>3102</v>
      </c>
      <c r="C1159" s="244" t="s">
        <v>3181</v>
      </c>
      <c r="D1159" s="154" t="s">
        <v>2746</v>
      </c>
      <c r="E1159" s="250"/>
      <c r="F1159" s="154" t="str">
        <f t="array" ref="F1159">XLOOKUP(Cover!$D$12,$S$1:$AA$1,$S1159:$AA1159)</f>
        <v>Mandatory</v>
      </c>
      <c r="G1159" s="154" t="s">
        <v>3182</v>
      </c>
      <c r="H1159" s="154" t="s">
        <v>398</v>
      </c>
      <c r="I1159" s="154" t="s">
        <v>389</v>
      </c>
      <c r="J1159" s="247" t="s">
        <v>445</v>
      </c>
      <c r="K1159" s="154"/>
      <c r="L1159" s="154" t="str">
        <f t="shared" si="1"/>
        <v/>
      </c>
      <c r="M1159" s="248" t="str">
        <f>IFERROR(__xludf.DUMMYFUNCTION("VLOOKUP(C1159,IMPORTRANGE(""https://docs.google.com/spreadsheets/d/1P8eX0NWBhUPS_hvzA11R6jkTNFrPrRYIx_dX_hYbxrk/edit?resourcekey=0-iw9bsKY2OqkUHCFMkCar3A&amp;gid=2055363397#gid=2055363397"",""MTR!C:O""),11,false)"),"PMW-MCE-NAS")</f>
        <v>PMW-MCE-NAS</v>
      </c>
      <c r="N1159" s="248" t="str">
        <f>IFERROR(__xludf.DUMMYFUNCTION("VLOOKUP(C1159,IMPORTRANGE(""https://docs.google.com/spreadsheets/d/1ihFlp3_ePlYtFuPbUNbYj1muErVpI73WHXbEwJDIA7Q/edit#gid=1493122344"",""MTR!C:O""),8,false)"),"Complies")</f>
        <v>Complies</v>
      </c>
      <c r="O1159" s="241" t="str">
        <f>IFERROR(__xludf.DUMMYFUNCTION("VLOOKUP(C1159,IMPORTRANGE(""https://docs.google.com/spreadsheets/d/1P8eX0NWBhUPS_hvzA11R6jkTNFrPrRYIx_dX_hYbxrk/edit?resourcekey=0-iw9bsKY2OqkUHCFMkCar3A&amp;gid=2055363397#gid=2055363397"",""MTR!C:O""),9,false)"),"")</f>
        <v/>
      </c>
      <c r="P1159" s="241"/>
      <c r="Q1159" s="251" t="s">
        <v>445</v>
      </c>
      <c r="R1159" s="241"/>
      <c r="S1159" s="154" t="s">
        <v>60</v>
      </c>
      <c r="T1159" s="154" t="s">
        <v>60</v>
      </c>
      <c r="U1159" s="154" t="s">
        <v>60</v>
      </c>
      <c r="V1159" s="154" t="s">
        <v>60</v>
      </c>
      <c r="W1159" s="154" t="s">
        <v>60</v>
      </c>
      <c r="X1159" s="154" t="s">
        <v>60</v>
      </c>
      <c r="Y1159" s="154" t="s">
        <v>60</v>
      </c>
      <c r="Z1159" s="154" t="s">
        <v>60</v>
      </c>
      <c r="AA1159" s="154" t="s">
        <v>60</v>
      </c>
      <c r="AB1159" s="154"/>
      <c r="AC1159" s="242" t="b">
        <f t="shared" si="2"/>
        <v>1</v>
      </c>
      <c r="AD1159" s="154" t="s">
        <v>391</v>
      </c>
      <c r="AE1159" s="243" t="b">
        <f t="shared" si="3"/>
        <v>0</v>
      </c>
      <c r="AF1159" s="154"/>
      <c r="AG1159" s="243" t="b">
        <f t="shared" si="7"/>
        <v>0</v>
      </c>
      <c r="AH1159" s="154"/>
      <c r="AI1159" s="243" t="str">
        <f t="shared" si="5"/>
        <v>N/A</v>
      </c>
      <c r="AJ1159" s="157" t="str">
        <f t="shared" si="6"/>
        <v/>
      </c>
    </row>
    <row r="1160" ht="12.75" customHeight="1">
      <c r="A1160" s="244" t="s">
        <v>2412</v>
      </c>
      <c r="B1160" s="244" t="s">
        <v>3102</v>
      </c>
      <c r="C1160" s="244" t="s">
        <v>3183</v>
      </c>
      <c r="D1160" s="154" t="s">
        <v>2746</v>
      </c>
      <c r="E1160" s="250"/>
      <c r="F1160" s="154" t="str">
        <f t="array" ref="F1160">XLOOKUP(Cover!$D$12,$S$1:$AA$1,$S1160:$AA1160)</f>
        <v>Mandatory</v>
      </c>
      <c r="G1160" s="154" t="s">
        <v>3184</v>
      </c>
      <c r="H1160" s="154" t="s">
        <v>398</v>
      </c>
      <c r="I1160" s="154" t="s">
        <v>389</v>
      </c>
      <c r="J1160" s="247" t="s">
        <v>445</v>
      </c>
      <c r="K1160" s="154"/>
      <c r="L1160" s="154" t="str">
        <f t="shared" si="1"/>
        <v/>
      </c>
      <c r="M1160" s="248" t="str">
        <f>IFERROR(__xludf.DUMMYFUNCTION("VLOOKUP(C1160,IMPORTRANGE(""https://docs.google.com/spreadsheets/d/1P8eX0NWBhUPS_hvzA11R6jkTNFrPrRYIx_dX_hYbxrk/edit?resourcekey=0-iw9bsKY2OqkUHCFMkCar3A&amp;gid=2055363397#gid=2055363397"",""MTR!C:O""),11,false)"),"PMW-MCE-NAS")</f>
        <v>PMW-MCE-NAS</v>
      </c>
      <c r="N1160" s="248" t="str">
        <f>IFERROR(__xludf.DUMMYFUNCTION("VLOOKUP(C1160,IMPORTRANGE(""https://docs.google.com/spreadsheets/d/1ihFlp3_ePlYtFuPbUNbYj1muErVpI73WHXbEwJDIA7Q/edit#gid=1493122344"",""MTR!C:O""),8,false)"),"Complies")</f>
        <v>Complies</v>
      </c>
      <c r="O1160" s="241" t="str">
        <f>IFERROR(__xludf.DUMMYFUNCTION("VLOOKUP(C1160,IMPORTRANGE(""https://docs.google.com/spreadsheets/d/1P8eX0NWBhUPS_hvzA11R6jkTNFrPrRYIx_dX_hYbxrk/edit?resourcekey=0-iw9bsKY2OqkUHCFMkCar3A&amp;gid=2055363397#gid=2055363397"",""MTR!C:O""),9,false)"),"")</f>
        <v/>
      </c>
      <c r="P1160" s="241"/>
      <c r="Q1160" s="251" t="s">
        <v>445</v>
      </c>
      <c r="R1160" s="241"/>
      <c r="S1160" s="154" t="s">
        <v>60</v>
      </c>
      <c r="T1160" s="154" t="s">
        <v>60</v>
      </c>
      <c r="U1160" s="154" t="s">
        <v>60</v>
      </c>
      <c r="V1160" s="154" t="s">
        <v>60</v>
      </c>
      <c r="W1160" s="154" t="s">
        <v>60</v>
      </c>
      <c r="X1160" s="154" t="s">
        <v>60</v>
      </c>
      <c r="Y1160" s="154" t="s">
        <v>60</v>
      </c>
      <c r="Z1160" s="154" t="s">
        <v>60</v>
      </c>
      <c r="AA1160" s="154" t="s">
        <v>60</v>
      </c>
      <c r="AB1160" s="154"/>
      <c r="AC1160" s="242" t="b">
        <f t="shared" si="2"/>
        <v>1</v>
      </c>
      <c r="AD1160" s="154" t="s">
        <v>391</v>
      </c>
      <c r="AE1160" s="243" t="b">
        <f t="shared" si="3"/>
        <v>0</v>
      </c>
      <c r="AF1160" s="154"/>
      <c r="AG1160" s="243" t="b">
        <f t="shared" si="7"/>
        <v>0</v>
      </c>
      <c r="AH1160" s="154"/>
      <c r="AI1160" s="243" t="str">
        <f t="shared" si="5"/>
        <v>N/A</v>
      </c>
      <c r="AJ1160" s="157" t="str">
        <f t="shared" si="6"/>
        <v/>
      </c>
    </row>
    <row r="1161" ht="12.75" customHeight="1">
      <c r="A1161" s="244" t="s">
        <v>2412</v>
      </c>
      <c r="B1161" s="244" t="s">
        <v>3102</v>
      </c>
      <c r="C1161" s="244" t="s">
        <v>3185</v>
      </c>
      <c r="D1161" s="154" t="s">
        <v>2746</v>
      </c>
      <c r="E1161" s="250"/>
      <c r="F1161" s="154" t="str">
        <f t="array" ref="F1161">XLOOKUP(Cover!$D$12,$S$1:$AA$1,$S1161:$AA1161)</f>
        <v>Mandatory</v>
      </c>
      <c r="G1161" s="154" t="s">
        <v>3186</v>
      </c>
      <c r="H1161" s="154" t="s">
        <v>398</v>
      </c>
      <c r="I1161" s="154" t="s">
        <v>389</v>
      </c>
      <c r="J1161" s="247" t="s">
        <v>445</v>
      </c>
      <c r="K1161" s="154"/>
      <c r="L1161" s="154" t="str">
        <f t="shared" si="1"/>
        <v/>
      </c>
      <c r="M1161" s="248" t="str">
        <f>IFERROR(__xludf.DUMMYFUNCTION("VLOOKUP(C1161,IMPORTRANGE(""https://docs.google.com/spreadsheets/d/1P8eX0NWBhUPS_hvzA11R6jkTNFrPrRYIx_dX_hYbxrk/edit?resourcekey=0-iw9bsKY2OqkUHCFMkCar3A&amp;gid=2055363397#gid=2055363397"",""MTR!C:O""),11,false)"),"PMW-MCE-NAS")</f>
        <v>PMW-MCE-NAS</v>
      </c>
      <c r="N1161" s="248" t="str">
        <f>IFERROR(__xludf.DUMMYFUNCTION("VLOOKUP(C1161,IMPORTRANGE(""https://docs.google.com/spreadsheets/d/1ihFlp3_ePlYtFuPbUNbYj1muErVpI73WHXbEwJDIA7Q/edit#gid=1493122344"",""MTR!C:O""),8,false)"),"Complies")</f>
        <v>Complies</v>
      </c>
      <c r="O1161" s="241" t="str">
        <f>IFERROR(__xludf.DUMMYFUNCTION("VLOOKUP(C1161,IMPORTRANGE(""https://docs.google.com/spreadsheets/d/1P8eX0NWBhUPS_hvzA11R6jkTNFrPrRYIx_dX_hYbxrk/edit?resourcekey=0-iw9bsKY2OqkUHCFMkCar3A&amp;gid=2055363397#gid=2055363397"",""MTR!C:O""),9,false)"),"")</f>
        <v/>
      </c>
      <c r="P1161" s="241"/>
      <c r="Q1161" s="251" t="s">
        <v>445</v>
      </c>
      <c r="R1161" s="241"/>
      <c r="S1161" s="154" t="s">
        <v>60</v>
      </c>
      <c r="T1161" s="154" t="s">
        <v>60</v>
      </c>
      <c r="U1161" s="154" t="s">
        <v>60</v>
      </c>
      <c r="V1161" s="154" t="s">
        <v>60</v>
      </c>
      <c r="W1161" s="154" t="s">
        <v>60</v>
      </c>
      <c r="X1161" s="154" t="s">
        <v>60</v>
      </c>
      <c r="Y1161" s="154" t="s">
        <v>60</v>
      </c>
      <c r="Z1161" s="154" t="s">
        <v>60</v>
      </c>
      <c r="AA1161" s="154" t="s">
        <v>60</v>
      </c>
      <c r="AB1161" s="154"/>
      <c r="AC1161" s="242" t="b">
        <f t="shared" si="2"/>
        <v>1</v>
      </c>
      <c r="AD1161" s="154" t="s">
        <v>391</v>
      </c>
      <c r="AE1161" s="243" t="b">
        <f t="shared" si="3"/>
        <v>0</v>
      </c>
      <c r="AF1161" s="154"/>
      <c r="AG1161" s="243" t="b">
        <f t="shared" si="7"/>
        <v>0</v>
      </c>
      <c r="AH1161" s="154"/>
      <c r="AI1161" s="243" t="str">
        <f t="shared" si="5"/>
        <v>N/A</v>
      </c>
      <c r="AJ1161" s="157" t="str">
        <f t="shared" si="6"/>
        <v/>
      </c>
    </row>
    <row r="1162" ht="12.75" customHeight="1">
      <c r="A1162" s="244" t="s">
        <v>2412</v>
      </c>
      <c r="B1162" s="244" t="s">
        <v>3102</v>
      </c>
      <c r="C1162" s="244" t="s">
        <v>3187</v>
      </c>
      <c r="D1162" s="154" t="s">
        <v>2746</v>
      </c>
      <c r="E1162" s="250"/>
      <c r="F1162" s="154" t="str">
        <f t="array" ref="F1162">XLOOKUP(Cover!$D$12,$S$1:$AA$1,$S1162:$AA1162)</f>
        <v>Mandatory</v>
      </c>
      <c r="G1162" s="154" t="s">
        <v>3188</v>
      </c>
      <c r="H1162" s="154" t="s">
        <v>398</v>
      </c>
      <c r="I1162" s="154" t="s">
        <v>389</v>
      </c>
      <c r="J1162" s="247" t="s">
        <v>445</v>
      </c>
      <c r="K1162" s="154"/>
      <c r="L1162" s="154" t="str">
        <f t="shared" si="1"/>
        <v/>
      </c>
      <c r="M1162" s="248" t="str">
        <f>IFERROR(__xludf.DUMMYFUNCTION("VLOOKUP(C1162,IMPORTRANGE(""https://docs.google.com/spreadsheets/d/1P8eX0NWBhUPS_hvzA11R6jkTNFrPrRYIx_dX_hYbxrk/edit?resourcekey=0-iw9bsKY2OqkUHCFMkCar3A&amp;gid=2055363397#gid=2055363397"",""MTR!C:O""),11,false)"),"PMW-MCE-NAS")</f>
        <v>PMW-MCE-NAS</v>
      </c>
      <c r="N1162" s="248" t="str">
        <f>IFERROR(__xludf.DUMMYFUNCTION("VLOOKUP(C1162,IMPORTRANGE(""https://docs.google.com/spreadsheets/d/1ihFlp3_ePlYtFuPbUNbYj1muErVpI73WHXbEwJDIA7Q/edit#gid=1493122344"",""MTR!C:O""),8,false)"),"Complies")</f>
        <v>Complies</v>
      </c>
      <c r="O1162" s="241" t="str">
        <f>IFERROR(__xludf.DUMMYFUNCTION("VLOOKUP(C1162,IMPORTRANGE(""https://docs.google.com/spreadsheets/d/1P8eX0NWBhUPS_hvzA11R6jkTNFrPrRYIx_dX_hYbxrk/edit?resourcekey=0-iw9bsKY2OqkUHCFMkCar3A&amp;gid=2055363397#gid=2055363397"",""MTR!C:O""),9,false)"),"")</f>
        <v/>
      </c>
      <c r="P1162" s="241"/>
      <c r="Q1162" s="251" t="s">
        <v>445</v>
      </c>
      <c r="R1162" s="241"/>
      <c r="S1162" s="154" t="s">
        <v>60</v>
      </c>
      <c r="T1162" s="154" t="s">
        <v>60</v>
      </c>
      <c r="U1162" s="154" t="s">
        <v>60</v>
      </c>
      <c r="V1162" s="154" t="s">
        <v>60</v>
      </c>
      <c r="W1162" s="154" t="s">
        <v>60</v>
      </c>
      <c r="X1162" s="154" t="s">
        <v>60</v>
      </c>
      <c r="Y1162" s="154" t="s">
        <v>60</v>
      </c>
      <c r="Z1162" s="154" t="s">
        <v>60</v>
      </c>
      <c r="AA1162" s="154" t="s">
        <v>60</v>
      </c>
      <c r="AB1162" s="154"/>
      <c r="AC1162" s="242" t="b">
        <f t="shared" si="2"/>
        <v>1</v>
      </c>
      <c r="AD1162" s="154" t="s">
        <v>391</v>
      </c>
      <c r="AE1162" s="243" t="b">
        <f t="shared" si="3"/>
        <v>0</v>
      </c>
      <c r="AF1162" s="154"/>
      <c r="AG1162" s="243" t="b">
        <f t="shared" si="7"/>
        <v>0</v>
      </c>
      <c r="AH1162" s="154"/>
      <c r="AI1162" s="243" t="str">
        <f t="shared" si="5"/>
        <v>N/A</v>
      </c>
      <c r="AJ1162" s="157" t="str">
        <f t="shared" si="6"/>
        <v/>
      </c>
    </row>
    <row r="1163" ht="12.75" customHeight="1">
      <c r="A1163" s="244" t="s">
        <v>2412</v>
      </c>
      <c r="B1163" s="244" t="s">
        <v>3102</v>
      </c>
      <c r="C1163" s="244" t="s">
        <v>3189</v>
      </c>
      <c r="D1163" s="154" t="s">
        <v>2746</v>
      </c>
      <c r="E1163" s="250"/>
      <c r="F1163" s="154" t="str">
        <f t="array" ref="F1163">XLOOKUP(Cover!$D$12,$S$1:$AA$1,$S1163:$AA1163)</f>
        <v>Mandatory</v>
      </c>
      <c r="G1163" s="154" t="s">
        <v>3190</v>
      </c>
      <c r="H1163" s="154" t="s">
        <v>398</v>
      </c>
      <c r="I1163" s="154" t="s">
        <v>389</v>
      </c>
      <c r="J1163" s="247" t="s">
        <v>445</v>
      </c>
      <c r="K1163" s="154"/>
      <c r="L1163" s="154" t="str">
        <f t="shared" si="1"/>
        <v/>
      </c>
      <c r="M1163" s="248" t="str">
        <f>IFERROR(__xludf.DUMMYFUNCTION("VLOOKUP(C1163,IMPORTRANGE(""https://docs.google.com/spreadsheets/d/1P8eX0NWBhUPS_hvzA11R6jkTNFrPrRYIx_dX_hYbxrk/edit?resourcekey=0-iw9bsKY2OqkUHCFMkCar3A&amp;gid=2055363397#gid=2055363397"",""MTR!C:O""),11,false)"),"PMW-MCE-NAS")</f>
        <v>PMW-MCE-NAS</v>
      </c>
      <c r="N1163" s="248" t="str">
        <f>IFERROR(__xludf.DUMMYFUNCTION("VLOOKUP(C1163,IMPORTRANGE(""https://docs.google.com/spreadsheets/d/1ihFlp3_ePlYtFuPbUNbYj1muErVpI73WHXbEwJDIA7Q/edit#gid=1493122344"",""MTR!C:O""),8,false)"),"Complies")</f>
        <v>Complies</v>
      </c>
      <c r="O1163" s="241" t="str">
        <f>IFERROR(__xludf.DUMMYFUNCTION("VLOOKUP(C1163,IMPORTRANGE(""https://docs.google.com/spreadsheets/d/1P8eX0NWBhUPS_hvzA11R6jkTNFrPrRYIx_dX_hYbxrk/edit?resourcekey=0-iw9bsKY2OqkUHCFMkCar3A&amp;gid=2055363397#gid=2055363397"",""MTR!C:O""),9,false)"),"")</f>
        <v/>
      </c>
      <c r="P1163" s="241"/>
      <c r="Q1163" s="251" t="s">
        <v>445</v>
      </c>
      <c r="R1163" s="241"/>
      <c r="S1163" s="154" t="s">
        <v>60</v>
      </c>
      <c r="T1163" s="154" t="s">
        <v>60</v>
      </c>
      <c r="U1163" s="154" t="s">
        <v>60</v>
      </c>
      <c r="V1163" s="154" t="s">
        <v>60</v>
      </c>
      <c r="W1163" s="154" t="s">
        <v>60</v>
      </c>
      <c r="X1163" s="154" t="s">
        <v>60</v>
      </c>
      <c r="Y1163" s="154" t="s">
        <v>60</v>
      </c>
      <c r="Z1163" s="154" t="s">
        <v>60</v>
      </c>
      <c r="AA1163" s="154" t="s">
        <v>60</v>
      </c>
      <c r="AB1163" s="154"/>
      <c r="AC1163" s="242" t="b">
        <f t="shared" si="2"/>
        <v>1</v>
      </c>
      <c r="AD1163" s="154" t="s">
        <v>391</v>
      </c>
      <c r="AE1163" s="243" t="b">
        <f t="shared" si="3"/>
        <v>0</v>
      </c>
      <c r="AF1163" s="154"/>
      <c r="AG1163" s="243" t="b">
        <f t="shared" si="7"/>
        <v>0</v>
      </c>
      <c r="AH1163" s="154"/>
      <c r="AI1163" s="243" t="str">
        <f t="shared" si="5"/>
        <v>N/A</v>
      </c>
      <c r="AJ1163" s="157" t="str">
        <f t="shared" si="6"/>
        <v/>
      </c>
    </row>
    <row r="1164" ht="12.75" customHeight="1">
      <c r="A1164" s="244" t="s">
        <v>2412</v>
      </c>
      <c r="B1164" s="244" t="s">
        <v>3102</v>
      </c>
      <c r="C1164" s="244" t="s">
        <v>3191</v>
      </c>
      <c r="D1164" s="154" t="s">
        <v>2326</v>
      </c>
      <c r="E1164" s="250"/>
      <c r="F1164" s="154" t="str">
        <f t="array" ref="F1164">XLOOKUP(Cover!$D$12,$S$1:$AA$1,$S1164:$AA1164)</f>
        <v>Mandatory</v>
      </c>
      <c r="G1164" s="154" t="s">
        <v>3192</v>
      </c>
      <c r="H1164" s="154" t="s">
        <v>398</v>
      </c>
      <c r="I1164" s="154" t="s">
        <v>389</v>
      </c>
      <c r="J1164" s="247" t="s">
        <v>445</v>
      </c>
      <c r="K1164" s="154"/>
      <c r="L1164" s="154" t="str">
        <f t="shared" si="1"/>
        <v/>
      </c>
      <c r="M1164" s="248" t="str">
        <f>IFERROR(__xludf.DUMMYFUNCTION("VLOOKUP(C1164,IMPORTRANGE(""https://docs.google.com/spreadsheets/d/1P8eX0NWBhUPS_hvzA11R6jkTNFrPrRYIx_dX_hYbxrk/edit?resourcekey=0-iw9bsKY2OqkUHCFMkCar3A&amp;gid=2055363397#gid=2055363397"",""MTR!C:O""),11,false)"),"PMW-MCE-NAS")</f>
        <v>PMW-MCE-NAS</v>
      </c>
      <c r="N1164" s="248" t="str">
        <f>IFERROR(__xludf.DUMMYFUNCTION("VLOOKUP(C1164,IMPORTRANGE(""https://docs.google.com/spreadsheets/d/1ihFlp3_ePlYtFuPbUNbYj1muErVpI73WHXbEwJDIA7Q/edit#gid=1493122344"",""MTR!C:O""),8,false)"),"Complies")</f>
        <v>Complies</v>
      </c>
      <c r="O1164" s="241" t="str">
        <f>IFERROR(__xludf.DUMMYFUNCTION("VLOOKUP(C1164,IMPORTRANGE(""https://docs.google.com/spreadsheets/d/1P8eX0NWBhUPS_hvzA11R6jkTNFrPrRYIx_dX_hYbxrk/edit?resourcekey=0-iw9bsKY2OqkUHCFMkCar3A&amp;gid=2055363397#gid=2055363397"",""MTR!C:O""),9,false)"),"")</f>
        <v/>
      </c>
      <c r="P1164" s="241"/>
      <c r="Q1164" s="251" t="s">
        <v>445</v>
      </c>
      <c r="R1164" s="241"/>
      <c r="S1164" s="154" t="s">
        <v>60</v>
      </c>
      <c r="T1164" s="154" t="s">
        <v>60</v>
      </c>
      <c r="U1164" s="154" t="s">
        <v>60</v>
      </c>
      <c r="V1164" s="154" t="s">
        <v>60</v>
      </c>
      <c r="W1164" s="154" t="s">
        <v>60</v>
      </c>
      <c r="X1164" s="154" t="s">
        <v>60</v>
      </c>
      <c r="Y1164" s="154" t="s">
        <v>60</v>
      </c>
      <c r="Z1164" s="154" t="s">
        <v>60</v>
      </c>
      <c r="AA1164" s="154" t="s">
        <v>60</v>
      </c>
      <c r="AB1164" s="154"/>
      <c r="AC1164" s="242" t="b">
        <f t="shared" si="2"/>
        <v>1</v>
      </c>
      <c r="AD1164" s="154" t="s">
        <v>391</v>
      </c>
      <c r="AE1164" s="243" t="b">
        <f t="shared" si="3"/>
        <v>0</v>
      </c>
      <c r="AF1164" s="154"/>
      <c r="AG1164" s="243" t="b">
        <f t="shared" si="7"/>
        <v>0</v>
      </c>
      <c r="AH1164" s="154"/>
      <c r="AI1164" s="243" t="str">
        <f t="shared" si="5"/>
        <v>N/A</v>
      </c>
      <c r="AJ1164" s="157" t="str">
        <f t="shared" si="6"/>
        <v/>
      </c>
    </row>
    <row r="1165" ht="12.75" customHeight="1">
      <c r="A1165" s="244" t="s">
        <v>2412</v>
      </c>
      <c r="B1165" s="244" t="s">
        <v>3102</v>
      </c>
      <c r="C1165" s="244" t="s">
        <v>3193</v>
      </c>
      <c r="D1165" s="154" t="s">
        <v>2326</v>
      </c>
      <c r="E1165" s="250"/>
      <c r="F1165" s="154" t="str">
        <f t="array" ref="F1165">XLOOKUP(Cover!$D$12,$S$1:$AA$1,$S1165:$AA1165)</f>
        <v>Mandatory</v>
      </c>
      <c r="G1165" s="154" t="s">
        <v>3194</v>
      </c>
      <c r="H1165" s="154" t="s">
        <v>398</v>
      </c>
      <c r="I1165" s="154" t="s">
        <v>389</v>
      </c>
      <c r="J1165" s="247" t="s">
        <v>445</v>
      </c>
      <c r="K1165" s="154"/>
      <c r="L1165" s="154" t="str">
        <f t="shared" si="1"/>
        <v/>
      </c>
      <c r="M1165" s="248" t="str">
        <f>IFERROR(__xludf.DUMMYFUNCTION("VLOOKUP(C1165,IMPORTRANGE(""https://docs.google.com/spreadsheets/d/1P8eX0NWBhUPS_hvzA11R6jkTNFrPrRYIx_dX_hYbxrk/edit?resourcekey=0-iw9bsKY2OqkUHCFMkCar3A&amp;gid=2055363397#gid=2055363397"",""MTR!C:O""),11,false)"),"PMW-MCE-NAS")</f>
        <v>PMW-MCE-NAS</v>
      </c>
      <c r="N1165" s="248" t="str">
        <f>IFERROR(__xludf.DUMMYFUNCTION("VLOOKUP(C1165,IMPORTRANGE(""https://docs.google.com/spreadsheets/d/1ihFlp3_ePlYtFuPbUNbYj1muErVpI73WHXbEwJDIA7Q/edit#gid=1493122344"",""MTR!C:O""),8,false)"),"Complies")</f>
        <v>Complies</v>
      </c>
      <c r="O1165" s="241" t="str">
        <f>IFERROR(__xludf.DUMMYFUNCTION("VLOOKUP(C1165,IMPORTRANGE(""https://docs.google.com/spreadsheets/d/1P8eX0NWBhUPS_hvzA11R6jkTNFrPrRYIx_dX_hYbxrk/edit?resourcekey=0-iw9bsKY2OqkUHCFMkCar3A&amp;gid=2055363397#gid=2055363397"",""MTR!C:O""),9,false)"),"")</f>
        <v/>
      </c>
      <c r="P1165" s="241"/>
      <c r="Q1165" s="251" t="s">
        <v>445</v>
      </c>
      <c r="R1165" s="241"/>
      <c r="S1165" s="154" t="s">
        <v>60</v>
      </c>
      <c r="T1165" s="154" t="s">
        <v>60</v>
      </c>
      <c r="U1165" s="154" t="s">
        <v>60</v>
      </c>
      <c r="V1165" s="154" t="s">
        <v>60</v>
      </c>
      <c r="W1165" s="154" t="s">
        <v>60</v>
      </c>
      <c r="X1165" s="154" t="s">
        <v>60</v>
      </c>
      <c r="Y1165" s="154" t="s">
        <v>60</v>
      </c>
      <c r="Z1165" s="154" t="s">
        <v>60</v>
      </c>
      <c r="AA1165" s="154" t="s">
        <v>60</v>
      </c>
      <c r="AB1165" s="154"/>
      <c r="AC1165" s="242" t="b">
        <f t="shared" si="2"/>
        <v>1</v>
      </c>
      <c r="AD1165" s="154" t="s">
        <v>391</v>
      </c>
      <c r="AE1165" s="243" t="b">
        <f t="shared" si="3"/>
        <v>0</v>
      </c>
      <c r="AF1165" s="154"/>
      <c r="AG1165" s="243" t="b">
        <f t="shared" si="7"/>
        <v>0</v>
      </c>
      <c r="AH1165" s="154"/>
      <c r="AI1165" s="243" t="str">
        <f t="shared" si="5"/>
        <v>N/A</v>
      </c>
      <c r="AJ1165" s="157" t="str">
        <f t="shared" si="6"/>
        <v/>
      </c>
    </row>
    <row r="1166" ht="12.75" customHeight="1">
      <c r="A1166" s="244" t="s">
        <v>2412</v>
      </c>
      <c r="B1166" s="244" t="s">
        <v>3102</v>
      </c>
      <c r="C1166" s="244" t="s">
        <v>3195</v>
      </c>
      <c r="D1166" s="154" t="s">
        <v>2746</v>
      </c>
      <c r="E1166" s="250"/>
      <c r="F1166" s="154" t="str">
        <f t="array" ref="F1166">XLOOKUP(Cover!$D$12,$S$1:$AA$1,$S1166:$AA1166)</f>
        <v>Mandatory</v>
      </c>
      <c r="G1166" s="154" t="s">
        <v>3196</v>
      </c>
      <c r="H1166" s="154" t="s">
        <v>398</v>
      </c>
      <c r="I1166" s="154" t="s">
        <v>389</v>
      </c>
      <c r="J1166" s="247" t="s">
        <v>445</v>
      </c>
      <c r="K1166" s="154"/>
      <c r="L1166" s="154" t="str">
        <f t="shared" si="1"/>
        <v/>
      </c>
      <c r="M1166" s="248" t="str">
        <f>IFERROR(__xludf.DUMMYFUNCTION("VLOOKUP(C1166,IMPORTRANGE(""https://docs.google.com/spreadsheets/d/1P8eX0NWBhUPS_hvzA11R6jkTNFrPrRYIx_dX_hYbxrk/edit?resourcekey=0-iw9bsKY2OqkUHCFMkCar3A&amp;gid=2055363397#gid=2055363397"",""MTR!C:O""),11,false)"),"PMW-MCE-NAS")</f>
        <v>PMW-MCE-NAS</v>
      </c>
      <c r="N1166" s="248" t="str">
        <f>IFERROR(__xludf.DUMMYFUNCTION("VLOOKUP(C1166,IMPORTRANGE(""https://docs.google.com/spreadsheets/d/1ihFlp3_ePlYtFuPbUNbYj1muErVpI73WHXbEwJDIA7Q/edit#gid=1493122344"",""MTR!C:O""),8,false)"),"Complies")</f>
        <v>Complies</v>
      </c>
      <c r="O1166" s="241" t="str">
        <f>IFERROR(__xludf.DUMMYFUNCTION("VLOOKUP(C1166,IMPORTRANGE(""https://docs.google.com/spreadsheets/d/1P8eX0NWBhUPS_hvzA11R6jkTNFrPrRYIx_dX_hYbxrk/edit?resourcekey=0-iw9bsKY2OqkUHCFMkCar3A&amp;gid=2055363397#gid=2055363397"",""MTR!C:O""),9,false)"),"")</f>
        <v/>
      </c>
      <c r="P1166" s="241"/>
      <c r="Q1166" s="251" t="s">
        <v>445</v>
      </c>
      <c r="R1166" s="241"/>
      <c r="S1166" s="154" t="s">
        <v>60</v>
      </c>
      <c r="T1166" s="154" t="s">
        <v>60</v>
      </c>
      <c r="U1166" s="154" t="s">
        <v>60</v>
      </c>
      <c r="V1166" s="154" t="s">
        <v>60</v>
      </c>
      <c r="W1166" s="154" t="s">
        <v>60</v>
      </c>
      <c r="X1166" s="154" t="s">
        <v>60</v>
      </c>
      <c r="Y1166" s="154" t="s">
        <v>60</v>
      </c>
      <c r="Z1166" s="154" t="s">
        <v>60</v>
      </c>
      <c r="AA1166" s="154" t="s">
        <v>60</v>
      </c>
      <c r="AB1166" s="154"/>
      <c r="AC1166" s="242" t="b">
        <f t="shared" si="2"/>
        <v>1</v>
      </c>
      <c r="AD1166" s="154" t="s">
        <v>391</v>
      </c>
      <c r="AE1166" s="243" t="b">
        <f t="shared" si="3"/>
        <v>0</v>
      </c>
      <c r="AF1166" s="154"/>
      <c r="AG1166" s="243" t="b">
        <f t="shared" si="7"/>
        <v>0</v>
      </c>
      <c r="AH1166" s="154"/>
      <c r="AI1166" s="243" t="str">
        <f t="shared" si="5"/>
        <v>N/A</v>
      </c>
      <c r="AJ1166" s="157" t="str">
        <f t="shared" si="6"/>
        <v/>
      </c>
    </row>
    <row r="1167" ht="12.75" customHeight="1">
      <c r="A1167" s="244" t="s">
        <v>2412</v>
      </c>
      <c r="B1167" s="244" t="s">
        <v>3102</v>
      </c>
      <c r="C1167" s="244" t="s">
        <v>3197</v>
      </c>
      <c r="D1167" s="154" t="s">
        <v>2746</v>
      </c>
      <c r="E1167" s="250"/>
      <c r="F1167" s="154" t="str">
        <f t="array" ref="F1167">XLOOKUP(Cover!$D$12,$S$1:$AA$1,$S1167:$AA1167)</f>
        <v>Mandatory</v>
      </c>
      <c r="G1167" s="154" t="s">
        <v>3198</v>
      </c>
      <c r="H1167" s="154" t="s">
        <v>398</v>
      </c>
      <c r="I1167" s="154" t="s">
        <v>389</v>
      </c>
      <c r="J1167" s="247" t="s">
        <v>445</v>
      </c>
      <c r="K1167" s="154"/>
      <c r="L1167" s="154" t="str">
        <f t="shared" si="1"/>
        <v/>
      </c>
      <c r="M1167" s="248" t="str">
        <f>IFERROR(__xludf.DUMMYFUNCTION("VLOOKUP(C1167,IMPORTRANGE(""https://docs.google.com/spreadsheets/d/1P8eX0NWBhUPS_hvzA11R6jkTNFrPrRYIx_dX_hYbxrk/edit?resourcekey=0-iw9bsKY2OqkUHCFMkCar3A&amp;gid=2055363397#gid=2055363397"",""MTR!C:O""),11,false)"),"PMW-MCE-NAS")</f>
        <v>PMW-MCE-NAS</v>
      </c>
      <c r="N1167" s="248" t="str">
        <f>IFERROR(__xludf.DUMMYFUNCTION("VLOOKUP(C1167,IMPORTRANGE(""https://docs.google.com/spreadsheets/d/1ihFlp3_ePlYtFuPbUNbYj1muErVpI73WHXbEwJDIA7Q/edit#gid=1493122344"",""MTR!C:O""),8,false)"),"Complies")</f>
        <v>Complies</v>
      </c>
      <c r="O1167" s="241" t="str">
        <f>IFERROR(__xludf.DUMMYFUNCTION("VLOOKUP(C1167,IMPORTRANGE(""https://docs.google.com/spreadsheets/d/1P8eX0NWBhUPS_hvzA11R6jkTNFrPrRYIx_dX_hYbxrk/edit?resourcekey=0-iw9bsKY2OqkUHCFMkCar3A&amp;gid=2055363397#gid=2055363397"",""MTR!C:O""),9,false)"),"")</f>
        <v/>
      </c>
      <c r="P1167" s="241"/>
      <c r="Q1167" s="251" t="s">
        <v>445</v>
      </c>
      <c r="R1167" s="241"/>
      <c r="S1167" s="154" t="s">
        <v>60</v>
      </c>
      <c r="T1167" s="154" t="s">
        <v>60</v>
      </c>
      <c r="U1167" s="154" t="s">
        <v>60</v>
      </c>
      <c r="V1167" s="154" t="s">
        <v>60</v>
      </c>
      <c r="W1167" s="154" t="s">
        <v>60</v>
      </c>
      <c r="X1167" s="154" t="s">
        <v>60</v>
      </c>
      <c r="Y1167" s="154" t="s">
        <v>60</v>
      </c>
      <c r="Z1167" s="154" t="s">
        <v>60</v>
      </c>
      <c r="AA1167" s="154" t="s">
        <v>60</v>
      </c>
      <c r="AB1167" s="154"/>
      <c r="AC1167" s="242" t="b">
        <f t="shared" si="2"/>
        <v>1</v>
      </c>
      <c r="AD1167" s="154" t="s">
        <v>391</v>
      </c>
      <c r="AE1167" s="243" t="b">
        <f t="shared" si="3"/>
        <v>0</v>
      </c>
      <c r="AF1167" s="154"/>
      <c r="AG1167" s="243" t="b">
        <f t="shared" si="7"/>
        <v>0</v>
      </c>
      <c r="AH1167" s="154"/>
      <c r="AI1167" s="243" t="str">
        <f t="shared" si="5"/>
        <v>N/A</v>
      </c>
      <c r="AJ1167" s="157" t="str">
        <f t="shared" si="6"/>
        <v/>
      </c>
    </row>
    <row r="1168" ht="12.75" customHeight="1">
      <c r="A1168" s="244" t="s">
        <v>2412</v>
      </c>
      <c r="B1168" s="244" t="s">
        <v>3102</v>
      </c>
      <c r="C1168" s="244" t="s">
        <v>3199</v>
      </c>
      <c r="D1168" s="154" t="s">
        <v>2746</v>
      </c>
      <c r="E1168" s="250"/>
      <c r="F1168" s="154" t="str">
        <f t="array" ref="F1168">XLOOKUP(Cover!$D$12,$S$1:$AA$1,$S1168:$AA1168)</f>
        <v>Mandatory</v>
      </c>
      <c r="G1168" s="154" t="s">
        <v>3200</v>
      </c>
      <c r="H1168" s="154" t="s">
        <v>398</v>
      </c>
      <c r="I1168" s="154" t="s">
        <v>389</v>
      </c>
      <c r="J1168" s="247" t="s">
        <v>445</v>
      </c>
      <c r="K1168" s="154"/>
      <c r="L1168" s="154" t="str">
        <f t="shared" si="1"/>
        <v/>
      </c>
      <c r="M1168" s="248" t="str">
        <f>IFERROR(__xludf.DUMMYFUNCTION("VLOOKUP(C1168,IMPORTRANGE(""https://docs.google.com/spreadsheets/d/1P8eX0NWBhUPS_hvzA11R6jkTNFrPrRYIx_dX_hYbxrk/edit?resourcekey=0-iw9bsKY2OqkUHCFMkCar3A&amp;gid=2055363397#gid=2055363397"",""MTR!C:O""),11,false)"),"PMW-MCE-NAS")</f>
        <v>PMW-MCE-NAS</v>
      </c>
      <c r="N1168" s="248" t="str">
        <f>IFERROR(__xludf.DUMMYFUNCTION("VLOOKUP(C1168,IMPORTRANGE(""https://docs.google.com/spreadsheets/d/1ihFlp3_ePlYtFuPbUNbYj1muErVpI73WHXbEwJDIA7Q/edit#gid=1493122344"",""MTR!C:O""),8,false)"),"Complies")</f>
        <v>Complies</v>
      </c>
      <c r="O1168" s="241" t="str">
        <f>IFERROR(__xludf.DUMMYFUNCTION("VLOOKUP(C1168,IMPORTRANGE(""https://docs.google.com/spreadsheets/d/1P8eX0NWBhUPS_hvzA11R6jkTNFrPrRYIx_dX_hYbxrk/edit?resourcekey=0-iw9bsKY2OqkUHCFMkCar3A&amp;gid=2055363397#gid=2055363397"",""MTR!C:O""),9,false)"),"")</f>
        <v/>
      </c>
      <c r="P1168" s="241"/>
      <c r="Q1168" s="251" t="s">
        <v>445</v>
      </c>
      <c r="R1168" s="241"/>
      <c r="S1168" s="154" t="s">
        <v>60</v>
      </c>
      <c r="T1168" s="154" t="s">
        <v>60</v>
      </c>
      <c r="U1168" s="154" t="s">
        <v>60</v>
      </c>
      <c r="V1168" s="154" t="s">
        <v>60</v>
      </c>
      <c r="W1168" s="154" t="s">
        <v>60</v>
      </c>
      <c r="X1168" s="154" t="s">
        <v>60</v>
      </c>
      <c r="Y1168" s="154" t="s">
        <v>60</v>
      </c>
      <c r="Z1168" s="154" t="s">
        <v>60</v>
      </c>
      <c r="AA1168" s="154" t="s">
        <v>60</v>
      </c>
      <c r="AB1168" s="154"/>
      <c r="AC1168" s="242" t="b">
        <f t="shared" si="2"/>
        <v>1</v>
      </c>
      <c r="AD1168" s="154" t="s">
        <v>391</v>
      </c>
      <c r="AE1168" s="243" t="b">
        <f t="shared" si="3"/>
        <v>0</v>
      </c>
      <c r="AF1168" s="154"/>
      <c r="AG1168" s="243" t="b">
        <f t="shared" si="7"/>
        <v>0</v>
      </c>
      <c r="AH1168" s="154"/>
      <c r="AI1168" s="243" t="str">
        <f t="shared" si="5"/>
        <v>N/A</v>
      </c>
      <c r="AJ1168" s="157" t="str">
        <f t="shared" si="6"/>
        <v/>
      </c>
    </row>
    <row r="1169" ht="12.75" customHeight="1">
      <c r="A1169" s="244" t="s">
        <v>2412</v>
      </c>
      <c r="B1169" s="244" t="s">
        <v>3102</v>
      </c>
      <c r="C1169" s="244" t="s">
        <v>3201</v>
      </c>
      <c r="D1169" s="154" t="s">
        <v>2802</v>
      </c>
      <c r="E1169" s="250"/>
      <c r="F1169" s="154" t="str">
        <f t="array" ref="F1169">XLOOKUP(Cover!$D$12,$S$1:$AA$1,$S1169:$AA1169)</f>
        <v>Mandatory</v>
      </c>
      <c r="G1169" s="154" t="s">
        <v>3202</v>
      </c>
      <c r="H1169" s="154" t="s">
        <v>398</v>
      </c>
      <c r="I1169" s="154" t="s">
        <v>389</v>
      </c>
      <c r="J1169" s="247" t="s">
        <v>445</v>
      </c>
      <c r="K1169" s="154"/>
      <c r="L1169" s="154" t="str">
        <f t="shared" si="1"/>
        <v/>
      </c>
      <c r="M1169" s="248" t="str">
        <f>IFERROR(__xludf.DUMMYFUNCTION("VLOOKUP(C1169,IMPORTRANGE(""https://docs.google.com/spreadsheets/d/1P8eX0NWBhUPS_hvzA11R6jkTNFrPrRYIx_dX_hYbxrk/edit?resourcekey=0-iw9bsKY2OqkUHCFMkCar3A&amp;gid=2055363397#gid=2055363397"",""MTR!C:O""),11,false)"),"PMW-MCE-NAS")</f>
        <v>PMW-MCE-NAS</v>
      </c>
      <c r="N1169" s="248" t="str">
        <f>IFERROR(__xludf.DUMMYFUNCTION("VLOOKUP(C1169,IMPORTRANGE(""https://docs.google.com/spreadsheets/d/1ihFlp3_ePlYtFuPbUNbYj1muErVpI73WHXbEwJDIA7Q/edit#gid=1493122344"",""MTR!C:O""),8,false)"),"Complies")</f>
        <v>Complies</v>
      </c>
      <c r="O1169" s="241" t="str">
        <f>IFERROR(__xludf.DUMMYFUNCTION("VLOOKUP(C1169,IMPORTRANGE(""https://docs.google.com/spreadsheets/d/1P8eX0NWBhUPS_hvzA11R6jkTNFrPrRYIx_dX_hYbxrk/edit?resourcekey=0-iw9bsKY2OqkUHCFMkCar3A&amp;gid=2055363397#gid=2055363397"",""MTR!C:O""),9,false)"),"")</f>
        <v/>
      </c>
      <c r="P1169" s="241"/>
      <c r="Q1169" s="251" t="s">
        <v>445</v>
      </c>
      <c r="R1169" s="241"/>
      <c r="S1169" s="154" t="s">
        <v>60</v>
      </c>
      <c r="T1169" s="154" t="s">
        <v>60</v>
      </c>
      <c r="U1169" s="154" t="s">
        <v>60</v>
      </c>
      <c r="V1169" s="154" t="s">
        <v>60</v>
      </c>
      <c r="W1169" s="154" t="s">
        <v>60</v>
      </c>
      <c r="X1169" s="154" t="s">
        <v>60</v>
      </c>
      <c r="Y1169" s="154" t="s">
        <v>60</v>
      </c>
      <c r="Z1169" s="154" t="s">
        <v>60</v>
      </c>
      <c r="AA1169" s="154" t="s">
        <v>60</v>
      </c>
      <c r="AB1169" s="154"/>
      <c r="AC1169" s="242" t="b">
        <f t="shared" si="2"/>
        <v>1</v>
      </c>
      <c r="AD1169" s="154" t="s">
        <v>391</v>
      </c>
      <c r="AE1169" s="243" t="b">
        <f t="shared" si="3"/>
        <v>0</v>
      </c>
      <c r="AF1169" s="154"/>
      <c r="AG1169" s="243" t="b">
        <f t="shared" si="7"/>
        <v>0</v>
      </c>
      <c r="AH1169" s="154"/>
      <c r="AI1169" s="243" t="str">
        <f t="shared" si="5"/>
        <v>N/A</v>
      </c>
      <c r="AJ1169" s="157" t="str">
        <f t="shared" si="6"/>
        <v/>
      </c>
    </row>
    <row r="1170" ht="12.75" customHeight="1">
      <c r="A1170" s="238" t="s">
        <v>2412</v>
      </c>
      <c r="B1170" s="238" t="s">
        <v>3102</v>
      </c>
      <c r="C1170" s="238" t="s">
        <v>3203</v>
      </c>
      <c r="D1170" s="238"/>
      <c r="E1170" s="238"/>
      <c r="F1170" s="154" t="str">
        <f t="array" ref="F1170">XLOOKUP(Cover!$D$12,$S$1:$AA$1,$S1170:$AA1170)</f>
        <v>Heading</v>
      </c>
      <c r="G1170" s="239" t="s">
        <v>3204</v>
      </c>
      <c r="H1170" s="240"/>
      <c r="I1170" s="240" t="s">
        <v>389</v>
      </c>
      <c r="J1170" s="240"/>
      <c r="K1170" s="240"/>
      <c r="L1170" s="154" t="str">
        <f t="shared" si="1"/>
        <v/>
      </c>
      <c r="M1170" s="241" t="str">
        <f>IFERROR(__xludf.DUMMYFUNCTION("VLOOKUP(C1170,IMPORTRANGE(""https://docs.google.com/spreadsheets/d/1P8eX0NWBhUPS_hvzA11R6jkTNFrPrRYIx_dX_hYbxrk/edit?resourcekey=0-iw9bsKY2OqkUHCFMkCar3A&amp;gid=2055363397#gid=2055363397"",""MTR!C:O""),11,false)"),"")</f>
        <v/>
      </c>
      <c r="N1170" s="241" t="str">
        <f>IFERROR(__xludf.DUMMYFUNCTION("VLOOKUP(C1170,IMPORTRANGE(""https://docs.google.com/spreadsheets/d/1ihFlp3_ePlYtFuPbUNbYj1muErVpI73WHXbEwJDIA7Q/edit#gid=1493122344"",""MTR!C:O""),8,false)"),"")</f>
        <v/>
      </c>
      <c r="O1170" s="241" t="str">
        <f>IFERROR(__xludf.DUMMYFUNCTION("VLOOKUP(C1170,IMPORTRANGE(""https://docs.google.com/spreadsheets/d/1P8eX0NWBhUPS_hvzA11R6jkTNFrPrRYIx_dX_hYbxrk/edit?resourcekey=0-iw9bsKY2OqkUHCFMkCar3A&amp;gid=2055363397#gid=2055363397"",""MTR!C:O""),9,false)"),"")</f>
        <v/>
      </c>
      <c r="P1170" s="241"/>
      <c r="Q1170" s="251"/>
      <c r="R1170" s="241"/>
      <c r="S1170" s="240" t="s">
        <v>390</v>
      </c>
      <c r="T1170" s="240" t="s">
        <v>390</v>
      </c>
      <c r="U1170" s="240" t="s">
        <v>390</v>
      </c>
      <c r="V1170" s="240" t="s">
        <v>390</v>
      </c>
      <c r="W1170" s="240" t="s">
        <v>390</v>
      </c>
      <c r="X1170" s="240" t="s">
        <v>390</v>
      </c>
      <c r="Y1170" s="240" t="s">
        <v>390</v>
      </c>
      <c r="Z1170" s="240" t="s">
        <v>390</v>
      </c>
      <c r="AA1170" s="240" t="s">
        <v>390</v>
      </c>
      <c r="AB1170" s="240"/>
      <c r="AC1170" s="242" t="b">
        <f t="shared" si="2"/>
        <v>0</v>
      </c>
      <c r="AD1170" s="240" t="s">
        <v>391</v>
      </c>
      <c r="AE1170" s="243" t="b">
        <f t="shared" si="3"/>
        <v>0</v>
      </c>
      <c r="AF1170" s="240"/>
      <c r="AG1170" s="243" t="b">
        <f t="shared" si="7"/>
        <v>0</v>
      </c>
      <c r="AH1170" s="240"/>
      <c r="AI1170" s="243" t="str">
        <f t="shared" si="5"/>
        <v>N/A</v>
      </c>
      <c r="AJ1170" s="157" t="str">
        <f t="shared" si="6"/>
        <v/>
      </c>
    </row>
    <row r="1171" ht="12.75" customHeight="1">
      <c r="A1171" s="244" t="s">
        <v>2412</v>
      </c>
      <c r="B1171" s="244" t="s">
        <v>3102</v>
      </c>
      <c r="C1171" s="244" t="s">
        <v>3205</v>
      </c>
      <c r="D1171" s="154" t="s">
        <v>2746</v>
      </c>
      <c r="E1171" s="250"/>
      <c r="F1171" s="154" t="str">
        <f t="array" ref="F1171">XLOOKUP(Cover!$D$12,$S$1:$AA$1,$S1171:$AA1171)</f>
        <v>Mandatory</v>
      </c>
      <c r="G1171" s="154" t="s">
        <v>3206</v>
      </c>
      <c r="H1171" s="154" t="s">
        <v>398</v>
      </c>
      <c r="I1171" s="154" t="s">
        <v>389</v>
      </c>
      <c r="J1171" s="154" t="s">
        <v>445</v>
      </c>
      <c r="K1171" s="154"/>
      <c r="L1171" s="154" t="str">
        <f t="shared" si="1"/>
        <v/>
      </c>
      <c r="M1171" s="248" t="str">
        <f>IFERROR(__xludf.DUMMYFUNCTION("VLOOKUP(C1171,IMPORTRANGE(""https://docs.google.com/spreadsheets/d/1P8eX0NWBhUPS_hvzA11R6jkTNFrPrRYIx_dX_hYbxrk/edit?resourcekey=0-iw9bsKY2OqkUHCFMkCar3A&amp;gid=2055363397#gid=2055363397"",""MTR!C:O""),11,false)"),"PMW-MCE-NAS")</f>
        <v>PMW-MCE-NAS</v>
      </c>
      <c r="N1171" s="248" t="str">
        <f>IFERROR(__xludf.DUMMYFUNCTION("VLOOKUP(C1171,IMPORTRANGE(""https://docs.google.com/spreadsheets/d/1ihFlp3_ePlYtFuPbUNbYj1muErVpI73WHXbEwJDIA7Q/edit#gid=1493122344"",""MTR!C:O""),8,false)"),"Complies")</f>
        <v>Complies</v>
      </c>
      <c r="O1171" s="241" t="str">
        <f>IFERROR(__xludf.DUMMYFUNCTION("VLOOKUP(C1171,IMPORTRANGE(""https://docs.google.com/spreadsheets/d/1P8eX0NWBhUPS_hvzA11R6jkTNFrPrRYIx_dX_hYbxrk/edit?resourcekey=0-iw9bsKY2OqkUHCFMkCar3A&amp;gid=2055363397#gid=2055363397"",""MTR!C:O""),9,false)"),"")</f>
        <v/>
      </c>
      <c r="P1171" s="241"/>
      <c r="Q1171" s="251" t="s">
        <v>445</v>
      </c>
      <c r="R1171" s="241"/>
      <c r="S1171" s="154" t="s">
        <v>60</v>
      </c>
      <c r="T1171" s="154" t="s">
        <v>60</v>
      </c>
      <c r="U1171" s="154" t="s">
        <v>60</v>
      </c>
      <c r="V1171" s="154" t="s">
        <v>60</v>
      </c>
      <c r="W1171" s="154" t="s">
        <v>60</v>
      </c>
      <c r="X1171" s="154" t="s">
        <v>60</v>
      </c>
      <c r="Y1171" s="154" t="s">
        <v>60</v>
      </c>
      <c r="Z1171" s="154" t="s">
        <v>60</v>
      </c>
      <c r="AA1171" s="154" t="s">
        <v>60</v>
      </c>
      <c r="AB1171" s="154"/>
      <c r="AC1171" s="242" t="b">
        <f t="shared" si="2"/>
        <v>1</v>
      </c>
      <c r="AD1171" s="154" t="s">
        <v>391</v>
      </c>
      <c r="AE1171" s="243" t="b">
        <f t="shared" si="3"/>
        <v>0</v>
      </c>
      <c r="AF1171" s="154"/>
      <c r="AG1171" s="243" t="b">
        <f t="shared" si="7"/>
        <v>0</v>
      </c>
      <c r="AH1171" s="154"/>
      <c r="AI1171" s="243" t="str">
        <f t="shared" si="5"/>
        <v>N/A</v>
      </c>
      <c r="AJ1171" s="157" t="str">
        <f t="shared" si="6"/>
        <v/>
      </c>
    </row>
    <row r="1172" ht="12.75" customHeight="1">
      <c r="A1172" s="244" t="s">
        <v>2412</v>
      </c>
      <c r="B1172" s="244" t="s">
        <v>3102</v>
      </c>
      <c r="C1172" s="244" t="s">
        <v>3207</v>
      </c>
      <c r="D1172" s="154" t="s">
        <v>477</v>
      </c>
      <c r="E1172" s="250"/>
      <c r="F1172" s="154" t="str">
        <f t="array" ref="F1172">XLOOKUP(Cover!$D$12,$S$1:$AA$1,$S1172:$AA1172)</f>
        <v>Mandatory</v>
      </c>
      <c r="G1172" s="154" t="s">
        <v>3208</v>
      </c>
      <c r="H1172" s="154" t="s">
        <v>398</v>
      </c>
      <c r="I1172" s="154" t="s">
        <v>389</v>
      </c>
      <c r="J1172" s="247" t="s">
        <v>445</v>
      </c>
      <c r="K1172" s="154"/>
      <c r="L1172" s="154" t="str">
        <f t="shared" si="1"/>
        <v/>
      </c>
      <c r="M1172" s="248" t="str">
        <f>IFERROR(__xludf.DUMMYFUNCTION("VLOOKUP(C1172,IMPORTRANGE(""https://docs.google.com/spreadsheets/d/1P8eX0NWBhUPS_hvzA11R6jkTNFrPrRYIx_dX_hYbxrk/edit?resourcekey=0-iw9bsKY2OqkUHCFMkCar3A&amp;gid=2055363397#gid=2055363397"",""MTR!C:O""),11,false)"),"PMW-MCE-NAS")</f>
        <v>PMW-MCE-NAS</v>
      </c>
      <c r="N1172" s="248" t="str">
        <f>IFERROR(__xludf.DUMMYFUNCTION("VLOOKUP(C1172,IMPORTRANGE(""https://docs.google.com/spreadsheets/d/1ihFlp3_ePlYtFuPbUNbYj1muErVpI73WHXbEwJDIA7Q/edit#gid=1493122344"",""MTR!C:O""),8,false)"),"Complies")</f>
        <v>Complies</v>
      </c>
      <c r="O1172" s="241" t="str">
        <f>IFERROR(__xludf.DUMMYFUNCTION("VLOOKUP(C1172,IMPORTRANGE(""https://docs.google.com/spreadsheets/d/1P8eX0NWBhUPS_hvzA11R6jkTNFrPrRYIx_dX_hYbxrk/edit?resourcekey=0-iw9bsKY2OqkUHCFMkCar3A&amp;gid=2055363397#gid=2055363397"",""MTR!C:O""),9,false)"),"")</f>
        <v/>
      </c>
      <c r="P1172" s="241"/>
      <c r="Q1172" s="251" t="s">
        <v>445</v>
      </c>
      <c r="R1172" s="241"/>
      <c r="S1172" s="154" t="s">
        <v>60</v>
      </c>
      <c r="T1172" s="154" t="s">
        <v>60</v>
      </c>
      <c r="U1172" s="154" t="s">
        <v>60</v>
      </c>
      <c r="V1172" s="154" t="s">
        <v>60</v>
      </c>
      <c r="W1172" s="154" t="s">
        <v>60</v>
      </c>
      <c r="X1172" s="154" t="s">
        <v>60</v>
      </c>
      <c r="Y1172" s="154" t="s">
        <v>60</v>
      </c>
      <c r="Z1172" s="154" t="s">
        <v>60</v>
      </c>
      <c r="AA1172" s="154" t="s">
        <v>60</v>
      </c>
      <c r="AB1172" s="154"/>
      <c r="AC1172" s="242" t="b">
        <f t="shared" si="2"/>
        <v>1</v>
      </c>
      <c r="AD1172" s="154" t="s">
        <v>391</v>
      </c>
      <c r="AE1172" s="243" t="b">
        <f t="shared" si="3"/>
        <v>0</v>
      </c>
      <c r="AF1172" s="154"/>
      <c r="AG1172" s="243" t="b">
        <f t="shared" si="7"/>
        <v>0</v>
      </c>
      <c r="AH1172" s="154"/>
      <c r="AI1172" s="243" t="str">
        <f t="shared" si="5"/>
        <v>N/A</v>
      </c>
      <c r="AJ1172" s="157" t="str">
        <f t="shared" si="6"/>
        <v/>
      </c>
    </row>
    <row r="1173" ht="12.75" customHeight="1">
      <c r="A1173" s="244" t="s">
        <v>2412</v>
      </c>
      <c r="B1173" s="244" t="s">
        <v>3102</v>
      </c>
      <c r="C1173" s="244" t="s">
        <v>3209</v>
      </c>
      <c r="D1173" s="154" t="s">
        <v>2746</v>
      </c>
      <c r="E1173" s="250"/>
      <c r="F1173" s="154" t="str">
        <f t="array" ref="F1173">XLOOKUP(Cover!$D$12,$S$1:$AA$1,$S1173:$AA1173)</f>
        <v>Mandatory</v>
      </c>
      <c r="G1173" s="154" t="s">
        <v>3210</v>
      </c>
      <c r="H1173" s="154" t="s">
        <v>398</v>
      </c>
      <c r="I1173" s="154" t="s">
        <v>389</v>
      </c>
      <c r="J1173" s="247" t="s">
        <v>445</v>
      </c>
      <c r="K1173" s="154"/>
      <c r="L1173" s="154" t="str">
        <f t="shared" si="1"/>
        <v/>
      </c>
      <c r="M1173" s="248" t="str">
        <f>IFERROR(__xludf.DUMMYFUNCTION("VLOOKUP(C1173,IMPORTRANGE(""https://docs.google.com/spreadsheets/d/1P8eX0NWBhUPS_hvzA11R6jkTNFrPrRYIx_dX_hYbxrk/edit?resourcekey=0-iw9bsKY2OqkUHCFMkCar3A&amp;gid=2055363397#gid=2055363397"",""MTR!C:O""),11,false)"),"PMW-MCE-NAS")</f>
        <v>PMW-MCE-NAS</v>
      </c>
      <c r="N1173" s="248" t="str">
        <f>IFERROR(__xludf.DUMMYFUNCTION("VLOOKUP(C1173,IMPORTRANGE(""https://docs.google.com/spreadsheets/d/1ihFlp3_ePlYtFuPbUNbYj1muErVpI73WHXbEwJDIA7Q/edit#gid=1493122344"",""MTR!C:O""),8,false)"),"Complies")</f>
        <v>Complies</v>
      </c>
      <c r="O1173" s="241" t="str">
        <f>IFERROR(__xludf.DUMMYFUNCTION("VLOOKUP(C1173,IMPORTRANGE(""https://docs.google.com/spreadsheets/d/1P8eX0NWBhUPS_hvzA11R6jkTNFrPrRYIx_dX_hYbxrk/edit?resourcekey=0-iw9bsKY2OqkUHCFMkCar3A&amp;gid=2055363397#gid=2055363397"",""MTR!C:O""),9,false)"),"")</f>
        <v/>
      </c>
      <c r="P1173" s="241"/>
      <c r="Q1173" s="251" t="s">
        <v>445</v>
      </c>
      <c r="R1173" s="241"/>
      <c r="S1173" s="154" t="s">
        <v>60</v>
      </c>
      <c r="T1173" s="154" t="s">
        <v>60</v>
      </c>
      <c r="U1173" s="154" t="s">
        <v>60</v>
      </c>
      <c r="V1173" s="154" t="s">
        <v>60</v>
      </c>
      <c r="W1173" s="154" t="s">
        <v>60</v>
      </c>
      <c r="X1173" s="154" t="s">
        <v>60</v>
      </c>
      <c r="Y1173" s="154" t="s">
        <v>60</v>
      </c>
      <c r="Z1173" s="154" t="s">
        <v>60</v>
      </c>
      <c r="AA1173" s="154" t="s">
        <v>60</v>
      </c>
      <c r="AB1173" s="154"/>
      <c r="AC1173" s="242" t="b">
        <f t="shared" si="2"/>
        <v>1</v>
      </c>
      <c r="AD1173" s="154" t="s">
        <v>391</v>
      </c>
      <c r="AE1173" s="243" t="b">
        <f t="shared" si="3"/>
        <v>0</v>
      </c>
      <c r="AF1173" s="154"/>
      <c r="AG1173" s="243" t="b">
        <f t="shared" si="7"/>
        <v>0</v>
      </c>
      <c r="AH1173" s="154"/>
      <c r="AI1173" s="243" t="str">
        <f t="shared" si="5"/>
        <v>N/A</v>
      </c>
      <c r="AJ1173" s="157" t="str">
        <f t="shared" si="6"/>
        <v/>
      </c>
    </row>
    <row r="1174" ht="12.75" customHeight="1">
      <c r="A1174" s="244" t="s">
        <v>2412</v>
      </c>
      <c r="B1174" s="244" t="s">
        <v>3102</v>
      </c>
      <c r="C1174" s="244" t="s">
        <v>3211</v>
      </c>
      <c r="D1174" s="154" t="s">
        <v>2326</v>
      </c>
      <c r="E1174" s="250"/>
      <c r="F1174" s="154" t="str">
        <f t="array" ref="F1174">XLOOKUP(Cover!$D$12,$S$1:$AA$1,$S1174:$AA1174)</f>
        <v>Information</v>
      </c>
      <c r="G1174" s="154" t="s">
        <v>3212</v>
      </c>
      <c r="H1174" s="154" t="s">
        <v>398</v>
      </c>
      <c r="I1174" s="154" t="s">
        <v>389</v>
      </c>
      <c r="J1174" s="247" t="s">
        <v>445</v>
      </c>
      <c r="K1174" s="154"/>
      <c r="L1174" s="154" t="str">
        <f t="shared" si="1"/>
        <v/>
      </c>
      <c r="M1174" s="248" t="str">
        <f>IFERROR(__xludf.DUMMYFUNCTION("VLOOKUP(C1174,IMPORTRANGE(""https://docs.google.com/spreadsheets/d/1P8eX0NWBhUPS_hvzA11R6jkTNFrPrRYIx_dX_hYbxrk/edit?resourcekey=0-iw9bsKY2OqkUHCFMkCar3A&amp;gid=2055363397#gid=2055363397"",""MTR!C:O""),11,false)"),"PMW-MCE-NAS")</f>
        <v>PMW-MCE-NAS</v>
      </c>
      <c r="N1174" s="248" t="str">
        <f>IFERROR(__xludf.DUMMYFUNCTION("VLOOKUP(C1174,IMPORTRANGE(""https://docs.google.com/spreadsheets/d/1ihFlp3_ePlYtFuPbUNbYj1muErVpI73WHXbEwJDIA7Q/edit#gid=1493122344"",""MTR!C:O""),8,false)"),"Complies")</f>
        <v>Complies</v>
      </c>
      <c r="O1174" s="241" t="str">
        <f>IFERROR(__xludf.DUMMYFUNCTION("VLOOKUP(C1174,IMPORTRANGE(""https://docs.google.com/spreadsheets/d/1P8eX0NWBhUPS_hvzA11R6jkTNFrPrRYIx_dX_hYbxrk/edit?resourcekey=0-iw9bsKY2OqkUHCFMkCar3A&amp;gid=2055363397#gid=2055363397"",""MTR!C:O""),9,false)"),"")</f>
        <v/>
      </c>
      <c r="P1174" s="241"/>
      <c r="Q1174" s="251" t="s">
        <v>445</v>
      </c>
      <c r="R1174" s="241"/>
      <c r="S1174" s="154" t="s">
        <v>66</v>
      </c>
      <c r="T1174" s="154" t="s">
        <v>66</v>
      </c>
      <c r="U1174" s="154" t="s">
        <v>66</v>
      </c>
      <c r="V1174" s="154" t="s">
        <v>66</v>
      </c>
      <c r="W1174" s="154" t="s">
        <v>66</v>
      </c>
      <c r="X1174" s="154" t="s">
        <v>66</v>
      </c>
      <c r="Y1174" s="154" t="s">
        <v>66</v>
      </c>
      <c r="Z1174" s="154" t="s">
        <v>66</v>
      </c>
      <c r="AA1174" s="154" t="s">
        <v>66</v>
      </c>
      <c r="AB1174" s="154"/>
      <c r="AC1174" s="242" t="b">
        <f t="shared" si="2"/>
        <v>1</v>
      </c>
      <c r="AD1174" s="154" t="s">
        <v>391</v>
      </c>
      <c r="AE1174" s="243" t="b">
        <f t="shared" si="3"/>
        <v>0</v>
      </c>
      <c r="AF1174" s="154"/>
      <c r="AG1174" s="243" t="b">
        <f t="shared" si="7"/>
        <v>0</v>
      </c>
      <c r="AH1174" s="154"/>
      <c r="AI1174" s="243" t="str">
        <f t="shared" si="5"/>
        <v>N/A</v>
      </c>
      <c r="AJ1174" s="157" t="str">
        <f t="shared" si="6"/>
        <v/>
      </c>
    </row>
    <row r="1175" ht="12.75" customHeight="1">
      <c r="A1175" s="244" t="s">
        <v>2412</v>
      </c>
      <c r="B1175" s="244" t="s">
        <v>3102</v>
      </c>
      <c r="C1175" s="244" t="s">
        <v>3213</v>
      </c>
      <c r="D1175" s="154" t="s">
        <v>630</v>
      </c>
      <c r="E1175" s="250"/>
      <c r="F1175" s="154" t="str">
        <f t="array" ref="F1175">XLOOKUP(Cover!$D$12,$S$1:$AA$1,$S1175:$AA1175)</f>
        <v>Mandatory</v>
      </c>
      <c r="G1175" s="154" t="s">
        <v>3214</v>
      </c>
      <c r="H1175" s="154" t="s">
        <v>398</v>
      </c>
      <c r="I1175" s="154" t="s">
        <v>389</v>
      </c>
      <c r="J1175" s="247" t="s">
        <v>445</v>
      </c>
      <c r="K1175" s="154"/>
      <c r="L1175" s="154" t="str">
        <f t="shared" si="1"/>
        <v/>
      </c>
      <c r="M1175" s="248" t="str">
        <f>IFERROR(__xludf.DUMMYFUNCTION("VLOOKUP(C1175,IMPORTRANGE(""https://docs.google.com/spreadsheets/d/1P8eX0NWBhUPS_hvzA11R6jkTNFrPrRYIx_dX_hYbxrk/edit?resourcekey=0-iw9bsKY2OqkUHCFMkCar3A&amp;gid=2055363397#gid=2055363397"",""MTR!C:O""),11,false)"),"PMW-MCE-NAS")</f>
        <v>PMW-MCE-NAS</v>
      </c>
      <c r="N1175" s="248" t="str">
        <f>IFERROR(__xludf.DUMMYFUNCTION("VLOOKUP(C1175,IMPORTRANGE(""https://docs.google.com/spreadsheets/d/1ihFlp3_ePlYtFuPbUNbYj1muErVpI73WHXbEwJDIA7Q/edit#gid=1493122344"",""MTR!C:O""),8,false)"),"Complies")</f>
        <v>Complies</v>
      </c>
      <c r="O1175" s="241" t="str">
        <f>IFERROR(__xludf.DUMMYFUNCTION("VLOOKUP(C1175,IMPORTRANGE(""https://docs.google.com/spreadsheets/d/1P8eX0NWBhUPS_hvzA11R6jkTNFrPrRYIx_dX_hYbxrk/edit?resourcekey=0-iw9bsKY2OqkUHCFMkCar3A&amp;gid=2055363397#gid=2055363397"",""MTR!C:O""),9,false)"),"")</f>
        <v/>
      </c>
      <c r="P1175" s="241"/>
      <c r="Q1175" s="251" t="s">
        <v>445</v>
      </c>
      <c r="R1175" s="241"/>
      <c r="S1175" s="154" t="s">
        <v>60</v>
      </c>
      <c r="T1175" s="154" t="s">
        <v>60</v>
      </c>
      <c r="U1175" s="154" t="s">
        <v>60</v>
      </c>
      <c r="V1175" s="154" t="s">
        <v>60</v>
      </c>
      <c r="W1175" s="154" t="s">
        <v>60</v>
      </c>
      <c r="X1175" s="154" t="s">
        <v>60</v>
      </c>
      <c r="Y1175" s="154" t="s">
        <v>60</v>
      </c>
      <c r="Z1175" s="154" t="s">
        <v>60</v>
      </c>
      <c r="AA1175" s="154" t="s">
        <v>60</v>
      </c>
      <c r="AB1175" s="154"/>
      <c r="AC1175" s="242" t="b">
        <f t="shared" si="2"/>
        <v>1</v>
      </c>
      <c r="AD1175" s="154" t="s">
        <v>391</v>
      </c>
      <c r="AE1175" s="243" t="b">
        <f t="shared" si="3"/>
        <v>0</v>
      </c>
      <c r="AF1175" s="154"/>
      <c r="AG1175" s="243" t="b">
        <f t="shared" si="7"/>
        <v>0</v>
      </c>
      <c r="AH1175" s="154"/>
      <c r="AI1175" s="243" t="str">
        <f t="shared" si="5"/>
        <v>N/A</v>
      </c>
      <c r="AJ1175" s="157" t="str">
        <f t="shared" si="6"/>
        <v/>
      </c>
    </row>
    <row r="1176" ht="12.75" customHeight="1">
      <c r="A1176" s="244" t="s">
        <v>2412</v>
      </c>
      <c r="B1176" s="244" t="s">
        <v>3102</v>
      </c>
      <c r="C1176" s="244" t="s">
        <v>3215</v>
      </c>
      <c r="D1176" s="154" t="s">
        <v>406</v>
      </c>
      <c r="E1176" s="250"/>
      <c r="F1176" s="154" t="str">
        <f t="array" ref="F1176">XLOOKUP(Cover!$D$12,$S$1:$AA$1,$S1176:$AA1176)</f>
        <v>Mandatory</v>
      </c>
      <c r="G1176" s="154" t="s">
        <v>3216</v>
      </c>
      <c r="H1176" s="154" t="s">
        <v>398</v>
      </c>
      <c r="I1176" s="154" t="s">
        <v>389</v>
      </c>
      <c r="J1176" s="247" t="s">
        <v>445</v>
      </c>
      <c r="K1176" s="154"/>
      <c r="L1176" s="154" t="str">
        <f t="shared" si="1"/>
        <v/>
      </c>
      <c r="M1176" s="248" t="str">
        <f>IFERROR(__xludf.DUMMYFUNCTION("VLOOKUP(C1176,IMPORTRANGE(""https://docs.google.com/spreadsheets/d/1P8eX0NWBhUPS_hvzA11R6jkTNFrPrRYIx_dX_hYbxrk/edit?resourcekey=0-iw9bsKY2OqkUHCFMkCar3A&amp;gid=2055363397#gid=2055363397"",""MTR!C:O""),11,false)"),"PMW-MCE-NAS")</f>
        <v>PMW-MCE-NAS</v>
      </c>
      <c r="N1176" s="248" t="str">
        <f>IFERROR(__xludf.DUMMYFUNCTION("VLOOKUP(C1176,IMPORTRANGE(""https://docs.google.com/spreadsheets/d/1ihFlp3_ePlYtFuPbUNbYj1muErVpI73WHXbEwJDIA7Q/edit#gid=1493122344"",""MTR!C:O""),8,false)"),"Complies")</f>
        <v>Complies</v>
      </c>
      <c r="O1176" s="241" t="str">
        <f>IFERROR(__xludf.DUMMYFUNCTION("VLOOKUP(C1176,IMPORTRANGE(""https://docs.google.com/spreadsheets/d/1P8eX0NWBhUPS_hvzA11R6jkTNFrPrRYIx_dX_hYbxrk/edit?resourcekey=0-iw9bsKY2OqkUHCFMkCar3A&amp;gid=2055363397#gid=2055363397"",""MTR!C:O""),9,false)"),"")</f>
        <v/>
      </c>
      <c r="P1176" s="241"/>
      <c r="Q1176" s="251" t="s">
        <v>445</v>
      </c>
      <c r="R1176" s="241"/>
      <c r="S1176" s="154" t="s">
        <v>60</v>
      </c>
      <c r="T1176" s="154" t="s">
        <v>60</v>
      </c>
      <c r="U1176" s="154" t="s">
        <v>60</v>
      </c>
      <c r="V1176" s="154" t="s">
        <v>60</v>
      </c>
      <c r="W1176" s="154" t="s">
        <v>60</v>
      </c>
      <c r="X1176" s="154" t="s">
        <v>60</v>
      </c>
      <c r="Y1176" s="154" t="s">
        <v>60</v>
      </c>
      <c r="Z1176" s="154" t="s">
        <v>60</v>
      </c>
      <c r="AA1176" s="154" t="s">
        <v>60</v>
      </c>
      <c r="AB1176" s="154"/>
      <c r="AC1176" s="242" t="b">
        <f t="shared" si="2"/>
        <v>1</v>
      </c>
      <c r="AD1176" s="154" t="s">
        <v>391</v>
      </c>
      <c r="AE1176" s="243" t="b">
        <f t="shared" si="3"/>
        <v>0</v>
      </c>
      <c r="AF1176" s="154"/>
      <c r="AG1176" s="243" t="b">
        <f t="shared" si="7"/>
        <v>0</v>
      </c>
      <c r="AH1176" s="154"/>
      <c r="AI1176" s="243" t="str">
        <f t="shared" si="5"/>
        <v>N/A</v>
      </c>
      <c r="AJ1176" s="157" t="str">
        <f t="shared" si="6"/>
        <v/>
      </c>
    </row>
    <row r="1177" ht="12.75" customHeight="1">
      <c r="A1177" s="244" t="s">
        <v>2412</v>
      </c>
      <c r="B1177" s="244" t="s">
        <v>3102</v>
      </c>
      <c r="C1177" s="244" t="s">
        <v>3217</v>
      </c>
      <c r="D1177" s="154" t="s">
        <v>2746</v>
      </c>
      <c r="E1177" s="250"/>
      <c r="F1177" s="154" t="str">
        <f t="array" ref="F1177">XLOOKUP(Cover!$D$12,$S$1:$AA$1,$S1177:$AA1177)</f>
        <v>Mandatory</v>
      </c>
      <c r="G1177" s="154" t="s">
        <v>3218</v>
      </c>
      <c r="H1177" s="154" t="s">
        <v>3219</v>
      </c>
      <c r="I1177" s="154" t="s">
        <v>389</v>
      </c>
      <c r="J1177" s="247" t="s">
        <v>445</v>
      </c>
      <c r="K1177" s="154"/>
      <c r="L1177" s="154" t="str">
        <f t="shared" si="1"/>
        <v/>
      </c>
      <c r="M1177" s="248" t="str">
        <f>IFERROR(__xludf.DUMMYFUNCTION("VLOOKUP(C1177,IMPORTRANGE(""https://docs.google.com/spreadsheets/d/1P8eX0NWBhUPS_hvzA11R6jkTNFrPrRYIx_dX_hYbxrk/edit?resourcekey=0-iw9bsKY2OqkUHCFMkCar3A&amp;gid=2055363397#gid=2055363397"",""MTR!C:O""),11,false)"),"PMW-MCE-NAS")</f>
        <v>PMW-MCE-NAS</v>
      </c>
      <c r="N1177" s="248" t="str">
        <f>IFERROR(__xludf.DUMMYFUNCTION("VLOOKUP(C1177,IMPORTRANGE(""https://docs.google.com/spreadsheets/d/1ihFlp3_ePlYtFuPbUNbYj1muErVpI73WHXbEwJDIA7Q/edit#gid=1493122344"",""MTR!C:O""),8,false)"),"Complies")</f>
        <v>Complies</v>
      </c>
      <c r="O1177" s="241" t="str">
        <f>IFERROR(__xludf.DUMMYFUNCTION("VLOOKUP(C1177,IMPORTRANGE(""https://docs.google.com/spreadsheets/d/1P8eX0NWBhUPS_hvzA11R6jkTNFrPrRYIx_dX_hYbxrk/edit?resourcekey=0-iw9bsKY2OqkUHCFMkCar3A&amp;gid=2055363397#gid=2055363397"",""MTR!C:O""),9,false)"),"")</f>
        <v/>
      </c>
      <c r="P1177" s="241"/>
      <c r="Q1177" s="251" t="s">
        <v>445</v>
      </c>
      <c r="R1177" s="241"/>
      <c r="S1177" s="154" t="s">
        <v>60</v>
      </c>
      <c r="T1177" s="154" t="s">
        <v>60</v>
      </c>
      <c r="U1177" s="154" t="s">
        <v>60</v>
      </c>
      <c r="V1177" s="154" t="s">
        <v>60</v>
      </c>
      <c r="W1177" s="154" t="s">
        <v>60</v>
      </c>
      <c r="X1177" s="154" t="s">
        <v>60</v>
      </c>
      <c r="Y1177" s="154" t="s">
        <v>60</v>
      </c>
      <c r="Z1177" s="154" t="s">
        <v>60</v>
      </c>
      <c r="AA1177" s="154" t="s">
        <v>60</v>
      </c>
      <c r="AB1177" s="154"/>
      <c r="AC1177" s="242" t="b">
        <f t="shared" si="2"/>
        <v>1</v>
      </c>
      <c r="AD1177" s="154" t="s">
        <v>391</v>
      </c>
      <c r="AE1177" s="243" t="b">
        <f t="shared" si="3"/>
        <v>0</v>
      </c>
      <c r="AF1177" s="154"/>
      <c r="AG1177" s="243" t="b">
        <f t="shared" si="7"/>
        <v>0</v>
      </c>
      <c r="AH1177" s="154"/>
      <c r="AI1177" s="243" t="str">
        <f t="shared" si="5"/>
        <v>N/A</v>
      </c>
      <c r="AJ1177" s="157" t="str">
        <f t="shared" si="6"/>
        <v/>
      </c>
    </row>
    <row r="1178" ht="12.75" customHeight="1">
      <c r="A1178" s="244" t="s">
        <v>2412</v>
      </c>
      <c r="B1178" s="244" t="s">
        <v>3102</v>
      </c>
      <c r="C1178" s="244" t="s">
        <v>3220</v>
      </c>
      <c r="D1178" s="154" t="s">
        <v>2746</v>
      </c>
      <c r="E1178" s="250"/>
      <c r="F1178" s="154" t="str">
        <f t="array" ref="F1178">XLOOKUP(Cover!$D$12,$S$1:$AA$1,$S1178:$AA1178)</f>
        <v>Mandatory</v>
      </c>
      <c r="G1178" s="154" t="s">
        <v>3221</v>
      </c>
      <c r="H1178" s="154" t="s">
        <v>3219</v>
      </c>
      <c r="I1178" s="154" t="s">
        <v>389</v>
      </c>
      <c r="J1178" s="247" t="s">
        <v>445</v>
      </c>
      <c r="K1178" s="154"/>
      <c r="L1178" s="154" t="str">
        <f t="shared" si="1"/>
        <v/>
      </c>
      <c r="M1178" s="248" t="str">
        <f>IFERROR(__xludf.DUMMYFUNCTION("VLOOKUP(C1178,IMPORTRANGE(""https://docs.google.com/spreadsheets/d/1P8eX0NWBhUPS_hvzA11R6jkTNFrPrRYIx_dX_hYbxrk/edit?resourcekey=0-iw9bsKY2OqkUHCFMkCar3A&amp;gid=2055363397#gid=2055363397"",""MTR!C:O""),11,false)"),"PMW-MCE-NAS")</f>
        <v>PMW-MCE-NAS</v>
      </c>
      <c r="N1178" s="248" t="str">
        <f>IFERROR(__xludf.DUMMYFUNCTION("VLOOKUP(C1178,IMPORTRANGE(""https://docs.google.com/spreadsheets/d/1ihFlp3_ePlYtFuPbUNbYj1muErVpI73WHXbEwJDIA7Q/edit#gid=1493122344"",""MTR!C:O""),8,false)"),"Complies")</f>
        <v>Complies</v>
      </c>
      <c r="O1178" s="241" t="str">
        <f>IFERROR(__xludf.DUMMYFUNCTION("VLOOKUP(C1178,IMPORTRANGE(""https://docs.google.com/spreadsheets/d/1P8eX0NWBhUPS_hvzA11R6jkTNFrPrRYIx_dX_hYbxrk/edit?resourcekey=0-iw9bsKY2OqkUHCFMkCar3A&amp;gid=2055363397#gid=2055363397"",""MTR!C:O""),9,false)"),"")</f>
        <v/>
      </c>
      <c r="P1178" s="241"/>
      <c r="Q1178" s="251" t="s">
        <v>445</v>
      </c>
      <c r="R1178" s="241"/>
      <c r="S1178" s="154" t="s">
        <v>60</v>
      </c>
      <c r="T1178" s="154" t="s">
        <v>60</v>
      </c>
      <c r="U1178" s="154" t="s">
        <v>60</v>
      </c>
      <c r="V1178" s="154" t="s">
        <v>60</v>
      </c>
      <c r="W1178" s="154" t="s">
        <v>60</v>
      </c>
      <c r="X1178" s="154" t="s">
        <v>60</v>
      </c>
      <c r="Y1178" s="154" t="s">
        <v>60</v>
      </c>
      <c r="Z1178" s="154" t="s">
        <v>60</v>
      </c>
      <c r="AA1178" s="154" t="s">
        <v>60</v>
      </c>
      <c r="AB1178" s="154"/>
      <c r="AC1178" s="242" t="b">
        <f t="shared" si="2"/>
        <v>1</v>
      </c>
      <c r="AD1178" s="154" t="s">
        <v>391</v>
      </c>
      <c r="AE1178" s="243" t="b">
        <f t="shared" si="3"/>
        <v>0</v>
      </c>
      <c r="AF1178" s="154"/>
      <c r="AG1178" s="243" t="b">
        <f t="shared" si="7"/>
        <v>0</v>
      </c>
      <c r="AH1178" s="154"/>
      <c r="AI1178" s="243" t="str">
        <f t="shared" si="5"/>
        <v>N/A</v>
      </c>
      <c r="AJ1178" s="157" t="str">
        <f t="shared" si="6"/>
        <v/>
      </c>
    </row>
    <row r="1179" ht="12.75" customHeight="1">
      <c r="A1179" s="244" t="s">
        <v>2412</v>
      </c>
      <c r="B1179" s="244" t="s">
        <v>3102</v>
      </c>
      <c r="C1179" s="244" t="s">
        <v>3222</v>
      </c>
      <c r="D1179" s="154" t="s">
        <v>2746</v>
      </c>
      <c r="E1179" s="250"/>
      <c r="F1179" s="154" t="str">
        <f t="array" ref="F1179">XLOOKUP(Cover!$D$12,$S$1:$AA$1,$S1179:$AA1179)</f>
        <v>Mandatory</v>
      </c>
      <c r="G1179" s="154" t="s">
        <v>3223</v>
      </c>
      <c r="H1179" s="154" t="s">
        <v>3219</v>
      </c>
      <c r="I1179" s="154" t="s">
        <v>389</v>
      </c>
      <c r="J1179" s="247" t="s">
        <v>445</v>
      </c>
      <c r="K1179" s="154"/>
      <c r="L1179" s="154" t="str">
        <f t="shared" si="1"/>
        <v/>
      </c>
      <c r="M1179" s="248" t="str">
        <f>IFERROR(__xludf.DUMMYFUNCTION("VLOOKUP(C1179,IMPORTRANGE(""https://docs.google.com/spreadsheets/d/1P8eX0NWBhUPS_hvzA11R6jkTNFrPrRYIx_dX_hYbxrk/edit?resourcekey=0-iw9bsKY2OqkUHCFMkCar3A&amp;gid=2055363397#gid=2055363397"",""MTR!C:O""),11,false)"),"PMW-MCE-NAS")</f>
        <v>PMW-MCE-NAS</v>
      </c>
      <c r="N1179" s="248" t="str">
        <f>IFERROR(__xludf.DUMMYFUNCTION("VLOOKUP(C1179,IMPORTRANGE(""https://docs.google.com/spreadsheets/d/1ihFlp3_ePlYtFuPbUNbYj1muErVpI73WHXbEwJDIA7Q/edit#gid=1493122344"",""MTR!C:O""),8,false)"),"Complies")</f>
        <v>Complies</v>
      </c>
      <c r="O1179" s="241" t="str">
        <f>IFERROR(__xludf.DUMMYFUNCTION("VLOOKUP(C1179,IMPORTRANGE(""https://docs.google.com/spreadsheets/d/1P8eX0NWBhUPS_hvzA11R6jkTNFrPrRYIx_dX_hYbxrk/edit?resourcekey=0-iw9bsKY2OqkUHCFMkCar3A&amp;gid=2055363397#gid=2055363397"",""MTR!C:O""),9,false)"),"")</f>
        <v/>
      </c>
      <c r="P1179" s="241"/>
      <c r="Q1179" s="251" t="s">
        <v>445</v>
      </c>
      <c r="R1179" s="241"/>
      <c r="S1179" s="154" t="s">
        <v>60</v>
      </c>
      <c r="T1179" s="154" t="s">
        <v>60</v>
      </c>
      <c r="U1179" s="154" t="s">
        <v>60</v>
      </c>
      <c r="V1179" s="154" t="s">
        <v>60</v>
      </c>
      <c r="W1179" s="154" t="s">
        <v>60</v>
      </c>
      <c r="X1179" s="154" t="s">
        <v>60</v>
      </c>
      <c r="Y1179" s="154" t="s">
        <v>60</v>
      </c>
      <c r="Z1179" s="154" t="s">
        <v>60</v>
      </c>
      <c r="AA1179" s="154" t="s">
        <v>60</v>
      </c>
      <c r="AB1179" s="154"/>
      <c r="AC1179" s="242" t="b">
        <f t="shared" si="2"/>
        <v>1</v>
      </c>
      <c r="AD1179" s="154" t="s">
        <v>391</v>
      </c>
      <c r="AE1179" s="243" t="b">
        <f t="shared" si="3"/>
        <v>0</v>
      </c>
      <c r="AF1179" s="154"/>
      <c r="AG1179" s="243" t="b">
        <f t="shared" si="7"/>
        <v>0</v>
      </c>
      <c r="AH1179" s="154"/>
      <c r="AI1179" s="243" t="str">
        <f t="shared" si="5"/>
        <v>N/A</v>
      </c>
      <c r="AJ1179" s="157" t="str">
        <f t="shared" si="6"/>
        <v/>
      </c>
    </row>
    <row r="1180" ht="12.75" customHeight="1">
      <c r="A1180" s="244" t="s">
        <v>2412</v>
      </c>
      <c r="B1180" s="244" t="s">
        <v>3102</v>
      </c>
      <c r="C1180" s="244" t="s">
        <v>3224</v>
      </c>
      <c r="D1180" s="154" t="s">
        <v>2746</v>
      </c>
      <c r="E1180" s="250"/>
      <c r="F1180" s="154" t="str">
        <f t="array" ref="F1180">XLOOKUP(Cover!$D$12,$S$1:$AA$1,$S1180:$AA1180)</f>
        <v>Mandatory</v>
      </c>
      <c r="G1180" s="154" t="s">
        <v>3225</v>
      </c>
      <c r="H1180" s="154" t="s">
        <v>3219</v>
      </c>
      <c r="I1180" s="154" t="s">
        <v>389</v>
      </c>
      <c r="J1180" s="247" t="s">
        <v>445</v>
      </c>
      <c r="K1180" s="154"/>
      <c r="L1180" s="154" t="str">
        <f t="shared" si="1"/>
        <v/>
      </c>
      <c r="M1180" s="248" t="str">
        <f>IFERROR(__xludf.DUMMYFUNCTION("VLOOKUP(C1180,IMPORTRANGE(""https://docs.google.com/spreadsheets/d/1P8eX0NWBhUPS_hvzA11R6jkTNFrPrRYIx_dX_hYbxrk/edit?resourcekey=0-iw9bsKY2OqkUHCFMkCar3A&amp;gid=2055363397#gid=2055363397"",""MTR!C:O""),11,false)"),"PMW-MCE-NAS")</f>
        <v>PMW-MCE-NAS</v>
      </c>
      <c r="N1180" s="248" t="str">
        <f>IFERROR(__xludf.DUMMYFUNCTION("VLOOKUP(C1180,IMPORTRANGE(""https://docs.google.com/spreadsheets/d/1ihFlp3_ePlYtFuPbUNbYj1muErVpI73WHXbEwJDIA7Q/edit#gid=1493122344"",""MTR!C:O""),8,false)"),"Complies")</f>
        <v>Complies</v>
      </c>
      <c r="O1180" s="241" t="str">
        <f>IFERROR(__xludf.DUMMYFUNCTION("VLOOKUP(C1180,IMPORTRANGE(""https://docs.google.com/spreadsheets/d/1P8eX0NWBhUPS_hvzA11R6jkTNFrPrRYIx_dX_hYbxrk/edit?resourcekey=0-iw9bsKY2OqkUHCFMkCar3A&amp;gid=2055363397#gid=2055363397"",""MTR!C:O""),9,false)"),"")</f>
        <v/>
      </c>
      <c r="P1180" s="241"/>
      <c r="Q1180" s="251" t="s">
        <v>445</v>
      </c>
      <c r="R1180" s="241"/>
      <c r="S1180" s="154" t="s">
        <v>60</v>
      </c>
      <c r="T1180" s="154" t="s">
        <v>60</v>
      </c>
      <c r="U1180" s="154" t="s">
        <v>60</v>
      </c>
      <c r="V1180" s="154" t="s">
        <v>60</v>
      </c>
      <c r="W1180" s="154" t="s">
        <v>60</v>
      </c>
      <c r="X1180" s="154" t="s">
        <v>60</v>
      </c>
      <c r="Y1180" s="154" t="s">
        <v>60</v>
      </c>
      <c r="Z1180" s="154" t="s">
        <v>60</v>
      </c>
      <c r="AA1180" s="154" t="s">
        <v>60</v>
      </c>
      <c r="AB1180" s="154"/>
      <c r="AC1180" s="242" t="b">
        <f t="shared" si="2"/>
        <v>1</v>
      </c>
      <c r="AD1180" s="154" t="s">
        <v>391</v>
      </c>
      <c r="AE1180" s="243" t="b">
        <f t="shared" si="3"/>
        <v>0</v>
      </c>
      <c r="AF1180" s="154"/>
      <c r="AG1180" s="243" t="b">
        <f t="shared" si="7"/>
        <v>0</v>
      </c>
      <c r="AH1180" s="154"/>
      <c r="AI1180" s="243" t="str">
        <f t="shared" si="5"/>
        <v>N/A</v>
      </c>
      <c r="AJ1180" s="157" t="str">
        <f t="shared" si="6"/>
        <v/>
      </c>
    </row>
    <row r="1181" ht="12.75" customHeight="1">
      <c r="A1181" s="244" t="s">
        <v>2412</v>
      </c>
      <c r="B1181" s="244" t="s">
        <v>3102</v>
      </c>
      <c r="C1181" s="244" t="s">
        <v>3226</v>
      </c>
      <c r="D1181" s="154" t="s">
        <v>2746</v>
      </c>
      <c r="E1181" s="250"/>
      <c r="F1181" s="154" t="str">
        <f t="array" ref="F1181">XLOOKUP(Cover!$D$12,$S$1:$AA$1,$S1181:$AA1181)</f>
        <v>Mandatory</v>
      </c>
      <c r="G1181" s="154" t="s">
        <v>3227</v>
      </c>
      <c r="H1181" s="154" t="s">
        <v>3219</v>
      </c>
      <c r="I1181" s="154" t="s">
        <v>389</v>
      </c>
      <c r="J1181" s="247" t="s">
        <v>445</v>
      </c>
      <c r="K1181" s="154"/>
      <c r="L1181" s="154" t="str">
        <f t="shared" si="1"/>
        <v/>
      </c>
      <c r="M1181" s="248" t="str">
        <f>IFERROR(__xludf.DUMMYFUNCTION("VLOOKUP(C1181,IMPORTRANGE(""https://docs.google.com/spreadsheets/d/1P8eX0NWBhUPS_hvzA11R6jkTNFrPrRYIx_dX_hYbxrk/edit?resourcekey=0-iw9bsKY2OqkUHCFMkCar3A&amp;gid=2055363397#gid=2055363397"",""MTR!C:O""),11,false)"),"PMW-MCE-NAS")</f>
        <v>PMW-MCE-NAS</v>
      </c>
      <c r="N1181" s="248" t="str">
        <f>IFERROR(__xludf.DUMMYFUNCTION("VLOOKUP(C1181,IMPORTRANGE(""https://docs.google.com/spreadsheets/d/1ihFlp3_ePlYtFuPbUNbYj1muErVpI73WHXbEwJDIA7Q/edit#gid=1493122344"",""MTR!C:O""),8,false)"),"Complies")</f>
        <v>Complies</v>
      </c>
      <c r="O1181" s="241" t="str">
        <f>IFERROR(__xludf.DUMMYFUNCTION("VLOOKUP(C1181,IMPORTRANGE(""https://docs.google.com/spreadsheets/d/1P8eX0NWBhUPS_hvzA11R6jkTNFrPrRYIx_dX_hYbxrk/edit?resourcekey=0-iw9bsKY2OqkUHCFMkCar3A&amp;gid=2055363397#gid=2055363397"",""MTR!C:O""),9,false)"),"")</f>
        <v/>
      </c>
      <c r="P1181" s="241"/>
      <c r="Q1181" s="251" t="s">
        <v>445</v>
      </c>
      <c r="R1181" s="241"/>
      <c r="S1181" s="154" t="s">
        <v>60</v>
      </c>
      <c r="T1181" s="154" t="s">
        <v>60</v>
      </c>
      <c r="U1181" s="154" t="s">
        <v>60</v>
      </c>
      <c r="V1181" s="154" t="s">
        <v>60</v>
      </c>
      <c r="W1181" s="154" t="s">
        <v>60</v>
      </c>
      <c r="X1181" s="154" t="s">
        <v>60</v>
      </c>
      <c r="Y1181" s="154" t="s">
        <v>60</v>
      </c>
      <c r="Z1181" s="154" t="s">
        <v>60</v>
      </c>
      <c r="AA1181" s="154" t="s">
        <v>60</v>
      </c>
      <c r="AB1181" s="154"/>
      <c r="AC1181" s="242" t="b">
        <f t="shared" si="2"/>
        <v>1</v>
      </c>
      <c r="AD1181" s="154" t="s">
        <v>391</v>
      </c>
      <c r="AE1181" s="243" t="b">
        <f t="shared" si="3"/>
        <v>0</v>
      </c>
      <c r="AF1181" s="154"/>
      <c r="AG1181" s="243" t="b">
        <f t="shared" si="7"/>
        <v>0</v>
      </c>
      <c r="AH1181" s="154"/>
      <c r="AI1181" s="243" t="str">
        <f t="shared" si="5"/>
        <v>N/A</v>
      </c>
      <c r="AJ1181" s="157" t="str">
        <f t="shared" si="6"/>
        <v/>
      </c>
    </row>
    <row r="1182" ht="12.75" customHeight="1">
      <c r="A1182" s="244" t="s">
        <v>2412</v>
      </c>
      <c r="B1182" s="244" t="s">
        <v>3102</v>
      </c>
      <c r="C1182" s="244" t="s">
        <v>3228</v>
      </c>
      <c r="D1182" s="154" t="s">
        <v>406</v>
      </c>
      <c r="E1182" s="250"/>
      <c r="F1182" s="154" t="str">
        <f t="array" ref="F1182">XLOOKUP(Cover!$D$12,$S$1:$AA$1,$S1182:$AA1182)</f>
        <v>Mandatory</v>
      </c>
      <c r="G1182" s="154" t="s">
        <v>3229</v>
      </c>
      <c r="H1182" s="154" t="s">
        <v>3219</v>
      </c>
      <c r="I1182" s="154" t="s">
        <v>389</v>
      </c>
      <c r="J1182" s="247" t="s">
        <v>445</v>
      </c>
      <c r="K1182" s="154"/>
      <c r="L1182" s="154" t="str">
        <f t="shared" si="1"/>
        <v/>
      </c>
      <c r="M1182" s="248" t="str">
        <f>IFERROR(__xludf.DUMMYFUNCTION("VLOOKUP(C1182,IMPORTRANGE(""https://docs.google.com/spreadsheets/d/1P8eX0NWBhUPS_hvzA11R6jkTNFrPrRYIx_dX_hYbxrk/edit?resourcekey=0-iw9bsKY2OqkUHCFMkCar3A&amp;gid=2055363397#gid=2055363397"",""MTR!C:O""),11,false)"),"PMW-MCE-NAS")</f>
        <v>PMW-MCE-NAS</v>
      </c>
      <c r="N1182" s="248" t="str">
        <f>IFERROR(__xludf.DUMMYFUNCTION("VLOOKUP(C1182,IMPORTRANGE(""https://docs.google.com/spreadsheets/d/1ihFlp3_ePlYtFuPbUNbYj1muErVpI73WHXbEwJDIA7Q/edit#gid=1493122344"",""MTR!C:O""),8,false)"),"Complies")</f>
        <v>Complies</v>
      </c>
      <c r="O1182" s="241" t="str">
        <f>IFERROR(__xludf.DUMMYFUNCTION("VLOOKUP(C1182,IMPORTRANGE(""https://docs.google.com/spreadsheets/d/1P8eX0NWBhUPS_hvzA11R6jkTNFrPrRYIx_dX_hYbxrk/edit?resourcekey=0-iw9bsKY2OqkUHCFMkCar3A&amp;gid=2055363397#gid=2055363397"",""MTR!C:O""),9,false)"),"")</f>
        <v/>
      </c>
      <c r="P1182" s="241"/>
      <c r="Q1182" s="251" t="s">
        <v>445</v>
      </c>
      <c r="R1182" s="241"/>
      <c r="S1182" s="154" t="s">
        <v>60</v>
      </c>
      <c r="T1182" s="154" t="s">
        <v>60</v>
      </c>
      <c r="U1182" s="154" t="s">
        <v>60</v>
      </c>
      <c r="V1182" s="154" t="s">
        <v>60</v>
      </c>
      <c r="W1182" s="154" t="s">
        <v>60</v>
      </c>
      <c r="X1182" s="154" t="s">
        <v>60</v>
      </c>
      <c r="Y1182" s="154" t="s">
        <v>60</v>
      </c>
      <c r="Z1182" s="154" t="s">
        <v>60</v>
      </c>
      <c r="AA1182" s="154" t="s">
        <v>60</v>
      </c>
      <c r="AB1182" s="154"/>
      <c r="AC1182" s="242" t="b">
        <f t="shared" si="2"/>
        <v>1</v>
      </c>
      <c r="AD1182" s="154" t="s">
        <v>391</v>
      </c>
      <c r="AE1182" s="243" t="b">
        <f t="shared" si="3"/>
        <v>0</v>
      </c>
      <c r="AF1182" s="154"/>
      <c r="AG1182" s="243" t="b">
        <f t="shared" si="7"/>
        <v>0</v>
      </c>
      <c r="AH1182" s="154"/>
      <c r="AI1182" s="243" t="str">
        <f t="shared" si="5"/>
        <v>N/A</v>
      </c>
      <c r="AJ1182" s="157" t="str">
        <f t="shared" si="6"/>
        <v/>
      </c>
    </row>
    <row r="1183" ht="12.75" customHeight="1">
      <c r="A1183" s="244" t="s">
        <v>2412</v>
      </c>
      <c r="B1183" s="244" t="s">
        <v>3102</v>
      </c>
      <c r="C1183" s="244" t="s">
        <v>3230</v>
      </c>
      <c r="D1183" s="154" t="s">
        <v>2746</v>
      </c>
      <c r="E1183" s="250"/>
      <c r="F1183" s="154" t="str">
        <f t="array" ref="F1183">XLOOKUP(Cover!$D$12,$S$1:$AA$1,$S1183:$AA1183)</f>
        <v>Mandatory</v>
      </c>
      <c r="G1183" s="154" t="s">
        <v>3231</v>
      </c>
      <c r="H1183" s="154" t="s">
        <v>3219</v>
      </c>
      <c r="I1183" s="154" t="s">
        <v>389</v>
      </c>
      <c r="J1183" s="247" t="s">
        <v>445</v>
      </c>
      <c r="K1183" s="154"/>
      <c r="L1183" s="154" t="str">
        <f t="shared" si="1"/>
        <v/>
      </c>
      <c r="M1183" s="248" t="str">
        <f>IFERROR(__xludf.DUMMYFUNCTION("VLOOKUP(C1183,IMPORTRANGE(""https://docs.google.com/spreadsheets/d/1P8eX0NWBhUPS_hvzA11R6jkTNFrPrRYIx_dX_hYbxrk/edit?resourcekey=0-iw9bsKY2OqkUHCFMkCar3A&amp;gid=2055363397#gid=2055363397"",""MTR!C:O""),11,false)"),"PMW-MCE-NAS")</f>
        <v>PMW-MCE-NAS</v>
      </c>
      <c r="N1183" s="248" t="str">
        <f>IFERROR(__xludf.DUMMYFUNCTION("VLOOKUP(C1183,IMPORTRANGE(""https://docs.google.com/spreadsheets/d/1ihFlp3_ePlYtFuPbUNbYj1muErVpI73WHXbEwJDIA7Q/edit#gid=1493122344"",""MTR!C:O""),8,false)"),"Complies")</f>
        <v>Complies</v>
      </c>
      <c r="O1183" s="241" t="str">
        <f>IFERROR(__xludf.DUMMYFUNCTION("VLOOKUP(C1183,IMPORTRANGE(""https://docs.google.com/spreadsheets/d/1P8eX0NWBhUPS_hvzA11R6jkTNFrPrRYIx_dX_hYbxrk/edit?resourcekey=0-iw9bsKY2OqkUHCFMkCar3A&amp;gid=2055363397#gid=2055363397"",""MTR!C:O""),9,false)"),"")</f>
        <v/>
      </c>
      <c r="P1183" s="241"/>
      <c r="Q1183" s="251" t="s">
        <v>445</v>
      </c>
      <c r="R1183" s="241"/>
      <c r="S1183" s="154" t="s">
        <v>60</v>
      </c>
      <c r="T1183" s="154" t="s">
        <v>60</v>
      </c>
      <c r="U1183" s="154" t="s">
        <v>60</v>
      </c>
      <c r="V1183" s="154" t="s">
        <v>60</v>
      </c>
      <c r="W1183" s="154" t="s">
        <v>60</v>
      </c>
      <c r="X1183" s="154" t="s">
        <v>60</v>
      </c>
      <c r="Y1183" s="154" t="s">
        <v>60</v>
      </c>
      <c r="Z1183" s="154" t="s">
        <v>60</v>
      </c>
      <c r="AA1183" s="154" t="s">
        <v>60</v>
      </c>
      <c r="AB1183" s="154"/>
      <c r="AC1183" s="242" t="b">
        <f t="shared" si="2"/>
        <v>1</v>
      </c>
      <c r="AD1183" s="154" t="s">
        <v>391</v>
      </c>
      <c r="AE1183" s="243" t="b">
        <f t="shared" si="3"/>
        <v>0</v>
      </c>
      <c r="AF1183" s="154"/>
      <c r="AG1183" s="243" t="b">
        <f t="shared" si="7"/>
        <v>0</v>
      </c>
      <c r="AH1183" s="154"/>
      <c r="AI1183" s="243" t="str">
        <f t="shared" si="5"/>
        <v>N/A</v>
      </c>
      <c r="AJ1183" s="157" t="str">
        <f t="shared" si="6"/>
        <v/>
      </c>
    </row>
    <row r="1184" ht="12.75" customHeight="1">
      <c r="A1184" s="244" t="s">
        <v>2412</v>
      </c>
      <c r="B1184" s="244" t="s">
        <v>3102</v>
      </c>
      <c r="C1184" s="244" t="s">
        <v>3232</v>
      </c>
      <c r="D1184" s="154" t="s">
        <v>2746</v>
      </c>
      <c r="E1184" s="250"/>
      <c r="F1184" s="154" t="str">
        <f t="array" ref="F1184">XLOOKUP(Cover!$D$12,$S$1:$AA$1,$S1184:$AA1184)</f>
        <v>Mandatory</v>
      </c>
      <c r="G1184" s="154" t="s">
        <v>3233</v>
      </c>
      <c r="H1184" s="154" t="s">
        <v>3219</v>
      </c>
      <c r="I1184" s="154" t="s">
        <v>389</v>
      </c>
      <c r="J1184" s="247" t="s">
        <v>445</v>
      </c>
      <c r="K1184" s="154"/>
      <c r="L1184" s="154" t="str">
        <f t="shared" si="1"/>
        <v/>
      </c>
      <c r="M1184" s="248" t="str">
        <f>IFERROR(__xludf.DUMMYFUNCTION("VLOOKUP(C1184,IMPORTRANGE(""https://docs.google.com/spreadsheets/d/1P8eX0NWBhUPS_hvzA11R6jkTNFrPrRYIx_dX_hYbxrk/edit?resourcekey=0-iw9bsKY2OqkUHCFMkCar3A&amp;gid=2055363397#gid=2055363397"",""MTR!C:O""),11,false)"),"PMW-MCE-NAS")</f>
        <v>PMW-MCE-NAS</v>
      </c>
      <c r="N1184" s="248" t="str">
        <f>IFERROR(__xludf.DUMMYFUNCTION("VLOOKUP(C1184,IMPORTRANGE(""https://docs.google.com/spreadsheets/d/1ihFlp3_ePlYtFuPbUNbYj1muErVpI73WHXbEwJDIA7Q/edit#gid=1493122344"",""MTR!C:O""),8,false)"),"Complies")</f>
        <v>Complies</v>
      </c>
      <c r="O1184" s="241" t="str">
        <f>IFERROR(__xludf.DUMMYFUNCTION("VLOOKUP(C1184,IMPORTRANGE(""https://docs.google.com/spreadsheets/d/1P8eX0NWBhUPS_hvzA11R6jkTNFrPrRYIx_dX_hYbxrk/edit?resourcekey=0-iw9bsKY2OqkUHCFMkCar3A&amp;gid=2055363397#gid=2055363397"",""MTR!C:O""),9,false)"),"")</f>
        <v/>
      </c>
      <c r="P1184" s="241"/>
      <c r="Q1184" s="251" t="s">
        <v>445</v>
      </c>
      <c r="R1184" s="241"/>
      <c r="S1184" s="154" t="s">
        <v>60</v>
      </c>
      <c r="T1184" s="154" t="s">
        <v>60</v>
      </c>
      <c r="U1184" s="154" t="s">
        <v>60</v>
      </c>
      <c r="V1184" s="154" t="s">
        <v>60</v>
      </c>
      <c r="W1184" s="154" t="s">
        <v>60</v>
      </c>
      <c r="X1184" s="154" t="s">
        <v>60</v>
      </c>
      <c r="Y1184" s="154" t="s">
        <v>60</v>
      </c>
      <c r="Z1184" s="154" t="s">
        <v>60</v>
      </c>
      <c r="AA1184" s="154" t="s">
        <v>60</v>
      </c>
      <c r="AB1184" s="154"/>
      <c r="AC1184" s="242" t="b">
        <f t="shared" si="2"/>
        <v>1</v>
      </c>
      <c r="AD1184" s="154" t="s">
        <v>391</v>
      </c>
      <c r="AE1184" s="243" t="b">
        <f t="shared" si="3"/>
        <v>0</v>
      </c>
      <c r="AF1184" s="154"/>
      <c r="AG1184" s="243" t="b">
        <f t="shared" si="7"/>
        <v>0</v>
      </c>
      <c r="AH1184" s="154"/>
      <c r="AI1184" s="243" t="str">
        <f t="shared" si="5"/>
        <v>N/A</v>
      </c>
      <c r="AJ1184" s="157" t="str">
        <f t="shared" si="6"/>
        <v/>
      </c>
    </row>
    <row r="1185" ht="12.75" customHeight="1">
      <c r="A1185" s="244" t="s">
        <v>2412</v>
      </c>
      <c r="B1185" s="244" t="s">
        <v>3102</v>
      </c>
      <c r="C1185" s="244" t="s">
        <v>3234</v>
      </c>
      <c r="D1185" s="154" t="s">
        <v>2746</v>
      </c>
      <c r="E1185" s="250"/>
      <c r="F1185" s="154" t="str">
        <f t="array" ref="F1185">XLOOKUP(Cover!$D$12,$S$1:$AA$1,$S1185:$AA1185)</f>
        <v>Mandatory</v>
      </c>
      <c r="G1185" s="154" t="s">
        <v>3235</v>
      </c>
      <c r="H1185" s="154" t="s">
        <v>398</v>
      </c>
      <c r="I1185" s="154" t="s">
        <v>389</v>
      </c>
      <c r="J1185" s="247" t="s">
        <v>445</v>
      </c>
      <c r="K1185" s="154"/>
      <c r="L1185" s="154" t="str">
        <f t="shared" si="1"/>
        <v/>
      </c>
      <c r="M1185" s="248" t="str">
        <f>IFERROR(__xludf.DUMMYFUNCTION("VLOOKUP(C1185,IMPORTRANGE(""https://docs.google.com/spreadsheets/d/1P8eX0NWBhUPS_hvzA11R6jkTNFrPrRYIx_dX_hYbxrk/edit?resourcekey=0-iw9bsKY2OqkUHCFMkCar3A&amp;gid=2055363397#gid=2055363397"",""MTR!C:O""),11,false)"),"PMW-MCE-NAS")</f>
        <v>PMW-MCE-NAS</v>
      </c>
      <c r="N1185" s="248" t="str">
        <f>IFERROR(__xludf.DUMMYFUNCTION("VLOOKUP(C1185,IMPORTRANGE(""https://docs.google.com/spreadsheets/d/1ihFlp3_ePlYtFuPbUNbYj1muErVpI73WHXbEwJDIA7Q/edit#gid=1493122344"",""MTR!C:O""),8,false)"),"Complies")</f>
        <v>Complies</v>
      </c>
      <c r="O1185" s="241" t="str">
        <f>IFERROR(__xludf.DUMMYFUNCTION("VLOOKUP(C1185,IMPORTRANGE(""https://docs.google.com/spreadsheets/d/1P8eX0NWBhUPS_hvzA11R6jkTNFrPrRYIx_dX_hYbxrk/edit?resourcekey=0-iw9bsKY2OqkUHCFMkCar3A&amp;gid=2055363397#gid=2055363397"",""MTR!C:O""),9,false)"),"")</f>
        <v/>
      </c>
      <c r="P1185" s="241"/>
      <c r="Q1185" s="251" t="s">
        <v>445</v>
      </c>
      <c r="R1185" s="241"/>
      <c r="S1185" s="154" t="s">
        <v>60</v>
      </c>
      <c r="T1185" s="154" t="s">
        <v>60</v>
      </c>
      <c r="U1185" s="154" t="s">
        <v>60</v>
      </c>
      <c r="V1185" s="154" t="s">
        <v>60</v>
      </c>
      <c r="W1185" s="154" t="s">
        <v>60</v>
      </c>
      <c r="X1185" s="154" t="s">
        <v>60</v>
      </c>
      <c r="Y1185" s="154" t="s">
        <v>60</v>
      </c>
      <c r="Z1185" s="154" t="s">
        <v>60</v>
      </c>
      <c r="AA1185" s="154" t="s">
        <v>60</v>
      </c>
      <c r="AB1185" s="154"/>
      <c r="AC1185" s="242" t="b">
        <f t="shared" si="2"/>
        <v>1</v>
      </c>
      <c r="AD1185" s="154" t="s">
        <v>391</v>
      </c>
      <c r="AE1185" s="243" t="b">
        <f t="shared" si="3"/>
        <v>0</v>
      </c>
      <c r="AF1185" s="154"/>
      <c r="AG1185" s="243" t="b">
        <f t="shared" si="7"/>
        <v>0</v>
      </c>
      <c r="AH1185" s="154"/>
      <c r="AI1185" s="243" t="str">
        <f t="shared" si="5"/>
        <v>N/A</v>
      </c>
      <c r="AJ1185" s="157" t="str">
        <f t="shared" si="6"/>
        <v/>
      </c>
    </row>
    <row r="1186" ht="12.75" customHeight="1">
      <c r="A1186" s="244" t="s">
        <v>2412</v>
      </c>
      <c r="B1186" s="244" t="s">
        <v>3102</v>
      </c>
      <c r="C1186" s="244" t="s">
        <v>3236</v>
      </c>
      <c r="D1186" s="154" t="s">
        <v>2746</v>
      </c>
      <c r="E1186" s="250"/>
      <c r="F1186" s="154" t="str">
        <f t="array" ref="F1186">XLOOKUP(Cover!$D$12,$S$1:$AA$1,$S1186:$AA1186)</f>
        <v>Mandatory</v>
      </c>
      <c r="G1186" s="154" t="s">
        <v>3237</v>
      </c>
      <c r="H1186" s="154" t="s">
        <v>398</v>
      </c>
      <c r="I1186" s="154" t="s">
        <v>389</v>
      </c>
      <c r="J1186" s="247" t="s">
        <v>445</v>
      </c>
      <c r="K1186" s="154"/>
      <c r="L1186" s="154" t="str">
        <f t="shared" si="1"/>
        <v/>
      </c>
      <c r="M1186" s="248" t="str">
        <f>IFERROR(__xludf.DUMMYFUNCTION("VLOOKUP(C1186,IMPORTRANGE(""https://docs.google.com/spreadsheets/d/1P8eX0NWBhUPS_hvzA11R6jkTNFrPrRYIx_dX_hYbxrk/edit?resourcekey=0-iw9bsKY2OqkUHCFMkCar3A&amp;gid=2055363397#gid=2055363397"",""MTR!C:O""),11,false)"),"PMW-MCE-NAS")</f>
        <v>PMW-MCE-NAS</v>
      </c>
      <c r="N1186" s="248" t="str">
        <f>IFERROR(__xludf.DUMMYFUNCTION("VLOOKUP(C1186,IMPORTRANGE(""https://docs.google.com/spreadsheets/d/1ihFlp3_ePlYtFuPbUNbYj1muErVpI73WHXbEwJDIA7Q/edit#gid=1493122344"",""MTR!C:O""),8,false)"),"Complies")</f>
        <v>Complies</v>
      </c>
      <c r="O1186" s="241" t="str">
        <f>IFERROR(__xludf.DUMMYFUNCTION("VLOOKUP(C1186,IMPORTRANGE(""https://docs.google.com/spreadsheets/d/1P8eX0NWBhUPS_hvzA11R6jkTNFrPrRYIx_dX_hYbxrk/edit?resourcekey=0-iw9bsKY2OqkUHCFMkCar3A&amp;gid=2055363397#gid=2055363397"",""MTR!C:O""),9,false)"),"")</f>
        <v/>
      </c>
      <c r="P1186" s="241"/>
      <c r="Q1186" s="251" t="s">
        <v>445</v>
      </c>
      <c r="R1186" s="241"/>
      <c r="S1186" s="154" t="s">
        <v>60</v>
      </c>
      <c r="T1186" s="154" t="s">
        <v>60</v>
      </c>
      <c r="U1186" s="154" t="s">
        <v>60</v>
      </c>
      <c r="V1186" s="154" t="s">
        <v>60</v>
      </c>
      <c r="W1186" s="154" t="s">
        <v>60</v>
      </c>
      <c r="X1186" s="154" t="s">
        <v>60</v>
      </c>
      <c r="Y1186" s="154" t="s">
        <v>60</v>
      </c>
      <c r="Z1186" s="154" t="s">
        <v>60</v>
      </c>
      <c r="AA1186" s="154" t="s">
        <v>60</v>
      </c>
      <c r="AB1186" s="154"/>
      <c r="AC1186" s="242" t="b">
        <f t="shared" si="2"/>
        <v>1</v>
      </c>
      <c r="AD1186" s="154" t="s">
        <v>391</v>
      </c>
      <c r="AE1186" s="243" t="b">
        <f t="shared" si="3"/>
        <v>0</v>
      </c>
      <c r="AF1186" s="154"/>
      <c r="AG1186" s="243" t="b">
        <f t="shared" si="7"/>
        <v>0</v>
      </c>
      <c r="AH1186" s="154"/>
      <c r="AI1186" s="243" t="str">
        <f t="shared" si="5"/>
        <v>N/A</v>
      </c>
      <c r="AJ1186" s="157" t="str">
        <f t="shared" si="6"/>
        <v/>
      </c>
    </row>
    <row r="1187" ht="12.75" customHeight="1">
      <c r="A1187" s="244" t="s">
        <v>2412</v>
      </c>
      <c r="B1187" s="244" t="s">
        <v>3102</v>
      </c>
      <c r="C1187" s="244" t="s">
        <v>3238</v>
      </c>
      <c r="D1187" s="154" t="s">
        <v>2746</v>
      </c>
      <c r="E1187" s="250"/>
      <c r="F1187" s="154" t="str">
        <f t="array" ref="F1187">XLOOKUP(Cover!$D$12,$S$1:$AA$1,$S1187:$AA1187)</f>
        <v>Mandatory</v>
      </c>
      <c r="G1187" s="154" t="s">
        <v>3239</v>
      </c>
      <c r="H1187" s="154" t="s">
        <v>398</v>
      </c>
      <c r="I1187" s="154" t="s">
        <v>389</v>
      </c>
      <c r="J1187" s="247" t="s">
        <v>445</v>
      </c>
      <c r="K1187" s="154"/>
      <c r="L1187" s="154" t="str">
        <f t="shared" si="1"/>
        <v/>
      </c>
      <c r="M1187" s="248" t="str">
        <f>IFERROR(__xludf.DUMMYFUNCTION("VLOOKUP(C1187,IMPORTRANGE(""https://docs.google.com/spreadsheets/d/1P8eX0NWBhUPS_hvzA11R6jkTNFrPrRYIx_dX_hYbxrk/edit?resourcekey=0-iw9bsKY2OqkUHCFMkCar3A&amp;gid=2055363397#gid=2055363397"",""MTR!C:O""),11,false)"),"PMW-MCE-NAS")</f>
        <v>PMW-MCE-NAS</v>
      </c>
      <c r="N1187" s="248" t="str">
        <f>IFERROR(__xludf.DUMMYFUNCTION("VLOOKUP(C1187,IMPORTRANGE(""https://docs.google.com/spreadsheets/d/1ihFlp3_ePlYtFuPbUNbYj1muErVpI73WHXbEwJDIA7Q/edit#gid=1493122344"",""MTR!C:O""),8,false)"),"Complies")</f>
        <v>Complies</v>
      </c>
      <c r="O1187" s="241" t="str">
        <f>IFERROR(__xludf.DUMMYFUNCTION("VLOOKUP(C1187,IMPORTRANGE(""https://docs.google.com/spreadsheets/d/1P8eX0NWBhUPS_hvzA11R6jkTNFrPrRYIx_dX_hYbxrk/edit?resourcekey=0-iw9bsKY2OqkUHCFMkCar3A&amp;gid=2055363397#gid=2055363397"",""MTR!C:O""),9,false)"),"")</f>
        <v/>
      </c>
      <c r="P1187" s="241"/>
      <c r="Q1187" s="251" t="s">
        <v>445</v>
      </c>
      <c r="R1187" s="241"/>
      <c r="S1187" s="154" t="s">
        <v>60</v>
      </c>
      <c r="T1187" s="154" t="s">
        <v>60</v>
      </c>
      <c r="U1187" s="154" t="s">
        <v>60</v>
      </c>
      <c r="V1187" s="154" t="s">
        <v>60</v>
      </c>
      <c r="W1187" s="154" t="s">
        <v>60</v>
      </c>
      <c r="X1187" s="154" t="s">
        <v>60</v>
      </c>
      <c r="Y1187" s="154" t="s">
        <v>60</v>
      </c>
      <c r="Z1187" s="154" t="s">
        <v>60</v>
      </c>
      <c r="AA1187" s="154" t="s">
        <v>60</v>
      </c>
      <c r="AB1187" s="154"/>
      <c r="AC1187" s="242" t="b">
        <f t="shared" si="2"/>
        <v>1</v>
      </c>
      <c r="AD1187" s="154" t="s">
        <v>391</v>
      </c>
      <c r="AE1187" s="243" t="b">
        <f t="shared" si="3"/>
        <v>0</v>
      </c>
      <c r="AF1187" s="154"/>
      <c r="AG1187" s="243" t="b">
        <f t="shared" si="7"/>
        <v>0</v>
      </c>
      <c r="AH1187" s="154"/>
      <c r="AI1187" s="243" t="str">
        <f t="shared" si="5"/>
        <v>N/A</v>
      </c>
      <c r="AJ1187" s="157" t="str">
        <f t="shared" si="6"/>
        <v/>
      </c>
    </row>
    <row r="1188" ht="12.75" customHeight="1">
      <c r="A1188" s="244" t="s">
        <v>2412</v>
      </c>
      <c r="B1188" s="244" t="s">
        <v>3102</v>
      </c>
      <c r="C1188" s="244" t="s">
        <v>3240</v>
      </c>
      <c r="D1188" s="154" t="s">
        <v>2746</v>
      </c>
      <c r="E1188" s="250"/>
      <c r="F1188" s="154" t="str">
        <f t="array" ref="F1188">XLOOKUP(Cover!$D$12,$S$1:$AA$1,$S1188:$AA1188)</f>
        <v>Mandatory</v>
      </c>
      <c r="G1188" s="154" t="s">
        <v>3241</v>
      </c>
      <c r="H1188" s="154" t="s">
        <v>398</v>
      </c>
      <c r="I1188" s="154" t="s">
        <v>389</v>
      </c>
      <c r="J1188" s="247" t="s">
        <v>445</v>
      </c>
      <c r="K1188" s="154"/>
      <c r="L1188" s="154" t="str">
        <f t="shared" si="1"/>
        <v/>
      </c>
      <c r="M1188" s="248" t="str">
        <f>IFERROR(__xludf.DUMMYFUNCTION("VLOOKUP(C1188,IMPORTRANGE(""https://docs.google.com/spreadsheets/d/1P8eX0NWBhUPS_hvzA11R6jkTNFrPrRYIx_dX_hYbxrk/edit?resourcekey=0-iw9bsKY2OqkUHCFMkCar3A&amp;gid=2055363397#gid=2055363397"",""MTR!C:O""),11,false)"),"PMW-MCE-NAS")</f>
        <v>PMW-MCE-NAS</v>
      </c>
      <c r="N1188" s="248" t="str">
        <f>IFERROR(__xludf.DUMMYFUNCTION("VLOOKUP(C1188,IMPORTRANGE(""https://docs.google.com/spreadsheets/d/1ihFlp3_ePlYtFuPbUNbYj1muErVpI73WHXbEwJDIA7Q/edit#gid=1493122344"",""MTR!C:O""),8,false)"),"Complies")</f>
        <v>Complies</v>
      </c>
      <c r="O1188" s="241" t="str">
        <f>IFERROR(__xludf.DUMMYFUNCTION("VLOOKUP(C1188,IMPORTRANGE(""https://docs.google.com/spreadsheets/d/1P8eX0NWBhUPS_hvzA11R6jkTNFrPrRYIx_dX_hYbxrk/edit?resourcekey=0-iw9bsKY2OqkUHCFMkCar3A&amp;gid=2055363397#gid=2055363397"",""MTR!C:O""),9,false)"),"")</f>
        <v/>
      </c>
      <c r="P1188" s="241"/>
      <c r="Q1188" s="251" t="s">
        <v>445</v>
      </c>
      <c r="R1188" s="241"/>
      <c r="S1188" s="154" t="s">
        <v>60</v>
      </c>
      <c r="T1188" s="154" t="s">
        <v>60</v>
      </c>
      <c r="U1188" s="154" t="s">
        <v>60</v>
      </c>
      <c r="V1188" s="154" t="s">
        <v>60</v>
      </c>
      <c r="W1188" s="154" t="s">
        <v>60</v>
      </c>
      <c r="X1188" s="154" t="s">
        <v>60</v>
      </c>
      <c r="Y1188" s="154" t="s">
        <v>60</v>
      </c>
      <c r="Z1188" s="154" t="s">
        <v>60</v>
      </c>
      <c r="AA1188" s="154" t="s">
        <v>60</v>
      </c>
      <c r="AB1188" s="154"/>
      <c r="AC1188" s="242" t="b">
        <f t="shared" si="2"/>
        <v>1</v>
      </c>
      <c r="AD1188" s="154" t="s">
        <v>391</v>
      </c>
      <c r="AE1188" s="243" t="b">
        <f t="shared" si="3"/>
        <v>0</v>
      </c>
      <c r="AF1188" s="154"/>
      <c r="AG1188" s="243" t="b">
        <f t="shared" si="7"/>
        <v>0</v>
      </c>
      <c r="AH1188" s="154"/>
      <c r="AI1188" s="243" t="str">
        <f t="shared" si="5"/>
        <v>N/A</v>
      </c>
      <c r="AJ1188" s="157" t="str">
        <f t="shared" si="6"/>
        <v/>
      </c>
    </row>
    <row r="1189" ht="12.75" customHeight="1">
      <c r="A1189" s="244" t="s">
        <v>2412</v>
      </c>
      <c r="B1189" s="244" t="s">
        <v>3102</v>
      </c>
      <c r="C1189" s="244" t="s">
        <v>3242</v>
      </c>
      <c r="D1189" s="154" t="s">
        <v>2746</v>
      </c>
      <c r="E1189" s="250"/>
      <c r="F1189" s="154" t="str">
        <f t="array" ref="F1189">XLOOKUP(Cover!$D$12,$S$1:$AA$1,$S1189:$AA1189)</f>
        <v>Mandatory</v>
      </c>
      <c r="G1189" s="154" t="s">
        <v>3243</v>
      </c>
      <c r="H1189" s="154" t="s">
        <v>398</v>
      </c>
      <c r="I1189" s="154" t="s">
        <v>389</v>
      </c>
      <c r="J1189" s="247" t="s">
        <v>445</v>
      </c>
      <c r="K1189" s="154"/>
      <c r="L1189" s="154" t="str">
        <f t="shared" si="1"/>
        <v/>
      </c>
      <c r="M1189" s="248" t="str">
        <f>IFERROR(__xludf.DUMMYFUNCTION("VLOOKUP(C1189,IMPORTRANGE(""https://docs.google.com/spreadsheets/d/1P8eX0NWBhUPS_hvzA11R6jkTNFrPrRYIx_dX_hYbxrk/edit?resourcekey=0-iw9bsKY2OqkUHCFMkCar3A&amp;gid=2055363397#gid=2055363397"",""MTR!C:O""),11,false)"),"PMW-MCE-NAS")</f>
        <v>PMW-MCE-NAS</v>
      </c>
      <c r="N1189" s="248" t="str">
        <f>IFERROR(__xludf.DUMMYFUNCTION("VLOOKUP(C1189,IMPORTRANGE(""https://docs.google.com/spreadsheets/d/1ihFlp3_ePlYtFuPbUNbYj1muErVpI73WHXbEwJDIA7Q/edit#gid=1493122344"",""MTR!C:O""),8,false)"),"Complies")</f>
        <v>Complies</v>
      </c>
      <c r="O1189" s="241" t="str">
        <f>IFERROR(__xludf.DUMMYFUNCTION("VLOOKUP(C1189,IMPORTRANGE(""https://docs.google.com/spreadsheets/d/1P8eX0NWBhUPS_hvzA11R6jkTNFrPrRYIx_dX_hYbxrk/edit?resourcekey=0-iw9bsKY2OqkUHCFMkCar3A&amp;gid=2055363397#gid=2055363397"",""MTR!C:O""),9,false)"),"")</f>
        <v/>
      </c>
      <c r="P1189" s="241"/>
      <c r="Q1189" s="251" t="s">
        <v>445</v>
      </c>
      <c r="R1189" s="241"/>
      <c r="S1189" s="154" t="s">
        <v>60</v>
      </c>
      <c r="T1189" s="154" t="s">
        <v>60</v>
      </c>
      <c r="U1189" s="154" t="s">
        <v>60</v>
      </c>
      <c r="V1189" s="154" t="s">
        <v>60</v>
      </c>
      <c r="W1189" s="154" t="s">
        <v>60</v>
      </c>
      <c r="X1189" s="154" t="s">
        <v>60</v>
      </c>
      <c r="Y1189" s="154" t="s">
        <v>60</v>
      </c>
      <c r="Z1189" s="154" t="s">
        <v>60</v>
      </c>
      <c r="AA1189" s="154" t="s">
        <v>60</v>
      </c>
      <c r="AB1189" s="154"/>
      <c r="AC1189" s="242" t="b">
        <f t="shared" si="2"/>
        <v>1</v>
      </c>
      <c r="AD1189" s="154" t="s">
        <v>391</v>
      </c>
      <c r="AE1189" s="243" t="b">
        <f t="shared" si="3"/>
        <v>0</v>
      </c>
      <c r="AF1189" s="154"/>
      <c r="AG1189" s="243" t="b">
        <f t="shared" si="7"/>
        <v>0</v>
      </c>
      <c r="AH1189" s="154"/>
      <c r="AI1189" s="243" t="str">
        <f t="shared" si="5"/>
        <v>N/A</v>
      </c>
      <c r="AJ1189" s="157" t="str">
        <f t="shared" si="6"/>
        <v/>
      </c>
    </row>
    <row r="1190" ht="12.75" customHeight="1">
      <c r="A1190" s="244" t="s">
        <v>2412</v>
      </c>
      <c r="B1190" s="244" t="s">
        <v>3102</v>
      </c>
      <c r="C1190" s="244" t="s">
        <v>3244</v>
      </c>
      <c r="D1190" s="154" t="s">
        <v>2746</v>
      </c>
      <c r="E1190" s="250"/>
      <c r="F1190" s="154" t="str">
        <f t="array" ref="F1190">XLOOKUP(Cover!$D$12,$S$1:$AA$1,$S1190:$AA1190)</f>
        <v>Mandatory</v>
      </c>
      <c r="G1190" s="154" t="s">
        <v>3245</v>
      </c>
      <c r="H1190" s="154" t="s">
        <v>398</v>
      </c>
      <c r="I1190" s="154" t="s">
        <v>389</v>
      </c>
      <c r="J1190" s="247" t="s">
        <v>445</v>
      </c>
      <c r="K1190" s="154"/>
      <c r="L1190" s="154" t="str">
        <f t="shared" si="1"/>
        <v/>
      </c>
      <c r="M1190" s="248" t="str">
        <f>IFERROR(__xludf.DUMMYFUNCTION("VLOOKUP(C1190,IMPORTRANGE(""https://docs.google.com/spreadsheets/d/1P8eX0NWBhUPS_hvzA11R6jkTNFrPrRYIx_dX_hYbxrk/edit?resourcekey=0-iw9bsKY2OqkUHCFMkCar3A&amp;gid=2055363397#gid=2055363397"",""MTR!C:O""),11,false)"),"PMW-MCE-NAS")</f>
        <v>PMW-MCE-NAS</v>
      </c>
      <c r="N1190" s="248" t="str">
        <f>IFERROR(__xludf.DUMMYFUNCTION("VLOOKUP(C1190,IMPORTRANGE(""https://docs.google.com/spreadsheets/d/1ihFlp3_ePlYtFuPbUNbYj1muErVpI73WHXbEwJDIA7Q/edit#gid=1493122344"",""MTR!C:O""),8,false)"),"Complies")</f>
        <v>Complies</v>
      </c>
      <c r="O1190" s="241" t="str">
        <f>IFERROR(__xludf.DUMMYFUNCTION("VLOOKUP(C1190,IMPORTRANGE(""https://docs.google.com/spreadsheets/d/1P8eX0NWBhUPS_hvzA11R6jkTNFrPrRYIx_dX_hYbxrk/edit?resourcekey=0-iw9bsKY2OqkUHCFMkCar3A&amp;gid=2055363397#gid=2055363397"",""MTR!C:O""),9,false)"),"")</f>
        <v/>
      </c>
      <c r="P1190" s="241"/>
      <c r="Q1190" s="251" t="s">
        <v>445</v>
      </c>
      <c r="R1190" s="241"/>
      <c r="S1190" s="154" t="s">
        <v>60</v>
      </c>
      <c r="T1190" s="154" t="s">
        <v>60</v>
      </c>
      <c r="U1190" s="154" t="s">
        <v>60</v>
      </c>
      <c r="V1190" s="154" t="s">
        <v>60</v>
      </c>
      <c r="W1190" s="154" t="s">
        <v>60</v>
      </c>
      <c r="X1190" s="154" t="s">
        <v>60</v>
      </c>
      <c r="Y1190" s="154" t="s">
        <v>60</v>
      </c>
      <c r="Z1190" s="154" t="s">
        <v>60</v>
      </c>
      <c r="AA1190" s="154" t="s">
        <v>60</v>
      </c>
      <c r="AB1190" s="154"/>
      <c r="AC1190" s="242" t="b">
        <f t="shared" si="2"/>
        <v>1</v>
      </c>
      <c r="AD1190" s="154" t="s">
        <v>391</v>
      </c>
      <c r="AE1190" s="243" t="b">
        <f t="shared" si="3"/>
        <v>0</v>
      </c>
      <c r="AF1190" s="154"/>
      <c r="AG1190" s="243" t="b">
        <f t="shared" si="7"/>
        <v>0</v>
      </c>
      <c r="AH1190" s="154"/>
      <c r="AI1190" s="243" t="str">
        <f t="shared" si="5"/>
        <v>N/A</v>
      </c>
      <c r="AJ1190" s="157" t="str">
        <f t="shared" si="6"/>
        <v/>
      </c>
    </row>
    <row r="1191" ht="12.75" customHeight="1">
      <c r="A1191" s="244" t="s">
        <v>2412</v>
      </c>
      <c r="B1191" s="244" t="s">
        <v>3102</v>
      </c>
      <c r="C1191" s="244" t="s">
        <v>3246</v>
      </c>
      <c r="D1191" s="154" t="s">
        <v>2746</v>
      </c>
      <c r="E1191" s="250"/>
      <c r="F1191" s="154" t="str">
        <f t="array" ref="F1191">XLOOKUP(Cover!$D$12,$S$1:$AA$1,$S1191:$AA1191)</f>
        <v>Mandatory</v>
      </c>
      <c r="G1191" s="154" t="s">
        <v>3247</v>
      </c>
      <c r="H1191" s="154" t="s">
        <v>398</v>
      </c>
      <c r="I1191" s="154" t="s">
        <v>389</v>
      </c>
      <c r="J1191" s="247" t="s">
        <v>445</v>
      </c>
      <c r="K1191" s="154"/>
      <c r="L1191" s="154" t="str">
        <f t="shared" si="1"/>
        <v/>
      </c>
      <c r="M1191" s="248" t="str">
        <f>IFERROR(__xludf.DUMMYFUNCTION("VLOOKUP(C1191,IMPORTRANGE(""https://docs.google.com/spreadsheets/d/1P8eX0NWBhUPS_hvzA11R6jkTNFrPrRYIx_dX_hYbxrk/edit?resourcekey=0-iw9bsKY2OqkUHCFMkCar3A&amp;gid=2055363397#gid=2055363397"",""MTR!C:O""),11,false)"),"PMW-MCE-NAS")</f>
        <v>PMW-MCE-NAS</v>
      </c>
      <c r="N1191" s="248" t="str">
        <f>IFERROR(__xludf.DUMMYFUNCTION("VLOOKUP(C1191,IMPORTRANGE(""https://docs.google.com/spreadsheets/d/1ihFlp3_ePlYtFuPbUNbYj1muErVpI73WHXbEwJDIA7Q/edit#gid=1493122344"",""MTR!C:O""),8,false)"),"Complies")</f>
        <v>Complies</v>
      </c>
      <c r="O1191" s="241" t="str">
        <f>IFERROR(__xludf.DUMMYFUNCTION("VLOOKUP(C1191,IMPORTRANGE(""https://docs.google.com/spreadsheets/d/1P8eX0NWBhUPS_hvzA11R6jkTNFrPrRYIx_dX_hYbxrk/edit?resourcekey=0-iw9bsKY2OqkUHCFMkCar3A&amp;gid=2055363397#gid=2055363397"",""MTR!C:O""),9,false)"),"")</f>
        <v/>
      </c>
      <c r="P1191" s="241"/>
      <c r="Q1191" s="251" t="s">
        <v>445</v>
      </c>
      <c r="R1191" s="241"/>
      <c r="S1191" s="154" t="s">
        <v>60</v>
      </c>
      <c r="T1191" s="154" t="s">
        <v>60</v>
      </c>
      <c r="U1191" s="154" t="s">
        <v>60</v>
      </c>
      <c r="V1191" s="154" t="s">
        <v>60</v>
      </c>
      <c r="W1191" s="154" t="s">
        <v>60</v>
      </c>
      <c r="X1191" s="154" t="s">
        <v>60</v>
      </c>
      <c r="Y1191" s="154" t="s">
        <v>60</v>
      </c>
      <c r="Z1191" s="154" t="s">
        <v>60</v>
      </c>
      <c r="AA1191" s="154" t="s">
        <v>60</v>
      </c>
      <c r="AB1191" s="154"/>
      <c r="AC1191" s="242" t="b">
        <f t="shared" si="2"/>
        <v>1</v>
      </c>
      <c r="AD1191" s="154" t="s">
        <v>391</v>
      </c>
      <c r="AE1191" s="243" t="b">
        <f t="shared" si="3"/>
        <v>0</v>
      </c>
      <c r="AF1191" s="154"/>
      <c r="AG1191" s="243" t="b">
        <f t="shared" si="7"/>
        <v>0</v>
      </c>
      <c r="AH1191" s="154"/>
      <c r="AI1191" s="243" t="str">
        <f t="shared" si="5"/>
        <v>N/A</v>
      </c>
      <c r="AJ1191" s="157" t="str">
        <f t="shared" si="6"/>
        <v/>
      </c>
    </row>
    <row r="1192" ht="12.75" customHeight="1">
      <c r="A1192" s="244" t="s">
        <v>2412</v>
      </c>
      <c r="B1192" s="244" t="s">
        <v>3102</v>
      </c>
      <c r="C1192" s="244" t="s">
        <v>3248</v>
      </c>
      <c r="D1192" s="154" t="s">
        <v>2746</v>
      </c>
      <c r="E1192" s="250"/>
      <c r="F1192" s="154" t="str">
        <f t="array" ref="F1192">XLOOKUP(Cover!$D$12,$S$1:$AA$1,$S1192:$AA1192)</f>
        <v>Mandatory</v>
      </c>
      <c r="G1192" s="154" t="s">
        <v>3249</v>
      </c>
      <c r="H1192" s="154" t="s">
        <v>398</v>
      </c>
      <c r="I1192" s="154" t="s">
        <v>389</v>
      </c>
      <c r="J1192" s="247" t="s">
        <v>445</v>
      </c>
      <c r="K1192" s="154"/>
      <c r="L1192" s="154" t="str">
        <f t="shared" si="1"/>
        <v/>
      </c>
      <c r="M1192" s="248" t="str">
        <f>IFERROR(__xludf.DUMMYFUNCTION("VLOOKUP(C1192,IMPORTRANGE(""https://docs.google.com/spreadsheets/d/1P8eX0NWBhUPS_hvzA11R6jkTNFrPrRYIx_dX_hYbxrk/edit?resourcekey=0-iw9bsKY2OqkUHCFMkCar3A&amp;gid=2055363397#gid=2055363397"",""MTR!C:O""),11,false)"),"PMW-MCE-NAS")</f>
        <v>PMW-MCE-NAS</v>
      </c>
      <c r="N1192" s="248" t="str">
        <f>IFERROR(__xludf.DUMMYFUNCTION("VLOOKUP(C1192,IMPORTRANGE(""https://docs.google.com/spreadsheets/d/1ihFlp3_ePlYtFuPbUNbYj1muErVpI73WHXbEwJDIA7Q/edit#gid=1493122344"",""MTR!C:O""),8,false)"),"Complies")</f>
        <v>Complies</v>
      </c>
      <c r="O1192" s="241" t="str">
        <f>IFERROR(__xludf.DUMMYFUNCTION("VLOOKUP(C1192,IMPORTRANGE(""https://docs.google.com/spreadsheets/d/1P8eX0NWBhUPS_hvzA11R6jkTNFrPrRYIx_dX_hYbxrk/edit?resourcekey=0-iw9bsKY2OqkUHCFMkCar3A&amp;gid=2055363397#gid=2055363397"",""MTR!C:O""),9,false)"),"")</f>
        <v/>
      </c>
      <c r="P1192" s="241"/>
      <c r="Q1192" s="251" t="s">
        <v>445</v>
      </c>
      <c r="R1192" s="241"/>
      <c r="S1192" s="154" t="s">
        <v>60</v>
      </c>
      <c r="T1192" s="154" t="s">
        <v>60</v>
      </c>
      <c r="U1192" s="154" t="s">
        <v>60</v>
      </c>
      <c r="V1192" s="154" t="s">
        <v>60</v>
      </c>
      <c r="W1192" s="154" t="s">
        <v>60</v>
      </c>
      <c r="X1192" s="154" t="s">
        <v>60</v>
      </c>
      <c r="Y1192" s="154" t="s">
        <v>60</v>
      </c>
      <c r="Z1192" s="154" t="s">
        <v>60</v>
      </c>
      <c r="AA1192" s="154" t="s">
        <v>60</v>
      </c>
      <c r="AB1192" s="154"/>
      <c r="AC1192" s="242" t="b">
        <f t="shared" si="2"/>
        <v>1</v>
      </c>
      <c r="AD1192" s="154" t="s">
        <v>391</v>
      </c>
      <c r="AE1192" s="243" t="b">
        <f t="shared" si="3"/>
        <v>0</v>
      </c>
      <c r="AF1192" s="154"/>
      <c r="AG1192" s="243" t="b">
        <f t="shared" si="7"/>
        <v>0</v>
      </c>
      <c r="AH1192" s="154"/>
      <c r="AI1192" s="243" t="str">
        <f t="shared" si="5"/>
        <v>N/A</v>
      </c>
      <c r="AJ1192" s="157" t="str">
        <f t="shared" si="6"/>
        <v/>
      </c>
    </row>
    <row r="1193" ht="12.75" customHeight="1">
      <c r="A1193" s="244" t="s">
        <v>2412</v>
      </c>
      <c r="B1193" s="244" t="s">
        <v>3102</v>
      </c>
      <c r="C1193" s="244" t="s">
        <v>3250</v>
      </c>
      <c r="D1193" s="154" t="s">
        <v>2746</v>
      </c>
      <c r="E1193" s="250"/>
      <c r="F1193" s="154" t="str">
        <f t="array" ref="F1193">XLOOKUP(Cover!$D$12,$S$1:$AA$1,$S1193:$AA1193)</f>
        <v>Mandatory</v>
      </c>
      <c r="G1193" s="154" t="s">
        <v>3251</v>
      </c>
      <c r="H1193" s="154" t="s">
        <v>398</v>
      </c>
      <c r="I1193" s="154" t="s">
        <v>389</v>
      </c>
      <c r="J1193" s="247" t="s">
        <v>445</v>
      </c>
      <c r="K1193" s="154"/>
      <c r="L1193" s="154" t="str">
        <f t="shared" si="1"/>
        <v/>
      </c>
      <c r="M1193" s="248" t="str">
        <f>IFERROR(__xludf.DUMMYFUNCTION("VLOOKUP(C1193,IMPORTRANGE(""https://docs.google.com/spreadsheets/d/1P8eX0NWBhUPS_hvzA11R6jkTNFrPrRYIx_dX_hYbxrk/edit?resourcekey=0-iw9bsKY2OqkUHCFMkCar3A&amp;gid=2055363397#gid=2055363397"",""MTR!C:O""),11,false)"),"PMW-MCE-NAS")</f>
        <v>PMW-MCE-NAS</v>
      </c>
      <c r="N1193" s="248" t="str">
        <f>IFERROR(__xludf.DUMMYFUNCTION("VLOOKUP(C1193,IMPORTRANGE(""https://docs.google.com/spreadsheets/d/1ihFlp3_ePlYtFuPbUNbYj1muErVpI73WHXbEwJDIA7Q/edit#gid=1493122344"",""MTR!C:O""),8,false)"),"Complies")</f>
        <v>Complies</v>
      </c>
      <c r="O1193" s="241" t="str">
        <f>IFERROR(__xludf.DUMMYFUNCTION("VLOOKUP(C1193,IMPORTRANGE(""https://docs.google.com/spreadsheets/d/1P8eX0NWBhUPS_hvzA11R6jkTNFrPrRYIx_dX_hYbxrk/edit?resourcekey=0-iw9bsKY2OqkUHCFMkCar3A&amp;gid=2055363397#gid=2055363397"",""MTR!C:O""),9,false)"),"")</f>
        <v/>
      </c>
      <c r="P1193" s="241"/>
      <c r="Q1193" s="251" t="s">
        <v>445</v>
      </c>
      <c r="R1193" s="241"/>
      <c r="S1193" s="154" t="s">
        <v>60</v>
      </c>
      <c r="T1193" s="154" t="s">
        <v>60</v>
      </c>
      <c r="U1193" s="154" t="s">
        <v>60</v>
      </c>
      <c r="V1193" s="154" t="s">
        <v>60</v>
      </c>
      <c r="W1193" s="154" t="s">
        <v>60</v>
      </c>
      <c r="X1193" s="154" t="s">
        <v>60</v>
      </c>
      <c r="Y1193" s="154" t="s">
        <v>60</v>
      </c>
      <c r="Z1193" s="154" t="s">
        <v>60</v>
      </c>
      <c r="AA1193" s="154" t="s">
        <v>60</v>
      </c>
      <c r="AB1193" s="154"/>
      <c r="AC1193" s="242" t="b">
        <f t="shared" si="2"/>
        <v>1</v>
      </c>
      <c r="AD1193" s="154" t="s">
        <v>391</v>
      </c>
      <c r="AE1193" s="243" t="b">
        <f t="shared" si="3"/>
        <v>0</v>
      </c>
      <c r="AF1193" s="154"/>
      <c r="AG1193" s="243" t="b">
        <f t="shared" si="7"/>
        <v>0</v>
      </c>
      <c r="AH1193" s="154"/>
      <c r="AI1193" s="243" t="str">
        <f t="shared" si="5"/>
        <v>N/A</v>
      </c>
      <c r="AJ1193" s="157" t="str">
        <f t="shared" si="6"/>
        <v/>
      </c>
    </row>
    <row r="1194" ht="12.75" customHeight="1">
      <c r="A1194" s="244" t="s">
        <v>2412</v>
      </c>
      <c r="B1194" s="244" t="s">
        <v>3102</v>
      </c>
      <c r="C1194" s="244" t="s">
        <v>3252</v>
      </c>
      <c r="D1194" s="154" t="s">
        <v>2746</v>
      </c>
      <c r="E1194" s="250"/>
      <c r="F1194" s="154" t="str">
        <f t="array" ref="F1194">XLOOKUP(Cover!$D$12,$S$1:$AA$1,$S1194:$AA1194)</f>
        <v>Mandatory</v>
      </c>
      <c r="G1194" s="154" t="s">
        <v>3253</v>
      </c>
      <c r="H1194" s="154" t="s">
        <v>398</v>
      </c>
      <c r="I1194" s="154" t="s">
        <v>389</v>
      </c>
      <c r="J1194" s="247" t="s">
        <v>445</v>
      </c>
      <c r="K1194" s="154"/>
      <c r="L1194" s="154" t="str">
        <f t="shared" si="1"/>
        <v/>
      </c>
      <c r="M1194" s="248" t="str">
        <f>IFERROR(__xludf.DUMMYFUNCTION("VLOOKUP(C1194,IMPORTRANGE(""https://docs.google.com/spreadsheets/d/1P8eX0NWBhUPS_hvzA11R6jkTNFrPrRYIx_dX_hYbxrk/edit?resourcekey=0-iw9bsKY2OqkUHCFMkCar3A&amp;gid=2055363397#gid=2055363397"",""MTR!C:O""),11,false)"),"PMW-MCE-NAS")</f>
        <v>PMW-MCE-NAS</v>
      </c>
      <c r="N1194" s="248" t="str">
        <f>IFERROR(__xludf.DUMMYFUNCTION("VLOOKUP(C1194,IMPORTRANGE(""https://docs.google.com/spreadsheets/d/1ihFlp3_ePlYtFuPbUNbYj1muErVpI73WHXbEwJDIA7Q/edit#gid=1493122344"",""MTR!C:O""),8,false)"),"Complies")</f>
        <v>Complies</v>
      </c>
      <c r="O1194" s="241" t="str">
        <f>IFERROR(__xludf.DUMMYFUNCTION("VLOOKUP(C1194,IMPORTRANGE(""https://docs.google.com/spreadsheets/d/1P8eX0NWBhUPS_hvzA11R6jkTNFrPrRYIx_dX_hYbxrk/edit?resourcekey=0-iw9bsKY2OqkUHCFMkCar3A&amp;gid=2055363397#gid=2055363397"",""MTR!C:O""),9,false)"),"")</f>
        <v/>
      </c>
      <c r="P1194" s="241"/>
      <c r="Q1194" s="251" t="s">
        <v>445</v>
      </c>
      <c r="R1194" s="241"/>
      <c r="S1194" s="154" t="s">
        <v>60</v>
      </c>
      <c r="T1194" s="154" t="s">
        <v>60</v>
      </c>
      <c r="U1194" s="154" t="s">
        <v>60</v>
      </c>
      <c r="V1194" s="154" t="s">
        <v>60</v>
      </c>
      <c r="W1194" s="154" t="s">
        <v>60</v>
      </c>
      <c r="X1194" s="154" t="s">
        <v>60</v>
      </c>
      <c r="Y1194" s="154" t="s">
        <v>60</v>
      </c>
      <c r="Z1194" s="154" t="s">
        <v>60</v>
      </c>
      <c r="AA1194" s="154" t="s">
        <v>60</v>
      </c>
      <c r="AB1194" s="154"/>
      <c r="AC1194" s="242" t="b">
        <f t="shared" si="2"/>
        <v>1</v>
      </c>
      <c r="AD1194" s="154" t="s">
        <v>391</v>
      </c>
      <c r="AE1194" s="243" t="b">
        <f t="shared" si="3"/>
        <v>0</v>
      </c>
      <c r="AF1194" s="154"/>
      <c r="AG1194" s="243" t="b">
        <f t="shared" si="7"/>
        <v>0</v>
      </c>
      <c r="AH1194" s="154"/>
      <c r="AI1194" s="243" t="str">
        <f t="shared" si="5"/>
        <v>N/A</v>
      </c>
      <c r="AJ1194" s="157" t="str">
        <f t="shared" si="6"/>
        <v/>
      </c>
    </row>
    <row r="1195" ht="12.75" customHeight="1">
      <c r="A1195" s="244" t="s">
        <v>2412</v>
      </c>
      <c r="B1195" s="244" t="s">
        <v>3102</v>
      </c>
      <c r="C1195" s="244" t="s">
        <v>3254</v>
      </c>
      <c r="D1195" s="154" t="s">
        <v>2746</v>
      </c>
      <c r="E1195" s="250"/>
      <c r="F1195" s="154" t="str">
        <f t="array" ref="F1195">XLOOKUP(Cover!$D$12,$S$1:$AA$1,$S1195:$AA1195)</f>
        <v>Mandatory</v>
      </c>
      <c r="G1195" s="154" t="s">
        <v>3255</v>
      </c>
      <c r="H1195" s="154" t="s">
        <v>398</v>
      </c>
      <c r="I1195" s="154" t="s">
        <v>389</v>
      </c>
      <c r="J1195" s="247" t="s">
        <v>445</v>
      </c>
      <c r="K1195" s="154"/>
      <c r="L1195" s="154" t="str">
        <f t="shared" si="1"/>
        <v/>
      </c>
      <c r="M1195" s="248" t="str">
        <f>IFERROR(__xludf.DUMMYFUNCTION("VLOOKUP(C1195,IMPORTRANGE(""https://docs.google.com/spreadsheets/d/1P8eX0NWBhUPS_hvzA11R6jkTNFrPrRYIx_dX_hYbxrk/edit?resourcekey=0-iw9bsKY2OqkUHCFMkCar3A&amp;gid=2055363397#gid=2055363397"",""MTR!C:O""),11,false)"),"PMW-MCE-NAS")</f>
        <v>PMW-MCE-NAS</v>
      </c>
      <c r="N1195" s="248" t="str">
        <f>IFERROR(__xludf.DUMMYFUNCTION("VLOOKUP(C1195,IMPORTRANGE(""https://docs.google.com/spreadsheets/d/1ihFlp3_ePlYtFuPbUNbYj1muErVpI73WHXbEwJDIA7Q/edit#gid=1493122344"",""MTR!C:O""),8,false)"),"Complies")</f>
        <v>Complies</v>
      </c>
      <c r="O1195" s="241" t="str">
        <f>IFERROR(__xludf.DUMMYFUNCTION("VLOOKUP(C1195,IMPORTRANGE(""https://docs.google.com/spreadsheets/d/1P8eX0NWBhUPS_hvzA11R6jkTNFrPrRYIx_dX_hYbxrk/edit?resourcekey=0-iw9bsKY2OqkUHCFMkCar3A&amp;gid=2055363397#gid=2055363397"",""MTR!C:O""),9,false)"),"")</f>
        <v/>
      </c>
      <c r="P1195" s="241"/>
      <c r="Q1195" s="251" t="s">
        <v>445</v>
      </c>
      <c r="R1195" s="241"/>
      <c r="S1195" s="154" t="s">
        <v>60</v>
      </c>
      <c r="T1195" s="154" t="s">
        <v>60</v>
      </c>
      <c r="U1195" s="154" t="s">
        <v>60</v>
      </c>
      <c r="V1195" s="154" t="s">
        <v>60</v>
      </c>
      <c r="W1195" s="154" t="s">
        <v>60</v>
      </c>
      <c r="X1195" s="154" t="s">
        <v>60</v>
      </c>
      <c r="Y1195" s="154" t="s">
        <v>60</v>
      </c>
      <c r="Z1195" s="154" t="s">
        <v>60</v>
      </c>
      <c r="AA1195" s="154" t="s">
        <v>60</v>
      </c>
      <c r="AB1195" s="154"/>
      <c r="AC1195" s="242" t="b">
        <f t="shared" si="2"/>
        <v>1</v>
      </c>
      <c r="AD1195" s="154" t="s">
        <v>391</v>
      </c>
      <c r="AE1195" s="243" t="b">
        <f t="shared" si="3"/>
        <v>0</v>
      </c>
      <c r="AF1195" s="154"/>
      <c r="AG1195" s="243" t="b">
        <f t="shared" si="7"/>
        <v>0</v>
      </c>
      <c r="AH1195" s="154"/>
      <c r="AI1195" s="243" t="str">
        <f t="shared" si="5"/>
        <v>N/A</v>
      </c>
      <c r="AJ1195" s="157" t="str">
        <f t="shared" si="6"/>
        <v/>
      </c>
    </row>
    <row r="1196" ht="12.75" customHeight="1">
      <c r="A1196" s="244" t="s">
        <v>2412</v>
      </c>
      <c r="B1196" s="244" t="s">
        <v>3102</v>
      </c>
      <c r="C1196" s="244" t="s">
        <v>3256</v>
      </c>
      <c r="D1196" s="154" t="s">
        <v>2746</v>
      </c>
      <c r="E1196" s="250"/>
      <c r="F1196" s="154" t="str">
        <f t="array" ref="F1196">XLOOKUP(Cover!$D$12,$S$1:$AA$1,$S1196:$AA1196)</f>
        <v>Mandatory</v>
      </c>
      <c r="G1196" s="154" t="s">
        <v>3257</v>
      </c>
      <c r="H1196" s="154" t="s">
        <v>398</v>
      </c>
      <c r="I1196" s="154" t="s">
        <v>389</v>
      </c>
      <c r="J1196" s="247" t="s">
        <v>445</v>
      </c>
      <c r="K1196" s="154"/>
      <c r="L1196" s="154" t="str">
        <f t="shared" si="1"/>
        <v/>
      </c>
      <c r="M1196" s="248" t="str">
        <f>IFERROR(__xludf.DUMMYFUNCTION("VLOOKUP(C1196,IMPORTRANGE(""https://docs.google.com/spreadsheets/d/1P8eX0NWBhUPS_hvzA11R6jkTNFrPrRYIx_dX_hYbxrk/edit?resourcekey=0-iw9bsKY2OqkUHCFMkCar3A&amp;gid=2055363397#gid=2055363397"",""MTR!C:O""),11,false)"),"PMW-MCE-NAS")</f>
        <v>PMW-MCE-NAS</v>
      </c>
      <c r="N1196" s="248" t="str">
        <f>IFERROR(__xludf.DUMMYFUNCTION("VLOOKUP(C1196,IMPORTRANGE(""https://docs.google.com/spreadsheets/d/1ihFlp3_ePlYtFuPbUNbYj1muErVpI73WHXbEwJDIA7Q/edit#gid=1493122344"",""MTR!C:O""),8,false)"),"Complies")</f>
        <v>Complies</v>
      </c>
      <c r="O1196" s="241" t="str">
        <f>IFERROR(__xludf.DUMMYFUNCTION("VLOOKUP(C1196,IMPORTRANGE(""https://docs.google.com/spreadsheets/d/1P8eX0NWBhUPS_hvzA11R6jkTNFrPrRYIx_dX_hYbxrk/edit?resourcekey=0-iw9bsKY2OqkUHCFMkCar3A&amp;gid=2055363397#gid=2055363397"",""MTR!C:O""),9,false)"),"")</f>
        <v/>
      </c>
      <c r="P1196" s="241"/>
      <c r="Q1196" s="251" t="s">
        <v>445</v>
      </c>
      <c r="R1196" s="241"/>
      <c r="S1196" s="154" t="s">
        <v>60</v>
      </c>
      <c r="T1196" s="154" t="s">
        <v>60</v>
      </c>
      <c r="U1196" s="154" t="s">
        <v>60</v>
      </c>
      <c r="V1196" s="154" t="s">
        <v>60</v>
      </c>
      <c r="W1196" s="154" t="s">
        <v>60</v>
      </c>
      <c r="X1196" s="154" t="s">
        <v>60</v>
      </c>
      <c r="Y1196" s="154" t="s">
        <v>60</v>
      </c>
      <c r="Z1196" s="154" t="s">
        <v>60</v>
      </c>
      <c r="AA1196" s="154" t="s">
        <v>60</v>
      </c>
      <c r="AB1196" s="154"/>
      <c r="AC1196" s="242" t="b">
        <f t="shared" si="2"/>
        <v>1</v>
      </c>
      <c r="AD1196" s="154" t="s">
        <v>391</v>
      </c>
      <c r="AE1196" s="243" t="b">
        <f t="shared" si="3"/>
        <v>0</v>
      </c>
      <c r="AF1196" s="154"/>
      <c r="AG1196" s="243" t="b">
        <f t="shared" si="7"/>
        <v>0</v>
      </c>
      <c r="AH1196" s="154"/>
      <c r="AI1196" s="243" t="str">
        <f t="shared" si="5"/>
        <v>N/A</v>
      </c>
      <c r="AJ1196" s="157" t="str">
        <f t="shared" si="6"/>
        <v/>
      </c>
    </row>
    <row r="1197" ht="12.75" customHeight="1">
      <c r="A1197" s="244" t="s">
        <v>2412</v>
      </c>
      <c r="B1197" s="244" t="s">
        <v>3102</v>
      </c>
      <c r="C1197" s="244" t="s">
        <v>3258</v>
      </c>
      <c r="D1197" s="154" t="s">
        <v>2746</v>
      </c>
      <c r="E1197" s="250"/>
      <c r="F1197" s="154" t="str">
        <f t="array" ref="F1197">XLOOKUP(Cover!$D$12,$S$1:$AA$1,$S1197:$AA1197)</f>
        <v>Mandatory</v>
      </c>
      <c r="G1197" s="154" t="s">
        <v>3259</v>
      </c>
      <c r="H1197" s="154" t="s">
        <v>398</v>
      </c>
      <c r="I1197" s="154" t="s">
        <v>389</v>
      </c>
      <c r="J1197" s="247" t="s">
        <v>445</v>
      </c>
      <c r="K1197" s="154"/>
      <c r="L1197" s="154" t="str">
        <f t="shared" si="1"/>
        <v/>
      </c>
      <c r="M1197" s="248" t="str">
        <f>IFERROR(__xludf.DUMMYFUNCTION("VLOOKUP(C1197,IMPORTRANGE(""https://docs.google.com/spreadsheets/d/1P8eX0NWBhUPS_hvzA11R6jkTNFrPrRYIx_dX_hYbxrk/edit?resourcekey=0-iw9bsKY2OqkUHCFMkCar3A&amp;gid=2055363397#gid=2055363397"",""MTR!C:O""),11,false)"),"PMW-MCE-NAS")</f>
        <v>PMW-MCE-NAS</v>
      </c>
      <c r="N1197" s="248" t="str">
        <f>IFERROR(__xludf.DUMMYFUNCTION("VLOOKUP(C1197,IMPORTRANGE(""https://docs.google.com/spreadsheets/d/1ihFlp3_ePlYtFuPbUNbYj1muErVpI73WHXbEwJDIA7Q/edit#gid=1493122344"",""MTR!C:O""),8,false)"),"Complies")</f>
        <v>Complies</v>
      </c>
      <c r="O1197" s="241" t="str">
        <f>IFERROR(__xludf.DUMMYFUNCTION("VLOOKUP(C1197,IMPORTRANGE(""https://docs.google.com/spreadsheets/d/1P8eX0NWBhUPS_hvzA11R6jkTNFrPrRYIx_dX_hYbxrk/edit?resourcekey=0-iw9bsKY2OqkUHCFMkCar3A&amp;gid=2055363397#gid=2055363397"",""MTR!C:O""),9,false)"),"")</f>
        <v/>
      </c>
      <c r="P1197" s="241"/>
      <c r="Q1197" s="251" t="s">
        <v>445</v>
      </c>
      <c r="R1197" s="241"/>
      <c r="S1197" s="154" t="s">
        <v>60</v>
      </c>
      <c r="T1197" s="154" t="s">
        <v>60</v>
      </c>
      <c r="U1197" s="154" t="s">
        <v>60</v>
      </c>
      <c r="V1197" s="154" t="s">
        <v>60</v>
      </c>
      <c r="W1197" s="154" t="s">
        <v>60</v>
      </c>
      <c r="X1197" s="154" t="s">
        <v>60</v>
      </c>
      <c r="Y1197" s="154" t="s">
        <v>60</v>
      </c>
      <c r="Z1197" s="154" t="s">
        <v>60</v>
      </c>
      <c r="AA1197" s="154" t="s">
        <v>60</v>
      </c>
      <c r="AB1197" s="154"/>
      <c r="AC1197" s="242" t="b">
        <f t="shared" si="2"/>
        <v>1</v>
      </c>
      <c r="AD1197" s="154" t="s">
        <v>391</v>
      </c>
      <c r="AE1197" s="243" t="b">
        <f t="shared" si="3"/>
        <v>0</v>
      </c>
      <c r="AF1197" s="154"/>
      <c r="AG1197" s="243" t="b">
        <f t="shared" si="7"/>
        <v>0</v>
      </c>
      <c r="AH1197" s="154"/>
      <c r="AI1197" s="243" t="str">
        <f t="shared" si="5"/>
        <v>N/A</v>
      </c>
      <c r="AJ1197" s="157" t="str">
        <f t="shared" si="6"/>
        <v/>
      </c>
    </row>
    <row r="1198" ht="12.75" customHeight="1">
      <c r="A1198" s="244" t="s">
        <v>2412</v>
      </c>
      <c r="B1198" s="244" t="s">
        <v>3102</v>
      </c>
      <c r="C1198" s="244" t="s">
        <v>3260</v>
      </c>
      <c r="D1198" s="154" t="s">
        <v>406</v>
      </c>
      <c r="E1198" s="250"/>
      <c r="F1198" s="154" t="str">
        <f t="array" ref="F1198">XLOOKUP(Cover!$D$12,$S$1:$AA$1,$S1198:$AA1198)</f>
        <v>Mandatory</v>
      </c>
      <c r="G1198" s="154" t="s">
        <v>3261</v>
      </c>
      <c r="H1198" s="154" t="s">
        <v>398</v>
      </c>
      <c r="I1198" s="154" t="s">
        <v>389</v>
      </c>
      <c r="J1198" s="247" t="s">
        <v>445</v>
      </c>
      <c r="K1198" s="154"/>
      <c r="L1198" s="154" t="str">
        <f t="shared" si="1"/>
        <v/>
      </c>
      <c r="M1198" s="248" t="str">
        <f>IFERROR(__xludf.DUMMYFUNCTION("VLOOKUP(C1198,IMPORTRANGE(""https://docs.google.com/spreadsheets/d/1P8eX0NWBhUPS_hvzA11R6jkTNFrPrRYIx_dX_hYbxrk/edit?resourcekey=0-iw9bsKY2OqkUHCFMkCar3A&amp;gid=2055363397#gid=2055363397"",""MTR!C:O""),11,false)"),"PMW-MCE-NAS")</f>
        <v>PMW-MCE-NAS</v>
      </c>
      <c r="N1198" s="248" t="str">
        <f>IFERROR(__xludf.DUMMYFUNCTION("VLOOKUP(C1198,IMPORTRANGE(""https://docs.google.com/spreadsheets/d/1ihFlp3_ePlYtFuPbUNbYj1muErVpI73WHXbEwJDIA7Q/edit#gid=1493122344"",""MTR!C:O""),8,false)"),"Complies")</f>
        <v>Complies</v>
      </c>
      <c r="O1198" s="241" t="str">
        <f>IFERROR(__xludf.DUMMYFUNCTION("VLOOKUP(C1198,IMPORTRANGE(""https://docs.google.com/spreadsheets/d/1P8eX0NWBhUPS_hvzA11R6jkTNFrPrRYIx_dX_hYbxrk/edit?resourcekey=0-iw9bsKY2OqkUHCFMkCar3A&amp;gid=2055363397#gid=2055363397"",""MTR!C:O""),9,false)"),"")</f>
        <v/>
      </c>
      <c r="P1198" s="241"/>
      <c r="Q1198" s="251" t="s">
        <v>445</v>
      </c>
      <c r="R1198" s="241"/>
      <c r="S1198" s="154" t="s">
        <v>60</v>
      </c>
      <c r="T1198" s="154" t="s">
        <v>60</v>
      </c>
      <c r="U1198" s="154" t="s">
        <v>60</v>
      </c>
      <c r="V1198" s="154" t="s">
        <v>60</v>
      </c>
      <c r="W1198" s="154" t="s">
        <v>60</v>
      </c>
      <c r="X1198" s="154" t="s">
        <v>60</v>
      </c>
      <c r="Y1198" s="154" t="s">
        <v>60</v>
      </c>
      <c r="Z1198" s="154" t="s">
        <v>60</v>
      </c>
      <c r="AA1198" s="154" t="s">
        <v>60</v>
      </c>
      <c r="AB1198" s="154"/>
      <c r="AC1198" s="242" t="b">
        <f t="shared" si="2"/>
        <v>1</v>
      </c>
      <c r="AD1198" s="154" t="s">
        <v>391</v>
      </c>
      <c r="AE1198" s="243" t="b">
        <f t="shared" si="3"/>
        <v>0</v>
      </c>
      <c r="AF1198" s="154"/>
      <c r="AG1198" s="243" t="b">
        <f t="shared" si="7"/>
        <v>0</v>
      </c>
      <c r="AH1198" s="154"/>
      <c r="AI1198" s="243" t="str">
        <f t="shared" si="5"/>
        <v>N/A</v>
      </c>
      <c r="AJ1198" s="157" t="str">
        <f t="shared" si="6"/>
        <v/>
      </c>
    </row>
    <row r="1199" ht="12.75" customHeight="1">
      <c r="A1199" s="244" t="s">
        <v>2412</v>
      </c>
      <c r="B1199" s="244" t="s">
        <v>3102</v>
      </c>
      <c r="C1199" s="244" t="s">
        <v>3262</v>
      </c>
      <c r="D1199" s="154" t="s">
        <v>2746</v>
      </c>
      <c r="E1199" s="250"/>
      <c r="F1199" s="154" t="str">
        <f t="array" ref="F1199">XLOOKUP(Cover!$D$12,$S$1:$AA$1,$S1199:$AA1199)</f>
        <v>Mandatory</v>
      </c>
      <c r="G1199" s="154" t="s">
        <v>3263</v>
      </c>
      <c r="H1199" s="154" t="s">
        <v>398</v>
      </c>
      <c r="I1199" s="154" t="s">
        <v>389</v>
      </c>
      <c r="J1199" s="247" t="s">
        <v>445</v>
      </c>
      <c r="K1199" s="154"/>
      <c r="L1199" s="154" t="str">
        <f t="shared" si="1"/>
        <v/>
      </c>
      <c r="M1199" s="248" t="str">
        <f>IFERROR(__xludf.DUMMYFUNCTION("VLOOKUP(C1199,IMPORTRANGE(""https://docs.google.com/spreadsheets/d/1P8eX0NWBhUPS_hvzA11R6jkTNFrPrRYIx_dX_hYbxrk/edit?resourcekey=0-iw9bsKY2OqkUHCFMkCar3A&amp;gid=2055363397#gid=2055363397"",""MTR!C:O""),11,false)"),"PMW-MCE-NAS")</f>
        <v>PMW-MCE-NAS</v>
      </c>
      <c r="N1199" s="248" t="str">
        <f>IFERROR(__xludf.DUMMYFUNCTION("VLOOKUP(C1199,IMPORTRANGE(""https://docs.google.com/spreadsheets/d/1ihFlp3_ePlYtFuPbUNbYj1muErVpI73WHXbEwJDIA7Q/edit#gid=1493122344"",""MTR!C:O""),8,false)"),"Complies")</f>
        <v>Complies</v>
      </c>
      <c r="O1199" s="241" t="str">
        <f>IFERROR(__xludf.DUMMYFUNCTION("VLOOKUP(C1199,IMPORTRANGE(""https://docs.google.com/spreadsheets/d/1P8eX0NWBhUPS_hvzA11R6jkTNFrPrRYIx_dX_hYbxrk/edit?resourcekey=0-iw9bsKY2OqkUHCFMkCar3A&amp;gid=2055363397#gid=2055363397"",""MTR!C:O""),9,false)"),"")</f>
        <v/>
      </c>
      <c r="P1199" s="241"/>
      <c r="Q1199" s="251" t="s">
        <v>445</v>
      </c>
      <c r="R1199" s="241"/>
      <c r="S1199" s="154" t="s">
        <v>60</v>
      </c>
      <c r="T1199" s="154" t="s">
        <v>60</v>
      </c>
      <c r="U1199" s="154" t="s">
        <v>60</v>
      </c>
      <c r="V1199" s="154" t="s">
        <v>60</v>
      </c>
      <c r="W1199" s="154" t="s">
        <v>60</v>
      </c>
      <c r="X1199" s="154" t="s">
        <v>60</v>
      </c>
      <c r="Y1199" s="154" t="s">
        <v>60</v>
      </c>
      <c r="Z1199" s="154" t="s">
        <v>60</v>
      </c>
      <c r="AA1199" s="154" t="s">
        <v>60</v>
      </c>
      <c r="AB1199" s="154"/>
      <c r="AC1199" s="242" t="b">
        <f t="shared" si="2"/>
        <v>1</v>
      </c>
      <c r="AD1199" s="154" t="s">
        <v>391</v>
      </c>
      <c r="AE1199" s="243" t="b">
        <f t="shared" si="3"/>
        <v>0</v>
      </c>
      <c r="AF1199" s="154"/>
      <c r="AG1199" s="243" t="b">
        <f t="shared" si="7"/>
        <v>0</v>
      </c>
      <c r="AH1199" s="154"/>
      <c r="AI1199" s="243" t="str">
        <f t="shared" si="5"/>
        <v>N/A</v>
      </c>
      <c r="AJ1199" s="157" t="str">
        <f t="shared" si="6"/>
        <v/>
      </c>
    </row>
    <row r="1200" ht="12.75" customHeight="1">
      <c r="A1200" s="244" t="s">
        <v>2412</v>
      </c>
      <c r="B1200" s="244" t="s">
        <v>3102</v>
      </c>
      <c r="C1200" s="244" t="s">
        <v>3264</v>
      </c>
      <c r="D1200" s="154" t="s">
        <v>2746</v>
      </c>
      <c r="E1200" s="250"/>
      <c r="F1200" s="154" t="str">
        <f t="array" ref="F1200">XLOOKUP(Cover!$D$12,$S$1:$AA$1,$S1200:$AA1200)</f>
        <v>Mandatory</v>
      </c>
      <c r="G1200" s="154" t="s">
        <v>3265</v>
      </c>
      <c r="H1200" s="154" t="s">
        <v>398</v>
      </c>
      <c r="I1200" s="154" t="s">
        <v>389</v>
      </c>
      <c r="J1200" s="247" t="s">
        <v>445</v>
      </c>
      <c r="K1200" s="154"/>
      <c r="L1200" s="154" t="str">
        <f t="shared" si="1"/>
        <v/>
      </c>
      <c r="M1200" s="248" t="str">
        <f>IFERROR(__xludf.DUMMYFUNCTION("VLOOKUP(C1200,IMPORTRANGE(""https://docs.google.com/spreadsheets/d/1P8eX0NWBhUPS_hvzA11R6jkTNFrPrRYIx_dX_hYbxrk/edit?resourcekey=0-iw9bsKY2OqkUHCFMkCar3A&amp;gid=2055363397#gid=2055363397"",""MTR!C:O""),11,false)"),"PMW-MCE-NAS")</f>
        <v>PMW-MCE-NAS</v>
      </c>
      <c r="N1200" s="248" t="str">
        <f>IFERROR(__xludf.DUMMYFUNCTION("VLOOKUP(C1200,IMPORTRANGE(""https://docs.google.com/spreadsheets/d/1ihFlp3_ePlYtFuPbUNbYj1muErVpI73WHXbEwJDIA7Q/edit#gid=1493122344"",""MTR!C:O""),8,false)"),"Complies")</f>
        <v>Complies</v>
      </c>
      <c r="O1200" s="241" t="str">
        <f>IFERROR(__xludf.DUMMYFUNCTION("VLOOKUP(C1200,IMPORTRANGE(""https://docs.google.com/spreadsheets/d/1P8eX0NWBhUPS_hvzA11R6jkTNFrPrRYIx_dX_hYbxrk/edit?resourcekey=0-iw9bsKY2OqkUHCFMkCar3A&amp;gid=2055363397#gid=2055363397"",""MTR!C:O""),9,false)"),"")</f>
        <v/>
      </c>
      <c r="P1200" s="241"/>
      <c r="Q1200" s="251" t="s">
        <v>445</v>
      </c>
      <c r="R1200" s="241"/>
      <c r="S1200" s="154" t="s">
        <v>60</v>
      </c>
      <c r="T1200" s="154" t="s">
        <v>60</v>
      </c>
      <c r="U1200" s="154" t="s">
        <v>60</v>
      </c>
      <c r="V1200" s="154" t="s">
        <v>60</v>
      </c>
      <c r="W1200" s="154" t="s">
        <v>60</v>
      </c>
      <c r="X1200" s="154" t="s">
        <v>60</v>
      </c>
      <c r="Y1200" s="154" t="s">
        <v>60</v>
      </c>
      <c r="Z1200" s="154" t="s">
        <v>60</v>
      </c>
      <c r="AA1200" s="154" t="s">
        <v>60</v>
      </c>
      <c r="AB1200" s="154"/>
      <c r="AC1200" s="242" t="b">
        <f t="shared" si="2"/>
        <v>1</v>
      </c>
      <c r="AD1200" s="154" t="s">
        <v>391</v>
      </c>
      <c r="AE1200" s="243" t="b">
        <f t="shared" si="3"/>
        <v>0</v>
      </c>
      <c r="AF1200" s="154"/>
      <c r="AG1200" s="243" t="b">
        <f t="shared" si="7"/>
        <v>0</v>
      </c>
      <c r="AH1200" s="154"/>
      <c r="AI1200" s="243" t="str">
        <f t="shared" si="5"/>
        <v>N/A</v>
      </c>
      <c r="AJ1200" s="157" t="str">
        <f t="shared" si="6"/>
        <v/>
      </c>
    </row>
    <row r="1201" ht="12.75" customHeight="1">
      <c r="A1201" s="244" t="s">
        <v>2412</v>
      </c>
      <c r="B1201" s="244" t="s">
        <v>3102</v>
      </c>
      <c r="C1201" s="244" t="s">
        <v>3266</v>
      </c>
      <c r="D1201" s="154" t="s">
        <v>2746</v>
      </c>
      <c r="E1201" s="250"/>
      <c r="F1201" s="154" t="str">
        <f t="array" ref="F1201">XLOOKUP(Cover!$D$12,$S$1:$AA$1,$S1201:$AA1201)</f>
        <v>Mandatory</v>
      </c>
      <c r="G1201" s="154" t="s">
        <v>3267</v>
      </c>
      <c r="H1201" s="154" t="s">
        <v>398</v>
      </c>
      <c r="I1201" s="154" t="s">
        <v>389</v>
      </c>
      <c r="J1201" s="247" t="s">
        <v>445</v>
      </c>
      <c r="K1201" s="154"/>
      <c r="L1201" s="154" t="str">
        <f t="shared" si="1"/>
        <v/>
      </c>
      <c r="M1201" s="248" t="str">
        <f>IFERROR(__xludf.DUMMYFUNCTION("VLOOKUP(C1201,IMPORTRANGE(""https://docs.google.com/spreadsheets/d/1P8eX0NWBhUPS_hvzA11R6jkTNFrPrRYIx_dX_hYbxrk/edit?resourcekey=0-iw9bsKY2OqkUHCFMkCar3A&amp;gid=2055363397#gid=2055363397"",""MTR!C:O""),11,false)"),"PMW-MCE-NAS")</f>
        <v>PMW-MCE-NAS</v>
      </c>
      <c r="N1201" s="248" t="str">
        <f>IFERROR(__xludf.DUMMYFUNCTION("VLOOKUP(C1201,IMPORTRANGE(""https://docs.google.com/spreadsheets/d/1ihFlp3_ePlYtFuPbUNbYj1muErVpI73WHXbEwJDIA7Q/edit#gid=1493122344"",""MTR!C:O""),8,false)"),"Complies")</f>
        <v>Complies</v>
      </c>
      <c r="O1201" s="241" t="str">
        <f>IFERROR(__xludf.DUMMYFUNCTION("VLOOKUP(C1201,IMPORTRANGE(""https://docs.google.com/spreadsheets/d/1P8eX0NWBhUPS_hvzA11R6jkTNFrPrRYIx_dX_hYbxrk/edit?resourcekey=0-iw9bsKY2OqkUHCFMkCar3A&amp;gid=2055363397#gid=2055363397"",""MTR!C:O""),9,false)"),"")</f>
        <v/>
      </c>
      <c r="P1201" s="241"/>
      <c r="Q1201" s="251" t="s">
        <v>445</v>
      </c>
      <c r="R1201" s="241"/>
      <c r="S1201" s="154" t="s">
        <v>60</v>
      </c>
      <c r="T1201" s="154" t="s">
        <v>60</v>
      </c>
      <c r="U1201" s="154" t="s">
        <v>60</v>
      </c>
      <c r="V1201" s="154" t="s">
        <v>60</v>
      </c>
      <c r="W1201" s="154" t="s">
        <v>60</v>
      </c>
      <c r="X1201" s="154" t="s">
        <v>60</v>
      </c>
      <c r="Y1201" s="154" t="s">
        <v>60</v>
      </c>
      <c r="Z1201" s="154" t="s">
        <v>60</v>
      </c>
      <c r="AA1201" s="154" t="s">
        <v>60</v>
      </c>
      <c r="AB1201" s="154"/>
      <c r="AC1201" s="242" t="b">
        <f t="shared" si="2"/>
        <v>1</v>
      </c>
      <c r="AD1201" s="154" t="s">
        <v>391</v>
      </c>
      <c r="AE1201" s="243" t="b">
        <f t="shared" si="3"/>
        <v>0</v>
      </c>
      <c r="AF1201" s="154"/>
      <c r="AG1201" s="243" t="b">
        <f t="shared" si="7"/>
        <v>0</v>
      </c>
      <c r="AH1201" s="154"/>
      <c r="AI1201" s="243" t="str">
        <f t="shared" si="5"/>
        <v>N/A</v>
      </c>
      <c r="AJ1201" s="157" t="str">
        <f t="shared" si="6"/>
        <v/>
      </c>
    </row>
    <row r="1202" ht="12.75" customHeight="1">
      <c r="A1202" s="244" t="s">
        <v>2412</v>
      </c>
      <c r="B1202" s="244" t="s">
        <v>3102</v>
      </c>
      <c r="C1202" s="244" t="s">
        <v>3268</v>
      </c>
      <c r="D1202" s="154" t="s">
        <v>2746</v>
      </c>
      <c r="E1202" s="250"/>
      <c r="F1202" s="154" t="str">
        <f t="array" ref="F1202">XLOOKUP(Cover!$D$12,$S$1:$AA$1,$S1202:$AA1202)</f>
        <v>Mandatory</v>
      </c>
      <c r="G1202" s="154" t="s">
        <v>3269</v>
      </c>
      <c r="H1202" s="154" t="s">
        <v>398</v>
      </c>
      <c r="I1202" s="154" t="s">
        <v>389</v>
      </c>
      <c r="J1202" s="247" t="s">
        <v>445</v>
      </c>
      <c r="K1202" s="154"/>
      <c r="L1202" s="154" t="str">
        <f t="shared" si="1"/>
        <v/>
      </c>
      <c r="M1202" s="248" t="str">
        <f>IFERROR(__xludf.DUMMYFUNCTION("VLOOKUP(C1202,IMPORTRANGE(""https://docs.google.com/spreadsheets/d/1P8eX0NWBhUPS_hvzA11R6jkTNFrPrRYIx_dX_hYbxrk/edit?resourcekey=0-iw9bsKY2OqkUHCFMkCar3A&amp;gid=2055363397#gid=2055363397"",""MTR!C:O""),11,false)"),"PMW-MCE-NAS")</f>
        <v>PMW-MCE-NAS</v>
      </c>
      <c r="N1202" s="248" t="str">
        <f>IFERROR(__xludf.DUMMYFUNCTION("VLOOKUP(C1202,IMPORTRANGE(""https://docs.google.com/spreadsheets/d/1ihFlp3_ePlYtFuPbUNbYj1muErVpI73WHXbEwJDIA7Q/edit#gid=1493122344"",""MTR!C:O""),8,false)"),"Complies")</f>
        <v>Complies</v>
      </c>
      <c r="O1202" s="241" t="str">
        <f>IFERROR(__xludf.DUMMYFUNCTION("VLOOKUP(C1202,IMPORTRANGE(""https://docs.google.com/spreadsheets/d/1P8eX0NWBhUPS_hvzA11R6jkTNFrPrRYIx_dX_hYbxrk/edit?resourcekey=0-iw9bsKY2OqkUHCFMkCar3A&amp;gid=2055363397#gid=2055363397"",""MTR!C:O""),9,false)"),"")</f>
        <v/>
      </c>
      <c r="P1202" s="241"/>
      <c r="Q1202" s="251" t="s">
        <v>445</v>
      </c>
      <c r="R1202" s="241"/>
      <c r="S1202" s="154" t="s">
        <v>60</v>
      </c>
      <c r="T1202" s="154" t="s">
        <v>60</v>
      </c>
      <c r="U1202" s="154" t="s">
        <v>60</v>
      </c>
      <c r="V1202" s="154" t="s">
        <v>60</v>
      </c>
      <c r="W1202" s="154" t="s">
        <v>60</v>
      </c>
      <c r="X1202" s="154" t="s">
        <v>60</v>
      </c>
      <c r="Y1202" s="154" t="s">
        <v>60</v>
      </c>
      <c r="Z1202" s="154" t="s">
        <v>60</v>
      </c>
      <c r="AA1202" s="154" t="s">
        <v>60</v>
      </c>
      <c r="AB1202" s="154"/>
      <c r="AC1202" s="242" t="b">
        <f t="shared" si="2"/>
        <v>1</v>
      </c>
      <c r="AD1202" s="154" t="s">
        <v>391</v>
      </c>
      <c r="AE1202" s="243" t="b">
        <f t="shared" si="3"/>
        <v>0</v>
      </c>
      <c r="AF1202" s="154"/>
      <c r="AG1202" s="243" t="b">
        <f t="shared" si="7"/>
        <v>0</v>
      </c>
      <c r="AH1202" s="154"/>
      <c r="AI1202" s="243" t="str">
        <f t="shared" si="5"/>
        <v>N/A</v>
      </c>
      <c r="AJ1202" s="157" t="str">
        <f t="shared" si="6"/>
        <v/>
      </c>
    </row>
    <row r="1203" ht="12.75" customHeight="1">
      <c r="A1203" s="244" t="s">
        <v>2412</v>
      </c>
      <c r="B1203" s="244" t="s">
        <v>3102</v>
      </c>
      <c r="C1203" s="244" t="s">
        <v>3270</v>
      </c>
      <c r="D1203" s="154" t="s">
        <v>2746</v>
      </c>
      <c r="E1203" s="250"/>
      <c r="F1203" s="154" t="str">
        <f t="array" ref="F1203">XLOOKUP(Cover!$D$12,$S$1:$AA$1,$S1203:$AA1203)</f>
        <v>Recommended</v>
      </c>
      <c r="G1203" s="154" t="s">
        <v>3271</v>
      </c>
      <c r="H1203" s="154"/>
      <c r="I1203" s="154" t="s">
        <v>389</v>
      </c>
      <c r="J1203" s="247" t="s">
        <v>445</v>
      </c>
      <c r="K1203" s="154"/>
      <c r="L1203" s="154" t="str">
        <f t="shared" si="1"/>
        <v/>
      </c>
      <c r="M1203" s="248" t="str">
        <f>IFERROR(__xludf.DUMMYFUNCTION("VLOOKUP(C1203,IMPORTRANGE(""https://docs.google.com/spreadsheets/d/1P8eX0NWBhUPS_hvzA11R6jkTNFrPrRYIx_dX_hYbxrk/edit?resourcekey=0-iw9bsKY2OqkUHCFMkCar3A&amp;gid=2055363397#gid=2055363397"",""MTR!C:O""),11,false)"),"PMW-MCE-NAS")</f>
        <v>PMW-MCE-NAS</v>
      </c>
      <c r="N1203" s="248" t="str">
        <f>IFERROR(__xludf.DUMMYFUNCTION("VLOOKUP(C1203,IMPORTRANGE(""https://docs.google.com/spreadsheets/d/1ihFlp3_ePlYtFuPbUNbYj1muErVpI73WHXbEwJDIA7Q/edit#gid=1493122344"",""MTR!C:O""),8,false)"),"Complies")</f>
        <v>Complies</v>
      </c>
      <c r="O1203" s="241" t="str">
        <f>IFERROR(__xludf.DUMMYFUNCTION("VLOOKUP(C1203,IMPORTRANGE(""https://docs.google.com/spreadsheets/d/1P8eX0NWBhUPS_hvzA11R6jkTNFrPrRYIx_dX_hYbxrk/edit?resourcekey=0-iw9bsKY2OqkUHCFMkCar3A&amp;gid=2055363397#gid=2055363397"",""MTR!C:O""),9,false)"),"")</f>
        <v/>
      </c>
      <c r="P1203" s="241"/>
      <c r="Q1203" s="251" t="s">
        <v>445</v>
      </c>
      <c r="R1203" s="241"/>
      <c r="S1203" s="154" t="s">
        <v>64</v>
      </c>
      <c r="T1203" s="154" t="s">
        <v>64</v>
      </c>
      <c r="U1203" s="154" t="s">
        <v>64</v>
      </c>
      <c r="V1203" s="154" t="s">
        <v>64</v>
      </c>
      <c r="W1203" s="154" t="s">
        <v>64</v>
      </c>
      <c r="X1203" s="154" t="s">
        <v>64</v>
      </c>
      <c r="Y1203" s="154" t="s">
        <v>64</v>
      </c>
      <c r="Z1203" s="154" t="s">
        <v>64</v>
      </c>
      <c r="AA1203" s="154" t="s">
        <v>64</v>
      </c>
      <c r="AB1203" s="154"/>
      <c r="AC1203" s="242" t="b">
        <f t="shared" si="2"/>
        <v>1</v>
      </c>
      <c r="AD1203" s="154" t="s">
        <v>391</v>
      </c>
      <c r="AE1203" s="243" t="b">
        <f t="shared" si="3"/>
        <v>0</v>
      </c>
      <c r="AF1203" s="154"/>
      <c r="AG1203" s="243" t="b">
        <f t="shared" si="7"/>
        <v>0</v>
      </c>
      <c r="AH1203" s="154"/>
      <c r="AI1203" s="243" t="str">
        <f t="shared" si="5"/>
        <v>N/A</v>
      </c>
      <c r="AJ1203" s="157" t="str">
        <f t="shared" si="6"/>
        <v/>
      </c>
    </row>
    <row r="1204" ht="12.75" customHeight="1">
      <c r="A1204" s="244" t="s">
        <v>2412</v>
      </c>
      <c r="B1204" s="244" t="s">
        <v>3102</v>
      </c>
      <c r="C1204" s="244" t="s">
        <v>3272</v>
      </c>
      <c r="D1204" s="154" t="s">
        <v>2746</v>
      </c>
      <c r="E1204" s="250"/>
      <c r="F1204" s="154" t="str">
        <f t="array" ref="F1204">XLOOKUP(Cover!$D$12,$S$1:$AA$1,$S1204:$AA1204)</f>
        <v>Recommended</v>
      </c>
      <c r="G1204" s="154" t="s">
        <v>3273</v>
      </c>
      <c r="H1204" s="154"/>
      <c r="I1204" s="154" t="s">
        <v>389</v>
      </c>
      <c r="J1204" s="247" t="s">
        <v>445</v>
      </c>
      <c r="K1204" s="154"/>
      <c r="L1204" s="154" t="str">
        <f t="shared" si="1"/>
        <v/>
      </c>
      <c r="M1204" s="248" t="str">
        <f>IFERROR(__xludf.DUMMYFUNCTION("VLOOKUP(C1204,IMPORTRANGE(""https://docs.google.com/spreadsheets/d/1P8eX0NWBhUPS_hvzA11R6jkTNFrPrRYIx_dX_hYbxrk/edit?resourcekey=0-iw9bsKY2OqkUHCFMkCar3A&amp;gid=2055363397#gid=2055363397"",""MTR!C:O""),11,false)"),"PMW-MCE-NAS")</f>
        <v>PMW-MCE-NAS</v>
      </c>
      <c r="N1204" s="248" t="str">
        <f>IFERROR(__xludf.DUMMYFUNCTION("VLOOKUP(C1204,IMPORTRANGE(""https://docs.google.com/spreadsheets/d/1ihFlp3_ePlYtFuPbUNbYj1muErVpI73WHXbEwJDIA7Q/edit#gid=1493122344"",""MTR!C:O""),8,false)"),"Complies")</f>
        <v>Complies</v>
      </c>
      <c r="O1204" s="241" t="str">
        <f>IFERROR(__xludf.DUMMYFUNCTION("VLOOKUP(C1204,IMPORTRANGE(""https://docs.google.com/spreadsheets/d/1P8eX0NWBhUPS_hvzA11R6jkTNFrPrRYIx_dX_hYbxrk/edit?resourcekey=0-iw9bsKY2OqkUHCFMkCar3A&amp;gid=2055363397#gid=2055363397"",""MTR!C:O""),9,false)"),"")</f>
        <v/>
      </c>
      <c r="P1204" s="241"/>
      <c r="Q1204" s="251" t="s">
        <v>445</v>
      </c>
      <c r="R1204" s="241"/>
      <c r="S1204" s="154" t="s">
        <v>64</v>
      </c>
      <c r="T1204" s="154" t="s">
        <v>64</v>
      </c>
      <c r="U1204" s="154" t="s">
        <v>64</v>
      </c>
      <c r="V1204" s="154" t="s">
        <v>64</v>
      </c>
      <c r="W1204" s="154" t="s">
        <v>64</v>
      </c>
      <c r="X1204" s="154" t="s">
        <v>64</v>
      </c>
      <c r="Y1204" s="154" t="s">
        <v>64</v>
      </c>
      <c r="Z1204" s="154" t="s">
        <v>64</v>
      </c>
      <c r="AA1204" s="154" t="s">
        <v>64</v>
      </c>
      <c r="AB1204" s="154"/>
      <c r="AC1204" s="242" t="b">
        <f t="shared" si="2"/>
        <v>1</v>
      </c>
      <c r="AD1204" s="154" t="s">
        <v>391</v>
      </c>
      <c r="AE1204" s="243" t="b">
        <f t="shared" si="3"/>
        <v>0</v>
      </c>
      <c r="AF1204" s="154"/>
      <c r="AG1204" s="243" t="b">
        <f t="shared" si="7"/>
        <v>0</v>
      </c>
      <c r="AH1204" s="154"/>
      <c r="AI1204" s="243" t="str">
        <f t="shared" si="5"/>
        <v>N/A</v>
      </c>
      <c r="AJ1204" s="157" t="str">
        <f t="shared" si="6"/>
        <v/>
      </c>
    </row>
    <row r="1205" ht="12.75" customHeight="1">
      <c r="A1205" s="244" t="s">
        <v>2412</v>
      </c>
      <c r="B1205" s="244" t="s">
        <v>3102</v>
      </c>
      <c r="C1205" s="244" t="s">
        <v>3274</v>
      </c>
      <c r="D1205" s="154" t="s">
        <v>2746</v>
      </c>
      <c r="E1205" s="250"/>
      <c r="F1205" s="154" t="str">
        <f t="array" ref="F1205">XLOOKUP(Cover!$D$12,$S$1:$AA$1,$S1205:$AA1205)</f>
        <v>Mandatory</v>
      </c>
      <c r="G1205" s="154" t="s">
        <v>3275</v>
      </c>
      <c r="H1205" s="154" t="s">
        <v>398</v>
      </c>
      <c r="I1205" s="154" t="s">
        <v>389</v>
      </c>
      <c r="J1205" s="247" t="s">
        <v>445</v>
      </c>
      <c r="K1205" s="154"/>
      <c r="L1205" s="154" t="str">
        <f t="shared" si="1"/>
        <v/>
      </c>
      <c r="M1205" s="248" t="str">
        <f>IFERROR(__xludf.DUMMYFUNCTION("VLOOKUP(C1205,IMPORTRANGE(""https://docs.google.com/spreadsheets/d/1P8eX0NWBhUPS_hvzA11R6jkTNFrPrRYIx_dX_hYbxrk/edit?resourcekey=0-iw9bsKY2OqkUHCFMkCar3A&amp;gid=2055363397#gid=2055363397"",""MTR!C:O""),11,false)"),"PMW-MCE-NAS")</f>
        <v>PMW-MCE-NAS</v>
      </c>
      <c r="N1205" s="248" t="str">
        <f>IFERROR(__xludf.DUMMYFUNCTION("VLOOKUP(C1205,IMPORTRANGE(""https://docs.google.com/spreadsheets/d/1ihFlp3_ePlYtFuPbUNbYj1muErVpI73WHXbEwJDIA7Q/edit#gid=1493122344"",""MTR!C:O""),8,false)"),"Complies")</f>
        <v>Complies</v>
      </c>
      <c r="O1205" s="241" t="str">
        <f>IFERROR(__xludf.DUMMYFUNCTION("VLOOKUP(C1205,IMPORTRANGE(""https://docs.google.com/spreadsheets/d/1P8eX0NWBhUPS_hvzA11R6jkTNFrPrRYIx_dX_hYbxrk/edit?resourcekey=0-iw9bsKY2OqkUHCFMkCar3A&amp;gid=2055363397#gid=2055363397"",""MTR!C:O""),9,false)"),"")</f>
        <v/>
      </c>
      <c r="P1205" s="241"/>
      <c r="Q1205" s="251" t="s">
        <v>445</v>
      </c>
      <c r="R1205" s="241"/>
      <c r="S1205" s="154" t="s">
        <v>60</v>
      </c>
      <c r="T1205" s="154" t="s">
        <v>60</v>
      </c>
      <c r="U1205" s="154" t="s">
        <v>60</v>
      </c>
      <c r="V1205" s="154" t="s">
        <v>60</v>
      </c>
      <c r="W1205" s="154" t="s">
        <v>60</v>
      </c>
      <c r="X1205" s="154" t="s">
        <v>60</v>
      </c>
      <c r="Y1205" s="154" t="s">
        <v>60</v>
      </c>
      <c r="Z1205" s="154" t="s">
        <v>60</v>
      </c>
      <c r="AA1205" s="154" t="s">
        <v>60</v>
      </c>
      <c r="AB1205" s="154"/>
      <c r="AC1205" s="242" t="b">
        <f t="shared" si="2"/>
        <v>1</v>
      </c>
      <c r="AD1205" s="154" t="s">
        <v>391</v>
      </c>
      <c r="AE1205" s="243" t="b">
        <f t="shared" si="3"/>
        <v>0</v>
      </c>
      <c r="AF1205" s="154"/>
      <c r="AG1205" s="243" t="b">
        <f t="shared" si="7"/>
        <v>0</v>
      </c>
      <c r="AH1205" s="154"/>
      <c r="AI1205" s="243" t="str">
        <f t="shared" si="5"/>
        <v>N/A</v>
      </c>
      <c r="AJ1205" s="157" t="str">
        <f t="shared" si="6"/>
        <v/>
      </c>
    </row>
    <row r="1206" ht="12.75" customHeight="1">
      <c r="A1206" s="244" t="s">
        <v>2412</v>
      </c>
      <c r="B1206" s="244" t="s">
        <v>3102</v>
      </c>
      <c r="C1206" s="244" t="s">
        <v>3276</v>
      </c>
      <c r="D1206" s="154" t="s">
        <v>2746</v>
      </c>
      <c r="E1206" s="250"/>
      <c r="F1206" s="154" t="str">
        <f t="array" ref="F1206">XLOOKUP(Cover!$D$12,$S$1:$AA$1,$S1206:$AA1206)</f>
        <v>Mandatory</v>
      </c>
      <c r="G1206" s="154" t="s">
        <v>3277</v>
      </c>
      <c r="H1206" s="154" t="s">
        <v>398</v>
      </c>
      <c r="I1206" s="154" t="s">
        <v>389</v>
      </c>
      <c r="J1206" s="247" t="s">
        <v>445</v>
      </c>
      <c r="K1206" s="154"/>
      <c r="L1206" s="154" t="str">
        <f t="shared" si="1"/>
        <v/>
      </c>
      <c r="M1206" s="248" t="str">
        <f>IFERROR(__xludf.DUMMYFUNCTION("VLOOKUP(C1206,IMPORTRANGE(""https://docs.google.com/spreadsheets/d/1P8eX0NWBhUPS_hvzA11R6jkTNFrPrRYIx_dX_hYbxrk/edit?resourcekey=0-iw9bsKY2OqkUHCFMkCar3A&amp;gid=2055363397#gid=2055363397"",""MTR!C:O""),11,false)"),"PMW-MCE-NAS")</f>
        <v>PMW-MCE-NAS</v>
      </c>
      <c r="N1206" s="248" t="str">
        <f>IFERROR(__xludf.DUMMYFUNCTION("VLOOKUP(C1206,IMPORTRANGE(""https://docs.google.com/spreadsheets/d/1ihFlp3_ePlYtFuPbUNbYj1muErVpI73WHXbEwJDIA7Q/edit#gid=1493122344"",""MTR!C:O""),8,false)"),"Complies")</f>
        <v>Complies</v>
      </c>
      <c r="O1206" s="241" t="str">
        <f>IFERROR(__xludf.DUMMYFUNCTION("VLOOKUP(C1206,IMPORTRANGE(""https://docs.google.com/spreadsheets/d/1P8eX0NWBhUPS_hvzA11R6jkTNFrPrRYIx_dX_hYbxrk/edit?resourcekey=0-iw9bsKY2OqkUHCFMkCar3A&amp;gid=2055363397#gid=2055363397"",""MTR!C:O""),9,false)"),"")</f>
        <v/>
      </c>
      <c r="P1206" s="241"/>
      <c r="Q1206" s="251" t="s">
        <v>445</v>
      </c>
      <c r="R1206" s="241"/>
      <c r="S1206" s="154" t="s">
        <v>60</v>
      </c>
      <c r="T1206" s="154" t="s">
        <v>60</v>
      </c>
      <c r="U1206" s="154" t="s">
        <v>60</v>
      </c>
      <c r="V1206" s="154" t="s">
        <v>60</v>
      </c>
      <c r="W1206" s="154" t="s">
        <v>60</v>
      </c>
      <c r="X1206" s="154" t="s">
        <v>60</v>
      </c>
      <c r="Y1206" s="154" t="s">
        <v>60</v>
      </c>
      <c r="Z1206" s="154" t="s">
        <v>60</v>
      </c>
      <c r="AA1206" s="154" t="s">
        <v>60</v>
      </c>
      <c r="AB1206" s="154"/>
      <c r="AC1206" s="242" t="b">
        <f t="shared" si="2"/>
        <v>1</v>
      </c>
      <c r="AD1206" s="154" t="s">
        <v>391</v>
      </c>
      <c r="AE1206" s="243" t="b">
        <f t="shared" si="3"/>
        <v>0</v>
      </c>
      <c r="AF1206" s="154"/>
      <c r="AG1206" s="243" t="b">
        <f t="shared" si="7"/>
        <v>0</v>
      </c>
      <c r="AH1206" s="154"/>
      <c r="AI1206" s="243" t="str">
        <f t="shared" si="5"/>
        <v>N/A</v>
      </c>
      <c r="AJ1206" s="157" t="str">
        <f t="shared" si="6"/>
        <v/>
      </c>
    </row>
    <row r="1207" ht="12.75" customHeight="1">
      <c r="A1207" s="244" t="s">
        <v>2412</v>
      </c>
      <c r="B1207" s="244" t="s">
        <v>3102</v>
      </c>
      <c r="C1207" s="244" t="s">
        <v>3278</v>
      </c>
      <c r="D1207" s="154" t="s">
        <v>2746</v>
      </c>
      <c r="E1207" s="250"/>
      <c r="F1207" s="154" t="str">
        <f t="array" ref="F1207">XLOOKUP(Cover!$D$12,$S$1:$AA$1,$S1207:$AA1207)</f>
        <v>Mandatory</v>
      </c>
      <c r="G1207" s="154" t="s">
        <v>3279</v>
      </c>
      <c r="H1207" s="154" t="s">
        <v>398</v>
      </c>
      <c r="I1207" s="154" t="s">
        <v>389</v>
      </c>
      <c r="J1207" s="247" t="s">
        <v>445</v>
      </c>
      <c r="K1207" s="154"/>
      <c r="L1207" s="154" t="str">
        <f t="shared" si="1"/>
        <v/>
      </c>
      <c r="M1207" s="248" t="str">
        <f>IFERROR(__xludf.DUMMYFUNCTION("VLOOKUP(C1207,IMPORTRANGE(""https://docs.google.com/spreadsheets/d/1P8eX0NWBhUPS_hvzA11R6jkTNFrPrRYIx_dX_hYbxrk/edit?resourcekey=0-iw9bsKY2OqkUHCFMkCar3A&amp;gid=2055363397#gid=2055363397"",""MTR!C:O""),11,false)"),"PMW-MCE-NAS")</f>
        <v>PMW-MCE-NAS</v>
      </c>
      <c r="N1207" s="248" t="str">
        <f>IFERROR(__xludf.DUMMYFUNCTION("VLOOKUP(C1207,IMPORTRANGE(""https://docs.google.com/spreadsheets/d/1ihFlp3_ePlYtFuPbUNbYj1muErVpI73WHXbEwJDIA7Q/edit#gid=1493122344"",""MTR!C:O""),8,false)"),"Complies")</f>
        <v>Complies</v>
      </c>
      <c r="O1207" s="241" t="str">
        <f>IFERROR(__xludf.DUMMYFUNCTION("VLOOKUP(C1207,IMPORTRANGE(""https://docs.google.com/spreadsheets/d/1P8eX0NWBhUPS_hvzA11R6jkTNFrPrRYIx_dX_hYbxrk/edit?resourcekey=0-iw9bsKY2OqkUHCFMkCar3A&amp;gid=2055363397#gid=2055363397"",""MTR!C:O""),9,false)"),"")</f>
        <v/>
      </c>
      <c r="P1207" s="241"/>
      <c r="Q1207" s="251" t="s">
        <v>445</v>
      </c>
      <c r="R1207" s="241"/>
      <c r="S1207" s="154" t="s">
        <v>60</v>
      </c>
      <c r="T1207" s="154" t="s">
        <v>60</v>
      </c>
      <c r="U1207" s="154" t="s">
        <v>60</v>
      </c>
      <c r="V1207" s="154" t="s">
        <v>60</v>
      </c>
      <c r="W1207" s="154" t="s">
        <v>60</v>
      </c>
      <c r="X1207" s="154" t="s">
        <v>60</v>
      </c>
      <c r="Y1207" s="154" t="s">
        <v>60</v>
      </c>
      <c r="Z1207" s="154" t="s">
        <v>60</v>
      </c>
      <c r="AA1207" s="154" t="s">
        <v>60</v>
      </c>
      <c r="AB1207" s="154"/>
      <c r="AC1207" s="242" t="b">
        <f t="shared" si="2"/>
        <v>1</v>
      </c>
      <c r="AD1207" s="154" t="s">
        <v>391</v>
      </c>
      <c r="AE1207" s="243" t="b">
        <f t="shared" si="3"/>
        <v>0</v>
      </c>
      <c r="AF1207" s="154"/>
      <c r="AG1207" s="243" t="b">
        <f t="shared" si="7"/>
        <v>0</v>
      </c>
      <c r="AH1207" s="154"/>
      <c r="AI1207" s="243" t="str">
        <f t="shared" si="5"/>
        <v>N/A</v>
      </c>
      <c r="AJ1207" s="157" t="str">
        <f t="shared" si="6"/>
        <v/>
      </c>
    </row>
    <row r="1208" ht="12.75" customHeight="1">
      <c r="A1208" s="244" t="s">
        <v>2412</v>
      </c>
      <c r="B1208" s="244" t="s">
        <v>3102</v>
      </c>
      <c r="C1208" s="244" t="s">
        <v>3280</v>
      </c>
      <c r="D1208" s="154" t="s">
        <v>2746</v>
      </c>
      <c r="E1208" s="250"/>
      <c r="F1208" s="154" t="str">
        <f t="array" ref="F1208">XLOOKUP(Cover!$D$12,$S$1:$AA$1,$S1208:$AA1208)</f>
        <v>Mandatory</v>
      </c>
      <c r="G1208" s="154" t="s">
        <v>3281</v>
      </c>
      <c r="H1208" s="154" t="s">
        <v>398</v>
      </c>
      <c r="I1208" s="154" t="s">
        <v>389</v>
      </c>
      <c r="J1208" s="247" t="s">
        <v>445</v>
      </c>
      <c r="K1208" s="154"/>
      <c r="L1208" s="154" t="str">
        <f t="shared" si="1"/>
        <v/>
      </c>
      <c r="M1208" s="248" t="str">
        <f>IFERROR(__xludf.DUMMYFUNCTION("VLOOKUP(C1208,IMPORTRANGE(""https://docs.google.com/spreadsheets/d/1P8eX0NWBhUPS_hvzA11R6jkTNFrPrRYIx_dX_hYbxrk/edit?resourcekey=0-iw9bsKY2OqkUHCFMkCar3A&amp;gid=2055363397#gid=2055363397"",""MTR!C:O""),11,false)"),"PMW-MCE-NAS")</f>
        <v>PMW-MCE-NAS</v>
      </c>
      <c r="N1208" s="248" t="str">
        <f>IFERROR(__xludf.DUMMYFUNCTION("VLOOKUP(C1208,IMPORTRANGE(""https://docs.google.com/spreadsheets/d/1ihFlp3_ePlYtFuPbUNbYj1muErVpI73WHXbEwJDIA7Q/edit#gid=1493122344"",""MTR!C:O""),8,false)"),"Complies")</f>
        <v>Complies</v>
      </c>
      <c r="O1208" s="241" t="str">
        <f>IFERROR(__xludf.DUMMYFUNCTION("VLOOKUP(C1208,IMPORTRANGE(""https://docs.google.com/spreadsheets/d/1P8eX0NWBhUPS_hvzA11R6jkTNFrPrRYIx_dX_hYbxrk/edit?resourcekey=0-iw9bsKY2OqkUHCFMkCar3A&amp;gid=2055363397#gid=2055363397"",""MTR!C:O""),9,false)"),"")</f>
        <v/>
      </c>
      <c r="P1208" s="241"/>
      <c r="Q1208" s="251" t="s">
        <v>445</v>
      </c>
      <c r="R1208" s="241"/>
      <c r="S1208" s="154" t="s">
        <v>60</v>
      </c>
      <c r="T1208" s="154" t="s">
        <v>60</v>
      </c>
      <c r="U1208" s="154" t="s">
        <v>60</v>
      </c>
      <c r="V1208" s="154" t="s">
        <v>60</v>
      </c>
      <c r="W1208" s="154" t="s">
        <v>60</v>
      </c>
      <c r="X1208" s="154" t="s">
        <v>60</v>
      </c>
      <c r="Y1208" s="154" t="s">
        <v>60</v>
      </c>
      <c r="Z1208" s="154" t="s">
        <v>60</v>
      </c>
      <c r="AA1208" s="154" t="s">
        <v>60</v>
      </c>
      <c r="AB1208" s="154"/>
      <c r="AC1208" s="242" t="b">
        <f t="shared" si="2"/>
        <v>1</v>
      </c>
      <c r="AD1208" s="154" t="s">
        <v>391</v>
      </c>
      <c r="AE1208" s="243" t="b">
        <f t="shared" si="3"/>
        <v>0</v>
      </c>
      <c r="AF1208" s="154"/>
      <c r="AG1208" s="243" t="b">
        <f t="shared" si="7"/>
        <v>0</v>
      </c>
      <c r="AH1208" s="154"/>
      <c r="AI1208" s="243" t="str">
        <f t="shared" si="5"/>
        <v>N/A</v>
      </c>
      <c r="AJ1208" s="157" t="str">
        <f t="shared" si="6"/>
        <v/>
      </c>
    </row>
    <row r="1209" ht="12.75" customHeight="1">
      <c r="A1209" s="244" t="s">
        <v>2412</v>
      </c>
      <c r="B1209" s="244" t="s">
        <v>3102</v>
      </c>
      <c r="C1209" s="244" t="s">
        <v>3282</v>
      </c>
      <c r="D1209" s="154" t="s">
        <v>2746</v>
      </c>
      <c r="E1209" s="250"/>
      <c r="F1209" s="154" t="str">
        <f t="array" ref="F1209">XLOOKUP(Cover!$D$12,$S$1:$AA$1,$S1209:$AA1209)</f>
        <v>Mandatory</v>
      </c>
      <c r="G1209" s="154" t="s">
        <v>3283</v>
      </c>
      <c r="H1209" s="154" t="s">
        <v>398</v>
      </c>
      <c r="I1209" s="154" t="s">
        <v>389</v>
      </c>
      <c r="J1209" s="247" t="s">
        <v>445</v>
      </c>
      <c r="K1209" s="154"/>
      <c r="L1209" s="154" t="str">
        <f t="shared" si="1"/>
        <v/>
      </c>
      <c r="M1209" s="248" t="str">
        <f>IFERROR(__xludf.DUMMYFUNCTION("VLOOKUP(C1209,IMPORTRANGE(""https://docs.google.com/spreadsheets/d/1P8eX0NWBhUPS_hvzA11R6jkTNFrPrRYIx_dX_hYbxrk/edit?resourcekey=0-iw9bsKY2OqkUHCFMkCar3A&amp;gid=2055363397#gid=2055363397"",""MTR!C:O""),11,false)"),"PMW-MCE-NAS")</f>
        <v>PMW-MCE-NAS</v>
      </c>
      <c r="N1209" s="248" t="str">
        <f>IFERROR(__xludf.DUMMYFUNCTION("VLOOKUP(C1209,IMPORTRANGE(""https://docs.google.com/spreadsheets/d/1ihFlp3_ePlYtFuPbUNbYj1muErVpI73WHXbEwJDIA7Q/edit#gid=1493122344"",""MTR!C:O""),8,false)"),"Complies")</f>
        <v>Complies</v>
      </c>
      <c r="O1209" s="241" t="str">
        <f>IFERROR(__xludf.DUMMYFUNCTION("VLOOKUP(C1209,IMPORTRANGE(""https://docs.google.com/spreadsheets/d/1P8eX0NWBhUPS_hvzA11R6jkTNFrPrRYIx_dX_hYbxrk/edit?resourcekey=0-iw9bsKY2OqkUHCFMkCar3A&amp;gid=2055363397#gid=2055363397"",""MTR!C:O""),9,false)"),"")</f>
        <v/>
      </c>
      <c r="P1209" s="241"/>
      <c r="Q1209" s="251" t="s">
        <v>445</v>
      </c>
      <c r="R1209" s="241"/>
      <c r="S1209" s="154" t="s">
        <v>60</v>
      </c>
      <c r="T1209" s="154" t="s">
        <v>60</v>
      </c>
      <c r="U1209" s="154" t="s">
        <v>60</v>
      </c>
      <c r="V1209" s="154" t="s">
        <v>60</v>
      </c>
      <c r="W1209" s="154" t="s">
        <v>60</v>
      </c>
      <c r="X1209" s="154" t="s">
        <v>60</v>
      </c>
      <c r="Y1209" s="154" t="s">
        <v>60</v>
      </c>
      <c r="Z1209" s="154" t="s">
        <v>60</v>
      </c>
      <c r="AA1209" s="154" t="s">
        <v>60</v>
      </c>
      <c r="AB1209" s="154"/>
      <c r="AC1209" s="242" t="b">
        <f t="shared" si="2"/>
        <v>1</v>
      </c>
      <c r="AD1209" s="154" t="s">
        <v>391</v>
      </c>
      <c r="AE1209" s="243" t="b">
        <f t="shared" si="3"/>
        <v>0</v>
      </c>
      <c r="AF1209" s="154"/>
      <c r="AG1209" s="243" t="b">
        <f t="shared" si="7"/>
        <v>0</v>
      </c>
      <c r="AH1209" s="154"/>
      <c r="AI1209" s="243" t="str">
        <f t="shared" si="5"/>
        <v>N/A</v>
      </c>
      <c r="AJ1209" s="157" t="str">
        <f t="shared" si="6"/>
        <v/>
      </c>
    </row>
    <row r="1210" ht="12.75" customHeight="1">
      <c r="A1210" s="244" t="s">
        <v>2412</v>
      </c>
      <c r="B1210" s="244" t="s">
        <v>3102</v>
      </c>
      <c r="C1210" s="244" t="s">
        <v>3284</v>
      </c>
      <c r="D1210" s="154" t="s">
        <v>2746</v>
      </c>
      <c r="E1210" s="250"/>
      <c r="F1210" s="154" t="str">
        <f t="array" ref="F1210">XLOOKUP(Cover!$D$12,$S$1:$AA$1,$S1210:$AA1210)</f>
        <v>Mandatory</v>
      </c>
      <c r="G1210" s="154" t="s">
        <v>3285</v>
      </c>
      <c r="H1210" s="154" t="s">
        <v>398</v>
      </c>
      <c r="I1210" s="154" t="s">
        <v>389</v>
      </c>
      <c r="J1210" s="247" t="s">
        <v>445</v>
      </c>
      <c r="K1210" s="154"/>
      <c r="L1210" s="154" t="str">
        <f t="shared" si="1"/>
        <v/>
      </c>
      <c r="M1210" s="248" t="str">
        <f>IFERROR(__xludf.DUMMYFUNCTION("VLOOKUP(C1210,IMPORTRANGE(""https://docs.google.com/spreadsheets/d/1P8eX0NWBhUPS_hvzA11R6jkTNFrPrRYIx_dX_hYbxrk/edit?resourcekey=0-iw9bsKY2OqkUHCFMkCar3A&amp;gid=2055363397#gid=2055363397"",""MTR!C:O""),11,false)"),"PMW-MCE-NAS")</f>
        <v>PMW-MCE-NAS</v>
      </c>
      <c r="N1210" s="248" t="str">
        <f>IFERROR(__xludf.DUMMYFUNCTION("VLOOKUP(C1210,IMPORTRANGE(""https://docs.google.com/spreadsheets/d/1ihFlp3_ePlYtFuPbUNbYj1muErVpI73WHXbEwJDIA7Q/edit#gid=1493122344"",""MTR!C:O""),8,false)"),"Complies")</f>
        <v>Complies</v>
      </c>
      <c r="O1210" s="241" t="str">
        <f>IFERROR(__xludf.DUMMYFUNCTION("VLOOKUP(C1210,IMPORTRANGE(""https://docs.google.com/spreadsheets/d/1P8eX0NWBhUPS_hvzA11R6jkTNFrPrRYIx_dX_hYbxrk/edit?resourcekey=0-iw9bsKY2OqkUHCFMkCar3A&amp;gid=2055363397#gid=2055363397"",""MTR!C:O""),9,false)"),"")</f>
        <v/>
      </c>
      <c r="P1210" s="241"/>
      <c r="Q1210" s="251" t="s">
        <v>445</v>
      </c>
      <c r="R1210" s="241"/>
      <c r="S1210" s="154" t="s">
        <v>60</v>
      </c>
      <c r="T1210" s="154" t="s">
        <v>60</v>
      </c>
      <c r="U1210" s="154" t="s">
        <v>60</v>
      </c>
      <c r="V1210" s="154" t="s">
        <v>60</v>
      </c>
      <c r="W1210" s="154" t="s">
        <v>60</v>
      </c>
      <c r="X1210" s="154" t="s">
        <v>60</v>
      </c>
      <c r="Y1210" s="154" t="s">
        <v>60</v>
      </c>
      <c r="Z1210" s="154" t="s">
        <v>60</v>
      </c>
      <c r="AA1210" s="154" t="s">
        <v>60</v>
      </c>
      <c r="AB1210" s="154"/>
      <c r="AC1210" s="242" t="b">
        <f t="shared" si="2"/>
        <v>1</v>
      </c>
      <c r="AD1210" s="154" t="s">
        <v>391</v>
      </c>
      <c r="AE1210" s="243" t="b">
        <f t="shared" si="3"/>
        <v>0</v>
      </c>
      <c r="AF1210" s="154"/>
      <c r="AG1210" s="243" t="b">
        <f t="shared" si="7"/>
        <v>0</v>
      </c>
      <c r="AH1210" s="154"/>
      <c r="AI1210" s="243" t="str">
        <f t="shared" si="5"/>
        <v>N/A</v>
      </c>
      <c r="AJ1210" s="157" t="str">
        <f t="shared" si="6"/>
        <v/>
      </c>
    </row>
    <row r="1211" ht="12.75" customHeight="1">
      <c r="A1211" s="244" t="s">
        <v>2412</v>
      </c>
      <c r="B1211" s="244" t="s">
        <v>3102</v>
      </c>
      <c r="C1211" s="244" t="s">
        <v>3286</v>
      </c>
      <c r="D1211" s="154" t="s">
        <v>2746</v>
      </c>
      <c r="E1211" s="250"/>
      <c r="F1211" s="154" t="str">
        <f t="array" ref="F1211">XLOOKUP(Cover!$D$12,$S$1:$AA$1,$S1211:$AA1211)</f>
        <v>Recommended</v>
      </c>
      <c r="G1211" s="154" t="s">
        <v>3287</v>
      </c>
      <c r="H1211" s="154"/>
      <c r="I1211" s="154" t="s">
        <v>389</v>
      </c>
      <c r="J1211" s="247" t="s">
        <v>445</v>
      </c>
      <c r="K1211" s="154"/>
      <c r="L1211" s="154" t="str">
        <f t="shared" si="1"/>
        <v/>
      </c>
      <c r="M1211" s="248" t="str">
        <f>IFERROR(__xludf.DUMMYFUNCTION("VLOOKUP(C1211,IMPORTRANGE(""https://docs.google.com/spreadsheets/d/1P8eX0NWBhUPS_hvzA11R6jkTNFrPrRYIx_dX_hYbxrk/edit?resourcekey=0-iw9bsKY2OqkUHCFMkCar3A&amp;gid=2055363397#gid=2055363397"",""MTR!C:O""),11,false)"),"PMW-MCE-NAS")</f>
        <v>PMW-MCE-NAS</v>
      </c>
      <c r="N1211" s="248" t="str">
        <f>IFERROR(__xludf.DUMMYFUNCTION("VLOOKUP(C1211,IMPORTRANGE(""https://docs.google.com/spreadsheets/d/1ihFlp3_ePlYtFuPbUNbYj1muErVpI73WHXbEwJDIA7Q/edit#gid=1493122344"",""MTR!C:O""),8,false)"),"Complies")</f>
        <v>Complies</v>
      </c>
      <c r="O1211" s="241" t="str">
        <f>IFERROR(__xludf.DUMMYFUNCTION("VLOOKUP(C1211,IMPORTRANGE(""https://docs.google.com/spreadsheets/d/1P8eX0NWBhUPS_hvzA11R6jkTNFrPrRYIx_dX_hYbxrk/edit?resourcekey=0-iw9bsKY2OqkUHCFMkCar3A&amp;gid=2055363397#gid=2055363397"",""MTR!C:O""),9,false)"),"")</f>
        <v/>
      </c>
      <c r="P1211" s="241"/>
      <c r="Q1211" s="251" t="s">
        <v>445</v>
      </c>
      <c r="R1211" s="241"/>
      <c r="S1211" s="154" t="s">
        <v>64</v>
      </c>
      <c r="T1211" s="154" t="s">
        <v>64</v>
      </c>
      <c r="U1211" s="154" t="s">
        <v>64</v>
      </c>
      <c r="V1211" s="154" t="s">
        <v>64</v>
      </c>
      <c r="W1211" s="154" t="s">
        <v>64</v>
      </c>
      <c r="X1211" s="154" t="s">
        <v>64</v>
      </c>
      <c r="Y1211" s="154" t="s">
        <v>64</v>
      </c>
      <c r="Z1211" s="154" t="s">
        <v>64</v>
      </c>
      <c r="AA1211" s="154" t="s">
        <v>64</v>
      </c>
      <c r="AB1211" s="154"/>
      <c r="AC1211" s="242" t="b">
        <f t="shared" si="2"/>
        <v>1</v>
      </c>
      <c r="AD1211" s="154" t="s">
        <v>391</v>
      </c>
      <c r="AE1211" s="243" t="b">
        <f t="shared" si="3"/>
        <v>0</v>
      </c>
      <c r="AF1211" s="154"/>
      <c r="AG1211" s="243" t="b">
        <f t="shared" si="7"/>
        <v>0</v>
      </c>
      <c r="AH1211" s="154"/>
      <c r="AI1211" s="243" t="str">
        <f t="shared" si="5"/>
        <v>N/A</v>
      </c>
      <c r="AJ1211" s="157" t="str">
        <f t="shared" si="6"/>
        <v/>
      </c>
    </row>
    <row r="1212" ht="12.75" customHeight="1">
      <c r="A1212" s="244" t="s">
        <v>2412</v>
      </c>
      <c r="B1212" s="244" t="s">
        <v>3102</v>
      </c>
      <c r="C1212" s="244" t="s">
        <v>3288</v>
      </c>
      <c r="D1212" s="154" t="s">
        <v>2326</v>
      </c>
      <c r="E1212" s="250"/>
      <c r="F1212" s="154" t="str">
        <f t="array" ref="F1212">XLOOKUP(Cover!$D$12,$S$1:$AA$1,$S1212:$AA1212)</f>
        <v>Recommended</v>
      </c>
      <c r="G1212" s="154" t="s">
        <v>3289</v>
      </c>
      <c r="H1212" s="154"/>
      <c r="I1212" s="154" t="s">
        <v>389</v>
      </c>
      <c r="J1212" s="247" t="s">
        <v>445</v>
      </c>
      <c r="K1212" s="154"/>
      <c r="L1212" s="154" t="str">
        <f t="shared" si="1"/>
        <v/>
      </c>
      <c r="M1212" s="248" t="str">
        <f>IFERROR(__xludf.DUMMYFUNCTION("VLOOKUP(C1212,IMPORTRANGE(""https://docs.google.com/spreadsheets/d/1P8eX0NWBhUPS_hvzA11R6jkTNFrPrRYIx_dX_hYbxrk/edit?resourcekey=0-iw9bsKY2OqkUHCFMkCar3A&amp;gid=2055363397#gid=2055363397"",""MTR!C:O""),11,false)"),"PMW-MCE-NAS")</f>
        <v>PMW-MCE-NAS</v>
      </c>
      <c r="N1212" s="248" t="str">
        <f>IFERROR(__xludf.DUMMYFUNCTION("VLOOKUP(C1212,IMPORTRANGE(""https://docs.google.com/spreadsheets/d/1ihFlp3_ePlYtFuPbUNbYj1muErVpI73WHXbEwJDIA7Q/edit#gid=1493122344"",""MTR!C:O""),8,false)"),"Complies")</f>
        <v>Complies</v>
      </c>
      <c r="O1212" s="241" t="str">
        <f>IFERROR(__xludf.DUMMYFUNCTION("VLOOKUP(C1212,IMPORTRANGE(""https://docs.google.com/spreadsheets/d/1P8eX0NWBhUPS_hvzA11R6jkTNFrPrRYIx_dX_hYbxrk/edit?resourcekey=0-iw9bsKY2OqkUHCFMkCar3A&amp;gid=2055363397#gid=2055363397"",""MTR!C:O""),9,false)"),"")</f>
        <v/>
      </c>
      <c r="P1212" s="241"/>
      <c r="Q1212" s="251" t="s">
        <v>445</v>
      </c>
      <c r="R1212" s="241"/>
      <c r="S1212" s="154" t="s">
        <v>64</v>
      </c>
      <c r="T1212" s="154" t="s">
        <v>64</v>
      </c>
      <c r="U1212" s="154" t="s">
        <v>64</v>
      </c>
      <c r="V1212" s="154" t="s">
        <v>64</v>
      </c>
      <c r="W1212" s="154" t="s">
        <v>64</v>
      </c>
      <c r="X1212" s="154" t="s">
        <v>64</v>
      </c>
      <c r="Y1212" s="154" t="s">
        <v>64</v>
      </c>
      <c r="Z1212" s="154" t="s">
        <v>64</v>
      </c>
      <c r="AA1212" s="154" t="s">
        <v>64</v>
      </c>
      <c r="AB1212" s="154"/>
      <c r="AC1212" s="242" t="b">
        <f t="shared" si="2"/>
        <v>1</v>
      </c>
      <c r="AD1212" s="154" t="s">
        <v>391</v>
      </c>
      <c r="AE1212" s="243" t="b">
        <f t="shared" si="3"/>
        <v>0</v>
      </c>
      <c r="AF1212" s="154"/>
      <c r="AG1212" s="243" t="b">
        <f t="shared" si="7"/>
        <v>0</v>
      </c>
      <c r="AH1212" s="154"/>
      <c r="AI1212" s="243" t="str">
        <f t="shared" si="5"/>
        <v>N/A</v>
      </c>
      <c r="AJ1212" s="157" t="str">
        <f t="shared" si="6"/>
        <v/>
      </c>
    </row>
    <row r="1213" ht="12.75" customHeight="1">
      <c r="A1213" s="244" t="s">
        <v>2412</v>
      </c>
      <c r="B1213" s="244" t="s">
        <v>3102</v>
      </c>
      <c r="C1213" s="244" t="s">
        <v>3290</v>
      </c>
      <c r="D1213" s="154" t="s">
        <v>2326</v>
      </c>
      <c r="E1213" s="250"/>
      <c r="F1213" s="154" t="str">
        <f t="array" ref="F1213">XLOOKUP(Cover!$D$12,$S$1:$AA$1,$S1213:$AA1213)</f>
        <v>Recommended</v>
      </c>
      <c r="G1213" s="154" t="s">
        <v>3291</v>
      </c>
      <c r="H1213" s="154"/>
      <c r="I1213" s="154" t="s">
        <v>389</v>
      </c>
      <c r="J1213" s="247" t="s">
        <v>445</v>
      </c>
      <c r="K1213" s="154"/>
      <c r="L1213" s="154" t="str">
        <f t="shared" si="1"/>
        <v/>
      </c>
      <c r="M1213" s="248" t="str">
        <f>IFERROR(__xludf.DUMMYFUNCTION("VLOOKUP(C1213,IMPORTRANGE(""https://docs.google.com/spreadsheets/d/1P8eX0NWBhUPS_hvzA11R6jkTNFrPrRYIx_dX_hYbxrk/edit?resourcekey=0-iw9bsKY2OqkUHCFMkCar3A&amp;gid=2055363397#gid=2055363397"",""MTR!C:O""),11,false)"),"PMW-MCE-NAS")</f>
        <v>PMW-MCE-NAS</v>
      </c>
      <c r="N1213" s="248" t="str">
        <f>IFERROR(__xludf.DUMMYFUNCTION("VLOOKUP(C1213,IMPORTRANGE(""https://docs.google.com/spreadsheets/d/1ihFlp3_ePlYtFuPbUNbYj1muErVpI73WHXbEwJDIA7Q/edit#gid=1493122344"",""MTR!C:O""),8,false)"),"Complies")</f>
        <v>Complies</v>
      </c>
      <c r="O1213" s="241" t="str">
        <f>IFERROR(__xludf.DUMMYFUNCTION("VLOOKUP(C1213,IMPORTRANGE(""https://docs.google.com/spreadsheets/d/1P8eX0NWBhUPS_hvzA11R6jkTNFrPrRYIx_dX_hYbxrk/edit?resourcekey=0-iw9bsKY2OqkUHCFMkCar3A&amp;gid=2055363397#gid=2055363397"",""MTR!C:O""),9,false)"),"")</f>
        <v/>
      </c>
      <c r="P1213" s="241"/>
      <c r="Q1213" s="251" t="s">
        <v>445</v>
      </c>
      <c r="R1213" s="241"/>
      <c r="S1213" s="154" t="s">
        <v>64</v>
      </c>
      <c r="T1213" s="154" t="s">
        <v>64</v>
      </c>
      <c r="U1213" s="154" t="s">
        <v>64</v>
      </c>
      <c r="V1213" s="154" t="s">
        <v>64</v>
      </c>
      <c r="W1213" s="154" t="s">
        <v>64</v>
      </c>
      <c r="X1213" s="154" t="s">
        <v>64</v>
      </c>
      <c r="Y1213" s="154" t="s">
        <v>64</v>
      </c>
      <c r="Z1213" s="154" t="s">
        <v>64</v>
      </c>
      <c r="AA1213" s="154" t="s">
        <v>64</v>
      </c>
      <c r="AB1213" s="154"/>
      <c r="AC1213" s="242" t="b">
        <f t="shared" si="2"/>
        <v>1</v>
      </c>
      <c r="AD1213" s="154" t="s">
        <v>391</v>
      </c>
      <c r="AE1213" s="243" t="b">
        <f t="shared" si="3"/>
        <v>0</v>
      </c>
      <c r="AF1213" s="154"/>
      <c r="AG1213" s="243" t="b">
        <f t="shared" si="7"/>
        <v>0</v>
      </c>
      <c r="AH1213" s="154"/>
      <c r="AI1213" s="243" t="str">
        <f t="shared" si="5"/>
        <v>N/A</v>
      </c>
      <c r="AJ1213" s="157" t="str">
        <f t="shared" si="6"/>
        <v/>
      </c>
    </row>
    <row r="1214" ht="12.75" customHeight="1">
      <c r="A1214" s="244" t="s">
        <v>2412</v>
      </c>
      <c r="B1214" s="244" t="s">
        <v>3102</v>
      </c>
      <c r="C1214" s="244" t="s">
        <v>3292</v>
      </c>
      <c r="D1214" s="154" t="s">
        <v>1211</v>
      </c>
      <c r="E1214" s="250"/>
      <c r="F1214" s="154" t="str">
        <f t="array" ref="F1214">XLOOKUP(Cover!$D$12,$S$1:$AA$1,$S1214:$AA1214)</f>
        <v>Mandatory</v>
      </c>
      <c r="G1214" s="154" t="s">
        <v>3293</v>
      </c>
      <c r="H1214" s="154" t="s">
        <v>398</v>
      </c>
      <c r="I1214" s="154" t="s">
        <v>389</v>
      </c>
      <c r="J1214" s="247" t="s">
        <v>445</v>
      </c>
      <c r="K1214" s="154"/>
      <c r="L1214" s="154" t="str">
        <f t="shared" si="1"/>
        <v/>
      </c>
      <c r="M1214" s="248" t="str">
        <f>IFERROR(__xludf.DUMMYFUNCTION("VLOOKUP(C1214,IMPORTRANGE(""https://docs.google.com/spreadsheets/d/1P8eX0NWBhUPS_hvzA11R6jkTNFrPrRYIx_dX_hYbxrk/edit?resourcekey=0-iw9bsKY2OqkUHCFMkCar3A&amp;gid=2055363397#gid=2055363397"",""MTR!C:O""),11,false)"),"PMW-MCE-NAS")</f>
        <v>PMW-MCE-NAS</v>
      </c>
      <c r="N1214" s="248" t="str">
        <f>IFERROR(__xludf.DUMMYFUNCTION("VLOOKUP(C1214,IMPORTRANGE(""https://docs.google.com/spreadsheets/d/1ihFlp3_ePlYtFuPbUNbYj1muErVpI73WHXbEwJDIA7Q/edit#gid=1493122344"",""MTR!C:O""),8,false)"),"Complies")</f>
        <v>Complies</v>
      </c>
      <c r="O1214" s="241" t="str">
        <f>IFERROR(__xludf.DUMMYFUNCTION("VLOOKUP(C1214,IMPORTRANGE(""https://docs.google.com/spreadsheets/d/1P8eX0NWBhUPS_hvzA11R6jkTNFrPrRYIx_dX_hYbxrk/edit?resourcekey=0-iw9bsKY2OqkUHCFMkCar3A&amp;gid=2055363397#gid=2055363397"",""MTR!C:O""),9,false)"),"")</f>
        <v/>
      </c>
      <c r="P1214" s="241"/>
      <c r="Q1214" s="251" t="s">
        <v>445</v>
      </c>
      <c r="R1214" s="241"/>
      <c r="S1214" s="154" t="s">
        <v>60</v>
      </c>
      <c r="T1214" s="154" t="s">
        <v>60</v>
      </c>
      <c r="U1214" s="154" t="s">
        <v>60</v>
      </c>
      <c r="V1214" s="154" t="s">
        <v>60</v>
      </c>
      <c r="W1214" s="154" t="s">
        <v>60</v>
      </c>
      <c r="X1214" s="154" t="s">
        <v>60</v>
      </c>
      <c r="Y1214" s="154" t="s">
        <v>60</v>
      </c>
      <c r="Z1214" s="154" t="s">
        <v>60</v>
      </c>
      <c r="AA1214" s="154" t="s">
        <v>60</v>
      </c>
      <c r="AB1214" s="154"/>
      <c r="AC1214" s="242" t="b">
        <f t="shared" si="2"/>
        <v>1</v>
      </c>
      <c r="AD1214" s="154" t="s">
        <v>391</v>
      </c>
      <c r="AE1214" s="243" t="b">
        <f t="shared" si="3"/>
        <v>0</v>
      </c>
      <c r="AF1214" s="154"/>
      <c r="AG1214" s="243" t="b">
        <f t="shared" si="7"/>
        <v>0</v>
      </c>
      <c r="AH1214" s="154"/>
      <c r="AI1214" s="243" t="str">
        <f t="shared" si="5"/>
        <v>N/A</v>
      </c>
      <c r="AJ1214" s="157" t="str">
        <f t="shared" si="6"/>
        <v/>
      </c>
    </row>
    <row r="1215" ht="12.75" customHeight="1">
      <c r="A1215" s="238" t="s">
        <v>2412</v>
      </c>
      <c r="B1215" s="238" t="s">
        <v>3102</v>
      </c>
      <c r="C1215" s="238" t="s">
        <v>3294</v>
      </c>
      <c r="D1215" s="238"/>
      <c r="E1215" s="238"/>
      <c r="F1215" s="154" t="str">
        <f t="array" ref="F1215">XLOOKUP(Cover!$D$12,$S$1:$AA$1,$S1215:$AA1215)</f>
        <v>Heading</v>
      </c>
      <c r="G1215" s="239" t="s">
        <v>3295</v>
      </c>
      <c r="H1215" s="240"/>
      <c r="I1215" s="240" t="s">
        <v>389</v>
      </c>
      <c r="J1215" s="240"/>
      <c r="K1215" s="240"/>
      <c r="L1215" s="154" t="str">
        <f t="shared" si="1"/>
        <v/>
      </c>
      <c r="M1215" s="241" t="str">
        <f>IFERROR(__xludf.DUMMYFUNCTION("VLOOKUP(C1215,IMPORTRANGE(""https://docs.google.com/spreadsheets/d/1P8eX0NWBhUPS_hvzA11R6jkTNFrPrRYIx_dX_hYbxrk/edit?resourcekey=0-iw9bsKY2OqkUHCFMkCar3A&amp;gid=2055363397#gid=2055363397"",""MTR!C:O""),11,false)"),"")</f>
        <v/>
      </c>
      <c r="N1215" s="241" t="str">
        <f>IFERROR(__xludf.DUMMYFUNCTION("VLOOKUP(C1215,IMPORTRANGE(""https://docs.google.com/spreadsheets/d/1ihFlp3_ePlYtFuPbUNbYj1muErVpI73WHXbEwJDIA7Q/edit#gid=1493122344"",""MTR!C:O""),8,false)"),"")</f>
        <v/>
      </c>
      <c r="O1215" s="241" t="str">
        <f>IFERROR(__xludf.DUMMYFUNCTION("VLOOKUP(C1215,IMPORTRANGE(""https://docs.google.com/spreadsheets/d/1P8eX0NWBhUPS_hvzA11R6jkTNFrPrRYIx_dX_hYbxrk/edit?resourcekey=0-iw9bsKY2OqkUHCFMkCar3A&amp;gid=2055363397#gid=2055363397"",""MTR!C:O""),9,false)"),"")</f>
        <v/>
      </c>
      <c r="P1215" s="241"/>
      <c r="Q1215" s="251"/>
      <c r="R1215" s="241"/>
      <c r="S1215" s="240" t="s">
        <v>390</v>
      </c>
      <c r="T1215" s="240" t="s">
        <v>390</v>
      </c>
      <c r="U1215" s="240" t="s">
        <v>390</v>
      </c>
      <c r="V1215" s="240" t="s">
        <v>390</v>
      </c>
      <c r="W1215" s="240" t="s">
        <v>390</v>
      </c>
      <c r="X1215" s="240" t="s">
        <v>390</v>
      </c>
      <c r="Y1215" s="240" t="s">
        <v>390</v>
      </c>
      <c r="Z1215" s="240" t="s">
        <v>390</v>
      </c>
      <c r="AA1215" s="240" t="s">
        <v>390</v>
      </c>
      <c r="AB1215" s="240"/>
      <c r="AC1215" s="242" t="b">
        <f t="shared" si="2"/>
        <v>0</v>
      </c>
      <c r="AD1215" s="240" t="s">
        <v>391</v>
      </c>
      <c r="AE1215" s="243" t="b">
        <f t="shared" si="3"/>
        <v>0</v>
      </c>
      <c r="AF1215" s="240"/>
      <c r="AG1215" s="243" t="b">
        <f t="shared" si="7"/>
        <v>0</v>
      </c>
      <c r="AH1215" s="240"/>
      <c r="AI1215" s="243" t="str">
        <f t="shared" si="5"/>
        <v>N/A</v>
      </c>
      <c r="AJ1215" s="157" t="str">
        <f t="shared" si="6"/>
        <v/>
      </c>
    </row>
    <row r="1216" ht="12.75" customHeight="1">
      <c r="A1216" s="244" t="s">
        <v>2412</v>
      </c>
      <c r="B1216" s="244" t="s">
        <v>3102</v>
      </c>
      <c r="C1216" s="244" t="s">
        <v>3296</v>
      </c>
      <c r="D1216" s="154" t="s">
        <v>2746</v>
      </c>
      <c r="E1216" s="250"/>
      <c r="F1216" s="154" t="str">
        <f t="array" ref="F1216">XLOOKUP(Cover!$D$12,$S$1:$AA$1,$S1216:$AA1216)</f>
        <v>Mandatory</v>
      </c>
      <c r="G1216" s="154" t="s">
        <v>3297</v>
      </c>
      <c r="H1216" s="154" t="s">
        <v>398</v>
      </c>
      <c r="I1216" s="154" t="s">
        <v>389</v>
      </c>
      <c r="J1216" s="154" t="s">
        <v>445</v>
      </c>
      <c r="K1216" s="154"/>
      <c r="L1216" s="154" t="str">
        <f t="shared" si="1"/>
        <v/>
      </c>
      <c r="M1216" s="248" t="str">
        <f>IFERROR(__xludf.DUMMYFUNCTION("VLOOKUP(C1216,IMPORTRANGE(""https://docs.google.com/spreadsheets/d/1P8eX0NWBhUPS_hvzA11R6jkTNFrPrRYIx_dX_hYbxrk/edit?resourcekey=0-iw9bsKY2OqkUHCFMkCar3A&amp;gid=2055363397#gid=2055363397"",""MTR!C:O""),11,false)"),"PMW-MCE-NAS")</f>
        <v>PMW-MCE-NAS</v>
      </c>
      <c r="N1216" s="248" t="str">
        <f>IFERROR(__xludf.DUMMYFUNCTION("VLOOKUP(C1216,IMPORTRANGE(""https://docs.google.com/spreadsheets/d/1ihFlp3_ePlYtFuPbUNbYj1muErVpI73WHXbEwJDIA7Q/edit#gid=1493122344"",""MTR!C:O""),8,false)"),"Complies")</f>
        <v>Complies</v>
      </c>
      <c r="O1216" s="241" t="str">
        <f>IFERROR(__xludf.DUMMYFUNCTION("VLOOKUP(C1216,IMPORTRANGE(""https://docs.google.com/spreadsheets/d/1P8eX0NWBhUPS_hvzA11R6jkTNFrPrRYIx_dX_hYbxrk/edit?resourcekey=0-iw9bsKY2OqkUHCFMkCar3A&amp;gid=2055363397#gid=2055363397"",""MTR!C:O""),9,false)"),"")</f>
        <v/>
      </c>
      <c r="P1216" s="241"/>
      <c r="Q1216" s="251" t="s">
        <v>445</v>
      </c>
      <c r="R1216" s="241"/>
      <c r="S1216" s="154" t="s">
        <v>60</v>
      </c>
      <c r="T1216" s="154" t="s">
        <v>60</v>
      </c>
      <c r="U1216" s="154" t="s">
        <v>60</v>
      </c>
      <c r="V1216" s="154" t="s">
        <v>60</v>
      </c>
      <c r="W1216" s="154" t="s">
        <v>60</v>
      </c>
      <c r="X1216" s="154" t="s">
        <v>60</v>
      </c>
      <c r="Y1216" s="154" t="s">
        <v>60</v>
      </c>
      <c r="Z1216" s="154" t="s">
        <v>60</v>
      </c>
      <c r="AA1216" s="154" t="s">
        <v>60</v>
      </c>
      <c r="AB1216" s="154"/>
      <c r="AC1216" s="242" t="b">
        <f t="shared" si="2"/>
        <v>1</v>
      </c>
      <c r="AD1216" s="154" t="s">
        <v>391</v>
      </c>
      <c r="AE1216" s="243" t="b">
        <f t="shared" si="3"/>
        <v>0</v>
      </c>
      <c r="AF1216" s="154"/>
      <c r="AG1216" s="243" t="b">
        <f t="shared" si="7"/>
        <v>0</v>
      </c>
      <c r="AH1216" s="154"/>
      <c r="AI1216" s="243" t="str">
        <f t="shared" si="5"/>
        <v>N/A</v>
      </c>
      <c r="AJ1216" s="157" t="str">
        <f t="shared" si="6"/>
        <v/>
      </c>
    </row>
    <row r="1217" ht="12.75" customHeight="1">
      <c r="A1217" s="244" t="s">
        <v>2412</v>
      </c>
      <c r="B1217" s="244" t="s">
        <v>3102</v>
      </c>
      <c r="C1217" s="244" t="s">
        <v>3298</v>
      </c>
      <c r="D1217" s="154" t="s">
        <v>2746</v>
      </c>
      <c r="E1217" s="250"/>
      <c r="F1217" s="154" t="str">
        <f t="array" ref="F1217">XLOOKUP(Cover!$D$12,$S$1:$AA$1,$S1217:$AA1217)</f>
        <v>Mandatory</v>
      </c>
      <c r="G1217" s="154" t="s">
        <v>3299</v>
      </c>
      <c r="H1217" s="154" t="s">
        <v>398</v>
      </c>
      <c r="I1217" s="154" t="s">
        <v>389</v>
      </c>
      <c r="J1217" s="247" t="s">
        <v>445</v>
      </c>
      <c r="K1217" s="154"/>
      <c r="L1217" s="154" t="str">
        <f t="shared" si="1"/>
        <v/>
      </c>
      <c r="M1217" s="248" t="str">
        <f>IFERROR(__xludf.DUMMYFUNCTION("VLOOKUP(C1217,IMPORTRANGE(""https://docs.google.com/spreadsheets/d/1P8eX0NWBhUPS_hvzA11R6jkTNFrPrRYIx_dX_hYbxrk/edit?resourcekey=0-iw9bsKY2OqkUHCFMkCar3A&amp;gid=2055363397#gid=2055363397"",""MTR!C:O""),11,false)"),"PMW-MCE-NAS")</f>
        <v>PMW-MCE-NAS</v>
      </c>
      <c r="N1217" s="248" t="str">
        <f>IFERROR(__xludf.DUMMYFUNCTION("VLOOKUP(C1217,IMPORTRANGE(""https://docs.google.com/spreadsheets/d/1ihFlp3_ePlYtFuPbUNbYj1muErVpI73WHXbEwJDIA7Q/edit#gid=1493122344"",""MTR!C:O""),8,false)"),"Complies")</f>
        <v>Complies</v>
      </c>
      <c r="O1217" s="241" t="str">
        <f>IFERROR(__xludf.DUMMYFUNCTION("VLOOKUP(C1217,IMPORTRANGE(""https://docs.google.com/spreadsheets/d/1P8eX0NWBhUPS_hvzA11R6jkTNFrPrRYIx_dX_hYbxrk/edit?resourcekey=0-iw9bsKY2OqkUHCFMkCar3A&amp;gid=2055363397#gid=2055363397"",""MTR!C:O""),9,false)"),"")</f>
        <v/>
      </c>
      <c r="P1217" s="241"/>
      <c r="Q1217" s="251" t="s">
        <v>445</v>
      </c>
      <c r="R1217" s="241"/>
      <c r="S1217" s="154" t="s">
        <v>60</v>
      </c>
      <c r="T1217" s="154" t="s">
        <v>60</v>
      </c>
      <c r="U1217" s="154" t="s">
        <v>60</v>
      </c>
      <c r="V1217" s="154" t="s">
        <v>60</v>
      </c>
      <c r="W1217" s="154" t="s">
        <v>60</v>
      </c>
      <c r="X1217" s="154" t="s">
        <v>60</v>
      </c>
      <c r="Y1217" s="154" t="s">
        <v>60</v>
      </c>
      <c r="Z1217" s="154" t="s">
        <v>60</v>
      </c>
      <c r="AA1217" s="154" t="s">
        <v>60</v>
      </c>
      <c r="AB1217" s="154"/>
      <c r="AC1217" s="242" t="b">
        <f t="shared" si="2"/>
        <v>1</v>
      </c>
      <c r="AD1217" s="154" t="s">
        <v>391</v>
      </c>
      <c r="AE1217" s="243" t="b">
        <f t="shared" si="3"/>
        <v>0</v>
      </c>
      <c r="AF1217" s="154"/>
      <c r="AG1217" s="243" t="b">
        <f t="shared" si="7"/>
        <v>0</v>
      </c>
      <c r="AH1217" s="154"/>
      <c r="AI1217" s="243" t="str">
        <f t="shared" si="5"/>
        <v>N/A</v>
      </c>
      <c r="AJ1217" s="157" t="str">
        <f t="shared" si="6"/>
        <v/>
      </c>
    </row>
    <row r="1218" ht="12.75" customHeight="1">
      <c r="A1218" s="238" t="s">
        <v>2412</v>
      </c>
      <c r="B1218" s="238" t="s">
        <v>3102</v>
      </c>
      <c r="C1218" s="238" t="s">
        <v>3300</v>
      </c>
      <c r="D1218" s="238"/>
      <c r="E1218" s="238"/>
      <c r="F1218" s="154" t="str">
        <f t="array" ref="F1218">XLOOKUP(Cover!$D$12,$S$1:$AA$1,$S1218:$AA1218)</f>
        <v>Heading</v>
      </c>
      <c r="G1218" s="239" t="s">
        <v>3301</v>
      </c>
      <c r="H1218" s="240"/>
      <c r="I1218" s="240" t="s">
        <v>389</v>
      </c>
      <c r="J1218" s="240"/>
      <c r="K1218" s="240"/>
      <c r="L1218" s="154" t="str">
        <f t="shared" si="1"/>
        <v/>
      </c>
      <c r="M1218" s="241" t="str">
        <f>IFERROR(__xludf.DUMMYFUNCTION("VLOOKUP(C1218,IMPORTRANGE(""https://docs.google.com/spreadsheets/d/1P8eX0NWBhUPS_hvzA11R6jkTNFrPrRYIx_dX_hYbxrk/edit?resourcekey=0-iw9bsKY2OqkUHCFMkCar3A&amp;gid=2055363397#gid=2055363397"",""MTR!C:O""),11,false)"),"")</f>
        <v/>
      </c>
      <c r="N1218" s="241" t="str">
        <f>IFERROR(__xludf.DUMMYFUNCTION("VLOOKUP(C1218,IMPORTRANGE(""https://docs.google.com/spreadsheets/d/1ihFlp3_ePlYtFuPbUNbYj1muErVpI73WHXbEwJDIA7Q/edit#gid=1493122344"",""MTR!C:O""),8,false)"),"")</f>
        <v/>
      </c>
      <c r="O1218" s="241" t="str">
        <f>IFERROR(__xludf.DUMMYFUNCTION("VLOOKUP(C1218,IMPORTRANGE(""https://docs.google.com/spreadsheets/d/1P8eX0NWBhUPS_hvzA11R6jkTNFrPrRYIx_dX_hYbxrk/edit?resourcekey=0-iw9bsKY2OqkUHCFMkCar3A&amp;gid=2055363397#gid=2055363397"",""MTR!C:O""),9,false)"),"")</f>
        <v/>
      </c>
      <c r="P1218" s="241"/>
      <c r="Q1218" s="251"/>
      <c r="R1218" s="241"/>
      <c r="S1218" s="240" t="s">
        <v>390</v>
      </c>
      <c r="T1218" s="240" t="s">
        <v>390</v>
      </c>
      <c r="U1218" s="240" t="s">
        <v>390</v>
      </c>
      <c r="V1218" s="240" t="s">
        <v>390</v>
      </c>
      <c r="W1218" s="240" t="s">
        <v>390</v>
      </c>
      <c r="X1218" s="240" t="s">
        <v>390</v>
      </c>
      <c r="Y1218" s="240" t="s">
        <v>390</v>
      </c>
      <c r="Z1218" s="240" t="s">
        <v>390</v>
      </c>
      <c r="AA1218" s="240" t="s">
        <v>390</v>
      </c>
      <c r="AB1218" s="240"/>
      <c r="AC1218" s="242" t="b">
        <f t="shared" si="2"/>
        <v>0</v>
      </c>
      <c r="AD1218" s="240" t="s">
        <v>391</v>
      </c>
      <c r="AE1218" s="243" t="b">
        <f t="shared" si="3"/>
        <v>0</v>
      </c>
      <c r="AF1218" s="240"/>
      <c r="AG1218" s="243" t="b">
        <f t="shared" si="7"/>
        <v>0</v>
      </c>
      <c r="AH1218" s="240"/>
      <c r="AI1218" s="243" t="str">
        <f t="shared" si="5"/>
        <v>N/A</v>
      </c>
      <c r="AJ1218" s="157" t="str">
        <f t="shared" si="6"/>
        <v/>
      </c>
    </row>
    <row r="1219" ht="12.75" customHeight="1">
      <c r="A1219" s="244" t="s">
        <v>2412</v>
      </c>
      <c r="B1219" s="244" t="s">
        <v>3102</v>
      </c>
      <c r="C1219" s="244" t="s">
        <v>3302</v>
      </c>
      <c r="D1219" s="154" t="s">
        <v>2802</v>
      </c>
      <c r="E1219" s="250"/>
      <c r="F1219" s="154" t="str">
        <f t="array" ref="F1219">XLOOKUP(Cover!$D$12,$S$1:$AA$1,$S1219:$AA1219)</f>
        <v>Mandatory</v>
      </c>
      <c r="G1219" s="154" t="s">
        <v>3303</v>
      </c>
      <c r="H1219" s="154" t="s">
        <v>398</v>
      </c>
      <c r="I1219" s="154" t="s">
        <v>389</v>
      </c>
      <c r="J1219" s="154" t="s">
        <v>445</v>
      </c>
      <c r="K1219" s="154"/>
      <c r="L1219" s="154" t="str">
        <f t="shared" si="1"/>
        <v/>
      </c>
      <c r="M1219" s="248" t="str">
        <f>IFERROR(__xludf.DUMMYFUNCTION("VLOOKUP(C1219,IMPORTRANGE(""https://docs.google.com/spreadsheets/d/1P8eX0NWBhUPS_hvzA11R6jkTNFrPrRYIx_dX_hYbxrk/edit?resourcekey=0-iw9bsKY2OqkUHCFMkCar3A&amp;gid=2055363397#gid=2055363397"",""MTR!C:O""),11,false)"),"PMW-MCE-NAS")</f>
        <v>PMW-MCE-NAS</v>
      </c>
      <c r="N1219" s="248" t="str">
        <f>IFERROR(__xludf.DUMMYFUNCTION("VLOOKUP(C1219,IMPORTRANGE(""https://docs.google.com/spreadsheets/d/1ihFlp3_ePlYtFuPbUNbYj1muErVpI73WHXbEwJDIA7Q/edit#gid=1493122344"",""MTR!C:O""),8,false)"),"Complies")</f>
        <v>Complies</v>
      </c>
      <c r="O1219" s="241" t="str">
        <f>IFERROR(__xludf.DUMMYFUNCTION("VLOOKUP(C1219,IMPORTRANGE(""https://docs.google.com/spreadsheets/d/1P8eX0NWBhUPS_hvzA11R6jkTNFrPrRYIx_dX_hYbxrk/edit?resourcekey=0-iw9bsKY2OqkUHCFMkCar3A&amp;gid=2055363397#gid=2055363397"",""MTR!C:O""),9,false)"),"")</f>
        <v/>
      </c>
      <c r="P1219" s="241"/>
      <c r="Q1219" s="251" t="s">
        <v>445</v>
      </c>
      <c r="R1219" s="241"/>
      <c r="S1219" s="154" t="s">
        <v>60</v>
      </c>
      <c r="T1219" s="154" t="s">
        <v>60</v>
      </c>
      <c r="U1219" s="154" t="s">
        <v>60</v>
      </c>
      <c r="V1219" s="154" t="s">
        <v>60</v>
      </c>
      <c r="W1219" s="154" t="s">
        <v>60</v>
      </c>
      <c r="X1219" s="154" t="s">
        <v>60</v>
      </c>
      <c r="Y1219" s="154" t="s">
        <v>60</v>
      </c>
      <c r="Z1219" s="154" t="s">
        <v>60</v>
      </c>
      <c r="AA1219" s="154" t="s">
        <v>60</v>
      </c>
      <c r="AB1219" s="154"/>
      <c r="AC1219" s="242" t="b">
        <f t="shared" si="2"/>
        <v>1</v>
      </c>
      <c r="AD1219" s="154" t="s">
        <v>391</v>
      </c>
      <c r="AE1219" s="243" t="b">
        <f t="shared" si="3"/>
        <v>0</v>
      </c>
      <c r="AF1219" s="154"/>
      <c r="AG1219" s="243" t="b">
        <f t="shared" si="7"/>
        <v>0</v>
      </c>
      <c r="AH1219" s="154"/>
      <c r="AI1219" s="243" t="str">
        <f t="shared" si="5"/>
        <v>N/A</v>
      </c>
      <c r="AJ1219" s="157" t="str">
        <f t="shared" si="6"/>
        <v/>
      </c>
    </row>
    <row r="1220" ht="12.75" customHeight="1">
      <c r="A1220" s="244" t="s">
        <v>2412</v>
      </c>
      <c r="B1220" s="244" t="s">
        <v>3102</v>
      </c>
      <c r="C1220" s="244" t="s">
        <v>3304</v>
      </c>
      <c r="D1220" s="154" t="s">
        <v>2746</v>
      </c>
      <c r="E1220" s="250"/>
      <c r="F1220" s="154" t="str">
        <f t="array" ref="F1220">XLOOKUP(Cover!$D$12,$S$1:$AA$1,$S1220:$AA1220)</f>
        <v>Mandatory</v>
      </c>
      <c r="G1220" s="154" t="s">
        <v>3305</v>
      </c>
      <c r="H1220" s="154" t="s">
        <v>398</v>
      </c>
      <c r="I1220" s="154" t="s">
        <v>389</v>
      </c>
      <c r="J1220" s="247" t="s">
        <v>445</v>
      </c>
      <c r="K1220" s="154"/>
      <c r="L1220" s="154" t="str">
        <f t="shared" si="1"/>
        <v/>
      </c>
      <c r="M1220" s="248" t="str">
        <f>IFERROR(__xludf.DUMMYFUNCTION("VLOOKUP(C1220,IMPORTRANGE(""https://docs.google.com/spreadsheets/d/1P8eX0NWBhUPS_hvzA11R6jkTNFrPrRYIx_dX_hYbxrk/edit?resourcekey=0-iw9bsKY2OqkUHCFMkCar3A&amp;gid=2055363397#gid=2055363397"",""MTR!C:O""),11,false)"),"PMW-MCE-NAS")</f>
        <v>PMW-MCE-NAS</v>
      </c>
      <c r="N1220" s="248" t="str">
        <f>IFERROR(__xludf.DUMMYFUNCTION("VLOOKUP(C1220,IMPORTRANGE(""https://docs.google.com/spreadsheets/d/1ihFlp3_ePlYtFuPbUNbYj1muErVpI73WHXbEwJDIA7Q/edit#gid=1493122344"",""MTR!C:O""),8,false)"),"Complies")</f>
        <v>Complies</v>
      </c>
      <c r="O1220" s="241" t="str">
        <f>IFERROR(__xludf.DUMMYFUNCTION("VLOOKUP(C1220,IMPORTRANGE(""https://docs.google.com/spreadsheets/d/1P8eX0NWBhUPS_hvzA11R6jkTNFrPrRYIx_dX_hYbxrk/edit?resourcekey=0-iw9bsKY2OqkUHCFMkCar3A&amp;gid=2055363397#gid=2055363397"",""MTR!C:O""),9,false)"),"")</f>
        <v/>
      </c>
      <c r="P1220" s="241"/>
      <c r="Q1220" s="251" t="s">
        <v>445</v>
      </c>
      <c r="R1220" s="241"/>
      <c r="S1220" s="154" t="s">
        <v>60</v>
      </c>
      <c r="T1220" s="154" t="s">
        <v>60</v>
      </c>
      <c r="U1220" s="154" t="s">
        <v>60</v>
      </c>
      <c r="V1220" s="154" t="s">
        <v>60</v>
      </c>
      <c r="W1220" s="154" t="s">
        <v>60</v>
      </c>
      <c r="X1220" s="154" t="s">
        <v>60</v>
      </c>
      <c r="Y1220" s="154" t="s">
        <v>60</v>
      </c>
      <c r="Z1220" s="154" t="s">
        <v>60</v>
      </c>
      <c r="AA1220" s="154" t="s">
        <v>60</v>
      </c>
      <c r="AB1220" s="154"/>
      <c r="AC1220" s="242" t="b">
        <f t="shared" si="2"/>
        <v>1</v>
      </c>
      <c r="AD1220" s="154" t="s">
        <v>391</v>
      </c>
      <c r="AE1220" s="243" t="b">
        <f t="shared" si="3"/>
        <v>0</v>
      </c>
      <c r="AF1220" s="154"/>
      <c r="AG1220" s="243" t="b">
        <f t="shared" si="7"/>
        <v>0</v>
      </c>
      <c r="AH1220" s="154"/>
      <c r="AI1220" s="243" t="str">
        <f t="shared" si="5"/>
        <v>N/A</v>
      </c>
      <c r="AJ1220" s="157" t="str">
        <f t="shared" si="6"/>
        <v/>
      </c>
    </row>
    <row r="1221" ht="12.75" customHeight="1">
      <c r="A1221" s="244" t="s">
        <v>2412</v>
      </c>
      <c r="B1221" s="244" t="s">
        <v>3102</v>
      </c>
      <c r="C1221" s="244" t="s">
        <v>3306</v>
      </c>
      <c r="D1221" s="154" t="s">
        <v>2746</v>
      </c>
      <c r="E1221" s="250"/>
      <c r="F1221" s="154" t="str">
        <f t="array" ref="F1221">XLOOKUP(Cover!$D$12,$S$1:$AA$1,$S1221:$AA1221)</f>
        <v>Mandatory</v>
      </c>
      <c r="G1221" s="154" t="s">
        <v>3307</v>
      </c>
      <c r="H1221" s="154" t="s">
        <v>398</v>
      </c>
      <c r="I1221" s="154" t="s">
        <v>389</v>
      </c>
      <c r="J1221" s="247" t="s">
        <v>445</v>
      </c>
      <c r="K1221" s="154"/>
      <c r="L1221" s="154" t="str">
        <f t="shared" si="1"/>
        <v/>
      </c>
      <c r="M1221" s="248" t="str">
        <f>IFERROR(__xludf.DUMMYFUNCTION("VLOOKUP(C1221,IMPORTRANGE(""https://docs.google.com/spreadsheets/d/1P8eX0NWBhUPS_hvzA11R6jkTNFrPrRYIx_dX_hYbxrk/edit?resourcekey=0-iw9bsKY2OqkUHCFMkCar3A&amp;gid=2055363397#gid=2055363397"",""MTR!C:O""),11,false)"),"PMW-MCE-NAS")</f>
        <v>PMW-MCE-NAS</v>
      </c>
      <c r="N1221" s="248" t="str">
        <f>IFERROR(__xludf.DUMMYFUNCTION("VLOOKUP(C1221,IMPORTRANGE(""https://docs.google.com/spreadsheets/d/1ihFlp3_ePlYtFuPbUNbYj1muErVpI73WHXbEwJDIA7Q/edit#gid=1493122344"",""MTR!C:O""),8,false)"),"Complies")</f>
        <v>Complies</v>
      </c>
      <c r="O1221" s="241" t="str">
        <f>IFERROR(__xludf.DUMMYFUNCTION("VLOOKUP(C1221,IMPORTRANGE(""https://docs.google.com/spreadsheets/d/1P8eX0NWBhUPS_hvzA11R6jkTNFrPrRYIx_dX_hYbxrk/edit?resourcekey=0-iw9bsKY2OqkUHCFMkCar3A&amp;gid=2055363397#gid=2055363397"",""MTR!C:O""),9,false)"),"")</f>
        <v/>
      </c>
      <c r="P1221" s="241"/>
      <c r="Q1221" s="251" t="s">
        <v>445</v>
      </c>
      <c r="R1221" s="241"/>
      <c r="S1221" s="154" t="s">
        <v>60</v>
      </c>
      <c r="T1221" s="154" t="s">
        <v>60</v>
      </c>
      <c r="U1221" s="154" t="s">
        <v>60</v>
      </c>
      <c r="V1221" s="154" t="s">
        <v>60</v>
      </c>
      <c r="W1221" s="154" t="s">
        <v>60</v>
      </c>
      <c r="X1221" s="154" t="s">
        <v>60</v>
      </c>
      <c r="Y1221" s="154" t="s">
        <v>60</v>
      </c>
      <c r="Z1221" s="154" t="s">
        <v>60</v>
      </c>
      <c r="AA1221" s="154" t="s">
        <v>60</v>
      </c>
      <c r="AB1221" s="154"/>
      <c r="AC1221" s="242" t="b">
        <f t="shared" si="2"/>
        <v>1</v>
      </c>
      <c r="AD1221" s="154" t="s">
        <v>391</v>
      </c>
      <c r="AE1221" s="243" t="b">
        <f t="shared" si="3"/>
        <v>0</v>
      </c>
      <c r="AF1221" s="154"/>
      <c r="AG1221" s="243" t="b">
        <f t="shared" si="7"/>
        <v>0</v>
      </c>
      <c r="AH1221" s="154"/>
      <c r="AI1221" s="243" t="str">
        <f t="shared" si="5"/>
        <v>N/A</v>
      </c>
      <c r="AJ1221" s="157" t="str">
        <f t="shared" si="6"/>
        <v/>
      </c>
    </row>
    <row r="1222" ht="12.75" customHeight="1">
      <c r="A1222" s="244" t="s">
        <v>2412</v>
      </c>
      <c r="B1222" s="244" t="s">
        <v>3102</v>
      </c>
      <c r="C1222" s="244" t="s">
        <v>3308</v>
      </c>
      <c r="D1222" s="154" t="s">
        <v>2746</v>
      </c>
      <c r="E1222" s="250"/>
      <c r="F1222" s="154" t="str">
        <f t="array" ref="F1222">XLOOKUP(Cover!$D$12,$S$1:$AA$1,$S1222:$AA1222)</f>
        <v>Mandatory</v>
      </c>
      <c r="G1222" s="154" t="s">
        <v>3309</v>
      </c>
      <c r="H1222" s="154" t="s">
        <v>398</v>
      </c>
      <c r="I1222" s="154" t="s">
        <v>389</v>
      </c>
      <c r="J1222" s="247" t="s">
        <v>445</v>
      </c>
      <c r="K1222" s="154"/>
      <c r="L1222" s="154" t="str">
        <f t="shared" si="1"/>
        <v/>
      </c>
      <c r="M1222" s="248" t="str">
        <f>IFERROR(__xludf.DUMMYFUNCTION("VLOOKUP(C1222,IMPORTRANGE(""https://docs.google.com/spreadsheets/d/1P8eX0NWBhUPS_hvzA11R6jkTNFrPrRYIx_dX_hYbxrk/edit?resourcekey=0-iw9bsKY2OqkUHCFMkCar3A&amp;gid=2055363397#gid=2055363397"",""MTR!C:O""),11,false)"),"PMW-MCE-NAS")</f>
        <v>PMW-MCE-NAS</v>
      </c>
      <c r="N1222" s="248" t="str">
        <f>IFERROR(__xludf.DUMMYFUNCTION("VLOOKUP(C1222,IMPORTRANGE(""https://docs.google.com/spreadsheets/d/1ihFlp3_ePlYtFuPbUNbYj1muErVpI73WHXbEwJDIA7Q/edit#gid=1493122344"",""MTR!C:O""),8,false)"),"Complies")</f>
        <v>Complies</v>
      </c>
      <c r="O1222" s="241" t="str">
        <f>IFERROR(__xludf.DUMMYFUNCTION("VLOOKUP(C1222,IMPORTRANGE(""https://docs.google.com/spreadsheets/d/1P8eX0NWBhUPS_hvzA11R6jkTNFrPrRYIx_dX_hYbxrk/edit?resourcekey=0-iw9bsKY2OqkUHCFMkCar3A&amp;gid=2055363397#gid=2055363397"",""MTR!C:O""),9,false)"),"")</f>
        <v/>
      </c>
      <c r="P1222" s="241"/>
      <c r="Q1222" s="251" t="s">
        <v>445</v>
      </c>
      <c r="R1222" s="241"/>
      <c r="S1222" s="154" t="s">
        <v>60</v>
      </c>
      <c r="T1222" s="154" t="s">
        <v>60</v>
      </c>
      <c r="U1222" s="154" t="s">
        <v>60</v>
      </c>
      <c r="V1222" s="154" t="s">
        <v>60</v>
      </c>
      <c r="W1222" s="154" t="s">
        <v>60</v>
      </c>
      <c r="X1222" s="154" t="s">
        <v>60</v>
      </c>
      <c r="Y1222" s="154" t="s">
        <v>60</v>
      </c>
      <c r="Z1222" s="154" t="s">
        <v>60</v>
      </c>
      <c r="AA1222" s="154" t="s">
        <v>60</v>
      </c>
      <c r="AB1222" s="154"/>
      <c r="AC1222" s="242" t="b">
        <f t="shared" si="2"/>
        <v>1</v>
      </c>
      <c r="AD1222" s="154" t="s">
        <v>391</v>
      </c>
      <c r="AE1222" s="243" t="b">
        <f t="shared" si="3"/>
        <v>0</v>
      </c>
      <c r="AF1222" s="154"/>
      <c r="AG1222" s="243" t="b">
        <f t="shared" si="7"/>
        <v>0</v>
      </c>
      <c r="AH1222" s="154"/>
      <c r="AI1222" s="243" t="str">
        <f t="shared" si="5"/>
        <v>N/A</v>
      </c>
      <c r="AJ1222" s="157" t="str">
        <f t="shared" si="6"/>
        <v/>
      </c>
    </row>
    <row r="1223" ht="12.75" customHeight="1">
      <c r="A1223" s="244" t="s">
        <v>2412</v>
      </c>
      <c r="B1223" s="244" t="s">
        <v>3102</v>
      </c>
      <c r="C1223" s="244" t="s">
        <v>3310</v>
      </c>
      <c r="D1223" s="154" t="s">
        <v>2746</v>
      </c>
      <c r="E1223" s="250"/>
      <c r="F1223" s="154" t="str">
        <f t="array" ref="F1223">XLOOKUP(Cover!$D$12,$S$1:$AA$1,$S1223:$AA1223)</f>
        <v>Mandatory</v>
      </c>
      <c r="G1223" s="154" t="s">
        <v>3311</v>
      </c>
      <c r="H1223" s="154" t="s">
        <v>398</v>
      </c>
      <c r="I1223" s="154" t="s">
        <v>389</v>
      </c>
      <c r="J1223" s="247" t="s">
        <v>445</v>
      </c>
      <c r="K1223" s="154"/>
      <c r="L1223" s="154" t="str">
        <f t="shared" si="1"/>
        <v/>
      </c>
      <c r="M1223" s="248" t="str">
        <f>IFERROR(__xludf.DUMMYFUNCTION("VLOOKUP(C1223,IMPORTRANGE(""https://docs.google.com/spreadsheets/d/1P8eX0NWBhUPS_hvzA11R6jkTNFrPrRYIx_dX_hYbxrk/edit?resourcekey=0-iw9bsKY2OqkUHCFMkCar3A&amp;gid=2055363397#gid=2055363397"",""MTR!C:O""),11,false)"),"PMW-MCE-NAS")</f>
        <v>PMW-MCE-NAS</v>
      </c>
      <c r="N1223" s="248" t="str">
        <f>IFERROR(__xludf.DUMMYFUNCTION("VLOOKUP(C1223,IMPORTRANGE(""https://docs.google.com/spreadsheets/d/1ihFlp3_ePlYtFuPbUNbYj1muErVpI73WHXbEwJDIA7Q/edit#gid=1493122344"",""MTR!C:O""),8,false)"),"Complies")</f>
        <v>Complies</v>
      </c>
      <c r="O1223" s="241" t="str">
        <f>IFERROR(__xludf.DUMMYFUNCTION("VLOOKUP(C1223,IMPORTRANGE(""https://docs.google.com/spreadsheets/d/1P8eX0NWBhUPS_hvzA11R6jkTNFrPrRYIx_dX_hYbxrk/edit?resourcekey=0-iw9bsKY2OqkUHCFMkCar3A&amp;gid=2055363397#gid=2055363397"",""MTR!C:O""),9,false)"),"")</f>
        <v/>
      </c>
      <c r="P1223" s="241"/>
      <c r="Q1223" s="251" t="s">
        <v>445</v>
      </c>
      <c r="R1223" s="241"/>
      <c r="S1223" s="154" t="s">
        <v>60</v>
      </c>
      <c r="T1223" s="154" t="s">
        <v>60</v>
      </c>
      <c r="U1223" s="154" t="s">
        <v>60</v>
      </c>
      <c r="V1223" s="154" t="s">
        <v>60</v>
      </c>
      <c r="W1223" s="154" t="s">
        <v>60</v>
      </c>
      <c r="X1223" s="154" t="s">
        <v>60</v>
      </c>
      <c r="Y1223" s="154" t="s">
        <v>60</v>
      </c>
      <c r="Z1223" s="154" t="s">
        <v>60</v>
      </c>
      <c r="AA1223" s="154" t="s">
        <v>60</v>
      </c>
      <c r="AB1223" s="154"/>
      <c r="AC1223" s="242" t="b">
        <f t="shared" si="2"/>
        <v>1</v>
      </c>
      <c r="AD1223" s="154" t="s">
        <v>391</v>
      </c>
      <c r="AE1223" s="243" t="b">
        <f t="shared" si="3"/>
        <v>0</v>
      </c>
      <c r="AF1223" s="154"/>
      <c r="AG1223" s="243" t="b">
        <f t="shared" si="7"/>
        <v>0</v>
      </c>
      <c r="AH1223" s="154"/>
      <c r="AI1223" s="243" t="str">
        <f t="shared" si="5"/>
        <v>N/A</v>
      </c>
      <c r="AJ1223" s="157" t="str">
        <f t="shared" si="6"/>
        <v/>
      </c>
    </row>
    <row r="1224" ht="12.75" customHeight="1">
      <c r="A1224" s="244" t="s">
        <v>2412</v>
      </c>
      <c r="B1224" s="244" t="s">
        <v>3102</v>
      </c>
      <c r="C1224" s="244" t="s">
        <v>3312</v>
      </c>
      <c r="D1224" s="154" t="s">
        <v>2746</v>
      </c>
      <c r="E1224" s="250"/>
      <c r="F1224" s="154" t="str">
        <f t="array" ref="F1224">XLOOKUP(Cover!$D$12,$S$1:$AA$1,$S1224:$AA1224)</f>
        <v>Mandatory</v>
      </c>
      <c r="G1224" s="154" t="s">
        <v>3313</v>
      </c>
      <c r="H1224" s="154" t="s">
        <v>398</v>
      </c>
      <c r="I1224" s="154" t="s">
        <v>389</v>
      </c>
      <c r="J1224" s="247" t="s">
        <v>445</v>
      </c>
      <c r="K1224" s="154"/>
      <c r="L1224" s="154" t="str">
        <f t="shared" si="1"/>
        <v/>
      </c>
      <c r="M1224" s="248" t="str">
        <f>IFERROR(__xludf.DUMMYFUNCTION("VLOOKUP(C1224,IMPORTRANGE(""https://docs.google.com/spreadsheets/d/1P8eX0NWBhUPS_hvzA11R6jkTNFrPrRYIx_dX_hYbxrk/edit?resourcekey=0-iw9bsKY2OqkUHCFMkCar3A&amp;gid=2055363397#gid=2055363397"",""MTR!C:O""),11,false)"),"PMW-MCE-NAS")</f>
        <v>PMW-MCE-NAS</v>
      </c>
      <c r="N1224" s="248" t="str">
        <f>IFERROR(__xludf.DUMMYFUNCTION("VLOOKUP(C1224,IMPORTRANGE(""https://docs.google.com/spreadsheets/d/1ihFlp3_ePlYtFuPbUNbYj1muErVpI73WHXbEwJDIA7Q/edit#gid=1493122344"",""MTR!C:O""),8,false)"),"Complies")</f>
        <v>Complies</v>
      </c>
      <c r="O1224" s="241" t="str">
        <f>IFERROR(__xludf.DUMMYFUNCTION("VLOOKUP(C1224,IMPORTRANGE(""https://docs.google.com/spreadsheets/d/1P8eX0NWBhUPS_hvzA11R6jkTNFrPrRYIx_dX_hYbxrk/edit?resourcekey=0-iw9bsKY2OqkUHCFMkCar3A&amp;gid=2055363397#gid=2055363397"",""MTR!C:O""),9,false)"),"")</f>
        <v/>
      </c>
      <c r="P1224" s="241"/>
      <c r="Q1224" s="251" t="s">
        <v>445</v>
      </c>
      <c r="R1224" s="241"/>
      <c r="S1224" s="154" t="s">
        <v>60</v>
      </c>
      <c r="T1224" s="154" t="s">
        <v>60</v>
      </c>
      <c r="U1224" s="154" t="s">
        <v>60</v>
      </c>
      <c r="V1224" s="154" t="s">
        <v>60</v>
      </c>
      <c r="W1224" s="154" t="s">
        <v>60</v>
      </c>
      <c r="X1224" s="154" t="s">
        <v>60</v>
      </c>
      <c r="Y1224" s="154" t="s">
        <v>60</v>
      </c>
      <c r="Z1224" s="154" t="s">
        <v>60</v>
      </c>
      <c r="AA1224" s="154" t="s">
        <v>60</v>
      </c>
      <c r="AB1224" s="154"/>
      <c r="AC1224" s="242" t="b">
        <f t="shared" si="2"/>
        <v>1</v>
      </c>
      <c r="AD1224" s="154" t="s">
        <v>391</v>
      </c>
      <c r="AE1224" s="243" t="b">
        <f t="shared" si="3"/>
        <v>0</v>
      </c>
      <c r="AF1224" s="154"/>
      <c r="AG1224" s="243" t="b">
        <f t="shared" si="7"/>
        <v>0</v>
      </c>
      <c r="AH1224" s="154"/>
      <c r="AI1224" s="243" t="str">
        <f t="shared" si="5"/>
        <v>N/A</v>
      </c>
      <c r="AJ1224" s="157" t="str">
        <f t="shared" si="6"/>
        <v/>
      </c>
    </row>
    <row r="1225" ht="12.75" customHeight="1">
      <c r="A1225" s="244" t="s">
        <v>2412</v>
      </c>
      <c r="B1225" s="244" t="s">
        <v>3102</v>
      </c>
      <c r="C1225" s="244" t="s">
        <v>3314</v>
      </c>
      <c r="D1225" s="154" t="s">
        <v>2746</v>
      </c>
      <c r="E1225" s="250"/>
      <c r="F1225" s="154" t="str">
        <f t="array" ref="F1225">XLOOKUP(Cover!$D$12,$S$1:$AA$1,$S1225:$AA1225)</f>
        <v>Mandatory</v>
      </c>
      <c r="G1225" s="154" t="s">
        <v>3315</v>
      </c>
      <c r="H1225" s="154" t="s">
        <v>398</v>
      </c>
      <c r="I1225" s="154" t="s">
        <v>389</v>
      </c>
      <c r="J1225" s="247" t="s">
        <v>445</v>
      </c>
      <c r="K1225" s="154"/>
      <c r="L1225" s="154" t="str">
        <f t="shared" si="1"/>
        <v/>
      </c>
      <c r="M1225" s="248" t="str">
        <f>IFERROR(__xludf.DUMMYFUNCTION("VLOOKUP(C1225,IMPORTRANGE(""https://docs.google.com/spreadsheets/d/1P8eX0NWBhUPS_hvzA11R6jkTNFrPrRYIx_dX_hYbxrk/edit?resourcekey=0-iw9bsKY2OqkUHCFMkCar3A&amp;gid=2055363397#gid=2055363397"",""MTR!C:O""),11,false)"),"PMW-MCE-NAS")</f>
        <v>PMW-MCE-NAS</v>
      </c>
      <c r="N1225" s="248" t="str">
        <f>IFERROR(__xludf.DUMMYFUNCTION("VLOOKUP(C1225,IMPORTRANGE(""https://docs.google.com/spreadsheets/d/1ihFlp3_ePlYtFuPbUNbYj1muErVpI73WHXbEwJDIA7Q/edit#gid=1493122344"",""MTR!C:O""),8,false)"),"Complies")</f>
        <v>Complies</v>
      </c>
      <c r="O1225" s="241" t="str">
        <f>IFERROR(__xludf.DUMMYFUNCTION("VLOOKUP(C1225,IMPORTRANGE(""https://docs.google.com/spreadsheets/d/1P8eX0NWBhUPS_hvzA11R6jkTNFrPrRYIx_dX_hYbxrk/edit?resourcekey=0-iw9bsKY2OqkUHCFMkCar3A&amp;gid=2055363397#gid=2055363397"",""MTR!C:O""),9,false)"),"")</f>
        <v/>
      </c>
      <c r="P1225" s="241"/>
      <c r="Q1225" s="251" t="s">
        <v>445</v>
      </c>
      <c r="R1225" s="241"/>
      <c r="S1225" s="154" t="s">
        <v>60</v>
      </c>
      <c r="T1225" s="154" t="s">
        <v>60</v>
      </c>
      <c r="U1225" s="154" t="s">
        <v>60</v>
      </c>
      <c r="V1225" s="154" t="s">
        <v>60</v>
      </c>
      <c r="W1225" s="154" t="s">
        <v>60</v>
      </c>
      <c r="X1225" s="154" t="s">
        <v>60</v>
      </c>
      <c r="Y1225" s="154" t="s">
        <v>60</v>
      </c>
      <c r="Z1225" s="154" t="s">
        <v>60</v>
      </c>
      <c r="AA1225" s="154" t="s">
        <v>60</v>
      </c>
      <c r="AB1225" s="154"/>
      <c r="AC1225" s="242" t="b">
        <f t="shared" si="2"/>
        <v>1</v>
      </c>
      <c r="AD1225" s="154" t="s">
        <v>391</v>
      </c>
      <c r="AE1225" s="243" t="b">
        <f t="shared" si="3"/>
        <v>0</v>
      </c>
      <c r="AF1225" s="154"/>
      <c r="AG1225" s="243" t="b">
        <f t="shared" si="7"/>
        <v>0</v>
      </c>
      <c r="AH1225" s="154"/>
      <c r="AI1225" s="243" t="str">
        <f t="shared" si="5"/>
        <v>N/A</v>
      </c>
      <c r="AJ1225" s="157" t="str">
        <f t="shared" si="6"/>
        <v/>
      </c>
    </row>
    <row r="1226" ht="12.75" customHeight="1">
      <c r="A1226" s="244" t="s">
        <v>2412</v>
      </c>
      <c r="B1226" s="244" t="s">
        <v>3102</v>
      </c>
      <c r="C1226" s="244" t="s">
        <v>3316</v>
      </c>
      <c r="D1226" s="154" t="s">
        <v>2746</v>
      </c>
      <c r="E1226" s="250"/>
      <c r="F1226" s="154" t="str">
        <f t="array" ref="F1226">XLOOKUP(Cover!$D$12,$S$1:$AA$1,$S1226:$AA1226)</f>
        <v>Mandatory</v>
      </c>
      <c r="G1226" s="154" t="s">
        <v>3317</v>
      </c>
      <c r="H1226" s="154" t="s">
        <v>398</v>
      </c>
      <c r="I1226" s="154" t="s">
        <v>389</v>
      </c>
      <c r="J1226" s="247" t="s">
        <v>445</v>
      </c>
      <c r="K1226" s="154"/>
      <c r="L1226" s="154" t="str">
        <f t="shared" si="1"/>
        <v/>
      </c>
      <c r="M1226" s="248" t="str">
        <f>IFERROR(__xludf.DUMMYFUNCTION("VLOOKUP(C1226,IMPORTRANGE(""https://docs.google.com/spreadsheets/d/1P8eX0NWBhUPS_hvzA11R6jkTNFrPrRYIx_dX_hYbxrk/edit?resourcekey=0-iw9bsKY2OqkUHCFMkCar3A&amp;gid=2055363397#gid=2055363397"",""MTR!C:O""),11,false)"),"PMW-MCE-NAS")</f>
        <v>PMW-MCE-NAS</v>
      </c>
      <c r="N1226" s="248" t="str">
        <f>IFERROR(__xludf.DUMMYFUNCTION("VLOOKUP(C1226,IMPORTRANGE(""https://docs.google.com/spreadsheets/d/1ihFlp3_ePlYtFuPbUNbYj1muErVpI73WHXbEwJDIA7Q/edit#gid=1493122344"",""MTR!C:O""),8,false)"),"Complies")</f>
        <v>Complies</v>
      </c>
      <c r="O1226" s="241" t="str">
        <f>IFERROR(__xludf.DUMMYFUNCTION("VLOOKUP(C1226,IMPORTRANGE(""https://docs.google.com/spreadsheets/d/1P8eX0NWBhUPS_hvzA11R6jkTNFrPrRYIx_dX_hYbxrk/edit?resourcekey=0-iw9bsKY2OqkUHCFMkCar3A&amp;gid=2055363397#gid=2055363397"",""MTR!C:O""),9,false)"),"")</f>
        <v/>
      </c>
      <c r="P1226" s="241"/>
      <c r="Q1226" s="251" t="s">
        <v>445</v>
      </c>
      <c r="R1226" s="241"/>
      <c r="S1226" s="154" t="s">
        <v>60</v>
      </c>
      <c r="T1226" s="154" t="s">
        <v>60</v>
      </c>
      <c r="U1226" s="154" t="s">
        <v>60</v>
      </c>
      <c r="V1226" s="154" t="s">
        <v>60</v>
      </c>
      <c r="W1226" s="154" t="s">
        <v>60</v>
      </c>
      <c r="X1226" s="154" t="s">
        <v>60</v>
      </c>
      <c r="Y1226" s="154" t="s">
        <v>60</v>
      </c>
      <c r="Z1226" s="154" t="s">
        <v>60</v>
      </c>
      <c r="AA1226" s="154" t="s">
        <v>60</v>
      </c>
      <c r="AB1226" s="154"/>
      <c r="AC1226" s="242" t="b">
        <f t="shared" si="2"/>
        <v>1</v>
      </c>
      <c r="AD1226" s="154" t="s">
        <v>391</v>
      </c>
      <c r="AE1226" s="243" t="b">
        <f t="shared" si="3"/>
        <v>0</v>
      </c>
      <c r="AF1226" s="154"/>
      <c r="AG1226" s="243" t="b">
        <f t="shared" si="7"/>
        <v>0</v>
      </c>
      <c r="AH1226" s="154"/>
      <c r="AI1226" s="243" t="str">
        <f t="shared" si="5"/>
        <v>N/A</v>
      </c>
      <c r="AJ1226" s="157" t="str">
        <f t="shared" si="6"/>
        <v/>
      </c>
    </row>
    <row r="1227" ht="12.75" customHeight="1">
      <c r="A1227" s="244" t="s">
        <v>2412</v>
      </c>
      <c r="B1227" s="244" t="s">
        <v>3102</v>
      </c>
      <c r="C1227" s="244" t="s">
        <v>3318</v>
      </c>
      <c r="D1227" s="154" t="s">
        <v>2326</v>
      </c>
      <c r="E1227" s="250"/>
      <c r="F1227" s="154" t="str">
        <f t="array" ref="F1227">XLOOKUP(Cover!$D$12,$S$1:$AA$1,$S1227:$AA1227)</f>
        <v>Mandatory</v>
      </c>
      <c r="G1227" s="154" t="s">
        <v>3319</v>
      </c>
      <c r="H1227" s="154" t="s">
        <v>398</v>
      </c>
      <c r="I1227" s="154" t="s">
        <v>389</v>
      </c>
      <c r="J1227" s="247" t="s">
        <v>445</v>
      </c>
      <c r="K1227" s="154"/>
      <c r="L1227" s="154" t="str">
        <f t="shared" si="1"/>
        <v/>
      </c>
      <c r="M1227" s="248" t="str">
        <f>IFERROR(__xludf.DUMMYFUNCTION("VLOOKUP(C1227,IMPORTRANGE(""https://docs.google.com/spreadsheets/d/1P8eX0NWBhUPS_hvzA11R6jkTNFrPrRYIx_dX_hYbxrk/edit?resourcekey=0-iw9bsKY2OqkUHCFMkCar3A&amp;gid=2055363397#gid=2055363397"",""MTR!C:O""),11,false)"),"PMW-MCE-NAS")</f>
        <v>PMW-MCE-NAS</v>
      </c>
      <c r="N1227" s="248" t="str">
        <f>IFERROR(__xludf.DUMMYFUNCTION("VLOOKUP(C1227,IMPORTRANGE(""https://docs.google.com/spreadsheets/d/1ihFlp3_ePlYtFuPbUNbYj1muErVpI73WHXbEwJDIA7Q/edit#gid=1493122344"",""MTR!C:O""),8,false)"),"Complies")</f>
        <v>Complies</v>
      </c>
      <c r="O1227" s="241" t="str">
        <f>IFERROR(__xludf.DUMMYFUNCTION("VLOOKUP(C1227,IMPORTRANGE(""https://docs.google.com/spreadsheets/d/1P8eX0NWBhUPS_hvzA11R6jkTNFrPrRYIx_dX_hYbxrk/edit?resourcekey=0-iw9bsKY2OqkUHCFMkCar3A&amp;gid=2055363397#gid=2055363397"",""MTR!C:O""),9,false)"),"")</f>
        <v/>
      </c>
      <c r="P1227" s="241"/>
      <c r="Q1227" s="251" t="s">
        <v>445</v>
      </c>
      <c r="R1227" s="241"/>
      <c r="S1227" s="154" t="s">
        <v>60</v>
      </c>
      <c r="T1227" s="154" t="s">
        <v>60</v>
      </c>
      <c r="U1227" s="154" t="s">
        <v>60</v>
      </c>
      <c r="V1227" s="154" t="s">
        <v>60</v>
      </c>
      <c r="W1227" s="154" t="s">
        <v>60</v>
      </c>
      <c r="X1227" s="154" t="s">
        <v>60</v>
      </c>
      <c r="Y1227" s="154" t="s">
        <v>60</v>
      </c>
      <c r="Z1227" s="154" t="s">
        <v>60</v>
      </c>
      <c r="AA1227" s="154" t="s">
        <v>60</v>
      </c>
      <c r="AB1227" s="154"/>
      <c r="AC1227" s="242" t="b">
        <f t="shared" si="2"/>
        <v>1</v>
      </c>
      <c r="AD1227" s="154" t="s">
        <v>391</v>
      </c>
      <c r="AE1227" s="243" t="b">
        <f t="shared" si="3"/>
        <v>0</v>
      </c>
      <c r="AF1227" s="154"/>
      <c r="AG1227" s="243" t="b">
        <f t="shared" si="7"/>
        <v>0</v>
      </c>
      <c r="AH1227" s="154"/>
      <c r="AI1227" s="243" t="str">
        <f t="shared" si="5"/>
        <v>N/A</v>
      </c>
      <c r="AJ1227" s="157" t="str">
        <f t="shared" si="6"/>
        <v/>
      </c>
    </row>
    <row r="1228" ht="12.75" customHeight="1">
      <c r="A1228" s="244" t="s">
        <v>2412</v>
      </c>
      <c r="B1228" s="244" t="s">
        <v>3102</v>
      </c>
      <c r="C1228" s="244" t="s">
        <v>3320</v>
      </c>
      <c r="D1228" s="154" t="s">
        <v>2326</v>
      </c>
      <c r="E1228" s="250"/>
      <c r="F1228" s="154" t="str">
        <f t="array" ref="F1228">XLOOKUP(Cover!$D$12,$S$1:$AA$1,$S1228:$AA1228)</f>
        <v>Mandatory</v>
      </c>
      <c r="G1228" s="154" t="s">
        <v>3321</v>
      </c>
      <c r="H1228" s="154" t="s">
        <v>398</v>
      </c>
      <c r="I1228" s="154" t="s">
        <v>389</v>
      </c>
      <c r="J1228" s="247" t="s">
        <v>445</v>
      </c>
      <c r="K1228" s="154"/>
      <c r="L1228" s="154" t="str">
        <f t="shared" si="1"/>
        <v/>
      </c>
      <c r="M1228" s="248" t="str">
        <f>IFERROR(__xludf.DUMMYFUNCTION("VLOOKUP(C1228,IMPORTRANGE(""https://docs.google.com/spreadsheets/d/1P8eX0NWBhUPS_hvzA11R6jkTNFrPrRYIx_dX_hYbxrk/edit?resourcekey=0-iw9bsKY2OqkUHCFMkCar3A&amp;gid=2055363397#gid=2055363397"",""MTR!C:O""),11,false)"),"PMW-MCE-NAS")</f>
        <v>PMW-MCE-NAS</v>
      </c>
      <c r="N1228" s="248" t="str">
        <f>IFERROR(__xludf.DUMMYFUNCTION("VLOOKUP(C1228,IMPORTRANGE(""https://docs.google.com/spreadsheets/d/1ihFlp3_ePlYtFuPbUNbYj1muErVpI73WHXbEwJDIA7Q/edit#gid=1493122344"",""MTR!C:O""),8,false)"),"Complies")</f>
        <v>Complies</v>
      </c>
      <c r="O1228" s="241" t="str">
        <f>IFERROR(__xludf.DUMMYFUNCTION("VLOOKUP(C1228,IMPORTRANGE(""https://docs.google.com/spreadsheets/d/1P8eX0NWBhUPS_hvzA11R6jkTNFrPrRYIx_dX_hYbxrk/edit?resourcekey=0-iw9bsKY2OqkUHCFMkCar3A&amp;gid=2055363397#gid=2055363397"",""MTR!C:O""),9,false)"),"")</f>
        <v/>
      </c>
      <c r="P1228" s="241"/>
      <c r="Q1228" s="251" t="s">
        <v>445</v>
      </c>
      <c r="R1228" s="241"/>
      <c r="S1228" s="154" t="s">
        <v>60</v>
      </c>
      <c r="T1228" s="154" t="s">
        <v>60</v>
      </c>
      <c r="U1228" s="154" t="s">
        <v>60</v>
      </c>
      <c r="V1228" s="154" t="s">
        <v>60</v>
      </c>
      <c r="W1228" s="154" t="s">
        <v>60</v>
      </c>
      <c r="X1228" s="154" t="s">
        <v>60</v>
      </c>
      <c r="Y1228" s="154" t="s">
        <v>60</v>
      </c>
      <c r="Z1228" s="154" t="s">
        <v>60</v>
      </c>
      <c r="AA1228" s="154" t="s">
        <v>60</v>
      </c>
      <c r="AB1228" s="154"/>
      <c r="AC1228" s="242" t="b">
        <f t="shared" si="2"/>
        <v>1</v>
      </c>
      <c r="AD1228" s="154" t="s">
        <v>391</v>
      </c>
      <c r="AE1228" s="243" t="b">
        <f t="shared" si="3"/>
        <v>0</v>
      </c>
      <c r="AF1228" s="154"/>
      <c r="AG1228" s="243" t="b">
        <f t="shared" si="7"/>
        <v>0</v>
      </c>
      <c r="AH1228" s="154"/>
      <c r="AI1228" s="243" t="str">
        <f t="shared" si="5"/>
        <v>N/A</v>
      </c>
      <c r="AJ1228" s="157" t="str">
        <f t="shared" si="6"/>
        <v/>
      </c>
    </row>
    <row r="1229" ht="12.75" customHeight="1">
      <c r="A1229" s="244" t="s">
        <v>2412</v>
      </c>
      <c r="B1229" s="244" t="s">
        <v>3102</v>
      </c>
      <c r="C1229" s="244" t="s">
        <v>3322</v>
      </c>
      <c r="D1229" s="154" t="s">
        <v>2746</v>
      </c>
      <c r="E1229" s="250"/>
      <c r="F1229" s="154" t="str">
        <f t="array" ref="F1229">XLOOKUP(Cover!$D$12,$S$1:$AA$1,$S1229:$AA1229)</f>
        <v>Mandatory</v>
      </c>
      <c r="G1229" s="154" t="s">
        <v>3323</v>
      </c>
      <c r="H1229" s="154" t="s">
        <v>398</v>
      </c>
      <c r="I1229" s="154" t="s">
        <v>389</v>
      </c>
      <c r="J1229" s="247" t="s">
        <v>445</v>
      </c>
      <c r="K1229" s="154"/>
      <c r="L1229" s="154" t="str">
        <f t="shared" si="1"/>
        <v/>
      </c>
      <c r="M1229" s="248" t="str">
        <f>IFERROR(__xludf.DUMMYFUNCTION("VLOOKUP(C1229,IMPORTRANGE(""https://docs.google.com/spreadsheets/d/1P8eX0NWBhUPS_hvzA11R6jkTNFrPrRYIx_dX_hYbxrk/edit?resourcekey=0-iw9bsKY2OqkUHCFMkCar3A&amp;gid=2055363397#gid=2055363397"",""MTR!C:O""),11,false)"),"PMW-MCE-NAS")</f>
        <v>PMW-MCE-NAS</v>
      </c>
      <c r="N1229" s="248" t="str">
        <f>IFERROR(__xludf.DUMMYFUNCTION("VLOOKUP(C1229,IMPORTRANGE(""https://docs.google.com/spreadsheets/d/1ihFlp3_ePlYtFuPbUNbYj1muErVpI73WHXbEwJDIA7Q/edit#gid=1493122344"",""MTR!C:O""),8,false)"),"Complies")</f>
        <v>Complies</v>
      </c>
      <c r="O1229" s="241" t="str">
        <f>IFERROR(__xludf.DUMMYFUNCTION("VLOOKUP(C1229,IMPORTRANGE(""https://docs.google.com/spreadsheets/d/1P8eX0NWBhUPS_hvzA11R6jkTNFrPrRYIx_dX_hYbxrk/edit?resourcekey=0-iw9bsKY2OqkUHCFMkCar3A&amp;gid=2055363397#gid=2055363397"",""MTR!C:O""),9,false)"),"")</f>
        <v/>
      </c>
      <c r="P1229" s="241"/>
      <c r="Q1229" s="251" t="s">
        <v>445</v>
      </c>
      <c r="R1229" s="241"/>
      <c r="S1229" s="154" t="s">
        <v>60</v>
      </c>
      <c r="T1229" s="154" t="s">
        <v>60</v>
      </c>
      <c r="U1229" s="154" t="s">
        <v>60</v>
      </c>
      <c r="V1229" s="154" t="s">
        <v>60</v>
      </c>
      <c r="W1229" s="154" t="s">
        <v>60</v>
      </c>
      <c r="X1229" s="154" t="s">
        <v>60</v>
      </c>
      <c r="Y1229" s="154" t="s">
        <v>60</v>
      </c>
      <c r="Z1229" s="154" t="s">
        <v>60</v>
      </c>
      <c r="AA1229" s="154" t="s">
        <v>60</v>
      </c>
      <c r="AB1229" s="154"/>
      <c r="AC1229" s="242" t="b">
        <f t="shared" si="2"/>
        <v>1</v>
      </c>
      <c r="AD1229" s="154" t="s">
        <v>391</v>
      </c>
      <c r="AE1229" s="243" t="b">
        <f t="shared" si="3"/>
        <v>0</v>
      </c>
      <c r="AF1229" s="154"/>
      <c r="AG1229" s="243" t="b">
        <f t="shared" si="7"/>
        <v>0</v>
      </c>
      <c r="AH1229" s="154"/>
      <c r="AI1229" s="243" t="str">
        <f t="shared" si="5"/>
        <v>N/A</v>
      </c>
      <c r="AJ1229" s="157" t="str">
        <f t="shared" si="6"/>
        <v/>
      </c>
    </row>
    <row r="1230" ht="12.75" customHeight="1">
      <c r="A1230" s="244" t="s">
        <v>2412</v>
      </c>
      <c r="B1230" s="244" t="s">
        <v>3102</v>
      </c>
      <c r="C1230" s="244" t="s">
        <v>3324</v>
      </c>
      <c r="D1230" s="154" t="s">
        <v>2746</v>
      </c>
      <c r="E1230" s="250"/>
      <c r="F1230" s="154" t="str">
        <f t="array" ref="F1230">XLOOKUP(Cover!$D$12,$S$1:$AA$1,$S1230:$AA1230)</f>
        <v>Mandatory</v>
      </c>
      <c r="G1230" s="154" t="s">
        <v>3325</v>
      </c>
      <c r="H1230" s="154" t="s">
        <v>398</v>
      </c>
      <c r="I1230" s="154" t="s">
        <v>389</v>
      </c>
      <c r="J1230" s="247" t="s">
        <v>445</v>
      </c>
      <c r="K1230" s="154"/>
      <c r="L1230" s="154" t="str">
        <f t="shared" si="1"/>
        <v/>
      </c>
      <c r="M1230" s="248" t="str">
        <f>IFERROR(__xludf.DUMMYFUNCTION("VLOOKUP(C1230,IMPORTRANGE(""https://docs.google.com/spreadsheets/d/1P8eX0NWBhUPS_hvzA11R6jkTNFrPrRYIx_dX_hYbxrk/edit?resourcekey=0-iw9bsKY2OqkUHCFMkCar3A&amp;gid=2055363397#gid=2055363397"",""MTR!C:O""),11,false)"),"PMW-MCE-NAS")</f>
        <v>PMW-MCE-NAS</v>
      </c>
      <c r="N1230" s="248" t="str">
        <f>IFERROR(__xludf.DUMMYFUNCTION("VLOOKUP(C1230,IMPORTRANGE(""https://docs.google.com/spreadsheets/d/1ihFlp3_ePlYtFuPbUNbYj1muErVpI73WHXbEwJDIA7Q/edit#gid=1493122344"",""MTR!C:O""),8,false)"),"Complies")</f>
        <v>Complies</v>
      </c>
      <c r="O1230" s="241" t="str">
        <f>IFERROR(__xludf.DUMMYFUNCTION("VLOOKUP(C1230,IMPORTRANGE(""https://docs.google.com/spreadsheets/d/1P8eX0NWBhUPS_hvzA11R6jkTNFrPrRYIx_dX_hYbxrk/edit?resourcekey=0-iw9bsKY2OqkUHCFMkCar3A&amp;gid=2055363397#gid=2055363397"",""MTR!C:O""),9,false)"),"")</f>
        <v/>
      </c>
      <c r="P1230" s="241"/>
      <c r="Q1230" s="251" t="s">
        <v>445</v>
      </c>
      <c r="R1230" s="241"/>
      <c r="S1230" s="154" t="s">
        <v>60</v>
      </c>
      <c r="T1230" s="154" t="s">
        <v>60</v>
      </c>
      <c r="U1230" s="154" t="s">
        <v>60</v>
      </c>
      <c r="V1230" s="154" t="s">
        <v>60</v>
      </c>
      <c r="W1230" s="154" t="s">
        <v>60</v>
      </c>
      <c r="X1230" s="154" t="s">
        <v>60</v>
      </c>
      <c r="Y1230" s="154" t="s">
        <v>60</v>
      </c>
      <c r="Z1230" s="154" t="s">
        <v>60</v>
      </c>
      <c r="AA1230" s="154" t="s">
        <v>60</v>
      </c>
      <c r="AB1230" s="154"/>
      <c r="AC1230" s="242" t="b">
        <f t="shared" si="2"/>
        <v>1</v>
      </c>
      <c r="AD1230" s="154" t="s">
        <v>391</v>
      </c>
      <c r="AE1230" s="243" t="b">
        <f t="shared" si="3"/>
        <v>0</v>
      </c>
      <c r="AF1230" s="154"/>
      <c r="AG1230" s="243" t="b">
        <f t="shared" si="7"/>
        <v>0</v>
      </c>
      <c r="AH1230" s="154"/>
      <c r="AI1230" s="243" t="str">
        <f t="shared" si="5"/>
        <v>N/A</v>
      </c>
      <c r="AJ1230" s="157" t="str">
        <f t="shared" si="6"/>
        <v/>
      </c>
    </row>
    <row r="1231" ht="12.75" customHeight="1">
      <c r="A1231" s="238" t="s">
        <v>2412</v>
      </c>
      <c r="B1231" s="238" t="s">
        <v>3326</v>
      </c>
      <c r="C1231" s="238" t="s">
        <v>3327</v>
      </c>
      <c r="D1231" s="238"/>
      <c r="E1231" s="238"/>
      <c r="F1231" s="154" t="str">
        <f t="array" ref="F1231">XLOOKUP(Cover!$D$12,$S$1:$AA$1,$S1231:$AA1231)</f>
        <v>Heading</v>
      </c>
      <c r="G1231" s="239" t="s">
        <v>3328</v>
      </c>
      <c r="H1231" s="240"/>
      <c r="I1231" s="240" t="s">
        <v>479</v>
      </c>
      <c r="J1231" s="240"/>
      <c r="K1231" s="240"/>
      <c r="L1231" s="154" t="str">
        <f t="shared" si="1"/>
        <v/>
      </c>
      <c r="M1231" s="241" t="str">
        <f>IFERROR(__xludf.DUMMYFUNCTION("VLOOKUP(C1231,IMPORTRANGE(""https://docs.google.com/spreadsheets/d/1P8eX0NWBhUPS_hvzA11R6jkTNFrPrRYIx_dX_hYbxrk/edit?resourcekey=0-iw9bsKY2OqkUHCFMkCar3A&amp;gid=2055363397#gid=2055363397"",""MTR!C:O""),11,false)"),"")</f>
        <v/>
      </c>
      <c r="N1231" s="241" t="str">
        <f>IFERROR(__xludf.DUMMYFUNCTION("VLOOKUP(C1231,IMPORTRANGE(""https://docs.google.com/spreadsheets/d/1ihFlp3_ePlYtFuPbUNbYj1muErVpI73WHXbEwJDIA7Q/edit#gid=1493122344"",""MTR!C:O""),8,false)"),"")</f>
        <v/>
      </c>
      <c r="O1231" s="241" t="str">
        <f>IFERROR(__xludf.DUMMYFUNCTION("VLOOKUP(C1231,IMPORTRANGE(""https://docs.google.com/spreadsheets/d/1P8eX0NWBhUPS_hvzA11R6jkTNFrPrRYIx_dX_hYbxrk/edit?resourcekey=0-iw9bsKY2OqkUHCFMkCar3A&amp;gid=2055363397#gid=2055363397"",""MTR!C:O""),9,false)"),"")</f>
        <v/>
      </c>
      <c r="P1231" s="241"/>
      <c r="Q1231" s="251"/>
      <c r="R1231" s="241"/>
      <c r="S1231" s="240" t="s">
        <v>390</v>
      </c>
      <c r="T1231" s="240" t="s">
        <v>390</v>
      </c>
      <c r="U1231" s="240" t="s">
        <v>390</v>
      </c>
      <c r="V1231" s="240" t="s">
        <v>390</v>
      </c>
      <c r="W1231" s="240" t="s">
        <v>390</v>
      </c>
      <c r="X1231" s="240" t="s">
        <v>390</v>
      </c>
      <c r="Y1231" s="240" t="s">
        <v>390</v>
      </c>
      <c r="Z1231" s="240" t="s">
        <v>390</v>
      </c>
      <c r="AA1231" s="240" t="s">
        <v>390</v>
      </c>
      <c r="AB1231" s="240"/>
      <c r="AC1231" s="242" t="b">
        <f t="shared" si="2"/>
        <v>0</v>
      </c>
      <c r="AD1231" s="240" t="s">
        <v>391</v>
      </c>
      <c r="AE1231" s="243" t="b">
        <f t="shared" si="3"/>
        <v>0</v>
      </c>
      <c r="AF1231" s="240"/>
      <c r="AG1231" s="243" t="b">
        <f t="shared" si="7"/>
        <v>0</v>
      </c>
      <c r="AH1231" s="240"/>
      <c r="AI1231" s="243" t="str">
        <f t="shared" si="5"/>
        <v>N/A</v>
      </c>
      <c r="AJ1231" s="157" t="str">
        <f t="shared" si="6"/>
        <v/>
      </c>
    </row>
    <row r="1232" ht="12.75" customHeight="1">
      <c r="A1232" s="244" t="s">
        <v>2412</v>
      </c>
      <c r="B1232" s="244" t="s">
        <v>3326</v>
      </c>
      <c r="C1232" s="244" t="s">
        <v>3329</v>
      </c>
      <c r="D1232" s="244" t="s">
        <v>739</v>
      </c>
      <c r="E1232" s="244"/>
      <c r="F1232" s="154" t="str">
        <f t="array" ref="F1232">XLOOKUP(Cover!$D$12,$S$1:$AA$1,$S1232:$AA1232)</f>
        <v>Comment</v>
      </c>
      <c r="G1232" s="154" t="s">
        <v>3330</v>
      </c>
      <c r="H1232" s="154"/>
      <c r="I1232" s="154" t="s">
        <v>479</v>
      </c>
      <c r="J1232" s="154"/>
      <c r="K1232" s="154"/>
      <c r="L1232" s="154" t="str">
        <f t="shared" si="1"/>
        <v/>
      </c>
      <c r="M1232" s="241" t="str">
        <f>IFERROR(__xludf.DUMMYFUNCTION("VLOOKUP(C1232,IMPORTRANGE(""https://docs.google.com/spreadsheets/d/1P8eX0NWBhUPS_hvzA11R6jkTNFrPrRYIx_dX_hYbxrk/edit?resourcekey=0-iw9bsKY2OqkUHCFMkCar3A&amp;gid=2055363397#gid=2055363397"",""MTR!C:O""),11,false)"),"")</f>
        <v/>
      </c>
      <c r="N1232" s="241" t="str">
        <f>IFERROR(__xludf.DUMMYFUNCTION("VLOOKUP(C1232,IMPORTRANGE(""https://docs.google.com/spreadsheets/d/1ihFlp3_ePlYtFuPbUNbYj1muErVpI73WHXbEwJDIA7Q/edit#gid=1493122344"",""MTR!C:O""),8,false)"),"")</f>
        <v/>
      </c>
      <c r="O1232" s="241" t="str">
        <f>IFERROR(__xludf.DUMMYFUNCTION("VLOOKUP(C1232,IMPORTRANGE(""https://docs.google.com/spreadsheets/d/1P8eX0NWBhUPS_hvzA11R6jkTNFrPrRYIx_dX_hYbxrk/edit?resourcekey=0-iw9bsKY2OqkUHCFMkCar3A&amp;gid=2055363397#gid=2055363397"",""MTR!C:O""),9,false)"),"")</f>
        <v/>
      </c>
      <c r="P1232" s="241"/>
      <c r="Q1232" s="241"/>
      <c r="R1232" s="241"/>
      <c r="S1232" s="154" t="s">
        <v>35</v>
      </c>
      <c r="T1232" s="154" t="s">
        <v>35</v>
      </c>
      <c r="U1232" s="154" t="s">
        <v>35</v>
      </c>
      <c r="V1232" s="154" t="s">
        <v>35</v>
      </c>
      <c r="W1232" s="154" t="s">
        <v>35</v>
      </c>
      <c r="X1232" s="154" t="s">
        <v>35</v>
      </c>
      <c r="Y1232" s="154" t="s">
        <v>35</v>
      </c>
      <c r="Z1232" s="154" t="s">
        <v>35</v>
      </c>
      <c r="AA1232" s="154" t="s">
        <v>35</v>
      </c>
      <c r="AB1232" s="154"/>
      <c r="AC1232" s="242" t="b">
        <f t="shared" si="2"/>
        <v>0</v>
      </c>
      <c r="AD1232" s="154" t="s">
        <v>391</v>
      </c>
      <c r="AE1232" s="243" t="b">
        <f t="shared" si="3"/>
        <v>0</v>
      </c>
      <c r="AF1232" s="154"/>
      <c r="AG1232" s="243" t="b">
        <f t="shared" si="7"/>
        <v>0</v>
      </c>
      <c r="AH1232" s="154"/>
      <c r="AI1232" s="243" t="str">
        <f t="shared" si="5"/>
        <v>N/A</v>
      </c>
      <c r="AJ1232" s="157" t="str">
        <f t="shared" si="6"/>
        <v/>
      </c>
    </row>
    <row r="1233" ht="12.75" customHeight="1">
      <c r="A1233" s="238" t="s">
        <v>2412</v>
      </c>
      <c r="B1233" s="238" t="s">
        <v>3326</v>
      </c>
      <c r="C1233" s="238" t="s">
        <v>3331</v>
      </c>
      <c r="D1233" s="238"/>
      <c r="E1233" s="238"/>
      <c r="F1233" s="154" t="str">
        <f t="array" ref="F1233">XLOOKUP(Cover!$D$12,$S$1:$AA$1,$S1233:$AA1233)</f>
        <v>Heading</v>
      </c>
      <c r="G1233" s="239" t="s">
        <v>3332</v>
      </c>
      <c r="H1233" s="240"/>
      <c r="I1233" s="240" t="s">
        <v>479</v>
      </c>
      <c r="J1233" s="240"/>
      <c r="K1233" s="240"/>
      <c r="L1233" s="154" t="str">
        <f t="shared" si="1"/>
        <v/>
      </c>
      <c r="M1233" s="241" t="str">
        <f>IFERROR(__xludf.DUMMYFUNCTION("VLOOKUP(C1233,IMPORTRANGE(""https://docs.google.com/spreadsheets/d/1P8eX0NWBhUPS_hvzA11R6jkTNFrPrRYIx_dX_hYbxrk/edit?resourcekey=0-iw9bsKY2OqkUHCFMkCar3A&amp;gid=2055363397#gid=2055363397"",""MTR!C:O""),11,false)"),"")</f>
        <v/>
      </c>
      <c r="N1233" s="241" t="str">
        <f>IFERROR(__xludf.DUMMYFUNCTION("VLOOKUP(C1233,IMPORTRANGE(""https://docs.google.com/spreadsheets/d/1ihFlp3_ePlYtFuPbUNbYj1muErVpI73WHXbEwJDIA7Q/edit#gid=1493122344"",""MTR!C:O""),8,false)"),"")</f>
        <v/>
      </c>
      <c r="O1233" s="241" t="str">
        <f>IFERROR(__xludf.DUMMYFUNCTION("VLOOKUP(C1233,IMPORTRANGE(""https://docs.google.com/spreadsheets/d/1P8eX0NWBhUPS_hvzA11R6jkTNFrPrRYIx_dX_hYbxrk/edit?resourcekey=0-iw9bsKY2OqkUHCFMkCar3A&amp;gid=2055363397#gid=2055363397"",""MTR!C:O""),9,false)"),"")</f>
        <v/>
      </c>
      <c r="P1233" s="241"/>
      <c r="Q1233" s="241"/>
      <c r="R1233" s="241"/>
      <c r="S1233" s="240" t="s">
        <v>390</v>
      </c>
      <c r="T1233" s="240" t="s">
        <v>390</v>
      </c>
      <c r="U1233" s="240" t="s">
        <v>390</v>
      </c>
      <c r="V1233" s="240" t="s">
        <v>390</v>
      </c>
      <c r="W1233" s="240" t="s">
        <v>390</v>
      </c>
      <c r="X1233" s="240" t="s">
        <v>390</v>
      </c>
      <c r="Y1233" s="240" t="s">
        <v>390</v>
      </c>
      <c r="Z1233" s="240" t="s">
        <v>390</v>
      </c>
      <c r="AA1233" s="240" t="s">
        <v>390</v>
      </c>
      <c r="AB1233" s="240"/>
      <c r="AC1233" s="242" t="b">
        <f t="shared" si="2"/>
        <v>0</v>
      </c>
      <c r="AD1233" s="240" t="s">
        <v>391</v>
      </c>
      <c r="AE1233" s="243" t="b">
        <f t="shared" si="3"/>
        <v>0</v>
      </c>
      <c r="AF1233" s="240"/>
      <c r="AG1233" s="243" t="b">
        <f t="shared" si="7"/>
        <v>0</v>
      </c>
      <c r="AH1233" s="240"/>
      <c r="AI1233" s="243" t="str">
        <f t="shared" si="5"/>
        <v>N/A</v>
      </c>
      <c r="AJ1233" s="157" t="str">
        <f t="shared" si="6"/>
        <v/>
      </c>
    </row>
    <row r="1234" ht="12.75" customHeight="1">
      <c r="A1234" s="244" t="s">
        <v>2412</v>
      </c>
      <c r="B1234" s="244" t="s">
        <v>3326</v>
      </c>
      <c r="C1234" s="244" t="s">
        <v>3333</v>
      </c>
      <c r="D1234" s="154" t="s">
        <v>739</v>
      </c>
      <c r="E1234" s="250"/>
      <c r="F1234" s="154" t="str">
        <f t="array" ref="F1234">XLOOKUP(Cover!$D$12,$S$1:$AA$1,$S1234:$AA1234)</f>
        <v>Mandatory</v>
      </c>
      <c r="G1234" s="154" t="s">
        <v>3334</v>
      </c>
      <c r="H1234" s="154" t="s">
        <v>3335</v>
      </c>
      <c r="I1234" s="154" t="s">
        <v>479</v>
      </c>
      <c r="J1234" s="247" t="s">
        <v>445</v>
      </c>
      <c r="K1234" s="154"/>
      <c r="L1234" s="154" t="str">
        <f t="shared" si="1"/>
        <v/>
      </c>
      <c r="M1234" s="248" t="str">
        <f>IFERROR(__xludf.DUMMYFUNCTION("VLOOKUP(C1234,IMPORTRANGE(""https://docs.google.com/spreadsheets/d/1P8eX0NWBhUPS_hvzA11R6jkTNFrPrRYIx_dX_hYbxrk/edit?resourcekey=0-iw9bsKY2OqkUHCFMkCar3A&amp;gid=2055363397#gid=2055363397"",""MTR!C:O""),11,false)"),"PMW-MCE-NAS")</f>
        <v>PMW-MCE-NAS</v>
      </c>
      <c r="N1234" s="248" t="str">
        <f>IFERROR(__xludf.DUMMYFUNCTION("VLOOKUP(C1234,IMPORTRANGE(""https://docs.google.com/spreadsheets/d/1ihFlp3_ePlYtFuPbUNbYj1muErVpI73WHXbEwJDIA7Q/edit#gid=1493122344"",""MTR!C:O""),8,false)"),"Complies")</f>
        <v>Complies</v>
      </c>
      <c r="O1234" s="241" t="str">
        <f>IFERROR(__xludf.DUMMYFUNCTION("VLOOKUP(C1234,IMPORTRANGE(""https://docs.google.com/spreadsheets/d/1P8eX0NWBhUPS_hvzA11R6jkTNFrPrRYIx_dX_hYbxrk/edit?resourcekey=0-iw9bsKY2OqkUHCFMkCar3A&amp;gid=2055363397#gid=2055363397"",""MTR!C:O""),9,false)"),"")</f>
        <v/>
      </c>
      <c r="P1234" s="241"/>
      <c r="Q1234" s="251" t="s">
        <v>445</v>
      </c>
      <c r="R1234" s="241"/>
      <c r="S1234" s="154" t="s">
        <v>60</v>
      </c>
      <c r="T1234" s="154" t="s">
        <v>60</v>
      </c>
      <c r="U1234" s="154" t="s">
        <v>60</v>
      </c>
      <c r="V1234" s="154" t="s">
        <v>60</v>
      </c>
      <c r="W1234" s="154" t="s">
        <v>60</v>
      </c>
      <c r="X1234" s="154" t="s">
        <v>60</v>
      </c>
      <c r="Y1234" s="154" t="s">
        <v>60</v>
      </c>
      <c r="Z1234" s="154" t="s">
        <v>60</v>
      </c>
      <c r="AA1234" s="154" t="s">
        <v>60</v>
      </c>
      <c r="AB1234" s="154"/>
      <c r="AC1234" s="242" t="b">
        <f t="shared" si="2"/>
        <v>1</v>
      </c>
      <c r="AD1234" s="154" t="s">
        <v>391</v>
      </c>
      <c r="AE1234" s="243" t="b">
        <f t="shared" si="3"/>
        <v>0</v>
      </c>
      <c r="AF1234" s="154"/>
      <c r="AG1234" s="243" t="b">
        <f t="shared" si="7"/>
        <v>0</v>
      </c>
      <c r="AH1234" s="154"/>
      <c r="AI1234" s="243" t="str">
        <f t="shared" si="5"/>
        <v>N/A</v>
      </c>
      <c r="AJ1234" s="157" t="str">
        <f t="shared" si="6"/>
        <v/>
      </c>
    </row>
    <row r="1235" ht="12.75" customHeight="1">
      <c r="A1235" s="244" t="s">
        <v>2412</v>
      </c>
      <c r="B1235" s="244" t="s">
        <v>3326</v>
      </c>
      <c r="C1235" s="244" t="s">
        <v>3336</v>
      </c>
      <c r="D1235" s="154" t="s">
        <v>739</v>
      </c>
      <c r="E1235" s="250"/>
      <c r="F1235" s="154" t="str">
        <f t="array" ref="F1235">XLOOKUP(Cover!$D$12,$S$1:$AA$1,$S1235:$AA1235)</f>
        <v>Information</v>
      </c>
      <c r="G1235" s="154" t="s">
        <v>3337</v>
      </c>
      <c r="H1235" s="154"/>
      <c r="I1235" s="154" t="s">
        <v>479</v>
      </c>
      <c r="J1235" s="247" t="s">
        <v>516</v>
      </c>
      <c r="K1235" s="154"/>
      <c r="L1235" s="154" t="str">
        <f t="shared" si="1"/>
        <v/>
      </c>
      <c r="M1235" s="248" t="str">
        <f>IFERROR(__xludf.DUMMYFUNCTION("VLOOKUP(C1235,IMPORTRANGE(""https://docs.google.com/spreadsheets/d/1P8eX0NWBhUPS_hvzA11R6jkTNFrPrRYIx_dX_hYbxrk/edit?resourcekey=0-iw9bsKY2OqkUHCFMkCar3A&amp;gid=2055363397#gid=2055363397"",""MTR!C:O""),11,false)"),"PMW-MCE-NAS")</f>
        <v>PMW-MCE-NAS</v>
      </c>
      <c r="N1235" s="248" t="str">
        <f>IFERROR(__xludf.DUMMYFUNCTION("VLOOKUP(C1235,IMPORTRANGE(""https://docs.google.com/spreadsheets/d/1ihFlp3_ePlYtFuPbUNbYj1muErVpI73WHXbEwJDIA7Q/edit#gid=1493122344"",""MTR!C:O""),8,false)"),"Does Not Comply")</f>
        <v>Does Not Comply</v>
      </c>
      <c r="O1235" s="241" t="str">
        <f>IFERROR(__xludf.DUMMYFUNCTION("VLOOKUP(C1235,IMPORTRANGE(""https://docs.google.com/spreadsheets/d/1P8eX0NWBhUPS_hvzA11R6jkTNFrPrRYIx_dX_hYbxrk/edit?resourcekey=0-iw9bsKY2OqkUHCFMkCar3A&amp;gid=2055363397#gid=2055363397"",""MTR!C:O""),9,false)"),"")</f>
        <v/>
      </c>
      <c r="P1235" s="241"/>
      <c r="Q1235" s="251" t="s">
        <v>516</v>
      </c>
      <c r="R1235" s="241"/>
      <c r="S1235" s="154" t="s">
        <v>66</v>
      </c>
      <c r="T1235" s="154" t="s">
        <v>66</v>
      </c>
      <c r="U1235" s="154" t="s">
        <v>66</v>
      </c>
      <c r="V1235" s="154" t="s">
        <v>66</v>
      </c>
      <c r="W1235" s="154" t="s">
        <v>66</v>
      </c>
      <c r="X1235" s="154" t="s">
        <v>66</v>
      </c>
      <c r="Y1235" s="154" t="s">
        <v>66</v>
      </c>
      <c r="Z1235" s="154" t="s">
        <v>66</v>
      </c>
      <c r="AA1235" s="154" t="s">
        <v>66</v>
      </c>
      <c r="AB1235" s="154"/>
      <c r="AC1235" s="242" t="b">
        <f t="shared" si="2"/>
        <v>1</v>
      </c>
      <c r="AD1235" s="154" t="s">
        <v>391</v>
      </c>
      <c r="AE1235" s="243" t="b">
        <f t="shared" si="3"/>
        <v>0</v>
      </c>
      <c r="AF1235" s="154"/>
      <c r="AG1235" s="243" t="b">
        <f t="shared" si="7"/>
        <v>0</v>
      </c>
      <c r="AH1235" s="154"/>
      <c r="AI1235" s="243" t="str">
        <f t="shared" si="5"/>
        <v>N/A</v>
      </c>
      <c r="AJ1235" s="157" t="str">
        <f t="shared" si="6"/>
        <v/>
      </c>
    </row>
    <row r="1236" ht="12.75" customHeight="1">
      <c r="A1236" s="244" t="s">
        <v>2412</v>
      </c>
      <c r="B1236" s="244" t="s">
        <v>3326</v>
      </c>
      <c r="C1236" s="244" t="s">
        <v>3338</v>
      </c>
      <c r="D1236" s="154" t="s">
        <v>739</v>
      </c>
      <c r="E1236" s="250"/>
      <c r="F1236" s="154" t="str">
        <f t="array" ref="F1236">XLOOKUP(Cover!$D$12,$S$1:$AA$1,$S1236:$AA1236)</f>
        <v>Mandatory</v>
      </c>
      <c r="G1236" s="154" t="s">
        <v>3339</v>
      </c>
      <c r="H1236" s="154" t="s">
        <v>3335</v>
      </c>
      <c r="I1236" s="154" t="s">
        <v>479</v>
      </c>
      <c r="J1236" s="247" t="s">
        <v>516</v>
      </c>
      <c r="K1236" s="154"/>
      <c r="L1236" s="154" t="str">
        <f t="shared" si="1"/>
        <v/>
      </c>
      <c r="M1236" s="248" t="str">
        <f>IFERROR(__xludf.DUMMYFUNCTION("VLOOKUP(C1236,IMPORTRANGE(""https://docs.google.com/spreadsheets/d/1P8eX0NWBhUPS_hvzA11R6jkTNFrPrRYIx_dX_hYbxrk/edit?resourcekey=0-iw9bsKY2OqkUHCFMkCar3A&amp;gid=2055363397#gid=2055363397"",""MTR!C:O""),11,false)"),"PMW-MCE-NAS")</f>
        <v>PMW-MCE-NAS</v>
      </c>
      <c r="N1236" s="248" t="str">
        <f>IFERROR(__xludf.DUMMYFUNCTION("VLOOKUP(C1236,IMPORTRANGE(""https://docs.google.com/spreadsheets/d/1ihFlp3_ePlYtFuPbUNbYj1muErVpI73WHXbEwJDIA7Q/edit#gid=1493122344"",""MTR!C:O""),8,false)"),"Does Not Comply")</f>
        <v>Does Not Comply</v>
      </c>
      <c r="O1236" s="241" t="str">
        <f>IFERROR(__xludf.DUMMYFUNCTION("VLOOKUP(C1236,IMPORTRANGE(""https://docs.google.com/spreadsheets/d/1P8eX0NWBhUPS_hvzA11R6jkTNFrPrRYIx_dX_hYbxrk/edit?resourcekey=0-iw9bsKY2OqkUHCFMkCar3A&amp;gid=2055363397#gid=2055363397"",""MTR!C:O""),9,false)"),"")</f>
        <v/>
      </c>
      <c r="P1236" s="241"/>
      <c r="Q1236" s="251" t="s">
        <v>516</v>
      </c>
      <c r="R1236" s="241"/>
      <c r="S1236" s="154" t="s">
        <v>60</v>
      </c>
      <c r="T1236" s="154" t="s">
        <v>60</v>
      </c>
      <c r="U1236" s="154" t="s">
        <v>60</v>
      </c>
      <c r="V1236" s="154" t="s">
        <v>60</v>
      </c>
      <c r="W1236" s="154" t="s">
        <v>60</v>
      </c>
      <c r="X1236" s="154" t="s">
        <v>60</v>
      </c>
      <c r="Y1236" s="154" t="s">
        <v>60</v>
      </c>
      <c r="Z1236" s="154" t="s">
        <v>60</v>
      </c>
      <c r="AA1236" s="154" t="s">
        <v>60</v>
      </c>
      <c r="AB1236" s="154"/>
      <c r="AC1236" s="242" t="b">
        <f t="shared" si="2"/>
        <v>1</v>
      </c>
      <c r="AD1236" s="154" t="s">
        <v>391</v>
      </c>
      <c r="AE1236" s="243" t="b">
        <f t="shared" si="3"/>
        <v>0</v>
      </c>
      <c r="AF1236" s="154"/>
      <c r="AG1236" s="243" t="b">
        <f t="shared" si="7"/>
        <v>0</v>
      </c>
      <c r="AH1236" s="154"/>
      <c r="AI1236" s="243" t="str">
        <f t="shared" si="5"/>
        <v>N/A</v>
      </c>
      <c r="AJ1236" s="157" t="str">
        <f t="shared" si="6"/>
        <v/>
      </c>
    </row>
    <row r="1237" ht="12.75" customHeight="1">
      <c r="A1237" s="244" t="s">
        <v>2412</v>
      </c>
      <c r="B1237" s="244" t="s">
        <v>3326</v>
      </c>
      <c r="C1237" s="244" t="s">
        <v>3340</v>
      </c>
      <c r="D1237" s="154" t="s">
        <v>739</v>
      </c>
      <c r="E1237" s="250"/>
      <c r="F1237" s="154" t="str">
        <f t="array" ref="F1237">XLOOKUP(Cover!$D$12,$S$1:$AA$1,$S1237:$AA1237)</f>
        <v>Mandatory</v>
      </c>
      <c r="G1237" s="154" t="s">
        <v>3341</v>
      </c>
      <c r="H1237" s="154" t="s">
        <v>3335</v>
      </c>
      <c r="I1237" s="154" t="s">
        <v>479</v>
      </c>
      <c r="J1237" s="247" t="s">
        <v>516</v>
      </c>
      <c r="K1237" s="154"/>
      <c r="L1237" s="154" t="str">
        <f t="shared" si="1"/>
        <v/>
      </c>
      <c r="M1237" s="248" t="str">
        <f>IFERROR(__xludf.DUMMYFUNCTION("VLOOKUP(C1237,IMPORTRANGE(""https://docs.google.com/spreadsheets/d/1P8eX0NWBhUPS_hvzA11R6jkTNFrPrRYIx_dX_hYbxrk/edit?resourcekey=0-iw9bsKY2OqkUHCFMkCar3A&amp;gid=2055363397#gid=2055363397"",""MTR!C:O""),11,false)"),"PMW-MCE-NAS")</f>
        <v>PMW-MCE-NAS</v>
      </c>
      <c r="N1237" s="248" t="str">
        <f>IFERROR(__xludf.DUMMYFUNCTION("VLOOKUP(C1237,IMPORTRANGE(""https://docs.google.com/spreadsheets/d/1ihFlp3_ePlYtFuPbUNbYj1muErVpI73WHXbEwJDIA7Q/edit#gid=1493122344"",""MTR!C:O""),8,false)"),"Does Not Comply")</f>
        <v>Does Not Comply</v>
      </c>
      <c r="O1237" s="241" t="str">
        <f>IFERROR(__xludf.DUMMYFUNCTION("VLOOKUP(C1237,IMPORTRANGE(""https://docs.google.com/spreadsheets/d/1P8eX0NWBhUPS_hvzA11R6jkTNFrPrRYIx_dX_hYbxrk/edit?resourcekey=0-iw9bsKY2OqkUHCFMkCar3A&amp;gid=2055363397#gid=2055363397"",""MTR!C:O""),9,false)"),"")</f>
        <v/>
      </c>
      <c r="P1237" s="241"/>
      <c r="Q1237" s="251" t="s">
        <v>516</v>
      </c>
      <c r="R1237" s="241"/>
      <c r="S1237" s="154" t="s">
        <v>60</v>
      </c>
      <c r="T1237" s="154" t="s">
        <v>60</v>
      </c>
      <c r="U1237" s="154" t="s">
        <v>60</v>
      </c>
      <c r="V1237" s="154" t="s">
        <v>60</v>
      </c>
      <c r="W1237" s="154" t="s">
        <v>60</v>
      </c>
      <c r="X1237" s="154" t="s">
        <v>60</v>
      </c>
      <c r="Y1237" s="154" t="s">
        <v>60</v>
      </c>
      <c r="Z1237" s="154" t="s">
        <v>60</v>
      </c>
      <c r="AA1237" s="154" t="s">
        <v>60</v>
      </c>
      <c r="AB1237" s="154"/>
      <c r="AC1237" s="242" t="b">
        <f t="shared" si="2"/>
        <v>1</v>
      </c>
      <c r="AD1237" s="154" t="s">
        <v>391</v>
      </c>
      <c r="AE1237" s="243" t="b">
        <f t="shared" si="3"/>
        <v>0</v>
      </c>
      <c r="AF1237" s="154"/>
      <c r="AG1237" s="243" t="b">
        <f t="shared" si="7"/>
        <v>0</v>
      </c>
      <c r="AH1237" s="154"/>
      <c r="AI1237" s="243" t="str">
        <f t="shared" si="5"/>
        <v>N/A</v>
      </c>
      <c r="AJ1237" s="157" t="str">
        <f t="shared" si="6"/>
        <v/>
      </c>
    </row>
    <row r="1238" ht="12.75" customHeight="1">
      <c r="A1238" s="244" t="s">
        <v>2412</v>
      </c>
      <c r="B1238" s="244" t="s">
        <v>3326</v>
      </c>
      <c r="C1238" s="244" t="s">
        <v>3342</v>
      </c>
      <c r="D1238" s="154" t="s">
        <v>739</v>
      </c>
      <c r="E1238" s="250"/>
      <c r="F1238" s="154" t="str">
        <f t="array" ref="F1238">XLOOKUP(Cover!$D$12,$S$1:$AA$1,$S1238:$AA1238)</f>
        <v>Comments Vendor</v>
      </c>
      <c r="G1238" s="154" t="s">
        <v>3343</v>
      </c>
      <c r="H1238" s="154"/>
      <c r="I1238" s="154" t="s">
        <v>479</v>
      </c>
      <c r="J1238" s="247"/>
      <c r="K1238" s="247" t="s">
        <v>3344</v>
      </c>
      <c r="L1238" s="154" t="str">
        <f t="shared" si="1"/>
        <v/>
      </c>
      <c r="M1238" s="248" t="str">
        <f>IFERROR(__xludf.DUMMYFUNCTION("VLOOKUP(C1238,IMPORTRANGE(""https://docs.google.com/spreadsheets/d/1P8eX0NWBhUPS_hvzA11R6jkTNFrPrRYIx_dX_hYbxrk/edit?resourcekey=0-iw9bsKY2OqkUHCFMkCar3A&amp;gid=2055363397#gid=2055363397"",""MTR!C:O""),11,false)"),"Carrier-TPM")</f>
        <v>Carrier-TPM</v>
      </c>
      <c r="N1238" s="241" t="str">
        <f>IFERROR(__xludf.DUMMYFUNCTION("VLOOKUP(C1238,IMPORTRANGE(""https://docs.google.com/spreadsheets/d/1ihFlp3_ePlYtFuPbUNbYj1muErVpI73WHXbEwJDIA7Q/edit#gid=1493122344"",""MTR!C:O""),8,false)"),"")</f>
        <v/>
      </c>
      <c r="O1238" s="248" t="str">
        <f>IFERROR(__xludf.DUMMYFUNCTION("VLOOKUP(C1238,IMPORTRANGE(""https://docs.google.com/spreadsheets/d/1P8eX0NWBhUPS_hvzA11R6jkTNFrPrRYIx_dX_hYbxrk/edit?resourcekey=0-iw9bsKY2OqkUHCFMkCar3A&amp;gid=2055363397#gid=2055363397"",""MTR!C:O""),9,false)"),"Physical SIM (4FF) + eSIM")</f>
        <v>Physical SIM (4FF) + eSIM</v>
      </c>
      <c r="P1238" s="248"/>
      <c r="Q1238" s="249"/>
      <c r="R1238" s="249" t="s">
        <v>3344</v>
      </c>
      <c r="S1238" s="154" t="s">
        <v>62</v>
      </c>
      <c r="T1238" s="154" t="s">
        <v>62</v>
      </c>
      <c r="U1238" s="154" t="s">
        <v>62</v>
      </c>
      <c r="V1238" s="154" t="s">
        <v>62</v>
      </c>
      <c r="W1238" s="154" t="s">
        <v>62</v>
      </c>
      <c r="X1238" s="154" t="s">
        <v>62</v>
      </c>
      <c r="Y1238" s="154" t="s">
        <v>62</v>
      </c>
      <c r="Z1238" s="154" t="s">
        <v>62</v>
      </c>
      <c r="AA1238" s="154" t="s">
        <v>62</v>
      </c>
      <c r="AB1238" s="154"/>
      <c r="AC1238" s="242" t="b">
        <f t="shared" si="2"/>
        <v>1</v>
      </c>
      <c r="AD1238" s="154" t="s">
        <v>68</v>
      </c>
      <c r="AE1238" s="243" t="b">
        <f t="shared" si="3"/>
        <v>1</v>
      </c>
      <c r="AF1238" s="154"/>
      <c r="AG1238" s="243" t="b">
        <f t="shared" si="7"/>
        <v>0</v>
      </c>
      <c r="AH1238" s="154"/>
      <c r="AI1238" s="243" t="str">
        <f t="shared" si="5"/>
        <v>N/A</v>
      </c>
      <c r="AJ1238" s="157" t="str">
        <f t="shared" si="6"/>
        <v/>
      </c>
    </row>
    <row r="1239" ht="12.75" customHeight="1">
      <c r="A1239" s="238" t="s">
        <v>2412</v>
      </c>
      <c r="B1239" s="238" t="s">
        <v>3326</v>
      </c>
      <c r="C1239" s="238" t="s">
        <v>3345</v>
      </c>
      <c r="D1239" s="238"/>
      <c r="E1239" s="238"/>
      <c r="F1239" s="154" t="str">
        <f t="array" ref="F1239">XLOOKUP(Cover!$D$12,$S$1:$AA$1,$S1239:$AA1239)</f>
        <v>Heading</v>
      </c>
      <c r="G1239" s="239" t="s">
        <v>3346</v>
      </c>
      <c r="H1239" s="240"/>
      <c r="I1239" s="240" t="s">
        <v>479</v>
      </c>
      <c r="J1239" s="262"/>
      <c r="K1239" s="262"/>
      <c r="L1239" s="154" t="str">
        <f t="shared" si="1"/>
        <v/>
      </c>
      <c r="M1239" s="241" t="str">
        <f>IFERROR(__xludf.DUMMYFUNCTION("VLOOKUP(C1239,IMPORTRANGE(""https://docs.google.com/spreadsheets/d/1P8eX0NWBhUPS_hvzA11R6jkTNFrPrRYIx_dX_hYbxrk/edit?resourcekey=0-iw9bsKY2OqkUHCFMkCar3A&amp;gid=2055363397#gid=2055363397"",""MTR!C:O""),11,false)"),"")</f>
        <v/>
      </c>
      <c r="N1239" s="241" t="str">
        <f>IFERROR(__xludf.DUMMYFUNCTION("VLOOKUP(C1239,IMPORTRANGE(""https://docs.google.com/spreadsheets/d/1ihFlp3_ePlYtFuPbUNbYj1muErVpI73WHXbEwJDIA7Q/edit#gid=1493122344"",""MTR!C:O""),8,false)"),"")</f>
        <v/>
      </c>
      <c r="O1239" s="241" t="str">
        <f>IFERROR(__xludf.DUMMYFUNCTION("VLOOKUP(C1239,IMPORTRANGE(""https://docs.google.com/spreadsheets/d/1P8eX0NWBhUPS_hvzA11R6jkTNFrPrRYIx_dX_hYbxrk/edit?resourcekey=0-iw9bsKY2OqkUHCFMkCar3A&amp;gid=2055363397#gid=2055363397"",""MTR!C:O""),9,false)"),"")</f>
        <v/>
      </c>
      <c r="P1239" s="241"/>
      <c r="Q1239" s="241"/>
      <c r="R1239" s="251"/>
      <c r="S1239" s="240" t="s">
        <v>390</v>
      </c>
      <c r="T1239" s="240" t="s">
        <v>390</v>
      </c>
      <c r="U1239" s="240" t="s">
        <v>390</v>
      </c>
      <c r="V1239" s="240" t="s">
        <v>390</v>
      </c>
      <c r="W1239" s="240" t="s">
        <v>390</v>
      </c>
      <c r="X1239" s="240" t="s">
        <v>390</v>
      </c>
      <c r="Y1239" s="240" t="s">
        <v>390</v>
      </c>
      <c r="Z1239" s="240" t="s">
        <v>390</v>
      </c>
      <c r="AA1239" s="240" t="s">
        <v>390</v>
      </c>
      <c r="AB1239" s="240"/>
      <c r="AC1239" s="242" t="b">
        <f t="shared" si="2"/>
        <v>0</v>
      </c>
      <c r="AD1239" s="240" t="s">
        <v>391</v>
      </c>
      <c r="AE1239" s="243" t="b">
        <f t="shared" si="3"/>
        <v>0</v>
      </c>
      <c r="AF1239" s="240"/>
      <c r="AG1239" s="243" t="b">
        <f t="shared" si="7"/>
        <v>0</v>
      </c>
      <c r="AH1239" s="240"/>
      <c r="AI1239" s="243" t="str">
        <f t="shared" si="5"/>
        <v>N/A</v>
      </c>
      <c r="AJ1239" s="157" t="str">
        <f t="shared" si="6"/>
        <v/>
      </c>
    </row>
    <row r="1240" ht="12.75" customHeight="1">
      <c r="A1240" s="244" t="s">
        <v>2412</v>
      </c>
      <c r="B1240" s="244" t="s">
        <v>3326</v>
      </c>
      <c r="C1240" s="244" t="s">
        <v>3347</v>
      </c>
      <c r="D1240" s="154" t="s">
        <v>602</v>
      </c>
      <c r="E1240" s="250"/>
      <c r="F1240" s="154" t="str">
        <f t="array" ref="F1240">XLOOKUP(Cover!$D$12,$S$1:$AA$1,$S1240:$AA1240)</f>
        <v>Mandatory</v>
      </c>
      <c r="G1240" s="154" t="s">
        <v>3348</v>
      </c>
      <c r="H1240" s="154" t="s">
        <v>3335</v>
      </c>
      <c r="I1240" s="154" t="s">
        <v>479</v>
      </c>
      <c r="J1240" s="247" t="s">
        <v>445</v>
      </c>
      <c r="K1240" s="154"/>
      <c r="L1240" s="154" t="str">
        <f t="shared" si="1"/>
        <v/>
      </c>
      <c r="M1240" s="248" t="str">
        <f>IFERROR(__xludf.DUMMYFUNCTION("VLOOKUP(C1240,IMPORTRANGE(""https://docs.google.com/spreadsheets/d/1P8eX0NWBhUPS_hvzA11R6jkTNFrPrRYIx_dX_hYbxrk/edit?resourcekey=0-iw9bsKY2OqkUHCFMkCar3A&amp;gid=2055363397#gid=2055363397"",""MTR!C:O""),11,false)"),"PMW-MCE-NAS")</f>
        <v>PMW-MCE-NAS</v>
      </c>
      <c r="N1240" s="248" t="str">
        <f>IFERROR(__xludf.DUMMYFUNCTION("VLOOKUP(C1240,IMPORTRANGE(""https://docs.google.com/spreadsheets/d/1ihFlp3_ePlYtFuPbUNbYj1muErVpI73WHXbEwJDIA7Q/edit#gid=1493122344"",""MTR!C:O""),8,false)"),"Complies")</f>
        <v>Complies</v>
      </c>
      <c r="O1240" s="241" t="str">
        <f>IFERROR(__xludf.DUMMYFUNCTION("VLOOKUP(C1240,IMPORTRANGE(""https://docs.google.com/spreadsheets/d/1P8eX0NWBhUPS_hvzA11R6jkTNFrPrRYIx_dX_hYbxrk/edit?resourcekey=0-iw9bsKY2OqkUHCFMkCar3A&amp;gid=2055363397#gid=2055363397"",""MTR!C:O""),9,false)"),"")</f>
        <v/>
      </c>
      <c r="P1240" s="241"/>
      <c r="Q1240" s="251" t="s">
        <v>445</v>
      </c>
      <c r="R1240" s="241"/>
      <c r="S1240" s="154" t="s">
        <v>60</v>
      </c>
      <c r="T1240" s="154" t="s">
        <v>60</v>
      </c>
      <c r="U1240" s="154" t="s">
        <v>60</v>
      </c>
      <c r="V1240" s="154" t="s">
        <v>60</v>
      </c>
      <c r="W1240" s="154" t="s">
        <v>60</v>
      </c>
      <c r="X1240" s="154" t="s">
        <v>60</v>
      </c>
      <c r="Y1240" s="154" t="s">
        <v>60</v>
      </c>
      <c r="Z1240" s="154" t="s">
        <v>60</v>
      </c>
      <c r="AA1240" s="154" t="s">
        <v>60</v>
      </c>
      <c r="AB1240" s="154"/>
      <c r="AC1240" s="242" t="b">
        <f t="shared" si="2"/>
        <v>1</v>
      </c>
      <c r="AD1240" s="154" t="s">
        <v>391</v>
      </c>
      <c r="AE1240" s="243" t="b">
        <f t="shared" si="3"/>
        <v>0</v>
      </c>
      <c r="AF1240" s="154"/>
      <c r="AG1240" s="243" t="b">
        <f t="shared" si="7"/>
        <v>0</v>
      </c>
      <c r="AH1240" s="154"/>
      <c r="AI1240" s="243" t="str">
        <f t="shared" si="5"/>
        <v>N/A</v>
      </c>
      <c r="AJ1240" s="157" t="str">
        <f t="shared" si="6"/>
        <v/>
      </c>
    </row>
    <row r="1241" ht="12.75" customHeight="1">
      <c r="A1241" s="244" t="s">
        <v>2412</v>
      </c>
      <c r="B1241" s="244" t="s">
        <v>3326</v>
      </c>
      <c r="C1241" s="244" t="s">
        <v>3349</v>
      </c>
      <c r="D1241" s="154" t="s">
        <v>602</v>
      </c>
      <c r="E1241" s="250"/>
      <c r="F1241" s="154" t="str">
        <f t="array" ref="F1241">XLOOKUP(Cover!$D$12,$S$1:$AA$1,$S1241:$AA1241)</f>
        <v>Mandatory</v>
      </c>
      <c r="G1241" s="154" t="s">
        <v>3350</v>
      </c>
      <c r="H1241" s="154" t="s">
        <v>3335</v>
      </c>
      <c r="I1241" s="154" t="s">
        <v>479</v>
      </c>
      <c r="J1241" s="247" t="s">
        <v>445</v>
      </c>
      <c r="K1241" s="154"/>
      <c r="L1241" s="154" t="str">
        <f t="shared" si="1"/>
        <v/>
      </c>
      <c r="M1241" s="248" t="str">
        <f>IFERROR(__xludf.DUMMYFUNCTION("VLOOKUP(C1241,IMPORTRANGE(""https://docs.google.com/spreadsheets/d/1P8eX0NWBhUPS_hvzA11R6jkTNFrPrRYIx_dX_hYbxrk/edit?resourcekey=0-iw9bsKY2OqkUHCFMkCar3A&amp;gid=2055363397#gid=2055363397"",""MTR!C:O""),11,false)"),"PMW-MCE-NAS")</f>
        <v>PMW-MCE-NAS</v>
      </c>
      <c r="N1241" s="248" t="str">
        <f>IFERROR(__xludf.DUMMYFUNCTION("VLOOKUP(C1241,IMPORTRANGE(""https://docs.google.com/spreadsheets/d/1ihFlp3_ePlYtFuPbUNbYj1muErVpI73WHXbEwJDIA7Q/edit#gid=1493122344"",""MTR!C:O""),8,false)"),"Complies")</f>
        <v>Complies</v>
      </c>
      <c r="O1241" s="241" t="str">
        <f>IFERROR(__xludf.DUMMYFUNCTION("VLOOKUP(C1241,IMPORTRANGE(""https://docs.google.com/spreadsheets/d/1P8eX0NWBhUPS_hvzA11R6jkTNFrPrRYIx_dX_hYbxrk/edit?resourcekey=0-iw9bsKY2OqkUHCFMkCar3A&amp;gid=2055363397#gid=2055363397"",""MTR!C:O""),9,false)"),"")</f>
        <v/>
      </c>
      <c r="P1241" s="241"/>
      <c r="Q1241" s="251" t="s">
        <v>445</v>
      </c>
      <c r="R1241" s="241"/>
      <c r="S1241" s="154" t="s">
        <v>60</v>
      </c>
      <c r="T1241" s="154" t="s">
        <v>60</v>
      </c>
      <c r="U1241" s="154" t="s">
        <v>60</v>
      </c>
      <c r="V1241" s="154" t="s">
        <v>60</v>
      </c>
      <c r="W1241" s="154" t="s">
        <v>60</v>
      </c>
      <c r="X1241" s="154" t="s">
        <v>60</v>
      </c>
      <c r="Y1241" s="154" t="s">
        <v>60</v>
      </c>
      <c r="Z1241" s="154" t="s">
        <v>60</v>
      </c>
      <c r="AA1241" s="154" t="s">
        <v>60</v>
      </c>
      <c r="AB1241" s="154"/>
      <c r="AC1241" s="242" t="b">
        <f t="shared" si="2"/>
        <v>1</v>
      </c>
      <c r="AD1241" s="154" t="s">
        <v>391</v>
      </c>
      <c r="AE1241" s="243" t="b">
        <f t="shared" si="3"/>
        <v>0</v>
      </c>
      <c r="AF1241" s="154"/>
      <c r="AG1241" s="243" t="b">
        <f t="shared" si="7"/>
        <v>0</v>
      </c>
      <c r="AH1241" s="154"/>
      <c r="AI1241" s="243" t="str">
        <f t="shared" si="5"/>
        <v>N/A</v>
      </c>
      <c r="AJ1241" s="157" t="str">
        <f t="shared" si="6"/>
        <v/>
      </c>
    </row>
    <row r="1242" ht="12.75" customHeight="1">
      <c r="A1242" s="244" t="s">
        <v>2412</v>
      </c>
      <c r="B1242" s="244" t="s">
        <v>3326</v>
      </c>
      <c r="C1242" s="244" t="s">
        <v>3351</v>
      </c>
      <c r="D1242" s="154" t="s">
        <v>602</v>
      </c>
      <c r="E1242" s="250"/>
      <c r="F1242" s="154" t="str">
        <f t="array" ref="F1242">XLOOKUP(Cover!$D$12,$S$1:$AA$1,$S1242:$AA1242)</f>
        <v>Mandatory</v>
      </c>
      <c r="G1242" s="154" t="s">
        <v>3352</v>
      </c>
      <c r="H1242" s="154" t="s">
        <v>3335</v>
      </c>
      <c r="I1242" s="154" t="s">
        <v>479</v>
      </c>
      <c r="J1242" s="247" t="s">
        <v>617</v>
      </c>
      <c r="K1242" s="154"/>
      <c r="L1242" s="154" t="str">
        <f t="shared" si="1"/>
        <v/>
      </c>
      <c r="M1242" s="248" t="str">
        <f>IFERROR(__xludf.DUMMYFUNCTION("VLOOKUP(C1242,IMPORTRANGE(""https://docs.google.com/spreadsheets/d/1P8eX0NWBhUPS_hvzA11R6jkTNFrPrRYIx_dX_hYbxrk/edit?resourcekey=0-iw9bsKY2OqkUHCFMkCar3A&amp;gid=2055363397#gid=2055363397"",""MTR!C:O""),11,false)"),"PMW-MCE-NAS")</f>
        <v>PMW-MCE-NAS</v>
      </c>
      <c r="N1242" s="248" t="str">
        <f>IFERROR(__xludf.DUMMYFUNCTION("VLOOKUP(C1242,IMPORTRANGE(""https://docs.google.com/spreadsheets/d/1ihFlp3_ePlYtFuPbUNbYj1muErVpI73WHXbEwJDIA7Q/edit#gid=1493122344"",""MTR!C:O""),8,false)"),"Not Applicable")</f>
        <v>Not Applicable</v>
      </c>
      <c r="O1242" s="241" t="str">
        <f>IFERROR(__xludf.DUMMYFUNCTION("VLOOKUP(C1242,IMPORTRANGE(""https://docs.google.com/spreadsheets/d/1P8eX0NWBhUPS_hvzA11R6jkTNFrPrRYIx_dX_hYbxrk/edit?resourcekey=0-iw9bsKY2OqkUHCFMkCar3A&amp;gid=2055363397#gid=2055363397"",""MTR!C:O""),9,false)"),"")</f>
        <v/>
      </c>
      <c r="P1242" s="241"/>
      <c r="Q1242" s="251" t="s">
        <v>617</v>
      </c>
      <c r="R1242" s="241"/>
      <c r="S1242" s="154" t="s">
        <v>60</v>
      </c>
      <c r="T1242" s="154" t="s">
        <v>60</v>
      </c>
      <c r="U1242" s="154" t="s">
        <v>60</v>
      </c>
      <c r="V1242" s="154" t="s">
        <v>60</v>
      </c>
      <c r="W1242" s="154" t="s">
        <v>60</v>
      </c>
      <c r="X1242" s="154" t="s">
        <v>60</v>
      </c>
      <c r="Y1242" s="154" t="s">
        <v>60</v>
      </c>
      <c r="Z1242" s="154" t="s">
        <v>60</v>
      </c>
      <c r="AA1242" s="154" t="s">
        <v>60</v>
      </c>
      <c r="AB1242" s="154"/>
      <c r="AC1242" s="242" t="b">
        <f t="shared" si="2"/>
        <v>1</v>
      </c>
      <c r="AD1242" s="154" t="s">
        <v>516</v>
      </c>
      <c r="AE1242" s="243" t="b">
        <f t="shared" si="3"/>
        <v>0</v>
      </c>
      <c r="AF1242" s="154"/>
      <c r="AG1242" s="243" t="b">
        <f t="shared" si="7"/>
        <v>0</v>
      </c>
      <c r="AH1242" s="154"/>
      <c r="AI1242" s="243" t="str">
        <f t="shared" si="5"/>
        <v>N/A</v>
      </c>
      <c r="AJ1242" s="157" t="str">
        <f t="shared" si="6"/>
        <v/>
      </c>
    </row>
    <row r="1243" ht="12.75" customHeight="1">
      <c r="A1243" s="238" t="s">
        <v>2412</v>
      </c>
      <c r="B1243" s="238" t="s">
        <v>3326</v>
      </c>
      <c r="C1243" s="238" t="s">
        <v>3353</v>
      </c>
      <c r="D1243" s="238"/>
      <c r="E1243" s="238"/>
      <c r="F1243" s="154" t="str">
        <f t="array" ref="F1243">XLOOKUP(Cover!$D$12,$S$1:$AA$1,$S1243:$AA1243)</f>
        <v>Heading</v>
      </c>
      <c r="G1243" s="239" t="s">
        <v>3354</v>
      </c>
      <c r="H1243" s="240"/>
      <c r="I1243" s="240" t="s">
        <v>479</v>
      </c>
      <c r="J1243" s="262"/>
      <c r="K1243" s="240"/>
      <c r="L1243" s="154" t="str">
        <f t="shared" si="1"/>
        <v/>
      </c>
      <c r="M1243" s="241" t="str">
        <f>IFERROR(__xludf.DUMMYFUNCTION("VLOOKUP(C1243,IMPORTRANGE(""https://docs.google.com/spreadsheets/d/1P8eX0NWBhUPS_hvzA11R6jkTNFrPrRYIx_dX_hYbxrk/edit?resourcekey=0-iw9bsKY2OqkUHCFMkCar3A&amp;gid=2055363397#gid=2055363397"",""MTR!C:O""),11,false)"),"")</f>
        <v/>
      </c>
      <c r="N1243" s="241" t="str">
        <f>IFERROR(__xludf.DUMMYFUNCTION("VLOOKUP(C1243,IMPORTRANGE(""https://docs.google.com/spreadsheets/d/1ihFlp3_ePlYtFuPbUNbYj1muErVpI73WHXbEwJDIA7Q/edit#gid=1493122344"",""MTR!C:O""),8,false)"),"")</f>
        <v/>
      </c>
      <c r="O1243" s="241" t="str">
        <f>IFERROR(__xludf.DUMMYFUNCTION("VLOOKUP(C1243,IMPORTRANGE(""https://docs.google.com/spreadsheets/d/1P8eX0NWBhUPS_hvzA11R6jkTNFrPrRYIx_dX_hYbxrk/edit?resourcekey=0-iw9bsKY2OqkUHCFMkCar3A&amp;gid=2055363397#gid=2055363397"",""MTR!C:O""),9,false)"),"")</f>
        <v/>
      </c>
      <c r="P1243" s="241"/>
      <c r="Q1243" s="251"/>
      <c r="R1243" s="241"/>
      <c r="S1243" s="240" t="s">
        <v>390</v>
      </c>
      <c r="T1243" s="240" t="s">
        <v>390</v>
      </c>
      <c r="U1243" s="240" t="s">
        <v>390</v>
      </c>
      <c r="V1243" s="240" t="s">
        <v>390</v>
      </c>
      <c r="W1243" s="240" t="s">
        <v>390</v>
      </c>
      <c r="X1243" s="240" t="s">
        <v>390</v>
      </c>
      <c r="Y1243" s="240" t="s">
        <v>390</v>
      </c>
      <c r="Z1243" s="240" t="s">
        <v>390</v>
      </c>
      <c r="AA1243" s="240" t="s">
        <v>390</v>
      </c>
      <c r="AB1243" s="240"/>
      <c r="AC1243" s="242" t="b">
        <f t="shared" si="2"/>
        <v>0</v>
      </c>
      <c r="AD1243" s="240" t="s">
        <v>391</v>
      </c>
      <c r="AE1243" s="243" t="b">
        <f t="shared" si="3"/>
        <v>0</v>
      </c>
      <c r="AF1243" s="240"/>
      <c r="AG1243" s="243" t="b">
        <f t="shared" si="7"/>
        <v>0</v>
      </c>
      <c r="AH1243" s="240"/>
      <c r="AI1243" s="243" t="str">
        <f t="shared" si="5"/>
        <v>N/A</v>
      </c>
      <c r="AJ1243" s="157" t="str">
        <f t="shared" si="6"/>
        <v/>
      </c>
    </row>
    <row r="1244" ht="12.75" customHeight="1">
      <c r="A1244" s="244" t="s">
        <v>2412</v>
      </c>
      <c r="B1244" s="244" t="s">
        <v>3326</v>
      </c>
      <c r="C1244" s="244" t="s">
        <v>3355</v>
      </c>
      <c r="D1244" s="154" t="s">
        <v>739</v>
      </c>
      <c r="E1244" s="250"/>
      <c r="F1244" s="154" t="str">
        <f t="array" ref="F1244">XLOOKUP(Cover!$D$12,$S$1:$AA$1,$S1244:$AA1244)</f>
        <v>Mandatory</v>
      </c>
      <c r="G1244" s="154" t="s">
        <v>3356</v>
      </c>
      <c r="H1244" s="154" t="s">
        <v>3335</v>
      </c>
      <c r="I1244" s="154" t="s">
        <v>479</v>
      </c>
      <c r="J1244" s="247" t="s">
        <v>445</v>
      </c>
      <c r="K1244" s="247" t="s">
        <v>3357</v>
      </c>
      <c r="L1244" s="154" t="str">
        <f t="shared" si="1"/>
        <v/>
      </c>
      <c r="M1244" s="248" t="str">
        <f>IFERROR(__xludf.DUMMYFUNCTION("VLOOKUP(C1244,IMPORTRANGE(""https://docs.google.com/spreadsheets/d/1P8eX0NWBhUPS_hvzA11R6jkTNFrPrRYIx_dX_hYbxrk/edit?resourcekey=0-iw9bsKY2OqkUHCFMkCar3A&amp;gid=2055363397#gid=2055363397"",""MTR!C:O""),11,false)"),"PMW-MCE-NAS")</f>
        <v>PMW-MCE-NAS</v>
      </c>
      <c r="N1244" s="248" t="str">
        <f>IFERROR(__xludf.DUMMYFUNCTION("VLOOKUP(C1244,IMPORTRANGE(""https://docs.google.com/spreadsheets/d/1ihFlp3_ePlYtFuPbUNbYj1muErVpI73WHXbEwJDIA7Q/edit#gid=1493122344"",""MTR!C:O""),8,false)"),"Complies")</f>
        <v>Complies</v>
      </c>
      <c r="O1244" s="248" t="str">
        <f>IFERROR(__xludf.DUMMYFUNCTION("VLOOKUP(C1244,IMPORTRANGE(""https://docs.google.com/spreadsheets/d/1P8eX0NWBhUPS_hvzA11R6jkTNFrPrRYIx_dX_hYbxrk/edit?resourcekey=0-iw9bsKY2OqkUHCFMkCar3A&amp;gid=2055363397#gid=2055363397"",""MTR!C:O""),9,false)"),"Both SIM supports multi-mode 2G/3G/LTE")</f>
        <v>Both SIM supports multi-mode 2G/3G/LTE</v>
      </c>
      <c r="P1244" s="248"/>
      <c r="Q1244" s="249" t="s">
        <v>445</v>
      </c>
      <c r="R1244" s="249" t="s">
        <v>3357</v>
      </c>
      <c r="S1244" s="154" t="s">
        <v>60</v>
      </c>
      <c r="T1244" s="154" t="s">
        <v>60</v>
      </c>
      <c r="U1244" s="154" t="s">
        <v>60</v>
      </c>
      <c r="V1244" s="154" t="s">
        <v>60</v>
      </c>
      <c r="W1244" s="154" t="s">
        <v>60</v>
      </c>
      <c r="X1244" s="154" t="s">
        <v>60</v>
      </c>
      <c r="Y1244" s="154" t="s">
        <v>60</v>
      </c>
      <c r="Z1244" s="154" t="s">
        <v>60</v>
      </c>
      <c r="AA1244" s="154" t="s">
        <v>60</v>
      </c>
      <c r="AB1244" s="154"/>
      <c r="AC1244" s="242" t="b">
        <f t="shared" si="2"/>
        <v>1</v>
      </c>
      <c r="AD1244" s="154" t="s">
        <v>516</v>
      </c>
      <c r="AE1244" s="243" t="b">
        <f t="shared" si="3"/>
        <v>0</v>
      </c>
      <c r="AF1244" s="154"/>
      <c r="AG1244" s="243" t="b">
        <f t="shared" si="7"/>
        <v>0</v>
      </c>
      <c r="AH1244" s="154"/>
      <c r="AI1244" s="243" t="str">
        <f t="shared" si="5"/>
        <v>N/A</v>
      </c>
      <c r="AJ1244" s="157" t="str">
        <f t="shared" si="6"/>
        <v/>
      </c>
    </row>
    <row r="1245" ht="12.75" customHeight="1">
      <c r="A1245" s="244" t="s">
        <v>2412</v>
      </c>
      <c r="B1245" s="244" t="s">
        <v>3326</v>
      </c>
      <c r="C1245" s="244" t="s">
        <v>3358</v>
      </c>
      <c r="D1245" s="154" t="s">
        <v>1120</v>
      </c>
      <c r="E1245" s="250"/>
      <c r="F1245" s="154" t="str">
        <f t="array" ref="F1245">XLOOKUP(Cover!$D$12,$S$1:$AA$1,$S1245:$AA1245)</f>
        <v>Mandatory</v>
      </c>
      <c r="G1245" s="154" t="s">
        <v>3359</v>
      </c>
      <c r="H1245" s="154"/>
      <c r="I1245" s="154" t="s">
        <v>479</v>
      </c>
      <c r="J1245" s="247" t="s">
        <v>445</v>
      </c>
      <c r="K1245" s="247" t="s">
        <v>3360</v>
      </c>
      <c r="L1245" s="154" t="str">
        <f t="shared" si="1"/>
        <v/>
      </c>
      <c r="M1245" s="248" t="str">
        <f>IFERROR(__xludf.DUMMYFUNCTION("VLOOKUP(C1245,IMPORTRANGE(""https://docs.google.com/spreadsheets/d/1P8eX0NWBhUPS_hvzA11R6jkTNFrPrRYIx_dX_hYbxrk/edit?resourcekey=0-iw9bsKY2OqkUHCFMkCar3A&amp;gid=2055363397#gid=2055363397"",""MTR!C:O""),11,false)"),"PMW-MCE-NAS")</f>
        <v>PMW-MCE-NAS</v>
      </c>
      <c r="N1245" s="248" t="str">
        <f>IFERROR(__xludf.DUMMYFUNCTION("VLOOKUP(C1245,IMPORTRANGE(""https://docs.google.com/spreadsheets/d/1ihFlp3_ePlYtFuPbUNbYj1muErVpI73WHXbEwJDIA7Q/edit#gid=1493122344"",""MTR!C:O""),8,false)"),"Complies")</f>
        <v>Complies</v>
      </c>
      <c r="O1245" s="248" t="str">
        <f>IFERROR(__xludf.DUMMYFUNCTION("VLOOKUP(C1245,IMPORTRANGE(""https://docs.google.com/spreadsheets/d/1P8eX0NWBhUPS_hvzA11R6jkTNFrPrRYIx_dX_hYbxrk/edit?resourcekey=0-iw9bsKY2OqkUHCFMkCar3A&amp;gid=2055363397#gid=2055363397"",""MTR!C:O""),9,false)"),"One : 2G/3G/LTE/5G
Both : 2G/3G/LTE/5G")</f>
        <v>One : 2G/3G/LTE/5G
Both : 2G/3G/LTE/5G</v>
      </c>
      <c r="P1245" s="248"/>
      <c r="Q1245" s="249" t="s">
        <v>445</v>
      </c>
      <c r="R1245" s="249" t="s">
        <v>3360</v>
      </c>
      <c r="S1245" s="154" t="s">
        <v>60</v>
      </c>
      <c r="T1245" s="154" t="s">
        <v>60</v>
      </c>
      <c r="U1245" s="154" t="s">
        <v>60</v>
      </c>
      <c r="V1245" s="154" t="s">
        <v>60</v>
      </c>
      <c r="W1245" s="154" t="s">
        <v>60</v>
      </c>
      <c r="X1245" s="154" t="s">
        <v>60</v>
      </c>
      <c r="Y1245" s="154" t="s">
        <v>60</v>
      </c>
      <c r="Z1245" s="154" t="s">
        <v>60</v>
      </c>
      <c r="AA1245" s="154" t="s">
        <v>60</v>
      </c>
      <c r="AB1245" s="154"/>
      <c r="AC1245" s="242" t="b">
        <f t="shared" si="2"/>
        <v>1</v>
      </c>
      <c r="AD1245" s="154" t="s">
        <v>516</v>
      </c>
      <c r="AE1245" s="243" t="b">
        <f t="shared" si="3"/>
        <v>0</v>
      </c>
      <c r="AF1245" s="154"/>
      <c r="AG1245" s="243" t="b">
        <f t="shared" si="7"/>
        <v>0</v>
      </c>
      <c r="AH1245" s="154"/>
      <c r="AI1245" s="243" t="str">
        <f t="shared" si="5"/>
        <v>N/A</v>
      </c>
      <c r="AJ1245" s="157" t="str">
        <f t="shared" si="6"/>
        <v/>
      </c>
    </row>
    <row r="1246" ht="12.75" customHeight="1">
      <c r="A1246" s="244" t="s">
        <v>2412</v>
      </c>
      <c r="B1246" s="244" t="s">
        <v>3326</v>
      </c>
      <c r="C1246" s="244" t="s">
        <v>3361</v>
      </c>
      <c r="D1246" s="154" t="s">
        <v>861</v>
      </c>
      <c r="E1246" s="250"/>
      <c r="F1246" s="154" t="str">
        <f t="array" ref="F1246">XLOOKUP(Cover!$D$12,$S$1:$AA$1,$S1246:$AA1246)</f>
        <v>Mandatory</v>
      </c>
      <c r="G1246" s="154" t="s">
        <v>3362</v>
      </c>
      <c r="H1246" s="154" t="s">
        <v>3335</v>
      </c>
      <c r="I1246" s="154" t="s">
        <v>479</v>
      </c>
      <c r="J1246" s="247" t="s">
        <v>445</v>
      </c>
      <c r="K1246" s="247"/>
      <c r="L1246" s="154" t="str">
        <f t="shared" si="1"/>
        <v/>
      </c>
      <c r="M1246" s="248" t="str">
        <f>IFERROR(__xludf.DUMMYFUNCTION("VLOOKUP(C1246,IMPORTRANGE(""https://docs.google.com/spreadsheets/d/1P8eX0NWBhUPS_hvzA11R6jkTNFrPrRYIx_dX_hYbxrk/edit?resourcekey=0-iw9bsKY2OqkUHCFMkCar3A&amp;gid=2055363397#gid=2055363397"",""MTR!C:O""),11,false)"),"PMW-MCE-NAS")</f>
        <v>PMW-MCE-NAS</v>
      </c>
      <c r="N1246" s="248" t="str">
        <f>IFERROR(__xludf.DUMMYFUNCTION("VLOOKUP(C1246,IMPORTRANGE(""https://docs.google.com/spreadsheets/d/1ihFlp3_ePlYtFuPbUNbYj1muErVpI73WHXbEwJDIA7Q/edit#gid=1493122344"",""MTR!C:O""),8,false)"),"Complies")</f>
        <v>Complies</v>
      </c>
      <c r="O1246" s="241" t="str">
        <f>IFERROR(__xludf.DUMMYFUNCTION("VLOOKUP(C1246,IMPORTRANGE(""https://docs.google.com/spreadsheets/d/1P8eX0NWBhUPS_hvzA11R6jkTNFrPrRYIx_dX_hYbxrk/edit?resourcekey=0-iw9bsKY2OqkUHCFMkCar3A&amp;gid=2055363397#gid=2055363397"",""MTR!C:O""),9,false)"),"")</f>
        <v/>
      </c>
      <c r="P1246" s="241"/>
      <c r="Q1246" s="251" t="s">
        <v>445</v>
      </c>
      <c r="R1246" s="251"/>
      <c r="S1246" s="154" t="s">
        <v>60</v>
      </c>
      <c r="T1246" s="154" t="s">
        <v>60</v>
      </c>
      <c r="U1246" s="154" t="s">
        <v>60</v>
      </c>
      <c r="V1246" s="154" t="s">
        <v>60</v>
      </c>
      <c r="W1246" s="154" t="s">
        <v>60</v>
      </c>
      <c r="X1246" s="154" t="s">
        <v>60</v>
      </c>
      <c r="Y1246" s="154" t="s">
        <v>60</v>
      </c>
      <c r="Z1246" s="154" t="s">
        <v>60</v>
      </c>
      <c r="AA1246" s="154" t="s">
        <v>60</v>
      </c>
      <c r="AB1246" s="154"/>
      <c r="AC1246" s="242" t="b">
        <f t="shared" si="2"/>
        <v>1</v>
      </c>
      <c r="AD1246" s="154" t="s">
        <v>391</v>
      </c>
      <c r="AE1246" s="243" t="b">
        <f t="shared" si="3"/>
        <v>0</v>
      </c>
      <c r="AF1246" s="154"/>
      <c r="AG1246" s="243" t="b">
        <f t="shared" si="7"/>
        <v>0</v>
      </c>
      <c r="AH1246" s="154"/>
      <c r="AI1246" s="243" t="str">
        <f t="shared" si="5"/>
        <v>N/A</v>
      </c>
      <c r="AJ1246" s="157" t="str">
        <f t="shared" si="6"/>
        <v/>
      </c>
    </row>
    <row r="1247" ht="12.75" customHeight="1">
      <c r="A1247" s="244" t="s">
        <v>2412</v>
      </c>
      <c r="B1247" s="244" t="s">
        <v>3326</v>
      </c>
      <c r="C1247" s="244" t="s">
        <v>3363</v>
      </c>
      <c r="D1247" s="154" t="s">
        <v>739</v>
      </c>
      <c r="E1247" s="250"/>
      <c r="F1247" s="154" t="str">
        <f t="array" ref="F1247">XLOOKUP(Cover!$D$12,$S$1:$AA$1,$S1247:$AA1247)</f>
        <v>Mandatory</v>
      </c>
      <c r="G1247" s="154" t="s">
        <v>3364</v>
      </c>
      <c r="H1247" s="154" t="s">
        <v>3335</v>
      </c>
      <c r="I1247" s="154" t="s">
        <v>479</v>
      </c>
      <c r="J1247" s="247" t="s">
        <v>445</v>
      </c>
      <c r="K1247" s="154"/>
      <c r="L1247" s="154" t="str">
        <f t="shared" si="1"/>
        <v/>
      </c>
      <c r="M1247" s="248" t="str">
        <f>IFERROR(__xludf.DUMMYFUNCTION("VLOOKUP(C1247,IMPORTRANGE(""https://docs.google.com/spreadsheets/d/1P8eX0NWBhUPS_hvzA11R6jkTNFrPrRYIx_dX_hYbxrk/edit?resourcekey=0-iw9bsKY2OqkUHCFMkCar3A&amp;gid=2055363397#gid=2055363397"",""MTR!C:O""),11,false)"),"PMW-MCE-NAS")</f>
        <v>PMW-MCE-NAS</v>
      </c>
      <c r="N1247" s="248" t="str">
        <f>IFERROR(__xludf.DUMMYFUNCTION("VLOOKUP(C1247,IMPORTRANGE(""https://docs.google.com/spreadsheets/d/1ihFlp3_ePlYtFuPbUNbYj1muErVpI73WHXbEwJDIA7Q/edit#gid=1493122344"",""MTR!C:O""),8,false)"),"Complies")</f>
        <v>Complies</v>
      </c>
      <c r="O1247" s="241" t="str">
        <f>IFERROR(__xludf.DUMMYFUNCTION("VLOOKUP(C1247,IMPORTRANGE(""https://docs.google.com/spreadsheets/d/1P8eX0NWBhUPS_hvzA11R6jkTNFrPrRYIx_dX_hYbxrk/edit?resourcekey=0-iw9bsKY2OqkUHCFMkCar3A&amp;gid=2055363397#gid=2055363397"",""MTR!C:O""),9,false)"),"")</f>
        <v/>
      </c>
      <c r="P1247" s="241"/>
      <c r="Q1247" s="251" t="s">
        <v>445</v>
      </c>
      <c r="R1247" s="241"/>
      <c r="S1247" s="154" t="s">
        <v>60</v>
      </c>
      <c r="T1247" s="154" t="s">
        <v>60</v>
      </c>
      <c r="U1247" s="154" t="s">
        <v>60</v>
      </c>
      <c r="V1247" s="154" t="s">
        <v>60</v>
      </c>
      <c r="W1247" s="154" t="s">
        <v>60</v>
      </c>
      <c r="X1247" s="154" t="s">
        <v>60</v>
      </c>
      <c r="Y1247" s="154" t="s">
        <v>60</v>
      </c>
      <c r="Z1247" s="154" t="s">
        <v>60</v>
      </c>
      <c r="AA1247" s="154" t="s">
        <v>60</v>
      </c>
      <c r="AB1247" s="154"/>
      <c r="AC1247" s="242" t="b">
        <f t="shared" si="2"/>
        <v>1</v>
      </c>
      <c r="AD1247" s="154" t="s">
        <v>391</v>
      </c>
      <c r="AE1247" s="243" t="b">
        <f t="shared" si="3"/>
        <v>0</v>
      </c>
      <c r="AF1247" s="154"/>
      <c r="AG1247" s="243" t="b">
        <f t="shared" si="7"/>
        <v>0</v>
      </c>
      <c r="AH1247" s="154"/>
      <c r="AI1247" s="243" t="str">
        <f t="shared" si="5"/>
        <v>N/A</v>
      </c>
      <c r="AJ1247" s="157" t="str">
        <f t="shared" si="6"/>
        <v/>
      </c>
    </row>
    <row r="1248" ht="12.75" customHeight="1">
      <c r="A1248" s="244" t="s">
        <v>2412</v>
      </c>
      <c r="B1248" s="244" t="s">
        <v>3326</v>
      </c>
      <c r="C1248" s="244" t="s">
        <v>3365</v>
      </c>
      <c r="D1248" s="154" t="s">
        <v>1120</v>
      </c>
      <c r="E1248" s="250"/>
      <c r="F1248" s="154" t="str">
        <f t="array" ref="F1248">XLOOKUP(Cover!$D$12,$S$1:$AA$1,$S1248:$AA1248)</f>
        <v>Mandatory</v>
      </c>
      <c r="G1248" s="154" t="s">
        <v>3366</v>
      </c>
      <c r="H1248" s="154" t="s">
        <v>3335</v>
      </c>
      <c r="I1248" s="154" t="s">
        <v>479</v>
      </c>
      <c r="J1248" s="247" t="s">
        <v>445</v>
      </c>
      <c r="K1248" s="247" t="s">
        <v>3367</v>
      </c>
      <c r="L1248" s="154" t="str">
        <f t="shared" si="1"/>
        <v/>
      </c>
      <c r="M1248" s="248" t="str">
        <f>IFERROR(__xludf.DUMMYFUNCTION("VLOOKUP(C1248,IMPORTRANGE(""https://docs.google.com/spreadsheets/d/1P8eX0NWBhUPS_hvzA11R6jkTNFrPrRYIx_dX_hYbxrk/edit?resourcekey=0-iw9bsKY2OqkUHCFMkCar3A&amp;gid=2055363397#gid=2055363397"",""MTR!C:O""),11,false)"),"PMW-MCE-NAS")</f>
        <v>PMW-MCE-NAS</v>
      </c>
      <c r="N1248" s="248" t="str">
        <f>IFERROR(__xludf.DUMMYFUNCTION("VLOOKUP(C1248,IMPORTRANGE(""https://docs.google.com/spreadsheets/d/1ihFlp3_ePlYtFuPbUNbYj1muErVpI73WHXbEwJDIA7Q/edit#gid=1493122344"",""MTR!C:O""),8,false)"),"Complies")</f>
        <v>Complies</v>
      </c>
      <c r="O1248" s="248" t="str">
        <f>IFERROR(__xludf.DUMMYFUNCTION("VLOOKUP(C1248,IMPORTRANGE(""https://docs.google.com/spreadsheets/d/1P8eX0NWBhUPS_hvzA11R6jkTNFrPrRYIx_dX_hYbxrk/edit?resourcekey=0-iw9bsKY2OqkUHCFMkCar3A&amp;gid=2055363397#gid=2055363397"",""MTR!C:O""),9,false)"),"For Dual SIM scenario, there is no restriction. However for dual Volte and DRDS (dual Rx for LTE+LTE.) cases, number of Rx paths supported per SIM and band combinations may be restricted.")</f>
        <v>For Dual SIM scenario, there is no restriction. However for dual Volte and DRDS (dual Rx for LTE+LTE.) cases, number of Rx paths supported per SIM and band combinations may be restricted.</v>
      </c>
      <c r="P1248" s="248"/>
      <c r="Q1248" s="249" t="s">
        <v>445</v>
      </c>
      <c r="R1248" s="249" t="s">
        <v>3367</v>
      </c>
      <c r="S1248" s="154" t="s">
        <v>60</v>
      </c>
      <c r="T1248" s="154" t="s">
        <v>60</v>
      </c>
      <c r="U1248" s="154" t="s">
        <v>60</v>
      </c>
      <c r="V1248" s="154" t="s">
        <v>60</v>
      </c>
      <c r="W1248" s="154" t="s">
        <v>60</v>
      </c>
      <c r="X1248" s="154" t="s">
        <v>60</v>
      </c>
      <c r="Y1248" s="154" t="s">
        <v>60</v>
      </c>
      <c r="Z1248" s="154" t="s">
        <v>60</v>
      </c>
      <c r="AA1248" s="154" t="s">
        <v>60</v>
      </c>
      <c r="AB1248" s="154"/>
      <c r="AC1248" s="242" t="b">
        <f t="shared" si="2"/>
        <v>1</v>
      </c>
      <c r="AD1248" s="154" t="s">
        <v>516</v>
      </c>
      <c r="AE1248" s="243" t="b">
        <f t="shared" si="3"/>
        <v>0</v>
      </c>
      <c r="AF1248" s="154"/>
      <c r="AG1248" s="243" t="b">
        <f t="shared" si="7"/>
        <v>0</v>
      </c>
      <c r="AH1248" s="154"/>
      <c r="AI1248" s="243" t="str">
        <f t="shared" si="5"/>
        <v>N/A</v>
      </c>
      <c r="AJ1248" s="157" t="str">
        <f t="shared" si="6"/>
        <v/>
      </c>
    </row>
    <row r="1249" ht="12.75" customHeight="1">
      <c r="A1249" s="244" t="s">
        <v>2412</v>
      </c>
      <c r="B1249" s="244" t="s">
        <v>3326</v>
      </c>
      <c r="C1249" s="244" t="s">
        <v>3368</v>
      </c>
      <c r="D1249" s="154" t="s">
        <v>781</v>
      </c>
      <c r="E1249" s="250"/>
      <c r="F1249" s="154" t="str">
        <f t="array" ref="F1249">XLOOKUP(Cover!$D$12,$S$1:$AA$1,$S1249:$AA1249)</f>
        <v>Mandatory</v>
      </c>
      <c r="G1249" s="154" t="s">
        <v>3369</v>
      </c>
      <c r="H1249" s="154" t="s">
        <v>3335</v>
      </c>
      <c r="I1249" s="154" t="s">
        <v>479</v>
      </c>
      <c r="J1249" s="247" t="s">
        <v>445</v>
      </c>
      <c r="K1249" s="247" t="s">
        <v>3370</v>
      </c>
      <c r="L1249" s="154" t="str">
        <f t="shared" si="1"/>
        <v/>
      </c>
      <c r="M1249" s="248" t="str">
        <f>IFERROR(__xludf.DUMMYFUNCTION("VLOOKUP(C1249,IMPORTRANGE(""https://docs.google.com/spreadsheets/d/1P8eX0NWBhUPS_hvzA11R6jkTNFrPrRYIx_dX_hYbxrk/edit?resourcekey=0-iw9bsKY2OqkUHCFMkCar3A&amp;gid=2055363397#gid=2055363397"",""MTR!C:O""),11,false)"),"PMW-MCE-NAS")</f>
        <v>PMW-MCE-NAS</v>
      </c>
      <c r="N1249" s="248" t="str">
        <f>IFERROR(__xludf.DUMMYFUNCTION("VLOOKUP(C1249,IMPORTRANGE(""https://docs.google.com/spreadsheets/d/1ihFlp3_ePlYtFuPbUNbYj1muErVpI73WHXbEwJDIA7Q/edit#gid=1493122344"",""MTR!C:O""),8,false)"),"Complies")</f>
        <v>Complies</v>
      </c>
      <c r="O1249" s="248" t="str">
        <f>IFERROR(__xludf.DUMMYFUNCTION("VLOOKUP(C1249,IMPORTRANGE(""https://docs.google.com/spreadsheets/d/1P8eX0NWBhUPS_hvzA11R6jkTNFrPrRYIx_dX_hYbxrk/edit?resourcekey=0-iw9bsKY2OqkUHCFMkCar3A&amp;gid=2055363397#gid=2055363397"",""MTR!C:O""),9,false)"),"NR ( SA or NSA) + LTE mode are supported. The CA,MIMO capa will be same  as in single SIM. No specific restriction.")</f>
        <v>NR ( SA or NSA) + LTE mode are supported. The CA,MIMO capa will be same  as in single SIM. No specific restriction.</v>
      </c>
      <c r="P1249" s="248"/>
      <c r="Q1249" s="249" t="s">
        <v>445</v>
      </c>
      <c r="R1249" s="249" t="s">
        <v>3370</v>
      </c>
      <c r="S1249" s="154" t="s">
        <v>60</v>
      </c>
      <c r="T1249" s="154" t="s">
        <v>60</v>
      </c>
      <c r="U1249" s="154" t="s">
        <v>60</v>
      </c>
      <c r="V1249" s="154" t="s">
        <v>60</v>
      </c>
      <c r="W1249" s="154" t="s">
        <v>60</v>
      </c>
      <c r="X1249" s="154" t="s">
        <v>60</v>
      </c>
      <c r="Y1249" s="154" t="s">
        <v>60</v>
      </c>
      <c r="Z1249" s="154" t="s">
        <v>60</v>
      </c>
      <c r="AA1249" s="154" t="s">
        <v>60</v>
      </c>
      <c r="AB1249" s="154"/>
      <c r="AC1249" s="242" t="b">
        <f t="shared" si="2"/>
        <v>1</v>
      </c>
      <c r="AD1249" s="154" t="s">
        <v>516</v>
      </c>
      <c r="AE1249" s="243" t="b">
        <f t="shared" si="3"/>
        <v>0</v>
      </c>
      <c r="AF1249" s="154"/>
      <c r="AG1249" s="243" t="b">
        <f t="shared" si="7"/>
        <v>0</v>
      </c>
      <c r="AH1249" s="154"/>
      <c r="AI1249" s="243" t="str">
        <f t="shared" si="5"/>
        <v>N/A</v>
      </c>
      <c r="AJ1249" s="157" t="str">
        <f t="shared" si="6"/>
        <v/>
      </c>
    </row>
    <row r="1250" ht="12.75" customHeight="1">
      <c r="A1250" s="238" t="s">
        <v>2412</v>
      </c>
      <c r="B1250" s="238" t="s">
        <v>3326</v>
      </c>
      <c r="C1250" s="238" t="s">
        <v>3371</v>
      </c>
      <c r="D1250" s="238"/>
      <c r="E1250" s="238"/>
      <c r="F1250" s="154" t="str">
        <f t="array" ref="F1250">XLOOKUP(Cover!$D$12,$S$1:$AA$1,$S1250:$AA1250)</f>
        <v>Heading</v>
      </c>
      <c r="G1250" s="239" t="s">
        <v>3372</v>
      </c>
      <c r="H1250" s="240"/>
      <c r="I1250" s="240" t="s">
        <v>479</v>
      </c>
      <c r="J1250" s="262"/>
      <c r="K1250" s="262"/>
      <c r="L1250" s="154" t="str">
        <f t="shared" si="1"/>
        <v/>
      </c>
      <c r="M1250" s="241" t="str">
        <f>IFERROR(__xludf.DUMMYFUNCTION("VLOOKUP(C1250,IMPORTRANGE(""https://docs.google.com/spreadsheets/d/1P8eX0NWBhUPS_hvzA11R6jkTNFrPrRYIx_dX_hYbxrk/edit?resourcekey=0-iw9bsKY2OqkUHCFMkCar3A&amp;gid=2055363397#gid=2055363397"",""MTR!C:O""),11,false)"),"")</f>
        <v/>
      </c>
      <c r="N1250" s="241" t="str">
        <f>IFERROR(__xludf.DUMMYFUNCTION("VLOOKUP(C1250,IMPORTRANGE(""https://docs.google.com/spreadsheets/d/1ihFlp3_ePlYtFuPbUNbYj1muErVpI73WHXbEwJDIA7Q/edit#gid=1493122344"",""MTR!C:O""),8,false)"),"")</f>
        <v/>
      </c>
      <c r="O1250" s="241" t="str">
        <f>IFERROR(__xludf.DUMMYFUNCTION("VLOOKUP(C1250,IMPORTRANGE(""https://docs.google.com/spreadsheets/d/1P8eX0NWBhUPS_hvzA11R6jkTNFrPrRYIx_dX_hYbxrk/edit?resourcekey=0-iw9bsKY2OqkUHCFMkCar3A&amp;gid=2055363397#gid=2055363397"",""MTR!C:O""),9,false)"),"")</f>
        <v/>
      </c>
      <c r="P1250" s="241"/>
      <c r="Q1250" s="251"/>
      <c r="R1250" s="251"/>
      <c r="S1250" s="240" t="s">
        <v>390</v>
      </c>
      <c r="T1250" s="240" t="s">
        <v>390</v>
      </c>
      <c r="U1250" s="240" t="s">
        <v>390</v>
      </c>
      <c r="V1250" s="240" t="s">
        <v>390</v>
      </c>
      <c r="W1250" s="240" t="s">
        <v>390</v>
      </c>
      <c r="X1250" s="240" t="s">
        <v>390</v>
      </c>
      <c r="Y1250" s="240" t="s">
        <v>390</v>
      </c>
      <c r="Z1250" s="240" t="s">
        <v>390</v>
      </c>
      <c r="AA1250" s="240" t="s">
        <v>390</v>
      </c>
      <c r="AB1250" s="240"/>
      <c r="AC1250" s="242" t="b">
        <f t="shared" si="2"/>
        <v>0</v>
      </c>
      <c r="AD1250" s="240" t="s">
        <v>391</v>
      </c>
      <c r="AE1250" s="243" t="b">
        <f t="shared" si="3"/>
        <v>0</v>
      </c>
      <c r="AF1250" s="240"/>
      <c r="AG1250" s="243" t="b">
        <f t="shared" si="7"/>
        <v>0</v>
      </c>
      <c r="AH1250" s="240"/>
      <c r="AI1250" s="243" t="str">
        <f t="shared" si="5"/>
        <v>N/A</v>
      </c>
      <c r="AJ1250" s="157" t="str">
        <f t="shared" si="6"/>
        <v/>
      </c>
    </row>
    <row r="1251" ht="12.75" customHeight="1">
      <c r="A1251" s="244" t="s">
        <v>2412</v>
      </c>
      <c r="B1251" s="244" t="s">
        <v>3326</v>
      </c>
      <c r="C1251" s="244" t="s">
        <v>3373</v>
      </c>
      <c r="D1251" s="154" t="s">
        <v>739</v>
      </c>
      <c r="E1251" s="250"/>
      <c r="F1251" s="154" t="str">
        <f t="array" ref="F1251">XLOOKUP(Cover!$D$12,$S$1:$AA$1,$S1251:$AA1251)</f>
        <v>Mandatory</v>
      </c>
      <c r="G1251" s="154" t="s">
        <v>3374</v>
      </c>
      <c r="H1251" s="154" t="s">
        <v>3335</v>
      </c>
      <c r="I1251" s="154" t="s">
        <v>479</v>
      </c>
      <c r="J1251" s="247" t="s">
        <v>445</v>
      </c>
      <c r="K1251" s="154"/>
      <c r="L1251" s="154" t="str">
        <f t="shared" si="1"/>
        <v/>
      </c>
      <c r="M1251" s="248" t="str">
        <f>IFERROR(__xludf.DUMMYFUNCTION("VLOOKUP(C1251,IMPORTRANGE(""https://docs.google.com/spreadsheets/d/1P8eX0NWBhUPS_hvzA11R6jkTNFrPrRYIx_dX_hYbxrk/edit?resourcekey=0-iw9bsKY2OqkUHCFMkCar3A&amp;gid=2055363397#gid=2055363397"",""MTR!C:O""),11,false)"),"PMW-MCE-NAS")</f>
        <v>PMW-MCE-NAS</v>
      </c>
      <c r="N1251" s="248" t="str">
        <f>IFERROR(__xludf.DUMMYFUNCTION("VLOOKUP(C1251,IMPORTRANGE(""https://docs.google.com/spreadsheets/d/1ihFlp3_ePlYtFuPbUNbYj1muErVpI73WHXbEwJDIA7Q/edit#gid=1493122344"",""MTR!C:O""),8,false)"),"Complies")</f>
        <v>Complies</v>
      </c>
      <c r="O1251" s="241" t="str">
        <f>IFERROR(__xludf.DUMMYFUNCTION("VLOOKUP(C1251,IMPORTRANGE(""https://docs.google.com/spreadsheets/d/1P8eX0NWBhUPS_hvzA11R6jkTNFrPrRYIx_dX_hYbxrk/edit?resourcekey=0-iw9bsKY2OqkUHCFMkCar3A&amp;gid=2055363397#gid=2055363397"",""MTR!C:O""),9,false)"),"")</f>
        <v/>
      </c>
      <c r="P1251" s="241"/>
      <c r="Q1251" s="251" t="s">
        <v>445</v>
      </c>
      <c r="R1251" s="241"/>
      <c r="S1251" s="154" t="s">
        <v>60</v>
      </c>
      <c r="T1251" s="154" t="s">
        <v>60</v>
      </c>
      <c r="U1251" s="154" t="s">
        <v>60</v>
      </c>
      <c r="V1251" s="154" t="s">
        <v>60</v>
      </c>
      <c r="W1251" s="154" t="s">
        <v>60</v>
      </c>
      <c r="X1251" s="154" t="s">
        <v>60</v>
      </c>
      <c r="Y1251" s="154" t="s">
        <v>60</v>
      </c>
      <c r="Z1251" s="154" t="s">
        <v>60</v>
      </c>
      <c r="AA1251" s="154" t="s">
        <v>60</v>
      </c>
      <c r="AB1251" s="154"/>
      <c r="AC1251" s="242" t="b">
        <f t="shared" si="2"/>
        <v>1</v>
      </c>
      <c r="AD1251" s="154" t="s">
        <v>391</v>
      </c>
      <c r="AE1251" s="243" t="b">
        <f t="shared" si="3"/>
        <v>0</v>
      </c>
      <c r="AF1251" s="154"/>
      <c r="AG1251" s="243" t="b">
        <f t="shared" si="7"/>
        <v>0</v>
      </c>
      <c r="AH1251" s="154"/>
      <c r="AI1251" s="243" t="str">
        <f t="shared" si="5"/>
        <v>N/A</v>
      </c>
      <c r="AJ1251" s="157" t="str">
        <f t="shared" si="6"/>
        <v/>
      </c>
    </row>
    <row r="1252" ht="12.75" customHeight="1">
      <c r="A1252" s="244" t="s">
        <v>2412</v>
      </c>
      <c r="B1252" s="244" t="s">
        <v>3326</v>
      </c>
      <c r="C1252" s="244" t="s">
        <v>3375</v>
      </c>
      <c r="D1252" s="154" t="s">
        <v>739</v>
      </c>
      <c r="E1252" s="250"/>
      <c r="F1252" s="154" t="str">
        <f t="array" ref="F1252">XLOOKUP(Cover!$D$12,$S$1:$AA$1,$S1252:$AA1252)</f>
        <v>Mandatory</v>
      </c>
      <c r="G1252" s="154" t="s">
        <v>3376</v>
      </c>
      <c r="H1252" s="154" t="s">
        <v>3335</v>
      </c>
      <c r="I1252" s="154" t="s">
        <v>479</v>
      </c>
      <c r="J1252" s="247" t="s">
        <v>445</v>
      </c>
      <c r="K1252" s="154"/>
      <c r="L1252" s="154" t="str">
        <f t="shared" si="1"/>
        <v/>
      </c>
      <c r="M1252" s="248" t="str">
        <f>IFERROR(__xludf.DUMMYFUNCTION("VLOOKUP(C1252,IMPORTRANGE(""https://docs.google.com/spreadsheets/d/1P8eX0NWBhUPS_hvzA11R6jkTNFrPrRYIx_dX_hYbxrk/edit?resourcekey=0-iw9bsKY2OqkUHCFMkCar3A&amp;gid=2055363397#gid=2055363397"",""MTR!C:O""),11,false)"),"PMW-MCE-NAS")</f>
        <v>PMW-MCE-NAS</v>
      </c>
      <c r="N1252" s="248" t="str">
        <f>IFERROR(__xludf.DUMMYFUNCTION("VLOOKUP(C1252,IMPORTRANGE(""https://docs.google.com/spreadsheets/d/1ihFlp3_ePlYtFuPbUNbYj1muErVpI73WHXbEwJDIA7Q/edit#gid=1493122344"",""MTR!C:O""),8,false)"),"Complies")</f>
        <v>Complies</v>
      </c>
      <c r="O1252" s="241" t="str">
        <f>IFERROR(__xludf.DUMMYFUNCTION("VLOOKUP(C1252,IMPORTRANGE(""https://docs.google.com/spreadsheets/d/1P8eX0NWBhUPS_hvzA11R6jkTNFrPrRYIx_dX_hYbxrk/edit?resourcekey=0-iw9bsKY2OqkUHCFMkCar3A&amp;gid=2055363397#gid=2055363397"",""MTR!C:O""),9,false)"),"")</f>
        <v/>
      </c>
      <c r="P1252" s="241"/>
      <c r="Q1252" s="251" t="s">
        <v>445</v>
      </c>
      <c r="R1252" s="241"/>
      <c r="S1252" s="154" t="s">
        <v>60</v>
      </c>
      <c r="T1252" s="154" t="s">
        <v>60</v>
      </c>
      <c r="U1252" s="154" t="s">
        <v>60</v>
      </c>
      <c r="V1252" s="154" t="s">
        <v>60</v>
      </c>
      <c r="W1252" s="154" t="s">
        <v>60</v>
      </c>
      <c r="X1252" s="154" t="s">
        <v>60</v>
      </c>
      <c r="Y1252" s="154" t="s">
        <v>60</v>
      </c>
      <c r="Z1252" s="154" t="s">
        <v>60</v>
      </c>
      <c r="AA1252" s="154" t="s">
        <v>60</v>
      </c>
      <c r="AB1252" s="154"/>
      <c r="AC1252" s="242" t="b">
        <f t="shared" si="2"/>
        <v>1</v>
      </c>
      <c r="AD1252" s="154" t="s">
        <v>391</v>
      </c>
      <c r="AE1252" s="243" t="b">
        <f t="shared" si="3"/>
        <v>0</v>
      </c>
      <c r="AF1252" s="154"/>
      <c r="AG1252" s="243" t="b">
        <f t="shared" si="7"/>
        <v>0</v>
      </c>
      <c r="AH1252" s="154"/>
      <c r="AI1252" s="243" t="str">
        <f t="shared" si="5"/>
        <v>N/A</v>
      </c>
      <c r="AJ1252" s="157" t="str">
        <f t="shared" si="6"/>
        <v/>
      </c>
    </row>
    <row r="1253" ht="12.75" customHeight="1">
      <c r="A1253" s="244" t="s">
        <v>2412</v>
      </c>
      <c r="B1253" s="244" t="s">
        <v>3326</v>
      </c>
      <c r="C1253" s="244" t="s">
        <v>3377</v>
      </c>
      <c r="D1253" s="154" t="s">
        <v>739</v>
      </c>
      <c r="E1253" s="250"/>
      <c r="F1253" s="154" t="str">
        <f t="array" ref="F1253">XLOOKUP(Cover!$D$12,$S$1:$AA$1,$S1253:$AA1253)</f>
        <v>Mandatory</v>
      </c>
      <c r="G1253" s="154" t="s">
        <v>3378</v>
      </c>
      <c r="H1253" s="154" t="s">
        <v>3335</v>
      </c>
      <c r="I1253" s="154" t="s">
        <v>479</v>
      </c>
      <c r="J1253" s="247" t="s">
        <v>445</v>
      </c>
      <c r="K1253" s="154"/>
      <c r="L1253" s="154" t="str">
        <f t="shared" si="1"/>
        <v/>
      </c>
      <c r="M1253" s="248" t="str">
        <f>IFERROR(__xludf.DUMMYFUNCTION("VLOOKUP(C1253,IMPORTRANGE(""https://docs.google.com/spreadsheets/d/1P8eX0NWBhUPS_hvzA11R6jkTNFrPrRYIx_dX_hYbxrk/edit?resourcekey=0-iw9bsKY2OqkUHCFMkCar3A&amp;gid=2055363397#gid=2055363397"",""MTR!C:O""),11,false)"),"PMW-MCE-NAS")</f>
        <v>PMW-MCE-NAS</v>
      </c>
      <c r="N1253" s="248" t="str">
        <f>IFERROR(__xludf.DUMMYFUNCTION("VLOOKUP(C1253,IMPORTRANGE(""https://docs.google.com/spreadsheets/d/1ihFlp3_ePlYtFuPbUNbYj1muErVpI73WHXbEwJDIA7Q/edit#gid=1493122344"",""MTR!C:O""),8,false)"),"Complies")</f>
        <v>Complies</v>
      </c>
      <c r="O1253" s="241" t="str">
        <f>IFERROR(__xludf.DUMMYFUNCTION("VLOOKUP(C1253,IMPORTRANGE(""https://docs.google.com/spreadsheets/d/1P8eX0NWBhUPS_hvzA11R6jkTNFrPrRYIx_dX_hYbxrk/edit?resourcekey=0-iw9bsKY2OqkUHCFMkCar3A&amp;gid=2055363397#gid=2055363397"",""MTR!C:O""),9,false)"),"")</f>
        <v/>
      </c>
      <c r="P1253" s="241"/>
      <c r="Q1253" s="251" t="s">
        <v>445</v>
      </c>
      <c r="R1253" s="241"/>
      <c r="S1253" s="154" t="s">
        <v>60</v>
      </c>
      <c r="T1253" s="154" t="s">
        <v>60</v>
      </c>
      <c r="U1253" s="154" t="s">
        <v>60</v>
      </c>
      <c r="V1253" s="154" t="s">
        <v>60</v>
      </c>
      <c r="W1253" s="154" t="s">
        <v>60</v>
      </c>
      <c r="X1253" s="154" t="s">
        <v>60</v>
      </c>
      <c r="Y1253" s="154" t="s">
        <v>60</v>
      </c>
      <c r="Z1253" s="154" t="s">
        <v>60</v>
      </c>
      <c r="AA1253" s="154" t="s">
        <v>60</v>
      </c>
      <c r="AB1253" s="154"/>
      <c r="AC1253" s="242" t="b">
        <f t="shared" si="2"/>
        <v>1</v>
      </c>
      <c r="AD1253" s="154" t="s">
        <v>391</v>
      </c>
      <c r="AE1253" s="243" t="b">
        <f t="shared" si="3"/>
        <v>0</v>
      </c>
      <c r="AF1253" s="154"/>
      <c r="AG1253" s="243" t="b">
        <f t="shared" si="7"/>
        <v>0</v>
      </c>
      <c r="AH1253" s="154"/>
      <c r="AI1253" s="243" t="str">
        <f t="shared" si="5"/>
        <v>N/A</v>
      </c>
      <c r="AJ1253" s="157" t="str">
        <f t="shared" si="6"/>
        <v/>
      </c>
    </row>
    <row r="1254" ht="12.75" customHeight="1">
      <c r="A1254" s="244" t="s">
        <v>2412</v>
      </c>
      <c r="B1254" s="244" t="s">
        <v>3326</v>
      </c>
      <c r="C1254" s="244" t="s">
        <v>3379</v>
      </c>
      <c r="D1254" s="154" t="s">
        <v>739</v>
      </c>
      <c r="E1254" s="250"/>
      <c r="F1254" s="154" t="str">
        <f t="array" ref="F1254">XLOOKUP(Cover!$D$12,$S$1:$AA$1,$S1254:$AA1254)</f>
        <v>Recommended</v>
      </c>
      <c r="G1254" s="154" t="s">
        <v>3380</v>
      </c>
      <c r="H1254" s="154"/>
      <c r="I1254" s="154" t="s">
        <v>479</v>
      </c>
      <c r="J1254" s="247" t="s">
        <v>445</v>
      </c>
      <c r="K1254" s="154"/>
      <c r="L1254" s="154" t="str">
        <f t="shared" si="1"/>
        <v/>
      </c>
      <c r="M1254" s="248" t="str">
        <f>IFERROR(__xludf.DUMMYFUNCTION("VLOOKUP(C1254,IMPORTRANGE(""https://docs.google.com/spreadsheets/d/1P8eX0NWBhUPS_hvzA11R6jkTNFrPrRYIx_dX_hYbxrk/edit?resourcekey=0-iw9bsKY2OqkUHCFMkCar3A&amp;gid=2055363397#gid=2055363397"",""MTR!C:O""),11,false)"),"PMW-MCE-NAS")</f>
        <v>PMW-MCE-NAS</v>
      </c>
      <c r="N1254" s="248" t="str">
        <f>IFERROR(__xludf.DUMMYFUNCTION("VLOOKUP(C1254,IMPORTRANGE(""https://docs.google.com/spreadsheets/d/1ihFlp3_ePlYtFuPbUNbYj1muErVpI73WHXbEwJDIA7Q/edit#gid=1493122344"",""MTR!C:O""),8,false)"),"Complies")</f>
        <v>Complies</v>
      </c>
      <c r="O1254" s="241" t="str">
        <f>IFERROR(__xludf.DUMMYFUNCTION("VLOOKUP(C1254,IMPORTRANGE(""https://docs.google.com/spreadsheets/d/1P8eX0NWBhUPS_hvzA11R6jkTNFrPrRYIx_dX_hYbxrk/edit?resourcekey=0-iw9bsKY2OqkUHCFMkCar3A&amp;gid=2055363397#gid=2055363397"",""MTR!C:O""),9,false)"),"")</f>
        <v/>
      </c>
      <c r="P1254" s="241"/>
      <c r="Q1254" s="251" t="s">
        <v>445</v>
      </c>
      <c r="R1254" s="241"/>
      <c r="S1254" s="154" t="s">
        <v>64</v>
      </c>
      <c r="T1254" s="154" t="s">
        <v>64</v>
      </c>
      <c r="U1254" s="154" t="s">
        <v>64</v>
      </c>
      <c r="V1254" s="154" t="s">
        <v>64</v>
      </c>
      <c r="W1254" s="154" t="s">
        <v>64</v>
      </c>
      <c r="X1254" s="154" t="s">
        <v>64</v>
      </c>
      <c r="Y1254" s="154" t="s">
        <v>64</v>
      </c>
      <c r="Z1254" s="154" t="s">
        <v>64</v>
      </c>
      <c r="AA1254" s="154" t="s">
        <v>64</v>
      </c>
      <c r="AB1254" s="154"/>
      <c r="AC1254" s="242" t="b">
        <f t="shared" si="2"/>
        <v>1</v>
      </c>
      <c r="AD1254" s="154" t="s">
        <v>391</v>
      </c>
      <c r="AE1254" s="243" t="b">
        <f t="shared" si="3"/>
        <v>0</v>
      </c>
      <c r="AF1254" s="154"/>
      <c r="AG1254" s="243" t="b">
        <f t="shared" si="7"/>
        <v>0</v>
      </c>
      <c r="AH1254" s="154"/>
      <c r="AI1254" s="243" t="str">
        <f t="shared" si="5"/>
        <v>N/A</v>
      </c>
      <c r="AJ1254" s="157" t="str">
        <f t="shared" si="6"/>
        <v/>
      </c>
    </row>
    <row r="1255" ht="12.75" customHeight="1">
      <c r="A1255" s="244" t="s">
        <v>2412</v>
      </c>
      <c r="B1255" s="244" t="s">
        <v>3326</v>
      </c>
      <c r="C1255" s="244" t="s">
        <v>3381</v>
      </c>
      <c r="D1255" s="154" t="s">
        <v>739</v>
      </c>
      <c r="E1255" s="250"/>
      <c r="F1255" s="154" t="str">
        <f t="array" ref="F1255">XLOOKUP(Cover!$D$12,$S$1:$AA$1,$S1255:$AA1255)</f>
        <v>Mandatory</v>
      </c>
      <c r="G1255" s="154" t="s">
        <v>3382</v>
      </c>
      <c r="H1255" s="154" t="s">
        <v>3335</v>
      </c>
      <c r="I1255" s="154" t="s">
        <v>479</v>
      </c>
      <c r="J1255" s="247" t="s">
        <v>445</v>
      </c>
      <c r="K1255" s="154"/>
      <c r="L1255" s="154" t="str">
        <f t="shared" si="1"/>
        <v/>
      </c>
      <c r="M1255" s="248" t="str">
        <f>IFERROR(__xludf.DUMMYFUNCTION("VLOOKUP(C1255,IMPORTRANGE(""https://docs.google.com/spreadsheets/d/1P8eX0NWBhUPS_hvzA11R6jkTNFrPrRYIx_dX_hYbxrk/edit?resourcekey=0-iw9bsKY2OqkUHCFMkCar3A&amp;gid=2055363397#gid=2055363397"",""MTR!C:O""),11,false)"),"PMW-MCE-NAS")</f>
        <v>PMW-MCE-NAS</v>
      </c>
      <c r="N1255" s="248" t="str">
        <f>IFERROR(__xludf.DUMMYFUNCTION("VLOOKUP(C1255,IMPORTRANGE(""https://docs.google.com/spreadsheets/d/1ihFlp3_ePlYtFuPbUNbYj1muErVpI73WHXbEwJDIA7Q/edit#gid=1493122344"",""MTR!C:O""),8,false)"),"Complies")</f>
        <v>Complies</v>
      </c>
      <c r="O1255" s="241" t="str">
        <f>IFERROR(__xludf.DUMMYFUNCTION("VLOOKUP(C1255,IMPORTRANGE(""https://docs.google.com/spreadsheets/d/1P8eX0NWBhUPS_hvzA11R6jkTNFrPrRYIx_dX_hYbxrk/edit?resourcekey=0-iw9bsKY2OqkUHCFMkCar3A&amp;gid=2055363397#gid=2055363397"",""MTR!C:O""),9,false)"),"")</f>
        <v/>
      </c>
      <c r="P1255" s="241"/>
      <c r="Q1255" s="251" t="s">
        <v>445</v>
      </c>
      <c r="R1255" s="241"/>
      <c r="S1255" s="154" t="s">
        <v>60</v>
      </c>
      <c r="T1255" s="154" t="s">
        <v>60</v>
      </c>
      <c r="U1255" s="154" t="s">
        <v>60</v>
      </c>
      <c r="V1255" s="154" t="s">
        <v>60</v>
      </c>
      <c r="W1255" s="154" t="s">
        <v>60</v>
      </c>
      <c r="X1255" s="154" t="s">
        <v>60</v>
      </c>
      <c r="Y1255" s="154" t="s">
        <v>60</v>
      </c>
      <c r="Z1255" s="154" t="s">
        <v>60</v>
      </c>
      <c r="AA1255" s="154" t="s">
        <v>60</v>
      </c>
      <c r="AB1255" s="154"/>
      <c r="AC1255" s="242" t="b">
        <f t="shared" si="2"/>
        <v>1</v>
      </c>
      <c r="AD1255" s="154" t="s">
        <v>391</v>
      </c>
      <c r="AE1255" s="243" t="b">
        <f t="shared" si="3"/>
        <v>0</v>
      </c>
      <c r="AF1255" s="154"/>
      <c r="AG1255" s="243" t="b">
        <f t="shared" si="7"/>
        <v>0</v>
      </c>
      <c r="AH1255" s="154"/>
      <c r="AI1255" s="243" t="str">
        <f t="shared" si="5"/>
        <v>N/A</v>
      </c>
      <c r="AJ1255" s="157" t="str">
        <f t="shared" si="6"/>
        <v/>
      </c>
    </row>
    <row r="1256" ht="12.75" customHeight="1">
      <c r="A1256" s="244" t="s">
        <v>2412</v>
      </c>
      <c r="B1256" s="244" t="s">
        <v>3326</v>
      </c>
      <c r="C1256" s="244" t="s">
        <v>3383</v>
      </c>
      <c r="D1256" s="154" t="s">
        <v>739</v>
      </c>
      <c r="E1256" s="250"/>
      <c r="F1256" s="154" t="str">
        <f t="array" ref="F1256">XLOOKUP(Cover!$D$12,$S$1:$AA$1,$S1256:$AA1256)</f>
        <v>Mandatory</v>
      </c>
      <c r="G1256" s="154" t="s">
        <v>3384</v>
      </c>
      <c r="H1256" s="154" t="s">
        <v>3335</v>
      </c>
      <c r="I1256" s="154" t="s">
        <v>479</v>
      </c>
      <c r="J1256" s="247" t="s">
        <v>445</v>
      </c>
      <c r="K1256" s="154"/>
      <c r="L1256" s="154" t="str">
        <f t="shared" si="1"/>
        <v/>
      </c>
      <c r="M1256" s="248" t="str">
        <f>IFERROR(__xludf.DUMMYFUNCTION("VLOOKUP(C1256,IMPORTRANGE(""https://docs.google.com/spreadsheets/d/1P8eX0NWBhUPS_hvzA11R6jkTNFrPrRYIx_dX_hYbxrk/edit?resourcekey=0-iw9bsKY2OqkUHCFMkCar3A&amp;gid=2055363397#gid=2055363397"",""MTR!C:O""),11,false)"),"PMW-MCE-NAS")</f>
        <v>PMW-MCE-NAS</v>
      </c>
      <c r="N1256" s="248" t="str">
        <f>IFERROR(__xludf.DUMMYFUNCTION("VLOOKUP(C1256,IMPORTRANGE(""https://docs.google.com/spreadsheets/d/1ihFlp3_ePlYtFuPbUNbYj1muErVpI73WHXbEwJDIA7Q/edit#gid=1493122344"",""MTR!C:O""),8,false)"),"Complies")</f>
        <v>Complies</v>
      </c>
      <c r="O1256" s="241" t="str">
        <f>IFERROR(__xludf.DUMMYFUNCTION("VLOOKUP(C1256,IMPORTRANGE(""https://docs.google.com/spreadsheets/d/1P8eX0NWBhUPS_hvzA11R6jkTNFrPrRYIx_dX_hYbxrk/edit?resourcekey=0-iw9bsKY2OqkUHCFMkCar3A&amp;gid=2055363397#gid=2055363397"",""MTR!C:O""),9,false)"),"")</f>
        <v/>
      </c>
      <c r="P1256" s="241"/>
      <c r="Q1256" s="251" t="s">
        <v>445</v>
      </c>
      <c r="R1256" s="241"/>
      <c r="S1256" s="154" t="s">
        <v>60</v>
      </c>
      <c r="T1256" s="154" t="s">
        <v>60</v>
      </c>
      <c r="U1256" s="154" t="s">
        <v>60</v>
      </c>
      <c r="V1256" s="154" t="s">
        <v>60</v>
      </c>
      <c r="W1256" s="154" t="s">
        <v>60</v>
      </c>
      <c r="X1256" s="154" t="s">
        <v>60</v>
      </c>
      <c r="Y1256" s="154" t="s">
        <v>60</v>
      </c>
      <c r="Z1256" s="154" t="s">
        <v>60</v>
      </c>
      <c r="AA1256" s="154" t="s">
        <v>60</v>
      </c>
      <c r="AB1256" s="154"/>
      <c r="AC1256" s="242" t="b">
        <f t="shared" si="2"/>
        <v>1</v>
      </c>
      <c r="AD1256" s="154" t="s">
        <v>391</v>
      </c>
      <c r="AE1256" s="243" t="b">
        <f t="shared" si="3"/>
        <v>0</v>
      </c>
      <c r="AF1256" s="154"/>
      <c r="AG1256" s="243" t="b">
        <f t="shared" si="7"/>
        <v>0</v>
      </c>
      <c r="AH1256" s="154"/>
      <c r="AI1256" s="243" t="str">
        <f t="shared" si="5"/>
        <v>N/A</v>
      </c>
      <c r="AJ1256" s="157" t="str">
        <f t="shared" si="6"/>
        <v/>
      </c>
    </row>
    <row r="1257" ht="12.75" customHeight="1">
      <c r="A1257" s="244" t="s">
        <v>2412</v>
      </c>
      <c r="B1257" s="244" t="s">
        <v>3326</v>
      </c>
      <c r="C1257" s="244" t="s">
        <v>3385</v>
      </c>
      <c r="D1257" s="154" t="s">
        <v>739</v>
      </c>
      <c r="E1257" s="250"/>
      <c r="F1257" s="154" t="str">
        <f t="array" ref="F1257">XLOOKUP(Cover!$D$12,$S$1:$AA$1,$S1257:$AA1257)</f>
        <v>Mandatory</v>
      </c>
      <c r="G1257" s="154" t="s">
        <v>3386</v>
      </c>
      <c r="H1257" s="154" t="s">
        <v>3335</v>
      </c>
      <c r="I1257" s="154" t="s">
        <v>479</v>
      </c>
      <c r="J1257" s="247" t="s">
        <v>617</v>
      </c>
      <c r="K1257" s="247" t="s">
        <v>3387</v>
      </c>
      <c r="L1257" s="154" t="str">
        <f t="shared" si="1"/>
        <v/>
      </c>
      <c r="M1257" s="248" t="str">
        <f>IFERROR(__xludf.DUMMYFUNCTION("VLOOKUP(C1257,IMPORTRANGE(""https://docs.google.com/spreadsheets/d/1P8eX0NWBhUPS_hvzA11R6jkTNFrPrRYIx_dX_hYbxrk/edit?resourcekey=0-iw9bsKY2OqkUHCFMkCar3A&amp;gid=2055363397#gid=2055363397"",""MTR!C:O""),11,false)"),"PMW-MCE-NAS")</f>
        <v>PMW-MCE-NAS</v>
      </c>
      <c r="N1257" s="248" t="str">
        <f>IFERROR(__xludf.DUMMYFUNCTION("VLOOKUP(C1257,IMPORTRANGE(""https://docs.google.com/spreadsheets/d/1ihFlp3_ePlYtFuPbUNbYj1muErVpI73WHXbEwJDIA7Q/edit#gid=1493122344"",""MTR!C:O""),8,false)"),"Not Applicable")</f>
        <v>Not Applicable</v>
      </c>
      <c r="O1257" s="241" t="str">
        <f>IFERROR(__xludf.DUMMYFUNCTION("VLOOKUP(C1257,IMPORTRANGE(""https://docs.google.com/spreadsheets/d/1P8eX0NWBhUPS_hvzA11R6jkTNFrPrRYIx_dX_hYbxrk/edit?resourcekey=0-iw9bsKY2OqkUHCFMkCar3A&amp;gid=2055363397#gid=2055363397"",""MTR!C:O""),9,false)"),"")</f>
        <v/>
      </c>
      <c r="P1257" s="241"/>
      <c r="Q1257" s="251" t="s">
        <v>617</v>
      </c>
      <c r="R1257" s="251" t="s">
        <v>3387</v>
      </c>
      <c r="S1257" s="154" t="s">
        <v>60</v>
      </c>
      <c r="T1257" s="154" t="s">
        <v>60</v>
      </c>
      <c r="U1257" s="154" t="s">
        <v>60</v>
      </c>
      <c r="V1257" s="154" t="s">
        <v>60</v>
      </c>
      <c r="W1257" s="154" t="s">
        <v>60</v>
      </c>
      <c r="X1257" s="154" t="s">
        <v>60</v>
      </c>
      <c r="Y1257" s="154" t="s">
        <v>60</v>
      </c>
      <c r="Z1257" s="154" t="s">
        <v>60</v>
      </c>
      <c r="AA1257" s="154" t="s">
        <v>60</v>
      </c>
      <c r="AB1257" s="154"/>
      <c r="AC1257" s="242" t="b">
        <f t="shared" si="2"/>
        <v>1</v>
      </c>
      <c r="AD1257" s="154" t="s">
        <v>391</v>
      </c>
      <c r="AE1257" s="243" t="b">
        <f t="shared" si="3"/>
        <v>0</v>
      </c>
      <c r="AF1257" s="154"/>
      <c r="AG1257" s="243" t="b">
        <f t="shared" si="7"/>
        <v>0</v>
      </c>
      <c r="AH1257" s="154"/>
      <c r="AI1257" s="243" t="str">
        <f t="shared" si="5"/>
        <v>N/A</v>
      </c>
      <c r="AJ1257" s="157" t="str">
        <f t="shared" si="6"/>
        <v/>
      </c>
    </row>
    <row r="1258" ht="12.75" customHeight="1">
      <c r="A1258" s="244" t="s">
        <v>2412</v>
      </c>
      <c r="B1258" s="244" t="s">
        <v>3326</v>
      </c>
      <c r="C1258" s="244" t="s">
        <v>3388</v>
      </c>
      <c r="D1258" s="154" t="s">
        <v>739</v>
      </c>
      <c r="E1258" s="250"/>
      <c r="F1258" s="154" t="str">
        <f t="array" ref="F1258">XLOOKUP(Cover!$D$12,$S$1:$AA$1,$S1258:$AA1258)</f>
        <v>Recommended</v>
      </c>
      <c r="G1258" s="154" t="s">
        <v>3389</v>
      </c>
      <c r="H1258" s="154"/>
      <c r="I1258" s="154" t="s">
        <v>479</v>
      </c>
      <c r="J1258" s="247" t="s">
        <v>445</v>
      </c>
      <c r="K1258" s="247"/>
      <c r="L1258" s="154" t="str">
        <f t="shared" si="1"/>
        <v/>
      </c>
      <c r="M1258" s="248" t="str">
        <f>IFERROR(__xludf.DUMMYFUNCTION("VLOOKUP(C1258,IMPORTRANGE(""https://docs.google.com/spreadsheets/d/1P8eX0NWBhUPS_hvzA11R6jkTNFrPrRYIx_dX_hYbxrk/edit?resourcekey=0-iw9bsKY2OqkUHCFMkCar3A&amp;gid=2055363397#gid=2055363397"",""MTR!C:O""),11,false)"),"PMW-MCE-NAS")</f>
        <v>PMW-MCE-NAS</v>
      </c>
      <c r="N1258" s="248" t="str">
        <f>IFERROR(__xludf.DUMMYFUNCTION("VLOOKUP(C1258,IMPORTRANGE(""https://docs.google.com/spreadsheets/d/1ihFlp3_ePlYtFuPbUNbYj1muErVpI73WHXbEwJDIA7Q/edit#gid=1493122344"",""MTR!C:O""),8,false)"),"Complies")</f>
        <v>Complies</v>
      </c>
      <c r="O1258" s="241" t="str">
        <f>IFERROR(__xludf.DUMMYFUNCTION("VLOOKUP(C1258,IMPORTRANGE(""https://docs.google.com/spreadsheets/d/1P8eX0NWBhUPS_hvzA11R6jkTNFrPrRYIx_dX_hYbxrk/edit?resourcekey=0-iw9bsKY2OqkUHCFMkCar3A&amp;gid=2055363397#gid=2055363397"",""MTR!C:O""),9,false)"),"")</f>
        <v/>
      </c>
      <c r="P1258" s="241"/>
      <c r="Q1258" s="251" t="s">
        <v>445</v>
      </c>
      <c r="R1258" s="251"/>
      <c r="S1258" s="154" t="s">
        <v>64</v>
      </c>
      <c r="T1258" s="154" t="s">
        <v>64</v>
      </c>
      <c r="U1258" s="154" t="s">
        <v>64</v>
      </c>
      <c r="V1258" s="154" t="s">
        <v>64</v>
      </c>
      <c r="W1258" s="154" t="s">
        <v>64</v>
      </c>
      <c r="X1258" s="154" t="s">
        <v>64</v>
      </c>
      <c r="Y1258" s="154" t="s">
        <v>64</v>
      </c>
      <c r="Z1258" s="154" t="s">
        <v>64</v>
      </c>
      <c r="AA1258" s="154" t="s">
        <v>64</v>
      </c>
      <c r="AB1258" s="154"/>
      <c r="AC1258" s="242" t="b">
        <f t="shared" si="2"/>
        <v>1</v>
      </c>
      <c r="AD1258" s="154" t="s">
        <v>391</v>
      </c>
      <c r="AE1258" s="243" t="b">
        <f t="shared" si="3"/>
        <v>0</v>
      </c>
      <c r="AF1258" s="154"/>
      <c r="AG1258" s="243" t="b">
        <f t="shared" si="7"/>
        <v>0</v>
      </c>
      <c r="AH1258" s="154"/>
      <c r="AI1258" s="243" t="str">
        <f t="shared" si="5"/>
        <v>N/A</v>
      </c>
      <c r="AJ1258" s="157" t="str">
        <f t="shared" si="6"/>
        <v/>
      </c>
    </row>
    <row r="1259" ht="12.75" customHeight="1">
      <c r="A1259" s="244" t="s">
        <v>2412</v>
      </c>
      <c r="B1259" s="244" t="s">
        <v>3326</v>
      </c>
      <c r="C1259" s="244" t="s">
        <v>3390</v>
      </c>
      <c r="D1259" s="154" t="s">
        <v>739</v>
      </c>
      <c r="E1259" s="250"/>
      <c r="F1259" s="154" t="str">
        <f t="array" ref="F1259">XLOOKUP(Cover!$D$12,$S$1:$AA$1,$S1259:$AA1259)</f>
        <v>Mandatory</v>
      </c>
      <c r="G1259" s="154" t="s">
        <v>3391</v>
      </c>
      <c r="H1259" s="154" t="s">
        <v>3335</v>
      </c>
      <c r="I1259" s="154" t="s">
        <v>479</v>
      </c>
      <c r="J1259" s="247" t="s">
        <v>445</v>
      </c>
      <c r="K1259" s="154"/>
      <c r="L1259" s="154" t="str">
        <f t="shared" si="1"/>
        <v/>
      </c>
      <c r="M1259" s="248" t="str">
        <f>IFERROR(__xludf.DUMMYFUNCTION("VLOOKUP(C1259,IMPORTRANGE(""https://docs.google.com/spreadsheets/d/1P8eX0NWBhUPS_hvzA11R6jkTNFrPrRYIx_dX_hYbxrk/edit?resourcekey=0-iw9bsKY2OqkUHCFMkCar3A&amp;gid=2055363397#gid=2055363397"",""MTR!C:O""),11,false)"),"PMW-MCE-NAS")</f>
        <v>PMW-MCE-NAS</v>
      </c>
      <c r="N1259" s="248" t="str">
        <f>IFERROR(__xludf.DUMMYFUNCTION("VLOOKUP(C1259,IMPORTRANGE(""https://docs.google.com/spreadsheets/d/1ihFlp3_ePlYtFuPbUNbYj1muErVpI73WHXbEwJDIA7Q/edit#gid=1493122344"",""MTR!C:O""),8,false)"),"Complies")</f>
        <v>Complies</v>
      </c>
      <c r="O1259" s="241" t="str">
        <f>IFERROR(__xludf.DUMMYFUNCTION("VLOOKUP(C1259,IMPORTRANGE(""https://docs.google.com/spreadsheets/d/1P8eX0NWBhUPS_hvzA11R6jkTNFrPrRYIx_dX_hYbxrk/edit?resourcekey=0-iw9bsKY2OqkUHCFMkCar3A&amp;gid=2055363397#gid=2055363397"",""MTR!C:O""),9,false)"),"")</f>
        <v/>
      </c>
      <c r="P1259" s="241"/>
      <c r="Q1259" s="251" t="s">
        <v>445</v>
      </c>
      <c r="R1259" s="241"/>
      <c r="S1259" s="154" t="s">
        <v>60</v>
      </c>
      <c r="T1259" s="154" t="s">
        <v>60</v>
      </c>
      <c r="U1259" s="154" t="s">
        <v>60</v>
      </c>
      <c r="V1259" s="154" t="s">
        <v>60</v>
      </c>
      <c r="W1259" s="154" t="s">
        <v>60</v>
      </c>
      <c r="X1259" s="154" t="s">
        <v>60</v>
      </c>
      <c r="Y1259" s="154" t="s">
        <v>60</v>
      </c>
      <c r="Z1259" s="154" t="s">
        <v>60</v>
      </c>
      <c r="AA1259" s="154" t="s">
        <v>60</v>
      </c>
      <c r="AB1259" s="154"/>
      <c r="AC1259" s="242" t="b">
        <f t="shared" si="2"/>
        <v>1</v>
      </c>
      <c r="AD1259" s="154" t="s">
        <v>391</v>
      </c>
      <c r="AE1259" s="243" t="b">
        <f t="shared" si="3"/>
        <v>0</v>
      </c>
      <c r="AF1259" s="154"/>
      <c r="AG1259" s="243" t="b">
        <f t="shared" si="7"/>
        <v>0</v>
      </c>
      <c r="AH1259" s="154"/>
      <c r="AI1259" s="243" t="str">
        <f t="shared" si="5"/>
        <v>N/A</v>
      </c>
      <c r="AJ1259" s="157" t="str">
        <f t="shared" si="6"/>
        <v/>
      </c>
    </row>
    <row r="1260" ht="12.75" customHeight="1">
      <c r="A1260" s="244" t="s">
        <v>2412</v>
      </c>
      <c r="B1260" s="244" t="s">
        <v>3326</v>
      </c>
      <c r="C1260" s="244" t="s">
        <v>3392</v>
      </c>
      <c r="D1260" s="154" t="s">
        <v>739</v>
      </c>
      <c r="E1260" s="250"/>
      <c r="F1260" s="154" t="str">
        <f t="array" ref="F1260">XLOOKUP(Cover!$D$12,$S$1:$AA$1,$S1260:$AA1260)</f>
        <v>Mandatory</v>
      </c>
      <c r="G1260" s="154" t="s">
        <v>3393</v>
      </c>
      <c r="H1260" s="154" t="s">
        <v>3335</v>
      </c>
      <c r="I1260" s="154" t="s">
        <v>479</v>
      </c>
      <c r="J1260" s="247" t="s">
        <v>506</v>
      </c>
      <c r="K1260" s="247" t="s">
        <v>3394</v>
      </c>
      <c r="L1260" s="154" t="str">
        <f t="shared" si="1"/>
        <v/>
      </c>
      <c r="M1260" s="248" t="str">
        <f>IFERROR(__xludf.DUMMYFUNCTION("VLOOKUP(C1260,IMPORTRANGE(""https://docs.google.com/spreadsheets/d/1P8eX0NWBhUPS_hvzA11R6jkTNFrPrRYIx_dX_hYbxrk/edit?resourcekey=0-iw9bsKY2OqkUHCFMkCar3A&amp;gid=2055363397#gid=2055363397"",""MTR!C:O""),11,false)"),"PMW-MCE-NAS")</f>
        <v>PMW-MCE-NAS</v>
      </c>
      <c r="N1260" s="248" t="str">
        <f>IFERROR(__xludf.DUMMYFUNCTION("VLOOKUP(C1260,IMPORTRANGE(""https://docs.google.com/spreadsheets/d/1ihFlp3_ePlYtFuPbUNbYj1muErVpI73WHXbEwJDIA7Q/edit#gid=1493122344"",""MTR!C:O""),8,false)"),"Partially Complies")</f>
        <v>Partially Complies</v>
      </c>
      <c r="O1260" s="248" t="str">
        <f>IFERROR(__xludf.DUMMYFUNCTION("VLOOKUP(C1260,IMPORTRANGE(""https://docs.google.com/spreadsheets/d/1P8eX0NWBhUPS_hvzA11R6jkTNFrPrRYIx_dX_hYbxrk/edit?resourcekey=0-iw9bsKY2OqkUHCFMkCar3A&amp;gid=2055363397#gid=2055363397"",""MTR!C:O""),9,false)"),"Not support on VoWiFi call")</f>
        <v>Not support on VoWiFi call</v>
      </c>
      <c r="P1260" s="248"/>
      <c r="Q1260" s="249" t="s">
        <v>506</v>
      </c>
      <c r="R1260" s="249" t="s">
        <v>3394</v>
      </c>
      <c r="S1260" s="154" t="s">
        <v>60</v>
      </c>
      <c r="T1260" s="154" t="s">
        <v>60</v>
      </c>
      <c r="U1260" s="154" t="s">
        <v>60</v>
      </c>
      <c r="V1260" s="154" t="s">
        <v>60</v>
      </c>
      <c r="W1260" s="154" t="s">
        <v>60</v>
      </c>
      <c r="X1260" s="154" t="s">
        <v>60</v>
      </c>
      <c r="Y1260" s="154" t="s">
        <v>60</v>
      </c>
      <c r="Z1260" s="154" t="s">
        <v>60</v>
      </c>
      <c r="AA1260" s="154" t="s">
        <v>60</v>
      </c>
      <c r="AB1260" s="154"/>
      <c r="AC1260" s="242" t="b">
        <f t="shared" si="2"/>
        <v>1</v>
      </c>
      <c r="AD1260" s="154" t="s">
        <v>391</v>
      </c>
      <c r="AE1260" s="243" t="b">
        <f t="shared" si="3"/>
        <v>0</v>
      </c>
      <c r="AF1260" s="154"/>
      <c r="AG1260" s="243" t="b">
        <f t="shared" si="7"/>
        <v>0</v>
      </c>
      <c r="AH1260" s="154"/>
      <c r="AI1260" s="243" t="str">
        <f t="shared" si="5"/>
        <v>N/A</v>
      </c>
      <c r="AJ1260" s="157" t="str">
        <f t="shared" si="6"/>
        <v/>
      </c>
    </row>
    <row r="1261" ht="12.75" customHeight="1">
      <c r="A1261" s="244" t="s">
        <v>2412</v>
      </c>
      <c r="B1261" s="244" t="s">
        <v>3326</v>
      </c>
      <c r="C1261" s="244" t="s">
        <v>3395</v>
      </c>
      <c r="D1261" s="154" t="s">
        <v>739</v>
      </c>
      <c r="E1261" s="250"/>
      <c r="F1261" s="154" t="str">
        <f t="array" ref="F1261">XLOOKUP(Cover!$D$12,$S$1:$AA$1,$S1261:$AA1261)</f>
        <v>Mandatory</v>
      </c>
      <c r="G1261" s="154" t="s">
        <v>3396</v>
      </c>
      <c r="H1261" s="154" t="s">
        <v>3335</v>
      </c>
      <c r="I1261" s="154" t="s">
        <v>479</v>
      </c>
      <c r="J1261" s="247" t="s">
        <v>445</v>
      </c>
      <c r="K1261" s="247"/>
      <c r="L1261" s="154" t="str">
        <f t="shared" si="1"/>
        <v/>
      </c>
      <c r="M1261" s="248" t="str">
        <f>IFERROR(__xludf.DUMMYFUNCTION("VLOOKUP(C1261,IMPORTRANGE(""https://docs.google.com/spreadsheets/d/1P8eX0NWBhUPS_hvzA11R6jkTNFrPrRYIx_dX_hYbxrk/edit?resourcekey=0-iw9bsKY2OqkUHCFMkCar3A&amp;gid=2055363397#gid=2055363397"",""MTR!C:O""),11,false)"),"PMW-MCE-NAS")</f>
        <v>PMW-MCE-NAS</v>
      </c>
      <c r="N1261" s="248" t="str">
        <f>IFERROR(__xludf.DUMMYFUNCTION("VLOOKUP(C1261,IMPORTRANGE(""https://docs.google.com/spreadsheets/d/1ihFlp3_ePlYtFuPbUNbYj1muErVpI73WHXbEwJDIA7Q/edit#gid=1493122344"",""MTR!C:O""),8,false)"),"Complies")</f>
        <v>Complies</v>
      </c>
      <c r="O1261" s="241" t="str">
        <f>IFERROR(__xludf.DUMMYFUNCTION("VLOOKUP(C1261,IMPORTRANGE(""https://docs.google.com/spreadsheets/d/1P8eX0NWBhUPS_hvzA11R6jkTNFrPrRYIx_dX_hYbxrk/edit?resourcekey=0-iw9bsKY2OqkUHCFMkCar3A&amp;gid=2055363397#gid=2055363397"",""MTR!C:O""),9,false)"),"")</f>
        <v/>
      </c>
      <c r="P1261" s="241"/>
      <c r="Q1261" s="251" t="s">
        <v>445</v>
      </c>
      <c r="R1261" s="251"/>
      <c r="S1261" s="154" t="s">
        <v>60</v>
      </c>
      <c r="T1261" s="154" t="s">
        <v>60</v>
      </c>
      <c r="U1261" s="154" t="s">
        <v>60</v>
      </c>
      <c r="V1261" s="154" t="s">
        <v>60</v>
      </c>
      <c r="W1261" s="154" t="s">
        <v>60</v>
      </c>
      <c r="X1261" s="154" t="s">
        <v>60</v>
      </c>
      <c r="Y1261" s="154" t="s">
        <v>60</v>
      </c>
      <c r="Z1261" s="154" t="s">
        <v>60</v>
      </c>
      <c r="AA1261" s="154" t="s">
        <v>60</v>
      </c>
      <c r="AB1261" s="154"/>
      <c r="AC1261" s="242" t="b">
        <f t="shared" si="2"/>
        <v>1</v>
      </c>
      <c r="AD1261" s="154" t="s">
        <v>391</v>
      </c>
      <c r="AE1261" s="243" t="b">
        <f t="shared" si="3"/>
        <v>0</v>
      </c>
      <c r="AF1261" s="154"/>
      <c r="AG1261" s="243" t="b">
        <f t="shared" si="7"/>
        <v>0</v>
      </c>
      <c r="AH1261" s="154"/>
      <c r="AI1261" s="243" t="str">
        <f t="shared" si="5"/>
        <v>N/A</v>
      </c>
      <c r="AJ1261" s="157" t="str">
        <f t="shared" si="6"/>
        <v/>
      </c>
    </row>
    <row r="1262" ht="12.75" customHeight="1">
      <c r="A1262" s="244" t="s">
        <v>2412</v>
      </c>
      <c r="B1262" s="244" t="s">
        <v>3326</v>
      </c>
      <c r="C1262" s="244" t="s">
        <v>3397</v>
      </c>
      <c r="D1262" s="154" t="s">
        <v>739</v>
      </c>
      <c r="E1262" s="250"/>
      <c r="F1262" s="154" t="str">
        <f t="array" ref="F1262">XLOOKUP(Cover!$D$12,$S$1:$AA$1,$S1262:$AA1262)</f>
        <v>Mandatory</v>
      </c>
      <c r="G1262" s="154" t="s">
        <v>3398</v>
      </c>
      <c r="H1262" s="154"/>
      <c r="I1262" s="154" t="s">
        <v>479</v>
      </c>
      <c r="J1262" s="247" t="s">
        <v>445</v>
      </c>
      <c r="K1262" s="154"/>
      <c r="L1262" s="154" t="str">
        <f t="shared" si="1"/>
        <v/>
      </c>
      <c r="M1262" s="248" t="str">
        <f>IFERROR(__xludf.DUMMYFUNCTION("VLOOKUP(C1262,IMPORTRANGE(""https://docs.google.com/spreadsheets/d/1P8eX0NWBhUPS_hvzA11R6jkTNFrPrRYIx_dX_hYbxrk/edit?resourcekey=0-iw9bsKY2OqkUHCFMkCar3A&amp;gid=2055363397#gid=2055363397"",""MTR!C:O""),11,false)"),"PMW-MCE-NAS")</f>
        <v>PMW-MCE-NAS</v>
      </c>
      <c r="N1262" s="248" t="str">
        <f>IFERROR(__xludf.DUMMYFUNCTION("VLOOKUP(C1262,IMPORTRANGE(""https://docs.google.com/spreadsheets/d/1ihFlp3_ePlYtFuPbUNbYj1muErVpI73WHXbEwJDIA7Q/edit#gid=1493122344"",""MTR!C:O""),8,false)"),"Complies")</f>
        <v>Complies</v>
      </c>
      <c r="O1262" s="241" t="str">
        <f>IFERROR(__xludf.DUMMYFUNCTION("VLOOKUP(C1262,IMPORTRANGE(""https://docs.google.com/spreadsheets/d/1P8eX0NWBhUPS_hvzA11R6jkTNFrPrRYIx_dX_hYbxrk/edit?resourcekey=0-iw9bsKY2OqkUHCFMkCar3A&amp;gid=2055363397#gid=2055363397"",""MTR!C:O""),9,false)"),"")</f>
        <v/>
      </c>
      <c r="P1262" s="241"/>
      <c r="Q1262" s="251" t="s">
        <v>445</v>
      </c>
      <c r="R1262" s="241"/>
      <c r="S1262" s="154" t="s">
        <v>60</v>
      </c>
      <c r="T1262" s="154" t="s">
        <v>60</v>
      </c>
      <c r="U1262" s="154" t="s">
        <v>60</v>
      </c>
      <c r="V1262" s="154" t="s">
        <v>60</v>
      </c>
      <c r="W1262" s="154" t="s">
        <v>60</v>
      </c>
      <c r="X1262" s="154" t="s">
        <v>60</v>
      </c>
      <c r="Y1262" s="154" t="s">
        <v>60</v>
      </c>
      <c r="Z1262" s="154" t="s">
        <v>60</v>
      </c>
      <c r="AA1262" s="154" t="s">
        <v>60</v>
      </c>
      <c r="AB1262" s="154"/>
      <c r="AC1262" s="242" t="b">
        <f t="shared" si="2"/>
        <v>1</v>
      </c>
      <c r="AD1262" s="154" t="s">
        <v>391</v>
      </c>
      <c r="AE1262" s="243" t="b">
        <f t="shared" si="3"/>
        <v>0</v>
      </c>
      <c r="AF1262" s="154"/>
      <c r="AG1262" s="243" t="b">
        <f t="shared" si="7"/>
        <v>0</v>
      </c>
      <c r="AH1262" s="154"/>
      <c r="AI1262" s="243" t="str">
        <f t="shared" si="5"/>
        <v>N/A</v>
      </c>
      <c r="AJ1262" s="157" t="str">
        <f t="shared" si="6"/>
        <v/>
      </c>
    </row>
    <row r="1263" ht="12.75" customHeight="1">
      <c r="A1263" s="244" t="s">
        <v>2412</v>
      </c>
      <c r="B1263" s="244" t="s">
        <v>3326</v>
      </c>
      <c r="C1263" s="244" t="s">
        <v>3399</v>
      </c>
      <c r="D1263" s="154" t="s">
        <v>739</v>
      </c>
      <c r="E1263" s="250"/>
      <c r="F1263" s="154" t="str">
        <f t="array" ref="F1263">XLOOKUP(Cover!$D$12,$S$1:$AA$1,$S1263:$AA1263)</f>
        <v>Information</v>
      </c>
      <c r="G1263" s="154" t="s">
        <v>3400</v>
      </c>
      <c r="H1263" s="154"/>
      <c r="I1263" s="154" t="s">
        <v>479</v>
      </c>
      <c r="J1263" s="247" t="s">
        <v>445</v>
      </c>
      <c r="K1263" s="154"/>
      <c r="L1263" s="154" t="str">
        <f t="shared" si="1"/>
        <v/>
      </c>
      <c r="M1263" s="248" t="str">
        <f>IFERROR(__xludf.DUMMYFUNCTION("VLOOKUP(C1263,IMPORTRANGE(""https://docs.google.com/spreadsheets/d/1P8eX0NWBhUPS_hvzA11R6jkTNFrPrRYIx_dX_hYbxrk/edit?resourcekey=0-iw9bsKY2OqkUHCFMkCar3A&amp;gid=2055363397#gid=2055363397"",""MTR!C:O""),11,false)"),"PMW-MCE-NAS")</f>
        <v>PMW-MCE-NAS</v>
      </c>
      <c r="N1263" s="248" t="str">
        <f>IFERROR(__xludf.DUMMYFUNCTION("VLOOKUP(C1263,IMPORTRANGE(""https://docs.google.com/spreadsheets/d/1ihFlp3_ePlYtFuPbUNbYj1muErVpI73WHXbEwJDIA7Q/edit#gid=1493122344"",""MTR!C:O""),8,false)"),"Complies")</f>
        <v>Complies</v>
      </c>
      <c r="O1263" s="241" t="str">
        <f>IFERROR(__xludf.DUMMYFUNCTION("VLOOKUP(C1263,IMPORTRANGE(""https://docs.google.com/spreadsheets/d/1P8eX0NWBhUPS_hvzA11R6jkTNFrPrRYIx_dX_hYbxrk/edit?resourcekey=0-iw9bsKY2OqkUHCFMkCar3A&amp;gid=2055363397#gid=2055363397"",""MTR!C:O""),9,false)"),"")</f>
        <v/>
      </c>
      <c r="P1263" s="241"/>
      <c r="Q1263" s="251" t="s">
        <v>445</v>
      </c>
      <c r="R1263" s="241"/>
      <c r="S1263" s="154" t="s">
        <v>66</v>
      </c>
      <c r="T1263" s="154" t="s">
        <v>66</v>
      </c>
      <c r="U1263" s="154" t="s">
        <v>66</v>
      </c>
      <c r="V1263" s="154" t="s">
        <v>66</v>
      </c>
      <c r="W1263" s="154" t="s">
        <v>66</v>
      </c>
      <c r="X1263" s="154" t="s">
        <v>66</v>
      </c>
      <c r="Y1263" s="154" t="s">
        <v>66</v>
      </c>
      <c r="Z1263" s="154" t="s">
        <v>66</v>
      </c>
      <c r="AA1263" s="154" t="s">
        <v>66</v>
      </c>
      <c r="AB1263" s="154"/>
      <c r="AC1263" s="242" t="b">
        <f t="shared" si="2"/>
        <v>1</v>
      </c>
      <c r="AD1263" s="154" t="s">
        <v>391</v>
      </c>
      <c r="AE1263" s="243" t="b">
        <f t="shared" si="3"/>
        <v>0</v>
      </c>
      <c r="AF1263" s="154"/>
      <c r="AG1263" s="243" t="b">
        <f t="shared" si="7"/>
        <v>0</v>
      </c>
      <c r="AH1263" s="154"/>
      <c r="AI1263" s="243" t="str">
        <f t="shared" si="5"/>
        <v>N/A</v>
      </c>
      <c r="AJ1263" s="157" t="str">
        <f t="shared" si="6"/>
        <v/>
      </c>
    </row>
    <row r="1264" ht="12.75" customHeight="1">
      <c r="A1264" s="238" t="s">
        <v>2412</v>
      </c>
      <c r="B1264" s="238" t="s">
        <v>3326</v>
      </c>
      <c r="C1264" s="238" t="s">
        <v>3401</v>
      </c>
      <c r="D1264" s="238"/>
      <c r="E1264" s="238"/>
      <c r="F1264" s="154" t="str">
        <f t="array" ref="F1264">XLOOKUP(Cover!$D$12,$S$1:$AA$1,$S1264:$AA1264)</f>
        <v>Heading</v>
      </c>
      <c r="G1264" s="239" t="s">
        <v>3402</v>
      </c>
      <c r="H1264" s="240"/>
      <c r="I1264" s="240" t="s">
        <v>479</v>
      </c>
      <c r="J1264" s="262"/>
      <c r="K1264" s="240"/>
      <c r="L1264" s="154" t="str">
        <f t="shared" si="1"/>
        <v/>
      </c>
      <c r="M1264" s="241" t="str">
        <f>IFERROR(__xludf.DUMMYFUNCTION("VLOOKUP(C1264,IMPORTRANGE(""https://docs.google.com/spreadsheets/d/1P8eX0NWBhUPS_hvzA11R6jkTNFrPrRYIx_dX_hYbxrk/edit?resourcekey=0-iw9bsKY2OqkUHCFMkCar3A&amp;gid=2055363397#gid=2055363397"",""MTR!C:O""),11,false)"),"")</f>
        <v/>
      </c>
      <c r="N1264" s="241" t="str">
        <f>IFERROR(__xludf.DUMMYFUNCTION("VLOOKUP(C1264,IMPORTRANGE(""https://docs.google.com/spreadsheets/d/1ihFlp3_ePlYtFuPbUNbYj1muErVpI73WHXbEwJDIA7Q/edit#gid=1493122344"",""MTR!C:O""),8,false)"),"")</f>
        <v/>
      </c>
      <c r="O1264" s="241" t="str">
        <f>IFERROR(__xludf.DUMMYFUNCTION("VLOOKUP(C1264,IMPORTRANGE(""https://docs.google.com/spreadsheets/d/1P8eX0NWBhUPS_hvzA11R6jkTNFrPrRYIx_dX_hYbxrk/edit?resourcekey=0-iw9bsKY2OqkUHCFMkCar3A&amp;gid=2055363397#gid=2055363397"",""MTR!C:O""),9,false)"),"")</f>
        <v/>
      </c>
      <c r="P1264" s="241"/>
      <c r="Q1264" s="251"/>
      <c r="R1264" s="241"/>
      <c r="S1264" s="240" t="s">
        <v>390</v>
      </c>
      <c r="T1264" s="240" t="s">
        <v>390</v>
      </c>
      <c r="U1264" s="240" t="s">
        <v>390</v>
      </c>
      <c r="V1264" s="240" t="s">
        <v>390</v>
      </c>
      <c r="W1264" s="240" t="s">
        <v>390</v>
      </c>
      <c r="X1264" s="240" t="s">
        <v>390</v>
      </c>
      <c r="Y1264" s="240" t="s">
        <v>390</v>
      </c>
      <c r="Z1264" s="240" t="s">
        <v>390</v>
      </c>
      <c r="AA1264" s="240" t="s">
        <v>390</v>
      </c>
      <c r="AB1264" s="240"/>
      <c r="AC1264" s="242" t="b">
        <f t="shared" si="2"/>
        <v>0</v>
      </c>
      <c r="AD1264" s="240" t="s">
        <v>391</v>
      </c>
      <c r="AE1264" s="243" t="b">
        <f t="shared" si="3"/>
        <v>0</v>
      </c>
      <c r="AF1264" s="240"/>
      <c r="AG1264" s="243" t="b">
        <f t="shared" si="7"/>
        <v>0</v>
      </c>
      <c r="AH1264" s="240"/>
      <c r="AI1264" s="243" t="str">
        <f t="shared" si="5"/>
        <v>N/A</v>
      </c>
      <c r="AJ1264" s="157" t="str">
        <f t="shared" si="6"/>
        <v/>
      </c>
    </row>
    <row r="1265" ht="12.75" customHeight="1">
      <c r="A1265" s="244" t="s">
        <v>2412</v>
      </c>
      <c r="B1265" s="244" t="s">
        <v>3326</v>
      </c>
      <c r="C1265" s="244" t="s">
        <v>3403</v>
      </c>
      <c r="D1265" s="154" t="s">
        <v>1120</v>
      </c>
      <c r="E1265" s="250"/>
      <c r="F1265" s="154" t="str">
        <f t="array" ref="F1265">XLOOKUP(Cover!$D$12,$S$1:$AA$1,$S1265:$AA1265)</f>
        <v>Mandatory</v>
      </c>
      <c r="G1265" s="154" t="s">
        <v>3404</v>
      </c>
      <c r="H1265" s="154" t="s">
        <v>3335</v>
      </c>
      <c r="I1265" s="154" t="s">
        <v>479</v>
      </c>
      <c r="J1265" s="154" t="s">
        <v>445</v>
      </c>
      <c r="K1265" s="154"/>
      <c r="L1265" s="154" t="str">
        <f t="shared" si="1"/>
        <v/>
      </c>
      <c r="M1265" s="248" t="str">
        <f>IFERROR(__xludf.DUMMYFUNCTION("VLOOKUP(C1265,IMPORTRANGE(""https://docs.google.com/spreadsheets/d/1P8eX0NWBhUPS_hvzA11R6jkTNFrPrRYIx_dX_hYbxrk/edit?resourcekey=0-iw9bsKY2OqkUHCFMkCar3A&amp;gid=2055363397#gid=2055363397"",""MTR!C:O""),11,false)"),"PMW-MCE-NAS")</f>
        <v>PMW-MCE-NAS</v>
      </c>
      <c r="N1265" s="248" t="str">
        <f>IFERROR(__xludf.DUMMYFUNCTION("VLOOKUP(C1265,IMPORTRANGE(""https://docs.google.com/spreadsheets/d/1ihFlp3_ePlYtFuPbUNbYj1muErVpI73WHXbEwJDIA7Q/edit#gid=1493122344"",""MTR!C:O""),8,false)"),"Complies")</f>
        <v>Complies</v>
      </c>
      <c r="O1265" s="241" t="str">
        <f>IFERROR(__xludf.DUMMYFUNCTION("VLOOKUP(C1265,IMPORTRANGE(""https://docs.google.com/spreadsheets/d/1P8eX0NWBhUPS_hvzA11R6jkTNFrPrRYIx_dX_hYbxrk/edit?resourcekey=0-iw9bsKY2OqkUHCFMkCar3A&amp;gid=2055363397#gid=2055363397"",""MTR!C:O""),9,false)"),"")</f>
        <v/>
      </c>
      <c r="P1265" s="241"/>
      <c r="Q1265" s="251" t="s">
        <v>445</v>
      </c>
      <c r="R1265" s="241"/>
      <c r="S1265" s="154" t="s">
        <v>60</v>
      </c>
      <c r="T1265" s="154" t="s">
        <v>60</v>
      </c>
      <c r="U1265" s="154" t="s">
        <v>60</v>
      </c>
      <c r="V1265" s="154" t="s">
        <v>60</v>
      </c>
      <c r="W1265" s="154" t="s">
        <v>60</v>
      </c>
      <c r="X1265" s="154" t="s">
        <v>60</v>
      </c>
      <c r="Y1265" s="154" t="s">
        <v>60</v>
      </c>
      <c r="Z1265" s="154" t="s">
        <v>60</v>
      </c>
      <c r="AA1265" s="154" t="s">
        <v>60</v>
      </c>
      <c r="AB1265" s="154"/>
      <c r="AC1265" s="242" t="b">
        <f t="shared" si="2"/>
        <v>1</v>
      </c>
      <c r="AD1265" s="154" t="s">
        <v>391</v>
      </c>
      <c r="AE1265" s="243" t="b">
        <f t="shared" si="3"/>
        <v>0</v>
      </c>
      <c r="AF1265" s="154"/>
      <c r="AG1265" s="243" t="b">
        <f t="shared" si="7"/>
        <v>0</v>
      </c>
      <c r="AH1265" s="154"/>
      <c r="AI1265" s="243" t="str">
        <f t="shared" si="5"/>
        <v>N/A</v>
      </c>
      <c r="AJ1265" s="157" t="str">
        <f t="shared" si="6"/>
        <v/>
      </c>
    </row>
    <row r="1266" ht="12.75" customHeight="1">
      <c r="A1266" s="244" t="s">
        <v>2412</v>
      </c>
      <c r="B1266" s="244" t="s">
        <v>3326</v>
      </c>
      <c r="C1266" s="244" t="s">
        <v>3405</v>
      </c>
      <c r="D1266" s="154" t="s">
        <v>1120</v>
      </c>
      <c r="E1266" s="250"/>
      <c r="F1266" s="154" t="str">
        <f t="array" ref="F1266">XLOOKUP(Cover!$D$12,$S$1:$AA$1,$S1266:$AA1266)</f>
        <v>Mandatory</v>
      </c>
      <c r="G1266" s="154" t="s">
        <v>3406</v>
      </c>
      <c r="H1266" s="154"/>
      <c r="I1266" s="154" t="s">
        <v>479</v>
      </c>
      <c r="J1266" s="247" t="s">
        <v>445</v>
      </c>
      <c r="K1266" s="154"/>
      <c r="L1266" s="154" t="str">
        <f t="shared" si="1"/>
        <v/>
      </c>
      <c r="M1266" s="248" t="str">
        <f>IFERROR(__xludf.DUMMYFUNCTION("VLOOKUP(C1266,IMPORTRANGE(""https://docs.google.com/spreadsheets/d/1P8eX0NWBhUPS_hvzA11R6jkTNFrPrRYIx_dX_hYbxrk/edit?resourcekey=0-iw9bsKY2OqkUHCFMkCar3A&amp;gid=2055363397#gid=2055363397"",""MTR!C:O""),11,false)"),"PMW-MCE-NAS")</f>
        <v>PMW-MCE-NAS</v>
      </c>
      <c r="N1266" s="248" t="str">
        <f>IFERROR(__xludf.DUMMYFUNCTION("VLOOKUP(C1266,IMPORTRANGE(""https://docs.google.com/spreadsheets/d/1ihFlp3_ePlYtFuPbUNbYj1muErVpI73WHXbEwJDIA7Q/edit#gid=1493122344"",""MTR!C:O""),8,false)"),"Complies")</f>
        <v>Complies</v>
      </c>
      <c r="O1266" s="241" t="str">
        <f>IFERROR(__xludf.DUMMYFUNCTION("VLOOKUP(C1266,IMPORTRANGE(""https://docs.google.com/spreadsheets/d/1P8eX0NWBhUPS_hvzA11R6jkTNFrPrRYIx_dX_hYbxrk/edit?resourcekey=0-iw9bsKY2OqkUHCFMkCar3A&amp;gid=2055363397#gid=2055363397"",""MTR!C:O""),9,false)"),"")</f>
        <v/>
      </c>
      <c r="P1266" s="241"/>
      <c r="Q1266" s="251" t="s">
        <v>445</v>
      </c>
      <c r="R1266" s="241"/>
      <c r="S1266" s="154" t="s">
        <v>60</v>
      </c>
      <c r="T1266" s="154" t="s">
        <v>60</v>
      </c>
      <c r="U1266" s="154" t="s">
        <v>60</v>
      </c>
      <c r="V1266" s="154" t="s">
        <v>60</v>
      </c>
      <c r="W1266" s="154" t="s">
        <v>60</v>
      </c>
      <c r="X1266" s="154" t="s">
        <v>60</v>
      </c>
      <c r="Y1266" s="154" t="s">
        <v>60</v>
      </c>
      <c r="Z1266" s="154" t="s">
        <v>60</v>
      </c>
      <c r="AA1266" s="154" t="s">
        <v>60</v>
      </c>
      <c r="AB1266" s="154"/>
      <c r="AC1266" s="242" t="b">
        <f t="shared" si="2"/>
        <v>1</v>
      </c>
      <c r="AD1266" s="154" t="s">
        <v>391</v>
      </c>
      <c r="AE1266" s="243" t="b">
        <f t="shared" si="3"/>
        <v>0</v>
      </c>
      <c r="AF1266" s="154"/>
      <c r="AG1266" s="243" t="b">
        <f t="shared" si="7"/>
        <v>0</v>
      </c>
      <c r="AH1266" s="154"/>
      <c r="AI1266" s="243" t="str">
        <f t="shared" si="5"/>
        <v>N/A</v>
      </c>
      <c r="AJ1266" s="157" t="str">
        <f t="shared" si="6"/>
        <v/>
      </c>
    </row>
    <row r="1267" ht="12.75" customHeight="1">
      <c r="A1267" s="244" t="s">
        <v>2412</v>
      </c>
      <c r="B1267" s="244" t="s">
        <v>3326</v>
      </c>
      <c r="C1267" s="244" t="s">
        <v>3407</v>
      </c>
      <c r="D1267" s="154" t="s">
        <v>1120</v>
      </c>
      <c r="E1267" s="250"/>
      <c r="F1267" s="154" t="str">
        <f t="array" ref="F1267">XLOOKUP(Cover!$D$12,$S$1:$AA$1,$S1267:$AA1267)</f>
        <v>Mandatory</v>
      </c>
      <c r="G1267" s="154" t="s">
        <v>3408</v>
      </c>
      <c r="H1267" s="154" t="s">
        <v>3335</v>
      </c>
      <c r="I1267" s="154" t="s">
        <v>479</v>
      </c>
      <c r="J1267" s="247" t="s">
        <v>445</v>
      </c>
      <c r="K1267" s="154"/>
      <c r="L1267" s="154" t="str">
        <f t="shared" si="1"/>
        <v/>
      </c>
      <c r="M1267" s="248" t="str">
        <f>IFERROR(__xludf.DUMMYFUNCTION("VLOOKUP(C1267,IMPORTRANGE(""https://docs.google.com/spreadsheets/d/1P8eX0NWBhUPS_hvzA11R6jkTNFrPrRYIx_dX_hYbxrk/edit?resourcekey=0-iw9bsKY2OqkUHCFMkCar3A&amp;gid=2055363397#gid=2055363397"",""MTR!C:O""),11,false)"),"PMW-MCE-NAS")</f>
        <v>PMW-MCE-NAS</v>
      </c>
      <c r="N1267" s="248" t="str">
        <f>IFERROR(__xludf.DUMMYFUNCTION("VLOOKUP(C1267,IMPORTRANGE(""https://docs.google.com/spreadsheets/d/1ihFlp3_ePlYtFuPbUNbYj1muErVpI73WHXbEwJDIA7Q/edit#gid=1493122344"",""MTR!C:O""),8,false)"),"Complies")</f>
        <v>Complies</v>
      </c>
      <c r="O1267" s="241" t="str">
        <f>IFERROR(__xludf.DUMMYFUNCTION("VLOOKUP(C1267,IMPORTRANGE(""https://docs.google.com/spreadsheets/d/1P8eX0NWBhUPS_hvzA11R6jkTNFrPrRYIx_dX_hYbxrk/edit?resourcekey=0-iw9bsKY2OqkUHCFMkCar3A&amp;gid=2055363397#gid=2055363397"",""MTR!C:O""),9,false)"),"")</f>
        <v/>
      </c>
      <c r="P1267" s="241"/>
      <c r="Q1267" s="251" t="s">
        <v>445</v>
      </c>
      <c r="R1267" s="241"/>
      <c r="S1267" s="154" t="s">
        <v>60</v>
      </c>
      <c r="T1267" s="154" t="s">
        <v>60</v>
      </c>
      <c r="U1267" s="154" t="s">
        <v>60</v>
      </c>
      <c r="V1267" s="154" t="s">
        <v>60</v>
      </c>
      <c r="W1267" s="154" t="s">
        <v>60</v>
      </c>
      <c r="X1267" s="154" t="s">
        <v>60</v>
      </c>
      <c r="Y1267" s="154" t="s">
        <v>60</v>
      </c>
      <c r="Z1267" s="154" t="s">
        <v>60</v>
      </c>
      <c r="AA1267" s="154" t="s">
        <v>60</v>
      </c>
      <c r="AB1267" s="154"/>
      <c r="AC1267" s="242" t="b">
        <f t="shared" si="2"/>
        <v>1</v>
      </c>
      <c r="AD1267" s="154" t="s">
        <v>391</v>
      </c>
      <c r="AE1267" s="243" t="b">
        <f t="shared" si="3"/>
        <v>0</v>
      </c>
      <c r="AF1267" s="154"/>
      <c r="AG1267" s="243" t="b">
        <f t="shared" si="7"/>
        <v>0</v>
      </c>
      <c r="AH1267" s="154"/>
      <c r="AI1267" s="243" t="str">
        <f t="shared" si="5"/>
        <v>N/A</v>
      </c>
      <c r="AJ1267" s="157" t="str">
        <f t="shared" si="6"/>
        <v/>
      </c>
    </row>
    <row r="1268" ht="12.75" customHeight="1">
      <c r="A1268" s="244" t="s">
        <v>2412</v>
      </c>
      <c r="B1268" s="244" t="s">
        <v>3326</v>
      </c>
      <c r="C1268" s="244" t="s">
        <v>3409</v>
      </c>
      <c r="D1268" s="154" t="s">
        <v>1120</v>
      </c>
      <c r="E1268" s="250"/>
      <c r="F1268" s="154" t="str">
        <f t="array" ref="F1268">XLOOKUP(Cover!$D$12,$S$1:$AA$1,$S1268:$AA1268)</f>
        <v>Mandatory</v>
      </c>
      <c r="G1268" s="154" t="s">
        <v>3410</v>
      </c>
      <c r="H1268" s="154"/>
      <c r="I1268" s="154" t="s">
        <v>479</v>
      </c>
      <c r="J1268" s="247" t="s">
        <v>445</v>
      </c>
      <c r="K1268" s="154"/>
      <c r="L1268" s="154" t="str">
        <f t="shared" si="1"/>
        <v/>
      </c>
      <c r="M1268" s="248" t="str">
        <f>IFERROR(__xludf.DUMMYFUNCTION("VLOOKUP(C1268,IMPORTRANGE(""https://docs.google.com/spreadsheets/d/1P8eX0NWBhUPS_hvzA11R6jkTNFrPrRYIx_dX_hYbxrk/edit?resourcekey=0-iw9bsKY2OqkUHCFMkCar3A&amp;gid=2055363397#gid=2055363397"",""MTR!C:O""),11,false)"),"PMW-MCE-NAS")</f>
        <v>PMW-MCE-NAS</v>
      </c>
      <c r="N1268" s="248" t="str">
        <f>IFERROR(__xludf.DUMMYFUNCTION("VLOOKUP(C1268,IMPORTRANGE(""https://docs.google.com/spreadsheets/d/1ihFlp3_ePlYtFuPbUNbYj1muErVpI73WHXbEwJDIA7Q/edit#gid=1493122344"",""MTR!C:O""),8,false)"),"Complies")</f>
        <v>Complies</v>
      </c>
      <c r="O1268" s="241" t="str">
        <f>IFERROR(__xludf.DUMMYFUNCTION("VLOOKUP(C1268,IMPORTRANGE(""https://docs.google.com/spreadsheets/d/1P8eX0NWBhUPS_hvzA11R6jkTNFrPrRYIx_dX_hYbxrk/edit?resourcekey=0-iw9bsKY2OqkUHCFMkCar3A&amp;gid=2055363397#gid=2055363397"",""MTR!C:O""),9,false)"),"")</f>
        <v/>
      </c>
      <c r="P1268" s="241"/>
      <c r="Q1268" s="251" t="s">
        <v>445</v>
      </c>
      <c r="R1268" s="241"/>
      <c r="S1268" s="154" t="s">
        <v>60</v>
      </c>
      <c r="T1268" s="154" t="s">
        <v>60</v>
      </c>
      <c r="U1268" s="154" t="s">
        <v>60</v>
      </c>
      <c r="V1268" s="154" t="s">
        <v>60</v>
      </c>
      <c r="W1268" s="154" t="s">
        <v>60</v>
      </c>
      <c r="X1268" s="154" t="s">
        <v>60</v>
      </c>
      <c r="Y1268" s="154" t="s">
        <v>60</v>
      </c>
      <c r="Z1268" s="154" t="s">
        <v>60</v>
      </c>
      <c r="AA1268" s="154" t="s">
        <v>60</v>
      </c>
      <c r="AB1268" s="154"/>
      <c r="AC1268" s="242" t="b">
        <f t="shared" si="2"/>
        <v>1</v>
      </c>
      <c r="AD1268" s="154" t="s">
        <v>516</v>
      </c>
      <c r="AE1268" s="243" t="b">
        <f t="shared" si="3"/>
        <v>0</v>
      </c>
      <c r="AF1268" s="154"/>
      <c r="AG1268" s="243" t="b">
        <f t="shared" si="7"/>
        <v>0</v>
      </c>
      <c r="AH1268" s="154"/>
      <c r="AI1268" s="243" t="str">
        <f t="shared" si="5"/>
        <v>N/A</v>
      </c>
      <c r="AJ1268" s="157" t="str">
        <f t="shared" si="6"/>
        <v/>
      </c>
    </row>
    <row r="1269" ht="12.75" customHeight="1">
      <c r="A1269" s="244" t="s">
        <v>2412</v>
      </c>
      <c r="B1269" s="244" t="s">
        <v>3326</v>
      </c>
      <c r="C1269" s="244" t="s">
        <v>3411</v>
      </c>
      <c r="D1269" s="154" t="s">
        <v>1120</v>
      </c>
      <c r="E1269" s="250"/>
      <c r="F1269" s="154" t="str">
        <f t="array" ref="F1269">XLOOKUP(Cover!$D$12,$S$1:$AA$1,$S1269:$AA1269)</f>
        <v>Mandatory</v>
      </c>
      <c r="G1269" s="154" t="s">
        <v>3412</v>
      </c>
      <c r="H1269" s="154" t="s">
        <v>3335</v>
      </c>
      <c r="I1269" s="154" t="s">
        <v>479</v>
      </c>
      <c r="J1269" s="247" t="s">
        <v>445</v>
      </c>
      <c r="K1269" s="154"/>
      <c r="L1269" s="154" t="str">
        <f t="shared" si="1"/>
        <v/>
      </c>
      <c r="M1269" s="248" t="str">
        <f>IFERROR(__xludf.DUMMYFUNCTION("VLOOKUP(C1269,IMPORTRANGE(""https://docs.google.com/spreadsheets/d/1P8eX0NWBhUPS_hvzA11R6jkTNFrPrRYIx_dX_hYbxrk/edit?resourcekey=0-iw9bsKY2OqkUHCFMkCar3A&amp;gid=2055363397#gid=2055363397"",""MTR!C:O""),11,false)"),"PMW-MCE-NAS")</f>
        <v>PMW-MCE-NAS</v>
      </c>
      <c r="N1269" s="248" t="str">
        <f>IFERROR(__xludf.DUMMYFUNCTION("VLOOKUP(C1269,IMPORTRANGE(""https://docs.google.com/spreadsheets/d/1ihFlp3_ePlYtFuPbUNbYj1muErVpI73WHXbEwJDIA7Q/edit#gid=1493122344"",""MTR!C:O""),8,false)"),"Complies")</f>
        <v>Complies</v>
      </c>
      <c r="O1269" s="241" t="str">
        <f>IFERROR(__xludf.DUMMYFUNCTION("VLOOKUP(C1269,IMPORTRANGE(""https://docs.google.com/spreadsheets/d/1P8eX0NWBhUPS_hvzA11R6jkTNFrPrRYIx_dX_hYbxrk/edit?resourcekey=0-iw9bsKY2OqkUHCFMkCar3A&amp;gid=2055363397#gid=2055363397"",""MTR!C:O""),9,false)"),"")</f>
        <v/>
      </c>
      <c r="P1269" s="241"/>
      <c r="Q1269" s="251" t="s">
        <v>445</v>
      </c>
      <c r="R1269" s="241"/>
      <c r="S1269" s="154" t="s">
        <v>60</v>
      </c>
      <c r="T1269" s="154" t="s">
        <v>60</v>
      </c>
      <c r="U1269" s="154" t="s">
        <v>60</v>
      </c>
      <c r="V1269" s="154" t="s">
        <v>60</v>
      </c>
      <c r="W1269" s="154" t="s">
        <v>60</v>
      </c>
      <c r="X1269" s="154" t="s">
        <v>60</v>
      </c>
      <c r="Y1269" s="154" t="s">
        <v>60</v>
      </c>
      <c r="Z1269" s="154" t="s">
        <v>60</v>
      </c>
      <c r="AA1269" s="154" t="s">
        <v>60</v>
      </c>
      <c r="AB1269" s="154"/>
      <c r="AC1269" s="242" t="b">
        <f t="shared" si="2"/>
        <v>1</v>
      </c>
      <c r="AD1269" s="154" t="s">
        <v>391</v>
      </c>
      <c r="AE1269" s="243" t="b">
        <f t="shared" si="3"/>
        <v>0</v>
      </c>
      <c r="AF1269" s="154"/>
      <c r="AG1269" s="243" t="b">
        <f t="shared" si="7"/>
        <v>0</v>
      </c>
      <c r="AH1269" s="154"/>
      <c r="AI1269" s="243" t="str">
        <f t="shared" si="5"/>
        <v>N/A</v>
      </c>
      <c r="AJ1269" s="157" t="str">
        <f t="shared" si="6"/>
        <v/>
      </c>
    </row>
    <row r="1270" ht="12.75" customHeight="1">
      <c r="A1270" s="244" t="s">
        <v>2412</v>
      </c>
      <c r="B1270" s="244" t="s">
        <v>3326</v>
      </c>
      <c r="C1270" s="244" t="s">
        <v>3413</v>
      </c>
      <c r="D1270" s="154" t="s">
        <v>542</v>
      </c>
      <c r="E1270" s="250"/>
      <c r="F1270" s="154" t="str">
        <f t="array" ref="F1270">XLOOKUP(Cover!$D$12,$S$1:$AA$1,$S1270:$AA1270)</f>
        <v>Mandatory</v>
      </c>
      <c r="G1270" s="154" t="s">
        <v>3414</v>
      </c>
      <c r="H1270" s="154" t="s">
        <v>3335</v>
      </c>
      <c r="I1270" s="154" t="s">
        <v>479</v>
      </c>
      <c r="J1270" s="247" t="s">
        <v>445</v>
      </c>
      <c r="K1270" s="154"/>
      <c r="L1270" s="154" t="str">
        <f t="shared" si="1"/>
        <v/>
      </c>
      <c r="M1270" s="248" t="str">
        <f>IFERROR(__xludf.DUMMYFUNCTION("VLOOKUP(C1270,IMPORTRANGE(""https://docs.google.com/spreadsheets/d/1P8eX0NWBhUPS_hvzA11R6jkTNFrPrRYIx_dX_hYbxrk/edit?resourcekey=0-iw9bsKY2OqkUHCFMkCar3A&amp;gid=2055363397#gid=2055363397"",""MTR!C:O""),11,false)"),"PMW-MCE-NAS")</f>
        <v>PMW-MCE-NAS</v>
      </c>
      <c r="N1270" s="248" t="str">
        <f>IFERROR(__xludf.DUMMYFUNCTION("VLOOKUP(C1270,IMPORTRANGE(""https://docs.google.com/spreadsheets/d/1ihFlp3_ePlYtFuPbUNbYj1muErVpI73WHXbEwJDIA7Q/edit#gid=1493122344"",""MTR!C:O""),8,false)"),"Complies")</f>
        <v>Complies</v>
      </c>
      <c r="O1270" s="241" t="str">
        <f>IFERROR(__xludf.DUMMYFUNCTION("VLOOKUP(C1270,IMPORTRANGE(""https://docs.google.com/spreadsheets/d/1P8eX0NWBhUPS_hvzA11R6jkTNFrPrRYIx_dX_hYbxrk/edit?resourcekey=0-iw9bsKY2OqkUHCFMkCar3A&amp;gid=2055363397#gid=2055363397"",""MTR!C:O""),9,false)"),"")</f>
        <v/>
      </c>
      <c r="P1270" s="241"/>
      <c r="Q1270" s="251" t="s">
        <v>445</v>
      </c>
      <c r="R1270" s="241"/>
      <c r="S1270" s="154" t="s">
        <v>60</v>
      </c>
      <c r="T1270" s="154" t="s">
        <v>60</v>
      </c>
      <c r="U1270" s="154" t="s">
        <v>60</v>
      </c>
      <c r="V1270" s="154" t="s">
        <v>60</v>
      </c>
      <c r="W1270" s="154" t="s">
        <v>60</v>
      </c>
      <c r="X1270" s="154" t="s">
        <v>60</v>
      </c>
      <c r="Y1270" s="154" t="s">
        <v>60</v>
      </c>
      <c r="Z1270" s="154" t="s">
        <v>60</v>
      </c>
      <c r="AA1270" s="154" t="s">
        <v>60</v>
      </c>
      <c r="AB1270" s="154"/>
      <c r="AC1270" s="242" t="b">
        <f t="shared" si="2"/>
        <v>1</v>
      </c>
      <c r="AD1270" s="154" t="s">
        <v>391</v>
      </c>
      <c r="AE1270" s="243" t="b">
        <f t="shared" si="3"/>
        <v>0</v>
      </c>
      <c r="AF1270" s="154"/>
      <c r="AG1270" s="243" t="b">
        <f t="shared" si="7"/>
        <v>0</v>
      </c>
      <c r="AH1270" s="154"/>
      <c r="AI1270" s="243" t="str">
        <f t="shared" si="5"/>
        <v>N/A</v>
      </c>
      <c r="AJ1270" s="157" t="str">
        <f t="shared" si="6"/>
        <v/>
      </c>
    </row>
    <row r="1271" ht="12.75" customHeight="1">
      <c r="A1271" s="244" t="s">
        <v>2412</v>
      </c>
      <c r="B1271" s="244" t="s">
        <v>3326</v>
      </c>
      <c r="C1271" s="244" t="s">
        <v>3415</v>
      </c>
      <c r="D1271" s="154" t="s">
        <v>1120</v>
      </c>
      <c r="E1271" s="250"/>
      <c r="F1271" s="154" t="str">
        <f t="array" ref="F1271">XLOOKUP(Cover!$D$12,$S$1:$AA$1,$S1271:$AA1271)</f>
        <v>Mandatory</v>
      </c>
      <c r="G1271" s="154" t="s">
        <v>3416</v>
      </c>
      <c r="H1271" s="154" t="s">
        <v>3335</v>
      </c>
      <c r="I1271" s="154" t="s">
        <v>479</v>
      </c>
      <c r="J1271" s="247" t="s">
        <v>445</v>
      </c>
      <c r="K1271" s="154"/>
      <c r="L1271" s="154" t="str">
        <f t="shared" si="1"/>
        <v/>
      </c>
      <c r="M1271" s="248" t="str">
        <f>IFERROR(__xludf.DUMMYFUNCTION("VLOOKUP(C1271,IMPORTRANGE(""https://docs.google.com/spreadsheets/d/1P8eX0NWBhUPS_hvzA11R6jkTNFrPrRYIx_dX_hYbxrk/edit?resourcekey=0-iw9bsKY2OqkUHCFMkCar3A&amp;gid=2055363397#gid=2055363397"",""MTR!C:O""),11,false)"),"PMW-MCE-NAS")</f>
        <v>PMW-MCE-NAS</v>
      </c>
      <c r="N1271" s="248" t="str">
        <f>IFERROR(__xludf.DUMMYFUNCTION("VLOOKUP(C1271,IMPORTRANGE(""https://docs.google.com/spreadsheets/d/1ihFlp3_ePlYtFuPbUNbYj1muErVpI73WHXbEwJDIA7Q/edit#gid=1493122344"",""MTR!C:O""),8,false)"),"Complies")</f>
        <v>Complies</v>
      </c>
      <c r="O1271" s="241" t="str">
        <f>IFERROR(__xludf.DUMMYFUNCTION("VLOOKUP(C1271,IMPORTRANGE(""https://docs.google.com/spreadsheets/d/1P8eX0NWBhUPS_hvzA11R6jkTNFrPrRYIx_dX_hYbxrk/edit?resourcekey=0-iw9bsKY2OqkUHCFMkCar3A&amp;gid=2055363397#gid=2055363397"",""MTR!C:O""),9,false)"),"")</f>
        <v/>
      </c>
      <c r="P1271" s="241"/>
      <c r="Q1271" s="251" t="s">
        <v>445</v>
      </c>
      <c r="R1271" s="241"/>
      <c r="S1271" s="154" t="s">
        <v>60</v>
      </c>
      <c r="T1271" s="154" t="s">
        <v>60</v>
      </c>
      <c r="U1271" s="154" t="s">
        <v>60</v>
      </c>
      <c r="V1271" s="154" t="s">
        <v>60</v>
      </c>
      <c r="W1271" s="154" t="s">
        <v>60</v>
      </c>
      <c r="X1271" s="154" t="s">
        <v>60</v>
      </c>
      <c r="Y1271" s="154" t="s">
        <v>60</v>
      </c>
      <c r="Z1271" s="154" t="s">
        <v>60</v>
      </c>
      <c r="AA1271" s="154" t="s">
        <v>60</v>
      </c>
      <c r="AB1271" s="154"/>
      <c r="AC1271" s="242" t="b">
        <f t="shared" si="2"/>
        <v>1</v>
      </c>
      <c r="AD1271" s="154" t="s">
        <v>391</v>
      </c>
      <c r="AE1271" s="243" t="b">
        <f t="shared" si="3"/>
        <v>0</v>
      </c>
      <c r="AF1271" s="154"/>
      <c r="AG1271" s="243" t="b">
        <f t="shared" si="7"/>
        <v>0</v>
      </c>
      <c r="AH1271" s="154"/>
      <c r="AI1271" s="243" t="str">
        <f t="shared" si="5"/>
        <v>N/A</v>
      </c>
      <c r="AJ1271" s="157" t="str">
        <f t="shared" si="6"/>
        <v/>
      </c>
    </row>
    <row r="1272" ht="12.75" customHeight="1">
      <c r="A1272" s="244" t="s">
        <v>2412</v>
      </c>
      <c r="B1272" s="244" t="s">
        <v>3326</v>
      </c>
      <c r="C1272" s="244" t="s">
        <v>3417</v>
      </c>
      <c r="D1272" s="154" t="s">
        <v>1120</v>
      </c>
      <c r="E1272" s="250"/>
      <c r="F1272" s="154" t="str">
        <f t="array" ref="F1272">XLOOKUP(Cover!$D$12,$S$1:$AA$1,$S1272:$AA1272)</f>
        <v>Mandatory</v>
      </c>
      <c r="G1272" s="154" t="s">
        <v>3418</v>
      </c>
      <c r="H1272" s="154"/>
      <c r="I1272" s="154" t="s">
        <v>479</v>
      </c>
      <c r="J1272" s="247" t="s">
        <v>445</v>
      </c>
      <c r="K1272" s="154"/>
      <c r="L1272" s="154" t="str">
        <f t="shared" si="1"/>
        <v/>
      </c>
      <c r="M1272" s="248" t="str">
        <f>IFERROR(__xludf.DUMMYFUNCTION("VLOOKUP(C1272,IMPORTRANGE(""https://docs.google.com/spreadsheets/d/1P8eX0NWBhUPS_hvzA11R6jkTNFrPrRYIx_dX_hYbxrk/edit?resourcekey=0-iw9bsKY2OqkUHCFMkCar3A&amp;gid=2055363397#gid=2055363397"",""MTR!C:O""),11,false)"),"PMW-MCE-NAS")</f>
        <v>PMW-MCE-NAS</v>
      </c>
      <c r="N1272" s="248" t="str">
        <f>IFERROR(__xludf.DUMMYFUNCTION("VLOOKUP(C1272,IMPORTRANGE(""https://docs.google.com/spreadsheets/d/1ihFlp3_ePlYtFuPbUNbYj1muErVpI73WHXbEwJDIA7Q/edit#gid=1493122344"",""MTR!C:O""),8,false)"),"Complies")</f>
        <v>Complies</v>
      </c>
      <c r="O1272" s="241" t="str">
        <f>IFERROR(__xludf.DUMMYFUNCTION("VLOOKUP(C1272,IMPORTRANGE(""https://docs.google.com/spreadsheets/d/1P8eX0NWBhUPS_hvzA11R6jkTNFrPrRYIx_dX_hYbxrk/edit?resourcekey=0-iw9bsKY2OqkUHCFMkCar3A&amp;gid=2055363397#gid=2055363397"",""MTR!C:O""),9,false)"),"")</f>
        <v/>
      </c>
      <c r="P1272" s="241"/>
      <c r="Q1272" s="251" t="s">
        <v>445</v>
      </c>
      <c r="R1272" s="241"/>
      <c r="S1272" s="154" t="s">
        <v>60</v>
      </c>
      <c r="T1272" s="154" t="s">
        <v>60</v>
      </c>
      <c r="U1272" s="154" t="s">
        <v>60</v>
      </c>
      <c r="V1272" s="154" t="s">
        <v>60</v>
      </c>
      <c r="W1272" s="154" t="s">
        <v>60</v>
      </c>
      <c r="X1272" s="154" t="s">
        <v>60</v>
      </c>
      <c r="Y1272" s="154" t="s">
        <v>60</v>
      </c>
      <c r="Z1272" s="154" t="s">
        <v>60</v>
      </c>
      <c r="AA1272" s="154" t="s">
        <v>60</v>
      </c>
      <c r="AB1272" s="154"/>
      <c r="AC1272" s="242" t="b">
        <f t="shared" si="2"/>
        <v>1</v>
      </c>
      <c r="AD1272" s="154" t="s">
        <v>391</v>
      </c>
      <c r="AE1272" s="243" t="b">
        <f t="shared" si="3"/>
        <v>0</v>
      </c>
      <c r="AF1272" s="154"/>
      <c r="AG1272" s="243" t="b">
        <f t="shared" si="7"/>
        <v>0</v>
      </c>
      <c r="AH1272" s="154"/>
      <c r="AI1272" s="243" t="str">
        <f t="shared" si="5"/>
        <v>N/A</v>
      </c>
      <c r="AJ1272" s="157" t="str">
        <f t="shared" si="6"/>
        <v/>
      </c>
    </row>
    <row r="1273" ht="12.75" customHeight="1">
      <c r="A1273" s="244" t="s">
        <v>2412</v>
      </c>
      <c r="B1273" s="244" t="s">
        <v>3326</v>
      </c>
      <c r="C1273" s="244" t="s">
        <v>3419</v>
      </c>
      <c r="D1273" s="154" t="s">
        <v>1120</v>
      </c>
      <c r="E1273" s="250"/>
      <c r="F1273" s="154" t="str">
        <f t="array" ref="F1273">XLOOKUP(Cover!$D$12,$S$1:$AA$1,$S1273:$AA1273)</f>
        <v>Mandatory</v>
      </c>
      <c r="G1273" s="154" t="s">
        <v>3420</v>
      </c>
      <c r="H1273" s="154" t="s">
        <v>3335</v>
      </c>
      <c r="I1273" s="154" t="s">
        <v>479</v>
      </c>
      <c r="J1273" s="247" t="s">
        <v>445</v>
      </c>
      <c r="K1273" s="154"/>
      <c r="L1273" s="154" t="str">
        <f t="shared" si="1"/>
        <v/>
      </c>
      <c r="M1273" s="248" t="str">
        <f>IFERROR(__xludf.DUMMYFUNCTION("VLOOKUP(C1273,IMPORTRANGE(""https://docs.google.com/spreadsheets/d/1P8eX0NWBhUPS_hvzA11R6jkTNFrPrRYIx_dX_hYbxrk/edit?resourcekey=0-iw9bsKY2OqkUHCFMkCar3A&amp;gid=2055363397#gid=2055363397"",""MTR!C:O""),11,false)"),"PMW-MCE-NAS")</f>
        <v>PMW-MCE-NAS</v>
      </c>
      <c r="N1273" s="248" t="str">
        <f>IFERROR(__xludf.DUMMYFUNCTION("VLOOKUP(C1273,IMPORTRANGE(""https://docs.google.com/spreadsheets/d/1ihFlp3_ePlYtFuPbUNbYj1muErVpI73WHXbEwJDIA7Q/edit#gid=1493122344"",""MTR!C:O""),8,false)"),"Complies")</f>
        <v>Complies</v>
      </c>
      <c r="O1273" s="241" t="str">
        <f>IFERROR(__xludf.DUMMYFUNCTION("VLOOKUP(C1273,IMPORTRANGE(""https://docs.google.com/spreadsheets/d/1P8eX0NWBhUPS_hvzA11R6jkTNFrPrRYIx_dX_hYbxrk/edit?resourcekey=0-iw9bsKY2OqkUHCFMkCar3A&amp;gid=2055363397#gid=2055363397"",""MTR!C:O""),9,false)"),"")</f>
        <v/>
      </c>
      <c r="P1273" s="241"/>
      <c r="Q1273" s="251" t="s">
        <v>445</v>
      </c>
      <c r="R1273" s="241"/>
      <c r="S1273" s="154" t="s">
        <v>60</v>
      </c>
      <c r="T1273" s="154" t="s">
        <v>60</v>
      </c>
      <c r="U1273" s="154" t="s">
        <v>60</v>
      </c>
      <c r="V1273" s="154" t="s">
        <v>60</v>
      </c>
      <c r="W1273" s="154" t="s">
        <v>60</v>
      </c>
      <c r="X1273" s="154" t="s">
        <v>60</v>
      </c>
      <c r="Y1273" s="154" t="s">
        <v>60</v>
      </c>
      <c r="Z1273" s="154" t="s">
        <v>60</v>
      </c>
      <c r="AA1273" s="154" t="s">
        <v>60</v>
      </c>
      <c r="AB1273" s="154"/>
      <c r="AC1273" s="242" t="b">
        <f t="shared" si="2"/>
        <v>1</v>
      </c>
      <c r="AD1273" s="154" t="s">
        <v>391</v>
      </c>
      <c r="AE1273" s="243" t="b">
        <f t="shared" si="3"/>
        <v>0</v>
      </c>
      <c r="AF1273" s="154"/>
      <c r="AG1273" s="243" t="b">
        <f t="shared" si="7"/>
        <v>0</v>
      </c>
      <c r="AH1273" s="154"/>
      <c r="AI1273" s="243" t="str">
        <f t="shared" si="5"/>
        <v>N/A</v>
      </c>
      <c r="AJ1273" s="157" t="str">
        <f t="shared" si="6"/>
        <v/>
      </c>
    </row>
    <row r="1274" ht="12.75" customHeight="1">
      <c r="A1274" s="244" t="s">
        <v>2412</v>
      </c>
      <c r="B1274" s="244" t="s">
        <v>3326</v>
      </c>
      <c r="C1274" s="244" t="s">
        <v>3421</v>
      </c>
      <c r="D1274" s="154" t="s">
        <v>1315</v>
      </c>
      <c r="E1274" s="250"/>
      <c r="F1274" s="154" t="str">
        <f t="array" ref="F1274">XLOOKUP(Cover!$D$12,$S$1:$AA$1,$S1274:$AA1274)</f>
        <v>Recommended</v>
      </c>
      <c r="G1274" s="154" t="s">
        <v>3422</v>
      </c>
      <c r="H1274" s="154"/>
      <c r="I1274" s="154" t="s">
        <v>479</v>
      </c>
      <c r="J1274" s="247" t="s">
        <v>445</v>
      </c>
      <c r="K1274" s="154"/>
      <c r="L1274" s="154" t="str">
        <f t="shared" si="1"/>
        <v/>
      </c>
      <c r="M1274" s="248" t="str">
        <f>IFERROR(__xludf.DUMMYFUNCTION("VLOOKUP(C1274,IMPORTRANGE(""https://docs.google.com/spreadsheets/d/1P8eX0NWBhUPS_hvzA11R6jkTNFrPrRYIx_dX_hYbxrk/edit?resourcekey=0-iw9bsKY2OqkUHCFMkCar3A&amp;gid=2055363397#gid=2055363397"",""MTR!C:O""),11,false)"),"PMW-MCE-NAS")</f>
        <v>PMW-MCE-NAS</v>
      </c>
      <c r="N1274" s="248" t="str">
        <f>IFERROR(__xludf.DUMMYFUNCTION("VLOOKUP(C1274,IMPORTRANGE(""https://docs.google.com/spreadsheets/d/1ihFlp3_ePlYtFuPbUNbYj1muErVpI73WHXbEwJDIA7Q/edit#gid=1493122344"",""MTR!C:O""),8,false)"),"Complies")</f>
        <v>Complies</v>
      </c>
      <c r="O1274" s="241" t="str">
        <f>IFERROR(__xludf.DUMMYFUNCTION("VLOOKUP(C1274,IMPORTRANGE(""https://docs.google.com/spreadsheets/d/1P8eX0NWBhUPS_hvzA11R6jkTNFrPrRYIx_dX_hYbxrk/edit?resourcekey=0-iw9bsKY2OqkUHCFMkCar3A&amp;gid=2055363397#gid=2055363397"",""MTR!C:O""),9,false)"),"")</f>
        <v/>
      </c>
      <c r="P1274" s="241"/>
      <c r="Q1274" s="251" t="s">
        <v>445</v>
      </c>
      <c r="R1274" s="241"/>
      <c r="S1274" s="154" t="s">
        <v>64</v>
      </c>
      <c r="T1274" s="154" t="s">
        <v>64</v>
      </c>
      <c r="U1274" s="154" t="s">
        <v>64</v>
      </c>
      <c r="V1274" s="154" t="s">
        <v>64</v>
      </c>
      <c r="W1274" s="154" t="s">
        <v>64</v>
      </c>
      <c r="X1274" s="154" t="s">
        <v>64</v>
      </c>
      <c r="Y1274" s="154" t="s">
        <v>64</v>
      </c>
      <c r="Z1274" s="154" t="s">
        <v>64</v>
      </c>
      <c r="AA1274" s="154" t="s">
        <v>64</v>
      </c>
      <c r="AB1274" s="154"/>
      <c r="AC1274" s="242" t="b">
        <f t="shared" si="2"/>
        <v>1</v>
      </c>
      <c r="AD1274" s="154" t="s">
        <v>391</v>
      </c>
      <c r="AE1274" s="243" t="b">
        <f t="shared" si="3"/>
        <v>0</v>
      </c>
      <c r="AF1274" s="154"/>
      <c r="AG1274" s="243" t="b">
        <f t="shared" si="7"/>
        <v>0</v>
      </c>
      <c r="AH1274" s="154"/>
      <c r="AI1274" s="243" t="str">
        <f t="shared" si="5"/>
        <v>N/A</v>
      </c>
      <c r="AJ1274" s="157" t="str">
        <f t="shared" si="6"/>
        <v/>
      </c>
    </row>
    <row r="1275" ht="12.75" customHeight="1">
      <c r="A1275" s="244" t="s">
        <v>2412</v>
      </c>
      <c r="B1275" s="244" t="s">
        <v>3326</v>
      </c>
      <c r="C1275" s="244" t="s">
        <v>3423</v>
      </c>
      <c r="D1275" s="154" t="s">
        <v>1315</v>
      </c>
      <c r="E1275" s="250"/>
      <c r="F1275" s="154" t="str">
        <f t="array" ref="F1275">XLOOKUP(Cover!$D$12,$S$1:$AA$1,$S1275:$AA1275)</f>
        <v>Recommended</v>
      </c>
      <c r="G1275" s="154" t="s">
        <v>3424</v>
      </c>
      <c r="H1275" s="154"/>
      <c r="I1275" s="154" t="s">
        <v>479</v>
      </c>
      <c r="J1275" s="247" t="s">
        <v>445</v>
      </c>
      <c r="K1275" s="154"/>
      <c r="L1275" s="154" t="str">
        <f t="shared" si="1"/>
        <v/>
      </c>
      <c r="M1275" s="248" t="str">
        <f>IFERROR(__xludf.DUMMYFUNCTION("VLOOKUP(C1275,IMPORTRANGE(""https://docs.google.com/spreadsheets/d/1P8eX0NWBhUPS_hvzA11R6jkTNFrPrRYIx_dX_hYbxrk/edit?resourcekey=0-iw9bsKY2OqkUHCFMkCar3A&amp;gid=2055363397#gid=2055363397"",""MTR!C:O""),11,false)"),"PMW-MCE-NAS")</f>
        <v>PMW-MCE-NAS</v>
      </c>
      <c r="N1275" s="248" t="str">
        <f>IFERROR(__xludf.DUMMYFUNCTION("VLOOKUP(C1275,IMPORTRANGE(""https://docs.google.com/spreadsheets/d/1ihFlp3_ePlYtFuPbUNbYj1muErVpI73WHXbEwJDIA7Q/edit#gid=1493122344"",""MTR!C:O""),8,false)"),"Complies")</f>
        <v>Complies</v>
      </c>
      <c r="O1275" s="241" t="str">
        <f>IFERROR(__xludf.DUMMYFUNCTION("VLOOKUP(C1275,IMPORTRANGE(""https://docs.google.com/spreadsheets/d/1P8eX0NWBhUPS_hvzA11R6jkTNFrPrRYIx_dX_hYbxrk/edit?resourcekey=0-iw9bsKY2OqkUHCFMkCar3A&amp;gid=2055363397#gid=2055363397"",""MTR!C:O""),9,false)"),"")</f>
        <v/>
      </c>
      <c r="P1275" s="241"/>
      <c r="Q1275" s="251" t="s">
        <v>445</v>
      </c>
      <c r="R1275" s="241"/>
      <c r="S1275" s="154" t="s">
        <v>64</v>
      </c>
      <c r="T1275" s="154" t="s">
        <v>64</v>
      </c>
      <c r="U1275" s="154" t="s">
        <v>64</v>
      </c>
      <c r="V1275" s="154" t="s">
        <v>64</v>
      </c>
      <c r="W1275" s="154" t="s">
        <v>64</v>
      </c>
      <c r="X1275" s="154" t="s">
        <v>64</v>
      </c>
      <c r="Y1275" s="154" t="s">
        <v>64</v>
      </c>
      <c r="Z1275" s="154" t="s">
        <v>64</v>
      </c>
      <c r="AA1275" s="154" t="s">
        <v>64</v>
      </c>
      <c r="AB1275" s="154"/>
      <c r="AC1275" s="242" t="b">
        <f t="shared" si="2"/>
        <v>1</v>
      </c>
      <c r="AD1275" s="154" t="s">
        <v>391</v>
      </c>
      <c r="AE1275" s="243" t="b">
        <f t="shared" si="3"/>
        <v>0</v>
      </c>
      <c r="AF1275" s="154"/>
      <c r="AG1275" s="243" t="b">
        <f t="shared" si="7"/>
        <v>0</v>
      </c>
      <c r="AH1275" s="154"/>
      <c r="AI1275" s="243" t="str">
        <f t="shared" si="5"/>
        <v>N/A</v>
      </c>
      <c r="AJ1275" s="157" t="str">
        <f t="shared" si="6"/>
        <v/>
      </c>
    </row>
    <row r="1276" ht="12.75" customHeight="1">
      <c r="A1276" s="244" t="s">
        <v>2412</v>
      </c>
      <c r="B1276" s="244" t="s">
        <v>3326</v>
      </c>
      <c r="C1276" s="244" t="s">
        <v>3425</v>
      </c>
      <c r="D1276" s="154" t="s">
        <v>1315</v>
      </c>
      <c r="E1276" s="250"/>
      <c r="F1276" s="154" t="str">
        <f t="array" ref="F1276">XLOOKUP(Cover!$D$12,$S$1:$AA$1,$S1276:$AA1276)</f>
        <v>Mandatory</v>
      </c>
      <c r="G1276" s="154" t="s">
        <v>3426</v>
      </c>
      <c r="H1276" s="154" t="s">
        <v>3335</v>
      </c>
      <c r="I1276" s="154" t="s">
        <v>479</v>
      </c>
      <c r="J1276" s="247" t="s">
        <v>445</v>
      </c>
      <c r="K1276" s="154"/>
      <c r="L1276" s="154" t="str">
        <f t="shared" si="1"/>
        <v/>
      </c>
      <c r="M1276" s="248" t="str">
        <f>IFERROR(__xludf.DUMMYFUNCTION("VLOOKUP(C1276,IMPORTRANGE(""https://docs.google.com/spreadsheets/d/1P8eX0NWBhUPS_hvzA11R6jkTNFrPrRYIx_dX_hYbxrk/edit?resourcekey=0-iw9bsKY2OqkUHCFMkCar3A&amp;gid=2055363397#gid=2055363397"",""MTR!C:O""),11,false)"),"PMW-MCE-NAS")</f>
        <v>PMW-MCE-NAS</v>
      </c>
      <c r="N1276" s="248" t="str">
        <f>IFERROR(__xludf.DUMMYFUNCTION("VLOOKUP(C1276,IMPORTRANGE(""https://docs.google.com/spreadsheets/d/1ihFlp3_ePlYtFuPbUNbYj1muErVpI73WHXbEwJDIA7Q/edit#gid=1493122344"",""MTR!C:O""),8,false)"),"Complies")</f>
        <v>Complies</v>
      </c>
      <c r="O1276" s="241" t="str">
        <f>IFERROR(__xludf.DUMMYFUNCTION("VLOOKUP(C1276,IMPORTRANGE(""https://docs.google.com/spreadsheets/d/1P8eX0NWBhUPS_hvzA11R6jkTNFrPrRYIx_dX_hYbxrk/edit?resourcekey=0-iw9bsKY2OqkUHCFMkCar3A&amp;gid=2055363397#gid=2055363397"",""MTR!C:O""),9,false)"),"")</f>
        <v/>
      </c>
      <c r="P1276" s="241"/>
      <c r="Q1276" s="251" t="s">
        <v>445</v>
      </c>
      <c r="R1276" s="241"/>
      <c r="S1276" s="154" t="s">
        <v>60</v>
      </c>
      <c r="T1276" s="154" t="s">
        <v>60</v>
      </c>
      <c r="U1276" s="154" t="s">
        <v>60</v>
      </c>
      <c r="V1276" s="154" t="s">
        <v>60</v>
      </c>
      <c r="W1276" s="154" t="s">
        <v>60</v>
      </c>
      <c r="X1276" s="154" t="s">
        <v>60</v>
      </c>
      <c r="Y1276" s="154" t="s">
        <v>60</v>
      </c>
      <c r="Z1276" s="154" t="s">
        <v>60</v>
      </c>
      <c r="AA1276" s="154" t="s">
        <v>60</v>
      </c>
      <c r="AB1276" s="154"/>
      <c r="AC1276" s="242" t="b">
        <f t="shared" si="2"/>
        <v>1</v>
      </c>
      <c r="AD1276" s="154" t="s">
        <v>391</v>
      </c>
      <c r="AE1276" s="243" t="b">
        <f t="shared" si="3"/>
        <v>0</v>
      </c>
      <c r="AF1276" s="154"/>
      <c r="AG1276" s="243" t="b">
        <f t="shared" si="7"/>
        <v>0</v>
      </c>
      <c r="AH1276" s="154"/>
      <c r="AI1276" s="243" t="str">
        <f t="shared" si="5"/>
        <v>N/A</v>
      </c>
      <c r="AJ1276" s="157" t="str">
        <f t="shared" si="6"/>
        <v/>
      </c>
    </row>
    <row r="1277" ht="12.75" customHeight="1">
      <c r="A1277" s="244" t="s">
        <v>2412</v>
      </c>
      <c r="B1277" s="244" t="s">
        <v>3326</v>
      </c>
      <c r="C1277" s="244" t="s">
        <v>3427</v>
      </c>
      <c r="D1277" s="154" t="s">
        <v>739</v>
      </c>
      <c r="E1277" s="250"/>
      <c r="F1277" s="154" t="str">
        <f t="array" ref="F1277">XLOOKUP(Cover!$D$12,$S$1:$AA$1,$S1277:$AA1277)</f>
        <v>Mandatory</v>
      </c>
      <c r="G1277" s="153" t="s">
        <v>3428</v>
      </c>
      <c r="H1277" s="154" t="s">
        <v>3335</v>
      </c>
      <c r="I1277" s="154" t="s">
        <v>479</v>
      </c>
      <c r="J1277" s="247" t="s">
        <v>445</v>
      </c>
      <c r="K1277" s="154"/>
      <c r="L1277" s="154" t="str">
        <f t="shared" si="1"/>
        <v/>
      </c>
      <c r="M1277" s="248" t="str">
        <f>IFERROR(__xludf.DUMMYFUNCTION("VLOOKUP(C1277,IMPORTRANGE(""https://docs.google.com/spreadsheets/d/1P8eX0NWBhUPS_hvzA11R6jkTNFrPrRYIx_dX_hYbxrk/edit?resourcekey=0-iw9bsKY2OqkUHCFMkCar3A&amp;gid=2055363397#gid=2055363397"",""MTR!C:O""),11,false)"),"PMW-MCE-NAS")</f>
        <v>PMW-MCE-NAS</v>
      </c>
      <c r="N1277" s="248" t="str">
        <f>IFERROR(__xludf.DUMMYFUNCTION("VLOOKUP(C1277,IMPORTRANGE(""https://docs.google.com/spreadsheets/d/1ihFlp3_ePlYtFuPbUNbYj1muErVpI73WHXbEwJDIA7Q/edit#gid=1493122344"",""MTR!C:O""),8,false)"),"Complies")</f>
        <v>Complies</v>
      </c>
      <c r="O1277" s="241" t="str">
        <f>IFERROR(__xludf.DUMMYFUNCTION("VLOOKUP(C1277,IMPORTRANGE(""https://docs.google.com/spreadsheets/d/1P8eX0NWBhUPS_hvzA11R6jkTNFrPrRYIx_dX_hYbxrk/edit?resourcekey=0-iw9bsKY2OqkUHCFMkCar3A&amp;gid=2055363397#gid=2055363397"",""MTR!C:O""),9,false)"),"")</f>
        <v/>
      </c>
      <c r="P1277" s="241"/>
      <c r="Q1277" s="251" t="s">
        <v>445</v>
      </c>
      <c r="R1277" s="241"/>
      <c r="S1277" s="154" t="s">
        <v>60</v>
      </c>
      <c r="T1277" s="154" t="s">
        <v>60</v>
      </c>
      <c r="U1277" s="154" t="s">
        <v>60</v>
      </c>
      <c r="V1277" s="154" t="s">
        <v>60</v>
      </c>
      <c r="W1277" s="154" t="s">
        <v>60</v>
      </c>
      <c r="X1277" s="154" t="s">
        <v>60</v>
      </c>
      <c r="Y1277" s="154" t="s">
        <v>60</v>
      </c>
      <c r="Z1277" s="154" t="s">
        <v>60</v>
      </c>
      <c r="AA1277" s="154" t="s">
        <v>60</v>
      </c>
      <c r="AB1277" s="154"/>
      <c r="AC1277" s="242" t="b">
        <f t="shared" si="2"/>
        <v>1</v>
      </c>
      <c r="AD1277" s="154" t="s">
        <v>68</v>
      </c>
      <c r="AE1277" s="243" t="b">
        <f t="shared" si="3"/>
        <v>0</v>
      </c>
      <c r="AF1277" s="154"/>
      <c r="AG1277" s="243" t="b">
        <f t="shared" si="7"/>
        <v>0</v>
      </c>
      <c r="AH1277" s="154"/>
      <c r="AI1277" s="243" t="str">
        <f t="shared" si="5"/>
        <v>N/A</v>
      </c>
      <c r="AJ1277" s="157" t="str">
        <f t="shared" si="6"/>
        <v/>
      </c>
    </row>
    <row r="1278" ht="12.75" customHeight="1">
      <c r="A1278" s="238" t="s">
        <v>2412</v>
      </c>
      <c r="B1278" s="238" t="s">
        <v>3326</v>
      </c>
      <c r="C1278" s="238" t="s">
        <v>3429</v>
      </c>
      <c r="D1278" s="238"/>
      <c r="E1278" s="238"/>
      <c r="F1278" s="154" t="str">
        <f t="array" ref="F1278">XLOOKUP(Cover!$D$12,$S$1:$AA$1,$S1278:$AA1278)</f>
        <v>Heading</v>
      </c>
      <c r="G1278" s="239" t="s">
        <v>3430</v>
      </c>
      <c r="H1278" s="240"/>
      <c r="I1278" s="240" t="s">
        <v>479</v>
      </c>
      <c r="J1278" s="240"/>
      <c r="K1278" s="240"/>
      <c r="L1278" s="154" t="str">
        <f t="shared" si="1"/>
        <v/>
      </c>
      <c r="M1278" s="241" t="str">
        <f>IFERROR(__xludf.DUMMYFUNCTION("VLOOKUP(C1278,IMPORTRANGE(""https://docs.google.com/spreadsheets/d/1P8eX0NWBhUPS_hvzA11R6jkTNFrPrRYIx_dX_hYbxrk/edit?resourcekey=0-iw9bsKY2OqkUHCFMkCar3A&amp;gid=2055363397#gid=2055363397"",""MTR!C:O""),11,false)"),"")</f>
        <v/>
      </c>
      <c r="N1278" s="241" t="str">
        <f>IFERROR(__xludf.DUMMYFUNCTION("VLOOKUP(C1278,IMPORTRANGE(""https://docs.google.com/spreadsheets/d/1ihFlp3_ePlYtFuPbUNbYj1muErVpI73WHXbEwJDIA7Q/edit#gid=1493122344"",""MTR!C:O""),8,false)"),"")</f>
        <v/>
      </c>
      <c r="O1278" s="241" t="str">
        <f>IFERROR(__xludf.DUMMYFUNCTION("VLOOKUP(C1278,IMPORTRANGE(""https://docs.google.com/spreadsheets/d/1P8eX0NWBhUPS_hvzA11R6jkTNFrPrRYIx_dX_hYbxrk/edit?resourcekey=0-iw9bsKY2OqkUHCFMkCar3A&amp;gid=2055363397#gid=2055363397"",""MTR!C:O""),9,false)"),"")</f>
        <v/>
      </c>
      <c r="P1278" s="241"/>
      <c r="Q1278" s="251"/>
      <c r="R1278" s="241"/>
      <c r="S1278" s="240" t="s">
        <v>390</v>
      </c>
      <c r="T1278" s="240" t="s">
        <v>390</v>
      </c>
      <c r="U1278" s="240" t="s">
        <v>390</v>
      </c>
      <c r="V1278" s="240" t="s">
        <v>390</v>
      </c>
      <c r="W1278" s="240" t="s">
        <v>390</v>
      </c>
      <c r="X1278" s="240" t="s">
        <v>390</v>
      </c>
      <c r="Y1278" s="240" t="s">
        <v>390</v>
      </c>
      <c r="Z1278" s="240" t="s">
        <v>390</v>
      </c>
      <c r="AA1278" s="240" t="s">
        <v>390</v>
      </c>
      <c r="AB1278" s="240"/>
      <c r="AC1278" s="242" t="b">
        <f t="shared" si="2"/>
        <v>0</v>
      </c>
      <c r="AD1278" s="240" t="s">
        <v>391</v>
      </c>
      <c r="AE1278" s="243" t="b">
        <f t="shared" si="3"/>
        <v>0</v>
      </c>
      <c r="AF1278" s="240"/>
      <c r="AG1278" s="243" t="b">
        <f t="shared" si="7"/>
        <v>0</v>
      </c>
      <c r="AH1278" s="240"/>
      <c r="AI1278" s="243" t="str">
        <f t="shared" si="5"/>
        <v>N/A</v>
      </c>
      <c r="AJ1278" s="157" t="str">
        <f t="shared" si="6"/>
        <v/>
      </c>
    </row>
    <row r="1279" ht="12.75" customHeight="1">
      <c r="A1279" s="244" t="s">
        <v>2412</v>
      </c>
      <c r="B1279" s="244" t="s">
        <v>3326</v>
      </c>
      <c r="C1279" s="244" t="s">
        <v>3431</v>
      </c>
      <c r="D1279" s="154" t="s">
        <v>1120</v>
      </c>
      <c r="E1279" s="250"/>
      <c r="F1279" s="154" t="str">
        <f t="array" ref="F1279">XLOOKUP(Cover!$D$12,$S$1:$AA$1,$S1279:$AA1279)</f>
        <v>Mandatory</v>
      </c>
      <c r="G1279" s="154" t="s">
        <v>3432</v>
      </c>
      <c r="H1279" s="154" t="s">
        <v>3335</v>
      </c>
      <c r="I1279" s="154" t="s">
        <v>479</v>
      </c>
      <c r="J1279" s="154" t="s">
        <v>445</v>
      </c>
      <c r="K1279" s="154"/>
      <c r="L1279" s="154" t="str">
        <f t="shared" si="1"/>
        <v/>
      </c>
      <c r="M1279" s="248" t="str">
        <f>IFERROR(__xludf.DUMMYFUNCTION("VLOOKUP(C1279,IMPORTRANGE(""https://docs.google.com/spreadsheets/d/1P8eX0NWBhUPS_hvzA11R6jkTNFrPrRYIx_dX_hYbxrk/edit?resourcekey=0-iw9bsKY2OqkUHCFMkCar3A&amp;gid=2055363397#gid=2055363397"",""MTR!C:O""),11,false)"),"PMW-MCE-NAS")</f>
        <v>PMW-MCE-NAS</v>
      </c>
      <c r="N1279" s="248" t="str">
        <f>IFERROR(__xludf.DUMMYFUNCTION("VLOOKUP(C1279,IMPORTRANGE(""https://docs.google.com/spreadsheets/d/1ihFlp3_ePlYtFuPbUNbYj1muErVpI73WHXbEwJDIA7Q/edit#gid=1493122344"",""MTR!C:O""),8,false)"),"Complies")</f>
        <v>Complies</v>
      </c>
      <c r="O1279" s="241" t="str">
        <f>IFERROR(__xludf.DUMMYFUNCTION("VLOOKUP(C1279,IMPORTRANGE(""https://docs.google.com/spreadsheets/d/1P8eX0NWBhUPS_hvzA11R6jkTNFrPrRYIx_dX_hYbxrk/edit?resourcekey=0-iw9bsKY2OqkUHCFMkCar3A&amp;gid=2055363397#gid=2055363397"",""MTR!C:O""),9,false)"),"")</f>
        <v/>
      </c>
      <c r="P1279" s="241"/>
      <c r="Q1279" s="251" t="s">
        <v>445</v>
      </c>
      <c r="R1279" s="241"/>
      <c r="S1279" s="154" t="s">
        <v>60</v>
      </c>
      <c r="T1279" s="154" t="s">
        <v>60</v>
      </c>
      <c r="U1279" s="154" t="s">
        <v>60</v>
      </c>
      <c r="V1279" s="154" t="s">
        <v>60</v>
      </c>
      <c r="W1279" s="154" t="s">
        <v>60</v>
      </c>
      <c r="X1279" s="154" t="s">
        <v>60</v>
      </c>
      <c r="Y1279" s="154" t="s">
        <v>60</v>
      </c>
      <c r="Z1279" s="154" t="s">
        <v>60</v>
      </c>
      <c r="AA1279" s="154" t="s">
        <v>60</v>
      </c>
      <c r="AB1279" s="154"/>
      <c r="AC1279" s="242" t="b">
        <f t="shared" si="2"/>
        <v>1</v>
      </c>
      <c r="AD1279" s="154" t="s">
        <v>391</v>
      </c>
      <c r="AE1279" s="243" t="b">
        <f t="shared" si="3"/>
        <v>0</v>
      </c>
      <c r="AF1279" s="154"/>
      <c r="AG1279" s="243" t="b">
        <f t="shared" si="7"/>
        <v>0</v>
      </c>
      <c r="AH1279" s="154"/>
      <c r="AI1279" s="243" t="str">
        <f t="shared" si="5"/>
        <v>N/A</v>
      </c>
      <c r="AJ1279" s="157" t="str">
        <f t="shared" si="6"/>
        <v/>
      </c>
    </row>
    <row r="1280" ht="12.75" customHeight="1">
      <c r="A1280" s="244" t="s">
        <v>2412</v>
      </c>
      <c r="B1280" s="244" t="s">
        <v>3326</v>
      </c>
      <c r="C1280" s="244" t="s">
        <v>3433</v>
      </c>
      <c r="D1280" s="154" t="s">
        <v>1120</v>
      </c>
      <c r="E1280" s="250"/>
      <c r="F1280" s="154" t="str">
        <f t="array" ref="F1280">XLOOKUP(Cover!$D$12,$S$1:$AA$1,$S1280:$AA1280)</f>
        <v>Mandatory</v>
      </c>
      <c r="G1280" s="154" t="s">
        <v>3434</v>
      </c>
      <c r="H1280" s="154" t="s">
        <v>3335</v>
      </c>
      <c r="I1280" s="154" t="s">
        <v>479</v>
      </c>
      <c r="J1280" s="247" t="s">
        <v>445</v>
      </c>
      <c r="K1280" s="154"/>
      <c r="L1280" s="154" t="str">
        <f t="shared" si="1"/>
        <v/>
      </c>
      <c r="M1280" s="248" t="str">
        <f>IFERROR(__xludf.DUMMYFUNCTION("VLOOKUP(C1280,IMPORTRANGE(""https://docs.google.com/spreadsheets/d/1P8eX0NWBhUPS_hvzA11R6jkTNFrPrRYIx_dX_hYbxrk/edit?resourcekey=0-iw9bsKY2OqkUHCFMkCar3A&amp;gid=2055363397#gid=2055363397"",""MTR!C:O""),11,false)"),"PMW-MCE-NAS")</f>
        <v>PMW-MCE-NAS</v>
      </c>
      <c r="N1280" s="248" t="str">
        <f>IFERROR(__xludf.DUMMYFUNCTION("VLOOKUP(C1280,IMPORTRANGE(""https://docs.google.com/spreadsheets/d/1ihFlp3_ePlYtFuPbUNbYj1muErVpI73WHXbEwJDIA7Q/edit#gid=1493122344"",""MTR!C:O""),8,false)"),"Complies")</f>
        <v>Complies</v>
      </c>
      <c r="O1280" s="241" t="str">
        <f>IFERROR(__xludf.DUMMYFUNCTION("VLOOKUP(C1280,IMPORTRANGE(""https://docs.google.com/spreadsheets/d/1P8eX0NWBhUPS_hvzA11R6jkTNFrPrRYIx_dX_hYbxrk/edit?resourcekey=0-iw9bsKY2OqkUHCFMkCar3A&amp;gid=2055363397#gid=2055363397"",""MTR!C:O""),9,false)"),"")</f>
        <v/>
      </c>
      <c r="P1280" s="241"/>
      <c r="Q1280" s="251" t="s">
        <v>445</v>
      </c>
      <c r="R1280" s="241"/>
      <c r="S1280" s="154" t="s">
        <v>60</v>
      </c>
      <c r="T1280" s="154" t="s">
        <v>60</v>
      </c>
      <c r="U1280" s="154" t="s">
        <v>60</v>
      </c>
      <c r="V1280" s="154" t="s">
        <v>60</v>
      </c>
      <c r="W1280" s="154" t="s">
        <v>60</v>
      </c>
      <c r="X1280" s="154" t="s">
        <v>60</v>
      </c>
      <c r="Y1280" s="154" t="s">
        <v>60</v>
      </c>
      <c r="Z1280" s="154" t="s">
        <v>60</v>
      </c>
      <c r="AA1280" s="154" t="s">
        <v>60</v>
      </c>
      <c r="AB1280" s="154"/>
      <c r="AC1280" s="242" t="b">
        <f t="shared" si="2"/>
        <v>1</v>
      </c>
      <c r="AD1280" s="154" t="s">
        <v>391</v>
      </c>
      <c r="AE1280" s="243" t="b">
        <f t="shared" si="3"/>
        <v>0</v>
      </c>
      <c r="AF1280" s="154"/>
      <c r="AG1280" s="243" t="b">
        <f t="shared" si="7"/>
        <v>0</v>
      </c>
      <c r="AH1280" s="154"/>
      <c r="AI1280" s="243" t="str">
        <f t="shared" si="5"/>
        <v>N/A</v>
      </c>
      <c r="AJ1280" s="157" t="str">
        <f t="shared" si="6"/>
        <v/>
      </c>
    </row>
    <row r="1281" ht="12.75" customHeight="1">
      <c r="A1281" s="244" t="s">
        <v>2412</v>
      </c>
      <c r="B1281" s="244" t="s">
        <v>3326</v>
      </c>
      <c r="C1281" s="244" t="s">
        <v>3435</v>
      </c>
      <c r="D1281" s="154" t="s">
        <v>1120</v>
      </c>
      <c r="E1281" s="250"/>
      <c r="F1281" s="154" t="str">
        <f t="array" ref="F1281">XLOOKUP(Cover!$D$12,$S$1:$AA$1,$S1281:$AA1281)</f>
        <v>Mandatory</v>
      </c>
      <c r="G1281" s="154" t="s">
        <v>3436</v>
      </c>
      <c r="H1281" s="154" t="s">
        <v>3335</v>
      </c>
      <c r="I1281" s="154" t="s">
        <v>479</v>
      </c>
      <c r="J1281" s="247" t="s">
        <v>445</v>
      </c>
      <c r="K1281" s="154"/>
      <c r="L1281" s="154" t="str">
        <f t="shared" si="1"/>
        <v/>
      </c>
      <c r="M1281" s="248" t="str">
        <f>IFERROR(__xludf.DUMMYFUNCTION("VLOOKUP(C1281,IMPORTRANGE(""https://docs.google.com/spreadsheets/d/1P8eX0NWBhUPS_hvzA11R6jkTNFrPrRYIx_dX_hYbxrk/edit?resourcekey=0-iw9bsKY2OqkUHCFMkCar3A&amp;gid=2055363397#gid=2055363397"",""MTR!C:O""),11,false)"),"PMW-MCE-NAS")</f>
        <v>PMW-MCE-NAS</v>
      </c>
      <c r="N1281" s="248" t="str">
        <f>IFERROR(__xludf.DUMMYFUNCTION("VLOOKUP(C1281,IMPORTRANGE(""https://docs.google.com/spreadsheets/d/1ihFlp3_ePlYtFuPbUNbYj1muErVpI73WHXbEwJDIA7Q/edit#gid=1493122344"",""MTR!C:O""),8,false)"),"Complies")</f>
        <v>Complies</v>
      </c>
      <c r="O1281" s="241" t="str">
        <f>IFERROR(__xludf.DUMMYFUNCTION("VLOOKUP(C1281,IMPORTRANGE(""https://docs.google.com/spreadsheets/d/1P8eX0NWBhUPS_hvzA11R6jkTNFrPrRYIx_dX_hYbxrk/edit?resourcekey=0-iw9bsKY2OqkUHCFMkCar3A&amp;gid=2055363397#gid=2055363397"",""MTR!C:O""),9,false)"),"")</f>
        <v/>
      </c>
      <c r="P1281" s="241"/>
      <c r="Q1281" s="251" t="s">
        <v>445</v>
      </c>
      <c r="R1281" s="241"/>
      <c r="S1281" s="154" t="s">
        <v>60</v>
      </c>
      <c r="T1281" s="154" t="s">
        <v>60</v>
      </c>
      <c r="U1281" s="154" t="s">
        <v>60</v>
      </c>
      <c r="V1281" s="154" t="s">
        <v>60</v>
      </c>
      <c r="W1281" s="154" t="s">
        <v>60</v>
      </c>
      <c r="X1281" s="154" t="s">
        <v>60</v>
      </c>
      <c r="Y1281" s="154" t="s">
        <v>60</v>
      </c>
      <c r="Z1281" s="154" t="s">
        <v>60</v>
      </c>
      <c r="AA1281" s="154" t="s">
        <v>60</v>
      </c>
      <c r="AB1281" s="154"/>
      <c r="AC1281" s="242" t="b">
        <f t="shared" si="2"/>
        <v>1</v>
      </c>
      <c r="AD1281" s="154" t="s">
        <v>516</v>
      </c>
      <c r="AE1281" s="243" t="b">
        <f t="shared" si="3"/>
        <v>0</v>
      </c>
      <c r="AF1281" s="154"/>
      <c r="AG1281" s="243" t="b">
        <f t="shared" si="7"/>
        <v>0</v>
      </c>
      <c r="AH1281" s="154"/>
      <c r="AI1281" s="243" t="str">
        <f t="shared" si="5"/>
        <v>N/A</v>
      </c>
      <c r="AJ1281" s="157" t="str">
        <f t="shared" si="6"/>
        <v/>
      </c>
    </row>
    <row r="1282" ht="12.75" customHeight="1">
      <c r="A1282" s="244" t="s">
        <v>2412</v>
      </c>
      <c r="B1282" s="244" t="s">
        <v>3326</v>
      </c>
      <c r="C1282" s="244" t="s">
        <v>3437</v>
      </c>
      <c r="D1282" s="154" t="s">
        <v>1120</v>
      </c>
      <c r="E1282" s="250"/>
      <c r="F1282" s="154" t="str">
        <f t="array" ref="F1282">XLOOKUP(Cover!$D$12,$S$1:$AA$1,$S1282:$AA1282)</f>
        <v>Mandatory</v>
      </c>
      <c r="G1282" s="154" t="s">
        <v>3438</v>
      </c>
      <c r="H1282" s="154" t="s">
        <v>3335</v>
      </c>
      <c r="I1282" s="154" t="s">
        <v>479</v>
      </c>
      <c r="J1282" s="247" t="s">
        <v>445</v>
      </c>
      <c r="K1282" s="154"/>
      <c r="L1282" s="154" t="str">
        <f t="shared" si="1"/>
        <v/>
      </c>
      <c r="M1282" s="248" t="str">
        <f>IFERROR(__xludf.DUMMYFUNCTION("VLOOKUP(C1282,IMPORTRANGE(""https://docs.google.com/spreadsheets/d/1P8eX0NWBhUPS_hvzA11R6jkTNFrPrRYIx_dX_hYbxrk/edit?resourcekey=0-iw9bsKY2OqkUHCFMkCar3A&amp;gid=2055363397#gid=2055363397"",""MTR!C:O""),11,false)"),"PMW-MCE-NAS")</f>
        <v>PMW-MCE-NAS</v>
      </c>
      <c r="N1282" s="248" t="str">
        <f>IFERROR(__xludf.DUMMYFUNCTION("VLOOKUP(C1282,IMPORTRANGE(""https://docs.google.com/spreadsheets/d/1ihFlp3_ePlYtFuPbUNbYj1muErVpI73WHXbEwJDIA7Q/edit#gid=1493122344"",""MTR!C:O""),8,false)"),"Complies")</f>
        <v>Complies</v>
      </c>
      <c r="O1282" s="241" t="str">
        <f>IFERROR(__xludf.DUMMYFUNCTION("VLOOKUP(C1282,IMPORTRANGE(""https://docs.google.com/spreadsheets/d/1P8eX0NWBhUPS_hvzA11R6jkTNFrPrRYIx_dX_hYbxrk/edit?resourcekey=0-iw9bsKY2OqkUHCFMkCar3A&amp;gid=2055363397#gid=2055363397"",""MTR!C:O""),9,false)"),"")</f>
        <v/>
      </c>
      <c r="P1282" s="241"/>
      <c r="Q1282" s="251" t="s">
        <v>445</v>
      </c>
      <c r="R1282" s="241"/>
      <c r="S1282" s="154" t="s">
        <v>60</v>
      </c>
      <c r="T1282" s="154" t="s">
        <v>60</v>
      </c>
      <c r="U1282" s="154" t="s">
        <v>60</v>
      </c>
      <c r="V1282" s="154" t="s">
        <v>60</v>
      </c>
      <c r="W1282" s="154" t="s">
        <v>60</v>
      </c>
      <c r="X1282" s="154" t="s">
        <v>60</v>
      </c>
      <c r="Y1282" s="154" t="s">
        <v>60</v>
      </c>
      <c r="Z1282" s="154" t="s">
        <v>60</v>
      </c>
      <c r="AA1282" s="154" t="s">
        <v>60</v>
      </c>
      <c r="AB1282" s="154"/>
      <c r="AC1282" s="242" t="b">
        <f t="shared" si="2"/>
        <v>1</v>
      </c>
      <c r="AD1282" s="154" t="s">
        <v>391</v>
      </c>
      <c r="AE1282" s="243" t="b">
        <f t="shared" si="3"/>
        <v>0</v>
      </c>
      <c r="AF1282" s="154"/>
      <c r="AG1282" s="243" t="b">
        <f t="shared" si="7"/>
        <v>0</v>
      </c>
      <c r="AH1282" s="154"/>
      <c r="AI1282" s="243" t="str">
        <f t="shared" si="5"/>
        <v>N/A</v>
      </c>
      <c r="AJ1282" s="157" t="str">
        <f t="shared" si="6"/>
        <v/>
      </c>
    </row>
    <row r="1283" ht="12.75" customHeight="1">
      <c r="A1283" s="244" t="s">
        <v>2412</v>
      </c>
      <c r="B1283" s="244" t="s">
        <v>3326</v>
      </c>
      <c r="C1283" s="244" t="s">
        <v>3439</v>
      </c>
      <c r="D1283" s="154" t="s">
        <v>1315</v>
      </c>
      <c r="E1283" s="250"/>
      <c r="F1283" s="154" t="str">
        <f t="array" ref="F1283">XLOOKUP(Cover!$D$12,$S$1:$AA$1,$S1283:$AA1283)</f>
        <v>Recommended</v>
      </c>
      <c r="G1283" s="154" t="s">
        <v>3440</v>
      </c>
      <c r="H1283" s="154"/>
      <c r="I1283" s="154" t="s">
        <v>479</v>
      </c>
      <c r="J1283" s="247" t="s">
        <v>445</v>
      </c>
      <c r="K1283" s="154"/>
      <c r="L1283" s="154" t="str">
        <f t="shared" si="1"/>
        <v/>
      </c>
      <c r="M1283" s="248" t="str">
        <f>IFERROR(__xludf.DUMMYFUNCTION("VLOOKUP(C1283,IMPORTRANGE(""https://docs.google.com/spreadsheets/d/1P8eX0NWBhUPS_hvzA11R6jkTNFrPrRYIx_dX_hYbxrk/edit?resourcekey=0-iw9bsKY2OqkUHCFMkCar3A&amp;gid=2055363397#gid=2055363397"",""MTR!C:O""),11,false)"),"PMW-MCE-NAS")</f>
        <v>PMW-MCE-NAS</v>
      </c>
      <c r="N1283" s="248" t="str">
        <f>IFERROR(__xludf.DUMMYFUNCTION("VLOOKUP(C1283,IMPORTRANGE(""https://docs.google.com/spreadsheets/d/1ihFlp3_ePlYtFuPbUNbYj1muErVpI73WHXbEwJDIA7Q/edit#gid=1493122344"",""MTR!C:O""),8,false)"),"Complies")</f>
        <v>Complies</v>
      </c>
      <c r="O1283" s="241" t="str">
        <f>IFERROR(__xludf.DUMMYFUNCTION("VLOOKUP(C1283,IMPORTRANGE(""https://docs.google.com/spreadsheets/d/1P8eX0NWBhUPS_hvzA11R6jkTNFrPrRYIx_dX_hYbxrk/edit?resourcekey=0-iw9bsKY2OqkUHCFMkCar3A&amp;gid=2055363397#gid=2055363397"",""MTR!C:O""),9,false)"),"")</f>
        <v/>
      </c>
      <c r="P1283" s="241"/>
      <c r="Q1283" s="251" t="s">
        <v>445</v>
      </c>
      <c r="R1283" s="241"/>
      <c r="S1283" s="154" t="s">
        <v>64</v>
      </c>
      <c r="T1283" s="154" t="s">
        <v>64</v>
      </c>
      <c r="U1283" s="154" t="s">
        <v>64</v>
      </c>
      <c r="V1283" s="154" t="s">
        <v>64</v>
      </c>
      <c r="W1283" s="154" t="s">
        <v>64</v>
      </c>
      <c r="X1283" s="154" t="s">
        <v>64</v>
      </c>
      <c r="Y1283" s="154" t="s">
        <v>64</v>
      </c>
      <c r="Z1283" s="154" t="s">
        <v>64</v>
      </c>
      <c r="AA1283" s="154" t="s">
        <v>64</v>
      </c>
      <c r="AB1283" s="154"/>
      <c r="AC1283" s="242" t="b">
        <f t="shared" si="2"/>
        <v>1</v>
      </c>
      <c r="AD1283" s="154" t="s">
        <v>391</v>
      </c>
      <c r="AE1283" s="243" t="b">
        <f t="shared" si="3"/>
        <v>0</v>
      </c>
      <c r="AF1283" s="154"/>
      <c r="AG1283" s="243" t="b">
        <f t="shared" si="7"/>
        <v>0</v>
      </c>
      <c r="AH1283" s="154"/>
      <c r="AI1283" s="243" t="str">
        <f t="shared" si="5"/>
        <v>N/A</v>
      </c>
      <c r="AJ1283" s="157" t="str">
        <f t="shared" si="6"/>
        <v/>
      </c>
    </row>
    <row r="1284" ht="12.75" customHeight="1">
      <c r="A1284" s="244" t="s">
        <v>2412</v>
      </c>
      <c r="B1284" s="244" t="s">
        <v>3326</v>
      </c>
      <c r="C1284" s="244" t="s">
        <v>3441</v>
      </c>
      <c r="D1284" s="154" t="s">
        <v>1315</v>
      </c>
      <c r="E1284" s="250"/>
      <c r="F1284" s="154" t="str">
        <f t="array" ref="F1284">XLOOKUP(Cover!$D$12,$S$1:$AA$1,$S1284:$AA1284)</f>
        <v>Recommended</v>
      </c>
      <c r="G1284" s="154" t="s">
        <v>3442</v>
      </c>
      <c r="H1284" s="154"/>
      <c r="I1284" s="154" t="s">
        <v>479</v>
      </c>
      <c r="J1284" s="247" t="s">
        <v>445</v>
      </c>
      <c r="K1284" s="154"/>
      <c r="L1284" s="154" t="str">
        <f t="shared" si="1"/>
        <v/>
      </c>
      <c r="M1284" s="248" t="str">
        <f>IFERROR(__xludf.DUMMYFUNCTION("VLOOKUP(C1284,IMPORTRANGE(""https://docs.google.com/spreadsheets/d/1P8eX0NWBhUPS_hvzA11R6jkTNFrPrRYIx_dX_hYbxrk/edit?resourcekey=0-iw9bsKY2OqkUHCFMkCar3A&amp;gid=2055363397#gid=2055363397"",""MTR!C:O""),11,false)"),"PMW-MCE-NAS")</f>
        <v>PMW-MCE-NAS</v>
      </c>
      <c r="N1284" s="248" t="str">
        <f>IFERROR(__xludf.DUMMYFUNCTION("VLOOKUP(C1284,IMPORTRANGE(""https://docs.google.com/spreadsheets/d/1ihFlp3_ePlYtFuPbUNbYj1muErVpI73WHXbEwJDIA7Q/edit#gid=1493122344"",""MTR!C:O""),8,false)"),"Complies")</f>
        <v>Complies</v>
      </c>
      <c r="O1284" s="241" t="str">
        <f>IFERROR(__xludf.DUMMYFUNCTION("VLOOKUP(C1284,IMPORTRANGE(""https://docs.google.com/spreadsheets/d/1P8eX0NWBhUPS_hvzA11R6jkTNFrPrRYIx_dX_hYbxrk/edit?resourcekey=0-iw9bsKY2OqkUHCFMkCar3A&amp;gid=2055363397#gid=2055363397"",""MTR!C:O""),9,false)"),"")</f>
        <v/>
      </c>
      <c r="P1284" s="241"/>
      <c r="Q1284" s="251" t="s">
        <v>445</v>
      </c>
      <c r="R1284" s="241"/>
      <c r="S1284" s="154" t="s">
        <v>64</v>
      </c>
      <c r="T1284" s="154" t="s">
        <v>64</v>
      </c>
      <c r="U1284" s="154" t="s">
        <v>64</v>
      </c>
      <c r="V1284" s="154" t="s">
        <v>64</v>
      </c>
      <c r="W1284" s="154" t="s">
        <v>64</v>
      </c>
      <c r="X1284" s="154" t="s">
        <v>64</v>
      </c>
      <c r="Y1284" s="154" t="s">
        <v>64</v>
      </c>
      <c r="Z1284" s="154" t="s">
        <v>64</v>
      </c>
      <c r="AA1284" s="154" t="s">
        <v>64</v>
      </c>
      <c r="AB1284" s="154"/>
      <c r="AC1284" s="242" t="b">
        <f t="shared" si="2"/>
        <v>1</v>
      </c>
      <c r="AD1284" s="154" t="s">
        <v>391</v>
      </c>
      <c r="AE1284" s="243" t="b">
        <f t="shared" si="3"/>
        <v>0</v>
      </c>
      <c r="AF1284" s="154"/>
      <c r="AG1284" s="243" t="b">
        <f t="shared" si="7"/>
        <v>0</v>
      </c>
      <c r="AH1284" s="154"/>
      <c r="AI1284" s="243" t="str">
        <f t="shared" si="5"/>
        <v>N/A</v>
      </c>
      <c r="AJ1284" s="157" t="str">
        <f t="shared" si="6"/>
        <v/>
      </c>
    </row>
    <row r="1285" ht="12.75" customHeight="1">
      <c r="A1285" s="244" t="s">
        <v>2412</v>
      </c>
      <c r="B1285" s="244" t="s">
        <v>3326</v>
      </c>
      <c r="C1285" s="244" t="s">
        <v>3443</v>
      </c>
      <c r="D1285" s="154" t="s">
        <v>1315</v>
      </c>
      <c r="E1285" s="250"/>
      <c r="F1285" s="154" t="str">
        <f t="array" ref="F1285">XLOOKUP(Cover!$D$12,$S$1:$AA$1,$S1285:$AA1285)</f>
        <v>Mandatory</v>
      </c>
      <c r="G1285" s="154" t="s">
        <v>3444</v>
      </c>
      <c r="H1285" s="154" t="s">
        <v>3335</v>
      </c>
      <c r="I1285" s="154" t="s">
        <v>479</v>
      </c>
      <c r="J1285" s="247" t="s">
        <v>445</v>
      </c>
      <c r="K1285" s="154"/>
      <c r="L1285" s="154" t="str">
        <f t="shared" si="1"/>
        <v/>
      </c>
      <c r="M1285" s="248" t="str">
        <f>IFERROR(__xludf.DUMMYFUNCTION("VLOOKUP(C1285,IMPORTRANGE(""https://docs.google.com/spreadsheets/d/1P8eX0NWBhUPS_hvzA11R6jkTNFrPrRYIx_dX_hYbxrk/edit?resourcekey=0-iw9bsKY2OqkUHCFMkCar3A&amp;gid=2055363397#gid=2055363397"",""MTR!C:O""),11,false)"),"PMW-MCE-NAS")</f>
        <v>PMW-MCE-NAS</v>
      </c>
      <c r="N1285" s="248" t="str">
        <f>IFERROR(__xludf.DUMMYFUNCTION("VLOOKUP(C1285,IMPORTRANGE(""https://docs.google.com/spreadsheets/d/1ihFlp3_ePlYtFuPbUNbYj1muErVpI73WHXbEwJDIA7Q/edit#gid=1493122344"",""MTR!C:O""),8,false)"),"Complies")</f>
        <v>Complies</v>
      </c>
      <c r="O1285" s="241" t="str">
        <f>IFERROR(__xludf.DUMMYFUNCTION("VLOOKUP(C1285,IMPORTRANGE(""https://docs.google.com/spreadsheets/d/1P8eX0NWBhUPS_hvzA11R6jkTNFrPrRYIx_dX_hYbxrk/edit?resourcekey=0-iw9bsKY2OqkUHCFMkCar3A&amp;gid=2055363397#gid=2055363397"",""MTR!C:O""),9,false)"),"")</f>
        <v/>
      </c>
      <c r="P1285" s="241"/>
      <c r="Q1285" s="251" t="s">
        <v>445</v>
      </c>
      <c r="R1285" s="241"/>
      <c r="S1285" s="154" t="s">
        <v>60</v>
      </c>
      <c r="T1285" s="154" t="s">
        <v>60</v>
      </c>
      <c r="U1285" s="154" t="s">
        <v>60</v>
      </c>
      <c r="V1285" s="154" t="s">
        <v>60</v>
      </c>
      <c r="W1285" s="154" t="s">
        <v>60</v>
      </c>
      <c r="X1285" s="154" t="s">
        <v>60</v>
      </c>
      <c r="Y1285" s="154" t="s">
        <v>60</v>
      </c>
      <c r="Z1285" s="154" t="s">
        <v>60</v>
      </c>
      <c r="AA1285" s="154" t="s">
        <v>60</v>
      </c>
      <c r="AB1285" s="154"/>
      <c r="AC1285" s="242" t="b">
        <f t="shared" si="2"/>
        <v>1</v>
      </c>
      <c r="AD1285" s="154" t="s">
        <v>391</v>
      </c>
      <c r="AE1285" s="243" t="b">
        <f t="shared" si="3"/>
        <v>0</v>
      </c>
      <c r="AF1285" s="154"/>
      <c r="AG1285" s="243" t="b">
        <f t="shared" si="7"/>
        <v>0</v>
      </c>
      <c r="AH1285" s="154"/>
      <c r="AI1285" s="243" t="str">
        <f t="shared" si="5"/>
        <v>N/A</v>
      </c>
      <c r="AJ1285" s="157" t="str">
        <f t="shared" si="6"/>
        <v/>
      </c>
    </row>
    <row r="1286" ht="12.75" customHeight="1">
      <c r="A1286" s="244" t="s">
        <v>2412</v>
      </c>
      <c r="B1286" s="244" t="s">
        <v>3326</v>
      </c>
      <c r="C1286" s="244" t="s">
        <v>3445</v>
      </c>
      <c r="D1286" s="154" t="s">
        <v>1315</v>
      </c>
      <c r="E1286" s="250"/>
      <c r="F1286" s="154" t="str">
        <f t="array" ref="F1286">XLOOKUP(Cover!$D$12,$S$1:$AA$1,$S1286:$AA1286)</f>
        <v>Recommended</v>
      </c>
      <c r="G1286" s="154" t="s">
        <v>3446</v>
      </c>
      <c r="H1286" s="154"/>
      <c r="I1286" s="154" t="s">
        <v>479</v>
      </c>
      <c r="J1286" s="247" t="s">
        <v>445</v>
      </c>
      <c r="K1286" s="154"/>
      <c r="L1286" s="154" t="str">
        <f t="shared" si="1"/>
        <v/>
      </c>
      <c r="M1286" s="248" t="str">
        <f>IFERROR(__xludf.DUMMYFUNCTION("VLOOKUP(C1286,IMPORTRANGE(""https://docs.google.com/spreadsheets/d/1P8eX0NWBhUPS_hvzA11R6jkTNFrPrRYIx_dX_hYbxrk/edit?resourcekey=0-iw9bsKY2OqkUHCFMkCar3A&amp;gid=2055363397#gid=2055363397"",""MTR!C:O""),11,false)"),"PMW-MCE-NAS")</f>
        <v>PMW-MCE-NAS</v>
      </c>
      <c r="N1286" s="248" t="str">
        <f>IFERROR(__xludf.DUMMYFUNCTION("VLOOKUP(C1286,IMPORTRANGE(""https://docs.google.com/spreadsheets/d/1ihFlp3_ePlYtFuPbUNbYj1muErVpI73WHXbEwJDIA7Q/edit#gid=1493122344"",""MTR!C:O""),8,false)"),"Complies")</f>
        <v>Complies</v>
      </c>
      <c r="O1286" s="241" t="str">
        <f>IFERROR(__xludf.DUMMYFUNCTION("VLOOKUP(C1286,IMPORTRANGE(""https://docs.google.com/spreadsheets/d/1P8eX0NWBhUPS_hvzA11R6jkTNFrPrRYIx_dX_hYbxrk/edit?resourcekey=0-iw9bsKY2OqkUHCFMkCar3A&amp;gid=2055363397#gid=2055363397"",""MTR!C:O""),9,false)"),"")</f>
        <v/>
      </c>
      <c r="P1286" s="241"/>
      <c r="Q1286" s="251" t="s">
        <v>445</v>
      </c>
      <c r="R1286" s="241"/>
      <c r="S1286" s="154" t="s">
        <v>64</v>
      </c>
      <c r="T1286" s="154" t="s">
        <v>64</v>
      </c>
      <c r="U1286" s="154" t="s">
        <v>64</v>
      </c>
      <c r="V1286" s="154" t="s">
        <v>64</v>
      </c>
      <c r="W1286" s="154" t="s">
        <v>64</v>
      </c>
      <c r="X1286" s="154" t="s">
        <v>64</v>
      </c>
      <c r="Y1286" s="154" t="s">
        <v>64</v>
      </c>
      <c r="Z1286" s="154" t="s">
        <v>64</v>
      </c>
      <c r="AA1286" s="154" t="s">
        <v>64</v>
      </c>
      <c r="AB1286" s="154"/>
      <c r="AC1286" s="242" t="b">
        <f t="shared" si="2"/>
        <v>1</v>
      </c>
      <c r="AD1286" s="154" t="s">
        <v>391</v>
      </c>
      <c r="AE1286" s="243" t="b">
        <f t="shared" si="3"/>
        <v>0</v>
      </c>
      <c r="AF1286" s="154"/>
      <c r="AG1286" s="243" t="b">
        <f t="shared" si="7"/>
        <v>0</v>
      </c>
      <c r="AH1286" s="154"/>
      <c r="AI1286" s="243" t="str">
        <f t="shared" si="5"/>
        <v>N/A</v>
      </c>
      <c r="AJ1286" s="157" t="str">
        <f t="shared" si="6"/>
        <v/>
      </c>
    </row>
    <row r="1287" ht="12.75" customHeight="1">
      <c r="A1287" s="244" t="s">
        <v>2412</v>
      </c>
      <c r="B1287" s="244" t="s">
        <v>3326</v>
      </c>
      <c r="C1287" s="244" t="s">
        <v>3447</v>
      </c>
      <c r="D1287" s="154" t="s">
        <v>1315</v>
      </c>
      <c r="E1287" s="250"/>
      <c r="F1287" s="154" t="str">
        <f t="array" ref="F1287">XLOOKUP(Cover!$D$12,$S$1:$AA$1,$S1287:$AA1287)</f>
        <v>Recommended</v>
      </c>
      <c r="G1287" s="154" t="s">
        <v>3448</v>
      </c>
      <c r="H1287" s="154"/>
      <c r="I1287" s="154" t="s">
        <v>479</v>
      </c>
      <c r="J1287" s="247" t="s">
        <v>445</v>
      </c>
      <c r="K1287" s="154"/>
      <c r="L1287" s="154" t="str">
        <f t="shared" si="1"/>
        <v/>
      </c>
      <c r="M1287" s="248" t="str">
        <f>IFERROR(__xludf.DUMMYFUNCTION("VLOOKUP(C1287,IMPORTRANGE(""https://docs.google.com/spreadsheets/d/1P8eX0NWBhUPS_hvzA11R6jkTNFrPrRYIx_dX_hYbxrk/edit?resourcekey=0-iw9bsKY2OqkUHCFMkCar3A&amp;gid=2055363397#gid=2055363397"",""MTR!C:O""),11,false)"),"PMW-MCE-NAS")</f>
        <v>PMW-MCE-NAS</v>
      </c>
      <c r="N1287" s="248" t="str">
        <f>IFERROR(__xludf.DUMMYFUNCTION("VLOOKUP(C1287,IMPORTRANGE(""https://docs.google.com/spreadsheets/d/1ihFlp3_ePlYtFuPbUNbYj1muErVpI73WHXbEwJDIA7Q/edit#gid=1493122344"",""MTR!C:O""),8,false)"),"Complies")</f>
        <v>Complies</v>
      </c>
      <c r="O1287" s="241" t="str">
        <f>IFERROR(__xludf.DUMMYFUNCTION("VLOOKUP(C1287,IMPORTRANGE(""https://docs.google.com/spreadsheets/d/1P8eX0NWBhUPS_hvzA11R6jkTNFrPrRYIx_dX_hYbxrk/edit?resourcekey=0-iw9bsKY2OqkUHCFMkCar3A&amp;gid=2055363397#gid=2055363397"",""MTR!C:O""),9,false)"),"")</f>
        <v/>
      </c>
      <c r="P1287" s="241"/>
      <c r="Q1287" s="251" t="s">
        <v>445</v>
      </c>
      <c r="R1287" s="241"/>
      <c r="S1287" s="154" t="s">
        <v>64</v>
      </c>
      <c r="T1287" s="154" t="s">
        <v>64</v>
      </c>
      <c r="U1287" s="154" t="s">
        <v>64</v>
      </c>
      <c r="V1287" s="154" t="s">
        <v>64</v>
      </c>
      <c r="W1287" s="154" t="s">
        <v>64</v>
      </c>
      <c r="X1287" s="154" t="s">
        <v>64</v>
      </c>
      <c r="Y1287" s="154" t="s">
        <v>64</v>
      </c>
      <c r="Z1287" s="154" t="s">
        <v>64</v>
      </c>
      <c r="AA1287" s="154" t="s">
        <v>64</v>
      </c>
      <c r="AB1287" s="154"/>
      <c r="AC1287" s="242" t="b">
        <f t="shared" si="2"/>
        <v>1</v>
      </c>
      <c r="AD1287" s="154" t="s">
        <v>391</v>
      </c>
      <c r="AE1287" s="243" t="b">
        <f t="shared" si="3"/>
        <v>0</v>
      </c>
      <c r="AF1287" s="154"/>
      <c r="AG1287" s="243" t="b">
        <f t="shared" si="7"/>
        <v>0</v>
      </c>
      <c r="AH1287" s="154"/>
      <c r="AI1287" s="243" t="str">
        <f t="shared" si="5"/>
        <v>N/A</v>
      </c>
      <c r="AJ1287" s="157" t="str">
        <f t="shared" si="6"/>
        <v/>
      </c>
    </row>
    <row r="1288" ht="12.75" customHeight="1">
      <c r="A1288" s="244" t="s">
        <v>2412</v>
      </c>
      <c r="B1288" s="244" t="s">
        <v>3326</v>
      </c>
      <c r="C1288" s="244" t="s">
        <v>3449</v>
      </c>
      <c r="D1288" s="154" t="s">
        <v>1315</v>
      </c>
      <c r="E1288" s="250"/>
      <c r="F1288" s="154" t="str">
        <f t="array" ref="F1288">XLOOKUP(Cover!$D$12,$S$1:$AA$1,$S1288:$AA1288)</f>
        <v>Mandatory</v>
      </c>
      <c r="G1288" s="154" t="s">
        <v>3450</v>
      </c>
      <c r="H1288" s="154" t="s">
        <v>3335</v>
      </c>
      <c r="I1288" s="154" t="s">
        <v>479</v>
      </c>
      <c r="J1288" s="247" t="s">
        <v>445</v>
      </c>
      <c r="K1288" s="154"/>
      <c r="L1288" s="154" t="str">
        <f t="shared" si="1"/>
        <v/>
      </c>
      <c r="M1288" s="248" t="str">
        <f>IFERROR(__xludf.DUMMYFUNCTION("VLOOKUP(C1288,IMPORTRANGE(""https://docs.google.com/spreadsheets/d/1P8eX0NWBhUPS_hvzA11R6jkTNFrPrRYIx_dX_hYbxrk/edit?resourcekey=0-iw9bsKY2OqkUHCFMkCar3A&amp;gid=2055363397#gid=2055363397"",""MTR!C:O""),11,false)"),"PMW-MCE-NAS")</f>
        <v>PMW-MCE-NAS</v>
      </c>
      <c r="N1288" s="248" t="str">
        <f>IFERROR(__xludf.DUMMYFUNCTION("VLOOKUP(C1288,IMPORTRANGE(""https://docs.google.com/spreadsheets/d/1ihFlp3_ePlYtFuPbUNbYj1muErVpI73WHXbEwJDIA7Q/edit#gid=1493122344"",""MTR!C:O""),8,false)"),"Complies")</f>
        <v>Complies</v>
      </c>
      <c r="O1288" s="241" t="str">
        <f>IFERROR(__xludf.DUMMYFUNCTION("VLOOKUP(C1288,IMPORTRANGE(""https://docs.google.com/spreadsheets/d/1P8eX0NWBhUPS_hvzA11R6jkTNFrPrRYIx_dX_hYbxrk/edit?resourcekey=0-iw9bsKY2OqkUHCFMkCar3A&amp;gid=2055363397#gid=2055363397"",""MTR!C:O""),9,false)"),"")</f>
        <v/>
      </c>
      <c r="P1288" s="241"/>
      <c r="Q1288" s="251" t="s">
        <v>445</v>
      </c>
      <c r="R1288" s="241"/>
      <c r="S1288" s="154" t="s">
        <v>60</v>
      </c>
      <c r="T1288" s="154" t="s">
        <v>60</v>
      </c>
      <c r="U1288" s="154" t="s">
        <v>60</v>
      </c>
      <c r="V1288" s="154" t="s">
        <v>60</v>
      </c>
      <c r="W1288" s="154" t="s">
        <v>60</v>
      </c>
      <c r="X1288" s="154" t="s">
        <v>60</v>
      </c>
      <c r="Y1288" s="154" t="s">
        <v>60</v>
      </c>
      <c r="Z1288" s="154" t="s">
        <v>60</v>
      </c>
      <c r="AA1288" s="154" t="s">
        <v>60</v>
      </c>
      <c r="AB1288" s="154"/>
      <c r="AC1288" s="242" t="b">
        <f t="shared" si="2"/>
        <v>1</v>
      </c>
      <c r="AD1288" s="154" t="s">
        <v>391</v>
      </c>
      <c r="AE1288" s="243" t="b">
        <f t="shared" si="3"/>
        <v>0</v>
      </c>
      <c r="AF1288" s="154"/>
      <c r="AG1288" s="243" t="b">
        <f t="shared" si="7"/>
        <v>0</v>
      </c>
      <c r="AH1288" s="154"/>
      <c r="AI1288" s="243" t="str">
        <f t="shared" si="5"/>
        <v>N/A</v>
      </c>
      <c r="AJ1288" s="157" t="str">
        <f t="shared" si="6"/>
        <v/>
      </c>
    </row>
    <row r="1289" ht="12.75" customHeight="1">
      <c r="A1289" s="238" t="s">
        <v>2412</v>
      </c>
      <c r="B1289" s="238" t="s">
        <v>3326</v>
      </c>
      <c r="C1289" s="238" t="s">
        <v>3451</v>
      </c>
      <c r="D1289" s="238"/>
      <c r="E1289" s="238"/>
      <c r="F1289" s="154" t="str">
        <f t="array" ref="F1289">XLOOKUP(Cover!$D$12,$S$1:$AA$1,$S1289:$AA1289)</f>
        <v>Heading</v>
      </c>
      <c r="G1289" s="239" t="s">
        <v>3452</v>
      </c>
      <c r="H1289" s="240"/>
      <c r="I1289" s="240" t="s">
        <v>479</v>
      </c>
      <c r="J1289" s="240"/>
      <c r="K1289" s="240"/>
      <c r="L1289" s="154" t="str">
        <f t="shared" si="1"/>
        <v/>
      </c>
      <c r="M1289" s="241" t="str">
        <f>IFERROR(__xludf.DUMMYFUNCTION("VLOOKUP(C1289,IMPORTRANGE(""https://docs.google.com/spreadsheets/d/1P8eX0NWBhUPS_hvzA11R6jkTNFrPrRYIx_dX_hYbxrk/edit?resourcekey=0-iw9bsKY2OqkUHCFMkCar3A&amp;gid=2055363397#gid=2055363397"",""MTR!C:O""),11,false)"),"")</f>
        <v/>
      </c>
      <c r="N1289" s="241" t="str">
        <f>IFERROR(__xludf.DUMMYFUNCTION("VLOOKUP(C1289,IMPORTRANGE(""https://docs.google.com/spreadsheets/d/1ihFlp3_ePlYtFuPbUNbYj1muErVpI73WHXbEwJDIA7Q/edit#gid=1493122344"",""MTR!C:O""),8,false)"),"")</f>
        <v/>
      </c>
      <c r="O1289" s="241" t="str">
        <f>IFERROR(__xludf.DUMMYFUNCTION("VLOOKUP(C1289,IMPORTRANGE(""https://docs.google.com/spreadsheets/d/1P8eX0NWBhUPS_hvzA11R6jkTNFrPrRYIx_dX_hYbxrk/edit?resourcekey=0-iw9bsKY2OqkUHCFMkCar3A&amp;gid=2055363397#gid=2055363397"",""MTR!C:O""),9,false)"),"")</f>
        <v/>
      </c>
      <c r="P1289" s="241"/>
      <c r="Q1289" s="251"/>
      <c r="R1289" s="241"/>
      <c r="S1289" s="240" t="s">
        <v>390</v>
      </c>
      <c r="T1289" s="240" t="s">
        <v>390</v>
      </c>
      <c r="U1289" s="240" t="s">
        <v>390</v>
      </c>
      <c r="V1289" s="240" t="s">
        <v>390</v>
      </c>
      <c r="W1289" s="240" t="s">
        <v>390</v>
      </c>
      <c r="X1289" s="240" t="s">
        <v>390</v>
      </c>
      <c r="Y1289" s="240" t="s">
        <v>390</v>
      </c>
      <c r="Z1289" s="240" t="s">
        <v>390</v>
      </c>
      <c r="AA1289" s="240" t="s">
        <v>390</v>
      </c>
      <c r="AB1289" s="240"/>
      <c r="AC1289" s="242" t="b">
        <f t="shared" si="2"/>
        <v>0</v>
      </c>
      <c r="AD1289" s="240" t="s">
        <v>391</v>
      </c>
      <c r="AE1289" s="243" t="b">
        <f t="shared" si="3"/>
        <v>0</v>
      </c>
      <c r="AF1289" s="240"/>
      <c r="AG1289" s="243" t="b">
        <f t="shared" si="7"/>
        <v>0</v>
      </c>
      <c r="AH1289" s="240"/>
      <c r="AI1289" s="243" t="str">
        <f t="shared" si="5"/>
        <v>N/A</v>
      </c>
      <c r="AJ1289" s="157" t="str">
        <f t="shared" si="6"/>
        <v/>
      </c>
    </row>
    <row r="1290" ht="12.75" customHeight="1">
      <c r="A1290" s="244" t="s">
        <v>2412</v>
      </c>
      <c r="B1290" s="244" t="s">
        <v>3326</v>
      </c>
      <c r="C1290" s="244" t="s">
        <v>3453</v>
      </c>
      <c r="D1290" s="154" t="s">
        <v>1120</v>
      </c>
      <c r="E1290" s="250"/>
      <c r="F1290" s="154" t="str">
        <f t="array" ref="F1290">XLOOKUP(Cover!$D$12,$S$1:$AA$1,$S1290:$AA1290)</f>
        <v>Mandatory</v>
      </c>
      <c r="G1290" s="154" t="s">
        <v>3454</v>
      </c>
      <c r="H1290" s="154" t="s">
        <v>3335</v>
      </c>
      <c r="I1290" s="154" t="s">
        <v>479</v>
      </c>
      <c r="J1290" s="154" t="s">
        <v>445</v>
      </c>
      <c r="K1290" s="154"/>
      <c r="L1290" s="154" t="str">
        <f t="shared" si="1"/>
        <v/>
      </c>
      <c r="M1290" s="248" t="str">
        <f>IFERROR(__xludf.DUMMYFUNCTION("VLOOKUP(C1290,IMPORTRANGE(""https://docs.google.com/spreadsheets/d/1P8eX0NWBhUPS_hvzA11R6jkTNFrPrRYIx_dX_hYbxrk/edit?resourcekey=0-iw9bsKY2OqkUHCFMkCar3A&amp;gid=2055363397#gid=2055363397"",""MTR!C:O""),11,false)"),"PMW-MCE-NAS")</f>
        <v>PMW-MCE-NAS</v>
      </c>
      <c r="N1290" s="248" t="str">
        <f>IFERROR(__xludf.DUMMYFUNCTION("VLOOKUP(C1290,IMPORTRANGE(""https://docs.google.com/spreadsheets/d/1ihFlp3_ePlYtFuPbUNbYj1muErVpI73WHXbEwJDIA7Q/edit#gid=1493122344"",""MTR!C:O""),8,false)"),"Complies")</f>
        <v>Complies</v>
      </c>
      <c r="O1290" s="241" t="str">
        <f>IFERROR(__xludf.DUMMYFUNCTION("VLOOKUP(C1290,IMPORTRANGE(""https://docs.google.com/spreadsheets/d/1P8eX0NWBhUPS_hvzA11R6jkTNFrPrRYIx_dX_hYbxrk/edit?resourcekey=0-iw9bsKY2OqkUHCFMkCar3A&amp;gid=2055363397#gid=2055363397"",""MTR!C:O""),9,false)"),"")</f>
        <v/>
      </c>
      <c r="P1290" s="241"/>
      <c r="Q1290" s="251" t="s">
        <v>445</v>
      </c>
      <c r="R1290" s="241"/>
      <c r="S1290" s="154" t="s">
        <v>60</v>
      </c>
      <c r="T1290" s="154" t="s">
        <v>60</v>
      </c>
      <c r="U1290" s="154" t="s">
        <v>60</v>
      </c>
      <c r="V1290" s="154" t="s">
        <v>60</v>
      </c>
      <c r="W1290" s="154" t="s">
        <v>60</v>
      </c>
      <c r="X1290" s="154" t="s">
        <v>60</v>
      </c>
      <c r="Y1290" s="154" t="s">
        <v>60</v>
      </c>
      <c r="Z1290" s="154" t="s">
        <v>60</v>
      </c>
      <c r="AA1290" s="154" t="s">
        <v>60</v>
      </c>
      <c r="AB1290" s="154"/>
      <c r="AC1290" s="242" t="b">
        <f t="shared" si="2"/>
        <v>1</v>
      </c>
      <c r="AD1290" s="154" t="s">
        <v>391</v>
      </c>
      <c r="AE1290" s="243" t="b">
        <f t="shared" si="3"/>
        <v>0</v>
      </c>
      <c r="AF1290" s="154"/>
      <c r="AG1290" s="243" t="b">
        <f t="shared" si="7"/>
        <v>0</v>
      </c>
      <c r="AH1290" s="154"/>
      <c r="AI1290" s="243" t="str">
        <f t="shared" si="5"/>
        <v>N/A</v>
      </c>
      <c r="AJ1290" s="157" t="str">
        <f t="shared" si="6"/>
        <v/>
      </c>
    </row>
    <row r="1291" ht="12.75" customHeight="1">
      <c r="A1291" s="244" t="s">
        <v>2412</v>
      </c>
      <c r="B1291" s="244" t="s">
        <v>3326</v>
      </c>
      <c r="C1291" s="244" t="s">
        <v>3455</v>
      </c>
      <c r="D1291" s="154" t="s">
        <v>1120</v>
      </c>
      <c r="E1291" s="250"/>
      <c r="F1291" s="154" t="str">
        <f t="array" ref="F1291">XLOOKUP(Cover!$D$12,$S$1:$AA$1,$S1291:$AA1291)</f>
        <v>Mandatory</v>
      </c>
      <c r="G1291" s="154" t="s">
        <v>3456</v>
      </c>
      <c r="H1291" s="154" t="s">
        <v>3335</v>
      </c>
      <c r="I1291" s="154" t="s">
        <v>479</v>
      </c>
      <c r="J1291" s="247" t="s">
        <v>445</v>
      </c>
      <c r="K1291" s="154"/>
      <c r="L1291" s="154" t="str">
        <f t="shared" si="1"/>
        <v/>
      </c>
      <c r="M1291" s="248" t="str">
        <f>IFERROR(__xludf.DUMMYFUNCTION("VLOOKUP(C1291,IMPORTRANGE(""https://docs.google.com/spreadsheets/d/1P8eX0NWBhUPS_hvzA11R6jkTNFrPrRYIx_dX_hYbxrk/edit?resourcekey=0-iw9bsKY2OqkUHCFMkCar3A&amp;gid=2055363397#gid=2055363397"",""MTR!C:O""),11,false)"),"PMW-MCE-NAS")</f>
        <v>PMW-MCE-NAS</v>
      </c>
      <c r="N1291" s="248" t="str">
        <f>IFERROR(__xludf.DUMMYFUNCTION("VLOOKUP(C1291,IMPORTRANGE(""https://docs.google.com/spreadsheets/d/1ihFlp3_ePlYtFuPbUNbYj1muErVpI73WHXbEwJDIA7Q/edit#gid=1493122344"",""MTR!C:O""),8,false)"),"Complies")</f>
        <v>Complies</v>
      </c>
      <c r="O1291" s="241" t="str">
        <f>IFERROR(__xludf.DUMMYFUNCTION("VLOOKUP(C1291,IMPORTRANGE(""https://docs.google.com/spreadsheets/d/1P8eX0NWBhUPS_hvzA11R6jkTNFrPrRYIx_dX_hYbxrk/edit?resourcekey=0-iw9bsKY2OqkUHCFMkCar3A&amp;gid=2055363397#gid=2055363397"",""MTR!C:O""),9,false)"),"")</f>
        <v/>
      </c>
      <c r="P1291" s="241"/>
      <c r="Q1291" s="251" t="s">
        <v>445</v>
      </c>
      <c r="R1291" s="241"/>
      <c r="S1291" s="154" t="s">
        <v>60</v>
      </c>
      <c r="T1291" s="154" t="s">
        <v>60</v>
      </c>
      <c r="U1291" s="154" t="s">
        <v>60</v>
      </c>
      <c r="V1291" s="154" t="s">
        <v>60</v>
      </c>
      <c r="W1291" s="154" t="s">
        <v>60</v>
      </c>
      <c r="X1291" s="154" t="s">
        <v>60</v>
      </c>
      <c r="Y1291" s="154" t="s">
        <v>60</v>
      </c>
      <c r="Z1291" s="154" t="s">
        <v>60</v>
      </c>
      <c r="AA1291" s="154" t="s">
        <v>60</v>
      </c>
      <c r="AB1291" s="154"/>
      <c r="AC1291" s="242" t="b">
        <f t="shared" si="2"/>
        <v>1</v>
      </c>
      <c r="AD1291" s="154" t="s">
        <v>391</v>
      </c>
      <c r="AE1291" s="243" t="b">
        <f t="shared" si="3"/>
        <v>0</v>
      </c>
      <c r="AF1291" s="154"/>
      <c r="AG1291" s="243" t="b">
        <f t="shared" si="7"/>
        <v>0</v>
      </c>
      <c r="AH1291" s="154"/>
      <c r="AI1291" s="243" t="str">
        <f t="shared" si="5"/>
        <v>N/A</v>
      </c>
      <c r="AJ1291" s="157" t="str">
        <f t="shared" si="6"/>
        <v/>
      </c>
    </row>
    <row r="1292" ht="12.75" customHeight="1">
      <c r="A1292" s="244" t="s">
        <v>2412</v>
      </c>
      <c r="B1292" s="244" t="s">
        <v>3326</v>
      </c>
      <c r="C1292" s="244" t="s">
        <v>3457</v>
      </c>
      <c r="D1292" s="154" t="s">
        <v>739</v>
      </c>
      <c r="E1292" s="250"/>
      <c r="F1292" s="154" t="str">
        <f t="array" ref="F1292">XLOOKUP(Cover!$D$12,$S$1:$AA$1,$S1292:$AA1292)</f>
        <v>Mandatory</v>
      </c>
      <c r="G1292" s="154" t="s">
        <v>3458</v>
      </c>
      <c r="H1292" s="154" t="s">
        <v>3335</v>
      </c>
      <c r="I1292" s="154" t="s">
        <v>479</v>
      </c>
      <c r="J1292" s="247" t="s">
        <v>445</v>
      </c>
      <c r="K1292" s="154"/>
      <c r="L1292" s="154" t="str">
        <f t="shared" si="1"/>
        <v/>
      </c>
      <c r="M1292" s="248" t="str">
        <f>IFERROR(__xludf.DUMMYFUNCTION("VLOOKUP(C1292,IMPORTRANGE(""https://docs.google.com/spreadsheets/d/1P8eX0NWBhUPS_hvzA11R6jkTNFrPrRYIx_dX_hYbxrk/edit?resourcekey=0-iw9bsKY2OqkUHCFMkCar3A&amp;gid=2055363397#gid=2055363397"",""MTR!C:O""),11,false)"),"PMW-MCE-NAS")</f>
        <v>PMW-MCE-NAS</v>
      </c>
      <c r="N1292" s="248" t="str">
        <f>IFERROR(__xludf.DUMMYFUNCTION("VLOOKUP(C1292,IMPORTRANGE(""https://docs.google.com/spreadsheets/d/1ihFlp3_ePlYtFuPbUNbYj1muErVpI73WHXbEwJDIA7Q/edit#gid=1493122344"",""MTR!C:O""),8,false)"),"Complies")</f>
        <v>Complies</v>
      </c>
      <c r="O1292" s="241" t="str">
        <f>IFERROR(__xludf.DUMMYFUNCTION("VLOOKUP(C1292,IMPORTRANGE(""https://docs.google.com/spreadsheets/d/1P8eX0NWBhUPS_hvzA11R6jkTNFrPrRYIx_dX_hYbxrk/edit?resourcekey=0-iw9bsKY2OqkUHCFMkCar3A&amp;gid=2055363397#gid=2055363397"",""MTR!C:O""),9,false)"),"")</f>
        <v/>
      </c>
      <c r="P1292" s="241"/>
      <c r="Q1292" s="251" t="s">
        <v>445</v>
      </c>
      <c r="R1292" s="241"/>
      <c r="S1292" s="154" t="s">
        <v>60</v>
      </c>
      <c r="T1292" s="154" t="s">
        <v>60</v>
      </c>
      <c r="U1292" s="154" t="s">
        <v>60</v>
      </c>
      <c r="V1292" s="154" t="s">
        <v>60</v>
      </c>
      <c r="W1292" s="154" t="s">
        <v>60</v>
      </c>
      <c r="X1292" s="154" t="s">
        <v>60</v>
      </c>
      <c r="Y1292" s="154" t="s">
        <v>60</v>
      </c>
      <c r="Z1292" s="154" t="s">
        <v>60</v>
      </c>
      <c r="AA1292" s="154" t="s">
        <v>60</v>
      </c>
      <c r="AB1292" s="154"/>
      <c r="AC1292" s="242" t="b">
        <f t="shared" si="2"/>
        <v>1</v>
      </c>
      <c r="AD1292" s="154" t="s">
        <v>391</v>
      </c>
      <c r="AE1292" s="243" t="b">
        <f t="shared" si="3"/>
        <v>0</v>
      </c>
      <c r="AF1292" s="154"/>
      <c r="AG1292" s="243" t="b">
        <f t="shared" si="7"/>
        <v>0</v>
      </c>
      <c r="AH1292" s="154"/>
      <c r="AI1292" s="243" t="str">
        <f t="shared" si="5"/>
        <v>N/A</v>
      </c>
      <c r="AJ1292" s="157" t="str">
        <f t="shared" si="6"/>
        <v/>
      </c>
    </row>
    <row r="1293" ht="12.75" customHeight="1">
      <c r="A1293" s="244" t="s">
        <v>2412</v>
      </c>
      <c r="B1293" s="244" t="s">
        <v>3326</v>
      </c>
      <c r="C1293" s="244" t="s">
        <v>3459</v>
      </c>
      <c r="D1293" s="154" t="s">
        <v>739</v>
      </c>
      <c r="E1293" s="250"/>
      <c r="F1293" s="154" t="str">
        <f t="array" ref="F1293">XLOOKUP(Cover!$D$12,$S$1:$AA$1,$S1293:$AA1293)</f>
        <v>Mandatory</v>
      </c>
      <c r="G1293" s="154" t="s">
        <v>3460</v>
      </c>
      <c r="H1293" s="154" t="s">
        <v>3335</v>
      </c>
      <c r="I1293" s="154" t="s">
        <v>479</v>
      </c>
      <c r="J1293" s="247" t="s">
        <v>445</v>
      </c>
      <c r="K1293" s="154"/>
      <c r="L1293" s="154" t="str">
        <f t="shared" si="1"/>
        <v/>
      </c>
      <c r="M1293" s="248" t="str">
        <f>IFERROR(__xludf.DUMMYFUNCTION("VLOOKUP(C1293,IMPORTRANGE(""https://docs.google.com/spreadsheets/d/1P8eX0NWBhUPS_hvzA11R6jkTNFrPrRYIx_dX_hYbxrk/edit?resourcekey=0-iw9bsKY2OqkUHCFMkCar3A&amp;gid=2055363397#gid=2055363397"",""MTR!C:O""),11,false)"),"PMW-MCE-NAS")</f>
        <v>PMW-MCE-NAS</v>
      </c>
      <c r="N1293" s="248" t="str">
        <f>IFERROR(__xludf.DUMMYFUNCTION("VLOOKUP(C1293,IMPORTRANGE(""https://docs.google.com/spreadsheets/d/1ihFlp3_ePlYtFuPbUNbYj1muErVpI73WHXbEwJDIA7Q/edit#gid=1493122344"",""MTR!C:O""),8,false)"),"Complies")</f>
        <v>Complies</v>
      </c>
      <c r="O1293" s="241" t="str">
        <f>IFERROR(__xludf.DUMMYFUNCTION("VLOOKUP(C1293,IMPORTRANGE(""https://docs.google.com/spreadsheets/d/1P8eX0NWBhUPS_hvzA11R6jkTNFrPrRYIx_dX_hYbxrk/edit?resourcekey=0-iw9bsKY2OqkUHCFMkCar3A&amp;gid=2055363397#gid=2055363397"",""MTR!C:O""),9,false)"),"")</f>
        <v/>
      </c>
      <c r="P1293" s="241"/>
      <c r="Q1293" s="251" t="s">
        <v>445</v>
      </c>
      <c r="R1293" s="241"/>
      <c r="S1293" s="154" t="s">
        <v>60</v>
      </c>
      <c r="T1293" s="154" t="s">
        <v>60</v>
      </c>
      <c r="U1293" s="154" t="s">
        <v>60</v>
      </c>
      <c r="V1293" s="154" t="s">
        <v>60</v>
      </c>
      <c r="W1293" s="154" t="s">
        <v>60</v>
      </c>
      <c r="X1293" s="154" t="s">
        <v>60</v>
      </c>
      <c r="Y1293" s="154" t="s">
        <v>60</v>
      </c>
      <c r="Z1293" s="154" t="s">
        <v>60</v>
      </c>
      <c r="AA1293" s="154" t="s">
        <v>60</v>
      </c>
      <c r="AB1293" s="154"/>
      <c r="AC1293" s="242" t="b">
        <f t="shared" si="2"/>
        <v>1</v>
      </c>
      <c r="AD1293" s="154" t="s">
        <v>391</v>
      </c>
      <c r="AE1293" s="243" t="b">
        <f t="shared" si="3"/>
        <v>0</v>
      </c>
      <c r="AF1293" s="154"/>
      <c r="AG1293" s="243" t="b">
        <f t="shared" si="7"/>
        <v>0</v>
      </c>
      <c r="AH1293" s="154"/>
      <c r="AI1293" s="243" t="str">
        <f t="shared" si="5"/>
        <v>N/A</v>
      </c>
      <c r="AJ1293" s="157" t="str">
        <f t="shared" si="6"/>
        <v/>
      </c>
    </row>
    <row r="1294" ht="12.75" customHeight="1">
      <c r="A1294" s="244" t="s">
        <v>2412</v>
      </c>
      <c r="B1294" s="244" t="s">
        <v>3326</v>
      </c>
      <c r="C1294" s="244" t="s">
        <v>3461</v>
      </c>
      <c r="D1294" s="154" t="s">
        <v>739</v>
      </c>
      <c r="E1294" s="250"/>
      <c r="F1294" s="154" t="str">
        <f t="array" ref="F1294">XLOOKUP(Cover!$D$12,$S$1:$AA$1,$S1294:$AA1294)</f>
        <v>Mandatory</v>
      </c>
      <c r="G1294" s="154" t="s">
        <v>3462</v>
      </c>
      <c r="H1294" s="154" t="s">
        <v>3335</v>
      </c>
      <c r="I1294" s="154" t="s">
        <v>479</v>
      </c>
      <c r="J1294" s="247" t="s">
        <v>445</v>
      </c>
      <c r="K1294" s="154"/>
      <c r="L1294" s="154" t="str">
        <f t="shared" si="1"/>
        <v/>
      </c>
      <c r="M1294" s="248" t="str">
        <f>IFERROR(__xludf.DUMMYFUNCTION("VLOOKUP(C1294,IMPORTRANGE(""https://docs.google.com/spreadsheets/d/1P8eX0NWBhUPS_hvzA11R6jkTNFrPrRYIx_dX_hYbxrk/edit?resourcekey=0-iw9bsKY2OqkUHCFMkCar3A&amp;gid=2055363397#gid=2055363397"",""MTR!C:O""),11,false)"),"PMW-MCE-NAS")</f>
        <v>PMW-MCE-NAS</v>
      </c>
      <c r="N1294" s="248" t="str">
        <f>IFERROR(__xludf.DUMMYFUNCTION("VLOOKUP(C1294,IMPORTRANGE(""https://docs.google.com/spreadsheets/d/1ihFlp3_ePlYtFuPbUNbYj1muErVpI73WHXbEwJDIA7Q/edit#gid=1493122344"",""MTR!C:O""),8,false)"),"Complies")</f>
        <v>Complies</v>
      </c>
      <c r="O1294" s="241" t="str">
        <f>IFERROR(__xludf.DUMMYFUNCTION("VLOOKUP(C1294,IMPORTRANGE(""https://docs.google.com/spreadsheets/d/1P8eX0NWBhUPS_hvzA11R6jkTNFrPrRYIx_dX_hYbxrk/edit?resourcekey=0-iw9bsKY2OqkUHCFMkCar3A&amp;gid=2055363397#gid=2055363397"",""MTR!C:O""),9,false)"),"")</f>
        <v/>
      </c>
      <c r="P1294" s="241"/>
      <c r="Q1294" s="251" t="s">
        <v>445</v>
      </c>
      <c r="R1294" s="241"/>
      <c r="S1294" s="154" t="s">
        <v>60</v>
      </c>
      <c r="T1294" s="154" t="s">
        <v>60</v>
      </c>
      <c r="U1294" s="154" t="s">
        <v>60</v>
      </c>
      <c r="V1294" s="154" t="s">
        <v>60</v>
      </c>
      <c r="W1294" s="154" t="s">
        <v>60</v>
      </c>
      <c r="X1294" s="154" t="s">
        <v>60</v>
      </c>
      <c r="Y1294" s="154" t="s">
        <v>60</v>
      </c>
      <c r="Z1294" s="154" t="s">
        <v>60</v>
      </c>
      <c r="AA1294" s="154" t="s">
        <v>60</v>
      </c>
      <c r="AB1294" s="154"/>
      <c r="AC1294" s="242" t="b">
        <f t="shared" si="2"/>
        <v>1</v>
      </c>
      <c r="AD1294" s="154" t="s">
        <v>391</v>
      </c>
      <c r="AE1294" s="243" t="b">
        <f t="shared" si="3"/>
        <v>0</v>
      </c>
      <c r="AF1294" s="154"/>
      <c r="AG1294" s="243" t="b">
        <f t="shared" si="7"/>
        <v>0</v>
      </c>
      <c r="AH1294" s="154"/>
      <c r="AI1294" s="243" t="str">
        <f t="shared" si="5"/>
        <v>N/A</v>
      </c>
      <c r="AJ1294" s="157" t="str">
        <f t="shared" si="6"/>
        <v/>
      </c>
    </row>
    <row r="1295" ht="12.75" customHeight="1">
      <c r="A1295" s="244" t="s">
        <v>2412</v>
      </c>
      <c r="B1295" s="244" t="s">
        <v>3326</v>
      </c>
      <c r="C1295" s="244" t="s">
        <v>3463</v>
      </c>
      <c r="D1295" s="154" t="s">
        <v>739</v>
      </c>
      <c r="E1295" s="250"/>
      <c r="F1295" s="154" t="str">
        <f t="array" ref="F1295">XLOOKUP(Cover!$D$12,$S$1:$AA$1,$S1295:$AA1295)</f>
        <v>Mandatory</v>
      </c>
      <c r="G1295" s="154" t="s">
        <v>3464</v>
      </c>
      <c r="H1295" s="154" t="s">
        <v>3335</v>
      </c>
      <c r="I1295" s="154" t="s">
        <v>479</v>
      </c>
      <c r="J1295" s="247" t="s">
        <v>445</v>
      </c>
      <c r="K1295" s="154"/>
      <c r="L1295" s="154" t="str">
        <f t="shared" si="1"/>
        <v/>
      </c>
      <c r="M1295" s="248" t="str">
        <f>IFERROR(__xludf.DUMMYFUNCTION("VLOOKUP(C1295,IMPORTRANGE(""https://docs.google.com/spreadsheets/d/1P8eX0NWBhUPS_hvzA11R6jkTNFrPrRYIx_dX_hYbxrk/edit?resourcekey=0-iw9bsKY2OqkUHCFMkCar3A&amp;gid=2055363397#gid=2055363397"",""MTR!C:O""),11,false)"),"PMW-MCE-NAS")</f>
        <v>PMW-MCE-NAS</v>
      </c>
      <c r="N1295" s="248" t="str">
        <f>IFERROR(__xludf.DUMMYFUNCTION("VLOOKUP(C1295,IMPORTRANGE(""https://docs.google.com/spreadsheets/d/1ihFlp3_ePlYtFuPbUNbYj1muErVpI73WHXbEwJDIA7Q/edit#gid=1493122344"",""MTR!C:O""),8,false)"),"Complies")</f>
        <v>Complies</v>
      </c>
      <c r="O1295" s="241" t="str">
        <f>IFERROR(__xludf.DUMMYFUNCTION("VLOOKUP(C1295,IMPORTRANGE(""https://docs.google.com/spreadsheets/d/1P8eX0NWBhUPS_hvzA11R6jkTNFrPrRYIx_dX_hYbxrk/edit?resourcekey=0-iw9bsKY2OqkUHCFMkCar3A&amp;gid=2055363397#gid=2055363397"",""MTR!C:O""),9,false)"),"")</f>
        <v/>
      </c>
      <c r="P1295" s="241"/>
      <c r="Q1295" s="251" t="s">
        <v>445</v>
      </c>
      <c r="R1295" s="241"/>
      <c r="S1295" s="154" t="s">
        <v>60</v>
      </c>
      <c r="T1295" s="154" t="s">
        <v>60</v>
      </c>
      <c r="U1295" s="154" t="s">
        <v>60</v>
      </c>
      <c r="V1295" s="154" t="s">
        <v>60</v>
      </c>
      <c r="W1295" s="154" t="s">
        <v>60</v>
      </c>
      <c r="X1295" s="154" t="s">
        <v>60</v>
      </c>
      <c r="Y1295" s="154" t="s">
        <v>60</v>
      </c>
      <c r="Z1295" s="154" t="s">
        <v>60</v>
      </c>
      <c r="AA1295" s="154" t="s">
        <v>60</v>
      </c>
      <c r="AB1295" s="154"/>
      <c r="AC1295" s="242" t="b">
        <f t="shared" si="2"/>
        <v>1</v>
      </c>
      <c r="AD1295" s="154" t="s">
        <v>391</v>
      </c>
      <c r="AE1295" s="243" t="b">
        <f t="shared" si="3"/>
        <v>0</v>
      </c>
      <c r="AF1295" s="154"/>
      <c r="AG1295" s="243" t="b">
        <f t="shared" si="7"/>
        <v>0</v>
      </c>
      <c r="AH1295" s="154"/>
      <c r="AI1295" s="243" t="str">
        <f t="shared" si="5"/>
        <v>N/A</v>
      </c>
      <c r="AJ1295" s="157" t="str">
        <f t="shared" si="6"/>
        <v/>
      </c>
    </row>
    <row r="1296" ht="12.75" customHeight="1">
      <c r="A1296" s="244" t="s">
        <v>2412</v>
      </c>
      <c r="B1296" s="244" t="s">
        <v>3326</v>
      </c>
      <c r="C1296" s="244" t="s">
        <v>3465</v>
      </c>
      <c r="D1296" s="154" t="s">
        <v>739</v>
      </c>
      <c r="E1296" s="250"/>
      <c r="F1296" s="154" t="str">
        <f t="array" ref="F1296">XLOOKUP(Cover!$D$12,$S$1:$AA$1,$S1296:$AA1296)</f>
        <v>Mandatory</v>
      </c>
      <c r="G1296" s="154" t="s">
        <v>3466</v>
      </c>
      <c r="H1296" s="154" t="s">
        <v>3335</v>
      </c>
      <c r="I1296" s="154" t="s">
        <v>479</v>
      </c>
      <c r="J1296" s="247" t="s">
        <v>445</v>
      </c>
      <c r="K1296" s="154"/>
      <c r="L1296" s="154" t="str">
        <f t="shared" si="1"/>
        <v/>
      </c>
      <c r="M1296" s="248" t="str">
        <f>IFERROR(__xludf.DUMMYFUNCTION("VLOOKUP(C1296,IMPORTRANGE(""https://docs.google.com/spreadsheets/d/1P8eX0NWBhUPS_hvzA11R6jkTNFrPrRYIx_dX_hYbxrk/edit?resourcekey=0-iw9bsKY2OqkUHCFMkCar3A&amp;gid=2055363397#gid=2055363397"",""MTR!C:O""),11,false)"),"PMW-MCE-NAS")</f>
        <v>PMW-MCE-NAS</v>
      </c>
      <c r="N1296" s="248" t="str">
        <f>IFERROR(__xludf.DUMMYFUNCTION("VLOOKUP(C1296,IMPORTRANGE(""https://docs.google.com/spreadsheets/d/1ihFlp3_ePlYtFuPbUNbYj1muErVpI73WHXbEwJDIA7Q/edit#gid=1493122344"",""MTR!C:O""),8,false)"),"Complies")</f>
        <v>Complies</v>
      </c>
      <c r="O1296" s="241" t="str">
        <f>IFERROR(__xludf.DUMMYFUNCTION("VLOOKUP(C1296,IMPORTRANGE(""https://docs.google.com/spreadsheets/d/1P8eX0NWBhUPS_hvzA11R6jkTNFrPrRYIx_dX_hYbxrk/edit?resourcekey=0-iw9bsKY2OqkUHCFMkCar3A&amp;gid=2055363397#gid=2055363397"",""MTR!C:O""),9,false)"),"")</f>
        <v/>
      </c>
      <c r="P1296" s="241"/>
      <c r="Q1296" s="251" t="s">
        <v>445</v>
      </c>
      <c r="R1296" s="241"/>
      <c r="S1296" s="154" t="s">
        <v>60</v>
      </c>
      <c r="T1296" s="154" t="s">
        <v>60</v>
      </c>
      <c r="U1296" s="154" t="s">
        <v>60</v>
      </c>
      <c r="V1296" s="154" t="s">
        <v>60</v>
      </c>
      <c r="W1296" s="154" t="s">
        <v>60</v>
      </c>
      <c r="X1296" s="154" t="s">
        <v>60</v>
      </c>
      <c r="Y1296" s="154" t="s">
        <v>60</v>
      </c>
      <c r="Z1296" s="154" t="s">
        <v>60</v>
      </c>
      <c r="AA1296" s="154" t="s">
        <v>60</v>
      </c>
      <c r="AB1296" s="154"/>
      <c r="AC1296" s="242" t="b">
        <f t="shared" si="2"/>
        <v>1</v>
      </c>
      <c r="AD1296" s="154" t="s">
        <v>391</v>
      </c>
      <c r="AE1296" s="243" t="b">
        <f t="shared" si="3"/>
        <v>0</v>
      </c>
      <c r="AF1296" s="154"/>
      <c r="AG1296" s="243" t="b">
        <f t="shared" si="7"/>
        <v>0</v>
      </c>
      <c r="AH1296" s="154"/>
      <c r="AI1296" s="243" t="str">
        <f t="shared" si="5"/>
        <v>N/A</v>
      </c>
      <c r="AJ1296" s="157" t="str">
        <f t="shared" si="6"/>
        <v/>
      </c>
    </row>
    <row r="1297" ht="12.75" customHeight="1">
      <c r="A1297" s="244" t="s">
        <v>2412</v>
      </c>
      <c r="B1297" s="244" t="s">
        <v>3326</v>
      </c>
      <c r="C1297" s="244" t="s">
        <v>3467</v>
      </c>
      <c r="D1297" s="154" t="s">
        <v>739</v>
      </c>
      <c r="E1297" s="250"/>
      <c r="F1297" s="154" t="str">
        <f t="array" ref="F1297">XLOOKUP(Cover!$D$12,$S$1:$AA$1,$S1297:$AA1297)</f>
        <v>Mandatory</v>
      </c>
      <c r="G1297" s="154" t="s">
        <v>3468</v>
      </c>
      <c r="H1297" s="154" t="s">
        <v>3335</v>
      </c>
      <c r="I1297" s="154" t="s">
        <v>479</v>
      </c>
      <c r="J1297" s="247" t="s">
        <v>445</v>
      </c>
      <c r="K1297" s="154"/>
      <c r="L1297" s="154" t="str">
        <f t="shared" si="1"/>
        <v/>
      </c>
      <c r="M1297" s="248" t="str">
        <f>IFERROR(__xludf.DUMMYFUNCTION("VLOOKUP(C1297,IMPORTRANGE(""https://docs.google.com/spreadsheets/d/1P8eX0NWBhUPS_hvzA11R6jkTNFrPrRYIx_dX_hYbxrk/edit?resourcekey=0-iw9bsKY2OqkUHCFMkCar3A&amp;gid=2055363397#gid=2055363397"",""MTR!C:O""),11,false)"),"PMW-MCE-NAS")</f>
        <v>PMW-MCE-NAS</v>
      </c>
      <c r="N1297" s="248" t="str">
        <f>IFERROR(__xludf.DUMMYFUNCTION("VLOOKUP(C1297,IMPORTRANGE(""https://docs.google.com/spreadsheets/d/1ihFlp3_ePlYtFuPbUNbYj1muErVpI73WHXbEwJDIA7Q/edit#gid=1493122344"",""MTR!C:O""),8,false)"),"Complies")</f>
        <v>Complies</v>
      </c>
      <c r="O1297" s="241" t="str">
        <f>IFERROR(__xludf.DUMMYFUNCTION("VLOOKUP(C1297,IMPORTRANGE(""https://docs.google.com/spreadsheets/d/1P8eX0NWBhUPS_hvzA11R6jkTNFrPrRYIx_dX_hYbxrk/edit?resourcekey=0-iw9bsKY2OqkUHCFMkCar3A&amp;gid=2055363397#gid=2055363397"",""MTR!C:O""),9,false)"),"")</f>
        <v/>
      </c>
      <c r="P1297" s="241"/>
      <c r="Q1297" s="251" t="s">
        <v>445</v>
      </c>
      <c r="R1297" s="241"/>
      <c r="S1297" s="154" t="s">
        <v>60</v>
      </c>
      <c r="T1297" s="154" t="s">
        <v>60</v>
      </c>
      <c r="U1297" s="154" t="s">
        <v>60</v>
      </c>
      <c r="V1297" s="154" t="s">
        <v>60</v>
      </c>
      <c r="W1297" s="154" t="s">
        <v>60</v>
      </c>
      <c r="X1297" s="154" t="s">
        <v>60</v>
      </c>
      <c r="Y1297" s="154" t="s">
        <v>60</v>
      </c>
      <c r="Z1297" s="154" t="s">
        <v>60</v>
      </c>
      <c r="AA1297" s="154" t="s">
        <v>60</v>
      </c>
      <c r="AB1297" s="154"/>
      <c r="AC1297" s="242" t="b">
        <f t="shared" si="2"/>
        <v>1</v>
      </c>
      <c r="AD1297" s="154" t="s">
        <v>391</v>
      </c>
      <c r="AE1297" s="243" t="b">
        <f t="shared" si="3"/>
        <v>0</v>
      </c>
      <c r="AF1297" s="154"/>
      <c r="AG1297" s="243" t="b">
        <f t="shared" si="7"/>
        <v>0</v>
      </c>
      <c r="AH1297" s="154"/>
      <c r="AI1297" s="243" t="str">
        <f t="shared" si="5"/>
        <v>N/A</v>
      </c>
      <c r="AJ1297" s="157" t="str">
        <f t="shared" si="6"/>
        <v/>
      </c>
    </row>
    <row r="1298" ht="12.75" customHeight="1">
      <c r="A1298" s="244" t="s">
        <v>2412</v>
      </c>
      <c r="B1298" s="244" t="s">
        <v>3326</v>
      </c>
      <c r="C1298" s="244" t="s">
        <v>3469</v>
      </c>
      <c r="D1298" s="154" t="s">
        <v>1120</v>
      </c>
      <c r="E1298" s="250"/>
      <c r="F1298" s="154" t="str">
        <f t="array" ref="F1298">XLOOKUP(Cover!$D$12,$S$1:$AA$1,$S1298:$AA1298)</f>
        <v>Mandatory</v>
      </c>
      <c r="G1298" s="154" t="s">
        <v>3470</v>
      </c>
      <c r="H1298" s="154" t="s">
        <v>3335</v>
      </c>
      <c r="I1298" s="154" t="s">
        <v>479</v>
      </c>
      <c r="J1298" s="247" t="s">
        <v>445</v>
      </c>
      <c r="K1298" s="154"/>
      <c r="L1298" s="154" t="str">
        <f t="shared" si="1"/>
        <v/>
      </c>
      <c r="M1298" s="248" t="str">
        <f>IFERROR(__xludf.DUMMYFUNCTION("VLOOKUP(C1298,IMPORTRANGE(""https://docs.google.com/spreadsheets/d/1P8eX0NWBhUPS_hvzA11R6jkTNFrPrRYIx_dX_hYbxrk/edit?resourcekey=0-iw9bsKY2OqkUHCFMkCar3A&amp;gid=2055363397#gid=2055363397"",""MTR!C:O""),11,false)"),"PMW-MCE-NAS")</f>
        <v>PMW-MCE-NAS</v>
      </c>
      <c r="N1298" s="248" t="str">
        <f>IFERROR(__xludf.DUMMYFUNCTION("VLOOKUP(C1298,IMPORTRANGE(""https://docs.google.com/spreadsheets/d/1ihFlp3_ePlYtFuPbUNbYj1muErVpI73WHXbEwJDIA7Q/edit#gid=1493122344"",""MTR!C:O""),8,false)"),"Complies")</f>
        <v>Complies</v>
      </c>
      <c r="O1298" s="241" t="str">
        <f>IFERROR(__xludf.DUMMYFUNCTION("VLOOKUP(C1298,IMPORTRANGE(""https://docs.google.com/spreadsheets/d/1P8eX0NWBhUPS_hvzA11R6jkTNFrPrRYIx_dX_hYbxrk/edit?resourcekey=0-iw9bsKY2OqkUHCFMkCar3A&amp;gid=2055363397#gid=2055363397"",""MTR!C:O""),9,false)"),"")</f>
        <v/>
      </c>
      <c r="P1298" s="241"/>
      <c r="Q1298" s="251" t="s">
        <v>445</v>
      </c>
      <c r="R1298" s="241"/>
      <c r="S1298" s="154" t="s">
        <v>60</v>
      </c>
      <c r="T1298" s="154" t="s">
        <v>60</v>
      </c>
      <c r="U1298" s="154" t="s">
        <v>60</v>
      </c>
      <c r="V1298" s="154" t="s">
        <v>60</v>
      </c>
      <c r="W1298" s="154" t="s">
        <v>60</v>
      </c>
      <c r="X1298" s="154" t="s">
        <v>60</v>
      </c>
      <c r="Y1298" s="154" t="s">
        <v>60</v>
      </c>
      <c r="Z1298" s="154" t="s">
        <v>60</v>
      </c>
      <c r="AA1298" s="154" t="s">
        <v>60</v>
      </c>
      <c r="AB1298" s="154"/>
      <c r="AC1298" s="242" t="b">
        <f t="shared" si="2"/>
        <v>1</v>
      </c>
      <c r="AD1298" s="154" t="s">
        <v>391</v>
      </c>
      <c r="AE1298" s="243" t="b">
        <f t="shared" si="3"/>
        <v>0</v>
      </c>
      <c r="AF1298" s="154"/>
      <c r="AG1298" s="243" t="b">
        <f t="shared" si="7"/>
        <v>0</v>
      </c>
      <c r="AH1298" s="154"/>
      <c r="AI1298" s="243" t="str">
        <f t="shared" si="5"/>
        <v>N/A</v>
      </c>
      <c r="AJ1298" s="157" t="str">
        <f t="shared" si="6"/>
        <v/>
      </c>
    </row>
    <row r="1299" ht="12.75" customHeight="1">
      <c r="A1299" s="238" t="s">
        <v>2412</v>
      </c>
      <c r="B1299" s="238" t="s">
        <v>3326</v>
      </c>
      <c r="C1299" s="238" t="s">
        <v>3471</v>
      </c>
      <c r="D1299" s="238"/>
      <c r="E1299" s="238"/>
      <c r="F1299" s="154" t="str">
        <f t="array" ref="F1299">XLOOKUP(Cover!$D$12,$S$1:$AA$1,$S1299:$AA1299)</f>
        <v>Heading</v>
      </c>
      <c r="G1299" s="239" t="s">
        <v>3472</v>
      </c>
      <c r="H1299" s="240"/>
      <c r="I1299" s="240" t="s">
        <v>479</v>
      </c>
      <c r="J1299" s="262"/>
      <c r="K1299" s="240"/>
      <c r="L1299" s="154" t="str">
        <f t="shared" si="1"/>
        <v/>
      </c>
      <c r="M1299" s="241" t="str">
        <f>IFERROR(__xludf.DUMMYFUNCTION("VLOOKUP(C1299,IMPORTRANGE(""https://docs.google.com/spreadsheets/d/1P8eX0NWBhUPS_hvzA11R6jkTNFrPrRYIx_dX_hYbxrk/edit?resourcekey=0-iw9bsKY2OqkUHCFMkCar3A&amp;gid=2055363397#gid=2055363397"",""MTR!C:O""),11,false)"),"")</f>
        <v/>
      </c>
      <c r="N1299" s="241" t="str">
        <f>IFERROR(__xludf.DUMMYFUNCTION("VLOOKUP(C1299,IMPORTRANGE(""https://docs.google.com/spreadsheets/d/1ihFlp3_ePlYtFuPbUNbYj1muErVpI73WHXbEwJDIA7Q/edit#gid=1493122344"",""MTR!C:O""),8,false)"),"")</f>
        <v/>
      </c>
      <c r="O1299" s="241" t="str">
        <f>IFERROR(__xludf.DUMMYFUNCTION("VLOOKUP(C1299,IMPORTRANGE(""https://docs.google.com/spreadsheets/d/1P8eX0NWBhUPS_hvzA11R6jkTNFrPrRYIx_dX_hYbxrk/edit?resourcekey=0-iw9bsKY2OqkUHCFMkCar3A&amp;gid=2055363397#gid=2055363397"",""MTR!C:O""),9,false)"),"")</f>
        <v/>
      </c>
      <c r="P1299" s="241"/>
      <c r="Q1299" s="251"/>
      <c r="R1299" s="241"/>
      <c r="S1299" s="240" t="s">
        <v>390</v>
      </c>
      <c r="T1299" s="240" t="s">
        <v>390</v>
      </c>
      <c r="U1299" s="240" t="s">
        <v>390</v>
      </c>
      <c r="V1299" s="240" t="s">
        <v>390</v>
      </c>
      <c r="W1299" s="240" t="s">
        <v>390</v>
      </c>
      <c r="X1299" s="240" t="s">
        <v>390</v>
      </c>
      <c r="Y1299" s="240" t="s">
        <v>390</v>
      </c>
      <c r="Z1299" s="240" t="s">
        <v>390</v>
      </c>
      <c r="AA1299" s="240" t="s">
        <v>390</v>
      </c>
      <c r="AB1299" s="240"/>
      <c r="AC1299" s="242" t="b">
        <f t="shared" si="2"/>
        <v>0</v>
      </c>
      <c r="AD1299" s="240" t="s">
        <v>391</v>
      </c>
      <c r="AE1299" s="243" t="b">
        <f t="shared" si="3"/>
        <v>0</v>
      </c>
      <c r="AF1299" s="240"/>
      <c r="AG1299" s="243" t="b">
        <f t="shared" si="7"/>
        <v>0</v>
      </c>
      <c r="AH1299" s="240"/>
      <c r="AI1299" s="243" t="str">
        <f t="shared" si="5"/>
        <v>N/A</v>
      </c>
      <c r="AJ1299" s="157" t="str">
        <f t="shared" si="6"/>
        <v/>
      </c>
    </row>
    <row r="1300" ht="12.75" customHeight="1">
      <c r="A1300" s="244" t="s">
        <v>2412</v>
      </c>
      <c r="B1300" s="244" t="s">
        <v>3326</v>
      </c>
      <c r="C1300" s="244" t="s">
        <v>3473</v>
      </c>
      <c r="D1300" s="154" t="s">
        <v>542</v>
      </c>
      <c r="E1300" s="250"/>
      <c r="F1300" s="154" t="str">
        <f t="array" ref="F1300">XLOOKUP(Cover!$D$12,$S$1:$AA$1,$S1300:$AA1300)</f>
        <v>Comments Vendor</v>
      </c>
      <c r="G1300" s="154" t="s">
        <v>3474</v>
      </c>
      <c r="H1300" s="154"/>
      <c r="I1300" s="154" t="s">
        <v>479</v>
      </c>
      <c r="J1300" s="154"/>
      <c r="K1300" s="247" t="s">
        <v>3475</v>
      </c>
      <c r="L1300" s="154" t="str">
        <f t="shared" si="1"/>
        <v/>
      </c>
      <c r="M1300" s="248" t="str">
        <f>IFERROR(__xludf.DUMMYFUNCTION("VLOOKUP(C1300,IMPORTRANGE(""https://docs.google.com/spreadsheets/d/1P8eX0NWBhUPS_hvzA11R6jkTNFrPrRYIx_dX_hYbxrk/edit?resourcekey=0-iw9bsKY2OqkUHCFMkCar3A&amp;gid=2055363397#gid=2055363397"",""MTR!C:O""),11,false)"),"Carrier-TPM")</f>
        <v>Carrier-TPM</v>
      </c>
      <c r="N1300" s="241" t="str">
        <f>IFERROR(__xludf.DUMMYFUNCTION("VLOOKUP(C1300,IMPORTRANGE(""https://docs.google.com/spreadsheets/d/1ihFlp3_ePlYtFuPbUNbYj1muErVpI73WHXbEwJDIA7Q/edit#gid=1493122344"",""MTR!C:O""),8,false)"),"")</f>
        <v/>
      </c>
      <c r="O1300" s="248" t="str">
        <f>IFERROR(__xludf.DUMMYFUNCTION("VLOOKUP(C1300,IMPORTRANGE(""https://docs.google.com/spreadsheets/d/1P8eX0NWBhUPS_hvzA11R6jkTNFrPrRYIx_dX_hYbxrk/edit?resourcekey=0-iw9bsKY2OqkUHCFMkCar3A&amp;gid=2055363397#gid=2055363397"",""MTR!C:O""),9,false)"),"1 Physical SIM Tray only")</f>
        <v>1 Physical SIM Tray only</v>
      </c>
      <c r="P1300" s="248"/>
      <c r="Q1300" s="248"/>
      <c r="R1300" s="249" t="s">
        <v>3475</v>
      </c>
      <c r="S1300" s="154" t="s">
        <v>62</v>
      </c>
      <c r="T1300" s="154" t="s">
        <v>62</v>
      </c>
      <c r="U1300" s="154" t="s">
        <v>62</v>
      </c>
      <c r="V1300" s="154" t="s">
        <v>62</v>
      </c>
      <c r="W1300" s="154" t="s">
        <v>62</v>
      </c>
      <c r="X1300" s="154" t="s">
        <v>62</v>
      </c>
      <c r="Y1300" s="154" t="s">
        <v>62</v>
      </c>
      <c r="Z1300" s="154" t="s">
        <v>62</v>
      </c>
      <c r="AA1300" s="154" t="s">
        <v>62</v>
      </c>
      <c r="AB1300" s="154"/>
      <c r="AC1300" s="242" t="b">
        <f t="shared" si="2"/>
        <v>1</v>
      </c>
      <c r="AD1300" s="154" t="s">
        <v>68</v>
      </c>
      <c r="AE1300" s="243" t="b">
        <f t="shared" si="3"/>
        <v>1</v>
      </c>
      <c r="AF1300" s="154"/>
      <c r="AG1300" s="243" t="b">
        <f t="shared" si="7"/>
        <v>0</v>
      </c>
      <c r="AH1300" s="154"/>
      <c r="AI1300" s="243" t="str">
        <f t="shared" si="5"/>
        <v>N/A</v>
      </c>
      <c r="AJ1300" s="157" t="str">
        <f t="shared" si="6"/>
        <v/>
      </c>
    </row>
    <row r="1301" ht="12.75" customHeight="1">
      <c r="A1301" s="244" t="s">
        <v>2412</v>
      </c>
      <c r="B1301" s="244" t="s">
        <v>3326</v>
      </c>
      <c r="C1301" s="244" t="s">
        <v>3476</v>
      </c>
      <c r="D1301" s="154" t="s">
        <v>1120</v>
      </c>
      <c r="E1301" s="250"/>
      <c r="F1301" s="154" t="str">
        <f t="array" ref="F1301">XLOOKUP(Cover!$D$12,$S$1:$AA$1,$S1301:$AA1301)</f>
        <v>Information</v>
      </c>
      <c r="G1301" s="154" t="s">
        <v>3477</v>
      </c>
      <c r="H1301" s="154"/>
      <c r="I1301" s="154" t="s">
        <v>479</v>
      </c>
      <c r="J1301" s="247" t="s">
        <v>516</v>
      </c>
      <c r="K1301" s="247"/>
      <c r="L1301" s="154" t="str">
        <f t="shared" si="1"/>
        <v/>
      </c>
      <c r="M1301" s="248" t="str">
        <f>IFERROR(__xludf.DUMMYFUNCTION("VLOOKUP(C1301,IMPORTRANGE(""https://docs.google.com/spreadsheets/d/1P8eX0NWBhUPS_hvzA11R6jkTNFrPrRYIx_dX_hYbxrk/edit?resourcekey=0-iw9bsKY2OqkUHCFMkCar3A&amp;gid=2055363397#gid=2055363397"",""MTR!C:O""),11,false)"),"Carrier-TPM")</f>
        <v>Carrier-TPM</v>
      </c>
      <c r="N1301" s="248" t="str">
        <f>IFERROR(__xludf.DUMMYFUNCTION("VLOOKUP(C1301,IMPORTRANGE(""https://docs.google.com/spreadsheets/d/1ihFlp3_ePlYtFuPbUNbYj1muErVpI73WHXbEwJDIA7Q/edit#gid=1493122344"",""MTR!C:O""),8,false)"),"Does Not Comply")</f>
        <v>Does Not Comply</v>
      </c>
      <c r="O1301" s="241" t="str">
        <f>IFERROR(__xludf.DUMMYFUNCTION("VLOOKUP(C1301,IMPORTRANGE(""https://docs.google.com/spreadsheets/d/1P8eX0NWBhUPS_hvzA11R6jkTNFrPrRYIx_dX_hYbxrk/edit?resourcekey=0-iw9bsKY2OqkUHCFMkCar3A&amp;gid=2055363397#gid=2055363397"",""MTR!C:O""),9,false)"),"")</f>
        <v/>
      </c>
      <c r="P1301" s="241"/>
      <c r="Q1301" s="251" t="s">
        <v>516</v>
      </c>
      <c r="R1301" s="251"/>
      <c r="S1301" s="154" t="s">
        <v>66</v>
      </c>
      <c r="T1301" s="154" t="s">
        <v>66</v>
      </c>
      <c r="U1301" s="154" t="s">
        <v>66</v>
      </c>
      <c r="V1301" s="154" t="s">
        <v>66</v>
      </c>
      <c r="W1301" s="154" t="s">
        <v>66</v>
      </c>
      <c r="X1301" s="154" t="s">
        <v>66</v>
      </c>
      <c r="Y1301" s="154" t="s">
        <v>66</v>
      </c>
      <c r="Z1301" s="154" t="s">
        <v>66</v>
      </c>
      <c r="AA1301" s="154" t="s">
        <v>66</v>
      </c>
      <c r="AB1301" s="154"/>
      <c r="AC1301" s="242" t="b">
        <f t="shared" si="2"/>
        <v>1</v>
      </c>
      <c r="AD1301" s="154" t="s">
        <v>391</v>
      </c>
      <c r="AE1301" s="243" t="b">
        <f t="shared" si="3"/>
        <v>0</v>
      </c>
      <c r="AF1301" s="154"/>
      <c r="AG1301" s="243" t="b">
        <f t="shared" si="7"/>
        <v>0</v>
      </c>
      <c r="AH1301" s="154"/>
      <c r="AI1301" s="243" t="str">
        <f t="shared" si="5"/>
        <v>N/A</v>
      </c>
      <c r="AJ1301" s="157" t="str">
        <f t="shared" si="6"/>
        <v/>
      </c>
    </row>
    <row r="1302" ht="12.75" customHeight="1">
      <c r="A1302" s="244" t="s">
        <v>2412</v>
      </c>
      <c r="B1302" s="244" t="s">
        <v>3326</v>
      </c>
      <c r="C1302" s="244" t="s">
        <v>3478</v>
      </c>
      <c r="D1302" s="154" t="s">
        <v>1120</v>
      </c>
      <c r="E1302" s="250"/>
      <c r="F1302" s="154" t="str">
        <f t="array" ref="F1302">XLOOKUP(Cover!$D$12,$S$1:$AA$1,$S1302:$AA1302)</f>
        <v>Recommended</v>
      </c>
      <c r="G1302" s="154" t="s">
        <v>3479</v>
      </c>
      <c r="H1302" s="154"/>
      <c r="I1302" s="154" t="s">
        <v>479</v>
      </c>
      <c r="J1302" s="247" t="s">
        <v>516</v>
      </c>
      <c r="K1302" s="154"/>
      <c r="L1302" s="154" t="str">
        <f t="shared" si="1"/>
        <v/>
      </c>
      <c r="M1302" s="248" t="str">
        <f>IFERROR(__xludf.DUMMYFUNCTION("VLOOKUP(C1302,IMPORTRANGE(""https://docs.google.com/spreadsheets/d/1P8eX0NWBhUPS_hvzA11R6jkTNFrPrRYIx_dX_hYbxrk/edit?resourcekey=0-iw9bsKY2OqkUHCFMkCar3A&amp;gid=2055363397#gid=2055363397"",""MTR!C:O""),11,false)"),"Carrier-TPM")</f>
        <v>Carrier-TPM</v>
      </c>
      <c r="N1302" s="248" t="str">
        <f>IFERROR(__xludf.DUMMYFUNCTION("VLOOKUP(C1302,IMPORTRANGE(""https://docs.google.com/spreadsheets/d/1ihFlp3_ePlYtFuPbUNbYj1muErVpI73WHXbEwJDIA7Q/edit#gid=1493122344"",""MTR!C:O""),8,false)"),"Does Not Comply")</f>
        <v>Does Not Comply</v>
      </c>
      <c r="O1302" s="241" t="str">
        <f>IFERROR(__xludf.DUMMYFUNCTION("VLOOKUP(C1302,IMPORTRANGE(""https://docs.google.com/spreadsheets/d/1P8eX0NWBhUPS_hvzA11R6jkTNFrPrRYIx_dX_hYbxrk/edit?resourcekey=0-iw9bsKY2OqkUHCFMkCar3A&amp;gid=2055363397#gid=2055363397"",""MTR!C:O""),9,false)"),"")</f>
        <v/>
      </c>
      <c r="P1302" s="241"/>
      <c r="Q1302" s="251" t="s">
        <v>516</v>
      </c>
      <c r="R1302" s="241"/>
      <c r="S1302" s="154" t="s">
        <v>64</v>
      </c>
      <c r="T1302" s="154" t="s">
        <v>64</v>
      </c>
      <c r="U1302" s="154" t="s">
        <v>64</v>
      </c>
      <c r="V1302" s="154" t="s">
        <v>64</v>
      </c>
      <c r="W1302" s="154" t="s">
        <v>64</v>
      </c>
      <c r="X1302" s="154" t="s">
        <v>64</v>
      </c>
      <c r="Y1302" s="154" t="s">
        <v>64</v>
      </c>
      <c r="Z1302" s="154" t="s">
        <v>64</v>
      </c>
      <c r="AA1302" s="154" t="s">
        <v>64</v>
      </c>
      <c r="AB1302" s="154"/>
      <c r="AC1302" s="242" t="b">
        <f t="shared" si="2"/>
        <v>1</v>
      </c>
      <c r="AD1302" s="154" t="s">
        <v>391</v>
      </c>
      <c r="AE1302" s="243" t="b">
        <f t="shared" si="3"/>
        <v>0</v>
      </c>
      <c r="AF1302" s="154"/>
      <c r="AG1302" s="243" t="b">
        <f t="shared" si="7"/>
        <v>0</v>
      </c>
      <c r="AH1302" s="154"/>
      <c r="AI1302" s="243" t="str">
        <f t="shared" si="5"/>
        <v>N/A</v>
      </c>
      <c r="AJ1302" s="157" t="str">
        <f t="shared" si="6"/>
        <v/>
      </c>
    </row>
    <row r="1303" ht="12.75" customHeight="1">
      <c r="A1303" s="244" t="s">
        <v>2412</v>
      </c>
      <c r="B1303" s="244" t="s">
        <v>3326</v>
      </c>
      <c r="C1303" s="244" t="s">
        <v>3480</v>
      </c>
      <c r="D1303" s="154" t="s">
        <v>1120</v>
      </c>
      <c r="E1303" s="250"/>
      <c r="F1303" s="154" t="str">
        <f t="array" ref="F1303">XLOOKUP(Cover!$D$12,$S$1:$AA$1,$S1303:$AA1303)</f>
        <v>Recommended</v>
      </c>
      <c r="G1303" s="154" t="s">
        <v>3481</v>
      </c>
      <c r="H1303" s="154"/>
      <c r="I1303" s="154" t="s">
        <v>479</v>
      </c>
      <c r="J1303" s="247" t="s">
        <v>516</v>
      </c>
      <c r="K1303" s="154"/>
      <c r="L1303" s="154" t="str">
        <f t="shared" si="1"/>
        <v/>
      </c>
      <c r="M1303" s="248" t="str">
        <f>IFERROR(__xludf.DUMMYFUNCTION("VLOOKUP(C1303,IMPORTRANGE(""https://docs.google.com/spreadsheets/d/1P8eX0NWBhUPS_hvzA11R6jkTNFrPrRYIx_dX_hYbxrk/edit?resourcekey=0-iw9bsKY2OqkUHCFMkCar3A&amp;gid=2055363397#gid=2055363397"",""MTR!C:O""),11,false)"),"Carrier-TPM")</f>
        <v>Carrier-TPM</v>
      </c>
      <c r="N1303" s="248" t="str">
        <f>IFERROR(__xludf.DUMMYFUNCTION("VLOOKUP(C1303,IMPORTRANGE(""https://docs.google.com/spreadsheets/d/1ihFlp3_ePlYtFuPbUNbYj1muErVpI73WHXbEwJDIA7Q/edit#gid=1493122344"",""MTR!C:O""),8,false)"),"Does Not Comply")</f>
        <v>Does Not Comply</v>
      </c>
      <c r="O1303" s="241" t="str">
        <f>IFERROR(__xludf.DUMMYFUNCTION("VLOOKUP(C1303,IMPORTRANGE(""https://docs.google.com/spreadsheets/d/1P8eX0NWBhUPS_hvzA11R6jkTNFrPrRYIx_dX_hYbxrk/edit?resourcekey=0-iw9bsKY2OqkUHCFMkCar3A&amp;gid=2055363397#gid=2055363397"",""MTR!C:O""),9,false)"),"")</f>
        <v/>
      </c>
      <c r="P1303" s="241"/>
      <c r="Q1303" s="251" t="s">
        <v>516</v>
      </c>
      <c r="R1303" s="241"/>
      <c r="S1303" s="154" t="s">
        <v>64</v>
      </c>
      <c r="T1303" s="154" t="s">
        <v>64</v>
      </c>
      <c r="U1303" s="154" t="s">
        <v>64</v>
      </c>
      <c r="V1303" s="154" t="s">
        <v>64</v>
      </c>
      <c r="W1303" s="154" t="s">
        <v>64</v>
      </c>
      <c r="X1303" s="154" t="s">
        <v>64</v>
      </c>
      <c r="Y1303" s="154" t="s">
        <v>64</v>
      </c>
      <c r="Z1303" s="154" t="s">
        <v>64</v>
      </c>
      <c r="AA1303" s="154" t="s">
        <v>64</v>
      </c>
      <c r="AB1303" s="154"/>
      <c r="AC1303" s="242" t="b">
        <f t="shared" si="2"/>
        <v>1</v>
      </c>
      <c r="AD1303" s="154" t="s">
        <v>391</v>
      </c>
      <c r="AE1303" s="243" t="b">
        <f t="shared" si="3"/>
        <v>0</v>
      </c>
      <c r="AF1303" s="154"/>
      <c r="AG1303" s="243" t="b">
        <f t="shared" si="7"/>
        <v>0</v>
      </c>
      <c r="AH1303" s="154"/>
      <c r="AI1303" s="243" t="str">
        <f t="shared" si="5"/>
        <v>N/A</v>
      </c>
      <c r="AJ1303" s="157" t="str">
        <f t="shared" si="6"/>
        <v/>
      </c>
    </row>
    <row r="1304" ht="12.75" customHeight="1">
      <c r="A1304" s="244" t="s">
        <v>2412</v>
      </c>
      <c r="B1304" s="244" t="s">
        <v>3326</v>
      </c>
      <c r="C1304" s="244" t="s">
        <v>3482</v>
      </c>
      <c r="D1304" s="154" t="s">
        <v>1120</v>
      </c>
      <c r="E1304" s="250"/>
      <c r="F1304" s="154" t="str">
        <f t="array" ref="F1304">XLOOKUP(Cover!$D$12,$S$1:$AA$1,$S1304:$AA1304)</f>
        <v>Mandatory</v>
      </c>
      <c r="G1304" s="154" t="s">
        <v>3483</v>
      </c>
      <c r="H1304" s="154"/>
      <c r="I1304" s="154" t="s">
        <v>479</v>
      </c>
      <c r="J1304" s="247" t="s">
        <v>445</v>
      </c>
      <c r="K1304" s="154"/>
      <c r="L1304" s="154" t="str">
        <f t="shared" si="1"/>
        <v/>
      </c>
      <c r="M1304" s="248" t="str">
        <f>IFERROR(__xludf.DUMMYFUNCTION("VLOOKUP(C1304,IMPORTRANGE(""https://docs.google.com/spreadsheets/d/1P8eX0NWBhUPS_hvzA11R6jkTNFrPrRYIx_dX_hYbxrk/edit?resourcekey=0-iw9bsKY2OqkUHCFMkCar3A&amp;gid=2055363397#gid=2055363397"",""MTR!C:O""),11,false)"),"Carrier-TPM")</f>
        <v>Carrier-TPM</v>
      </c>
      <c r="N1304" s="248" t="str">
        <f>IFERROR(__xludf.DUMMYFUNCTION("VLOOKUP(C1304,IMPORTRANGE(""https://docs.google.com/spreadsheets/d/1ihFlp3_ePlYtFuPbUNbYj1muErVpI73WHXbEwJDIA7Q/edit#gid=1493122344"",""MTR!C:O""),8,false)"),"Complies")</f>
        <v>Complies</v>
      </c>
      <c r="O1304" s="241" t="str">
        <f>IFERROR(__xludf.DUMMYFUNCTION("VLOOKUP(C1304,IMPORTRANGE(""https://docs.google.com/spreadsheets/d/1P8eX0NWBhUPS_hvzA11R6jkTNFrPrRYIx_dX_hYbxrk/edit?resourcekey=0-iw9bsKY2OqkUHCFMkCar3A&amp;gid=2055363397#gid=2055363397"",""MTR!C:O""),9,false)"),"")</f>
        <v/>
      </c>
      <c r="P1304" s="241"/>
      <c r="Q1304" s="251" t="s">
        <v>445</v>
      </c>
      <c r="R1304" s="241"/>
      <c r="S1304" s="154" t="s">
        <v>60</v>
      </c>
      <c r="T1304" s="154" t="s">
        <v>60</v>
      </c>
      <c r="U1304" s="154" t="s">
        <v>60</v>
      </c>
      <c r="V1304" s="154" t="s">
        <v>60</v>
      </c>
      <c r="W1304" s="154" t="s">
        <v>60</v>
      </c>
      <c r="X1304" s="154" t="s">
        <v>60</v>
      </c>
      <c r="Y1304" s="154" t="s">
        <v>60</v>
      </c>
      <c r="Z1304" s="154" t="s">
        <v>60</v>
      </c>
      <c r="AA1304" s="154" t="s">
        <v>60</v>
      </c>
      <c r="AB1304" s="154"/>
      <c r="AC1304" s="242" t="b">
        <f t="shared" si="2"/>
        <v>1</v>
      </c>
      <c r="AD1304" s="154" t="s">
        <v>391</v>
      </c>
      <c r="AE1304" s="243" t="b">
        <f t="shared" si="3"/>
        <v>0</v>
      </c>
      <c r="AF1304" s="154"/>
      <c r="AG1304" s="243" t="b">
        <f t="shared" si="7"/>
        <v>0</v>
      </c>
      <c r="AH1304" s="154"/>
      <c r="AI1304" s="243" t="str">
        <f t="shared" si="5"/>
        <v>N/A</v>
      </c>
      <c r="AJ1304" s="157" t="str">
        <f t="shared" si="6"/>
        <v/>
      </c>
    </row>
    <row r="1305" ht="12.75" customHeight="1">
      <c r="A1305" s="238" t="s">
        <v>2412</v>
      </c>
      <c r="B1305" s="238" t="s">
        <v>3484</v>
      </c>
      <c r="C1305" s="238" t="s">
        <v>3485</v>
      </c>
      <c r="D1305" s="238"/>
      <c r="E1305" s="238"/>
      <c r="F1305" s="154" t="str">
        <f t="array" ref="F1305">XLOOKUP(Cover!$D$12,$S$1:$AA$1,$S1305:$AA1305)</f>
        <v>Heading</v>
      </c>
      <c r="G1305" s="239" t="s">
        <v>3486</v>
      </c>
      <c r="H1305" s="240"/>
      <c r="I1305" s="240" t="s">
        <v>414</v>
      </c>
      <c r="J1305" s="262"/>
      <c r="K1305" s="240"/>
      <c r="L1305" s="154" t="str">
        <f t="shared" si="1"/>
        <v/>
      </c>
      <c r="M1305" s="241" t="str">
        <f>IFERROR(__xludf.DUMMYFUNCTION("VLOOKUP(C1305,IMPORTRANGE(""https://docs.google.com/spreadsheets/d/1P8eX0NWBhUPS_hvzA11R6jkTNFrPrRYIx_dX_hYbxrk/edit?resourcekey=0-iw9bsKY2OqkUHCFMkCar3A&amp;gid=2055363397#gid=2055363397"",""MTR!C:O""),11,false)"),"")</f>
        <v/>
      </c>
      <c r="N1305" s="241" t="str">
        <f>IFERROR(__xludf.DUMMYFUNCTION("VLOOKUP(C1305,IMPORTRANGE(""https://docs.google.com/spreadsheets/d/1ihFlp3_ePlYtFuPbUNbYj1muErVpI73WHXbEwJDIA7Q/edit#gid=1493122344"",""MTR!C:O""),8,false)"),"")</f>
        <v/>
      </c>
      <c r="O1305" s="241" t="str">
        <f>IFERROR(__xludf.DUMMYFUNCTION("VLOOKUP(C1305,IMPORTRANGE(""https://docs.google.com/spreadsheets/d/1P8eX0NWBhUPS_hvzA11R6jkTNFrPrRYIx_dX_hYbxrk/edit?resourcekey=0-iw9bsKY2OqkUHCFMkCar3A&amp;gid=2055363397#gid=2055363397"",""MTR!C:O""),9,false)"),"")</f>
        <v/>
      </c>
      <c r="P1305" s="241"/>
      <c r="Q1305" s="251"/>
      <c r="R1305" s="241"/>
      <c r="S1305" s="240" t="s">
        <v>390</v>
      </c>
      <c r="T1305" s="240" t="s">
        <v>390</v>
      </c>
      <c r="U1305" s="240" t="s">
        <v>390</v>
      </c>
      <c r="V1305" s="240" t="s">
        <v>390</v>
      </c>
      <c r="W1305" s="240" t="s">
        <v>390</v>
      </c>
      <c r="X1305" s="240" t="s">
        <v>390</v>
      </c>
      <c r="Y1305" s="240" t="s">
        <v>390</v>
      </c>
      <c r="Z1305" s="240" t="s">
        <v>390</v>
      </c>
      <c r="AA1305" s="240" t="s">
        <v>390</v>
      </c>
      <c r="AB1305" s="240"/>
      <c r="AC1305" s="242" t="b">
        <f t="shared" si="2"/>
        <v>0</v>
      </c>
      <c r="AD1305" s="240" t="s">
        <v>391</v>
      </c>
      <c r="AE1305" s="243" t="b">
        <f t="shared" si="3"/>
        <v>0</v>
      </c>
      <c r="AF1305" s="240"/>
      <c r="AG1305" s="243" t="b">
        <f t="shared" si="7"/>
        <v>0</v>
      </c>
      <c r="AH1305" s="240"/>
      <c r="AI1305" s="243" t="str">
        <f t="shared" si="5"/>
        <v>N/A</v>
      </c>
      <c r="AJ1305" s="157" t="str">
        <f t="shared" si="6"/>
        <v/>
      </c>
    </row>
    <row r="1306" ht="12.75" customHeight="1">
      <c r="A1306" s="244" t="s">
        <v>2412</v>
      </c>
      <c r="B1306" s="244" t="s">
        <v>3484</v>
      </c>
      <c r="C1306" s="244" t="s">
        <v>3487</v>
      </c>
      <c r="D1306" s="154" t="s">
        <v>781</v>
      </c>
      <c r="E1306" s="250"/>
      <c r="F1306" s="154" t="str">
        <f t="array" ref="F1306">XLOOKUP(Cover!$D$12,$S$1:$AA$1,$S1306:$AA1306)</f>
        <v>Mandatory</v>
      </c>
      <c r="G1306" s="154" t="s">
        <v>3488</v>
      </c>
      <c r="H1306" s="154" t="s">
        <v>357</v>
      </c>
      <c r="I1306" s="154" t="s">
        <v>414</v>
      </c>
      <c r="J1306" s="247" t="s">
        <v>445</v>
      </c>
      <c r="K1306" s="154"/>
      <c r="L1306" s="154" t="str">
        <f t="shared" si="1"/>
        <v/>
      </c>
      <c r="M1306" s="248" t="str">
        <f>IFERROR(__xludf.DUMMYFUNCTION("VLOOKUP(C1306,IMPORTRANGE(""https://docs.google.com/spreadsheets/d/1P8eX0NWBhUPS_hvzA11R6jkTNFrPrRYIx_dX_hYbxrk/edit?resourcekey=0-iw9bsKY2OqkUHCFMkCar3A&amp;gid=2055363397#gid=2055363397"",""MTR!C:O""),11,false)"),"PMW-MCE-NAS")</f>
        <v>PMW-MCE-NAS</v>
      </c>
      <c r="N1306" s="248" t="str">
        <f>IFERROR(__xludf.DUMMYFUNCTION("VLOOKUP(C1306,IMPORTRANGE(""https://docs.google.com/spreadsheets/d/1ihFlp3_ePlYtFuPbUNbYj1muErVpI73WHXbEwJDIA7Q/edit#gid=1493122344"",""MTR!C:O""),8,false)"),"Complies")</f>
        <v>Complies</v>
      </c>
      <c r="O1306" s="241" t="str">
        <f>IFERROR(__xludf.DUMMYFUNCTION("VLOOKUP(C1306,IMPORTRANGE(""https://docs.google.com/spreadsheets/d/1P8eX0NWBhUPS_hvzA11R6jkTNFrPrRYIx_dX_hYbxrk/edit?resourcekey=0-iw9bsKY2OqkUHCFMkCar3A&amp;gid=2055363397#gid=2055363397"",""MTR!C:O""),9,false)"),"")</f>
        <v/>
      </c>
      <c r="P1306" s="241"/>
      <c r="Q1306" s="251" t="s">
        <v>445</v>
      </c>
      <c r="R1306" s="241"/>
      <c r="S1306" s="154" t="s">
        <v>64</v>
      </c>
      <c r="T1306" s="154" t="s">
        <v>60</v>
      </c>
      <c r="U1306" s="154" t="s">
        <v>60</v>
      </c>
      <c r="V1306" s="154" t="s">
        <v>60</v>
      </c>
      <c r="W1306" s="154" t="s">
        <v>60</v>
      </c>
      <c r="X1306" s="154" t="s">
        <v>60</v>
      </c>
      <c r="Y1306" s="154" t="s">
        <v>60</v>
      </c>
      <c r="Z1306" s="154" t="s">
        <v>60</v>
      </c>
      <c r="AA1306" s="154" t="s">
        <v>60</v>
      </c>
      <c r="AB1306" s="154"/>
      <c r="AC1306" s="242" t="b">
        <f t="shared" si="2"/>
        <v>1</v>
      </c>
      <c r="AD1306" s="154" t="s">
        <v>391</v>
      </c>
      <c r="AE1306" s="243" t="b">
        <f t="shared" si="3"/>
        <v>0</v>
      </c>
      <c r="AF1306" s="154"/>
      <c r="AG1306" s="243" t="b">
        <f t="shared" si="7"/>
        <v>0</v>
      </c>
      <c r="AH1306" s="154"/>
      <c r="AI1306" s="243" t="str">
        <f t="shared" si="5"/>
        <v>N/A</v>
      </c>
      <c r="AJ1306" s="157" t="str">
        <f t="shared" si="6"/>
        <v/>
      </c>
    </row>
    <row r="1307" ht="12.75" customHeight="1">
      <c r="A1307" s="244" t="s">
        <v>2412</v>
      </c>
      <c r="B1307" s="244" t="s">
        <v>3484</v>
      </c>
      <c r="C1307" s="244" t="s">
        <v>3489</v>
      </c>
      <c r="D1307" s="154" t="s">
        <v>1069</v>
      </c>
      <c r="E1307" s="250"/>
      <c r="F1307" s="154" t="str">
        <f t="array" ref="F1307">XLOOKUP(Cover!$D$12,$S$1:$AA$1,$S1307:$AA1307)</f>
        <v>Recommended</v>
      </c>
      <c r="G1307" s="154" t="s">
        <v>3490</v>
      </c>
      <c r="H1307" s="154" t="s">
        <v>357</v>
      </c>
      <c r="I1307" s="154" t="s">
        <v>414</v>
      </c>
      <c r="J1307" s="247" t="s">
        <v>445</v>
      </c>
      <c r="K1307" s="247" t="s">
        <v>3491</v>
      </c>
      <c r="L1307" s="154" t="str">
        <f t="shared" si="1"/>
        <v/>
      </c>
      <c r="M1307" s="248" t="str">
        <f>IFERROR(__xludf.DUMMYFUNCTION("VLOOKUP(C1307,IMPORTRANGE(""https://docs.google.com/spreadsheets/d/1P8eX0NWBhUPS_hvzA11R6jkTNFrPrRYIx_dX_hYbxrk/edit?resourcekey=0-iw9bsKY2OqkUHCFMkCar3A&amp;gid=2055363397#gid=2055363397"",""MTR!C:O""),11,false)"),"PMW-MCE-eSIM")</f>
        <v>PMW-MCE-eSIM</v>
      </c>
      <c r="N1307" s="248" t="str">
        <f>IFERROR(__xludf.DUMMYFUNCTION("VLOOKUP(C1307,IMPORTRANGE(""https://docs.google.com/spreadsheets/d/1ihFlp3_ePlYtFuPbUNbYj1muErVpI73WHXbEwJDIA7Q/edit#gid=1493122344"",""MTR!C:O""),8,false)"),"Complies")</f>
        <v>Complies</v>
      </c>
      <c r="O1307" s="248" t="str">
        <f>IFERROR(__xludf.DUMMYFUNCTION("VLOOKUP(C1307,IMPORTRANGE(""https://docs.google.com/spreadsheets/d/1P8eX0NWBhUPS_hvzA11R6jkTNFrPrRYIx_dX_hYbxrk/edit?resourcekey=0-iw9bsKY2OqkUHCFMkCar3A&amp;gid=2055363397#gid=2055363397"",""MTR!C:O""),9,false)"),"Support GSMA SGP.21 V3.0 and SGP.22 V3.0")</f>
        <v>Support GSMA SGP.21 V3.0 and SGP.22 V3.0</v>
      </c>
      <c r="P1307" s="248"/>
      <c r="Q1307" s="249" t="s">
        <v>445</v>
      </c>
      <c r="R1307" s="249" t="s">
        <v>3491</v>
      </c>
      <c r="S1307" s="154" t="s">
        <v>66</v>
      </c>
      <c r="T1307" s="154" t="s">
        <v>66</v>
      </c>
      <c r="U1307" s="154" t="s">
        <v>66</v>
      </c>
      <c r="V1307" s="154" t="s">
        <v>66</v>
      </c>
      <c r="W1307" s="154" t="s">
        <v>66</v>
      </c>
      <c r="X1307" s="154" t="s">
        <v>64</v>
      </c>
      <c r="Y1307" s="154" t="s">
        <v>66</v>
      </c>
      <c r="Z1307" s="154" t="s">
        <v>66</v>
      </c>
      <c r="AA1307" s="154" t="s">
        <v>66</v>
      </c>
      <c r="AB1307" s="154"/>
      <c r="AC1307" s="242" t="b">
        <f t="shared" si="2"/>
        <v>1</v>
      </c>
      <c r="AD1307" s="154" t="s">
        <v>391</v>
      </c>
      <c r="AE1307" s="243" t="b">
        <f t="shared" si="3"/>
        <v>0</v>
      </c>
      <c r="AF1307" s="154"/>
      <c r="AG1307" s="243" t="b">
        <f t="shared" si="7"/>
        <v>0</v>
      </c>
      <c r="AH1307" s="154"/>
      <c r="AI1307" s="243" t="str">
        <f t="shared" si="5"/>
        <v>N/A</v>
      </c>
      <c r="AJ1307" s="157" t="str">
        <f t="shared" si="6"/>
        <v/>
      </c>
    </row>
    <row r="1308" ht="12.75" customHeight="1">
      <c r="A1308" s="238" t="s">
        <v>2412</v>
      </c>
      <c r="B1308" s="238" t="s">
        <v>3484</v>
      </c>
      <c r="C1308" s="238" t="s">
        <v>3492</v>
      </c>
      <c r="D1308" s="238"/>
      <c r="E1308" s="238"/>
      <c r="F1308" s="154" t="str">
        <f t="array" ref="F1308">XLOOKUP(Cover!$D$12,$S$1:$AA$1,$S1308:$AA1308)</f>
        <v>Heading</v>
      </c>
      <c r="G1308" s="239" t="s">
        <v>3493</v>
      </c>
      <c r="H1308" s="240"/>
      <c r="I1308" s="240" t="s">
        <v>414</v>
      </c>
      <c r="J1308" s="262"/>
      <c r="K1308" s="262"/>
      <c r="L1308" s="154" t="str">
        <f t="shared" si="1"/>
        <v/>
      </c>
      <c r="M1308" s="241" t="str">
        <f>IFERROR(__xludf.DUMMYFUNCTION("VLOOKUP(C1308,IMPORTRANGE(""https://docs.google.com/spreadsheets/d/1P8eX0NWBhUPS_hvzA11R6jkTNFrPrRYIx_dX_hYbxrk/edit?resourcekey=0-iw9bsKY2OqkUHCFMkCar3A&amp;gid=2055363397#gid=2055363397"",""MTR!C:O""),11,false)"),"")</f>
        <v/>
      </c>
      <c r="N1308" s="241" t="str">
        <f>IFERROR(__xludf.DUMMYFUNCTION("VLOOKUP(C1308,IMPORTRANGE(""https://docs.google.com/spreadsheets/d/1ihFlp3_ePlYtFuPbUNbYj1muErVpI73WHXbEwJDIA7Q/edit#gid=1493122344"",""MTR!C:O""),8,false)"),"")</f>
        <v/>
      </c>
      <c r="O1308" s="241" t="str">
        <f>IFERROR(__xludf.DUMMYFUNCTION("VLOOKUP(C1308,IMPORTRANGE(""https://docs.google.com/spreadsheets/d/1P8eX0NWBhUPS_hvzA11R6jkTNFrPrRYIx_dX_hYbxrk/edit?resourcekey=0-iw9bsKY2OqkUHCFMkCar3A&amp;gid=2055363397#gid=2055363397"",""MTR!C:O""),9,false)"),"")</f>
        <v/>
      </c>
      <c r="P1308" s="241"/>
      <c r="Q1308" s="251"/>
      <c r="R1308" s="251"/>
      <c r="S1308" s="240" t="s">
        <v>390</v>
      </c>
      <c r="T1308" s="240" t="s">
        <v>390</v>
      </c>
      <c r="U1308" s="240" t="s">
        <v>390</v>
      </c>
      <c r="V1308" s="240" t="s">
        <v>390</v>
      </c>
      <c r="W1308" s="240" t="s">
        <v>390</v>
      </c>
      <c r="X1308" s="240" t="s">
        <v>390</v>
      </c>
      <c r="Y1308" s="240" t="s">
        <v>390</v>
      </c>
      <c r="Z1308" s="240" t="s">
        <v>390</v>
      </c>
      <c r="AA1308" s="240" t="s">
        <v>390</v>
      </c>
      <c r="AB1308" s="240"/>
      <c r="AC1308" s="242" t="b">
        <f t="shared" si="2"/>
        <v>0</v>
      </c>
      <c r="AD1308" s="240" t="s">
        <v>391</v>
      </c>
      <c r="AE1308" s="243" t="b">
        <f t="shared" si="3"/>
        <v>0</v>
      </c>
      <c r="AF1308" s="240"/>
      <c r="AG1308" s="243" t="b">
        <f t="shared" si="7"/>
        <v>0</v>
      </c>
      <c r="AH1308" s="240"/>
      <c r="AI1308" s="243" t="str">
        <f t="shared" si="5"/>
        <v>N/A</v>
      </c>
      <c r="AJ1308" s="157" t="str">
        <f t="shared" si="6"/>
        <v/>
      </c>
    </row>
    <row r="1309" ht="12.75" customHeight="1">
      <c r="A1309" s="244" t="s">
        <v>2412</v>
      </c>
      <c r="B1309" s="244" t="s">
        <v>3484</v>
      </c>
      <c r="C1309" s="244" t="s">
        <v>3494</v>
      </c>
      <c r="D1309" s="154" t="s">
        <v>492</v>
      </c>
      <c r="E1309" s="250"/>
      <c r="F1309" s="154" t="str">
        <f t="array" ref="F1309">XLOOKUP(Cover!$D$12,$S$1:$AA$1,$S1309:$AA1309)</f>
        <v>Mandatory</v>
      </c>
      <c r="G1309" s="154" t="s">
        <v>3495</v>
      </c>
      <c r="H1309" s="154" t="s">
        <v>357</v>
      </c>
      <c r="I1309" s="154" t="s">
        <v>414</v>
      </c>
      <c r="J1309" s="247" t="s">
        <v>445</v>
      </c>
      <c r="K1309" s="247" t="s">
        <v>3496</v>
      </c>
      <c r="L1309" s="154" t="str">
        <f t="shared" si="1"/>
        <v/>
      </c>
      <c r="M1309" s="248" t="str">
        <f>IFERROR(__xludf.DUMMYFUNCTION("VLOOKUP(C1309,IMPORTRANGE(""https://docs.google.com/spreadsheets/d/1P8eX0NWBhUPS_hvzA11R6jkTNFrPrRYIx_dX_hYbxrk/edit?resourcekey=0-iw9bsKY2OqkUHCFMkCar3A&amp;gid=2055363397#gid=2055363397"",""MTR!C:O""),11,false)"),"PMW-MCE-NAS")</f>
        <v>PMW-MCE-NAS</v>
      </c>
      <c r="N1309" s="248" t="str">
        <f>IFERROR(__xludf.DUMMYFUNCTION("VLOOKUP(C1309,IMPORTRANGE(""https://docs.google.com/spreadsheets/d/1ihFlp3_ePlYtFuPbUNbYj1muErVpI73WHXbEwJDIA7Q/edit#gid=1493122344"",""MTR!C:O""),8,false)"),"Complies")</f>
        <v>Complies</v>
      </c>
      <c r="O1309" s="248" t="str">
        <f>IFERROR(__xludf.DUMMYFUNCTION("VLOOKUP(C1309,IMPORTRANGE(""https://docs.google.com/spreadsheets/d/1P8eX0NWBhUPS_hvzA11R6jkTNFrPrRYIx_dX_hYbxrk/edit?resourcekey=0-iw9bsKY2OqkUHCFMkCar3A&amp;gid=2055363397#gid=2055363397"",""MTR!C:O""),9,false)"),"GSMA OS Standard Version : v2.2.2
SIMalliance Standard Version : v.2.3.1")</f>
        <v>GSMA OS Standard Version : v2.2.2
SIMalliance Standard Version : v.2.3.1</v>
      </c>
      <c r="P1309" s="248"/>
      <c r="Q1309" s="249" t="s">
        <v>445</v>
      </c>
      <c r="R1309" s="249" t="s">
        <v>3496</v>
      </c>
      <c r="S1309" s="154" t="s">
        <v>64</v>
      </c>
      <c r="T1309" s="154" t="s">
        <v>60</v>
      </c>
      <c r="U1309" s="154" t="s">
        <v>60</v>
      </c>
      <c r="V1309" s="154" t="s">
        <v>60</v>
      </c>
      <c r="W1309" s="154" t="s">
        <v>60</v>
      </c>
      <c r="X1309" s="154" t="s">
        <v>60</v>
      </c>
      <c r="Y1309" s="154" t="s">
        <v>60</v>
      </c>
      <c r="Z1309" s="154" t="s">
        <v>60</v>
      </c>
      <c r="AA1309" s="154" t="s">
        <v>60</v>
      </c>
      <c r="AB1309" s="154"/>
      <c r="AC1309" s="242" t="b">
        <f t="shared" si="2"/>
        <v>1</v>
      </c>
      <c r="AD1309" s="154" t="s">
        <v>445</v>
      </c>
      <c r="AE1309" s="243" t="b">
        <f t="shared" si="3"/>
        <v>0</v>
      </c>
      <c r="AF1309" s="154"/>
      <c r="AG1309" s="243" t="b">
        <f t="shared" si="7"/>
        <v>0</v>
      </c>
      <c r="AH1309" s="154"/>
      <c r="AI1309" s="243" t="str">
        <f t="shared" si="5"/>
        <v>N/A</v>
      </c>
      <c r="AJ1309" s="157" t="str">
        <f t="shared" si="6"/>
        <v/>
      </c>
    </row>
    <row r="1310" ht="12.75" customHeight="1">
      <c r="A1310" s="244" t="s">
        <v>2412</v>
      </c>
      <c r="B1310" s="244" t="s">
        <v>3484</v>
      </c>
      <c r="C1310" s="244" t="s">
        <v>3497</v>
      </c>
      <c r="D1310" s="154" t="s">
        <v>492</v>
      </c>
      <c r="E1310" s="250"/>
      <c r="F1310" s="154" t="str">
        <f t="array" ref="F1310">XLOOKUP(Cover!$D$12,$S$1:$AA$1,$S1310:$AA1310)</f>
        <v>Mandatory</v>
      </c>
      <c r="G1310" s="154" t="s">
        <v>3498</v>
      </c>
      <c r="H1310" s="154" t="s">
        <v>357</v>
      </c>
      <c r="I1310" s="154" t="s">
        <v>414</v>
      </c>
      <c r="J1310" s="247" t="s">
        <v>445</v>
      </c>
      <c r="K1310" s="247" t="s">
        <v>3499</v>
      </c>
      <c r="L1310" s="154" t="str">
        <f t="shared" si="1"/>
        <v/>
      </c>
      <c r="M1310" s="248" t="str">
        <f>IFERROR(__xludf.DUMMYFUNCTION("VLOOKUP(C1310,IMPORTRANGE(""https://docs.google.com/spreadsheets/d/1P8eX0NWBhUPS_hvzA11R6jkTNFrPrRYIx_dX_hYbxrk/edit?resourcekey=0-iw9bsKY2OqkUHCFMkCar3A&amp;gid=2055363397#gid=2055363397"",""MTR!C:O""),11,false)"),"PMW-MCE-NAS")</f>
        <v>PMW-MCE-NAS</v>
      </c>
      <c r="N1310" s="248" t="str">
        <f>IFERROR(__xludf.DUMMYFUNCTION("VLOOKUP(C1310,IMPORTRANGE(""https://docs.google.com/spreadsheets/d/1ihFlp3_ePlYtFuPbUNbYj1muErVpI73WHXbEwJDIA7Q/edit#gid=1493122344"",""MTR!C:O""),8,false)"),"Complies")</f>
        <v>Complies</v>
      </c>
      <c r="O1310" s="248" t="str">
        <f>IFERROR(__xludf.DUMMYFUNCTION("VLOOKUP(C1310,IMPORTRANGE(""https://docs.google.com/spreadsheets/d/1P8eX0NWBhUPS_hvzA11R6jkTNFrPrRYIx_dX_hYbxrk/edit?resourcekey=0-iw9bsKY2OqkUHCFMkCar3A&amp;gid=2055363397#gid=2055363397"",""MTR!C:O""),9,false)"),"GSMA self-declaration form of eUICC")</f>
        <v>GSMA self-declaration form of eUICC</v>
      </c>
      <c r="P1310" s="248"/>
      <c r="Q1310" s="249" t="s">
        <v>445</v>
      </c>
      <c r="R1310" s="249" t="s">
        <v>3499</v>
      </c>
      <c r="S1310" s="154" t="s">
        <v>64</v>
      </c>
      <c r="T1310" s="154" t="s">
        <v>60</v>
      </c>
      <c r="U1310" s="154" t="s">
        <v>60</v>
      </c>
      <c r="V1310" s="154" t="s">
        <v>60</v>
      </c>
      <c r="W1310" s="154" t="s">
        <v>60</v>
      </c>
      <c r="X1310" s="154" t="s">
        <v>60</v>
      </c>
      <c r="Y1310" s="154" t="s">
        <v>60</v>
      </c>
      <c r="Z1310" s="154" t="s">
        <v>60</v>
      </c>
      <c r="AA1310" s="154" t="s">
        <v>60</v>
      </c>
      <c r="AB1310" s="154"/>
      <c r="AC1310" s="242" t="b">
        <f t="shared" si="2"/>
        <v>1</v>
      </c>
      <c r="AD1310" s="154" t="s">
        <v>391</v>
      </c>
      <c r="AE1310" s="243" t="b">
        <f t="shared" si="3"/>
        <v>0</v>
      </c>
      <c r="AF1310" s="154"/>
      <c r="AG1310" s="243" t="b">
        <f t="shared" si="7"/>
        <v>0</v>
      </c>
      <c r="AH1310" s="154"/>
      <c r="AI1310" s="243" t="str">
        <f t="shared" si="5"/>
        <v>N/A</v>
      </c>
      <c r="AJ1310" s="157" t="str">
        <f t="shared" si="6"/>
        <v/>
      </c>
    </row>
    <row r="1311" ht="12.75" customHeight="1">
      <c r="A1311" s="244" t="s">
        <v>2412</v>
      </c>
      <c r="B1311" s="244" t="s">
        <v>3484</v>
      </c>
      <c r="C1311" s="244" t="s">
        <v>3500</v>
      </c>
      <c r="D1311" s="154" t="s">
        <v>492</v>
      </c>
      <c r="E1311" s="250"/>
      <c r="F1311" s="154" t="str">
        <f t="array" ref="F1311">XLOOKUP(Cover!$D$12,$S$1:$AA$1,$S1311:$AA1311)</f>
        <v>Mandatory</v>
      </c>
      <c r="G1311" s="154" t="s">
        <v>3501</v>
      </c>
      <c r="H1311" s="154" t="s">
        <v>357</v>
      </c>
      <c r="I1311" s="154" t="s">
        <v>414</v>
      </c>
      <c r="J1311" s="247" t="s">
        <v>445</v>
      </c>
      <c r="K1311" s="247"/>
      <c r="L1311" s="154" t="str">
        <f t="shared" si="1"/>
        <v/>
      </c>
      <c r="M1311" s="248" t="str">
        <f>IFERROR(__xludf.DUMMYFUNCTION("VLOOKUP(C1311,IMPORTRANGE(""https://docs.google.com/spreadsheets/d/1P8eX0NWBhUPS_hvzA11R6jkTNFrPrRYIx_dX_hYbxrk/edit?resourcekey=0-iw9bsKY2OqkUHCFMkCar3A&amp;gid=2055363397#gid=2055363397"",""MTR!C:O""),11,false)"),"PMW-MCE-NAS")</f>
        <v>PMW-MCE-NAS</v>
      </c>
      <c r="N1311" s="248" t="str">
        <f>IFERROR(__xludf.DUMMYFUNCTION("VLOOKUP(C1311,IMPORTRANGE(""https://docs.google.com/spreadsheets/d/1ihFlp3_ePlYtFuPbUNbYj1muErVpI73WHXbEwJDIA7Q/edit#gid=1493122344"",""MTR!C:O""),8,false)"),"Complies")</f>
        <v>Complies</v>
      </c>
      <c r="O1311" s="241" t="str">
        <f>IFERROR(__xludf.DUMMYFUNCTION("VLOOKUP(C1311,IMPORTRANGE(""https://docs.google.com/spreadsheets/d/1P8eX0NWBhUPS_hvzA11R6jkTNFrPrRYIx_dX_hYbxrk/edit?resourcekey=0-iw9bsKY2OqkUHCFMkCar3A&amp;gid=2055363397#gid=2055363397"",""MTR!C:O""),9,false)"),"")</f>
        <v/>
      </c>
      <c r="P1311" s="241"/>
      <c r="Q1311" s="251" t="s">
        <v>445</v>
      </c>
      <c r="R1311" s="251"/>
      <c r="S1311" s="154" t="s">
        <v>64</v>
      </c>
      <c r="T1311" s="154" t="s">
        <v>60</v>
      </c>
      <c r="U1311" s="154" t="s">
        <v>60</v>
      </c>
      <c r="V1311" s="154" t="s">
        <v>60</v>
      </c>
      <c r="W1311" s="154" t="s">
        <v>60</v>
      </c>
      <c r="X1311" s="154" t="s">
        <v>60</v>
      </c>
      <c r="Y1311" s="154" t="s">
        <v>60</v>
      </c>
      <c r="Z1311" s="154" t="s">
        <v>60</v>
      </c>
      <c r="AA1311" s="154" t="s">
        <v>60</v>
      </c>
      <c r="AB1311" s="154"/>
      <c r="AC1311" s="242" t="b">
        <f t="shared" si="2"/>
        <v>1</v>
      </c>
      <c r="AD1311" s="154" t="s">
        <v>391</v>
      </c>
      <c r="AE1311" s="243" t="b">
        <f t="shared" si="3"/>
        <v>0</v>
      </c>
      <c r="AF1311" s="154"/>
      <c r="AG1311" s="243" t="b">
        <f t="shared" si="7"/>
        <v>0</v>
      </c>
      <c r="AH1311" s="154"/>
      <c r="AI1311" s="243" t="str">
        <f t="shared" si="5"/>
        <v>N/A</v>
      </c>
      <c r="AJ1311" s="157" t="str">
        <f t="shared" si="6"/>
        <v/>
      </c>
    </row>
    <row r="1312" ht="12.75" customHeight="1">
      <c r="A1312" s="244" t="s">
        <v>2412</v>
      </c>
      <c r="B1312" s="244" t="s">
        <v>3484</v>
      </c>
      <c r="C1312" s="244" t="s">
        <v>3502</v>
      </c>
      <c r="D1312" s="154" t="s">
        <v>492</v>
      </c>
      <c r="E1312" s="250"/>
      <c r="F1312" s="154" t="str">
        <f t="array" ref="F1312">XLOOKUP(Cover!$D$12,$S$1:$AA$1,$S1312:$AA1312)</f>
        <v>Mandatory</v>
      </c>
      <c r="G1312" s="154" t="s">
        <v>3503</v>
      </c>
      <c r="H1312" s="154" t="s">
        <v>357</v>
      </c>
      <c r="I1312" s="154" t="s">
        <v>414</v>
      </c>
      <c r="J1312" s="247" t="s">
        <v>445</v>
      </c>
      <c r="K1312" s="247" t="s">
        <v>3504</v>
      </c>
      <c r="L1312" s="154" t="str">
        <f t="shared" si="1"/>
        <v/>
      </c>
      <c r="M1312" s="248" t="str">
        <f>IFERROR(__xludf.DUMMYFUNCTION("VLOOKUP(C1312,IMPORTRANGE(""https://docs.google.com/spreadsheets/d/1P8eX0NWBhUPS_hvzA11R6jkTNFrPrRYIx_dX_hYbxrk/edit?resourcekey=0-iw9bsKY2OqkUHCFMkCar3A&amp;gid=2055363397#gid=2055363397"",""MTR!C:O""),11,false)"),"PMW-MCE-NAS")</f>
        <v>PMW-MCE-NAS</v>
      </c>
      <c r="N1312" s="248" t="str">
        <f>IFERROR(__xludf.DUMMYFUNCTION("VLOOKUP(C1312,IMPORTRANGE(""https://docs.google.com/spreadsheets/d/1ihFlp3_ePlYtFuPbUNbYj1muErVpI73WHXbEwJDIA7Q/edit#gid=1493122344"",""MTR!C:O""),8,false)"),"Complies")</f>
        <v>Complies</v>
      </c>
      <c r="O1312" s="248" t="str">
        <f>IFERROR(__xludf.DUMMYFUNCTION("VLOOKUP(C1312,IMPORTRANGE(""https://docs.google.com/spreadsheets/d/1P8eX0NWBhUPS_hvzA11R6jkTNFrPrRYIx_dX_hYbxrk/edit?resourcekey=0-iw9bsKY2OqkUHCFMkCar3A&amp;gid=2055363397#gid=2055363397"",""MTR!C:O""),9,false)"),"Follow Android AOSP Security design")</f>
        <v>Follow Android AOSP Security design</v>
      </c>
      <c r="P1312" s="248"/>
      <c r="Q1312" s="249" t="s">
        <v>445</v>
      </c>
      <c r="R1312" s="249" t="s">
        <v>3504</v>
      </c>
      <c r="S1312" s="154" t="s">
        <v>64</v>
      </c>
      <c r="T1312" s="154" t="s">
        <v>60</v>
      </c>
      <c r="U1312" s="154" t="s">
        <v>60</v>
      </c>
      <c r="V1312" s="154" t="s">
        <v>60</v>
      </c>
      <c r="W1312" s="154" t="s">
        <v>60</v>
      </c>
      <c r="X1312" s="154" t="s">
        <v>60</v>
      </c>
      <c r="Y1312" s="154" t="s">
        <v>60</v>
      </c>
      <c r="Z1312" s="154" t="s">
        <v>60</v>
      </c>
      <c r="AA1312" s="154" t="s">
        <v>60</v>
      </c>
      <c r="AB1312" s="154"/>
      <c r="AC1312" s="242" t="b">
        <f t="shared" si="2"/>
        <v>1</v>
      </c>
      <c r="AD1312" s="154" t="s">
        <v>445</v>
      </c>
      <c r="AE1312" s="243" t="b">
        <f t="shared" si="3"/>
        <v>0</v>
      </c>
      <c r="AF1312" s="154"/>
      <c r="AG1312" s="243" t="b">
        <f t="shared" si="7"/>
        <v>0</v>
      </c>
      <c r="AH1312" s="154"/>
      <c r="AI1312" s="243" t="str">
        <f t="shared" si="5"/>
        <v>N/A</v>
      </c>
      <c r="AJ1312" s="157" t="str">
        <f t="shared" si="6"/>
        <v/>
      </c>
    </row>
    <row r="1313" ht="12.75" customHeight="1">
      <c r="A1313" s="244" t="s">
        <v>2412</v>
      </c>
      <c r="B1313" s="244" t="s">
        <v>3484</v>
      </c>
      <c r="C1313" s="244" t="s">
        <v>3505</v>
      </c>
      <c r="D1313" s="154" t="s">
        <v>492</v>
      </c>
      <c r="E1313" s="250"/>
      <c r="F1313" s="154" t="str">
        <f t="array" ref="F1313">XLOOKUP(Cover!$D$12,$S$1:$AA$1,$S1313:$AA1313)</f>
        <v>Mandatory</v>
      </c>
      <c r="G1313" s="154" t="s">
        <v>3506</v>
      </c>
      <c r="H1313" s="154" t="s">
        <v>357</v>
      </c>
      <c r="I1313" s="154" t="s">
        <v>414</v>
      </c>
      <c r="J1313" s="247" t="s">
        <v>445</v>
      </c>
      <c r="K1313" s="247"/>
      <c r="L1313" s="154" t="str">
        <f t="shared" si="1"/>
        <v/>
      </c>
      <c r="M1313" s="248" t="str">
        <f>IFERROR(__xludf.DUMMYFUNCTION("VLOOKUP(C1313,IMPORTRANGE(""https://docs.google.com/spreadsheets/d/1P8eX0NWBhUPS_hvzA11R6jkTNFrPrRYIx_dX_hYbxrk/edit?resourcekey=0-iw9bsKY2OqkUHCFMkCar3A&amp;gid=2055363397#gid=2055363397"",""MTR!C:O""),11,false)"),"PMW-MCE-NAS")</f>
        <v>PMW-MCE-NAS</v>
      </c>
      <c r="N1313" s="248" t="str">
        <f>IFERROR(__xludf.DUMMYFUNCTION("VLOOKUP(C1313,IMPORTRANGE(""https://docs.google.com/spreadsheets/d/1ihFlp3_ePlYtFuPbUNbYj1muErVpI73WHXbEwJDIA7Q/edit#gid=1493122344"",""MTR!C:O""),8,false)"),"Complies")</f>
        <v>Complies</v>
      </c>
      <c r="O1313" s="241" t="str">
        <f>IFERROR(__xludf.DUMMYFUNCTION("VLOOKUP(C1313,IMPORTRANGE(""https://docs.google.com/spreadsheets/d/1P8eX0NWBhUPS_hvzA11R6jkTNFrPrRYIx_dX_hYbxrk/edit?resourcekey=0-iw9bsKY2OqkUHCFMkCar3A&amp;gid=2055363397#gid=2055363397"",""MTR!C:O""),9,false)"),"")</f>
        <v/>
      </c>
      <c r="P1313" s="241"/>
      <c r="Q1313" s="251" t="s">
        <v>445</v>
      </c>
      <c r="R1313" s="251"/>
      <c r="S1313" s="154" t="s">
        <v>64</v>
      </c>
      <c r="T1313" s="154" t="s">
        <v>60</v>
      </c>
      <c r="U1313" s="154" t="s">
        <v>60</v>
      </c>
      <c r="V1313" s="154" t="s">
        <v>60</v>
      </c>
      <c r="W1313" s="154" t="s">
        <v>60</v>
      </c>
      <c r="X1313" s="154" t="s">
        <v>60</v>
      </c>
      <c r="Y1313" s="154" t="s">
        <v>60</v>
      </c>
      <c r="Z1313" s="154" t="s">
        <v>60</v>
      </c>
      <c r="AA1313" s="154" t="s">
        <v>60</v>
      </c>
      <c r="AB1313" s="154"/>
      <c r="AC1313" s="242" t="b">
        <f t="shared" si="2"/>
        <v>1</v>
      </c>
      <c r="AD1313" s="154" t="s">
        <v>391</v>
      </c>
      <c r="AE1313" s="243" t="b">
        <f t="shared" si="3"/>
        <v>0</v>
      </c>
      <c r="AF1313" s="154"/>
      <c r="AG1313" s="243" t="b">
        <f t="shared" si="7"/>
        <v>0</v>
      </c>
      <c r="AH1313" s="154"/>
      <c r="AI1313" s="243" t="str">
        <f t="shared" si="5"/>
        <v>N/A</v>
      </c>
      <c r="AJ1313" s="157" t="str">
        <f t="shared" si="6"/>
        <v/>
      </c>
    </row>
    <row r="1314" ht="12.75" customHeight="1">
      <c r="A1314" s="244" t="s">
        <v>2412</v>
      </c>
      <c r="B1314" s="244" t="s">
        <v>3484</v>
      </c>
      <c r="C1314" s="244" t="s">
        <v>3507</v>
      </c>
      <c r="D1314" s="154" t="s">
        <v>492</v>
      </c>
      <c r="E1314" s="250"/>
      <c r="F1314" s="154" t="str">
        <f t="array" ref="F1314">XLOOKUP(Cover!$D$12,$S$1:$AA$1,$S1314:$AA1314)</f>
        <v>Mandatory</v>
      </c>
      <c r="G1314" s="154" t="s">
        <v>3508</v>
      </c>
      <c r="H1314" s="154" t="s">
        <v>357</v>
      </c>
      <c r="I1314" s="154" t="s">
        <v>414</v>
      </c>
      <c r="J1314" s="247" t="s">
        <v>445</v>
      </c>
      <c r="K1314" s="154"/>
      <c r="L1314" s="154" t="str">
        <f t="shared" si="1"/>
        <v/>
      </c>
      <c r="M1314" s="248" t="str">
        <f>IFERROR(__xludf.DUMMYFUNCTION("VLOOKUP(C1314,IMPORTRANGE(""https://docs.google.com/spreadsheets/d/1P8eX0NWBhUPS_hvzA11R6jkTNFrPrRYIx_dX_hYbxrk/edit?resourcekey=0-iw9bsKY2OqkUHCFMkCar3A&amp;gid=2055363397#gid=2055363397"",""MTR!C:O""),11,false)"),"PMW-MCE-NAS")</f>
        <v>PMW-MCE-NAS</v>
      </c>
      <c r="N1314" s="248" t="str">
        <f>IFERROR(__xludf.DUMMYFUNCTION("VLOOKUP(C1314,IMPORTRANGE(""https://docs.google.com/spreadsheets/d/1ihFlp3_ePlYtFuPbUNbYj1muErVpI73WHXbEwJDIA7Q/edit#gid=1493122344"",""MTR!C:O""),8,false)"),"Complies")</f>
        <v>Complies</v>
      </c>
      <c r="O1314" s="241" t="str">
        <f>IFERROR(__xludf.DUMMYFUNCTION("VLOOKUP(C1314,IMPORTRANGE(""https://docs.google.com/spreadsheets/d/1P8eX0NWBhUPS_hvzA11R6jkTNFrPrRYIx_dX_hYbxrk/edit?resourcekey=0-iw9bsKY2OqkUHCFMkCar3A&amp;gid=2055363397#gid=2055363397"",""MTR!C:O""),9,false)"),"")</f>
        <v/>
      </c>
      <c r="P1314" s="241"/>
      <c r="Q1314" s="251" t="s">
        <v>445</v>
      </c>
      <c r="R1314" s="241"/>
      <c r="S1314" s="154" t="s">
        <v>64</v>
      </c>
      <c r="T1314" s="154" t="s">
        <v>60</v>
      </c>
      <c r="U1314" s="154" t="s">
        <v>60</v>
      </c>
      <c r="V1314" s="154" t="s">
        <v>60</v>
      </c>
      <c r="W1314" s="154" t="s">
        <v>60</v>
      </c>
      <c r="X1314" s="154" t="s">
        <v>60</v>
      </c>
      <c r="Y1314" s="154" t="s">
        <v>60</v>
      </c>
      <c r="Z1314" s="154" t="s">
        <v>60</v>
      </c>
      <c r="AA1314" s="154" t="s">
        <v>60</v>
      </c>
      <c r="AB1314" s="154"/>
      <c r="AC1314" s="242" t="b">
        <f t="shared" si="2"/>
        <v>1</v>
      </c>
      <c r="AD1314" s="154" t="s">
        <v>391</v>
      </c>
      <c r="AE1314" s="243" t="b">
        <f t="shared" si="3"/>
        <v>0</v>
      </c>
      <c r="AF1314" s="154"/>
      <c r="AG1314" s="243" t="b">
        <f t="shared" si="7"/>
        <v>0</v>
      </c>
      <c r="AH1314" s="154"/>
      <c r="AI1314" s="243" t="str">
        <f t="shared" si="5"/>
        <v>N/A</v>
      </c>
      <c r="AJ1314" s="157" t="str">
        <f t="shared" si="6"/>
        <v/>
      </c>
    </row>
    <row r="1315" ht="12.75" customHeight="1">
      <c r="A1315" s="244" t="s">
        <v>2412</v>
      </c>
      <c r="B1315" s="244" t="s">
        <v>3484</v>
      </c>
      <c r="C1315" s="244" t="s">
        <v>3509</v>
      </c>
      <c r="D1315" s="154" t="s">
        <v>546</v>
      </c>
      <c r="E1315" s="250"/>
      <c r="F1315" s="154" t="str">
        <f t="array" ref="F1315">XLOOKUP(Cover!$D$12,$S$1:$AA$1,$S1315:$AA1315)</f>
        <v>Mandatory</v>
      </c>
      <c r="G1315" s="154" t="s">
        <v>3510</v>
      </c>
      <c r="H1315" s="154" t="s">
        <v>357</v>
      </c>
      <c r="I1315" s="154" t="s">
        <v>414</v>
      </c>
      <c r="J1315" s="247" t="s">
        <v>445</v>
      </c>
      <c r="K1315" s="154"/>
      <c r="L1315" s="154" t="str">
        <f t="shared" si="1"/>
        <v/>
      </c>
      <c r="M1315" s="248" t="str">
        <f>IFERROR(__xludf.DUMMYFUNCTION("VLOOKUP(C1315,IMPORTRANGE(""https://docs.google.com/spreadsheets/d/1P8eX0NWBhUPS_hvzA11R6jkTNFrPrRYIx_dX_hYbxrk/edit?resourcekey=0-iw9bsKY2OqkUHCFMkCar3A&amp;gid=2055363397#gid=2055363397"",""MTR!C:O""),11,false)"),"PMW-MCE-NAS")</f>
        <v>PMW-MCE-NAS</v>
      </c>
      <c r="N1315" s="248" t="str">
        <f>IFERROR(__xludf.DUMMYFUNCTION("VLOOKUP(C1315,IMPORTRANGE(""https://docs.google.com/spreadsheets/d/1ihFlp3_ePlYtFuPbUNbYj1muErVpI73WHXbEwJDIA7Q/edit#gid=1493122344"",""MTR!C:O""),8,false)"),"Complies")</f>
        <v>Complies</v>
      </c>
      <c r="O1315" s="241" t="str">
        <f>IFERROR(__xludf.DUMMYFUNCTION("VLOOKUP(C1315,IMPORTRANGE(""https://docs.google.com/spreadsheets/d/1P8eX0NWBhUPS_hvzA11R6jkTNFrPrRYIx_dX_hYbxrk/edit?resourcekey=0-iw9bsKY2OqkUHCFMkCar3A&amp;gid=2055363397#gid=2055363397"",""MTR!C:O""),9,false)"),"")</f>
        <v/>
      </c>
      <c r="P1315" s="241"/>
      <c r="Q1315" s="251" t="s">
        <v>445</v>
      </c>
      <c r="R1315" s="241"/>
      <c r="S1315" s="154" t="s">
        <v>64</v>
      </c>
      <c r="T1315" s="154" t="s">
        <v>60</v>
      </c>
      <c r="U1315" s="154" t="s">
        <v>60</v>
      </c>
      <c r="V1315" s="154" t="s">
        <v>60</v>
      </c>
      <c r="W1315" s="154" t="s">
        <v>60</v>
      </c>
      <c r="X1315" s="154" t="s">
        <v>60</v>
      </c>
      <c r="Y1315" s="154" t="s">
        <v>60</v>
      </c>
      <c r="Z1315" s="154" t="s">
        <v>60</v>
      </c>
      <c r="AA1315" s="154" t="s">
        <v>60</v>
      </c>
      <c r="AB1315" s="154"/>
      <c r="AC1315" s="242" t="b">
        <f t="shared" si="2"/>
        <v>1</v>
      </c>
      <c r="AD1315" s="154" t="s">
        <v>391</v>
      </c>
      <c r="AE1315" s="243" t="b">
        <f t="shared" si="3"/>
        <v>0</v>
      </c>
      <c r="AF1315" s="154"/>
      <c r="AG1315" s="243" t="b">
        <f t="shared" si="7"/>
        <v>0</v>
      </c>
      <c r="AH1315" s="154"/>
      <c r="AI1315" s="243" t="str">
        <f t="shared" si="5"/>
        <v>N/A</v>
      </c>
      <c r="AJ1315" s="157" t="str">
        <f t="shared" si="6"/>
        <v/>
      </c>
    </row>
    <row r="1316" ht="12.75" customHeight="1">
      <c r="A1316" s="244" t="s">
        <v>2412</v>
      </c>
      <c r="B1316" s="244" t="s">
        <v>3484</v>
      </c>
      <c r="C1316" s="244" t="s">
        <v>3511</v>
      </c>
      <c r="D1316" s="154" t="s">
        <v>492</v>
      </c>
      <c r="E1316" s="250"/>
      <c r="F1316" s="154" t="str">
        <f t="array" ref="F1316">XLOOKUP(Cover!$D$12,$S$1:$AA$1,$S1316:$AA1316)</f>
        <v>Mandatory</v>
      </c>
      <c r="G1316" s="154" t="s">
        <v>3512</v>
      </c>
      <c r="H1316" s="154" t="s">
        <v>357</v>
      </c>
      <c r="I1316" s="154" t="s">
        <v>414</v>
      </c>
      <c r="J1316" s="247" t="s">
        <v>445</v>
      </c>
      <c r="K1316" s="247" t="s">
        <v>3513</v>
      </c>
      <c r="L1316" s="154" t="str">
        <f t="shared" si="1"/>
        <v/>
      </c>
      <c r="M1316" s="248" t="str">
        <f>IFERROR(__xludf.DUMMYFUNCTION("VLOOKUP(C1316,IMPORTRANGE(""https://docs.google.com/spreadsheets/d/1P8eX0NWBhUPS_hvzA11R6jkTNFrPrRYIx_dX_hYbxrk/edit?resourcekey=0-iw9bsKY2OqkUHCFMkCar3A&amp;gid=2055363397#gid=2055363397"",""MTR!C:O""),11,false)"),"PMW-MCE-NAS")</f>
        <v>PMW-MCE-NAS</v>
      </c>
      <c r="N1316" s="248" t="str">
        <f>IFERROR(__xludf.DUMMYFUNCTION("VLOOKUP(C1316,IMPORTRANGE(""https://docs.google.com/spreadsheets/d/1ihFlp3_ePlYtFuPbUNbYj1muErVpI73WHXbEwJDIA7Q/edit#gid=1493122344"",""MTR!C:O""),8,false)"),"Complies")</f>
        <v>Complies</v>
      </c>
      <c r="O1316" s="248" t="str">
        <f>IFERROR(__xludf.DUMMYFUNCTION("VLOOKUP(C1316,IMPORTRANGE(""https://docs.google.com/spreadsheets/d/1P8eX0NWBhUPS_hvzA11R6jkTNFrPrRYIx_dX_hYbxrk/edit?resourcekey=0-iw9bsKY2OqkUHCFMkCar3A&amp;gid=2055363397#gid=2055363397"",""MTR!C:O""),9,false)"),"During Setup Wizard if there is no operational Profile it will offer a UI for user to setup SIM-Free (eSIM) profile.")</f>
        <v>During Setup Wizard if there is no operational Profile it will offer a UI for user to setup SIM-Free (eSIM) profile.</v>
      </c>
      <c r="P1316" s="248"/>
      <c r="Q1316" s="249" t="s">
        <v>445</v>
      </c>
      <c r="R1316" s="249" t="s">
        <v>3513</v>
      </c>
      <c r="S1316" s="154" t="s">
        <v>64</v>
      </c>
      <c r="T1316" s="154" t="s">
        <v>60</v>
      </c>
      <c r="U1316" s="154" t="s">
        <v>60</v>
      </c>
      <c r="V1316" s="154" t="s">
        <v>60</v>
      </c>
      <c r="W1316" s="154" t="s">
        <v>60</v>
      </c>
      <c r="X1316" s="154" t="s">
        <v>60</v>
      </c>
      <c r="Y1316" s="154" t="s">
        <v>60</v>
      </c>
      <c r="Z1316" s="154" t="s">
        <v>60</v>
      </c>
      <c r="AA1316" s="154" t="s">
        <v>60</v>
      </c>
      <c r="AB1316" s="154"/>
      <c r="AC1316" s="242" t="b">
        <f t="shared" si="2"/>
        <v>1</v>
      </c>
      <c r="AD1316" s="154" t="s">
        <v>391</v>
      </c>
      <c r="AE1316" s="243" t="b">
        <f t="shared" si="3"/>
        <v>0</v>
      </c>
      <c r="AF1316" s="154"/>
      <c r="AG1316" s="243" t="b">
        <f t="shared" si="7"/>
        <v>0</v>
      </c>
      <c r="AH1316" s="154"/>
      <c r="AI1316" s="243" t="str">
        <f t="shared" si="5"/>
        <v>N/A</v>
      </c>
      <c r="AJ1316" s="157" t="str">
        <f t="shared" si="6"/>
        <v/>
      </c>
    </row>
    <row r="1317" ht="12.75" customHeight="1">
      <c r="A1317" s="244" t="s">
        <v>2412</v>
      </c>
      <c r="B1317" s="244" t="s">
        <v>3484</v>
      </c>
      <c r="C1317" s="244" t="s">
        <v>3514</v>
      </c>
      <c r="D1317" s="154" t="s">
        <v>492</v>
      </c>
      <c r="E1317" s="250"/>
      <c r="F1317" s="154" t="str">
        <f t="array" ref="F1317">XLOOKUP(Cover!$D$12,$S$1:$AA$1,$S1317:$AA1317)</f>
        <v>Mandatory</v>
      </c>
      <c r="G1317" s="154" t="s">
        <v>3515</v>
      </c>
      <c r="H1317" s="154" t="s">
        <v>357</v>
      </c>
      <c r="I1317" s="154" t="s">
        <v>414</v>
      </c>
      <c r="J1317" s="247" t="s">
        <v>445</v>
      </c>
      <c r="K1317" s="247" t="s">
        <v>3516</v>
      </c>
      <c r="L1317" s="154" t="str">
        <f t="shared" si="1"/>
        <v/>
      </c>
      <c r="M1317" s="248" t="str">
        <f>IFERROR(__xludf.DUMMYFUNCTION("VLOOKUP(C1317,IMPORTRANGE(""https://docs.google.com/spreadsheets/d/1P8eX0NWBhUPS_hvzA11R6jkTNFrPrRYIx_dX_hYbxrk/edit?resourcekey=0-iw9bsKY2OqkUHCFMkCar3A&amp;gid=2055363397#gid=2055363397"",""MTR!C:O""),11,false)"),"TAM")</f>
        <v>TAM</v>
      </c>
      <c r="N1317" s="248" t="str">
        <f>IFERROR(__xludf.DUMMYFUNCTION("VLOOKUP(C1317,IMPORTRANGE(""https://docs.google.com/spreadsheets/d/1ihFlp3_ePlYtFuPbUNbYj1muErVpI73WHXbEwJDIA7Q/edit#gid=1493122344"",""MTR!C:O""),8,false)"),"Complies")</f>
        <v>Complies</v>
      </c>
      <c r="O1317" s="248" t="str">
        <f>IFERROR(__xludf.DUMMYFUNCTION("VLOOKUP(C1317,IMPORTRANGE(""https://docs.google.com/spreadsheets/d/1P8eX0NWBhUPS_hvzA11R6jkTNFrPrRYIx_dX_hYbxrk/edit?resourcekey=0-iw9bsKY2OqkUHCFMkCar3A&amp;gid=2055363397#gid=2055363397"",""MTR!C:O""),9,false)"),"Google will check SM-DS first time during the eSIM flow in Setup Wizard and then from the Settings every time the user goes to ""Add Carrier"". There is no UI to query SM-DS manually.")</f>
        <v>Google will check SM-DS first time during the eSIM flow in Setup Wizard and then from the Settings every time the user goes to "Add Carrier". There is no UI to query SM-DS manually.</v>
      </c>
      <c r="P1317" s="248"/>
      <c r="Q1317" s="249" t="s">
        <v>445</v>
      </c>
      <c r="R1317" s="249" t="s">
        <v>3516</v>
      </c>
      <c r="S1317" s="154" t="s">
        <v>64</v>
      </c>
      <c r="T1317" s="154" t="s">
        <v>60</v>
      </c>
      <c r="U1317" s="154" t="s">
        <v>60</v>
      </c>
      <c r="V1317" s="154" t="s">
        <v>60</v>
      </c>
      <c r="W1317" s="154" t="s">
        <v>60</v>
      </c>
      <c r="X1317" s="154" t="s">
        <v>60</v>
      </c>
      <c r="Y1317" s="154" t="s">
        <v>60</v>
      </c>
      <c r="Z1317" s="154" t="s">
        <v>60</v>
      </c>
      <c r="AA1317" s="154" t="s">
        <v>60</v>
      </c>
      <c r="AB1317" s="154"/>
      <c r="AC1317" s="242" t="b">
        <f t="shared" si="2"/>
        <v>1</v>
      </c>
      <c r="AD1317" s="154" t="s">
        <v>391</v>
      </c>
      <c r="AE1317" s="243" t="b">
        <f t="shared" si="3"/>
        <v>0</v>
      </c>
      <c r="AF1317" s="154"/>
      <c r="AG1317" s="243" t="b">
        <f t="shared" si="7"/>
        <v>0</v>
      </c>
      <c r="AH1317" s="154"/>
      <c r="AI1317" s="243" t="str">
        <f t="shared" si="5"/>
        <v>N/A</v>
      </c>
      <c r="AJ1317" s="157" t="str">
        <f t="shared" si="6"/>
        <v/>
      </c>
    </row>
    <row r="1318" ht="12.75" customHeight="1">
      <c r="A1318" s="244" t="s">
        <v>2412</v>
      </c>
      <c r="B1318" s="244" t="s">
        <v>3484</v>
      </c>
      <c r="C1318" s="244" t="s">
        <v>3517</v>
      </c>
      <c r="D1318" s="154" t="s">
        <v>492</v>
      </c>
      <c r="E1318" s="250"/>
      <c r="F1318" s="154" t="str">
        <f t="array" ref="F1318">XLOOKUP(Cover!$D$12,$S$1:$AA$1,$S1318:$AA1318)</f>
        <v>Mandatory</v>
      </c>
      <c r="G1318" s="154" t="s">
        <v>3518</v>
      </c>
      <c r="H1318" s="154" t="s">
        <v>357</v>
      </c>
      <c r="I1318" s="154" t="s">
        <v>414</v>
      </c>
      <c r="J1318" s="247" t="s">
        <v>506</v>
      </c>
      <c r="K1318" s="247" t="s">
        <v>3519</v>
      </c>
      <c r="L1318" s="154" t="str">
        <f t="shared" si="1"/>
        <v/>
      </c>
      <c r="M1318" s="248" t="str">
        <f>IFERROR(__xludf.DUMMYFUNCTION("VLOOKUP(C1318,IMPORTRANGE(""https://docs.google.com/spreadsheets/d/1P8eX0NWBhUPS_hvzA11R6jkTNFrPrRYIx_dX_hYbxrk/edit?resourcekey=0-iw9bsKY2OqkUHCFMkCar3A&amp;gid=2055363397#gid=2055363397"",""MTR!C:O""),11,false)"),"TAM")</f>
        <v>TAM</v>
      </c>
      <c r="N1318" s="248" t="str">
        <f>IFERROR(__xludf.DUMMYFUNCTION("VLOOKUP(C1318,IMPORTRANGE(""https://docs.google.com/spreadsheets/d/1ihFlp3_ePlYtFuPbUNbYj1muErVpI73WHXbEwJDIA7Q/edit#gid=1493122344"",""MTR!C:O""),8,false)"),"Partially Complies")</f>
        <v>Partially Complies</v>
      </c>
      <c r="O1318" s="248" t="str">
        <f>IFERROR(__xludf.DUMMYFUNCTION("VLOOKUP(C1318,IMPORTRANGE(""https://docs.google.com/spreadsheets/d/1P8eX0NWBhUPS_hvzA11R6jkTNFrPrRYIx_dX_hYbxrk/edit?resourcekey=0-iw9bsKY2OqkUHCFMkCar3A&amp;gid=2055363397#gid=2055363397"",""MTR!C:O""),9,false)"),"Pixel display carrier's name to the user instead of all the profile's meta data.
We enabled the ICCID display under Settings - About phone - SIM status.
In line with the previous Pixel eSIM LPA implementation, we do display the carrier name, but not the p"&amp;"rofile name on UI.")</f>
        <v>Pixel display carrier's name to the user instead of all the profile's meta data.
We enabled the ICCID display under Settings - About phone - SIM status.
In line with the previous Pixel eSIM LPA implementation, we do display the carrier name, but not the profile name on UI.</v>
      </c>
      <c r="P1318" s="248"/>
      <c r="Q1318" s="249" t="s">
        <v>506</v>
      </c>
      <c r="R1318" s="249" t="s">
        <v>3519</v>
      </c>
      <c r="S1318" s="154" t="s">
        <v>64</v>
      </c>
      <c r="T1318" s="154" t="s">
        <v>60</v>
      </c>
      <c r="U1318" s="154" t="s">
        <v>60</v>
      </c>
      <c r="V1318" s="154" t="s">
        <v>60</v>
      </c>
      <c r="W1318" s="154" t="s">
        <v>60</v>
      </c>
      <c r="X1318" s="154" t="s">
        <v>60</v>
      </c>
      <c r="Y1318" s="154" t="s">
        <v>60</v>
      </c>
      <c r="Z1318" s="154" t="s">
        <v>60</v>
      </c>
      <c r="AA1318" s="154" t="s">
        <v>60</v>
      </c>
      <c r="AB1318" s="154"/>
      <c r="AC1318" s="242" t="b">
        <f t="shared" si="2"/>
        <v>1</v>
      </c>
      <c r="AD1318" s="154" t="s">
        <v>391</v>
      </c>
      <c r="AE1318" s="243" t="b">
        <f t="shared" si="3"/>
        <v>0</v>
      </c>
      <c r="AF1318" s="154"/>
      <c r="AG1318" s="243" t="b">
        <f t="shared" si="7"/>
        <v>0</v>
      </c>
      <c r="AH1318" s="154"/>
      <c r="AI1318" s="243" t="str">
        <f t="shared" si="5"/>
        <v>N/A</v>
      </c>
      <c r="AJ1318" s="157" t="str">
        <f t="shared" si="6"/>
        <v/>
      </c>
    </row>
    <row r="1319" ht="12.75" customHeight="1">
      <c r="A1319" s="244" t="s">
        <v>2412</v>
      </c>
      <c r="B1319" s="244" t="s">
        <v>3484</v>
      </c>
      <c r="C1319" s="244" t="s">
        <v>3520</v>
      </c>
      <c r="D1319" s="154" t="s">
        <v>492</v>
      </c>
      <c r="E1319" s="250"/>
      <c r="F1319" s="154" t="str">
        <f t="array" ref="F1319">XLOOKUP(Cover!$D$12,$S$1:$AA$1,$S1319:$AA1319)</f>
        <v>Mandatory</v>
      </c>
      <c r="G1319" s="154" t="s">
        <v>3521</v>
      </c>
      <c r="H1319" s="154" t="s">
        <v>357</v>
      </c>
      <c r="I1319" s="154" t="s">
        <v>414</v>
      </c>
      <c r="J1319" s="247" t="s">
        <v>506</v>
      </c>
      <c r="K1319" s="247" t="s">
        <v>3522</v>
      </c>
      <c r="L1319" s="154" t="str">
        <f t="shared" si="1"/>
        <v/>
      </c>
      <c r="M1319" s="248" t="str">
        <f>IFERROR(__xludf.DUMMYFUNCTION("VLOOKUP(C1319,IMPORTRANGE(""https://docs.google.com/spreadsheets/d/1P8eX0NWBhUPS_hvzA11R6jkTNFrPrRYIx_dX_hYbxrk/edit?resourcekey=0-iw9bsKY2OqkUHCFMkCar3A&amp;gid=2055363397#gid=2055363397"",""MTR!C:O""),11,false)"),"TAM")</f>
        <v>TAM</v>
      </c>
      <c r="N1319" s="248" t="str">
        <f>IFERROR(__xludf.DUMMYFUNCTION("VLOOKUP(C1319,IMPORTRANGE(""https://docs.google.com/spreadsheets/d/1ihFlp3_ePlYtFuPbUNbYj1muErVpI73WHXbEwJDIA7Q/edit#gid=1493122344"",""MTR!C:O""),8,false)"),"Partially Complies")</f>
        <v>Partially Complies</v>
      </c>
      <c r="O1319" s="248" t="str">
        <f>IFERROR(__xludf.DUMMYFUNCTION("VLOOKUP(C1319,IMPORTRANGE(""https://docs.google.com/spreadsheets/d/1P8eX0NWBhUPS_hvzA11R6jkTNFrPrRYIx_dX_hYbxrk/edit?resourcekey=0-iw9bsKY2OqkUHCFMkCar3A&amp;gid=2055363397#gid=2055363397"",""MTR!C:O""),9,false)"),"- IMEI1 and eID text / barcode will be printed on the box and display under bootloader (Power + Volume Down) -&gt; Barcode (Volume keys to select menu)
- eID QR Code in eSIM setup wizard")</f>
        <v>- IMEI1 and eID text / barcode will be printed on the box and display under bootloader (Power + Volume Down) -&gt; Barcode (Volume keys to select menu)
- eID QR Code in eSIM setup wizard</v>
      </c>
      <c r="P1319" s="248"/>
      <c r="Q1319" s="249" t="s">
        <v>506</v>
      </c>
      <c r="R1319" s="249" t="s">
        <v>3522</v>
      </c>
      <c r="S1319" s="154" t="s">
        <v>64</v>
      </c>
      <c r="T1319" s="154" t="s">
        <v>60</v>
      </c>
      <c r="U1319" s="154" t="s">
        <v>60</v>
      </c>
      <c r="V1319" s="154" t="s">
        <v>60</v>
      </c>
      <c r="W1319" s="154" t="s">
        <v>60</v>
      </c>
      <c r="X1319" s="154" t="s">
        <v>60</v>
      </c>
      <c r="Y1319" s="154" t="s">
        <v>60</v>
      </c>
      <c r="Z1319" s="154" t="s">
        <v>60</v>
      </c>
      <c r="AA1319" s="154" t="s">
        <v>60</v>
      </c>
      <c r="AB1319" s="154"/>
      <c r="AC1319" s="242" t="b">
        <f t="shared" si="2"/>
        <v>1</v>
      </c>
      <c r="AD1319" s="154" t="s">
        <v>391</v>
      </c>
      <c r="AE1319" s="243" t="b">
        <f t="shared" si="3"/>
        <v>0</v>
      </c>
      <c r="AF1319" s="154"/>
      <c r="AG1319" s="243" t="b">
        <f t="shared" si="7"/>
        <v>0</v>
      </c>
      <c r="AH1319" s="154"/>
      <c r="AI1319" s="243" t="str">
        <f t="shared" si="5"/>
        <v>N/A</v>
      </c>
      <c r="AJ1319" s="157" t="str">
        <f t="shared" si="6"/>
        <v/>
      </c>
    </row>
    <row r="1320" ht="12.75" customHeight="1">
      <c r="A1320" s="244" t="s">
        <v>2412</v>
      </c>
      <c r="B1320" s="244" t="s">
        <v>3484</v>
      </c>
      <c r="C1320" s="244" t="s">
        <v>3523</v>
      </c>
      <c r="D1320" s="154" t="s">
        <v>492</v>
      </c>
      <c r="E1320" s="250"/>
      <c r="F1320" s="154" t="str">
        <f t="array" ref="F1320">XLOOKUP(Cover!$D$12,$S$1:$AA$1,$S1320:$AA1320)</f>
        <v>Mandatory</v>
      </c>
      <c r="G1320" s="154" t="s">
        <v>3524</v>
      </c>
      <c r="H1320" s="154" t="s">
        <v>357</v>
      </c>
      <c r="I1320" s="154" t="s">
        <v>414</v>
      </c>
      <c r="J1320" s="247" t="s">
        <v>506</v>
      </c>
      <c r="K1320" s="247" t="s">
        <v>3525</v>
      </c>
      <c r="L1320" s="154" t="str">
        <f t="shared" si="1"/>
        <v/>
      </c>
      <c r="M1320" s="248" t="str">
        <f>IFERROR(__xludf.DUMMYFUNCTION("VLOOKUP(C1320,IMPORTRANGE(""https://docs.google.com/spreadsheets/d/1P8eX0NWBhUPS_hvzA11R6jkTNFrPrRYIx_dX_hYbxrk/edit?resourcekey=0-iw9bsKY2OqkUHCFMkCar3A&amp;gid=2055363397#gid=2055363397"",""MTR!C:O""),11,false)"),"TAM")</f>
        <v>TAM</v>
      </c>
      <c r="N1320" s="248" t="str">
        <f>IFERROR(__xludf.DUMMYFUNCTION("VLOOKUP(C1320,IMPORTRANGE(""https://docs.google.com/spreadsheets/d/1ihFlp3_ePlYtFuPbUNbYj1muErVpI73WHXbEwJDIA7Q/edit#gid=1493122344"",""MTR!C:O""),8,false)"),"Partially Complies")</f>
        <v>Partially Complies</v>
      </c>
      <c r="O1320" s="248" t="str">
        <f>IFERROR(__xludf.DUMMYFUNCTION("VLOOKUP(C1320,IMPORTRANGE(""https://docs.google.com/spreadsheets/d/1P8eX0NWBhUPS_hvzA11R6jkTNFrPrRYIx_dX_hYbxrk/edit?resourcekey=0-iw9bsKY2OqkUHCFMkCar3A&amp;gid=2055363397#gid=2055363397"",""MTR!C:O""),9,false)"),"Per Google LPA, the ICCID will display under Settings, SIM Status")</f>
        <v>Per Google LPA, the ICCID will display under Settings, SIM Status</v>
      </c>
      <c r="P1320" s="248"/>
      <c r="Q1320" s="249" t="s">
        <v>506</v>
      </c>
      <c r="R1320" s="249" t="s">
        <v>3525</v>
      </c>
      <c r="S1320" s="154" t="s">
        <v>64</v>
      </c>
      <c r="T1320" s="154" t="s">
        <v>60</v>
      </c>
      <c r="U1320" s="154" t="s">
        <v>60</v>
      </c>
      <c r="V1320" s="154" t="s">
        <v>60</v>
      </c>
      <c r="W1320" s="154" t="s">
        <v>60</v>
      </c>
      <c r="X1320" s="154" t="s">
        <v>60</v>
      </c>
      <c r="Y1320" s="154" t="s">
        <v>60</v>
      </c>
      <c r="Z1320" s="154" t="s">
        <v>60</v>
      </c>
      <c r="AA1320" s="154" t="s">
        <v>60</v>
      </c>
      <c r="AB1320" s="154"/>
      <c r="AC1320" s="242" t="b">
        <f t="shared" si="2"/>
        <v>1</v>
      </c>
      <c r="AD1320" s="154" t="s">
        <v>391</v>
      </c>
      <c r="AE1320" s="243" t="b">
        <f t="shared" si="3"/>
        <v>0</v>
      </c>
      <c r="AF1320" s="154"/>
      <c r="AG1320" s="243" t="b">
        <f t="shared" si="7"/>
        <v>0</v>
      </c>
      <c r="AH1320" s="154"/>
      <c r="AI1320" s="243" t="str">
        <f t="shared" si="5"/>
        <v>N/A</v>
      </c>
      <c r="AJ1320" s="157" t="str">
        <f t="shared" si="6"/>
        <v/>
      </c>
    </row>
    <row r="1321" ht="12.75" customHeight="1">
      <c r="A1321" s="244" t="s">
        <v>2412</v>
      </c>
      <c r="B1321" s="244" t="s">
        <v>3484</v>
      </c>
      <c r="C1321" s="244" t="s">
        <v>3526</v>
      </c>
      <c r="D1321" s="154" t="s">
        <v>492</v>
      </c>
      <c r="E1321" s="250"/>
      <c r="F1321" s="154" t="str">
        <f t="array" ref="F1321">XLOOKUP(Cover!$D$12,$S$1:$AA$1,$S1321:$AA1321)</f>
        <v>Mandatory</v>
      </c>
      <c r="G1321" s="154" t="s">
        <v>3527</v>
      </c>
      <c r="H1321" s="154" t="s">
        <v>357</v>
      </c>
      <c r="I1321" s="154" t="s">
        <v>414</v>
      </c>
      <c r="J1321" s="247" t="s">
        <v>445</v>
      </c>
      <c r="K1321" s="247" t="s">
        <v>3528</v>
      </c>
      <c r="L1321" s="154" t="str">
        <f t="shared" si="1"/>
        <v/>
      </c>
      <c r="M1321" s="248" t="str">
        <f>IFERROR(__xludf.DUMMYFUNCTION("VLOOKUP(C1321,IMPORTRANGE(""https://docs.google.com/spreadsheets/d/1P8eX0NWBhUPS_hvzA11R6jkTNFrPrRYIx_dX_hYbxrk/edit?resourcekey=0-iw9bsKY2OqkUHCFMkCar3A&amp;gid=2055363397#gid=2055363397"",""MTR!C:O""),11,false)"),"PMW-MCE-NAS")</f>
        <v>PMW-MCE-NAS</v>
      </c>
      <c r="N1321" s="248" t="str">
        <f>IFERROR(__xludf.DUMMYFUNCTION("VLOOKUP(C1321,IMPORTRANGE(""https://docs.google.com/spreadsheets/d/1ihFlp3_ePlYtFuPbUNbYj1muErVpI73WHXbEwJDIA7Q/edit#gid=1493122344"",""MTR!C:O""),8,false)"),"Complies")</f>
        <v>Complies</v>
      </c>
      <c r="O1321" s="248" t="str">
        <f>IFERROR(__xludf.DUMMYFUNCTION("VLOOKUP(C1321,IMPORTRANGE(""https://docs.google.com/spreadsheets/d/1P8eX0NWBhUPS_hvzA11R6jkTNFrPrRYIx_dX_hYbxrk/edit?resourcekey=0-iw9bsKY2OqkUHCFMkCar3A&amp;gid=2055363397#gid=2055363397"",""MTR!C:O""),9,false)"),"Device IMEI will be printed on the box but no sticker on the device
- IMEI1 and IMEI2 values will be printed on the box
- IMEI1 barcode will be printed on the box
- EID will be printed on the box")</f>
        <v>Device IMEI will be printed on the box but no sticker on the device
- IMEI1 and IMEI2 values will be printed on the box
- IMEI1 barcode will be printed on the box
- EID will be printed on the box</v>
      </c>
      <c r="P1321" s="248"/>
      <c r="Q1321" s="249" t="s">
        <v>445</v>
      </c>
      <c r="R1321" s="249" t="s">
        <v>3528</v>
      </c>
      <c r="S1321" s="154" t="s">
        <v>64</v>
      </c>
      <c r="T1321" s="154" t="s">
        <v>60</v>
      </c>
      <c r="U1321" s="154" t="s">
        <v>60</v>
      </c>
      <c r="V1321" s="154" t="s">
        <v>60</v>
      </c>
      <c r="W1321" s="154" t="s">
        <v>60</v>
      </c>
      <c r="X1321" s="154" t="s">
        <v>60</v>
      </c>
      <c r="Y1321" s="154" t="s">
        <v>60</v>
      </c>
      <c r="Z1321" s="154" t="s">
        <v>60</v>
      </c>
      <c r="AA1321" s="154" t="s">
        <v>60</v>
      </c>
      <c r="AB1321" s="154"/>
      <c r="AC1321" s="242" t="b">
        <f t="shared" si="2"/>
        <v>1</v>
      </c>
      <c r="AD1321" s="154" t="s">
        <v>391</v>
      </c>
      <c r="AE1321" s="243" t="b">
        <f t="shared" si="3"/>
        <v>0</v>
      </c>
      <c r="AF1321" s="154"/>
      <c r="AG1321" s="243" t="b">
        <f t="shared" si="7"/>
        <v>0</v>
      </c>
      <c r="AH1321" s="154"/>
      <c r="AI1321" s="243" t="str">
        <f t="shared" si="5"/>
        <v>N/A</v>
      </c>
      <c r="AJ1321" s="157" t="str">
        <f t="shared" si="6"/>
        <v/>
      </c>
    </row>
    <row r="1322" ht="12.75" customHeight="1">
      <c r="A1322" s="244" t="s">
        <v>2412</v>
      </c>
      <c r="B1322" s="244" t="s">
        <v>3484</v>
      </c>
      <c r="C1322" s="244" t="s">
        <v>3529</v>
      </c>
      <c r="D1322" s="154" t="s">
        <v>1120</v>
      </c>
      <c r="E1322" s="250"/>
      <c r="F1322" s="154" t="str">
        <f t="array" ref="F1322">XLOOKUP(Cover!$D$12,$S$1:$AA$1,$S1322:$AA1322)</f>
        <v>Mandatory</v>
      </c>
      <c r="G1322" s="154" t="s">
        <v>3530</v>
      </c>
      <c r="H1322" s="154" t="s">
        <v>357</v>
      </c>
      <c r="I1322" s="154" t="s">
        <v>414</v>
      </c>
      <c r="J1322" s="247" t="s">
        <v>445</v>
      </c>
      <c r="K1322" s="247" t="s">
        <v>3531</v>
      </c>
      <c r="L1322" s="154" t="str">
        <f t="shared" si="1"/>
        <v/>
      </c>
      <c r="M1322" s="248" t="str">
        <f>IFERROR(__xludf.DUMMYFUNCTION("VLOOKUP(C1322,IMPORTRANGE(""https://docs.google.com/spreadsheets/d/1P8eX0NWBhUPS_hvzA11R6jkTNFrPrRYIx_dX_hYbxrk/edit?resourcekey=0-iw9bsKY2OqkUHCFMkCar3A&amp;gid=2055363397#gid=2055363397"",""MTR!C:O""),11,false)"),"PMW-MCE-NAS")</f>
        <v>PMW-MCE-NAS</v>
      </c>
      <c r="N1322" s="248" t="str">
        <f>IFERROR(__xludf.DUMMYFUNCTION("VLOOKUP(C1322,IMPORTRANGE(""https://docs.google.com/spreadsheets/d/1ihFlp3_ePlYtFuPbUNbYj1muErVpI73WHXbEwJDIA7Q/edit#gid=1493122344"",""MTR!C:O""),8,false)"),"Complies")</f>
        <v>Complies</v>
      </c>
      <c r="O1322" s="248" t="str">
        <f>IFERROR(__xludf.DUMMYFUNCTION("VLOOKUP(C1322,IMPORTRANGE(""https://docs.google.com/spreadsheets/d/1P8eX0NWBhUPS_hvzA11R6jkTNFrPrRYIx_dX_hYbxrk/edit?resourcekey=0-iw9bsKY2OqkUHCFMkCar3A&amp;gid=2055363397#gid=2055363397"",""MTR!C:O""),9,false)"),"Device IMEI will be printed on the box but no sticker on the device
 - IMEI1 and IMEI2 values will be printed on the box
 - IMEI1 barcode will be printed on the box
 - EID will be printed on the box")</f>
        <v>Device IMEI will be printed on the box but no sticker on the device
 - IMEI1 and IMEI2 values will be printed on the box
 - IMEI1 barcode will be printed on the box
 - EID will be printed on the box</v>
      </c>
      <c r="P1322" s="248"/>
      <c r="Q1322" s="249" t="s">
        <v>445</v>
      </c>
      <c r="R1322" s="249" t="s">
        <v>3531</v>
      </c>
      <c r="S1322" s="154" t="s">
        <v>64</v>
      </c>
      <c r="T1322" s="154" t="s">
        <v>60</v>
      </c>
      <c r="U1322" s="154" t="s">
        <v>60</v>
      </c>
      <c r="V1322" s="154" t="s">
        <v>60</v>
      </c>
      <c r="W1322" s="154" t="s">
        <v>60</v>
      </c>
      <c r="X1322" s="154" t="s">
        <v>60</v>
      </c>
      <c r="Y1322" s="154" t="s">
        <v>60</v>
      </c>
      <c r="Z1322" s="154" t="s">
        <v>60</v>
      </c>
      <c r="AA1322" s="154" t="s">
        <v>60</v>
      </c>
      <c r="AB1322" s="154"/>
      <c r="AC1322" s="242" t="b">
        <f t="shared" si="2"/>
        <v>1</v>
      </c>
      <c r="AD1322" s="154" t="s">
        <v>391</v>
      </c>
      <c r="AE1322" s="243" t="b">
        <f t="shared" si="3"/>
        <v>0</v>
      </c>
      <c r="AF1322" s="154"/>
      <c r="AG1322" s="243" t="b">
        <f t="shared" si="7"/>
        <v>0</v>
      </c>
      <c r="AH1322" s="154"/>
      <c r="AI1322" s="243" t="str">
        <f t="shared" si="5"/>
        <v>N/A</v>
      </c>
      <c r="AJ1322" s="157" t="str">
        <f t="shared" si="6"/>
        <v/>
      </c>
    </row>
    <row r="1323" ht="12.75" customHeight="1">
      <c r="A1323" s="238" t="s">
        <v>2412</v>
      </c>
      <c r="B1323" s="238" t="s">
        <v>3484</v>
      </c>
      <c r="C1323" s="238" t="s">
        <v>3532</v>
      </c>
      <c r="D1323" s="238"/>
      <c r="E1323" s="238"/>
      <c r="F1323" s="154" t="str">
        <f t="array" ref="F1323">XLOOKUP(Cover!$D$12,$S$1:$AA$1,$S1323:$AA1323)</f>
        <v>Heading</v>
      </c>
      <c r="G1323" s="239" t="s">
        <v>3533</v>
      </c>
      <c r="H1323" s="240"/>
      <c r="I1323" s="240" t="s">
        <v>414</v>
      </c>
      <c r="J1323" s="262"/>
      <c r="K1323" s="262"/>
      <c r="L1323" s="154" t="str">
        <f t="shared" si="1"/>
        <v/>
      </c>
      <c r="M1323" s="241" t="str">
        <f>IFERROR(__xludf.DUMMYFUNCTION("VLOOKUP(C1323,IMPORTRANGE(""https://docs.google.com/spreadsheets/d/1P8eX0NWBhUPS_hvzA11R6jkTNFrPrRYIx_dX_hYbxrk/edit?resourcekey=0-iw9bsKY2OqkUHCFMkCar3A&amp;gid=2055363397#gid=2055363397"",""MTR!C:O""),11,false)"),"")</f>
        <v/>
      </c>
      <c r="N1323" s="241" t="str">
        <f>IFERROR(__xludf.DUMMYFUNCTION("VLOOKUP(C1323,IMPORTRANGE(""https://docs.google.com/spreadsheets/d/1ihFlp3_ePlYtFuPbUNbYj1muErVpI73WHXbEwJDIA7Q/edit#gid=1493122344"",""MTR!C:O""),8,false)"),"")</f>
        <v/>
      </c>
      <c r="O1323" s="241" t="str">
        <f>IFERROR(__xludf.DUMMYFUNCTION("VLOOKUP(C1323,IMPORTRANGE(""https://docs.google.com/spreadsheets/d/1P8eX0NWBhUPS_hvzA11R6jkTNFrPrRYIx_dX_hYbxrk/edit?resourcekey=0-iw9bsKY2OqkUHCFMkCar3A&amp;gid=2055363397#gid=2055363397"",""MTR!C:O""),9,false)"),"")</f>
        <v/>
      </c>
      <c r="P1323" s="241"/>
      <c r="Q1323" s="251"/>
      <c r="R1323" s="251"/>
      <c r="S1323" s="240" t="s">
        <v>390</v>
      </c>
      <c r="T1323" s="240" t="s">
        <v>390</v>
      </c>
      <c r="U1323" s="240" t="s">
        <v>390</v>
      </c>
      <c r="V1323" s="240" t="s">
        <v>390</v>
      </c>
      <c r="W1323" s="240" t="s">
        <v>390</v>
      </c>
      <c r="X1323" s="240" t="s">
        <v>390</v>
      </c>
      <c r="Y1323" s="240" t="s">
        <v>390</v>
      </c>
      <c r="Z1323" s="240" t="s">
        <v>390</v>
      </c>
      <c r="AA1323" s="240" t="s">
        <v>390</v>
      </c>
      <c r="AB1323" s="240"/>
      <c r="AC1323" s="242" t="b">
        <f t="shared" si="2"/>
        <v>0</v>
      </c>
      <c r="AD1323" s="240" t="s">
        <v>391</v>
      </c>
      <c r="AE1323" s="243" t="b">
        <f t="shared" si="3"/>
        <v>0</v>
      </c>
      <c r="AF1323" s="240"/>
      <c r="AG1323" s="243" t="b">
        <f t="shared" si="7"/>
        <v>0</v>
      </c>
      <c r="AH1323" s="240"/>
      <c r="AI1323" s="243" t="str">
        <f t="shared" si="5"/>
        <v>N/A</v>
      </c>
      <c r="AJ1323" s="157" t="str">
        <f t="shared" si="6"/>
        <v/>
      </c>
    </row>
    <row r="1324" ht="12.75" customHeight="1">
      <c r="A1324" s="244" t="s">
        <v>2412</v>
      </c>
      <c r="B1324" s="244" t="s">
        <v>3484</v>
      </c>
      <c r="C1324" s="244" t="s">
        <v>3534</v>
      </c>
      <c r="D1324" s="154" t="s">
        <v>492</v>
      </c>
      <c r="E1324" s="250"/>
      <c r="F1324" s="154" t="str">
        <f t="array" ref="F1324">XLOOKUP(Cover!$D$12,$S$1:$AA$1,$S1324:$AA1324)</f>
        <v>Mandatory</v>
      </c>
      <c r="G1324" s="154" t="s">
        <v>3535</v>
      </c>
      <c r="H1324" s="154" t="s">
        <v>357</v>
      </c>
      <c r="I1324" s="154" t="s">
        <v>414</v>
      </c>
      <c r="J1324" s="247" t="s">
        <v>445</v>
      </c>
      <c r="K1324" s="247" t="s">
        <v>3536</v>
      </c>
      <c r="L1324" s="154" t="str">
        <f t="shared" si="1"/>
        <v/>
      </c>
      <c r="M1324" s="248" t="str">
        <f>IFERROR(__xludf.DUMMYFUNCTION("VLOOKUP(C1324,IMPORTRANGE(""https://docs.google.com/spreadsheets/d/1P8eX0NWBhUPS_hvzA11R6jkTNFrPrRYIx_dX_hYbxrk/edit?resourcekey=0-iw9bsKY2OqkUHCFMkCar3A&amp;gid=2055363397#gid=2055363397"",""MTR!C:O""),11,false)"),"PMW-MCE-NAS")</f>
        <v>PMW-MCE-NAS</v>
      </c>
      <c r="N1324" s="248" t="str">
        <f>IFERROR(__xludf.DUMMYFUNCTION("VLOOKUP(C1324,IMPORTRANGE(""https://docs.google.com/spreadsheets/d/1ihFlp3_ePlYtFuPbUNbYj1muErVpI73WHXbEwJDIA7Q/edit#gid=1493122344"",""MTR!C:O""),8,false)"),"Complies")</f>
        <v>Complies</v>
      </c>
      <c r="O1324" s="248" t="str">
        <f>IFERROR(__xludf.DUMMYFUNCTION("VLOOKUP(C1324,IMPORTRANGE(""https://docs.google.com/spreadsheets/d/1P8eX0NWBhUPS_hvzA11R6jkTNFrPrRYIx_dX_hYbxrk/edit?resourcekey=0-iw9bsKY2OqkUHCFMkCar3A&amp;gid=2055363397#gid=2055363397"",""MTR!C:O""),9,false)"),"STMicroelectronics
eOS v2.0 (Thales)")</f>
        <v>STMicroelectronics
eOS v2.0 (Thales)</v>
      </c>
      <c r="P1324" s="248"/>
      <c r="Q1324" s="249" t="s">
        <v>445</v>
      </c>
      <c r="R1324" s="249" t="s">
        <v>3536</v>
      </c>
      <c r="S1324" s="154" t="s">
        <v>64</v>
      </c>
      <c r="T1324" s="154" t="s">
        <v>60</v>
      </c>
      <c r="U1324" s="154" t="s">
        <v>60</v>
      </c>
      <c r="V1324" s="154" t="s">
        <v>60</v>
      </c>
      <c r="W1324" s="154" t="s">
        <v>60</v>
      </c>
      <c r="X1324" s="154" t="s">
        <v>60</v>
      </c>
      <c r="Y1324" s="154" t="s">
        <v>60</v>
      </c>
      <c r="Z1324" s="154" t="s">
        <v>60</v>
      </c>
      <c r="AA1324" s="154" t="s">
        <v>60</v>
      </c>
      <c r="AB1324" s="154"/>
      <c r="AC1324" s="242" t="b">
        <f t="shared" si="2"/>
        <v>1</v>
      </c>
      <c r="AD1324" s="154" t="s">
        <v>445</v>
      </c>
      <c r="AE1324" s="243" t="b">
        <f t="shared" si="3"/>
        <v>0</v>
      </c>
      <c r="AF1324" s="154"/>
      <c r="AG1324" s="243" t="b">
        <f t="shared" si="7"/>
        <v>0</v>
      </c>
      <c r="AH1324" s="154"/>
      <c r="AI1324" s="243" t="str">
        <f t="shared" si="5"/>
        <v>N/A</v>
      </c>
      <c r="AJ1324" s="157" t="str">
        <f t="shared" si="6"/>
        <v/>
      </c>
    </row>
    <row r="1325" ht="12.75" customHeight="1">
      <c r="A1325" s="244" t="s">
        <v>2412</v>
      </c>
      <c r="B1325" s="244" t="s">
        <v>3484</v>
      </c>
      <c r="C1325" s="244" t="s">
        <v>3537</v>
      </c>
      <c r="D1325" s="154" t="s">
        <v>781</v>
      </c>
      <c r="E1325" s="250"/>
      <c r="F1325" s="154" t="str">
        <f t="array" ref="F1325">XLOOKUP(Cover!$D$12,$S$1:$AA$1,$S1325:$AA1325)</f>
        <v>Mandatory</v>
      </c>
      <c r="G1325" s="154" t="s">
        <v>3538</v>
      </c>
      <c r="H1325" s="154" t="s">
        <v>357</v>
      </c>
      <c r="I1325" s="154" t="s">
        <v>414</v>
      </c>
      <c r="J1325" s="247" t="s">
        <v>445</v>
      </c>
      <c r="K1325" s="247" t="s">
        <v>3539</v>
      </c>
      <c r="L1325" s="154" t="str">
        <f t="shared" si="1"/>
        <v/>
      </c>
      <c r="M1325" s="248" t="str">
        <f>IFERROR(__xludf.DUMMYFUNCTION("VLOOKUP(C1325,IMPORTRANGE(""https://docs.google.com/spreadsheets/d/1P8eX0NWBhUPS_hvzA11R6jkTNFrPrRYIx_dX_hYbxrk/edit?resourcekey=0-iw9bsKY2OqkUHCFMkCar3A&amp;gid=2055363397#gid=2055363397"",""MTR!C:O""),11,false)"),"PMW-MCE-NAS")</f>
        <v>PMW-MCE-NAS</v>
      </c>
      <c r="N1325" s="248" t="str">
        <f>IFERROR(__xludf.DUMMYFUNCTION("VLOOKUP(C1325,IMPORTRANGE(""https://docs.google.com/spreadsheets/d/1ihFlp3_ePlYtFuPbUNbYj1muErVpI73WHXbEwJDIA7Q/edit#gid=1493122344"",""MTR!C:O""),8,false)"),"Complies")</f>
        <v>Complies</v>
      </c>
      <c r="O1325" s="248" t="str">
        <f>IFERROR(__xludf.DUMMYFUNCTION("VLOOKUP(C1325,IMPORTRANGE(""https://docs.google.com/spreadsheets/d/1P8eX0NWBhUPS_hvzA11R6jkTNFrPrRYIx_dX_hYbxrk/edit?resourcekey=0-iw9bsKY2OqkUHCFMkCar3A&amp;gid=2055363397#gid=2055363397"",""MTR!C:O""),9,false)"),"The Google LPA comes preloaded with three TLS CI certificates: GSMA Production, GSMA Test, and GSMA SGP.26 Test")</f>
        <v>The Google LPA comes preloaded with three TLS CI certificates: GSMA Production, GSMA Test, and GSMA SGP.26 Test</v>
      </c>
      <c r="P1325" s="248"/>
      <c r="Q1325" s="249" t="s">
        <v>445</v>
      </c>
      <c r="R1325" s="249" t="s">
        <v>3539</v>
      </c>
      <c r="S1325" s="154" t="s">
        <v>64</v>
      </c>
      <c r="T1325" s="154" t="s">
        <v>60</v>
      </c>
      <c r="U1325" s="154" t="s">
        <v>60</v>
      </c>
      <c r="V1325" s="154" t="s">
        <v>60</v>
      </c>
      <c r="W1325" s="154" t="s">
        <v>60</v>
      </c>
      <c r="X1325" s="154" t="s">
        <v>60</v>
      </c>
      <c r="Y1325" s="154" t="s">
        <v>60</v>
      </c>
      <c r="Z1325" s="154" t="s">
        <v>60</v>
      </c>
      <c r="AA1325" s="154" t="s">
        <v>60</v>
      </c>
      <c r="AB1325" s="154"/>
      <c r="AC1325" s="242" t="b">
        <f t="shared" si="2"/>
        <v>1</v>
      </c>
      <c r="AD1325" s="154" t="s">
        <v>445</v>
      </c>
      <c r="AE1325" s="243" t="b">
        <f t="shared" si="3"/>
        <v>0</v>
      </c>
      <c r="AF1325" s="154"/>
      <c r="AG1325" s="243" t="b">
        <f t="shared" si="7"/>
        <v>0</v>
      </c>
      <c r="AH1325" s="154"/>
      <c r="AI1325" s="243" t="str">
        <f t="shared" si="5"/>
        <v>N/A</v>
      </c>
      <c r="AJ1325" s="157" t="str">
        <f t="shared" si="6"/>
        <v/>
      </c>
    </row>
    <row r="1326" ht="12.75" customHeight="1">
      <c r="A1326" s="244" t="s">
        <v>2412</v>
      </c>
      <c r="B1326" s="244" t="s">
        <v>3484</v>
      </c>
      <c r="C1326" s="244" t="s">
        <v>3540</v>
      </c>
      <c r="D1326" s="154" t="s">
        <v>492</v>
      </c>
      <c r="E1326" s="250"/>
      <c r="F1326" s="154" t="str">
        <f t="array" ref="F1326">XLOOKUP(Cover!$D$12,$S$1:$AA$1,$S1326:$AA1326)</f>
        <v>Mandatory</v>
      </c>
      <c r="G1326" s="154" t="s">
        <v>3541</v>
      </c>
      <c r="H1326" s="154" t="s">
        <v>357</v>
      </c>
      <c r="I1326" s="154" t="s">
        <v>414</v>
      </c>
      <c r="J1326" s="247" t="s">
        <v>445</v>
      </c>
      <c r="K1326" s="247" t="s">
        <v>3496</v>
      </c>
      <c r="L1326" s="154" t="str">
        <f t="shared" si="1"/>
        <v/>
      </c>
      <c r="M1326" s="248" t="str">
        <f>IFERROR(__xludf.DUMMYFUNCTION("VLOOKUP(C1326,IMPORTRANGE(""https://docs.google.com/spreadsheets/d/1P8eX0NWBhUPS_hvzA11R6jkTNFrPrRYIx_dX_hYbxrk/edit?resourcekey=0-iw9bsKY2OqkUHCFMkCar3A&amp;gid=2055363397#gid=2055363397"",""MTR!C:O""),11,false)"),"PMW-MCE-NAS")</f>
        <v>PMW-MCE-NAS</v>
      </c>
      <c r="N1326" s="248" t="str">
        <f>IFERROR(__xludf.DUMMYFUNCTION("VLOOKUP(C1326,IMPORTRANGE(""https://docs.google.com/spreadsheets/d/1ihFlp3_ePlYtFuPbUNbYj1muErVpI73WHXbEwJDIA7Q/edit#gid=1493122344"",""MTR!C:O""),8,false)"),"Complies")</f>
        <v>Complies</v>
      </c>
      <c r="O1326" s="248" t="str">
        <f>IFERROR(__xludf.DUMMYFUNCTION("VLOOKUP(C1326,IMPORTRANGE(""https://docs.google.com/spreadsheets/d/1P8eX0NWBhUPS_hvzA11R6jkTNFrPrRYIx_dX_hYbxrk/edit?resourcekey=0-iw9bsKY2OqkUHCFMkCar3A&amp;gid=2055363397#gid=2055363397"",""MTR!C:O""),9,false)"),"GSMA OS Standard Version : v2.2.2
SIMalliance Standard Version : v.2.3.1")</f>
        <v>GSMA OS Standard Version : v2.2.2
SIMalliance Standard Version : v.2.3.1</v>
      </c>
      <c r="P1326" s="248"/>
      <c r="Q1326" s="249" t="s">
        <v>445</v>
      </c>
      <c r="R1326" s="249" t="s">
        <v>3496</v>
      </c>
      <c r="S1326" s="154" t="s">
        <v>64</v>
      </c>
      <c r="T1326" s="154" t="s">
        <v>60</v>
      </c>
      <c r="U1326" s="154" t="s">
        <v>60</v>
      </c>
      <c r="V1326" s="154" t="s">
        <v>60</v>
      </c>
      <c r="W1326" s="154" t="s">
        <v>60</v>
      </c>
      <c r="X1326" s="154" t="s">
        <v>60</v>
      </c>
      <c r="Y1326" s="154" t="s">
        <v>60</v>
      </c>
      <c r="Z1326" s="154" t="s">
        <v>60</v>
      </c>
      <c r="AA1326" s="154" t="s">
        <v>60</v>
      </c>
      <c r="AB1326" s="154"/>
      <c r="AC1326" s="242" t="b">
        <f t="shared" si="2"/>
        <v>1</v>
      </c>
      <c r="AD1326" s="154" t="s">
        <v>445</v>
      </c>
      <c r="AE1326" s="243" t="b">
        <f t="shared" si="3"/>
        <v>0</v>
      </c>
      <c r="AF1326" s="154"/>
      <c r="AG1326" s="243" t="b">
        <f t="shared" si="7"/>
        <v>0</v>
      </c>
      <c r="AH1326" s="154"/>
      <c r="AI1326" s="243" t="str">
        <f t="shared" si="5"/>
        <v>N/A</v>
      </c>
      <c r="AJ1326" s="157" t="str">
        <f t="shared" si="6"/>
        <v/>
      </c>
    </row>
    <row r="1327" ht="12.75" customHeight="1">
      <c r="A1327" s="244" t="s">
        <v>2412</v>
      </c>
      <c r="B1327" s="244" t="s">
        <v>3484</v>
      </c>
      <c r="C1327" s="244" t="s">
        <v>3542</v>
      </c>
      <c r="D1327" s="154" t="s">
        <v>1069</v>
      </c>
      <c r="E1327" s="250"/>
      <c r="F1327" s="154" t="str">
        <f t="array" ref="F1327">XLOOKUP(Cover!$D$12,$S$1:$AA$1,$S1327:$AA1327)</f>
        <v>Information</v>
      </c>
      <c r="G1327" s="154" t="s">
        <v>3543</v>
      </c>
      <c r="H1327" s="154" t="s">
        <v>357</v>
      </c>
      <c r="I1327" s="154" t="s">
        <v>414</v>
      </c>
      <c r="J1327" s="247" t="s">
        <v>516</v>
      </c>
      <c r="K1327" s="247"/>
      <c r="L1327" s="154" t="str">
        <f t="shared" si="1"/>
        <v/>
      </c>
      <c r="M1327" s="248" t="str">
        <f>IFERROR(__xludf.DUMMYFUNCTION("VLOOKUP(C1327,IMPORTRANGE(""https://docs.google.com/spreadsheets/d/1P8eX0NWBhUPS_hvzA11R6jkTNFrPrRYIx_dX_hYbxrk/edit?resourcekey=0-iw9bsKY2OqkUHCFMkCar3A&amp;gid=2055363397#gid=2055363397"",""MTR!C:O""),11,false)"),"PMW-MCE-NAS")</f>
        <v>PMW-MCE-NAS</v>
      </c>
      <c r="N1327" s="248" t="str">
        <f>IFERROR(__xludf.DUMMYFUNCTION("VLOOKUP(C1327,IMPORTRANGE(""https://docs.google.com/spreadsheets/d/1ihFlp3_ePlYtFuPbUNbYj1muErVpI73WHXbEwJDIA7Q/edit#gid=1493122344"",""MTR!C:O""),8,false)"),"Does Not Comply")</f>
        <v>Does Not Comply</v>
      </c>
      <c r="O1327" s="241" t="str">
        <f>IFERROR(__xludf.DUMMYFUNCTION("VLOOKUP(C1327,IMPORTRANGE(""https://docs.google.com/spreadsheets/d/1P8eX0NWBhUPS_hvzA11R6jkTNFrPrRYIx_dX_hYbxrk/edit?resourcekey=0-iw9bsKY2OqkUHCFMkCar3A&amp;gid=2055363397#gid=2055363397"",""MTR!C:O""),9,false)"),"")</f>
        <v/>
      </c>
      <c r="P1327" s="241"/>
      <c r="Q1327" s="251" t="s">
        <v>516</v>
      </c>
      <c r="R1327" s="251"/>
      <c r="S1327" s="154" t="s">
        <v>66</v>
      </c>
      <c r="T1327" s="154" t="s">
        <v>66</v>
      </c>
      <c r="U1327" s="154" t="s">
        <v>66</v>
      </c>
      <c r="V1327" s="154" t="s">
        <v>66</v>
      </c>
      <c r="W1327" s="154" t="s">
        <v>66</v>
      </c>
      <c r="X1327" s="154" t="s">
        <v>66</v>
      </c>
      <c r="Y1327" s="154" t="s">
        <v>66</v>
      </c>
      <c r="Z1327" s="154" t="s">
        <v>66</v>
      </c>
      <c r="AA1327" s="154" t="s">
        <v>66</v>
      </c>
      <c r="AB1327" s="154"/>
      <c r="AC1327" s="242" t="b">
        <f t="shared" si="2"/>
        <v>1</v>
      </c>
      <c r="AD1327" s="154" t="s">
        <v>391</v>
      </c>
      <c r="AE1327" s="243" t="b">
        <f t="shared" si="3"/>
        <v>0</v>
      </c>
      <c r="AF1327" s="154"/>
      <c r="AG1327" s="243" t="b">
        <f t="shared" si="7"/>
        <v>0</v>
      </c>
      <c r="AH1327" s="154"/>
      <c r="AI1327" s="243" t="str">
        <f t="shared" si="5"/>
        <v>N/A</v>
      </c>
      <c r="AJ1327" s="157" t="str">
        <f t="shared" si="6"/>
        <v/>
      </c>
    </row>
    <row r="1328" ht="12.75" customHeight="1">
      <c r="A1328" s="244" t="s">
        <v>2412</v>
      </c>
      <c r="B1328" s="244" t="s">
        <v>3484</v>
      </c>
      <c r="C1328" s="244" t="s">
        <v>3544</v>
      </c>
      <c r="D1328" s="154" t="s">
        <v>492</v>
      </c>
      <c r="E1328" s="250"/>
      <c r="F1328" s="154" t="str">
        <f t="array" ref="F1328">XLOOKUP(Cover!$D$12,$S$1:$AA$1,$S1328:$AA1328)</f>
        <v>Mandatory</v>
      </c>
      <c r="G1328" s="154" t="s">
        <v>3545</v>
      </c>
      <c r="H1328" s="154" t="s">
        <v>357</v>
      </c>
      <c r="I1328" s="154" t="s">
        <v>414</v>
      </c>
      <c r="J1328" s="247" t="s">
        <v>445</v>
      </c>
      <c r="K1328" s="247" t="s">
        <v>3546</v>
      </c>
      <c r="L1328" s="154" t="str">
        <f t="shared" si="1"/>
        <v/>
      </c>
      <c r="M1328" s="248" t="str">
        <f>IFERROR(__xludf.DUMMYFUNCTION("VLOOKUP(C1328,IMPORTRANGE(""https://docs.google.com/spreadsheets/d/1P8eX0NWBhUPS_hvzA11R6jkTNFrPrRYIx_dX_hYbxrk/edit?resourcekey=0-iw9bsKY2OqkUHCFMkCar3A&amp;gid=2055363397#gid=2055363397"",""MTR!C:O""),11,false)"),"PMW-MCE-NAS")</f>
        <v>PMW-MCE-NAS</v>
      </c>
      <c r="N1328" s="248" t="str">
        <f>IFERROR(__xludf.DUMMYFUNCTION("VLOOKUP(C1328,IMPORTRANGE(""https://docs.google.com/spreadsheets/d/1ihFlp3_ePlYtFuPbUNbYj1muErVpI73WHXbEwJDIA7Q/edit#gid=1493122344"",""MTR!C:O""),8,false)"),"Complies")</f>
        <v>Complies</v>
      </c>
      <c r="O1328" s="248" t="str">
        <f>IFERROR(__xludf.DUMMYFUNCTION("VLOOKUP(C1328,IMPORTRANGE(""https://docs.google.com/spreadsheets/d/1P8eX0NWBhUPS_hvzA11R6jkTNFrPrRYIx_dX_hYbxrk/edit?resourcekey=0-iw9bsKY2OqkUHCFMkCar3A&amp;gid=2055363397#gid=2055363397"",""MTR!C:O""),9,false)"),"IMAlliance eUICC Profile Package: Interoperable Format Technical Specification V2.0.
L10 is also compliant to SAIP v2.3.1.")</f>
        <v>IMAlliance eUICC Profile Package: Interoperable Format Technical Specification V2.0.
L10 is also compliant to SAIP v2.3.1.</v>
      </c>
      <c r="P1328" s="248"/>
      <c r="Q1328" s="249" t="s">
        <v>445</v>
      </c>
      <c r="R1328" s="249" t="s">
        <v>3546</v>
      </c>
      <c r="S1328" s="154" t="s">
        <v>64</v>
      </c>
      <c r="T1328" s="154" t="s">
        <v>60</v>
      </c>
      <c r="U1328" s="154" t="s">
        <v>60</v>
      </c>
      <c r="V1328" s="154" t="s">
        <v>60</v>
      </c>
      <c r="W1328" s="154" t="s">
        <v>60</v>
      </c>
      <c r="X1328" s="154" t="s">
        <v>60</v>
      </c>
      <c r="Y1328" s="154" t="s">
        <v>60</v>
      </c>
      <c r="Z1328" s="154" t="s">
        <v>60</v>
      </c>
      <c r="AA1328" s="154" t="s">
        <v>60</v>
      </c>
      <c r="AB1328" s="154"/>
      <c r="AC1328" s="242" t="b">
        <f t="shared" si="2"/>
        <v>1</v>
      </c>
      <c r="AD1328" s="154" t="s">
        <v>445</v>
      </c>
      <c r="AE1328" s="243" t="b">
        <f t="shared" si="3"/>
        <v>0</v>
      </c>
      <c r="AF1328" s="154"/>
      <c r="AG1328" s="243" t="b">
        <f t="shared" si="7"/>
        <v>0</v>
      </c>
      <c r="AH1328" s="154"/>
      <c r="AI1328" s="243" t="str">
        <f t="shared" si="5"/>
        <v>N/A</v>
      </c>
      <c r="AJ1328" s="157" t="str">
        <f t="shared" si="6"/>
        <v/>
      </c>
    </row>
    <row r="1329" ht="12.75" customHeight="1">
      <c r="A1329" s="244" t="s">
        <v>2412</v>
      </c>
      <c r="B1329" s="244" t="s">
        <v>3484</v>
      </c>
      <c r="C1329" s="244" t="s">
        <v>3547</v>
      </c>
      <c r="D1329" s="154" t="s">
        <v>492</v>
      </c>
      <c r="E1329" s="250"/>
      <c r="F1329" s="154" t="str">
        <f t="array" ref="F1329">XLOOKUP(Cover!$D$12,$S$1:$AA$1,$S1329:$AA1329)</f>
        <v>Mandatory</v>
      </c>
      <c r="G1329" s="154" t="s">
        <v>3548</v>
      </c>
      <c r="H1329" s="154" t="s">
        <v>357</v>
      </c>
      <c r="I1329" s="154" t="s">
        <v>414</v>
      </c>
      <c r="J1329" s="247" t="s">
        <v>445</v>
      </c>
      <c r="K1329" s="247" t="s">
        <v>3499</v>
      </c>
      <c r="L1329" s="154" t="str">
        <f t="shared" si="1"/>
        <v/>
      </c>
      <c r="M1329" s="248" t="str">
        <f>IFERROR(__xludf.DUMMYFUNCTION("VLOOKUP(C1329,IMPORTRANGE(""https://docs.google.com/spreadsheets/d/1P8eX0NWBhUPS_hvzA11R6jkTNFrPrRYIx_dX_hYbxrk/edit?resourcekey=0-iw9bsKY2OqkUHCFMkCar3A&amp;gid=2055363397#gid=2055363397"",""MTR!C:O""),11,false)"),"PMW-MCE-NAS")</f>
        <v>PMW-MCE-NAS</v>
      </c>
      <c r="N1329" s="248" t="str">
        <f>IFERROR(__xludf.DUMMYFUNCTION("VLOOKUP(C1329,IMPORTRANGE(""https://docs.google.com/spreadsheets/d/1ihFlp3_ePlYtFuPbUNbYj1muErVpI73WHXbEwJDIA7Q/edit#gid=1493122344"",""MTR!C:O""),8,false)"),"Complies")</f>
        <v>Complies</v>
      </c>
      <c r="O1329" s="248" t="str">
        <f>IFERROR(__xludf.DUMMYFUNCTION("VLOOKUP(C1329,IMPORTRANGE(""https://docs.google.com/spreadsheets/d/1P8eX0NWBhUPS_hvzA11R6jkTNFrPrRYIx_dX_hYbxrk/edit?resourcekey=0-iw9bsKY2OqkUHCFMkCar3A&amp;gid=2055363397#gid=2055363397"",""MTR!C:O""),9,false)"),"GSMA self-declaration form of eUICC")</f>
        <v>GSMA self-declaration form of eUICC</v>
      </c>
      <c r="P1329" s="248"/>
      <c r="Q1329" s="249" t="s">
        <v>445</v>
      </c>
      <c r="R1329" s="249" t="s">
        <v>3499</v>
      </c>
      <c r="S1329" s="154" t="s">
        <v>64</v>
      </c>
      <c r="T1329" s="154" t="s">
        <v>60</v>
      </c>
      <c r="U1329" s="154" t="s">
        <v>60</v>
      </c>
      <c r="V1329" s="154" t="s">
        <v>60</v>
      </c>
      <c r="W1329" s="154" t="s">
        <v>60</v>
      </c>
      <c r="X1329" s="154" t="s">
        <v>60</v>
      </c>
      <c r="Y1329" s="154" t="s">
        <v>60</v>
      </c>
      <c r="Z1329" s="154" t="s">
        <v>60</v>
      </c>
      <c r="AA1329" s="154" t="s">
        <v>60</v>
      </c>
      <c r="AB1329" s="154"/>
      <c r="AC1329" s="242" t="b">
        <f t="shared" si="2"/>
        <v>1</v>
      </c>
      <c r="AD1329" s="154" t="s">
        <v>391</v>
      </c>
      <c r="AE1329" s="243" t="b">
        <f t="shared" si="3"/>
        <v>0</v>
      </c>
      <c r="AF1329" s="154"/>
      <c r="AG1329" s="243" t="b">
        <f t="shared" si="7"/>
        <v>0</v>
      </c>
      <c r="AH1329" s="154"/>
      <c r="AI1329" s="243" t="str">
        <f t="shared" si="5"/>
        <v>N/A</v>
      </c>
      <c r="AJ1329" s="157" t="str">
        <f t="shared" si="6"/>
        <v/>
      </c>
    </row>
    <row r="1330" ht="12.75" customHeight="1">
      <c r="A1330" s="244" t="s">
        <v>2412</v>
      </c>
      <c r="B1330" s="244" t="s">
        <v>3484</v>
      </c>
      <c r="C1330" s="244" t="s">
        <v>3549</v>
      </c>
      <c r="D1330" s="154" t="s">
        <v>492</v>
      </c>
      <c r="E1330" s="250"/>
      <c r="F1330" s="154" t="str">
        <f t="array" ref="F1330">XLOOKUP(Cover!$D$12,$S$1:$AA$1,$S1330:$AA1330)</f>
        <v>Mandatory</v>
      </c>
      <c r="G1330" s="154" t="s">
        <v>3550</v>
      </c>
      <c r="H1330" s="154" t="s">
        <v>357</v>
      </c>
      <c r="I1330" s="154" t="s">
        <v>414</v>
      </c>
      <c r="J1330" s="247" t="s">
        <v>445</v>
      </c>
      <c r="K1330" s="247"/>
      <c r="L1330" s="154" t="str">
        <f t="shared" si="1"/>
        <v/>
      </c>
      <c r="M1330" s="248" t="str">
        <f>IFERROR(__xludf.DUMMYFUNCTION("VLOOKUP(C1330,IMPORTRANGE(""https://docs.google.com/spreadsheets/d/1P8eX0NWBhUPS_hvzA11R6jkTNFrPrRYIx_dX_hYbxrk/edit?resourcekey=0-iw9bsKY2OqkUHCFMkCar3A&amp;gid=2055363397#gid=2055363397"",""MTR!C:O""),11,false)"),"PMW-MCE-NAS")</f>
        <v>PMW-MCE-NAS</v>
      </c>
      <c r="N1330" s="248" t="str">
        <f>IFERROR(__xludf.DUMMYFUNCTION("VLOOKUP(C1330,IMPORTRANGE(""https://docs.google.com/spreadsheets/d/1ihFlp3_ePlYtFuPbUNbYj1muErVpI73WHXbEwJDIA7Q/edit#gid=1493122344"",""MTR!C:O""),8,false)"),"Complies")</f>
        <v>Complies</v>
      </c>
      <c r="O1330" s="241" t="str">
        <f>IFERROR(__xludf.DUMMYFUNCTION("VLOOKUP(C1330,IMPORTRANGE(""https://docs.google.com/spreadsheets/d/1P8eX0NWBhUPS_hvzA11R6jkTNFrPrRYIx_dX_hYbxrk/edit?resourcekey=0-iw9bsKY2OqkUHCFMkCar3A&amp;gid=2055363397#gid=2055363397"",""MTR!C:O""),9,false)"),"")</f>
        <v/>
      </c>
      <c r="P1330" s="241"/>
      <c r="Q1330" s="251" t="s">
        <v>445</v>
      </c>
      <c r="R1330" s="251"/>
      <c r="S1330" s="154" t="s">
        <v>64</v>
      </c>
      <c r="T1330" s="154" t="s">
        <v>60</v>
      </c>
      <c r="U1330" s="154" t="s">
        <v>60</v>
      </c>
      <c r="V1330" s="154" t="s">
        <v>60</v>
      </c>
      <c r="W1330" s="154" t="s">
        <v>60</v>
      </c>
      <c r="X1330" s="154" t="s">
        <v>60</v>
      </c>
      <c r="Y1330" s="154" t="s">
        <v>60</v>
      </c>
      <c r="Z1330" s="154" t="s">
        <v>60</v>
      </c>
      <c r="AA1330" s="154" t="s">
        <v>60</v>
      </c>
      <c r="AB1330" s="154"/>
      <c r="AC1330" s="242" t="b">
        <f t="shared" si="2"/>
        <v>1</v>
      </c>
      <c r="AD1330" s="154" t="s">
        <v>391</v>
      </c>
      <c r="AE1330" s="243" t="b">
        <f t="shared" si="3"/>
        <v>0</v>
      </c>
      <c r="AF1330" s="154"/>
      <c r="AG1330" s="243" t="b">
        <f t="shared" si="7"/>
        <v>0</v>
      </c>
      <c r="AH1330" s="154"/>
      <c r="AI1330" s="243" t="str">
        <f t="shared" si="5"/>
        <v>N/A</v>
      </c>
      <c r="AJ1330" s="157" t="str">
        <f t="shared" si="6"/>
        <v/>
      </c>
    </row>
    <row r="1331" ht="12.75" customHeight="1">
      <c r="A1331" s="244" t="s">
        <v>2412</v>
      </c>
      <c r="B1331" s="244" t="s">
        <v>3484</v>
      </c>
      <c r="C1331" s="244" t="s">
        <v>3551</v>
      </c>
      <c r="D1331" s="154" t="s">
        <v>492</v>
      </c>
      <c r="E1331" s="250"/>
      <c r="F1331" s="154" t="str">
        <f t="array" ref="F1331">XLOOKUP(Cover!$D$12,$S$1:$AA$1,$S1331:$AA1331)</f>
        <v>Mandatory</v>
      </c>
      <c r="G1331" s="154" t="s">
        <v>3552</v>
      </c>
      <c r="H1331" s="154" t="s">
        <v>357</v>
      </c>
      <c r="I1331" s="154" t="s">
        <v>414</v>
      </c>
      <c r="J1331" s="247" t="s">
        <v>445</v>
      </c>
      <c r="K1331" s="154"/>
      <c r="L1331" s="154" t="str">
        <f t="shared" si="1"/>
        <v/>
      </c>
      <c r="M1331" s="248" t="str">
        <f>IFERROR(__xludf.DUMMYFUNCTION("VLOOKUP(C1331,IMPORTRANGE(""https://docs.google.com/spreadsheets/d/1P8eX0NWBhUPS_hvzA11R6jkTNFrPrRYIx_dX_hYbxrk/edit?resourcekey=0-iw9bsKY2OqkUHCFMkCar3A&amp;gid=2055363397#gid=2055363397"",""MTR!C:O""),11,false)"),"PMW-MCE-NAS")</f>
        <v>PMW-MCE-NAS</v>
      </c>
      <c r="N1331" s="248" t="str">
        <f>IFERROR(__xludf.DUMMYFUNCTION("VLOOKUP(C1331,IMPORTRANGE(""https://docs.google.com/spreadsheets/d/1ihFlp3_ePlYtFuPbUNbYj1muErVpI73WHXbEwJDIA7Q/edit#gid=1493122344"",""MTR!C:O""),8,false)"),"Complies")</f>
        <v>Complies</v>
      </c>
      <c r="O1331" s="241" t="str">
        <f>IFERROR(__xludf.DUMMYFUNCTION("VLOOKUP(C1331,IMPORTRANGE(""https://docs.google.com/spreadsheets/d/1P8eX0NWBhUPS_hvzA11R6jkTNFrPrRYIx_dX_hYbxrk/edit?resourcekey=0-iw9bsKY2OqkUHCFMkCar3A&amp;gid=2055363397#gid=2055363397"",""MTR!C:O""),9,false)"),"")</f>
        <v/>
      </c>
      <c r="P1331" s="241"/>
      <c r="Q1331" s="251" t="s">
        <v>445</v>
      </c>
      <c r="R1331" s="241"/>
      <c r="S1331" s="154" t="s">
        <v>64</v>
      </c>
      <c r="T1331" s="154" t="s">
        <v>60</v>
      </c>
      <c r="U1331" s="154" t="s">
        <v>60</v>
      </c>
      <c r="V1331" s="154" t="s">
        <v>60</v>
      </c>
      <c r="W1331" s="154" t="s">
        <v>60</v>
      </c>
      <c r="X1331" s="154" t="s">
        <v>60</v>
      </c>
      <c r="Y1331" s="154" t="s">
        <v>60</v>
      </c>
      <c r="Z1331" s="154" t="s">
        <v>60</v>
      </c>
      <c r="AA1331" s="154" t="s">
        <v>60</v>
      </c>
      <c r="AB1331" s="154"/>
      <c r="AC1331" s="242" t="b">
        <f t="shared" si="2"/>
        <v>1</v>
      </c>
      <c r="AD1331" s="154" t="s">
        <v>391</v>
      </c>
      <c r="AE1331" s="243" t="b">
        <f t="shared" si="3"/>
        <v>0</v>
      </c>
      <c r="AF1331" s="154"/>
      <c r="AG1331" s="243" t="b">
        <f t="shared" si="7"/>
        <v>0</v>
      </c>
      <c r="AH1331" s="154"/>
      <c r="AI1331" s="243" t="str">
        <f t="shared" si="5"/>
        <v>N/A</v>
      </c>
      <c r="AJ1331" s="157" t="str">
        <f t="shared" si="6"/>
        <v/>
      </c>
    </row>
    <row r="1332" ht="12.75" customHeight="1">
      <c r="A1332" s="244" t="s">
        <v>2412</v>
      </c>
      <c r="B1332" s="244" t="s">
        <v>3484</v>
      </c>
      <c r="C1332" s="244" t="s">
        <v>3553</v>
      </c>
      <c r="D1332" s="154" t="s">
        <v>781</v>
      </c>
      <c r="E1332" s="250"/>
      <c r="F1332" s="154" t="str">
        <f t="array" ref="F1332">XLOOKUP(Cover!$D$12,$S$1:$AA$1,$S1332:$AA1332)</f>
        <v>Information</v>
      </c>
      <c r="G1332" s="154" t="s">
        <v>3554</v>
      </c>
      <c r="H1332" s="154" t="s">
        <v>357</v>
      </c>
      <c r="I1332" s="154" t="s">
        <v>414</v>
      </c>
      <c r="J1332" s="247" t="s">
        <v>516</v>
      </c>
      <c r="K1332" s="247" t="s">
        <v>3555</v>
      </c>
      <c r="L1332" s="154" t="str">
        <f t="shared" si="1"/>
        <v/>
      </c>
      <c r="M1332" s="248" t="str">
        <f>IFERROR(__xludf.DUMMYFUNCTION("VLOOKUP(C1332,IMPORTRANGE(""https://docs.google.com/spreadsheets/d/1P8eX0NWBhUPS_hvzA11R6jkTNFrPrRYIx_dX_hYbxrk/edit?resourcekey=0-iw9bsKY2OqkUHCFMkCar3A&amp;gid=2055363397#gid=2055363397"",""MTR!C:O""),11,false)"),"TAM")</f>
        <v>TAM</v>
      </c>
      <c r="N1332" s="248" t="str">
        <f>IFERROR(__xludf.DUMMYFUNCTION("VLOOKUP(C1332,IMPORTRANGE(""https://docs.google.com/spreadsheets/d/1ihFlp3_ePlYtFuPbUNbYj1muErVpI73WHXbEwJDIA7Q/edit#gid=1493122344"",""MTR!C:O""),8,false)"),"Does Not Comply")</f>
        <v>Does Not Comply</v>
      </c>
      <c r="O1332" s="248" t="str">
        <f>IFERROR(__xludf.DUMMYFUNCTION("VLOOKUP(C1332,IMPORTRANGE(""https://docs.google.com/spreadsheets/d/1P8eX0NWBhUPS_hvzA11R6jkTNFrPrRYIx_dX_hYbxrk/edit?resourcekey=0-iw9bsKY2OqkUHCFMkCar3A&amp;gid=2055363397#gid=2055363397"",""MTR!C:O""),9,false)"),"Mass production device won't have preinstalled bootstrap profile")</f>
        <v>Mass production device won't have preinstalled bootstrap profile</v>
      </c>
      <c r="P1332" s="248"/>
      <c r="Q1332" s="249" t="s">
        <v>516</v>
      </c>
      <c r="R1332" s="249" t="s">
        <v>3555</v>
      </c>
      <c r="S1332" s="154" t="s">
        <v>66</v>
      </c>
      <c r="T1332" s="154" t="s">
        <v>66</v>
      </c>
      <c r="U1332" s="154" t="s">
        <v>66</v>
      </c>
      <c r="V1332" s="154" t="s">
        <v>66</v>
      </c>
      <c r="W1332" s="154" t="s">
        <v>66</v>
      </c>
      <c r="X1332" s="154" t="s">
        <v>66</v>
      </c>
      <c r="Y1332" s="154" t="s">
        <v>66</v>
      </c>
      <c r="Z1332" s="154" t="s">
        <v>66</v>
      </c>
      <c r="AA1332" s="154" t="s">
        <v>66</v>
      </c>
      <c r="AB1332" s="154"/>
      <c r="AC1332" s="242" t="b">
        <f t="shared" si="2"/>
        <v>1</v>
      </c>
      <c r="AD1332" s="154" t="s">
        <v>391</v>
      </c>
      <c r="AE1332" s="243" t="b">
        <f t="shared" si="3"/>
        <v>0</v>
      </c>
      <c r="AF1332" s="154"/>
      <c r="AG1332" s="243" t="b">
        <f t="shared" si="7"/>
        <v>0</v>
      </c>
      <c r="AH1332" s="154"/>
      <c r="AI1332" s="243" t="str">
        <f t="shared" si="5"/>
        <v>N/A</v>
      </c>
      <c r="AJ1332" s="157" t="str">
        <f t="shared" si="6"/>
        <v/>
      </c>
    </row>
    <row r="1333" ht="12.75" customHeight="1">
      <c r="A1333" s="244" t="s">
        <v>2412</v>
      </c>
      <c r="B1333" s="244" t="s">
        <v>3484</v>
      </c>
      <c r="C1333" s="255" t="s">
        <v>3556</v>
      </c>
      <c r="D1333" s="256" t="s">
        <v>42</v>
      </c>
      <c r="E1333" s="257" t="s">
        <v>489</v>
      </c>
      <c r="F1333" s="154" t="str">
        <f t="array" ref="F1333">XLOOKUP(Cover!$D$12,$S$1:$AA$1,$S1333:$AA1333)</f>
        <v>Mandatory</v>
      </c>
      <c r="G1333" s="154" t="s">
        <v>3557</v>
      </c>
      <c r="H1333" s="154" t="s">
        <v>357</v>
      </c>
      <c r="I1333" s="154" t="s">
        <v>414</v>
      </c>
      <c r="J1333" s="247" t="s">
        <v>516</v>
      </c>
      <c r="K1333" s="247" t="s">
        <v>3558</v>
      </c>
      <c r="L1333" s="154" t="str">
        <f t="shared" si="1"/>
        <v/>
      </c>
      <c r="M1333" s="253" t="str">
        <f>IFERROR(__xludf.DUMMYFUNCTION("VLOOKUP(C1333,IMPORTRANGE(""https://docs.google.com/spreadsheets/d/1P8eX0NWBhUPS_hvzA11R6jkTNFrPrRYIx_dX_hYbxrk/edit?resourcekey=0-iw9bsKY2OqkUHCFMkCar3A&amp;gid=2055363397#gid=2055363397"",""MTR!C:O""),11,false)"),"#N/A")</f>
        <v>#N/A</v>
      </c>
      <c r="N1333" s="253" t="str">
        <f>IFERROR(__xludf.DUMMYFUNCTION("VLOOKUP(C1333,IMPORTRANGE(""https://docs.google.com/spreadsheets/d/1ihFlp3_ePlYtFuPbUNbYj1muErVpI73WHXbEwJDIA7Q/edit#gid=1493122344"",""MTR!C:O""),8,false)"),"#N/A")</f>
        <v>#N/A</v>
      </c>
      <c r="O1333" s="253" t="str">
        <f>IFERROR(__xludf.DUMMYFUNCTION("VLOOKUP(C1333,IMPORTRANGE(""https://docs.google.com/spreadsheets/d/1P8eX0NWBhUPS_hvzA11R6jkTNFrPrRYIx_dX_hYbxrk/edit?resourcekey=0-iw9bsKY2OqkUHCFMkCar3A&amp;gid=2055363397#gid=2055363397"",""MTR!C:O""),9,false)"),"#N/A")</f>
        <v>#N/A</v>
      </c>
      <c r="P1333" s="253"/>
      <c r="Q1333" s="259"/>
      <c r="R1333" s="259"/>
      <c r="S1333" s="154" t="s">
        <v>64</v>
      </c>
      <c r="T1333" s="154" t="s">
        <v>60</v>
      </c>
      <c r="U1333" s="154" t="s">
        <v>60</v>
      </c>
      <c r="V1333" s="154" t="s">
        <v>60</v>
      </c>
      <c r="W1333" s="154" t="s">
        <v>60</v>
      </c>
      <c r="X1333" s="154" t="s">
        <v>60</v>
      </c>
      <c r="Y1333" s="154" t="s">
        <v>60</v>
      </c>
      <c r="Z1333" s="154" t="s">
        <v>60</v>
      </c>
      <c r="AA1333" s="154" t="s">
        <v>60</v>
      </c>
      <c r="AB1333" s="154"/>
      <c r="AC1333" s="242" t="b">
        <f t="shared" si="2"/>
        <v>1</v>
      </c>
      <c r="AD1333" s="154" t="s">
        <v>391</v>
      </c>
      <c r="AE1333" s="243" t="b">
        <f t="shared" si="3"/>
        <v>0</v>
      </c>
      <c r="AF1333" s="154"/>
      <c r="AG1333" s="243" t="b">
        <f t="shared" si="7"/>
        <v>0</v>
      </c>
      <c r="AH1333" s="154"/>
      <c r="AI1333" s="243" t="str">
        <f t="shared" si="5"/>
        <v>N/A</v>
      </c>
      <c r="AJ1333" s="157" t="str">
        <f t="shared" si="6"/>
        <v/>
      </c>
    </row>
    <row r="1334" ht="12.75" customHeight="1">
      <c r="A1334" s="244" t="s">
        <v>2412</v>
      </c>
      <c r="B1334" s="244" t="s">
        <v>3484</v>
      </c>
      <c r="C1334" s="244" t="s">
        <v>3559</v>
      </c>
      <c r="D1334" s="154" t="s">
        <v>492</v>
      </c>
      <c r="E1334" s="250"/>
      <c r="F1334" s="154" t="str">
        <f t="array" ref="F1334">XLOOKUP(Cover!$D$12,$S$1:$AA$1,$S1334:$AA1334)</f>
        <v>Mandatory</v>
      </c>
      <c r="G1334" s="154" t="s">
        <v>3560</v>
      </c>
      <c r="H1334" s="154" t="s">
        <v>357</v>
      </c>
      <c r="I1334" s="154" t="s">
        <v>414</v>
      </c>
      <c r="J1334" s="247" t="s">
        <v>445</v>
      </c>
      <c r="K1334" s="154"/>
      <c r="L1334" s="154" t="str">
        <f t="shared" si="1"/>
        <v/>
      </c>
      <c r="M1334" s="248" t="str">
        <f>IFERROR(__xludf.DUMMYFUNCTION("VLOOKUP(C1334,IMPORTRANGE(""https://docs.google.com/spreadsheets/d/1P8eX0NWBhUPS_hvzA11R6jkTNFrPrRYIx_dX_hYbxrk/edit?resourcekey=0-iw9bsKY2OqkUHCFMkCar3A&amp;gid=2055363397#gid=2055363397"",""MTR!C:O""),11,false)"),"PMW-MCE-NAS")</f>
        <v>PMW-MCE-NAS</v>
      </c>
      <c r="N1334" s="248" t="str">
        <f>IFERROR(__xludf.DUMMYFUNCTION("VLOOKUP(C1334,IMPORTRANGE(""https://docs.google.com/spreadsheets/d/1ihFlp3_ePlYtFuPbUNbYj1muErVpI73WHXbEwJDIA7Q/edit#gid=1493122344"",""MTR!C:O""),8,false)"),"Complies")</f>
        <v>Complies</v>
      </c>
      <c r="O1334" s="241" t="str">
        <f>IFERROR(__xludf.DUMMYFUNCTION("VLOOKUP(C1334,IMPORTRANGE(""https://docs.google.com/spreadsheets/d/1P8eX0NWBhUPS_hvzA11R6jkTNFrPrRYIx_dX_hYbxrk/edit?resourcekey=0-iw9bsKY2OqkUHCFMkCar3A&amp;gid=2055363397#gid=2055363397"",""MTR!C:O""),9,false)"),"")</f>
        <v/>
      </c>
      <c r="P1334" s="241"/>
      <c r="Q1334" s="251" t="s">
        <v>445</v>
      </c>
      <c r="R1334" s="241"/>
      <c r="S1334" s="154" t="s">
        <v>64</v>
      </c>
      <c r="T1334" s="154" t="s">
        <v>60</v>
      </c>
      <c r="U1334" s="154" t="s">
        <v>60</v>
      </c>
      <c r="V1334" s="154" t="s">
        <v>60</v>
      </c>
      <c r="W1334" s="154" t="s">
        <v>60</v>
      </c>
      <c r="X1334" s="154" t="s">
        <v>60</v>
      </c>
      <c r="Y1334" s="154" t="s">
        <v>60</v>
      </c>
      <c r="Z1334" s="154" t="s">
        <v>60</v>
      </c>
      <c r="AA1334" s="154" t="s">
        <v>60</v>
      </c>
      <c r="AB1334" s="154"/>
      <c r="AC1334" s="242" t="b">
        <f t="shared" si="2"/>
        <v>1</v>
      </c>
      <c r="AD1334" s="154" t="s">
        <v>391</v>
      </c>
      <c r="AE1334" s="243" t="b">
        <f t="shared" si="3"/>
        <v>0</v>
      </c>
      <c r="AF1334" s="154"/>
      <c r="AG1334" s="243" t="b">
        <f t="shared" si="7"/>
        <v>0</v>
      </c>
      <c r="AH1334" s="154"/>
      <c r="AI1334" s="243" t="str">
        <f t="shared" si="5"/>
        <v>N/A</v>
      </c>
      <c r="AJ1334" s="157" t="str">
        <f t="shared" si="6"/>
        <v/>
      </c>
    </row>
    <row r="1335" ht="12.75" customHeight="1">
      <c r="A1335" s="244" t="s">
        <v>2412</v>
      </c>
      <c r="B1335" s="244" t="s">
        <v>3484</v>
      </c>
      <c r="C1335" s="244" t="s">
        <v>3561</v>
      </c>
      <c r="D1335" s="154" t="s">
        <v>492</v>
      </c>
      <c r="E1335" s="250"/>
      <c r="F1335" s="154" t="str">
        <f t="array" ref="F1335">XLOOKUP(Cover!$D$12,$S$1:$AA$1,$S1335:$AA1335)</f>
        <v>Mandatory</v>
      </c>
      <c r="G1335" s="154" t="s">
        <v>3562</v>
      </c>
      <c r="H1335" s="154" t="s">
        <v>357</v>
      </c>
      <c r="I1335" s="154" t="s">
        <v>414</v>
      </c>
      <c r="J1335" s="247" t="s">
        <v>445</v>
      </c>
      <c r="K1335" s="154"/>
      <c r="L1335" s="154" t="str">
        <f t="shared" si="1"/>
        <v/>
      </c>
      <c r="M1335" s="248" t="str">
        <f>IFERROR(__xludf.DUMMYFUNCTION("VLOOKUP(C1335,IMPORTRANGE(""https://docs.google.com/spreadsheets/d/1P8eX0NWBhUPS_hvzA11R6jkTNFrPrRYIx_dX_hYbxrk/edit?resourcekey=0-iw9bsKY2OqkUHCFMkCar3A&amp;gid=2055363397#gid=2055363397"",""MTR!C:O""),11,false)"),"PMW-MCE-NAS")</f>
        <v>PMW-MCE-NAS</v>
      </c>
      <c r="N1335" s="248" t="str">
        <f>IFERROR(__xludf.DUMMYFUNCTION("VLOOKUP(C1335,IMPORTRANGE(""https://docs.google.com/spreadsheets/d/1ihFlp3_ePlYtFuPbUNbYj1muErVpI73WHXbEwJDIA7Q/edit#gid=1493122344"",""MTR!C:O""),8,false)"),"Complies")</f>
        <v>Complies</v>
      </c>
      <c r="O1335" s="241" t="str">
        <f>IFERROR(__xludf.DUMMYFUNCTION("VLOOKUP(C1335,IMPORTRANGE(""https://docs.google.com/spreadsheets/d/1P8eX0NWBhUPS_hvzA11R6jkTNFrPrRYIx_dX_hYbxrk/edit?resourcekey=0-iw9bsKY2OqkUHCFMkCar3A&amp;gid=2055363397#gid=2055363397"",""MTR!C:O""),9,false)"),"")</f>
        <v/>
      </c>
      <c r="P1335" s="241"/>
      <c r="Q1335" s="251" t="s">
        <v>445</v>
      </c>
      <c r="R1335" s="241"/>
      <c r="S1335" s="154" t="s">
        <v>64</v>
      </c>
      <c r="T1335" s="154" t="s">
        <v>60</v>
      </c>
      <c r="U1335" s="154" t="s">
        <v>60</v>
      </c>
      <c r="V1335" s="154" t="s">
        <v>60</v>
      </c>
      <c r="W1335" s="154" t="s">
        <v>60</v>
      </c>
      <c r="X1335" s="154" t="s">
        <v>60</v>
      </c>
      <c r="Y1335" s="154" t="s">
        <v>60</v>
      </c>
      <c r="Z1335" s="154" t="s">
        <v>60</v>
      </c>
      <c r="AA1335" s="154" t="s">
        <v>60</v>
      </c>
      <c r="AB1335" s="154"/>
      <c r="AC1335" s="242" t="b">
        <f t="shared" si="2"/>
        <v>1</v>
      </c>
      <c r="AD1335" s="154" t="s">
        <v>391</v>
      </c>
      <c r="AE1335" s="243" t="b">
        <f t="shared" si="3"/>
        <v>0</v>
      </c>
      <c r="AF1335" s="154"/>
      <c r="AG1335" s="243" t="b">
        <f t="shared" si="7"/>
        <v>0</v>
      </c>
      <c r="AH1335" s="154"/>
      <c r="AI1335" s="243" t="str">
        <f t="shared" si="5"/>
        <v>N/A</v>
      </c>
      <c r="AJ1335" s="157" t="str">
        <f t="shared" si="6"/>
        <v/>
      </c>
    </row>
    <row r="1336" ht="12.75" customHeight="1">
      <c r="A1336" s="244" t="s">
        <v>2412</v>
      </c>
      <c r="B1336" s="244" t="s">
        <v>3484</v>
      </c>
      <c r="C1336" s="244" t="s">
        <v>3563</v>
      </c>
      <c r="D1336" s="154" t="s">
        <v>492</v>
      </c>
      <c r="E1336" s="250"/>
      <c r="F1336" s="154" t="str">
        <f t="array" ref="F1336">XLOOKUP(Cover!$D$12,$S$1:$AA$1,$S1336:$AA1336)</f>
        <v>Mandatory</v>
      </c>
      <c r="G1336" s="154" t="s">
        <v>3564</v>
      </c>
      <c r="H1336" s="154" t="s">
        <v>357</v>
      </c>
      <c r="I1336" s="154" t="s">
        <v>414</v>
      </c>
      <c r="J1336" s="247" t="s">
        <v>445</v>
      </c>
      <c r="K1336" s="247" t="s">
        <v>3565</v>
      </c>
      <c r="L1336" s="154" t="str">
        <f t="shared" si="1"/>
        <v/>
      </c>
      <c r="M1336" s="248" t="str">
        <f>IFERROR(__xludf.DUMMYFUNCTION("VLOOKUP(C1336,IMPORTRANGE(""https://docs.google.com/spreadsheets/d/1P8eX0NWBhUPS_hvzA11R6jkTNFrPrRYIx_dX_hYbxrk/edit?resourcekey=0-iw9bsKY2OqkUHCFMkCar3A&amp;gid=2055363397#gid=2055363397"",""MTR!C:O""),11,false)"),"PMW-MCE-NAS")</f>
        <v>PMW-MCE-NAS</v>
      </c>
      <c r="N1336" s="248" t="str">
        <f>IFERROR(__xludf.DUMMYFUNCTION("VLOOKUP(C1336,IMPORTRANGE(""https://docs.google.com/spreadsheets/d/1ihFlp3_ePlYtFuPbUNbYj1muErVpI73WHXbEwJDIA7Q/edit#gid=1493122344"",""MTR!C:O""),8,false)"),"Complies")</f>
        <v>Complies</v>
      </c>
      <c r="O1336" s="248" t="str">
        <f>IFERROR(__xludf.DUMMYFUNCTION("VLOOKUP(C1336,IMPORTRANGE(""https://docs.google.com/spreadsheets/d/1P8eX0NWBhUPS_hvzA11R6jkTNFrPrRYIx_dX_hYbxrk/edit?resourcekey=0-iw9bsKY2OqkUHCFMkCar3A&amp;gid=2055363397#gid=2055363397"",""MTR!C:O""),9,false)"),"Free NVM: 795.684 KB 
Free Ram: 16.148 KB")</f>
        <v>Free NVM: 795.684 KB 
Free Ram: 16.148 KB</v>
      </c>
      <c r="P1336" s="248"/>
      <c r="Q1336" s="249" t="s">
        <v>445</v>
      </c>
      <c r="R1336" s="249" t="s">
        <v>3565</v>
      </c>
      <c r="S1336" s="154" t="s">
        <v>64</v>
      </c>
      <c r="T1336" s="154" t="s">
        <v>60</v>
      </c>
      <c r="U1336" s="154" t="s">
        <v>60</v>
      </c>
      <c r="V1336" s="154" t="s">
        <v>60</v>
      </c>
      <c r="W1336" s="154" t="s">
        <v>60</v>
      </c>
      <c r="X1336" s="154" t="s">
        <v>60</v>
      </c>
      <c r="Y1336" s="154" t="s">
        <v>60</v>
      </c>
      <c r="Z1336" s="154" t="s">
        <v>60</v>
      </c>
      <c r="AA1336" s="154" t="s">
        <v>60</v>
      </c>
      <c r="AB1336" s="154"/>
      <c r="AC1336" s="242" t="b">
        <f t="shared" si="2"/>
        <v>1</v>
      </c>
      <c r="AD1336" s="154" t="s">
        <v>391</v>
      </c>
      <c r="AE1336" s="243" t="b">
        <f t="shared" si="3"/>
        <v>0</v>
      </c>
      <c r="AF1336" s="154"/>
      <c r="AG1336" s="243" t="b">
        <f t="shared" si="7"/>
        <v>0</v>
      </c>
      <c r="AH1336" s="154"/>
      <c r="AI1336" s="243" t="str">
        <f t="shared" si="5"/>
        <v>N/A</v>
      </c>
      <c r="AJ1336" s="157" t="str">
        <f t="shared" si="6"/>
        <v/>
      </c>
    </row>
    <row r="1337" ht="12.75" customHeight="1">
      <c r="A1337" s="244" t="s">
        <v>2412</v>
      </c>
      <c r="B1337" s="244" t="s">
        <v>3484</v>
      </c>
      <c r="C1337" s="244" t="s">
        <v>3566</v>
      </c>
      <c r="D1337" s="154" t="s">
        <v>542</v>
      </c>
      <c r="E1337" s="250"/>
      <c r="F1337" s="154" t="str">
        <f t="array" ref="F1337">XLOOKUP(Cover!$D$12,$S$1:$AA$1,$S1337:$AA1337)</f>
        <v>Mandatory</v>
      </c>
      <c r="G1337" s="154" t="s">
        <v>3567</v>
      </c>
      <c r="H1337" s="154" t="s">
        <v>357</v>
      </c>
      <c r="I1337" s="154" t="s">
        <v>414</v>
      </c>
      <c r="J1337" s="247" t="s">
        <v>506</v>
      </c>
      <c r="K1337" s="247" t="s">
        <v>3568</v>
      </c>
      <c r="L1337" s="154" t="str">
        <f t="shared" si="1"/>
        <v/>
      </c>
      <c r="M1337" s="248" t="str">
        <f>IFERROR(__xludf.DUMMYFUNCTION("VLOOKUP(C1337,IMPORTRANGE(""https://docs.google.com/spreadsheets/d/1P8eX0NWBhUPS_hvzA11R6jkTNFrPrRYIx_dX_hYbxrk/edit?resourcekey=0-iw9bsKY2OqkUHCFMkCar3A&amp;gid=2055363397#gid=2055363397"",""MTR!C:O""),11,false)"),"TAM")</f>
        <v>TAM</v>
      </c>
      <c r="N1337" s="248" t="str">
        <f>IFERROR(__xludf.DUMMYFUNCTION("VLOOKUP(C1337,IMPORTRANGE(""https://docs.google.com/spreadsheets/d/1ihFlp3_ePlYtFuPbUNbYj1muErVpI73WHXbEwJDIA7Q/edit#gid=1493122344"",""MTR!C:O""),8,false)"),"Partially Complies")</f>
        <v>Partially Complies</v>
      </c>
      <c r="O1337" s="248" t="str">
        <f>IFERROR(__xludf.DUMMYFUNCTION("VLOOKUP(C1337,IMPORTRANGE(""https://docs.google.com/spreadsheets/d/1P8eX0NWBhUPS_hvzA11R6jkTNFrPrRYIx_dX_hYbxrk/edit?resourcekey=0-iw9bsKY2OqkUHCFMkCar3A&amp;gid=2055363397#gid=2055363397"",""MTR!C:O""),9,false)"),"Google eSIM solution support SCP02, SCP03, SCP11, SCP80, SCP81 but not OTA80")</f>
        <v>Google eSIM solution support SCP02, SCP03, SCP11, SCP80, SCP81 but not OTA80</v>
      </c>
      <c r="P1337" s="248"/>
      <c r="Q1337" s="249" t="s">
        <v>506</v>
      </c>
      <c r="R1337" s="249" t="s">
        <v>3568</v>
      </c>
      <c r="S1337" s="154" t="s">
        <v>64</v>
      </c>
      <c r="T1337" s="154" t="s">
        <v>60</v>
      </c>
      <c r="U1337" s="154" t="s">
        <v>60</v>
      </c>
      <c r="V1337" s="154" t="s">
        <v>60</v>
      </c>
      <c r="W1337" s="154" t="s">
        <v>60</v>
      </c>
      <c r="X1337" s="154" t="s">
        <v>60</v>
      </c>
      <c r="Y1337" s="154" t="s">
        <v>60</v>
      </c>
      <c r="Z1337" s="154" t="s">
        <v>60</v>
      </c>
      <c r="AA1337" s="154" t="s">
        <v>60</v>
      </c>
      <c r="AB1337" s="154"/>
      <c r="AC1337" s="242" t="b">
        <f t="shared" si="2"/>
        <v>1</v>
      </c>
      <c r="AD1337" s="154" t="s">
        <v>391</v>
      </c>
      <c r="AE1337" s="243" t="b">
        <f t="shared" si="3"/>
        <v>0</v>
      </c>
      <c r="AF1337" s="154"/>
      <c r="AG1337" s="243" t="b">
        <f t="shared" si="7"/>
        <v>0</v>
      </c>
      <c r="AH1337" s="154"/>
      <c r="AI1337" s="243" t="str">
        <f t="shared" si="5"/>
        <v>N/A</v>
      </c>
      <c r="AJ1337" s="157" t="str">
        <f t="shared" si="6"/>
        <v/>
      </c>
    </row>
    <row r="1338" ht="12.75" customHeight="1">
      <c r="A1338" s="244" t="s">
        <v>2412</v>
      </c>
      <c r="B1338" s="244" t="s">
        <v>3484</v>
      </c>
      <c r="C1338" s="244" t="s">
        <v>3569</v>
      </c>
      <c r="D1338" s="154" t="s">
        <v>1315</v>
      </c>
      <c r="E1338" s="250"/>
      <c r="F1338" s="154" t="str">
        <f t="array" ref="F1338">XLOOKUP(Cover!$D$12,$S$1:$AA$1,$S1338:$AA1338)</f>
        <v>Mandatory</v>
      </c>
      <c r="G1338" s="154" t="s">
        <v>3570</v>
      </c>
      <c r="H1338" s="154" t="s">
        <v>357</v>
      </c>
      <c r="I1338" s="154" t="s">
        <v>414</v>
      </c>
      <c r="J1338" s="247" t="s">
        <v>516</v>
      </c>
      <c r="K1338" s="247" t="s">
        <v>3571</v>
      </c>
      <c r="L1338" s="154" t="str">
        <f t="shared" si="1"/>
        <v/>
      </c>
      <c r="M1338" s="248" t="str">
        <f>IFERROR(__xludf.DUMMYFUNCTION("VLOOKUP(C1338,IMPORTRANGE(""https://docs.google.com/spreadsheets/d/1P8eX0NWBhUPS_hvzA11R6jkTNFrPrRYIx_dX_hYbxrk/edit?resourcekey=0-iw9bsKY2OqkUHCFMkCar3A&amp;gid=2055363397#gid=2055363397"",""MTR!C:O""),11,false)"),"eSIM")</f>
        <v>eSIM</v>
      </c>
      <c r="N1338" s="248" t="str">
        <f>IFERROR(__xludf.DUMMYFUNCTION("VLOOKUP(C1338,IMPORTRANGE(""https://docs.google.com/spreadsheets/d/1ihFlp3_ePlYtFuPbUNbYj1muErVpI73WHXbEwJDIA7Q/edit#gid=1493122344"",""MTR!C:O""),8,false)"),"Does Not Comply")</f>
        <v>Does Not Comply</v>
      </c>
      <c r="O1338" s="248" t="str">
        <f>IFERROR(__xludf.DUMMYFUNCTION("VLOOKUP(C1338,IMPORTRANGE(""https://docs.google.com/spreadsheets/d/1P8eX0NWBhUPS_hvzA11R6jkTNFrPrRYIx_dX_hYbxrk/edit?resourcekey=0-iw9bsKY2OqkUHCFMkCar3A&amp;gid=2055363397#gid=2055363397"",""MTR!C:O""),9,false)"),"eSIM baseline limitation.
We support Compact Format” ‘8B’ instead.
The EF is present from first specification but was not required by the customers till now as no major advantages and only the compact mode was used.")</f>
        <v>eSIM baseline limitation.
We support Compact Format” ‘8B’ instead.
The EF is present from first specification but was not required by the customers till now as no major advantages and only the compact mode was used.</v>
      </c>
      <c r="P1338" s="248"/>
      <c r="Q1338" s="249" t="s">
        <v>516</v>
      </c>
      <c r="R1338" s="249" t="s">
        <v>3571</v>
      </c>
      <c r="S1338" s="154" t="s">
        <v>64</v>
      </c>
      <c r="T1338" s="154" t="s">
        <v>60</v>
      </c>
      <c r="U1338" s="154" t="s">
        <v>60</v>
      </c>
      <c r="V1338" s="154" t="s">
        <v>60</v>
      </c>
      <c r="W1338" s="154" t="s">
        <v>60</v>
      </c>
      <c r="X1338" s="154" t="s">
        <v>60</v>
      </c>
      <c r="Y1338" s="154" t="s">
        <v>60</v>
      </c>
      <c r="Z1338" s="154" t="s">
        <v>60</v>
      </c>
      <c r="AA1338" s="154" t="s">
        <v>60</v>
      </c>
      <c r="AB1338" s="154"/>
      <c r="AC1338" s="242" t="b">
        <f t="shared" si="2"/>
        <v>1</v>
      </c>
      <c r="AD1338" s="154" t="s">
        <v>391</v>
      </c>
      <c r="AE1338" s="243" t="b">
        <f t="shared" si="3"/>
        <v>0</v>
      </c>
      <c r="AF1338" s="154"/>
      <c r="AG1338" s="243" t="b">
        <f t="shared" si="7"/>
        <v>0</v>
      </c>
      <c r="AH1338" s="154"/>
      <c r="AI1338" s="243" t="str">
        <f t="shared" si="5"/>
        <v>N/A</v>
      </c>
      <c r="AJ1338" s="157" t="str">
        <f t="shared" si="6"/>
        <v/>
      </c>
    </row>
    <row r="1339" ht="12.75" customHeight="1">
      <c r="A1339" s="244" t="s">
        <v>2412</v>
      </c>
      <c r="B1339" s="244" t="s">
        <v>3484</v>
      </c>
      <c r="C1339" s="244" t="s">
        <v>3572</v>
      </c>
      <c r="D1339" s="154" t="s">
        <v>546</v>
      </c>
      <c r="E1339" s="250"/>
      <c r="F1339" s="154" t="str">
        <f t="array" ref="F1339">XLOOKUP(Cover!$D$12,$S$1:$AA$1,$S1339:$AA1339)</f>
        <v>Mandatory</v>
      </c>
      <c r="G1339" s="154" t="s">
        <v>3573</v>
      </c>
      <c r="H1339" s="154" t="s">
        <v>357</v>
      </c>
      <c r="I1339" s="154" t="s">
        <v>414</v>
      </c>
      <c r="J1339" s="247" t="s">
        <v>445</v>
      </c>
      <c r="K1339" s="247" t="s">
        <v>3574</v>
      </c>
      <c r="L1339" s="154" t="str">
        <f t="shared" si="1"/>
        <v/>
      </c>
      <c r="M1339" s="248" t="str">
        <f>IFERROR(__xludf.DUMMYFUNCTION("VLOOKUP(C1339,IMPORTRANGE(""https://docs.google.com/spreadsheets/d/1P8eX0NWBhUPS_hvzA11R6jkTNFrPrRYIx_dX_hYbxrk/edit?resourcekey=0-iw9bsKY2OqkUHCFMkCar3A&amp;gid=2055363397#gid=2055363397"",""MTR!C:O""),11,false)"),"PMW-MCE-NAS")</f>
        <v>PMW-MCE-NAS</v>
      </c>
      <c r="N1339" s="248" t="str">
        <f>IFERROR(__xludf.DUMMYFUNCTION("VLOOKUP(C1339,IMPORTRANGE(""https://docs.google.com/spreadsheets/d/1ihFlp3_ePlYtFuPbUNbYj1muErVpI73WHXbEwJDIA7Q/edit#gid=1493122344"",""MTR!C:O""),8,false)"),"Complies")</f>
        <v>Complies</v>
      </c>
      <c r="O1339" s="248" t="str">
        <f>IFERROR(__xludf.DUMMYFUNCTION("VLOOKUP(C1339,IMPORTRANGE(""https://docs.google.com/spreadsheets/d/1P8eX0NWBhUPS_hvzA11R6jkTNFrPrRYIx_dX_hYbxrk/edit?resourcekey=0-iw9bsKY2OqkUHCFMkCar3A&amp;gid=2055363397#gid=2055363397"",""MTR!C:O""),9,false)"),"3.0.5.")</f>
        <v>3.0.5.</v>
      </c>
      <c r="P1339" s="248"/>
      <c r="Q1339" s="249" t="s">
        <v>445</v>
      </c>
      <c r="R1339" s="249" t="s">
        <v>3574</v>
      </c>
      <c r="S1339" s="154" t="s">
        <v>64</v>
      </c>
      <c r="T1339" s="154" t="s">
        <v>60</v>
      </c>
      <c r="U1339" s="154" t="s">
        <v>60</v>
      </c>
      <c r="V1339" s="154" t="s">
        <v>60</v>
      </c>
      <c r="W1339" s="154" t="s">
        <v>60</v>
      </c>
      <c r="X1339" s="154" t="s">
        <v>60</v>
      </c>
      <c r="Y1339" s="154" t="s">
        <v>60</v>
      </c>
      <c r="Z1339" s="154" t="s">
        <v>60</v>
      </c>
      <c r="AA1339" s="154" t="s">
        <v>60</v>
      </c>
      <c r="AB1339" s="154"/>
      <c r="AC1339" s="242" t="b">
        <f t="shared" si="2"/>
        <v>1</v>
      </c>
      <c r="AD1339" s="154" t="s">
        <v>391</v>
      </c>
      <c r="AE1339" s="243" t="b">
        <f t="shared" si="3"/>
        <v>0</v>
      </c>
      <c r="AF1339" s="154"/>
      <c r="AG1339" s="243" t="b">
        <f t="shared" si="7"/>
        <v>0</v>
      </c>
      <c r="AH1339" s="154"/>
      <c r="AI1339" s="243" t="str">
        <f t="shared" si="5"/>
        <v>N/A</v>
      </c>
      <c r="AJ1339" s="157" t="str">
        <f t="shared" si="6"/>
        <v/>
      </c>
    </row>
    <row r="1340" ht="12.75" customHeight="1">
      <c r="A1340" s="244" t="s">
        <v>2412</v>
      </c>
      <c r="B1340" s="244" t="s">
        <v>3484</v>
      </c>
      <c r="C1340" s="244" t="s">
        <v>3575</v>
      </c>
      <c r="D1340" s="154" t="s">
        <v>861</v>
      </c>
      <c r="E1340" s="250"/>
      <c r="F1340" s="154" t="str">
        <f t="array" ref="F1340">XLOOKUP(Cover!$D$12,$S$1:$AA$1,$S1340:$AA1340)</f>
        <v>Mandatory</v>
      </c>
      <c r="G1340" s="154" t="s">
        <v>3576</v>
      </c>
      <c r="H1340" s="154" t="s">
        <v>357</v>
      </c>
      <c r="I1340" s="154" t="s">
        <v>414</v>
      </c>
      <c r="J1340" s="247" t="s">
        <v>445</v>
      </c>
      <c r="K1340" s="247"/>
      <c r="L1340" s="154" t="str">
        <f t="shared" si="1"/>
        <v/>
      </c>
      <c r="M1340" s="248" t="str">
        <f>IFERROR(__xludf.DUMMYFUNCTION("VLOOKUP(C1340,IMPORTRANGE(""https://docs.google.com/spreadsheets/d/1P8eX0NWBhUPS_hvzA11R6jkTNFrPrRYIx_dX_hYbxrk/edit?resourcekey=0-iw9bsKY2OqkUHCFMkCar3A&amp;gid=2055363397#gid=2055363397"",""MTR!C:O""),11,false)"),"eSIM")</f>
        <v>eSIM</v>
      </c>
      <c r="N1340" s="248" t="str">
        <f>IFERROR(__xludf.DUMMYFUNCTION("VLOOKUP(C1340,IMPORTRANGE(""https://docs.google.com/spreadsheets/d/1ihFlp3_ePlYtFuPbUNbYj1muErVpI73WHXbEwJDIA7Q/edit#gid=1493122344"",""MTR!C:O""),8,false)"),"Complies")</f>
        <v>Complies</v>
      </c>
      <c r="O1340" s="241" t="str">
        <f>IFERROR(__xludf.DUMMYFUNCTION("VLOOKUP(C1340,IMPORTRANGE(""https://docs.google.com/spreadsheets/d/1P8eX0NWBhUPS_hvzA11R6jkTNFrPrRYIx_dX_hYbxrk/edit?resourcekey=0-iw9bsKY2OqkUHCFMkCar3A&amp;gid=2055363397#gid=2055363397"",""MTR!C:O""),9,false)"),"")</f>
        <v/>
      </c>
      <c r="P1340" s="241"/>
      <c r="Q1340" s="251" t="s">
        <v>445</v>
      </c>
      <c r="R1340" s="251"/>
      <c r="S1340" s="154" t="s">
        <v>64</v>
      </c>
      <c r="T1340" s="154" t="s">
        <v>60</v>
      </c>
      <c r="U1340" s="154" t="s">
        <v>60</v>
      </c>
      <c r="V1340" s="154" t="s">
        <v>60</v>
      </c>
      <c r="W1340" s="154" t="s">
        <v>60</v>
      </c>
      <c r="X1340" s="154" t="s">
        <v>60</v>
      </c>
      <c r="Y1340" s="154" t="s">
        <v>60</v>
      </c>
      <c r="Z1340" s="154" t="s">
        <v>60</v>
      </c>
      <c r="AA1340" s="154" t="s">
        <v>60</v>
      </c>
      <c r="AB1340" s="154"/>
      <c r="AC1340" s="242" t="b">
        <f t="shared" si="2"/>
        <v>1</v>
      </c>
      <c r="AD1340" s="154" t="s">
        <v>391</v>
      </c>
      <c r="AE1340" s="243" t="b">
        <f t="shared" si="3"/>
        <v>0</v>
      </c>
      <c r="AF1340" s="154"/>
      <c r="AG1340" s="243" t="b">
        <f t="shared" si="7"/>
        <v>0</v>
      </c>
      <c r="AH1340" s="154"/>
      <c r="AI1340" s="243" t="str">
        <f t="shared" si="5"/>
        <v>N/A</v>
      </c>
      <c r="AJ1340" s="157" t="str">
        <f t="shared" si="6"/>
        <v/>
      </c>
    </row>
    <row r="1341" ht="12.75" customHeight="1">
      <c r="A1341" s="238" t="s">
        <v>2412</v>
      </c>
      <c r="B1341" s="238" t="s">
        <v>3577</v>
      </c>
      <c r="C1341" s="238" t="s">
        <v>3578</v>
      </c>
      <c r="D1341" s="238"/>
      <c r="E1341" s="238"/>
      <c r="F1341" s="154" t="str">
        <f t="array" ref="F1341">XLOOKUP(Cover!$D$12,$S$1:$AA$1,$S1341:$AA1341)</f>
        <v>Heading</v>
      </c>
      <c r="G1341" s="239" t="s">
        <v>3579</v>
      </c>
      <c r="H1341" s="240"/>
      <c r="I1341" s="240" t="s">
        <v>420</v>
      </c>
      <c r="J1341" s="240"/>
      <c r="K1341" s="240"/>
      <c r="L1341" s="154" t="str">
        <f t="shared" si="1"/>
        <v/>
      </c>
      <c r="M1341" s="241" t="str">
        <f>IFERROR(__xludf.DUMMYFUNCTION("VLOOKUP(C1341,IMPORTRANGE(""https://docs.google.com/spreadsheets/d/1P8eX0NWBhUPS_hvzA11R6jkTNFrPrRYIx_dX_hYbxrk/edit?resourcekey=0-iw9bsKY2OqkUHCFMkCar3A&amp;gid=2055363397#gid=2055363397"",""MTR!C:O""),11,false)"),"")</f>
        <v/>
      </c>
      <c r="N1341" s="241" t="str">
        <f>IFERROR(__xludf.DUMMYFUNCTION("VLOOKUP(C1341,IMPORTRANGE(""https://docs.google.com/spreadsheets/d/1ihFlp3_ePlYtFuPbUNbYj1muErVpI73WHXbEwJDIA7Q/edit#gid=1493122344"",""MTR!C:O""),8,false)"),"")</f>
        <v/>
      </c>
      <c r="O1341" s="241" t="str">
        <f>IFERROR(__xludf.DUMMYFUNCTION("VLOOKUP(C1341,IMPORTRANGE(""https://docs.google.com/spreadsheets/d/1P8eX0NWBhUPS_hvzA11R6jkTNFrPrRYIx_dX_hYbxrk/edit?resourcekey=0-iw9bsKY2OqkUHCFMkCar3A&amp;gid=2055363397#gid=2055363397"",""MTR!C:O""),9,false)"),"")</f>
        <v/>
      </c>
      <c r="P1341" s="241"/>
      <c r="Q1341" s="251"/>
      <c r="R1341" s="241"/>
      <c r="S1341" s="240" t="s">
        <v>390</v>
      </c>
      <c r="T1341" s="240" t="s">
        <v>390</v>
      </c>
      <c r="U1341" s="240" t="s">
        <v>390</v>
      </c>
      <c r="V1341" s="240" t="s">
        <v>390</v>
      </c>
      <c r="W1341" s="240" t="s">
        <v>390</v>
      </c>
      <c r="X1341" s="240" t="s">
        <v>390</v>
      </c>
      <c r="Y1341" s="240" t="s">
        <v>390</v>
      </c>
      <c r="Z1341" s="240" t="s">
        <v>390</v>
      </c>
      <c r="AA1341" s="240" t="s">
        <v>390</v>
      </c>
      <c r="AB1341" s="240"/>
      <c r="AC1341" s="242" t="b">
        <f t="shared" si="2"/>
        <v>0</v>
      </c>
      <c r="AD1341" s="240" t="s">
        <v>391</v>
      </c>
      <c r="AE1341" s="243" t="b">
        <f t="shared" si="3"/>
        <v>0</v>
      </c>
      <c r="AF1341" s="240"/>
      <c r="AG1341" s="243" t="b">
        <f t="shared" si="7"/>
        <v>0</v>
      </c>
      <c r="AH1341" s="240"/>
      <c r="AI1341" s="243" t="str">
        <f t="shared" si="5"/>
        <v>N/A</v>
      </c>
      <c r="AJ1341" s="157" t="str">
        <f t="shared" si="6"/>
        <v/>
      </c>
    </row>
    <row r="1342" ht="12.75" customHeight="1">
      <c r="A1342" s="244" t="s">
        <v>2412</v>
      </c>
      <c r="B1342" s="244" t="s">
        <v>3577</v>
      </c>
      <c r="C1342" s="245" t="s">
        <v>3580</v>
      </c>
      <c r="D1342" s="155" t="s">
        <v>861</v>
      </c>
      <c r="E1342" s="246" t="s">
        <v>92</v>
      </c>
      <c r="F1342" s="154" t="str">
        <f t="array" ref="F1342">XLOOKUP(Cover!$D$12,$S$1:$AA$1,$S1342:$AA1342)</f>
        <v>Recommended</v>
      </c>
      <c r="G1342" s="154" t="s">
        <v>3581</v>
      </c>
      <c r="H1342" s="154"/>
      <c r="I1342" s="154" t="s">
        <v>420</v>
      </c>
      <c r="J1342" s="247" t="s">
        <v>445</v>
      </c>
      <c r="K1342" s="154"/>
      <c r="L1342" s="154" t="str">
        <f t="shared" si="1"/>
        <v/>
      </c>
      <c r="M1342" s="248" t="str">
        <f>IFERROR(__xludf.DUMMYFUNCTION("VLOOKUP(C1342,IMPORTRANGE(""https://docs.google.com/spreadsheets/d/1P8eX0NWBhUPS_hvzA11R6jkTNFrPrRYIx_dX_hYbxrk/edit?resourcekey=0-iw9bsKY2OqkUHCFMkCar3A&amp;gid=2055363397#gid=2055363397"",""MTR!C:O""),11,false)"),"pixel-carrier-triage")</f>
        <v>pixel-carrier-triage</v>
      </c>
      <c r="N1342" s="248" t="str">
        <f>IFERROR(__xludf.DUMMYFUNCTION("VLOOKUP(C1342,IMPORTRANGE(""https://docs.google.com/spreadsheets/d/1ihFlp3_ePlYtFuPbUNbYj1muErVpI73WHXbEwJDIA7Q/edit#gid=1493122344"",""MTR!C:O""),8,false)"),"Complies")</f>
        <v>Complies</v>
      </c>
      <c r="O1342" s="241" t="str">
        <f>IFERROR(__xludf.DUMMYFUNCTION("VLOOKUP(C1342,IMPORTRANGE(""https://docs.google.com/spreadsheets/d/1P8eX0NWBhUPS_hvzA11R6jkTNFrPrRYIx_dX_hYbxrk/edit?resourcekey=0-iw9bsKY2OqkUHCFMkCar3A&amp;gid=2055363397#gid=2055363397"",""MTR!C:O""),9,false)"),"")</f>
        <v/>
      </c>
      <c r="P1342" s="241"/>
      <c r="Q1342" s="251" t="s">
        <v>445</v>
      </c>
      <c r="R1342" s="241"/>
      <c r="S1342" s="154" t="s">
        <v>64</v>
      </c>
      <c r="T1342" s="154" t="s">
        <v>64</v>
      </c>
      <c r="U1342" s="154" t="s">
        <v>64</v>
      </c>
      <c r="V1342" s="154" t="s">
        <v>64</v>
      </c>
      <c r="W1342" s="154" t="s">
        <v>64</v>
      </c>
      <c r="X1342" s="154" t="s">
        <v>64</v>
      </c>
      <c r="Y1342" s="154" t="s">
        <v>64</v>
      </c>
      <c r="Z1342" s="154" t="s">
        <v>64</v>
      </c>
      <c r="AA1342" s="154" t="s">
        <v>64</v>
      </c>
      <c r="AB1342" s="154"/>
      <c r="AC1342" s="242" t="b">
        <f t="shared" si="2"/>
        <v>1</v>
      </c>
      <c r="AD1342" s="154" t="s">
        <v>391</v>
      </c>
      <c r="AE1342" s="243" t="b">
        <f t="shared" si="3"/>
        <v>0</v>
      </c>
      <c r="AF1342" s="154"/>
      <c r="AG1342" s="243" t="b">
        <f t="shared" si="7"/>
        <v>0</v>
      </c>
      <c r="AH1342" s="154"/>
      <c r="AI1342" s="243" t="str">
        <f t="shared" si="5"/>
        <v>N/A</v>
      </c>
      <c r="AJ1342" s="157" t="str">
        <f t="shared" si="6"/>
        <v/>
      </c>
    </row>
    <row r="1343" ht="12.75" customHeight="1">
      <c r="A1343" s="244" t="s">
        <v>2412</v>
      </c>
      <c r="B1343" s="244" t="s">
        <v>3577</v>
      </c>
      <c r="C1343" s="255" t="s">
        <v>3582</v>
      </c>
      <c r="D1343" s="256" t="s">
        <v>42</v>
      </c>
      <c r="E1343" s="257" t="s">
        <v>489</v>
      </c>
      <c r="F1343" s="154" t="str">
        <f t="array" ref="F1343">XLOOKUP(Cover!$D$12,$S$1:$AA$1,$S1343:$AA1343)</f>
        <v>Recommended</v>
      </c>
      <c r="G1343" s="154" t="s">
        <v>3583</v>
      </c>
      <c r="H1343" s="154"/>
      <c r="I1343" s="154" t="s">
        <v>420</v>
      </c>
      <c r="J1343" s="247" t="s">
        <v>506</v>
      </c>
      <c r="K1343" s="247" t="s">
        <v>3584</v>
      </c>
      <c r="L1343" s="154" t="str">
        <f t="shared" si="1"/>
        <v/>
      </c>
      <c r="M1343" s="253" t="str">
        <f>IFERROR(__xludf.DUMMYFUNCTION("VLOOKUP(C1343,IMPORTRANGE(""https://docs.google.com/spreadsheets/d/1P8eX0NWBhUPS_hvzA11R6jkTNFrPrRYIx_dX_hYbxrk/edit?resourcekey=0-iw9bsKY2OqkUHCFMkCar3A&amp;gid=2055363397#gid=2055363397"",""MTR!C:O""),11,false)"),"#N/A")</f>
        <v>#N/A</v>
      </c>
      <c r="N1343" s="253" t="str">
        <f>IFERROR(__xludf.DUMMYFUNCTION("VLOOKUP(C1343,IMPORTRANGE(""https://docs.google.com/spreadsheets/d/1ihFlp3_ePlYtFuPbUNbYj1muErVpI73WHXbEwJDIA7Q/edit#gid=1493122344"",""MTR!C:O""),8,false)"),"#N/A")</f>
        <v>#N/A</v>
      </c>
      <c r="O1343" s="253" t="str">
        <f>IFERROR(__xludf.DUMMYFUNCTION("VLOOKUP(C1343,IMPORTRANGE(""https://docs.google.com/spreadsheets/d/1P8eX0NWBhUPS_hvzA11R6jkTNFrPrRYIx_dX_hYbxrk/edit?resourcekey=0-iw9bsKY2OqkUHCFMkCar3A&amp;gid=2055363397#gid=2055363397"",""MTR!C:O""),9,false)"),"#N/A")</f>
        <v>#N/A</v>
      </c>
      <c r="P1343" s="253"/>
      <c r="Q1343" s="259"/>
      <c r="R1343" s="253"/>
      <c r="S1343" s="154" t="s">
        <v>64</v>
      </c>
      <c r="T1343" s="154" t="s">
        <v>64</v>
      </c>
      <c r="U1343" s="154" t="s">
        <v>64</v>
      </c>
      <c r="V1343" s="154" t="s">
        <v>64</v>
      </c>
      <c r="W1343" s="154" t="s">
        <v>64</v>
      </c>
      <c r="X1343" s="154" t="s">
        <v>64</v>
      </c>
      <c r="Y1343" s="154" t="s">
        <v>64</v>
      </c>
      <c r="Z1343" s="154" t="s">
        <v>64</v>
      </c>
      <c r="AA1343" s="154" t="s">
        <v>64</v>
      </c>
      <c r="AB1343" s="154"/>
      <c r="AC1343" s="242" t="b">
        <f t="shared" si="2"/>
        <v>1</v>
      </c>
      <c r="AD1343" s="154" t="s">
        <v>391</v>
      </c>
      <c r="AE1343" s="243" t="b">
        <f t="shared" si="3"/>
        <v>0</v>
      </c>
      <c r="AF1343" s="154"/>
      <c r="AG1343" s="243" t="b">
        <f t="shared" si="7"/>
        <v>0</v>
      </c>
      <c r="AH1343" s="154"/>
      <c r="AI1343" s="243" t="str">
        <f t="shared" si="5"/>
        <v>N/A</v>
      </c>
      <c r="AJ1343" s="157" t="str">
        <f t="shared" si="6"/>
        <v/>
      </c>
    </row>
    <row r="1344" ht="12.75" customHeight="1">
      <c r="A1344" s="244" t="s">
        <v>2412</v>
      </c>
      <c r="B1344" s="244" t="s">
        <v>3577</v>
      </c>
      <c r="C1344" s="245" t="s">
        <v>3585</v>
      </c>
      <c r="D1344" s="155" t="s">
        <v>861</v>
      </c>
      <c r="E1344" s="246" t="s">
        <v>92</v>
      </c>
      <c r="F1344" s="154" t="str">
        <f t="array" ref="F1344">XLOOKUP(Cover!$D$12,$S$1:$AA$1,$S1344:$AA1344)</f>
        <v>Mandatory</v>
      </c>
      <c r="G1344" s="154" t="s">
        <v>3586</v>
      </c>
      <c r="H1344" s="154" t="s">
        <v>359</v>
      </c>
      <c r="I1344" s="154" t="s">
        <v>479</v>
      </c>
      <c r="J1344" s="247" t="s">
        <v>516</v>
      </c>
      <c r="K1344" s="247" t="s">
        <v>3587</v>
      </c>
      <c r="L1344" s="154" t="str">
        <f t="shared" si="1"/>
        <v/>
      </c>
      <c r="M1344" s="248" t="str">
        <f>IFERROR(__xludf.DUMMYFUNCTION("VLOOKUP(C1344,IMPORTRANGE(""https://docs.google.com/spreadsheets/d/1P8eX0NWBhUPS_hvzA11R6jkTNFrPrRYIx_dX_hYbxrk/edit?resourcekey=0-iw9bsKY2OqkUHCFMkCar3A&amp;gid=2055363397#gid=2055363397"",""MTR!C:O""),11,false)"),"pixel-carrier-triage")</f>
        <v>pixel-carrier-triage</v>
      </c>
      <c r="N1344" s="248" t="str">
        <f>IFERROR(__xludf.DUMMYFUNCTION("VLOOKUP(C1344,IMPORTRANGE(""https://docs.google.com/spreadsheets/d/1ihFlp3_ePlYtFuPbUNbYj1muErVpI73WHXbEwJDIA7Q/edit#gid=1493122344"",""MTR!C:O""),8,false)"),"Does Not Comply")</f>
        <v>Does Not Comply</v>
      </c>
      <c r="O1344" s="248" t="str">
        <f>IFERROR(__xludf.DUMMYFUNCTION("VLOOKUP(C1344,IMPORTRANGE(""https://docs.google.com/spreadsheets/d/1P8eX0NWBhUPS_hvzA11R6jkTNFrPrRYIx_dX_hYbxrk/edit?resourcekey=0-iw9bsKY2OqkUHCFMkCar3A&amp;gid=2055363397#gid=2055363397"",""MTR!C:O""),9,false)"),"TS.43 primary device transfer currently MTR-38802 (temp token)")</f>
        <v>TS.43 primary device transfer currently MTR-38802 (temp token)</v>
      </c>
      <c r="P1344" s="248"/>
      <c r="Q1344" s="249" t="s">
        <v>516</v>
      </c>
      <c r="R1344" s="249" t="s">
        <v>3587</v>
      </c>
      <c r="S1344" s="154" t="s">
        <v>64</v>
      </c>
      <c r="T1344" s="154" t="s">
        <v>60</v>
      </c>
      <c r="U1344" s="154" t="s">
        <v>60</v>
      </c>
      <c r="V1344" s="154" t="s">
        <v>60</v>
      </c>
      <c r="W1344" s="154" t="s">
        <v>60</v>
      </c>
      <c r="X1344" s="154" t="s">
        <v>60</v>
      </c>
      <c r="Y1344" s="154" t="s">
        <v>60</v>
      </c>
      <c r="Z1344" s="154" t="s">
        <v>60</v>
      </c>
      <c r="AA1344" s="154" t="s">
        <v>60</v>
      </c>
      <c r="AB1344" s="154"/>
      <c r="AC1344" s="242" t="b">
        <f t="shared" si="2"/>
        <v>1</v>
      </c>
      <c r="AD1344" s="154" t="s">
        <v>391</v>
      </c>
      <c r="AE1344" s="243" t="b">
        <f t="shared" si="3"/>
        <v>0</v>
      </c>
      <c r="AF1344" s="154"/>
      <c r="AG1344" s="243" t="b">
        <f t="shared" si="7"/>
        <v>0</v>
      </c>
      <c r="AH1344" s="154"/>
      <c r="AI1344" s="243" t="str">
        <f t="shared" si="5"/>
        <v>N/A</v>
      </c>
      <c r="AJ1344" s="157" t="str">
        <f t="shared" si="6"/>
        <v/>
      </c>
    </row>
    <row r="1345" ht="12.75" customHeight="1">
      <c r="A1345" s="244" t="s">
        <v>2412</v>
      </c>
      <c r="B1345" s="244" t="s">
        <v>3577</v>
      </c>
      <c r="C1345" s="245" t="s">
        <v>3588</v>
      </c>
      <c r="D1345" s="155" t="s">
        <v>1069</v>
      </c>
      <c r="E1345" s="246" t="s">
        <v>92</v>
      </c>
      <c r="F1345" s="154" t="str">
        <f t="array" ref="F1345">XLOOKUP(Cover!$D$12,$S$1:$AA$1,$S1345:$AA1345)</f>
        <v>Mandatory</v>
      </c>
      <c r="G1345" s="154" t="s">
        <v>3589</v>
      </c>
      <c r="H1345" s="154"/>
      <c r="I1345" s="154" t="s">
        <v>479</v>
      </c>
      <c r="J1345" s="247" t="s">
        <v>445</v>
      </c>
      <c r="K1345" s="247"/>
      <c r="L1345" s="154" t="str">
        <f t="shared" si="1"/>
        <v/>
      </c>
      <c r="M1345" s="248" t="str">
        <f>IFERROR(__xludf.DUMMYFUNCTION("VLOOKUP(C1345,IMPORTRANGE(""https://docs.google.com/spreadsheets/d/1P8eX0NWBhUPS_hvzA11R6jkTNFrPrRYIx_dX_hYbxrk/edit?resourcekey=0-iw9bsKY2OqkUHCFMkCar3A&amp;gid=2055363397#gid=2055363397"",""MTR!C:O""),11,false)"),"pixel-carrier-triage")</f>
        <v>pixel-carrier-triage</v>
      </c>
      <c r="N1345" s="248" t="str">
        <f>IFERROR(__xludf.DUMMYFUNCTION("VLOOKUP(C1345,IMPORTRANGE(""https://docs.google.com/spreadsheets/d/1ihFlp3_ePlYtFuPbUNbYj1muErVpI73WHXbEwJDIA7Q/edit#gid=1493122344"",""MTR!C:O""),8,false)"),"Complies")</f>
        <v>Complies</v>
      </c>
      <c r="O1345" s="241" t="str">
        <f>IFERROR(__xludf.DUMMYFUNCTION("VLOOKUP(C1345,IMPORTRANGE(""https://docs.google.com/spreadsheets/d/1P8eX0NWBhUPS_hvzA11R6jkTNFrPrRYIx_dX_hYbxrk/edit?resourcekey=0-iw9bsKY2OqkUHCFMkCar3A&amp;gid=2055363397#gid=2055363397"",""MTR!C:O""),9,false)"),"")</f>
        <v/>
      </c>
      <c r="P1345" s="241"/>
      <c r="Q1345" s="251" t="s">
        <v>445</v>
      </c>
      <c r="R1345" s="251"/>
      <c r="S1345" s="154" t="s">
        <v>64</v>
      </c>
      <c r="T1345" s="154" t="s">
        <v>60</v>
      </c>
      <c r="U1345" s="154" t="s">
        <v>60</v>
      </c>
      <c r="V1345" s="154" t="s">
        <v>60</v>
      </c>
      <c r="W1345" s="154" t="s">
        <v>60</v>
      </c>
      <c r="X1345" s="154" t="s">
        <v>60</v>
      </c>
      <c r="Y1345" s="154" t="s">
        <v>60</v>
      </c>
      <c r="Z1345" s="154" t="s">
        <v>60</v>
      </c>
      <c r="AA1345" s="154" t="s">
        <v>60</v>
      </c>
      <c r="AB1345" s="154"/>
      <c r="AC1345" s="242" t="b">
        <f t="shared" si="2"/>
        <v>1</v>
      </c>
      <c r="AD1345" s="154" t="s">
        <v>391</v>
      </c>
      <c r="AE1345" s="243" t="b">
        <f t="shared" si="3"/>
        <v>0</v>
      </c>
      <c r="AF1345" s="154"/>
      <c r="AG1345" s="243" t="b">
        <f t="shared" si="7"/>
        <v>0</v>
      </c>
      <c r="AH1345" s="154"/>
      <c r="AI1345" s="243" t="str">
        <f t="shared" si="5"/>
        <v>N/A</v>
      </c>
      <c r="AJ1345" s="157" t="str">
        <f t="shared" si="6"/>
        <v/>
      </c>
    </row>
    <row r="1346" ht="12.75" customHeight="1">
      <c r="A1346" s="244" t="s">
        <v>2412</v>
      </c>
      <c r="B1346" s="244" t="s">
        <v>3577</v>
      </c>
      <c r="C1346" s="245" t="s">
        <v>3590</v>
      </c>
      <c r="D1346" s="155" t="s">
        <v>861</v>
      </c>
      <c r="E1346" s="246" t="s">
        <v>92</v>
      </c>
      <c r="F1346" s="154" t="str">
        <f t="array" ref="F1346">XLOOKUP(Cover!$D$12,$S$1:$AA$1,$S1346:$AA1346)</f>
        <v>Recommended</v>
      </c>
      <c r="G1346" s="154" t="s">
        <v>3591</v>
      </c>
      <c r="H1346" s="154"/>
      <c r="I1346" s="154" t="s">
        <v>420</v>
      </c>
      <c r="J1346" s="247" t="s">
        <v>516</v>
      </c>
      <c r="K1346" s="247" t="s">
        <v>3592</v>
      </c>
      <c r="L1346" s="154" t="str">
        <f t="shared" si="1"/>
        <v/>
      </c>
      <c r="M1346" s="248" t="str">
        <f>IFERROR(__xludf.DUMMYFUNCTION("VLOOKUP(C1346,IMPORTRANGE(""https://docs.google.com/spreadsheets/d/1P8eX0NWBhUPS_hvzA11R6jkTNFrPrRYIx_dX_hYbxrk/edit?resourcekey=0-iw9bsKY2OqkUHCFMkCar3A&amp;gid=2055363397#gid=2055363397"",""MTR!C:O""),11,false)"),"pixel-carrier-triage")</f>
        <v>pixel-carrier-triage</v>
      </c>
      <c r="N1346" s="248" t="str">
        <f>IFERROR(__xludf.DUMMYFUNCTION("VLOOKUP(C1346,IMPORTRANGE(""https://docs.google.com/spreadsheets/d/1ihFlp3_ePlYtFuPbUNbYj1muErVpI73WHXbEwJDIA7Q/edit#gid=1493122344"",""MTR!C:O""),8,false)"),"Does Not Comply")</f>
        <v>Does Not Comply</v>
      </c>
      <c r="O1346" s="248" t="str">
        <f>IFERROR(__xludf.DUMMYFUNCTION("VLOOKUP(C1346,IMPORTRANGE(""https://docs.google.com/spreadsheets/d/1P8eX0NWBhUPS_hvzA11R6jkTNFrPrRYIx_dX_hYbxrk/edit?resourcekey=0-iw9bsKY2OqkUHCFMkCar3A&amp;gid=2055363397#gid=2055363397"",""MTR!C:O""),9,false)"),"Neither Companion ODSA or Primary ODSA are supported by system software. See response to MTR-36153 and MTR-36148.")</f>
        <v>Neither Companion ODSA or Primary ODSA are supported by system software. See response to MTR-36153 and MTR-36148.</v>
      </c>
      <c r="P1346" s="248"/>
      <c r="Q1346" s="249" t="s">
        <v>516</v>
      </c>
      <c r="R1346" s="249" t="s">
        <v>3592</v>
      </c>
      <c r="S1346" s="154" t="s">
        <v>64</v>
      </c>
      <c r="T1346" s="154" t="s">
        <v>64</v>
      </c>
      <c r="U1346" s="154" t="s">
        <v>64</v>
      </c>
      <c r="V1346" s="154" t="s">
        <v>64</v>
      </c>
      <c r="W1346" s="154" t="s">
        <v>64</v>
      </c>
      <c r="X1346" s="154" t="s">
        <v>64</v>
      </c>
      <c r="Y1346" s="154" t="s">
        <v>64</v>
      </c>
      <c r="Z1346" s="154" t="s">
        <v>64</v>
      </c>
      <c r="AA1346" s="154" t="s">
        <v>64</v>
      </c>
      <c r="AB1346" s="154"/>
      <c r="AC1346" s="242" t="b">
        <f t="shared" si="2"/>
        <v>1</v>
      </c>
      <c r="AD1346" s="154" t="s">
        <v>391</v>
      </c>
      <c r="AE1346" s="243" t="b">
        <f t="shared" si="3"/>
        <v>0</v>
      </c>
      <c r="AF1346" s="154"/>
      <c r="AG1346" s="243" t="b">
        <f t="shared" si="7"/>
        <v>0</v>
      </c>
      <c r="AH1346" s="154"/>
      <c r="AI1346" s="243" t="str">
        <f t="shared" si="5"/>
        <v>N/A</v>
      </c>
      <c r="AJ1346" s="157" t="str">
        <f t="shared" si="6"/>
        <v/>
      </c>
    </row>
    <row r="1347" ht="12.75" customHeight="1">
      <c r="A1347" s="244" t="s">
        <v>2412</v>
      </c>
      <c r="B1347" s="244" t="s">
        <v>3577</v>
      </c>
      <c r="C1347" s="245" t="s">
        <v>3593</v>
      </c>
      <c r="D1347" s="155" t="s">
        <v>861</v>
      </c>
      <c r="E1347" s="246" t="s">
        <v>92</v>
      </c>
      <c r="F1347" s="154" t="str">
        <f t="array" ref="F1347">XLOOKUP(Cover!$D$12,$S$1:$AA$1,$S1347:$AA1347)</f>
        <v>Recommended</v>
      </c>
      <c r="G1347" s="154" t="s">
        <v>3594</v>
      </c>
      <c r="H1347" s="154"/>
      <c r="I1347" s="154" t="s">
        <v>420</v>
      </c>
      <c r="J1347" s="247" t="s">
        <v>516</v>
      </c>
      <c r="K1347" s="247"/>
      <c r="L1347" s="154" t="str">
        <f t="shared" si="1"/>
        <v/>
      </c>
      <c r="M1347" s="248" t="str">
        <f>IFERROR(__xludf.DUMMYFUNCTION("VLOOKUP(C1347,IMPORTRANGE(""https://docs.google.com/spreadsheets/d/1P8eX0NWBhUPS_hvzA11R6jkTNFrPrRYIx_dX_hYbxrk/edit?resourcekey=0-iw9bsKY2OqkUHCFMkCar3A&amp;gid=2055363397#gid=2055363397"",""MTR!C:O""),11,false)"),"pixel-carrier-triage")</f>
        <v>pixel-carrier-triage</v>
      </c>
      <c r="N1347" s="248" t="str">
        <f>IFERROR(__xludf.DUMMYFUNCTION("VLOOKUP(C1347,IMPORTRANGE(""https://docs.google.com/spreadsheets/d/1ihFlp3_ePlYtFuPbUNbYj1muErVpI73WHXbEwJDIA7Q/edit#gid=1493122344"",""MTR!C:O""),8,false)"),"Does Not Comply")</f>
        <v>Does Not Comply</v>
      </c>
      <c r="O1347" s="241" t="str">
        <f>IFERROR(__xludf.DUMMYFUNCTION("VLOOKUP(C1347,IMPORTRANGE(""https://docs.google.com/spreadsheets/d/1P8eX0NWBhUPS_hvzA11R6jkTNFrPrRYIx_dX_hYbxrk/edit?resourcekey=0-iw9bsKY2OqkUHCFMkCar3A&amp;gid=2055363397#gid=2055363397"",""MTR!C:O""),9,false)"),"")</f>
        <v/>
      </c>
      <c r="P1347" s="241"/>
      <c r="Q1347" s="251" t="s">
        <v>516</v>
      </c>
      <c r="R1347" s="251"/>
      <c r="S1347" s="154" t="s">
        <v>64</v>
      </c>
      <c r="T1347" s="154" t="s">
        <v>64</v>
      </c>
      <c r="U1347" s="154" t="s">
        <v>64</v>
      </c>
      <c r="V1347" s="154" t="s">
        <v>64</v>
      </c>
      <c r="W1347" s="154" t="s">
        <v>64</v>
      </c>
      <c r="X1347" s="154" t="s">
        <v>64</v>
      </c>
      <c r="Y1347" s="154" t="s">
        <v>64</v>
      </c>
      <c r="Z1347" s="154" t="s">
        <v>64</v>
      </c>
      <c r="AA1347" s="154" t="s">
        <v>64</v>
      </c>
      <c r="AB1347" s="154"/>
      <c r="AC1347" s="242" t="b">
        <f t="shared" si="2"/>
        <v>1</v>
      </c>
      <c r="AD1347" s="154" t="s">
        <v>391</v>
      </c>
      <c r="AE1347" s="243" t="b">
        <f t="shared" si="3"/>
        <v>0</v>
      </c>
      <c r="AF1347" s="154"/>
      <c r="AG1347" s="243" t="b">
        <f t="shared" si="7"/>
        <v>0</v>
      </c>
      <c r="AH1347" s="154"/>
      <c r="AI1347" s="243" t="str">
        <f t="shared" si="5"/>
        <v>N/A</v>
      </c>
      <c r="AJ1347" s="157" t="str">
        <f t="shared" si="6"/>
        <v/>
      </c>
    </row>
    <row r="1348" ht="12.75" customHeight="1">
      <c r="A1348" s="244" t="s">
        <v>2412</v>
      </c>
      <c r="B1348" s="244" t="s">
        <v>3577</v>
      </c>
      <c r="C1348" s="255" t="s">
        <v>3595</v>
      </c>
      <c r="D1348" s="256" t="s">
        <v>42</v>
      </c>
      <c r="E1348" s="257" t="s">
        <v>489</v>
      </c>
      <c r="F1348" s="154" t="str">
        <f t="array" ref="F1348">XLOOKUP(Cover!$D$12,$S$1:$AA$1,$S1348:$AA1348)</f>
        <v>Recommended</v>
      </c>
      <c r="G1348" s="154" t="s">
        <v>3596</v>
      </c>
      <c r="H1348" s="154"/>
      <c r="I1348" s="154" t="s">
        <v>420</v>
      </c>
      <c r="J1348" s="247" t="s">
        <v>506</v>
      </c>
      <c r="K1348" s="260" t="s">
        <v>3597</v>
      </c>
      <c r="L1348" s="154" t="str">
        <f t="shared" si="1"/>
        <v/>
      </c>
      <c r="M1348" s="253" t="str">
        <f>IFERROR(__xludf.DUMMYFUNCTION("VLOOKUP(C1348,IMPORTRANGE(""https://docs.google.com/spreadsheets/d/1P8eX0NWBhUPS_hvzA11R6jkTNFrPrRYIx_dX_hYbxrk/edit?resourcekey=0-iw9bsKY2OqkUHCFMkCar3A&amp;gid=2055363397#gid=2055363397"",""MTR!C:O""),11,false)"),"#N/A")</f>
        <v>#N/A</v>
      </c>
      <c r="N1348" s="253" t="str">
        <f>IFERROR(__xludf.DUMMYFUNCTION("VLOOKUP(C1348,IMPORTRANGE(""https://docs.google.com/spreadsheets/d/1ihFlp3_ePlYtFuPbUNbYj1muErVpI73WHXbEwJDIA7Q/edit#gid=1493122344"",""MTR!C:O""),8,false)"),"#N/A")</f>
        <v>#N/A</v>
      </c>
      <c r="O1348" s="253" t="str">
        <f>IFERROR(__xludf.DUMMYFUNCTION("VLOOKUP(C1348,IMPORTRANGE(""https://docs.google.com/spreadsheets/d/1P8eX0NWBhUPS_hvzA11R6jkTNFrPrRYIx_dX_hYbxrk/edit?resourcekey=0-iw9bsKY2OqkUHCFMkCar3A&amp;gid=2055363397#gid=2055363397"",""MTR!C:O""),9,false)"),"#N/A")</f>
        <v>#N/A</v>
      </c>
      <c r="P1348" s="253"/>
      <c r="Q1348" s="259"/>
      <c r="R1348" s="253"/>
      <c r="S1348" s="154" t="s">
        <v>64</v>
      </c>
      <c r="T1348" s="154" t="s">
        <v>64</v>
      </c>
      <c r="U1348" s="154" t="s">
        <v>64</v>
      </c>
      <c r="V1348" s="154" t="s">
        <v>64</v>
      </c>
      <c r="W1348" s="154" t="s">
        <v>64</v>
      </c>
      <c r="X1348" s="154" t="s">
        <v>64</v>
      </c>
      <c r="Y1348" s="154" t="s">
        <v>64</v>
      </c>
      <c r="Z1348" s="154" t="s">
        <v>64</v>
      </c>
      <c r="AA1348" s="154" t="s">
        <v>64</v>
      </c>
      <c r="AB1348" s="154"/>
      <c r="AC1348" s="242" t="b">
        <f t="shared" si="2"/>
        <v>1</v>
      </c>
      <c r="AD1348" s="154" t="s">
        <v>391</v>
      </c>
      <c r="AE1348" s="243" t="b">
        <f t="shared" si="3"/>
        <v>0</v>
      </c>
      <c r="AF1348" s="154"/>
      <c r="AG1348" s="243" t="b">
        <f t="shared" si="7"/>
        <v>0</v>
      </c>
      <c r="AH1348" s="154"/>
      <c r="AI1348" s="243" t="str">
        <f t="shared" si="5"/>
        <v>N/A</v>
      </c>
      <c r="AJ1348" s="157" t="str">
        <f t="shared" si="6"/>
        <v/>
      </c>
    </row>
    <row r="1349" ht="12.75" customHeight="1">
      <c r="A1349" s="244" t="s">
        <v>2412</v>
      </c>
      <c r="B1349" s="244" t="s">
        <v>3577</v>
      </c>
      <c r="C1349" s="255" t="s">
        <v>3598</v>
      </c>
      <c r="D1349" s="256" t="s">
        <v>42</v>
      </c>
      <c r="E1349" s="257" t="s">
        <v>489</v>
      </c>
      <c r="F1349" s="154" t="str">
        <f t="array" ref="F1349">XLOOKUP(Cover!$D$12,$S$1:$AA$1,$S1349:$AA1349)</f>
        <v>Recommended</v>
      </c>
      <c r="G1349" s="154" t="s">
        <v>3599</v>
      </c>
      <c r="H1349" s="154"/>
      <c r="I1349" s="154" t="s">
        <v>420</v>
      </c>
      <c r="J1349" s="247" t="s">
        <v>506</v>
      </c>
      <c r="K1349" s="260" t="s">
        <v>3600</v>
      </c>
      <c r="L1349" s="154" t="str">
        <f t="shared" si="1"/>
        <v/>
      </c>
      <c r="M1349" s="253" t="str">
        <f>IFERROR(__xludf.DUMMYFUNCTION("VLOOKUP(C1349,IMPORTRANGE(""https://docs.google.com/spreadsheets/d/1P8eX0NWBhUPS_hvzA11R6jkTNFrPrRYIx_dX_hYbxrk/edit?resourcekey=0-iw9bsKY2OqkUHCFMkCar3A&amp;gid=2055363397#gid=2055363397"",""MTR!C:O""),11,false)"),"#N/A")</f>
        <v>#N/A</v>
      </c>
      <c r="N1349" s="253" t="str">
        <f>IFERROR(__xludf.DUMMYFUNCTION("VLOOKUP(C1349,IMPORTRANGE(""https://docs.google.com/spreadsheets/d/1ihFlp3_ePlYtFuPbUNbYj1muErVpI73WHXbEwJDIA7Q/edit#gid=1493122344"",""MTR!C:O""),8,false)"),"#N/A")</f>
        <v>#N/A</v>
      </c>
      <c r="O1349" s="253" t="str">
        <f>IFERROR(__xludf.DUMMYFUNCTION("VLOOKUP(C1349,IMPORTRANGE(""https://docs.google.com/spreadsheets/d/1P8eX0NWBhUPS_hvzA11R6jkTNFrPrRYIx_dX_hYbxrk/edit?resourcekey=0-iw9bsKY2OqkUHCFMkCar3A&amp;gid=2055363397#gid=2055363397"",""MTR!C:O""),9,false)"),"#N/A")</f>
        <v>#N/A</v>
      </c>
      <c r="P1349" s="253"/>
      <c r="Q1349" s="253"/>
      <c r="R1349" s="253"/>
      <c r="S1349" s="154" t="s">
        <v>64</v>
      </c>
      <c r="T1349" s="154" t="s">
        <v>64</v>
      </c>
      <c r="U1349" s="154" t="s">
        <v>64</v>
      </c>
      <c r="V1349" s="154" t="s">
        <v>64</v>
      </c>
      <c r="W1349" s="154" t="s">
        <v>64</v>
      </c>
      <c r="X1349" s="154" t="s">
        <v>64</v>
      </c>
      <c r="Y1349" s="154" t="s">
        <v>64</v>
      </c>
      <c r="Z1349" s="154" t="s">
        <v>64</v>
      </c>
      <c r="AA1349" s="154" t="s">
        <v>64</v>
      </c>
      <c r="AB1349" s="154"/>
      <c r="AC1349" s="242" t="b">
        <f t="shared" si="2"/>
        <v>1</v>
      </c>
      <c r="AD1349" s="154" t="s">
        <v>391</v>
      </c>
      <c r="AE1349" s="243" t="b">
        <f t="shared" si="3"/>
        <v>0</v>
      </c>
      <c r="AF1349" s="154"/>
      <c r="AG1349" s="243" t="b">
        <f t="shared" si="7"/>
        <v>0</v>
      </c>
      <c r="AH1349" s="154"/>
      <c r="AI1349" s="243" t="str">
        <f t="shared" si="5"/>
        <v>N/A</v>
      </c>
      <c r="AJ1349" s="157" t="str">
        <f t="shared" si="6"/>
        <v/>
      </c>
    </row>
    <row r="1350" ht="12.75" customHeight="1">
      <c r="A1350" s="238" t="s">
        <v>3601</v>
      </c>
      <c r="B1350" s="238"/>
      <c r="C1350" s="238" t="s">
        <v>3602</v>
      </c>
      <c r="D1350" s="238"/>
      <c r="E1350" s="238"/>
      <c r="F1350" s="154" t="str">
        <f t="array" ref="F1350">XLOOKUP(Cover!$D$12,$S$1:$AA$1,$S1350:$AA1350)</f>
        <v>Heading</v>
      </c>
      <c r="G1350" s="239" t="s">
        <v>3603</v>
      </c>
      <c r="H1350" s="240"/>
      <c r="I1350" s="240" t="s">
        <v>420</v>
      </c>
      <c r="J1350" s="240"/>
      <c r="K1350" s="240"/>
      <c r="L1350" s="154" t="str">
        <f t="shared" si="1"/>
        <v/>
      </c>
      <c r="M1350" s="241" t="str">
        <f>IFERROR(__xludf.DUMMYFUNCTION("VLOOKUP(C1350,IMPORTRANGE(""https://docs.google.com/spreadsheets/d/1P8eX0NWBhUPS_hvzA11R6jkTNFrPrRYIx_dX_hYbxrk/edit?resourcekey=0-iw9bsKY2OqkUHCFMkCar3A&amp;gid=2055363397#gid=2055363397"",""MTR!C:O""),11,false)"),"")</f>
        <v/>
      </c>
      <c r="N1350" s="241" t="str">
        <f>IFERROR(__xludf.DUMMYFUNCTION("VLOOKUP(C1350,IMPORTRANGE(""https://docs.google.com/spreadsheets/d/1ihFlp3_ePlYtFuPbUNbYj1muErVpI73WHXbEwJDIA7Q/edit#gid=1493122344"",""MTR!C:O""),8,false)"),"")</f>
        <v/>
      </c>
      <c r="O1350" s="241" t="str">
        <f>IFERROR(__xludf.DUMMYFUNCTION("VLOOKUP(C1350,IMPORTRANGE(""https://docs.google.com/spreadsheets/d/1P8eX0NWBhUPS_hvzA11R6jkTNFrPrRYIx_dX_hYbxrk/edit?resourcekey=0-iw9bsKY2OqkUHCFMkCar3A&amp;gid=2055363397#gid=2055363397"",""MTR!C:O""),9,false)"),"")</f>
        <v/>
      </c>
      <c r="P1350" s="241"/>
      <c r="Q1350" s="241"/>
      <c r="R1350" s="241"/>
      <c r="S1350" s="240" t="s">
        <v>390</v>
      </c>
      <c r="T1350" s="240" t="s">
        <v>390</v>
      </c>
      <c r="U1350" s="240" t="s">
        <v>390</v>
      </c>
      <c r="V1350" s="240" t="s">
        <v>390</v>
      </c>
      <c r="W1350" s="240" t="s">
        <v>390</v>
      </c>
      <c r="X1350" s="240" t="s">
        <v>390</v>
      </c>
      <c r="Y1350" s="240" t="s">
        <v>390</v>
      </c>
      <c r="Z1350" s="240" t="s">
        <v>390</v>
      </c>
      <c r="AA1350" s="240" t="s">
        <v>390</v>
      </c>
      <c r="AB1350" s="240"/>
      <c r="AC1350" s="242" t="b">
        <f t="shared" si="2"/>
        <v>0</v>
      </c>
      <c r="AD1350" s="240" t="s">
        <v>391</v>
      </c>
      <c r="AE1350" s="243" t="b">
        <f t="shared" si="3"/>
        <v>0</v>
      </c>
      <c r="AF1350" s="240"/>
      <c r="AG1350" s="243" t="b">
        <f t="shared" si="7"/>
        <v>0</v>
      </c>
      <c r="AH1350" s="240"/>
      <c r="AI1350" s="243" t="str">
        <f t="shared" si="5"/>
        <v>N/A</v>
      </c>
      <c r="AJ1350" s="157" t="str">
        <f t="shared" si="6"/>
        <v/>
      </c>
    </row>
    <row r="1351" ht="12.75" customHeight="1">
      <c r="A1351" s="238" t="s">
        <v>3601</v>
      </c>
      <c r="B1351" s="238" t="s">
        <v>3604</v>
      </c>
      <c r="C1351" s="238" t="s">
        <v>3605</v>
      </c>
      <c r="D1351" s="238"/>
      <c r="E1351" s="238"/>
      <c r="F1351" s="154" t="str">
        <f t="array" ref="F1351">XLOOKUP(Cover!$D$12,$S$1:$AA$1,$S1351:$AA1351)</f>
        <v>Heading</v>
      </c>
      <c r="G1351" s="239" t="s">
        <v>3606</v>
      </c>
      <c r="H1351" s="240"/>
      <c r="I1351" s="240" t="s">
        <v>420</v>
      </c>
      <c r="J1351" s="240"/>
      <c r="K1351" s="240"/>
      <c r="L1351" s="154" t="str">
        <f t="shared" si="1"/>
        <v/>
      </c>
      <c r="M1351" s="241" t="str">
        <f>IFERROR(__xludf.DUMMYFUNCTION("VLOOKUP(C1351,IMPORTRANGE(""https://docs.google.com/spreadsheets/d/1P8eX0NWBhUPS_hvzA11R6jkTNFrPrRYIx_dX_hYbxrk/edit?resourcekey=0-iw9bsKY2OqkUHCFMkCar3A&amp;gid=2055363397#gid=2055363397"",""MTR!C:O""),11,false)"),"")</f>
        <v/>
      </c>
      <c r="N1351" s="241" t="str">
        <f>IFERROR(__xludf.DUMMYFUNCTION("VLOOKUP(C1351,IMPORTRANGE(""https://docs.google.com/spreadsheets/d/1ihFlp3_ePlYtFuPbUNbYj1muErVpI73WHXbEwJDIA7Q/edit#gid=1493122344"",""MTR!C:O""),8,false)"),"")</f>
        <v/>
      </c>
      <c r="O1351" s="241" t="str">
        <f>IFERROR(__xludf.DUMMYFUNCTION("VLOOKUP(C1351,IMPORTRANGE(""https://docs.google.com/spreadsheets/d/1P8eX0NWBhUPS_hvzA11R6jkTNFrPrRYIx_dX_hYbxrk/edit?resourcekey=0-iw9bsKY2OqkUHCFMkCar3A&amp;gid=2055363397#gid=2055363397"",""MTR!C:O""),9,false)"),"")</f>
        <v/>
      </c>
      <c r="P1351" s="241"/>
      <c r="Q1351" s="241"/>
      <c r="R1351" s="241"/>
      <c r="S1351" s="240" t="s">
        <v>390</v>
      </c>
      <c r="T1351" s="240" t="s">
        <v>390</v>
      </c>
      <c r="U1351" s="240" t="s">
        <v>390</v>
      </c>
      <c r="V1351" s="240" t="s">
        <v>390</v>
      </c>
      <c r="W1351" s="240" t="s">
        <v>390</v>
      </c>
      <c r="X1351" s="240" t="s">
        <v>390</v>
      </c>
      <c r="Y1351" s="240" t="s">
        <v>390</v>
      </c>
      <c r="Z1351" s="240" t="s">
        <v>390</v>
      </c>
      <c r="AA1351" s="240" t="s">
        <v>390</v>
      </c>
      <c r="AB1351" s="240"/>
      <c r="AC1351" s="242" t="b">
        <f t="shared" si="2"/>
        <v>0</v>
      </c>
      <c r="AD1351" s="240" t="s">
        <v>391</v>
      </c>
      <c r="AE1351" s="243" t="b">
        <f t="shared" si="3"/>
        <v>0</v>
      </c>
      <c r="AF1351" s="240"/>
      <c r="AG1351" s="243" t="b">
        <f t="shared" si="7"/>
        <v>0</v>
      </c>
      <c r="AH1351" s="240"/>
      <c r="AI1351" s="243" t="str">
        <f t="shared" si="5"/>
        <v>N/A</v>
      </c>
      <c r="AJ1351" s="157" t="str">
        <f t="shared" si="6"/>
        <v/>
      </c>
    </row>
    <row r="1352" ht="12.75" customHeight="1">
      <c r="A1352" s="238" t="s">
        <v>3601</v>
      </c>
      <c r="B1352" s="238" t="s">
        <v>3604</v>
      </c>
      <c r="C1352" s="238" t="s">
        <v>3607</v>
      </c>
      <c r="D1352" s="238"/>
      <c r="E1352" s="238"/>
      <c r="F1352" s="154" t="str">
        <f t="array" ref="F1352">XLOOKUP(Cover!$D$12,$S$1:$AA$1,$S1352:$AA1352)</f>
        <v>Heading</v>
      </c>
      <c r="G1352" s="239" t="s">
        <v>3608</v>
      </c>
      <c r="H1352" s="240"/>
      <c r="I1352" s="240" t="s">
        <v>420</v>
      </c>
      <c r="J1352" s="240"/>
      <c r="K1352" s="240"/>
      <c r="L1352" s="154" t="str">
        <f t="shared" si="1"/>
        <v/>
      </c>
      <c r="M1352" s="241" t="str">
        <f>IFERROR(__xludf.DUMMYFUNCTION("VLOOKUP(C1352,IMPORTRANGE(""https://docs.google.com/spreadsheets/d/1P8eX0NWBhUPS_hvzA11R6jkTNFrPrRYIx_dX_hYbxrk/edit?resourcekey=0-iw9bsKY2OqkUHCFMkCar3A&amp;gid=2055363397#gid=2055363397"",""MTR!C:O""),11,false)"),"")</f>
        <v/>
      </c>
      <c r="N1352" s="241" t="str">
        <f>IFERROR(__xludf.DUMMYFUNCTION("VLOOKUP(C1352,IMPORTRANGE(""https://docs.google.com/spreadsheets/d/1ihFlp3_ePlYtFuPbUNbYj1muErVpI73WHXbEwJDIA7Q/edit#gid=1493122344"",""MTR!C:O""),8,false)"),"")</f>
        <v/>
      </c>
      <c r="O1352" s="241" t="str">
        <f>IFERROR(__xludf.DUMMYFUNCTION("VLOOKUP(C1352,IMPORTRANGE(""https://docs.google.com/spreadsheets/d/1P8eX0NWBhUPS_hvzA11R6jkTNFrPrRYIx_dX_hYbxrk/edit?resourcekey=0-iw9bsKY2OqkUHCFMkCar3A&amp;gid=2055363397#gid=2055363397"",""MTR!C:O""),9,false)"),"")</f>
        <v/>
      </c>
      <c r="P1352" s="241"/>
      <c r="Q1352" s="241"/>
      <c r="R1352" s="241"/>
      <c r="S1352" s="240" t="s">
        <v>390</v>
      </c>
      <c r="T1352" s="240" t="s">
        <v>390</v>
      </c>
      <c r="U1352" s="240" t="s">
        <v>390</v>
      </c>
      <c r="V1352" s="240" t="s">
        <v>390</v>
      </c>
      <c r="W1352" s="240" t="s">
        <v>390</v>
      </c>
      <c r="X1352" s="240" t="s">
        <v>390</v>
      </c>
      <c r="Y1352" s="240" t="s">
        <v>390</v>
      </c>
      <c r="Z1352" s="240" t="s">
        <v>390</v>
      </c>
      <c r="AA1352" s="240" t="s">
        <v>390</v>
      </c>
      <c r="AB1352" s="240"/>
      <c r="AC1352" s="242" t="b">
        <f t="shared" si="2"/>
        <v>0</v>
      </c>
      <c r="AD1352" s="240" t="s">
        <v>391</v>
      </c>
      <c r="AE1352" s="243" t="b">
        <f t="shared" si="3"/>
        <v>0</v>
      </c>
      <c r="AF1352" s="240"/>
      <c r="AG1352" s="243" t="b">
        <f t="shared" si="7"/>
        <v>0</v>
      </c>
      <c r="AH1352" s="240"/>
      <c r="AI1352" s="243" t="str">
        <f t="shared" si="5"/>
        <v>N/A</v>
      </c>
      <c r="AJ1352" s="157" t="str">
        <f t="shared" si="6"/>
        <v/>
      </c>
    </row>
    <row r="1353" ht="12.75" customHeight="1">
      <c r="A1353" s="238" t="s">
        <v>3601</v>
      </c>
      <c r="B1353" s="238" t="s">
        <v>3604</v>
      </c>
      <c r="C1353" s="238" t="s">
        <v>3609</v>
      </c>
      <c r="D1353" s="238"/>
      <c r="E1353" s="238"/>
      <c r="F1353" s="154" t="str">
        <f t="array" ref="F1353">XLOOKUP(Cover!$D$12,$S$1:$AA$1,$S1353:$AA1353)</f>
        <v>Heading</v>
      </c>
      <c r="G1353" s="239" t="s">
        <v>3610</v>
      </c>
      <c r="H1353" s="240"/>
      <c r="I1353" s="240" t="s">
        <v>420</v>
      </c>
      <c r="J1353" s="240"/>
      <c r="K1353" s="240"/>
      <c r="L1353" s="154" t="str">
        <f t="shared" si="1"/>
        <v/>
      </c>
      <c r="M1353" s="241" t="str">
        <f>IFERROR(__xludf.DUMMYFUNCTION("VLOOKUP(C1353,IMPORTRANGE(""https://docs.google.com/spreadsheets/d/1P8eX0NWBhUPS_hvzA11R6jkTNFrPrRYIx_dX_hYbxrk/edit?resourcekey=0-iw9bsKY2OqkUHCFMkCar3A&amp;gid=2055363397#gid=2055363397"",""MTR!C:O""),11,false)"),"")</f>
        <v/>
      </c>
      <c r="N1353" s="241" t="str">
        <f>IFERROR(__xludf.DUMMYFUNCTION("VLOOKUP(C1353,IMPORTRANGE(""https://docs.google.com/spreadsheets/d/1ihFlp3_ePlYtFuPbUNbYj1muErVpI73WHXbEwJDIA7Q/edit#gid=1493122344"",""MTR!C:O""),8,false)"),"")</f>
        <v/>
      </c>
      <c r="O1353" s="241" t="str">
        <f>IFERROR(__xludf.DUMMYFUNCTION("VLOOKUP(C1353,IMPORTRANGE(""https://docs.google.com/spreadsheets/d/1P8eX0NWBhUPS_hvzA11R6jkTNFrPrRYIx_dX_hYbxrk/edit?resourcekey=0-iw9bsKY2OqkUHCFMkCar3A&amp;gid=2055363397#gid=2055363397"",""MTR!C:O""),9,false)"),"")</f>
        <v/>
      </c>
      <c r="P1353" s="241"/>
      <c r="Q1353" s="241"/>
      <c r="R1353" s="241"/>
      <c r="S1353" s="240" t="s">
        <v>390</v>
      </c>
      <c r="T1353" s="240" t="s">
        <v>390</v>
      </c>
      <c r="U1353" s="240" t="s">
        <v>390</v>
      </c>
      <c r="V1353" s="240" t="s">
        <v>390</v>
      </c>
      <c r="W1353" s="240" t="s">
        <v>390</v>
      </c>
      <c r="X1353" s="240" t="s">
        <v>390</v>
      </c>
      <c r="Y1353" s="240" t="s">
        <v>390</v>
      </c>
      <c r="Z1353" s="240" t="s">
        <v>390</v>
      </c>
      <c r="AA1353" s="240" t="s">
        <v>390</v>
      </c>
      <c r="AB1353" s="240"/>
      <c r="AC1353" s="242" t="b">
        <f t="shared" si="2"/>
        <v>0</v>
      </c>
      <c r="AD1353" s="240" t="s">
        <v>391</v>
      </c>
      <c r="AE1353" s="243" t="b">
        <f t="shared" si="3"/>
        <v>0</v>
      </c>
      <c r="AF1353" s="240"/>
      <c r="AG1353" s="243" t="b">
        <f t="shared" si="7"/>
        <v>0</v>
      </c>
      <c r="AH1353" s="240"/>
      <c r="AI1353" s="243" t="str">
        <f t="shared" si="5"/>
        <v>N/A</v>
      </c>
      <c r="AJ1353" s="157" t="str">
        <f t="shared" si="6"/>
        <v/>
      </c>
    </row>
    <row r="1354" ht="12.75" customHeight="1">
      <c r="A1354" s="244" t="s">
        <v>3601</v>
      </c>
      <c r="B1354" s="244" t="s">
        <v>3604</v>
      </c>
      <c r="C1354" s="244" t="s">
        <v>3611</v>
      </c>
      <c r="D1354" s="244" t="s">
        <v>492</v>
      </c>
      <c r="E1354" s="244"/>
      <c r="F1354" s="154" t="str">
        <f t="array" ref="F1354">XLOOKUP(Cover!$D$12,$S$1:$AA$1,$S1354:$AA1354)</f>
        <v>Comment</v>
      </c>
      <c r="G1354" s="154" t="s">
        <v>3612</v>
      </c>
      <c r="H1354" s="154"/>
      <c r="I1354" s="154" t="s">
        <v>420</v>
      </c>
      <c r="J1354" s="154"/>
      <c r="K1354" s="154"/>
      <c r="L1354" s="154" t="str">
        <f t="shared" si="1"/>
        <v/>
      </c>
      <c r="M1354" s="241" t="str">
        <f>IFERROR(__xludf.DUMMYFUNCTION("VLOOKUP(C1354,IMPORTRANGE(""https://docs.google.com/spreadsheets/d/1P8eX0NWBhUPS_hvzA11R6jkTNFrPrRYIx_dX_hYbxrk/edit?resourcekey=0-iw9bsKY2OqkUHCFMkCar3A&amp;gid=2055363397#gid=2055363397"",""MTR!C:O""),11,false)"),"")</f>
        <v/>
      </c>
      <c r="N1354" s="241" t="str">
        <f>IFERROR(__xludf.DUMMYFUNCTION("VLOOKUP(C1354,IMPORTRANGE(""https://docs.google.com/spreadsheets/d/1ihFlp3_ePlYtFuPbUNbYj1muErVpI73WHXbEwJDIA7Q/edit#gid=1493122344"",""MTR!C:O""),8,false)"),"")</f>
        <v/>
      </c>
      <c r="O1354" s="241" t="str">
        <f>IFERROR(__xludf.DUMMYFUNCTION("VLOOKUP(C1354,IMPORTRANGE(""https://docs.google.com/spreadsheets/d/1P8eX0NWBhUPS_hvzA11R6jkTNFrPrRYIx_dX_hYbxrk/edit?resourcekey=0-iw9bsKY2OqkUHCFMkCar3A&amp;gid=2055363397#gid=2055363397"",""MTR!C:O""),9,false)"),"")</f>
        <v/>
      </c>
      <c r="P1354" s="241"/>
      <c r="Q1354" s="241"/>
      <c r="R1354" s="241"/>
      <c r="S1354" s="154" t="s">
        <v>35</v>
      </c>
      <c r="T1354" s="154" t="s">
        <v>35</v>
      </c>
      <c r="U1354" s="154" t="s">
        <v>35</v>
      </c>
      <c r="V1354" s="154" t="s">
        <v>35</v>
      </c>
      <c r="W1354" s="154" t="s">
        <v>35</v>
      </c>
      <c r="X1354" s="154" t="s">
        <v>35</v>
      </c>
      <c r="Y1354" s="154" t="s">
        <v>35</v>
      </c>
      <c r="Z1354" s="154" t="s">
        <v>35</v>
      </c>
      <c r="AA1354" s="154" t="s">
        <v>35</v>
      </c>
      <c r="AB1354" s="154"/>
      <c r="AC1354" s="242" t="b">
        <f t="shared" si="2"/>
        <v>0</v>
      </c>
      <c r="AD1354" s="154" t="s">
        <v>391</v>
      </c>
      <c r="AE1354" s="243" t="b">
        <f t="shared" si="3"/>
        <v>0</v>
      </c>
      <c r="AF1354" s="154"/>
      <c r="AG1354" s="243" t="b">
        <f t="shared" si="7"/>
        <v>0</v>
      </c>
      <c r="AH1354" s="154"/>
      <c r="AI1354" s="243" t="str">
        <f t="shared" si="5"/>
        <v>N/A</v>
      </c>
      <c r="AJ1354" s="157" t="str">
        <f t="shared" si="6"/>
        <v/>
      </c>
    </row>
    <row r="1355" ht="12.75" customHeight="1">
      <c r="A1355" s="244" t="s">
        <v>3601</v>
      </c>
      <c r="B1355" s="244" t="s">
        <v>3604</v>
      </c>
      <c r="C1355" s="244" t="s">
        <v>3613</v>
      </c>
      <c r="D1355" s="244" t="s">
        <v>492</v>
      </c>
      <c r="E1355" s="244"/>
      <c r="F1355" s="154" t="str">
        <f t="array" ref="F1355">XLOOKUP(Cover!$D$12,$S$1:$AA$1,$S1355:$AA1355)</f>
        <v>Comment</v>
      </c>
      <c r="G1355" s="154" t="s">
        <v>3614</v>
      </c>
      <c r="H1355" s="154"/>
      <c r="I1355" s="154" t="s">
        <v>420</v>
      </c>
      <c r="J1355" s="154"/>
      <c r="K1355" s="154"/>
      <c r="L1355" s="154" t="str">
        <f t="shared" si="1"/>
        <v/>
      </c>
      <c r="M1355" s="241" t="str">
        <f>IFERROR(__xludf.DUMMYFUNCTION("VLOOKUP(C1355,IMPORTRANGE(""https://docs.google.com/spreadsheets/d/1P8eX0NWBhUPS_hvzA11R6jkTNFrPrRYIx_dX_hYbxrk/edit?resourcekey=0-iw9bsKY2OqkUHCFMkCar3A&amp;gid=2055363397#gid=2055363397"",""MTR!C:O""),11,false)"),"")</f>
        <v/>
      </c>
      <c r="N1355" s="241" t="str">
        <f>IFERROR(__xludf.DUMMYFUNCTION("VLOOKUP(C1355,IMPORTRANGE(""https://docs.google.com/spreadsheets/d/1ihFlp3_ePlYtFuPbUNbYj1muErVpI73WHXbEwJDIA7Q/edit#gid=1493122344"",""MTR!C:O""),8,false)"),"")</f>
        <v/>
      </c>
      <c r="O1355" s="241" t="str">
        <f>IFERROR(__xludf.DUMMYFUNCTION("VLOOKUP(C1355,IMPORTRANGE(""https://docs.google.com/spreadsheets/d/1P8eX0NWBhUPS_hvzA11R6jkTNFrPrRYIx_dX_hYbxrk/edit?resourcekey=0-iw9bsKY2OqkUHCFMkCar3A&amp;gid=2055363397#gid=2055363397"",""MTR!C:O""),9,false)"),"")</f>
        <v/>
      </c>
      <c r="P1355" s="241"/>
      <c r="Q1355" s="241"/>
      <c r="R1355" s="241"/>
      <c r="S1355" s="154" t="s">
        <v>35</v>
      </c>
      <c r="T1355" s="154" t="s">
        <v>35</v>
      </c>
      <c r="U1355" s="154" t="s">
        <v>35</v>
      </c>
      <c r="V1355" s="154" t="s">
        <v>35</v>
      </c>
      <c r="W1355" s="154" t="s">
        <v>35</v>
      </c>
      <c r="X1355" s="154" t="s">
        <v>35</v>
      </c>
      <c r="Y1355" s="154" t="s">
        <v>35</v>
      </c>
      <c r="Z1355" s="154" t="s">
        <v>35</v>
      </c>
      <c r="AA1355" s="154" t="s">
        <v>35</v>
      </c>
      <c r="AB1355" s="154"/>
      <c r="AC1355" s="242" t="b">
        <f t="shared" si="2"/>
        <v>0</v>
      </c>
      <c r="AD1355" s="154" t="s">
        <v>391</v>
      </c>
      <c r="AE1355" s="243" t="b">
        <f t="shared" si="3"/>
        <v>0</v>
      </c>
      <c r="AF1355" s="154"/>
      <c r="AG1355" s="243" t="b">
        <f t="shared" si="7"/>
        <v>0</v>
      </c>
      <c r="AH1355" s="154"/>
      <c r="AI1355" s="243" t="str">
        <f t="shared" si="5"/>
        <v>N/A</v>
      </c>
      <c r="AJ1355" s="157" t="str">
        <f t="shared" si="6"/>
        <v/>
      </c>
    </row>
    <row r="1356" ht="12.75" customHeight="1">
      <c r="A1356" s="244" t="s">
        <v>3601</v>
      </c>
      <c r="B1356" s="244" t="s">
        <v>3604</v>
      </c>
      <c r="C1356" s="244" t="s">
        <v>3615</v>
      </c>
      <c r="D1356" s="244" t="s">
        <v>492</v>
      </c>
      <c r="E1356" s="244"/>
      <c r="F1356" s="154" t="str">
        <f t="array" ref="F1356">XLOOKUP(Cover!$D$12,$S$1:$AA$1,$S1356:$AA1356)</f>
        <v>Comment</v>
      </c>
      <c r="G1356" s="154" t="s">
        <v>3616</v>
      </c>
      <c r="H1356" s="154"/>
      <c r="I1356" s="154" t="s">
        <v>420</v>
      </c>
      <c r="J1356" s="154"/>
      <c r="K1356" s="154"/>
      <c r="L1356" s="154" t="str">
        <f t="shared" si="1"/>
        <v/>
      </c>
      <c r="M1356" s="241" t="str">
        <f>IFERROR(__xludf.DUMMYFUNCTION("VLOOKUP(C1356,IMPORTRANGE(""https://docs.google.com/spreadsheets/d/1P8eX0NWBhUPS_hvzA11R6jkTNFrPrRYIx_dX_hYbxrk/edit?resourcekey=0-iw9bsKY2OqkUHCFMkCar3A&amp;gid=2055363397#gid=2055363397"",""MTR!C:O""),11,false)"),"")</f>
        <v/>
      </c>
      <c r="N1356" s="241" t="str">
        <f>IFERROR(__xludf.DUMMYFUNCTION("VLOOKUP(C1356,IMPORTRANGE(""https://docs.google.com/spreadsheets/d/1ihFlp3_ePlYtFuPbUNbYj1muErVpI73WHXbEwJDIA7Q/edit#gid=1493122344"",""MTR!C:O""),8,false)"),"")</f>
        <v/>
      </c>
      <c r="O1356" s="241" t="str">
        <f>IFERROR(__xludf.DUMMYFUNCTION("VLOOKUP(C1356,IMPORTRANGE(""https://docs.google.com/spreadsheets/d/1P8eX0NWBhUPS_hvzA11R6jkTNFrPrRYIx_dX_hYbxrk/edit?resourcekey=0-iw9bsKY2OqkUHCFMkCar3A&amp;gid=2055363397#gid=2055363397"",""MTR!C:O""),9,false)"),"")</f>
        <v/>
      </c>
      <c r="P1356" s="241"/>
      <c r="Q1356" s="241"/>
      <c r="R1356" s="241"/>
      <c r="S1356" s="154" t="s">
        <v>35</v>
      </c>
      <c r="T1356" s="154" t="s">
        <v>35</v>
      </c>
      <c r="U1356" s="154" t="s">
        <v>35</v>
      </c>
      <c r="V1356" s="154" t="s">
        <v>35</v>
      </c>
      <c r="W1356" s="154" t="s">
        <v>35</v>
      </c>
      <c r="X1356" s="154" t="s">
        <v>35</v>
      </c>
      <c r="Y1356" s="154" t="s">
        <v>35</v>
      </c>
      <c r="Z1356" s="154" t="s">
        <v>35</v>
      </c>
      <c r="AA1356" s="154" t="s">
        <v>35</v>
      </c>
      <c r="AB1356" s="154"/>
      <c r="AC1356" s="242" t="b">
        <f t="shared" si="2"/>
        <v>0</v>
      </c>
      <c r="AD1356" s="154" t="s">
        <v>391</v>
      </c>
      <c r="AE1356" s="243" t="b">
        <f t="shared" si="3"/>
        <v>0</v>
      </c>
      <c r="AF1356" s="154"/>
      <c r="AG1356" s="243" t="b">
        <f t="shared" si="7"/>
        <v>0</v>
      </c>
      <c r="AH1356" s="154"/>
      <c r="AI1356" s="243" t="str">
        <f t="shared" si="5"/>
        <v>N/A</v>
      </c>
      <c r="AJ1356" s="157" t="str">
        <f t="shared" si="6"/>
        <v/>
      </c>
    </row>
    <row r="1357" ht="12.75" customHeight="1">
      <c r="A1357" s="244" t="s">
        <v>3601</v>
      </c>
      <c r="B1357" s="244" t="s">
        <v>3604</v>
      </c>
      <c r="C1357" s="244" t="s">
        <v>3617</v>
      </c>
      <c r="D1357" s="154" t="s">
        <v>396</v>
      </c>
      <c r="E1357" s="250"/>
      <c r="F1357" s="154" t="str">
        <f t="array" ref="F1357">XLOOKUP(Cover!$D$12,$S$1:$AA$1,$S1357:$AA1357)</f>
        <v>Mandatory</v>
      </c>
      <c r="G1357" s="154" t="s">
        <v>3618</v>
      </c>
      <c r="H1357" s="154" t="s">
        <v>398</v>
      </c>
      <c r="I1357" s="154" t="s">
        <v>420</v>
      </c>
      <c r="J1357" s="247" t="s">
        <v>445</v>
      </c>
      <c r="K1357" s="154"/>
      <c r="L1357" s="154" t="str">
        <f t="shared" si="1"/>
        <v/>
      </c>
      <c r="M1357" s="248" t="str">
        <f>IFERROR(__xludf.DUMMYFUNCTION("VLOOKUP(C1357,IMPORTRANGE(""https://docs.google.com/spreadsheets/d/1P8eX0NWBhUPS_hvzA11R6jkTNFrPrRYIx_dX_hYbxrk/edit?resourcekey=0-iw9bsKY2OqkUHCFMkCar3A&amp;gid=2055363397#gid=2055363397"",""MTR!C:O""),11,false)"),"TAM")</f>
        <v>TAM</v>
      </c>
      <c r="N1357" s="248" t="str">
        <f>IFERROR(__xludf.DUMMYFUNCTION("VLOOKUP(C1357,IMPORTRANGE(""https://docs.google.com/spreadsheets/d/1ihFlp3_ePlYtFuPbUNbYj1muErVpI73WHXbEwJDIA7Q/edit#gid=1493122344"",""MTR!C:O""),8,false)"),"Complies")</f>
        <v>Complies</v>
      </c>
      <c r="O1357" s="241" t="str">
        <f>IFERROR(__xludf.DUMMYFUNCTION("VLOOKUP(C1357,IMPORTRANGE(""https://docs.google.com/spreadsheets/d/1P8eX0NWBhUPS_hvzA11R6jkTNFrPrRYIx_dX_hYbxrk/edit?resourcekey=0-iw9bsKY2OqkUHCFMkCar3A&amp;gid=2055363397#gid=2055363397"",""MTR!C:O""),9,false)"),"")</f>
        <v/>
      </c>
      <c r="P1357" s="241"/>
      <c r="Q1357" s="251" t="s">
        <v>445</v>
      </c>
      <c r="R1357" s="241"/>
      <c r="S1357" s="154" t="s">
        <v>60</v>
      </c>
      <c r="T1357" s="154" t="s">
        <v>60</v>
      </c>
      <c r="U1357" s="154" t="s">
        <v>60</v>
      </c>
      <c r="V1357" s="154" t="s">
        <v>60</v>
      </c>
      <c r="W1357" s="154" t="s">
        <v>60</v>
      </c>
      <c r="X1357" s="154" t="s">
        <v>60</v>
      </c>
      <c r="Y1357" s="154" t="s">
        <v>60</v>
      </c>
      <c r="Z1357" s="154" t="s">
        <v>60</v>
      </c>
      <c r="AA1357" s="154" t="s">
        <v>60</v>
      </c>
      <c r="AB1357" s="154"/>
      <c r="AC1357" s="242" t="b">
        <f t="shared" si="2"/>
        <v>1</v>
      </c>
      <c r="AD1357" s="154" t="s">
        <v>391</v>
      </c>
      <c r="AE1357" s="243" t="b">
        <f t="shared" si="3"/>
        <v>0</v>
      </c>
      <c r="AF1357" s="154"/>
      <c r="AG1357" s="243" t="b">
        <f t="shared" si="7"/>
        <v>0</v>
      </c>
      <c r="AH1357" s="154"/>
      <c r="AI1357" s="243" t="str">
        <f t="shared" si="5"/>
        <v>N/A</v>
      </c>
      <c r="AJ1357" s="157" t="str">
        <f t="shared" si="6"/>
        <v/>
      </c>
    </row>
    <row r="1358" ht="12.75" customHeight="1">
      <c r="A1358" s="244" t="s">
        <v>3601</v>
      </c>
      <c r="B1358" s="244" t="s">
        <v>3604</v>
      </c>
      <c r="C1358" s="244" t="s">
        <v>3619</v>
      </c>
      <c r="D1358" s="154" t="s">
        <v>492</v>
      </c>
      <c r="E1358" s="250"/>
      <c r="F1358" s="154" t="str">
        <f t="array" ref="F1358">XLOOKUP(Cover!$D$12,$S$1:$AA$1,$S1358:$AA1358)</f>
        <v>Mandatory</v>
      </c>
      <c r="G1358" s="154" t="s">
        <v>3620</v>
      </c>
      <c r="H1358" s="154" t="s">
        <v>398</v>
      </c>
      <c r="I1358" s="154" t="s">
        <v>420</v>
      </c>
      <c r="J1358" s="247" t="s">
        <v>506</v>
      </c>
      <c r="K1358" s="247" t="s">
        <v>3621</v>
      </c>
      <c r="L1358" s="154" t="str">
        <f t="shared" si="1"/>
        <v/>
      </c>
      <c r="M1358" s="248" t="str">
        <f>IFERROR(__xludf.DUMMYFUNCTION("VLOOKUP(C1358,IMPORTRANGE(""https://docs.google.com/spreadsheets/d/1P8eX0NWBhUPS_hvzA11R6jkTNFrPrRYIx_dX_hYbxrk/edit?resourcekey=0-iw9bsKY2OqkUHCFMkCar3A&amp;gid=2055363397#gid=2055363397"",""MTR!C:O""),11,false)"),"TAM")</f>
        <v>TAM</v>
      </c>
      <c r="N1358" s="248" t="str">
        <f>IFERROR(__xludf.DUMMYFUNCTION("VLOOKUP(C1358,IMPORTRANGE(""https://docs.google.com/spreadsheets/d/1ihFlp3_ePlYtFuPbUNbYj1muErVpI73WHXbEwJDIA7Q/edit#gid=1493122344"",""MTR!C:O""),8,false)"),"Partially Complies")</f>
        <v>Partially Complies</v>
      </c>
      <c r="O1358" s="248" t="str">
        <f>IFERROR(__xludf.DUMMYFUNCTION("VLOOKUP(C1358,IMPORTRANGE(""https://docs.google.com/spreadsheets/d/1P8eX0NWBhUPS_hvzA11R6jkTNFrPrRYIx_dX_hYbxrk/edit?resourcekey=0-iw9bsKY2OqkUHCFMkCar3A&amp;gid=2055363397#gid=2055363397"",""MTR!C:O""),9,false)"),"a. Radio/Baseband Configuration as per DT MTR requirements &amp; [TISD] -&gt; Support by detecting SIM MCC/MNC
b. Settings (Bookmarks, Access settings &amp; Client settings) as per DT MTR requirements and [TISD] -&gt; Partially support the APP settings
c. UI Elements i"&amp;"ncluding: sound elements, service indicators and visual assets, see chapters 3.1.2, 3.1.3 -&gt; 
d. Applications, widgets, application folders etc. as per UI briefing documents PDS and chapter 3.1.4 requirements -&gt; Not support")</f>
        <v>a. Radio/Baseband Configuration as per DT MTR requirements &amp; [TISD] -&gt; Support by detecting SIM MCC/MNC
b. Settings (Bookmarks, Access settings &amp; Client settings) as per DT MTR requirements and [TISD] -&gt; Partially support the APP settings
c. UI Elements including: sound elements, service indicators and visual assets, see chapters 3.1.2, 3.1.3 -&gt; 
d. Applications, widgets, application folders etc. as per UI briefing documents PDS and chapter 3.1.4 requirements -&gt; Not support</v>
      </c>
      <c r="P1358" s="248"/>
      <c r="Q1358" s="249" t="s">
        <v>506</v>
      </c>
      <c r="R1358" s="249" t="s">
        <v>3621</v>
      </c>
      <c r="S1358" s="154" t="s">
        <v>60</v>
      </c>
      <c r="T1358" s="154" t="s">
        <v>60</v>
      </c>
      <c r="U1358" s="154" t="s">
        <v>60</v>
      </c>
      <c r="V1358" s="154" t="s">
        <v>60</v>
      </c>
      <c r="W1358" s="154" t="s">
        <v>60</v>
      </c>
      <c r="X1358" s="154" t="s">
        <v>60</v>
      </c>
      <c r="Y1358" s="154" t="s">
        <v>60</v>
      </c>
      <c r="Z1358" s="154" t="s">
        <v>60</v>
      </c>
      <c r="AA1358" s="154" t="s">
        <v>60</v>
      </c>
      <c r="AB1358" s="154"/>
      <c r="AC1358" s="242" t="b">
        <f t="shared" si="2"/>
        <v>1</v>
      </c>
      <c r="AD1358" s="154" t="s">
        <v>391</v>
      </c>
      <c r="AE1358" s="243" t="b">
        <f t="shared" si="3"/>
        <v>0</v>
      </c>
      <c r="AF1358" s="154"/>
      <c r="AG1358" s="243" t="b">
        <f t="shared" si="7"/>
        <v>0</v>
      </c>
      <c r="AH1358" s="154"/>
      <c r="AI1358" s="243" t="str">
        <f t="shared" si="5"/>
        <v>N/A</v>
      </c>
      <c r="AJ1358" s="157" t="str">
        <f t="shared" si="6"/>
        <v/>
      </c>
    </row>
    <row r="1359" ht="12.75" customHeight="1">
      <c r="A1359" s="244" t="s">
        <v>3601</v>
      </c>
      <c r="B1359" s="244" t="s">
        <v>3604</v>
      </c>
      <c r="C1359" s="244" t="s">
        <v>3622</v>
      </c>
      <c r="D1359" s="154" t="s">
        <v>492</v>
      </c>
      <c r="E1359" s="250"/>
      <c r="F1359" s="154" t="str">
        <f t="array" ref="F1359">XLOOKUP(Cover!$D$12,$S$1:$AA$1,$S1359:$AA1359)</f>
        <v>Mandatory</v>
      </c>
      <c r="G1359" s="154" t="s">
        <v>3623</v>
      </c>
      <c r="H1359" s="154" t="s">
        <v>398</v>
      </c>
      <c r="I1359" s="154" t="s">
        <v>479</v>
      </c>
      <c r="J1359" s="247" t="s">
        <v>516</v>
      </c>
      <c r="K1359" s="247" t="s">
        <v>3624</v>
      </c>
      <c r="L1359" s="154" t="str">
        <f t="shared" si="1"/>
        <v/>
      </c>
      <c r="M1359" s="248" t="str">
        <f>IFERROR(__xludf.DUMMYFUNCTION("VLOOKUP(C1359,IMPORTRANGE(""https://docs.google.com/spreadsheets/d/1P8eX0NWBhUPS_hvzA11R6jkTNFrPrRYIx_dX_hYbxrk/edit?resourcekey=0-iw9bsKY2OqkUHCFMkCar3A&amp;gid=2055363397#gid=2055363397"",""MTR!C:O""),11,false)"),"TAM")</f>
        <v>TAM</v>
      </c>
      <c r="N1359" s="248" t="str">
        <f>IFERROR(__xludf.DUMMYFUNCTION("VLOOKUP(C1359,IMPORTRANGE(""https://docs.google.com/spreadsheets/d/1ihFlp3_ePlYtFuPbUNbYj1muErVpI73WHXbEwJDIA7Q/edit#gid=1493122344"",""MTR!C:O""),8,false)"),"Does Not Comply")</f>
        <v>Does Not Comply</v>
      </c>
      <c r="O1359" s="248" t="str">
        <f>IFERROR(__xludf.DUMMYFUNCTION("VLOOKUP(C1359,IMPORTRANGE(""https://docs.google.com/spreadsheets/d/1P8eX0NWBhUPS_hvzA11R6jkTNFrPrRYIx_dX_hYbxrk/edit?resourcekey=0-iw9bsKY2OqkUHCFMkCar3A&amp;gid=2055363397#gid=2055363397"",""MTR!C:O""),9,false)"),"Not support this requirement for Carrier PAI")</f>
        <v>Not support this requirement for Carrier PAI</v>
      </c>
      <c r="P1359" s="248"/>
      <c r="Q1359" s="249" t="s">
        <v>516</v>
      </c>
      <c r="R1359" s="249" t="s">
        <v>3624</v>
      </c>
      <c r="S1359" s="154" t="s">
        <v>68</v>
      </c>
      <c r="T1359" s="154" t="s">
        <v>60</v>
      </c>
      <c r="U1359" s="154" t="s">
        <v>60</v>
      </c>
      <c r="V1359" s="154" t="s">
        <v>60</v>
      </c>
      <c r="W1359" s="154" t="s">
        <v>60</v>
      </c>
      <c r="X1359" s="154" t="s">
        <v>60</v>
      </c>
      <c r="Y1359" s="154" t="s">
        <v>60</v>
      </c>
      <c r="Z1359" s="154" t="s">
        <v>60</v>
      </c>
      <c r="AA1359" s="154" t="s">
        <v>60</v>
      </c>
      <c r="AB1359" s="154"/>
      <c r="AC1359" s="242" t="b">
        <f t="shared" si="2"/>
        <v>1</v>
      </c>
      <c r="AD1359" s="154" t="s">
        <v>391</v>
      </c>
      <c r="AE1359" s="243" t="b">
        <f t="shared" si="3"/>
        <v>0</v>
      </c>
      <c r="AF1359" s="154"/>
      <c r="AG1359" s="243" t="b">
        <f t="shared" si="7"/>
        <v>0</v>
      </c>
      <c r="AH1359" s="154"/>
      <c r="AI1359" s="243" t="str">
        <f t="shared" si="5"/>
        <v>N/A</v>
      </c>
      <c r="AJ1359" s="157" t="str">
        <f t="shared" si="6"/>
        <v/>
      </c>
    </row>
    <row r="1360" ht="12.75" customHeight="1">
      <c r="A1360" s="244" t="s">
        <v>3601</v>
      </c>
      <c r="B1360" s="244" t="s">
        <v>3604</v>
      </c>
      <c r="C1360" s="244" t="s">
        <v>3625</v>
      </c>
      <c r="D1360" s="154" t="s">
        <v>492</v>
      </c>
      <c r="E1360" s="250"/>
      <c r="F1360" s="154" t="str">
        <f t="array" ref="F1360">XLOOKUP(Cover!$D$12,$S$1:$AA$1,$S1360:$AA1360)</f>
        <v>Mandatory</v>
      </c>
      <c r="G1360" s="154" t="s">
        <v>3626</v>
      </c>
      <c r="H1360" s="154" t="s">
        <v>398</v>
      </c>
      <c r="I1360" s="154" t="s">
        <v>479</v>
      </c>
      <c r="J1360" s="247" t="s">
        <v>516</v>
      </c>
      <c r="K1360" s="247"/>
      <c r="L1360" s="154" t="str">
        <f t="shared" si="1"/>
        <v/>
      </c>
      <c r="M1360" s="248" t="str">
        <f>IFERROR(__xludf.DUMMYFUNCTION("VLOOKUP(C1360,IMPORTRANGE(""https://docs.google.com/spreadsheets/d/1P8eX0NWBhUPS_hvzA11R6jkTNFrPrRYIx_dX_hYbxrk/edit?resourcekey=0-iw9bsKY2OqkUHCFMkCar3A&amp;gid=2055363397#gid=2055363397"",""MTR!C:O""),11,false)"),"TAM")</f>
        <v>TAM</v>
      </c>
      <c r="N1360" s="248" t="str">
        <f>IFERROR(__xludf.DUMMYFUNCTION("VLOOKUP(C1360,IMPORTRANGE(""https://docs.google.com/spreadsheets/d/1ihFlp3_ePlYtFuPbUNbYj1muErVpI73WHXbEwJDIA7Q/edit#gid=1493122344"",""MTR!C:O""),8,false)"),"Does Not Comply")</f>
        <v>Does Not Comply</v>
      </c>
      <c r="O1360" s="241" t="str">
        <f>IFERROR(__xludf.DUMMYFUNCTION("VLOOKUP(C1360,IMPORTRANGE(""https://docs.google.com/spreadsheets/d/1P8eX0NWBhUPS_hvzA11R6jkTNFrPrRYIx_dX_hYbxrk/edit?resourcekey=0-iw9bsKY2OqkUHCFMkCar3A&amp;gid=2055363397#gid=2055363397"",""MTR!C:O""),9,false)"),"")</f>
        <v/>
      </c>
      <c r="P1360" s="241"/>
      <c r="Q1360" s="251" t="s">
        <v>516</v>
      </c>
      <c r="R1360" s="251"/>
      <c r="S1360" s="154" t="s">
        <v>68</v>
      </c>
      <c r="T1360" s="154" t="s">
        <v>60</v>
      </c>
      <c r="U1360" s="154" t="s">
        <v>60</v>
      </c>
      <c r="V1360" s="154" t="s">
        <v>60</v>
      </c>
      <c r="W1360" s="154" t="s">
        <v>60</v>
      </c>
      <c r="X1360" s="154" t="s">
        <v>60</v>
      </c>
      <c r="Y1360" s="154" t="s">
        <v>60</v>
      </c>
      <c r="Z1360" s="154" t="s">
        <v>60</v>
      </c>
      <c r="AA1360" s="154" t="s">
        <v>60</v>
      </c>
      <c r="AB1360" s="154"/>
      <c r="AC1360" s="242" t="b">
        <f t="shared" si="2"/>
        <v>1</v>
      </c>
      <c r="AD1360" s="154" t="s">
        <v>391</v>
      </c>
      <c r="AE1360" s="243" t="b">
        <f t="shared" si="3"/>
        <v>0</v>
      </c>
      <c r="AF1360" s="154"/>
      <c r="AG1360" s="243" t="b">
        <f t="shared" si="7"/>
        <v>0</v>
      </c>
      <c r="AH1360" s="154"/>
      <c r="AI1360" s="243" t="str">
        <f t="shared" si="5"/>
        <v>N/A</v>
      </c>
      <c r="AJ1360" s="157" t="str">
        <f t="shared" si="6"/>
        <v/>
      </c>
    </row>
    <row r="1361" ht="12.75" customHeight="1">
      <c r="A1361" s="244" t="s">
        <v>3601</v>
      </c>
      <c r="B1361" s="244" t="s">
        <v>3604</v>
      </c>
      <c r="C1361" s="244" t="s">
        <v>3627</v>
      </c>
      <c r="D1361" s="154" t="s">
        <v>484</v>
      </c>
      <c r="E1361" s="250"/>
      <c r="F1361" s="154" t="str">
        <f t="array" ref="F1361">XLOOKUP(Cover!$D$12,$S$1:$AA$1,$S1361:$AA1361)</f>
        <v>Mandatory</v>
      </c>
      <c r="G1361" s="154" t="s">
        <v>3628</v>
      </c>
      <c r="H1361" s="154" t="s">
        <v>398</v>
      </c>
      <c r="I1361" s="154" t="s">
        <v>420</v>
      </c>
      <c r="J1361" s="247" t="s">
        <v>506</v>
      </c>
      <c r="K1361" s="247" t="s">
        <v>3629</v>
      </c>
      <c r="L1361" s="154" t="str">
        <f t="shared" si="1"/>
        <v/>
      </c>
      <c r="M1361" s="248" t="str">
        <f>IFERROR(__xludf.DUMMYFUNCTION("VLOOKUP(C1361,IMPORTRANGE(""https://docs.google.com/spreadsheets/d/1P8eX0NWBhUPS_hvzA11R6jkTNFrPrRYIx_dX_hYbxrk/edit?resourcekey=0-iw9bsKY2OqkUHCFMkCar3A&amp;gid=2055363397#gid=2055363397"",""MTR!C:O""),11,false)"),"TAM")</f>
        <v>TAM</v>
      </c>
      <c r="N1361" s="248" t="str">
        <f>IFERROR(__xludf.DUMMYFUNCTION("VLOOKUP(C1361,IMPORTRANGE(""https://docs.google.com/spreadsheets/d/1ihFlp3_ePlYtFuPbUNbYj1muErVpI73WHXbEwJDIA7Q/edit#gid=1493122344"",""MTR!C:O""),8,false)"),"Partially Complies")</f>
        <v>Partially Complies</v>
      </c>
      <c r="O1361" s="248" t="str">
        <f>IFERROR(__xludf.DUMMYFUNCTION("VLOOKUP(C1361,IMPORTRANGE(""https://docs.google.com/spreadsheets/d/1P8eX0NWBhUPS_hvzA11R6jkTNFrPrRYIx_dX_hYbxrk/edit?resourcekey=0-iw9bsKY2OqkUHCFMkCar3A&amp;gid=2055363397#gid=2055363397"",""MTR!C:O""),9,false)"),"a. Radio/Baseband Configuration as per DT MTR requirements &amp; [TISD] -&gt; Support by detecting SIM MCC/MNC
b. Settings (Bookmarks, Access settings &amp; Client settings) as per DT MTR requirements and [TISD] -&gt; Partially support the APP settings
c. UI Elements i"&amp;"ncluding: sound elements, service indicators and visual assets, see chapters 3.1.2, 3.1.3 -&gt; 
d. Applications, widgets, application folders etc. as per UI briefing documents PDS and chapter 3.1.4 requirements -&gt; Not support""")</f>
        <v>a. Radio/Baseband Configuration as per DT MTR requirements &amp; [TISD] -&gt; Support by detecting SIM MCC/MNC
b. Settings (Bookmarks, Access settings &amp; Client settings) as per DT MTR requirements and [TISD] -&gt; Partially support the APP settings
c. UI Elements including: sound elements, service indicators and visual assets, see chapters 3.1.2, 3.1.3 -&gt; 
d. Applications, widgets, application folders etc. as per UI briefing documents PDS and chapter 3.1.4 requirements -&gt; Not support"</v>
      </c>
      <c r="P1361" s="248"/>
      <c r="Q1361" s="249" t="s">
        <v>506</v>
      </c>
      <c r="R1361" s="249" t="s">
        <v>3629</v>
      </c>
      <c r="S1361" s="154" t="s">
        <v>60</v>
      </c>
      <c r="T1361" s="154" t="s">
        <v>60</v>
      </c>
      <c r="U1361" s="154" t="s">
        <v>60</v>
      </c>
      <c r="V1361" s="154" t="s">
        <v>60</v>
      </c>
      <c r="W1361" s="154" t="s">
        <v>60</v>
      </c>
      <c r="X1361" s="154" t="s">
        <v>60</v>
      </c>
      <c r="Y1361" s="154" t="s">
        <v>60</v>
      </c>
      <c r="Z1361" s="154" t="s">
        <v>60</v>
      </c>
      <c r="AA1361" s="154" t="s">
        <v>60</v>
      </c>
      <c r="AB1361" s="154"/>
      <c r="AC1361" s="242" t="b">
        <f t="shared" si="2"/>
        <v>1</v>
      </c>
      <c r="AD1361" s="154" t="s">
        <v>68</v>
      </c>
      <c r="AE1361" s="243" t="b">
        <f t="shared" si="3"/>
        <v>0</v>
      </c>
      <c r="AF1361" s="154"/>
      <c r="AG1361" s="243" t="b">
        <f t="shared" si="7"/>
        <v>0</v>
      </c>
      <c r="AH1361" s="154"/>
      <c r="AI1361" s="243" t="str">
        <f t="shared" si="5"/>
        <v>N/A</v>
      </c>
      <c r="AJ1361" s="157" t="str">
        <f t="shared" si="6"/>
        <v/>
      </c>
    </row>
    <row r="1362" ht="12.75" customHeight="1">
      <c r="A1362" s="244" t="s">
        <v>3601</v>
      </c>
      <c r="B1362" s="244" t="s">
        <v>3604</v>
      </c>
      <c r="C1362" s="244" t="s">
        <v>3630</v>
      </c>
      <c r="D1362" s="154" t="s">
        <v>492</v>
      </c>
      <c r="E1362" s="250"/>
      <c r="F1362" s="154" t="str">
        <f t="array" ref="F1362">XLOOKUP(Cover!$D$12,$S$1:$AA$1,$S1362:$AA1362)</f>
        <v>Mandatory</v>
      </c>
      <c r="G1362" s="154" t="s">
        <v>3631</v>
      </c>
      <c r="H1362" s="154" t="s">
        <v>398</v>
      </c>
      <c r="I1362" s="154" t="s">
        <v>420</v>
      </c>
      <c r="J1362" s="247" t="s">
        <v>445</v>
      </c>
      <c r="K1362" s="247"/>
      <c r="L1362" s="154" t="str">
        <f t="shared" si="1"/>
        <v/>
      </c>
      <c r="M1362" s="248" t="str">
        <f>IFERROR(__xludf.DUMMYFUNCTION("VLOOKUP(C1362,IMPORTRANGE(""https://docs.google.com/spreadsheets/d/1P8eX0NWBhUPS_hvzA11R6jkTNFrPrRYIx_dX_hYbxrk/edit?resourcekey=0-iw9bsKY2OqkUHCFMkCar3A&amp;gid=2055363397#gid=2055363397"",""MTR!C:O""),11,false)"),"TAM")</f>
        <v>TAM</v>
      </c>
      <c r="N1362" s="248" t="str">
        <f>IFERROR(__xludf.DUMMYFUNCTION("VLOOKUP(C1362,IMPORTRANGE(""https://docs.google.com/spreadsheets/d/1ihFlp3_ePlYtFuPbUNbYj1muErVpI73WHXbEwJDIA7Q/edit#gid=1493122344"",""MTR!C:O""),8,false)"),"Complies")</f>
        <v>Complies</v>
      </c>
      <c r="O1362" s="241" t="str">
        <f>IFERROR(__xludf.DUMMYFUNCTION("VLOOKUP(C1362,IMPORTRANGE(""https://docs.google.com/spreadsheets/d/1P8eX0NWBhUPS_hvzA11R6jkTNFrPrRYIx_dX_hYbxrk/edit?resourcekey=0-iw9bsKY2OqkUHCFMkCar3A&amp;gid=2055363397#gid=2055363397"",""MTR!C:O""),9,false)"),"")</f>
        <v/>
      </c>
      <c r="P1362" s="241"/>
      <c r="Q1362" s="251" t="s">
        <v>445</v>
      </c>
      <c r="R1362" s="251"/>
      <c r="S1362" s="154" t="s">
        <v>60</v>
      </c>
      <c r="T1362" s="154" t="s">
        <v>60</v>
      </c>
      <c r="U1362" s="154" t="s">
        <v>60</v>
      </c>
      <c r="V1362" s="154" t="s">
        <v>60</v>
      </c>
      <c r="W1362" s="154" t="s">
        <v>60</v>
      </c>
      <c r="X1362" s="154" t="s">
        <v>60</v>
      </c>
      <c r="Y1362" s="154" t="s">
        <v>60</v>
      </c>
      <c r="Z1362" s="154" t="s">
        <v>60</v>
      </c>
      <c r="AA1362" s="154" t="s">
        <v>60</v>
      </c>
      <c r="AB1362" s="154"/>
      <c r="AC1362" s="242" t="b">
        <f t="shared" si="2"/>
        <v>1</v>
      </c>
      <c r="AD1362" s="154" t="s">
        <v>391</v>
      </c>
      <c r="AE1362" s="243" t="b">
        <f t="shared" si="3"/>
        <v>0</v>
      </c>
      <c r="AF1362" s="154"/>
      <c r="AG1362" s="243" t="b">
        <f t="shared" si="7"/>
        <v>0</v>
      </c>
      <c r="AH1362" s="154"/>
      <c r="AI1362" s="243" t="str">
        <f t="shared" si="5"/>
        <v>N/A</v>
      </c>
      <c r="AJ1362" s="157" t="str">
        <f t="shared" si="6"/>
        <v/>
      </c>
    </row>
    <row r="1363" ht="12.75" customHeight="1">
      <c r="A1363" s="238" t="s">
        <v>3601</v>
      </c>
      <c r="B1363" s="238" t="s">
        <v>3604</v>
      </c>
      <c r="C1363" s="238" t="s">
        <v>3632</v>
      </c>
      <c r="D1363" s="238"/>
      <c r="E1363" s="238"/>
      <c r="F1363" s="154" t="str">
        <f t="array" ref="F1363">XLOOKUP(Cover!$D$12,$S$1:$AA$1,$S1363:$AA1363)</f>
        <v>Heading</v>
      </c>
      <c r="G1363" s="239" t="s">
        <v>3633</v>
      </c>
      <c r="H1363" s="240"/>
      <c r="I1363" s="240" t="s">
        <v>420</v>
      </c>
      <c r="J1363" s="240"/>
      <c r="K1363" s="240"/>
      <c r="L1363" s="154" t="str">
        <f t="shared" si="1"/>
        <v/>
      </c>
      <c r="M1363" s="241" t="str">
        <f>IFERROR(__xludf.DUMMYFUNCTION("VLOOKUP(C1363,IMPORTRANGE(""https://docs.google.com/spreadsheets/d/1P8eX0NWBhUPS_hvzA11R6jkTNFrPrRYIx_dX_hYbxrk/edit?resourcekey=0-iw9bsKY2OqkUHCFMkCar3A&amp;gid=2055363397#gid=2055363397"",""MTR!C:O""),11,false)"),"")</f>
        <v/>
      </c>
      <c r="N1363" s="241" t="str">
        <f>IFERROR(__xludf.DUMMYFUNCTION("VLOOKUP(C1363,IMPORTRANGE(""https://docs.google.com/spreadsheets/d/1ihFlp3_ePlYtFuPbUNbYj1muErVpI73WHXbEwJDIA7Q/edit#gid=1493122344"",""MTR!C:O""),8,false)"),"")</f>
        <v/>
      </c>
      <c r="O1363" s="241" t="str">
        <f>IFERROR(__xludf.DUMMYFUNCTION("VLOOKUP(C1363,IMPORTRANGE(""https://docs.google.com/spreadsheets/d/1P8eX0NWBhUPS_hvzA11R6jkTNFrPrRYIx_dX_hYbxrk/edit?resourcekey=0-iw9bsKY2OqkUHCFMkCar3A&amp;gid=2055363397#gid=2055363397"",""MTR!C:O""),9,false)"),"")</f>
        <v/>
      </c>
      <c r="P1363" s="241"/>
      <c r="Q1363" s="251"/>
      <c r="R1363" s="241"/>
      <c r="S1363" s="240" t="s">
        <v>390</v>
      </c>
      <c r="T1363" s="240" t="s">
        <v>390</v>
      </c>
      <c r="U1363" s="240" t="s">
        <v>390</v>
      </c>
      <c r="V1363" s="240" t="s">
        <v>390</v>
      </c>
      <c r="W1363" s="240" t="s">
        <v>390</v>
      </c>
      <c r="X1363" s="240" t="s">
        <v>390</v>
      </c>
      <c r="Y1363" s="240" t="s">
        <v>390</v>
      </c>
      <c r="Z1363" s="240" t="s">
        <v>390</v>
      </c>
      <c r="AA1363" s="240" t="s">
        <v>390</v>
      </c>
      <c r="AB1363" s="240"/>
      <c r="AC1363" s="242" t="b">
        <f t="shared" si="2"/>
        <v>0</v>
      </c>
      <c r="AD1363" s="240" t="s">
        <v>391</v>
      </c>
      <c r="AE1363" s="243" t="b">
        <f t="shared" si="3"/>
        <v>0</v>
      </c>
      <c r="AF1363" s="240"/>
      <c r="AG1363" s="243" t="b">
        <f t="shared" si="7"/>
        <v>0</v>
      </c>
      <c r="AH1363" s="240"/>
      <c r="AI1363" s="243" t="str">
        <f t="shared" si="5"/>
        <v>N/A</v>
      </c>
      <c r="AJ1363" s="157" t="str">
        <f t="shared" si="6"/>
        <v/>
      </c>
    </row>
    <row r="1364" ht="12.75" customHeight="1">
      <c r="A1364" s="244" t="s">
        <v>3601</v>
      </c>
      <c r="B1364" s="244" t="s">
        <v>3604</v>
      </c>
      <c r="C1364" s="244" t="s">
        <v>3634</v>
      </c>
      <c r="D1364" s="154" t="s">
        <v>2746</v>
      </c>
      <c r="E1364" s="250"/>
      <c r="F1364" s="154" t="str">
        <f t="array" ref="F1364">XLOOKUP(Cover!$D$12,$S$1:$AA$1,$S1364:$AA1364)</f>
        <v>Mandatory</v>
      </c>
      <c r="G1364" s="154" t="s">
        <v>3635</v>
      </c>
      <c r="H1364" s="154" t="s">
        <v>398</v>
      </c>
      <c r="I1364" s="154" t="s">
        <v>420</v>
      </c>
      <c r="J1364" s="247" t="s">
        <v>445</v>
      </c>
      <c r="K1364" s="247" t="s">
        <v>3636</v>
      </c>
      <c r="L1364" s="154" t="str">
        <f t="shared" si="1"/>
        <v/>
      </c>
      <c r="M1364" s="248" t="str">
        <f>IFERROR(__xludf.DUMMYFUNCTION("VLOOKUP(C1364,IMPORTRANGE(""https://docs.google.com/spreadsheets/d/1P8eX0NWBhUPS_hvzA11R6jkTNFrPrRYIx_dX_hYbxrk/edit?resourcekey=0-iw9bsKY2OqkUHCFMkCar3A&amp;gid=2055363397#gid=2055363397"",""MTR!C:O""),11,false)"),"TAM")</f>
        <v>TAM</v>
      </c>
      <c r="N1364" s="248" t="str">
        <f>IFERROR(__xludf.DUMMYFUNCTION("VLOOKUP(C1364,IMPORTRANGE(""https://docs.google.com/spreadsheets/d/1ihFlp3_ePlYtFuPbUNbYj1muErVpI73WHXbEwJDIA7Q/edit#gid=1493122344"",""MTR!C:O""),8,false)"),"Complies")</f>
        <v>Complies</v>
      </c>
      <c r="O1364" s="248" t="str">
        <f>IFERROR(__xludf.DUMMYFUNCTION("VLOOKUP(C1364,IMPORTRANGE(""https://docs.google.com/spreadsheets/d/1P8eX0NWBhUPS_hvzA11R6jkTNFrPrRYIx_dX_hYbxrk/edit?resourcekey=0-iw9bsKY2OqkUHCFMkCar3A&amp;gid=2055363397#gid=2055363397"",""MTR!C:O""),9,false)"),"PARIS (Pixel cARrIer Settings) to push carrier cofigurations through OTA")</f>
        <v>PARIS (Pixel cARrIer Settings) to push carrier cofigurations through OTA</v>
      </c>
      <c r="P1364" s="248"/>
      <c r="Q1364" s="249" t="s">
        <v>445</v>
      </c>
      <c r="R1364" s="249" t="s">
        <v>3636</v>
      </c>
      <c r="S1364" s="154" t="s">
        <v>60</v>
      </c>
      <c r="T1364" s="154" t="s">
        <v>60</v>
      </c>
      <c r="U1364" s="154" t="s">
        <v>60</v>
      </c>
      <c r="V1364" s="154" t="s">
        <v>60</v>
      </c>
      <c r="W1364" s="154" t="s">
        <v>60</v>
      </c>
      <c r="X1364" s="154" t="s">
        <v>60</v>
      </c>
      <c r="Y1364" s="154" t="s">
        <v>60</v>
      </c>
      <c r="Z1364" s="154" t="s">
        <v>60</v>
      </c>
      <c r="AA1364" s="154" t="s">
        <v>60</v>
      </c>
      <c r="AB1364" s="154"/>
      <c r="AC1364" s="242" t="b">
        <f t="shared" si="2"/>
        <v>1</v>
      </c>
      <c r="AD1364" s="154" t="s">
        <v>391</v>
      </c>
      <c r="AE1364" s="243" t="b">
        <f t="shared" si="3"/>
        <v>0</v>
      </c>
      <c r="AF1364" s="154"/>
      <c r="AG1364" s="243" t="b">
        <f t="shared" si="7"/>
        <v>0</v>
      </c>
      <c r="AH1364" s="154"/>
      <c r="AI1364" s="243" t="str">
        <f t="shared" si="5"/>
        <v>N/A</v>
      </c>
      <c r="AJ1364" s="157" t="str">
        <f t="shared" si="6"/>
        <v/>
      </c>
    </row>
    <row r="1365" ht="12.75" customHeight="1">
      <c r="A1365" s="238" t="s">
        <v>3601</v>
      </c>
      <c r="B1365" s="238" t="s">
        <v>3604</v>
      </c>
      <c r="C1365" s="238" t="s">
        <v>3637</v>
      </c>
      <c r="D1365" s="238"/>
      <c r="E1365" s="238"/>
      <c r="F1365" s="154" t="str">
        <f t="array" ref="F1365">XLOOKUP(Cover!$D$12,$S$1:$AA$1,$S1365:$AA1365)</f>
        <v>Heading</v>
      </c>
      <c r="G1365" s="239" t="s">
        <v>3638</v>
      </c>
      <c r="H1365" s="240"/>
      <c r="I1365" s="240" t="s">
        <v>420</v>
      </c>
      <c r="J1365" s="240"/>
      <c r="K1365" s="262"/>
      <c r="L1365" s="154" t="str">
        <f t="shared" si="1"/>
        <v/>
      </c>
      <c r="M1365" s="241" t="str">
        <f>IFERROR(__xludf.DUMMYFUNCTION("VLOOKUP(C1365,IMPORTRANGE(""https://docs.google.com/spreadsheets/d/1P8eX0NWBhUPS_hvzA11R6jkTNFrPrRYIx_dX_hYbxrk/edit?resourcekey=0-iw9bsKY2OqkUHCFMkCar3A&amp;gid=2055363397#gid=2055363397"",""MTR!C:O""),11,false)"),"")</f>
        <v/>
      </c>
      <c r="N1365" s="241" t="str">
        <f>IFERROR(__xludf.DUMMYFUNCTION("VLOOKUP(C1365,IMPORTRANGE(""https://docs.google.com/spreadsheets/d/1ihFlp3_ePlYtFuPbUNbYj1muErVpI73WHXbEwJDIA7Q/edit#gid=1493122344"",""MTR!C:O""),8,false)"),"")</f>
        <v/>
      </c>
      <c r="O1365" s="241" t="str">
        <f>IFERROR(__xludf.DUMMYFUNCTION("VLOOKUP(C1365,IMPORTRANGE(""https://docs.google.com/spreadsheets/d/1P8eX0NWBhUPS_hvzA11R6jkTNFrPrRYIx_dX_hYbxrk/edit?resourcekey=0-iw9bsKY2OqkUHCFMkCar3A&amp;gid=2055363397#gid=2055363397"",""MTR!C:O""),9,false)"),"")</f>
        <v/>
      </c>
      <c r="P1365" s="241"/>
      <c r="Q1365" s="251"/>
      <c r="R1365" s="251"/>
      <c r="S1365" s="240" t="s">
        <v>390</v>
      </c>
      <c r="T1365" s="240" t="s">
        <v>390</v>
      </c>
      <c r="U1365" s="240" t="s">
        <v>390</v>
      </c>
      <c r="V1365" s="240" t="s">
        <v>390</v>
      </c>
      <c r="W1365" s="240" t="s">
        <v>390</v>
      </c>
      <c r="X1365" s="240" t="s">
        <v>390</v>
      </c>
      <c r="Y1365" s="240" t="s">
        <v>390</v>
      </c>
      <c r="Z1365" s="240" t="s">
        <v>390</v>
      </c>
      <c r="AA1365" s="240" t="s">
        <v>390</v>
      </c>
      <c r="AB1365" s="240"/>
      <c r="AC1365" s="242" t="b">
        <f t="shared" si="2"/>
        <v>0</v>
      </c>
      <c r="AD1365" s="240" t="s">
        <v>391</v>
      </c>
      <c r="AE1365" s="243" t="b">
        <f t="shared" si="3"/>
        <v>0</v>
      </c>
      <c r="AF1365" s="240"/>
      <c r="AG1365" s="243" t="b">
        <f t="shared" si="7"/>
        <v>0</v>
      </c>
      <c r="AH1365" s="240"/>
      <c r="AI1365" s="243" t="str">
        <f t="shared" si="5"/>
        <v>N/A</v>
      </c>
      <c r="AJ1365" s="157" t="str">
        <f t="shared" si="6"/>
        <v/>
      </c>
    </row>
    <row r="1366" ht="12.75" customHeight="1">
      <c r="A1366" s="244" t="s">
        <v>3601</v>
      </c>
      <c r="B1366" s="244" t="s">
        <v>3604</v>
      </c>
      <c r="C1366" s="244" t="s">
        <v>3639</v>
      </c>
      <c r="D1366" s="154" t="s">
        <v>2746</v>
      </c>
      <c r="E1366" s="250"/>
      <c r="F1366" s="154" t="str">
        <f t="array" ref="F1366">XLOOKUP(Cover!$D$12,$S$1:$AA$1,$S1366:$AA1366)</f>
        <v>Mandatory</v>
      </c>
      <c r="G1366" s="154" t="s">
        <v>3640</v>
      </c>
      <c r="H1366" s="154" t="s">
        <v>398</v>
      </c>
      <c r="I1366" s="154" t="s">
        <v>420</v>
      </c>
      <c r="J1366" s="154" t="s">
        <v>445</v>
      </c>
      <c r="K1366" s="154"/>
      <c r="L1366" s="154" t="str">
        <f t="shared" si="1"/>
        <v/>
      </c>
      <c r="M1366" s="248" t="str">
        <f>IFERROR(__xludf.DUMMYFUNCTION("VLOOKUP(C1366,IMPORTRANGE(""https://docs.google.com/spreadsheets/d/1P8eX0NWBhUPS_hvzA11R6jkTNFrPrRYIx_dX_hYbxrk/edit?resourcekey=0-iw9bsKY2OqkUHCFMkCar3A&amp;gid=2055363397#gid=2055363397"",""MTR!C:O""),11,false)"),"TAM")</f>
        <v>TAM</v>
      </c>
      <c r="N1366" s="248" t="str">
        <f>IFERROR(__xludf.DUMMYFUNCTION("VLOOKUP(C1366,IMPORTRANGE(""https://docs.google.com/spreadsheets/d/1ihFlp3_ePlYtFuPbUNbYj1muErVpI73WHXbEwJDIA7Q/edit#gid=1493122344"",""MTR!C:O""),8,false)"),"Complies")</f>
        <v>Complies</v>
      </c>
      <c r="O1366" s="241" t="str">
        <f>IFERROR(__xludf.DUMMYFUNCTION("VLOOKUP(C1366,IMPORTRANGE(""https://docs.google.com/spreadsheets/d/1P8eX0NWBhUPS_hvzA11R6jkTNFrPrRYIx_dX_hYbxrk/edit?resourcekey=0-iw9bsKY2OqkUHCFMkCar3A&amp;gid=2055363397#gid=2055363397"",""MTR!C:O""),9,false)"),"")</f>
        <v/>
      </c>
      <c r="P1366" s="241"/>
      <c r="Q1366" s="251" t="s">
        <v>445</v>
      </c>
      <c r="R1366" s="241"/>
      <c r="S1366" s="154" t="s">
        <v>60</v>
      </c>
      <c r="T1366" s="154" t="s">
        <v>60</v>
      </c>
      <c r="U1366" s="154" t="s">
        <v>60</v>
      </c>
      <c r="V1366" s="154" t="s">
        <v>60</v>
      </c>
      <c r="W1366" s="154" t="s">
        <v>60</v>
      </c>
      <c r="X1366" s="154" t="s">
        <v>60</v>
      </c>
      <c r="Y1366" s="154" t="s">
        <v>60</v>
      </c>
      <c r="Z1366" s="154" t="s">
        <v>60</v>
      </c>
      <c r="AA1366" s="154" t="s">
        <v>60</v>
      </c>
      <c r="AB1366" s="154"/>
      <c r="AC1366" s="242" t="b">
        <f t="shared" si="2"/>
        <v>1</v>
      </c>
      <c r="AD1366" s="154" t="s">
        <v>391</v>
      </c>
      <c r="AE1366" s="243" t="b">
        <f t="shared" si="3"/>
        <v>0</v>
      </c>
      <c r="AF1366" s="154"/>
      <c r="AG1366" s="243" t="b">
        <f t="shared" si="7"/>
        <v>0</v>
      </c>
      <c r="AH1366" s="154"/>
      <c r="AI1366" s="243" t="str">
        <f t="shared" si="5"/>
        <v>N/A</v>
      </c>
      <c r="AJ1366" s="157" t="str">
        <f t="shared" si="6"/>
        <v/>
      </c>
    </row>
    <row r="1367" ht="12.75" customHeight="1">
      <c r="A1367" s="244" t="s">
        <v>3601</v>
      </c>
      <c r="B1367" s="244" t="s">
        <v>3604</v>
      </c>
      <c r="C1367" s="244" t="s">
        <v>3641</v>
      </c>
      <c r="D1367" s="154" t="s">
        <v>2746</v>
      </c>
      <c r="E1367" s="250"/>
      <c r="F1367" s="154" t="str">
        <f t="array" ref="F1367">XLOOKUP(Cover!$D$12,$S$1:$AA$1,$S1367:$AA1367)</f>
        <v>Mandatory</v>
      </c>
      <c r="G1367" s="154" t="s">
        <v>3642</v>
      </c>
      <c r="H1367" s="154" t="s">
        <v>398</v>
      </c>
      <c r="I1367" s="154" t="s">
        <v>420</v>
      </c>
      <c r="J1367" s="247" t="s">
        <v>445</v>
      </c>
      <c r="K1367" s="154"/>
      <c r="L1367" s="154" t="str">
        <f t="shared" si="1"/>
        <v/>
      </c>
      <c r="M1367" s="248" t="str">
        <f>IFERROR(__xludf.DUMMYFUNCTION("VLOOKUP(C1367,IMPORTRANGE(""https://docs.google.com/spreadsheets/d/1P8eX0NWBhUPS_hvzA11R6jkTNFrPrRYIx_dX_hYbxrk/edit?resourcekey=0-iw9bsKY2OqkUHCFMkCar3A&amp;gid=2055363397#gid=2055363397"",""MTR!C:O""),11,false)"),"TAM")</f>
        <v>TAM</v>
      </c>
      <c r="N1367" s="248" t="str">
        <f>IFERROR(__xludf.DUMMYFUNCTION("VLOOKUP(C1367,IMPORTRANGE(""https://docs.google.com/spreadsheets/d/1ihFlp3_ePlYtFuPbUNbYj1muErVpI73WHXbEwJDIA7Q/edit#gid=1493122344"",""MTR!C:O""),8,false)"),"Complies")</f>
        <v>Complies</v>
      </c>
      <c r="O1367" s="241" t="str">
        <f>IFERROR(__xludf.DUMMYFUNCTION("VLOOKUP(C1367,IMPORTRANGE(""https://docs.google.com/spreadsheets/d/1P8eX0NWBhUPS_hvzA11R6jkTNFrPrRYIx_dX_hYbxrk/edit?resourcekey=0-iw9bsKY2OqkUHCFMkCar3A&amp;gid=2055363397#gid=2055363397"",""MTR!C:O""),9,false)"),"")</f>
        <v/>
      </c>
      <c r="P1367" s="241"/>
      <c r="Q1367" s="251" t="s">
        <v>445</v>
      </c>
      <c r="R1367" s="241"/>
      <c r="S1367" s="154" t="s">
        <v>60</v>
      </c>
      <c r="T1367" s="154" t="s">
        <v>60</v>
      </c>
      <c r="U1367" s="154" t="s">
        <v>60</v>
      </c>
      <c r="V1367" s="154" t="s">
        <v>60</v>
      </c>
      <c r="W1367" s="154" t="s">
        <v>60</v>
      </c>
      <c r="X1367" s="154" t="s">
        <v>60</v>
      </c>
      <c r="Y1367" s="154" t="s">
        <v>60</v>
      </c>
      <c r="Z1367" s="154" t="s">
        <v>60</v>
      </c>
      <c r="AA1367" s="154" t="s">
        <v>60</v>
      </c>
      <c r="AB1367" s="154"/>
      <c r="AC1367" s="242" t="b">
        <f t="shared" si="2"/>
        <v>1</v>
      </c>
      <c r="AD1367" s="154" t="s">
        <v>391</v>
      </c>
      <c r="AE1367" s="243" t="b">
        <f t="shared" si="3"/>
        <v>0</v>
      </c>
      <c r="AF1367" s="154"/>
      <c r="AG1367" s="243" t="b">
        <f t="shared" si="7"/>
        <v>0</v>
      </c>
      <c r="AH1367" s="154"/>
      <c r="AI1367" s="243" t="str">
        <f t="shared" si="5"/>
        <v>N/A</v>
      </c>
      <c r="AJ1367" s="157" t="str">
        <f t="shared" si="6"/>
        <v/>
      </c>
    </row>
    <row r="1368" ht="12.75" customHeight="1">
      <c r="A1368" s="244" t="s">
        <v>3601</v>
      </c>
      <c r="B1368" s="244" t="s">
        <v>3604</v>
      </c>
      <c r="C1368" s="244" t="s">
        <v>3643</v>
      </c>
      <c r="D1368" s="154" t="s">
        <v>2746</v>
      </c>
      <c r="E1368" s="250"/>
      <c r="F1368" s="154" t="str">
        <f t="array" ref="F1368">XLOOKUP(Cover!$D$12,$S$1:$AA$1,$S1368:$AA1368)</f>
        <v>Mandatory</v>
      </c>
      <c r="G1368" s="154" t="s">
        <v>3644</v>
      </c>
      <c r="H1368" s="154" t="s">
        <v>398</v>
      </c>
      <c r="I1368" s="154" t="s">
        <v>420</v>
      </c>
      <c r="J1368" s="247" t="s">
        <v>445</v>
      </c>
      <c r="K1368" s="154"/>
      <c r="L1368" s="154" t="str">
        <f t="shared" si="1"/>
        <v/>
      </c>
      <c r="M1368" s="248" t="str">
        <f>IFERROR(__xludf.DUMMYFUNCTION("VLOOKUP(C1368,IMPORTRANGE(""https://docs.google.com/spreadsheets/d/1P8eX0NWBhUPS_hvzA11R6jkTNFrPrRYIx_dX_hYbxrk/edit?resourcekey=0-iw9bsKY2OqkUHCFMkCar3A&amp;gid=2055363397#gid=2055363397"",""MTR!C:O""),11,false)"),"TAM")</f>
        <v>TAM</v>
      </c>
      <c r="N1368" s="248" t="str">
        <f>IFERROR(__xludf.DUMMYFUNCTION("VLOOKUP(C1368,IMPORTRANGE(""https://docs.google.com/spreadsheets/d/1ihFlp3_ePlYtFuPbUNbYj1muErVpI73WHXbEwJDIA7Q/edit#gid=1493122344"",""MTR!C:O""),8,false)"),"Complies")</f>
        <v>Complies</v>
      </c>
      <c r="O1368" s="241" t="str">
        <f>IFERROR(__xludf.DUMMYFUNCTION("VLOOKUP(C1368,IMPORTRANGE(""https://docs.google.com/spreadsheets/d/1P8eX0NWBhUPS_hvzA11R6jkTNFrPrRYIx_dX_hYbxrk/edit?resourcekey=0-iw9bsKY2OqkUHCFMkCar3A&amp;gid=2055363397#gid=2055363397"",""MTR!C:O""),9,false)"),"")</f>
        <v/>
      </c>
      <c r="P1368" s="241"/>
      <c r="Q1368" s="251" t="s">
        <v>445</v>
      </c>
      <c r="R1368" s="241"/>
      <c r="S1368" s="154" t="s">
        <v>60</v>
      </c>
      <c r="T1368" s="154" t="s">
        <v>60</v>
      </c>
      <c r="U1368" s="154" t="s">
        <v>60</v>
      </c>
      <c r="V1368" s="154" t="s">
        <v>60</v>
      </c>
      <c r="W1368" s="154" t="s">
        <v>60</v>
      </c>
      <c r="X1368" s="154" t="s">
        <v>60</v>
      </c>
      <c r="Y1368" s="154" t="s">
        <v>60</v>
      </c>
      <c r="Z1368" s="154" t="s">
        <v>60</v>
      </c>
      <c r="AA1368" s="154" t="s">
        <v>60</v>
      </c>
      <c r="AB1368" s="154"/>
      <c r="AC1368" s="242" t="b">
        <f t="shared" si="2"/>
        <v>1</v>
      </c>
      <c r="AD1368" s="154" t="s">
        <v>391</v>
      </c>
      <c r="AE1368" s="243" t="b">
        <f t="shared" si="3"/>
        <v>0</v>
      </c>
      <c r="AF1368" s="154"/>
      <c r="AG1368" s="243" t="b">
        <f t="shared" si="7"/>
        <v>0</v>
      </c>
      <c r="AH1368" s="154"/>
      <c r="AI1368" s="243" t="str">
        <f t="shared" si="5"/>
        <v>N/A</v>
      </c>
      <c r="AJ1368" s="157" t="str">
        <f t="shared" si="6"/>
        <v/>
      </c>
    </row>
    <row r="1369" ht="12.75" customHeight="1">
      <c r="A1369" s="238" t="s">
        <v>3601</v>
      </c>
      <c r="B1369" s="238" t="s">
        <v>3604</v>
      </c>
      <c r="C1369" s="238" t="s">
        <v>3645</v>
      </c>
      <c r="D1369" s="238"/>
      <c r="E1369" s="238"/>
      <c r="F1369" s="154" t="str">
        <f t="array" ref="F1369">XLOOKUP(Cover!$D$12,$S$1:$AA$1,$S1369:$AA1369)</f>
        <v>Heading</v>
      </c>
      <c r="G1369" s="239" t="s">
        <v>3646</v>
      </c>
      <c r="H1369" s="240"/>
      <c r="I1369" s="240" t="s">
        <v>420</v>
      </c>
      <c r="J1369" s="262"/>
      <c r="K1369" s="240"/>
      <c r="L1369" s="154" t="str">
        <f t="shared" si="1"/>
        <v/>
      </c>
      <c r="M1369" s="241" t="str">
        <f>IFERROR(__xludf.DUMMYFUNCTION("VLOOKUP(C1369,IMPORTRANGE(""https://docs.google.com/spreadsheets/d/1P8eX0NWBhUPS_hvzA11R6jkTNFrPrRYIx_dX_hYbxrk/edit?resourcekey=0-iw9bsKY2OqkUHCFMkCar3A&amp;gid=2055363397#gid=2055363397"",""MTR!C:O""),11,false)"),"")</f>
        <v/>
      </c>
      <c r="N1369" s="241" t="str">
        <f>IFERROR(__xludf.DUMMYFUNCTION("VLOOKUP(C1369,IMPORTRANGE(""https://docs.google.com/spreadsheets/d/1ihFlp3_ePlYtFuPbUNbYj1muErVpI73WHXbEwJDIA7Q/edit#gid=1493122344"",""MTR!C:O""),8,false)"),"")</f>
        <v/>
      </c>
      <c r="O1369" s="241" t="str">
        <f>IFERROR(__xludf.DUMMYFUNCTION("VLOOKUP(C1369,IMPORTRANGE(""https://docs.google.com/spreadsheets/d/1P8eX0NWBhUPS_hvzA11R6jkTNFrPrRYIx_dX_hYbxrk/edit?resourcekey=0-iw9bsKY2OqkUHCFMkCar3A&amp;gid=2055363397#gid=2055363397"",""MTR!C:O""),9,false)"),"")</f>
        <v/>
      </c>
      <c r="P1369" s="241"/>
      <c r="Q1369" s="251"/>
      <c r="R1369" s="241"/>
      <c r="S1369" s="240" t="s">
        <v>390</v>
      </c>
      <c r="T1369" s="240" t="s">
        <v>390</v>
      </c>
      <c r="U1369" s="240" t="s">
        <v>390</v>
      </c>
      <c r="V1369" s="240" t="s">
        <v>390</v>
      </c>
      <c r="W1369" s="240" t="s">
        <v>390</v>
      </c>
      <c r="X1369" s="240" t="s">
        <v>390</v>
      </c>
      <c r="Y1369" s="240" t="s">
        <v>390</v>
      </c>
      <c r="Z1369" s="240" t="s">
        <v>390</v>
      </c>
      <c r="AA1369" s="240" t="s">
        <v>390</v>
      </c>
      <c r="AB1369" s="240"/>
      <c r="AC1369" s="242" t="b">
        <f t="shared" si="2"/>
        <v>0</v>
      </c>
      <c r="AD1369" s="240" t="s">
        <v>391</v>
      </c>
      <c r="AE1369" s="243" t="b">
        <f t="shared" si="3"/>
        <v>0</v>
      </c>
      <c r="AF1369" s="240"/>
      <c r="AG1369" s="243" t="b">
        <f t="shared" si="7"/>
        <v>0</v>
      </c>
      <c r="AH1369" s="240"/>
      <c r="AI1369" s="243" t="str">
        <f t="shared" si="5"/>
        <v>N/A</v>
      </c>
      <c r="AJ1369" s="157" t="str">
        <f t="shared" si="6"/>
        <v/>
      </c>
    </row>
    <row r="1370" ht="12.75" customHeight="1">
      <c r="A1370" s="244" t="s">
        <v>3601</v>
      </c>
      <c r="B1370" s="244" t="s">
        <v>3604</v>
      </c>
      <c r="C1370" s="244" t="s">
        <v>3647</v>
      </c>
      <c r="D1370" s="154" t="s">
        <v>1211</v>
      </c>
      <c r="E1370" s="250"/>
      <c r="F1370" s="154" t="str">
        <f t="array" ref="F1370">XLOOKUP(Cover!$D$12,$S$1:$AA$1,$S1370:$AA1370)</f>
        <v>Mandatory</v>
      </c>
      <c r="G1370" s="154" t="s">
        <v>3648</v>
      </c>
      <c r="H1370" s="154" t="s">
        <v>398</v>
      </c>
      <c r="I1370" s="154" t="s">
        <v>420</v>
      </c>
      <c r="J1370" s="247" t="s">
        <v>445</v>
      </c>
      <c r="K1370" s="154"/>
      <c r="L1370" s="154" t="str">
        <f t="shared" si="1"/>
        <v/>
      </c>
      <c r="M1370" s="248" t="str">
        <f>IFERROR(__xludf.DUMMYFUNCTION("VLOOKUP(C1370,IMPORTRANGE(""https://docs.google.com/spreadsheets/d/1P8eX0NWBhUPS_hvzA11R6jkTNFrPrRYIx_dX_hYbxrk/edit?resourcekey=0-iw9bsKY2OqkUHCFMkCar3A&amp;gid=2055363397#gid=2055363397"",""MTR!C:O""),11,false)"),"TAM")</f>
        <v>TAM</v>
      </c>
      <c r="N1370" s="248" t="str">
        <f>IFERROR(__xludf.DUMMYFUNCTION("VLOOKUP(C1370,IMPORTRANGE(""https://docs.google.com/spreadsheets/d/1ihFlp3_ePlYtFuPbUNbYj1muErVpI73WHXbEwJDIA7Q/edit#gid=1493122344"",""MTR!C:O""),8,false)"),"Complies")</f>
        <v>Complies</v>
      </c>
      <c r="O1370" s="241" t="str">
        <f>IFERROR(__xludf.DUMMYFUNCTION("VLOOKUP(C1370,IMPORTRANGE(""https://docs.google.com/spreadsheets/d/1P8eX0NWBhUPS_hvzA11R6jkTNFrPrRYIx_dX_hYbxrk/edit?resourcekey=0-iw9bsKY2OqkUHCFMkCar3A&amp;gid=2055363397#gid=2055363397"",""MTR!C:O""),9,false)"),"")</f>
        <v/>
      </c>
      <c r="P1370" s="241"/>
      <c r="Q1370" s="251" t="s">
        <v>445</v>
      </c>
      <c r="R1370" s="241"/>
      <c r="S1370" s="154" t="s">
        <v>60</v>
      </c>
      <c r="T1370" s="154" t="s">
        <v>60</v>
      </c>
      <c r="U1370" s="154" t="s">
        <v>60</v>
      </c>
      <c r="V1370" s="154" t="s">
        <v>60</v>
      </c>
      <c r="W1370" s="154" t="s">
        <v>60</v>
      </c>
      <c r="X1370" s="154" t="s">
        <v>60</v>
      </c>
      <c r="Y1370" s="154" t="s">
        <v>60</v>
      </c>
      <c r="Z1370" s="154" t="s">
        <v>60</v>
      </c>
      <c r="AA1370" s="154" t="s">
        <v>60</v>
      </c>
      <c r="AB1370" s="154"/>
      <c r="AC1370" s="242" t="b">
        <f t="shared" si="2"/>
        <v>1</v>
      </c>
      <c r="AD1370" s="154" t="s">
        <v>391</v>
      </c>
      <c r="AE1370" s="243" t="b">
        <f t="shared" si="3"/>
        <v>0</v>
      </c>
      <c r="AF1370" s="154"/>
      <c r="AG1370" s="243" t="b">
        <f t="shared" si="7"/>
        <v>0</v>
      </c>
      <c r="AH1370" s="154"/>
      <c r="AI1370" s="243" t="str">
        <f t="shared" si="5"/>
        <v>N/A</v>
      </c>
      <c r="AJ1370" s="157" t="str">
        <f t="shared" si="6"/>
        <v/>
      </c>
    </row>
    <row r="1371" ht="12.75" customHeight="1">
      <c r="A1371" s="244" t="s">
        <v>3601</v>
      </c>
      <c r="B1371" s="244" t="s">
        <v>3604</v>
      </c>
      <c r="C1371" s="244" t="s">
        <v>3649</v>
      </c>
      <c r="D1371" s="154" t="s">
        <v>1211</v>
      </c>
      <c r="E1371" s="250"/>
      <c r="F1371" s="154" t="str">
        <f t="array" ref="F1371">XLOOKUP(Cover!$D$12,$S$1:$AA$1,$S1371:$AA1371)</f>
        <v>Mandatory</v>
      </c>
      <c r="G1371" s="154" t="s">
        <v>3650</v>
      </c>
      <c r="H1371" s="154" t="s">
        <v>398</v>
      </c>
      <c r="I1371" s="154" t="s">
        <v>420</v>
      </c>
      <c r="J1371" s="247" t="s">
        <v>445</v>
      </c>
      <c r="K1371" s="154"/>
      <c r="L1371" s="154" t="str">
        <f t="shared" si="1"/>
        <v/>
      </c>
      <c r="M1371" s="248" t="str">
        <f>IFERROR(__xludf.DUMMYFUNCTION("VLOOKUP(C1371,IMPORTRANGE(""https://docs.google.com/spreadsheets/d/1P8eX0NWBhUPS_hvzA11R6jkTNFrPrRYIx_dX_hYbxrk/edit?resourcekey=0-iw9bsKY2OqkUHCFMkCar3A&amp;gid=2055363397#gid=2055363397"",""MTR!C:O""),11,false)"),"TAM")</f>
        <v>TAM</v>
      </c>
      <c r="N1371" s="248" t="str">
        <f>IFERROR(__xludf.DUMMYFUNCTION("VLOOKUP(C1371,IMPORTRANGE(""https://docs.google.com/spreadsheets/d/1ihFlp3_ePlYtFuPbUNbYj1muErVpI73WHXbEwJDIA7Q/edit#gid=1493122344"",""MTR!C:O""),8,false)"),"Complies")</f>
        <v>Complies</v>
      </c>
      <c r="O1371" s="241" t="str">
        <f>IFERROR(__xludf.DUMMYFUNCTION("VLOOKUP(C1371,IMPORTRANGE(""https://docs.google.com/spreadsheets/d/1P8eX0NWBhUPS_hvzA11R6jkTNFrPrRYIx_dX_hYbxrk/edit?resourcekey=0-iw9bsKY2OqkUHCFMkCar3A&amp;gid=2055363397#gid=2055363397"",""MTR!C:O""),9,false)"),"")</f>
        <v/>
      </c>
      <c r="P1371" s="241"/>
      <c r="Q1371" s="251" t="s">
        <v>445</v>
      </c>
      <c r="R1371" s="241"/>
      <c r="S1371" s="154" t="s">
        <v>60</v>
      </c>
      <c r="T1371" s="154" t="s">
        <v>60</v>
      </c>
      <c r="U1371" s="154" t="s">
        <v>60</v>
      </c>
      <c r="V1371" s="154" t="s">
        <v>60</v>
      </c>
      <c r="W1371" s="154" t="s">
        <v>60</v>
      </c>
      <c r="X1371" s="154" t="s">
        <v>60</v>
      </c>
      <c r="Y1371" s="154" t="s">
        <v>60</v>
      </c>
      <c r="Z1371" s="154" t="s">
        <v>60</v>
      </c>
      <c r="AA1371" s="154" t="s">
        <v>60</v>
      </c>
      <c r="AB1371" s="154"/>
      <c r="AC1371" s="242" t="b">
        <f t="shared" si="2"/>
        <v>1</v>
      </c>
      <c r="AD1371" s="154" t="s">
        <v>391</v>
      </c>
      <c r="AE1371" s="243" t="b">
        <f t="shared" si="3"/>
        <v>0</v>
      </c>
      <c r="AF1371" s="154"/>
      <c r="AG1371" s="243" t="b">
        <f t="shared" si="7"/>
        <v>0</v>
      </c>
      <c r="AH1371" s="154"/>
      <c r="AI1371" s="243" t="str">
        <f t="shared" si="5"/>
        <v>N/A</v>
      </c>
      <c r="AJ1371" s="157" t="str">
        <f t="shared" si="6"/>
        <v/>
      </c>
    </row>
    <row r="1372" ht="12.75" customHeight="1">
      <c r="A1372" s="244" t="s">
        <v>3601</v>
      </c>
      <c r="B1372" s="244" t="s">
        <v>3604</v>
      </c>
      <c r="C1372" s="244" t="s">
        <v>3651</v>
      </c>
      <c r="D1372" s="154" t="s">
        <v>649</v>
      </c>
      <c r="E1372" s="250"/>
      <c r="F1372" s="154" t="str">
        <f t="array" ref="F1372">XLOOKUP(Cover!$D$12,$S$1:$AA$1,$S1372:$AA1372)</f>
        <v>Mandatory</v>
      </c>
      <c r="G1372" s="154" t="s">
        <v>3652</v>
      </c>
      <c r="H1372" s="154" t="s">
        <v>398</v>
      </c>
      <c r="I1372" s="154" t="s">
        <v>420</v>
      </c>
      <c r="J1372" s="247" t="s">
        <v>516</v>
      </c>
      <c r="K1372" s="247" t="s">
        <v>3653</v>
      </c>
      <c r="L1372" s="154" t="str">
        <f t="shared" si="1"/>
        <v/>
      </c>
      <c r="M1372" s="248" t="str">
        <f>IFERROR(__xludf.DUMMYFUNCTION("VLOOKUP(C1372,IMPORTRANGE(""https://docs.google.com/spreadsheets/d/1P8eX0NWBhUPS_hvzA11R6jkTNFrPrRYIx_dX_hYbxrk/edit?resourcekey=0-iw9bsKY2OqkUHCFMkCar3A&amp;gid=2055363397#gid=2055363397"",""MTR!C:O""),11,false)"),"TAM")</f>
        <v>TAM</v>
      </c>
      <c r="N1372" s="248" t="str">
        <f>IFERROR(__xludf.DUMMYFUNCTION("VLOOKUP(C1372,IMPORTRANGE(""https://docs.google.com/spreadsheets/d/1ihFlp3_ePlYtFuPbUNbYj1muErVpI73WHXbEwJDIA7Q/edit#gid=1493122344"",""MTR!C:O""),8,false)"),"Does Not Comply")</f>
        <v>Does Not Comply</v>
      </c>
      <c r="O1372" s="248" t="str">
        <f>IFERROR(__xludf.DUMMYFUNCTION("VLOOKUP(C1372,IMPORTRANGE(""https://docs.google.com/spreadsheets/d/1P8eX0NWBhUPS_hvzA11R6jkTNFrPrRYIx_dX_hYbxrk/edit?resourcekey=0-iw9bsKY2OqkUHCFMkCar3A&amp;gid=2055363397#gid=2055363397"",""MTR!C:O""),9,false)"),"Pixels have its own start-up design, no customization of the activation process")</f>
        <v>Pixels have its own start-up design, no customization of the activation process</v>
      </c>
      <c r="P1372" s="248"/>
      <c r="Q1372" s="249" t="s">
        <v>516</v>
      </c>
      <c r="R1372" s="249" t="s">
        <v>3653</v>
      </c>
      <c r="S1372" s="154" t="s">
        <v>60</v>
      </c>
      <c r="T1372" s="154" t="s">
        <v>60</v>
      </c>
      <c r="U1372" s="154" t="s">
        <v>60</v>
      </c>
      <c r="V1372" s="154" t="s">
        <v>60</v>
      </c>
      <c r="W1372" s="154" t="s">
        <v>60</v>
      </c>
      <c r="X1372" s="154" t="s">
        <v>60</v>
      </c>
      <c r="Y1372" s="154" t="s">
        <v>60</v>
      </c>
      <c r="Z1372" s="154" t="s">
        <v>60</v>
      </c>
      <c r="AA1372" s="154" t="s">
        <v>60</v>
      </c>
      <c r="AB1372" s="154"/>
      <c r="AC1372" s="242" t="b">
        <f t="shared" si="2"/>
        <v>1</v>
      </c>
      <c r="AD1372" s="154" t="s">
        <v>391</v>
      </c>
      <c r="AE1372" s="243" t="b">
        <f t="shared" si="3"/>
        <v>0</v>
      </c>
      <c r="AF1372" s="154"/>
      <c r="AG1372" s="243" t="b">
        <f t="shared" si="7"/>
        <v>0</v>
      </c>
      <c r="AH1372" s="154"/>
      <c r="AI1372" s="243" t="str">
        <f t="shared" si="5"/>
        <v>N/A</v>
      </c>
      <c r="AJ1372" s="157" t="str">
        <f t="shared" si="6"/>
        <v/>
      </c>
    </row>
    <row r="1373" ht="12.75" customHeight="1">
      <c r="A1373" s="244" t="s">
        <v>3601</v>
      </c>
      <c r="B1373" s="244" t="s">
        <v>3604</v>
      </c>
      <c r="C1373" s="244" t="s">
        <v>3654</v>
      </c>
      <c r="D1373" s="154" t="s">
        <v>396</v>
      </c>
      <c r="E1373" s="250"/>
      <c r="F1373" s="154" t="str">
        <f t="array" ref="F1373">XLOOKUP(Cover!$D$12,$S$1:$AA$1,$S1373:$AA1373)</f>
        <v>Mandatory</v>
      </c>
      <c r="G1373" s="154" t="s">
        <v>3655</v>
      </c>
      <c r="H1373" s="154" t="s">
        <v>398</v>
      </c>
      <c r="I1373" s="154" t="s">
        <v>420</v>
      </c>
      <c r="J1373" s="247" t="s">
        <v>445</v>
      </c>
      <c r="K1373" s="247"/>
      <c r="L1373" s="154" t="str">
        <f t="shared" si="1"/>
        <v/>
      </c>
      <c r="M1373" s="248" t="str">
        <f>IFERROR(__xludf.DUMMYFUNCTION("VLOOKUP(C1373,IMPORTRANGE(""https://docs.google.com/spreadsheets/d/1P8eX0NWBhUPS_hvzA11R6jkTNFrPrRYIx_dX_hYbxrk/edit?resourcekey=0-iw9bsKY2OqkUHCFMkCar3A&amp;gid=2055363397#gid=2055363397"",""MTR!C:O""),11,false)"),"TAM")</f>
        <v>TAM</v>
      </c>
      <c r="N1373" s="248" t="str">
        <f>IFERROR(__xludf.DUMMYFUNCTION("VLOOKUP(C1373,IMPORTRANGE(""https://docs.google.com/spreadsheets/d/1ihFlp3_ePlYtFuPbUNbYj1muErVpI73WHXbEwJDIA7Q/edit#gid=1493122344"",""MTR!C:O""),8,false)"),"Complies")</f>
        <v>Complies</v>
      </c>
      <c r="O1373" s="241" t="str">
        <f>IFERROR(__xludf.DUMMYFUNCTION("VLOOKUP(C1373,IMPORTRANGE(""https://docs.google.com/spreadsheets/d/1P8eX0NWBhUPS_hvzA11R6jkTNFrPrRYIx_dX_hYbxrk/edit?resourcekey=0-iw9bsKY2OqkUHCFMkCar3A&amp;gid=2055363397#gid=2055363397"",""MTR!C:O""),9,false)"),"")</f>
        <v/>
      </c>
      <c r="P1373" s="241"/>
      <c r="Q1373" s="251" t="s">
        <v>445</v>
      </c>
      <c r="R1373" s="251"/>
      <c r="S1373" s="154" t="s">
        <v>60</v>
      </c>
      <c r="T1373" s="154" t="s">
        <v>60</v>
      </c>
      <c r="U1373" s="154" t="s">
        <v>60</v>
      </c>
      <c r="V1373" s="154" t="s">
        <v>60</v>
      </c>
      <c r="W1373" s="154" t="s">
        <v>60</v>
      </c>
      <c r="X1373" s="154" t="s">
        <v>60</v>
      </c>
      <c r="Y1373" s="154" t="s">
        <v>60</v>
      </c>
      <c r="Z1373" s="154" t="s">
        <v>60</v>
      </c>
      <c r="AA1373" s="154" t="s">
        <v>60</v>
      </c>
      <c r="AB1373" s="154"/>
      <c r="AC1373" s="242" t="b">
        <f t="shared" si="2"/>
        <v>1</v>
      </c>
      <c r="AD1373" s="154" t="s">
        <v>391</v>
      </c>
      <c r="AE1373" s="243" t="b">
        <f t="shared" si="3"/>
        <v>0</v>
      </c>
      <c r="AF1373" s="154"/>
      <c r="AG1373" s="243" t="b">
        <f t="shared" si="7"/>
        <v>0</v>
      </c>
      <c r="AH1373" s="154"/>
      <c r="AI1373" s="243" t="str">
        <f t="shared" si="5"/>
        <v>N/A</v>
      </c>
      <c r="AJ1373" s="157" t="str">
        <f t="shared" si="6"/>
        <v/>
      </c>
    </row>
    <row r="1374" ht="12.75" customHeight="1">
      <c r="A1374" s="244" t="s">
        <v>3601</v>
      </c>
      <c r="B1374" s="244" t="s">
        <v>3604</v>
      </c>
      <c r="C1374" s="244" t="s">
        <v>3656</v>
      </c>
      <c r="D1374" s="154" t="s">
        <v>542</v>
      </c>
      <c r="E1374" s="250"/>
      <c r="F1374" s="154" t="str">
        <f t="array" ref="F1374">XLOOKUP(Cover!$D$12,$S$1:$AA$1,$S1374:$AA1374)</f>
        <v>Mandatory</v>
      </c>
      <c r="G1374" s="154" t="s">
        <v>3657</v>
      </c>
      <c r="H1374" s="154" t="s">
        <v>398</v>
      </c>
      <c r="I1374" s="154" t="s">
        <v>420</v>
      </c>
      <c r="J1374" s="247" t="s">
        <v>506</v>
      </c>
      <c r="K1374" s="247" t="s">
        <v>3629</v>
      </c>
      <c r="L1374" s="154" t="str">
        <f t="shared" si="1"/>
        <v/>
      </c>
      <c r="M1374" s="248" t="str">
        <f>IFERROR(__xludf.DUMMYFUNCTION("VLOOKUP(C1374,IMPORTRANGE(""https://docs.google.com/spreadsheets/d/1P8eX0NWBhUPS_hvzA11R6jkTNFrPrRYIx_dX_hYbxrk/edit?resourcekey=0-iw9bsKY2OqkUHCFMkCar3A&amp;gid=2055363397#gid=2055363397"",""MTR!C:O""),11,false)"),"TAM")</f>
        <v>TAM</v>
      </c>
      <c r="N1374" s="248" t="str">
        <f>IFERROR(__xludf.DUMMYFUNCTION("VLOOKUP(C1374,IMPORTRANGE(""https://docs.google.com/spreadsheets/d/1ihFlp3_ePlYtFuPbUNbYj1muErVpI73WHXbEwJDIA7Q/edit#gid=1493122344"",""MTR!C:O""),8,false)"),"Partially Complies")</f>
        <v>Partially Complies</v>
      </c>
      <c r="O1374" s="248" t="str">
        <f>IFERROR(__xludf.DUMMYFUNCTION("VLOOKUP(C1374,IMPORTRANGE(""https://docs.google.com/spreadsheets/d/1P8eX0NWBhUPS_hvzA11R6jkTNFrPrRYIx_dX_hYbxrk/edit?resourcekey=0-iw9bsKY2OqkUHCFMkCar3A&amp;gid=2055363397#gid=2055363397"",""MTR!C:O""),9,false)"),"a. Radio/Baseband Configuration as per DT MTR requirements &amp; [TISD] -&gt; Support by detecting SIM MCC/MNC
b. Settings (Bookmarks, Access settings &amp; Client settings) as per DT MTR requirements and [TISD] -&gt; Partially support the APP settings
c. UI Elements i"&amp;"ncluding: sound elements, service indicators and visual assets, see chapters 3.1.2, 3.1.3 -&gt; 
d. Applications, widgets, application folders etc. as per UI briefing documents PDS and chapter 3.1.4 requirements -&gt; Not support""")</f>
        <v>a. Radio/Baseband Configuration as per DT MTR requirements &amp; [TISD] -&gt; Support by detecting SIM MCC/MNC
b. Settings (Bookmarks, Access settings &amp; Client settings) as per DT MTR requirements and [TISD] -&gt; Partially support the APP settings
c. UI Elements including: sound elements, service indicators and visual assets, see chapters 3.1.2, 3.1.3 -&gt; 
d. Applications, widgets, application folders etc. as per UI briefing documents PDS and chapter 3.1.4 requirements -&gt; Not support"</v>
      </c>
      <c r="P1374" s="248"/>
      <c r="Q1374" s="249" t="s">
        <v>506</v>
      </c>
      <c r="R1374" s="249" t="s">
        <v>3629</v>
      </c>
      <c r="S1374" s="154" t="s">
        <v>60</v>
      </c>
      <c r="T1374" s="154" t="s">
        <v>60</v>
      </c>
      <c r="U1374" s="154" t="s">
        <v>60</v>
      </c>
      <c r="V1374" s="154" t="s">
        <v>60</v>
      </c>
      <c r="W1374" s="154" t="s">
        <v>60</v>
      </c>
      <c r="X1374" s="154" t="s">
        <v>60</v>
      </c>
      <c r="Y1374" s="154" t="s">
        <v>60</v>
      </c>
      <c r="Z1374" s="154" t="s">
        <v>60</v>
      </c>
      <c r="AA1374" s="154" t="s">
        <v>60</v>
      </c>
      <c r="AB1374" s="154"/>
      <c r="AC1374" s="242" t="b">
        <f t="shared" si="2"/>
        <v>1</v>
      </c>
      <c r="AD1374" s="154" t="s">
        <v>516</v>
      </c>
      <c r="AE1374" s="243" t="b">
        <f t="shared" si="3"/>
        <v>0</v>
      </c>
      <c r="AF1374" s="154"/>
      <c r="AG1374" s="243" t="b">
        <f t="shared" si="7"/>
        <v>0</v>
      </c>
      <c r="AH1374" s="154"/>
      <c r="AI1374" s="243" t="str">
        <f t="shared" si="5"/>
        <v>N/A</v>
      </c>
      <c r="AJ1374" s="157" t="str">
        <f t="shared" si="6"/>
        <v/>
      </c>
    </row>
    <row r="1375" ht="12.75" customHeight="1">
      <c r="A1375" s="244" t="s">
        <v>3601</v>
      </c>
      <c r="B1375" s="244" t="s">
        <v>3604</v>
      </c>
      <c r="C1375" s="244" t="s">
        <v>3658</v>
      </c>
      <c r="D1375" s="154" t="s">
        <v>492</v>
      </c>
      <c r="E1375" s="250"/>
      <c r="F1375" s="154" t="str">
        <f t="array" ref="F1375">XLOOKUP(Cover!$D$12,$S$1:$AA$1,$S1375:$AA1375)</f>
        <v>Comments Vendor</v>
      </c>
      <c r="G1375" s="154" t="s">
        <v>3659</v>
      </c>
      <c r="H1375" s="154" t="s">
        <v>398</v>
      </c>
      <c r="I1375" s="154" t="s">
        <v>420</v>
      </c>
      <c r="J1375" s="247" t="s">
        <v>445</v>
      </c>
      <c r="K1375" s="247" t="s">
        <v>3660</v>
      </c>
      <c r="L1375" s="154" t="str">
        <f t="shared" si="1"/>
        <v/>
      </c>
      <c r="M1375" s="248" t="str">
        <f>IFERROR(__xludf.DUMMYFUNCTION("VLOOKUP(C1375,IMPORTRANGE(""https://docs.google.com/spreadsheets/d/1P8eX0NWBhUPS_hvzA11R6jkTNFrPrRYIx_dX_hYbxrk/edit?resourcekey=0-iw9bsKY2OqkUHCFMkCar3A&amp;gid=2055363397#gid=2055363397"",""MTR!C:O""),11,false)"),"TAM")</f>
        <v>TAM</v>
      </c>
      <c r="N1375" s="248" t="str">
        <f>IFERROR(__xludf.DUMMYFUNCTION("VLOOKUP(C1375,IMPORTRANGE(""https://docs.google.com/spreadsheets/d/1ihFlp3_ePlYtFuPbUNbYj1muErVpI73WHXbEwJDIA7Q/edit#gid=1493122344"",""MTR!C:O""),8,false)"),"Complies")</f>
        <v>Complies</v>
      </c>
      <c r="O1375" s="248" t="str">
        <f>IFERROR(__xludf.DUMMYFUNCTION("VLOOKUP(C1375,IMPORTRANGE(""https://docs.google.com/spreadsheets/d/1P8eX0NWBhUPS_hvzA11R6jkTNFrPrRYIx_dX_hYbxrk/edit?resourcekey=0-iw9bsKY2OqkUHCFMkCar3A&amp;gid=2055363397#gid=2055363397"",""MTR!C:O""),9,false)"),"Play Auto Install")</f>
        <v>Play Auto Install</v>
      </c>
      <c r="P1375" s="248"/>
      <c r="Q1375" s="249" t="s">
        <v>445</v>
      </c>
      <c r="R1375" s="249" t="s">
        <v>3660</v>
      </c>
      <c r="S1375" s="154" t="s">
        <v>62</v>
      </c>
      <c r="T1375" s="154" t="s">
        <v>62</v>
      </c>
      <c r="U1375" s="154" t="s">
        <v>62</v>
      </c>
      <c r="V1375" s="154" t="s">
        <v>62</v>
      </c>
      <c r="W1375" s="154" t="s">
        <v>62</v>
      </c>
      <c r="X1375" s="154" t="s">
        <v>62</v>
      </c>
      <c r="Y1375" s="154" t="s">
        <v>62</v>
      </c>
      <c r="Z1375" s="154" t="s">
        <v>62</v>
      </c>
      <c r="AA1375" s="154" t="s">
        <v>62</v>
      </c>
      <c r="AB1375" s="154"/>
      <c r="AC1375" s="242" t="b">
        <f t="shared" si="2"/>
        <v>1</v>
      </c>
      <c r="AD1375" s="154" t="s">
        <v>391</v>
      </c>
      <c r="AE1375" s="243" t="b">
        <f t="shared" si="3"/>
        <v>1</v>
      </c>
      <c r="AF1375" s="154"/>
      <c r="AG1375" s="243" t="b">
        <f t="shared" si="7"/>
        <v>0</v>
      </c>
      <c r="AH1375" s="154"/>
      <c r="AI1375" s="243" t="str">
        <f t="shared" si="5"/>
        <v>N/A</v>
      </c>
      <c r="AJ1375" s="157" t="str">
        <f t="shared" si="6"/>
        <v/>
      </c>
    </row>
    <row r="1376" ht="12.75" customHeight="1">
      <c r="A1376" s="244" t="s">
        <v>3601</v>
      </c>
      <c r="B1376" s="244" t="s">
        <v>3604</v>
      </c>
      <c r="C1376" s="244" t="s">
        <v>3661</v>
      </c>
      <c r="D1376" s="154" t="s">
        <v>492</v>
      </c>
      <c r="E1376" s="250"/>
      <c r="F1376" s="154" t="str">
        <f t="array" ref="F1376">XLOOKUP(Cover!$D$12,$S$1:$AA$1,$S1376:$AA1376)</f>
        <v>Mandatory</v>
      </c>
      <c r="G1376" s="154" t="s">
        <v>3662</v>
      </c>
      <c r="H1376" s="154" t="s">
        <v>398</v>
      </c>
      <c r="I1376" s="154" t="s">
        <v>420</v>
      </c>
      <c r="J1376" s="247" t="s">
        <v>516</v>
      </c>
      <c r="K1376" s="247"/>
      <c r="L1376" s="154" t="str">
        <f t="shared" si="1"/>
        <v/>
      </c>
      <c r="M1376" s="248" t="str">
        <f>IFERROR(__xludf.DUMMYFUNCTION("VLOOKUP(C1376,IMPORTRANGE(""https://docs.google.com/spreadsheets/d/1P8eX0NWBhUPS_hvzA11R6jkTNFrPrRYIx_dX_hYbxrk/edit?resourcekey=0-iw9bsKY2OqkUHCFMkCar3A&amp;gid=2055363397#gid=2055363397"",""MTR!C:O""),11,false)"),"TAM")</f>
        <v>TAM</v>
      </c>
      <c r="N1376" s="248" t="str">
        <f>IFERROR(__xludf.DUMMYFUNCTION("VLOOKUP(C1376,IMPORTRANGE(""https://docs.google.com/spreadsheets/d/1ihFlp3_ePlYtFuPbUNbYj1muErVpI73WHXbEwJDIA7Q/edit#gid=1493122344"",""MTR!C:O""),8,false)"),"Does Not Comply")</f>
        <v>Does Not Comply</v>
      </c>
      <c r="O1376" s="241" t="str">
        <f>IFERROR(__xludf.DUMMYFUNCTION("VLOOKUP(C1376,IMPORTRANGE(""https://docs.google.com/spreadsheets/d/1P8eX0NWBhUPS_hvzA11R6jkTNFrPrRYIx_dX_hYbxrk/edit?resourcekey=0-iw9bsKY2OqkUHCFMkCar3A&amp;gid=2055363397#gid=2055363397"",""MTR!C:O""),9,false)"),"")</f>
        <v/>
      </c>
      <c r="P1376" s="241"/>
      <c r="Q1376" s="251" t="s">
        <v>516</v>
      </c>
      <c r="R1376" s="251"/>
      <c r="S1376" s="154" t="s">
        <v>60</v>
      </c>
      <c r="T1376" s="154" t="s">
        <v>60</v>
      </c>
      <c r="U1376" s="154" t="s">
        <v>60</v>
      </c>
      <c r="V1376" s="154" t="s">
        <v>60</v>
      </c>
      <c r="W1376" s="154" t="s">
        <v>60</v>
      </c>
      <c r="X1376" s="154" t="s">
        <v>60</v>
      </c>
      <c r="Y1376" s="154" t="s">
        <v>60</v>
      </c>
      <c r="Z1376" s="154" t="s">
        <v>60</v>
      </c>
      <c r="AA1376" s="154" t="s">
        <v>60</v>
      </c>
      <c r="AB1376" s="154"/>
      <c r="AC1376" s="242" t="b">
        <f t="shared" si="2"/>
        <v>1</v>
      </c>
      <c r="AD1376" s="154" t="s">
        <v>391</v>
      </c>
      <c r="AE1376" s="243" t="b">
        <f t="shared" si="3"/>
        <v>0</v>
      </c>
      <c r="AF1376" s="154"/>
      <c r="AG1376" s="243" t="b">
        <f t="shared" si="7"/>
        <v>0</v>
      </c>
      <c r="AH1376" s="154"/>
      <c r="AI1376" s="243" t="str">
        <f t="shared" si="5"/>
        <v>N/A</v>
      </c>
      <c r="AJ1376" s="157" t="str">
        <f t="shared" si="6"/>
        <v/>
      </c>
    </row>
    <row r="1377" ht="12.75" customHeight="1">
      <c r="A1377" s="244" t="s">
        <v>3601</v>
      </c>
      <c r="B1377" s="244" t="s">
        <v>3604</v>
      </c>
      <c r="C1377" s="244" t="s">
        <v>3663</v>
      </c>
      <c r="D1377" s="154" t="s">
        <v>492</v>
      </c>
      <c r="E1377" s="250"/>
      <c r="F1377" s="154" t="str">
        <f t="array" ref="F1377">XLOOKUP(Cover!$D$12,$S$1:$AA$1,$S1377:$AA1377)</f>
        <v>Mandatory</v>
      </c>
      <c r="G1377" s="154" t="s">
        <v>3664</v>
      </c>
      <c r="H1377" s="154" t="s">
        <v>398</v>
      </c>
      <c r="I1377" s="154" t="s">
        <v>420</v>
      </c>
      <c r="J1377" s="247" t="s">
        <v>516</v>
      </c>
      <c r="K1377" s="154"/>
      <c r="L1377" s="154" t="str">
        <f t="shared" si="1"/>
        <v/>
      </c>
      <c r="M1377" s="248" t="str">
        <f>IFERROR(__xludf.DUMMYFUNCTION("VLOOKUP(C1377,IMPORTRANGE(""https://docs.google.com/spreadsheets/d/1P8eX0NWBhUPS_hvzA11R6jkTNFrPrRYIx_dX_hYbxrk/edit?resourcekey=0-iw9bsKY2OqkUHCFMkCar3A&amp;gid=2055363397#gid=2055363397"",""MTR!C:O""),11,false)"),"TAM")</f>
        <v>TAM</v>
      </c>
      <c r="N1377" s="248" t="str">
        <f>IFERROR(__xludf.DUMMYFUNCTION("VLOOKUP(C1377,IMPORTRANGE(""https://docs.google.com/spreadsheets/d/1ihFlp3_ePlYtFuPbUNbYj1muErVpI73WHXbEwJDIA7Q/edit#gid=1493122344"",""MTR!C:O""),8,false)"),"Does Not Comply")</f>
        <v>Does Not Comply</v>
      </c>
      <c r="O1377" s="241" t="str">
        <f>IFERROR(__xludf.DUMMYFUNCTION("VLOOKUP(C1377,IMPORTRANGE(""https://docs.google.com/spreadsheets/d/1P8eX0NWBhUPS_hvzA11R6jkTNFrPrRYIx_dX_hYbxrk/edit?resourcekey=0-iw9bsKY2OqkUHCFMkCar3A&amp;gid=2055363397#gid=2055363397"",""MTR!C:O""),9,false)"),"")</f>
        <v/>
      </c>
      <c r="P1377" s="241"/>
      <c r="Q1377" s="251" t="s">
        <v>516</v>
      </c>
      <c r="R1377" s="241"/>
      <c r="S1377" s="154" t="s">
        <v>60</v>
      </c>
      <c r="T1377" s="154" t="s">
        <v>60</v>
      </c>
      <c r="U1377" s="154" t="s">
        <v>60</v>
      </c>
      <c r="V1377" s="154" t="s">
        <v>60</v>
      </c>
      <c r="W1377" s="154" t="s">
        <v>60</v>
      </c>
      <c r="X1377" s="154" t="s">
        <v>60</v>
      </c>
      <c r="Y1377" s="154" t="s">
        <v>60</v>
      </c>
      <c r="Z1377" s="154" t="s">
        <v>60</v>
      </c>
      <c r="AA1377" s="154" t="s">
        <v>60</v>
      </c>
      <c r="AB1377" s="154"/>
      <c r="AC1377" s="242" t="b">
        <f t="shared" si="2"/>
        <v>1</v>
      </c>
      <c r="AD1377" s="154" t="s">
        <v>391</v>
      </c>
      <c r="AE1377" s="243" t="b">
        <f t="shared" si="3"/>
        <v>0</v>
      </c>
      <c r="AF1377" s="154"/>
      <c r="AG1377" s="243" t="b">
        <f t="shared" si="7"/>
        <v>0</v>
      </c>
      <c r="AH1377" s="154"/>
      <c r="AI1377" s="243" t="str">
        <f t="shared" si="5"/>
        <v>N/A</v>
      </c>
      <c r="AJ1377" s="157" t="str">
        <f t="shared" si="6"/>
        <v/>
      </c>
    </row>
    <row r="1378" ht="12.75" customHeight="1">
      <c r="A1378" s="244" t="s">
        <v>3601</v>
      </c>
      <c r="B1378" s="244" t="s">
        <v>3604</v>
      </c>
      <c r="C1378" s="244" t="s">
        <v>3665</v>
      </c>
      <c r="D1378" s="154" t="s">
        <v>492</v>
      </c>
      <c r="E1378" s="250"/>
      <c r="F1378" s="154" t="str">
        <f t="array" ref="F1378">XLOOKUP(Cover!$D$12,$S$1:$AA$1,$S1378:$AA1378)</f>
        <v>Mandatory</v>
      </c>
      <c r="G1378" s="154" t="s">
        <v>3666</v>
      </c>
      <c r="H1378" s="154" t="s">
        <v>398</v>
      </c>
      <c r="I1378" s="154" t="s">
        <v>420</v>
      </c>
      <c r="J1378" s="247" t="s">
        <v>516</v>
      </c>
      <c r="K1378" s="154"/>
      <c r="L1378" s="154" t="str">
        <f t="shared" si="1"/>
        <v/>
      </c>
      <c r="M1378" s="248" t="str">
        <f>IFERROR(__xludf.DUMMYFUNCTION("VLOOKUP(C1378,IMPORTRANGE(""https://docs.google.com/spreadsheets/d/1P8eX0NWBhUPS_hvzA11R6jkTNFrPrRYIx_dX_hYbxrk/edit?resourcekey=0-iw9bsKY2OqkUHCFMkCar3A&amp;gid=2055363397#gid=2055363397"",""MTR!C:O""),11,false)"),"TAM")</f>
        <v>TAM</v>
      </c>
      <c r="N1378" s="248" t="str">
        <f>IFERROR(__xludf.DUMMYFUNCTION("VLOOKUP(C1378,IMPORTRANGE(""https://docs.google.com/spreadsheets/d/1ihFlp3_ePlYtFuPbUNbYj1muErVpI73WHXbEwJDIA7Q/edit#gid=1493122344"",""MTR!C:O""),8,false)"),"Does Not Comply")</f>
        <v>Does Not Comply</v>
      </c>
      <c r="O1378" s="241" t="str">
        <f>IFERROR(__xludf.DUMMYFUNCTION("VLOOKUP(C1378,IMPORTRANGE(""https://docs.google.com/spreadsheets/d/1P8eX0NWBhUPS_hvzA11R6jkTNFrPrRYIx_dX_hYbxrk/edit?resourcekey=0-iw9bsKY2OqkUHCFMkCar3A&amp;gid=2055363397#gid=2055363397"",""MTR!C:O""),9,false)"),"")</f>
        <v/>
      </c>
      <c r="P1378" s="241"/>
      <c r="Q1378" s="251" t="s">
        <v>516</v>
      </c>
      <c r="R1378" s="241"/>
      <c r="S1378" s="154" t="s">
        <v>60</v>
      </c>
      <c r="T1378" s="154" t="s">
        <v>60</v>
      </c>
      <c r="U1378" s="154" t="s">
        <v>60</v>
      </c>
      <c r="V1378" s="154" t="s">
        <v>60</v>
      </c>
      <c r="W1378" s="154" t="s">
        <v>60</v>
      </c>
      <c r="X1378" s="154" t="s">
        <v>60</v>
      </c>
      <c r="Y1378" s="154" t="s">
        <v>60</v>
      </c>
      <c r="Z1378" s="154" t="s">
        <v>60</v>
      </c>
      <c r="AA1378" s="154" t="s">
        <v>60</v>
      </c>
      <c r="AB1378" s="154"/>
      <c r="AC1378" s="242" t="b">
        <f t="shared" si="2"/>
        <v>1</v>
      </c>
      <c r="AD1378" s="154" t="s">
        <v>391</v>
      </c>
      <c r="AE1378" s="243" t="b">
        <f t="shared" si="3"/>
        <v>0</v>
      </c>
      <c r="AF1378" s="154"/>
      <c r="AG1378" s="243" t="b">
        <f t="shared" si="7"/>
        <v>0</v>
      </c>
      <c r="AH1378" s="154"/>
      <c r="AI1378" s="243" t="str">
        <f t="shared" si="5"/>
        <v>N/A</v>
      </c>
      <c r="AJ1378" s="157" t="str">
        <f t="shared" si="6"/>
        <v/>
      </c>
    </row>
    <row r="1379" ht="12.75" customHeight="1">
      <c r="A1379" s="244" t="s">
        <v>3601</v>
      </c>
      <c r="B1379" s="244" t="s">
        <v>3604</v>
      </c>
      <c r="C1379" s="244" t="s">
        <v>3667</v>
      </c>
      <c r="D1379" s="154" t="s">
        <v>492</v>
      </c>
      <c r="E1379" s="250"/>
      <c r="F1379" s="154" t="str">
        <f t="array" ref="F1379">XLOOKUP(Cover!$D$12,$S$1:$AA$1,$S1379:$AA1379)</f>
        <v>Mandatory</v>
      </c>
      <c r="G1379" s="154" t="s">
        <v>3668</v>
      </c>
      <c r="H1379" s="154" t="s">
        <v>398</v>
      </c>
      <c r="I1379" s="154" t="s">
        <v>420</v>
      </c>
      <c r="J1379" s="247" t="s">
        <v>516</v>
      </c>
      <c r="K1379" s="154"/>
      <c r="L1379" s="154" t="str">
        <f t="shared" si="1"/>
        <v/>
      </c>
      <c r="M1379" s="248" t="str">
        <f>IFERROR(__xludf.DUMMYFUNCTION("VLOOKUP(C1379,IMPORTRANGE(""https://docs.google.com/spreadsheets/d/1P8eX0NWBhUPS_hvzA11R6jkTNFrPrRYIx_dX_hYbxrk/edit?resourcekey=0-iw9bsKY2OqkUHCFMkCar3A&amp;gid=2055363397#gid=2055363397"",""MTR!C:O""),11,false)"),"TAM")</f>
        <v>TAM</v>
      </c>
      <c r="N1379" s="248" t="str">
        <f>IFERROR(__xludf.DUMMYFUNCTION("VLOOKUP(C1379,IMPORTRANGE(""https://docs.google.com/spreadsheets/d/1ihFlp3_ePlYtFuPbUNbYj1muErVpI73WHXbEwJDIA7Q/edit#gid=1493122344"",""MTR!C:O""),8,false)"),"Does Not Comply")</f>
        <v>Does Not Comply</v>
      </c>
      <c r="O1379" s="241" t="str">
        <f>IFERROR(__xludf.DUMMYFUNCTION("VLOOKUP(C1379,IMPORTRANGE(""https://docs.google.com/spreadsheets/d/1P8eX0NWBhUPS_hvzA11R6jkTNFrPrRYIx_dX_hYbxrk/edit?resourcekey=0-iw9bsKY2OqkUHCFMkCar3A&amp;gid=2055363397#gid=2055363397"",""MTR!C:O""),9,false)"),"")</f>
        <v/>
      </c>
      <c r="P1379" s="241"/>
      <c r="Q1379" s="251" t="s">
        <v>516</v>
      </c>
      <c r="R1379" s="241"/>
      <c r="S1379" s="154" t="s">
        <v>60</v>
      </c>
      <c r="T1379" s="154" t="s">
        <v>60</v>
      </c>
      <c r="U1379" s="154" t="s">
        <v>60</v>
      </c>
      <c r="V1379" s="154" t="s">
        <v>60</v>
      </c>
      <c r="W1379" s="154" t="s">
        <v>60</v>
      </c>
      <c r="X1379" s="154" t="s">
        <v>60</v>
      </c>
      <c r="Y1379" s="154" t="s">
        <v>60</v>
      </c>
      <c r="Z1379" s="154" t="s">
        <v>60</v>
      </c>
      <c r="AA1379" s="154" t="s">
        <v>60</v>
      </c>
      <c r="AB1379" s="154"/>
      <c r="AC1379" s="242" t="b">
        <f t="shared" si="2"/>
        <v>1</v>
      </c>
      <c r="AD1379" s="154" t="s">
        <v>391</v>
      </c>
      <c r="AE1379" s="243" t="b">
        <f t="shared" si="3"/>
        <v>0</v>
      </c>
      <c r="AF1379" s="154"/>
      <c r="AG1379" s="243" t="b">
        <f t="shared" si="7"/>
        <v>0</v>
      </c>
      <c r="AH1379" s="154"/>
      <c r="AI1379" s="243" t="str">
        <f t="shared" si="5"/>
        <v>N/A</v>
      </c>
      <c r="AJ1379" s="157" t="str">
        <f t="shared" si="6"/>
        <v/>
      </c>
    </row>
    <row r="1380" ht="12.75" customHeight="1">
      <c r="A1380" s="244" t="s">
        <v>3601</v>
      </c>
      <c r="B1380" s="244" t="s">
        <v>3604</v>
      </c>
      <c r="C1380" s="244" t="s">
        <v>3669</v>
      </c>
      <c r="D1380" s="154" t="s">
        <v>642</v>
      </c>
      <c r="E1380" s="250"/>
      <c r="F1380" s="154" t="str">
        <f t="array" ref="F1380">XLOOKUP(Cover!$D$12,$S$1:$AA$1,$S1380:$AA1380)</f>
        <v>Recommended</v>
      </c>
      <c r="G1380" s="154" t="s">
        <v>3670</v>
      </c>
      <c r="H1380" s="154"/>
      <c r="I1380" s="154" t="s">
        <v>420</v>
      </c>
      <c r="J1380" s="247" t="s">
        <v>516</v>
      </c>
      <c r="K1380" s="154"/>
      <c r="L1380" s="154" t="str">
        <f t="shared" si="1"/>
        <v/>
      </c>
      <c r="M1380" s="248" t="str">
        <f>IFERROR(__xludf.DUMMYFUNCTION("VLOOKUP(C1380,IMPORTRANGE(""https://docs.google.com/spreadsheets/d/1P8eX0NWBhUPS_hvzA11R6jkTNFrPrRYIx_dX_hYbxrk/edit?resourcekey=0-iw9bsKY2OqkUHCFMkCar3A&amp;gid=2055363397#gid=2055363397"",""MTR!C:O""),11,false)"),"TAM")</f>
        <v>TAM</v>
      </c>
      <c r="N1380" s="248" t="str">
        <f>IFERROR(__xludf.DUMMYFUNCTION("VLOOKUP(C1380,IMPORTRANGE(""https://docs.google.com/spreadsheets/d/1ihFlp3_ePlYtFuPbUNbYj1muErVpI73WHXbEwJDIA7Q/edit#gid=1493122344"",""MTR!C:O""),8,false)"),"Does Not Comply")</f>
        <v>Does Not Comply</v>
      </c>
      <c r="O1380" s="241" t="str">
        <f>IFERROR(__xludf.DUMMYFUNCTION("VLOOKUP(C1380,IMPORTRANGE(""https://docs.google.com/spreadsheets/d/1P8eX0NWBhUPS_hvzA11R6jkTNFrPrRYIx_dX_hYbxrk/edit?resourcekey=0-iw9bsKY2OqkUHCFMkCar3A&amp;gid=2055363397#gid=2055363397"",""MTR!C:O""),9,false)"),"")</f>
        <v/>
      </c>
      <c r="P1380" s="241"/>
      <c r="Q1380" s="251" t="s">
        <v>516</v>
      </c>
      <c r="R1380" s="241"/>
      <c r="S1380" s="154" t="s">
        <v>64</v>
      </c>
      <c r="T1380" s="154" t="s">
        <v>64</v>
      </c>
      <c r="U1380" s="154" t="s">
        <v>64</v>
      </c>
      <c r="V1380" s="154" t="s">
        <v>64</v>
      </c>
      <c r="W1380" s="154" t="s">
        <v>64</v>
      </c>
      <c r="X1380" s="154" t="s">
        <v>64</v>
      </c>
      <c r="Y1380" s="154" t="s">
        <v>64</v>
      </c>
      <c r="Z1380" s="154" t="s">
        <v>64</v>
      </c>
      <c r="AA1380" s="154" t="s">
        <v>64</v>
      </c>
      <c r="AB1380" s="154"/>
      <c r="AC1380" s="242" t="b">
        <f t="shared" si="2"/>
        <v>1</v>
      </c>
      <c r="AD1380" s="154" t="s">
        <v>391</v>
      </c>
      <c r="AE1380" s="243" t="b">
        <f t="shared" si="3"/>
        <v>0</v>
      </c>
      <c r="AF1380" s="154"/>
      <c r="AG1380" s="243" t="b">
        <f t="shared" si="7"/>
        <v>0</v>
      </c>
      <c r="AH1380" s="154"/>
      <c r="AI1380" s="243" t="str">
        <f t="shared" si="5"/>
        <v>N/A</v>
      </c>
      <c r="AJ1380" s="157" t="str">
        <f t="shared" si="6"/>
        <v/>
      </c>
    </row>
    <row r="1381" ht="12.75" customHeight="1">
      <c r="A1381" s="244" t="s">
        <v>3601</v>
      </c>
      <c r="B1381" s="244" t="s">
        <v>3604</v>
      </c>
      <c r="C1381" s="244" t="s">
        <v>3671</v>
      </c>
      <c r="D1381" s="154" t="s">
        <v>542</v>
      </c>
      <c r="E1381" s="250"/>
      <c r="F1381" s="154" t="str">
        <f t="array" ref="F1381">XLOOKUP(Cover!$D$12,$S$1:$AA$1,$S1381:$AA1381)</f>
        <v>Mandatory</v>
      </c>
      <c r="G1381" s="154" t="s">
        <v>3672</v>
      </c>
      <c r="H1381" s="154" t="s">
        <v>398</v>
      </c>
      <c r="I1381" s="154" t="s">
        <v>420</v>
      </c>
      <c r="J1381" s="247" t="s">
        <v>516</v>
      </c>
      <c r="K1381" s="154"/>
      <c r="L1381" s="154" t="str">
        <f t="shared" si="1"/>
        <v/>
      </c>
      <c r="M1381" s="248" t="str">
        <f>IFERROR(__xludf.DUMMYFUNCTION("VLOOKUP(C1381,IMPORTRANGE(""https://docs.google.com/spreadsheets/d/1P8eX0NWBhUPS_hvzA11R6jkTNFrPrRYIx_dX_hYbxrk/edit?resourcekey=0-iw9bsKY2OqkUHCFMkCar3A&amp;gid=2055363397#gid=2055363397"",""MTR!C:O""),11,false)"),"TAM")</f>
        <v>TAM</v>
      </c>
      <c r="N1381" s="248" t="str">
        <f>IFERROR(__xludf.DUMMYFUNCTION("VLOOKUP(C1381,IMPORTRANGE(""https://docs.google.com/spreadsheets/d/1ihFlp3_ePlYtFuPbUNbYj1muErVpI73WHXbEwJDIA7Q/edit#gid=1493122344"",""MTR!C:O""),8,false)"),"Does Not Comply")</f>
        <v>Does Not Comply</v>
      </c>
      <c r="O1381" s="241" t="str">
        <f>IFERROR(__xludf.DUMMYFUNCTION("VLOOKUP(C1381,IMPORTRANGE(""https://docs.google.com/spreadsheets/d/1P8eX0NWBhUPS_hvzA11R6jkTNFrPrRYIx_dX_hYbxrk/edit?resourcekey=0-iw9bsKY2OqkUHCFMkCar3A&amp;gid=2055363397#gid=2055363397"",""MTR!C:O""),9,false)"),"")</f>
        <v/>
      </c>
      <c r="P1381" s="241"/>
      <c r="Q1381" s="251" t="s">
        <v>516</v>
      </c>
      <c r="R1381" s="241"/>
      <c r="S1381" s="154" t="s">
        <v>60</v>
      </c>
      <c r="T1381" s="154" t="s">
        <v>60</v>
      </c>
      <c r="U1381" s="154" t="s">
        <v>60</v>
      </c>
      <c r="V1381" s="154" t="s">
        <v>60</v>
      </c>
      <c r="W1381" s="154" t="s">
        <v>60</v>
      </c>
      <c r="X1381" s="154" t="s">
        <v>60</v>
      </c>
      <c r="Y1381" s="154" t="s">
        <v>60</v>
      </c>
      <c r="Z1381" s="154" t="s">
        <v>60</v>
      </c>
      <c r="AA1381" s="154" t="s">
        <v>60</v>
      </c>
      <c r="AB1381" s="154"/>
      <c r="AC1381" s="242" t="b">
        <f t="shared" si="2"/>
        <v>1</v>
      </c>
      <c r="AD1381" s="154" t="s">
        <v>391</v>
      </c>
      <c r="AE1381" s="243" t="b">
        <f t="shared" si="3"/>
        <v>0</v>
      </c>
      <c r="AF1381" s="154"/>
      <c r="AG1381" s="243" t="b">
        <f t="shared" si="7"/>
        <v>0</v>
      </c>
      <c r="AH1381" s="154"/>
      <c r="AI1381" s="243" t="str">
        <f t="shared" si="5"/>
        <v>N/A</v>
      </c>
      <c r="AJ1381" s="157" t="str">
        <f t="shared" si="6"/>
        <v/>
      </c>
    </row>
    <row r="1382" ht="12.75" customHeight="1">
      <c r="A1382" s="244" t="s">
        <v>3601</v>
      </c>
      <c r="B1382" s="244" t="s">
        <v>3604</v>
      </c>
      <c r="C1382" s="244" t="s">
        <v>3673</v>
      </c>
      <c r="D1382" s="154" t="s">
        <v>492</v>
      </c>
      <c r="E1382" s="250"/>
      <c r="F1382" s="154" t="str">
        <f t="array" ref="F1382">XLOOKUP(Cover!$D$12,$S$1:$AA$1,$S1382:$AA1382)</f>
        <v>Recommended</v>
      </c>
      <c r="G1382" s="154" t="s">
        <v>3674</v>
      </c>
      <c r="H1382" s="154"/>
      <c r="I1382" s="154" t="s">
        <v>420</v>
      </c>
      <c r="J1382" s="247" t="s">
        <v>445</v>
      </c>
      <c r="K1382" s="154"/>
      <c r="L1382" s="154" t="str">
        <f t="shared" si="1"/>
        <v/>
      </c>
      <c r="M1382" s="248" t="str">
        <f>IFERROR(__xludf.DUMMYFUNCTION("VLOOKUP(C1382,IMPORTRANGE(""https://docs.google.com/spreadsheets/d/1P8eX0NWBhUPS_hvzA11R6jkTNFrPrRYIx_dX_hYbxrk/edit?resourcekey=0-iw9bsKY2OqkUHCFMkCar3A&amp;gid=2055363397#gid=2055363397"",""MTR!C:O""),11,false)"),"TAM")</f>
        <v>TAM</v>
      </c>
      <c r="N1382" s="248" t="str">
        <f>IFERROR(__xludf.DUMMYFUNCTION("VLOOKUP(C1382,IMPORTRANGE(""https://docs.google.com/spreadsheets/d/1ihFlp3_ePlYtFuPbUNbYj1muErVpI73WHXbEwJDIA7Q/edit#gid=1493122344"",""MTR!C:O""),8,false)"),"Complies")</f>
        <v>Complies</v>
      </c>
      <c r="O1382" s="241" t="str">
        <f>IFERROR(__xludf.DUMMYFUNCTION("VLOOKUP(C1382,IMPORTRANGE(""https://docs.google.com/spreadsheets/d/1P8eX0NWBhUPS_hvzA11R6jkTNFrPrRYIx_dX_hYbxrk/edit?resourcekey=0-iw9bsKY2OqkUHCFMkCar3A&amp;gid=2055363397#gid=2055363397"",""MTR!C:O""),9,false)"),"")</f>
        <v/>
      </c>
      <c r="P1382" s="241"/>
      <c r="Q1382" s="251" t="s">
        <v>445</v>
      </c>
      <c r="R1382" s="241"/>
      <c r="S1382" s="154" t="s">
        <v>64</v>
      </c>
      <c r="T1382" s="154" t="s">
        <v>64</v>
      </c>
      <c r="U1382" s="154" t="s">
        <v>64</v>
      </c>
      <c r="V1382" s="154" t="s">
        <v>64</v>
      </c>
      <c r="W1382" s="154" t="s">
        <v>64</v>
      </c>
      <c r="X1382" s="154" t="s">
        <v>64</v>
      </c>
      <c r="Y1382" s="154" t="s">
        <v>64</v>
      </c>
      <c r="Z1382" s="154" t="s">
        <v>64</v>
      </c>
      <c r="AA1382" s="154" t="s">
        <v>64</v>
      </c>
      <c r="AB1382" s="154"/>
      <c r="AC1382" s="242" t="b">
        <f t="shared" si="2"/>
        <v>1</v>
      </c>
      <c r="AD1382" s="154" t="s">
        <v>391</v>
      </c>
      <c r="AE1382" s="243" t="b">
        <f t="shared" si="3"/>
        <v>0</v>
      </c>
      <c r="AF1382" s="154"/>
      <c r="AG1382" s="243" t="b">
        <f t="shared" si="7"/>
        <v>0</v>
      </c>
      <c r="AH1382" s="154"/>
      <c r="AI1382" s="243" t="str">
        <f t="shared" si="5"/>
        <v>N/A</v>
      </c>
      <c r="AJ1382" s="157" t="str">
        <f t="shared" si="6"/>
        <v/>
      </c>
    </row>
    <row r="1383" ht="12.75" customHeight="1">
      <c r="A1383" s="238" t="s">
        <v>3601</v>
      </c>
      <c r="B1383" s="238" t="s">
        <v>3604</v>
      </c>
      <c r="C1383" s="238" t="s">
        <v>3675</v>
      </c>
      <c r="D1383" s="238"/>
      <c r="E1383" s="238"/>
      <c r="F1383" s="154" t="str">
        <f t="array" ref="F1383">XLOOKUP(Cover!$D$12,$S$1:$AA$1,$S1383:$AA1383)</f>
        <v>Heading</v>
      </c>
      <c r="G1383" s="239" t="s">
        <v>3676</v>
      </c>
      <c r="H1383" s="240"/>
      <c r="I1383" s="240" t="s">
        <v>420</v>
      </c>
      <c r="J1383" s="262"/>
      <c r="K1383" s="240"/>
      <c r="L1383" s="154" t="str">
        <f t="shared" si="1"/>
        <v/>
      </c>
      <c r="M1383" s="241" t="str">
        <f>IFERROR(__xludf.DUMMYFUNCTION("VLOOKUP(C1383,IMPORTRANGE(""https://docs.google.com/spreadsheets/d/1P8eX0NWBhUPS_hvzA11R6jkTNFrPrRYIx_dX_hYbxrk/edit?resourcekey=0-iw9bsKY2OqkUHCFMkCar3A&amp;gid=2055363397#gid=2055363397"",""MTR!C:O""),11,false)"),"")</f>
        <v/>
      </c>
      <c r="N1383" s="241" t="str">
        <f>IFERROR(__xludf.DUMMYFUNCTION("VLOOKUP(C1383,IMPORTRANGE(""https://docs.google.com/spreadsheets/d/1ihFlp3_ePlYtFuPbUNbYj1muErVpI73WHXbEwJDIA7Q/edit#gid=1493122344"",""MTR!C:O""),8,false)"),"")</f>
        <v/>
      </c>
      <c r="O1383" s="241" t="str">
        <f>IFERROR(__xludf.DUMMYFUNCTION("VLOOKUP(C1383,IMPORTRANGE(""https://docs.google.com/spreadsheets/d/1P8eX0NWBhUPS_hvzA11R6jkTNFrPrRYIx_dX_hYbxrk/edit?resourcekey=0-iw9bsKY2OqkUHCFMkCar3A&amp;gid=2055363397#gid=2055363397"",""MTR!C:O""),9,false)"),"")</f>
        <v/>
      </c>
      <c r="P1383" s="241"/>
      <c r="Q1383" s="251"/>
      <c r="R1383" s="241"/>
      <c r="S1383" s="240" t="s">
        <v>390</v>
      </c>
      <c r="T1383" s="240" t="s">
        <v>390</v>
      </c>
      <c r="U1383" s="240" t="s">
        <v>390</v>
      </c>
      <c r="V1383" s="240" t="s">
        <v>390</v>
      </c>
      <c r="W1383" s="240" t="s">
        <v>390</v>
      </c>
      <c r="X1383" s="240" t="s">
        <v>390</v>
      </c>
      <c r="Y1383" s="240" t="s">
        <v>390</v>
      </c>
      <c r="Z1383" s="240" t="s">
        <v>390</v>
      </c>
      <c r="AA1383" s="240" t="s">
        <v>390</v>
      </c>
      <c r="AB1383" s="240"/>
      <c r="AC1383" s="242" t="b">
        <f t="shared" si="2"/>
        <v>0</v>
      </c>
      <c r="AD1383" s="240" t="s">
        <v>391</v>
      </c>
      <c r="AE1383" s="243" t="b">
        <f t="shared" si="3"/>
        <v>0</v>
      </c>
      <c r="AF1383" s="240"/>
      <c r="AG1383" s="243" t="b">
        <f t="shared" si="7"/>
        <v>0</v>
      </c>
      <c r="AH1383" s="240"/>
      <c r="AI1383" s="243" t="str">
        <f t="shared" si="5"/>
        <v>N/A</v>
      </c>
      <c r="AJ1383" s="157" t="str">
        <f t="shared" si="6"/>
        <v/>
      </c>
    </row>
    <row r="1384" ht="12.75" customHeight="1">
      <c r="A1384" s="244" t="s">
        <v>3601</v>
      </c>
      <c r="B1384" s="244" t="s">
        <v>3604</v>
      </c>
      <c r="C1384" s="244" t="s">
        <v>3677</v>
      </c>
      <c r="D1384" s="154" t="s">
        <v>1211</v>
      </c>
      <c r="E1384" s="250"/>
      <c r="F1384" s="154" t="str">
        <f t="array" ref="F1384">XLOOKUP(Cover!$D$12,$S$1:$AA$1,$S1384:$AA1384)</f>
        <v>Mandatory</v>
      </c>
      <c r="G1384" s="154" t="s">
        <v>3678</v>
      </c>
      <c r="H1384" s="154" t="s">
        <v>398</v>
      </c>
      <c r="I1384" s="154" t="s">
        <v>420</v>
      </c>
      <c r="J1384" s="247" t="s">
        <v>445</v>
      </c>
      <c r="K1384" s="154"/>
      <c r="L1384" s="154" t="str">
        <f t="shared" si="1"/>
        <v/>
      </c>
      <c r="M1384" s="248" t="str">
        <f>IFERROR(__xludf.DUMMYFUNCTION("VLOOKUP(C1384,IMPORTRANGE(""https://docs.google.com/spreadsheets/d/1P8eX0NWBhUPS_hvzA11R6jkTNFrPrRYIx_dX_hYbxrk/edit?resourcekey=0-iw9bsKY2OqkUHCFMkCar3A&amp;gid=2055363397#gid=2055363397"",""MTR!C:O""),11,false)"),"TAM")</f>
        <v>TAM</v>
      </c>
      <c r="N1384" s="248" t="str">
        <f>IFERROR(__xludf.DUMMYFUNCTION("VLOOKUP(C1384,IMPORTRANGE(""https://docs.google.com/spreadsheets/d/1ihFlp3_ePlYtFuPbUNbYj1muErVpI73WHXbEwJDIA7Q/edit#gid=1493122344"",""MTR!C:O""),8,false)"),"Complies")</f>
        <v>Complies</v>
      </c>
      <c r="O1384" s="241" t="str">
        <f>IFERROR(__xludf.DUMMYFUNCTION("VLOOKUP(C1384,IMPORTRANGE(""https://docs.google.com/spreadsheets/d/1P8eX0NWBhUPS_hvzA11R6jkTNFrPrRYIx_dX_hYbxrk/edit?resourcekey=0-iw9bsKY2OqkUHCFMkCar3A&amp;gid=2055363397#gid=2055363397"",""MTR!C:O""),9,false)"),"")</f>
        <v/>
      </c>
      <c r="P1384" s="241"/>
      <c r="Q1384" s="251" t="s">
        <v>445</v>
      </c>
      <c r="R1384" s="241"/>
      <c r="S1384" s="154" t="s">
        <v>60</v>
      </c>
      <c r="T1384" s="154" t="s">
        <v>60</v>
      </c>
      <c r="U1384" s="154" t="s">
        <v>60</v>
      </c>
      <c r="V1384" s="154" t="s">
        <v>60</v>
      </c>
      <c r="W1384" s="154" t="s">
        <v>60</v>
      </c>
      <c r="X1384" s="154" t="s">
        <v>60</v>
      </c>
      <c r="Y1384" s="154" t="s">
        <v>60</v>
      </c>
      <c r="Z1384" s="154" t="s">
        <v>60</v>
      </c>
      <c r="AA1384" s="154" t="s">
        <v>60</v>
      </c>
      <c r="AB1384" s="154"/>
      <c r="AC1384" s="242" t="b">
        <f t="shared" si="2"/>
        <v>1</v>
      </c>
      <c r="AD1384" s="154" t="s">
        <v>391</v>
      </c>
      <c r="AE1384" s="243" t="b">
        <f t="shared" si="3"/>
        <v>0</v>
      </c>
      <c r="AF1384" s="154"/>
      <c r="AG1384" s="243" t="b">
        <f t="shared" si="7"/>
        <v>0</v>
      </c>
      <c r="AH1384" s="154"/>
      <c r="AI1384" s="243" t="str">
        <f t="shared" si="5"/>
        <v>N/A</v>
      </c>
      <c r="AJ1384" s="157" t="str">
        <f t="shared" si="6"/>
        <v/>
      </c>
    </row>
    <row r="1385" ht="12.75" customHeight="1">
      <c r="A1385" s="244" t="s">
        <v>3601</v>
      </c>
      <c r="B1385" s="244" t="s">
        <v>3604</v>
      </c>
      <c r="C1385" s="244" t="s">
        <v>3679</v>
      </c>
      <c r="D1385" s="154" t="s">
        <v>3680</v>
      </c>
      <c r="E1385" s="250"/>
      <c r="F1385" s="154" t="str">
        <f t="array" ref="F1385">XLOOKUP(Cover!$D$12,$S$1:$AA$1,$S1385:$AA1385)</f>
        <v>Mandatory</v>
      </c>
      <c r="G1385" s="154" t="s">
        <v>3681</v>
      </c>
      <c r="H1385" s="154" t="s">
        <v>398</v>
      </c>
      <c r="I1385" s="154" t="s">
        <v>420</v>
      </c>
      <c r="J1385" s="247" t="s">
        <v>445</v>
      </c>
      <c r="K1385" s="154"/>
      <c r="L1385" s="154" t="str">
        <f t="shared" si="1"/>
        <v/>
      </c>
      <c r="M1385" s="248" t="str">
        <f>IFERROR(__xludf.DUMMYFUNCTION("VLOOKUP(C1385,IMPORTRANGE(""https://docs.google.com/spreadsheets/d/1P8eX0NWBhUPS_hvzA11R6jkTNFrPrRYIx_dX_hYbxrk/edit?resourcekey=0-iw9bsKY2OqkUHCFMkCar3A&amp;gid=2055363397#gid=2055363397"",""MTR!C:O""),11,false)"),"TAM")</f>
        <v>TAM</v>
      </c>
      <c r="N1385" s="248" t="str">
        <f>IFERROR(__xludf.DUMMYFUNCTION("VLOOKUP(C1385,IMPORTRANGE(""https://docs.google.com/spreadsheets/d/1ihFlp3_ePlYtFuPbUNbYj1muErVpI73WHXbEwJDIA7Q/edit#gid=1493122344"",""MTR!C:O""),8,false)"),"Complies")</f>
        <v>Complies</v>
      </c>
      <c r="O1385" s="241" t="str">
        <f>IFERROR(__xludf.DUMMYFUNCTION("VLOOKUP(C1385,IMPORTRANGE(""https://docs.google.com/spreadsheets/d/1P8eX0NWBhUPS_hvzA11R6jkTNFrPrRYIx_dX_hYbxrk/edit?resourcekey=0-iw9bsKY2OqkUHCFMkCar3A&amp;gid=2055363397#gid=2055363397"",""MTR!C:O""),9,false)"),"")</f>
        <v/>
      </c>
      <c r="P1385" s="241"/>
      <c r="Q1385" s="251" t="s">
        <v>445</v>
      </c>
      <c r="R1385" s="241"/>
      <c r="S1385" s="154" t="s">
        <v>60</v>
      </c>
      <c r="T1385" s="154" t="s">
        <v>60</v>
      </c>
      <c r="U1385" s="154" t="s">
        <v>60</v>
      </c>
      <c r="V1385" s="154" t="s">
        <v>60</v>
      </c>
      <c r="W1385" s="154" t="s">
        <v>60</v>
      </c>
      <c r="X1385" s="154" t="s">
        <v>60</v>
      </c>
      <c r="Y1385" s="154" t="s">
        <v>60</v>
      </c>
      <c r="Z1385" s="154" t="s">
        <v>60</v>
      </c>
      <c r="AA1385" s="154" t="s">
        <v>60</v>
      </c>
      <c r="AB1385" s="154"/>
      <c r="AC1385" s="242" t="b">
        <f t="shared" si="2"/>
        <v>1</v>
      </c>
      <c r="AD1385" s="154" t="s">
        <v>391</v>
      </c>
      <c r="AE1385" s="243" t="b">
        <f t="shared" si="3"/>
        <v>0</v>
      </c>
      <c r="AF1385" s="154"/>
      <c r="AG1385" s="243" t="b">
        <f t="shared" si="7"/>
        <v>0</v>
      </c>
      <c r="AH1385" s="154"/>
      <c r="AI1385" s="243" t="str">
        <f t="shared" si="5"/>
        <v>N/A</v>
      </c>
      <c r="AJ1385" s="157" t="str">
        <f t="shared" si="6"/>
        <v/>
      </c>
    </row>
    <row r="1386" ht="12.75" customHeight="1">
      <c r="A1386" s="244" t="s">
        <v>3601</v>
      </c>
      <c r="B1386" s="244" t="s">
        <v>3604</v>
      </c>
      <c r="C1386" s="244" t="s">
        <v>3682</v>
      </c>
      <c r="D1386" s="154" t="s">
        <v>1211</v>
      </c>
      <c r="E1386" s="250"/>
      <c r="F1386" s="154" t="str">
        <f t="array" ref="F1386">XLOOKUP(Cover!$D$12,$S$1:$AA$1,$S1386:$AA1386)</f>
        <v>Mandatory</v>
      </c>
      <c r="G1386" s="154" t="s">
        <v>3683</v>
      </c>
      <c r="H1386" s="154" t="s">
        <v>398</v>
      </c>
      <c r="I1386" s="154" t="s">
        <v>420</v>
      </c>
      <c r="J1386" s="247" t="s">
        <v>445</v>
      </c>
      <c r="K1386" s="154"/>
      <c r="L1386" s="154" t="str">
        <f t="shared" si="1"/>
        <v/>
      </c>
      <c r="M1386" s="248" t="str">
        <f>IFERROR(__xludf.DUMMYFUNCTION("VLOOKUP(C1386,IMPORTRANGE(""https://docs.google.com/spreadsheets/d/1P8eX0NWBhUPS_hvzA11R6jkTNFrPrRYIx_dX_hYbxrk/edit?resourcekey=0-iw9bsKY2OqkUHCFMkCar3A&amp;gid=2055363397#gid=2055363397"",""MTR!C:O""),11,false)"),"TAM")</f>
        <v>TAM</v>
      </c>
      <c r="N1386" s="248" t="str">
        <f>IFERROR(__xludf.DUMMYFUNCTION("VLOOKUP(C1386,IMPORTRANGE(""https://docs.google.com/spreadsheets/d/1ihFlp3_ePlYtFuPbUNbYj1muErVpI73WHXbEwJDIA7Q/edit#gid=1493122344"",""MTR!C:O""),8,false)"),"Complies")</f>
        <v>Complies</v>
      </c>
      <c r="O1386" s="241" t="str">
        <f>IFERROR(__xludf.DUMMYFUNCTION("VLOOKUP(C1386,IMPORTRANGE(""https://docs.google.com/spreadsheets/d/1P8eX0NWBhUPS_hvzA11R6jkTNFrPrRYIx_dX_hYbxrk/edit?resourcekey=0-iw9bsKY2OqkUHCFMkCar3A&amp;gid=2055363397#gid=2055363397"",""MTR!C:O""),9,false)"),"")</f>
        <v/>
      </c>
      <c r="P1386" s="241"/>
      <c r="Q1386" s="251" t="s">
        <v>445</v>
      </c>
      <c r="R1386" s="241"/>
      <c r="S1386" s="154" t="s">
        <v>60</v>
      </c>
      <c r="T1386" s="154" t="s">
        <v>60</v>
      </c>
      <c r="U1386" s="154" t="s">
        <v>60</v>
      </c>
      <c r="V1386" s="154" t="s">
        <v>60</v>
      </c>
      <c r="W1386" s="154" t="s">
        <v>60</v>
      </c>
      <c r="X1386" s="154" t="s">
        <v>60</v>
      </c>
      <c r="Y1386" s="154" t="s">
        <v>60</v>
      </c>
      <c r="Z1386" s="154" t="s">
        <v>60</v>
      </c>
      <c r="AA1386" s="154" t="s">
        <v>60</v>
      </c>
      <c r="AB1386" s="154"/>
      <c r="AC1386" s="242" t="b">
        <f t="shared" si="2"/>
        <v>1</v>
      </c>
      <c r="AD1386" s="154" t="s">
        <v>391</v>
      </c>
      <c r="AE1386" s="243" t="b">
        <f t="shared" si="3"/>
        <v>0</v>
      </c>
      <c r="AF1386" s="154"/>
      <c r="AG1386" s="243" t="b">
        <f t="shared" si="7"/>
        <v>0</v>
      </c>
      <c r="AH1386" s="154"/>
      <c r="AI1386" s="243" t="str">
        <f t="shared" si="5"/>
        <v>N/A</v>
      </c>
      <c r="AJ1386" s="157" t="str">
        <f t="shared" si="6"/>
        <v/>
      </c>
    </row>
    <row r="1387" ht="12.75" customHeight="1">
      <c r="A1387" s="244" t="s">
        <v>3601</v>
      </c>
      <c r="B1387" s="244" t="s">
        <v>3604</v>
      </c>
      <c r="C1387" s="244" t="s">
        <v>3684</v>
      </c>
      <c r="D1387" s="154" t="s">
        <v>422</v>
      </c>
      <c r="E1387" s="250"/>
      <c r="F1387" s="154" t="str">
        <f t="array" ref="F1387">XLOOKUP(Cover!$D$12,$S$1:$AA$1,$S1387:$AA1387)</f>
        <v>Mandatory</v>
      </c>
      <c r="G1387" s="154" t="s">
        <v>3685</v>
      </c>
      <c r="H1387" s="154" t="s">
        <v>398</v>
      </c>
      <c r="I1387" s="154" t="s">
        <v>420</v>
      </c>
      <c r="J1387" s="247" t="s">
        <v>516</v>
      </c>
      <c r="K1387" s="247" t="s">
        <v>3686</v>
      </c>
      <c r="L1387" s="154" t="str">
        <f t="shared" si="1"/>
        <v/>
      </c>
      <c r="M1387" s="248" t="str">
        <f>IFERROR(__xludf.DUMMYFUNCTION("VLOOKUP(C1387,IMPORTRANGE(""https://docs.google.com/spreadsheets/d/1P8eX0NWBhUPS_hvzA11R6jkTNFrPrRYIx_dX_hYbxrk/edit?resourcekey=0-iw9bsKY2OqkUHCFMkCar3A&amp;gid=2055363397#gid=2055363397"",""MTR!C:O""),11,false)"),"TAM")</f>
        <v>TAM</v>
      </c>
      <c r="N1387" s="248" t="str">
        <f>IFERROR(__xludf.DUMMYFUNCTION("VLOOKUP(C1387,IMPORTRANGE(""https://docs.google.com/spreadsheets/d/1ihFlp3_ePlYtFuPbUNbYj1muErVpI73WHXbEwJDIA7Q/edit#gid=1493122344"",""MTR!C:O""),8,false)"),"Does Not Comply")</f>
        <v>Does Not Comply</v>
      </c>
      <c r="O1387" s="248" t="str">
        <f>IFERROR(__xludf.DUMMYFUNCTION("VLOOKUP(C1387,IMPORTRANGE(""https://docs.google.com/spreadsheets/d/1P8eX0NWBhUPS_hvzA11R6jkTNFrPrRYIx_dX_hYbxrk/edit?resourcekey=0-iw9bsKY2OqkUHCFMkCar3A&amp;gid=2055363397#gid=2055363397"",""MTR!C:O""),9,false)"),"PAI will notified users that download the application required data consumption")</f>
        <v>PAI will notified users that download the application required data consumption</v>
      </c>
      <c r="P1387" s="248"/>
      <c r="Q1387" s="249" t="s">
        <v>516</v>
      </c>
      <c r="R1387" s="249" t="s">
        <v>3686</v>
      </c>
      <c r="S1387" s="154" t="s">
        <v>60</v>
      </c>
      <c r="T1387" s="154" t="s">
        <v>60</v>
      </c>
      <c r="U1387" s="154" t="s">
        <v>60</v>
      </c>
      <c r="V1387" s="154" t="s">
        <v>60</v>
      </c>
      <c r="W1387" s="154" t="s">
        <v>60</v>
      </c>
      <c r="X1387" s="154" t="s">
        <v>60</v>
      </c>
      <c r="Y1387" s="154" t="s">
        <v>60</v>
      </c>
      <c r="Z1387" s="154" t="s">
        <v>60</v>
      </c>
      <c r="AA1387" s="154" t="s">
        <v>60</v>
      </c>
      <c r="AB1387" s="154"/>
      <c r="AC1387" s="242" t="b">
        <f t="shared" si="2"/>
        <v>1</v>
      </c>
      <c r="AD1387" s="154" t="s">
        <v>391</v>
      </c>
      <c r="AE1387" s="243" t="b">
        <f t="shared" si="3"/>
        <v>0</v>
      </c>
      <c r="AF1387" s="154"/>
      <c r="AG1387" s="243" t="b">
        <f t="shared" si="7"/>
        <v>0</v>
      </c>
      <c r="AH1387" s="154"/>
      <c r="AI1387" s="243" t="str">
        <f t="shared" si="5"/>
        <v>N/A</v>
      </c>
      <c r="AJ1387" s="157" t="str">
        <f t="shared" si="6"/>
        <v/>
      </c>
    </row>
    <row r="1388" ht="12.75" customHeight="1">
      <c r="A1388" s="244" t="s">
        <v>3601</v>
      </c>
      <c r="B1388" s="244" t="s">
        <v>3604</v>
      </c>
      <c r="C1388" s="244" t="s">
        <v>3687</v>
      </c>
      <c r="D1388" s="154" t="s">
        <v>1211</v>
      </c>
      <c r="E1388" s="250"/>
      <c r="F1388" s="154" t="str">
        <f t="array" ref="F1388">XLOOKUP(Cover!$D$12,$S$1:$AA$1,$S1388:$AA1388)</f>
        <v>Mandatory</v>
      </c>
      <c r="G1388" s="154" t="s">
        <v>3688</v>
      </c>
      <c r="H1388" s="154" t="s">
        <v>398</v>
      </c>
      <c r="I1388" s="154" t="s">
        <v>420</v>
      </c>
      <c r="J1388" s="247" t="s">
        <v>445</v>
      </c>
      <c r="K1388" s="247"/>
      <c r="L1388" s="154" t="str">
        <f t="shared" si="1"/>
        <v/>
      </c>
      <c r="M1388" s="248" t="str">
        <f>IFERROR(__xludf.DUMMYFUNCTION("VLOOKUP(C1388,IMPORTRANGE(""https://docs.google.com/spreadsheets/d/1P8eX0NWBhUPS_hvzA11R6jkTNFrPrRYIx_dX_hYbxrk/edit?resourcekey=0-iw9bsKY2OqkUHCFMkCar3A&amp;gid=2055363397#gid=2055363397"",""MTR!C:O""),11,false)"),"TAM")</f>
        <v>TAM</v>
      </c>
      <c r="N1388" s="248" t="str">
        <f>IFERROR(__xludf.DUMMYFUNCTION("VLOOKUP(C1388,IMPORTRANGE(""https://docs.google.com/spreadsheets/d/1ihFlp3_ePlYtFuPbUNbYj1muErVpI73WHXbEwJDIA7Q/edit#gid=1493122344"",""MTR!C:O""),8,false)"),"Complies")</f>
        <v>Complies</v>
      </c>
      <c r="O1388" s="241" t="str">
        <f>IFERROR(__xludf.DUMMYFUNCTION("VLOOKUP(C1388,IMPORTRANGE(""https://docs.google.com/spreadsheets/d/1P8eX0NWBhUPS_hvzA11R6jkTNFrPrRYIx_dX_hYbxrk/edit?resourcekey=0-iw9bsKY2OqkUHCFMkCar3A&amp;gid=2055363397#gid=2055363397"",""MTR!C:O""),9,false)"),"")</f>
        <v/>
      </c>
      <c r="P1388" s="241"/>
      <c r="Q1388" s="251" t="s">
        <v>445</v>
      </c>
      <c r="R1388" s="251"/>
      <c r="S1388" s="154" t="s">
        <v>60</v>
      </c>
      <c r="T1388" s="154" t="s">
        <v>60</v>
      </c>
      <c r="U1388" s="154" t="s">
        <v>60</v>
      </c>
      <c r="V1388" s="154" t="s">
        <v>60</v>
      </c>
      <c r="W1388" s="154" t="s">
        <v>60</v>
      </c>
      <c r="X1388" s="154" t="s">
        <v>60</v>
      </c>
      <c r="Y1388" s="154" t="s">
        <v>60</v>
      </c>
      <c r="Z1388" s="154" t="s">
        <v>60</v>
      </c>
      <c r="AA1388" s="154" t="s">
        <v>60</v>
      </c>
      <c r="AB1388" s="154"/>
      <c r="AC1388" s="242" t="b">
        <f t="shared" si="2"/>
        <v>1</v>
      </c>
      <c r="AD1388" s="154" t="s">
        <v>391</v>
      </c>
      <c r="AE1388" s="243" t="b">
        <f t="shared" si="3"/>
        <v>0</v>
      </c>
      <c r="AF1388" s="154"/>
      <c r="AG1388" s="243" t="b">
        <f t="shared" si="7"/>
        <v>0</v>
      </c>
      <c r="AH1388" s="154"/>
      <c r="AI1388" s="243" t="str">
        <f t="shared" si="5"/>
        <v>N/A</v>
      </c>
      <c r="AJ1388" s="157" t="str">
        <f t="shared" si="6"/>
        <v/>
      </c>
    </row>
    <row r="1389" ht="12.75" customHeight="1">
      <c r="A1389" s="244" t="s">
        <v>3601</v>
      </c>
      <c r="B1389" s="244" t="s">
        <v>3604</v>
      </c>
      <c r="C1389" s="244" t="s">
        <v>3689</v>
      </c>
      <c r="D1389" s="154" t="s">
        <v>433</v>
      </c>
      <c r="E1389" s="250"/>
      <c r="F1389" s="154" t="str">
        <f t="array" ref="F1389">XLOOKUP(Cover!$D$12,$S$1:$AA$1,$S1389:$AA1389)</f>
        <v>Mandatory</v>
      </c>
      <c r="G1389" s="154" t="s">
        <v>3690</v>
      </c>
      <c r="H1389" s="154" t="s">
        <v>398</v>
      </c>
      <c r="I1389" s="154" t="s">
        <v>420</v>
      </c>
      <c r="J1389" s="247" t="s">
        <v>506</v>
      </c>
      <c r="K1389" s="247" t="s">
        <v>3691</v>
      </c>
      <c r="L1389" s="154" t="str">
        <f t="shared" si="1"/>
        <v/>
      </c>
      <c r="M1389" s="248" t="str">
        <f>IFERROR(__xludf.DUMMYFUNCTION("VLOOKUP(C1389,IMPORTRANGE(""https://docs.google.com/spreadsheets/d/1P8eX0NWBhUPS_hvzA11R6jkTNFrPrRYIx_dX_hYbxrk/edit?resourcekey=0-iw9bsKY2OqkUHCFMkCar3A&amp;gid=2055363397#gid=2055363397"",""MTR!C:O""),11,false)"),"TAM")</f>
        <v>TAM</v>
      </c>
      <c r="N1389" s="248" t="str">
        <f>IFERROR(__xludf.DUMMYFUNCTION("VLOOKUP(C1389,IMPORTRANGE(""https://docs.google.com/spreadsheets/d/1ihFlp3_ePlYtFuPbUNbYj1muErVpI73WHXbEwJDIA7Q/edit#gid=1493122344"",""MTR!C:O""),8,false)"),"Partially Complies")</f>
        <v>Partially Complies</v>
      </c>
      <c r="O1389" s="248" t="str">
        <f>IFERROR(__xludf.DUMMYFUNCTION("VLOOKUP(C1389,IMPORTRANGE(""https://docs.google.com/spreadsheets/d/1P8eX0NWBhUPS_hvzA11R6jkTNFrPrRYIx_dX_hYbxrk/edit?resourcekey=0-iw9bsKY2OqkUHCFMkCar3A&amp;gid=2055363397#gid=2055363397"",""MTR!C:O""),9,false)"),"Only common settings will be retained")</f>
        <v>Only common settings will be retained</v>
      </c>
      <c r="P1389" s="248"/>
      <c r="Q1389" s="249" t="s">
        <v>506</v>
      </c>
      <c r="R1389" s="249" t="s">
        <v>3691</v>
      </c>
      <c r="S1389" s="154" t="s">
        <v>60</v>
      </c>
      <c r="T1389" s="154" t="s">
        <v>60</v>
      </c>
      <c r="U1389" s="154" t="s">
        <v>60</v>
      </c>
      <c r="V1389" s="154" t="s">
        <v>60</v>
      </c>
      <c r="W1389" s="154" t="s">
        <v>60</v>
      </c>
      <c r="X1389" s="154" t="s">
        <v>60</v>
      </c>
      <c r="Y1389" s="154" t="s">
        <v>60</v>
      </c>
      <c r="Z1389" s="154" t="s">
        <v>60</v>
      </c>
      <c r="AA1389" s="154" t="s">
        <v>60</v>
      </c>
      <c r="AB1389" s="154"/>
      <c r="AC1389" s="242" t="b">
        <f t="shared" si="2"/>
        <v>1</v>
      </c>
      <c r="AD1389" s="154" t="s">
        <v>391</v>
      </c>
      <c r="AE1389" s="243" t="b">
        <f t="shared" si="3"/>
        <v>0</v>
      </c>
      <c r="AF1389" s="154"/>
      <c r="AG1389" s="243" t="b">
        <f t="shared" si="7"/>
        <v>0</v>
      </c>
      <c r="AH1389" s="154"/>
      <c r="AI1389" s="243" t="str">
        <f t="shared" si="5"/>
        <v>N/A</v>
      </c>
      <c r="AJ1389" s="157" t="str">
        <f t="shared" si="6"/>
        <v/>
      </c>
    </row>
    <row r="1390" ht="12.75" customHeight="1">
      <c r="A1390" s="244" t="s">
        <v>3601</v>
      </c>
      <c r="B1390" s="244" t="s">
        <v>3604</v>
      </c>
      <c r="C1390" s="244" t="s">
        <v>3692</v>
      </c>
      <c r="D1390" s="154" t="s">
        <v>433</v>
      </c>
      <c r="E1390" s="250"/>
      <c r="F1390" s="154" t="str">
        <f t="array" ref="F1390">XLOOKUP(Cover!$D$12,$S$1:$AA$1,$S1390:$AA1390)</f>
        <v>Mandatory</v>
      </c>
      <c r="G1390" s="154" t="s">
        <v>3693</v>
      </c>
      <c r="H1390" s="154" t="s">
        <v>398</v>
      </c>
      <c r="I1390" s="154" t="s">
        <v>420</v>
      </c>
      <c r="J1390" s="247" t="s">
        <v>445</v>
      </c>
      <c r="K1390" s="247"/>
      <c r="L1390" s="154" t="str">
        <f t="shared" si="1"/>
        <v/>
      </c>
      <c r="M1390" s="248" t="str">
        <f>IFERROR(__xludf.DUMMYFUNCTION("VLOOKUP(C1390,IMPORTRANGE(""https://docs.google.com/spreadsheets/d/1P8eX0NWBhUPS_hvzA11R6jkTNFrPrRYIx_dX_hYbxrk/edit?resourcekey=0-iw9bsKY2OqkUHCFMkCar3A&amp;gid=2055363397#gid=2055363397"",""MTR!C:O""),11,false)"),"TAM")</f>
        <v>TAM</v>
      </c>
      <c r="N1390" s="248" t="str">
        <f>IFERROR(__xludf.DUMMYFUNCTION("VLOOKUP(C1390,IMPORTRANGE(""https://docs.google.com/spreadsheets/d/1ihFlp3_ePlYtFuPbUNbYj1muErVpI73WHXbEwJDIA7Q/edit#gid=1493122344"",""MTR!C:O""),8,false)"),"Complies")</f>
        <v>Complies</v>
      </c>
      <c r="O1390" s="241" t="str">
        <f>IFERROR(__xludf.DUMMYFUNCTION("VLOOKUP(C1390,IMPORTRANGE(""https://docs.google.com/spreadsheets/d/1P8eX0NWBhUPS_hvzA11R6jkTNFrPrRYIx_dX_hYbxrk/edit?resourcekey=0-iw9bsKY2OqkUHCFMkCar3A&amp;gid=2055363397#gid=2055363397"",""MTR!C:O""),9,false)"),"")</f>
        <v/>
      </c>
      <c r="P1390" s="241"/>
      <c r="Q1390" s="251" t="s">
        <v>445</v>
      </c>
      <c r="R1390" s="251"/>
      <c r="S1390" s="154" t="s">
        <v>60</v>
      </c>
      <c r="T1390" s="154" t="s">
        <v>60</v>
      </c>
      <c r="U1390" s="154" t="s">
        <v>60</v>
      </c>
      <c r="V1390" s="154" t="s">
        <v>60</v>
      </c>
      <c r="W1390" s="154" t="s">
        <v>60</v>
      </c>
      <c r="X1390" s="154" t="s">
        <v>60</v>
      </c>
      <c r="Y1390" s="154" t="s">
        <v>60</v>
      </c>
      <c r="Z1390" s="154" t="s">
        <v>60</v>
      </c>
      <c r="AA1390" s="154" t="s">
        <v>60</v>
      </c>
      <c r="AB1390" s="154"/>
      <c r="AC1390" s="242" t="b">
        <f t="shared" si="2"/>
        <v>1</v>
      </c>
      <c r="AD1390" s="154" t="s">
        <v>391</v>
      </c>
      <c r="AE1390" s="243" t="b">
        <f t="shared" si="3"/>
        <v>0</v>
      </c>
      <c r="AF1390" s="154"/>
      <c r="AG1390" s="243" t="b">
        <f t="shared" si="7"/>
        <v>0</v>
      </c>
      <c r="AH1390" s="154"/>
      <c r="AI1390" s="243" t="str">
        <f t="shared" si="5"/>
        <v>N/A</v>
      </c>
      <c r="AJ1390" s="157" t="str">
        <f t="shared" si="6"/>
        <v/>
      </c>
    </row>
    <row r="1391" ht="12.75" customHeight="1">
      <c r="A1391" s="244" t="s">
        <v>3601</v>
      </c>
      <c r="B1391" s="244" t="s">
        <v>3604</v>
      </c>
      <c r="C1391" s="244" t="s">
        <v>3694</v>
      </c>
      <c r="D1391" s="154" t="s">
        <v>1211</v>
      </c>
      <c r="E1391" s="250"/>
      <c r="F1391" s="154" t="str">
        <f t="array" ref="F1391">XLOOKUP(Cover!$D$12,$S$1:$AA$1,$S1391:$AA1391)</f>
        <v>Mandatory</v>
      </c>
      <c r="G1391" s="154" t="s">
        <v>3695</v>
      </c>
      <c r="H1391" s="154" t="s">
        <v>398</v>
      </c>
      <c r="I1391" s="154" t="s">
        <v>420</v>
      </c>
      <c r="J1391" s="247" t="s">
        <v>445</v>
      </c>
      <c r="K1391" s="154"/>
      <c r="L1391" s="154" t="str">
        <f t="shared" si="1"/>
        <v/>
      </c>
      <c r="M1391" s="248" t="str">
        <f>IFERROR(__xludf.DUMMYFUNCTION("VLOOKUP(C1391,IMPORTRANGE(""https://docs.google.com/spreadsheets/d/1P8eX0NWBhUPS_hvzA11R6jkTNFrPrRYIx_dX_hYbxrk/edit?resourcekey=0-iw9bsKY2OqkUHCFMkCar3A&amp;gid=2055363397#gid=2055363397"",""MTR!C:O""),11,false)"),"TAM")</f>
        <v>TAM</v>
      </c>
      <c r="N1391" s="248" t="str">
        <f>IFERROR(__xludf.DUMMYFUNCTION("VLOOKUP(C1391,IMPORTRANGE(""https://docs.google.com/spreadsheets/d/1ihFlp3_ePlYtFuPbUNbYj1muErVpI73WHXbEwJDIA7Q/edit#gid=1493122344"",""MTR!C:O""),8,false)"),"Complies")</f>
        <v>Complies</v>
      </c>
      <c r="O1391" s="241" t="str">
        <f>IFERROR(__xludf.DUMMYFUNCTION("VLOOKUP(C1391,IMPORTRANGE(""https://docs.google.com/spreadsheets/d/1P8eX0NWBhUPS_hvzA11R6jkTNFrPrRYIx_dX_hYbxrk/edit?resourcekey=0-iw9bsKY2OqkUHCFMkCar3A&amp;gid=2055363397#gid=2055363397"",""MTR!C:O""),9,false)"),"")</f>
        <v/>
      </c>
      <c r="P1391" s="241"/>
      <c r="Q1391" s="251" t="s">
        <v>445</v>
      </c>
      <c r="R1391" s="241"/>
      <c r="S1391" s="154" t="s">
        <v>60</v>
      </c>
      <c r="T1391" s="154" t="s">
        <v>60</v>
      </c>
      <c r="U1391" s="154" t="s">
        <v>60</v>
      </c>
      <c r="V1391" s="154" t="s">
        <v>60</v>
      </c>
      <c r="W1391" s="154" t="s">
        <v>60</v>
      </c>
      <c r="X1391" s="154" t="s">
        <v>60</v>
      </c>
      <c r="Y1391" s="154" t="s">
        <v>60</v>
      </c>
      <c r="Z1391" s="154" t="s">
        <v>60</v>
      </c>
      <c r="AA1391" s="154" t="s">
        <v>60</v>
      </c>
      <c r="AB1391" s="154"/>
      <c r="AC1391" s="242" t="b">
        <f t="shared" si="2"/>
        <v>1</v>
      </c>
      <c r="AD1391" s="154" t="s">
        <v>391</v>
      </c>
      <c r="AE1391" s="243" t="b">
        <f t="shared" si="3"/>
        <v>0</v>
      </c>
      <c r="AF1391" s="154"/>
      <c r="AG1391" s="243" t="b">
        <f t="shared" si="7"/>
        <v>0</v>
      </c>
      <c r="AH1391" s="154"/>
      <c r="AI1391" s="243" t="str">
        <f t="shared" si="5"/>
        <v>N/A</v>
      </c>
      <c r="AJ1391" s="157" t="str">
        <f t="shared" si="6"/>
        <v/>
      </c>
    </row>
    <row r="1392" ht="12.75" customHeight="1">
      <c r="A1392" s="244" t="s">
        <v>3601</v>
      </c>
      <c r="B1392" s="244" t="s">
        <v>3604</v>
      </c>
      <c r="C1392" s="244" t="s">
        <v>3696</v>
      </c>
      <c r="D1392" s="154" t="s">
        <v>1211</v>
      </c>
      <c r="E1392" s="250"/>
      <c r="F1392" s="154" t="str">
        <f t="array" ref="F1392">XLOOKUP(Cover!$D$12,$S$1:$AA$1,$S1392:$AA1392)</f>
        <v>Mandatory</v>
      </c>
      <c r="G1392" s="154" t="s">
        <v>3697</v>
      </c>
      <c r="H1392" s="154" t="s">
        <v>398</v>
      </c>
      <c r="I1392" s="154" t="s">
        <v>420</v>
      </c>
      <c r="J1392" s="247" t="s">
        <v>445</v>
      </c>
      <c r="K1392" s="154"/>
      <c r="L1392" s="154" t="str">
        <f t="shared" si="1"/>
        <v/>
      </c>
      <c r="M1392" s="248" t="str">
        <f>IFERROR(__xludf.DUMMYFUNCTION("VLOOKUP(C1392,IMPORTRANGE(""https://docs.google.com/spreadsheets/d/1P8eX0NWBhUPS_hvzA11R6jkTNFrPrRYIx_dX_hYbxrk/edit?resourcekey=0-iw9bsKY2OqkUHCFMkCar3A&amp;gid=2055363397#gid=2055363397"",""MTR!C:O""),11,false)"),"TAM")</f>
        <v>TAM</v>
      </c>
      <c r="N1392" s="248" t="str">
        <f>IFERROR(__xludf.DUMMYFUNCTION("VLOOKUP(C1392,IMPORTRANGE(""https://docs.google.com/spreadsheets/d/1ihFlp3_ePlYtFuPbUNbYj1muErVpI73WHXbEwJDIA7Q/edit#gid=1493122344"",""MTR!C:O""),8,false)"),"Complies")</f>
        <v>Complies</v>
      </c>
      <c r="O1392" s="241" t="str">
        <f>IFERROR(__xludf.DUMMYFUNCTION("VLOOKUP(C1392,IMPORTRANGE(""https://docs.google.com/spreadsheets/d/1P8eX0NWBhUPS_hvzA11R6jkTNFrPrRYIx_dX_hYbxrk/edit?resourcekey=0-iw9bsKY2OqkUHCFMkCar3A&amp;gid=2055363397#gid=2055363397"",""MTR!C:O""),9,false)"),"")</f>
        <v/>
      </c>
      <c r="P1392" s="241"/>
      <c r="Q1392" s="251" t="s">
        <v>445</v>
      </c>
      <c r="R1392" s="241"/>
      <c r="S1392" s="154" t="s">
        <v>60</v>
      </c>
      <c r="T1392" s="154" t="s">
        <v>60</v>
      </c>
      <c r="U1392" s="154" t="s">
        <v>60</v>
      </c>
      <c r="V1392" s="154" t="s">
        <v>60</v>
      </c>
      <c r="W1392" s="154" t="s">
        <v>60</v>
      </c>
      <c r="X1392" s="154" t="s">
        <v>60</v>
      </c>
      <c r="Y1392" s="154" t="s">
        <v>60</v>
      </c>
      <c r="Z1392" s="154" t="s">
        <v>60</v>
      </c>
      <c r="AA1392" s="154" t="s">
        <v>60</v>
      </c>
      <c r="AB1392" s="154"/>
      <c r="AC1392" s="242" t="b">
        <f t="shared" si="2"/>
        <v>1</v>
      </c>
      <c r="AD1392" s="154" t="s">
        <v>391</v>
      </c>
      <c r="AE1392" s="243" t="b">
        <f t="shared" si="3"/>
        <v>0</v>
      </c>
      <c r="AF1392" s="154"/>
      <c r="AG1392" s="243" t="b">
        <f t="shared" si="7"/>
        <v>0</v>
      </c>
      <c r="AH1392" s="154"/>
      <c r="AI1392" s="243" t="str">
        <f t="shared" si="5"/>
        <v>N/A</v>
      </c>
      <c r="AJ1392" s="157" t="str">
        <f t="shared" si="6"/>
        <v/>
      </c>
    </row>
    <row r="1393" ht="12.75" customHeight="1">
      <c r="A1393" s="244" t="s">
        <v>3601</v>
      </c>
      <c r="B1393" s="244" t="s">
        <v>3604</v>
      </c>
      <c r="C1393" s="244" t="s">
        <v>3698</v>
      </c>
      <c r="D1393" s="154" t="s">
        <v>484</v>
      </c>
      <c r="E1393" s="250"/>
      <c r="F1393" s="154" t="str">
        <f t="array" ref="F1393">XLOOKUP(Cover!$D$12,$S$1:$AA$1,$S1393:$AA1393)</f>
        <v>Mandatory</v>
      </c>
      <c r="G1393" s="154" t="s">
        <v>3699</v>
      </c>
      <c r="H1393" s="154" t="s">
        <v>398</v>
      </c>
      <c r="I1393" s="154" t="s">
        <v>420</v>
      </c>
      <c r="J1393" s="247" t="s">
        <v>445</v>
      </c>
      <c r="K1393" s="154"/>
      <c r="L1393" s="154" t="str">
        <f t="shared" si="1"/>
        <v/>
      </c>
      <c r="M1393" s="248" t="str">
        <f>IFERROR(__xludf.DUMMYFUNCTION("VLOOKUP(C1393,IMPORTRANGE(""https://docs.google.com/spreadsheets/d/1P8eX0NWBhUPS_hvzA11R6jkTNFrPrRYIx_dX_hYbxrk/edit?resourcekey=0-iw9bsKY2OqkUHCFMkCar3A&amp;gid=2055363397#gid=2055363397"",""MTR!C:O""),11,false)"),"TAM")</f>
        <v>TAM</v>
      </c>
      <c r="N1393" s="248" t="str">
        <f>IFERROR(__xludf.DUMMYFUNCTION("VLOOKUP(C1393,IMPORTRANGE(""https://docs.google.com/spreadsheets/d/1ihFlp3_ePlYtFuPbUNbYj1muErVpI73WHXbEwJDIA7Q/edit#gid=1493122344"",""MTR!C:O""),8,false)"),"Complies")</f>
        <v>Complies</v>
      </c>
      <c r="O1393" s="241" t="str">
        <f>IFERROR(__xludf.DUMMYFUNCTION("VLOOKUP(C1393,IMPORTRANGE(""https://docs.google.com/spreadsheets/d/1P8eX0NWBhUPS_hvzA11R6jkTNFrPrRYIx_dX_hYbxrk/edit?resourcekey=0-iw9bsKY2OqkUHCFMkCar3A&amp;gid=2055363397#gid=2055363397"",""MTR!C:O""),9,false)"),"")</f>
        <v/>
      </c>
      <c r="P1393" s="241"/>
      <c r="Q1393" s="251" t="s">
        <v>445</v>
      </c>
      <c r="R1393" s="241"/>
      <c r="S1393" s="154" t="s">
        <v>60</v>
      </c>
      <c r="T1393" s="154" t="s">
        <v>60</v>
      </c>
      <c r="U1393" s="154" t="s">
        <v>60</v>
      </c>
      <c r="V1393" s="154" t="s">
        <v>60</v>
      </c>
      <c r="W1393" s="154" t="s">
        <v>60</v>
      </c>
      <c r="X1393" s="154" t="s">
        <v>60</v>
      </c>
      <c r="Y1393" s="154" t="s">
        <v>60</v>
      </c>
      <c r="Z1393" s="154" t="s">
        <v>60</v>
      </c>
      <c r="AA1393" s="154" t="s">
        <v>60</v>
      </c>
      <c r="AB1393" s="154"/>
      <c r="AC1393" s="242" t="b">
        <f t="shared" si="2"/>
        <v>1</v>
      </c>
      <c r="AD1393" s="154" t="s">
        <v>391</v>
      </c>
      <c r="AE1393" s="243" t="b">
        <f t="shared" si="3"/>
        <v>0</v>
      </c>
      <c r="AF1393" s="154"/>
      <c r="AG1393" s="243" t="b">
        <f t="shared" si="7"/>
        <v>0</v>
      </c>
      <c r="AH1393" s="154"/>
      <c r="AI1393" s="243" t="str">
        <f t="shared" si="5"/>
        <v>N/A</v>
      </c>
      <c r="AJ1393" s="157" t="str">
        <f t="shared" si="6"/>
        <v/>
      </c>
    </row>
    <row r="1394" ht="12.75" customHeight="1">
      <c r="A1394" s="244" t="s">
        <v>3601</v>
      </c>
      <c r="B1394" s="244" t="s">
        <v>3604</v>
      </c>
      <c r="C1394" s="244" t="s">
        <v>3700</v>
      </c>
      <c r="D1394" s="154" t="s">
        <v>462</v>
      </c>
      <c r="E1394" s="250"/>
      <c r="F1394" s="154" t="str">
        <f t="array" ref="F1394">XLOOKUP(Cover!$D$12,$S$1:$AA$1,$S1394:$AA1394)</f>
        <v>Mandatory</v>
      </c>
      <c r="G1394" s="154" t="s">
        <v>3701</v>
      </c>
      <c r="H1394" s="154" t="s">
        <v>398</v>
      </c>
      <c r="I1394" s="154" t="s">
        <v>420</v>
      </c>
      <c r="J1394" s="247" t="s">
        <v>506</v>
      </c>
      <c r="K1394" s="247" t="s">
        <v>3702</v>
      </c>
      <c r="L1394" s="154" t="str">
        <f t="shared" si="1"/>
        <v/>
      </c>
      <c r="M1394" s="248" t="str">
        <f>IFERROR(__xludf.DUMMYFUNCTION("VLOOKUP(C1394,IMPORTRANGE(""https://docs.google.com/spreadsheets/d/1P8eX0NWBhUPS_hvzA11R6jkTNFrPrRYIx_dX_hYbxrk/edit?resourcekey=0-iw9bsKY2OqkUHCFMkCar3A&amp;gid=2055363397#gid=2055363397"",""MTR!C:O""),11,false)"),"TAM")</f>
        <v>TAM</v>
      </c>
      <c r="N1394" s="248" t="str">
        <f>IFERROR(__xludf.DUMMYFUNCTION("VLOOKUP(C1394,IMPORTRANGE(""https://docs.google.com/spreadsheets/d/1ihFlp3_ePlYtFuPbUNbYj1muErVpI73WHXbEwJDIA7Q/edit#gid=1493122344"",""MTR!C:O""),8,false)"),"Partially Complies")</f>
        <v>Partially Complies</v>
      </c>
      <c r="O1394" s="248" t="str">
        <f>IFERROR(__xludf.DUMMYFUNCTION("VLOOKUP(C1394,IMPORTRANGE(""https://docs.google.com/spreadsheets/d/1P8eX0NWBhUPS_hvzA11R6jkTNFrPrRYIx_dX_hYbxrk/edit?resourcekey=0-iw9bsKY2OqkUHCFMkCar3A&amp;gid=2055363397#gid=2055363397"",""MTR!C:O""),9,false)"),"The customization option will be dismissed if user ignore it after several days")</f>
        <v>The customization option will be dismissed if user ignore it after several days</v>
      </c>
      <c r="P1394" s="248"/>
      <c r="Q1394" s="249" t="s">
        <v>506</v>
      </c>
      <c r="R1394" s="249" t="s">
        <v>3702</v>
      </c>
      <c r="S1394" s="154" t="s">
        <v>60</v>
      </c>
      <c r="T1394" s="154" t="s">
        <v>60</v>
      </c>
      <c r="U1394" s="154" t="s">
        <v>60</v>
      </c>
      <c r="V1394" s="154" t="s">
        <v>60</v>
      </c>
      <c r="W1394" s="154" t="s">
        <v>60</v>
      </c>
      <c r="X1394" s="154" t="s">
        <v>60</v>
      </c>
      <c r="Y1394" s="154" t="s">
        <v>60</v>
      </c>
      <c r="Z1394" s="154" t="s">
        <v>60</v>
      </c>
      <c r="AA1394" s="154" t="s">
        <v>60</v>
      </c>
      <c r="AB1394" s="154"/>
      <c r="AC1394" s="242" t="b">
        <f t="shared" si="2"/>
        <v>1</v>
      </c>
      <c r="AD1394" s="154" t="s">
        <v>391</v>
      </c>
      <c r="AE1394" s="243" t="b">
        <f t="shared" si="3"/>
        <v>0</v>
      </c>
      <c r="AF1394" s="154"/>
      <c r="AG1394" s="243" t="b">
        <f t="shared" si="7"/>
        <v>0</v>
      </c>
      <c r="AH1394" s="154"/>
      <c r="AI1394" s="243" t="str">
        <f t="shared" si="5"/>
        <v>N/A</v>
      </c>
      <c r="AJ1394" s="157" t="str">
        <f t="shared" si="6"/>
        <v/>
      </c>
    </row>
    <row r="1395" ht="12.75" customHeight="1">
      <c r="A1395" s="244" t="s">
        <v>3601</v>
      </c>
      <c r="B1395" s="244" t="s">
        <v>3604</v>
      </c>
      <c r="C1395" s="244" t="s">
        <v>3703</v>
      </c>
      <c r="D1395" s="154" t="s">
        <v>581</v>
      </c>
      <c r="E1395" s="250"/>
      <c r="F1395" s="154" t="str">
        <f t="array" ref="F1395">XLOOKUP(Cover!$D$12,$S$1:$AA$1,$S1395:$AA1395)</f>
        <v>Mandatory</v>
      </c>
      <c r="G1395" s="154" t="s">
        <v>3704</v>
      </c>
      <c r="H1395" s="154" t="s">
        <v>398</v>
      </c>
      <c r="I1395" s="154" t="s">
        <v>420</v>
      </c>
      <c r="J1395" s="247" t="s">
        <v>445</v>
      </c>
      <c r="K1395" s="247"/>
      <c r="L1395" s="154" t="str">
        <f t="shared" si="1"/>
        <v/>
      </c>
      <c r="M1395" s="248" t="str">
        <f>IFERROR(__xludf.DUMMYFUNCTION("VLOOKUP(C1395,IMPORTRANGE(""https://docs.google.com/spreadsheets/d/1P8eX0NWBhUPS_hvzA11R6jkTNFrPrRYIx_dX_hYbxrk/edit?resourcekey=0-iw9bsKY2OqkUHCFMkCar3A&amp;gid=2055363397#gid=2055363397"",""MTR!C:O""),11,false)"),"TAM")</f>
        <v>TAM</v>
      </c>
      <c r="N1395" s="248" t="str">
        <f>IFERROR(__xludf.DUMMYFUNCTION("VLOOKUP(C1395,IMPORTRANGE(""https://docs.google.com/spreadsheets/d/1ihFlp3_ePlYtFuPbUNbYj1muErVpI73WHXbEwJDIA7Q/edit#gid=1493122344"",""MTR!C:O""),8,false)"),"Complies")</f>
        <v>Complies</v>
      </c>
      <c r="O1395" s="241" t="str">
        <f>IFERROR(__xludf.DUMMYFUNCTION("VLOOKUP(C1395,IMPORTRANGE(""https://docs.google.com/spreadsheets/d/1P8eX0NWBhUPS_hvzA11R6jkTNFrPrRYIx_dX_hYbxrk/edit?resourcekey=0-iw9bsKY2OqkUHCFMkCar3A&amp;gid=2055363397#gid=2055363397"",""MTR!C:O""),9,false)"),"")</f>
        <v/>
      </c>
      <c r="P1395" s="241"/>
      <c r="Q1395" s="251" t="s">
        <v>445</v>
      </c>
      <c r="R1395" s="251"/>
      <c r="S1395" s="154" t="s">
        <v>60</v>
      </c>
      <c r="T1395" s="154" t="s">
        <v>60</v>
      </c>
      <c r="U1395" s="154" t="s">
        <v>60</v>
      </c>
      <c r="V1395" s="154" t="s">
        <v>60</v>
      </c>
      <c r="W1395" s="154" t="s">
        <v>60</v>
      </c>
      <c r="X1395" s="154" t="s">
        <v>60</v>
      </c>
      <c r="Y1395" s="154" t="s">
        <v>60</v>
      </c>
      <c r="Z1395" s="154" t="s">
        <v>60</v>
      </c>
      <c r="AA1395" s="154" t="s">
        <v>60</v>
      </c>
      <c r="AB1395" s="154"/>
      <c r="AC1395" s="242" t="b">
        <f t="shared" si="2"/>
        <v>1</v>
      </c>
      <c r="AD1395" s="154" t="s">
        <v>391</v>
      </c>
      <c r="AE1395" s="243" t="b">
        <f t="shared" si="3"/>
        <v>0</v>
      </c>
      <c r="AF1395" s="154"/>
      <c r="AG1395" s="243" t="b">
        <f t="shared" si="7"/>
        <v>0</v>
      </c>
      <c r="AH1395" s="154"/>
      <c r="AI1395" s="243" t="str">
        <f t="shared" si="5"/>
        <v>N/A</v>
      </c>
      <c r="AJ1395" s="157" t="str">
        <f t="shared" si="6"/>
        <v/>
      </c>
    </row>
    <row r="1396" ht="12.75" customHeight="1">
      <c r="A1396" s="244" t="s">
        <v>3601</v>
      </c>
      <c r="B1396" s="244" t="s">
        <v>3604</v>
      </c>
      <c r="C1396" s="244" t="s">
        <v>3705</v>
      </c>
      <c r="D1396" s="154" t="s">
        <v>581</v>
      </c>
      <c r="E1396" s="250"/>
      <c r="F1396" s="154" t="str">
        <f t="array" ref="F1396">XLOOKUP(Cover!$D$12,$S$1:$AA$1,$S1396:$AA1396)</f>
        <v>Mandatory</v>
      </c>
      <c r="G1396" s="154" t="s">
        <v>3706</v>
      </c>
      <c r="H1396" s="154" t="s">
        <v>398</v>
      </c>
      <c r="I1396" s="154" t="s">
        <v>420</v>
      </c>
      <c r="J1396" s="247" t="s">
        <v>445</v>
      </c>
      <c r="K1396" s="154"/>
      <c r="L1396" s="154" t="str">
        <f t="shared" si="1"/>
        <v/>
      </c>
      <c r="M1396" s="248" t="str">
        <f>IFERROR(__xludf.DUMMYFUNCTION("VLOOKUP(C1396,IMPORTRANGE(""https://docs.google.com/spreadsheets/d/1P8eX0NWBhUPS_hvzA11R6jkTNFrPrRYIx_dX_hYbxrk/edit?resourcekey=0-iw9bsKY2OqkUHCFMkCar3A&amp;gid=2055363397#gid=2055363397"",""MTR!C:O""),11,false)"),"TAM")</f>
        <v>TAM</v>
      </c>
      <c r="N1396" s="248" t="str">
        <f>IFERROR(__xludf.DUMMYFUNCTION("VLOOKUP(C1396,IMPORTRANGE(""https://docs.google.com/spreadsheets/d/1ihFlp3_ePlYtFuPbUNbYj1muErVpI73WHXbEwJDIA7Q/edit#gid=1493122344"",""MTR!C:O""),8,false)"),"Complies")</f>
        <v>Complies</v>
      </c>
      <c r="O1396" s="241" t="str">
        <f>IFERROR(__xludf.DUMMYFUNCTION("VLOOKUP(C1396,IMPORTRANGE(""https://docs.google.com/spreadsheets/d/1P8eX0NWBhUPS_hvzA11R6jkTNFrPrRYIx_dX_hYbxrk/edit?resourcekey=0-iw9bsKY2OqkUHCFMkCar3A&amp;gid=2055363397#gid=2055363397"",""MTR!C:O""),9,false)"),"")</f>
        <v/>
      </c>
      <c r="P1396" s="241"/>
      <c r="Q1396" s="251" t="s">
        <v>445</v>
      </c>
      <c r="R1396" s="241"/>
      <c r="S1396" s="154" t="s">
        <v>60</v>
      </c>
      <c r="T1396" s="154" t="s">
        <v>60</v>
      </c>
      <c r="U1396" s="154" t="s">
        <v>60</v>
      </c>
      <c r="V1396" s="154" t="s">
        <v>60</v>
      </c>
      <c r="W1396" s="154" t="s">
        <v>60</v>
      </c>
      <c r="X1396" s="154" t="s">
        <v>60</v>
      </c>
      <c r="Y1396" s="154" t="s">
        <v>60</v>
      </c>
      <c r="Z1396" s="154" t="s">
        <v>60</v>
      </c>
      <c r="AA1396" s="154" t="s">
        <v>60</v>
      </c>
      <c r="AB1396" s="154"/>
      <c r="AC1396" s="242" t="b">
        <f t="shared" si="2"/>
        <v>1</v>
      </c>
      <c r="AD1396" s="154" t="s">
        <v>391</v>
      </c>
      <c r="AE1396" s="243" t="b">
        <f t="shared" si="3"/>
        <v>0</v>
      </c>
      <c r="AF1396" s="154"/>
      <c r="AG1396" s="243" t="b">
        <f t="shared" si="7"/>
        <v>0</v>
      </c>
      <c r="AH1396" s="154"/>
      <c r="AI1396" s="243" t="str">
        <f t="shared" si="5"/>
        <v>N/A</v>
      </c>
      <c r="AJ1396" s="157" t="str">
        <f t="shared" si="6"/>
        <v/>
      </c>
    </row>
    <row r="1397" ht="12.75" customHeight="1">
      <c r="A1397" s="244" t="s">
        <v>3601</v>
      </c>
      <c r="B1397" s="244" t="s">
        <v>3604</v>
      </c>
      <c r="C1397" s="244" t="s">
        <v>3707</v>
      </c>
      <c r="D1397" s="154" t="s">
        <v>1211</v>
      </c>
      <c r="E1397" s="250"/>
      <c r="F1397" s="154" t="str">
        <f t="array" ref="F1397">XLOOKUP(Cover!$D$12,$S$1:$AA$1,$S1397:$AA1397)</f>
        <v>Recommended</v>
      </c>
      <c r="G1397" s="154" t="s">
        <v>3708</v>
      </c>
      <c r="H1397" s="154"/>
      <c r="I1397" s="154" t="s">
        <v>420</v>
      </c>
      <c r="J1397" s="247" t="s">
        <v>445</v>
      </c>
      <c r="K1397" s="154"/>
      <c r="L1397" s="154" t="str">
        <f t="shared" si="1"/>
        <v/>
      </c>
      <c r="M1397" s="248" t="str">
        <f>IFERROR(__xludf.DUMMYFUNCTION("VLOOKUP(C1397,IMPORTRANGE(""https://docs.google.com/spreadsheets/d/1P8eX0NWBhUPS_hvzA11R6jkTNFrPrRYIx_dX_hYbxrk/edit?resourcekey=0-iw9bsKY2OqkUHCFMkCar3A&amp;gid=2055363397#gid=2055363397"",""MTR!C:O""),11,false)"),"TAM")</f>
        <v>TAM</v>
      </c>
      <c r="N1397" s="248" t="str">
        <f>IFERROR(__xludf.DUMMYFUNCTION("VLOOKUP(C1397,IMPORTRANGE(""https://docs.google.com/spreadsheets/d/1ihFlp3_ePlYtFuPbUNbYj1muErVpI73WHXbEwJDIA7Q/edit#gid=1493122344"",""MTR!C:O""),8,false)"),"Complies")</f>
        <v>Complies</v>
      </c>
      <c r="O1397" s="241" t="str">
        <f>IFERROR(__xludf.DUMMYFUNCTION("VLOOKUP(C1397,IMPORTRANGE(""https://docs.google.com/spreadsheets/d/1P8eX0NWBhUPS_hvzA11R6jkTNFrPrRYIx_dX_hYbxrk/edit?resourcekey=0-iw9bsKY2OqkUHCFMkCar3A&amp;gid=2055363397#gid=2055363397"",""MTR!C:O""),9,false)"),"")</f>
        <v/>
      </c>
      <c r="P1397" s="241"/>
      <c r="Q1397" s="251" t="s">
        <v>445</v>
      </c>
      <c r="R1397" s="241"/>
      <c r="S1397" s="154" t="s">
        <v>64</v>
      </c>
      <c r="T1397" s="154" t="s">
        <v>64</v>
      </c>
      <c r="U1397" s="154" t="s">
        <v>64</v>
      </c>
      <c r="V1397" s="154" t="s">
        <v>64</v>
      </c>
      <c r="W1397" s="154" t="s">
        <v>64</v>
      </c>
      <c r="X1397" s="154" t="s">
        <v>64</v>
      </c>
      <c r="Y1397" s="154" t="s">
        <v>64</v>
      </c>
      <c r="Z1397" s="154" t="s">
        <v>64</v>
      </c>
      <c r="AA1397" s="154" t="s">
        <v>64</v>
      </c>
      <c r="AB1397" s="154"/>
      <c r="AC1397" s="242" t="b">
        <f t="shared" si="2"/>
        <v>1</v>
      </c>
      <c r="AD1397" s="154" t="s">
        <v>391</v>
      </c>
      <c r="AE1397" s="243" t="b">
        <f t="shared" si="3"/>
        <v>0</v>
      </c>
      <c r="AF1397" s="154"/>
      <c r="AG1397" s="243" t="b">
        <f t="shared" si="7"/>
        <v>0</v>
      </c>
      <c r="AH1397" s="154"/>
      <c r="AI1397" s="243" t="str">
        <f t="shared" si="5"/>
        <v>N/A</v>
      </c>
      <c r="AJ1397" s="157" t="str">
        <f t="shared" si="6"/>
        <v/>
      </c>
    </row>
    <row r="1398" ht="12.75" customHeight="1">
      <c r="A1398" s="238" t="s">
        <v>3601</v>
      </c>
      <c r="B1398" s="238" t="s">
        <v>3604</v>
      </c>
      <c r="C1398" s="238" t="s">
        <v>3709</v>
      </c>
      <c r="D1398" s="238"/>
      <c r="E1398" s="238"/>
      <c r="F1398" s="154" t="str">
        <f t="array" ref="F1398">XLOOKUP(Cover!$D$12,$S$1:$AA$1,$S1398:$AA1398)</f>
        <v>Heading</v>
      </c>
      <c r="G1398" s="239" t="s">
        <v>3710</v>
      </c>
      <c r="H1398" s="240"/>
      <c r="I1398" s="240" t="s">
        <v>420</v>
      </c>
      <c r="J1398" s="262"/>
      <c r="K1398" s="240"/>
      <c r="L1398" s="154" t="str">
        <f t="shared" si="1"/>
        <v/>
      </c>
      <c r="M1398" s="241" t="str">
        <f>IFERROR(__xludf.DUMMYFUNCTION("VLOOKUP(C1398,IMPORTRANGE(""https://docs.google.com/spreadsheets/d/1P8eX0NWBhUPS_hvzA11R6jkTNFrPrRYIx_dX_hYbxrk/edit?resourcekey=0-iw9bsKY2OqkUHCFMkCar3A&amp;gid=2055363397#gid=2055363397"",""MTR!C:O""),11,false)"),"")</f>
        <v/>
      </c>
      <c r="N1398" s="241" t="str">
        <f>IFERROR(__xludf.DUMMYFUNCTION("VLOOKUP(C1398,IMPORTRANGE(""https://docs.google.com/spreadsheets/d/1ihFlp3_ePlYtFuPbUNbYj1muErVpI73WHXbEwJDIA7Q/edit#gid=1493122344"",""MTR!C:O""),8,false)"),"")</f>
        <v/>
      </c>
      <c r="O1398" s="241" t="str">
        <f>IFERROR(__xludf.DUMMYFUNCTION("VLOOKUP(C1398,IMPORTRANGE(""https://docs.google.com/spreadsheets/d/1P8eX0NWBhUPS_hvzA11R6jkTNFrPrRYIx_dX_hYbxrk/edit?resourcekey=0-iw9bsKY2OqkUHCFMkCar3A&amp;gid=2055363397#gid=2055363397"",""MTR!C:O""),9,false)"),"")</f>
        <v/>
      </c>
      <c r="P1398" s="241"/>
      <c r="Q1398" s="251"/>
      <c r="R1398" s="241"/>
      <c r="S1398" s="240" t="s">
        <v>390</v>
      </c>
      <c r="T1398" s="240" t="s">
        <v>390</v>
      </c>
      <c r="U1398" s="240" t="s">
        <v>390</v>
      </c>
      <c r="V1398" s="240" t="s">
        <v>390</v>
      </c>
      <c r="W1398" s="240" t="s">
        <v>390</v>
      </c>
      <c r="X1398" s="240" t="s">
        <v>390</v>
      </c>
      <c r="Y1398" s="240" t="s">
        <v>390</v>
      </c>
      <c r="Z1398" s="240" t="s">
        <v>390</v>
      </c>
      <c r="AA1398" s="240" t="s">
        <v>390</v>
      </c>
      <c r="AB1398" s="240"/>
      <c r="AC1398" s="242" t="b">
        <f t="shared" si="2"/>
        <v>0</v>
      </c>
      <c r="AD1398" s="240" t="s">
        <v>391</v>
      </c>
      <c r="AE1398" s="243" t="b">
        <f t="shared" si="3"/>
        <v>0</v>
      </c>
      <c r="AF1398" s="240"/>
      <c r="AG1398" s="243" t="b">
        <f t="shared" si="7"/>
        <v>0</v>
      </c>
      <c r="AH1398" s="240"/>
      <c r="AI1398" s="243" t="str">
        <f t="shared" si="5"/>
        <v>N/A</v>
      </c>
      <c r="AJ1398" s="157" t="str">
        <f t="shared" si="6"/>
        <v/>
      </c>
    </row>
    <row r="1399" ht="12.75" customHeight="1">
      <c r="A1399" s="244" t="s">
        <v>3601</v>
      </c>
      <c r="B1399" s="244" t="s">
        <v>3604</v>
      </c>
      <c r="C1399" s="244" t="s">
        <v>3711</v>
      </c>
      <c r="D1399" s="154" t="s">
        <v>492</v>
      </c>
      <c r="E1399" s="250"/>
      <c r="F1399" s="154" t="str">
        <f t="array" ref="F1399">XLOOKUP(Cover!$D$12,$S$1:$AA$1,$S1399:$AA1399)</f>
        <v>Mandatory</v>
      </c>
      <c r="G1399" s="154" t="s">
        <v>3712</v>
      </c>
      <c r="H1399" s="154" t="s">
        <v>398</v>
      </c>
      <c r="I1399" s="154" t="s">
        <v>420</v>
      </c>
      <c r="J1399" s="247" t="s">
        <v>445</v>
      </c>
      <c r="K1399" s="154"/>
      <c r="L1399" s="154" t="str">
        <f t="shared" si="1"/>
        <v/>
      </c>
      <c r="M1399" s="248" t="str">
        <f>IFERROR(__xludf.DUMMYFUNCTION("VLOOKUP(C1399,IMPORTRANGE(""https://docs.google.com/spreadsheets/d/1P8eX0NWBhUPS_hvzA11R6jkTNFrPrRYIx_dX_hYbxrk/edit?resourcekey=0-iw9bsKY2OqkUHCFMkCar3A&amp;gid=2055363397#gid=2055363397"",""MTR!C:O""),11,false)"),"TAM")</f>
        <v>TAM</v>
      </c>
      <c r="N1399" s="248" t="str">
        <f>IFERROR(__xludf.DUMMYFUNCTION("VLOOKUP(C1399,IMPORTRANGE(""https://docs.google.com/spreadsheets/d/1ihFlp3_ePlYtFuPbUNbYj1muErVpI73WHXbEwJDIA7Q/edit#gid=1493122344"",""MTR!C:O""),8,false)"),"Complies")</f>
        <v>Complies</v>
      </c>
      <c r="O1399" s="241" t="str">
        <f>IFERROR(__xludf.DUMMYFUNCTION("VLOOKUP(C1399,IMPORTRANGE(""https://docs.google.com/spreadsheets/d/1P8eX0NWBhUPS_hvzA11R6jkTNFrPrRYIx_dX_hYbxrk/edit?resourcekey=0-iw9bsKY2OqkUHCFMkCar3A&amp;gid=2055363397#gid=2055363397"",""MTR!C:O""),9,false)"),"")</f>
        <v/>
      </c>
      <c r="P1399" s="241"/>
      <c r="Q1399" s="251" t="s">
        <v>445</v>
      </c>
      <c r="R1399" s="241"/>
      <c r="S1399" s="154" t="s">
        <v>60</v>
      </c>
      <c r="T1399" s="154" t="s">
        <v>60</v>
      </c>
      <c r="U1399" s="154" t="s">
        <v>60</v>
      </c>
      <c r="V1399" s="154" t="s">
        <v>60</v>
      </c>
      <c r="W1399" s="154" t="s">
        <v>60</v>
      </c>
      <c r="X1399" s="154" t="s">
        <v>60</v>
      </c>
      <c r="Y1399" s="154" t="s">
        <v>60</v>
      </c>
      <c r="Z1399" s="154" t="s">
        <v>60</v>
      </c>
      <c r="AA1399" s="154" t="s">
        <v>60</v>
      </c>
      <c r="AB1399" s="154"/>
      <c r="AC1399" s="242" t="b">
        <f t="shared" si="2"/>
        <v>1</v>
      </c>
      <c r="AD1399" s="154" t="s">
        <v>391</v>
      </c>
      <c r="AE1399" s="243" t="b">
        <f t="shared" si="3"/>
        <v>0</v>
      </c>
      <c r="AF1399" s="154"/>
      <c r="AG1399" s="243" t="b">
        <f t="shared" si="7"/>
        <v>0</v>
      </c>
      <c r="AH1399" s="154"/>
      <c r="AI1399" s="243" t="str">
        <f t="shared" si="5"/>
        <v>N/A</v>
      </c>
      <c r="AJ1399" s="157" t="str">
        <f t="shared" si="6"/>
        <v/>
      </c>
    </row>
    <row r="1400" ht="12.75" customHeight="1">
      <c r="A1400" s="244" t="s">
        <v>3601</v>
      </c>
      <c r="B1400" s="244" t="s">
        <v>3604</v>
      </c>
      <c r="C1400" s="244" t="s">
        <v>3713</v>
      </c>
      <c r="D1400" s="154" t="s">
        <v>492</v>
      </c>
      <c r="E1400" s="250"/>
      <c r="F1400" s="154" t="str">
        <f t="array" ref="F1400">XLOOKUP(Cover!$D$12,$S$1:$AA$1,$S1400:$AA1400)</f>
        <v>Recommended</v>
      </c>
      <c r="G1400" s="154" t="s">
        <v>3714</v>
      </c>
      <c r="H1400" s="154"/>
      <c r="I1400" s="154" t="s">
        <v>420</v>
      </c>
      <c r="J1400" s="247" t="s">
        <v>506</v>
      </c>
      <c r="K1400" s="247" t="s">
        <v>3715</v>
      </c>
      <c r="L1400" s="154" t="str">
        <f t="shared" si="1"/>
        <v/>
      </c>
      <c r="M1400" s="248" t="str">
        <f>IFERROR(__xludf.DUMMYFUNCTION("VLOOKUP(C1400,IMPORTRANGE(""https://docs.google.com/spreadsheets/d/1P8eX0NWBhUPS_hvzA11R6jkTNFrPrRYIx_dX_hYbxrk/edit?resourcekey=0-iw9bsKY2OqkUHCFMkCar3A&amp;gid=2055363397#gid=2055363397"",""MTR!C:O""),11,false)"),"TAM")</f>
        <v>TAM</v>
      </c>
      <c r="N1400" s="248" t="str">
        <f>IFERROR(__xludf.DUMMYFUNCTION("VLOOKUP(C1400,IMPORTRANGE(""https://docs.google.com/spreadsheets/d/1ihFlp3_ePlYtFuPbUNbYj1muErVpI73WHXbEwJDIA7Q/edit#gid=1493122344"",""MTR!C:O""),8,false)"),"Partially Complies")</f>
        <v>Partially Complies</v>
      </c>
      <c r="O1400" s="248" t="str">
        <f>IFERROR(__xludf.DUMMYFUNCTION("VLOOKUP(C1400,IMPORTRANGE(""https://docs.google.com/spreadsheets/d/1P8eX0NWBhUPS_hvzA11R6jkTNFrPrRYIx_dX_hYbxrk/edit?resourcekey=0-iw9bsKY2OqkUHCFMkCar3A&amp;gid=2055363397#gid=2055363397"",""MTR!C:O""),9,false)"),"A warning message to informa user that all data in internal storage will lost after reset")</f>
        <v>A warning message to informa user that all data in internal storage will lost after reset</v>
      </c>
      <c r="P1400" s="248"/>
      <c r="Q1400" s="249" t="s">
        <v>506</v>
      </c>
      <c r="R1400" s="249" t="s">
        <v>3715</v>
      </c>
      <c r="S1400" s="154" t="s">
        <v>64</v>
      </c>
      <c r="T1400" s="154" t="s">
        <v>64</v>
      </c>
      <c r="U1400" s="154" t="s">
        <v>64</v>
      </c>
      <c r="V1400" s="154" t="s">
        <v>64</v>
      </c>
      <c r="W1400" s="154" t="s">
        <v>64</v>
      </c>
      <c r="X1400" s="154" t="s">
        <v>64</v>
      </c>
      <c r="Y1400" s="154" t="s">
        <v>64</v>
      </c>
      <c r="Z1400" s="154" t="s">
        <v>64</v>
      </c>
      <c r="AA1400" s="154" t="s">
        <v>64</v>
      </c>
      <c r="AB1400" s="154"/>
      <c r="AC1400" s="242" t="b">
        <f t="shared" si="2"/>
        <v>1</v>
      </c>
      <c r="AD1400" s="154" t="s">
        <v>391</v>
      </c>
      <c r="AE1400" s="243" t="b">
        <f t="shared" si="3"/>
        <v>0</v>
      </c>
      <c r="AF1400" s="154"/>
      <c r="AG1400" s="243" t="b">
        <f t="shared" si="7"/>
        <v>0</v>
      </c>
      <c r="AH1400" s="154"/>
      <c r="AI1400" s="243" t="str">
        <f t="shared" si="5"/>
        <v>N/A</v>
      </c>
      <c r="AJ1400" s="157" t="str">
        <f t="shared" si="6"/>
        <v/>
      </c>
    </row>
    <row r="1401" ht="12.75" customHeight="1">
      <c r="A1401" s="244" t="s">
        <v>3601</v>
      </c>
      <c r="B1401" s="244" t="s">
        <v>3604</v>
      </c>
      <c r="C1401" s="244" t="s">
        <v>3716</v>
      </c>
      <c r="D1401" s="154" t="s">
        <v>492</v>
      </c>
      <c r="E1401" s="250"/>
      <c r="F1401" s="154" t="str">
        <f t="array" ref="F1401">XLOOKUP(Cover!$D$12,$S$1:$AA$1,$S1401:$AA1401)</f>
        <v>Mandatory</v>
      </c>
      <c r="G1401" s="154" t="s">
        <v>3717</v>
      </c>
      <c r="H1401" s="154" t="s">
        <v>398</v>
      </c>
      <c r="I1401" s="154" t="s">
        <v>420</v>
      </c>
      <c r="J1401" s="247" t="s">
        <v>445</v>
      </c>
      <c r="K1401" s="247"/>
      <c r="L1401" s="154" t="str">
        <f t="shared" si="1"/>
        <v/>
      </c>
      <c r="M1401" s="248" t="str">
        <f>IFERROR(__xludf.DUMMYFUNCTION("VLOOKUP(C1401,IMPORTRANGE(""https://docs.google.com/spreadsheets/d/1P8eX0NWBhUPS_hvzA11R6jkTNFrPrRYIx_dX_hYbxrk/edit?resourcekey=0-iw9bsKY2OqkUHCFMkCar3A&amp;gid=2055363397#gid=2055363397"",""MTR!C:O""),11,false)"),"TAM")</f>
        <v>TAM</v>
      </c>
      <c r="N1401" s="248" t="str">
        <f>IFERROR(__xludf.DUMMYFUNCTION("VLOOKUP(C1401,IMPORTRANGE(""https://docs.google.com/spreadsheets/d/1ihFlp3_ePlYtFuPbUNbYj1muErVpI73WHXbEwJDIA7Q/edit#gid=1493122344"",""MTR!C:O""),8,false)"),"Complies")</f>
        <v>Complies</v>
      </c>
      <c r="O1401" s="241" t="str">
        <f>IFERROR(__xludf.DUMMYFUNCTION("VLOOKUP(C1401,IMPORTRANGE(""https://docs.google.com/spreadsheets/d/1P8eX0NWBhUPS_hvzA11R6jkTNFrPrRYIx_dX_hYbxrk/edit?resourcekey=0-iw9bsKY2OqkUHCFMkCar3A&amp;gid=2055363397#gid=2055363397"",""MTR!C:O""),9,false)"),"")</f>
        <v/>
      </c>
      <c r="P1401" s="241"/>
      <c r="Q1401" s="251" t="s">
        <v>445</v>
      </c>
      <c r="R1401" s="251"/>
      <c r="S1401" s="154" t="s">
        <v>60</v>
      </c>
      <c r="T1401" s="154" t="s">
        <v>60</v>
      </c>
      <c r="U1401" s="154" t="s">
        <v>60</v>
      </c>
      <c r="V1401" s="154" t="s">
        <v>60</v>
      </c>
      <c r="W1401" s="154" t="s">
        <v>60</v>
      </c>
      <c r="X1401" s="154" t="s">
        <v>60</v>
      </c>
      <c r="Y1401" s="154" t="s">
        <v>60</v>
      </c>
      <c r="Z1401" s="154" t="s">
        <v>60</v>
      </c>
      <c r="AA1401" s="154" t="s">
        <v>60</v>
      </c>
      <c r="AB1401" s="154"/>
      <c r="AC1401" s="242" t="b">
        <f t="shared" si="2"/>
        <v>1</v>
      </c>
      <c r="AD1401" s="154" t="s">
        <v>391</v>
      </c>
      <c r="AE1401" s="243" t="b">
        <f t="shared" si="3"/>
        <v>0</v>
      </c>
      <c r="AF1401" s="154"/>
      <c r="AG1401" s="243" t="b">
        <f t="shared" si="7"/>
        <v>0</v>
      </c>
      <c r="AH1401" s="154"/>
      <c r="AI1401" s="243" t="str">
        <f t="shared" si="5"/>
        <v>N/A</v>
      </c>
      <c r="AJ1401" s="157" t="str">
        <f t="shared" si="6"/>
        <v/>
      </c>
    </row>
    <row r="1402" ht="12.75" customHeight="1">
      <c r="A1402" s="244" t="s">
        <v>3601</v>
      </c>
      <c r="B1402" s="244" t="s">
        <v>3604</v>
      </c>
      <c r="C1402" s="244" t="s">
        <v>3718</v>
      </c>
      <c r="D1402" s="154" t="s">
        <v>492</v>
      </c>
      <c r="E1402" s="250"/>
      <c r="F1402" s="154" t="str">
        <f t="array" ref="F1402">XLOOKUP(Cover!$D$12,$S$1:$AA$1,$S1402:$AA1402)</f>
        <v>Mandatory</v>
      </c>
      <c r="G1402" s="154" t="s">
        <v>3719</v>
      </c>
      <c r="H1402" s="154" t="s">
        <v>398</v>
      </c>
      <c r="I1402" s="154" t="s">
        <v>420</v>
      </c>
      <c r="J1402" s="247" t="s">
        <v>445</v>
      </c>
      <c r="K1402" s="154"/>
      <c r="L1402" s="154" t="str">
        <f t="shared" si="1"/>
        <v/>
      </c>
      <c r="M1402" s="248" t="str">
        <f>IFERROR(__xludf.DUMMYFUNCTION("VLOOKUP(C1402,IMPORTRANGE(""https://docs.google.com/spreadsheets/d/1P8eX0NWBhUPS_hvzA11R6jkTNFrPrRYIx_dX_hYbxrk/edit?resourcekey=0-iw9bsKY2OqkUHCFMkCar3A&amp;gid=2055363397#gid=2055363397"",""MTR!C:O""),11,false)"),"TAM")</f>
        <v>TAM</v>
      </c>
      <c r="N1402" s="248" t="str">
        <f>IFERROR(__xludf.DUMMYFUNCTION("VLOOKUP(C1402,IMPORTRANGE(""https://docs.google.com/spreadsheets/d/1ihFlp3_ePlYtFuPbUNbYj1muErVpI73WHXbEwJDIA7Q/edit#gid=1493122344"",""MTR!C:O""),8,false)"),"Complies")</f>
        <v>Complies</v>
      </c>
      <c r="O1402" s="241" t="str">
        <f>IFERROR(__xludf.DUMMYFUNCTION("VLOOKUP(C1402,IMPORTRANGE(""https://docs.google.com/spreadsheets/d/1P8eX0NWBhUPS_hvzA11R6jkTNFrPrRYIx_dX_hYbxrk/edit?resourcekey=0-iw9bsKY2OqkUHCFMkCar3A&amp;gid=2055363397#gid=2055363397"",""MTR!C:O""),9,false)"),"")</f>
        <v/>
      </c>
      <c r="P1402" s="241"/>
      <c r="Q1402" s="251" t="s">
        <v>445</v>
      </c>
      <c r="R1402" s="241"/>
      <c r="S1402" s="154" t="s">
        <v>60</v>
      </c>
      <c r="T1402" s="154" t="s">
        <v>60</v>
      </c>
      <c r="U1402" s="154" t="s">
        <v>60</v>
      </c>
      <c r="V1402" s="154" t="s">
        <v>60</v>
      </c>
      <c r="W1402" s="154" t="s">
        <v>60</v>
      </c>
      <c r="X1402" s="154" t="s">
        <v>60</v>
      </c>
      <c r="Y1402" s="154" t="s">
        <v>60</v>
      </c>
      <c r="Z1402" s="154" t="s">
        <v>60</v>
      </c>
      <c r="AA1402" s="154" t="s">
        <v>60</v>
      </c>
      <c r="AB1402" s="154"/>
      <c r="AC1402" s="242" t="b">
        <f t="shared" si="2"/>
        <v>1</v>
      </c>
      <c r="AD1402" s="154" t="s">
        <v>391</v>
      </c>
      <c r="AE1402" s="243" t="b">
        <f t="shared" si="3"/>
        <v>0</v>
      </c>
      <c r="AF1402" s="154"/>
      <c r="AG1402" s="243" t="b">
        <f t="shared" si="7"/>
        <v>0</v>
      </c>
      <c r="AH1402" s="154"/>
      <c r="AI1402" s="243" t="str">
        <f t="shared" si="5"/>
        <v>N/A</v>
      </c>
      <c r="AJ1402" s="157" t="str">
        <f t="shared" si="6"/>
        <v/>
      </c>
    </row>
    <row r="1403" ht="12.75" customHeight="1">
      <c r="A1403" s="238" t="s">
        <v>3601</v>
      </c>
      <c r="B1403" s="238" t="s">
        <v>3604</v>
      </c>
      <c r="C1403" s="238" t="s">
        <v>3720</v>
      </c>
      <c r="D1403" s="238"/>
      <c r="E1403" s="238"/>
      <c r="F1403" s="154" t="str">
        <f t="array" ref="F1403">XLOOKUP(Cover!$D$12,$S$1:$AA$1,$S1403:$AA1403)</f>
        <v>Heading</v>
      </c>
      <c r="G1403" s="239" t="s">
        <v>3721</v>
      </c>
      <c r="H1403" s="240"/>
      <c r="I1403" s="240" t="s">
        <v>420</v>
      </c>
      <c r="J1403" s="240"/>
      <c r="K1403" s="240"/>
      <c r="L1403" s="154" t="str">
        <f t="shared" si="1"/>
        <v/>
      </c>
      <c r="M1403" s="241" t="str">
        <f>IFERROR(__xludf.DUMMYFUNCTION("VLOOKUP(C1403,IMPORTRANGE(""https://docs.google.com/spreadsheets/d/1P8eX0NWBhUPS_hvzA11R6jkTNFrPrRYIx_dX_hYbxrk/edit?resourcekey=0-iw9bsKY2OqkUHCFMkCar3A&amp;gid=2055363397#gid=2055363397"",""MTR!C:O""),11,false)"),"")</f>
        <v/>
      </c>
      <c r="N1403" s="241" t="str">
        <f>IFERROR(__xludf.DUMMYFUNCTION("VLOOKUP(C1403,IMPORTRANGE(""https://docs.google.com/spreadsheets/d/1ihFlp3_ePlYtFuPbUNbYj1muErVpI73WHXbEwJDIA7Q/edit#gid=1493122344"",""MTR!C:O""),8,false)"),"")</f>
        <v/>
      </c>
      <c r="O1403" s="241" t="str">
        <f>IFERROR(__xludf.DUMMYFUNCTION("VLOOKUP(C1403,IMPORTRANGE(""https://docs.google.com/spreadsheets/d/1P8eX0NWBhUPS_hvzA11R6jkTNFrPrRYIx_dX_hYbxrk/edit?resourcekey=0-iw9bsKY2OqkUHCFMkCar3A&amp;gid=2055363397#gid=2055363397"",""MTR!C:O""),9,false)"),"")</f>
        <v/>
      </c>
      <c r="P1403" s="241"/>
      <c r="Q1403" s="251"/>
      <c r="R1403" s="241"/>
      <c r="S1403" s="240" t="s">
        <v>390</v>
      </c>
      <c r="T1403" s="240" t="s">
        <v>390</v>
      </c>
      <c r="U1403" s="240" t="s">
        <v>390</v>
      </c>
      <c r="V1403" s="240" t="s">
        <v>390</v>
      </c>
      <c r="W1403" s="240" t="s">
        <v>390</v>
      </c>
      <c r="X1403" s="240" t="s">
        <v>390</v>
      </c>
      <c r="Y1403" s="240" t="s">
        <v>390</v>
      </c>
      <c r="Z1403" s="240" t="s">
        <v>390</v>
      </c>
      <c r="AA1403" s="240" t="s">
        <v>390</v>
      </c>
      <c r="AB1403" s="240"/>
      <c r="AC1403" s="242" t="b">
        <f t="shared" si="2"/>
        <v>0</v>
      </c>
      <c r="AD1403" s="240" t="s">
        <v>391</v>
      </c>
      <c r="AE1403" s="243" t="b">
        <f t="shared" si="3"/>
        <v>0</v>
      </c>
      <c r="AF1403" s="240"/>
      <c r="AG1403" s="243" t="b">
        <f t="shared" si="7"/>
        <v>0</v>
      </c>
      <c r="AH1403" s="240"/>
      <c r="AI1403" s="243" t="str">
        <f t="shared" si="5"/>
        <v>N/A</v>
      </c>
      <c r="AJ1403" s="157" t="str">
        <f t="shared" si="6"/>
        <v/>
      </c>
    </row>
    <row r="1404" ht="12.75" customHeight="1">
      <c r="A1404" s="238" t="s">
        <v>3601</v>
      </c>
      <c r="B1404" s="238" t="s">
        <v>3604</v>
      </c>
      <c r="C1404" s="238" t="s">
        <v>3722</v>
      </c>
      <c r="D1404" s="238"/>
      <c r="E1404" s="238"/>
      <c r="F1404" s="154" t="str">
        <f t="array" ref="F1404">XLOOKUP(Cover!$D$12,$S$1:$AA$1,$S1404:$AA1404)</f>
        <v>Heading</v>
      </c>
      <c r="G1404" s="239" t="s">
        <v>3723</v>
      </c>
      <c r="H1404" s="240"/>
      <c r="I1404" s="240" t="s">
        <v>420</v>
      </c>
      <c r="J1404" s="240"/>
      <c r="K1404" s="240"/>
      <c r="L1404" s="154" t="str">
        <f t="shared" si="1"/>
        <v/>
      </c>
      <c r="M1404" s="241" t="str">
        <f>IFERROR(__xludf.DUMMYFUNCTION("VLOOKUP(C1404,IMPORTRANGE(""https://docs.google.com/spreadsheets/d/1P8eX0NWBhUPS_hvzA11R6jkTNFrPrRYIx_dX_hYbxrk/edit?resourcekey=0-iw9bsKY2OqkUHCFMkCar3A&amp;gid=2055363397#gid=2055363397"",""MTR!C:O""),11,false)"),"")</f>
        <v/>
      </c>
      <c r="N1404" s="241" t="str">
        <f>IFERROR(__xludf.DUMMYFUNCTION("VLOOKUP(C1404,IMPORTRANGE(""https://docs.google.com/spreadsheets/d/1ihFlp3_ePlYtFuPbUNbYj1muErVpI73WHXbEwJDIA7Q/edit#gid=1493122344"",""MTR!C:O""),8,false)"),"")</f>
        <v/>
      </c>
      <c r="O1404" s="241" t="str">
        <f>IFERROR(__xludf.DUMMYFUNCTION("VLOOKUP(C1404,IMPORTRANGE(""https://docs.google.com/spreadsheets/d/1P8eX0NWBhUPS_hvzA11R6jkTNFrPrRYIx_dX_hYbxrk/edit?resourcekey=0-iw9bsKY2OqkUHCFMkCar3A&amp;gid=2055363397#gid=2055363397"",""MTR!C:O""),9,false)"),"")</f>
        <v/>
      </c>
      <c r="P1404" s="241"/>
      <c r="Q1404" s="241"/>
      <c r="R1404" s="241"/>
      <c r="S1404" s="240" t="s">
        <v>390</v>
      </c>
      <c r="T1404" s="240" t="s">
        <v>390</v>
      </c>
      <c r="U1404" s="240" t="s">
        <v>390</v>
      </c>
      <c r="V1404" s="240" t="s">
        <v>390</v>
      </c>
      <c r="W1404" s="240" t="s">
        <v>390</v>
      </c>
      <c r="X1404" s="240" t="s">
        <v>390</v>
      </c>
      <c r="Y1404" s="240" t="s">
        <v>390</v>
      </c>
      <c r="Z1404" s="240" t="s">
        <v>390</v>
      </c>
      <c r="AA1404" s="240" t="s">
        <v>390</v>
      </c>
      <c r="AB1404" s="240"/>
      <c r="AC1404" s="242" t="b">
        <f t="shared" si="2"/>
        <v>0</v>
      </c>
      <c r="AD1404" s="240" t="s">
        <v>391</v>
      </c>
      <c r="AE1404" s="243" t="b">
        <f t="shared" si="3"/>
        <v>0</v>
      </c>
      <c r="AF1404" s="240"/>
      <c r="AG1404" s="243" t="b">
        <f t="shared" si="7"/>
        <v>0</v>
      </c>
      <c r="AH1404" s="240"/>
      <c r="AI1404" s="243" t="str">
        <f t="shared" si="5"/>
        <v>N/A</v>
      </c>
      <c r="AJ1404" s="157" t="str">
        <f t="shared" si="6"/>
        <v/>
      </c>
    </row>
    <row r="1405" ht="12.75" customHeight="1">
      <c r="A1405" s="244" t="s">
        <v>3601</v>
      </c>
      <c r="B1405" s="244" t="s">
        <v>3604</v>
      </c>
      <c r="C1405" s="244" t="s">
        <v>3724</v>
      </c>
      <c r="D1405" s="154" t="s">
        <v>2476</v>
      </c>
      <c r="E1405" s="250"/>
      <c r="F1405" s="154" t="str">
        <f t="array" ref="F1405">XLOOKUP(Cover!$D$12,$S$1:$AA$1,$S1405:$AA1405)</f>
        <v>Mandatory</v>
      </c>
      <c r="G1405" s="154" t="s">
        <v>3725</v>
      </c>
      <c r="H1405" s="154" t="s">
        <v>398</v>
      </c>
      <c r="I1405" s="154" t="s">
        <v>479</v>
      </c>
      <c r="J1405" s="247" t="s">
        <v>617</v>
      </c>
      <c r="K1405" s="247" t="s">
        <v>3726</v>
      </c>
      <c r="L1405" s="154" t="str">
        <f t="shared" si="1"/>
        <v/>
      </c>
      <c r="M1405" s="248" t="str">
        <f>IFERROR(__xludf.DUMMYFUNCTION("VLOOKUP(C1405,IMPORTRANGE(""https://docs.google.com/spreadsheets/d/1P8eX0NWBhUPS_hvzA11R6jkTNFrPrRYIx_dX_hYbxrk/edit?resourcekey=0-iw9bsKY2OqkUHCFMkCar3A&amp;gid=2055363397#gid=2055363397"",""MTR!C:O""),11,false)"),"TAM")</f>
        <v>TAM</v>
      </c>
      <c r="N1405" s="248" t="str">
        <f>IFERROR(__xludf.DUMMYFUNCTION("VLOOKUP(C1405,IMPORTRANGE(""https://docs.google.com/spreadsheets/d/1ihFlp3_ePlYtFuPbUNbYj1muErVpI73WHXbEwJDIA7Q/edit#gid=1493122344"",""MTR!C:O""),8,false)"),"Not Applicable")</f>
        <v>Not Applicable</v>
      </c>
      <c r="O1405" s="241" t="str">
        <f>IFERROR(__xludf.DUMMYFUNCTION("VLOOKUP(C1405,IMPORTRANGE(""https://docs.google.com/spreadsheets/d/1P8eX0NWBhUPS_hvzA11R6jkTNFrPrRYIx_dX_hYbxrk/edit?resourcekey=0-iw9bsKY2OqkUHCFMkCar3A&amp;gid=2055363397#gid=2055363397"",""MTR!C:O""),9,false)"),"")</f>
        <v/>
      </c>
      <c r="P1405" s="241"/>
      <c r="Q1405" s="251" t="s">
        <v>617</v>
      </c>
      <c r="R1405" s="251" t="s">
        <v>3726</v>
      </c>
      <c r="S1405" s="154" t="s">
        <v>68</v>
      </c>
      <c r="T1405" s="154" t="s">
        <v>60</v>
      </c>
      <c r="U1405" s="154" t="s">
        <v>60</v>
      </c>
      <c r="V1405" s="154" t="s">
        <v>60</v>
      </c>
      <c r="W1405" s="154" t="s">
        <v>60</v>
      </c>
      <c r="X1405" s="154" t="s">
        <v>60</v>
      </c>
      <c r="Y1405" s="154" t="s">
        <v>60</v>
      </c>
      <c r="Z1405" s="154" t="s">
        <v>60</v>
      </c>
      <c r="AA1405" s="154" t="s">
        <v>60</v>
      </c>
      <c r="AB1405" s="154"/>
      <c r="AC1405" s="242" t="b">
        <f t="shared" si="2"/>
        <v>1</v>
      </c>
      <c r="AD1405" s="154" t="s">
        <v>391</v>
      </c>
      <c r="AE1405" s="243" t="b">
        <f t="shared" si="3"/>
        <v>0</v>
      </c>
      <c r="AF1405" s="154"/>
      <c r="AG1405" s="243" t="b">
        <f t="shared" si="7"/>
        <v>0</v>
      </c>
      <c r="AH1405" s="154"/>
      <c r="AI1405" s="243" t="str">
        <f t="shared" si="5"/>
        <v>N/A</v>
      </c>
      <c r="AJ1405" s="157" t="str">
        <f t="shared" si="6"/>
        <v/>
      </c>
    </row>
    <row r="1406" ht="12.75" customHeight="1">
      <c r="A1406" s="244" t="s">
        <v>3601</v>
      </c>
      <c r="B1406" s="244" t="s">
        <v>3604</v>
      </c>
      <c r="C1406" s="244" t="s">
        <v>3727</v>
      </c>
      <c r="D1406" s="154" t="s">
        <v>492</v>
      </c>
      <c r="E1406" s="250"/>
      <c r="F1406" s="154" t="str">
        <f t="array" ref="F1406">XLOOKUP(Cover!$D$12,$S$1:$AA$1,$S1406:$AA1406)</f>
        <v>Mandatory</v>
      </c>
      <c r="G1406" s="154" t="s">
        <v>3728</v>
      </c>
      <c r="H1406" s="154" t="s">
        <v>398</v>
      </c>
      <c r="I1406" s="154" t="s">
        <v>479</v>
      </c>
      <c r="J1406" s="247" t="s">
        <v>516</v>
      </c>
      <c r="K1406" s="247" t="s">
        <v>3729</v>
      </c>
      <c r="L1406" s="154" t="str">
        <f t="shared" si="1"/>
        <v/>
      </c>
      <c r="M1406" s="248" t="str">
        <f>IFERROR(__xludf.DUMMYFUNCTION("VLOOKUP(C1406,IMPORTRANGE(""https://docs.google.com/spreadsheets/d/1P8eX0NWBhUPS_hvzA11R6jkTNFrPrRYIx_dX_hYbxrk/edit?resourcekey=0-iw9bsKY2OqkUHCFMkCar3A&amp;gid=2055363397#gid=2055363397"",""MTR!C:O""),11,false)"),"TAM")</f>
        <v>TAM</v>
      </c>
      <c r="N1406" s="248" t="str">
        <f>IFERROR(__xludf.DUMMYFUNCTION("VLOOKUP(C1406,IMPORTRANGE(""https://docs.google.com/spreadsheets/d/1ihFlp3_ePlYtFuPbUNbYj1muErVpI73WHXbEwJDIA7Q/edit#gid=1493122344"",""MTR!C:O""),8,false)"),"Does Not Comply")</f>
        <v>Does Not Comply</v>
      </c>
      <c r="O1406" s="248" t="str">
        <f>IFERROR(__xludf.DUMMYFUNCTION("VLOOKUP(C1406,IMPORTRANGE(""https://docs.google.com/spreadsheets/d/1P8eX0NWBhUPS_hvzA11R6jkTNFrPrRYIx_dX_hYbxrk/edit?resourcekey=0-iw9bsKY2OqkUHCFMkCar3A&amp;gid=2055363397#gid=2055363397"",""MTR!C:O""),9,false)"),"Only support one application with PAI")</f>
        <v>Only support one application with PAI</v>
      </c>
      <c r="P1406" s="248"/>
      <c r="Q1406" s="249" t="s">
        <v>516</v>
      </c>
      <c r="R1406" s="249" t="s">
        <v>3729</v>
      </c>
      <c r="S1406" s="154" t="s">
        <v>68</v>
      </c>
      <c r="T1406" s="154" t="s">
        <v>60</v>
      </c>
      <c r="U1406" s="154" t="s">
        <v>60</v>
      </c>
      <c r="V1406" s="154" t="s">
        <v>60</v>
      </c>
      <c r="W1406" s="154" t="s">
        <v>60</v>
      </c>
      <c r="X1406" s="154" t="s">
        <v>60</v>
      </c>
      <c r="Y1406" s="154" t="s">
        <v>60</v>
      </c>
      <c r="Z1406" s="154" t="s">
        <v>60</v>
      </c>
      <c r="AA1406" s="154" t="s">
        <v>60</v>
      </c>
      <c r="AB1406" s="154"/>
      <c r="AC1406" s="242" t="b">
        <f t="shared" si="2"/>
        <v>1</v>
      </c>
      <c r="AD1406" s="154" t="s">
        <v>391</v>
      </c>
      <c r="AE1406" s="243" t="b">
        <f t="shared" si="3"/>
        <v>0</v>
      </c>
      <c r="AF1406" s="154"/>
      <c r="AG1406" s="243" t="b">
        <f t="shared" si="7"/>
        <v>0</v>
      </c>
      <c r="AH1406" s="154"/>
      <c r="AI1406" s="243" t="str">
        <f t="shared" si="5"/>
        <v>N/A</v>
      </c>
      <c r="AJ1406" s="157" t="str">
        <f t="shared" si="6"/>
        <v/>
      </c>
    </row>
    <row r="1407" ht="12.75" customHeight="1">
      <c r="A1407" s="244" t="s">
        <v>3601</v>
      </c>
      <c r="B1407" s="244" t="s">
        <v>3604</v>
      </c>
      <c r="C1407" s="244" t="s">
        <v>3730</v>
      </c>
      <c r="D1407" s="154" t="s">
        <v>602</v>
      </c>
      <c r="E1407" s="250"/>
      <c r="F1407" s="154" t="str">
        <f t="array" ref="F1407">XLOOKUP(Cover!$D$12,$S$1:$AA$1,$S1407:$AA1407)</f>
        <v>Recommended</v>
      </c>
      <c r="G1407" s="154" t="s">
        <v>3731</v>
      </c>
      <c r="H1407" s="154"/>
      <c r="I1407" s="154" t="s">
        <v>479</v>
      </c>
      <c r="J1407" s="247" t="s">
        <v>516</v>
      </c>
      <c r="K1407" s="247" t="s">
        <v>3729</v>
      </c>
      <c r="L1407" s="154" t="str">
        <f t="shared" si="1"/>
        <v/>
      </c>
      <c r="M1407" s="248" t="str">
        <f>IFERROR(__xludf.DUMMYFUNCTION("VLOOKUP(C1407,IMPORTRANGE(""https://docs.google.com/spreadsheets/d/1P8eX0NWBhUPS_hvzA11R6jkTNFrPrRYIx_dX_hYbxrk/edit?resourcekey=0-iw9bsKY2OqkUHCFMkCar3A&amp;gid=2055363397#gid=2055363397"",""MTR!C:O""),11,false)"),"TAM")</f>
        <v>TAM</v>
      </c>
      <c r="N1407" s="248" t="str">
        <f>IFERROR(__xludf.DUMMYFUNCTION("VLOOKUP(C1407,IMPORTRANGE(""https://docs.google.com/spreadsheets/d/1ihFlp3_ePlYtFuPbUNbYj1muErVpI73WHXbEwJDIA7Q/edit#gid=1493122344"",""MTR!C:O""),8,false)"),"Does Not Comply")</f>
        <v>Does Not Comply</v>
      </c>
      <c r="O1407" s="248" t="str">
        <f>IFERROR(__xludf.DUMMYFUNCTION("VLOOKUP(C1407,IMPORTRANGE(""https://docs.google.com/spreadsheets/d/1P8eX0NWBhUPS_hvzA11R6jkTNFrPrRYIx_dX_hYbxrk/edit?resourcekey=0-iw9bsKY2OqkUHCFMkCar3A&amp;gid=2055363397#gid=2055363397"",""MTR!C:O""),9,false)"),"Only support one application with PAI")</f>
        <v>Only support one application with PAI</v>
      </c>
      <c r="P1407" s="248"/>
      <c r="Q1407" s="249" t="s">
        <v>516</v>
      </c>
      <c r="R1407" s="249" t="s">
        <v>3729</v>
      </c>
      <c r="S1407" s="154" t="s">
        <v>68</v>
      </c>
      <c r="T1407" s="154" t="s">
        <v>64</v>
      </c>
      <c r="U1407" s="154" t="s">
        <v>64</v>
      </c>
      <c r="V1407" s="154" t="s">
        <v>64</v>
      </c>
      <c r="W1407" s="154" t="s">
        <v>64</v>
      </c>
      <c r="X1407" s="154" t="s">
        <v>64</v>
      </c>
      <c r="Y1407" s="154" t="s">
        <v>64</v>
      </c>
      <c r="Z1407" s="154" t="s">
        <v>64</v>
      </c>
      <c r="AA1407" s="154" t="s">
        <v>64</v>
      </c>
      <c r="AB1407" s="154"/>
      <c r="AC1407" s="242" t="b">
        <f t="shared" si="2"/>
        <v>1</v>
      </c>
      <c r="AD1407" s="154" t="s">
        <v>391</v>
      </c>
      <c r="AE1407" s="243" t="b">
        <f t="shared" si="3"/>
        <v>0</v>
      </c>
      <c r="AF1407" s="154"/>
      <c r="AG1407" s="243" t="b">
        <f t="shared" si="7"/>
        <v>0</v>
      </c>
      <c r="AH1407" s="154"/>
      <c r="AI1407" s="243" t="str">
        <f t="shared" si="5"/>
        <v>N/A</v>
      </c>
      <c r="AJ1407" s="157" t="str">
        <f t="shared" si="6"/>
        <v/>
      </c>
    </row>
    <row r="1408" ht="12.75" customHeight="1">
      <c r="A1408" s="244" t="s">
        <v>3601</v>
      </c>
      <c r="B1408" s="244" t="s">
        <v>3604</v>
      </c>
      <c r="C1408" s="244" t="s">
        <v>3732</v>
      </c>
      <c r="D1408" s="154" t="s">
        <v>492</v>
      </c>
      <c r="E1408" s="250"/>
      <c r="F1408" s="154" t="str">
        <f t="array" ref="F1408">XLOOKUP(Cover!$D$12,$S$1:$AA$1,$S1408:$AA1408)</f>
        <v>Recommended</v>
      </c>
      <c r="G1408" s="154" t="s">
        <v>3733</v>
      </c>
      <c r="H1408" s="154"/>
      <c r="I1408" s="154" t="s">
        <v>479</v>
      </c>
      <c r="J1408" s="247" t="s">
        <v>445</v>
      </c>
      <c r="K1408" s="247"/>
      <c r="L1408" s="154" t="str">
        <f t="shared" si="1"/>
        <v/>
      </c>
      <c r="M1408" s="248" t="str">
        <f>IFERROR(__xludf.DUMMYFUNCTION("VLOOKUP(C1408,IMPORTRANGE(""https://docs.google.com/spreadsheets/d/1P8eX0NWBhUPS_hvzA11R6jkTNFrPrRYIx_dX_hYbxrk/edit?resourcekey=0-iw9bsKY2OqkUHCFMkCar3A&amp;gid=2055363397#gid=2055363397"",""MTR!C:O""),11,false)"),"TAM")</f>
        <v>TAM</v>
      </c>
      <c r="N1408" s="248" t="str">
        <f>IFERROR(__xludf.DUMMYFUNCTION("VLOOKUP(C1408,IMPORTRANGE(""https://docs.google.com/spreadsheets/d/1ihFlp3_ePlYtFuPbUNbYj1muErVpI73WHXbEwJDIA7Q/edit#gid=1493122344"",""MTR!C:O""),8,false)"),"Complies")</f>
        <v>Complies</v>
      </c>
      <c r="O1408" s="241" t="str">
        <f>IFERROR(__xludf.DUMMYFUNCTION("VLOOKUP(C1408,IMPORTRANGE(""https://docs.google.com/spreadsheets/d/1P8eX0NWBhUPS_hvzA11R6jkTNFrPrRYIx_dX_hYbxrk/edit?resourcekey=0-iw9bsKY2OqkUHCFMkCar3A&amp;gid=2055363397#gid=2055363397"",""MTR!C:O""),9,false)"),"")</f>
        <v/>
      </c>
      <c r="P1408" s="241"/>
      <c r="Q1408" s="251" t="s">
        <v>445</v>
      </c>
      <c r="R1408" s="251"/>
      <c r="S1408" s="154" t="s">
        <v>68</v>
      </c>
      <c r="T1408" s="154" t="s">
        <v>64</v>
      </c>
      <c r="U1408" s="154" t="s">
        <v>64</v>
      </c>
      <c r="V1408" s="154" t="s">
        <v>64</v>
      </c>
      <c r="W1408" s="154" t="s">
        <v>64</v>
      </c>
      <c r="X1408" s="154" t="s">
        <v>64</v>
      </c>
      <c r="Y1408" s="154" t="s">
        <v>64</v>
      </c>
      <c r="Z1408" s="154" t="s">
        <v>64</v>
      </c>
      <c r="AA1408" s="154" t="s">
        <v>64</v>
      </c>
      <c r="AB1408" s="154"/>
      <c r="AC1408" s="242" t="b">
        <f t="shared" si="2"/>
        <v>1</v>
      </c>
      <c r="AD1408" s="154" t="s">
        <v>391</v>
      </c>
      <c r="AE1408" s="243" t="b">
        <f t="shared" si="3"/>
        <v>0</v>
      </c>
      <c r="AF1408" s="154"/>
      <c r="AG1408" s="243" t="b">
        <f t="shared" si="7"/>
        <v>0</v>
      </c>
      <c r="AH1408" s="154"/>
      <c r="AI1408" s="243" t="str">
        <f t="shared" si="5"/>
        <v>N/A</v>
      </c>
      <c r="AJ1408" s="157" t="str">
        <f t="shared" si="6"/>
        <v/>
      </c>
    </row>
    <row r="1409" ht="12.75" customHeight="1">
      <c r="A1409" s="244" t="s">
        <v>3601</v>
      </c>
      <c r="B1409" s="244" t="s">
        <v>3604</v>
      </c>
      <c r="C1409" s="244" t="s">
        <v>3734</v>
      </c>
      <c r="D1409" s="154" t="s">
        <v>492</v>
      </c>
      <c r="E1409" s="250"/>
      <c r="F1409" s="154" t="str">
        <f t="array" ref="F1409">XLOOKUP(Cover!$D$12,$S$1:$AA$1,$S1409:$AA1409)</f>
        <v>Mandatory</v>
      </c>
      <c r="G1409" s="154" t="s">
        <v>3735</v>
      </c>
      <c r="H1409" s="154" t="s">
        <v>398</v>
      </c>
      <c r="I1409" s="154" t="s">
        <v>479</v>
      </c>
      <c r="J1409" s="247" t="s">
        <v>445</v>
      </c>
      <c r="K1409" s="154"/>
      <c r="L1409" s="154" t="str">
        <f t="shared" si="1"/>
        <v/>
      </c>
      <c r="M1409" s="248" t="str">
        <f>IFERROR(__xludf.DUMMYFUNCTION("VLOOKUP(C1409,IMPORTRANGE(""https://docs.google.com/spreadsheets/d/1P8eX0NWBhUPS_hvzA11R6jkTNFrPrRYIx_dX_hYbxrk/edit?resourcekey=0-iw9bsKY2OqkUHCFMkCar3A&amp;gid=2055363397#gid=2055363397"",""MTR!C:O""),11,false)"),"TAM")</f>
        <v>TAM</v>
      </c>
      <c r="N1409" s="248" t="str">
        <f>IFERROR(__xludf.DUMMYFUNCTION("VLOOKUP(C1409,IMPORTRANGE(""https://docs.google.com/spreadsheets/d/1ihFlp3_ePlYtFuPbUNbYj1muErVpI73WHXbEwJDIA7Q/edit#gid=1493122344"",""MTR!C:O""),8,false)"),"Complies")</f>
        <v>Complies</v>
      </c>
      <c r="O1409" s="241" t="str">
        <f>IFERROR(__xludf.DUMMYFUNCTION("VLOOKUP(C1409,IMPORTRANGE(""https://docs.google.com/spreadsheets/d/1P8eX0NWBhUPS_hvzA11R6jkTNFrPrRYIx_dX_hYbxrk/edit?resourcekey=0-iw9bsKY2OqkUHCFMkCar3A&amp;gid=2055363397#gid=2055363397"",""MTR!C:O""),9,false)"),"")</f>
        <v/>
      </c>
      <c r="P1409" s="241"/>
      <c r="Q1409" s="251" t="s">
        <v>445</v>
      </c>
      <c r="R1409" s="241"/>
      <c r="S1409" s="154" t="s">
        <v>68</v>
      </c>
      <c r="T1409" s="154" t="s">
        <v>60</v>
      </c>
      <c r="U1409" s="154" t="s">
        <v>60</v>
      </c>
      <c r="V1409" s="154" t="s">
        <v>60</v>
      </c>
      <c r="W1409" s="154" t="s">
        <v>60</v>
      </c>
      <c r="X1409" s="154" t="s">
        <v>60</v>
      </c>
      <c r="Y1409" s="154" t="s">
        <v>60</v>
      </c>
      <c r="Z1409" s="154" t="s">
        <v>60</v>
      </c>
      <c r="AA1409" s="154" t="s">
        <v>60</v>
      </c>
      <c r="AB1409" s="154"/>
      <c r="AC1409" s="242" t="b">
        <f t="shared" si="2"/>
        <v>1</v>
      </c>
      <c r="AD1409" s="154" t="s">
        <v>391</v>
      </c>
      <c r="AE1409" s="243" t="b">
        <f t="shared" si="3"/>
        <v>0</v>
      </c>
      <c r="AF1409" s="154"/>
      <c r="AG1409" s="243" t="b">
        <f t="shared" si="7"/>
        <v>0</v>
      </c>
      <c r="AH1409" s="154"/>
      <c r="AI1409" s="243" t="str">
        <f t="shared" si="5"/>
        <v>N/A</v>
      </c>
      <c r="AJ1409" s="157" t="str">
        <f t="shared" si="6"/>
        <v/>
      </c>
    </row>
    <row r="1410" ht="12.75" customHeight="1">
      <c r="A1410" s="238" t="s">
        <v>3601</v>
      </c>
      <c r="B1410" s="238" t="s">
        <v>3604</v>
      </c>
      <c r="C1410" s="238" t="s">
        <v>3736</v>
      </c>
      <c r="D1410" s="238"/>
      <c r="E1410" s="238"/>
      <c r="F1410" s="154" t="str">
        <f t="array" ref="F1410">XLOOKUP(Cover!$D$12,$S$1:$AA$1,$S1410:$AA1410)</f>
        <v>Heading</v>
      </c>
      <c r="G1410" s="239" t="s">
        <v>3737</v>
      </c>
      <c r="H1410" s="240"/>
      <c r="I1410" s="240" t="s">
        <v>420</v>
      </c>
      <c r="J1410" s="262"/>
      <c r="K1410" s="240"/>
      <c r="L1410" s="154" t="str">
        <f t="shared" si="1"/>
        <v/>
      </c>
      <c r="M1410" s="241" t="str">
        <f>IFERROR(__xludf.DUMMYFUNCTION("VLOOKUP(C1410,IMPORTRANGE(""https://docs.google.com/spreadsheets/d/1P8eX0NWBhUPS_hvzA11R6jkTNFrPrRYIx_dX_hYbxrk/edit?resourcekey=0-iw9bsKY2OqkUHCFMkCar3A&amp;gid=2055363397#gid=2055363397"",""MTR!C:O""),11,false)"),"")</f>
        <v/>
      </c>
      <c r="N1410" s="241" t="str">
        <f>IFERROR(__xludf.DUMMYFUNCTION("VLOOKUP(C1410,IMPORTRANGE(""https://docs.google.com/spreadsheets/d/1ihFlp3_ePlYtFuPbUNbYj1muErVpI73WHXbEwJDIA7Q/edit#gid=1493122344"",""MTR!C:O""),8,false)"),"")</f>
        <v/>
      </c>
      <c r="O1410" s="241" t="str">
        <f>IFERROR(__xludf.DUMMYFUNCTION("VLOOKUP(C1410,IMPORTRANGE(""https://docs.google.com/spreadsheets/d/1P8eX0NWBhUPS_hvzA11R6jkTNFrPrRYIx_dX_hYbxrk/edit?resourcekey=0-iw9bsKY2OqkUHCFMkCar3A&amp;gid=2055363397#gid=2055363397"",""MTR!C:O""),9,false)"),"")</f>
        <v/>
      </c>
      <c r="P1410" s="241"/>
      <c r="Q1410" s="251"/>
      <c r="R1410" s="241"/>
      <c r="S1410" s="240" t="s">
        <v>390</v>
      </c>
      <c r="T1410" s="240" t="s">
        <v>390</v>
      </c>
      <c r="U1410" s="240" t="s">
        <v>390</v>
      </c>
      <c r="V1410" s="240" t="s">
        <v>390</v>
      </c>
      <c r="W1410" s="240" t="s">
        <v>390</v>
      </c>
      <c r="X1410" s="240" t="s">
        <v>390</v>
      </c>
      <c r="Y1410" s="240" t="s">
        <v>390</v>
      </c>
      <c r="Z1410" s="240" t="s">
        <v>390</v>
      </c>
      <c r="AA1410" s="240" t="s">
        <v>390</v>
      </c>
      <c r="AB1410" s="240"/>
      <c r="AC1410" s="242" t="b">
        <f t="shared" si="2"/>
        <v>0</v>
      </c>
      <c r="AD1410" s="240" t="s">
        <v>391</v>
      </c>
      <c r="AE1410" s="243" t="b">
        <f t="shared" si="3"/>
        <v>0</v>
      </c>
      <c r="AF1410" s="240"/>
      <c r="AG1410" s="243" t="b">
        <f t="shared" si="7"/>
        <v>0</v>
      </c>
      <c r="AH1410" s="240"/>
      <c r="AI1410" s="243" t="str">
        <f t="shared" si="5"/>
        <v>N/A</v>
      </c>
      <c r="AJ1410" s="157" t="str">
        <f t="shared" si="6"/>
        <v/>
      </c>
    </row>
    <row r="1411" ht="12.75" customHeight="1">
      <c r="A1411" s="244" t="s">
        <v>3601</v>
      </c>
      <c r="B1411" s="244" t="s">
        <v>3604</v>
      </c>
      <c r="C1411" s="244" t="s">
        <v>3738</v>
      </c>
      <c r="D1411" s="154" t="s">
        <v>459</v>
      </c>
      <c r="E1411" s="250"/>
      <c r="F1411" s="154" t="str">
        <f t="array" ref="F1411">XLOOKUP(Cover!$D$12,$S$1:$AA$1,$S1411:$AA1411)</f>
        <v>Mandatory</v>
      </c>
      <c r="G1411" s="154" t="s">
        <v>3739</v>
      </c>
      <c r="H1411" s="154" t="s">
        <v>398</v>
      </c>
      <c r="I1411" s="154" t="s">
        <v>479</v>
      </c>
      <c r="J1411" s="247" t="s">
        <v>516</v>
      </c>
      <c r="K1411" s="247" t="s">
        <v>3740</v>
      </c>
      <c r="L1411" s="154" t="str">
        <f t="shared" si="1"/>
        <v/>
      </c>
      <c r="M1411" s="248" t="str">
        <f>IFERROR(__xludf.DUMMYFUNCTION("VLOOKUP(C1411,IMPORTRANGE(""https://docs.google.com/spreadsheets/d/1P8eX0NWBhUPS_hvzA11R6jkTNFrPrRYIx_dX_hYbxrk/edit?resourcekey=0-iw9bsKY2OqkUHCFMkCar3A&amp;gid=2055363397#gid=2055363397"",""MTR!C:O""),11,false)"),"TAM")</f>
        <v>TAM</v>
      </c>
      <c r="N1411" s="248" t="str">
        <f>IFERROR(__xludf.DUMMYFUNCTION("VLOOKUP(C1411,IMPORTRANGE(""https://docs.google.com/spreadsheets/d/1ihFlp3_ePlYtFuPbUNbYj1muErVpI73WHXbEwJDIA7Q/edit#gid=1493122344"",""MTR!C:O""),8,false)"),"Does Not Comply")</f>
        <v>Does Not Comply</v>
      </c>
      <c r="O1411" s="248" t="str">
        <f>IFERROR(__xludf.DUMMYFUNCTION("VLOOKUP(C1411,IMPORTRANGE(""https://docs.google.com/spreadsheets/d/1P8eX0NWBhUPS_hvzA11R6jkTNFrPrRYIx_dX_hYbxrk/edit?resourcekey=0-iw9bsKY2OqkUHCFMkCar3A&amp;gid=2055363397#gid=2055363397"",""MTR!C:O""),9,false)"),"Sort in Alphabetical order")</f>
        <v>Sort in Alphabetical order</v>
      </c>
      <c r="P1411" s="248"/>
      <c r="Q1411" s="249" t="s">
        <v>516</v>
      </c>
      <c r="R1411" s="249" t="s">
        <v>3740</v>
      </c>
      <c r="S1411" s="154" t="s">
        <v>68</v>
      </c>
      <c r="T1411" s="154" t="s">
        <v>60</v>
      </c>
      <c r="U1411" s="154" t="s">
        <v>60</v>
      </c>
      <c r="V1411" s="154" t="s">
        <v>60</v>
      </c>
      <c r="W1411" s="154" t="s">
        <v>60</v>
      </c>
      <c r="X1411" s="154" t="s">
        <v>60</v>
      </c>
      <c r="Y1411" s="154" t="s">
        <v>60</v>
      </c>
      <c r="Z1411" s="154" t="s">
        <v>60</v>
      </c>
      <c r="AA1411" s="154" t="s">
        <v>60</v>
      </c>
      <c r="AB1411" s="154"/>
      <c r="AC1411" s="242" t="b">
        <f t="shared" si="2"/>
        <v>1</v>
      </c>
      <c r="AD1411" s="154" t="s">
        <v>391</v>
      </c>
      <c r="AE1411" s="243" t="b">
        <f t="shared" si="3"/>
        <v>0</v>
      </c>
      <c r="AF1411" s="154"/>
      <c r="AG1411" s="243" t="b">
        <f t="shared" si="7"/>
        <v>0</v>
      </c>
      <c r="AH1411" s="154"/>
      <c r="AI1411" s="243" t="str">
        <f t="shared" si="5"/>
        <v>N/A</v>
      </c>
      <c r="AJ1411" s="157" t="str">
        <f t="shared" si="6"/>
        <v/>
      </c>
    </row>
    <row r="1412" ht="12.75" customHeight="1">
      <c r="A1412" s="244" t="s">
        <v>3601</v>
      </c>
      <c r="B1412" s="244" t="s">
        <v>3604</v>
      </c>
      <c r="C1412" s="244" t="s">
        <v>3741</v>
      </c>
      <c r="D1412" s="154" t="s">
        <v>542</v>
      </c>
      <c r="E1412" s="250"/>
      <c r="F1412" s="154" t="str">
        <f t="array" ref="F1412">XLOOKUP(Cover!$D$12,$S$1:$AA$1,$S1412:$AA1412)</f>
        <v>Mandatory</v>
      </c>
      <c r="G1412" s="154" t="s">
        <v>3742</v>
      </c>
      <c r="H1412" s="154" t="s">
        <v>398</v>
      </c>
      <c r="I1412" s="154" t="s">
        <v>479</v>
      </c>
      <c r="J1412" s="247" t="s">
        <v>445</v>
      </c>
      <c r="K1412" s="247"/>
      <c r="L1412" s="154" t="str">
        <f t="shared" si="1"/>
        <v/>
      </c>
      <c r="M1412" s="248" t="str">
        <f>IFERROR(__xludf.DUMMYFUNCTION("VLOOKUP(C1412,IMPORTRANGE(""https://docs.google.com/spreadsheets/d/1P8eX0NWBhUPS_hvzA11R6jkTNFrPrRYIx_dX_hYbxrk/edit?resourcekey=0-iw9bsKY2OqkUHCFMkCar3A&amp;gid=2055363397#gid=2055363397"",""MTR!C:O""),11,false)"),"TAM")</f>
        <v>TAM</v>
      </c>
      <c r="N1412" s="248" t="str">
        <f>IFERROR(__xludf.DUMMYFUNCTION("VLOOKUP(C1412,IMPORTRANGE(""https://docs.google.com/spreadsheets/d/1ihFlp3_ePlYtFuPbUNbYj1muErVpI73WHXbEwJDIA7Q/edit#gid=1493122344"",""MTR!C:O""),8,false)"),"Complies")</f>
        <v>Complies</v>
      </c>
      <c r="O1412" s="241" t="str">
        <f>IFERROR(__xludf.DUMMYFUNCTION("VLOOKUP(C1412,IMPORTRANGE(""https://docs.google.com/spreadsheets/d/1P8eX0NWBhUPS_hvzA11R6jkTNFrPrRYIx_dX_hYbxrk/edit?resourcekey=0-iw9bsKY2OqkUHCFMkCar3A&amp;gid=2055363397#gid=2055363397"",""MTR!C:O""),9,false)"),"")</f>
        <v/>
      </c>
      <c r="P1412" s="241"/>
      <c r="Q1412" s="251" t="s">
        <v>445</v>
      </c>
      <c r="R1412" s="251"/>
      <c r="S1412" s="154" t="s">
        <v>68</v>
      </c>
      <c r="T1412" s="154" t="s">
        <v>60</v>
      </c>
      <c r="U1412" s="154" t="s">
        <v>60</v>
      </c>
      <c r="V1412" s="154" t="s">
        <v>60</v>
      </c>
      <c r="W1412" s="154" t="s">
        <v>60</v>
      </c>
      <c r="X1412" s="154" t="s">
        <v>60</v>
      </c>
      <c r="Y1412" s="154" t="s">
        <v>60</v>
      </c>
      <c r="Z1412" s="154" t="s">
        <v>60</v>
      </c>
      <c r="AA1412" s="154" t="s">
        <v>60</v>
      </c>
      <c r="AB1412" s="154"/>
      <c r="AC1412" s="242" t="b">
        <f t="shared" si="2"/>
        <v>1</v>
      </c>
      <c r="AD1412" s="154" t="s">
        <v>391</v>
      </c>
      <c r="AE1412" s="243" t="b">
        <f t="shared" si="3"/>
        <v>0</v>
      </c>
      <c r="AF1412" s="154"/>
      <c r="AG1412" s="243" t="b">
        <f t="shared" si="7"/>
        <v>0</v>
      </c>
      <c r="AH1412" s="154"/>
      <c r="AI1412" s="243" t="str">
        <f t="shared" si="5"/>
        <v>N/A</v>
      </c>
      <c r="AJ1412" s="157" t="str">
        <f t="shared" si="6"/>
        <v/>
      </c>
    </row>
    <row r="1413" ht="12.75" customHeight="1">
      <c r="A1413" s="244" t="s">
        <v>3601</v>
      </c>
      <c r="B1413" s="244" t="s">
        <v>3604</v>
      </c>
      <c r="C1413" s="244" t="s">
        <v>3743</v>
      </c>
      <c r="D1413" s="154" t="s">
        <v>406</v>
      </c>
      <c r="E1413" s="250"/>
      <c r="F1413" s="154" t="str">
        <f t="array" ref="F1413">XLOOKUP(Cover!$D$12,$S$1:$AA$1,$S1413:$AA1413)</f>
        <v>Mandatory</v>
      </c>
      <c r="G1413" s="154" t="s">
        <v>3744</v>
      </c>
      <c r="H1413" s="154" t="s">
        <v>398</v>
      </c>
      <c r="I1413" s="154" t="s">
        <v>479</v>
      </c>
      <c r="J1413" s="247" t="s">
        <v>445</v>
      </c>
      <c r="K1413" s="247" t="s">
        <v>3745</v>
      </c>
      <c r="L1413" s="154" t="str">
        <f t="shared" si="1"/>
        <v/>
      </c>
      <c r="M1413" s="248" t="str">
        <f>IFERROR(__xludf.DUMMYFUNCTION("VLOOKUP(C1413,IMPORTRANGE(""https://docs.google.com/spreadsheets/d/1P8eX0NWBhUPS_hvzA11R6jkTNFrPrRYIx_dX_hYbxrk/edit?resourcekey=0-iw9bsKY2OqkUHCFMkCar3A&amp;gid=2055363397#gid=2055363397"",""MTR!C:O""),11,false)"),"TAM")</f>
        <v>TAM</v>
      </c>
      <c r="N1413" s="248" t="str">
        <f>IFERROR(__xludf.DUMMYFUNCTION("VLOOKUP(C1413,IMPORTRANGE(""https://docs.google.com/spreadsheets/d/1ihFlp3_ePlYtFuPbUNbYj1muErVpI73WHXbEwJDIA7Q/edit#gid=1493122344"",""MTR!C:O""),8,false)"),"Complies")</f>
        <v>Complies</v>
      </c>
      <c r="O1413" s="248" t="str">
        <f>IFERROR(__xludf.DUMMYFUNCTION("VLOOKUP(C1413,IMPORTRANGE(""https://docs.google.com/spreadsheets/d/1P8eX0NWBhUPS_hvzA11R6jkTNFrPrRYIx_dX_hYbxrk/edit?resourcekey=0-iw9bsKY2OqkUHCFMkCar3A&amp;gid=2055363397#gid=2055363397"",""MTR!C:O""),9,false)"),"SIMAT shown in app tray")</f>
        <v>SIMAT shown in app tray</v>
      </c>
      <c r="P1413" s="248"/>
      <c r="Q1413" s="249" t="s">
        <v>445</v>
      </c>
      <c r="R1413" s="249" t="s">
        <v>3745</v>
      </c>
      <c r="S1413" s="154" t="s">
        <v>68</v>
      </c>
      <c r="T1413" s="154" t="s">
        <v>60</v>
      </c>
      <c r="U1413" s="154" t="s">
        <v>60</v>
      </c>
      <c r="V1413" s="154" t="s">
        <v>60</v>
      </c>
      <c r="W1413" s="154" t="s">
        <v>60</v>
      </c>
      <c r="X1413" s="154" t="s">
        <v>60</v>
      </c>
      <c r="Y1413" s="154" t="s">
        <v>60</v>
      </c>
      <c r="Z1413" s="154" t="s">
        <v>60</v>
      </c>
      <c r="AA1413" s="154" t="s">
        <v>60</v>
      </c>
      <c r="AB1413" s="154"/>
      <c r="AC1413" s="242" t="b">
        <f t="shared" si="2"/>
        <v>1</v>
      </c>
      <c r="AD1413" s="154" t="s">
        <v>391</v>
      </c>
      <c r="AE1413" s="243" t="b">
        <f t="shared" si="3"/>
        <v>0</v>
      </c>
      <c r="AF1413" s="154"/>
      <c r="AG1413" s="243" t="b">
        <f t="shared" si="7"/>
        <v>0</v>
      </c>
      <c r="AH1413" s="154"/>
      <c r="AI1413" s="243" t="str">
        <f t="shared" si="5"/>
        <v>N/A</v>
      </c>
      <c r="AJ1413" s="157" t="str">
        <f t="shared" si="6"/>
        <v/>
      </c>
    </row>
    <row r="1414" ht="12.75" customHeight="1">
      <c r="A1414" s="238" t="s">
        <v>3601</v>
      </c>
      <c r="B1414" s="238" t="s">
        <v>3604</v>
      </c>
      <c r="C1414" s="238" t="s">
        <v>3746</v>
      </c>
      <c r="D1414" s="238"/>
      <c r="E1414" s="238"/>
      <c r="F1414" s="154" t="str">
        <f t="array" ref="F1414">XLOOKUP(Cover!$D$12,$S$1:$AA$1,$S1414:$AA1414)</f>
        <v>Heading</v>
      </c>
      <c r="G1414" s="239" t="s">
        <v>3747</v>
      </c>
      <c r="H1414" s="240"/>
      <c r="I1414" s="240" t="s">
        <v>414</v>
      </c>
      <c r="J1414" s="262"/>
      <c r="K1414" s="262"/>
      <c r="L1414" s="154" t="str">
        <f t="shared" si="1"/>
        <v/>
      </c>
      <c r="M1414" s="241" t="str">
        <f>IFERROR(__xludf.DUMMYFUNCTION("VLOOKUP(C1414,IMPORTRANGE(""https://docs.google.com/spreadsheets/d/1P8eX0NWBhUPS_hvzA11R6jkTNFrPrRYIx_dX_hYbxrk/edit?resourcekey=0-iw9bsKY2OqkUHCFMkCar3A&amp;gid=2055363397#gid=2055363397"",""MTR!C:O""),11,false)"),"")</f>
        <v/>
      </c>
      <c r="N1414" s="241" t="str">
        <f>IFERROR(__xludf.DUMMYFUNCTION("VLOOKUP(C1414,IMPORTRANGE(""https://docs.google.com/spreadsheets/d/1ihFlp3_ePlYtFuPbUNbYj1muErVpI73WHXbEwJDIA7Q/edit#gid=1493122344"",""MTR!C:O""),8,false)"),"")</f>
        <v/>
      </c>
      <c r="O1414" s="241" t="str">
        <f>IFERROR(__xludf.DUMMYFUNCTION("VLOOKUP(C1414,IMPORTRANGE(""https://docs.google.com/spreadsheets/d/1P8eX0NWBhUPS_hvzA11R6jkTNFrPrRYIx_dX_hYbxrk/edit?resourcekey=0-iw9bsKY2OqkUHCFMkCar3A&amp;gid=2055363397#gid=2055363397"",""MTR!C:O""),9,false)"),"")</f>
        <v/>
      </c>
      <c r="P1414" s="241"/>
      <c r="Q1414" s="251"/>
      <c r="R1414" s="251"/>
      <c r="S1414" s="240" t="s">
        <v>390</v>
      </c>
      <c r="T1414" s="240" t="s">
        <v>390</v>
      </c>
      <c r="U1414" s="240" t="s">
        <v>390</v>
      </c>
      <c r="V1414" s="240" t="s">
        <v>390</v>
      </c>
      <c r="W1414" s="240" t="s">
        <v>390</v>
      </c>
      <c r="X1414" s="240" t="s">
        <v>390</v>
      </c>
      <c r="Y1414" s="240" t="s">
        <v>390</v>
      </c>
      <c r="Z1414" s="240" t="s">
        <v>390</v>
      </c>
      <c r="AA1414" s="240" t="s">
        <v>390</v>
      </c>
      <c r="AB1414" s="240"/>
      <c r="AC1414" s="242" t="b">
        <f t="shared" si="2"/>
        <v>0</v>
      </c>
      <c r="AD1414" s="240" t="s">
        <v>391</v>
      </c>
      <c r="AE1414" s="243" t="b">
        <f t="shared" si="3"/>
        <v>0</v>
      </c>
      <c r="AF1414" s="240"/>
      <c r="AG1414" s="243" t="b">
        <f t="shared" si="7"/>
        <v>0</v>
      </c>
      <c r="AH1414" s="240"/>
      <c r="AI1414" s="243" t="str">
        <f t="shared" si="5"/>
        <v>N/A</v>
      </c>
      <c r="AJ1414" s="157" t="str">
        <f t="shared" si="6"/>
        <v/>
      </c>
    </row>
    <row r="1415" ht="12.75" customHeight="1">
      <c r="A1415" s="244" t="s">
        <v>3601</v>
      </c>
      <c r="B1415" s="244" t="s">
        <v>3604</v>
      </c>
      <c r="C1415" s="244" t="s">
        <v>3748</v>
      </c>
      <c r="D1415" s="154" t="s">
        <v>642</v>
      </c>
      <c r="E1415" s="250"/>
      <c r="F1415" s="154" t="str">
        <f t="array" ref="F1415">XLOOKUP(Cover!$D$12,$S$1:$AA$1,$S1415:$AA1415)</f>
        <v>Recommended</v>
      </c>
      <c r="G1415" s="154" t="s">
        <v>3749</v>
      </c>
      <c r="H1415" s="154"/>
      <c r="I1415" s="154" t="s">
        <v>414</v>
      </c>
      <c r="J1415" s="247" t="s">
        <v>445</v>
      </c>
      <c r="K1415" s="154"/>
      <c r="L1415" s="154" t="str">
        <f t="shared" si="1"/>
        <v/>
      </c>
      <c r="M1415" s="248" t="str">
        <f>IFERROR(__xludf.DUMMYFUNCTION("VLOOKUP(C1415,IMPORTRANGE(""https://docs.google.com/spreadsheets/d/1P8eX0NWBhUPS_hvzA11R6jkTNFrPrRYIx_dX_hYbxrk/edit?resourcekey=0-iw9bsKY2OqkUHCFMkCar3A&amp;gid=2055363397#gid=2055363397"",""MTR!C:O""),11,false)"),"PMW-MCE-NAS")</f>
        <v>PMW-MCE-NAS</v>
      </c>
      <c r="N1415" s="248" t="str">
        <f>IFERROR(__xludf.DUMMYFUNCTION("VLOOKUP(C1415,IMPORTRANGE(""https://docs.google.com/spreadsheets/d/1ihFlp3_ePlYtFuPbUNbYj1muErVpI73WHXbEwJDIA7Q/edit#gid=1493122344"",""MTR!C:O""),8,false)"),"Complies")</f>
        <v>Complies</v>
      </c>
      <c r="O1415" s="241" t="str">
        <f>IFERROR(__xludf.DUMMYFUNCTION("VLOOKUP(C1415,IMPORTRANGE(""https://docs.google.com/spreadsheets/d/1P8eX0NWBhUPS_hvzA11R6jkTNFrPrRYIx_dX_hYbxrk/edit?resourcekey=0-iw9bsKY2OqkUHCFMkCar3A&amp;gid=2055363397#gid=2055363397"",""MTR!C:O""),9,false)"),"")</f>
        <v/>
      </c>
      <c r="P1415" s="241"/>
      <c r="Q1415" s="251" t="s">
        <v>445</v>
      </c>
      <c r="R1415" s="241"/>
      <c r="S1415" s="154" t="s">
        <v>64</v>
      </c>
      <c r="T1415" s="154" t="s">
        <v>64</v>
      </c>
      <c r="U1415" s="154" t="s">
        <v>64</v>
      </c>
      <c r="V1415" s="154" t="s">
        <v>64</v>
      </c>
      <c r="W1415" s="154" t="s">
        <v>64</v>
      </c>
      <c r="X1415" s="154" t="s">
        <v>64</v>
      </c>
      <c r="Y1415" s="154" t="s">
        <v>64</v>
      </c>
      <c r="Z1415" s="154" t="s">
        <v>64</v>
      </c>
      <c r="AA1415" s="154" t="s">
        <v>64</v>
      </c>
      <c r="AB1415" s="154"/>
      <c r="AC1415" s="242" t="b">
        <f t="shared" si="2"/>
        <v>1</v>
      </c>
      <c r="AD1415" s="154" t="s">
        <v>391</v>
      </c>
      <c r="AE1415" s="243" t="b">
        <f t="shared" si="3"/>
        <v>0</v>
      </c>
      <c r="AF1415" s="154"/>
      <c r="AG1415" s="243" t="b">
        <f t="shared" si="7"/>
        <v>0</v>
      </c>
      <c r="AH1415" s="154"/>
      <c r="AI1415" s="243" t="str">
        <f t="shared" si="5"/>
        <v>N/A</v>
      </c>
      <c r="AJ1415" s="157" t="str">
        <f t="shared" si="6"/>
        <v/>
      </c>
    </row>
    <row r="1416" ht="12.75" customHeight="1">
      <c r="A1416" s="244" t="s">
        <v>3601</v>
      </c>
      <c r="B1416" s="244" t="s">
        <v>3604</v>
      </c>
      <c r="C1416" s="244" t="s">
        <v>3750</v>
      </c>
      <c r="D1416" s="154" t="s">
        <v>602</v>
      </c>
      <c r="E1416" s="250"/>
      <c r="F1416" s="154" t="str">
        <f t="array" ref="F1416">XLOOKUP(Cover!$D$12,$S$1:$AA$1,$S1416:$AA1416)</f>
        <v>Mandatory</v>
      </c>
      <c r="G1416" s="154" t="s">
        <v>3751</v>
      </c>
      <c r="H1416" s="154" t="s">
        <v>398</v>
      </c>
      <c r="I1416" s="154" t="s">
        <v>414</v>
      </c>
      <c r="J1416" s="247" t="s">
        <v>445</v>
      </c>
      <c r="K1416" s="154"/>
      <c r="L1416" s="154" t="str">
        <f t="shared" si="1"/>
        <v/>
      </c>
      <c r="M1416" s="248" t="str">
        <f>IFERROR(__xludf.DUMMYFUNCTION("VLOOKUP(C1416,IMPORTRANGE(""https://docs.google.com/spreadsheets/d/1P8eX0NWBhUPS_hvzA11R6jkTNFrPrRYIx_dX_hYbxrk/edit?resourcekey=0-iw9bsKY2OqkUHCFMkCar3A&amp;gid=2055363397#gid=2055363397"",""MTR!C:O""),11,false)"),"PMW-MCE-NAS")</f>
        <v>PMW-MCE-NAS</v>
      </c>
      <c r="N1416" s="248" t="str">
        <f>IFERROR(__xludf.DUMMYFUNCTION("VLOOKUP(C1416,IMPORTRANGE(""https://docs.google.com/spreadsheets/d/1ihFlp3_ePlYtFuPbUNbYj1muErVpI73WHXbEwJDIA7Q/edit#gid=1493122344"",""MTR!C:O""),8,false)"),"Complies")</f>
        <v>Complies</v>
      </c>
      <c r="O1416" s="241" t="str">
        <f>IFERROR(__xludf.DUMMYFUNCTION("VLOOKUP(C1416,IMPORTRANGE(""https://docs.google.com/spreadsheets/d/1P8eX0NWBhUPS_hvzA11R6jkTNFrPrRYIx_dX_hYbxrk/edit?resourcekey=0-iw9bsKY2OqkUHCFMkCar3A&amp;gid=2055363397#gid=2055363397"",""MTR!C:O""),9,false)"),"")</f>
        <v/>
      </c>
      <c r="P1416" s="241"/>
      <c r="Q1416" s="251" t="s">
        <v>445</v>
      </c>
      <c r="R1416" s="241"/>
      <c r="S1416" s="154" t="s">
        <v>60</v>
      </c>
      <c r="T1416" s="154" t="s">
        <v>60</v>
      </c>
      <c r="U1416" s="154" t="s">
        <v>60</v>
      </c>
      <c r="V1416" s="154" t="s">
        <v>60</v>
      </c>
      <c r="W1416" s="154" t="s">
        <v>60</v>
      </c>
      <c r="X1416" s="154" t="s">
        <v>60</v>
      </c>
      <c r="Y1416" s="154" t="s">
        <v>60</v>
      </c>
      <c r="Z1416" s="154" t="s">
        <v>60</v>
      </c>
      <c r="AA1416" s="154" t="s">
        <v>60</v>
      </c>
      <c r="AB1416" s="154"/>
      <c r="AC1416" s="242" t="b">
        <f t="shared" si="2"/>
        <v>1</v>
      </c>
      <c r="AD1416" s="154" t="s">
        <v>391</v>
      </c>
      <c r="AE1416" s="243" t="b">
        <f t="shared" si="3"/>
        <v>0</v>
      </c>
      <c r="AF1416" s="154"/>
      <c r="AG1416" s="243" t="b">
        <f t="shared" si="7"/>
        <v>0</v>
      </c>
      <c r="AH1416" s="154"/>
      <c r="AI1416" s="243" t="str">
        <f t="shared" si="5"/>
        <v>N/A</v>
      </c>
      <c r="AJ1416" s="157" t="str">
        <f t="shared" si="6"/>
        <v/>
      </c>
    </row>
    <row r="1417" ht="12.75" customHeight="1">
      <c r="A1417" s="244" t="s">
        <v>3601</v>
      </c>
      <c r="B1417" s="244" t="s">
        <v>3604</v>
      </c>
      <c r="C1417" s="244" t="s">
        <v>3752</v>
      </c>
      <c r="D1417" s="154" t="s">
        <v>459</v>
      </c>
      <c r="E1417" s="250"/>
      <c r="F1417" s="154" t="str">
        <f t="array" ref="F1417">XLOOKUP(Cover!$D$12,$S$1:$AA$1,$S1417:$AA1417)</f>
        <v>Mandatory</v>
      </c>
      <c r="G1417" s="154" t="s">
        <v>3753</v>
      </c>
      <c r="H1417" s="154" t="s">
        <v>398</v>
      </c>
      <c r="I1417" s="154" t="s">
        <v>420</v>
      </c>
      <c r="J1417" s="247" t="s">
        <v>506</v>
      </c>
      <c r="K1417" s="247" t="s">
        <v>3754</v>
      </c>
      <c r="L1417" s="154" t="str">
        <f t="shared" si="1"/>
        <v/>
      </c>
      <c r="M1417" s="248" t="str">
        <f>IFERROR(__xludf.DUMMYFUNCTION("VLOOKUP(C1417,IMPORTRANGE(""https://docs.google.com/spreadsheets/d/1P8eX0NWBhUPS_hvzA11R6jkTNFrPrRYIx_dX_hYbxrk/edit?resourcekey=0-iw9bsKY2OqkUHCFMkCar3A&amp;gid=2055363397#gid=2055363397"",""MTR!C:O""),11,false)"),"TAM")</f>
        <v>TAM</v>
      </c>
      <c r="N1417" s="248" t="str">
        <f>IFERROR(__xludf.DUMMYFUNCTION("VLOOKUP(C1417,IMPORTRANGE(""https://docs.google.com/spreadsheets/d/1ihFlp3_ePlYtFuPbUNbYj1muErVpI73WHXbEwJDIA7Q/edit#gid=1493122344"",""MTR!C:O""),8,false)"),"Partially Complies")</f>
        <v>Partially Complies</v>
      </c>
      <c r="O1417" s="248" t="str">
        <f>IFERROR(__xludf.DUMMYFUNCTION("VLOOKUP(C1417,IMPORTRANGE(""https://docs.google.com/spreadsheets/d/1P8eX0NWBhUPS_hvzA11R6jkTNFrPrRYIx_dX_hYbxrk/edit?resourcekey=0-iw9bsKY2OqkUHCFMkCar3A&amp;gid=2055363397#gid=2055363397"",""MTR!C:O""),9,false)"),"Operator name visible in lock screen, quick settings shade and settings UI")</f>
        <v>Operator name visible in lock screen, quick settings shade and settings UI</v>
      </c>
      <c r="P1417" s="248"/>
      <c r="Q1417" s="249" t="s">
        <v>506</v>
      </c>
      <c r="R1417" s="249" t="s">
        <v>3754</v>
      </c>
      <c r="S1417" s="154" t="s">
        <v>60</v>
      </c>
      <c r="T1417" s="154" t="s">
        <v>60</v>
      </c>
      <c r="U1417" s="154" t="s">
        <v>60</v>
      </c>
      <c r="V1417" s="154" t="s">
        <v>60</v>
      </c>
      <c r="W1417" s="154" t="s">
        <v>60</v>
      </c>
      <c r="X1417" s="154" t="s">
        <v>60</v>
      </c>
      <c r="Y1417" s="154" t="s">
        <v>60</v>
      </c>
      <c r="Z1417" s="154" t="s">
        <v>60</v>
      </c>
      <c r="AA1417" s="154" t="s">
        <v>60</v>
      </c>
      <c r="AB1417" s="154"/>
      <c r="AC1417" s="242" t="b">
        <f t="shared" si="2"/>
        <v>1</v>
      </c>
      <c r="AD1417" s="154" t="s">
        <v>391</v>
      </c>
      <c r="AE1417" s="243" t="b">
        <f t="shared" si="3"/>
        <v>0</v>
      </c>
      <c r="AF1417" s="154"/>
      <c r="AG1417" s="243" t="b">
        <f t="shared" si="7"/>
        <v>0</v>
      </c>
      <c r="AH1417" s="154"/>
      <c r="AI1417" s="243" t="str">
        <f t="shared" si="5"/>
        <v>N/A</v>
      </c>
      <c r="AJ1417" s="157" t="str">
        <f t="shared" si="6"/>
        <v/>
      </c>
    </row>
    <row r="1418" ht="12.75" customHeight="1">
      <c r="A1418" s="238" t="s">
        <v>3601</v>
      </c>
      <c r="B1418" s="238" t="s">
        <v>3604</v>
      </c>
      <c r="C1418" s="238" t="s">
        <v>3755</v>
      </c>
      <c r="D1418" s="240"/>
      <c r="E1418" s="252" t="s">
        <v>489</v>
      </c>
      <c r="F1418" s="154" t="str">
        <f t="array" ref="F1418">XLOOKUP(Cover!$D$12,$S$1:$AA$1,$S1418:$AA1418)</f>
        <v>Heading</v>
      </c>
      <c r="G1418" s="239" t="s">
        <v>3756</v>
      </c>
      <c r="H1418" s="240"/>
      <c r="I1418" s="240" t="s">
        <v>414</v>
      </c>
      <c r="J1418" s="262"/>
      <c r="K1418" s="262"/>
      <c r="L1418" s="154" t="str">
        <f t="shared" si="1"/>
        <v/>
      </c>
      <c r="M1418" s="253" t="str">
        <f>IFERROR(__xludf.DUMMYFUNCTION("VLOOKUP(C1418,IMPORTRANGE(""https://docs.google.com/spreadsheets/d/1P8eX0NWBhUPS_hvzA11R6jkTNFrPrRYIx_dX_hYbxrk/edit?resourcekey=0-iw9bsKY2OqkUHCFMkCar3A&amp;gid=2055363397#gid=2055363397"",""MTR!C:O""),11,false)"),"#N/A")</f>
        <v>#N/A</v>
      </c>
      <c r="N1418" s="253" t="str">
        <f>IFERROR(__xludf.DUMMYFUNCTION("VLOOKUP(C1418,IMPORTRANGE(""https://docs.google.com/spreadsheets/d/1ihFlp3_ePlYtFuPbUNbYj1muErVpI73WHXbEwJDIA7Q/edit#gid=1493122344"",""MTR!C:O""),8,false)"),"#N/A")</f>
        <v>#N/A</v>
      </c>
      <c r="O1418" s="253" t="str">
        <f>IFERROR(__xludf.DUMMYFUNCTION("VLOOKUP(C1418,IMPORTRANGE(""https://docs.google.com/spreadsheets/d/1P8eX0NWBhUPS_hvzA11R6jkTNFrPrRYIx_dX_hYbxrk/edit?resourcekey=0-iw9bsKY2OqkUHCFMkCar3A&amp;gid=2055363397#gid=2055363397"",""MTR!C:O""),9,false)"),"#N/A")</f>
        <v>#N/A</v>
      </c>
      <c r="P1418" s="253"/>
      <c r="Q1418" s="259"/>
      <c r="R1418" s="259"/>
      <c r="S1418" s="240" t="s">
        <v>390</v>
      </c>
      <c r="T1418" s="240" t="s">
        <v>390</v>
      </c>
      <c r="U1418" s="240" t="s">
        <v>390</v>
      </c>
      <c r="V1418" s="240" t="s">
        <v>390</v>
      </c>
      <c r="W1418" s="240" t="s">
        <v>390</v>
      </c>
      <c r="X1418" s="240" t="s">
        <v>390</v>
      </c>
      <c r="Y1418" s="240" t="s">
        <v>390</v>
      </c>
      <c r="Z1418" s="240" t="s">
        <v>390</v>
      </c>
      <c r="AA1418" s="240" t="s">
        <v>390</v>
      </c>
      <c r="AB1418" s="240"/>
      <c r="AC1418" s="242" t="b">
        <f t="shared" si="2"/>
        <v>0</v>
      </c>
      <c r="AD1418" s="240"/>
      <c r="AE1418" s="243" t="b">
        <f t="shared" si="3"/>
        <v>0</v>
      </c>
      <c r="AF1418" s="240"/>
      <c r="AG1418" s="243" t="b">
        <f t="shared" si="7"/>
        <v>0</v>
      </c>
      <c r="AH1418" s="240"/>
      <c r="AI1418" s="243" t="str">
        <f t="shared" si="5"/>
        <v>N/A</v>
      </c>
      <c r="AJ1418" s="157" t="str">
        <f t="shared" si="6"/>
        <v/>
      </c>
    </row>
    <row r="1419" ht="12.75" customHeight="1">
      <c r="A1419" s="244" t="s">
        <v>3601</v>
      </c>
      <c r="B1419" s="244" t="s">
        <v>3604</v>
      </c>
      <c r="C1419" s="244" t="s">
        <v>3757</v>
      </c>
      <c r="D1419" s="154" t="s">
        <v>422</v>
      </c>
      <c r="E1419" s="250"/>
      <c r="F1419" s="154" t="str">
        <f t="array" ref="F1419">XLOOKUP(Cover!$D$12,$S$1:$AA$1,$S1419:$AA1419)</f>
        <v>Mandatory</v>
      </c>
      <c r="G1419" s="154" t="s">
        <v>3758</v>
      </c>
      <c r="H1419" s="154"/>
      <c r="I1419" s="154" t="s">
        <v>414</v>
      </c>
      <c r="J1419" s="247" t="s">
        <v>445</v>
      </c>
      <c r="K1419" s="154"/>
      <c r="L1419" s="154" t="str">
        <f t="shared" si="1"/>
        <v/>
      </c>
      <c r="M1419" s="248" t="str">
        <f>IFERROR(__xludf.DUMMYFUNCTION("VLOOKUP(C1419,IMPORTRANGE(""https://docs.google.com/spreadsheets/d/1P8eX0NWBhUPS_hvzA11R6jkTNFrPrRYIx_dX_hYbxrk/edit?resourcekey=0-iw9bsKY2OqkUHCFMkCar3A&amp;gid=2055363397#gid=2055363397"",""MTR!C:O""),11,false)"),"PMW-MCE-NAS")</f>
        <v>PMW-MCE-NAS</v>
      </c>
      <c r="N1419" s="248" t="str">
        <f>IFERROR(__xludf.DUMMYFUNCTION("VLOOKUP(C1419,IMPORTRANGE(""https://docs.google.com/spreadsheets/d/1ihFlp3_ePlYtFuPbUNbYj1muErVpI73WHXbEwJDIA7Q/edit#gid=1493122344"",""MTR!C:O""),8,false)"),"Complies")</f>
        <v>Complies</v>
      </c>
      <c r="O1419" s="241" t="str">
        <f>IFERROR(__xludf.DUMMYFUNCTION("VLOOKUP(C1419,IMPORTRANGE(""https://docs.google.com/spreadsheets/d/1P8eX0NWBhUPS_hvzA11R6jkTNFrPrRYIx_dX_hYbxrk/edit?resourcekey=0-iw9bsKY2OqkUHCFMkCar3A&amp;gid=2055363397#gid=2055363397"",""MTR!C:O""),9,false)"),"")</f>
        <v/>
      </c>
      <c r="P1419" s="241"/>
      <c r="Q1419" s="251" t="s">
        <v>445</v>
      </c>
      <c r="R1419" s="241"/>
      <c r="S1419" s="154" t="s">
        <v>60</v>
      </c>
      <c r="T1419" s="154" t="s">
        <v>60</v>
      </c>
      <c r="U1419" s="154" t="s">
        <v>60</v>
      </c>
      <c r="V1419" s="154" t="s">
        <v>60</v>
      </c>
      <c r="W1419" s="154" t="s">
        <v>60</v>
      </c>
      <c r="X1419" s="154" t="s">
        <v>60</v>
      </c>
      <c r="Y1419" s="154" t="s">
        <v>60</v>
      </c>
      <c r="Z1419" s="154" t="s">
        <v>60</v>
      </c>
      <c r="AA1419" s="154" t="s">
        <v>60</v>
      </c>
      <c r="AB1419" s="154"/>
      <c r="AC1419" s="242" t="b">
        <f t="shared" si="2"/>
        <v>1</v>
      </c>
      <c r="AD1419" s="154" t="s">
        <v>391</v>
      </c>
      <c r="AE1419" s="243" t="b">
        <f t="shared" si="3"/>
        <v>0</v>
      </c>
      <c r="AF1419" s="154"/>
      <c r="AG1419" s="243" t="b">
        <f t="shared" si="7"/>
        <v>0</v>
      </c>
      <c r="AH1419" s="154"/>
      <c r="AI1419" s="243" t="str">
        <f t="shared" si="5"/>
        <v>N/A</v>
      </c>
      <c r="AJ1419" s="157" t="str">
        <f t="shared" si="6"/>
        <v/>
      </c>
    </row>
    <row r="1420" ht="12.75" customHeight="1">
      <c r="A1420" s="244" t="s">
        <v>3601</v>
      </c>
      <c r="B1420" s="244" t="s">
        <v>3604</v>
      </c>
      <c r="C1420" s="244" t="s">
        <v>3759</v>
      </c>
      <c r="D1420" s="154" t="s">
        <v>422</v>
      </c>
      <c r="E1420" s="250"/>
      <c r="F1420" s="154" t="str">
        <f t="array" ref="F1420">XLOOKUP(Cover!$D$12,$S$1:$AA$1,$S1420:$AA1420)</f>
        <v>Mandatory</v>
      </c>
      <c r="G1420" s="154" t="s">
        <v>3760</v>
      </c>
      <c r="H1420" s="154" t="s">
        <v>398</v>
      </c>
      <c r="I1420" s="154" t="s">
        <v>414</v>
      </c>
      <c r="J1420" s="247" t="s">
        <v>445</v>
      </c>
      <c r="K1420" s="154"/>
      <c r="L1420" s="154" t="str">
        <f t="shared" si="1"/>
        <v/>
      </c>
      <c r="M1420" s="248" t="str">
        <f>IFERROR(__xludf.DUMMYFUNCTION("VLOOKUP(C1420,IMPORTRANGE(""https://docs.google.com/spreadsheets/d/1P8eX0NWBhUPS_hvzA11R6jkTNFrPrRYIx_dX_hYbxrk/edit?resourcekey=0-iw9bsKY2OqkUHCFMkCar3A&amp;gid=2055363397#gid=2055363397"",""MTR!C:O""),11,false)"),"PMW-MCE-NAS")</f>
        <v>PMW-MCE-NAS</v>
      </c>
      <c r="N1420" s="248" t="str">
        <f>IFERROR(__xludf.DUMMYFUNCTION("VLOOKUP(C1420,IMPORTRANGE(""https://docs.google.com/spreadsheets/d/1ihFlp3_ePlYtFuPbUNbYj1muErVpI73WHXbEwJDIA7Q/edit#gid=1493122344"",""MTR!C:O""),8,false)"),"Complies")</f>
        <v>Complies</v>
      </c>
      <c r="O1420" s="241" t="str">
        <f>IFERROR(__xludf.DUMMYFUNCTION("VLOOKUP(C1420,IMPORTRANGE(""https://docs.google.com/spreadsheets/d/1P8eX0NWBhUPS_hvzA11R6jkTNFrPrRYIx_dX_hYbxrk/edit?resourcekey=0-iw9bsKY2OqkUHCFMkCar3A&amp;gid=2055363397#gid=2055363397"",""MTR!C:O""),9,false)"),"")</f>
        <v/>
      </c>
      <c r="P1420" s="241"/>
      <c r="Q1420" s="251" t="s">
        <v>445</v>
      </c>
      <c r="R1420" s="241"/>
      <c r="S1420" s="154" t="s">
        <v>60</v>
      </c>
      <c r="T1420" s="154" t="s">
        <v>60</v>
      </c>
      <c r="U1420" s="154" t="s">
        <v>60</v>
      </c>
      <c r="V1420" s="154" t="s">
        <v>60</v>
      </c>
      <c r="W1420" s="154" t="s">
        <v>60</v>
      </c>
      <c r="X1420" s="154" t="s">
        <v>60</v>
      </c>
      <c r="Y1420" s="154" t="s">
        <v>60</v>
      </c>
      <c r="Z1420" s="154" t="s">
        <v>60</v>
      </c>
      <c r="AA1420" s="154" t="s">
        <v>60</v>
      </c>
      <c r="AB1420" s="154"/>
      <c r="AC1420" s="242" t="b">
        <f t="shared" si="2"/>
        <v>1</v>
      </c>
      <c r="AD1420" s="154" t="s">
        <v>391</v>
      </c>
      <c r="AE1420" s="243" t="b">
        <f t="shared" si="3"/>
        <v>0</v>
      </c>
      <c r="AF1420" s="154"/>
      <c r="AG1420" s="243" t="b">
        <f t="shared" si="7"/>
        <v>0</v>
      </c>
      <c r="AH1420" s="154"/>
      <c r="AI1420" s="243" t="str">
        <f t="shared" si="5"/>
        <v>N/A</v>
      </c>
      <c r="AJ1420" s="157" t="str">
        <f t="shared" si="6"/>
        <v/>
      </c>
    </row>
    <row r="1421" ht="12.75" customHeight="1">
      <c r="A1421" s="244" t="s">
        <v>3601</v>
      </c>
      <c r="B1421" s="244" t="s">
        <v>3604</v>
      </c>
      <c r="C1421" s="244" t="s">
        <v>3761</v>
      </c>
      <c r="D1421" s="154" t="s">
        <v>602</v>
      </c>
      <c r="E1421" s="250"/>
      <c r="F1421" s="154" t="str">
        <f t="array" ref="F1421">XLOOKUP(Cover!$D$12,$S$1:$AA$1,$S1421:$AA1421)</f>
        <v>Mandatory</v>
      </c>
      <c r="G1421" s="154" t="s">
        <v>3762</v>
      </c>
      <c r="H1421" s="154" t="s">
        <v>232</v>
      </c>
      <c r="I1421" s="154" t="s">
        <v>414</v>
      </c>
      <c r="J1421" s="247" t="s">
        <v>445</v>
      </c>
      <c r="K1421" s="154"/>
      <c r="L1421" s="154" t="str">
        <f t="shared" si="1"/>
        <v/>
      </c>
      <c r="M1421" s="248" t="str">
        <f>IFERROR(__xludf.DUMMYFUNCTION("VLOOKUP(C1421,IMPORTRANGE(""https://docs.google.com/spreadsheets/d/1P8eX0NWBhUPS_hvzA11R6jkTNFrPrRYIx_dX_hYbxrk/edit?resourcekey=0-iw9bsKY2OqkUHCFMkCar3A&amp;gid=2055363397#gid=2055363397"",""MTR!C:O""),11,false)"),"PMW-MCE-NAS")</f>
        <v>PMW-MCE-NAS</v>
      </c>
      <c r="N1421" s="248" t="str">
        <f>IFERROR(__xludf.DUMMYFUNCTION("VLOOKUP(C1421,IMPORTRANGE(""https://docs.google.com/spreadsheets/d/1ihFlp3_ePlYtFuPbUNbYj1muErVpI73WHXbEwJDIA7Q/edit#gid=1493122344"",""MTR!C:O""),8,false)"),"Complies")</f>
        <v>Complies</v>
      </c>
      <c r="O1421" s="241" t="str">
        <f>IFERROR(__xludf.DUMMYFUNCTION("VLOOKUP(C1421,IMPORTRANGE(""https://docs.google.com/spreadsheets/d/1P8eX0NWBhUPS_hvzA11R6jkTNFrPrRYIx_dX_hYbxrk/edit?resourcekey=0-iw9bsKY2OqkUHCFMkCar3A&amp;gid=2055363397#gid=2055363397"",""MTR!C:O""),9,false)"),"")</f>
        <v/>
      </c>
      <c r="P1421" s="241"/>
      <c r="Q1421" s="251" t="s">
        <v>445</v>
      </c>
      <c r="R1421" s="241"/>
      <c r="S1421" s="154" t="s">
        <v>60</v>
      </c>
      <c r="T1421" s="154" t="s">
        <v>60</v>
      </c>
      <c r="U1421" s="154" t="s">
        <v>60</v>
      </c>
      <c r="V1421" s="154" t="s">
        <v>60</v>
      </c>
      <c r="W1421" s="154" t="s">
        <v>60</v>
      </c>
      <c r="X1421" s="154" t="s">
        <v>60</v>
      </c>
      <c r="Y1421" s="154" t="s">
        <v>60</v>
      </c>
      <c r="Z1421" s="154" t="s">
        <v>60</v>
      </c>
      <c r="AA1421" s="154" t="s">
        <v>60</v>
      </c>
      <c r="AB1421" s="154"/>
      <c r="AC1421" s="242" t="b">
        <f t="shared" si="2"/>
        <v>1</v>
      </c>
      <c r="AD1421" s="154" t="s">
        <v>391</v>
      </c>
      <c r="AE1421" s="243" t="b">
        <f t="shared" si="3"/>
        <v>0</v>
      </c>
      <c r="AF1421" s="154"/>
      <c r="AG1421" s="243" t="b">
        <f t="shared" si="7"/>
        <v>0</v>
      </c>
      <c r="AH1421" s="154"/>
      <c r="AI1421" s="243" t="str">
        <f t="shared" si="5"/>
        <v>N/A</v>
      </c>
      <c r="AJ1421" s="157" t="str">
        <f t="shared" si="6"/>
        <v/>
      </c>
    </row>
    <row r="1422" ht="12.75" customHeight="1">
      <c r="A1422" s="244" t="s">
        <v>3601</v>
      </c>
      <c r="B1422" s="244" t="s">
        <v>3604</v>
      </c>
      <c r="C1422" s="244" t="s">
        <v>3763</v>
      </c>
      <c r="D1422" s="154" t="s">
        <v>602</v>
      </c>
      <c r="E1422" s="250"/>
      <c r="F1422" s="154" t="str">
        <f t="array" ref="F1422">XLOOKUP(Cover!$D$12,$S$1:$AA$1,$S1422:$AA1422)</f>
        <v>Mandatory</v>
      </c>
      <c r="G1422" s="154" t="s">
        <v>3764</v>
      </c>
      <c r="H1422" s="154" t="s">
        <v>398</v>
      </c>
      <c r="I1422" s="154" t="s">
        <v>414</v>
      </c>
      <c r="J1422" s="247" t="s">
        <v>516</v>
      </c>
      <c r="K1422" s="154"/>
      <c r="L1422" s="154" t="str">
        <f t="shared" si="1"/>
        <v/>
      </c>
      <c r="M1422" s="248" t="str">
        <f>IFERROR(__xludf.DUMMYFUNCTION("VLOOKUP(C1422,IMPORTRANGE(""https://docs.google.com/spreadsheets/d/1P8eX0NWBhUPS_hvzA11R6jkTNFrPrRYIx_dX_hYbxrk/edit?resourcekey=0-iw9bsKY2OqkUHCFMkCar3A&amp;gid=2055363397#gid=2055363397"",""MTR!C:O""),11,false)"),"TAM")</f>
        <v>TAM</v>
      </c>
      <c r="N1422" s="248" t="str">
        <f>IFERROR(__xludf.DUMMYFUNCTION("VLOOKUP(C1422,IMPORTRANGE(""https://docs.google.com/spreadsheets/d/1ihFlp3_ePlYtFuPbUNbYj1muErVpI73WHXbEwJDIA7Q/edit#gid=1493122344"",""MTR!C:O""),8,false)"),"Does Not Comply")</f>
        <v>Does Not Comply</v>
      </c>
      <c r="O1422" s="241" t="str">
        <f>IFERROR(__xludf.DUMMYFUNCTION("VLOOKUP(C1422,IMPORTRANGE(""https://docs.google.com/spreadsheets/d/1P8eX0NWBhUPS_hvzA11R6jkTNFrPrRYIx_dX_hYbxrk/edit?resourcekey=0-iw9bsKY2OqkUHCFMkCar3A&amp;gid=2055363397#gid=2055363397"",""MTR!C:O""),9,false)"),"")</f>
        <v/>
      </c>
      <c r="P1422" s="241"/>
      <c r="Q1422" s="251" t="s">
        <v>516</v>
      </c>
      <c r="R1422" s="241"/>
      <c r="S1422" s="154" t="s">
        <v>60</v>
      </c>
      <c r="T1422" s="154" t="s">
        <v>60</v>
      </c>
      <c r="U1422" s="154" t="s">
        <v>60</v>
      </c>
      <c r="V1422" s="154" t="s">
        <v>60</v>
      </c>
      <c r="W1422" s="154" t="s">
        <v>60</v>
      </c>
      <c r="X1422" s="154" t="s">
        <v>60</v>
      </c>
      <c r="Y1422" s="154" t="s">
        <v>60</v>
      </c>
      <c r="Z1422" s="154" t="s">
        <v>60</v>
      </c>
      <c r="AA1422" s="154" t="s">
        <v>60</v>
      </c>
      <c r="AB1422" s="154"/>
      <c r="AC1422" s="242" t="b">
        <f t="shared" si="2"/>
        <v>1</v>
      </c>
      <c r="AD1422" s="154" t="s">
        <v>391</v>
      </c>
      <c r="AE1422" s="243" t="b">
        <f t="shared" si="3"/>
        <v>0</v>
      </c>
      <c r="AF1422" s="154"/>
      <c r="AG1422" s="243" t="b">
        <f t="shared" si="7"/>
        <v>0</v>
      </c>
      <c r="AH1422" s="154"/>
      <c r="AI1422" s="243" t="str">
        <f t="shared" si="5"/>
        <v>N/A</v>
      </c>
      <c r="AJ1422" s="157" t="str">
        <f t="shared" si="6"/>
        <v/>
      </c>
    </row>
    <row r="1423" ht="12.75" customHeight="1">
      <c r="A1423" s="238" t="s">
        <v>3601</v>
      </c>
      <c r="B1423" s="238" t="s">
        <v>3604</v>
      </c>
      <c r="C1423" s="238" t="s">
        <v>3765</v>
      </c>
      <c r="D1423" s="240"/>
      <c r="E1423" s="252" t="s">
        <v>489</v>
      </c>
      <c r="F1423" s="154" t="str">
        <f t="array" ref="F1423">XLOOKUP(Cover!$D$12,$S$1:$AA$1,$S1423:$AA1423)</f>
        <v>Heading</v>
      </c>
      <c r="G1423" s="239" t="s">
        <v>3766</v>
      </c>
      <c r="H1423" s="240"/>
      <c r="I1423" s="240" t="s">
        <v>414</v>
      </c>
      <c r="J1423" s="262"/>
      <c r="K1423" s="240"/>
      <c r="L1423" s="154" t="str">
        <f t="shared" si="1"/>
        <v/>
      </c>
      <c r="M1423" s="253" t="str">
        <f>IFERROR(__xludf.DUMMYFUNCTION("VLOOKUP(C1423,IMPORTRANGE(""https://docs.google.com/spreadsheets/d/1P8eX0NWBhUPS_hvzA11R6jkTNFrPrRYIx_dX_hYbxrk/edit?resourcekey=0-iw9bsKY2OqkUHCFMkCar3A&amp;gid=2055363397#gid=2055363397"",""MTR!C:O""),11,false)"),"#N/A")</f>
        <v>#N/A</v>
      </c>
      <c r="N1423" s="253" t="str">
        <f>IFERROR(__xludf.DUMMYFUNCTION("VLOOKUP(C1423,IMPORTRANGE(""https://docs.google.com/spreadsheets/d/1ihFlp3_ePlYtFuPbUNbYj1muErVpI73WHXbEwJDIA7Q/edit#gid=1493122344"",""MTR!C:O""),8,false)"),"#N/A")</f>
        <v>#N/A</v>
      </c>
      <c r="O1423" s="253" t="str">
        <f>IFERROR(__xludf.DUMMYFUNCTION("VLOOKUP(C1423,IMPORTRANGE(""https://docs.google.com/spreadsheets/d/1P8eX0NWBhUPS_hvzA11R6jkTNFrPrRYIx_dX_hYbxrk/edit?resourcekey=0-iw9bsKY2OqkUHCFMkCar3A&amp;gid=2055363397#gid=2055363397"",""MTR!C:O""),9,false)"),"#N/A")</f>
        <v>#N/A</v>
      </c>
      <c r="P1423" s="253"/>
      <c r="Q1423" s="259"/>
      <c r="R1423" s="253"/>
      <c r="S1423" s="240" t="s">
        <v>390</v>
      </c>
      <c r="T1423" s="240" t="s">
        <v>390</v>
      </c>
      <c r="U1423" s="240" t="s">
        <v>390</v>
      </c>
      <c r="V1423" s="240" t="s">
        <v>390</v>
      </c>
      <c r="W1423" s="240" t="s">
        <v>390</v>
      </c>
      <c r="X1423" s="240" t="s">
        <v>390</v>
      </c>
      <c r="Y1423" s="240" t="s">
        <v>390</v>
      </c>
      <c r="Z1423" s="240" t="s">
        <v>390</v>
      </c>
      <c r="AA1423" s="240" t="s">
        <v>390</v>
      </c>
      <c r="AB1423" s="240"/>
      <c r="AC1423" s="242" t="b">
        <f t="shared" si="2"/>
        <v>0</v>
      </c>
      <c r="AD1423" s="240" t="s">
        <v>391</v>
      </c>
      <c r="AE1423" s="243" t="b">
        <f t="shared" si="3"/>
        <v>0</v>
      </c>
      <c r="AF1423" s="240"/>
      <c r="AG1423" s="243" t="b">
        <f t="shared" si="7"/>
        <v>0</v>
      </c>
      <c r="AH1423" s="240"/>
      <c r="AI1423" s="243" t="str">
        <f t="shared" si="5"/>
        <v>N/A</v>
      </c>
      <c r="AJ1423" s="157" t="str">
        <f t="shared" si="6"/>
        <v/>
      </c>
    </row>
    <row r="1424" ht="12.75" customHeight="1">
      <c r="A1424" s="244" t="s">
        <v>3601</v>
      </c>
      <c r="B1424" s="244" t="s">
        <v>3604</v>
      </c>
      <c r="C1424" s="244" t="s">
        <v>3767</v>
      </c>
      <c r="D1424" s="154" t="s">
        <v>642</v>
      </c>
      <c r="E1424" s="250"/>
      <c r="F1424" s="154" t="str">
        <f t="array" ref="F1424">XLOOKUP(Cover!$D$12,$S$1:$AA$1,$S1424:$AA1424)</f>
        <v>Mandatory</v>
      </c>
      <c r="G1424" s="154" t="s">
        <v>3768</v>
      </c>
      <c r="H1424" s="154" t="s">
        <v>398</v>
      </c>
      <c r="I1424" s="154" t="s">
        <v>414</v>
      </c>
      <c r="J1424" s="247" t="s">
        <v>445</v>
      </c>
      <c r="K1424" s="154"/>
      <c r="L1424" s="154" t="str">
        <f t="shared" si="1"/>
        <v/>
      </c>
      <c r="M1424" s="248" t="str">
        <f>IFERROR(__xludf.DUMMYFUNCTION("VLOOKUP(C1424,IMPORTRANGE(""https://docs.google.com/spreadsheets/d/1P8eX0NWBhUPS_hvzA11R6jkTNFrPrRYIx_dX_hYbxrk/edit?resourcekey=0-iw9bsKY2OqkUHCFMkCar3A&amp;gid=2055363397#gid=2055363397"",""MTR!C:O""),11,false)"),"PMW-MCE-NAS")</f>
        <v>PMW-MCE-NAS</v>
      </c>
      <c r="N1424" s="248" t="str">
        <f>IFERROR(__xludf.DUMMYFUNCTION("VLOOKUP(C1424,IMPORTRANGE(""https://docs.google.com/spreadsheets/d/1ihFlp3_ePlYtFuPbUNbYj1muErVpI73WHXbEwJDIA7Q/edit#gid=1493122344"",""MTR!C:O""),8,false)"),"Complies")</f>
        <v>Complies</v>
      </c>
      <c r="O1424" s="241" t="str">
        <f>IFERROR(__xludf.DUMMYFUNCTION("VLOOKUP(C1424,IMPORTRANGE(""https://docs.google.com/spreadsheets/d/1P8eX0NWBhUPS_hvzA11R6jkTNFrPrRYIx_dX_hYbxrk/edit?resourcekey=0-iw9bsKY2OqkUHCFMkCar3A&amp;gid=2055363397#gid=2055363397"",""MTR!C:O""),9,false)"),"")</f>
        <v/>
      </c>
      <c r="P1424" s="241"/>
      <c r="Q1424" s="251" t="s">
        <v>445</v>
      </c>
      <c r="R1424" s="241"/>
      <c r="S1424" s="154" t="s">
        <v>60</v>
      </c>
      <c r="T1424" s="154" t="s">
        <v>60</v>
      </c>
      <c r="U1424" s="154" t="s">
        <v>60</v>
      </c>
      <c r="V1424" s="154" t="s">
        <v>60</v>
      </c>
      <c r="W1424" s="154" t="s">
        <v>60</v>
      </c>
      <c r="X1424" s="154" t="s">
        <v>60</v>
      </c>
      <c r="Y1424" s="154" t="s">
        <v>60</v>
      </c>
      <c r="Z1424" s="154" t="s">
        <v>60</v>
      </c>
      <c r="AA1424" s="154" t="s">
        <v>60</v>
      </c>
      <c r="AB1424" s="154"/>
      <c r="AC1424" s="242" t="b">
        <f t="shared" si="2"/>
        <v>1</v>
      </c>
      <c r="AD1424" s="154" t="s">
        <v>391</v>
      </c>
      <c r="AE1424" s="243" t="b">
        <f t="shared" si="3"/>
        <v>0</v>
      </c>
      <c r="AF1424" s="154"/>
      <c r="AG1424" s="243" t="b">
        <f t="shared" si="7"/>
        <v>0</v>
      </c>
      <c r="AH1424" s="154"/>
      <c r="AI1424" s="243" t="str">
        <f t="shared" si="5"/>
        <v>N/A</v>
      </c>
      <c r="AJ1424" s="157" t="str">
        <f t="shared" si="6"/>
        <v/>
      </c>
    </row>
    <row r="1425" ht="12.75" customHeight="1">
      <c r="A1425" s="244" t="s">
        <v>3601</v>
      </c>
      <c r="B1425" s="244" t="s">
        <v>3604</v>
      </c>
      <c r="C1425" s="244" t="s">
        <v>3769</v>
      </c>
      <c r="D1425" s="154" t="s">
        <v>739</v>
      </c>
      <c r="E1425" s="250"/>
      <c r="F1425" s="154" t="str">
        <f t="array" ref="F1425">XLOOKUP(Cover!$D$12,$S$1:$AA$1,$S1425:$AA1425)</f>
        <v>Mandatory</v>
      </c>
      <c r="G1425" s="153" t="s">
        <v>3770</v>
      </c>
      <c r="H1425" s="154" t="s">
        <v>398</v>
      </c>
      <c r="I1425" s="154" t="s">
        <v>414</v>
      </c>
      <c r="J1425" s="247" t="s">
        <v>445</v>
      </c>
      <c r="K1425" s="247" t="s">
        <v>3771</v>
      </c>
      <c r="L1425" s="154" t="str">
        <f t="shared" si="1"/>
        <v/>
      </c>
      <c r="M1425" s="248" t="str">
        <f>IFERROR(__xludf.DUMMYFUNCTION("VLOOKUP(C1425,IMPORTRANGE(""https://docs.google.com/spreadsheets/d/1P8eX0NWBhUPS_hvzA11R6jkTNFrPrRYIx_dX_hYbxrk/edit?resourcekey=0-iw9bsKY2OqkUHCFMkCar3A&amp;gid=2055363397#gid=2055363397"",""MTR!C:O""),11,false)"),"PMW-MCE-NAS")</f>
        <v>PMW-MCE-NAS</v>
      </c>
      <c r="N1425" s="248" t="str">
        <f>IFERROR(__xludf.DUMMYFUNCTION("VLOOKUP(C1425,IMPORTRANGE(""https://docs.google.com/spreadsheets/d/1ihFlp3_ePlYtFuPbUNbYj1muErVpI73WHXbEwJDIA7Q/edit#gid=1493122344"",""MTR!C:O""),8,false)"),"Complies")</f>
        <v>Complies</v>
      </c>
      <c r="O1425" s="248" t="str">
        <f>IFERROR(__xludf.DUMMYFUNCTION("VLOOKUP(C1425,IMPORTRANGE(""https://docs.google.com/spreadsheets/d/1P8eX0NWBhUPS_hvzA11R6jkTNFrPrRYIx_dX_hYbxrk/edit?resourcekey=0-iw9bsKY2OqkUHCFMkCar3A&amp;gid=2055363397#gid=2055363397"",""MTR!C:O""),9,false)"),"LTE+ or 4G+ will display when CA is active")</f>
        <v>LTE+ or 4G+ will display when CA is active</v>
      </c>
      <c r="P1425" s="248"/>
      <c r="Q1425" s="249" t="s">
        <v>445</v>
      </c>
      <c r="R1425" s="249" t="s">
        <v>3771</v>
      </c>
      <c r="S1425" s="154" t="s">
        <v>60</v>
      </c>
      <c r="T1425" s="154" t="s">
        <v>60</v>
      </c>
      <c r="U1425" s="154" t="s">
        <v>60</v>
      </c>
      <c r="V1425" s="154" t="s">
        <v>60</v>
      </c>
      <c r="W1425" s="154" t="s">
        <v>60</v>
      </c>
      <c r="X1425" s="154" t="s">
        <v>60</v>
      </c>
      <c r="Y1425" s="154" t="s">
        <v>60</v>
      </c>
      <c r="Z1425" s="154" t="s">
        <v>60</v>
      </c>
      <c r="AA1425" s="154" t="s">
        <v>60</v>
      </c>
      <c r="AB1425" s="154"/>
      <c r="AC1425" s="242" t="b">
        <f t="shared" si="2"/>
        <v>1</v>
      </c>
      <c r="AD1425" s="154" t="s">
        <v>391</v>
      </c>
      <c r="AE1425" s="243" t="b">
        <f t="shared" si="3"/>
        <v>0</v>
      </c>
      <c r="AF1425" s="154"/>
      <c r="AG1425" s="243" t="b">
        <f t="shared" si="7"/>
        <v>0</v>
      </c>
      <c r="AH1425" s="154"/>
      <c r="AI1425" s="243" t="str">
        <f t="shared" si="5"/>
        <v>N/A</v>
      </c>
      <c r="AJ1425" s="157" t="str">
        <f t="shared" si="6"/>
        <v/>
      </c>
    </row>
    <row r="1426" ht="12.75" customHeight="1">
      <c r="A1426" s="238" t="s">
        <v>3601</v>
      </c>
      <c r="B1426" s="238" t="s">
        <v>3604</v>
      </c>
      <c r="C1426" s="238" t="s">
        <v>3772</v>
      </c>
      <c r="D1426" s="240"/>
      <c r="E1426" s="252" t="s">
        <v>489</v>
      </c>
      <c r="F1426" s="154" t="str">
        <f t="array" ref="F1426">XLOOKUP(Cover!$D$12,$S$1:$AA$1,$S1426:$AA1426)</f>
        <v>Heading</v>
      </c>
      <c r="G1426" s="239" t="s">
        <v>3773</v>
      </c>
      <c r="H1426" s="240"/>
      <c r="I1426" s="240" t="s">
        <v>486</v>
      </c>
      <c r="J1426" s="262"/>
      <c r="K1426" s="262"/>
      <c r="L1426" s="154" t="str">
        <f t="shared" si="1"/>
        <v/>
      </c>
      <c r="M1426" s="253" t="str">
        <f>IFERROR(__xludf.DUMMYFUNCTION("VLOOKUP(C1426,IMPORTRANGE(""https://docs.google.com/spreadsheets/d/1P8eX0NWBhUPS_hvzA11R6jkTNFrPrRYIx_dX_hYbxrk/edit?resourcekey=0-iw9bsKY2OqkUHCFMkCar3A&amp;gid=2055363397#gid=2055363397"",""MTR!C:O""),11,false)"),"#N/A")</f>
        <v>#N/A</v>
      </c>
      <c r="N1426" s="253" t="str">
        <f>IFERROR(__xludf.DUMMYFUNCTION("VLOOKUP(C1426,IMPORTRANGE(""https://docs.google.com/spreadsheets/d/1ihFlp3_ePlYtFuPbUNbYj1muErVpI73WHXbEwJDIA7Q/edit#gid=1493122344"",""MTR!C:O""),8,false)"),"#N/A")</f>
        <v>#N/A</v>
      </c>
      <c r="O1426" s="253" t="str">
        <f>IFERROR(__xludf.DUMMYFUNCTION("VLOOKUP(C1426,IMPORTRANGE(""https://docs.google.com/spreadsheets/d/1P8eX0NWBhUPS_hvzA11R6jkTNFrPrRYIx_dX_hYbxrk/edit?resourcekey=0-iw9bsKY2OqkUHCFMkCar3A&amp;gid=2055363397#gid=2055363397"",""MTR!C:O""),9,false)"),"#N/A")</f>
        <v>#N/A</v>
      </c>
      <c r="P1426" s="253"/>
      <c r="Q1426" s="259"/>
      <c r="R1426" s="259"/>
      <c r="S1426" s="240" t="s">
        <v>390</v>
      </c>
      <c r="T1426" s="240" t="s">
        <v>390</v>
      </c>
      <c r="U1426" s="240" t="s">
        <v>390</v>
      </c>
      <c r="V1426" s="240" t="s">
        <v>390</v>
      </c>
      <c r="W1426" s="240" t="s">
        <v>390</v>
      </c>
      <c r="X1426" s="240" t="s">
        <v>390</v>
      </c>
      <c r="Y1426" s="240" t="s">
        <v>390</v>
      </c>
      <c r="Z1426" s="240" t="s">
        <v>390</v>
      </c>
      <c r="AA1426" s="240" t="s">
        <v>390</v>
      </c>
      <c r="AB1426" s="240"/>
      <c r="AC1426" s="242" t="b">
        <f t="shared" si="2"/>
        <v>0</v>
      </c>
      <c r="AD1426" s="240" t="s">
        <v>391</v>
      </c>
      <c r="AE1426" s="243" t="b">
        <f t="shared" si="3"/>
        <v>0</v>
      </c>
      <c r="AF1426" s="240"/>
      <c r="AG1426" s="243" t="b">
        <f t="shared" si="7"/>
        <v>0</v>
      </c>
      <c r="AH1426" s="240"/>
      <c r="AI1426" s="243" t="str">
        <f t="shared" si="5"/>
        <v>N/A</v>
      </c>
      <c r="AJ1426" s="157" t="str">
        <f t="shared" si="6"/>
        <v/>
      </c>
    </row>
    <row r="1427" ht="12.75" customHeight="1">
      <c r="A1427" s="244" t="s">
        <v>3601</v>
      </c>
      <c r="B1427" s="244" t="s">
        <v>3604</v>
      </c>
      <c r="C1427" s="244" t="s">
        <v>3774</v>
      </c>
      <c r="D1427" s="244" t="s">
        <v>602</v>
      </c>
      <c r="E1427" s="244"/>
      <c r="F1427" s="154" t="str">
        <f t="array" ref="F1427">XLOOKUP(Cover!$D$12,$S$1:$AA$1,$S1427:$AA1427)</f>
        <v>Comment</v>
      </c>
      <c r="G1427" s="154" t="s">
        <v>3775</v>
      </c>
      <c r="H1427" s="154"/>
      <c r="I1427" s="154" t="s">
        <v>486</v>
      </c>
      <c r="J1427" s="154"/>
      <c r="K1427" s="154"/>
      <c r="L1427" s="154" t="str">
        <f t="shared" si="1"/>
        <v/>
      </c>
      <c r="M1427" s="241" t="str">
        <f>IFERROR(__xludf.DUMMYFUNCTION("VLOOKUP(C1427,IMPORTRANGE(""https://docs.google.com/spreadsheets/d/1P8eX0NWBhUPS_hvzA11R6jkTNFrPrRYIx_dX_hYbxrk/edit?resourcekey=0-iw9bsKY2OqkUHCFMkCar3A&amp;gid=2055363397#gid=2055363397"",""MTR!C:O""),11,false)"),"")</f>
        <v/>
      </c>
      <c r="N1427" s="241" t="str">
        <f>IFERROR(__xludf.DUMMYFUNCTION("VLOOKUP(C1427,IMPORTRANGE(""https://docs.google.com/spreadsheets/d/1ihFlp3_ePlYtFuPbUNbYj1muErVpI73WHXbEwJDIA7Q/edit#gid=1493122344"",""MTR!C:O""),8,false)"),"")</f>
        <v/>
      </c>
      <c r="O1427" s="241" t="str">
        <f>IFERROR(__xludf.DUMMYFUNCTION("VLOOKUP(C1427,IMPORTRANGE(""https://docs.google.com/spreadsheets/d/1P8eX0NWBhUPS_hvzA11R6jkTNFrPrRYIx_dX_hYbxrk/edit?resourcekey=0-iw9bsKY2OqkUHCFMkCar3A&amp;gid=2055363397#gid=2055363397"",""MTR!C:O""),9,false)"),"")</f>
        <v/>
      </c>
      <c r="P1427" s="241"/>
      <c r="Q1427" s="241"/>
      <c r="R1427" s="241"/>
      <c r="S1427" s="154" t="s">
        <v>35</v>
      </c>
      <c r="T1427" s="154" t="s">
        <v>35</v>
      </c>
      <c r="U1427" s="154" t="s">
        <v>35</v>
      </c>
      <c r="V1427" s="154" t="s">
        <v>35</v>
      </c>
      <c r="W1427" s="154" t="s">
        <v>35</v>
      </c>
      <c r="X1427" s="154" t="s">
        <v>35</v>
      </c>
      <c r="Y1427" s="154" t="s">
        <v>35</v>
      </c>
      <c r="Z1427" s="154" t="s">
        <v>35</v>
      </c>
      <c r="AA1427" s="154" t="s">
        <v>35</v>
      </c>
      <c r="AB1427" s="154"/>
      <c r="AC1427" s="242" t="b">
        <f t="shared" si="2"/>
        <v>0</v>
      </c>
      <c r="AD1427" s="154" t="s">
        <v>391</v>
      </c>
      <c r="AE1427" s="243" t="b">
        <f t="shared" si="3"/>
        <v>0</v>
      </c>
      <c r="AF1427" s="154"/>
      <c r="AG1427" s="243" t="b">
        <f t="shared" si="7"/>
        <v>0</v>
      </c>
      <c r="AH1427" s="154" t="s">
        <v>652</v>
      </c>
      <c r="AI1427" s="243" t="str">
        <f t="shared" si="5"/>
        <v>Complies</v>
      </c>
      <c r="AJ1427" s="157" t="str">
        <f t="shared" si="6"/>
        <v/>
      </c>
    </row>
    <row r="1428" ht="12.75" customHeight="1">
      <c r="A1428" s="244" t="s">
        <v>3601</v>
      </c>
      <c r="B1428" s="244" t="s">
        <v>3604</v>
      </c>
      <c r="C1428" s="244" t="s">
        <v>3776</v>
      </c>
      <c r="D1428" s="154" t="s">
        <v>542</v>
      </c>
      <c r="E1428" s="250"/>
      <c r="F1428" s="154" t="str">
        <f t="array" ref="F1428">XLOOKUP(Cover!$D$12,$S$1:$AA$1,$S1428:$AA1428)</f>
        <v>Mandatory</v>
      </c>
      <c r="G1428" s="154" t="s">
        <v>3777</v>
      </c>
      <c r="H1428" s="154" t="s">
        <v>232</v>
      </c>
      <c r="I1428" s="154" t="s">
        <v>486</v>
      </c>
      <c r="J1428" s="154" t="s">
        <v>445</v>
      </c>
      <c r="K1428" s="154"/>
      <c r="L1428" s="154" t="str">
        <f t="shared" si="1"/>
        <v/>
      </c>
      <c r="M1428" s="248" t="str">
        <f>IFERROR(__xludf.DUMMYFUNCTION("VLOOKUP(C1428,IMPORTRANGE(""https://docs.google.com/spreadsheets/d/1P8eX0NWBhUPS_hvzA11R6jkTNFrPrRYIx_dX_hYbxrk/edit?resourcekey=0-iw9bsKY2OqkUHCFMkCar3A&amp;gid=2055363397#gid=2055363397"",""MTR!C:O""),11,false)"),"PMW-MCE-NAS")</f>
        <v>PMW-MCE-NAS</v>
      </c>
      <c r="N1428" s="248" t="str">
        <f>IFERROR(__xludf.DUMMYFUNCTION("VLOOKUP(C1428,IMPORTRANGE(""https://docs.google.com/spreadsheets/d/1ihFlp3_ePlYtFuPbUNbYj1muErVpI73WHXbEwJDIA7Q/edit#gid=1493122344"",""MTR!C:O""),8,false)"),"Complies")</f>
        <v>Complies</v>
      </c>
      <c r="O1428" s="241" t="str">
        <f>IFERROR(__xludf.DUMMYFUNCTION("VLOOKUP(C1428,IMPORTRANGE(""https://docs.google.com/spreadsheets/d/1P8eX0NWBhUPS_hvzA11R6jkTNFrPrRYIx_dX_hYbxrk/edit?resourcekey=0-iw9bsKY2OqkUHCFMkCar3A&amp;gid=2055363397#gid=2055363397"",""MTR!C:O""),9,false)"),"")</f>
        <v/>
      </c>
      <c r="P1428" s="241"/>
      <c r="Q1428" s="251" t="s">
        <v>445</v>
      </c>
      <c r="R1428" s="241"/>
      <c r="S1428" s="154" t="s">
        <v>68</v>
      </c>
      <c r="T1428" s="154" t="s">
        <v>60</v>
      </c>
      <c r="U1428" s="154" t="s">
        <v>60</v>
      </c>
      <c r="V1428" s="154" t="s">
        <v>60</v>
      </c>
      <c r="W1428" s="154" t="s">
        <v>60</v>
      </c>
      <c r="X1428" s="154" t="s">
        <v>60</v>
      </c>
      <c r="Y1428" s="154" t="s">
        <v>60</v>
      </c>
      <c r="Z1428" s="154" t="s">
        <v>60</v>
      </c>
      <c r="AA1428" s="154" t="s">
        <v>60</v>
      </c>
      <c r="AB1428" s="154"/>
      <c r="AC1428" s="242" t="b">
        <f t="shared" si="2"/>
        <v>1</v>
      </c>
      <c r="AD1428" s="154" t="s">
        <v>391</v>
      </c>
      <c r="AE1428" s="243" t="b">
        <f t="shared" si="3"/>
        <v>0</v>
      </c>
      <c r="AF1428" s="154"/>
      <c r="AG1428" s="243" t="b">
        <f t="shared" si="7"/>
        <v>0</v>
      </c>
      <c r="AH1428" s="154" t="s">
        <v>652</v>
      </c>
      <c r="AI1428" s="243" t="str">
        <f t="shared" si="5"/>
        <v>Complies</v>
      </c>
      <c r="AJ1428" s="157" t="str">
        <f t="shared" si="6"/>
        <v/>
      </c>
    </row>
    <row r="1429" ht="12.75" customHeight="1">
      <c r="A1429" s="244" t="s">
        <v>3601</v>
      </c>
      <c r="B1429" s="244" t="s">
        <v>3604</v>
      </c>
      <c r="C1429" s="244" t="s">
        <v>3778</v>
      </c>
      <c r="D1429" s="154" t="s">
        <v>602</v>
      </c>
      <c r="E1429" s="250"/>
      <c r="F1429" s="154" t="str">
        <f t="array" ref="F1429">XLOOKUP(Cover!$D$12,$S$1:$AA$1,$S1429:$AA1429)</f>
        <v>Mandatory</v>
      </c>
      <c r="G1429" s="154" t="s">
        <v>3779</v>
      </c>
      <c r="H1429" s="154" t="s">
        <v>232</v>
      </c>
      <c r="I1429" s="154" t="s">
        <v>486</v>
      </c>
      <c r="J1429" s="247" t="s">
        <v>445</v>
      </c>
      <c r="K1429" s="154"/>
      <c r="L1429" s="154" t="str">
        <f t="shared" si="1"/>
        <v/>
      </c>
      <c r="M1429" s="248" t="str">
        <f>IFERROR(__xludf.DUMMYFUNCTION("VLOOKUP(C1429,IMPORTRANGE(""https://docs.google.com/spreadsheets/d/1P8eX0NWBhUPS_hvzA11R6jkTNFrPrRYIx_dX_hYbxrk/edit?resourcekey=0-iw9bsKY2OqkUHCFMkCar3A&amp;gid=2055363397#gid=2055363397"",""MTR!C:O""),11,false)"),"PMW-MCE-NAS")</f>
        <v>PMW-MCE-NAS</v>
      </c>
      <c r="N1429" s="248" t="str">
        <f>IFERROR(__xludf.DUMMYFUNCTION("VLOOKUP(C1429,IMPORTRANGE(""https://docs.google.com/spreadsheets/d/1ihFlp3_ePlYtFuPbUNbYj1muErVpI73WHXbEwJDIA7Q/edit#gid=1493122344"",""MTR!C:O""),8,false)"),"Complies")</f>
        <v>Complies</v>
      </c>
      <c r="O1429" s="241" t="str">
        <f>IFERROR(__xludf.DUMMYFUNCTION("VLOOKUP(C1429,IMPORTRANGE(""https://docs.google.com/spreadsheets/d/1P8eX0NWBhUPS_hvzA11R6jkTNFrPrRYIx_dX_hYbxrk/edit?resourcekey=0-iw9bsKY2OqkUHCFMkCar3A&amp;gid=2055363397#gid=2055363397"",""MTR!C:O""),9,false)"),"")</f>
        <v/>
      </c>
      <c r="P1429" s="241"/>
      <c r="Q1429" s="251" t="s">
        <v>445</v>
      </c>
      <c r="R1429" s="241"/>
      <c r="S1429" s="154" t="s">
        <v>68</v>
      </c>
      <c r="T1429" s="154" t="s">
        <v>60</v>
      </c>
      <c r="U1429" s="154" t="s">
        <v>60</v>
      </c>
      <c r="V1429" s="154" t="s">
        <v>60</v>
      </c>
      <c r="W1429" s="154" t="s">
        <v>60</v>
      </c>
      <c r="X1429" s="154" t="s">
        <v>60</v>
      </c>
      <c r="Y1429" s="154" t="s">
        <v>60</v>
      </c>
      <c r="Z1429" s="154" t="s">
        <v>60</v>
      </c>
      <c r="AA1429" s="154" t="s">
        <v>60</v>
      </c>
      <c r="AB1429" s="154"/>
      <c r="AC1429" s="242" t="b">
        <f t="shared" si="2"/>
        <v>1</v>
      </c>
      <c r="AD1429" s="154" t="s">
        <v>391</v>
      </c>
      <c r="AE1429" s="243" t="b">
        <f t="shared" si="3"/>
        <v>0</v>
      </c>
      <c r="AF1429" s="154"/>
      <c r="AG1429" s="243" t="b">
        <f t="shared" si="7"/>
        <v>0</v>
      </c>
      <c r="AH1429" s="154"/>
      <c r="AI1429" s="243" t="str">
        <f t="shared" si="5"/>
        <v>N/A</v>
      </c>
      <c r="AJ1429" s="157" t="str">
        <f t="shared" si="6"/>
        <v/>
      </c>
    </row>
    <row r="1430" ht="12.75" customHeight="1">
      <c r="A1430" s="244" t="s">
        <v>3601</v>
      </c>
      <c r="B1430" s="244" t="s">
        <v>3604</v>
      </c>
      <c r="C1430" s="244" t="s">
        <v>3780</v>
      </c>
      <c r="D1430" s="154" t="s">
        <v>781</v>
      </c>
      <c r="E1430" s="250"/>
      <c r="F1430" s="154" t="str">
        <f t="array" ref="F1430">XLOOKUP(Cover!$D$12,$S$1:$AA$1,$S1430:$AA1430)</f>
        <v>Mandatory</v>
      </c>
      <c r="G1430" s="154" t="s">
        <v>3781</v>
      </c>
      <c r="H1430" s="154" t="s">
        <v>232</v>
      </c>
      <c r="I1430" s="154" t="s">
        <v>486</v>
      </c>
      <c r="J1430" s="247" t="s">
        <v>445</v>
      </c>
      <c r="K1430" s="154"/>
      <c r="L1430" s="154" t="str">
        <f t="shared" si="1"/>
        <v/>
      </c>
      <c r="M1430" s="248" t="str">
        <f>IFERROR(__xludf.DUMMYFUNCTION("VLOOKUP(C1430,IMPORTRANGE(""https://docs.google.com/spreadsheets/d/1P8eX0NWBhUPS_hvzA11R6jkTNFrPrRYIx_dX_hYbxrk/edit?resourcekey=0-iw9bsKY2OqkUHCFMkCar3A&amp;gid=2055363397#gid=2055363397"",""MTR!C:O""),11,false)"),"PMW-MCE-NAS")</f>
        <v>PMW-MCE-NAS</v>
      </c>
      <c r="N1430" s="248" t="str">
        <f>IFERROR(__xludf.DUMMYFUNCTION("VLOOKUP(C1430,IMPORTRANGE(""https://docs.google.com/spreadsheets/d/1ihFlp3_ePlYtFuPbUNbYj1muErVpI73WHXbEwJDIA7Q/edit#gid=1493122344"",""MTR!C:O""),8,false)"),"Complies")</f>
        <v>Complies</v>
      </c>
      <c r="O1430" s="241" t="str">
        <f>IFERROR(__xludf.DUMMYFUNCTION("VLOOKUP(C1430,IMPORTRANGE(""https://docs.google.com/spreadsheets/d/1P8eX0NWBhUPS_hvzA11R6jkTNFrPrRYIx_dX_hYbxrk/edit?resourcekey=0-iw9bsKY2OqkUHCFMkCar3A&amp;gid=2055363397#gid=2055363397"",""MTR!C:O""),9,false)"),"")</f>
        <v/>
      </c>
      <c r="P1430" s="241"/>
      <c r="Q1430" s="251" t="s">
        <v>445</v>
      </c>
      <c r="R1430" s="241"/>
      <c r="S1430" s="154" t="s">
        <v>68</v>
      </c>
      <c r="T1430" s="154" t="s">
        <v>60</v>
      </c>
      <c r="U1430" s="154" t="s">
        <v>60</v>
      </c>
      <c r="V1430" s="154" t="s">
        <v>60</v>
      </c>
      <c r="W1430" s="154" t="s">
        <v>60</v>
      </c>
      <c r="X1430" s="154" t="s">
        <v>60</v>
      </c>
      <c r="Y1430" s="154" t="s">
        <v>60</v>
      </c>
      <c r="Z1430" s="154" t="s">
        <v>60</v>
      </c>
      <c r="AA1430" s="154" t="s">
        <v>60</v>
      </c>
      <c r="AB1430" s="154"/>
      <c r="AC1430" s="242" t="b">
        <f t="shared" si="2"/>
        <v>1</v>
      </c>
      <c r="AD1430" s="154" t="s">
        <v>391</v>
      </c>
      <c r="AE1430" s="243" t="b">
        <f t="shared" si="3"/>
        <v>0</v>
      </c>
      <c r="AF1430" s="154"/>
      <c r="AG1430" s="243" t="b">
        <f t="shared" si="7"/>
        <v>0</v>
      </c>
      <c r="AH1430" s="154"/>
      <c r="AI1430" s="243" t="str">
        <f t="shared" si="5"/>
        <v>N/A</v>
      </c>
      <c r="AJ1430" s="157" t="str">
        <f t="shared" si="6"/>
        <v/>
      </c>
    </row>
    <row r="1431" ht="12.75" customHeight="1">
      <c r="A1431" s="244" t="s">
        <v>3601</v>
      </c>
      <c r="B1431" s="244" t="s">
        <v>3604</v>
      </c>
      <c r="C1431" s="244" t="s">
        <v>3782</v>
      </c>
      <c r="D1431" s="154" t="s">
        <v>542</v>
      </c>
      <c r="E1431" s="250"/>
      <c r="F1431" s="154" t="str">
        <f t="array" ref="F1431">XLOOKUP(Cover!$D$12,$S$1:$AA$1,$S1431:$AA1431)</f>
        <v>Mandatory</v>
      </c>
      <c r="G1431" s="153" t="s">
        <v>3783</v>
      </c>
      <c r="H1431" s="154" t="s">
        <v>232</v>
      </c>
      <c r="I1431" s="154" t="s">
        <v>486</v>
      </c>
      <c r="J1431" s="154" t="s">
        <v>445</v>
      </c>
      <c r="K1431" s="154" t="s">
        <v>3784</v>
      </c>
      <c r="L1431" s="154" t="str">
        <f t="shared" si="1"/>
        <v/>
      </c>
      <c r="M1431" s="248" t="str">
        <f>IFERROR(__xludf.DUMMYFUNCTION("VLOOKUP(C1431,IMPORTRANGE(""https://docs.google.com/spreadsheets/d/1P8eX0NWBhUPS_hvzA11R6jkTNFrPrRYIx_dX_hYbxrk/edit?resourcekey=0-iw9bsKY2OqkUHCFMkCar3A&amp;gid=2055363397#gid=2055363397"",""MTR!C:O""),11,false)"),"PMW-MCE-NAS")</f>
        <v>PMW-MCE-NAS</v>
      </c>
      <c r="N1431" s="248" t="str">
        <f>IFERROR(__xludf.DUMMYFUNCTION("VLOOKUP(C1431,IMPORTRANGE(""https://docs.google.com/spreadsheets/d/1ihFlp3_ePlYtFuPbUNbYj1muErVpI73WHXbEwJDIA7Q/edit#gid=1493122344"",""MTR!C:O""),8,false)"),"Complies")</f>
        <v>Complies</v>
      </c>
      <c r="O1431" s="248" t="str">
        <f>IFERROR(__xludf.DUMMYFUNCTION("VLOOKUP(C1431,IMPORTRANGE(""https://docs.google.com/spreadsheets/d/1P8eX0NWBhUPS_hvzA11R6jkTNFrPrRYIx_dX_hYbxrk/edit?resourcekey=0-iw9bsKY2OqkUHCFMkCar3A&amp;gid=2055363397#gid=2055363397"",""MTR!C:O""),9,false)"),"Timer set to 10s")</f>
        <v>Timer set to 10s</v>
      </c>
      <c r="P1431" s="248"/>
      <c r="Q1431" s="249" t="s">
        <v>445</v>
      </c>
      <c r="R1431" s="249" t="s">
        <v>3784</v>
      </c>
      <c r="S1431" s="154" t="s">
        <v>68</v>
      </c>
      <c r="T1431" s="154" t="s">
        <v>60</v>
      </c>
      <c r="U1431" s="154" t="s">
        <v>60</v>
      </c>
      <c r="V1431" s="154" t="s">
        <v>60</v>
      </c>
      <c r="W1431" s="154" t="s">
        <v>60</v>
      </c>
      <c r="X1431" s="154" t="s">
        <v>60</v>
      </c>
      <c r="Y1431" s="154" t="s">
        <v>60</v>
      </c>
      <c r="Z1431" s="154" t="s">
        <v>60</v>
      </c>
      <c r="AA1431" s="154" t="s">
        <v>60</v>
      </c>
      <c r="AB1431" s="154"/>
      <c r="AC1431" s="242" t="b">
        <f t="shared" si="2"/>
        <v>1</v>
      </c>
      <c r="AD1431" s="154" t="s">
        <v>445</v>
      </c>
      <c r="AE1431" s="243" t="b">
        <f t="shared" si="3"/>
        <v>0</v>
      </c>
      <c r="AF1431" s="154"/>
      <c r="AG1431" s="243" t="b">
        <f t="shared" si="7"/>
        <v>0</v>
      </c>
      <c r="AH1431" s="154" t="s">
        <v>652</v>
      </c>
      <c r="AI1431" s="243" t="str">
        <f t="shared" si="5"/>
        <v>Complies</v>
      </c>
      <c r="AJ1431" s="157" t="str">
        <f t="shared" si="6"/>
        <v/>
      </c>
    </row>
    <row r="1432" ht="12.75" customHeight="1">
      <c r="A1432" s="244" t="s">
        <v>3601</v>
      </c>
      <c r="B1432" s="244" t="s">
        <v>3604</v>
      </c>
      <c r="C1432" s="244" t="s">
        <v>3785</v>
      </c>
      <c r="D1432" s="154" t="s">
        <v>1315</v>
      </c>
      <c r="E1432" s="250"/>
      <c r="F1432" s="154" t="str">
        <f t="array" ref="F1432">XLOOKUP(Cover!$D$12,$S$1:$AA$1,$S1432:$AA1432)</f>
        <v>Mandatory</v>
      </c>
      <c r="G1432" s="154" t="s">
        <v>3786</v>
      </c>
      <c r="H1432" s="154" t="s">
        <v>234</v>
      </c>
      <c r="I1432" s="154" t="s">
        <v>486</v>
      </c>
      <c r="J1432" s="247" t="s">
        <v>516</v>
      </c>
      <c r="K1432" s="247"/>
      <c r="L1432" s="154" t="str">
        <f t="shared" si="1"/>
        <v/>
      </c>
      <c r="M1432" s="248" t="str">
        <f>IFERROR(__xludf.DUMMYFUNCTION("VLOOKUP(C1432,IMPORTRANGE(""https://docs.google.com/spreadsheets/d/1P8eX0NWBhUPS_hvzA11R6jkTNFrPrRYIx_dX_hYbxrk/edit?resourcekey=0-iw9bsKY2OqkUHCFMkCar3A&amp;gid=2055363397#gid=2055363397"",""MTR!C:O""),11,false)"),"TAM")</f>
        <v>TAM</v>
      </c>
      <c r="N1432" s="248" t="str">
        <f>IFERROR(__xludf.DUMMYFUNCTION("VLOOKUP(C1432,IMPORTRANGE(""https://docs.google.com/spreadsheets/d/1ihFlp3_ePlYtFuPbUNbYj1muErVpI73WHXbEwJDIA7Q/edit#gid=1493122344"",""MTR!C:O""),8,false)"),"Does Not Comply")</f>
        <v>Does Not Comply</v>
      </c>
      <c r="O1432" s="241" t="str">
        <f>IFERROR(__xludf.DUMMYFUNCTION("VLOOKUP(C1432,IMPORTRANGE(""https://docs.google.com/spreadsheets/d/1P8eX0NWBhUPS_hvzA11R6jkTNFrPrRYIx_dX_hYbxrk/edit?resourcekey=0-iw9bsKY2OqkUHCFMkCar3A&amp;gid=2055363397#gid=2055363397"",""MTR!C:O""),9,false)"),"")</f>
        <v/>
      </c>
      <c r="P1432" s="241"/>
      <c r="Q1432" s="251" t="s">
        <v>516</v>
      </c>
      <c r="R1432" s="251"/>
      <c r="S1432" s="154" t="s">
        <v>68</v>
      </c>
      <c r="T1432" s="154" t="s">
        <v>60</v>
      </c>
      <c r="U1432" s="154" t="s">
        <v>60</v>
      </c>
      <c r="V1432" s="154" t="s">
        <v>60</v>
      </c>
      <c r="W1432" s="154" t="s">
        <v>60</v>
      </c>
      <c r="X1432" s="154" t="s">
        <v>60</v>
      </c>
      <c r="Y1432" s="154" t="s">
        <v>60</v>
      </c>
      <c r="Z1432" s="154" t="s">
        <v>60</v>
      </c>
      <c r="AA1432" s="154" t="s">
        <v>60</v>
      </c>
      <c r="AB1432" s="154"/>
      <c r="AC1432" s="242" t="b">
        <f t="shared" si="2"/>
        <v>1</v>
      </c>
      <c r="AD1432" s="154" t="s">
        <v>391</v>
      </c>
      <c r="AE1432" s="243" t="b">
        <f t="shared" si="3"/>
        <v>0</v>
      </c>
      <c r="AF1432" s="154"/>
      <c r="AG1432" s="243" t="b">
        <f t="shared" si="7"/>
        <v>0</v>
      </c>
      <c r="AH1432" s="154"/>
      <c r="AI1432" s="243" t="str">
        <f t="shared" si="5"/>
        <v>N/A</v>
      </c>
      <c r="AJ1432" s="157" t="str">
        <f t="shared" si="6"/>
        <v/>
      </c>
    </row>
    <row r="1433" ht="12.75" customHeight="1">
      <c r="A1433" s="238" t="s">
        <v>3601</v>
      </c>
      <c r="B1433" s="238" t="s">
        <v>3604</v>
      </c>
      <c r="C1433" s="238" t="s">
        <v>3787</v>
      </c>
      <c r="D1433" s="240"/>
      <c r="E1433" s="252" t="s">
        <v>92</v>
      </c>
      <c r="F1433" s="154" t="str">
        <f t="array" ref="F1433">XLOOKUP(Cover!$D$12,$S$1:$AA$1,$S1433:$AA1433)</f>
        <v>Heading</v>
      </c>
      <c r="G1433" s="239" t="s">
        <v>3788</v>
      </c>
      <c r="H1433" s="240"/>
      <c r="I1433" s="240" t="s">
        <v>420</v>
      </c>
      <c r="J1433" s="262"/>
      <c r="K1433" s="240"/>
      <c r="L1433" s="154" t="str">
        <f t="shared" si="1"/>
        <v/>
      </c>
      <c r="M1433" s="241" t="str">
        <f>IFERROR(__xludf.DUMMYFUNCTION("VLOOKUP(C1433,IMPORTRANGE(""https://docs.google.com/spreadsheets/d/1P8eX0NWBhUPS_hvzA11R6jkTNFrPrRYIx_dX_hYbxrk/edit?resourcekey=0-iw9bsKY2OqkUHCFMkCar3A&amp;gid=2055363397#gid=2055363397"",""MTR!C:O""),11,false)"),"")</f>
        <v/>
      </c>
      <c r="N1433" s="241" t="str">
        <f>IFERROR(__xludf.DUMMYFUNCTION("VLOOKUP(C1433,IMPORTRANGE(""https://docs.google.com/spreadsheets/d/1ihFlp3_ePlYtFuPbUNbYj1muErVpI73WHXbEwJDIA7Q/edit#gid=1493122344"",""MTR!C:O""),8,false)"),"")</f>
        <v/>
      </c>
      <c r="O1433" s="241" t="str">
        <f>IFERROR(__xludf.DUMMYFUNCTION("VLOOKUP(C1433,IMPORTRANGE(""https://docs.google.com/spreadsheets/d/1P8eX0NWBhUPS_hvzA11R6jkTNFrPrRYIx_dX_hYbxrk/edit?resourcekey=0-iw9bsKY2OqkUHCFMkCar3A&amp;gid=2055363397#gid=2055363397"",""MTR!C:O""),9,false)"),"")</f>
        <v/>
      </c>
      <c r="P1433" s="241"/>
      <c r="Q1433" s="251"/>
      <c r="R1433" s="241"/>
      <c r="S1433" s="240" t="s">
        <v>390</v>
      </c>
      <c r="T1433" s="240" t="s">
        <v>390</v>
      </c>
      <c r="U1433" s="240" t="s">
        <v>390</v>
      </c>
      <c r="V1433" s="240" t="s">
        <v>390</v>
      </c>
      <c r="W1433" s="240" t="s">
        <v>390</v>
      </c>
      <c r="X1433" s="240" t="s">
        <v>390</v>
      </c>
      <c r="Y1433" s="240" t="s">
        <v>390</v>
      </c>
      <c r="Z1433" s="240" t="s">
        <v>390</v>
      </c>
      <c r="AA1433" s="240" t="s">
        <v>390</v>
      </c>
      <c r="AB1433" s="240"/>
      <c r="AC1433" s="242" t="b">
        <f t="shared" si="2"/>
        <v>0</v>
      </c>
      <c r="AD1433" s="240" t="s">
        <v>391</v>
      </c>
      <c r="AE1433" s="243" t="b">
        <f t="shared" si="3"/>
        <v>0</v>
      </c>
      <c r="AF1433" s="240"/>
      <c r="AG1433" s="243" t="b">
        <f t="shared" si="7"/>
        <v>0</v>
      </c>
      <c r="AH1433" s="240"/>
      <c r="AI1433" s="243" t="str">
        <f t="shared" si="5"/>
        <v>N/A</v>
      </c>
      <c r="AJ1433" s="157" t="str">
        <f t="shared" si="6"/>
        <v/>
      </c>
    </row>
    <row r="1434" ht="12.75" customHeight="1">
      <c r="A1434" s="244" t="s">
        <v>3601</v>
      </c>
      <c r="B1434" s="244" t="s">
        <v>3604</v>
      </c>
      <c r="C1434" s="244" t="s">
        <v>3789</v>
      </c>
      <c r="D1434" s="154" t="s">
        <v>739</v>
      </c>
      <c r="E1434" s="250"/>
      <c r="F1434" s="154" t="str">
        <f t="array" ref="F1434">XLOOKUP(Cover!$D$12,$S$1:$AA$1,$S1434:$AA1434)</f>
        <v>Mandatory</v>
      </c>
      <c r="G1434" s="154" t="s">
        <v>3790</v>
      </c>
      <c r="H1434" s="154" t="s">
        <v>347</v>
      </c>
      <c r="I1434" s="154" t="s">
        <v>420</v>
      </c>
      <c r="J1434" s="247" t="s">
        <v>506</v>
      </c>
      <c r="K1434" s="247" t="s">
        <v>3791</v>
      </c>
      <c r="L1434" s="154" t="str">
        <f t="shared" si="1"/>
        <v/>
      </c>
      <c r="M1434" s="248" t="str">
        <f>IFERROR(__xludf.DUMMYFUNCTION("VLOOKUP(C1434,IMPORTRANGE(""https://docs.google.com/spreadsheets/d/1P8eX0NWBhUPS_hvzA11R6jkTNFrPrRYIx_dX_hYbxrk/edit?resourcekey=0-iw9bsKY2OqkUHCFMkCar3A&amp;gid=2055363397#gid=2055363397"",""MTR!C:O""),11,false)"),"PMW-IMS")</f>
        <v>PMW-IMS</v>
      </c>
      <c r="N1434" s="248" t="str">
        <f>IFERROR(__xludf.DUMMYFUNCTION("VLOOKUP(C1434,IMPORTRANGE(""https://docs.google.com/spreadsheets/d/1ihFlp3_ePlYtFuPbUNbYj1muErVpI73WHXbEwJDIA7Q/edit#gid=1493122344"",""MTR!C:O""),8,false)"),"Partially Complies")</f>
        <v>Partially Complies</v>
      </c>
      <c r="O1434" s="248" t="str">
        <f>IFERROR(__xludf.DUMMYFUNCTION("VLOOKUP(C1434,IMPORTRANGE(""https://docs.google.com/spreadsheets/d/1P8eX0NWBhUPS_hvzA11R6jkTNFrPrRYIx_dX_hYbxrk/edit?resourcekey=0-iw9bsKY2OqkUHCFMkCar3A&amp;gid=2055363397#gid=2055363397"",""MTR!C:O""),9,false)"),"Pixel does not support display IMS registration stauts on status bar. IMS registration status display under Settings - About phone - SIM status")</f>
        <v>Pixel does not support display IMS registration stauts on status bar. IMS registration status display under Settings - About phone - SIM status</v>
      </c>
      <c r="P1434" s="248"/>
      <c r="Q1434" s="249" t="s">
        <v>506</v>
      </c>
      <c r="R1434" s="249" t="s">
        <v>3791</v>
      </c>
      <c r="S1434" s="154" t="s">
        <v>60</v>
      </c>
      <c r="T1434" s="154" t="s">
        <v>60</v>
      </c>
      <c r="U1434" s="154" t="s">
        <v>60</v>
      </c>
      <c r="V1434" s="154" t="s">
        <v>60</v>
      </c>
      <c r="W1434" s="154" t="s">
        <v>60</v>
      </c>
      <c r="X1434" s="154" t="s">
        <v>60</v>
      </c>
      <c r="Y1434" s="154" t="s">
        <v>60</v>
      </c>
      <c r="Z1434" s="154" t="s">
        <v>60</v>
      </c>
      <c r="AA1434" s="154" t="s">
        <v>60</v>
      </c>
      <c r="AB1434" s="154"/>
      <c r="AC1434" s="242" t="b">
        <f t="shared" si="2"/>
        <v>1</v>
      </c>
      <c r="AD1434" s="154" t="s">
        <v>68</v>
      </c>
      <c r="AE1434" s="243" t="b">
        <f t="shared" si="3"/>
        <v>0</v>
      </c>
      <c r="AF1434" s="154"/>
      <c r="AG1434" s="243" t="b">
        <f t="shared" si="7"/>
        <v>0</v>
      </c>
      <c r="AH1434" s="154"/>
      <c r="AI1434" s="243" t="str">
        <f t="shared" si="5"/>
        <v>N/A</v>
      </c>
      <c r="AJ1434" s="157" t="str">
        <f t="shared" si="6"/>
        <v/>
      </c>
    </row>
    <row r="1435" ht="12.75" customHeight="1">
      <c r="A1435" s="244" t="s">
        <v>3601</v>
      </c>
      <c r="B1435" s="244" t="s">
        <v>3604</v>
      </c>
      <c r="C1435" s="244" t="s">
        <v>3792</v>
      </c>
      <c r="D1435" s="154" t="s">
        <v>739</v>
      </c>
      <c r="E1435" s="250"/>
      <c r="F1435" s="154" t="str">
        <f t="array" ref="F1435">XLOOKUP(Cover!$D$12,$S$1:$AA$1,$S1435:$AA1435)</f>
        <v>Mandatory</v>
      </c>
      <c r="G1435" s="154" t="s">
        <v>3793</v>
      </c>
      <c r="H1435" s="154" t="s">
        <v>347</v>
      </c>
      <c r="I1435" s="154" t="s">
        <v>420</v>
      </c>
      <c r="J1435" s="247" t="s">
        <v>506</v>
      </c>
      <c r="K1435" s="247" t="s">
        <v>3794</v>
      </c>
      <c r="L1435" s="154" t="str">
        <f t="shared" si="1"/>
        <v/>
      </c>
      <c r="M1435" s="248" t="str">
        <f>IFERROR(__xludf.DUMMYFUNCTION("VLOOKUP(C1435,IMPORTRANGE(""https://docs.google.com/spreadsheets/d/1P8eX0NWBhUPS_hvzA11R6jkTNFrPrRYIx_dX_hYbxrk/edit?resourcekey=0-iw9bsKY2OqkUHCFMkCar3A&amp;gid=2055363397#gid=2055363397"",""MTR!C:O""),11,false)"),"PMW-IMS")</f>
        <v>PMW-IMS</v>
      </c>
      <c r="N1435" s="248" t="str">
        <f>IFERROR(__xludf.DUMMYFUNCTION("VLOOKUP(C1435,IMPORTRANGE(""https://docs.google.com/spreadsheets/d/1ihFlp3_ePlYtFuPbUNbYj1muErVpI73WHXbEwJDIA7Q/edit#gid=1493122344"",""MTR!C:O""),8,false)"),"Partially Complies")</f>
        <v>Partially Complies</v>
      </c>
      <c r="O1435" s="248" t="str">
        <f>IFERROR(__xludf.DUMMYFUNCTION("VLOOKUP(C1435,IMPORTRANGE(""https://docs.google.com/spreadsheets/d/1P8eX0NWBhUPS_hvzA11R6jkTNFrPrRYIx_dX_hYbxrk/edit?resourcekey=0-iw9bsKY2OqkUHCFMkCar3A&amp;gid=2055363397#gid=2055363397"",""MTR!C:O""),9,false)"),"Support HD icon on in-call UI. Disabled according to TISD")</f>
        <v>Support HD icon on in-call UI. Disabled according to TISD</v>
      </c>
      <c r="P1435" s="248"/>
      <c r="Q1435" s="249" t="s">
        <v>506</v>
      </c>
      <c r="R1435" s="249" t="s">
        <v>3794</v>
      </c>
      <c r="S1435" s="154" t="s">
        <v>60</v>
      </c>
      <c r="T1435" s="154" t="s">
        <v>60</v>
      </c>
      <c r="U1435" s="154" t="s">
        <v>60</v>
      </c>
      <c r="V1435" s="154" t="s">
        <v>60</v>
      </c>
      <c r="W1435" s="154" t="s">
        <v>60</v>
      </c>
      <c r="X1435" s="154" t="s">
        <v>60</v>
      </c>
      <c r="Y1435" s="154" t="s">
        <v>60</v>
      </c>
      <c r="Z1435" s="154" t="s">
        <v>60</v>
      </c>
      <c r="AA1435" s="154" t="s">
        <v>60</v>
      </c>
      <c r="AB1435" s="154"/>
      <c r="AC1435" s="242" t="b">
        <f t="shared" si="2"/>
        <v>1</v>
      </c>
      <c r="AD1435" s="154" t="s">
        <v>391</v>
      </c>
      <c r="AE1435" s="243" t="b">
        <f t="shared" si="3"/>
        <v>0</v>
      </c>
      <c r="AF1435" s="154"/>
      <c r="AG1435" s="243" t="b">
        <f t="shared" si="7"/>
        <v>0</v>
      </c>
      <c r="AH1435" s="154"/>
      <c r="AI1435" s="243" t="str">
        <f t="shared" si="5"/>
        <v>N/A</v>
      </c>
      <c r="AJ1435" s="157" t="str">
        <f t="shared" si="6"/>
        <v/>
      </c>
    </row>
    <row r="1436" ht="12.75" customHeight="1">
      <c r="A1436" s="244" t="s">
        <v>3601</v>
      </c>
      <c r="B1436" s="244" t="s">
        <v>3604</v>
      </c>
      <c r="C1436" s="244" t="s">
        <v>3795</v>
      </c>
      <c r="D1436" s="154" t="s">
        <v>739</v>
      </c>
      <c r="E1436" s="250"/>
      <c r="F1436" s="154" t="str">
        <f t="array" ref="F1436">XLOOKUP(Cover!$D$12,$S$1:$AA$1,$S1436:$AA1436)</f>
        <v>Mandatory</v>
      </c>
      <c r="G1436" s="154" t="s">
        <v>3796</v>
      </c>
      <c r="H1436" s="154" t="s">
        <v>347</v>
      </c>
      <c r="I1436" s="154" t="s">
        <v>420</v>
      </c>
      <c r="J1436" s="247" t="s">
        <v>617</v>
      </c>
      <c r="K1436" s="247" t="s">
        <v>3797</v>
      </c>
      <c r="L1436" s="154" t="str">
        <f t="shared" si="1"/>
        <v/>
      </c>
      <c r="M1436" s="248" t="str">
        <f>IFERROR(__xludf.DUMMYFUNCTION("VLOOKUP(C1436,IMPORTRANGE(""https://docs.google.com/spreadsheets/d/1P8eX0NWBhUPS_hvzA11R6jkTNFrPrRYIx_dX_hYbxrk/edit?resourcekey=0-iw9bsKY2OqkUHCFMkCar3A&amp;gid=2055363397#gid=2055363397"",""MTR!C:O""),11,false)"),"PMW-IMS")</f>
        <v>PMW-IMS</v>
      </c>
      <c r="N1436" s="248" t="str">
        <f>IFERROR(__xludf.DUMMYFUNCTION("VLOOKUP(C1436,IMPORTRANGE(""https://docs.google.com/spreadsheets/d/1ihFlp3_ePlYtFuPbUNbYj1muErVpI73WHXbEwJDIA7Q/edit#gid=1493122344"",""MTR!C:O""),8,false)"),"Not Applicable")</f>
        <v>Not Applicable</v>
      </c>
      <c r="O1436" s="241" t="str">
        <f>IFERROR(__xludf.DUMMYFUNCTION("VLOOKUP(C1436,IMPORTRANGE(""https://docs.google.com/spreadsheets/d/1P8eX0NWBhUPS_hvzA11R6jkTNFrPrRYIx_dX_hYbxrk/edit?resourcekey=0-iw9bsKY2OqkUHCFMkCar3A&amp;gid=2055363397#gid=2055363397"",""MTR!C:O""),9,false)"),"")</f>
        <v/>
      </c>
      <c r="P1436" s="241"/>
      <c r="Q1436" s="251" t="s">
        <v>617</v>
      </c>
      <c r="R1436" s="251" t="s">
        <v>3797</v>
      </c>
      <c r="S1436" s="154" t="s">
        <v>60</v>
      </c>
      <c r="T1436" s="154" t="s">
        <v>60</v>
      </c>
      <c r="U1436" s="154" t="s">
        <v>60</v>
      </c>
      <c r="V1436" s="154" t="s">
        <v>60</v>
      </c>
      <c r="W1436" s="154" t="s">
        <v>60</v>
      </c>
      <c r="X1436" s="154" t="s">
        <v>60</v>
      </c>
      <c r="Y1436" s="154" t="s">
        <v>60</v>
      </c>
      <c r="Z1436" s="154" t="s">
        <v>60</v>
      </c>
      <c r="AA1436" s="154" t="s">
        <v>60</v>
      </c>
      <c r="AB1436" s="154"/>
      <c r="AC1436" s="242" t="b">
        <f t="shared" si="2"/>
        <v>1</v>
      </c>
      <c r="AD1436" s="154" t="s">
        <v>391</v>
      </c>
      <c r="AE1436" s="243" t="b">
        <f t="shared" si="3"/>
        <v>0</v>
      </c>
      <c r="AF1436" s="154"/>
      <c r="AG1436" s="243" t="b">
        <f t="shared" si="7"/>
        <v>0</v>
      </c>
      <c r="AH1436" s="154"/>
      <c r="AI1436" s="243" t="str">
        <f t="shared" si="5"/>
        <v>N/A</v>
      </c>
      <c r="AJ1436" s="157" t="str">
        <f t="shared" si="6"/>
        <v/>
      </c>
    </row>
    <row r="1437" ht="12.75" customHeight="1">
      <c r="A1437" s="238" t="s">
        <v>3601</v>
      </c>
      <c r="B1437" s="238" t="s">
        <v>3604</v>
      </c>
      <c r="C1437" s="238" t="s">
        <v>3798</v>
      </c>
      <c r="D1437" s="240"/>
      <c r="E1437" s="252" t="s">
        <v>92</v>
      </c>
      <c r="F1437" s="154" t="str">
        <f t="array" ref="F1437">XLOOKUP(Cover!$D$12,$S$1:$AA$1,$S1437:$AA1437)</f>
        <v>Heading</v>
      </c>
      <c r="G1437" s="239" t="s">
        <v>3799</v>
      </c>
      <c r="H1437" s="240"/>
      <c r="I1437" s="240" t="s">
        <v>420</v>
      </c>
      <c r="J1437" s="262"/>
      <c r="K1437" s="262"/>
      <c r="L1437" s="154" t="str">
        <f t="shared" si="1"/>
        <v/>
      </c>
      <c r="M1437" s="241" t="str">
        <f>IFERROR(__xludf.DUMMYFUNCTION("VLOOKUP(C1437,IMPORTRANGE(""https://docs.google.com/spreadsheets/d/1P8eX0NWBhUPS_hvzA11R6jkTNFrPrRYIx_dX_hYbxrk/edit?resourcekey=0-iw9bsKY2OqkUHCFMkCar3A&amp;gid=2055363397#gid=2055363397"",""MTR!C:O""),11,false)"),"")</f>
        <v/>
      </c>
      <c r="N1437" s="241" t="str">
        <f>IFERROR(__xludf.DUMMYFUNCTION("VLOOKUP(C1437,IMPORTRANGE(""https://docs.google.com/spreadsheets/d/1ihFlp3_ePlYtFuPbUNbYj1muErVpI73WHXbEwJDIA7Q/edit#gid=1493122344"",""MTR!C:O""),8,false)"),"")</f>
        <v/>
      </c>
      <c r="O1437" s="241" t="str">
        <f>IFERROR(__xludf.DUMMYFUNCTION("VLOOKUP(C1437,IMPORTRANGE(""https://docs.google.com/spreadsheets/d/1P8eX0NWBhUPS_hvzA11R6jkTNFrPrRYIx_dX_hYbxrk/edit?resourcekey=0-iw9bsKY2OqkUHCFMkCar3A&amp;gid=2055363397#gid=2055363397"",""MTR!C:O""),9,false)"),"")</f>
        <v/>
      </c>
      <c r="P1437" s="241"/>
      <c r="Q1437" s="251"/>
      <c r="R1437" s="251"/>
      <c r="S1437" s="240" t="s">
        <v>390</v>
      </c>
      <c r="T1437" s="240" t="s">
        <v>390</v>
      </c>
      <c r="U1437" s="240" t="s">
        <v>390</v>
      </c>
      <c r="V1437" s="240" t="s">
        <v>390</v>
      </c>
      <c r="W1437" s="240" t="s">
        <v>390</v>
      </c>
      <c r="X1437" s="240" t="s">
        <v>390</v>
      </c>
      <c r="Y1437" s="240" t="s">
        <v>390</v>
      </c>
      <c r="Z1437" s="240" t="s">
        <v>390</v>
      </c>
      <c r="AA1437" s="240" t="s">
        <v>390</v>
      </c>
      <c r="AB1437" s="240"/>
      <c r="AC1437" s="242" t="b">
        <f t="shared" si="2"/>
        <v>0</v>
      </c>
      <c r="AD1437" s="240" t="s">
        <v>391</v>
      </c>
      <c r="AE1437" s="243" t="b">
        <f t="shared" si="3"/>
        <v>0</v>
      </c>
      <c r="AF1437" s="240"/>
      <c r="AG1437" s="243" t="b">
        <f t="shared" si="7"/>
        <v>0</v>
      </c>
      <c r="AH1437" s="240"/>
      <c r="AI1437" s="243" t="str">
        <f t="shared" si="5"/>
        <v>N/A</v>
      </c>
      <c r="AJ1437" s="157" t="str">
        <f t="shared" si="6"/>
        <v/>
      </c>
    </row>
    <row r="1438" ht="12.75" customHeight="1">
      <c r="A1438" s="244" t="s">
        <v>3601</v>
      </c>
      <c r="B1438" s="244" t="s">
        <v>3604</v>
      </c>
      <c r="C1438" s="244" t="s">
        <v>3800</v>
      </c>
      <c r="D1438" s="154" t="s">
        <v>581</v>
      </c>
      <c r="E1438" s="250"/>
      <c r="F1438" s="154" t="str">
        <f t="array" ref="F1438">XLOOKUP(Cover!$D$12,$S$1:$AA$1,$S1438:$AA1438)</f>
        <v>Mandatory</v>
      </c>
      <c r="G1438" s="154" t="s">
        <v>3801</v>
      </c>
      <c r="H1438" s="154" t="s">
        <v>351</v>
      </c>
      <c r="I1438" s="154" t="s">
        <v>420</v>
      </c>
      <c r="J1438" s="247" t="s">
        <v>445</v>
      </c>
      <c r="K1438" s="154"/>
      <c r="L1438" s="154" t="str">
        <f t="shared" si="1"/>
        <v/>
      </c>
      <c r="M1438" s="248" t="str">
        <f>IFERROR(__xludf.DUMMYFUNCTION("VLOOKUP(C1438,IMPORTRANGE(""https://docs.google.com/spreadsheets/d/1P8eX0NWBhUPS_hvzA11R6jkTNFrPrRYIx_dX_hYbxrk/edit?resourcekey=0-iw9bsKY2OqkUHCFMkCar3A&amp;gid=2055363397#gid=2055363397"",""MTR!C:O""),11,false)"),"PMW-IMS")</f>
        <v>PMW-IMS</v>
      </c>
      <c r="N1438" s="248" t="str">
        <f>IFERROR(__xludf.DUMMYFUNCTION("VLOOKUP(C1438,IMPORTRANGE(""https://docs.google.com/spreadsheets/d/1ihFlp3_ePlYtFuPbUNbYj1muErVpI73WHXbEwJDIA7Q/edit#gid=1493122344"",""MTR!C:O""),8,false)"),"Complies")</f>
        <v>Complies</v>
      </c>
      <c r="O1438" s="241" t="str">
        <f>IFERROR(__xludf.DUMMYFUNCTION("VLOOKUP(C1438,IMPORTRANGE(""https://docs.google.com/spreadsheets/d/1P8eX0NWBhUPS_hvzA11R6jkTNFrPrRYIx_dX_hYbxrk/edit?resourcekey=0-iw9bsKY2OqkUHCFMkCar3A&amp;gid=2055363397#gid=2055363397"",""MTR!C:O""),9,false)"),"")</f>
        <v/>
      </c>
      <c r="P1438" s="241"/>
      <c r="Q1438" s="251" t="s">
        <v>445</v>
      </c>
      <c r="R1438" s="241"/>
      <c r="S1438" s="154" t="s">
        <v>60</v>
      </c>
      <c r="T1438" s="154" t="s">
        <v>60</v>
      </c>
      <c r="U1438" s="154" t="s">
        <v>60</v>
      </c>
      <c r="V1438" s="154" t="s">
        <v>60</v>
      </c>
      <c r="W1438" s="154" t="s">
        <v>60</v>
      </c>
      <c r="X1438" s="154" t="s">
        <v>60</v>
      </c>
      <c r="Y1438" s="154" t="s">
        <v>60</v>
      </c>
      <c r="Z1438" s="154" t="s">
        <v>60</v>
      </c>
      <c r="AA1438" s="154" t="s">
        <v>60</v>
      </c>
      <c r="AB1438" s="154"/>
      <c r="AC1438" s="242" t="b">
        <f t="shared" si="2"/>
        <v>1</v>
      </c>
      <c r="AD1438" s="154" t="s">
        <v>391</v>
      </c>
      <c r="AE1438" s="243" t="b">
        <f t="shared" si="3"/>
        <v>0</v>
      </c>
      <c r="AF1438" s="154"/>
      <c r="AG1438" s="243" t="b">
        <f t="shared" si="7"/>
        <v>0</v>
      </c>
      <c r="AH1438" s="154"/>
      <c r="AI1438" s="243" t="str">
        <f t="shared" si="5"/>
        <v>N/A</v>
      </c>
      <c r="AJ1438" s="157" t="str">
        <f t="shared" si="6"/>
        <v/>
      </c>
    </row>
    <row r="1439" ht="12.75" customHeight="1">
      <c r="A1439" s="244" t="s">
        <v>3601</v>
      </c>
      <c r="B1439" s="244" t="s">
        <v>3604</v>
      </c>
      <c r="C1439" s="244" t="s">
        <v>3802</v>
      </c>
      <c r="D1439" s="154" t="s">
        <v>433</v>
      </c>
      <c r="E1439" s="250"/>
      <c r="F1439" s="154" t="str">
        <f t="array" ref="F1439">XLOOKUP(Cover!$D$12,$S$1:$AA$1,$S1439:$AA1439)</f>
        <v>Mandatory</v>
      </c>
      <c r="G1439" s="154" t="s">
        <v>3803</v>
      </c>
      <c r="H1439" s="154" t="s">
        <v>351</v>
      </c>
      <c r="I1439" s="154" t="s">
        <v>420</v>
      </c>
      <c r="J1439" s="247" t="s">
        <v>445</v>
      </c>
      <c r="K1439" s="154"/>
      <c r="L1439" s="154" t="str">
        <f t="shared" si="1"/>
        <v/>
      </c>
      <c r="M1439" s="248" t="str">
        <f>IFERROR(__xludf.DUMMYFUNCTION("VLOOKUP(C1439,IMPORTRANGE(""https://docs.google.com/spreadsheets/d/1P8eX0NWBhUPS_hvzA11R6jkTNFrPrRYIx_dX_hYbxrk/edit?resourcekey=0-iw9bsKY2OqkUHCFMkCar3A&amp;gid=2055363397#gid=2055363397"",""MTR!C:O""),11,false)"),"PMW-IMS")</f>
        <v>PMW-IMS</v>
      </c>
      <c r="N1439" s="248" t="str">
        <f>IFERROR(__xludf.DUMMYFUNCTION("VLOOKUP(C1439,IMPORTRANGE(""https://docs.google.com/spreadsheets/d/1ihFlp3_ePlYtFuPbUNbYj1muErVpI73WHXbEwJDIA7Q/edit#gid=1493122344"",""MTR!C:O""),8,false)"),"Complies")</f>
        <v>Complies</v>
      </c>
      <c r="O1439" s="241" t="str">
        <f>IFERROR(__xludf.DUMMYFUNCTION("VLOOKUP(C1439,IMPORTRANGE(""https://docs.google.com/spreadsheets/d/1P8eX0NWBhUPS_hvzA11R6jkTNFrPrRYIx_dX_hYbxrk/edit?resourcekey=0-iw9bsKY2OqkUHCFMkCar3A&amp;gid=2055363397#gid=2055363397"",""MTR!C:O""),9,false)"),"")</f>
        <v/>
      </c>
      <c r="P1439" s="241"/>
      <c r="Q1439" s="251" t="s">
        <v>445</v>
      </c>
      <c r="R1439" s="241"/>
      <c r="S1439" s="154" t="s">
        <v>60</v>
      </c>
      <c r="T1439" s="154" t="s">
        <v>60</v>
      </c>
      <c r="U1439" s="154" t="s">
        <v>60</v>
      </c>
      <c r="V1439" s="154" t="s">
        <v>60</v>
      </c>
      <c r="W1439" s="154" t="s">
        <v>60</v>
      </c>
      <c r="X1439" s="154" t="s">
        <v>60</v>
      </c>
      <c r="Y1439" s="154" t="s">
        <v>60</v>
      </c>
      <c r="Z1439" s="154" t="s">
        <v>60</v>
      </c>
      <c r="AA1439" s="154" t="s">
        <v>60</v>
      </c>
      <c r="AB1439" s="154"/>
      <c r="AC1439" s="242" t="b">
        <f t="shared" si="2"/>
        <v>1</v>
      </c>
      <c r="AD1439" s="154" t="s">
        <v>391</v>
      </c>
      <c r="AE1439" s="243" t="b">
        <f t="shared" si="3"/>
        <v>0</v>
      </c>
      <c r="AF1439" s="154"/>
      <c r="AG1439" s="243" t="b">
        <f t="shared" si="7"/>
        <v>0</v>
      </c>
      <c r="AH1439" s="154"/>
      <c r="AI1439" s="243" t="str">
        <f t="shared" si="5"/>
        <v>N/A</v>
      </c>
      <c r="AJ1439" s="157" t="str">
        <f t="shared" si="6"/>
        <v/>
      </c>
    </row>
    <row r="1440" ht="12.75" customHeight="1">
      <c r="A1440" s="244" t="s">
        <v>3601</v>
      </c>
      <c r="B1440" s="244" t="s">
        <v>3604</v>
      </c>
      <c r="C1440" s="244" t="s">
        <v>3804</v>
      </c>
      <c r="D1440" s="154" t="s">
        <v>581</v>
      </c>
      <c r="E1440" s="250"/>
      <c r="F1440" s="154" t="str">
        <f t="array" ref="F1440">XLOOKUP(Cover!$D$12,$S$1:$AA$1,$S1440:$AA1440)</f>
        <v>Mandatory</v>
      </c>
      <c r="G1440" s="154" t="s">
        <v>3805</v>
      </c>
      <c r="H1440" s="154" t="s">
        <v>351</v>
      </c>
      <c r="I1440" s="154" t="s">
        <v>420</v>
      </c>
      <c r="J1440" s="247" t="s">
        <v>445</v>
      </c>
      <c r="K1440" s="154"/>
      <c r="L1440" s="154" t="str">
        <f t="shared" si="1"/>
        <v/>
      </c>
      <c r="M1440" s="248" t="str">
        <f>IFERROR(__xludf.DUMMYFUNCTION("VLOOKUP(C1440,IMPORTRANGE(""https://docs.google.com/spreadsheets/d/1P8eX0NWBhUPS_hvzA11R6jkTNFrPrRYIx_dX_hYbxrk/edit?resourcekey=0-iw9bsKY2OqkUHCFMkCar3A&amp;gid=2055363397#gid=2055363397"",""MTR!C:O""),11,false)"),"PMW-IMS")</f>
        <v>PMW-IMS</v>
      </c>
      <c r="N1440" s="248" t="str">
        <f>IFERROR(__xludf.DUMMYFUNCTION("VLOOKUP(C1440,IMPORTRANGE(""https://docs.google.com/spreadsheets/d/1ihFlp3_ePlYtFuPbUNbYj1muErVpI73WHXbEwJDIA7Q/edit#gid=1493122344"",""MTR!C:O""),8,false)"),"Complies")</f>
        <v>Complies</v>
      </c>
      <c r="O1440" s="241" t="str">
        <f>IFERROR(__xludf.DUMMYFUNCTION("VLOOKUP(C1440,IMPORTRANGE(""https://docs.google.com/spreadsheets/d/1P8eX0NWBhUPS_hvzA11R6jkTNFrPrRYIx_dX_hYbxrk/edit?resourcekey=0-iw9bsKY2OqkUHCFMkCar3A&amp;gid=2055363397#gid=2055363397"",""MTR!C:O""),9,false)"),"")</f>
        <v/>
      </c>
      <c r="P1440" s="241"/>
      <c r="Q1440" s="251" t="s">
        <v>445</v>
      </c>
      <c r="R1440" s="241"/>
      <c r="S1440" s="154" t="s">
        <v>60</v>
      </c>
      <c r="T1440" s="154" t="s">
        <v>60</v>
      </c>
      <c r="U1440" s="154" t="s">
        <v>60</v>
      </c>
      <c r="V1440" s="154" t="s">
        <v>60</v>
      </c>
      <c r="W1440" s="154" t="s">
        <v>60</v>
      </c>
      <c r="X1440" s="154" t="s">
        <v>60</v>
      </c>
      <c r="Y1440" s="154" t="s">
        <v>60</v>
      </c>
      <c r="Z1440" s="154" t="s">
        <v>60</v>
      </c>
      <c r="AA1440" s="154" t="s">
        <v>60</v>
      </c>
      <c r="AB1440" s="154"/>
      <c r="AC1440" s="242" t="b">
        <f t="shared" si="2"/>
        <v>1</v>
      </c>
      <c r="AD1440" s="154" t="s">
        <v>391</v>
      </c>
      <c r="AE1440" s="243" t="b">
        <f t="shared" si="3"/>
        <v>0</v>
      </c>
      <c r="AF1440" s="154"/>
      <c r="AG1440" s="243" t="b">
        <f t="shared" si="7"/>
        <v>0</v>
      </c>
      <c r="AH1440" s="154"/>
      <c r="AI1440" s="243" t="str">
        <f t="shared" si="5"/>
        <v>N/A</v>
      </c>
      <c r="AJ1440" s="157" t="str">
        <f t="shared" si="6"/>
        <v/>
      </c>
    </row>
    <row r="1441" ht="12.75" customHeight="1">
      <c r="A1441" s="244" t="s">
        <v>3601</v>
      </c>
      <c r="B1441" s="244" t="s">
        <v>3604</v>
      </c>
      <c r="C1441" s="244" t="s">
        <v>3806</v>
      </c>
      <c r="D1441" s="154" t="s">
        <v>433</v>
      </c>
      <c r="E1441" s="250"/>
      <c r="F1441" s="154" t="str">
        <f t="array" ref="F1441">XLOOKUP(Cover!$D$12,$S$1:$AA$1,$S1441:$AA1441)</f>
        <v>Mandatory</v>
      </c>
      <c r="G1441" s="154" t="s">
        <v>3807</v>
      </c>
      <c r="H1441" s="154" t="s">
        <v>351</v>
      </c>
      <c r="I1441" s="154" t="s">
        <v>420</v>
      </c>
      <c r="J1441" s="247" t="s">
        <v>445</v>
      </c>
      <c r="K1441" s="154"/>
      <c r="L1441" s="154" t="str">
        <f t="shared" si="1"/>
        <v/>
      </c>
      <c r="M1441" s="248" t="str">
        <f>IFERROR(__xludf.DUMMYFUNCTION("VLOOKUP(C1441,IMPORTRANGE(""https://docs.google.com/spreadsheets/d/1P8eX0NWBhUPS_hvzA11R6jkTNFrPrRYIx_dX_hYbxrk/edit?resourcekey=0-iw9bsKY2OqkUHCFMkCar3A&amp;gid=2055363397#gid=2055363397"",""MTR!C:O""),11,false)"),"PMW-IMS")</f>
        <v>PMW-IMS</v>
      </c>
      <c r="N1441" s="248" t="str">
        <f>IFERROR(__xludf.DUMMYFUNCTION("VLOOKUP(C1441,IMPORTRANGE(""https://docs.google.com/spreadsheets/d/1ihFlp3_ePlYtFuPbUNbYj1muErVpI73WHXbEwJDIA7Q/edit#gid=1493122344"",""MTR!C:O""),8,false)"),"Complies")</f>
        <v>Complies</v>
      </c>
      <c r="O1441" s="241" t="str">
        <f>IFERROR(__xludf.DUMMYFUNCTION("VLOOKUP(C1441,IMPORTRANGE(""https://docs.google.com/spreadsheets/d/1P8eX0NWBhUPS_hvzA11R6jkTNFrPrRYIx_dX_hYbxrk/edit?resourcekey=0-iw9bsKY2OqkUHCFMkCar3A&amp;gid=2055363397#gid=2055363397"",""MTR!C:O""),9,false)"),"")</f>
        <v/>
      </c>
      <c r="P1441" s="241"/>
      <c r="Q1441" s="251" t="s">
        <v>445</v>
      </c>
      <c r="R1441" s="241"/>
      <c r="S1441" s="154" t="s">
        <v>60</v>
      </c>
      <c r="T1441" s="154" t="s">
        <v>60</v>
      </c>
      <c r="U1441" s="154" t="s">
        <v>60</v>
      </c>
      <c r="V1441" s="154" t="s">
        <v>60</v>
      </c>
      <c r="W1441" s="154" t="s">
        <v>60</v>
      </c>
      <c r="X1441" s="154" t="s">
        <v>60</v>
      </c>
      <c r="Y1441" s="154" t="s">
        <v>60</v>
      </c>
      <c r="Z1441" s="154" t="s">
        <v>60</v>
      </c>
      <c r="AA1441" s="154" t="s">
        <v>60</v>
      </c>
      <c r="AB1441" s="154"/>
      <c r="AC1441" s="242" t="b">
        <f t="shared" si="2"/>
        <v>1</v>
      </c>
      <c r="AD1441" s="154" t="s">
        <v>391</v>
      </c>
      <c r="AE1441" s="243" t="b">
        <f t="shared" si="3"/>
        <v>0</v>
      </c>
      <c r="AF1441" s="154"/>
      <c r="AG1441" s="243" t="b">
        <f t="shared" si="7"/>
        <v>0</v>
      </c>
      <c r="AH1441" s="154"/>
      <c r="AI1441" s="243" t="str">
        <f t="shared" si="5"/>
        <v>N/A</v>
      </c>
      <c r="AJ1441" s="157" t="str">
        <f t="shared" si="6"/>
        <v/>
      </c>
    </row>
    <row r="1442" ht="12.75" customHeight="1">
      <c r="A1442" s="244" t="s">
        <v>3601</v>
      </c>
      <c r="B1442" s="244" t="s">
        <v>3604</v>
      </c>
      <c r="C1442" s="244" t="s">
        <v>3808</v>
      </c>
      <c r="D1442" s="154" t="s">
        <v>433</v>
      </c>
      <c r="E1442" s="250"/>
      <c r="F1442" s="154" t="str">
        <f t="array" ref="F1442">XLOOKUP(Cover!$D$12,$S$1:$AA$1,$S1442:$AA1442)</f>
        <v>Mandatory</v>
      </c>
      <c r="G1442" s="154" t="s">
        <v>3809</v>
      </c>
      <c r="H1442" s="154" t="s">
        <v>351</v>
      </c>
      <c r="I1442" s="154" t="s">
        <v>420</v>
      </c>
      <c r="J1442" s="247" t="s">
        <v>506</v>
      </c>
      <c r="K1442" s="247" t="s">
        <v>3810</v>
      </c>
      <c r="L1442" s="154" t="str">
        <f t="shared" si="1"/>
        <v/>
      </c>
      <c r="M1442" s="248" t="str">
        <f>IFERROR(__xludf.DUMMYFUNCTION("VLOOKUP(C1442,IMPORTRANGE(""https://docs.google.com/spreadsheets/d/1P8eX0NWBhUPS_hvzA11R6jkTNFrPrRYIx_dX_hYbxrk/edit?resourcekey=0-iw9bsKY2OqkUHCFMkCar3A&amp;gid=2055363397#gid=2055363397"",""MTR!C:O""),11,false)"),"PMW-IMS")</f>
        <v>PMW-IMS</v>
      </c>
      <c r="N1442" s="248" t="str">
        <f>IFERROR(__xludf.DUMMYFUNCTION("VLOOKUP(C1442,IMPORTRANGE(""https://docs.google.com/spreadsheets/d/1ihFlp3_ePlYtFuPbUNbYj1muErVpI73WHXbEwJDIA7Q/edit#gid=1493122344"",""MTR!C:O""),8,false)"),"Partially Complies")</f>
        <v>Partially Complies</v>
      </c>
      <c r="O1442" s="248" t="str">
        <f>IFERROR(__xludf.DUMMYFUNCTION("VLOOKUP(C1442,IMPORTRANGE(""https://docs.google.com/spreadsheets/d/1P8eX0NWBhUPS_hvzA11R6jkTNFrPrRYIx_dX_hYbxrk/edit?resourcekey=0-iw9bsKY2OqkUHCFMkCar3A&amp;gid=2055363397#gid=2055363397"",""MTR!C:O""),9,false)"),"Supports WiFi Calling registration status on Status bar")</f>
        <v>Supports WiFi Calling registration status on Status bar</v>
      </c>
      <c r="P1442" s="248"/>
      <c r="Q1442" s="249" t="s">
        <v>506</v>
      </c>
      <c r="R1442" s="249" t="s">
        <v>3810</v>
      </c>
      <c r="S1442" s="154" t="s">
        <v>60</v>
      </c>
      <c r="T1442" s="154" t="s">
        <v>60</v>
      </c>
      <c r="U1442" s="154" t="s">
        <v>60</v>
      </c>
      <c r="V1442" s="154" t="s">
        <v>60</v>
      </c>
      <c r="W1442" s="154" t="s">
        <v>60</v>
      </c>
      <c r="X1442" s="154" t="s">
        <v>60</v>
      </c>
      <c r="Y1442" s="154" t="s">
        <v>60</v>
      </c>
      <c r="Z1442" s="154" t="s">
        <v>60</v>
      </c>
      <c r="AA1442" s="154" t="s">
        <v>60</v>
      </c>
      <c r="AB1442" s="154"/>
      <c r="AC1442" s="242" t="b">
        <f t="shared" si="2"/>
        <v>1</v>
      </c>
      <c r="AD1442" s="154" t="s">
        <v>391</v>
      </c>
      <c r="AE1442" s="243" t="b">
        <f t="shared" si="3"/>
        <v>0</v>
      </c>
      <c r="AF1442" s="154"/>
      <c r="AG1442" s="243" t="b">
        <f t="shared" si="7"/>
        <v>0</v>
      </c>
      <c r="AH1442" s="154"/>
      <c r="AI1442" s="243" t="str">
        <f t="shared" si="5"/>
        <v>N/A</v>
      </c>
      <c r="AJ1442" s="157" t="str">
        <f t="shared" si="6"/>
        <v/>
      </c>
    </row>
    <row r="1443" ht="12.75" customHeight="1">
      <c r="A1443" s="238" t="s">
        <v>3601</v>
      </c>
      <c r="B1443" s="238" t="s">
        <v>3604</v>
      </c>
      <c r="C1443" s="238" t="s">
        <v>3811</v>
      </c>
      <c r="D1443" s="238"/>
      <c r="E1443" s="238"/>
      <c r="F1443" s="154" t="str">
        <f t="array" ref="F1443">XLOOKUP(Cover!$D$12,$S$1:$AA$1,$S1443:$AA1443)</f>
        <v>Heading</v>
      </c>
      <c r="G1443" s="239" t="s">
        <v>3812</v>
      </c>
      <c r="H1443" s="240"/>
      <c r="I1443" s="240" t="s">
        <v>420</v>
      </c>
      <c r="J1443" s="262"/>
      <c r="K1443" s="262"/>
      <c r="L1443" s="154" t="str">
        <f t="shared" si="1"/>
        <v/>
      </c>
      <c r="M1443" s="241" t="str">
        <f>IFERROR(__xludf.DUMMYFUNCTION("VLOOKUP(C1443,IMPORTRANGE(""https://docs.google.com/spreadsheets/d/1P8eX0NWBhUPS_hvzA11R6jkTNFrPrRYIx_dX_hYbxrk/edit?resourcekey=0-iw9bsKY2OqkUHCFMkCar3A&amp;gid=2055363397#gid=2055363397"",""MTR!C:O""),11,false)"),"")</f>
        <v/>
      </c>
      <c r="N1443" s="241" t="str">
        <f>IFERROR(__xludf.DUMMYFUNCTION("VLOOKUP(C1443,IMPORTRANGE(""https://docs.google.com/spreadsheets/d/1ihFlp3_ePlYtFuPbUNbYj1muErVpI73WHXbEwJDIA7Q/edit#gid=1493122344"",""MTR!C:O""),8,false)"),"")</f>
        <v/>
      </c>
      <c r="O1443" s="241" t="str">
        <f>IFERROR(__xludf.DUMMYFUNCTION("VLOOKUP(C1443,IMPORTRANGE(""https://docs.google.com/spreadsheets/d/1P8eX0NWBhUPS_hvzA11R6jkTNFrPrRYIx_dX_hYbxrk/edit?resourcekey=0-iw9bsKY2OqkUHCFMkCar3A&amp;gid=2055363397#gid=2055363397"",""MTR!C:O""),9,false)"),"")</f>
        <v/>
      </c>
      <c r="P1443" s="241"/>
      <c r="Q1443" s="251"/>
      <c r="R1443" s="251"/>
      <c r="S1443" s="240" t="s">
        <v>390</v>
      </c>
      <c r="T1443" s="240" t="s">
        <v>390</v>
      </c>
      <c r="U1443" s="240" t="s">
        <v>390</v>
      </c>
      <c r="V1443" s="240" t="s">
        <v>390</v>
      </c>
      <c r="W1443" s="240" t="s">
        <v>390</v>
      </c>
      <c r="X1443" s="240" t="s">
        <v>390</v>
      </c>
      <c r="Y1443" s="240" t="s">
        <v>390</v>
      </c>
      <c r="Z1443" s="240" t="s">
        <v>390</v>
      </c>
      <c r="AA1443" s="240" t="s">
        <v>390</v>
      </c>
      <c r="AB1443" s="240"/>
      <c r="AC1443" s="242" t="b">
        <f t="shared" si="2"/>
        <v>0</v>
      </c>
      <c r="AD1443" s="240" t="s">
        <v>391</v>
      </c>
      <c r="AE1443" s="243" t="b">
        <f t="shared" si="3"/>
        <v>0</v>
      </c>
      <c r="AF1443" s="240"/>
      <c r="AG1443" s="243" t="b">
        <f t="shared" si="7"/>
        <v>0</v>
      </c>
      <c r="AH1443" s="240"/>
      <c r="AI1443" s="243" t="str">
        <f t="shared" si="5"/>
        <v>N/A</v>
      </c>
      <c r="AJ1443" s="157" t="str">
        <f t="shared" si="6"/>
        <v/>
      </c>
    </row>
    <row r="1444" ht="12.75" customHeight="1">
      <c r="A1444" s="244" t="s">
        <v>3601</v>
      </c>
      <c r="B1444" s="244" t="s">
        <v>3604</v>
      </c>
      <c r="C1444" s="244" t="s">
        <v>3813</v>
      </c>
      <c r="D1444" s="154" t="s">
        <v>459</v>
      </c>
      <c r="E1444" s="250"/>
      <c r="F1444" s="154" t="str">
        <f t="array" ref="F1444">XLOOKUP(Cover!$D$12,$S$1:$AA$1,$S1444:$AA1444)</f>
        <v>Mandatory</v>
      </c>
      <c r="G1444" s="154" t="s">
        <v>3814</v>
      </c>
      <c r="H1444" s="154" t="s">
        <v>398</v>
      </c>
      <c r="I1444" s="154" t="s">
        <v>420</v>
      </c>
      <c r="J1444" s="154" t="s">
        <v>445</v>
      </c>
      <c r="K1444" s="154"/>
      <c r="L1444" s="154" t="str">
        <f t="shared" si="1"/>
        <v/>
      </c>
      <c r="M1444" s="248" t="str">
        <f>IFERROR(__xludf.DUMMYFUNCTION("VLOOKUP(C1444,IMPORTRANGE(""https://docs.google.com/spreadsheets/d/1P8eX0NWBhUPS_hvzA11R6jkTNFrPrRYIx_dX_hYbxrk/edit?resourcekey=0-iw9bsKY2OqkUHCFMkCar3A&amp;gid=2055363397#gid=2055363397"",""MTR!C:O""),11,false)"),"TAM")</f>
        <v>TAM</v>
      </c>
      <c r="N1444" s="248" t="str">
        <f>IFERROR(__xludf.DUMMYFUNCTION("VLOOKUP(C1444,IMPORTRANGE(""https://docs.google.com/spreadsheets/d/1ihFlp3_ePlYtFuPbUNbYj1muErVpI73WHXbEwJDIA7Q/edit#gid=1493122344"",""MTR!C:O""),8,false)"),"Complies")</f>
        <v>Complies</v>
      </c>
      <c r="O1444" s="241" t="str">
        <f>IFERROR(__xludf.DUMMYFUNCTION("VLOOKUP(C1444,IMPORTRANGE(""https://docs.google.com/spreadsheets/d/1P8eX0NWBhUPS_hvzA11R6jkTNFrPrRYIx_dX_hYbxrk/edit?resourcekey=0-iw9bsKY2OqkUHCFMkCar3A&amp;gid=2055363397#gid=2055363397"",""MTR!C:O""),9,false)"),"")</f>
        <v/>
      </c>
      <c r="P1444" s="241"/>
      <c r="Q1444" s="251" t="s">
        <v>445</v>
      </c>
      <c r="R1444" s="241"/>
      <c r="S1444" s="154" t="s">
        <v>64</v>
      </c>
      <c r="T1444" s="154" t="s">
        <v>60</v>
      </c>
      <c r="U1444" s="154" t="s">
        <v>60</v>
      </c>
      <c r="V1444" s="154" t="s">
        <v>60</v>
      </c>
      <c r="W1444" s="154" t="s">
        <v>60</v>
      </c>
      <c r="X1444" s="154" t="s">
        <v>60</v>
      </c>
      <c r="Y1444" s="154" t="s">
        <v>60</v>
      </c>
      <c r="Z1444" s="154" t="s">
        <v>60</v>
      </c>
      <c r="AA1444" s="154" t="s">
        <v>60</v>
      </c>
      <c r="AB1444" s="154"/>
      <c r="AC1444" s="242" t="b">
        <f t="shared" si="2"/>
        <v>1</v>
      </c>
      <c r="AD1444" s="154" t="s">
        <v>391</v>
      </c>
      <c r="AE1444" s="243" t="b">
        <f t="shared" si="3"/>
        <v>0</v>
      </c>
      <c r="AF1444" s="154"/>
      <c r="AG1444" s="243" t="b">
        <f t="shared" si="7"/>
        <v>0</v>
      </c>
      <c r="AH1444" s="154"/>
      <c r="AI1444" s="243" t="str">
        <f t="shared" si="5"/>
        <v>N/A</v>
      </c>
      <c r="AJ1444" s="157" t="str">
        <f t="shared" si="6"/>
        <v/>
      </c>
    </row>
    <row r="1445" ht="12.75" customHeight="1">
      <c r="A1445" s="244" t="s">
        <v>3601</v>
      </c>
      <c r="B1445" s="244" t="s">
        <v>3604</v>
      </c>
      <c r="C1445" s="244" t="s">
        <v>3815</v>
      </c>
      <c r="D1445" s="154" t="s">
        <v>542</v>
      </c>
      <c r="E1445" s="250"/>
      <c r="F1445" s="154" t="str">
        <f t="array" ref="F1445">XLOOKUP(Cover!$D$12,$S$1:$AA$1,$S1445:$AA1445)</f>
        <v>Mandatory</v>
      </c>
      <c r="G1445" s="154" t="s">
        <v>3816</v>
      </c>
      <c r="H1445" s="154" t="s">
        <v>398</v>
      </c>
      <c r="I1445" s="154" t="s">
        <v>420</v>
      </c>
      <c r="J1445" s="247" t="s">
        <v>445</v>
      </c>
      <c r="K1445" s="154"/>
      <c r="L1445" s="154" t="str">
        <f t="shared" si="1"/>
        <v/>
      </c>
      <c r="M1445" s="248" t="str">
        <f>IFERROR(__xludf.DUMMYFUNCTION("VLOOKUP(C1445,IMPORTRANGE(""https://docs.google.com/spreadsheets/d/1P8eX0NWBhUPS_hvzA11R6jkTNFrPrRYIx_dX_hYbxrk/edit?resourcekey=0-iw9bsKY2OqkUHCFMkCar3A&amp;gid=2055363397#gid=2055363397"",""MTR!C:O""),11,false)"),"TAM")</f>
        <v>TAM</v>
      </c>
      <c r="N1445" s="248" t="str">
        <f>IFERROR(__xludf.DUMMYFUNCTION("VLOOKUP(C1445,IMPORTRANGE(""https://docs.google.com/spreadsheets/d/1ihFlp3_ePlYtFuPbUNbYj1muErVpI73WHXbEwJDIA7Q/edit#gid=1493122344"",""MTR!C:O""),8,false)"),"Complies")</f>
        <v>Complies</v>
      </c>
      <c r="O1445" s="241" t="str">
        <f>IFERROR(__xludf.DUMMYFUNCTION("VLOOKUP(C1445,IMPORTRANGE(""https://docs.google.com/spreadsheets/d/1P8eX0NWBhUPS_hvzA11R6jkTNFrPrRYIx_dX_hYbxrk/edit?resourcekey=0-iw9bsKY2OqkUHCFMkCar3A&amp;gid=2055363397#gid=2055363397"",""MTR!C:O""),9,false)"),"")</f>
        <v/>
      </c>
      <c r="P1445" s="241"/>
      <c r="Q1445" s="251" t="s">
        <v>445</v>
      </c>
      <c r="R1445" s="241"/>
      <c r="S1445" s="154" t="s">
        <v>60</v>
      </c>
      <c r="T1445" s="154" t="s">
        <v>60</v>
      </c>
      <c r="U1445" s="154" t="s">
        <v>60</v>
      </c>
      <c r="V1445" s="154" t="s">
        <v>60</v>
      </c>
      <c r="W1445" s="154" t="s">
        <v>60</v>
      </c>
      <c r="X1445" s="154" t="s">
        <v>60</v>
      </c>
      <c r="Y1445" s="154" t="s">
        <v>60</v>
      </c>
      <c r="Z1445" s="154" t="s">
        <v>60</v>
      </c>
      <c r="AA1445" s="154" t="s">
        <v>60</v>
      </c>
      <c r="AB1445" s="154"/>
      <c r="AC1445" s="242" t="b">
        <f t="shared" si="2"/>
        <v>1</v>
      </c>
      <c r="AD1445" s="154" t="s">
        <v>391</v>
      </c>
      <c r="AE1445" s="243" t="b">
        <f t="shared" si="3"/>
        <v>0</v>
      </c>
      <c r="AF1445" s="154"/>
      <c r="AG1445" s="243" t="b">
        <f t="shared" si="7"/>
        <v>0</v>
      </c>
      <c r="AH1445" s="154"/>
      <c r="AI1445" s="243" t="str">
        <f t="shared" si="5"/>
        <v>N/A</v>
      </c>
      <c r="AJ1445" s="157" t="str">
        <f t="shared" si="6"/>
        <v/>
      </c>
    </row>
    <row r="1446" ht="12.75" customHeight="1">
      <c r="A1446" s="238" t="s">
        <v>3601</v>
      </c>
      <c r="B1446" s="238" t="s">
        <v>3604</v>
      </c>
      <c r="C1446" s="238" t="s">
        <v>3817</v>
      </c>
      <c r="D1446" s="240"/>
      <c r="E1446" s="252" t="s">
        <v>489</v>
      </c>
      <c r="F1446" s="154" t="str">
        <f t="array" ref="F1446">XLOOKUP(Cover!$D$12,$S$1:$AA$1,$S1446:$AA1446)</f>
        <v>Heading</v>
      </c>
      <c r="G1446" s="239" t="s">
        <v>3818</v>
      </c>
      <c r="H1446" s="240"/>
      <c r="I1446" s="240" t="s">
        <v>420</v>
      </c>
      <c r="J1446" s="262"/>
      <c r="K1446" s="240"/>
      <c r="L1446" s="154" t="str">
        <f t="shared" si="1"/>
        <v/>
      </c>
      <c r="M1446" s="253" t="str">
        <f>IFERROR(__xludf.DUMMYFUNCTION("VLOOKUP(C1446,IMPORTRANGE(""https://docs.google.com/spreadsheets/d/1P8eX0NWBhUPS_hvzA11R6jkTNFrPrRYIx_dX_hYbxrk/edit?resourcekey=0-iw9bsKY2OqkUHCFMkCar3A&amp;gid=2055363397#gid=2055363397"",""MTR!C:O""),11,false)"),"#N/A")</f>
        <v>#N/A</v>
      </c>
      <c r="N1446" s="253" t="str">
        <f>IFERROR(__xludf.DUMMYFUNCTION("VLOOKUP(C1446,IMPORTRANGE(""https://docs.google.com/spreadsheets/d/1ihFlp3_ePlYtFuPbUNbYj1muErVpI73WHXbEwJDIA7Q/edit#gid=1493122344"",""MTR!C:O""),8,false)"),"#N/A")</f>
        <v>#N/A</v>
      </c>
      <c r="O1446" s="253" t="str">
        <f>IFERROR(__xludf.DUMMYFUNCTION("VLOOKUP(C1446,IMPORTRANGE(""https://docs.google.com/spreadsheets/d/1P8eX0NWBhUPS_hvzA11R6jkTNFrPrRYIx_dX_hYbxrk/edit?resourcekey=0-iw9bsKY2OqkUHCFMkCar3A&amp;gid=2055363397#gid=2055363397"",""MTR!C:O""),9,false)"),"#N/A")</f>
        <v>#N/A</v>
      </c>
      <c r="P1446" s="253"/>
      <c r="Q1446" s="259"/>
      <c r="R1446" s="253"/>
      <c r="S1446" s="240" t="s">
        <v>390</v>
      </c>
      <c r="T1446" s="240" t="s">
        <v>390</v>
      </c>
      <c r="U1446" s="240" t="s">
        <v>390</v>
      </c>
      <c r="V1446" s="240" t="s">
        <v>390</v>
      </c>
      <c r="W1446" s="240" t="s">
        <v>390</v>
      </c>
      <c r="X1446" s="240" t="s">
        <v>390</v>
      </c>
      <c r="Y1446" s="240" t="s">
        <v>390</v>
      </c>
      <c r="Z1446" s="240" t="s">
        <v>390</v>
      </c>
      <c r="AA1446" s="240" t="s">
        <v>390</v>
      </c>
      <c r="AB1446" s="240"/>
      <c r="AC1446" s="242" t="b">
        <f t="shared" si="2"/>
        <v>0</v>
      </c>
      <c r="AD1446" s="240"/>
      <c r="AE1446" s="243" t="b">
        <f t="shared" si="3"/>
        <v>0</v>
      </c>
      <c r="AF1446" s="240"/>
      <c r="AG1446" s="243" t="b">
        <f t="shared" si="7"/>
        <v>0</v>
      </c>
      <c r="AH1446" s="240"/>
      <c r="AI1446" s="243" t="str">
        <f t="shared" si="5"/>
        <v>N/A</v>
      </c>
      <c r="AJ1446" s="157" t="str">
        <f t="shared" si="6"/>
        <v/>
      </c>
    </row>
    <row r="1447" ht="12.75" customHeight="1">
      <c r="A1447" s="244" t="s">
        <v>3601</v>
      </c>
      <c r="B1447" s="244" t="s">
        <v>3604</v>
      </c>
      <c r="C1447" s="245" t="s">
        <v>3819</v>
      </c>
      <c r="D1447" s="155" t="s">
        <v>581</v>
      </c>
      <c r="E1447" s="246" t="s">
        <v>92</v>
      </c>
      <c r="F1447" s="154" t="str">
        <f t="array" ref="F1447">XLOOKUP(Cover!$D$12,$S$1:$AA$1,$S1447:$AA1447)</f>
        <v>Mandatory</v>
      </c>
      <c r="G1447" s="153" t="s">
        <v>3820</v>
      </c>
      <c r="H1447" s="154" t="s">
        <v>351</v>
      </c>
      <c r="I1447" s="154" t="s">
        <v>632</v>
      </c>
      <c r="J1447" s="247" t="s">
        <v>445</v>
      </c>
      <c r="K1447" s="154"/>
      <c r="L1447" s="154" t="str">
        <f t="shared" si="1"/>
        <v/>
      </c>
      <c r="M1447" s="248" t="str">
        <f>IFERROR(__xludf.DUMMYFUNCTION("VLOOKUP(C1447,IMPORTRANGE(""https://docs.google.com/spreadsheets/d/1P8eX0NWBhUPS_hvzA11R6jkTNFrPrRYIx_dX_hYbxrk/edit?resourcekey=0-iw9bsKY2OqkUHCFMkCar3A&amp;gid=2055363397#gid=2055363397"",""MTR!C:O""),11,false)"),"PMW-IMS")</f>
        <v>PMW-IMS</v>
      </c>
      <c r="N1447" s="248" t="str">
        <f>IFERROR(__xludf.DUMMYFUNCTION("VLOOKUP(C1447,IMPORTRANGE(""https://docs.google.com/spreadsheets/d/1ihFlp3_ePlYtFuPbUNbYj1muErVpI73WHXbEwJDIA7Q/edit#gid=1493122344"",""MTR!C:O""),8,false)"),"Complies")</f>
        <v>Complies</v>
      </c>
      <c r="O1447" s="241" t="str">
        <f>IFERROR(__xludf.DUMMYFUNCTION("VLOOKUP(C1447,IMPORTRANGE(""https://docs.google.com/spreadsheets/d/1P8eX0NWBhUPS_hvzA11R6jkTNFrPrRYIx_dX_hYbxrk/edit?resourcekey=0-iw9bsKY2OqkUHCFMkCar3A&amp;gid=2055363397#gid=2055363397"",""MTR!C:O""),9,false)"),"")</f>
        <v/>
      </c>
      <c r="P1447" s="241"/>
      <c r="Q1447" s="251" t="s">
        <v>445</v>
      </c>
      <c r="R1447" s="241"/>
      <c r="S1447" s="154" t="s">
        <v>60</v>
      </c>
      <c r="T1447" s="154" t="s">
        <v>60</v>
      </c>
      <c r="U1447" s="154" t="s">
        <v>60</v>
      </c>
      <c r="V1447" s="154" t="s">
        <v>60</v>
      </c>
      <c r="W1447" s="154" t="s">
        <v>60</v>
      </c>
      <c r="X1447" s="154" t="s">
        <v>60</v>
      </c>
      <c r="Y1447" s="154" t="s">
        <v>60</v>
      </c>
      <c r="Z1447" s="154" t="s">
        <v>60</v>
      </c>
      <c r="AA1447" s="154" t="s">
        <v>60</v>
      </c>
      <c r="AB1447" s="154"/>
      <c r="AC1447" s="242" t="b">
        <f t="shared" si="2"/>
        <v>1</v>
      </c>
      <c r="AD1447" s="154" t="s">
        <v>391</v>
      </c>
      <c r="AE1447" s="243" t="b">
        <f t="shared" si="3"/>
        <v>0</v>
      </c>
      <c r="AF1447" s="154"/>
      <c r="AG1447" s="243" t="b">
        <f t="shared" si="7"/>
        <v>0</v>
      </c>
      <c r="AH1447" s="154"/>
      <c r="AI1447" s="243" t="str">
        <f t="shared" si="5"/>
        <v>N/A</v>
      </c>
      <c r="AJ1447" s="157" t="str">
        <f t="shared" si="6"/>
        <v/>
      </c>
    </row>
    <row r="1448" ht="12.75" customHeight="1">
      <c r="A1448" s="244" t="s">
        <v>3601</v>
      </c>
      <c r="B1448" s="244" t="s">
        <v>3604</v>
      </c>
      <c r="C1448" s="245" t="s">
        <v>3821</v>
      </c>
      <c r="D1448" s="155" t="s">
        <v>581</v>
      </c>
      <c r="E1448" s="246" t="s">
        <v>92</v>
      </c>
      <c r="F1448" s="154" t="str">
        <f t="array" ref="F1448">XLOOKUP(Cover!$D$12,$S$1:$AA$1,$S1448:$AA1448)</f>
        <v>Mandatory</v>
      </c>
      <c r="G1448" s="254" t="s">
        <v>3822</v>
      </c>
      <c r="H1448" s="154" t="s">
        <v>351</v>
      </c>
      <c r="I1448" s="154" t="s">
        <v>420</v>
      </c>
      <c r="J1448" s="247" t="s">
        <v>445</v>
      </c>
      <c r="K1448" s="154"/>
      <c r="L1448" s="154" t="str">
        <f t="shared" si="1"/>
        <v/>
      </c>
      <c r="M1448" s="248" t="str">
        <f>IFERROR(__xludf.DUMMYFUNCTION("VLOOKUP(C1448,IMPORTRANGE(""https://docs.google.com/spreadsheets/d/1P8eX0NWBhUPS_hvzA11R6jkTNFrPrRYIx_dX_hYbxrk/edit?resourcekey=0-iw9bsKY2OqkUHCFMkCar3A&amp;gid=2055363397#gid=2055363397"",""MTR!C:O""),11,false)"),"PMW-IMS")</f>
        <v>PMW-IMS</v>
      </c>
      <c r="N1448" s="248" t="str">
        <f>IFERROR(__xludf.DUMMYFUNCTION("VLOOKUP(C1448,IMPORTRANGE(""https://docs.google.com/spreadsheets/d/1ihFlp3_ePlYtFuPbUNbYj1muErVpI73WHXbEwJDIA7Q/edit#gid=1493122344"",""MTR!C:O""),8,false)"),"Complies")</f>
        <v>Complies</v>
      </c>
      <c r="O1448" s="241" t="str">
        <f>IFERROR(__xludf.DUMMYFUNCTION("VLOOKUP(C1448,IMPORTRANGE(""https://docs.google.com/spreadsheets/d/1P8eX0NWBhUPS_hvzA11R6jkTNFrPrRYIx_dX_hYbxrk/edit?resourcekey=0-iw9bsKY2OqkUHCFMkCar3A&amp;gid=2055363397#gid=2055363397"",""MTR!C:O""),9,false)"),"")</f>
        <v/>
      </c>
      <c r="P1448" s="241"/>
      <c r="Q1448" s="251" t="s">
        <v>445</v>
      </c>
      <c r="R1448" s="241"/>
      <c r="S1448" s="154" t="s">
        <v>60</v>
      </c>
      <c r="T1448" s="154" t="s">
        <v>60</v>
      </c>
      <c r="U1448" s="154" t="s">
        <v>60</v>
      </c>
      <c r="V1448" s="154" t="s">
        <v>60</v>
      </c>
      <c r="W1448" s="154" t="s">
        <v>60</v>
      </c>
      <c r="X1448" s="154" t="s">
        <v>60</v>
      </c>
      <c r="Y1448" s="154" t="s">
        <v>60</v>
      </c>
      <c r="Z1448" s="154" t="s">
        <v>60</v>
      </c>
      <c r="AA1448" s="154" t="s">
        <v>60</v>
      </c>
      <c r="AB1448" s="154"/>
      <c r="AC1448" s="242" t="b">
        <f t="shared" si="2"/>
        <v>1</v>
      </c>
      <c r="AD1448" s="154" t="s">
        <v>391</v>
      </c>
      <c r="AE1448" s="243" t="b">
        <f t="shared" si="3"/>
        <v>0</v>
      </c>
      <c r="AF1448" s="154"/>
      <c r="AG1448" s="243" t="b">
        <f t="shared" si="7"/>
        <v>0</v>
      </c>
      <c r="AH1448" s="154"/>
      <c r="AI1448" s="243" t="str">
        <f t="shared" si="5"/>
        <v>N/A</v>
      </c>
      <c r="AJ1448" s="157" t="str">
        <f t="shared" si="6"/>
        <v/>
      </c>
    </row>
    <row r="1449" ht="12.75" customHeight="1">
      <c r="A1449" s="244" t="s">
        <v>3601</v>
      </c>
      <c r="B1449" s="244" t="s">
        <v>3604</v>
      </c>
      <c r="C1449" s="245" t="s">
        <v>3823</v>
      </c>
      <c r="D1449" s="155" t="s">
        <v>581</v>
      </c>
      <c r="E1449" s="246" t="s">
        <v>92</v>
      </c>
      <c r="F1449" s="154" t="str">
        <f t="array" ref="F1449">XLOOKUP(Cover!$D$12,$S$1:$AA$1,$S1449:$AA1449)</f>
        <v>Mandatory</v>
      </c>
      <c r="G1449" s="254" t="s">
        <v>3824</v>
      </c>
      <c r="H1449" s="154" t="s">
        <v>351</v>
      </c>
      <c r="I1449" s="154" t="s">
        <v>420</v>
      </c>
      <c r="J1449" s="247" t="s">
        <v>445</v>
      </c>
      <c r="K1449" s="154"/>
      <c r="L1449" s="154" t="str">
        <f t="shared" si="1"/>
        <v/>
      </c>
      <c r="M1449" s="248" t="str">
        <f>IFERROR(__xludf.DUMMYFUNCTION("VLOOKUP(C1449,IMPORTRANGE(""https://docs.google.com/spreadsheets/d/1P8eX0NWBhUPS_hvzA11R6jkTNFrPrRYIx_dX_hYbxrk/edit?resourcekey=0-iw9bsKY2OqkUHCFMkCar3A&amp;gid=2055363397#gid=2055363397"",""MTR!C:O""),11,false)"),"PMW-IMS")</f>
        <v>PMW-IMS</v>
      </c>
      <c r="N1449" s="248" t="str">
        <f>IFERROR(__xludf.DUMMYFUNCTION("VLOOKUP(C1449,IMPORTRANGE(""https://docs.google.com/spreadsheets/d/1ihFlp3_ePlYtFuPbUNbYj1muErVpI73WHXbEwJDIA7Q/edit#gid=1493122344"",""MTR!C:O""),8,false)"),"Complies")</f>
        <v>Complies</v>
      </c>
      <c r="O1449" s="241" t="str">
        <f>IFERROR(__xludf.DUMMYFUNCTION("VLOOKUP(C1449,IMPORTRANGE(""https://docs.google.com/spreadsheets/d/1P8eX0NWBhUPS_hvzA11R6jkTNFrPrRYIx_dX_hYbxrk/edit?resourcekey=0-iw9bsKY2OqkUHCFMkCar3A&amp;gid=2055363397#gid=2055363397"",""MTR!C:O""),9,false)"),"")</f>
        <v/>
      </c>
      <c r="P1449" s="241"/>
      <c r="Q1449" s="251" t="s">
        <v>445</v>
      </c>
      <c r="R1449" s="241"/>
      <c r="S1449" s="154" t="s">
        <v>60</v>
      </c>
      <c r="T1449" s="154" t="s">
        <v>60</v>
      </c>
      <c r="U1449" s="154" t="s">
        <v>60</v>
      </c>
      <c r="V1449" s="154" t="s">
        <v>60</v>
      </c>
      <c r="W1449" s="154" t="s">
        <v>60</v>
      </c>
      <c r="X1449" s="154" t="s">
        <v>60</v>
      </c>
      <c r="Y1449" s="154" t="s">
        <v>60</v>
      </c>
      <c r="Z1449" s="154" t="s">
        <v>60</v>
      </c>
      <c r="AA1449" s="154" t="s">
        <v>60</v>
      </c>
      <c r="AB1449" s="154"/>
      <c r="AC1449" s="242" t="b">
        <f t="shared" si="2"/>
        <v>1</v>
      </c>
      <c r="AD1449" s="154" t="s">
        <v>391</v>
      </c>
      <c r="AE1449" s="243" t="b">
        <f t="shared" si="3"/>
        <v>0</v>
      </c>
      <c r="AF1449" s="154"/>
      <c r="AG1449" s="243" t="b">
        <f t="shared" si="7"/>
        <v>0</v>
      </c>
      <c r="AH1449" s="154"/>
      <c r="AI1449" s="243" t="str">
        <f t="shared" si="5"/>
        <v>N/A</v>
      </c>
      <c r="AJ1449" s="157" t="str">
        <f t="shared" si="6"/>
        <v/>
      </c>
    </row>
    <row r="1450" ht="12.75" customHeight="1">
      <c r="A1450" s="244" t="s">
        <v>3601</v>
      </c>
      <c r="B1450" s="244" t="s">
        <v>3604</v>
      </c>
      <c r="C1450" s="255" t="s">
        <v>3825</v>
      </c>
      <c r="D1450" s="256" t="s">
        <v>42</v>
      </c>
      <c r="E1450" s="257" t="s">
        <v>489</v>
      </c>
      <c r="F1450" s="154" t="str">
        <f t="array" ref="F1450">XLOOKUP(Cover!$D$12,$S$1:$AA$1,$S1450:$AA1450)</f>
        <v>Mandatory</v>
      </c>
      <c r="G1450" s="254" t="s">
        <v>3826</v>
      </c>
      <c r="H1450" s="154" t="s">
        <v>351</v>
      </c>
      <c r="I1450" s="154" t="s">
        <v>420</v>
      </c>
      <c r="J1450" s="247" t="s">
        <v>445</v>
      </c>
      <c r="K1450" s="247" t="s">
        <v>3827</v>
      </c>
      <c r="L1450" s="154" t="str">
        <f t="shared" si="1"/>
        <v/>
      </c>
      <c r="M1450" s="259" t="s">
        <v>3828</v>
      </c>
      <c r="N1450" s="253" t="str">
        <f>IFERROR(__xludf.DUMMYFUNCTION("VLOOKUP(C1450,IMPORTRANGE(""https://docs.google.com/spreadsheets/d/1ihFlp3_ePlYtFuPbUNbYj1muErVpI73WHXbEwJDIA7Q/edit#gid=1493122344"",""MTR!C:O""),8,false)"),"#N/A")</f>
        <v>#N/A</v>
      </c>
      <c r="O1450" s="253" t="str">
        <f>IFERROR(__xludf.DUMMYFUNCTION("VLOOKUP(C1450,IMPORTRANGE(""https://docs.google.com/spreadsheets/d/1P8eX0NWBhUPS_hvzA11R6jkTNFrPrRYIx_dX_hYbxrk/edit?resourcekey=0-iw9bsKY2OqkUHCFMkCar3A&amp;gid=2055363397#gid=2055363397"",""MTR!C:O""),9,false)"),"#N/A")</f>
        <v>#N/A</v>
      </c>
      <c r="P1450" s="253"/>
      <c r="Q1450" s="259"/>
      <c r="R1450" s="253"/>
      <c r="S1450" s="154" t="s">
        <v>60</v>
      </c>
      <c r="T1450" s="154" t="s">
        <v>60</v>
      </c>
      <c r="U1450" s="154" t="s">
        <v>60</v>
      </c>
      <c r="V1450" s="154" t="s">
        <v>60</v>
      </c>
      <c r="W1450" s="154" t="s">
        <v>60</v>
      </c>
      <c r="X1450" s="154" t="s">
        <v>60</v>
      </c>
      <c r="Y1450" s="154" t="s">
        <v>60</v>
      </c>
      <c r="Z1450" s="154" t="s">
        <v>60</v>
      </c>
      <c r="AA1450" s="154" t="s">
        <v>60</v>
      </c>
      <c r="AB1450" s="154"/>
      <c r="AC1450" s="242" t="b">
        <f t="shared" si="2"/>
        <v>1</v>
      </c>
      <c r="AD1450" s="154"/>
      <c r="AE1450" s="243" t="b">
        <f t="shared" si="3"/>
        <v>0</v>
      </c>
      <c r="AF1450" s="154"/>
      <c r="AG1450" s="243" t="b">
        <f t="shared" si="7"/>
        <v>0</v>
      </c>
      <c r="AH1450" s="154"/>
      <c r="AI1450" s="243" t="str">
        <f t="shared" si="5"/>
        <v>N/A</v>
      </c>
      <c r="AJ1450" s="157" t="str">
        <f t="shared" si="6"/>
        <v/>
      </c>
    </row>
    <row r="1451" ht="12.75" customHeight="1">
      <c r="A1451" s="244" t="s">
        <v>3601</v>
      </c>
      <c r="B1451" s="244" t="s">
        <v>3604</v>
      </c>
      <c r="C1451" s="245" t="s">
        <v>3829</v>
      </c>
      <c r="D1451" s="155" t="s">
        <v>462</v>
      </c>
      <c r="E1451" s="246" t="s">
        <v>92</v>
      </c>
      <c r="F1451" s="154" t="str">
        <f t="array" ref="F1451">XLOOKUP(Cover!$D$12,$S$1:$AA$1,$S1451:$AA1451)</f>
        <v>Mandatory</v>
      </c>
      <c r="G1451" s="153" t="s">
        <v>3830</v>
      </c>
      <c r="H1451" s="154" t="s">
        <v>351</v>
      </c>
      <c r="I1451" s="154" t="s">
        <v>420</v>
      </c>
      <c r="J1451" s="154" t="s">
        <v>445</v>
      </c>
      <c r="K1451" s="154"/>
      <c r="L1451" s="154" t="str">
        <f t="shared" si="1"/>
        <v/>
      </c>
      <c r="M1451" s="248" t="str">
        <f>IFERROR(__xludf.DUMMYFUNCTION("VLOOKUP(C1451,IMPORTRANGE(""https://docs.google.com/spreadsheets/d/1P8eX0NWBhUPS_hvzA11R6jkTNFrPrRYIx_dX_hYbxrk/edit?resourcekey=0-iw9bsKY2OqkUHCFMkCar3A&amp;gid=2055363397#gid=2055363397"",""MTR!C:O""),11,false)"),"PMW-IMS")</f>
        <v>PMW-IMS</v>
      </c>
      <c r="N1451" s="248" t="str">
        <f>IFERROR(__xludf.DUMMYFUNCTION("VLOOKUP(C1451,IMPORTRANGE(""https://docs.google.com/spreadsheets/d/1ihFlp3_ePlYtFuPbUNbYj1muErVpI73WHXbEwJDIA7Q/edit#gid=1493122344"",""MTR!C:O""),8,false)"),"Complies")</f>
        <v>Complies</v>
      </c>
      <c r="O1451" s="241" t="str">
        <f>IFERROR(__xludf.DUMMYFUNCTION("VLOOKUP(C1451,IMPORTRANGE(""https://docs.google.com/spreadsheets/d/1P8eX0NWBhUPS_hvzA11R6jkTNFrPrRYIx_dX_hYbxrk/edit?resourcekey=0-iw9bsKY2OqkUHCFMkCar3A&amp;gid=2055363397#gid=2055363397"",""MTR!C:O""),9,false)"),"")</f>
        <v/>
      </c>
      <c r="P1451" s="241"/>
      <c r="Q1451" s="251" t="s">
        <v>445</v>
      </c>
      <c r="R1451" s="241"/>
      <c r="S1451" s="154" t="s">
        <v>60</v>
      </c>
      <c r="T1451" s="154" t="s">
        <v>60</v>
      </c>
      <c r="U1451" s="154" t="s">
        <v>60</v>
      </c>
      <c r="V1451" s="154" t="s">
        <v>60</v>
      </c>
      <c r="W1451" s="154" t="s">
        <v>60</v>
      </c>
      <c r="X1451" s="154" t="s">
        <v>60</v>
      </c>
      <c r="Y1451" s="154" t="s">
        <v>60</v>
      </c>
      <c r="Z1451" s="154" t="s">
        <v>60</v>
      </c>
      <c r="AA1451" s="154" t="s">
        <v>60</v>
      </c>
      <c r="AB1451" s="154"/>
      <c r="AC1451" s="242" t="b">
        <f t="shared" si="2"/>
        <v>1</v>
      </c>
      <c r="AD1451" s="154" t="s">
        <v>391</v>
      </c>
      <c r="AE1451" s="243" t="b">
        <f t="shared" si="3"/>
        <v>0</v>
      </c>
      <c r="AF1451" s="154"/>
      <c r="AG1451" s="243" t="b">
        <f t="shared" si="7"/>
        <v>0</v>
      </c>
      <c r="AH1451" s="154"/>
      <c r="AI1451" s="243" t="str">
        <f t="shared" si="5"/>
        <v>N/A</v>
      </c>
      <c r="AJ1451" s="157" t="str">
        <f t="shared" si="6"/>
        <v/>
      </c>
    </row>
    <row r="1452" ht="12.75" customHeight="1">
      <c r="A1452" s="244" t="s">
        <v>3601</v>
      </c>
      <c r="B1452" s="244" t="s">
        <v>3604</v>
      </c>
      <c r="C1452" s="245" t="s">
        <v>3831</v>
      </c>
      <c r="D1452" s="155" t="s">
        <v>581</v>
      </c>
      <c r="E1452" s="246" t="s">
        <v>92</v>
      </c>
      <c r="F1452" s="154" t="str">
        <f t="array" ref="F1452">XLOOKUP(Cover!$D$12,$S$1:$AA$1,$S1452:$AA1452)</f>
        <v>Mandatory</v>
      </c>
      <c r="G1452" s="153" t="s">
        <v>3832</v>
      </c>
      <c r="H1452" s="154" t="s">
        <v>351</v>
      </c>
      <c r="I1452" s="154" t="s">
        <v>632</v>
      </c>
      <c r="J1452" s="247" t="s">
        <v>445</v>
      </c>
      <c r="K1452" s="154"/>
      <c r="L1452" s="154" t="str">
        <f t="shared" si="1"/>
        <v/>
      </c>
      <c r="M1452" s="248" t="str">
        <f>IFERROR(__xludf.DUMMYFUNCTION("VLOOKUP(C1452,IMPORTRANGE(""https://docs.google.com/spreadsheets/d/1P8eX0NWBhUPS_hvzA11R6jkTNFrPrRYIx_dX_hYbxrk/edit?resourcekey=0-iw9bsKY2OqkUHCFMkCar3A&amp;gid=2055363397#gid=2055363397"",""MTR!C:O""),11,false)"),"PMW-IMS")</f>
        <v>PMW-IMS</v>
      </c>
      <c r="N1452" s="248" t="str">
        <f>IFERROR(__xludf.DUMMYFUNCTION("VLOOKUP(C1452,IMPORTRANGE(""https://docs.google.com/spreadsheets/d/1ihFlp3_ePlYtFuPbUNbYj1muErVpI73WHXbEwJDIA7Q/edit#gid=1493122344"",""MTR!C:O""),8,false)"),"Complies")</f>
        <v>Complies</v>
      </c>
      <c r="O1452" s="241" t="str">
        <f>IFERROR(__xludf.DUMMYFUNCTION("VLOOKUP(C1452,IMPORTRANGE(""https://docs.google.com/spreadsheets/d/1P8eX0NWBhUPS_hvzA11R6jkTNFrPrRYIx_dX_hYbxrk/edit?resourcekey=0-iw9bsKY2OqkUHCFMkCar3A&amp;gid=2055363397#gid=2055363397"",""MTR!C:O""),9,false)"),"")</f>
        <v/>
      </c>
      <c r="P1452" s="241"/>
      <c r="Q1452" s="251" t="s">
        <v>445</v>
      </c>
      <c r="R1452" s="241"/>
      <c r="S1452" s="154" t="s">
        <v>60</v>
      </c>
      <c r="T1452" s="154" t="s">
        <v>60</v>
      </c>
      <c r="U1452" s="154" t="s">
        <v>60</v>
      </c>
      <c r="V1452" s="154" t="s">
        <v>60</v>
      </c>
      <c r="W1452" s="154" t="s">
        <v>60</v>
      </c>
      <c r="X1452" s="154" t="s">
        <v>60</v>
      </c>
      <c r="Y1452" s="154" t="s">
        <v>60</v>
      </c>
      <c r="Z1452" s="154" t="s">
        <v>60</v>
      </c>
      <c r="AA1452" s="154" t="s">
        <v>60</v>
      </c>
      <c r="AB1452" s="154"/>
      <c r="AC1452" s="242" t="b">
        <f t="shared" si="2"/>
        <v>1</v>
      </c>
      <c r="AD1452" s="154" t="s">
        <v>391</v>
      </c>
      <c r="AE1452" s="243" t="b">
        <f t="shared" si="3"/>
        <v>0</v>
      </c>
      <c r="AF1452" s="154"/>
      <c r="AG1452" s="243" t="b">
        <f t="shared" si="7"/>
        <v>0</v>
      </c>
      <c r="AH1452" s="154"/>
      <c r="AI1452" s="243" t="str">
        <f t="shared" si="5"/>
        <v>N/A</v>
      </c>
      <c r="AJ1452" s="157" t="str">
        <f t="shared" si="6"/>
        <v/>
      </c>
    </row>
    <row r="1453" ht="12.75" customHeight="1">
      <c r="A1453" s="244" t="s">
        <v>3601</v>
      </c>
      <c r="B1453" s="244" t="s">
        <v>3604</v>
      </c>
      <c r="C1453" s="255" t="s">
        <v>3833</v>
      </c>
      <c r="D1453" s="256" t="s">
        <v>42</v>
      </c>
      <c r="E1453" s="257" t="s">
        <v>489</v>
      </c>
      <c r="F1453" s="154" t="str">
        <f t="array" ref="F1453">XLOOKUP(Cover!$D$12,$S$1:$AA$1,$S1453:$AA1453)</f>
        <v>Mandatory</v>
      </c>
      <c r="G1453" s="153" t="s">
        <v>3834</v>
      </c>
      <c r="H1453" s="154" t="s">
        <v>351</v>
      </c>
      <c r="I1453" s="154" t="s">
        <v>420</v>
      </c>
      <c r="J1453" s="247" t="s">
        <v>506</v>
      </c>
      <c r="K1453" s="247" t="s">
        <v>3835</v>
      </c>
      <c r="L1453" s="154" t="str">
        <f t="shared" si="1"/>
        <v/>
      </c>
      <c r="M1453" s="259" t="s">
        <v>3828</v>
      </c>
      <c r="N1453" s="253" t="str">
        <f>IFERROR(__xludf.DUMMYFUNCTION("VLOOKUP(C1453,IMPORTRANGE(""https://docs.google.com/spreadsheets/d/1ihFlp3_ePlYtFuPbUNbYj1muErVpI73WHXbEwJDIA7Q/edit#gid=1493122344"",""MTR!C:O""),8,false)"),"#N/A")</f>
        <v>#N/A</v>
      </c>
      <c r="O1453" s="253" t="str">
        <f>IFERROR(__xludf.DUMMYFUNCTION("VLOOKUP(C1453,IMPORTRANGE(""https://docs.google.com/spreadsheets/d/1P8eX0NWBhUPS_hvzA11R6jkTNFrPrRYIx_dX_hYbxrk/edit?resourcekey=0-iw9bsKY2OqkUHCFMkCar3A&amp;gid=2055363397#gid=2055363397"",""MTR!C:O""),9,false)"),"#N/A")</f>
        <v>#N/A</v>
      </c>
      <c r="P1453" s="253"/>
      <c r="Q1453" s="259"/>
      <c r="R1453" s="253"/>
      <c r="S1453" s="154" t="s">
        <v>60</v>
      </c>
      <c r="T1453" s="154" t="s">
        <v>60</v>
      </c>
      <c r="U1453" s="154" t="s">
        <v>60</v>
      </c>
      <c r="V1453" s="154" t="s">
        <v>60</v>
      </c>
      <c r="W1453" s="154" t="s">
        <v>60</v>
      </c>
      <c r="X1453" s="154" t="s">
        <v>60</v>
      </c>
      <c r="Y1453" s="154" t="s">
        <v>60</v>
      </c>
      <c r="Z1453" s="154" t="s">
        <v>60</v>
      </c>
      <c r="AA1453" s="154" t="s">
        <v>60</v>
      </c>
      <c r="AB1453" s="154"/>
      <c r="AC1453" s="242" t="b">
        <f t="shared" si="2"/>
        <v>1</v>
      </c>
      <c r="AD1453" s="154"/>
      <c r="AE1453" s="243" t="b">
        <f t="shared" si="3"/>
        <v>0</v>
      </c>
      <c r="AF1453" s="154"/>
      <c r="AG1453" s="243" t="b">
        <f t="shared" si="7"/>
        <v>0</v>
      </c>
      <c r="AH1453" s="154"/>
      <c r="AI1453" s="243" t="str">
        <f t="shared" si="5"/>
        <v>N/A</v>
      </c>
      <c r="AJ1453" s="157" t="str">
        <f t="shared" si="6"/>
        <v/>
      </c>
    </row>
    <row r="1454" ht="12.75" customHeight="1">
      <c r="A1454" s="244" t="s">
        <v>3601</v>
      </c>
      <c r="B1454" s="244" t="s">
        <v>3604</v>
      </c>
      <c r="C1454" s="245" t="s">
        <v>3836</v>
      </c>
      <c r="D1454" s="155" t="s">
        <v>581</v>
      </c>
      <c r="E1454" s="246" t="s">
        <v>92</v>
      </c>
      <c r="F1454" s="154" t="str">
        <f t="array" ref="F1454">XLOOKUP(Cover!$D$12,$S$1:$AA$1,$S1454:$AA1454)</f>
        <v>Mandatory</v>
      </c>
      <c r="G1454" s="153" t="s">
        <v>3837</v>
      </c>
      <c r="H1454" s="154" t="s">
        <v>351</v>
      </c>
      <c r="I1454" s="154" t="s">
        <v>420</v>
      </c>
      <c r="J1454" s="154" t="s">
        <v>445</v>
      </c>
      <c r="K1454" s="154"/>
      <c r="L1454" s="154" t="str">
        <f t="shared" si="1"/>
        <v/>
      </c>
      <c r="M1454" s="248" t="str">
        <f>IFERROR(__xludf.DUMMYFUNCTION("VLOOKUP(C1454,IMPORTRANGE(""https://docs.google.com/spreadsheets/d/1P8eX0NWBhUPS_hvzA11R6jkTNFrPrRYIx_dX_hYbxrk/edit?resourcekey=0-iw9bsKY2OqkUHCFMkCar3A&amp;gid=2055363397#gid=2055363397"",""MTR!C:O""),11,false)"),"PMW-IMS")</f>
        <v>PMW-IMS</v>
      </c>
      <c r="N1454" s="248" t="str">
        <f>IFERROR(__xludf.DUMMYFUNCTION("VLOOKUP(C1454,IMPORTRANGE(""https://docs.google.com/spreadsheets/d/1ihFlp3_ePlYtFuPbUNbYj1muErVpI73WHXbEwJDIA7Q/edit#gid=1493122344"",""MTR!C:O""),8,false)"),"Complies")</f>
        <v>Complies</v>
      </c>
      <c r="O1454" s="241" t="str">
        <f>IFERROR(__xludf.DUMMYFUNCTION("VLOOKUP(C1454,IMPORTRANGE(""https://docs.google.com/spreadsheets/d/1P8eX0NWBhUPS_hvzA11R6jkTNFrPrRYIx_dX_hYbxrk/edit?resourcekey=0-iw9bsKY2OqkUHCFMkCar3A&amp;gid=2055363397#gid=2055363397"",""MTR!C:O""),9,false)"),"")</f>
        <v/>
      </c>
      <c r="P1454" s="241"/>
      <c r="Q1454" s="251" t="s">
        <v>445</v>
      </c>
      <c r="R1454" s="241"/>
      <c r="S1454" s="154" t="s">
        <v>60</v>
      </c>
      <c r="T1454" s="154" t="s">
        <v>60</v>
      </c>
      <c r="U1454" s="154" t="s">
        <v>60</v>
      </c>
      <c r="V1454" s="154" t="s">
        <v>60</v>
      </c>
      <c r="W1454" s="154" t="s">
        <v>60</v>
      </c>
      <c r="X1454" s="154" t="s">
        <v>60</v>
      </c>
      <c r="Y1454" s="154" t="s">
        <v>60</v>
      </c>
      <c r="Z1454" s="154" t="s">
        <v>60</v>
      </c>
      <c r="AA1454" s="154" t="s">
        <v>60</v>
      </c>
      <c r="AB1454" s="154"/>
      <c r="AC1454" s="242" t="b">
        <f t="shared" si="2"/>
        <v>1</v>
      </c>
      <c r="AD1454" s="154" t="s">
        <v>391</v>
      </c>
      <c r="AE1454" s="243" t="b">
        <f t="shared" si="3"/>
        <v>0</v>
      </c>
      <c r="AF1454" s="154"/>
      <c r="AG1454" s="243" t="b">
        <f t="shared" si="7"/>
        <v>0</v>
      </c>
      <c r="AH1454" s="154"/>
      <c r="AI1454" s="243" t="str">
        <f t="shared" si="5"/>
        <v>N/A</v>
      </c>
      <c r="AJ1454" s="157" t="str">
        <f t="shared" si="6"/>
        <v/>
      </c>
    </row>
    <row r="1455" ht="12.75" customHeight="1">
      <c r="A1455" s="244" t="s">
        <v>3601</v>
      </c>
      <c r="B1455" s="244" t="s">
        <v>3604</v>
      </c>
      <c r="C1455" s="255" t="s">
        <v>3838</v>
      </c>
      <c r="D1455" s="256" t="s">
        <v>42</v>
      </c>
      <c r="E1455" s="257" t="s">
        <v>489</v>
      </c>
      <c r="F1455" s="154" t="str">
        <f t="array" ref="F1455">XLOOKUP(Cover!$D$12,$S$1:$AA$1,$S1455:$AA1455)</f>
        <v>Mandatory</v>
      </c>
      <c r="G1455" s="254" t="s">
        <v>3839</v>
      </c>
      <c r="H1455" s="154" t="s">
        <v>351</v>
      </c>
      <c r="I1455" s="154" t="s">
        <v>420</v>
      </c>
      <c r="J1455" s="247" t="s">
        <v>445</v>
      </c>
      <c r="K1455" s="247" t="s">
        <v>3840</v>
      </c>
      <c r="L1455" s="154" t="str">
        <f t="shared" si="1"/>
        <v/>
      </c>
      <c r="M1455" s="259" t="s">
        <v>3828</v>
      </c>
      <c r="N1455" s="253" t="str">
        <f>IFERROR(__xludf.DUMMYFUNCTION("VLOOKUP(C1455,IMPORTRANGE(""https://docs.google.com/spreadsheets/d/1ihFlp3_ePlYtFuPbUNbYj1muErVpI73WHXbEwJDIA7Q/edit#gid=1493122344"",""MTR!C:O""),8,false)"),"#N/A")</f>
        <v>#N/A</v>
      </c>
      <c r="O1455" s="253" t="str">
        <f>IFERROR(__xludf.DUMMYFUNCTION("VLOOKUP(C1455,IMPORTRANGE(""https://docs.google.com/spreadsheets/d/1P8eX0NWBhUPS_hvzA11R6jkTNFrPrRYIx_dX_hYbxrk/edit?resourcekey=0-iw9bsKY2OqkUHCFMkCar3A&amp;gid=2055363397#gid=2055363397"",""MTR!C:O""),9,false)"),"#N/A")</f>
        <v>#N/A</v>
      </c>
      <c r="P1455" s="253"/>
      <c r="Q1455" s="259"/>
      <c r="R1455" s="253"/>
      <c r="S1455" s="154" t="s">
        <v>60</v>
      </c>
      <c r="T1455" s="154" t="s">
        <v>60</v>
      </c>
      <c r="U1455" s="154" t="s">
        <v>60</v>
      </c>
      <c r="V1455" s="154" t="s">
        <v>60</v>
      </c>
      <c r="W1455" s="154" t="s">
        <v>60</v>
      </c>
      <c r="X1455" s="154" t="s">
        <v>60</v>
      </c>
      <c r="Y1455" s="154" t="s">
        <v>60</v>
      </c>
      <c r="Z1455" s="154" t="s">
        <v>60</v>
      </c>
      <c r="AA1455" s="154" t="s">
        <v>60</v>
      </c>
      <c r="AB1455" s="154"/>
      <c r="AC1455" s="242" t="b">
        <f t="shared" si="2"/>
        <v>1</v>
      </c>
      <c r="AD1455" s="154"/>
      <c r="AE1455" s="243" t="b">
        <f t="shared" si="3"/>
        <v>0</v>
      </c>
      <c r="AF1455" s="154"/>
      <c r="AG1455" s="243" t="b">
        <f t="shared" si="7"/>
        <v>0</v>
      </c>
      <c r="AH1455" s="154"/>
      <c r="AI1455" s="243" t="str">
        <f t="shared" si="5"/>
        <v>N/A</v>
      </c>
      <c r="AJ1455" s="157" t="str">
        <f t="shared" si="6"/>
        <v/>
      </c>
    </row>
    <row r="1456" ht="12.75" customHeight="1">
      <c r="A1456" s="244" t="s">
        <v>3601</v>
      </c>
      <c r="B1456" s="244" t="s">
        <v>3604</v>
      </c>
      <c r="C1456" s="255" t="s">
        <v>3841</v>
      </c>
      <c r="D1456" s="256" t="s">
        <v>42</v>
      </c>
      <c r="E1456" s="257" t="s">
        <v>489</v>
      </c>
      <c r="F1456" s="154" t="str">
        <f t="array" ref="F1456">XLOOKUP(Cover!$D$12,$S$1:$AA$1,$S1456:$AA1456)</f>
        <v>Mandatory</v>
      </c>
      <c r="G1456" s="153" t="s">
        <v>3842</v>
      </c>
      <c r="H1456" s="154" t="s">
        <v>351</v>
      </c>
      <c r="I1456" s="154" t="s">
        <v>420</v>
      </c>
      <c r="J1456" s="247" t="s">
        <v>445</v>
      </c>
      <c r="K1456" s="247" t="s">
        <v>3840</v>
      </c>
      <c r="L1456" s="154" t="str">
        <f t="shared" si="1"/>
        <v/>
      </c>
      <c r="M1456" s="259" t="s">
        <v>3828</v>
      </c>
      <c r="N1456" s="253" t="str">
        <f>IFERROR(__xludf.DUMMYFUNCTION("VLOOKUP(C1456,IMPORTRANGE(""https://docs.google.com/spreadsheets/d/1ihFlp3_ePlYtFuPbUNbYj1muErVpI73WHXbEwJDIA7Q/edit#gid=1493122344"",""MTR!C:O""),8,false)"),"#N/A")</f>
        <v>#N/A</v>
      </c>
      <c r="O1456" s="253" t="str">
        <f>IFERROR(__xludf.DUMMYFUNCTION("VLOOKUP(C1456,IMPORTRANGE(""https://docs.google.com/spreadsheets/d/1P8eX0NWBhUPS_hvzA11R6jkTNFrPrRYIx_dX_hYbxrk/edit?resourcekey=0-iw9bsKY2OqkUHCFMkCar3A&amp;gid=2055363397#gid=2055363397"",""MTR!C:O""),9,false)"),"#N/A")</f>
        <v>#N/A</v>
      </c>
      <c r="P1456" s="253"/>
      <c r="Q1456" s="253"/>
      <c r="R1456" s="253"/>
      <c r="S1456" s="154" t="s">
        <v>60</v>
      </c>
      <c r="T1456" s="154" t="s">
        <v>60</v>
      </c>
      <c r="U1456" s="154" t="s">
        <v>60</v>
      </c>
      <c r="V1456" s="154" t="s">
        <v>60</v>
      </c>
      <c r="W1456" s="154" t="s">
        <v>60</v>
      </c>
      <c r="X1456" s="154" t="s">
        <v>60</v>
      </c>
      <c r="Y1456" s="154" t="s">
        <v>60</v>
      </c>
      <c r="Z1456" s="154" t="s">
        <v>60</v>
      </c>
      <c r="AA1456" s="154" t="s">
        <v>60</v>
      </c>
      <c r="AB1456" s="154"/>
      <c r="AC1456" s="242" t="b">
        <f t="shared" si="2"/>
        <v>1</v>
      </c>
      <c r="AD1456" s="154"/>
      <c r="AE1456" s="243" t="b">
        <f t="shared" si="3"/>
        <v>0</v>
      </c>
      <c r="AF1456" s="154"/>
      <c r="AG1456" s="243" t="b">
        <f t="shared" si="7"/>
        <v>0</v>
      </c>
      <c r="AH1456" s="154"/>
      <c r="AI1456" s="243" t="str">
        <f t="shared" si="5"/>
        <v>N/A</v>
      </c>
      <c r="AJ1456" s="157" t="str">
        <f t="shared" si="6"/>
        <v/>
      </c>
    </row>
    <row r="1457" ht="12.75" customHeight="1">
      <c r="A1457" s="244" t="s">
        <v>3601</v>
      </c>
      <c r="B1457" s="244" t="s">
        <v>3604</v>
      </c>
      <c r="C1457" s="245" t="s">
        <v>3843</v>
      </c>
      <c r="D1457" s="155" t="s">
        <v>433</v>
      </c>
      <c r="E1457" s="246" t="s">
        <v>92</v>
      </c>
      <c r="F1457" s="154" t="str">
        <f t="array" ref="F1457">XLOOKUP(Cover!$D$12,$S$1:$AA$1,$S1457:$AA1457)</f>
        <v>Mandatory</v>
      </c>
      <c r="G1457" s="153" t="s">
        <v>3844</v>
      </c>
      <c r="H1457" s="154" t="s">
        <v>351</v>
      </c>
      <c r="I1457" s="154" t="s">
        <v>632</v>
      </c>
      <c r="J1457" s="154" t="s">
        <v>445</v>
      </c>
      <c r="K1457" s="154"/>
      <c r="L1457" s="154" t="str">
        <f t="shared" si="1"/>
        <v/>
      </c>
      <c r="M1457" s="248" t="str">
        <f>IFERROR(__xludf.DUMMYFUNCTION("VLOOKUP(C1457,IMPORTRANGE(""https://docs.google.com/spreadsheets/d/1P8eX0NWBhUPS_hvzA11R6jkTNFrPrRYIx_dX_hYbxrk/edit?resourcekey=0-iw9bsKY2OqkUHCFMkCar3A&amp;gid=2055363397#gid=2055363397"",""MTR!C:O""),11,false)"),"PMW-IMS")</f>
        <v>PMW-IMS</v>
      </c>
      <c r="N1457" s="248" t="str">
        <f>IFERROR(__xludf.DUMMYFUNCTION("VLOOKUP(C1457,IMPORTRANGE(""https://docs.google.com/spreadsheets/d/1ihFlp3_ePlYtFuPbUNbYj1muErVpI73WHXbEwJDIA7Q/edit#gid=1493122344"",""MTR!C:O""),8,false)"),"Complies")</f>
        <v>Complies</v>
      </c>
      <c r="O1457" s="241" t="str">
        <f>IFERROR(__xludf.DUMMYFUNCTION("VLOOKUP(C1457,IMPORTRANGE(""https://docs.google.com/spreadsheets/d/1P8eX0NWBhUPS_hvzA11R6jkTNFrPrRYIx_dX_hYbxrk/edit?resourcekey=0-iw9bsKY2OqkUHCFMkCar3A&amp;gid=2055363397#gid=2055363397"",""MTR!C:O""),9,false)"),"")</f>
        <v/>
      </c>
      <c r="P1457" s="241"/>
      <c r="Q1457" s="251" t="s">
        <v>445</v>
      </c>
      <c r="R1457" s="241"/>
      <c r="S1457" s="154" t="s">
        <v>60</v>
      </c>
      <c r="T1457" s="154" t="s">
        <v>60</v>
      </c>
      <c r="U1457" s="154" t="s">
        <v>60</v>
      </c>
      <c r="V1457" s="154" t="s">
        <v>60</v>
      </c>
      <c r="W1457" s="154" t="s">
        <v>60</v>
      </c>
      <c r="X1457" s="154" t="s">
        <v>60</v>
      </c>
      <c r="Y1457" s="154" t="s">
        <v>60</v>
      </c>
      <c r="Z1457" s="154" t="s">
        <v>60</v>
      </c>
      <c r="AA1457" s="154" t="s">
        <v>60</v>
      </c>
      <c r="AB1457" s="154"/>
      <c r="AC1457" s="242" t="b">
        <f t="shared" si="2"/>
        <v>1</v>
      </c>
      <c r="AD1457" s="154" t="s">
        <v>391</v>
      </c>
      <c r="AE1457" s="243" t="b">
        <f t="shared" si="3"/>
        <v>0</v>
      </c>
      <c r="AF1457" s="154"/>
      <c r="AG1457" s="243" t="b">
        <f t="shared" si="7"/>
        <v>0</v>
      </c>
      <c r="AH1457" s="154"/>
      <c r="AI1457" s="243" t="str">
        <f t="shared" si="5"/>
        <v>N/A</v>
      </c>
      <c r="AJ1457" s="157" t="str">
        <f t="shared" si="6"/>
        <v/>
      </c>
    </row>
    <row r="1458" ht="12.75" customHeight="1">
      <c r="A1458" s="244" t="s">
        <v>3601</v>
      </c>
      <c r="B1458" s="244" t="s">
        <v>3604</v>
      </c>
      <c r="C1458" s="255" t="s">
        <v>3845</v>
      </c>
      <c r="D1458" s="256" t="s">
        <v>42</v>
      </c>
      <c r="E1458" s="257" t="s">
        <v>489</v>
      </c>
      <c r="F1458" s="154" t="str">
        <f t="array" ref="F1458">XLOOKUP(Cover!$D$12,$S$1:$AA$1,$S1458:$AA1458)</f>
        <v>Mandatory</v>
      </c>
      <c r="G1458" s="153" t="s">
        <v>3846</v>
      </c>
      <c r="H1458" s="154" t="s">
        <v>351</v>
      </c>
      <c r="I1458" s="154" t="s">
        <v>420</v>
      </c>
      <c r="J1458" s="247" t="s">
        <v>445</v>
      </c>
      <c r="K1458" s="247" t="s">
        <v>3840</v>
      </c>
      <c r="L1458" s="154" t="str">
        <f t="shared" si="1"/>
        <v/>
      </c>
      <c r="M1458" s="259" t="s">
        <v>3828</v>
      </c>
      <c r="N1458" s="253" t="str">
        <f>IFERROR(__xludf.DUMMYFUNCTION("VLOOKUP(C1458,IMPORTRANGE(""https://docs.google.com/spreadsheets/d/1ihFlp3_ePlYtFuPbUNbYj1muErVpI73WHXbEwJDIA7Q/edit#gid=1493122344"",""MTR!C:O""),8,false)"),"#N/A")</f>
        <v>#N/A</v>
      </c>
      <c r="O1458" s="253" t="str">
        <f>IFERROR(__xludf.DUMMYFUNCTION("VLOOKUP(C1458,IMPORTRANGE(""https://docs.google.com/spreadsheets/d/1P8eX0NWBhUPS_hvzA11R6jkTNFrPrRYIx_dX_hYbxrk/edit?resourcekey=0-iw9bsKY2OqkUHCFMkCar3A&amp;gid=2055363397#gid=2055363397"",""MTR!C:O""),9,false)"),"#N/A")</f>
        <v>#N/A</v>
      </c>
      <c r="P1458" s="253"/>
      <c r="Q1458" s="259"/>
      <c r="R1458" s="253"/>
      <c r="S1458" s="154" t="s">
        <v>60</v>
      </c>
      <c r="T1458" s="154" t="s">
        <v>60</v>
      </c>
      <c r="U1458" s="154" t="s">
        <v>60</v>
      </c>
      <c r="V1458" s="154" t="s">
        <v>60</v>
      </c>
      <c r="W1458" s="154" t="s">
        <v>60</v>
      </c>
      <c r="X1458" s="154" t="s">
        <v>60</v>
      </c>
      <c r="Y1458" s="154" t="s">
        <v>60</v>
      </c>
      <c r="Z1458" s="154" t="s">
        <v>60</v>
      </c>
      <c r="AA1458" s="154" t="s">
        <v>60</v>
      </c>
      <c r="AB1458" s="154"/>
      <c r="AC1458" s="242" t="b">
        <f t="shared" si="2"/>
        <v>1</v>
      </c>
      <c r="AD1458" s="154"/>
      <c r="AE1458" s="243" t="b">
        <f t="shared" si="3"/>
        <v>0</v>
      </c>
      <c r="AF1458" s="154"/>
      <c r="AG1458" s="243" t="b">
        <f t="shared" si="7"/>
        <v>0</v>
      </c>
      <c r="AH1458" s="154"/>
      <c r="AI1458" s="243" t="str">
        <f t="shared" si="5"/>
        <v>N/A</v>
      </c>
      <c r="AJ1458" s="157" t="str">
        <f t="shared" si="6"/>
        <v/>
      </c>
    </row>
    <row r="1459" ht="12.75" customHeight="1">
      <c r="A1459" s="244" t="s">
        <v>3601</v>
      </c>
      <c r="B1459" s="244" t="s">
        <v>3604</v>
      </c>
      <c r="C1459" s="245" t="s">
        <v>3847</v>
      </c>
      <c r="D1459" s="155" t="s">
        <v>433</v>
      </c>
      <c r="E1459" s="246" t="s">
        <v>92</v>
      </c>
      <c r="F1459" s="154" t="str">
        <f t="array" ref="F1459">XLOOKUP(Cover!$D$12,$S$1:$AA$1,$S1459:$AA1459)</f>
        <v>Mandatory</v>
      </c>
      <c r="G1459" s="153" t="s">
        <v>3848</v>
      </c>
      <c r="H1459" s="154" t="s">
        <v>351</v>
      </c>
      <c r="I1459" s="154" t="s">
        <v>420</v>
      </c>
      <c r="J1459" s="154" t="s">
        <v>445</v>
      </c>
      <c r="K1459" s="154"/>
      <c r="L1459" s="154" t="str">
        <f t="shared" si="1"/>
        <v/>
      </c>
      <c r="M1459" s="248" t="str">
        <f>IFERROR(__xludf.DUMMYFUNCTION("VLOOKUP(C1459,IMPORTRANGE(""https://docs.google.com/spreadsheets/d/1P8eX0NWBhUPS_hvzA11R6jkTNFrPrRYIx_dX_hYbxrk/edit?resourcekey=0-iw9bsKY2OqkUHCFMkCar3A&amp;gid=2055363397#gid=2055363397"",""MTR!C:O""),11,false)"),"PMW-IMS")</f>
        <v>PMW-IMS</v>
      </c>
      <c r="N1459" s="248" t="str">
        <f>IFERROR(__xludf.DUMMYFUNCTION("VLOOKUP(C1459,IMPORTRANGE(""https://docs.google.com/spreadsheets/d/1ihFlp3_ePlYtFuPbUNbYj1muErVpI73WHXbEwJDIA7Q/edit#gid=1493122344"",""MTR!C:O""),8,false)"),"Complies")</f>
        <v>Complies</v>
      </c>
      <c r="O1459" s="241" t="str">
        <f>IFERROR(__xludf.DUMMYFUNCTION("VLOOKUP(C1459,IMPORTRANGE(""https://docs.google.com/spreadsheets/d/1P8eX0NWBhUPS_hvzA11R6jkTNFrPrRYIx_dX_hYbxrk/edit?resourcekey=0-iw9bsKY2OqkUHCFMkCar3A&amp;gid=2055363397#gid=2055363397"",""MTR!C:O""),9,false)"),"")</f>
        <v/>
      </c>
      <c r="P1459" s="241"/>
      <c r="Q1459" s="251" t="s">
        <v>445</v>
      </c>
      <c r="R1459" s="241"/>
      <c r="S1459" s="154" t="s">
        <v>60</v>
      </c>
      <c r="T1459" s="154" t="s">
        <v>60</v>
      </c>
      <c r="U1459" s="154" t="s">
        <v>60</v>
      </c>
      <c r="V1459" s="154" t="s">
        <v>60</v>
      </c>
      <c r="W1459" s="154" t="s">
        <v>60</v>
      </c>
      <c r="X1459" s="154" t="s">
        <v>60</v>
      </c>
      <c r="Y1459" s="154" t="s">
        <v>60</v>
      </c>
      <c r="Z1459" s="154" t="s">
        <v>60</v>
      </c>
      <c r="AA1459" s="154" t="s">
        <v>60</v>
      </c>
      <c r="AB1459" s="154"/>
      <c r="AC1459" s="242" t="b">
        <f t="shared" si="2"/>
        <v>1</v>
      </c>
      <c r="AD1459" s="154" t="s">
        <v>391</v>
      </c>
      <c r="AE1459" s="243" t="b">
        <f t="shared" si="3"/>
        <v>0</v>
      </c>
      <c r="AF1459" s="154"/>
      <c r="AG1459" s="243" t="b">
        <f t="shared" si="7"/>
        <v>0</v>
      </c>
      <c r="AH1459" s="154"/>
      <c r="AI1459" s="243" t="str">
        <f t="shared" si="5"/>
        <v>N/A</v>
      </c>
      <c r="AJ1459" s="157" t="str">
        <f t="shared" si="6"/>
        <v/>
      </c>
    </row>
    <row r="1460" ht="12.75" customHeight="1">
      <c r="A1460" s="244" t="s">
        <v>3601</v>
      </c>
      <c r="B1460" s="244" t="s">
        <v>3604</v>
      </c>
      <c r="C1460" s="255" t="s">
        <v>3849</v>
      </c>
      <c r="D1460" s="256" t="s">
        <v>42</v>
      </c>
      <c r="E1460" s="257" t="s">
        <v>489</v>
      </c>
      <c r="F1460" s="154" t="str">
        <f t="array" ref="F1460">XLOOKUP(Cover!$D$12,$S$1:$AA$1,$S1460:$AA1460)</f>
        <v>Mandatory</v>
      </c>
      <c r="G1460" s="153" t="s">
        <v>3850</v>
      </c>
      <c r="H1460" s="154" t="s">
        <v>351</v>
      </c>
      <c r="I1460" s="154" t="s">
        <v>420</v>
      </c>
      <c r="J1460" s="247" t="s">
        <v>445</v>
      </c>
      <c r="K1460" s="247" t="s">
        <v>3840</v>
      </c>
      <c r="L1460" s="154" t="str">
        <f t="shared" si="1"/>
        <v/>
      </c>
      <c r="M1460" s="259" t="s">
        <v>3828</v>
      </c>
      <c r="N1460" s="253" t="str">
        <f>IFERROR(__xludf.DUMMYFUNCTION("VLOOKUP(C1460,IMPORTRANGE(""https://docs.google.com/spreadsheets/d/1ihFlp3_ePlYtFuPbUNbYj1muErVpI73WHXbEwJDIA7Q/edit#gid=1493122344"",""MTR!C:O""),8,false)"),"#N/A")</f>
        <v>#N/A</v>
      </c>
      <c r="O1460" s="253" t="str">
        <f>IFERROR(__xludf.DUMMYFUNCTION("VLOOKUP(C1460,IMPORTRANGE(""https://docs.google.com/spreadsheets/d/1P8eX0NWBhUPS_hvzA11R6jkTNFrPrRYIx_dX_hYbxrk/edit?resourcekey=0-iw9bsKY2OqkUHCFMkCar3A&amp;gid=2055363397#gid=2055363397"",""MTR!C:O""),9,false)"),"#N/A")</f>
        <v>#N/A</v>
      </c>
      <c r="P1460" s="253"/>
      <c r="Q1460" s="259"/>
      <c r="R1460" s="253"/>
      <c r="S1460" s="154" t="s">
        <v>60</v>
      </c>
      <c r="T1460" s="154" t="s">
        <v>60</v>
      </c>
      <c r="U1460" s="154" t="s">
        <v>60</v>
      </c>
      <c r="V1460" s="154" t="s">
        <v>60</v>
      </c>
      <c r="W1460" s="154" t="s">
        <v>60</v>
      </c>
      <c r="X1460" s="154" t="s">
        <v>60</v>
      </c>
      <c r="Y1460" s="154" t="s">
        <v>60</v>
      </c>
      <c r="Z1460" s="154" t="s">
        <v>60</v>
      </c>
      <c r="AA1460" s="154" t="s">
        <v>60</v>
      </c>
      <c r="AB1460" s="154"/>
      <c r="AC1460" s="242" t="b">
        <f t="shared" si="2"/>
        <v>1</v>
      </c>
      <c r="AD1460" s="154"/>
      <c r="AE1460" s="243" t="b">
        <f t="shared" si="3"/>
        <v>0</v>
      </c>
      <c r="AF1460" s="154"/>
      <c r="AG1460" s="243" t="b">
        <f t="shared" si="7"/>
        <v>0</v>
      </c>
      <c r="AH1460" s="154"/>
      <c r="AI1460" s="243" t="str">
        <f t="shared" si="5"/>
        <v>N/A</v>
      </c>
      <c r="AJ1460" s="157" t="str">
        <f t="shared" si="6"/>
        <v/>
      </c>
    </row>
    <row r="1461" ht="12.75" customHeight="1">
      <c r="A1461" s="244" t="s">
        <v>3601</v>
      </c>
      <c r="B1461" s="244" t="s">
        <v>3604</v>
      </c>
      <c r="C1461" s="255" t="s">
        <v>3851</v>
      </c>
      <c r="D1461" s="256" t="s">
        <v>42</v>
      </c>
      <c r="E1461" s="257" t="s">
        <v>489</v>
      </c>
      <c r="F1461" s="154" t="str">
        <f t="array" ref="F1461">XLOOKUP(Cover!$D$12,$S$1:$AA$1,$S1461:$AA1461)</f>
        <v>Mandatory</v>
      </c>
      <c r="G1461" s="153" t="s">
        <v>3852</v>
      </c>
      <c r="H1461" s="154" t="s">
        <v>351</v>
      </c>
      <c r="I1461" s="154" t="s">
        <v>420</v>
      </c>
      <c r="J1461" s="247" t="s">
        <v>516</v>
      </c>
      <c r="K1461" s="247" t="s">
        <v>3840</v>
      </c>
      <c r="L1461" s="154" t="str">
        <f t="shared" si="1"/>
        <v/>
      </c>
      <c r="M1461" s="259" t="s">
        <v>3828</v>
      </c>
      <c r="N1461" s="253" t="str">
        <f>IFERROR(__xludf.DUMMYFUNCTION("VLOOKUP(C1461,IMPORTRANGE(""https://docs.google.com/spreadsheets/d/1ihFlp3_ePlYtFuPbUNbYj1muErVpI73WHXbEwJDIA7Q/edit#gid=1493122344"",""MTR!C:O""),8,false)"),"#N/A")</f>
        <v>#N/A</v>
      </c>
      <c r="O1461" s="253" t="str">
        <f>IFERROR(__xludf.DUMMYFUNCTION("VLOOKUP(C1461,IMPORTRANGE(""https://docs.google.com/spreadsheets/d/1P8eX0NWBhUPS_hvzA11R6jkTNFrPrRYIx_dX_hYbxrk/edit?resourcekey=0-iw9bsKY2OqkUHCFMkCar3A&amp;gid=2055363397#gid=2055363397"",""MTR!C:O""),9,false)"),"#N/A")</f>
        <v>#N/A</v>
      </c>
      <c r="P1461" s="253"/>
      <c r="Q1461" s="253"/>
      <c r="R1461" s="253"/>
      <c r="S1461" s="154" t="s">
        <v>60</v>
      </c>
      <c r="T1461" s="154" t="s">
        <v>60</v>
      </c>
      <c r="U1461" s="154" t="s">
        <v>60</v>
      </c>
      <c r="V1461" s="154" t="s">
        <v>60</v>
      </c>
      <c r="W1461" s="154" t="s">
        <v>60</v>
      </c>
      <c r="X1461" s="154" t="s">
        <v>60</v>
      </c>
      <c r="Y1461" s="154" t="s">
        <v>60</v>
      </c>
      <c r="Z1461" s="154" t="s">
        <v>60</v>
      </c>
      <c r="AA1461" s="154" t="s">
        <v>60</v>
      </c>
      <c r="AB1461" s="154"/>
      <c r="AC1461" s="242" t="b">
        <f t="shared" si="2"/>
        <v>1</v>
      </c>
      <c r="AD1461" s="154"/>
      <c r="AE1461" s="243" t="b">
        <f t="shared" si="3"/>
        <v>0</v>
      </c>
      <c r="AF1461" s="154"/>
      <c r="AG1461" s="243" t="b">
        <f t="shared" si="7"/>
        <v>0</v>
      </c>
      <c r="AH1461" s="154"/>
      <c r="AI1461" s="243" t="str">
        <f t="shared" si="5"/>
        <v>N/A</v>
      </c>
      <c r="AJ1461" s="157" t="str">
        <f t="shared" si="6"/>
        <v/>
      </c>
    </row>
    <row r="1462" ht="12.75" customHeight="1">
      <c r="A1462" s="244" t="s">
        <v>3601</v>
      </c>
      <c r="B1462" s="244" t="s">
        <v>3604</v>
      </c>
      <c r="C1462" s="255" t="s">
        <v>3853</v>
      </c>
      <c r="D1462" s="256" t="s">
        <v>42</v>
      </c>
      <c r="E1462" s="257" t="s">
        <v>489</v>
      </c>
      <c r="F1462" s="154" t="str">
        <f t="array" ref="F1462">XLOOKUP(Cover!$D$12,$S$1:$AA$1,$S1462:$AA1462)</f>
        <v>Mandatory</v>
      </c>
      <c r="G1462" s="153" t="s">
        <v>3854</v>
      </c>
      <c r="H1462" s="154" t="s">
        <v>234</v>
      </c>
      <c r="I1462" s="154" t="s">
        <v>2155</v>
      </c>
      <c r="J1462" s="247" t="s">
        <v>516</v>
      </c>
      <c r="K1462" s="247" t="s">
        <v>3855</v>
      </c>
      <c r="L1462" s="154" t="str">
        <f t="shared" si="1"/>
        <v/>
      </c>
      <c r="M1462" s="259" t="s">
        <v>3828</v>
      </c>
      <c r="N1462" s="253" t="str">
        <f>IFERROR(__xludf.DUMMYFUNCTION("VLOOKUP(C1462,IMPORTRANGE(""https://docs.google.com/spreadsheets/d/1ihFlp3_ePlYtFuPbUNbYj1muErVpI73WHXbEwJDIA7Q/edit#gid=1493122344"",""MTR!C:O""),8,false)"),"#N/A")</f>
        <v>#N/A</v>
      </c>
      <c r="O1462" s="253" t="str">
        <f>IFERROR(__xludf.DUMMYFUNCTION("VLOOKUP(C1462,IMPORTRANGE(""https://docs.google.com/spreadsheets/d/1P8eX0NWBhUPS_hvzA11R6jkTNFrPrRYIx_dX_hYbxrk/edit?resourcekey=0-iw9bsKY2OqkUHCFMkCar3A&amp;gid=2055363397#gid=2055363397"",""MTR!C:O""),9,false)"),"#N/A")</f>
        <v>#N/A</v>
      </c>
      <c r="P1462" s="253"/>
      <c r="Q1462" s="253"/>
      <c r="R1462" s="253"/>
      <c r="S1462" s="154" t="s">
        <v>68</v>
      </c>
      <c r="T1462" s="154" t="s">
        <v>60</v>
      </c>
      <c r="U1462" s="154" t="s">
        <v>60</v>
      </c>
      <c r="V1462" s="154" t="s">
        <v>60</v>
      </c>
      <c r="W1462" s="154" t="s">
        <v>60</v>
      </c>
      <c r="X1462" s="154" t="s">
        <v>60</v>
      </c>
      <c r="Y1462" s="154" t="s">
        <v>60</v>
      </c>
      <c r="Z1462" s="154" t="s">
        <v>60</v>
      </c>
      <c r="AA1462" s="154" t="s">
        <v>60</v>
      </c>
      <c r="AB1462" s="154"/>
      <c r="AC1462" s="242" t="b">
        <f t="shared" si="2"/>
        <v>1</v>
      </c>
      <c r="AD1462" s="154"/>
      <c r="AE1462" s="243" t="b">
        <f t="shared" si="3"/>
        <v>0</v>
      </c>
      <c r="AF1462" s="154"/>
      <c r="AG1462" s="243" t="b">
        <f t="shared" si="7"/>
        <v>0</v>
      </c>
      <c r="AH1462" s="154"/>
      <c r="AI1462" s="243" t="str">
        <f t="shared" si="5"/>
        <v>N/A</v>
      </c>
      <c r="AJ1462" s="157" t="str">
        <f t="shared" si="6"/>
        <v/>
      </c>
    </row>
    <row r="1463" ht="12.75" customHeight="1">
      <c r="A1463" s="244" t="s">
        <v>3601</v>
      </c>
      <c r="B1463" s="244" t="s">
        <v>3604</v>
      </c>
      <c r="C1463" s="255" t="s">
        <v>3856</v>
      </c>
      <c r="D1463" s="256" t="s">
        <v>42</v>
      </c>
      <c r="E1463" s="257" t="s">
        <v>489</v>
      </c>
      <c r="F1463" s="154" t="str">
        <f t="array" ref="F1463">XLOOKUP(Cover!$D$12,$S$1:$AA$1,$S1463:$AA1463)</f>
        <v>Mandatory</v>
      </c>
      <c r="G1463" s="153" t="s">
        <v>3857</v>
      </c>
      <c r="H1463" s="154" t="s">
        <v>234</v>
      </c>
      <c r="I1463" s="154" t="s">
        <v>479</v>
      </c>
      <c r="J1463" s="247" t="s">
        <v>516</v>
      </c>
      <c r="K1463" s="247" t="s">
        <v>3855</v>
      </c>
      <c r="L1463" s="154" t="str">
        <f t="shared" si="1"/>
        <v/>
      </c>
      <c r="M1463" s="259" t="s">
        <v>3828</v>
      </c>
      <c r="N1463" s="253" t="str">
        <f>IFERROR(__xludf.DUMMYFUNCTION("VLOOKUP(C1463,IMPORTRANGE(""https://docs.google.com/spreadsheets/d/1ihFlp3_ePlYtFuPbUNbYj1muErVpI73WHXbEwJDIA7Q/edit#gid=1493122344"",""MTR!C:O""),8,false)"),"#N/A")</f>
        <v>#N/A</v>
      </c>
      <c r="O1463" s="253" t="str">
        <f>IFERROR(__xludf.DUMMYFUNCTION("VLOOKUP(C1463,IMPORTRANGE(""https://docs.google.com/spreadsheets/d/1P8eX0NWBhUPS_hvzA11R6jkTNFrPrRYIx_dX_hYbxrk/edit?resourcekey=0-iw9bsKY2OqkUHCFMkCar3A&amp;gid=2055363397#gid=2055363397"",""MTR!C:O""),9,false)"),"#N/A")</f>
        <v>#N/A</v>
      </c>
      <c r="P1463" s="253"/>
      <c r="Q1463" s="253"/>
      <c r="R1463" s="253"/>
      <c r="S1463" s="154" t="s">
        <v>68</v>
      </c>
      <c r="T1463" s="154" t="s">
        <v>60</v>
      </c>
      <c r="U1463" s="154" t="s">
        <v>60</v>
      </c>
      <c r="V1463" s="154" t="s">
        <v>60</v>
      </c>
      <c r="W1463" s="154" t="s">
        <v>60</v>
      </c>
      <c r="X1463" s="154" t="s">
        <v>60</v>
      </c>
      <c r="Y1463" s="154" t="s">
        <v>60</v>
      </c>
      <c r="Z1463" s="154" t="s">
        <v>60</v>
      </c>
      <c r="AA1463" s="154" t="s">
        <v>60</v>
      </c>
      <c r="AB1463" s="154"/>
      <c r="AC1463" s="242" t="b">
        <f t="shared" si="2"/>
        <v>1</v>
      </c>
      <c r="AD1463" s="154"/>
      <c r="AE1463" s="243" t="b">
        <f t="shared" si="3"/>
        <v>0</v>
      </c>
      <c r="AF1463" s="154"/>
      <c r="AG1463" s="243" t="b">
        <f t="shared" si="7"/>
        <v>0</v>
      </c>
      <c r="AH1463" s="154"/>
      <c r="AI1463" s="243" t="str">
        <f t="shared" si="5"/>
        <v>N/A</v>
      </c>
      <c r="AJ1463" s="157" t="str">
        <f t="shared" si="6"/>
        <v/>
      </c>
    </row>
    <row r="1464" ht="12.75" customHeight="1">
      <c r="A1464" s="244" t="s">
        <v>3601</v>
      </c>
      <c r="B1464" s="244" t="s">
        <v>3604</v>
      </c>
      <c r="C1464" s="255" t="s">
        <v>3858</v>
      </c>
      <c r="D1464" s="256" t="s">
        <v>42</v>
      </c>
      <c r="E1464" s="257" t="s">
        <v>489</v>
      </c>
      <c r="F1464" s="154" t="str">
        <f t="array" ref="F1464">XLOOKUP(Cover!$D$12,$S$1:$AA$1,$S1464:$AA1464)</f>
        <v>Mandatory</v>
      </c>
      <c r="G1464" s="153" t="s">
        <v>3859</v>
      </c>
      <c r="H1464" s="154" t="s">
        <v>234</v>
      </c>
      <c r="I1464" s="154" t="s">
        <v>479</v>
      </c>
      <c r="J1464" s="247" t="s">
        <v>516</v>
      </c>
      <c r="K1464" s="247" t="s">
        <v>3855</v>
      </c>
      <c r="L1464" s="154" t="str">
        <f t="shared" si="1"/>
        <v/>
      </c>
      <c r="M1464" s="259" t="s">
        <v>3828</v>
      </c>
      <c r="N1464" s="253" t="str">
        <f>IFERROR(__xludf.DUMMYFUNCTION("VLOOKUP(C1464,IMPORTRANGE(""https://docs.google.com/spreadsheets/d/1ihFlp3_ePlYtFuPbUNbYj1muErVpI73WHXbEwJDIA7Q/edit#gid=1493122344"",""MTR!C:O""),8,false)"),"#N/A")</f>
        <v>#N/A</v>
      </c>
      <c r="O1464" s="253" t="str">
        <f>IFERROR(__xludf.DUMMYFUNCTION("VLOOKUP(C1464,IMPORTRANGE(""https://docs.google.com/spreadsheets/d/1P8eX0NWBhUPS_hvzA11R6jkTNFrPrRYIx_dX_hYbxrk/edit?resourcekey=0-iw9bsKY2OqkUHCFMkCar3A&amp;gid=2055363397#gid=2055363397"",""MTR!C:O""),9,false)"),"#N/A")</f>
        <v>#N/A</v>
      </c>
      <c r="P1464" s="253"/>
      <c r="Q1464" s="253"/>
      <c r="R1464" s="253"/>
      <c r="S1464" s="154" t="s">
        <v>68</v>
      </c>
      <c r="T1464" s="154" t="s">
        <v>60</v>
      </c>
      <c r="U1464" s="154" t="s">
        <v>60</v>
      </c>
      <c r="V1464" s="154" t="s">
        <v>60</v>
      </c>
      <c r="W1464" s="154" t="s">
        <v>60</v>
      </c>
      <c r="X1464" s="154" t="s">
        <v>60</v>
      </c>
      <c r="Y1464" s="154" t="s">
        <v>60</v>
      </c>
      <c r="Z1464" s="154" t="s">
        <v>60</v>
      </c>
      <c r="AA1464" s="154" t="s">
        <v>60</v>
      </c>
      <c r="AB1464" s="154"/>
      <c r="AC1464" s="242" t="b">
        <f t="shared" si="2"/>
        <v>1</v>
      </c>
      <c r="AD1464" s="154"/>
      <c r="AE1464" s="243" t="b">
        <f t="shared" si="3"/>
        <v>0</v>
      </c>
      <c r="AF1464" s="154"/>
      <c r="AG1464" s="243" t="b">
        <f t="shared" si="7"/>
        <v>0</v>
      </c>
      <c r="AH1464" s="154"/>
      <c r="AI1464" s="243" t="str">
        <f t="shared" si="5"/>
        <v>N/A</v>
      </c>
      <c r="AJ1464" s="157" t="str">
        <f t="shared" si="6"/>
        <v/>
      </c>
    </row>
    <row r="1465" ht="12.75" customHeight="1">
      <c r="A1465" s="244" t="s">
        <v>3601</v>
      </c>
      <c r="B1465" s="244" t="s">
        <v>3604</v>
      </c>
      <c r="C1465" s="255" t="s">
        <v>3860</v>
      </c>
      <c r="D1465" s="256" t="s">
        <v>42</v>
      </c>
      <c r="E1465" s="257" t="s">
        <v>489</v>
      </c>
      <c r="F1465" s="154" t="str">
        <f t="array" ref="F1465">XLOOKUP(Cover!$D$12,$S$1:$AA$1,$S1465:$AA1465)</f>
        <v>Mandatory</v>
      </c>
      <c r="G1465" s="153" t="s">
        <v>3861</v>
      </c>
      <c r="H1465" s="154" t="s">
        <v>234</v>
      </c>
      <c r="I1465" s="154" t="s">
        <v>479</v>
      </c>
      <c r="J1465" s="247" t="s">
        <v>516</v>
      </c>
      <c r="K1465" s="247" t="s">
        <v>3855</v>
      </c>
      <c r="L1465" s="154" t="str">
        <f t="shared" si="1"/>
        <v/>
      </c>
      <c r="M1465" s="259" t="s">
        <v>3828</v>
      </c>
      <c r="N1465" s="253" t="str">
        <f>IFERROR(__xludf.DUMMYFUNCTION("VLOOKUP(C1465,IMPORTRANGE(""https://docs.google.com/spreadsheets/d/1ihFlp3_ePlYtFuPbUNbYj1muErVpI73WHXbEwJDIA7Q/edit#gid=1493122344"",""MTR!C:O""),8,false)"),"#N/A")</f>
        <v>#N/A</v>
      </c>
      <c r="O1465" s="253" t="str">
        <f>IFERROR(__xludf.DUMMYFUNCTION("VLOOKUP(C1465,IMPORTRANGE(""https://docs.google.com/spreadsheets/d/1P8eX0NWBhUPS_hvzA11R6jkTNFrPrRYIx_dX_hYbxrk/edit?resourcekey=0-iw9bsKY2OqkUHCFMkCar3A&amp;gid=2055363397#gid=2055363397"",""MTR!C:O""),9,false)"),"#N/A")</f>
        <v>#N/A</v>
      </c>
      <c r="P1465" s="253"/>
      <c r="Q1465" s="253"/>
      <c r="R1465" s="253"/>
      <c r="S1465" s="154" t="s">
        <v>68</v>
      </c>
      <c r="T1465" s="154" t="s">
        <v>60</v>
      </c>
      <c r="U1465" s="154" t="s">
        <v>60</v>
      </c>
      <c r="V1465" s="154" t="s">
        <v>60</v>
      </c>
      <c r="W1465" s="154" t="s">
        <v>60</v>
      </c>
      <c r="X1465" s="154" t="s">
        <v>60</v>
      </c>
      <c r="Y1465" s="154" t="s">
        <v>60</v>
      </c>
      <c r="Z1465" s="154" t="s">
        <v>60</v>
      </c>
      <c r="AA1465" s="154" t="s">
        <v>60</v>
      </c>
      <c r="AB1465" s="154"/>
      <c r="AC1465" s="242" t="b">
        <f t="shared" si="2"/>
        <v>1</v>
      </c>
      <c r="AD1465" s="154"/>
      <c r="AE1465" s="243" t="b">
        <f t="shared" si="3"/>
        <v>0</v>
      </c>
      <c r="AF1465" s="154"/>
      <c r="AG1465" s="243" t="b">
        <f t="shared" si="7"/>
        <v>0</v>
      </c>
      <c r="AH1465" s="154"/>
      <c r="AI1465" s="243" t="str">
        <f t="shared" si="5"/>
        <v>N/A</v>
      </c>
      <c r="AJ1465" s="157" t="str">
        <f t="shared" si="6"/>
        <v/>
      </c>
    </row>
    <row r="1466" ht="12.75" customHeight="1">
      <c r="A1466" s="244" t="s">
        <v>3601</v>
      </c>
      <c r="B1466" s="244" t="s">
        <v>3604</v>
      </c>
      <c r="C1466" s="255" t="s">
        <v>3862</v>
      </c>
      <c r="D1466" s="256" t="s">
        <v>42</v>
      </c>
      <c r="E1466" s="257" t="s">
        <v>489</v>
      </c>
      <c r="F1466" s="154" t="str">
        <f t="array" ref="F1466">XLOOKUP(Cover!$D$12,$S$1:$AA$1,$S1466:$AA1466)</f>
        <v>Mandatory</v>
      </c>
      <c r="G1466" s="153" t="s">
        <v>3863</v>
      </c>
      <c r="H1466" s="154" t="s">
        <v>234</v>
      </c>
      <c r="I1466" s="154" t="s">
        <v>479</v>
      </c>
      <c r="J1466" s="247" t="s">
        <v>516</v>
      </c>
      <c r="K1466" s="247" t="s">
        <v>3855</v>
      </c>
      <c r="L1466" s="154" t="str">
        <f t="shared" si="1"/>
        <v/>
      </c>
      <c r="M1466" s="259" t="s">
        <v>3828</v>
      </c>
      <c r="N1466" s="253" t="str">
        <f>IFERROR(__xludf.DUMMYFUNCTION("VLOOKUP(C1466,IMPORTRANGE(""https://docs.google.com/spreadsheets/d/1ihFlp3_ePlYtFuPbUNbYj1muErVpI73WHXbEwJDIA7Q/edit#gid=1493122344"",""MTR!C:O""),8,false)"),"#N/A")</f>
        <v>#N/A</v>
      </c>
      <c r="O1466" s="253" t="str">
        <f>IFERROR(__xludf.DUMMYFUNCTION("VLOOKUP(C1466,IMPORTRANGE(""https://docs.google.com/spreadsheets/d/1P8eX0NWBhUPS_hvzA11R6jkTNFrPrRYIx_dX_hYbxrk/edit?resourcekey=0-iw9bsKY2OqkUHCFMkCar3A&amp;gid=2055363397#gid=2055363397"",""MTR!C:O""),9,false)"),"#N/A")</f>
        <v>#N/A</v>
      </c>
      <c r="P1466" s="253"/>
      <c r="Q1466" s="253"/>
      <c r="R1466" s="253"/>
      <c r="S1466" s="154" t="s">
        <v>68</v>
      </c>
      <c r="T1466" s="154" t="s">
        <v>60</v>
      </c>
      <c r="U1466" s="154" t="s">
        <v>60</v>
      </c>
      <c r="V1466" s="154" t="s">
        <v>60</v>
      </c>
      <c r="W1466" s="154" t="s">
        <v>60</v>
      </c>
      <c r="X1466" s="154" t="s">
        <v>60</v>
      </c>
      <c r="Y1466" s="154" t="s">
        <v>60</v>
      </c>
      <c r="Z1466" s="154" t="s">
        <v>60</v>
      </c>
      <c r="AA1466" s="154" t="s">
        <v>60</v>
      </c>
      <c r="AB1466" s="154"/>
      <c r="AC1466" s="242" t="b">
        <f t="shared" si="2"/>
        <v>1</v>
      </c>
      <c r="AD1466" s="154"/>
      <c r="AE1466" s="243" t="b">
        <f t="shared" si="3"/>
        <v>0</v>
      </c>
      <c r="AF1466" s="154"/>
      <c r="AG1466" s="243" t="b">
        <f t="shared" si="7"/>
        <v>0</v>
      </c>
      <c r="AH1466" s="154"/>
      <c r="AI1466" s="243" t="str">
        <f t="shared" si="5"/>
        <v>N/A</v>
      </c>
      <c r="AJ1466" s="157" t="str">
        <f t="shared" si="6"/>
        <v/>
      </c>
    </row>
    <row r="1467" ht="12.75" customHeight="1">
      <c r="A1467" s="244" t="s">
        <v>3601</v>
      </c>
      <c r="B1467" s="244" t="s">
        <v>3604</v>
      </c>
      <c r="C1467" s="255" t="s">
        <v>3864</v>
      </c>
      <c r="D1467" s="256" t="s">
        <v>42</v>
      </c>
      <c r="E1467" s="257" t="s">
        <v>489</v>
      </c>
      <c r="F1467" s="154" t="str">
        <f t="array" ref="F1467">XLOOKUP(Cover!$D$12,$S$1:$AA$1,$S1467:$AA1467)</f>
        <v>Mandatory</v>
      </c>
      <c r="G1467" s="153" t="s">
        <v>3865</v>
      </c>
      <c r="H1467" s="154" t="s">
        <v>353</v>
      </c>
      <c r="I1467" s="154" t="s">
        <v>2155</v>
      </c>
      <c r="J1467" s="247" t="s">
        <v>506</v>
      </c>
      <c r="K1467" s="247" t="s">
        <v>3866</v>
      </c>
      <c r="L1467" s="154" t="str">
        <f t="shared" si="1"/>
        <v/>
      </c>
      <c r="M1467" s="259" t="s">
        <v>3828</v>
      </c>
      <c r="N1467" s="253" t="str">
        <f>IFERROR(__xludf.DUMMYFUNCTION("VLOOKUP(C1467,IMPORTRANGE(""https://docs.google.com/spreadsheets/d/1ihFlp3_ePlYtFuPbUNbYj1muErVpI73WHXbEwJDIA7Q/edit#gid=1493122344"",""MTR!C:O""),8,false)"),"#N/A")</f>
        <v>#N/A</v>
      </c>
      <c r="O1467" s="253" t="str">
        <f>IFERROR(__xludf.DUMMYFUNCTION("VLOOKUP(C1467,IMPORTRANGE(""https://docs.google.com/spreadsheets/d/1P8eX0NWBhUPS_hvzA11R6jkTNFrPrRYIx_dX_hYbxrk/edit?resourcekey=0-iw9bsKY2OqkUHCFMkCar3A&amp;gid=2055363397#gid=2055363397"",""MTR!C:O""),9,false)"),"#N/A")</f>
        <v>#N/A</v>
      </c>
      <c r="P1467" s="253"/>
      <c r="Q1467" s="253"/>
      <c r="R1467" s="253"/>
      <c r="S1467" s="154" t="s">
        <v>68</v>
      </c>
      <c r="T1467" s="154" t="s">
        <v>60</v>
      </c>
      <c r="U1467" s="154" t="s">
        <v>60</v>
      </c>
      <c r="V1467" s="154" t="s">
        <v>60</v>
      </c>
      <c r="W1467" s="154" t="s">
        <v>60</v>
      </c>
      <c r="X1467" s="154" t="s">
        <v>60</v>
      </c>
      <c r="Y1467" s="154" t="s">
        <v>60</v>
      </c>
      <c r="Z1467" s="154" t="s">
        <v>60</v>
      </c>
      <c r="AA1467" s="154" t="s">
        <v>60</v>
      </c>
      <c r="AB1467" s="154"/>
      <c r="AC1467" s="242" t="b">
        <f t="shared" si="2"/>
        <v>1</v>
      </c>
      <c r="AD1467" s="154"/>
      <c r="AE1467" s="243" t="b">
        <f t="shared" si="3"/>
        <v>0</v>
      </c>
      <c r="AF1467" s="154"/>
      <c r="AG1467" s="243" t="b">
        <f t="shared" si="7"/>
        <v>0</v>
      </c>
      <c r="AH1467" s="154"/>
      <c r="AI1467" s="243" t="str">
        <f t="shared" si="5"/>
        <v>N/A</v>
      </c>
      <c r="AJ1467" s="157" t="str">
        <f t="shared" si="6"/>
        <v/>
      </c>
    </row>
    <row r="1468" ht="12.75" customHeight="1">
      <c r="A1468" s="244" t="s">
        <v>3601</v>
      </c>
      <c r="B1468" s="244" t="s">
        <v>3604</v>
      </c>
      <c r="C1468" s="255" t="s">
        <v>3867</v>
      </c>
      <c r="D1468" s="256" t="s">
        <v>42</v>
      </c>
      <c r="E1468" s="257" t="s">
        <v>489</v>
      </c>
      <c r="F1468" s="154" t="str">
        <f t="array" ref="F1468">XLOOKUP(Cover!$D$12,$S$1:$AA$1,$S1468:$AA1468)</f>
        <v>Mandatory</v>
      </c>
      <c r="G1468" s="153" t="s">
        <v>3868</v>
      </c>
      <c r="H1468" s="154" t="s">
        <v>353</v>
      </c>
      <c r="I1468" s="154" t="s">
        <v>479</v>
      </c>
      <c r="J1468" s="247" t="s">
        <v>506</v>
      </c>
      <c r="K1468" s="247" t="s">
        <v>3866</v>
      </c>
      <c r="L1468" s="154" t="str">
        <f t="shared" si="1"/>
        <v/>
      </c>
      <c r="M1468" s="259" t="s">
        <v>3828</v>
      </c>
      <c r="N1468" s="253" t="str">
        <f>IFERROR(__xludf.DUMMYFUNCTION("VLOOKUP(C1468,IMPORTRANGE(""https://docs.google.com/spreadsheets/d/1ihFlp3_ePlYtFuPbUNbYj1muErVpI73WHXbEwJDIA7Q/edit#gid=1493122344"",""MTR!C:O""),8,false)"),"#N/A")</f>
        <v>#N/A</v>
      </c>
      <c r="O1468" s="253" t="str">
        <f>IFERROR(__xludf.DUMMYFUNCTION("VLOOKUP(C1468,IMPORTRANGE(""https://docs.google.com/spreadsheets/d/1P8eX0NWBhUPS_hvzA11R6jkTNFrPrRYIx_dX_hYbxrk/edit?resourcekey=0-iw9bsKY2OqkUHCFMkCar3A&amp;gid=2055363397#gid=2055363397"",""MTR!C:O""),9,false)"),"#N/A")</f>
        <v>#N/A</v>
      </c>
      <c r="P1468" s="253"/>
      <c r="Q1468" s="253"/>
      <c r="R1468" s="253"/>
      <c r="S1468" s="154" t="s">
        <v>68</v>
      </c>
      <c r="T1468" s="154" t="s">
        <v>60</v>
      </c>
      <c r="U1468" s="154" t="s">
        <v>60</v>
      </c>
      <c r="V1468" s="154" t="s">
        <v>60</v>
      </c>
      <c r="W1468" s="154" t="s">
        <v>60</v>
      </c>
      <c r="X1468" s="154" t="s">
        <v>60</v>
      </c>
      <c r="Y1468" s="154" t="s">
        <v>60</v>
      </c>
      <c r="Z1468" s="154" t="s">
        <v>60</v>
      </c>
      <c r="AA1468" s="154" t="s">
        <v>60</v>
      </c>
      <c r="AB1468" s="154"/>
      <c r="AC1468" s="242" t="b">
        <f t="shared" si="2"/>
        <v>1</v>
      </c>
      <c r="AD1468" s="154"/>
      <c r="AE1468" s="243" t="b">
        <f t="shared" si="3"/>
        <v>0</v>
      </c>
      <c r="AF1468" s="154"/>
      <c r="AG1468" s="243" t="b">
        <f t="shared" si="7"/>
        <v>0</v>
      </c>
      <c r="AH1468" s="154"/>
      <c r="AI1468" s="243" t="str">
        <f t="shared" si="5"/>
        <v>N/A</v>
      </c>
      <c r="AJ1468" s="157" t="str">
        <f t="shared" si="6"/>
        <v/>
      </c>
    </row>
    <row r="1469" ht="12.75" customHeight="1">
      <c r="A1469" s="244" t="s">
        <v>3601</v>
      </c>
      <c r="B1469" s="244" t="s">
        <v>3604</v>
      </c>
      <c r="C1469" s="255" t="s">
        <v>3869</v>
      </c>
      <c r="D1469" s="256" t="s">
        <v>42</v>
      </c>
      <c r="E1469" s="257" t="s">
        <v>489</v>
      </c>
      <c r="F1469" s="154" t="str">
        <f t="array" ref="F1469">XLOOKUP(Cover!$D$12,$S$1:$AA$1,$S1469:$AA1469)</f>
        <v>Mandatory</v>
      </c>
      <c r="G1469" s="153" t="s">
        <v>3870</v>
      </c>
      <c r="H1469" s="154" t="s">
        <v>353</v>
      </c>
      <c r="I1469" s="154" t="s">
        <v>479</v>
      </c>
      <c r="J1469" s="247" t="s">
        <v>506</v>
      </c>
      <c r="K1469" s="247" t="s">
        <v>3866</v>
      </c>
      <c r="L1469" s="154" t="str">
        <f t="shared" si="1"/>
        <v/>
      </c>
      <c r="M1469" s="259" t="s">
        <v>3828</v>
      </c>
      <c r="N1469" s="253" t="str">
        <f>IFERROR(__xludf.DUMMYFUNCTION("VLOOKUP(C1469,IMPORTRANGE(""https://docs.google.com/spreadsheets/d/1ihFlp3_ePlYtFuPbUNbYj1muErVpI73WHXbEwJDIA7Q/edit#gid=1493122344"",""MTR!C:O""),8,false)"),"#N/A")</f>
        <v>#N/A</v>
      </c>
      <c r="O1469" s="253" t="str">
        <f>IFERROR(__xludf.DUMMYFUNCTION("VLOOKUP(C1469,IMPORTRANGE(""https://docs.google.com/spreadsheets/d/1P8eX0NWBhUPS_hvzA11R6jkTNFrPrRYIx_dX_hYbxrk/edit?resourcekey=0-iw9bsKY2OqkUHCFMkCar3A&amp;gid=2055363397#gid=2055363397"",""MTR!C:O""),9,false)"),"#N/A")</f>
        <v>#N/A</v>
      </c>
      <c r="P1469" s="253"/>
      <c r="Q1469" s="253"/>
      <c r="R1469" s="253"/>
      <c r="S1469" s="154" t="s">
        <v>68</v>
      </c>
      <c r="T1469" s="154" t="s">
        <v>60</v>
      </c>
      <c r="U1469" s="154" t="s">
        <v>60</v>
      </c>
      <c r="V1469" s="154" t="s">
        <v>60</v>
      </c>
      <c r="W1469" s="154" t="s">
        <v>60</v>
      </c>
      <c r="X1469" s="154" t="s">
        <v>60</v>
      </c>
      <c r="Y1469" s="154" t="s">
        <v>60</v>
      </c>
      <c r="Z1469" s="154" t="s">
        <v>60</v>
      </c>
      <c r="AA1469" s="154" t="s">
        <v>60</v>
      </c>
      <c r="AB1469" s="154"/>
      <c r="AC1469" s="242" t="b">
        <f t="shared" si="2"/>
        <v>1</v>
      </c>
      <c r="AD1469" s="154"/>
      <c r="AE1469" s="243" t="b">
        <f t="shared" si="3"/>
        <v>0</v>
      </c>
      <c r="AF1469" s="154"/>
      <c r="AG1469" s="243" t="b">
        <f t="shared" si="7"/>
        <v>0</v>
      </c>
      <c r="AH1469" s="154"/>
      <c r="AI1469" s="243" t="str">
        <f t="shared" si="5"/>
        <v>N/A</v>
      </c>
      <c r="AJ1469" s="157" t="str">
        <f t="shared" si="6"/>
        <v/>
      </c>
    </row>
    <row r="1470" ht="12.75" customHeight="1">
      <c r="A1470" s="244" t="s">
        <v>3601</v>
      </c>
      <c r="B1470" s="244" t="s">
        <v>3604</v>
      </c>
      <c r="C1470" s="255" t="s">
        <v>3871</v>
      </c>
      <c r="D1470" s="256" t="s">
        <v>42</v>
      </c>
      <c r="E1470" s="257" t="s">
        <v>489</v>
      </c>
      <c r="F1470" s="154" t="str">
        <f t="array" ref="F1470">XLOOKUP(Cover!$D$12,$S$1:$AA$1,$S1470:$AA1470)</f>
        <v>Mandatory</v>
      </c>
      <c r="G1470" s="153" t="s">
        <v>3872</v>
      </c>
      <c r="H1470" s="154" t="s">
        <v>353</v>
      </c>
      <c r="I1470" s="154" t="s">
        <v>479</v>
      </c>
      <c r="J1470" s="247" t="s">
        <v>506</v>
      </c>
      <c r="K1470" s="247" t="s">
        <v>3866</v>
      </c>
      <c r="L1470" s="154" t="str">
        <f t="shared" si="1"/>
        <v/>
      </c>
      <c r="M1470" s="259" t="s">
        <v>3828</v>
      </c>
      <c r="N1470" s="253" t="str">
        <f>IFERROR(__xludf.DUMMYFUNCTION("VLOOKUP(C1470,IMPORTRANGE(""https://docs.google.com/spreadsheets/d/1ihFlp3_ePlYtFuPbUNbYj1muErVpI73WHXbEwJDIA7Q/edit#gid=1493122344"",""MTR!C:O""),8,false)"),"#N/A")</f>
        <v>#N/A</v>
      </c>
      <c r="O1470" s="253" t="str">
        <f>IFERROR(__xludf.DUMMYFUNCTION("VLOOKUP(C1470,IMPORTRANGE(""https://docs.google.com/spreadsheets/d/1P8eX0NWBhUPS_hvzA11R6jkTNFrPrRYIx_dX_hYbxrk/edit?resourcekey=0-iw9bsKY2OqkUHCFMkCar3A&amp;gid=2055363397#gid=2055363397"",""MTR!C:O""),9,false)"),"#N/A")</f>
        <v>#N/A</v>
      </c>
      <c r="P1470" s="253"/>
      <c r="Q1470" s="253"/>
      <c r="R1470" s="253"/>
      <c r="S1470" s="154" t="s">
        <v>68</v>
      </c>
      <c r="T1470" s="154" t="s">
        <v>60</v>
      </c>
      <c r="U1470" s="154" t="s">
        <v>60</v>
      </c>
      <c r="V1470" s="154" t="s">
        <v>60</v>
      </c>
      <c r="W1470" s="154" t="s">
        <v>60</v>
      </c>
      <c r="X1470" s="154" t="s">
        <v>60</v>
      </c>
      <c r="Y1470" s="154" t="s">
        <v>60</v>
      </c>
      <c r="Z1470" s="154" t="s">
        <v>60</v>
      </c>
      <c r="AA1470" s="154" t="s">
        <v>60</v>
      </c>
      <c r="AB1470" s="154"/>
      <c r="AC1470" s="242" t="b">
        <f t="shared" si="2"/>
        <v>1</v>
      </c>
      <c r="AD1470" s="154"/>
      <c r="AE1470" s="243" t="b">
        <f t="shared" si="3"/>
        <v>0</v>
      </c>
      <c r="AF1470" s="154"/>
      <c r="AG1470" s="243" t="b">
        <f t="shared" si="7"/>
        <v>0</v>
      </c>
      <c r="AH1470" s="154"/>
      <c r="AI1470" s="243" t="str">
        <f t="shared" si="5"/>
        <v>N/A</v>
      </c>
      <c r="AJ1470" s="157" t="str">
        <f t="shared" si="6"/>
        <v/>
      </c>
    </row>
    <row r="1471" ht="12.75" customHeight="1">
      <c r="A1471" s="244" t="s">
        <v>3601</v>
      </c>
      <c r="B1471" s="244" t="s">
        <v>3604</v>
      </c>
      <c r="C1471" s="255" t="s">
        <v>3873</v>
      </c>
      <c r="D1471" s="256" t="s">
        <v>42</v>
      </c>
      <c r="E1471" s="257" t="s">
        <v>489</v>
      </c>
      <c r="F1471" s="154" t="str">
        <f t="array" ref="F1471">XLOOKUP(Cover!$D$12,$S$1:$AA$1,$S1471:$AA1471)</f>
        <v>Mandatory</v>
      </c>
      <c r="G1471" s="153" t="s">
        <v>3874</v>
      </c>
      <c r="H1471" s="154" t="s">
        <v>353</v>
      </c>
      <c r="I1471" s="154" t="s">
        <v>479</v>
      </c>
      <c r="J1471" s="247" t="s">
        <v>516</v>
      </c>
      <c r="K1471" s="247" t="s">
        <v>3875</v>
      </c>
      <c r="L1471" s="154" t="str">
        <f t="shared" si="1"/>
        <v/>
      </c>
      <c r="M1471" s="259" t="s">
        <v>3828</v>
      </c>
      <c r="N1471" s="253" t="str">
        <f>IFERROR(__xludf.DUMMYFUNCTION("VLOOKUP(C1471,IMPORTRANGE(""https://docs.google.com/spreadsheets/d/1ihFlp3_ePlYtFuPbUNbYj1muErVpI73WHXbEwJDIA7Q/edit#gid=1493122344"",""MTR!C:O""),8,false)"),"#N/A")</f>
        <v>#N/A</v>
      </c>
      <c r="O1471" s="253" t="str">
        <f>IFERROR(__xludf.DUMMYFUNCTION("VLOOKUP(C1471,IMPORTRANGE(""https://docs.google.com/spreadsheets/d/1P8eX0NWBhUPS_hvzA11R6jkTNFrPrRYIx_dX_hYbxrk/edit?resourcekey=0-iw9bsKY2OqkUHCFMkCar3A&amp;gid=2055363397#gid=2055363397"",""MTR!C:O""),9,false)"),"#N/A")</f>
        <v>#N/A</v>
      </c>
      <c r="P1471" s="253"/>
      <c r="Q1471" s="253"/>
      <c r="R1471" s="253"/>
      <c r="S1471" s="154" t="s">
        <v>68</v>
      </c>
      <c r="T1471" s="154" t="s">
        <v>60</v>
      </c>
      <c r="U1471" s="154" t="s">
        <v>60</v>
      </c>
      <c r="V1471" s="154" t="s">
        <v>60</v>
      </c>
      <c r="W1471" s="154" t="s">
        <v>60</v>
      </c>
      <c r="X1471" s="154" t="s">
        <v>60</v>
      </c>
      <c r="Y1471" s="154" t="s">
        <v>60</v>
      </c>
      <c r="Z1471" s="154" t="s">
        <v>60</v>
      </c>
      <c r="AA1471" s="154" t="s">
        <v>60</v>
      </c>
      <c r="AB1471" s="154"/>
      <c r="AC1471" s="242" t="b">
        <f t="shared" si="2"/>
        <v>1</v>
      </c>
      <c r="AD1471" s="154"/>
      <c r="AE1471" s="243" t="b">
        <f t="shared" si="3"/>
        <v>0</v>
      </c>
      <c r="AF1471" s="154"/>
      <c r="AG1471" s="243" t="b">
        <f t="shared" si="7"/>
        <v>0</v>
      </c>
      <c r="AH1471" s="154"/>
      <c r="AI1471" s="243" t="str">
        <f t="shared" si="5"/>
        <v>N/A</v>
      </c>
      <c r="AJ1471" s="157" t="str">
        <f t="shared" si="6"/>
        <v/>
      </c>
    </row>
    <row r="1472" ht="12.75" customHeight="1">
      <c r="A1472" s="244" t="s">
        <v>3601</v>
      </c>
      <c r="B1472" s="244" t="s">
        <v>3604</v>
      </c>
      <c r="C1472" s="245" t="s">
        <v>3876</v>
      </c>
      <c r="D1472" s="155" t="s">
        <v>602</v>
      </c>
      <c r="E1472" s="246" t="s">
        <v>92</v>
      </c>
      <c r="F1472" s="154" t="str">
        <f t="array" ref="F1472">XLOOKUP(Cover!$D$12,$S$1:$AA$1,$S1472:$AA1472)</f>
        <v>Mandatory</v>
      </c>
      <c r="G1472" s="153" t="s">
        <v>3877</v>
      </c>
      <c r="H1472" s="154"/>
      <c r="I1472" s="154" t="s">
        <v>414</v>
      </c>
      <c r="J1472" s="247" t="s">
        <v>445</v>
      </c>
      <c r="K1472" s="154"/>
      <c r="L1472" s="154" t="str">
        <f t="shared" si="1"/>
        <v/>
      </c>
      <c r="M1472" s="248" t="str">
        <f>IFERROR(__xludf.DUMMYFUNCTION("VLOOKUP(C1472,IMPORTRANGE(""https://docs.google.com/spreadsheets/d/1P8eX0NWBhUPS_hvzA11R6jkTNFrPrRYIx_dX_hYbxrk/edit?resourcekey=0-iw9bsKY2OqkUHCFMkCar3A&amp;gid=2055363397#gid=2055363397"",""MTR!C:O""),11,false)"),"TAM")</f>
        <v>TAM</v>
      </c>
      <c r="N1472" s="248" t="str">
        <f>IFERROR(__xludf.DUMMYFUNCTION("VLOOKUP(C1472,IMPORTRANGE(""https://docs.google.com/spreadsheets/d/1ihFlp3_ePlYtFuPbUNbYj1muErVpI73WHXbEwJDIA7Q/edit#gid=1493122344"",""MTR!C:O""),8,false)"),"Does Not Comply")</f>
        <v>Does Not Comply</v>
      </c>
      <c r="O1472" s="241" t="str">
        <f>IFERROR(__xludf.DUMMYFUNCTION("VLOOKUP(C1472,IMPORTRANGE(""https://docs.google.com/spreadsheets/d/1P8eX0NWBhUPS_hvzA11R6jkTNFrPrRYIx_dX_hYbxrk/edit?resourcekey=0-iw9bsKY2OqkUHCFMkCar3A&amp;gid=2055363397#gid=2055363397"",""MTR!C:O""),9,false)"),"")</f>
        <v/>
      </c>
      <c r="P1472" s="241"/>
      <c r="Q1472" s="251" t="s">
        <v>516</v>
      </c>
      <c r="R1472" s="241"/>
      <c r="S1472" s="154" t="s">
        <v>60</v>
      </c>
      <c r="T1472" s="154" t="s">
        <v>60</v>
      </c>
      <c r="U1472" s="154" t="s">
        <v>60</v>
      </c>
      <c r="V1472" s="154" t="s">
        <v>60</v>
      </c>
      <c r="W1472" s="154" t="s">
        <v>60</v>
      </c>
      <c r="X1472" s="154" t="s">
        <v>60</v>
      </c>
      <c r="Y1472" s="154" t="s">
        <v>60</v>
      </c>
      <c r="Z1472" s="154" t="s">
        <v>60</v>
      </c>
      <c r="AA1472" s="154" t="s">
        <v>60</v>
      </c>
      <c r="AB1472" s="154"/>
      <c r="AC1472" s="242" t="b">
        <f t="shared" si="2"/>
        <v>1</v>
      </c>
      <c r="AD1472" s="154" t="s">
        <v>391</v>
      </c>
      <c r="AE1472" s="243" t="b">
        <f t="shared" si="3"/>
        <v>0</v>
      </c>
      <c r="AF1472" s="154"/>
      <c r="AG1472" s="243" t="b">
        <f t="shared" si="7"/>
        <v>0</v>
      </c>
      <c r="AH1472" s="154"/>
      <c r="AI1472" s="243" t="str">
        <f t="shared" si="5"/>
        <v>N/A</v>
      </c>
      <c r="AJ1472" s="157" t="str">
        <f t="shared" si="6"/>
        <v/>
      </c>
    </row>
    <row r="1473" ht="12.75" customHeight="1">
      <c r="A1473" s="244" t="s">
        <v>3601</v>
      </c>
      <c r="B1473" s="244" t="s">
        <v>3604</v>
      </c>
      <c r="C1473" s="255" t="s">
        <v>3878</v>
      </c>
      <c r="D1473" s="256" t="s">
        <v>42</v>
      </c>
      <c r="E1473" s="257" t="s">
        <v>489</v>
      </c>
      <c r="F1473" s="154" t="str">
        <f t="array" ref="F1473">XLOOKUP(Cover!$D$12,$S$1:$AA$1,$S1473:$AA1473)</f>
        <v>Mandatory</v>
      </c>
      <c r="G1473" s="153" t="s">
        <v>3879</v>
      </c>
      <c r="H1473" s="154"/>
      <c r="I1473" s="154" t="s">
        <v>414</v>
      </c>
      <c r="J1473" s="247" t="s">
        <v>516</v>
      </c>
      <c r="K1473" s="247" t="s">
        <v>3880</v>
      </c>
      <c r="L1473" s="154" t="str">
        <f t="shared" si="1"/>
        <v/>
      </c>
      <c r="M1473" s="253" t="str">
        <f>IFERROR(__xludf.DUMMYFUNCTION("VLOOKUP(C1473,IMPORTRANGE(""https://docs.google.com/spreadsheets/d/1P8eX0NWBhUPS_hvzA11R6jkTNFrPrRYIx_dX_hYbxrk/edit?resourcekey=0-iw9bsKY2OqkUHCFMkCar3A&amp;gid=2055363397#gid=2055363397"",""MTR!C:O""),11,false)"),"#N/A")</f>
        <v>#N/A</v>
      </c>
      <c r="N1473" s="253" t="str">
        <f>IFERROR(__xludf.DUMMYFUNCTION("VLOOKUP(C1473,IMPORTRANGE(""https://docs.google.com/spreadsheets/d/1ihFlp3_ePlYtFuPbUNbYj1muErVpI73WHXbEwJDIA7Q/edit#gid=1493122344"",""MTR!C:O""),8,false)"),"#N/A")</f>
        <v>#N/A</v>
      </c>
      <c r="O1473" s="253" t="str">
        <f>IFERROR(__xludf.DUMMYFUNCTION("VLOOKUP(C1473,IMPORTRANGE(""https://docs.google.com/spreadsheets/d/1P8eX0NWBhUPS_hvzA11R6jkTNFrPrRYIx_dX_hYbxrk/edit?resourcekey=0-iw9bsKY2OqkUHCFMkCar3A&amp;gid=2055363397#gid=2055363397"",""MTR!C:O""),9,false)"),"#N/A")</f>
        <v>#N/A</v>
      </c>
      <c r="P1473" s="253"/>
      <c r="Q1473" s="259"/>
      <c r="R1473" s="253"/>
      <c r="S1473" s="154" t="s">
        <v>60</v>
      </c>
      <c r="T1473" s="154" t="s">
        <v>60</v>
      </c>
      <c r="U1473" s="154" t="s">
        <v>60</v>
      </c>
      <c r="V1473" s="154" t="s">
        <v>60</v>
      </c>
      <c r="W1473" s="154" t="s">
        <v>60</v>
      </c>
      <c r="X1473" s="154" t="s">
        <v>60</v>
      </c>
      <c r="Y1473" s="154" t="s">
        <v>60</v>
      </c>
      <c r="Z1473" s="154" t="s">
        <v>60</v>
      </c>
      <c r="AA1473" s="154" t="s">
        <v>60</v>
      </c>
      <c r="AB1473" s="154"/>
      <c r="AC1473" s="242" t="b">
        <f t="shared" si="2"/>
        <v>1</v>
      </c>
      <c r="AD1473" s="154"/>
      <c r="AE1473" s="243" t="b">
        <f t="shared" si="3"/>
        <v>0</v>
      </c>
      <c r="AF1473" s="154"/>
      <c r="AG1473" s="243" t="b">
        <f t="shared" si="7"/>
        <v>0</v>
      </c>
      <c r="AH1473" s="154"/>
      <c r="AI1473" s="243" t="str">
        <f t="shared" si="5"/>
        <v>N/A</v>
      </c>
      <c r="AJ1473" s="157" t="str">
        <f t="shared" si="6"/>
        <v/>
      </c>
    </row>
    <row r="1474" ht="12.75" customHeight="1">
      <c r="A1474" s="244" t="s">
        <v>3601</v>
      </c>
      <c r="B1474" s="244" t="s">
        <v>3604</v>
      </c>
      <c r="C1474" s="255" t="s">
        <v>3881</v>
      </c>
      <c r="D1474" s="256" t="s">
        <v>42</v>
      </c>
      <c r="E1474" s="257" t="s">
        <v>489</v>
      </c>
      <c r="F1474" s="154" t="str">
        <f t="array" ref="F1474">XLOOKUP(Cover!$D$12,$S$1:$AA$1,$S1474:$AA1474)</f>
        <v>Mandatory</v>
      </c>
      <c r="G1474" s="153" t="s">
        <v>3882</v>
      </c>
      <c r="H1474" s="154"/>
      <c r="I1474" s="154" t="s">
        <v>414</v>
      </c>
      <c r="J1474" s="247" t="s">
        <v>516</v>
      </c>
      <c r="K1474" s="247" t="s">
        <v>3880</v>
      </c>
      <c r="L1474" s="154" t="str">
        <f t="shared" si="1"/>
        <v/>
      </c>
      <c r="M1474" s="253" t="str">
        <f>IFERROR(__xludf.DUMMYFUNCTION("VLOOKUP(C1474,IMPORTRANGE(""https://docs.google.com/spreadsheets/d/1P8eX0NWBhUPS_hvzA11R6jkTNFrPrRYIx_dX_hYbxrk/edit?resourcekey=0-iw9bsKY2OqkUHCFMkCar3A&amp;gid=2055363397#gid=2055363397"",""MTR!C:O""),11,false)"),"#N/A")</f>
        <v>#N/A</v>
      </c>
      <c r="N1474" s="253" t="str">
        <f>IFERROR(__xludf.DUMMYFUNCTION("VLOOKUP(C1474,IMPORTRANGE(""https://docs.google.com/spreadsheets/d/1ihFlp3_ePlYtFuPbUNbYj1muErVpI73WHXbEwJDIA7Q/edit#gid=1493122344"",""MTR!C:O""),8,false)"),"#N/A")</f>
        <v>#N/A</v>
      </c>
      <c r="O1474" s="253" t="str">
        <f>IFERROR(__xludf.DUMMYFUNCTION("VLOOKUP(C1474,IMPORTRANGE(""https://docs.google.com/spreadsheets/d/1P8eX0NWBhUPS_hvzA11R6jkTNFrPrRYIx_dX_hYbxrk/edit?resourcekey=0-iw9bsKY2OqkUHCFMkCar3A&amp;gid=2055363397#gid=2055363397"",""MTR!C:O""),9,false)"),"#N/A")</f>
        <v>#N/A</v>
      </c>
      <c r="P1474" s="253"/>
      <c r="Q1474" s="253"/>
      <c r="R1474" s="253"/>
      <c r="S1474" s="154" t="s">
        <v>60</v>
      </c>
      <c r="T1474" s="154" t="s">
        <v>60</v>
      </c>
      <c r="U1474" s="154" t="s">
        <v>60</v>
      </c>
      <c r="V1474" s="154" t="s">
        <v>60</v>
      </c>
      <c r="W1474" s="154" t="s">
        <v>60</v>
      </c>
      <c r="X1474" s="154" t="s">
        <v>60</v>
      </c>
      <c r="Y1474" s="154" t="s">
        <v>60</v>
      </c>
      <c r="Z1474" s="154" t="s">
        <v>60</v>
      </c>
      <c r="AA1474" s="154" t="s">
        <v>60</v>
      </c>
      <c r="AB1474" s="154"/>
      <c r="AC1474" s="242" t="b">
        <f t="shared" si="2"/>
        <v>1</v>
      </c>
      <c r="AD1474" s="154"/>
      <c r="AE1474" s="243" t="b">
        <f t="shared" si="3"/>
        <v>0</v>
      </c>
      <c r="AF1474" s="154"/>
      <c r="AG1474" s="243" t="b">
        <f t="shared" si="7"/>
        <v>0</v>
      </c>
      <c r="AH1474" s="154"/>
      <c r="AI1474" s="243" t="str">
        <f t="shared" si="5"/>
        <v>N/A</v>
      </c>
      <c r="AJ1474" s="157" t="str">
        <f t="shared" si="6"/>
        <v/>
      </c>
    </row>
    <row r="1475" ht="12.75" customHeight="1">
      <c r="A1475" s="244" t="s">
        <v>3601</v>
      </c>
      <c r="B1475" s="244" t="s">
        <v>3604</v>
      </c>
      <c r="C1475" s="255" t="s">
        <v>3883</v>
      </c>
      <c r="D1475" s="256" t="s">
        <v>42</v>
      </c>
      <c r="E1475" s="257" t="s">
        <v>489</v>
      </c>
      <c r="F1475" s="154" t="str">
        <f t="array" ref="F1475">XLOOKUP(Cover!$D$12,$S$1:$AA$1,$S1475:$AA1475)</f>
        <v>Mandatory</v>
      </c>
      <c r="G1475" s="153" t="s">
        <v>3884</v>
      </c>
      <c r="H1475" s="154"/>
      <c r="I1475" s="154" t="s">
        <v>414</v>
      </c>
      <c r="J1475" s="247" t="s">
        <v>516</v>
      </c>
      <c r="K1475" s="247" t="s">
        <v>3880</v>
      </c>
      <c r="L1475" s="154" t="str">
        <f t="shared" si="1"/>
        <v/>
      </c>
      <c r="M1475" s="253" t="str">
        <f>IFERROR(__xludf.DUMMYFUNCTION("VLOOKUP(C1475,IMPORTRANGE(""https://docs.google.com/spreadsheets/d/1P8eX0NWBhUPS_hvzA11R6jkTNFrPrRYIx_dX_hYbxrk/edit?resourcekey=0-iw9bsKY2OqkUHCFMkCar3A&amp;gid=2055363397#gid=2055363397"",""MTR!C:O""),11,false)"),"#N/A")</f>
        <v>#N/A</v>
      </c>
      <c r="N1475" s="253" t="str">
        <f>IFERROR(__xludf.DUMMYFUNCTION("VLOOKUP(C1475,IMPORTRANGE(""https://docs.google.com/spreadsheets/d/1ihFlp3_ePlYtFuPbUNbYj1muErVpI73WHXbEwJDIA7Q/edit#gid=1493122344"",""MTR!C:O""),8,false)"),"#N/A")</f>
        <v>#N/A</v>
      </c>
      <c r="O1475" s="253" t="str">
        <f>IFERROR(__xludf.DUMMYFUNCTION("VLOOKUP(C1475,IMPORTRANGE(""https://docs.google.com/spreadsheets/d/1P8eX0NWBhUPS_hvzA11R6jkTNFrPrRYIx_dX_hYbxrk/edit?resourcekey=0-iw9bsKY2OqkUHCFMkCar3A&amp;gid=2055363397#gid=2055363397"",""MTR!C:O""),9,false)"),"#N/A")</f>
        <v>#N/A</v>
      </c>
      <c r="P1475" s="253"/>
      <c r="Q1475" s="253"/>
      <c r="R1475" s="253"/>
      <c r="S1475" s="154" t="s">
        <v>60</v>
      </c>
      <c r="T1475" s="154" t="s">
        <v>60</v>
      </c>
      <c r="U1475" s="154" t="s">
        <v>60</v>
      </c>
      <c r="V1475" s="154" t="s">
        <v>60</v>
      </c>
      <c r="W1475" s="154" t="s">
        <v>60</v>
      </c>
      <c r="X1475" s="154" t="s">
        <v>60</v>
      </c>
      <c r="Y1475" s="154" t="s">
        <v>60</v>
      </c>
      <c r="Z1475" s="154" t="s">
        <v>60</v>
      </c>
      <c r="AA1475" s="154" t="s">
        <v>60</v>
      </c>
      <c r="AB1475" s="154"/>
      <c r="AC1475" s="242" t="b">
        <f t="shared" si="2"/>
        <v>1</v>
      </c>
      <c r="AD1475" s="154"/>
      <c r="AE1475" s="243" t="b">
        <f t="shared" si="3"/>
        <v>0</v>
      </c>
      <c r="AF1475" s="154"/>
      <c r="AG1475" s="243" t="b">
        <f t="shared" si="7"/>
        <v>0</v>
      </c>
      <c r="AH1475" s="154"/>
      <c r="AI1475" s="243" t="str">
        <f t="shared" si="5"/>
        <v>N/A</v>
      </c>
      <c r="AJ1475" s="157" t="str">
        <f t="shared" si="6"/>
        <v/>
      </c>
    </row>
    <row r="1476" ht="12.75" customHeight="1">
      <c r="A1476" s="244" t="s">
        <v>3601</v>
      </c>
      <c r="B1476" s="244" t="s">
        <v>3604</v>
      </c>
      <c r="C1476" s="255" t="s">
        <v>3885</v>
      </c>
      <c r="D1476" s="256" t="s">
        <v>42</v>
      </c>
      <c r="E1476" s="257" t="s">
        <v>489</v>
      </c>
      <c r="F1476" s="154" t="str">
        <f t="array" ref="F1476">XLOOKUP(Cover!$D$12,$S$1:$AA$1,$S1476:$AA1476)</f>
        <v>Mandatory</v>
      </c>
      <c r="G1476" s="153" t="s">
        <v>3886</v>
      </c>
      <c r="H1476" s="154"/>
      <c r="I1476" s="154" t="s">
        <v>414</v>
      </c>
      <c r="J1476" s="247" t="s">
        <v>516</v>
      </c>
      <c r="K1476" s="247" t="s">
        <v>3880</v>
      </c>
      <c r="L1476" s="154" t="str">
        <f t="shared" si="1"/>
        <v/>
      </c>
      <c r="M1476" s="253" t="str">
        <f>IFERROR(__xludf.DUMMYFUNCTION("VLOOKUP(C1476,IMPORTRANGE(""https://docs.google.com/spreadsheets/d/1P8eX0NWBhUPS_hvzA11R6jkTNFrPrRYIx_dX_hYbxrk/edit?resourcekey=0-iw9bsKY2OqkUHCFMkCar3A&amp;gid=2055363397#gid=2055363397"",""MTR!C:O""),11,false)"),"#N/A")</f>
        <v>#N/A</v>
      </c>
      <c r="N1476" s="253" t="str">
        <f>IFERROR(__xludf.DUMMYFUNCTION("VLOOKUP(C1476,IMPORTRANGE(""https://docs.google.com/spreadsheets/d/1ihFlp3_ePlYtFuPbUNbYj1muErVpI73WHXbEwJDIA7Q/edit#gid=1493122344"",""MTR!C:O""),8,false)"),"#N/A")</f>
        <v>#N/A</v>
      </c>
      <c r="O1476" s="253" t="str">
        <f>IFERROR(__xludf.DUMMYFUNCTION("VLOOKUP(C1476,IMPORTRANGE(""https://docs.google.com/spreadsheets/d/1P8eX0NWBhUPS_hvzA11R6jkTNFrPrRYIx_dX_hYbxrk/edit?resourcekey=0-iw9bsKY2OqkUHCFMkCar3A&amp;gid=2055363397#gid=2055363397"",""MTR!C:O""),9,false)"),"#N/A")</f>
        <v>#N/A</v>
      </c>
      <c r="P1476" s="253"/>
      <c r="Q1476" s="253"/>
      <c r="R1476" s="253"/>
      <c r="S1476" s="154" t="s">
        <v>60</v>
      </c>
      <c r="T1476" s="154" t="s">
        <v>60</v>
      </c>
      <c r="U1476" s="154" t="s">
        <v>60</v>
      </c>
      <c r="V1476" s="154" t="s">
        <v>60</v>
      </c>
      <c r="W1476" s="154" t="s">
        <v>60</v>
      </c>
      <c r="X1476" s="154" t="s">
        <v>60</v>
      </c>
      <c r="Y1476" s="154" t="s">
        <v>60</v>
      </c>
      <c r="Z1476" s="154" t="s">
        <v>60</v>
      </c>
      <c r="AA1476" s="154" t="s">
        <v>60</v>
      </c>
      <c r="AB1476" s="154"/>
      <c r="AC1476" s="242" t="b">
        <f t="shared" si="2"/>
        <v>1</v>
      </c>
      <c r="AD1476" s="154"/>
      <c r="AE1476" s="243" t="b">
        <f t="shared" si="3"/>
        <v>0</v>
      </c>
      <c r="AF1476" s="154"/>
      <c r="AG1476" s="243" t="b">
        <f t="shared" si="7"/>
        <v>0</v>
      </c>
      <c r="AH1476" s="154"/>
      <c r="AI1476" s="243" t="str">
        <f t="shared" si="5"/>
        <v>N/A</v>
      </c>
      <c r="AJ1476" s="157" t="str">
        <f t="shared" si="6"/>
        <v/>
      </c>
    </row>
    <row r="1477" ht="12.75" customHeight="1">
      <c r="A1477" s="244" t="s">
        <v>3601</v>
      </c>
      <c r="B1477" s="244" t="s">
        <v>3604</v>
      </c>
      <c r="C1477" s="245" t="s">
        <v>3887</v>
      </c>
      <c r="D1477" s="155" t="s">
        <v>492</v>
      </c>
      <c r="E1477" s="246" t="s">
        <v>92</v>
      </c>
      <c r="F1477" s="154" t="str">
        <f t="array" ref="F1477">XLOOKUP(Cover!$D$12,$S$1:$AA$1,$S1477:$AA1477)</f>
        <v>Mandatory</v>
      </c>
      <c r="G1477" s="154" t="s">
        <v>3888</v>
      </c>
      <c r="H1477" s="154"/>
      <c r="I1477" s="154" t="s">
        <v>414</v>
      </c>
      <c r="J1477" s="154" t="s">
        <v>445</v>
      </c>
      <c r="K1477" s="154"/>
      <c r="L1477" s="154" t="str">
        <f t="shared" si="1"/>
        <v/>
      </c>
      <c r="M1477" s="248" t="str">
        <f>IFERROR(__xludf.DUMMYFUNCTION("VLOOKUP(C1477,IMPORTRANGE(""https://docs.google.com/spreadsheets/d/1P8eX0NWBhUPS_hvzA11R6jkTNFrPrRYIx_dX_hYbxrk/edit?resourcekey=0-iw9bsKY2OqkUHCFMkCar3A&amp;gid=2055363397#gid=2055363397"",""MTR!C:O""),11,false)"),"PMW-IMS")</f>
        <v>PMW-IMS</v>
      </c>
      <c r="N1477" s="248" t="str">
        <f>IFERROR(__xludf.DUMMYFUNCTION("VLOOKUP(C1477,IMPORTRANGE(""https://docs.google.com/spreadsheets/d/1ihFlp3_ePlYtFuPbUNbYj1muErVpI73WHXbEwJDIA7Q/edit#gid=1493122344"",""MTR!C:O""),8,false)"),"Complies")</f>
        <v>Complies</v>
      </c>
      <c r="O1477" s="241" t="str">
        <f>IFERROR(__xludf.DUMMYFUNCTION("VLOOKUP(C1477,IMPORTRANGE(""https://docs.google.com/spreadsheets/d/1P8eX0NWBhUPS_hvzA11R6jkTNFrPrRYIx_dX_hYbxrk/edit?resourcekey=0-iw9bsKY2OqkUHCFMkCar3A&amp;gid=2055363397#gid=2055363397"",""MTR!C:O""),9,false)"),"")</f>
        <v/>
      </c>
      <c r="P1477" s="241"/>
      <c r="Q1477" s="251" t="s">
        <v>445</v>
      </c>
      <c r="R1477" s="241"/>
      <c r="S1477" s="154" t="s">
        <v>60</v>
      </c>
      <c r="T1477" s="154" t="s">
        <v>60</v>
      </c>
      <c r="U1477" s="154" t="s">
        <v>60</v>
      </c>
      <c r="V1477" s="154" t="s">
        <v>60</v>
      </c>
      <c r="W1477" s="154" t="s">
        <v>60</v>
      </c>
      <c r="X1477" s="154" t="s">
        <v>60</v>
      </c>
      <c r="Y1477" s="154" t="s">
        <v>60</v>
      </c>
      <c r="Z1477" s="154" t="s">
        <v>60</v>
      </c>
      <c r="AA1477" s="154" t="s">
        <v>60</v>
      </c>
      <c r="AB1477" s="154"/>
      <c r="AC1477" s="242" t="b">
        <f t="shared" si="2"/>
        <v>1</v>
      </c>
      <c r="AD1477" s="154" t="s">
        <v>391</v>
      </c>
      <c r="AE1477" s="243" t="b">
        <f t="shared" si="3"/>
        <v>0</v>
      </c>
      <c r="AF1477" s="154"/>
      <c r="AG1477" s="243" t="b">
        <f t="shared" si="7"/>
        <v>0</v>
      </c>
      <c r="AH1477" s="154"/>
      <c r="AI1477" s="243" t="str">
        <f t="shared" si="5"/>
        <v>N/A</v>
      </c>
      <c r="AJ1477" s="157" t="str">
        <f t="shared" si="6"/>
        <v/>
      </c>
    </row>
    <row r="1478" ht="12.75" customHeight="1">
      <c r="A1478" s="238" t="s">
        <v>3601</v>
      </c>
      <c r="B1478" s="238" t="s">
        <v>3604</v>
      </c>
      <c r="C1478" s="238" t="s">
        <v>3889</v>
      </c>
      <c r="D1478" s="238"/>
      <c r="E1478" s="238"/>
      <c r="F1478" s="154" t="str">
        <f t="array" ref="F1478">XLOOKUP(Cover!$D$12,$S$1:$AA$1,$S1478:$AA1478)</f>
        <v>Heading</v>
      </c>
      <c r="G1478" s="239" t="s">
        <v>3890</v>
      </c>
      <c r="H1478" s="240"/>
      <c r="I1478" s="240" t="s">
        <v>420</v>
      </c>
      <c r="J1478" s="240"/>
      <c r="K1478" s="240"/>
      <c r="L1478" s="154" t="str">
        <f t="shared" si="1"/>
        <v/>
      </c>
      <c r="M1478" s="241" t="str">
        <f>IFERROR(__xludf.DUMMYFUNCTION("VLOOKUP(C1478,IMPORTRANGE(""https://docs.google.com/spreadsheets/d/1P8eX0NWBhUPS_hvzA11R6jkTNFrPrRYIx_dX_hYbxrk/edit?resourcekey=0-iw9bsKY2OqkUHCFMkCar3A&amp;gid=2055363397#gid=2055363397"",""MTR!C:O""),11,false)"),"")</f>
        <v/>
      </c>
      <c r="N1478" s="241" t="str">
        <f>IFERROR(__xludf.DUMMYFUNCTION("VLOOKUP(C1478,IMPORTRANGE(""https://docs.google.com/spreadsheets/d/1ihFlp3_ePlYtFuPbUNbYj1muErVpI73WHXbEwJDIA7Q/edit#gid=1493122344"",""MTR!C:O""),8,false)"),"")</f>
        <v/>
      </c>
      <c r="O1478" s="241" t="str">
        <f>IFERROR(__xludf.DUMMYFUNCTION("VLOOKUP(C1478,IMPORTRANGE(""https://docs.google.com/spreadsheets/d/1P8eX0NWBhUPS_hvzA11R6jkTNFrPrRYIx_dX_hYbxrk/edit?resourcekey=0-iw9bsKY2OqkUHCFMkCar3A&amp;gid=2055363397#gid=2055363397"",""MTR!C:O""),9,false)"),"")</f>
        <v/>
      </c>
      <c r="P1478" s="241"/>
      <c r="Q1478" s="251"/>
      <c r="R1478" s="241"/>
      <c r="S1478" s="240" t="s">
        <v>390</v>
      </c>
      <c r="T1478" s="240" t="s">
        <v>390</v>
      </c>
      <c r="U1478" s="240" t="s">
        <v>390</v>
      </c>
      <c r="V1478" s="240" t="s">
        <v>390</v>
      </c>
      <c r="W1478" s="240" t="s">
        <v>390</v>
      </c>
      <c r="X1478" s="240" t="s">
        <v>390</v>
      </c>
      <c r="Y1478" s="240" t="s">
        <v>390</v>
      </c>
      <c r="Z1478" s="240" t="s">
        <v>390</v>
      </c>
      <c r="AA1478" s="240" t="s">
        <v>390</v>
      </c>
      <c r="AB1478" s="240"/>
      <c r="AC1478" s="242" t="b">
        <f t="shared" si="2"/>
        <v>0</v>
      </c>
      <c r="AD1478" s="240" t="s">
        <v>391</v>
      </c>
      <c r="AE1478" s="243" t="b">
        <f t="shared" si="3"/>
        <v>0</v>
      </c>
      <c r="AF1478" s="240"/>
      <c r="AG1478" s="243" t="b">
        <f t="shared" si="7"/>
        <v>0</v>
      </c>
      <c r="AH1478" s="240"/>
      <c r="AI1478" s="243" t="str">
        <f t="shared" si="5"/>
        <v>N/A</v>
      </c>
      <c r="AJ1478" s="157" t="str">
        <f t="shared" si="6"/>
        <v/>
      </c>
    </row>
    <row r="1479" ht="12.75" customHeight="1">
      <c r="A1479" s="238" t="s">
        <v>3601</v>
      </c>
      <c r="B1479" s="238" t="s">
        <v>3604</v>
      </c>
      <c r="C1479" s="238" t="s">
        <v>3891</v>
      </c>
      <c r="D1479" s="238"/>
      <c r="E1479" s="238"/>
      <c r="F1479" s="154" t="str">
        <f t="array" ref="F1479">XLOOKUP(Cover!$D$12,$S$1:$AA$1,$S1479:$AA1479)</f>
        <v>Heading</v>
      </c>
      <c r="G1479" s="239" t="s">
        <v>3892</v>
      </c>
      <c r="H1479" s="240"/>
      <c r="I1479" s="240" t="s">
        <v>420</v>
      </c>
      <c r="J1479" s="240"/>
      <c r="K1479" s="240"/>
      <c r="L1479" s="154" t="str">
        <f t="shared" si="1"/>
        <v/>
      </c>
      <c r="M1479" s="241" t="str">
        <f>IFERROR(__xludf.DUMMYFUNCTION("VLOOKUP(C1479,IMPORTRANGE(""https://docs.google.com/spreadsheets/d/1P8eX0NWBhUPS_hvzA11R6jkTNFrPrRYIx_dX_hYbxrk/edit?resourcekey=0-iw9bsKY2OqkUHCFMkCar3A&amp;gid=2055363397#gid=2055363397"",""MTR!C:O""),11,false)"),"")</f>
        <v/>
      </c>
      <c r="N1479" s="241" t="str">
        <f>IFERROR(__xludf.DUMMYFUNCTION("VLOOKUP(C1479,IMPORTRANGE(""https://docs.google.com/spreadsheets/d/1ihFlp3_ePlYtFuPbUNbYj1muErVpI73WHXbEwJDIA7Q/edit#gid=1493122344"",""MTR!C:O""),8,false)"),"")</f>
        <v/>
      </c>
      <c r="O1479" s="241" t="str">
        <f>IFERROR(__xludf.DUMMYFUNCTION("VLOOKUP(C1479,IMPORTRANGE(""https://docs.google.com/spreadsheets/d/1P8eX0NWBhUPS_hvzA11R6jkTNFrPrRYIx_dX_hYbxrk/edit?resourcekey=0-iw9bsKY2OqkUHCFMkCar3A&amp;gid=2055363397#gid=2055363397"",""MTR!C:O""),9,false)"),"")</f>
        <v/>
      </c>
      <c r="P1479" s="241"/>
      <c r="Q1479" s="241"/>
      <c r="R1479" s="241"/>
      <c r="S1479" s="240" t="s">
        <v>390</v>
      </c>
      <c r="T1479" s="240" t="s">
        <v>390</v>
      </c>
      <c r="U1479" s="240" t="s">
        <v>390</v>
      </c>
      <c r="V1479" s="240" t="s">
        <v>390</v>
      </c>
      <c r="W1479" s="240" t="s">
        <v>390</v>
      </c>
      <c r="X1479" s="240" t="s">
        <v>390</v>
      </c>
      <c r="Y1479" s="240" t="s">
        <v>390</v>
      </c>
      <c r="Z1479" s="240" t="s">
        <v>390</v>
      </c>
      <c r="AA1479" s="240" t="s">
        <v>390</v>
      </c>
      <c r="AB1479" s="240"/>
      <c r="AC1479" s="242" t="b">
        <f t="shared" si="2"/>
        <v>0</v>
      </c>
      <c r="AD1479" s="240" t="s">
        <v>391</v>
      </c>
      <c r="AE1479" s="243" t="b">
        <f t="shared" si="3"/>
        <v>0</v>
      </c>
      <c r="AF1479" s="240"/>
      <c r="AG1479" s="243" t="b">
        <f t="shared" si="7"/>
        <v>0</v>
      </c>
      <c r="AH1479" s="240"/>
      <c r="AI1479" s="243" t="str">
        <f t="shared" si="5"/>
        <v>N/A</v>
      </c>
      <c r="AJ1479" s="157" t="str">
        <f t="shared" si="6"/>
        <v/>
      </c>
    </row>
    <row r="1480" ht="12.75" customHeight="1">
      <c r="A1480" s="244" t="s">
        <v>3601</v>
      </c>
      <c r="B1480" s="244" t="s">
        <v>3604</v>
      </c>
      <c r="C1480" s="244" t="s">
        <v>3893</v>
      </c>
      <c r="D1480" s="154" t="s">
        <v>2476</v>
      </c>
      <c r="E1480" s="250"/>
      <c r="F1480" s="154" t="str">
        <f t="array" ref="F1480">XLOOKUP(Cover!$D$12,$S$1:$AA$1,$S1480:$AA1480)</f>
        <v>Recommended</v>
      </c>
      <c r="G1480" s="154" t="s">
        <v>3894</v>
      </c>
      <c r="H1480" s="154"/>
      <c r="I1480" s="154" t="s">
        <v>420</v>
      </c>
      <c r="J1480" s="154" t="s">
        <v>516</v>
      </c>
      <c r="K1480" s="154"/>
      <c r="L1480" s="154" t="str">
        <f t="shared" si="1"/>
        <v/>
      </c>
      <c r="M1480" s="248" t="str">
        <f>IFERROR(__xludf.DUMMYFUNCTION("VLOOKUP(C1480,IMPORTRANGE(""https://docs.google.com/spreadsheets/d/1P8eX0NWBhUPS_hvzA11R6jkTNFrPrRYIx_dX_hYbxrk/edit?resourcekey=0-iw9bsKY2OqkUHCFMkCar3A&amp;gid=2055363397#gid=2055363397"",""MTR!C:O""),11,false)"),"TAM")</f>
        <v>TAM</v>
      </c>
      <c r="N1480" s="248" t="str">
        <f>IFERROR(__xludf.DUMMYFUNCTION("VLOOKUP(C1480,IMPORTRANGE(""https://docs.google.com/spreadsheets/d/1ihFlp3_ePlYtFuPbUNbYj1muErVpI73WHXbEwJDIA7Q/edit#gid=1493122344"",""MTR!C:O""),8,false)"),"Does Not Comply")</f>
        <v>Does Not Comply</v>
      </c>
      <c r="O1480" s="241" t="str">
        <f>IFERROR(__xludf.DUMMYFUNCTION("VLOOKUP(C1480,IMPORTRANGE(""https://docs.google.com/spreadsheets/d/1P8eX0NWBhUPS_hvzA11R6jkTNFrPrRYIx_dX_hYbxrk/edit?resourcekey=0-iw9bsKY2OqkUHCFMkCar3A&amp;gid=2055363397#gid=2055363397"",""MTR!C:O""),9,false)"),"")</f>
        <v/>
      </c>
      <c r="P1480" s="241"/>
      <c r="Q1480" s="251" t="s">
        <v>516</v>
      </c>
      <c r="R1480" s="241"/>
      <c r="S1480" s="154" t="s">
        <v>64</v>
      </c>
      <c r="T1480" s="154" t="s">
        <v>64</v>
      </c>
      <c r="U1480" s="154" t="s">
        <v>64</v>
      </c>
      <c r="V1480" s="154" t="s">
        <v>64</v>
      </c>
      <c r="W1480" s="154" t="s">
        <v>64</v>
      </c>
      <c r="X1480" s="154" t="s">
        <v>64</v>
      </c>
      <c r="Y1480" s="154" t="s">
        <v>64</v>
      </c>
      <c r="Z1480" s="154" t="s">
        <v>64</v>
      </c>
      <c r="AA1480" s="154" t="s">
        <v>64</v>
      </c>
      <c r="AB1480" s="154"/>
      <c r="AC1480" s="242" t="b">
        <f t="shared" si="2"/>
        <v>1</v>
      </c>
      <c r="AD1480" s="154" t="s">
        <v>391</v>
      </c>
      <c r="AE1480" s="243" t="b">
        <f t="shared" si="3"/>
        <v>0</v>
      </c>
      <c r="AF1480" s="154"/>
      <c r="AG1480" s="243" t="b">
        <f t="shared" si="7"/>
        <v>0</v>
      </c>
      <c r="AH1480" s="154"/>
      <c r="AI1480" s="243" t="str">
        <f t="shared" si="5"/>
        <v>N/A</v>
      </c>
      <c r="AJ1480" s="157" t="str">
        <f t="shared" si="6"/>
        <v/>
      </c>
    </row>
    <row r="1481" ht="12.75" customHeight="1">
      <c r="A1481" s="244" t="s">
        <v>3601</v>
      </c>
      <c r="B1481" s="244" t="s">
        <v>3604</v>
      </c>
      <c r="C1481" s="244" t="s">
        <v>3895</v>
      </c>
      <c r="D1481" s="154" t="s">
        <v>2476</v>
      </c>
      <c r="E1481" s="250"/>
      <c r="F1481" s="154" t="str">
        <f t="array" ref="F1481">XLOOKUP(Cover!$D$12,$S$1:$AA$1,$S1481:$AA1481)</f>
        <v>Recommended</v>
      </c>
      <c r="G1481" s="154" t="s">
        <v>3896</v>
      </c>
      <c r="H1481" s="154"/>
      <c r="I1481" s="154" t="s">
        <v>420</v>
      </c>
      <c r="J1481" s="247" t="s">
        <v>516</v>
      </c>
      <c r="K1481" s="154"/>
      <c r="L1481" s="154" t="str">
        <f t="shared" si="1"/>
        <v/>
      </c>
      <c r="M1481" s="248" t="str">
        <f>IFERROR(__xludf.DUMMYFUNCTION("VLOOKUP(C1481,IMPORTRANGE(""https://docs.google.com/spreadsheets/d/1P8eX0NWBhUPS_hvzA11R6jkTNFrPrRYIx_dX_hYbxrk/edit?resourcekey=0-iw9bsKY2OqkUHCFMkCar3A&amp;gid=2055363397#gid=2055363397"",""MTR!C:O""),11,false)"),"TAM")</f>
        <v>TAM</v>
      </c>
      <c r="N1481" s="248" t="str">
        <f>IFERROR(__xludf.DUMMYFUNCTION("VLOOKUP(C1481,IMPORTRANGE(""https://docs.google.com/spreadsheets/d/1ihFlp3_ePlYtFuPbUNbYj1muErVpI73WHXbEwJDIA7Q/edit#gid=1493122344"",""MTR!C:O""),8,false)"),"Does Not Comply")</f>
        <v>Does Not Comply</v>
      </c>
      <c r="O1481" s="241" t="str">
        <f>IFERROR(__xludf.DUMMYFUNCTION("VLOOKUP(C1481,IMPORTRANGE(""https://docs.google.com/spreadsheets/d/1P8eX0NWBhUPS_hvzA11R6jkTNFrPrRYIx_dX_hYbxrk/edit?resourcekey=0-iw9bsKY2OqkUHCFMkCar3A&amp;gid=2055363397#gid=2055363397"",""MTR!C:O""),9,false)"),"")</f>
        <v/>
      </c>
      <c r="P1481" s="241"/>
      <c r="Q1481" s="251" t="s">
        <v>516</v>
      </c>
      <c r="R1481" s="241"/>
      <c r="S1481" s="154" t="s">
        <v>64</v>
      </c>
      <c r="T1481" s="154" t="s">
        <v>64</v>
      </c>
      <c r="U1481" s="154" t="s">
        <v>64</v>
      </c>
      <c r="V1481" s="154" t="s">
        <v>64</v>
      </c>
      <c r="W1481" s="154" t="s">
        <v>64</v>
      </c>
      <c r="X1481" s="154" t="s">
        <v>64</v>
      </c>
      <c r="Y1481" s="154" t="s">
        <v>64</v>
      </c>
      <c r="Z1481" s="154" t="s">
        <v>64</v>
      </c>
      <c r="AA1481" s="154" t="s">
        <v>64</v>
      </c>
      <c r="AB1481" s="154"/>
      <c r="AC1481" s="242" t="b">
        <f t="shared" si="2"/>
        <v>1</v>
      </c>
      <c r="AD1481" s="154" t="s">
        <v>391</v>
      </c>
      <c r="AE1481" s="243" t="b">
        <f t="shared" si="3"/>
        <v>0</v>
      </c>
      <c r="AF1481" s="154"/>
      <c r="AG1481" s="243" t="b">
        <f t="shared" si="7"/>
        <v>0</v>
      </c>
      <c r="AH1481" s="154"/>
      <c r="AI1481" s="243" t="str">
        <f t="shared" si="5"/>
        <v>N/A</v>
      </c>
      <c r="AJ1481" s="157" t="str">
        <f t="shared" si="6"/>
        <v/>
      </c>
    </row>
    <row r="1482" ht="12.75" customHeight="1">
      <c r="A1482" s="244" t="s">
        <v>3601</v>
      </c>
      <c r="B1482" s="244" t="s">
        <v>3604</v>
      </c>
      <c r="C1482" s="244" t="s">
        <v>3897</v>
      </c>
      <c r="D1482" s="154" t="s">
        <v>2476</v>
      </c>
      <c r="E1482" s="250"/>
      <c r="F1482" s="154" t="str">
        <f t="array" ref="F1482">XLOOKUP(Cover!$D$12,$S$1:$AA$1,$S1482:$AA1482)</f>
        <v>Recommended</v>
      </c>
      <c r="G1482" s="154" t="s">
        <v>3898</v>
      </c>
      <c r="H1482" s="154"/>
      <c r="I1482" s="154" t="s">
        <v>420</v>
      </c>
      <c r="J1482" s="247" t="s">
        <v>516</v>
      </c>
      <c r="K1482" s="154"/>
      <c r="L1482" s="154" t="str">
        <f t="shared" si="1"/>
        <v/>
      </c>
      <c r="M1482" s="248" t="str">
        <f>IFERROR(__xludf.DUMMYFUNCTION("VLOOKUP(C1482,IMPORTRANGE(""https://docs.google.com/spreadsheets/d/1P8eX0NWBhUPS_hvzA11R6jkTNFrPrRYIx_dX_hYbxrk/edit?resourcekey=0-iw9bsKY2OqkUHCFMkCar3A&amp;gid=2055363397#gid=2055363397"",""MTR!C:O""),11,false)"),"TAM")</f>
        <v>TAM</v>
      </c>
      <c r="N1482" s="248" t="str">
        <f>IFERROR(__xludf.DUMMYFUNCTION("VLOOKUP(C1482,IMPORTRANGE(""https://docs.google.com/spreadsheets/d/1ihFlp3_ePlYtFuPbUNbYj1muErVpI73WHXbEwJDIA7Q/edit#gid=1493122344"",""MTR!C:O""),8,false)"),"Does Not Comply")</f>
        <v>Does Not Comply</v>
      </c>
      <c r="O1482" s="241" t="str">
        <f>IFERROR(__xludf.DUMMYFUNCTION("VLOOKUP(C1482,IMPORTRANGE(""https://docs.google.com/spreadsheets/d/1P8eX0NWBhUPS_hvzA11R6jkTNFrPrRYIx_dX_hYbxrk/edit?resourcekey=0-iw9bsKY2OqkUHCFMkCar3A&amp;gid=2055363397#gid=2055363397"",""MTR!C:O""),9,false)"),"")</f>
        <v/>
      </c>
      <c r="P1482" s="241"/>
      <c r="Q1482" s="251" t="s">
        <v>516</v>
      </c>
      <c r="R1482" s="241"/>
      <c r="S1482" s="154" t="s">
        <v>64</v>
      </c>
      <c r="T1482" s="154" t="s">
        <v>64</v>
      </c>
      <c r="U1482" s="154" t="s">
        <v>64</v>
      </c>
      <c r="V1482" s="154" t="s">
        <v>64</v>
      </c>
      <c r="W1482" s="154" t="s">
        <v>64</v>
      </c>
      <c r="X1482" s="154" t="s">
        <v>64</v>
      </c>
      <c r="Y1482" s="154" t="s">
        <v>64</v>
      </c>
      <c r="Z1482" s="154" t="s">
        <v>64</v>
      </c>
      <c r="AA1482" s="154" t="s">
        <v>64</v>
      </c>
      <c r="AB1482" s="154"/>
      <c r="AC1482" s="242" t="b">
        <f t="shared" si="2"/>
        <v>1</v>
      </c>
      <c r="AD1482" s="154" t="s">
        <v>391</v>
      </c>
      <c r="AE1482" s="243" t="b">
        <f t="shared" si="3"/>
        <v>0</v>
      </c>
      <c r="AF1482" s="154"/>
      <c r="AG1482" s="243" t="b">
        <f t="shared" si="7"/>
        <v>0</v>
      </c>
      <c r="AH1482" s="154"/>
      <c r="AI1482" s="243" t="str">
        <f t="shared" si="5"/>
        <v>N/A</v>
      </c>
      <c r="AJ1482" s="157" t="str">
        <f t="shared" si="6"/>
        <v/>
      </c>
    </row>
    <row r="1483" ht="12.75" customHeight="1">
      <c r="A1483" s="244" t="s">
        <v>3601</v>
      </c>
      <c r="B1483" s="244" t="s">
        <v>3604</v>
      </c>
      <c r="C1483" s="244" t="s">
        <v>3899</v>
      </c>
      <c r="D1483" s="154" t="s">
        <v>2476</v>
      </c>
      <c r="E1483" s="250"/>
      <c r="F1483" s="154" t="str">
        <f t="array" ref="F1483">XLOOKUP(Cover!$D$12,$S$1:$AA$1,$S1483:$AA1483)</f>
        <v>Recommended</v>
      </c>
      <c r="G1483" s="154" t="s">
        <v>3900</v>
      </c>
      <c r="H1483" s="154"/>
      <c r="I1483" s="154" t="s">
        <v>420</v>
      </c>
      <c r="J1483" s="247" t="s">
        <v>516</v>
      </c>
      <c r="K1483" s="154"/>
      <c r="L1483" s="154" t="str">
        <f t="shared" si="1"/>
        <v/>
      </c>
      <c r="M1483" s="248" t="str">
        <f>IFERROR(__xludf.DUMMYFUNCTION("VLOOKUP(C1483,IMPORTRANGE(""https://docs.google.com/spreadsheets/d/1P8eX0NWBhUPS_hvzA11R6jkTNFrPrRYIx_dX_hYbxrk/edit?resourcekey=0-iw9bsKY2OqkUHCFMkCar3A&amp;gid=2055363397#gid=2055363397"",""MTR!C:O""),11,false)"),"TAM")</f>
        <v>TAM</v>
      </c>
      <c r="N1483" s="248" t="str">
        <f>IFERROR(__xludf.DUMMYFUNCTION("VLOOKUP(C1483,IMPORTRANGE(""https://docs.google.com/spreadsheets/d/1ihFlp3_ePlYtFuPbUNbYj1muErVpI73WHXbEwJDIA7Q/edit#gid=1493122344"",""MTR!C:O""),8,false)"),"Does Not Comply")</f>
        <v>Does Not Comply</v>
      </c>
      <c r="O1483" s="241" t="str">
        <f>IFERROR(__xludf.DUMMYFUNCTION("VLOOKUP(C1483,IMPORTRANGE(""https://docs.google.com/spreadsheets/d/1P8eX0NWBhUPS_hvzA11R6jkTNFrPrRYIx_dX_hYbxrk/edit?resourcekey=0-iw9bsKY2OqkUHCFMkCar3A&amp;gid=2055363397#gid=2055363397"",""MTR!C:O""),9,false)"),"")</f>
        <v/>
      </c>
      <c r="P1483" s="241"/>
      <c r="Q1483" s="251" t="s">
        <v>516</v>
      </c>
      <c r="R1483" s="241"/>
      <c r="S1483" s="154" t="s">
        <v>64</v>
      </c>
      <c r="T1483" s="154" t="s">
        <v>64</v>
      </c>
      <c r="U1483" s="154" t="s">
        <v>64</v>
      </c>
      <c r="V1483" s="154" t="s">
        <v>64</v>
      </c>
      <c r="W1483" s="154" t="s">
        <v>64</v>
      </c>
      <c r="X1483" s="154" t="s">
        <v>64</v>
      </c>
      <c r="Y1483" s="154" t="s">
        <v>64</v>
      </c>
      <c r="Z1483" s="154" t="s">
        <v>64</v>
      </c>
      <c r="AA1483" s="154" t="s">
        <v>64</v>
      </c>
      <c r="AB1483" s="154"/>
      <c r="AC1483" s="242" t="b">
        <f t="shared" si="2"/>
        <v>1</v>
      </c>
      <c r="AD1483" s="154" t="s">
        <v>391</v>
      </c>
      <c r="AE1483" s="243" t="b">
        <f t="shared" si="3"/>
        <v>0</v>
      </c>
      <c r="AF1483" s="154"/>
      <c r="AG1483" s="243" t="b">
        <f t="shared" si="7"/>
        <v>0</v>
      </c>
      <c r="AH1483" s="154"/>
      <c r="AI1483" s="243" t="str">
        <f t="shared" si="5"/>
        <v>N/A</v>
      </c>
      <c r="AJ1483" s="157" t="str">
        <f t="shared" si="6"/>
        <v/>
      </c>
    </row>
    <row r="1484" ht="12.75" customHeight="1">
      <c r="A1484" s="238" t="s">
        <v>3601</v>
      </c>
      <c r="B1484" s="238" t="s">
        <v>3604</v>
      </c>
      <c r="C1484" s="238" t="s">
        <v>3901</v>
      </c>
      <c r="D1484" s="238"/>
      <c r="E1484" s="238"/>
      <c r="F1484" s="154" t="str">
        <f t="array" ref="F1484">XLOOKUP(Cover!$D$12,$S$1:$AA$1,$S1484:$AA1484)</f>
        <v>Heading</v>
      </c>
      <c r="G1484" s="239" t="s">
        <v>3902</v>
      </c>
      <c r="H1484" s="240"/>
      <c r="I1484" s="240" t="s">
        <v>420</v>
      </c>
      <c r="J1484" s="240"/>
      <c r="K1484" s="240"/>
      <c r="L1484" s="154" t="str">
        <f t="shared" si="1"/>
        <v/>
      </c>
      <c r="M1484" s="241" t="str">
        <f>IFERROR(__xludf.DUMMYFUNCTION("VLOOKUP(C1484,IMPORTRANGE(""https://docs.google.com/spreadsheets/d/1P8eX0NWBhUPS_hvzA11R6jkTNFrPrRYIx_dX_hYbxrk/edit?resourcekey=0-iw9bsKY2OqkUHCFMkCar3A&amp;gid=2055363397#gid=2055363397"",""MTR!C:O""),11,false)"),"")</f>
        <v/>
      </c>
      <c r="N1484" s="241" t="str">
        <f>IFERROR(__xludf.DUMMYFUNCTION("VLOOKUP(C1484,IMPORTRANGE(""https://docs.google.com/spreadsheets/d/1ihFlp3_ePlYtFuPbUNbYj1muErVpI73WHXbEwJDIA7Q/edit#gid=1493122344"",""MTR!C:O""),8,false)"),"")</f>
        <v/>
      </c>
      <c r="O1484" s="241" t="str">
        <f>IFERROR(__xludf.DUMMYFUNCTION("VLOOKUP(C1484,IMPORTRANGE(""https://docs.google.com/spreadsheets/d/1P8eX0NWBhUPS_hvzA11R6jkTNFrPrRYIx_dX_hYbxrk/edit?resourcekey=0-iw9bsKY2OqkUHCFMkCar3A&amp;gid=2055363397#gid=2055363397"",""MTR!C:O""),9,false)"),"")</f>
        <v/>
      </c>
      <c r="P1484" s="241"/>
      <c r="Q1484" s="251"/>
      <c r="R1484" s="241"/>
      <c r="S1484" s="240" t="s">
        <v>390</v>
      </c>
      <c r="T1484" s="240" t="s">
        <v>390</v>
      </c>
      <c r="U1484" s="240" t="s">
        <v>390</v>
      </c>
      <c r="V1484" s="240" t="s">
        <v>390</v>
      </c>
      <c r="W1484" s="240" t="s">
        <v>390</v>
      </c>
      <c r="X1484" s="240" t="s">
        <v>390</v>
      </c>
      <c r="Y1484" s="240" t="s">
        <v>390</v>
      </c>
      <c r="Z1484" s="240" t="s">
        <v>390</v>
      </c>
      <c r="AA1484" s="240" t="s">
        <v>390</v>
      </c>
      <c r="AB1484" s="240"/>
      <c r="AC1484" s="242" t="b">
        <f t="shared" si="2"/>
        <v>0</v>
      </c>
      <c r="AD1484" s="240" t="s">
        <v>391</v>
      </c>
      <c r="AE1484" s="243" t="b">
        <f t="shared" si="3"/>
        <v>0</v>
      </c>
      <c r="AF1484" s="240"/>
      <c r="AG1484" s="243" t="b">
        <f t="shared" si="7"/>
        <v>0</v>
      </c>
      <c r="AH1484" s="240"/>
      <c r="AI1484" s="243" t="str">
        <f t="shared" si="5"/>
        <v>N/A</v>
      </c>
      <c r="AJ1484" s="157" t="str">
        <f t="shared" si="6"/>
        <v/>
      </c>
    </row>
    <row r="1485" ht="12.75" customHeight="1">
      <c r="A1485" s="244" t="s">
        <v>3601</v>
      </c>
      <c r="B1485" s="244" t="s">
        <v>3604</v>
      </c>
      <c r="C1485" s="244" t="s">
        <v>3903</v>
      </c>
      <c r="D1485" s="154" t="s">
        <v>2326</v>
      </c>
      <c r="E1485" s="250"/>
      <c r="F1485" s="154" t="str">
        <f t="array" ref="F1485">XLOOKUP(Cover!$D$12,$S$1:$AA$1,$S1485:$AA1485)</f>
        <v>Mandatory</v>
      </c>
      <c r="G1485" s="154" t="s">
        <v>3904</v>
      </c>
      <c r="H1485" s="154" t="s">
        <v>2642</v>
      </c>
      <c r="I1485" s="154" t="s">
        <v>420</v>
      </c>
      <c r="J1485" s="247" t="s">
        <v>445</v>
      </c>
      <c r="K1485" s="154"/>
      <c r="L1485" s="154" t="str">
        <f t="shared" si="1"/>
        <v/>
      </c>
      <c r="M1485" s="248" t="str">
        <f>IFERROR(__xludf.DUMMYFUNCTION("VLOOKUP(C1485,IMPORTRANGE(""https://docs.google.com/spreadsheets/d/1P8eX0NWBhUPS_hvzA11R6jkTNFrPrRYIx_dX_hYbxrk/edit?resourcekey=0-iw9bsKY2OqkUHCFMkCar3A&amp;gid=2055363397#gid=2055363397"",""MTR!C:O""),11,false)"),"TAM")</f>
        <v>TAM</v>
      </c>
      <c r="N1485" s="248" t="str">
        <f>IFERROR(__xludf.DUMMYFUNCTION("VLOOKUP(C1485,IMPORTRANGE(""https://docs.google.com/spreadsheets/d/1ihFlp3_ePlYtFuPbUNbYj1muErVpI73WHXbEwJDIA7Q/edit#gid=1493122344"",""MTR!C:O""),8,false)"),"Complies")</f>
        <v>Complies</v>
      </c>
      <c r="O1485" s="241" t="str">
        <f>IFERROR(__xludf.DUMMYFUNCTION("VLOOKUP(C1485,IMPORTRANGE(""https://docs.google.com/spreadsheets/d/1P8eX0NWBhUPS_hvzA11R6jkTNFrPrRYIx_dX_hYbxrk/edit?resourcekey=0-iw9bsKY2OqkUHCFMkCar3A&amp;gid=2055363397#gid=2055363397"",""MTR!C:O""),9,false)"),"")</f>
        <v/>
      </c>
      <c r="P1485" s="241"/>
      <c r="Q1485" s="251" t="s">
        <v>445</v>
      </c>
      <c r="R1485" s="241"/>
      <c r="S1485" s="154" t="s">
        <v>60</v>
      </c>
      <c r="T1485" s="154" t="s">
        <v>60</v>
      </c>
      <c r="U1485" s="154" t="s">
        <v>60</v>
      </c>
      <c r="V1485" s="154" t="s">
        <v>60</v>
      </c>
      <c r="W1485" s="154" t="s">
        <v>60</v>
      </c>
      <c r="X1485" s="154" t="s">
        <v>60</v>
      </c>
      <c r="Y1485" s="154" t="s">
        <v>60</v>
      </c>
      <c r="Z1485" s="154" t="s">
        <v>60</v>
      </c>
      <c r="AA1485" s="154" t="s">
        <v>60</v>
      </c>
      <c r="AB1485" s="154"/>
      <c r="AC1485" s="242" t="b">
        <f t="shared" si="2"/>
        <v>1</v>
      </c>
      <c r="AD1485" s="154" t="s">
        <v>391</v>
      </c>
      <c r="AE1485" s="243" t="b">
        <f t="shared" si="3"/>
        <v>0</v>
      </c>
      <c r="AF1485" s="154"/>
      <c r="AG1485" s="243" t="b">
        <f t="shared" si="7"/>
        <v>0</v>
      </c>
      <c r="AH1485" s="154"/>
      <c r="AI1485" s="243" t="str">
        <f t="shared" si="5"/>
        <v>N/A</v>
      </c>
      <c r="AJ1485" s="157" t="str">
        <f t="shared" si="6"/>
        <v/>
      </c>
    </row>
    <row r="1486" ht="12.75" customHeight="1">
      <c r="A1486" s="244" t="s">
        <v>3601</v>
      </c>
      <c r="B1486" s="244" t="s">
        <v>3604</v>
      </c>
      <c r="C1486" s="244" t="s">
        <v>3905</v>
      </c>
      <c r="D1486" s="154" t="s">
        <v>2326</v>
      </c>
      <c r="E1486" s="250"/>
      <c r="F1486" s="154" t="str">
        <f t="array" ref="F1486">XLOOKUP(Cover!$D$12,$S$1:$AA$1,$S1486:$AA1486)</f>
        <v>Recommended</v>
      </c>
      <c r="G1486" s="154" t="s">
        <v>3906</v>
      </c>
      <c r="H1486" s="154"/>
      <c r="I1486" s="154" t="s">
        <v>420</v>
      </c>
      <c r="J1486" s="247" t="s">
        <v>516</v>
      </c>
      <c r="K1486" s="154"/>
      <c r="L1486" s="154" t="str">
        <f t="shared" si="1"/>
        <v/>
      </c>
      <c r="M1486" s="248" t="str">
        <f>IFERROR(__xludf.DUMMYFUNCTION("VLOOKUP(C1486,IMPORTRANGE(""https://docs.google.com/spreadsheets/d/1P8eX0NWBhUPS_hvzA11R6jkTNFrPrRYIx_dX_hYbxrk/edit?resourcekey=0-iw9bsKY2OqkUHCFMkCar3A&amp;gid=2055363397#gid=2055363397"",""MTR!C:O""),11,false)"),"TAM")</f>
        <v>TAM</v>
      </c>
      <c r="N1486" s="248" t="str">
        <f>IFERROR(__xludf.DUMMYFUNCTION("VLOOKUP(C1486,IMPORTRANGE(""https://docs.google.com/spreadsheets/d/1ihFlp3_ePlYtFuPbUNbYj1muErVpI73WHXbEwJDIA7Q/edit#gid=1493122344"",""MTR!C:O""),8,false)"),"Does Not Comply")</f>
        <v>Does Not Comply</v>
      </c>
      <c r="O1486" s="241" t="str">
        <f>IFERROR(__xludf.DUMMYFUNCTION("VLOOKUP(C1486,IMPORTRANGE(""https://docs.google.com/spreadsheets/d/1P8eX0NWBhUPS_hvzA11R6jkTNFrPrRYIx_dX_hYbxrk/edit?resourcekey=0-iw9bsKY2OqkUHCFMkCar3A&amp;gid=2055363397#gid=2055363397"",""MTR!C:O""),9,false)"),"")</f>
        <v/>
      </c>
      <c r="P1486" s="241"/>
      <c r="Q1486" s="251" t="s">
        <v>516</v>
      </c>
      <c r="R1486" s="241"/>
      <c r="S1486" s="154" t="s">
        <v>64</v>
      </c>
      <c r="T1486" s="154" t="s">
        <v>64</v>
      </c>
      <c r="U1486" s="154" t="s">
        <v>64</v>
      </c>
      <c r="V1486" s="154" t="s">
        <v>64</v>
      </c>
      <c r="W1486" s="154" t="s">
        <v>64</v>
      </c>
      <c r="X1486" s="154" t="s">
        <v>64</v>
      </c>
      <c r="Y1486" s="154" t="s">
        <v>64</v>
      </c>
      <c r="Z1486" s="154" t="s">
        <v>64</v>
      </c>
      <c r="AA1486" s="154" t="s">
        <v>64</v>
      </c>
      <c r="AB1486" s="154"/>
      <c r="AC1486" s="242" t="b">
        <f t="shared" si="2"/>
        <v>1</v>
      </c>
      <c r="AD1486" s="154" t="s">
        <v>391</v>
      </c>
      <c r="AE1486" s="243" t="b">
        <f t="shared" si="3"/>
        <v>0</v>
      </c>
      <c r="AF1486" s="154"/>
      <c r="AG1486" s="243" t="b">
        <f t="shared" si="7"/>
        <v>0</v>
      </c>
      <c r="AH1486" s="154"/>
      <c r="AI1486" s="243" t="str">
        <f t="shared" si="5"/>
        <v>N/A</v>
      </c>
      <c r="AJ1486" s="157" t="str">
        <f t="shared" si="6"/>
        <v/>
      </c>
    </row>
    <row r="1487" ht="12.75" customHeight="1">
      <c r="A1487" s="244" t="s">
        <v>3601</v>
      </c>
      <c r="B1487" s="244" t="s">
        <v>3604</v>
      </c>
      <c r="C1487" s="244" t="s">
        <v>3907</v>
      </c>
      <c r="D1487" s="154" t="s">
        <v>2326</v>
      </c>
      <c r="E1487" s="250"/>
      <c r="F1487" s="154" t="str">
        <f t="array" ref="F1487">XLOOKUP(Cover!$D$12,$S$1:$AA$1,$S1487:$AA1487)</f>
        <v>Recommended</v>
      </c>
      <c r="G1487" s="154" t="s">
        <v>3908</v>
      </c>
      <c r="H1487" s="154"/>
      <c r="I1487" s="154" t="s">
        <v>420</v>
      </c>
      <c r="J1487" s="247" t="s">
        <v>516</v>
      </c>
      <c r="K1487" s="154"/>
      <c r="L1487" s="154" t="str">
        <f t="shared" si="1"/>
        <v/>
      </c>
      <c r="M1487" s="248" t="str">
        <f>IFERROR(__xludf.DUMMYFUNCTION("VLOOKUP(C1487,IMPORTRANGE(""https://docs.google.com/spreadsheets/d/1P8eX0NWBhUPS_hvzA11R6jkTNFrPrRYIx_dX_hYbxrk/edit?resourcekey=0-iw9bsKY2OqkUHCFMkCar3A&amp;gid=2055363397#gid=2055363397"",""MTR!C:O""),11,false)"),"TAM")</f>
        <v>TAM</v>
      </c>
      <c r="N1487" s="248" t="str">
        <f>IFERROR(__xludf.DUMMYFUNCTION("VLOOKUP(C1487,IMPORTRANGE(""https://docs.google.com/spreadsheets/d/1ihFlp3_ePlYtFuPbUNbYj1muErVpI73WHXbEwJDIA7Q/edit#gid=1493122344"",""MTR!C:O""),8,false)"),"Does Not Comply")</f>
        <v>Does Not Comply</v>
      </c>
      <c r="O1487" s="241" t="str">
        <f>IFERROR(__xludf.DUMMYFUNCTION("VLOOKUP(C1487,IMPORTRANGE(""https://docs.google.com/spreadsheets/d/1P8eX0NWBhUPS_hvzA11R6jkTNFrPrRYIx_dX_hYbxrk/edit?resourcekey=0-iw9bsKY2OqkUHCFMkCar3A&amp;gid=2055363397#gid=2055363397"",""MTR!C:O""),9,false)"),"")</f>
        <v/>
      </c>
      <c r="P1487" s="241"/>
      <c r="Q1487" s="251" t="s">
        <v>516</v>
      </c>
      <c r="R1487" s="241"/>
      <c r="S1487" s="154" t="s">
        <v>64</v>
      </c>
      <c r="T1487" s="154" t="s">
        <v>64</v>
      </c>
      <c r="U1487" s="154" t="s">
        <v>64</v>
      </c>
      <c r="V1487" s="154" t="s">
        <v>64</v>
      </c>
      <c r="W1487" s="154" t="s">
        <v>64</v>
      </c>
      <c r="X1487" s="154" t="s">
        <v>64</v>
      </c>
      <c r="Y1487" s="154" t="s">
        <v>64</v>
      </c>
      <c r="Z1487" s="154" t="s">
        <v>64</v>
      </c>
      <c r="AA1487" s="154" t="s">
        <v>64</v>
      </c>
      <c r="AB1487" s="154"/>
      <c r="AC1487" s="242" t="b">
        <f t="shared" si="2"/>
        <v>1</v>
      </c>
      <c r="AD1487" s="154" t="s">
        <v>391</v>
      </c>
      <c r="AE1487" s="243" t="b">
        <f t="shared" si="3"/>
        <v>0</v>
      </c>
      <c r="AF1487" s="154"/>
      <c r="AG1487" s="243" t="b">
        <f t="shared" si="7"/>
        <v>0</v>
      </c>
      <c r="AH1487" s="154"/>
      <c r="AI1487" s="243" t="str">
        <f t="shared" si="5"/>
        <v>N/A</v>
      </c>
      <c r="AJ1487" s="157" t="str">
        <f t="shared" si="6"/>
        <v/>
      </c>
    </row>
    <row r="1488" ht="12.75" customHeight="1">
      <c r="A1488" s="244" t="s">
        <v>3601</v>
      </c>
      <c r="B1488" s="244" t="s">
        <v>3604</v>
      </c>
      <c r="C1488" s="244" t="s">
        <v>3909</v>
      </c>
      <c r="D1488" s="154" t="s">
        <v>2326</v>
      </c>
      <c r="E1488" s="250"/>
      <c r="F1488" s="154" t="str">
        <f t="array" ref="F1488">XLOOKUP(Cover!$D$12,$S$1:$AA$1,$S1488:$AA1488)</f>
        <v>Recommended</v>
      </c>
      <c r="G1488" s="154" t="s">
        <v>3910</v>
      </c>
      <c r="H1488" s="154"/>
      <c r="I1488" s="154" t="s">
        <v>420</v>
      </c>
      <c r="J1488" s="247" t="s">
        <v>445</v>
      </c>
      <c r="K1488" s="154"/>
      <c r="L1488" s="154" t="str">
        <f t="shared" si="1"/>
        <v/>
      </c>
      <c r="M1488" s="248" t="str">
        <f>IFERROR(__xludf.DUMMYFUNCTION("VLOOKUP(C1488,IMPORTRANGE(""https://docs.google.com/spreadsheets/d/1P8eX0NWBhUPS_hvzA11R6jkTNFrPrRYIx_dX_hYbxrk/edit?resourcekey=0-iw9bsKY2OqkUHCFMkCar3A&amp;gid=2055363397#gid=2055363397"",""MTR!C:O""),11,false)"),"TAM")</f>
        <v>TAM</v>
      </c>
      <c r="N1488" s="248" t="str">
        <f>IFERROR(__xludf.DUMMYFUNCTION("VLOOKUP(C1488,IMPORTRANGE(""https://docs.google.com/spreadsheets/d/1ihFlp3_ePlYtFuPbUNbYj1muErVpI73WHXbEwJDIA7Q/edit#gid=1493122344"",""MTR!C:O""),8,false)"),"Complies")</f>
        <v>Complies</v>
      </c>
      <c r="O1488" s="241" t="str">
        <f>IFERROR(__xludf.DUMMYFUNCTION("VLOOKUP(C1488,IMPORTRANGE(""https://docs.google.com/spreadsheets/d/1P8eX0NWBhUPS_hvzA11R6jkTNFrPrRYIx_dX_hYbxrk/edit?resourcekey=0-iw9bsKY2OqkUHCFMkCar3A&amp;gid=2055363397#gid=2055363397"",""MTR!C:O""),9,false)"),"")</f>
        <v/>
      </c>
      <c r="P1488" s="241"/>
      <c r="Q1488" s="251" t="s">
        <v>445</v>
      </c>
      <c r="R1488" s="241"/>
      <c r="S1488" s="154" t="s">
        <v>64</v>
      </c>
      <c r="T1488" s="154" t="s">
        <v>64</v>
      </c>
      <c r="U1488" s="154" t="s">
        <v>64</v>
      </c>
      <c r="V1488" s="154" t="s">
        <v>64</v>
      </c>
      <c r="W1488" s="154" t="s">
        <v>64</v>
      </c>
      <c r="X1488" s="154" t="s">
        <v>64</v>
      </c>
      <c r="Y1488" s="154" t="s">
        <v>64</v>
      </c>
      <c r="Z1488" s="154" t="s">
        <v>64</v>
      </c>
      <c r="AA1488" s="154" t="s">
        <v>64</v>
      </c>
      <c r="AB1488" s="154"/>
      <c r="AC1488" s="242" t="b">
        <f t="shared" si="2"/>
        <v>1</v>
      </c>
      <c r="AD1488" s="154" t="s">
        <v>391</v>
      </c>
      <c r="AE1488" s="243" t="b">
        <f t="shared" si="3"/>
        <v>0</v>
      </c>
      <c r="AF1488" s="154"/>
      <c r="AG1488" s="243" t="b">
        <f t="shared" si="7"/>
        <v>0</v>
      </c>
      <c r="AH1488" s="154"/>
      <c r="AI1488" s="243" t="str">
        <f t="shared" si="5"/>
        <v>N/A</v>
      </c>
      <c r="AJ1488" s="157" t="str">
        <f t="shared" si="6"/>
        <v/>
      </c>
    </row>
    <row r="1489" ht="12.75" customHeight="1">
      <c r="A1489" s="244" t="s">
        <v>3601</v>
      </c>
      <c r="B1489" s="244" t="s">
        <v>3604</v>
      </c>
      <c r="C1489" s="244" t="s">
        <v>3911</v>
      </c>
      <c r="D1489" s="154" t="s">
        <v>1773</v>
      </c>
      <c r="E1489" s="250"/>
      <c r="F1489" s="154" t="str">
        <f t="array" ref="F1489">XLOOKUP(Cover!$D$12,$S$1:$AA$1,$S1489:$AA1489)</f>
        <v>Recommended</v>
      </c>
      <c r="G1489" s="154" t="s">
        <v>3912</v>
      </c>
      <c r="H1489" s="154"/>
      <c r="I1489" s="154" t="s">
        <v>420</v>
      </c>
      <c r="J1489" s="247" t="s">
        <v>617</v>
      </c>
      <c r="K1489" s="247" t="s">
        <v>3913</v>
      </c>
      <c r="L1489" s="154" t="str">
        <f t="shared" si="1"/>
        <v/>
      </c>
      <c r="M1489" s="248" t="str">
        <f>IFERROR(__xludf.DUMMYFUNCTION("VLOOKUP(C1489,IMPORTRANGE(""https://docs.google.com/spreadsheets/d/1P8eX0NWBhUPS_hvzA11R6jkTNFrPrRYIx_dX_hYbxrk/edit?resourcekey=0-iw9bsKY2OqkUHCFMkCar3A&amp;gid=2055363397#gid=2055363397"",""MTR!C:O""),11,false)"),"TAM")</f>
        <v>TAM</v>
      </c>
      <c r="N1489" s="248" t="str">
        <f>IFERROR(__xludf.DUMMYFUNCTION("VLOOKUP(C1489,IMPORTRANGE(""https://docs.google.com/spreadsheets/d/1ihFlp3_ePlYtFuPbUNbYj1muErVpI73WHXbEwJDIA7Q/edit#gid=1493122344"",""MTR!C:O""),8,false)"),"Not Applicable")</f>
        <v>Not Applicable</v>
      </c>
      <c r="O1489" s="241" t="str">
        <f>IFERROR(__xludf.DUMMYFUNCTION("VLOOKUP(C1489,IMPORTRANGE(""https://docs.google.com/spreadsheets/d/1P8eX0NWBhUPS_hvzA11R6jkTNFrPrRYIx_dX_hYbxrk/edit?resourcekey=0-iw9bsKY2OqkUHCFMkCar3A&amp;gid=2055363397#gid=2055363397"",""MTR!C:O""),9,false)"),"")</f>
        <v/>
      </c>
      <c r="P1489" s="241"/>
      <c r="Q1489" s="251" t="s">
        <v>617</v>
      </c>
      <c r="R1489" s="251" t="s">
        <v>3913</v>
      </c>
      <c r="S1489" s="154" t="s">
        <v>64</v>
      </c>
      <c r="T1489" s="154" t="s">
        <v>64</v>
      </c>
      <c r="U1489" s="154" t="s">
        <v>64</v>
      </c>
      <c r="V1489" s="154" t="s">
        <v>64</v>
      </c>
      <c r="W1489" s="154" t="s">
        <v>64</v>
      </c>
      <c r="X1489" s="154" t="s">
        <v>64</v>
      </c>
      <c r="Y1489" s="154" t="s">
        <v>64</v>
      </c>
      <c r="Z1489" s="154" t="s">
        <v>64</v>
      </c>
      <c r="AA1489" s="154" t="s">
        <v>64</v>
      </c>
      <c r="AB1489" s="154"/>
      <c r="AC1489" s="242" t="b">
        <f t="shared" si="2"/>
        <v>1</v>
      </c>
      <c r="AD1489" s="154" t="s">
        <v>391</v>
      </c>
      <c r="AE1489" s="243" t="b">
        <f t="shared" si="3"/>
        <v>0</v>
      </c>
      <c r="AF1489" s="154"/>
      <c r="AG1489" s="243" t="b">
        <f t="shared" si="7"/>
        <v>0</v>
      </c>
      <c r="AH1489" s="154"/>
      <c r="AI1489" s="243" t="str">
        <f t="shared" si="5"/>
        <v>N/A</v>
      </c>
      <c r="AJ1489" s="157" t="str">
        <f t="shared" si="6"/>
        <v/>
      </c>
    </row>
    <row r="1490" ht="12.75" customHeight="1">
      <c r="A1490" s="244" t="s">
        <v>3601</v>
      </c>
      <c r="B1490" s="244" t="s">
        <v>3604</v>
      </c>
      <c r="C1490" s="244" t="s">
        <v>3914</v>
      </c>
      <c r="D1490" s="154" t="s">
        <v>2326</v>
      </c>
      <c r="E1490" s="250"/>
      <c r="F1490" s="154" t="str">
        <f t="array" ref="F1490">XLOOKUP(Cover!$D$12,$S$1:$AA$1,$S1490:$AA1490)</f>
        <v>Recommended</v>
      </c>
      <c r="G1490" s="154" t="s">
        <v>3915</v>
      </c>
      <c r="H1490" s="154"/>
      <c r="I1490" s="154" t="s">
        <v>420</v>
      </c>
      <c r="J1490" s="247" t="s">
        <v>445</v>
      </c>
      <c r="K1490" s="247"/>
      <c r="L1490" s="154" t="str">
        <f t="shared" si="1"/>
        <v/>
      </c>
      <c r="M1490" s="248" t="str">
        <f>IFERROR(__xludf.DUMMYFUNCTION("VLOOKUP(C1490,IMPORTRANGE(""https://docs.google.com/spreadsheets/d/1P8eX0NWBhUPS_hvzA11R6jkTNFrPrRYIx_dX_hYbxrk/edit?resourcekey=0-iw9bsKY2OqkUHCFMkCar3A&amp;gid=2055363397#gid=2055363397"",""MTR!C:O""),11,false)"),"TAM")</f>
        <v>TAM</v>
      </c>
      <c r="N1490" s="248" t="str">
        <f>IFERROR(__xludf.DUMMYFUNCTION("VLOOKUP(C1490,IMPORTRANGE(""https://docs.google.com/spreadsheets/d/1ihFlp3_ePlYtFuPbUNbYj1muErVpI73WHXbEwJDIA7Q/edit#gid=1493122344"",""MTR!C:O""),8,false)"),"Complies")</f>
        <v>Complies</v>
      </c>
      <c r="O1490" s="241" t="str">
        <f>IFERROR(__xludf.DUMMYFUNCTION("VLOOKUP(C1490,IMPORTRANGE(""https://docs.google.com/spreadsheets/d/1P8eX0NWBhUPS_hvzA11R6jkTNFrPrRYIx_dX_hYbxrk/edit?resourcekey=0-iw9bsKY2OqkUHCFMkCar3A&amp;gid=2055363397#gid=2055363397"",""MTR!C:O""),9,false)"),"")</f>
        <v/>
      </c>
      <c r="P1490" s="241"/>
      <c r="Q1490" s="251" t="s">
        <v>445</v>
      </c>
      <c r="R1490" s="251"/>
      <c r="S1490" s="154" t="s">
        <v>64</v>
      </c>
      <c r="T1490" s="154" t="s">
        <v>64</v>
      </c>
      <c r="U1490" s="154" t="s">
        <v>64</v>
      </c>
      <c r="V1490" s="154" t="s">
        <v>64</v>
      </c>
      <c r="W1490" s="154" t="s">
        <v>64</v>
      </c>
      <c r="X1490" s="154" t="s">
        <v>64</v>
      </c>
      <c r="Y1490" s="154" t="s">
        <v>64</v>
      </c>
      <c r="Z1490" s="154" t="s">
        <v>64</v>
      </c>
      <c r="AA1490" s="154" t="s">
        <v>64</v>
      </c>
      <c r="AB1490" s="154"/>
      <c r="AC1490" s="242" t="b">
        <f t="shared" si="2"/>
        <v>1</v>
      </c>
      <c r="AD1490" s="154" t="s">
        <v>391</v>
      </c>
      <c r="AE1490" s="243" t="b">
        <f t="shared" si="3"/>
        <v>0</v>
      </c>
      <c r="AF1490" s="154"/>
      <c r="AG1490" s="243" t="b">
        <f t="shared" si="7"/>
        <v>0</v>
      </c>
      <c r="AH1490" s="154"/>
      <c r="AI1490" s="243" t="str">
        <f t="shared" si="5"/>
        <v>N/A</v>
      </c>
      <c r="AJ1490" s="157" t="str">
        <f t="shared" si="6"/>
        <v/>
      </c>
    </row>
    <row r="1491" ht="12.75" customHeight="1">
      <c r="A1491" s="244" t="s">
        <v>3601</v>
      </c>
      <c r="B1491" s="244" t="s">
        <v>3604</v>
      </c>
      <c r="C1491" s="244" t="s">
        <v>3916</v>
      </c>
      <c r="D1491" s="154" t="s">
        <v>406</v>
      </c>
      <c r="E1491" s="250"/>
      <c r="F1491" s="154" t="str">
        <f t="array" ref="F1491">XLOOKUP(Cover!$D$12,$S$1:$AA$1,$S1491:$AA1491)</f>
        <v>Mandatory</v>
      </c>
      <c r="G1491" s="154" t="s">
        <v>3917</v>
      </c>
      <c r="H1491" s="154" t="s">
        <v>2642</v>
      </c>
      <c r="I1491" s="154" t="s">
        <v>420</v>
      </c>
      <c r="J1491" s="247" t="s">
        <v>506</v>
      </c>
      <c r="K1491" s="247" t="s">
        <v>3918</v>
      </c>
      <c r="L1491" s="154" t="str">
        <f t="shared" si="1"/>
        <v/>
      </c>
      <c r="M1491" s="248" t="str">
        <f>IFERROR(__xludf.DUMMYFUNCTION("VLOOKUP(C1491,IMPORTRANGE(""https://docs.google.com/spreadsheets/d/1P8eX0NWBhUPS_hvzA11R6jkTNFrPrRYIx_dX_hYbxrk/edit?resourcekey=0-iw9bsKY2OqkUHCFMkCar3A&amp;gid=2055363397#gid=2055363397"",""MTR!C:O""),11,false)"),"TAM")</f>
        <v>TAM</v>
      </c>
      <c r="N1491" s="248" t="str">
        <f>IFERROR(__xludf.DUMMYFUNCTION("VLOOKUP(C1491,IMPORTRANGE(""https://docs.google.com/spreadsheets/d/1ihFlp3_ePlYtFuPbUNbYj1muErVpI73WHXbEwJDIA7Q/edit#gid=1493122344"",""MTR!C:O""),8,false)"),"Partially Complies")</f>
        <v>Partially Complies</v>
      </c>
      <c r="O1491" s="248" t="str">
        <f>IFERROR(__xludf.DUMMYFUNCTION("VLOOKUP(C1491,IMPORTRANGE(""https://docs.google.com/spreadsheets/d/1P8eX0NWBhUPS_hvzA11R6jkTNFrPrRYIx_dX_hYbxrk/edit?resourcekey=0-iw9bsKY2OqkUHCFMkCar3A&amp;gid=2055363397#gid=2055363397"",""MTR!C:O""),9,false)"),"Case vary")</f>
        <v>Case vary</v>
      </c>
      <c r="P1491" s="248"/>
      <c r="Q1491" s="249" t="s">
        <v>506</v>
      </c>
      <c r="R1491" s="249" t="s">
        <v>3918</v>
      </c>
      <c r="S1491" s="154" t="s">
        <v>60</v>
      </c>
      <c r="T1491" s="154" t="s">
        <v>60</v>
      </c>
      <c r="U1491" s="154" t="s">
        <v>60</v>
      </c>
      <c r="V1491" s="154" t="s">
        <v>60</v>
      </c>
      <c r="W1491" s="154" t="s">
        <v>60</v>
      </c>
      <c r="X1491" s="154" t="s">
        <v>60</v>
      </c>
      <c r="Y1491" s="154" t="s">
        <v>60</v>
      </c>
      <c r="Z1491" s="154" t="s">
        <v>60</v>
      </c>
      <c r="AA1491" s="154" t="s">
        <v>60</v>
      </c>
      <c r="AB1491" s="154"/>
      <c r="AC1491" s="242" t="b">
        <f t="shared" si="2"/>
        <v>1</v>
      </c>
      <c r="AD1491" s="154" t="s">
        <v>391</v>
      </c>
      <c r="AE1491" s="243" t="b">
        <f t="shared" si="3"/>
        <v>0</v>
      </c>
      <c r="AF1491" s="154"/>
      <c r="AG1491" s="243" t="b">
        <f t="shared" si="7"/>
        <v>0</v>
      </c>
      <c r="AH1491" s="154"/>
      <c r="AI1491" s="243" t="str">
        <f t="shared" si="5"/>
        <v>N/A</v>
      </c>
      <c r="AJ1491" s="157" t="str">
        <f t="shared" si="6"/>
        <v/>
      </c>
    </row>
    <row r="1492" ht="12.75" customHeight="1">
      <c r="A1492" s="238" t="s">
        <v>3601</v>
      </c>
      <c r="B1492" s="238" t="s">
        <v>3604</v>
      </c>
      <c r="C1492" s="238" t="s">
        <v>3919</v>
      </c>
      <c r="D1492" s="238"/>
      <c r="E1492" s="238"/>
      <c r="F1492" s="154" t="str">
        <f t="array" ref="F1492">XLOOKUP(Cover!$D$12,$S$1:$AA$1,$S1492:$AA1492)</f>
        <v>Heading</v>
      </c>
      <c r="G1492" s="239" t="s">
        <v>3920</v>
      </c>
      <c r="H1492" s="240"/>
      <c r="I1492" s="240" t="s">
        <v>420</v>
      </c>
      <c r="J1492" s="240"/>
      <c r="K1492" s="262"/>
      <c r="L1492" s="154" t="str">
        <f t="shared" si="1"/>
        <v/>
      </c>
      <c r="M1492" s="241" t="str">
        <f>IFERROR(__xludf.DUMMYFUNCTION("VLOOKUP(C1492,IMPORTRANGE(""https://docs.google.com/spreadsheets/d/1P8eX0NWBhUPS_hvzA11R6jkTNFrPrRYIx_dX_hYbxrk/edit?resourcekey=0-iw9bsKY2OqkUHCFMkCar3A&amp;gid=2055363397#gid=2055363397"",""MTR!C:O""),11,false)"),"")</f>
        <v/>
      </c>
      <c r="N1492" s="241" t="str">
        <f>IFERROR(__xludf.DUMMYFUNCTION("VLOOKUP(C1492,IMPORTRANGE(""https://docs.google.com/spreadsheets/d/1ihFlp3_ePlYtFuPbUNbYj1muErVpI73WHXbEwJDIA7Q/edit#gid=1493122344"",""MTR!C:O""),8,false)"),"")</f>
        <v/>
      </c>
      <c r="O1492" s="241" t="str">
        <f>IFERROR(__xludf.DUMMYFUNCTION("VLOOKUP(C1492,IMPORTRANGE(""https://docs.google.com/spreadsheets/d/1P8eX0NWBhUPS_hvzA11R6jkTNFrPrRYIx_dX_hYbxrk/edit?resourcekey=0-iw9bsKY2OqkUHCFMkCar3A&amp;gid=2055363397#gid=2055363397"",""MTR!C:O""),9,false)"),"")</f>
        <v/>
      </c>
      <c r="P1492" s="241"/>
      <c r="Q1492" s="251"/>
      <c r="R1492" s="251"/>
      <c r="S1492" s="240" t="s">
        <v>390</v>
      </c>
      <c r="T1492" s="240" t="s">
        <v>390</v>
      </c>
      <c r="U1492" s="240" t="s">
        <v>390</v>
      </c>
      <c r="V1492" s="240" t="s">
        <v>390</v>
      </c>
      <c r="W1492" s="240" t="s">
        <v>390</v>
      </c>
      <c r="X1492" s="240" t="s">
        <v>390</v>
      </c>
      <c r="Y1492" s="240" t="s">
        <v>390</v>
      </c>
      <c r="Z1492" s="240" t="s">
        <v>390</v>
      </c>
      <c r="AA1492" s="240" t="s">
        <v>390</v>
      </c>
      <c r="AB1492" s="240"/>
      <c r="AC1492" s="242" t="b">
        <f t="shared" si="2"/>
        <v>0</v>
      </c>
      <c r="AD1492" s="240" t="s">
        <v>391</v>
      </c>
      <c r="AE1492" s="243" t="b">
        <f t="shared" si="3"/>
        <v>0</v>
      </c>
      <c r="AF1492" s="240"/>
      <c r="AG1492" s="243" t="b">
        <f t="shared" si="7"/>
        <v>0</v>
      </c>
      <c r="AH1492" s="240"/>
      <c r="AI1492" s="243" t="str">
        <f t="shared" si="5"/>
        <v>N/A</v>
      </c>
      <c r="AJ1492" s="157" t="str">
        <f t="shared" si="6"/>
        <v/>
      </c>
    </row>
    <row r="1493" ht="12.75" customHeight="1">
      <c r="A1493" s="238" t="s">
        <v>3601</v>
      </c>
      <c r="B1493" s="238" t="s">
        <v>3604</v>
      </c>
      <c r="C1493" s="238" t="s">
        <v>3921</v>
      </c>
      <c r="D1493" s="238"/>
      <c r="E1493" s="238"/>
      <c r="F1493" s="154" t="str">
        <f t="array" ref="F1493">XLOOKUP(Cover!$D$12,$S$1:$AA$1,$S1493:$AA1493)</f>
        <v>Heading</v>
      </c>
      <c r="G1493" s="239" t="s">
        <v>3922</v>
      </c>
      <c r="H1493" s="240"/>
      <c r="I1493" s="240" t="s">
        <v>420</v>
      </c>
      <c r="J1493" s="240"/>
      <c r="K1493" s="240"/>
      <c r="L1493" s="154" t="str">
        <f t="shared" si="1"/>
        <v/>
      </c>
      <c r="M1493" s="241" t="str">
        <f>IFERROR(__xludf.DUMMYFUNCTION("VLOOKUP(C1493,IMPORTRANGE(""https://docs.google.com/spreadsheets/d/1P8eX0NWBhUPS_hvzA11R6jkTNFrPrRYIx_dX_hYbxrk/edit?resourcekey=0-iw9bsKY2OqkUHCFMkCar3A&amp;gid=2055363397#gid=2055363397"",""MTR!C:O""),11,false)"),"")</f>
        <v/>
      </c>
      <c r="N1493" s="241" t="str">
        <f>IFERROR(__xludf.DUMMYFUNCTION("VLOOKUP(C1493,IMPORTRANGE(""https://docs.google.com/spreadsheets/d/1ihFlp3_ePlYtFuPbUNbYj1muErVpI73WHXbEwJDIA7Q/edit#gid=1493122344"",""MTR!C:O""),8,false)"),"")</f>
        <v/>
      </c>
      <c r="O1493" s="241" t="str">
        <f>IFERROR(__xludf.DUMMYFUNCTION("VLOOKUP(C1493,IMPORTRANGE(""https://docs.google.com/spreadsheets/d/1P8eX0NWBhUPS_hvzA11R6jkTNFrPrRYIx_dX_hYbxrk/edit?resourcekey=0-iw9bsKY2OqkUHCFMkCar3A&amp;gid=2055363397#gid=2055363397"",""MTR!C:O""),9,false)"),"")</f>
        <v/>
      </c>
      <c r="P1493" s="241"/>
      <c r="Q1493" s="241"/>
      <c r="R1493" s="241"/>
      <c r="S1493" s="240" t="s">
        <v>390</v>
      </c>
      <c r="T1493" s="240" t="s">
        <v>390</v>
      </c>
      <c r="U1493" s="240" t="s">
        <v>390</v>
      </c>
      <c r="V1493" s="240" t="s">
        <v>390</v>
      </c>
      <c r="W1493" s="240" t="s">
        <v>390</v>
      </c>
      <c r="X1493" s="240" t="s">
        <v>390</v>
      </c>
      <c r="Y1493" s="240" t="s">
        <v>390</v>
      </c>
      <c r="Z1493" s="240" t="s">
        <v>390</v>
      </c>
      <c r="AA1493" s="240" t="s">
        <v>390</v>
      </c>
      <c r="AB1493" s="240"/>
      <c r="AC1493" s="242" t="b">
        <f t="shared" si="2"/>
        <v>0</v>
      </c>
      <c r="AD1493" s="240" t="s">
        <v>391</v>
      </c>
      <c r="AE1493" s="243" t="b">
        <f t="shared" si="3"/>
        <v>0</v>
      </c>
      <c r="AF1493" s="240"/>
      <c r="AG1493" s="243" t="b">
        <f t="shared" si="7"/>
        <v>0</v>
      </c>
      <c r="AH1493" s="240"/>
      <c r="AI1493" s="243" t="str">
        <f t="shared" si="5"/>
        <v>N/A</v>
      </c>
      <c r="AJ1493" s="157" t="str">
        <f t="shared" si="6"/>
        <v/>
      </c>
    </row>
    <row r="1494" ht="12.75" customHeight="1">
      <c r="A1494" s="244" t="s">
        <v>3601</v>
      </c>
      <c r="B1494" s="244" t="s">
        <v>3604</v>
      </c>
      <c r="C1494" s="244" t="s">
        <v>3923</v>
      </c>
      <c r="D1494" s="154" t="s">
        <v>1315</v>
      </c>
      <c r="E1494" s="250"/>
      <c r="F1494" s="154" t="str">
        <f t="array" ref="F1494">XLOOKUP(Cover!$D$12,$S$1:$AA$1,$S1494:$AA1494)</f>
        <v>Mandatory</v>
      </c>
      <c r="G1494" s="154" t="s">
        <v>3924</v>
      </c>
      <c r="H1494" s="154" t="s">
        <v>398</v>
      </c>
      <c r="I1494" s="154" t="s">
        <v>420</v>
      </c>
      <c r="J1494" s="154" t="s">
        <v>445</v>
      </c>
      <c r="K1494" s="154"/>
      <c r="L1494" s="154" t="str">
        <f t="shared" si="1"/>
        <v/>
      </c>
      <c r="M1494" s="248" t="str">
        <f>IFERROR(__xludf.DUMMYFUNCTION("VLOOKUP(C1494,IMPORTRANGE(""https://docs.google.com/spreadsheets/d/1P8eX0NWBhUPS_hvzA11R6jkTNFrPrRYIx_dX_hYbxrk/edit?resourcekey=0-iw9bsKY2OqkUHCFMkCar3A&amp;gid=2055363397#gid=2055363397"",""MTR!C:O""),11,false)"),"PMW-IMS")</f>
        <v>PMW-IMS</v>
      </c>
      <c r="N1494" s="248" t="str">
        <f>IFERROR(__xludf.DUMMYFUNCTION("VLOOKUP(C1494,IMPORTRANGE(""https://docs.google.com/spreadsheets/d/1ihFlp3_ePlYtFuPbUNbYj1muErVpI73WHXbEwJDIA7Q/edit#gid=1493122344"",""MTR!C:O""),8,false)"),"Complies")</f>
        <v>Complies</v>
      </c>
      <c r="O1494" s="241" t="str">
        <f>IFERROR(__xludf.DUMMYFUNCTION("VLOOKUP(C1494,IMPORTRANGE(""https://docs.google.com/spreadsheets/d/1P8eX0NWBhUPS_hvzA11R6jkTNFrPrRYIx_dX_hYbxrk/edit?resourcekey=0-iw9bsKY2OqkUHCFMkCar3A&amp;gid=2055363397#gid=2055363397"",""MTR!C:O""),9,false)"),"")</f>
        <v/>
      </c>
      <c r="P1494" s="241"/>
      <c r="Q1494" s="251" t="s">
        <v>445</v>
      </c>
      <c r="R1494" s="241"/>
      <c r="S1494" s="154" t="s">
        <v>60</v>
      </c>
      <c r="T1494" s="154" t="s">
        <v>60</v>
      </c>
      <c r="U1494" s="154" t="s">
        <v>60</v>
      </c>
      <c r="V1494" s="154" t="s">
        <v>60</v>
      </c>
      <c r="W1494" s="154" t="s">
        <v>60</v>
      </c>
      <c r="X1494" s="154" t="s">
        <v>60</v>
      </c>
      <c r="Y1494" s="154" t="s">
        <v>60</v>
      </c>
      <c r="Z1494" s="154" t="s">
        <v>60</v>
      </c>
      <c r="AA1494" s="154" t="s">
        <v>60</v>
      </c>
      <c r="AB1494" s="154"/>
      <c r="AC1494" s="242" t="b">
        <f t="shared" si="2"/>
        <v>1</v>
      </c>
      <c r="AD1494" s="154" t="s">
        <v>391</v>
      </c>
      <c r="AE1494" s="243" t="b">
        <f t="shared" si="3"/>
        <v>0</v>
      </c>
      <c r="AF1494" s="154"/>
      <c r="AG1494" s="243" t="b">
        <f t="shared" si="7"/>
        <v>0</v>
      </c>
      <c r="AH1494" s="154"/>
      <c r="AI1494" s="243" t="str">
        <f t="shared" si="5"/>
        <v>N/A</v>
      </c>
      <c r="AJ1494" s="157" t="str">
        <f t="shared" si="6"/>
        <v/>
      </c>
    </row>
    <row r="1495" ht="12.75" customHeight="1">
      <c r="A1495" s="244" t="s">
        <v>3601</v>
      </c>
      <c r="B1495" s="244" t="s">
        <v>3604</v>
      </c>
      <c r="C1495" s="244" t="s">
        <v>3925</v>
      </c>
      <c r="D1495" s="154" t="s">
        <v>1211</v>
      </c>
      <c r="E1495" s="250"/>
      <c r="F1495" s="154" t="str">
        <f t="array" ref="F1495">XLOOKUP(Cover!$D$12,$S$1:$AA$1,$S1495:$AA1495)</f>
        <v>Mandatory</v>
      </c>
      <c r="G1495" s="154" t="s">
        <v>3926</v>
      </c>
      <c r="H1495" s="154" t="s">
        <v>398</v>
      </c>
      <c r="I1495" s="154" t="s">
        <v>420</v>
      </c>
      <c r="J1495" s="247" t="s">
        <v>445</v>
      </c>
      <c r="K1495" s="154"/>
      <c r="L1495" s="154" t="str">
        <f t="shared" si="1"/>
        <v/>
      </c>
      <c r="M1495" s="248" t="str">
        <f>IFERROR(__xludf.DUMMYFUNCTION("VLOOKUP(C1495,IMPORTRANGE(""https://docs.google.com/spreadsheets/d/1P8eX0NWBhUPS_hvzA11R6jkTNFrPrRYIx_dX_hYbxrk/edit?resourcekey=0-iw9bsKY2OqkUHCFMkCar3A&amp;gid=2055363397#gid=2055363397"",""MTR!C:O""),11,false)"),"PMW-IMS")</f>
        <v>PMW-IMS</v>
      </c>
      <c r="N1495" s="248" t="str">
        <f>IFERROR(__xludf.DUMMYFUNCTION("VLOOKUP(C1495,IMPORTRANGE(""https://docs.google.com/spreadsheets/d/1ihFlp3_ePlYtFuPbUNbYj1muErVpI73WHXbEwJDIA7Q/edit#gid=1493122344"",""MTR!C:O""),8,false)"),"Complies")</f>
        <v>Complies</v>
      </c>
      <c r="O1495" s="241" t="str">
        <f>IFERROR(__xludf.DUMMYFUNCTION("VLOOKUP(C1495,IMPORTRANGE(""https://docs.google.com/spreadsheets/d/1P8eX0NWBhUPS_hvzA11R6jkTNFrPrRYIx_dX_hYbxrk/edit?resourcekey=0-iw9bsKY2OqkUHCFMkCar3A&amp;gid=2055363397#gid=2055363397"",""MTR!C:O""),9,false)"),"")</f>
        <v/>
      </c>
      <c r="P1495" s="241"/>
      <c r="Q1495" s="251" t="s">
        <v>445</v>
      </c>
      <c r="R1495" s="241"/>
      <c r="S1495" s="154" t="s">
        <v>60</v>
      </c>
      <c r="T1495" s="154" t="s">
        <v>60</v>
      </c>
      <c r="U1495" s="154" t="s">
        <v>60</v>
      </c>
      <c r="V1495" s="154" t="s">
        <v>60</v>
      </c>
      <c r="W1495" s="154" t="s">
        <v>60</v>
      </c>
      <c r="X1495" s="154" t="s">
        <v>60</v>
      </c>
      <c r="Y1495" s="154" t="s">
        <v>60</v>
      </c>
      <c r="Z1495" s="154" t="s">
        <v>60</v>
      </c>
      <c r="AA1495" s="154" t="s">
        <v>60</v>
      </c>
      <c r="AB1495" s="154"/>
      <c r="AC1495" s="242" t="b">
        <f t="shared" si="2"/>
        <v>1</v>
      </c>
      <c r="AD1495" s="154" t="s">
        <v>391</v>
      </c>
      <c r="AE1495" s="243" t="b">
        <f t="shared" si="3"/>
        <v>0</v>
      </c>
      <c r="AF1495" s="154"/>
      <c r="AG1495" s="243" t="b">
        <f t="shared" si="7"/>
        <v>0</v>
      </c>
      <c r="AH1495" s="154"/>
      <c r="AI1495" s="243" t="str">
        <f t="shared" si="5"/>
        <v>N/A</v>
      </c>
      <c r="AJ1495" s="157" t="str">
        <f t="shared" si="6"/>
        <v/>
      </c>
    </row>
    <row r="1496" ht="12.75" customHeight="1">
      <c r="A1496" s="238" t="s">
        <v>3601</v>
      </c>
      <c r="B1496" s="238" t="s">
        <v>3604</v>
      </c>
      <c r="C1496" s="238" t="s">
        <v>3927</v>
      </c>
      <c r="D1496" s="238"/>
      <c r="E1496" s="238"/>
      <c r="F1496" s="154" t="str">
        <f t="array" ref="F1496">XLOOKUP(Cover!$D$12,$S$1:$AA$1,$S1496:$AA1496)</f>
        <v>Heading</v>
      </c>
      <c r="G1496" s="239" t="s">
        <v>3928</v>
      </c>
      <c r="H1496" s="240"/>
      <c r="I1496" s="240" t="s">
        <v>420</v>
      </c>
      <c r="J1496" s="240"/>
      <c r="K1496" s="240"/>
      <c r="L1496" s="154" t="str">
        <f t="shared" si="1"/>
        <v/>
      </c>
      <c r="M1496" s="241" t="str">
        <f>IFERROR(__xludf.DUMMYFUNCTION("VLOOKUP(C1496,IMPORTRANGE(""https://docs.google.com/spreadsheets/d/1P8eX0NWBhUPS_hvzA11R6jkTNFrPrRYIx_dX_hYbxrk/edit?resourcekey=0-iw9bsKY2OqkUHCFMkCar3A&amp;gid=2055363397#gid=2055363397"",""MTR!C:O""),11,false)"),"")</f>
        <v/>
      </c>
      <c r="N1496" s="241" t="str">
        <f>IFERROR(__xludf.DUMMYFUNCTION("VLOOKUP(C1496,IMPORTRANGE(""https://docs.google.com/spreadsheets/d/1ihFlp3_ePlYtFuPbUNbYj1muErVpI73WHXbEwJDIA7Q/edit#gid=1493122344"",""MTR!C:O""),8,false)"),"")</f>
        <v/>
      </c>
      <c r="O1496" s="241" t="str">
        <f>IFERROR(__xludf.DUMMYFUNCTION("VLOOKUP(C1496,IMPORTRANGE(""https://docs.google.com/spreadsheets/d/1P8eX0NWBhUPS_hvzA11R6jkTNFrPrRYIx_dX_hYbxrk/edit?resourcekey=0-iw9bsKY2OqkUHCFMkCar3A&amp;gid=2055363397#gid=2055363397"",""MTR!C:O""),9,false)"),"")</f>
        <v/>
      </c>
      <c r="P1496" s="241"/>
      <c r="Q1496" s="251"/>
      <c r="R1496" s="241"/>
      <c r="S1496" s="240" t="s">
        <v>390</v>
      </c>
      <c r="T1496" s="240" t="s">
        <v>390</v>
      </c>
      <c r="U1496" s="240" t="s">
        <v>390</v>
      </c>
      <c r="V1496" s="240" t="s">
        <v>390</v>
      </c>
      <c r="W1496" s="240" t="s">
        <v>390</v>
      </c>
      <c r="X1496" s="240" t="s">
        <v>390</v>
      </c>
      <c r="Y1496" s="240" t="s">
        <v>390</v>
      </c>
      <c r="Z1496" s="240" t="s">
        <v>390</v>
      </c>
      <c r="AA1496" s="240" t="s">
        <v>390</v>
      </c>
      <c r="AB1496" s="240"/>
      <c r="AC1496" s="242" t="b">
        <f t="shared" si="2"/>
        <v>0</v>
      </c>
      <c r="AD1496" s="240" t="s">
        <v>391</v>
      </c>
      <c r="AE1496" s="243" t="b">
        <f t="shared" si="3"/>
        <v>0</v>
      </c>
      <c r="AF1496" s="240"/>
      <c r="AG1496" s="243" t="b">
        <f t="shared" si="7"/>
        <v>0</v>
      </c>
      <c r="AH1496" s="240"/>
      <c r="AI1496" s="243" t="str">
        <f t="shared" si="5"/>
        <v>N/A</v>
      </c>
      <c r="AJ1496" s="157" t="str">
        <f t="shared" si="6"/>
        <v/>
      </c>
    </row>
    <row r="1497" ht="12.75" customHeight="1">
      <c r="A1497" s="244" t="s">
        <v>3601</v>
      </c>
      <c r="B1497" s="244" t="s">
        <v>3604</v>
      </c>
      <c r="C1497" s="244" t="s">
        <v>3929</v>
      </c>
      <c r="D1497" s="154" t="s">
        <v>1211</v>
      </c>
      <c r="E1497" s="250"/>
      <c r="F1497" s="154" t="str">
        <f t="array" ref="F1497">XLOOKUP(Cover!$D$12,$S$1:$AA$1,$S1497:$AA1497)</f>
        <v>Mandatory</v>
      </c>
      <c r="G1497" s="154" t="s">
        <v>3930</v>
      </c>
      <c r="H1497" s="154" t="s">
        <v>347</v>
      </c>
      <c r="I1497" s="154" t="s">
        <v>420</v>
      </c>
      <c r="J1497" s="154" t="s">
        <v>445</v>
      </c>
      <c r="K1497" s="154"/>
      <c r="L1497" s="154" t="str">
        <f t="shared" si="1"/>
        <v/>
      </c>
      <c r="M1497" s="248" t="str">
        <f>IFERROR(__xludf.DUMMYFUNCTION("VLOOKUP(C1497,IMPORTRANGE(""https://docs.google.com/spreadsheets/d/1P8eX0NWBhUPS_hvzA11R6jkTNFrPrRYIx_dX_hYbxrk/edit?resourcekey=0-iw9bsKY2OqkUHCFMkCar3A&amp;gid=2055363397#gid=2055363397"",""MTR!C:O""),11,false)"),"PMW-IMS")</f>
        <v>PMW-IMS</v>
      </c>
      <c r="N1497" s="248" t="str">
        <f>IFERROR(__xludf.DUMMYFUNCTION("VLOOKUP(C1497,IMPORTRANGE(""https://docs.google.com/spreadsheets/d/1ihFlp3_ePlYtFuPbUNbYj1muErVpI73WHXbEwJDIA7Q/edit#gid=1493122344"",""MTR!C:O""),8,false)"),"Complies")</f>
        <v>Complies</v>
      </c>
      <c r="O1497" s="241" t="str">
        <f>IFERROR(__xludf.DUMMYFUNCTION("VLOOKUP(C1497,IMPORTRANGE(""https://docs.google.com/spreadsheets/d/1P8eX0NWBhUPS_hvzA11R6jkTNFrPrRYIx_dX_hYbxrk/edit?resourcekey=0-iw9bsKY2OqkUHCFMkCar3A&amp;gid=2055363397#gid=2055363397"",""MTR!C:O""),9,false)"),"")</f>
        <v/>
      </c>
      <c r="P1497" s="241"/>
      <c r="Q1497" s="251" t="s">
        <v>445</v>
      </c>
      <c r="R1497" s="241"/>
      <c r="S1497" s="154" t="s">
        <v>60</v>
      </c>
      <c r="T1497" s="154" t="s">
        <v>60</v>
      </c>
      <c r="U1497" s="154" t="s">
        <v>60</v>
      </c>
      <c r="V1497" s="154" t="s">
        <v>60</v>
      </c>
      <c r="W1497" s="154" t="s">
        <v>60</v>
      </c>
      <c r="X1497" s="154" t="s">
        <v>60</v>
      </c>
      <c r="Y1497" s="154" t="s">
        <v>60</v>
      </c>
      <c r="Z1497" s="154" t="s">
        <v>60</v>
      </c>
      <c r="AA1497" s="154" t="s">
        <v>60</v>
      </c>
      <c r="AB1497" s="154"/>
      <c r="AC1497" s="242" t="b">
        <f t="shared" si="2"/>
        <v>1</v>
      </c>
      <c r="AD1497" s="154" t="s">
        <v>391</v>
      </c>
      <c r="AE1497" s="243" t="b">
        <f t="shared" si="3"/>
        <v>0</v>
      </c>
      <c r="AF1497" s="154"/>
      <c r="AG1497" s="243" t="b">
        <f t="shared" si="7"/>
        <v>0</v>
      </c>
      <c r="AH1497" s="154"/>
      <c r="AI1497" s="243" t="str">
        <f t="shared" si="5"/>
        <v>N/A</v>
      </c>
      <c r="AJ1497" s="157" t="str">
        <f t="shared" si="6"/>
        <v/>
      </c>
    </row>
    <row r="1498" ht="12.75" customHeight="1">
      <c r="A1498" s="244" t="s">
        <v>3601</v>
      </c>
      <c r="B1498" s="244" t="s">
        <v>3604</v>
      </c>
      <c r="C1498" s="244" t="s">
        <v>3931</v>
      </c>
      <c r="D1498" s="154" t="s">
        <v>739</v>
      </c>
      <c r="E1498" s="250"/>
      <c r="F1498" s="154" t="str">
        <f t="array" ref="F1498">XLOOKUP(Cover!$D$12,$S$1:$AA$1,$S1498:$AA1498)</f>
        <v>Mandatory</v>
      </c>
      <c r="G1498" s="154" t="s">
        <v>3932</v>
      </c>
      <c r="H1498" s="154" t="s">
        <v>347</v>
      </c>
      <c r="I1498" s="154" t="s">
        <v>420</v>
      </c>
      <c r="J1498" s="247" t="s">
        <v>445</v>
      </c>
      <c r="K1498" s="154"/>
      <c r="L1498" s="154" t="str">
        <f t="shared" si="1"/>
        <v/>
      </c>
      <c r="M1498" s="248" t="str">
        <f>IFERROR(__xludf.DUMMYFUNCTION("VLOOKUP(C1498,IMPORTRANGE(""https://docs.google.com/spreadsheets/d/1P8eX0NWBhUPS_hvzA11R6jkTNFrPrRYIx_dX_hYbxrk/edit?resourcekey=0-iw9bsKY2OqkUHCFMkCar3A&amp;gid=2055363397#gid=2055363397"",""MTR!C:O""),11,false)"),"PMW-IMS")</f>
        <v>PMW-IMS</v>
      </c>
      <c r="N1498" s="248" t="str">
        <f>IFERROR(__xludf.DUMMYFUNCTION("VLOOKUP(C1498,IMPORTRANGE(""https://docs.google.com/spreadsheets/d/1ihFlp3_ePlYtFuPbUNbYj1muErVpI73WHXbEwJDIA7Q/edit#gid=1493122344"",""MTR!C:O""),8,false)"),"Complies")</f>
        <v>Complies</v>
      </c>
      <c r="O1498" s="241" t="str">
        <f>IFERROR(__xludf.DUMMYFUNCTION("VLOOKUP(C1498,IMPORTRANGE(""https://docs.google.com/spreadsheets/d/1P8eX0NWBhUPS_hvzA11R6jkTNFrPrRYIx_dX_hYbxrk/edit?resourcekey=0-iw9bsKY2OqkUHCFMkCar3A&amp;gid=2055363397#gid=2055363397"",""MTR!C:O""),9,false)"),"")</f>
        <v/>
      </c>
      <c r="P1498" s="241"/>
      <c r="Q1498" s="251" t="s">
        <v>445</v>
      </c>
      <c r="R1498" s="241"/>
      <c r="S1498" s="154" t="s">
        <v>60</v>
      </c>
      <c r="T1498" s="154" t="s">
        <v>60</v>
      </c>
      <c r="U1498" s="154" t="s">
        <v>60</v>
      </c>
      <c r="V1498" s="154" t="s">
        <v>60</v>
      </c>
      <c r="W1498" s="154" t="s">
        <v>60</v>
      </c>
      <c r="X1498" s="154" t="s">
        <v>60</v>
      </c>
      <c r="Y1498" s="154" t="s">
        <v>60</v>
      </c>
      <c r="Z1498" s="154" t="s">
        <v>60</v>
      </c>
      <c r="AA1498" s="154" t="s">
        <v>60</v>
      </c>
      <c r="AB1498" s="154"/>
      <c r="AC1498" s="242" t="b">
        <f t="shared" si="2"/>
        <v>1</v>
      </c>
      <c r="AD1498" s="154" t="s">
        <v>391</v>
      </c>
      <c r="AE1498" s="243" t="b">
        <f t="shared" si="3"/>
        <v>0</v>
      </c>
      <c r="AF1498" s="154"/>
      <c r="AG1498" s="243" t="b">
        <f t="shared" si="7"/>
        <v>0</v>
      </c>
      <c r="AH1498" s="154"/>
      <c r="AI1498" s="243" t="str">
        <f t="shared" si="5"/>
        <v>N/A</v>
      </c>
      <c r="AJ1498" s="157" t="str">
        <f t="shared" si="6"/>
        <v/>
      </c>
    </row>
    <row r="1499" ht="12.75" customHeight="1">
      <c r="A1499" s="238" t="s">
        <v>3601</v>
      </c>
      <c r="B1499" s="238" t="s">
        <v>3604</v>
      </c>
      <c r="C1499" s="238" t="s">
        <v>3933</v>
      </c>
      <c r="D1499" s="238"/>
      <c r="E1499" s="238"/>
      <c r="F1499" s="154" t="str">
        <f t="array" ref="F1499">XLOOKUP(Cover!$D$12,$S$1:$AA$1,$S1499:$AA1499)</f>
        <v>Heading</v>
      </c>
      <c r="G1499" s="239" t="s">
        <v>3934</v>
      </c>
      <c r="H1499" s="240"/>
      <c r="I1499" s="240" t="s">
        <v>420</v>
      </c>
      <c r="J1499" s="240"/>
      <c r="K1499" s="240"/>
      <c r="L1499" s="154" t="str">
        <f t="shared" si="1"/>
        <v/>
      </c>
      <c r="M1499" s="241" t="str">
        <f>IFERROR(__xludf.DUMMYFUNCTION("VLOOKUP(C1499,IMPORTRANGE(""https://docs.google.com/spreadsheets/d/1P8eX0NWBhUPS_hvzA11R6jkTNFrPrRYIx_dX_hYbxrk/edit?resourcekey=0-iw9bsKY2OqkUHCFMkCar3A&amp;gid=2055363397#gid=2055363397"",""MTR!C:O""),11,false)"),"")</f>
        <v/>
      </c>
      <c r="N1499" s="241" t="str">
        <f>IFERROR(__xludf.DUMMYFUNCTION("VLOOKUP(C1499,IMPORTRANGE(""https://docs.google.com/spreadsheets/d/1ihFlp3_ePlYtFuPbUNbYj1muErVpI73WHXbEwJDIA7Q/edit#gid=1493122344"",""MTR!C:O""),8,false)"),"")</f>
        <v/>
      </c>
      <c r="O1499" s="241" t="str">
        <f>IFERROR(__xludf.DUMMYFUNCTION("VLOOKUP(C1499,IMPORTRANGE(""https://docs.google.com/spreadsheets/d/1P8eX0NWBhUPS_hvzA11R6jkTNFrPrRYIx_dX_hYbxrk/edit?resourcekey=0-iw9bsKY2OqkUHCFMkCar3A&amp;gid=2055363397#gid=2055363397"",""MTR!C:O""),9,false)"),"")</f>
        <v/>
      </c>
      <c r="P1499" s="241"/>
      <c r="Q1499" s="251"/>
      <c r="R1499" s="241"/>
      <c r="S1499" s="240" t="s">
        <v>390</v>
      </c>
      <c r="T1499" s="240" t="s">
        <v>390</v>
      </c>
      <c r="U1499" s="240" t="s">
        <v>390</v>
      </c>
      <c r="V1499" s="240" t="s">
        <v>390</v>
      </c>
      <c r="W1499" s="240" t="s">
        <v>390</v>
      </c>
      <c r="X1499" s="240" t="s">
        <v>390</v>
      </c>
      <c r="Y1499" s="240" t="s">
        <v>390</v>
      </c>
      <c r="Z1499" s="240" t="s">
        <v>390</v>
      </c>
      <c r="AA1499" s="240" t="s">
        <v>390</v>
      </c>
      <c r="AB1499" s="240"/>
      <c r="AC1499" s="242" t="b">
        <f t="shared" si="2"/>
        <v>0</v>
      </c>
      <c r="AD1499" s="240" t="s">
        <v>391</v>
      </c>
      <c r="AE1499" s="243" t="b">
        <f t="shared" si="3"/>
        <v>0</v>
      </c>
      <c r="AF1499" s="240"/>
      <c r="AG1499" s="243" t="b">
        <f t="shared" si="7"/>
        <v>0</v>
      </c>
      <c r="AH1499" s="240"/>
      <c r="AI1499" s="243" t="str">
        <f t="shared" si="5"/>
        <v>N/A</v>
      </c>
      <c r="AJ1499" s="157" t="str">
        <f t="shared" si="6"/>
        <v/>
      </c>
    </row>
    <row r="1500" ht="12.75" customHeight="1">
      <c r="A1500" s="244" t="s">
        <v>3601</v>
      </c>
      <c r="B1500" s="244" t="s">
        <v>3604</v>
      </c>
      <c r="C1500" s="244" t="s">
        <v>3935</v>
      </c>
      <c r="D1500" s="154" t="s">
        <v>2434</v>
      </c>
      <c r="E1500" s="250"/>
      <c r="F1500" s="154" t="str">
        <f t="array" ref="F1500">XLOOKUP(Cover!$D$12,$S$1:$AA$1,$S1500:$AA1500)</f>
        <v>Mandatory</v>
      </c>
      <c r="G1500" s="154" t="s">
        <v>3936</v>
      </c>
      <c r="H1500" s="154" t="s">
        <v>398</v>
      </c>
      <c r="I1500" s="154" t="s">
        <v>420</v>
      </c>
      <c r="J1500" s="154" t="s">
        <v>445</v>
      </c>
      <c r="K1500" s="154"/>
      <c r="L1500" s="154" t="str">
        <f t="shared" si="1"/>
        <v/>
      </c>
      <c r="M1500" s="248" t="str">
        <f>IFERROR(__xludf.DUMMYFUNCTION("VLOOKUP(C1500,IMPORTRANGE(""https://docs.google.com/spreadsheets/d/1P8eX0NWBhUPS_hvzA11R6jkTNFrPrRYIx_dX_hYbxrk/edit?resourcekey=0-iw9bsKY2OqkUHCFMkCar3A&amp;gid=2055363397#gid=2055363397"",""MTR!C:O""),11,false)"),"PMW-IMS")</f>
        <v>PMW-IMS</v>
      </c>
      <c r="N1500" s="248" t="str">
        <f>IFERROR(__xludf.DUMMYFUNCTION("VLOOKUP(C1500,IMPORTRANGE(""https://docs.google.com/spreadsheets/d/1ihFlp3_ePlYtFuPbUNbYj1muErVpI73WHXbEwJDIA7Q/edit#gid=1493122344"",""MTR!C:O""),8,false)"),"Complies")</f>
        <v>Complies</v>
      </c>
      <c r="O1500" s="241" t="str">
        <f>IFERROR(__xludf.DUMMYFUNCTION("VLOOKUP(C1500,IMPORTRANGE(""https://docs.google.com/spreadsheets/d/1P8eX0NWBhUPS_hvzA11R6jkTNFrPrRYIx_dX_hYbxrk/edit?resourcekey=0-iw9bsKY2OqkUHCFMkCar3A&amp;gid=2055363397#gid=2055363397"",""MTR!C:O""),9,false)"),"")</f>
        <v/>
      </c>
      <c r="P1500" s="241"/>
      <c r="Q1500" s="251" t="s">
        <v>445</v>
      </c>
      <c r="R1500" s="241"/>
      <c r="S1500" s="154" t="s">
        <v>60</v>
      </c>
      <c r="T1500" s="154" t="s">
        <v>60</v>
      </c>
      <c r="U1500" s="154" t="s">
        <v>60</v>
      </c>
      <c r="V1500" s="154" t="s">
        <v>60</v>
      </c>
      <c r="W1500" s="154" t="s">
        <v>60</v>
      </c>
      <c r="X1500" s="154" t="s">
        <v>60</v>
      </c>
      <c r="Y1500" s="154" t="s">
        <v>60</v>
      </c>
      <c r="Z1500" s="154" t="s">
        <v>60</v>
      </c>
      <c r="AA1500" s="154" t="s">
        <v>60</v>
      </c>
      <c r="AB1500" s="154"/>
      <c r="AC1500" s="242" t="b">
        <f t="shared" si="2"/>
        <v>1</v>
      </c>
      <c r="AD1500" s="154" t="s">
        <v>391</v>
      </c>
      <c r="AE1500" s="243" t="b">
        <f t="shared" si="3"/>
        <v>0</v>
      </c>
      <c r="AF1500" s="154"/>
      <c r="AG1500" s="243" t="b">
        <f t="shared" si="7"/>
        <v>0</v>
      </c>
      <c r="AH1500" s="154"/>
      <c r="AI1500" s="243" t="str">
        <f t="shared" si="5"/>
        <v>N/A</v>
      </c>
      <c r="AJ1500" s="157" t="str">
        <f t="shared" si="6"/>
        <v/>
      </c>
    </row>
    <row r="1501" ht="12.75" customHeight="1">
      <c r="A1501" s="244" t="s">
        <v>3601</v>
      </c>
      <c r="B1501" s="244" t="s">
        <v>3604</v>
      </c>
      <c r="C1501" s="244" t="s">
        <v>3937</v>
      </c>
      <c r="D1501" s="154" t="s">
        <v>2434</v>
      </c>
      <c r="E1501" s="250"/>
      <c r="F1501" s="154" t="str">
        <f t="array" ref="F1501">XLOOKUP(Cover!$D$12,$S$1:$AA$1,$S1501:$AA1501)</f>
        <v>Mandatory</v>
      </c>
      <c r="G1501" s="154" t="s">
        <v>3938</v>
      </c>
      <c r="H1501" s="154" t="s">
        <v>398</v>
      </c>
      <c r="I1501" s="154" t="s">
        <v>420</v>
      </c>
      <c r="J1501" s="247" t="s">
        <v>445</v>
      </c>
      <c r="K1501" s="154"/>
      <c r="L1501" s="154" t="str">
        <f t="shared" si="1"/>
        <v/>
      </c>
      <c r="M1501" s="248" t="str">
        <f>IFERROR(__xludf.DUMMYFUNCTION("VLOOKUP(C1501,IMPORTRANGE(""https://docs.google.com/spreadsheets/d/1P8eX0NWBhUPS_hvzA11R6jkTNFrPrRYIx_dX_hYbxrk/edit?resourcekey=0-iw9bsKY2OqkUHCFMkCar3A&amp;gid=2055363397#gid=2055363397"",""MTR!C:O""),11,false)"),"PMW-IMS")</f>
        <v>PMW-IMS</v>
      </c>
      <c r="N1501" s="248" t="str">
        <f>IFERROR(__xludf.DUMMYFUNCTION("VLOOKUP(C1501,IMPORTRANGE(""https://docs.google.com/spreadsheets/d/1ihFlp3_ePlYtFuPbUNbYj1muErVpI73WHXbEwJDIA7Q/edit#gid=1493122344"",""MTR!C:O""),8,false)"),"Complies")</f>
        <v>Complies</v>
      </c>
      <c r="O1501" s="241" t="str">
        <f>IFERROR(__xludf.DUMMYFUNCTION("VLOOKUP(C1501,IMPORTRANGE(""https://docs.google.com/spreadsheets/d/1P8eX0NWBhUPS_hvzA11R6jkTNFrPrRYIx_dX_hYbxrk/edit?resourcekey=0-iw9bsKY2OqkUHCFMkCar3A&amp;gid=2055363397#gid=2055363397"",""MTR!C:O""),9,false)"),"")</f>
        <v/>
      </c>
      <c r="P1501" s="241"/>
      <c r="Q1501" s="251" t="s">
        <v>445</v>
      </c>
      <c r="R1501" s="241"/>
      <c r="S1501" s="154" t="s">
        <v>60</v>
      </c>
      <c r="T1501" s="154" t="s">
        <v>60</v>
      </c>
      <c r="U1501" s="154" t="s">
        <v>60</v>
      </c>
      <c r="V1501" s="154" t="s">
        <v>60</v>
      </c>
      <c r="W1501" s="154" t="s">
        <v>60</v>
      </c>
      <c r="X1501" s="154" t="s">
        <v>60</v>
      </c>
      <c r="Y1501" s="154" t="s">
        <v>60</v>
      </c>
      <c r="Z1501" s="154" t="s">
        <v>60</v>
      </c>
      <c r="AA1501" s="154" t="s">
        <v>60</v>
      </c>
      <c r="AB1501" s="154"/>
      <c r="AC1501" s="242" t="b">
        <f t="shared" si="2"/>
        <v>1</v>
      </c>
      <c r="AD1501" s="154" t="s">
        <v>391</v>
      </c>
      <c r="AE1501" s="243" t="b">
        <f t="shared" si="3"/>
        <v>0</v>
      </c>
      <c r="AF1501" s="154"/>
      <c r="AG1501" s="243" t="b">
        <f t="shared" si="7"/>
        <v>0</v>
      </c>
      <c r="AH1501" s="154"/>
      <c r="AI1501" s="243" t="str">
        <f t="shared" si="5"/>
        <v>N/A</v>
      </c>
      <c r="AJ1501" s="157" t="str">
        <f t="shared" si="6"/>
        <v/>
      </c>
    </row>
    <row r="1502" ht="12.75" customHeight="1">
      <c r="A1502" s="244" t="s">
        <v>3601</v>
      </c>
      <c r="B1502" s="244" t="s">
        <v>3604</v>
      </c>
      <c r="C1502" s="244" t="s">
        <v>3939</v>
      </c>
      <c r="D1502" s="154" t="s">
        <v>396</v>
      </c>
      <c r="E1502" s="250"/>
      <c r="F1502" s="154" t="str">
        <f t="array" ref="F1502">XLOOKUP(Cover!$D$12,$S$1:$AA$1,$S1502:$AA1502)</f>
        <v>Mandatory</v>
      </c>
      <c r="G1502" s="154" t="s">
        <v>3940</v>
      </c>
      <c r="H1502" s="154" t="s">
        <v>398</v>
      </c>
      <c r="I1502" s="154" t="s">
        <v>420</v>
      </c>
      <c r="J1502" s="247" t="s">
        <v>445</v>
      </c>
      <c r="K1502" s="154"/>
      <c r="L1502" s="154" t="str">
        <f t="shared" si="1"/>
        <v/>
      </c>
      <c r="M1502" s="248" t="str">
        <f>IFERROR(__xludf.DUMMYFUNCTION("VLOOKUP(C1502,IMPORTRANGE(""https://docs.google.com/spreadsheets/d/1P8eX0NWBhUPS_hvzA11R6jkTNFrPrRYIx_dX_hYbxrk/edit?resourcekey=0-iw9bsKY2OqkUHCFMkCar3A&amp;gid=2055363397#gid=2055363397"",""MTR!C:O""),11,false)"),"PMW-IMS")</f>
        <v>PMW-IMS</v>
      </c>
      <c r="N1502" s="248" t="str">
        <f>IFERROR(__xludf.DUMMYFUNCTION("VLOOKUP(C1502,IMPORTRANGE(""https://docs.google.com/spreadsheets/d/1ihFlp3_ePlYtFuPbUNbYj1muErVpI73WHXbEwJDIA7Q/edit#gid=1493122344"",""MTR!C:O""),8,false)"),"Complies")</f>
        <v>Complies</v>
      </c>
      <c r="O1502" s="241" t="str">
        <f>IFERROR(__xludf.DUMMYFUNCTION("VLOOKUP(C1502,IMPORTRANGE(""https://docs.google.com/spreadsheets/d/1P8eX0NWBhUPS_hvzA11R6jkTNFrPrRYIx_dX_hYbxrk/edit?resourcekey=0-iw9bsKY2OqkUHCFMkCar3A&amp;gid=2055363397#gid=2055363397"",""MTR!C:O""),9,false)"),"")</f>
        <v/>
      </c>
      <c r="P1502" s="241"/>
      <c r="Q1502" s="251" t="s">
        <v>445</v>
      </c>
      <c r="R1502" s="241"/>
      <c r="S1502" s="154" t="s">
        <v>60</v>
      </c>
      <c r="T1502" s="154" t="s">
        <v>60</v>
      </c>
      <c r="U1502" s="154" t="s">
        <v>60</v>
      </c>
      <c r="V1502" s="154" t="s">
        <v>60</v>
      </c>
      <c r="W1502" s="154" t="s">
        <v>60</v>
      </c>
      <c r="X1502" s="154" t="s">
        <v>60</v>
      </c>
      <c r="Y1502" s="154" t="s">
        <v>60</v>
      </c>
      <c r="Z1502" s="154" t="s">
        <v>60</v>
      </c>
      <c r="AA1502" s="154" t="s">
        <v>60</v>
      </c>
      <c r="AB1502" s="154"/>
      <c r="AC1502" s="242" t="b">
        <f t="shared" si="2"/>
        <v>1</v>
      </c>
      <c r="AD1502" s="154" t="s">
        <v>391</v>
      </c>
      <c r="AE1502" s="243" t="b">
        <f t="shared" si="3"/>
        <v>0</v>
      </c>
      <c r="AF1502" s="154"/>
      <c r="AG1502" s="243" t="b">
        <f t="shared" si="7"/>
        <v>0</v>
      </c>
      <c r="AH1502" s="154"/>
      <c r="AI1502" s="243" t="str">
        <f t="shared" si="5"/>
        <v>N/A</v>
      </c>
      <c r="AJ1502" s="157" t="str">
        <f t="shared" si="6"/>
        <v/>
      </c>
    </row>
    <row r="1503" ht="12.75" customHeight="1">
      <c r="A1503" s="244" t="s">
        <v>3601</v>
      </c>
      <c r="B1503" s="244" t="s">
        <v>3604</v>
      </c>
      <c r="C1503" s="244" t="s">
        <v>3941</v>
      </c>
      <c r="D1503" s="154" t="s">
        <v>396</v>
      </c>
      <c r="E1503" s="250"/>
      <c r="F1503" s="154" t="str">
        <f t="array" ref="F1503">XLOOKUP(Cover!$D$12,$S$1:$AA$1,$S1503:$AA1503)</f>
        <v>Mandatory</v>
      </c>
      <c r="G1503" s="154" t="s">
        <v>3942</v>
      </c>
      <c r="H1503" s="154" t="s">
        <v>398</v>
      </c>
      <c r="I1503" s="154" t="s">
        <v>420</v>
      </c>
      <c r="J1503" s="247" t="s">
        <v>445</v>
      </c>
      <c r="K1503" s="154"/>
      <c r="L1503" s="154" t="str">
        <f t="shared" si="1"/>
        <v/>
      </c>
      <c r="M1503" s="248" t="str">
        <f>IFERROR(__xludf.DUMMYFUNCTION("VLOOKUP(C1503,IMPORTRANGE(""https://docs.google.com/spreadsheets/d/1P8eX0NWBhUPS_hvzA11R6jkTNFrPrRYIx_dX_hYbxrk/edit?resourcekey=0-iw9bsKY2OqkUHCFMkCar3A&amp;gid=2055363397#gid=2055363397"",""MTR!C:O""),11,false)"),"PMW-IMS")</f>
        <v>PMW-IMS</v>
      </c>
      <c r="N1503" s="248" t="str">
        <f>IFERROR(__xludf.DUMMYFUNCTION("VLOOKUP(C1503,IMPORTRANGE(""https://docs.google.com/spreadsheets/d/1ihFlp3_ePlYtFuPbUNbYj1muErVpI73WHXbEwJDIA7Q/edit#gid=1493122344"",""MTR!C:O""),8,false)"),"Complies")</f>
        <v>Complies</v>
      </c>
      <c r="O1503" s="241" t="str">
        <f>IFERROR(__xludf.DUMMYFUNCTION("VLOOKUP(C1503,IMPORTRANGE(""https://docs.google.com/spreadsheets/d/1P8eX0NWBhUPS_hvzA11R6jkTNFrPrRYIx_dX_hYbxrk/edit?resourcekey=0-iw9bsKY2OqkUHCFMkCar3A&amp;gid=2055363397#gid=2055363397"",""MTR!C:O""),9,false)"),"")</f>
        <v/>
      </c>
      <c r="P1503" s="241"/>
      <c r="Q1503" s="251" t="s">
        <v>445</v>
      </c>
      <c r="R1503" s="241"/>
      <c r="S1503" s="154" t="s">
        <v>60</v>
      </c>
      <c r="T1503" s="154" t="s">
        <v>60</v>
      </c>
      <c r="U1503" s="154" t="s">
        <v>60</v>
      </c>
      <c r="V1503" s="154" t="s">
        <v>60</v>
      </c>
      <c r="W1503" s="154" t="s">
        <v>60</v>
      </c>
      <c r="X1503" s="154" t="s">
        <v>60</v>
      </c>
      <c r="Y1503" s="154" t="s">
        <v>60</v>
      </c>
      <c r="Z1503" s="154" t="s">
        <v>60</v>
      </c>
      <c r="AA1503" s="154" t="s">
        <v>60</v>
      </c>
      <c r="AB1503" s="154"/>
      <c r="AC1503" s="242" t="b">
        <f t="shared" si="2"/>
        <v>1</v>
      </c>
      <c r="AD1503" s="154" t="s">
        <v>391</v>
      </c>
      <c r="AE1503" s="243" t="b">
        <f t="shared" si="3"/>
        <v>0</v>
      </c>
      <c r="AF1503" s="154"/>
      <c r="AG1503" s="243" t="b">
        <f t="shared" si="7"/>
        <v>0</v>
      </c>
      <c r="AH1503" s="154"/>
      <c r="AI1503" s="243" t="str">
        <f t="shared" si="5"/>
        <v>N/A</v>
      </c>
      <c r="AJ1503" s="157" t="str">
        <f t="shared" si="6"/>
        <v/>
      </c>
    </row>
    <row r="1504" ht="12.75" customHeight="1">
      <c r="A1504" s="244" t="s">
        <v>3601</v>
      </c>
      <c r="B1504" s="244" t="s">
        <v>3604</v>
      </c>
      <c r="C1504" s="244" t="s">
        <v>3943</v>
      </c>
      <c r="D1504" s="154" t="s">
        <v>739</v>
      </c>
      <c r="E1504" s="250"/>
      <c r="F1504" s="154" t="str">
        <f t="array" ref="F1504">XLOOKUP(Cover!$D$12,$S$1:$AA$1,$S1504:$AA1504)</f>
        <v>Mandatory</v>
      </c>
      <c r="G1504" s="154" t="s">
        <v>3944</v>
      </c>
      <c r="H1504" s="154" t="s">
        <v>347</v>
      </c>
      <c r="I1504" s="154" t="s">
        <v>420</v>
      </c>
      <c r="J1504" s="247" t="s">
        <v>445</v>
      </c>
      <c r="K1504" s="154"/>
      <c r="L1504" s="154" t="str">
        <f t="shared" si="1"/>
        <v/>
      </c>
      <c r="M1504" s="248" t="str">
        <f>IFERROR(__xludf.DUMMYFUNCTION("VLOOKUP(C1504,IMPORTRANGE(""https://docs.google.com/spreadsheets/d/1P8eX0NWBhUPS_hvzA11R6jkTNFrPrRYIx_dX_hYbxrk/edit?resourcekey=0-iw9bsKY2OqkUHCFMkCar3A&amp;gid=2055363397#gid=2055363397"",""MTR!C:O""),11,false)"),"PMW-IMS")</f>
        <v>PMW-IMS</v>
      </c>
      <c r="N1504" s="248" t="str">
        <f>IFERROR(__xludf.DUMMYFUNCTION("VLOOKUP(C1504,IMPORTRANGE(""https://docs.google.com/spreadsheets/d/1ihFlp3_ePlYtFuPbUNbYj1muErVpI73WHXbEwJDIA7Q/edit#gid=1493122344"",""MTR!C:O""),8,false)"),"Complies")</f>
        <v>Complies</v>
      </c>
      <c r="O1504" s="241" t="str">
        <f>IFERROR(__xludf.DUMMYFUNCTION("VLOOKUP(C1504,IMPORTRANGE(""https://docs.google.com/spreadsheets/d/1P8eX0NWBhUPS_hvzA11R6jkTNFrPrRYIx_dX_hYbxrk/edit?resourcekey=0-iw9bsKY2OqkUHCFMkCar3A&amp;gid=2055363397#gid=2055363397"",""MTR!C:O""),9,false)"),"")</f>
        <v/>
      </c>
      <c r="P1504" s="241"/>
      <c r="Q1504" s="251" t="s">
        <v>445</v>
      </c>
      <c r="R1504" s="241"/>
      <c r="S1504" s="154" t="s">
        <v>60</v>
      </c>
      <c r="T1504" s="154" t="s">
        <v>60</v>
      </c>
      <c r="U1504" s="154" t="s">
        <v>60</v>
      </c>
      <c r="V1504" s="154" t="s">
        <v>60</v>
      </c>
      <c r="W1504" s="154" t="s">
        <v>60</v>
      </c>
      <c r="X1504" s="154" t="s">
        <v>60</v>
      </c>
      <c r="Y1504" s="154" t="s">
        <v>60</v>
      </c>
      <c r="Z1504" s="154" t="s">
        <v>60</v>
      </c>
      <c r="AA1504" s="154" t="s">
        <v>60</v>
      </c>
      <c r="AB1504" s="154"/>
      <c r="AC1504" s="242" t="b">
        <f t="shared" si="2"/>
        <v>1</v>
      </c>
      <c r="AD1504" s="154" t="s">
        <v>391</v>
      </c>
      <c r="AE1504" s="243" t="b">
        <f t="shared" si="3"/>
        <v>0</v>
      </c>
      <c r="AF1504" s="154"/>
      <c r="AG1504" s="243" t="b">
        <f t="shared" si="7"/>
        <v>0</v>
      </c>
      <c r="AH1504" s="154"/>
      <c r="AI1504" s="243" t="str">
        <f t="shared" si="5"/>
        <v>N/A</v>
      </c>
      <c r="AJ1504" s="157" t="str">
        <f t="shared" si="6"/>
        <v/>
      </c>
    </row>
    <row r="1505" ht="12.75" customHeight="1">
      <c r="A1505" s="244" t="s">
        <v>3601</v>
      </c>
      <c r="B1505" s="244" t="s">
        <v>3604</v>
      </c>
      <c r="C1505" s="244" t="s">
        <v>3945</v>
      </c>
      <c r="D1505" s="154" t="s">
        <v>739</v>
      </c>
      <c r="E1505" s="250"/>
      <c r="F1505" s="154" t="str">
        <f t="array" ref="F1505">XLOOKUP(Cover!$D$12,$S$1:$AA$1,$S1505:$AA1505)</f>
        <v>Mandatory</v>
      </c>
      <c r="G1505" s="154" t="s">
        <v>3946</v>
      </c>
      <c r="H1505" s="154" t="s">
        <v>3947</v>
      </c>
      <c r="I1505" s="154" t="s">
        <v>420</v>
      </c>
      <c r="J1505" s="247" t="s">
        <v>445</v>
      </c>
      <c r="K1505" s="154"/>
      <c r="L1505" s="154" t="str">
        <f t="shared" si="1"/>
        <v/>
      </c>
      <c r="M1505" s="248" t="str">
        <f>IFERROR(__xludf.DUMMYFUNCTION("VLOOKUP(C1505,IMPORTRANGE(""https://docs.google.com/spreadsheets/d/1P8eX0NWBhUPS_hvzA11R6jkTNFrPrRYIx_dX_hYbxrk/edit?resourcekey=0-iw9bsKY2OqkUHCFMkCar3A&amp;gid=2055363397#gid=2055363397"",""MTR!C:O""),11,false)"),"PMW-IMS")</f>
        <v>PMW-IMS</v>
      </c>
      <c r="N1505" s="248" t="str">
        <f>IFERROR(__xludf.DUMMYFUNCTION("VLOOKUP(C1505,IMPORTRANGE(""https://docs.google.com/spreadsheets/d/1ihFlp3_ePlYtFuPbUNbYj1muErVpI73WHXbEwJDIA7Q/edit#gid=1493122344"",""MTR!C:O""),8,false)"),"Complies")</f>
        <v>Complies</v>
      </c>
      <c r="O1505" s="241" t="str">
        <f>IFERROR(__xludf.DUMMYFUNCTION("VLOOKUP(C1505,IMPORTRANGE(""https://docs.google.com/spreadsheets/d/1P8eX0NWBhUPS_hvzA11R6jkTNFrPrRYIx_dX_hYbxrk/edit?resourcekey=0-iw9bsKY2OqkUHCFMkCar3A&amp;gid=2055363397#gid=2055363397"",""MTR!C:O""),9,false)"),"")</f>
        <v/>
      </c>
      <c r="P1505" s="241"/>
      <c r="Q1505" s="251" t="s">
        <v>445</v>
      </c>
      <c r="R1505" s="241"/>
      <c r="S1505" s="154" t="s">
        <v>60</v>
      </c>
      <c r="T1505" s="154" t="s">
        <v>60</v>
      </c>
      <c r="U1505" s="154" t="s">
        <v>60</v>
      </c>
      <c r="V1505" s="154" t="s">
        <v>60</v>
      </c>
      <c r="W1505" s="154" t="s">
        <v>60</v>
      </c>
      <c r="X1505" s="154" t="s">
        <v>60</v>
      </c>
      <c r="Y1505" s="154" t="s">
        <v>60</v>
      </c>
      <c r="Z1505" s="154" t="s">
        <v>60</v>
      </c>
      <c r="AA1505" s="154" t="s">
        <v>60</v>
      </c>
      <c r="AB1505" s="154"/>
      <c r="AC1505" s="242" t="b">
        <f t="shared" si="2"/>
        <v>1</v>
      </c>
      <c r="AD1505" s="154" t="s">
        <v>391</v>
      </c>
      <c r="AE1505" s="243" t="b">
        <f t="shared" si="3"/>
        <v>0</v>
      </c>
      <c r="AF1505" s="154"/>
      <c r="AG1505" s="243" t="b">
        <f t="shared" si="7"/>
        <v>0</v>
      </c>
      <c r="AH1505" s="154"/>
      <c r="AI1505" s="243" t="str">
        <f t="shared" si="5"/>
        <v>N/A</v>
      </c>
      <c r="AJ1505" s="157" t="str">
        <f t="shared" si="6"/>
        <v/>
      </c>
    </row>
    <row r="1506" ht="12.75" customHeight="1">
      <c r="A1506" s="238" t="s">
        <v>3601</v>
      </c>
      <c r="B1506" s="238" t="s">
        <v>3604</v>
      </c>
      <c r="C1506" s="238" t="s">
        <v>3948</v>
      </c>
      <c r="D1506" s="238"/>
      <c r="E1506" s="238"/>
      <c r="F1506" s="154" t="str">
        <f t="array" ref="F1506">XLOOKUP(Cover!$D$12,$S$1:$AA$1,$S1506:$AA1506)</f>
        <v>Heading</v>
      </c>
      <c r="G1506" s="239" t="s">
        <v>3949</v>
      </c>
      <c r="H1506" s="240"/>
      <c r="I1506" s="240" t="s">
        <v>420</v>
      </c>
      <c r="J1506" s="262"/>
      <c r="K1506" s="240"/>
      <c r="L1506" s="154" t="str">
        <f t="shared" si="1"/>
        <v/>
      </c>
      <c r="M1506" s="241" t="str">
        <f>IFERROR(__xludf.DUMMYFUNCTION("VLOOKUP(C1506,IMPORTRANGE(""https://docs.google.com/spreadsheets/d/1P8eX0NWBhUPS_hvzA11R6jkTNFrPrRYIx_dX_hYbxrk/edit?resourcekey=0-iw9bsKY2OqkUHCFMkCar3A&amp;gid=2055363397#gid=2055363397"",""MTR!C:O""),11,false)"),"")</f>
        <v/>
      </c>
      <c r="N1506" s="241" t="str">
        <f>IFERROR(__xludf.DUMMYFUNCTION("VLOOKUP(C1506,IMPORTRANGE(""https://docs.google.com/spreadsheets/d/1ihFlp3_ePlYtFuPbUNbYj1muErVpI73WHXbEwJDIA7Q/edit#gid=1493122344"",""MTR!C:O""),8,false)"),"")</f>
        <v/>
      </c>
      <c r="O1506" s="241" t="str">
        <f>IFERROR(__xludf.DUMMYFUNCTION("VLOOKUP(C1506,IMPORTRANGE(""https://docs.google.com/spreadsheets/d/1P8eX0NWBhUPS_hvzA11R6jkTNFrPrRYIx_dX_hYbxrk/edit?resourcekey=0-iw9bsKY2OqkUHCFMkCar3A&amp;gid=2055363397#gid=2055363397"",""MTR!C:O""),9,false)"),"")</f>
        <v/>
      </c>
      <c r="P1506" s="241"/>
      <c r="Q1506" s="251"/>
      <c r="R1506" s="241"/>
      <c r="S1506" s="240" t="s">
        <v>390</v>
      </c>
      <c r="T1506" s="240" t="s">
        <v>390</v>
      </c>
      <c r="U1506" s="240" t="s">
        <v>390</v>
      </c>
      <c r="V1506" s="240" t="s">
        <v>390</v>
      </c>
      <c r="W1506" s="240" t="s">
        <v>390</v>
      </c>
      <c r="X1506" s="240" t="s">
        <v>390</v>
      </c>
      <c r="Y1506" s="240" t="s">
        <v>390</v>
      </c>
      <c r="Z1506" s="240" t="s">
        <v>390</v>
      </c>
      <c r="AA1506" s="240" t="s">
        <v>390</v>
      </c>
      <c r="AB1506" s="240"/>
      <c r="AC1506" s="242" t="b">
        <f t="shared" si="2"/>
        <v>0</v>
      </c>
      <c r="AD1506" s="240" t="s">
        <v>391</v>
      </c>
      <c r="AE1506" s="243" t="b">
        <f t="shared" si="3"/>
        <v>0</v>
      </c>
      <c r="AF1506" s="240"/>
      <c r="AG1506" s="243" t="b">
        <f t="shared" si="7"/>
        <v>0</v>
      </c>
      <c r="AH1506" s="240"/>
      <c r="AI1506" s="243" t="str">
        <f t="shared" si="5"/>
        <v>N/A</v>
      </c>
      <c r="AJ1506" s="157" t="str">
        <f t="shared" si="6"/>
        <v/>
      </c>
    </row>
    <row r="1507" ht="12.75" customHeight="1">
      <c r="A1507" s="244" t="s">
        <v>3601</v>
      </c>
      <c r="B1507" s="244" t="s">
        <v>3604</v>
      </c>
      <c r="C1507" s="244" t="s">
        <v>3950</v>
      </c>
      <c r="D1507" s="154" t="s">
        <v>630</v>
      </c>
      <c r="E1507" s="250"/>
      <c r="F1507" s="154" t="str">
        <f t="array" ref="F1507">XLOOKUP(Cover!$D$12,$S$1:$AA$1,$S1507:$AA1507)</f>
        <v>Mandatory</v>
      </c>
      <c r="G1507" s="154" t="s">
        <v>3951</v>
      </c>
      <c r="H1507" s="154" t="s">
        <v>398</v>
      </c>
      <c r="I1507" s="154" t="s">
        <v>420</v>
      </c>
      <c r="J1507" s="247" t="s">
        <v>445</v>
      </c>
      <c r="K1507" s="154"/>
      <c r="L1507" s="154" t="str">
        <f t="shared" si="1"/>
        <v/>
      </c>
      <c r="M1507" s="248" t="str">
        <f>IFERROR(__xludf.DUMMYFUNCTION("VLOOKUP(C1507,IMPORTRANGE(""https://docs.google.com/spreadsheets/d/1P8eX0NWBhUPS_hvzA11R6jkTNFrPrRYIx_dX_hYbxrk/edit?resourcekey=0-iw9bsKY2OqkUHCFMkCar3A&amp;gid=2055363397#gid=2055363397"",""MTR!C:O""),11,false)"),"PMW-MCE-AS")</f>
        <v>PMW-MCE-AS</v>
      </c>
      <c r="N1507" s="248" t="str">
        <f>IFERROR(__xludf.DUMMYFUNCTION("VLOOKUP(C1507,IMPORTRANGE(""https://docs.google.com/spreadsheets/d/1ihFlp3_ePlYtFuPbUNbYj1muErVpI73WHXbEwJDIA7Q/edit#gid=1493122344"",""MTR!C:O""),8,false)"),"Complies")</f>
        <v>Complies</v>
      </c>
      <c r="O1507" s="241" t="str">
        <f>IFERROR(__xludf.DUMMYFUNCTION("VLOOKUP(C1507,IMPORTRANGE(""https://docs.google.com/spreadsheets/d/1P8eX0NWBhUPS_hvzA11R6jkTNFrPrRYIx_dX_hYbxrk/edit?resourcekey=0-iw9bsKY2OqkUHCFMkCar3A&amp;gid=2055363397#gid=2055363397"",""MTR!C:O""),9,false)"),"")</f>
        <v/>
      </c>
      <c r="P1507" s="241"/>
      <c r="Q1507" s="251" t="s">
        <v>445</v>
      </c>
      <c r="R1507" s="241"/>
      <c r="S1507" s="154" t="s">
        <v>60</v>
      </c>
      <c r="T1507" s="154" t="s">
        <v>60</v>
      </c>
      <c r="U1507" s="154" t="s">
        <v>60</v>
      </c>
      <c r="V1507" s="154" t="s">
        <v>60</v>
      </c>
      <c r="W1507" s="154" t="s">
        <v>60</v>
      </c>
      <c r="X1507" s="154" t="s">
        <v>60</v>
      </c>
      <c r="Y1507" s="154" t="s">
        <v>60</v>
      </c>
      <c r="Z1507" s="154" t="s">
        <v>60</v>
      </c>
      <c r="AA1507" s="154" t="s">
        <v>60</v>
      </c>
      <c r="AB1507" s="154"/>
      <c r="AC1507" s="242" t="b">
        <f t="shared" si="2"/>
        <v>1</v>
      </c>
      <c r="AD1507" s="154" t="s">
        <v>391</v>
      </c>
      <c r="AE1507" s="243" t="b">
        <f t="shared" si="3"/>
        <v>0</v>
      </c>
      <c r="AF1507" s="154"/>
      <c r="AG1507" s="243" t="b">
        <f t="shared" si="7"/>
        <v>0</v>
      </c>
      <c r="AH1507" s="154"/>
      <c r="AI1507" s="243" t="str">
        <f t="shared" si="5"/>
        <v>N/A</v>
      </c>
      <c r="AJ1507" s="157" t="str">
        <f t="shared" si="6"/>
        <v/>
      </c>
    </row>
    <row r="1508" ht="12.75" customHeight="1">
      <c r="A1508" s="244" t="s">
        <v>3601</v>
      </c>
      <c r="B1508" s="244" t="s">
        <v>3604</v>
      </c>
      <c r="C1508" s="244" t="s">
        <v>3952</v>
      </c>
      <c r="D1508" s="154" t="s">
        <v>1211</v>
      </c>
      <c r="E1508" s="250"/>
      <c r="F1508" s="154" t="str">
        <f t="array" ref="F1508">XLOOKUP(Cover!$D$12,$S$1:$AA$1,$S1508:$AA1508)</f>
        <v>Recommended</v>
      </c>
      <c r="G1508" s="154" t="s">
        <v>3953</v>
      </c>
      <c r="H1508" s="154"/>
      <c r="I1508" s="154" t="s">
        <v>420</v>
      </c>
      <c r="J1508" s="247" t="s">
        <v>445</v>
      </c>
      <c r="K1508" s="247" t="s">
        <v>3954</v>
      </c>
      <c r="L1508" s="154" t="str">
        <f t="shared" si="1"/>
        <v/>
      </c>
      <c r="M1508" s="248" t="str">
        <f>IFERROR(__xludf.DUMMYFUNCTION("VLOOKUP(C1508,IMPORTRANGE(""https://docs.google.com/spreadsheets/d/1P8eX0NWBhUPS_hvzA11R6jkTNFrPrRYIx_dX_hYbxrk/edit?resourcekey=0-iw9bsKY2OqkUHCFMkCar3A&amp;gid=2055363397#gid=2055363397"",""MTR!C:O""),11,false)"),"PMW-MCE-AS")</f>
        <v>PMW-MCE-AS</v>
      </c>
      <c r="N1508" s="248" t="str">
        <f>IFERROR(__xludf.DUMMYFUNCTION("VLOOKUP(C1508,IMPORTRANGE(""https://docs.google.com/spreadsheets/d/1ihFlp3_ePlYtFuPbUNbYj1muErVpI73WHXbEwJDIA7Q/edit#gid=1493122344"",""MTR!C:O""),8,false)"),"Complies")</f>
        <v>Complies</v>
      </c>
      <c r="O1508" s="241" t="str">
        <f>IFERROR(__xludf.DUMMYFUNCTION("VLOOKUP(C1508,IMPORTRANGE(""https://docs.google.com/spreadsheets/d/1P8eX0NWBhUPS_hvzA11R6jkTNFrPrRYIx_dX_hYbxrk/edit?resourcekey=0-iw9bsKY2OqkUHCFMkCar3A&amp;gid=2055363397#gid=2055363397"",""MTR!C:O""),9,false)"),"")</f>
        <v/>
      </c>
      <c r="P1508" s="241"/>
      <c r="Q1508" s="251" t="s">
        <v>445</v>
      </c>
      <c r="R1508" s="251" t="s">
        <v>3954</v>
      </c>
      <c r="S1508" s="154" t="s">
        <v>64</v>
      </c>
      <c r="T1508" s="154" t="s">
        <v>64</v>
      </c>
      <c r="U1508" s="154" t="s">
        <v>64</v>
      </c>
      <c r="V1508" s="154" t="s">
        <v>64</v>
      </c>
      <c r="W1508" s="154" t="s">
        <v>64</v>
      </c>
      <c r="X1508" s="154" t="s">
        <v>64</v>
      </c>
      <c r="Y1508" s="154" t="s">
        <v>64</v>
      </c>
      <c r="Z1508" s="154" t="s">
        <v>64</v>
      </c>
      <c r="AA1508" s="154" t="s">
        <v>64</v>
      </c>
      <c r="AB1508" s="154"/>
      <c r="AC1508" s="242" t="b">
        <f t="shared" si="2"/>
        <v>1</v>
      </c>
      <c r="AD1508" s="154" t="s">
        <v>391</v>
      </c>
      <c r="AE1508" s="243" t="b">
        <f t="shared" si="3"/>
        <v>0</v>
      </c>
      <c r="AF1508" s="154"/>
      <c r="AG1508" s="243" t="b">
        <f t="shared" si="7"/>
        <v>0</v>
      </c>
      <c r="AH1508" s="154"/>
      <c r="AI1508" s="243" t="str">
        <f t="shared" si="5"/>
        <v>N/A</v>
      </c>
      <c r="AJ1508" s="157" t="str">
        <f t="shared" si="6"/>
        <v/>
      </c>
    </row>
    <row r="1509" ht="12.75" customHeight="1">
      <c r="A1509" s="238" t="s">
        <v>3601</v>
      </c>
      <c r="B1509" s="238" t="s">
        <v>3604</v>
      </c>
      <c r="C1509" s="238" t="s">
        <v>3955</v>
      </c>
      <c r="D1509" s="238"/>
      <c r="E1509" s="238"/>
      <c r="F1509" s="154" t="str">
        <f t="array" ref="F1509">XLOOKUP(Cover!$D$12,$S$1:$AA$1,$S1509:$AA1509)</f>
        <v>Heading</v>
      </c>
      <c r="G1509" s="239" t="s">
        <v>3956</v>
      </c>
      <c r="H1509" s="240"/>
      <c r="I1509" s="240" t="s">
        <v>420</v>
      </c>
      <c r="J1509" s="262"/>
      <c r="K1509" s="262"/>
      <c r="L1509" s="154" t="str">
        <f t="shared" si="1"/>
        <v/>
      </c>
      <c r="M1509" s="241" t="str">
        <f>IFERROR(__xludf.DUMMYFUNCTION("VLOOKUP(C1509,IMPORTRANGE(""https://docs.google.com/spreadsheets/d/1P8eX0NWBhUPS_hvzA11R6jkTNFrPrRYIx_dX_hYbxrk/edit?resourcekey=0-iw9bsKY2OqkUHCFMkCar3A&amp;gid=2055363397#gid=2055363397"",""MTR!C:O""),11,false)"),"")</f>
        <v/>
      </c>
      <c r="N1509" s="241" t="str">
        <f>IFERROR(__xludf.DUMMYFUNCTION("VLOOKUP(C1509,IMPORTRANGE(""https://docs.google.com/spreadsheets/d/1ihFlp3_ePlYtFuPbUNbYj1muErVpI73WHXbEwJDIA7Q/edit#gid=1493122344"",""MTR!C:O""),8,false)"),"")</f>
        <v/>
      </c>
      <c r="O1509" s="241" t="str">
        <f>IFERROR(__xludf.DUMMYFUNCTION("VLOOKUP(C1509,IMPORTRANGE(""https://docs.google.com/spreadsheets/d/1P8eX0NWBhUPS_hvzA11R6jkTNFrPrRYIx_dX_hYbxrk/edit?resourcekey=0-iw9bsKY2OqkUHCFMkCar3A&amp;gid=2055363397#gid=2055363397"",""MTR!C:O""),9,false)"),"")</f>
        <v/>
      </c>
      <c r="P1509" s="241"/>
      <c r="Q1509" s="251"/>
      <c r="R1509" s="251"/>
      <c r="S1509" s="240" t="s">
        <v>390</v>
      </c>
      <c r="T1509" s="240" t="s">
        <v>390</v>
      </c>
      <c r="U1509" s="240" t="s">
        <v>390</v>
      </c>
      <c r="V1509" s="240" t="s">
        <v>390</v>
      </c>
      <c r="W1509" s="240" t="s">
        <v>390</v>
      </c>
      <c r="X1509" s="240" t="s">
        <v>390</v>
      </c>
      <c r="Y1509" s="240" t="s">
        <v>390</v>
      </c>
      <c r="Z1509" s="240" t="s">
        <v>390</v>
      </c>
      <c r="AA1509" s="240" t="s">
        <v>390</v>
      </c>
      <c r="AB1509" s="240"/>
      <c r="AC1509" s="242" t="b">
        <f t="shared" si="2"/>
        <v>0</v>
      </c>
      <c r="AD1509" s="240" t="s">
        <v>391</v>
      </c>
      <c r="AE1509" s="243" t="b">
        <f t="shared" si="3"/>
        <v>0</v>
      </c>
      <c r="AF1509" s="240"/>
      <c r="AG1509" s="243" t="b">
        <f t="shared" si="7"/>
        <v>0</v>
      </c>
      <c r="AH1509" s="240"/>
      <c r="AI1509" s="243" t="str">
        <f t="shared" si="5"/>
        <v>N/A</v>
      </c>
      <c r="AJ1509" s="157" t="str">
        <f t="shared" si="6"/>
        <v/>
      </c>
    </row>
    <row r="1510" ht="12.75" customHeight="1">
      <c r="A1510" s="244" t="s">
        <v>3601</v>
      </c>
      <c r="B1510" s="244" t="s">
        <v>3604</v>
      </c>
      <c r="C1510" s="244" t="s">
        <v>3957</v>
      </c>
      <c r="D1510" s="154" t="s">
        <v>406</v>
      </c>
      <c r="E1510" s="250"/>
      <c r="F1510" s="154" t="str">
        <f t="array" ref="F1510">XLOOKUP(Cover!$D$12,$S$1:$AA$1,$S1510:$AA1510)</f>
        <v>Mandatory</v>
      </c>
      <c r="G1510" s="154" t="s">
        <v>3958</v>
      </c>
      <c r="H1510" s="154" t="s">
        <v>398</v>
      </c>
      <c r="I1510" s="154" t="s">
        <v>420</v>
      </c>
      <c r="J1510" s="247" t="s">
        <v>516</v>
      </c>
      <c r="K1510" s="247" t="s">
        <v>3959</v>
      </c>
      <c r="L1510" s="154" t="str">
        <f t="shared" si="1"/>
        <v/>
      </c>
      <c r="M1510" s="248" t="str">
        <f>IFERROR(__xludf.DUMMYFUNCTION("VLOOKUP(C1510,IMPORTRANGE(""https://docs.google.com/spreadsheets/d/1P8eX0NWBhUPS_hvzA11R6jkTNFrPrRYIx_dX_hYbxrk/edit?resourcekey=0-iw9bsKY2OqkUHCFMkCar3A&amp;gid=2055363397#gid=2055363397"",""MTR!C:O""),11,false)"),"TAM")</f>
        <v>TAM</v>
      </c>
      <c r="N1510" s="248" t="str">
        <f>IFERROR(__xludf.DUMMYFUNCTION("VLOOKUP(C1510,IMPORTRANGE(""https://docs.google.com/spreadsheets/d/1ihFlp3_ePlYtFuPbUNbYj1muErVpI73WHXbEwJDIA7Q/edit#gid=1493122344"",""MTR!C:O""),8,false)"),"Does Not Comply")</f>
        <v>Does Not Comply</v>
      </c>
      <c r="O1510" s="248" t="str">
        <f>IFERROR(__xludf.DUMMYFUNCTION("VLOOKUP(C1510,IMPORTRANGE(""https://docs.google.com/spreadsheets/d/1P8eX0NWBhUPS_hvzA11R6jkTNFrPrRYIx_dX_hYbxrk/edit?resourcekey=0-iw9bsKY2OqkUHCFMkCar3A&amp;gid=2055363397#gid=2055363397"",""MTR!C:O""),9,false)"),"Chrome not support home page customization")</f>
        <v>Chrome not support home page customization</v>
      </c>
      <c r="P1510" s="248"/>
      <c r="Q1510" s="249" t="s">
        <v>516</v>
      </c>
      <c r="R1510" s="249" t="s">
        <v>3959</v>
      </c>
      <c r="S1510" s="154" t="s">
        <v>60</v>
      </c>
      <c r="T1510" s="154" t="s">
        <v>60</v>
      </c>
      <c r="U1510" s="154" t="s">
        <v>60</v>
      </c>
      <c r="V1510" s="154" t="s">
        <v>60</v>
      </c>
      <c r="W1510" s="154" t="s">
        <v>60</v>
      </c>
      <c r="X1510" s="154" t="s">
        <v>60</v>
      </c>
      <c r="Y1510" s="154" t="s">
        <v>60</v>
      </c>
      <c r="Z1510" s="154" t="s">
        <v>60</v>
      </c>
      <c r="AA1510" s="154" t="s">
        <v>60</v>
      </c>
      <c r="AB1510" s="154"/>
      <c r="AC1510" s="242" t="b">
        <f t="shared" si="2"/>
        <v>1</v>
      </c>
      <c r="AD1510" s="154" t="s">
        <v>391</v>
      </c>
      <c r="AE1510" s="243" t="b">
        <f t="shared" si="3"/>
        <v>0</v>
      </c>
      <c r="AF1510" s="154"/>
      <c r="AG1510" s="243" t="b">
        <f t="shared" si="7"/>
        <v>0</v>
      </c>
      <c r="AH1510" s="154"/>
      <c r="AI1510" s="243" t="str">
        <f t="shared" si="5"/>
        <v>N/A</v>
      </c>
      <c r="AJ1510" s="157" t="str">
        <f t="shared" si="6"/>
        <v/>
      </c>
    </row>
    <row r="1511" ht="12.75" customHeight="1">
      <c r="A1511" s="238" t="s">
        <v>3601</v>
      </c>
      <c r="B1511" s="238" t="s">
        <v>3960</v>
      </c>
      <c r="C1511" s="238" t="s">
        <v>3961</v>
      </c>
      <c r="D1511" s="238"/>
      <c r="E1511" s="238"/>
      <c r="F1511" s="154" t="str">
        <f t="array" ref="F1511">XLOOKUP(Cover!$D$12,$S$1:$AA$1,$S1511:$AA1511)</f>
        <v>Heading</v>
      </c>
      <c r="G1511" s="239" t="s">
        <v>3962</v>
      </c>
      <c r="H1511" s="240"/>
      <c r="I1511" s="240" t="s">
        <v>420</v>
      </c>
      <c r="J1511" s="262"/>
      <c r="K1511" s="262"/>
      <c r="L1511" s="154" t="str">
        <f t="shared" si="1"/>
        <v/>
      </c>
      <c r="M1511" s="241" t="str">
        <f>IFERROR(__xludf.DUMMYFUNCTION("VLOOKUP(C1511,IMPORTRANGE(""https://docs.google.com/spreadsheets/d/1P8eX0NWBhUPS_hvzA11R6jkTNFrPrRYIx_dX_hYbxrk/edit?resourcekey=0-iw9bsKY2OqkUHCFMkCar3A&amp;gid=2055363397#gid=2055363397"",""MTR!C:O""),11,false)"),"")</f>
        <v/>
      </c>
      <c r="N1511" s="241" t="str">
        <f>IFERROR(__xludf.DUMMYFUNCTION("VLOOKUP(C1511,IMPORTRANGE(""https://docs.google.com/spreadsheets/d/1ihFlp3_ePlYtFuPbUNbYj1muErVpI73WHXbEwJDIA7Q/edit#gid=1493122344"",""MTR!C:O""),8,false)"),"")</f>
        <v/>
      </c>
      <c r="O1511" s="241" t="str">
        <f>IFERROR(__xludf.DUMMYFUNCTION("VLOOKUP(C1511,IMPORTRANGE(""https://docs.google.com/spreadsheets/d/1P8eX0NWBhUPS_hvzA11R6jkTNFrPrRYIx_dX_hYbxrk/edit?resourcekey=0-iw9bsKY2OqkUHCFMkCar3A&amp;gid=2055363397#gid=2055363397"",""MTR!C:O""),9,false)"),"")</f>
        <v/>
      </c>
      <c r="P1511" s="241"/>
      <c r="Q1511" s="251"/>
      <c r="R1511" s="251"/>
      <c r="S1511" s="240" t="s">
        <v>390</v>
      </c>
      <c r="T1511" s="240" t="s">
        <v>390</v>
      </c>
      <c r="U1511" s="240" t="s">
        <v>390</v>
      </c>
      <c r="V1511" s="240" t="s">
        <v>390</v>
      </c>
      <c r="W1511" s="240" t="s">
        <v>390</v>
      </c>
      <c r="X1511" s="240" t="s">
        <v>390</v>
      </c>
      <c r="Y1511" s="240" t="s">
        <v>390</v>
      </c>
      <c r="Z1511" s="240" t="s">
        <v>390</v>
      </c>
      <c r="AA1511" s="240" t="s">
        <v>390</v>
      </c>
      <c r="AB1511" s="240"/>
      <c r="AC1511" s="242" t="b">
        <f t="shared" si="2"/>
        <v>0</v>
      </c>
      <c r="AD1511" s="240" t="s">
        <v>391</v>
      </c>
      <c r="AE1511" s="243" t="b">
        <f t="shared" si="3"/>
        <v>0</v>
      </c>
      <c r="AF1511" s="240"/>
      <c r="AG1511" s="243" t="b">
        <f t="shared" si="7"/>
        <v>0</v>
      </c>
      <c r="AH1511" s="240"/>
      <c r="AI1511" s="243" t="str">
        <f t="shared" si="5"/>
        <v>N/A</v>
      </c>
      <c r="AJ1511" s="157" t="str">
        <f t="shared" si="6"/>
        <v/>
      </c>
    </row>
    <row r="1512" ht="12.75" customHeight="1">
      <c r="A1512" s="238" t="s">
        <v>3601</v>
      </c>
      <c r="B1512" s="238" t="s">
        <v>3960</v>
      </c>
      <c r="C1512" s="238" t="s">
        <v>3963</v>
      </c>
      <c r="D1512" s="238"/>
      <c r="E1512" s="238"/>
      <c r="F1512" s="154" t="str">
        <f t="array" ref="F1512">XLOOKUP(Cover!$D$12,$S$1:$AA$1,$S1512:$AA1512)</f>
        <v>Heading</v>
      </c>
      <c r="G1512" s="239" t="s">
        <v>3964</v>
      </c>
      <c r="H1512" s="240"/>
      <c r="I1512" s="240" t="s">
        <v>420</v>
      </c>
      <c r="J1512" s="262"/>
      <c r="K1512" s="240"/>
      <c r="L1512" s="154" t="str">
        <f t="shared" si="1"/>
        <v/>
      </c>
      <c r="M1512" s="241" t="str">
        <f>IFERROR(__xludf.DUMMYFUNCTION("VLOOKUP(C1512,IMPORTRANGE(""https://docs.google.com/spreadsheets/d/1P8eX0NWBhUPS_hvzA11R6jkTNFrPrRYIx_dX_hYbxrk/edit?resourcekey=0-iw9bsKY2OqkUHCFMkCar3A&amp;gid=2055363397#gid=2055363397"",""MTR!C:O""),11,false)"),"")</f>
        <v/>
      </c>
      <c r="N1512" s="241" t="str">
        <f>IFERROR(__xludf.DUMMYFUNCTION("VLOOKUP(C1512,IMPORTRANGE(""https://docs.google.com/spreadsheets/d/1ihFlp3_ePlYtFuPbUNbYj1muErVpI73WHXbEwJDIA7Q/edit#gid=1493122344"",""MTR!C:O""),8,false)"),"")</f>
        <v/>
      </c>
      <c r="O1512" s="241" t="str">
        <f>IFERROR(__xludf.DUMMYFUNCTION("VLOOKUP(C1512,IMPORTRANGE(""https://docs.google.com/spreadsheets/d/1P8eX0NWBhUPS_hvzA11R6jkTNFrPrRYIx_dX_hYbxrk/edit?resourcekey=0-iw9bsKY2OqkUHCFMkCar3A&amp;gid=2055363397#gid=2055363397"",""MTR!C:O""),9,false)"),"")</f>
        <v/>
      </c>
      <c r="P1512" s="241"/>
      <c r="Q1512" s="241"/>
      <c r="R1512" s="241"/>
      <c r="S1512" s="240" t="s">
        <v>390</v>
      </c>
      <c r="T1512" s="240" t="s">
        <v>390</v>
      </c>
      <c r="U1512" s="240" t="s">
        <v>390</v>
      </c>
      <c r="V1512" s="240" t="s">
        <v>390</v>
      </c>
      <c r="W1512" s="240" t="s">
        <v>390</v>
      </c>
      <c r="X1512" s="240" t="s">
        <v>390</v>
      </c>
      <c r="Y1512" s="240" t="s">
        <v>390</v>
      </c>
      <c r="Z1512" s="240" t="s">
        <v>390</v>
      </c>
      <c r="AA1512" s="240" t="s">
        <v>390</v>
      </c>
      <c r="AB1512" s="240"/>
      <c r="AC1512" s="242" t="b">
        <f t="shared" si="2"/>
        <v>0</v>
      </c>
      <c r="AD1512" s="240" t="s">
        <v>391</v>
      </c>
      <c r="AE1512" s="243" t="b">
        <f t="shared" si="3"/>
        <v>0</v>
      </c>
      <c r="AF1512" s="240"/>
      <c r="AG1512" s="243" t="b">
        <f t="shared" si="7"/>
        <v>0</v>
      </c>
      <c r="AH1512" s="240"/>
      <c r="AI1512" s="243" t="str">
        <f t="shared" si="5"/>
        <v>N/A</v>
      </c>
      <c r="AJ1512" s="157" t="str">
        <f t="shared" si="6"/>
        <v/>
      </c>
    </row>
    <row r="1513" ht="12.75" customHeight="1">
      <c r="A1513" s="238" t="s">
        <v>3601</v>
      </c>
      <c r="B1513" s="238" t="s">
        <v>3960</v>
      </c>
      <c r="C1513" s="238" t="s">
        <v>3965</v>
      </c>
      <c r="D1513" s="238"/>
      <c r="E1513" s="238"/>
      <c r="F1513" s="154" t="str">
        <f t="array" ref="F1513">XLOOKUP(Cover!$D$12,$S$1:$AA$1,$S1513:$AA1513)</f>
        <v>Heading</v>
      </c>
      <c r="G1513" s="239" t="s">
        <v>3966</v>
      </c>
      <c r="H1513" s="240"/>
      <c r="I1513" s="240" t="s">
        <v>420</v>
      </c>
      <c r="J1513" s="262"/>
      <c r="K1513" s="240"/>
      <c r="L1513" s="154" t="str">
        <f t="shared" si="1"/>
        <v/>
      </c>
      <c r="M1513" s="241" t="str">
        <f>IFERROR(__xludf.DUMMYFUNCTION("VLOOKUP(C1513,IMPORTRANGE(""https://docs.google.com/spreadsheets/d/1P8eX0NWBhUPS_hvzA11R6jkTNFrPrRYIx_dX_hYbxrk/edit?resourcekey=0-iw9bsKY2OqkUHCFMkCar3A&amp;gid=2055363397#gid=2055363397"",""MTR!C:O""),11,false)"),"")</f>
        <v/>
      </c>
      <c r="N1513" s="241" t="str">
        <f>IFERROR(__xludf.DUMMYFUNCTION("VLOOKUP(C1513,IMPORTRANGE(""https://docs.google.com/spreadsheets/d/1ihFlp3_ePlYtFuPbUNbYj1muErVpI73WHXbEwJDIA7Q/edit#gid=1493122344"",""MTR!C:O""),8,false)"),"")</f>
        <v/>
      </c>
      <c r="O1513" s="241" t="str">
        <f>IFERROR(__xludf.DUMMYFUNCTION("VLOOKUP(C1513,IMPORTRANGE(""https://docs.google.com/spreadsheets/d/1P8eX0NWBhUPS_hvzA11R6jkTNFrPrRYIx_dX_hYbxrk/edit?resourcekey=0-iw9bsKY2OqkUHCFMkCar3A&amp;gid=2055363397#gid=2055363397"",""MTR!C:O""),9,false)"),"")</f>
        <v/>
      </c>
      <c r="P1513" s="241"/>
      <c r="Q1513" s="241"/>
      <c r="R1513" s="241"/>
      <c r="S1513" s="240" t="s">
        <v>390</v>
      </c>
      <c r="T1513" s="240" t="s">
        <v>390</v>
      </c>
      <c r="U1513" s="240" t="s">
        <v>390</v>
      </c>
      <c r="V1513" s="240" t="s">
        <v>390</v>
      </c>
      <c r="W1513" s="240" t="s">
        <v>390</v>
      </c>
      <c r="X1513" s="240" t="s">
        <v>390</v>
      </c>
      <c r="Y1513" s="240" t="s">
        <v>390</v>
      </c>
      <c r="Z1513" s="240" t="s">
        <v>390</v>
      </c>
      <c r="AA1513" s="240" t="s">
        <v>390</v>
      </c>
      <c r="AB1513" s="240"/>
      <c r="AC1513" s="242" t="b">
        <f t="shared" si="2"/>
        <v>0</v>
      </c>
      <c r="AD1513" s="240" t="s">
        <v>391</v>
      </c>
      <c r="AE1513" s="243" t="b">
        <f t="shared" si="3"/>
        <v>0</v>
      </c>
      <c r="AF1513" s="240"/>
      <c r="AG1513" s="243" t="b">
        <f t="shared" si="7"/>
        <v>0</v>
      </c>
      <c r="AH1513" s="240"/>
      <c r="AI1513" s="243" t="str">
        <f t="shared" si="5"/>
        <v>N/A</v>
      </c>
      <c r="AJ1513" s="157" t="str">
        <f t="shared" si="6"/>
        <v/>
      </c>
    </row>
    <row r="1514" ht="12.75" customHeight="1">
      <c r="A1514" s="244" t="s">
        <v>3601</v>
      </c>
      <c r="B1514" s="244" t="s">
        <v>3960</v>
      </c>
      <c r="C1514" s="244" t="s">
        <v>3967</v>
      </c>
      <c r="D1514" s="154" t="s">
        <v>477</v>
      </c>
      <c r="E1514" s="250"/>
      <c r="F1514" s="154" t="str">
        <f t="array" ref="F1514">XLOOKUP(Cover!$D$12,$S$1:$AA$1,$S1514:$AA1514)</f>
        <v>Mandatory</v>
      </c>
      <c r="G1514" s="154" t="s">
        <v>3968</v>
      </c>
      <c r="H1514" s="154" t="s">
        <v>398</v>
      </c>
      <c r="I1514" s="154" t="s">
        <v>420</v>
      </c>
      <c r="J1514" s="154" t="s">
        <v>445</v>
      </c>
      <c r="K1514" s="247" t="s">
        <v>3969</v>
      </c>
      <c r="L1514" s="154" t="str">
        <f t="shared" si="1"/>
        <v/>
      </c>
      <c r="M1514" s="248" t="str">
        <f>IFERROR(__xludf.DUMMYFUNCTION("VLOOKUP(C1514,IMPORTRANGE(""https://docs.google.com/spreadsheets/d/1P8eX0NWBhUPS_hvzA11R6jkTNFrPrRYIx_dX_hYbxrk/edit?resourcekey=0-iw9bsKY2OqkUHCFMkCar3A&amp;gid=2055363397#gid=2055363397"",""MTR!C:O""),11,false)"),"TAM")</f>
        <v>TAM</v>
      </c>
      <c r="N1514" s="248" t="str">
        <f>IFERROR(__xludf.DUMMYFUNCTION("VLOOKUP(C1514,IMPORTRANGE(""https://docs.google.com/spreadsheets/d/1ihFlp3_ePlYtFuPbUNbYj1muErVpI73WHXbEwJDIA7Q/edit#gid=1493122344"",""MTR!C:O""),8,false)"),"Complies")</f>
        <v>Complies</v>
      </c>
      <c r="O1514" s="241" t="str">
        <f>IFERROR(__xludf.DUMMYFUNCTION("VLOOKUP(C1514,IMPORTRANGE(""https://docs.google.com/spreadsheets/d/1P8eX0NWBhUPS_hvzA11R6jkTNFrPrRYIx_dX_hYbxrk/edit?resourcekey=0-iw9bsKY2OqkUHCFMkCar3A&amp;gid=2055363397#gid=2055363397"",""MTR!C:O""),9,false)"),"")</f>
        <v/>
      </c>
      <c r="P1514" s="241"/>
      <c r="Q1514" s="251" t="s">
        <v>445</v>
      </c>
      <c r="R1514" s="241"/>
      <c r="S1514" s="154" t="s">
        <v>68</v>
      </c>
      <c r="T1514" s="154" t="s">
        <v>60</v>
      </c>
      <c r="U1514" s="154" t="s">
        <v>60</v>
      </c>
      <c r="V1514" s="154" t="s">
        <v>60</v>
      </c>
      <c r="W1514" s="154" t="s">
        <v>60</v>
      </c>
      <c r="X1514" s="154" t="s">
        <v>60</v>
      </c>
      <c r="Y1514" s="154" t="s">
        <v>60</v>
      </c>
      <c r="Z1514" s="154" t="s">
        <v>60</v>
      </c>
      <c r="AA1514" s="154" t="s">
        <v>60</v>
      </c>
      <c r="AB1514" s="154"/>
      <c r="AC1514" s="242" t="b">
        <f t="shared" si="2"/>
        <v>1</v>
      </c>
      <c r="AD1514" s="154" t="s">
        <v>445</v>
      </c>
      <c r="AE1514" s="243" t="b">
        <f t="shared" si="3"/>
        <v>0</v>
      </c>
      <c r="AF1514" s="154"/>
      <c r="AG1514" s="243" t="b">
        <f t="shared" si="7"/>
        <v>0</v>
      </c>
      <c r="AH1514" s="154"/>
      <c r="AI1514" s="243" t="str">
        <f t="shared" si="5"/>
        <v>N/A</v>
      </c>
      <c r="AJ1514" s="157" t="str">
        <f t="shared" si="6"/>
        <v/>
      </c>
    </row>
    <row r="1515" ht="12.75" customHeight="1">
      <c r="A1515" s="244" t="s">
        <v>3601</v>
      </c>
      <c r="B1515" s="244" t="s">
        <v>3960</v>
      </c>
      <c r="C1515" s="244" t="s">
        <v>3970</v>
      </c>
      <c r="D1515" s="154" t="s">
        <v>477</v>
      </c>
      <c r="E1515" s="250"/>
      <c r="F1515" s="154" t="str">
        <f t="array" ref="F1515">XLOOKUP(Cover!$D$12,$S$1:$AA$1,$S1515:$AA1515)</f>
        <v>Mandatory</v>
      </c>
      <c r="G1515" s="154" t="s">
        <v>3971</v>
      </c>
      <c r="H1515" s="154" t="s">
        <v>398</v>
      </c>
      <c r="I1515" s="154" t="s">
        <v>420</v>
      </c>
      <c r="J1515" s="247" t="s">
        <v>445</v>
      </c>
      <c r="K1515" s="154"/>
      <c r="L1515" s="154" t="str">
        <f t="shared" si="1"/>
        <v/>
      </c>
      <c r="M1515" s="248" t="str">
        <f>IFERROR(__xludf.DUMMYFUNCTION("VLOOKUP(C1515,IMPORTRANGE(""https://docs.google.com/spreadsheets/d/1P8eX0NWBhUPS_hvzA11R6jkTNFrPrRYIx_dX_hYbxrk/edit?resourcekey=0-iw9bsKY2OqkUHCFMkCar3A&amp;gid=2055363397#gid=2055363397"",""MTR!C:O""),11,false)"),"TAM")</f>
        <v>TAM</v>
      </c>
      <c r="N1515" s="248" t="str">
        <f>IFERROR(__xludf.DUMMYFUNCTION("VLOOKUP(C1515,IMPORTRANGE(""https://docs.google.com/spreadsheets/d/1ihFlp3_ePlYtFuPbUNbYj1muErVpI73WHXbEwJDIA7Q/edit#gid=1493122344"",""MTR!C:O""),8,false)"),"Complies")</f>
        <v>Complies</v>
      </c>
      <c r="O1515" s="248" t="str">
        <f>IFERROR(__xludf.DUMMYFUNCTION("VLOOKUP(C1515,IMPORTRANGE(""https://docs.google.com/spreadsheets/d/1P8eX0NWBhUPS_hvzA11R6jkTNFrPrRYIx_dX_hYbxrk/edit?resourcekey=0-iw9bsKY2OqkUHCFMkCar3A&amp;gid=2055363397#gid=2055363397"",""MTR!C:O""),9,false)"),"Client ID using Google OTA provisioned design, we don't customize """"""""""""""""""""""""""""""""ro.com.google.clientidbase.ms"""""""""""""""""""""""""""""""" and """"""""""""""""""""""""""""""""ro.com.google.clientidbase.am"""""""""""""""""""""""""""""""&amp;""" instead we customized the uri 
The Client ID can be qeury through """"""""""""""""""""""""""""""""adb shell content query --uri content://com.google.settings/partner""""""""""""""""""""""""""""""""")</f>
        <v>Client ID using Google OTA provisioned design, we don't customize """"""""""""""""ro.com.google.clientidbase.ms"""""""""""""""" and """"""""""""""""ro.com.google.clientidbase.am"""""""""""""""" instead we customized the uri 
The Client ID can be qeury through """"""""""""""""adb shell content query --uri content://com.google.settings/partner""""""""""""""""</v>
      </c>
      <c r="P1515" s="248"/>
      <c r="Q1515" s="249" t="s">
        <v>445</v>
      </c>
      <c r="R1515" s="249" t="s">
        <v>3972</v>
      </c>
      <c r="S1515" s="154" t="s">
        <v>68</v>
      </c>
      <c r="T1515" s="154" t="s">
        <v>60</v>
      </c>
      <c r="U1515" s="154" t="s">
        <v>60</v>
      </c>
      <c r="V1515" s="154" t="s">
        <v>60</v>
      </c>
      <c r="W1515" s="154" t="s">
        <v>60</v>
      </c>
      <c r="X1515" s="154" t="s">
        <v>60</v>
      </c>
      <c r="Y1515" s="154" t="s">
        <v>60</v>
      </c>
      <c r="Z1515" s="154" t="s">
        <v>60</v>
      </c>
      <c r="AA1515" s="154" t="s">
        <v>60</v>
      </c>
      <c r="AB1515" s="154"/>
      <c r="AC1515" s="242" t="b">
        <f t="shared" si="2"/>
        <v>1</v>
      </c>
      <c r="AD1515" s="154" t="s">
        <v>391</v>
      </c>
      <c r="AE1515" s="243" t="b">
        <f t="shared" si="3"/>
        <v>0</v>
      </c>
      <c r="AF1515" s="154"/>
      <c r="AG1515" s="243" t="b">
        <f t="shared" si="7"/>
        <v>0</v>
      </c>
      <c r="AH1515" s="154"/>
      <c r="AI1515" s="243" t="str">
        <f t="shared" si="5"/>
        <v>N/A</v>
      </c>
      <c r="AJ1515" s="157" t="str">
        <f t="shared" si="6"/>
        <v/>
      </c>
    </row>
    <row r="1516" ht="12.75" customHeight="1">
      <c r="A1516" s="244" t="s">
        <v>3601</v>
      </c>
      <c r="B1516" s="244" t="s">
        <v>3960</v>
      </c>
      <c r="C1516" s="244" t="s">
        <v>3973</v>
      </c>
      <c r="D1516" s="154" t="s">
        <v>2434</v>
      </c>
      <c r="E1516" s="250"/>
      <c r="F1516" s="154" t="str">
        <f t="array" ref="F1516">XLOOKUP(Cover!$D$12,$S$1:$AA$1,$S1516:$AA1516)</f>
        <v>Mandatory</v>
      </c>
      <c r="G1516" s="154" t="s">
        <v>3974</v>
      </c>
      <c r="H1516" s="154" t="s">
        <v>398</v>
      </c>
      <c r="I1516" s="154" t="s">
        <v>420</v>
      </c>
      <c r="J1516" s="247" t="s">
        <v>445</v>
      </c>
      <c r="K1516" s="247" t="s">
        <v>3975</v>
      </c>
      <c r="L1516" s="154" t="str">
        <f t="shared" si="1"/>
        <v/>
      </c>
      <c r="M1516" s="248" t="str">
        <f>IFERROR(__xludf.DUMMYFUNCTION("VLOOKUP(C1516,IMPORTRANGE(""https://docs.google.com/spreadsheets/d/1P8eX0NWBhUPS_hvzA11R6jkTNFrPrRYIx_dX_hYbxrk/edit?resourcekey=0-iw9bsKY2OqkUHCFMkCar3A&amp;gid=2055363397#gid=2055363397"",""MTR!C:O""),11,false)"),"TAM")</f>
        <v>TAM</v>
      </c>
      <c r="N1516" s="248" t="str">
        <f>IFERROR(__xludf.DUMMYFUNCTION("VLOOKUP(C1516,IMPORTRANGE(""https://docs.google.com/spreadsheets/d/1ihFlp3_ePlYtFuPbUNbYj1muErVpI73WHXbEwJDIA7Q/edit#gid=1493122344"",""MTR!C:O""),8,false)"),"Complies")</f>
        <v>Complies</v>
      </c>
      <c r="O1516" s="241" t="str">
        <f>IFERROR(__xludf.DUMMYFUNCTION("VLOOKUP(C1516,IMPORTRANGE(""https://docs.google.com/spreadsheets/d/1P8eX0NWBhUPS_hvzA11R6jkTNFrPrRYIx_dX_hYbxrk/edit?resourcekey=0-iw9bsKY2OqkUHCFMkCar3A&amp;gid=2055363397#gid=2055363397"",""MTR!C:O""),9,false)"),"")</f>
        <v/>
      </c>
      <c r="P1516" s="241"/>
      <c r="Q1516" s="251" t="s">
        <v>445</v>
      </c>
      <c r="R1516" s="251"/>
      <c r="S1516" s="154" t="s">
        <v>68</v>
      </c>
      <c r="T1516" s="154" t="s">
        <v>60</v>
      </c>
      <c r="U1516" s="154" t="s">
        <v>60</v>
      </c>
      <c r="V1516" s="154" t="s">
        <v>60</v>
      </c>
      <c r="W1516" s="154" t="s">
        <v>60</v>
      </c>
      <c r="X1516" s="154" t="s">
        <v>60</v>
      </c>
      <c r="Y1516" s="154" t="s">
        <v>60</v>
      </c>
      <c r="Z1516" s="154" t="s">
        <v>60</v>
      </c>
      <c r="AA1516" s="154" t="s">
        <v>60</v>
      </c>
      <c r="AB1516" s="154"/>
      <c r="AC1516" s="242" t="b">
        <f t="shared" si="2"/>
        <v>1</v>
      </c>
      <c r="AD1516" s="154" t="s">
        <v>391</v>
      </c>
      <c r="AE1516" s="243" t="b">
        <f t="shared" si="3"/>
        <v>0</v>
      </c>
      <c r="AF1516" s="154"/>
      <c r="AG1516" s="243" t="b">
        <f t="shared" si="7"/>
        <v>0</v>
      </c>
      <c r="AH1516" s="154"/>
      <c r="AI1516" s="243" t="str">
        <f t="shared" si="5"/>
        <v>N/A</v>
      </c>
      <c r="AJ1516" s="157" t="str">
        <f t="shared" si="6"/>
        <v/>
      </c>
    </row>
    <row r="1517" ht="12.75" customHeight="1">
      <c r="A1517" s="244" t="s">
        <v>3601</v>
      </c>
      <c r="B1517" s="244" t="s">
        <v>3960</v>
      </c>
      <c r="C1517" s="244" t="s">
        <v>3976</v>
      </c>
      <c r="D1517" s="154" t="s">
        <v>45</v>
      </c>
      <c r="E1517" s="250"/>
      <c r="F1517" s="154" t="str">
        <f t="array" ref="F1517">XLOOKUP(Cover!$D$12,$S$1:$AA$1,$S1517:$AA1517)</f>
        <v>Mandatory</v>
      </c>
      <c r="G1517" s="154" t="s">
        <v>3977</v>
      </c>
      <c r="H1517" s="154" t="s">
        <v>398</v>
      </c>
      <c r="I1517" s="154" t="s">
        <v>550</v>
      </c>
      <c r="J1517" s="247" t="s">
        <v>445</v>
      </c>
      <c r="K1517" s="154"/>
      <c r="L1517" s="154" t="str">
        <f t="shared" si="1"/>
        <v/>
      </c>
      <c r="M1517" s="253" t="str">
        <f>IFERROR(__xludf.DUMMYFUNCTION("VLOOKUP(C1517,IMPORTRANGE(""https://docs.google.com/spreadsheets/d/1P8eX0NWBhUPS_hvzA11R6jkTNFrPrRYIx_dX_hYbxrk/edit?resourcekey=0-iw9bsKY2OqkUHCFMkCar3A&amp;gid=2055363397#gid=2055363397"",""MTR!C:O""),11,false)"),"#N/A")</f>
        <v>#N/A</v>
      </c>
      <c r="N1517" s="253" t="str">
        <f>IFERROR(__xludf.DUMMYFUNCTION("VLOOKUP(C1517,IMPORTRANGE(""https://docs.google.com/spreadsheets/d/1ihFlp3_ePlYtFuPbUNbYj1muErVpI73WHXbEwJDIA7Q/edit#gid=1493122344"",""MTR!C:O""),8,false)"),"#N/A")</f>
        <v>#N/A</v>
      </c>
      <c r="O1517" s="248" t="str">
        <f>IFERROR(__xludf.DUMMYFUNCTION("VLOOKUP(C1517,IMPORTRANGE(""https://docs.google.com/spreadsheets/d/1P8eX0NWBhUPS_hvzA11R6jkTNFrPrRYIx_dX_hYbxrk/edit?resourcekey=0-iw9bsKY2OqkUHCFMkCar3A&amp;gid=2055363397#gid=2055363397"",""MTR!C:O""),9,false)"),"Follow AOSP design")</f>
        <v>Follow AOSP design</v>
      </c>
      <c r="P1517" s="248"/>
      <c r="Q1517" s="249"/>
      <c r="R1517" s="248"/>
      <c r="S1517" s="154" t="s">
        <v>68</v>
      </c>
      <c r="T1517" s="154" t="s">
        <v>60</v>
      </c>
      <c r="U1517" s="154" t="s">
        <v>60</v>
      </c>
      <c r="V1517" s="154" t="s">
        <v>60</v>
      </c>
      <c r="W1517" s="154" t="s">
        <v>60</v>
      </c>
      <c r="X1517" s="154" t="s">
        <v>60</v>
      </c>
      <c r="Y1517" s="154" t="s">
        <v>60</v>
      </c>
      <c r="Z1517" s="154" t="s">
        <v>60</v>
      </c>
      <c r="AA1517" s="154" t="s">
        <v>60</v>
      </c>
      <c r="AB1517" s="154"/>
      <c r="AC1517" s="242" t="b">
        <f t="shared" si="2"/>
        <v>1</v>
      </c>
      <c r="AD1517" s="154" t="s">
        <v>391</v>
      </c>
      <c r="AE1517" s="243" t="b">
        <f t="shared" si="3"/>
        <v>0</v>
      </c>
      <c r="AF1517" s="154"/>
      <c r="AG1517" s="243" t="b">
        <f t="shared" si="7"/>
        <v>0</v>
      </c>
      <c r="AH1517" s="154"/>
      <c r="AI1517" s="243" t="str">
        <f t="shared" si="5"/>
        <v>N/A</v>
      </c>
      <c r="AJ1517" s="157" t="str">
        <f t="shared" si="6"/>
        <v/>
      </c>
    </row>
    <row r="1518" ht="12.75" customHeight="1">
      <c r="A1518" s="244" t="s">
        <v>3601</v>
      </c>
      <c r="B1518" s="244" t="s">
        <v>3960</v>
      </c>
      <c r="C1518" s="244" t="s">
        <v>3978</v>
      </c>
      <c r="D1518" s="154" t="s">
        <v>781</v>
      </c>
      <c r="E1518" s="250"/>
      <c r="F1518" s="154" t="str">
        <f t="array" ref="F1518">XLOOKUP(Cover!$D$12,$S$1:$AA$1,$S1518:$AA1518)</f>
        <v>Mandatory</v>
      </c>
      <c r="G1518" s="154" t="s">
        <v>3979</v>
      </c>
      <c r="H1518" s="154" t="s">
        <v>398</v>
      </c>
      <c r="I1518" s="154" t="s">
        <v>420</v>
      </c>
      <c r="J1518" s="154" t="s">
        <v>445</v>
      </c>
      <c r="K1518" s="154" t="s">
        <v>3980</v>
      </c>
      <c r="L1518" s="154" t="str">
        <f t="shared" si="1"/>
        <v/>
      </c>
      <c r="M1518" s="248" t="str">
        <f>IFERROR(__xludf.DUMMYFUNCTION("VLOOKUP(C1518,IMPORTRANGE(""https://docs.google.com/spreadsheets/d/1P8eX0NWBhUPS_hvzA11R6jkTNFrPrRYIx_dX_hYbxrk/edit?resourcekey=0-iw9bsKY2OqkUHCFMkCar3A&amp;gid=2055363397#gid=2055363397"",""MTR!C:O""),11,false)"),"TAM")</f>
        <v>TAM</v>
      </c>
      <c r="N1518" s="248" t="str">
        <f>IFERROR(__xludf.DUMMYFUNCTION("VLOOKUP(C1518,IMPORTRANGE(""https://docs.google.com/spreadsheets/d/1ihFlp3_ePlYtFuPbUNbYj1muErVpI73WHXbEwJDIA7Q/edit#gid=1493122344"",""MTR!C:O""),8,false)"),"Complies")</f>
        <v>Complies</v>
      </c>
      <c r="O1518" s="248" t="str">
        <f>IFERROR(__xludf.DUMMYFUNCTION("VLOOKUP(C1518,IMPORTRANGE(""https://docs.google.com/spreadsheets/d/1P8eX0NWBhUPS_hvzA11R6jkTNFrPrRYIx_dX_hYbxrk/edit?resourcekey=0-iw9bsKY2OqkUHCFMkCar3A&amp;gid=2055363397#gid=2055363397"",""MTR!C:O""),9,false)"),"Follow AOSP design")</f>
        <v>Follow AOSP design</v>
      </c>
      <c r="P1518" s="248"/>
      <c r="Q1518" s="249" t="s">
        <v>445</v>
      </c>
      <c r="R1518" s="249" t="s">
        <v>3980</v>
      </c>
      <c r="S1518" s="154" t="s">
        <v>68</v>
      </c>
      <c r="T1518" s="154" t="s">
        <v>60</v>
      </c>
      <c r="U1518" s="154" t="s">
        <v>60</v>
      </c>
      <c r="V1518" s="154" t="s">
        <v>60</v>
      </c>
      <c r="W1518" s="154" t="s">
        <v>60</v>
      </c>
      <c r="X1518" s="154" t="s">
        <v>60</v>
      </c>
      <c r="Y1518" s="154" t="s">
        <v>60</v>
      </c>
      <c r="Z1518" s="154" t="s">
        <v>60</v>
      </c>
      <c r="AA1518" s="154" t="s">
        <v>60</v>
      </c>
      <c r="AB1518" s="154"/>
      <c r="AC1518" s="242" t="b">
        <f t="shared" si="2"/>
        <v>1</v>
      </c>
      <c r="AD1518" s="154" t="s">
        <v>391</v>
      </c>
      <c r="AE1518" s="243" t="b">
        <f t="shared" si="3"/>
        <v>0</v>
      </c>
      <c r="AF1518" s="154"/>
      <c r="AG1518" s="243" t="b">
        <f t="shared" si="7"/>
        <v>0</v>
      </c>
      <c r="AH1518" s="154"/>
      <c r="AI1518" s="243" t="str">
        <f t="shared" si="5"/>
        <v>N/A</v>
      </c>
      <c r="AJ1518" s="157" t="str">
        <f t="shared" si="6"/>
        <v/>
      </c>
    </row>
    <row r="1519" ht="12.75" customHeight="1">
      <c r="A1519" s="244" t="s">
        <v>3601</v>
      </c>
      <c r="B1519" s="244" t="s">
        <v>3960</v>
      </c>
      <c r="C1519" s="244" t="s">
        <v>3981</v>
      </c>
      <c r="D1519" s="154" t="s">
        <v>1069</v>
      </c>
      <c r="E1519" s="250"/>
      <c r="F1519" s="154" t="str">
        <f t="array" ref="F1519">XLOOKUP(Cover!$D$12,$S$1:$AA$1,$S1519:$AA1519)</f>
        <v>Mandatory</v>
      </c>
      <c r="G1519" s="154" t="s">
        <v>3982</v>
      </c>
      <c r="H1519" s="154" t="s">
        <v>398</v>
      </c>
      <c r="I1519" s="154" t="s">
        <v>420</v>
      </c>
      <c r="J1519" s="247" t="s">
        <v>445</v>
      </c>
      <c r="K1519" s="247" t="s">
        <v>3980</v>
      </c>
      <c r="L1519" s="154" t="str">
        <f t="shared" si="1"/>
        <v/>
      </c>
      <c r="M1519" s="253" t="str">
        <f>IFERROR(__xludf.DUMMYFUNCTION("VLOOKUP(C1519,IMPORTRANGE(""https://docs.google.com/spreadsheets/d/1P8eX0NWBhUPS_hvzA11R6jkTNFrPrRYIx_dX_hYbxrk/edit?resourcekey=0-iw9bsKY2OqkUHCFMkCar3A&amp;gid=2055363397#gid=2055363397"",""MTR!C:O""),11,false)"),"#N/A")</f>
        <v>#N/A</v>
      </c>
      <c r="N1519" s="248" t="str">
        <f>IFERROR(__xludf.DUMMYFUNCTION("VLOOKUP(C1519,IMPORTRANGE(""https://docs.google.com/spreadsheets/d/1ihFlp3_ePlYtFuPbUNbYj1muErVpI73WHXbEwJDIA7Q/edit#gid=1493122344"",""MTR!C:O""),8,false)"),"Complies")</f>
        <v>Complies</v>
      </c>
      <c r="O1519" s="241" t="str">
        <f>IFERROR(__xludf.DUMMYFUNCTION("VLOOKUP(C1519,IMPORTRANGE(""https://docs.google.com/spreadsheets/d/1P8eX0NWBhUPS_hvzA11R6jkTNFrPrRYIx_dX_hYbxrk/edit?resourcekey=0-iw9bsKY2OqkUHCFMkCar3A&amp;gid=2055363397#gid=2055363397"",""MTR!C:O""),9,false)"),"")</f>
        <v/>
      </c>
      <c r="P1519" s="241"/>
      <c r="Q1519" s="251" t="s">
        <v>445</v>
      </c>
      <c r="R1519" s="251"/>
      <c r="S1519" s="154" t="s">
        <v>68</v>
      </c>
      <c r="T1519" s="154" t="s">
        <v>60</v>
      </c>
      <c r="U1519" s="154" t="s">
        <v>60</v>
      </c>
      <c r="V1519" s="154" t="s">
        <v>60</v>
      </c>
      <c r="W1519" s="154" t="s">
        <v>60</v>
      </c>
      <c r="X1519" s="154" t="s">
        <v>60</v>
      </c>
      <c r="Y1519" s="154" t="s">
        <v>60</v>
      </c>
      <c r="Z1519" s="154" t="s">
        <v>60</v>
      </c>
      <c r="AA1519" s="154" t="s">
        <v>60</v>
      </c>
      <c r="AB1519" s="154"/>
      <c r="AC1519" s="242" t="b">
        <f t="shared" si="2"/>
        <v>1</v>
      </c>
      <c r="AD1519" s="154" t="s">
        <v>391</v>
      </c>
      <c r="AE1519" s="243" t="b">
        <f t="shared" si="3"/>
        <v>0</v>
      </c>
      <c r="AF1519" s="154"/>
      <c r="AG1519" s="243" t="b">
        <f t="shared" si="7"/>
        <v>0</v>
      </c>
      <c r="AH1519" s="154"/>
      <c r="AI1519" s="243" t="str">
        <f t="shared" si="5"/>
        <v>N/A</v>
      </c>
      <c r="AJ1519" s="157" t="str">
        <f t="shared" si="6"/>
        <v/>
      </c>
    </row>
    <row r="1520" ht="12.75" customHeight="1">
      <c r="A1520" s="244" t="s">
        <v>3601</v>
      </c>
      <c r="B1520" s="244" t="s">
        <v>3960</v>
      </c>
      <c r="C1520" s="244" t="s">
        <v>3983</v>
      </c>
      <c r="D1520" s="154" t="s">
        <v>1069</v>
      </c>
      <c r="E1520" s="250"/>
      <c r="F1520" s="154" t="str">
        <f t="array" ref="F1520">XLOOKUP(Cover!$D$12,$S$1:$AA$1,$S1520:$AA1520)</f>
        <v>Mandatory</v>
      </c>
      <c r="G1520" s="154" t="s">
        <v>3984</v>
      </c>
      <c r="H1520" s="154" t="s">
        <v>398</v>
      </c>
      <c r="I1520" s="154" t="s">
        <v>420</v>
      </c>
      <c r="J1520" s="154" t="s">
        <v>617</v>
      </c>
      <c r="K1520" s="247" t="s">
        <v>3985</v>
      </c>
      <c r="L1520" s="154" t="str">
        <f t="shared" si="1"/>
        <v/>
      </c>
      <c r="M1520" s="253" t="str">
        <f>IFERROR(__xludf.DUMMYFUNCTION("VLOOKUP(C1520,IMPORTRANGE(""https://docs.google.com/spreadsheets/d/1P8eX0NWBhUPS_hvzA11R6jkTNFrPrRYIx_dX_hYbxrk/edit?resourcekey=0-iw9bsKY2OqkUHCFMkCar3A&amp;gid=2055363397#gid=2055363397"",""MTR!C:O""),11,false)"),"#N/A")</f>
        <v>#N/A</v>
      </c>
      <c r="N1520" s="248" t="str">
        <f>IFERROR(__xludf.DUMMYFUNCTION("VLOOKUP(C1520,IMPORTRANGE(""https://docs.google.com/spreadsheets/d/1ihFlp3_ePlYtFuPbUNbYj1muErVpI73WHXbEwJDIA7Q/edit#gid=1493122344"",""MTR!C:O""),8,false)"),"Not Applicable")</f>
        <v>Not Applicable</v>
      </c>
      <c r="O1520" s="241" t="str">
        <f>IFERROR(__xludf.DUMMYFUNCTION("VLOOKUP(C1520,IMPORTRANGE(""https://docs.google.com/spreadsheets/d/1P8eX0NWBhUPS_hvzA11R6jkTNFrPrRYIx_dX_hYbxrk/edit?resourcekey=0-iw9bsKY2OqkUHCFMkCar3A&amp;gid=2055363397#gid=2055363397"",""MTR!C:O""),9,false)"),"")</f>
        <v/>
      </c>
      <c r="P1520" s="241"/>
      <c r="Q1520" s="251" t="s">
        <v>617</v>
      </c>
      <c r="R1520" s="251" t="s">
        <v>3985</v>
      </c>
      <c r="S1520" s="154" t="s">
        <v>68</v>
      </c>
      <c r="T1520" s="154" t="s">
        <v>60</v>
      </c>
      <c r="U1520" s="154" t="s">
        <v>60</v>
      </c>
      <c r="V1520" s="154" t="s">
        <v>60</v>
      </c>
      <c r="W1520" s="154" t="s">
        <v>60</v>
      </c>
      <c r="X1520" s="154" t="s">
        <v>60</v>
      </c>
      <c r="Y1520" s="154" t="s">
        <v>60</v>
      </c>
      <c r="Z1520" s="154" t="s">
        <v>60</v>
      </c>
      <c r="AA1520" s="154" t="s">
        <v>60</v>
      </c>
      <c r="AB1520" s="154"/>
      <c r="AC1520" s="242" t="b">
        <f t="shared" si="2"/>
        <v>1</v>
      </c>
      <c r="AD1520" s="154" t="s">
        <v>445</v>
      </c>
      <c r="AE1520" s="243" t="b">
        <f t="shared" si="3"/>
        <v>0</v>
      </c>
      <c r="AF1520" s="154"/>
      <c r="AG1520" s="243" t="b">
        <f t="shared" si="7"/>
        <v>0</v>
      </c>
      <c r="AH1520" s="154"/>
      <c r="AI1520" s="243" t="str">
        <f t="shared" si="5"/>
        <v>N/A</v>
      </c>
      <c r="AJ1520" s="157" t="str">
        <f t="shared" si="6"/>
        <v/>
      </c>
    </row>
    <row r="1521" ht="12.75" customHeight="1">
      <c r="A1521" s="238" t="s">
        <v>3601</v>
      </c>
      <c r="B1521" s="238" t="s">
        <v>3960</v>
      </c>
      <c r="C1521" s="238" t="s">
        <v>3986</v>
      </c>
      <c r="D1521" s="238"/>
      <c r="E1521" s="238"/>
      <c r="F1521" s="154" t="str">
        <f t="array" ref="F1521">XLOOKUP(Cover!$D$12,$S$1:$AA$1,$S1521:$AA1521)</f>
        <v>Heading</v>
      </c>
      <c r="G1521" s="268" t="s">
        <v>3987</v>
      </c>
      <c r="H1521" s="240"/>
      <c r="I1521" s="240" t="s">
        <v>420</v>
      </c>
      <c r="J1521" s="262"/>
      <c r="K1521" s="262"/>
      <c r="L1521" s="154" t="str">
        <f t="shared" si="1"/>
        <v/>
      </c>
      <c r="M1521" s="253" t="str">
        <f>IFERROR(__xludf.DUMMYFUNCTION("VLOOKUP(C1521,IMPORTRANGE(""https://docs.google.com/spreadsheets/d/1P8eX0NWBhUPS_hvzA11R6jkTNFrPrRYIx_dX_hYbxrk/edit?resourcekey=0-iw9bsKY2OqkUHCFMkCar3A&amp;gid=2055363397#gid=2055363397"",""MTR!C:O""),11,false)"),"#N/A")</f>
        <v>#N/A</v>
      </c>
      <c r="N1521" s="241" t="str">
        <f>IFERROR(__xludf.DUMMYFUNCTION("VLOOKUP(C1521,IMPORTRANGE(""https://docs.google.com/spreadsheets/d/1ihFlp3_ePlYtFuPbUNbYj1muErVpI73WHXbEwJDIA7Q/edit#gid=1493122344"",""MTR!C:O""),8,false)"),"")</f>
        <v/>
      </c>
      <c r="O1521" s="241" t="str">
        <f>IFERROR(__xludf.DUMMYFUNCTION("VLOOKUP(C1521,IMPORTRANGE(""https://docs.google.com/spreadsheets/d/1P8eX0NWBhUPS_hvzA11R6jkTNFrPrRYIx_dX_hYbxrk/edit?resourcekey=0-iw9bsKY2OqkUHCFMkCar3A&amp;gid=2055363397#gid=2055363397"",""MTR!C:O""),9,false)"),"")</f>
        <v/>
      </c>
      <c r="P1521" s="241"/>
      <c r="Q1521" s="251"/>
      <c r="R1521" s="251"/>
      <c r="S1521" s="240" t="s">
        <v>390</v>
      </c>
      <c r="T1521" s="240" t="s">
        <v>390</v>
      </c>
      <c r="U1521" s="240" t="s">
        <v>390</v>
      </c>
      <c r="V1521" s="240" t="s">
        <v>390</v>
      </c>
      <c r="W1521" s="240" t="s">
        <v>390</v>
      </c>
      <c r="X1521" s="240" t="s">
        <v>390</v>
      </c>
      <c r="Y1521" s="240" t="s">
        <v>390</v>
      </c>
      <c r="Z1521" s="240" t="s">
        <v>390</v>
      </c>
      <c r="AA1521" s="240" t="s">
        <v>390</v>
      </c>
      <c r="AB1521" s="240"/>
      <c r="AC1521" s="242" t="b">
        <f t="shared" si="2"/>
        <v>0</v>
      </c>
      <c r="AD1521" s="240" t="s">
        <v>391</v>
      </c>
      <c r="AE1521" s="243" t="b">
        <f t="shared" si="3"/>
        <v>0</v>
      </c>
      <c r="AF1521" s="240"/>
      <c r="AG1521" s="243" t="b">
        <f t="shared" si="7"/>
        <v>0</v>
      </c>
      <c r="AH1521" s="240"/>
      <c r="AI1521" s="243" t="str">
        <f t="shared" si="5"/>
        <v>N/A</v>
      </c>
      <c r="AJ1521" s="157" t="str">
        <f t="shared" si="6"/>
        <v/>
      </c>
    </row>
    <row r="1522" ht="12.75" customHeight="1">
      <c r="A1522" s="244" t="s">
        <v>3601</v>
      </c>
      <c r="B1522" s="244" t="s">
        <v>3960</v>
      </c>
      <c r="C1522" s="244" t="s">
        <v>3988</v>
      </c>
      <c r="D1522" s="154" t="s">
        <v>1069</v>
      </c>
      <c r="E1522" s="250"/>
      <c r="F1522" s="154" t="str">
        <f t="array" ref="F1522">XLOOKUP(Cover!$D$12,$S$1:$AA$1,$S1522:$AA1522)</f>
        <v>Mandatory</v>
      </c>
      <c r="G1522" s="154" t="s">
        <v>3989</v>
      </c>
      <c r="H1522" s="154" t="s">
        <v>398</v>
      </c>
      <c r="I1522" s="154" t="s">
        <v>420</v>
      </c>
      <c r="J1522" s="154" t="s">
        <v>445</v>
      </c>
      <c r="K1522" s="154" t="s">
        <v>3990</v>
      </c>
      <c r="L1522" s="154" t="str">
        <f t="shared" si="1"/>
        <v/>
      </c>
      <c r="M1522" s="253" t="str">
        <f>IFERROR(__xludf.DUMMYFUNCTION("VLOOKUP(C1522,IMPORTRANGE(""https://docs.google.com/spreadsheets/d/1P8eX0NWBhUPS_hvzA11R6jkTNFrPrRYIx_dX_hYbxrk/edit?resourcekey=0-iw9bsKY2OqkUHCFMkCar3A&amp;gid=2055363397#gid=2055363397"",""MTR!C:O""),11,false)"),"#N/A")</f>
        <v>#N/A</v>
      </c>
      <c r="N1522" s="248" t="str">
        <f>IFERROR(__xludf.DUMMYFUNCTION("VLOOKUP(C1522,IMPORTRANGE(""https://docs.google.com/spreadsheets/d/1ihFlp3_ePlYtFuPbUNbYj1muErVpI73WHXbEwJDIA7Q/edit#gid=1493122344"",""MTR!C:O""),8,false)"),"Complies")</f>
        <v>Complies</v>
      </c>
      <c r="O1522" s="269" t="str">
        <f>IFERROR(__xludf.DUMMYFUNCTION("VLOOKUP(C1522,IMPORTRANGE(""https://docs.google.com/spreadsheets/d/1P8eX0NWBhUPS_hvzA11R6jkTNFrPrRYIx_dX_hYbxrk/edit?resourcekey=0-iw9bsKY2OqkUHCFMkCar3A&amp;gid=2055363397#gid=2055363397"",""MTR!C:O""),9,false)"),"https://docs.partner.android.com/partners/guides/adcp")</f>
        <v>https://docs.partner.android.com/partners/guides/adcp</v>
      </c>
      <c r="P1522" s="269"/>
      <c r="Q1522" s="270" t="s">
        <v>445</v>
      </c>
      <c r="R1522" s="270" t="s">
        <v>3990</v>
      </c>
      <c r="S1522" s="154" t="s">
        <v>68</v>
      </c>
      <c r="T1522" s="154" t="s">
        <v>60</v>
      </c>
      <c r="U1522" s="154" t="s">
        <v>60</v>
      </c>
      <c r="V1522" s="154" t="s">
        <v>60</v>
      </c>
      <c r="W1522" s="154" t="s">
        <v>60</v>
      </c>
      <c r="X1522" s="154" t="s">
        <v>60</v>
      </c>
      <c r="Y1522" s="154" t="s">
        <v>60</v>
      </c>
      <c r="Z1522" s="154" t="s">
        <v>60</v>
      </c>
      <c r="AA1522" s="154" t="s">
        <v>60</v>
      </c>
      <c r="AB1522" s="154"/>
      <c r="AC1522" s="242" t="b">
        <f t="shared" si="2"/>
        <v>1</v>
      </c>
      <c r="AD1522" s="154" t="s">
        <v>391</v>
      </c>
      <c r="AE1522" s="243" t="b">
        <f t="shared" si="3"/>
        <v>0</v>
      </c>
      <c r="AF1522" s="154"/>
      <c r="AG1522" s="243" t="b">
        <f t="shared" si="7"/>
        <v>0</v>
      </c>
      <c r="AH1522" s="154"/>
      <c r="AI1522" s="243" t="str">
        <f t="shared" si="5"/>
        <v>N/A</v>
      </c>
      <c r="AJ1522" s="157" t="str">
        <f t="shared" si="6"/>
        <v/>
      </c>
    </row>
    <row r="1523" ht="12.75" customHeight="1">
      <c r="A1523" s="244" t="s">
        <v>3601</v>
      </c>
      <c r="B1523" s="244" t="s">
        <v>3960</v>
      </c>
      <c r="C1523" s="244" t="s">
        <v>3991</v>
      </c>
      <c r="D1523" s="154" t="s">
        <v>1069</v>
      </c>
      <c r="E1523" s="250" t="s">
        <v>489</v>
      </c>
      <c r="F1523" s="154" t="str">
        <f t="array" ref="F1523">XLOOKUP(Cover!$D$12,$S$1:$AA$1,$S1523:$AA1523)</f>
        <v>Recommended</v>
      </c>
      <c r="G1523" s="154" t="s">
        <v>3992</v>
      </c>
      <c r="H1523" s="154" t="s">
        <v>398</v>
      </c>
      <c r="I1523" s="154" t="s">
        <v>420</v>
      </c>
      <c r="J1523" s="247" t="s">
        <v>445</v>
      </c>
      <c r="K1523" s="247" t="s">
        <v>3990</v>
      </c>
      <c r="L1523" s="154" t="str">
        <f t="shared" si="1"/>
        <v/>
      </c>
      <c r="M1523" s="253" t="str">
        <f>IFERROR(__xludf.DUMMYFUNCTION("VLOOKUP(C1523,IMPORTRANGE(""https://docs.google.com/spreadsheets/d/1P8eX0NWBhUPS_hvzA11R6jkTNFrPrRYIx_dX_hYbxrk/edit?resourcekey=0-iw9bsKY2OqkUHCFMkCar3A&amp;gid=2055363397#gid=2055363397"",""MTR!C:O""),11,false)"),"#N/A")</f>
        <v>#N/A</v>
      </c>
      <c r="N1523" s="253" t="str">
        <f>IFERROR(__xludf.DUMMYFUNCTION("VLOOKUP(C1523,IMPORTRANGE(""https://docs.google.com/spreadsheets/d/1ihFlp3_ePlYtFuPbUNbYj1muErVpI73WHXbEwJDIA7Q/edit#gid=1493122344"",""MTR!C:O""),8,false)"),"#N/A")</f>
        <v>#N/A</v>
      </c>
      <c r="O1523" s="253" t="str">
        <f>IFERROR(__xludf.DUMMYFUNCTION("VLOOKUP(C1523,IMPORTRANGE(""https://docs.google.com/spreadsheets/d/1P8eX0NWBhUPS_hvzA11R6jkTNFrPrRYIx_dX_hYbxrk/edit?resourcekey=0-iw9bsKY2OqkUHCFMkCar3A&amp;gid=2055363397#gid=2055363397"",""MTR!C:O""),9,false)"),"#N/A")</f>
        <v>#N/A</v>
      </c>
      <c r="P1523" s="253"/>
      <c r="Q1523" s="259"/>
      <c r="R1523" s="259"/>
      <c r="S1523" s="154" t="s">
        <v>68</v>
      </c>
      <c r="T1523" s="154" t="s">
        <v>64</v>
      </c>
      <c r="U1523" s="154" t="s">
        <v>64</v>
      </c>
      <c r="V1523" s="154" t="s">
        <v>64</v>
      </c>
      <c r="W1523" s="154" t="s">
        <v>64</v>
      </c>
      <c r="X1523" s="154" t="s">
        <v>64</v>
      </c>
      <c r="Y1523" s="154" t="s">
        <v>64</v>
      </c>
      <c r="Z1523" s="154" t="s">
        <v>64</v>
      </c>
      <c r="AA1523" s="154" t="s">
        <v>64</v>
      </c>
      <c r="AB1523" s="154"/>
      <c r="AC1523" s="242" t="b">
        <f t="shared" si="2"/>
        <v>1</v>
      </c>
      <c r="AD1523" s="154" t="s">
        <v>391</v>
      </c>
      <c r="AE1523" s="243" t="b">
        <f t="shared" si="3"/>
        <v>0</v>
      </c>
      <c r="AF1523" s="154"/>
      <c r="AG1523" s="243" t="b">
        <f t="shared" si="7"/>
        <v>0</v>
      </c>
      <c r="AH1523" s="154"/>
      <c r="AI1523" s="243" t="str">
        <f t="shared" si="5"/>
        <v>N/A</v>
      </c>
      <c r="AJ1523" s="157" t="str">
        <f t="shared" si="6"/>
        <v/>
      </c>
    </row>
    <row r="1524" ht="12.75" customHeight="1">
      <c r="A1524" s="244" t="s">
        <v>3601</v>
      </c>
      <c r="B1524" s="244" t="s">
        <v>3960</v>
      </c>
      <c r="C1524" s="244" t="s">
        <v>3993</v>
      </c>
      <c r="D1524" s="154" t="s">
        <v>1069</v>
      </c>
      <c r="E1524" s="250" t="s">
        <v>489</v>
      </c>
      <c r="F1524" s="154" t="str">
        <f t="array" ref="F1524">XLOOKUP(Cover!$D$12,$S$1:$AA$1,$S1524:$AA1524)</f>
        <v>Recommended</v>
      </c>
      <c r="G1524" s="154" t="s">
        <v>3994</v>
      </c>
      <c r="H1524" s="154" t="s">
        <v>398</v>
      </c>
      <c r="I1524" s="154" t="s">
        <v>420</v>
      </c>
      <c r="J1524" s="247" t="s">
        <v>516</v>
      </c>
      <c r="K1524" s="247" t="s">
        <v>3995</v>
      </c>
      <c r="L1524" s="154" t="str">
        <f t="shared" si="1"/>
        <v/>
      </c>
      <c r="M1524" s="253" t="str">
        <f>IFERROR(__xludf.DUMMYFUNCTION("VLOOKUP(C1524,IMPORTRANGE(""https://docs.google.com/spreadsheets/d/1P8eX0NWBhUPS_hvzA11R6jkTNFrPrRYIx_dX_hYbxrk/edit?resourcekey=0-iw9bsKY2OqkUHCFMkCar3A&amp;gid=2055363397#gid=2055363397"",""MTR!C:O""),11,false)"),"#N/A")</f>
        <v>#N/A</v>
      </c>
      <c r="N1524" s="253" t="str">
        <f>IFERROR(__xludf.DUMMYFUNCTION("VLOOKUP(C1524,IMPORTRANGE(""https://docs.google.com/spreadsheets/d/1ihFlp3_ePlYtFuPbUNbYj1muErVpI73WHXbEwJDIA7Q/edit#gid=1493122344"",""MTR!C:O""),8,false)"),"#N/A")</f>
        <v>#N/A</v>
      </c>
      <c r="O1524" s="253" t="str">
        <f>IFERROR(__xludf.DUMMYFUNCTION("VLOOKUP(C1524,IMPORTRANGE(""https://docs.google.com/spreadsheets/d/1P8eX0NWBhUPS_hvzA11R6jkTNFrPrRYIx_dX_hYbxrk/edit?resourcekey=0-iw9bsKY2OqkUHCFMkCar3A&amp;gid=2055363397#gid=2055363397"",""MTR!C:O""),9,false)"),"#N/A")</f>
        <v>#N/A</v>
      </c>
      <c r="P1524" s="253"/>
      <c r="Q1524" s="253"/>
      <c r="R1524" s="253"/>
      <c r="S1524" s="154" t="s">
        <v>68</v>
      </c>
      <c r="T1524" s="154" t="s">
        <v>64</v>
      </c>
      <c r="U1524" s="154" t="s">
        <v>64</v>
      </c>
      <c r="V1524" s="154" t="s">
        <v>64</v>
      </c>
      <c r="W1524" s="154" t="s">
        <v>64</v>
      </c>
      <c r="X1524" s="154" t="s">
        <v>64</v>
      </c>
      <c r="Y1524" s="154" t="s">
        <v>64</v>
      </c>
      <c r="Z1524" s="154" t="s">
        <v>64</v>
      </c>
      <c r="AA1524" s="154" t="s">
        <v>64</v>
      </c>
      <c r="AB1524" s="154"/>
      <c r="AC1524" s="242" t="b">
        <f t="shared" si="2"/>
        <v>1</v>
      </c>
      <c r="AD1524" s="154" t="s">
        <v>391</v>
      </c>
      <c r="AE1524" s="243" t="b">
        <f t="shared" si="3"/>
        <v>0</v>
      </c>
      <c r="AF1524" s="154"/>
      <c r="AG1524" s="243" t="b">
        <f t="shared" si="7"/>
        <v>0</v>
      </c>
      <c r="AH1524" s="154"/>
      <c r="AI1524" s="243" t="str">
        <f t="shared" si="5"/>
        <v>N/A</v>
      </c>
      <c r="AJ1524" s="157" t="str">
        <f t="shared" si="6"/>
        <v/>
      </c>
    </row>
    <row r="1525" ht="12.75" customHeight="1">
      <c r="A1525" s="244" t="s">
        <v>3601</v>
      </c>
      <c r="B1525" s="244" t="s">
        <v>3960</v>
      </c>
      <c r="C1525" s="244" t="s">
        <v>3996</v>
      </c>
      <c r="D1525" s="154" t="s">
        <v>1069</v>
      </c>
      <c r="E1525" s="250" t="s">
        <v>489</v>
      </c>
      <c r="F1525" s="154" t="str">
        <f t="array" ref="F1525">XLOOKUP(Cover!$D$12,$S$1:$AA$1,$S1525:$AA1525)</f>
        <v>Recommended</v>
      </c>
      <c r="G1525" s="154" t="s">
        <v>3997</v>
      </c>
      <c r="H1525" s="154" t="s">
        <v>398</v>
      </c>
      <c r="I1525" s="154" t="s">
        <v>420</v>
      </c>
      <c r="J1525" s="247" t="s">
        <v>617</v>
      </c>
      <c r="K1525" s="154"/>
      <c r="L1525" s="154" t="str">
        <f t="shared" si="1"/>
        <v/>
      </c>
      <c r="M1525" s="253" t="str">
        <f>IFERROR(__xludf.DUMMYFUNCTION("VLOOKUP(C1525,IMPORTRANGE(""https://docs.google.com/spreadsheets/d/1P8eX0NWBhUPS_hvzA11R6jkTNFrPrRYIx_dX_hYbxrk/edit?resourcekey=0-iw9bsKY2OqkUHCFMkCar3A&amp;gid=2055363397#gid=2055363397"",""MTR!C:O""),11,false)"),"#N/A")</f>
        <v>#N/A</v>
      </c>
      <c r="N1525" s="253" t="str">
        <f>IFERROR(__xludf.DUMMYFUNCTION("VLOOKUP(C1525,IMPORTRANGE(""https://docs.google.com/spreadsheets/d/1ihFlp3_ePlYtFuPbUNbYj1muErVpI73WHXbEwJDIA7Q/edit#gid=1493122344"",""MTR!C:O""),8,false)"),"#N/A")</f>
        <v>#N/A</v>
      </c>
      <c r="O1525" s="253" t="str">
        <f>IFERROR(__xludf.DUMMYFUNCTION("VLOOKUP(C1525,IMPORTRANGE(""https://docs.google.com/spreadsheets/d/1P8eX0NWBhUPS_hvzA11R6jkTNFrPrRYIx_dX_hYbxrk/edit?resourcekey=0-iw9bsKY2OqkUHCFMkCar3A&amp;gid=2055363397#gid=2055363397"",""MTR!C:O""),9,false)"),"#N/A")</f>
        <v>#N/A</v>
      </c>
      <c r="P1525" s="253"/>
      <c r="Q1525" s="253"/>
      <c r="R1525" s="253"/>
      <c r="S1525" s="154" t="s">
        <v>68</v>
      </c>
      <c r="T1525" s="154" t="s">
        <v>64</v>
      </c>
      <c r="U1525" s="154" t="s">
        <v>64</v>
      </c>
      <c r="V1525" s="154" t="s">
        <v>64</v>
      </c>
      <c r="W1525" s="154" t="s">
        <v>64</v>
      </c>
      <c r="X1525" s="154" t="s">
        <v>64</v>
      </c>
      <c r="Y1525" s="154" t="s">
        <v>64</v>
      </c>
      <c r="Z1525" s="154" t="s">
        <v>64</v>
      </c>
      <c r="AA1525" s="154" t="s">
        <v>64</v>
      </c>
      <c r="AB1525" s="154"/>
      <c r="AC1525" s="242" t="b">
        <f t="shared" si="2"/>
        <v>1</v>
      </c>
      <c r="AD1525" s="154" t="s">
        <v>391</v>
      </c>
      <c r="AE1525" s="243" t="b">
        <f t="shared" si="3"/>
        <v>0</v>
      </c>
      <c r="AF1525" s="154"/>
      <c r="AG1525" s="243" t="b">
        <f t="shared" si="7"/>
        <v>0</v>
      </c>
      <c r="AH1525" s="154"/>
      <c r="AI1525" s="243" t="str">
        <f t="shared" si="5"/>
        <v>N/A</v>
      </c>
      <c r="AJ1525" s="157" t="str">
        <f t="shared" si="6"/>
        <v/>
      </c>
    </row>
    <row r="1526" ht="12.75" customHeight="1">
      <c r="A1526" s="244" t="s">
        <v>3601</v>
      </c>
      <c r="B1526" s="244" t="s">
        <v>3960</v>
      </c>
      <c r="C1526" s="244" t="s">
        <v>3998</v>
      </c>
      <c r="D1526" s="154" t="s">
        <v>1069</v>
      </c>
      <c r="E1526" s="250" t="s">
        <v>489</v>
      </c>
      <c r="F1526" s="154" t="str">
        <f t="array" ref="F1526">XLOOKUP(Cover!$D$12,$S$1:$AA$1,$S1526:$AA1526)</f>
        <v>Recommended</v>
      </c>
      <c r="G1526" s="154" t="s">
        <v>3999</v>
      </c>
      <c r="H1526" s="154" t="s">
        <v>398</v>
      </c>
      <c r="I1526" s="154" t="s">
        <v>420</v>
      </c>
      <c r="J1526" s="247" t="s">
        <v>617</v>
      </c>
      <c r="K1526" s="154"/>
      <c r="L1526" s="154" t="str">
        <f t="shared" si="1"/>
        <v/>
      </c>
      <c r="M1526" s="253" t="str">
        <f>IFERROR(__xludf.DUMMYFUNCTION("VLOOKUP(C1526,IMPORTRANGE(""https://docs.google.com/spreadsheets/d/1P8eX0NWBhUPS_hvzA11R6jkTNFrPrRYIx_dX_hYbxrk/edit?resourcekey=0-iw9bsKY2OqkUHCFMkCar3A&amp;gid=2055363397#gid=2055363397"",""MTR!C:O""),11,false)"),"#N/A")</f>
        <v>#N/A</v>
      </c>
      <c r="N1526" s="253" t="str">
        <f>IFERROR(__xludf.DUMMYFUNCTION("VLOOKUP(C1526,IMPORTRANGE(""https://docs.google.com/spreadsheets/d/1ihFlp3_ePlYtFuPbUNbYj1muErVpI73WHXbEwJDIA7Q/edit#gid=1493122344"",""MTR!C:O""),8,false)"),"#N/A")</f>
        <v>#N/A</v>
      </c>
      <c r="O1526" s="253" t="str">
        <f>IFERROR(__xludf.DUMMYFUNCTION("VLOOKUP(C1526,IMPORTRANGE(""https://docs.google.com/spreadsheets/d/1P8eX0NWBhUPS_hvzA11R6jkTNFrPrRYIx_dX_hYbxrk/edit?resourcekey=0-iw9bsKY2OqkUHCFMkCar3A&amp;gid=2055363397#gid=2055363397"",""MTR!C:O""),9,false)"),"#N/A")</f>
        <v>#N/A</v>
      </c>
      <c r="P1526" s="253"/>
      <c r="Q1526" s="253"/>
      <c r="R1526" s="253"/>
      <c r="S1526" s="154" t="s">
        <v>68</v>
      </c>
      <c r="T1526" s="154" t="s">
        <v>64</v>
      </c>
      <c r="U1526" s="154" t="s">
        <v>64</v>
      </c>
      <c r="V1526" s="154" t="s">
        <v>64</v>
      </c>
      <c r="W1526" s="154" t="s">
        <v>64</v>
      </c>
      <c r="X1526" s="154" t="s">
        <v>64</v>
      </c>
      <c r="Y1526" s="154" t="s">
        <v>64</v>
      </c>
      <c r="Z1526" s="154" t="s">
        <v>64</v>
      </c>
      <c r="AA1526" s="154" t="s">
        <v>64</v>
      </c>
      <c r="AB1526" s="154"/>
      <c r="AC1526" s="242" t="b">
        <f t="shared" si="2"/>
        <v>1</v>
      </c>
      <c r="AD1526" s="154" t="s">
        <v>391</v>
      </c>
      <c r="AE1526" s="243" t="b">
        <f t="shared" si="3"/>
        <v>0</v>
      </c>
      <c r="AF1526" s="154"/>
      <c r="AG1526" s="243" t="b">
        <f t="shared" si="7"/>
        <v>0</v>
      </c>
      <c r="AH1526" s="154"/>
      <c r="AI1526" s="243" t="str">
        <f t="shared" si="5"/>
        <v>N/A</v>
      </c>
      <c r="AJ1526" s="157" t="str">
        <f t="shared" si="6"/>
        <v/>
      </c>
    </row>
    <row r="1527" ht="12.75" customHeight="1">
      <c r="A1527" s="244" t="s">
        <v>3601</v>
      </c>
      <c r="B1527" s="244" t="s">
        <v>3960</v>
      </c>
      <c r="C1527" s="244" t="s">
        <v>4000</v>
      </c>
      <c r="D1527" s="154" t="s">
        <v>1069</v>
      </c>
      <c r="E1527" s="250" t="s">
        <v>489</v>
      </c>
      <c r="F1527" s="154" t="str">
        <f t="array" ref="F1527">XLOOKUP(Cover!$D$12,$S$1:$AA$1,$S1527:$AA1527)</f>
        <v>Recommended</v>
      </c>
      <c r="G1527" s="154" t="s">
        <v>4001</v>
      </c>
      <c r="H1527" s="154" t="s">
        <v>398</v>
      </c>
      <c r="I1527" s="154" t="s">
        <v>420</v>
      </c>
      <c r="J1527" s="247" t="s">
        <v>617</v>
      </c>
      <c r="K1527" s="154"/>
      <c r="L1527" s="154" t="str">
        <f t="shared" si="1"/>
        <v/>
      </c>
      <c r="M1527" s="253" t="str">
        <f>IFERROR(__xludf.DUMMYFUNCTION("VLOOKUP(C1527,IMPORTRANGE(""https://docs.google.com/spreadsheets/d/1P8eX0NWBhUPS_hvzA11R6jkTNFrPrRYIx_dX_hYbxrk/edit?resourcekey=0-iw9bsKY2OqkUHCFMkCar3A&amp;gid=2055363397#gid=2055363397"",""MTR!C:O""),11,false)"),"#N/A")</f>
        <v>#N/A</v>
      </c>
      <c r="N1527" s="253" t="str">
        <f>IFERROR(__xludf.DUMMYFUNCTION("VLOOKUP(C1527,IMPORTRANGE(""https://docs.google.com/spreadsheets/d/1ihFlp3_ePlYtFuPbUNbYj1muErVpI73WHXbEwJDIA7Q/edit#gid=1493122344"",""MTR!C:O""),8,false)"),"#N/A")</f>
        <v>#N/A</v>
      </c>
      <c r="O1527" s="253" t="str">
        <f>IFERROR(__xludf.DUMMYFUNCTION("VLOOKUP(C1527,IMPORTRANGE(""https://docs.google.com/spreadsheets/d/1P8eX0NWBhUPS_hvzA11R6jkTNFrPrRYIx_dX_hYbxrk/edit?resourcekey=0-iw9bsKY2OqkUHCFMkCar3A&amp;gid=2055363397#gid=2055363397"",""MTR!C:O""),9,false)"),"#N/A")</f>
        <v>#N/A</v>
      </c>
      <c r="P1527" s="253"/>
      <c r="Q1527" s="253"/>
      <c r="R1527" s="253"/>
      <c r="S1527" s="154" t="s">
        <v>68</v>
      </c>
      <c r="T1527" s="154" t="s">
        <v>64</v>
      </c>
      <c r="U1527" s="154" t="s">
        <v>64</v>
      </c>
      <c r="V1527" s="154" t="s">
        <v>64</v>
      </c>
      <c r="W1527" s="154" t="s">
        <v>64</v>
      </c>
      <c r="X1527" s="154" t="s">
        <v>64</v>
      </c>
      <c r="Y1527" s="154" t="s">
        <v>64</v>
      </c>
      <c r="Z1527" s="154" t="s">
        <v>64</v>
      </c>
      <c r="AA1527" s="154" t="s">
        <v>64</v>
      </c>
      <c r="AB1527" s="154"/>
      <c r="AC1527" s="242" t="b">
        <f t="shared" si="2"/>
        <v>1</v>
      </c>
      <c r="AD1527" s="154" t="s">
        <v>391</v>
      </c>
      <c r="AE1527" s="243" t="b">
        <f t="shared" si="3"/>
        <v>0</v>
      </c>
      <c r="AF1527" s="154"/>
      <c r="AG1527" s="243" t="b">
        <f t="shared" si="7"/>
        <v>0</v>
      </c>
      <c r="AH1527" s="154"/>
      <c r="AI1527" s="243" t="str">
        <f t="shared" si="5"/>
        <v>N/A</v>
      </c>
      <c r="AJ1527" s="157" t="str">
        <f t="shared" si="6"/>
        <v/>
      </c>
    </row>
    <row r="1528" ht="12.75" customHeight="1">
      <c r="A1528" s="244" t="s">
        <v>3601</v>
      </c>
      <c r="B1528" s="244" t="s">
        <v>3960</v>
      </c>
      <c r="C1528" s="244" t="s">
        <v>4002</v>
      </c>
      <c r="D1528" s="154" t="s">
        <v>45</v>
      </c>
      <c r="E1528" s="250"/>
      <c r="F1528" s="154" t="str">
        <f t="array" ref="F1528">XLOOKUP(Cover!$D$12,$S$1:$AA$1,$S1528:$AA1528)</f>
        <v>Mandatory</v>
      </c>
      <c r="G1528" s="154" t="s">
        <v>4003</v>
      </c>
      <c r="H1528" s="154" t="s">
        <v>398</v>
      </c>
      <c r="I1528" s="154" t="s">
        <v>420</v>
      </c>
      <c r="J1528" s="247" t="s">
        <v>617</v>
      </c>
      <c r="K1528" s="154" t="s">
        <v>3980</v>
      </c>
      <c r="L1528" s="154" t="str">
        <f t="shared" si="1"/>
        <v/>
      </c>
      <c r="M1528" s="253" t="str">
        <f>IFERROR(__xludf.DUMMYFUNCTION("VLOOKUP(C1528,IMPORTRANGE(""https://docs.google.com/spreadsheets/d/1P8eX0NWBhUPS_hvzA11R6jkTNFrPrRYIx_dX_hYbxrk/edit?resourcekey=0-iw9bsKY2OqkUHCFMkCar3A&amp;gid=2055363397#gid=2055363397"",""MTR!C:O""),11,false)"),"#N/A")</f>
        <v>#N/A</v>
      </c>
      <c r="N1528" s="253" t="str">
        <f>IFERROR(__xludf.DUMMYFUNCTION("VLOOKUP(C1528,IMPORTRANGE(""https://docs.google.com/spreadsheets/d/1ihFlp3_ePlYtFuPbUNbYj1muErVpI73WHXbEwJDIA7Q/edit#gid=1493122344"",""MTR!C:O""),8,false)"),"#N/A")</f>
        <v>#N/A</v>
      </c>
      <c r="O1528" s="248" t="str">
        <f>IFERROR(__xludf.DUMMYFUNCTION("VLOOKUP(C1528,IMPORTRANGE(""https://docs.google.com/spreadsheets/d/1P8eX0NWBhUPS_hvzA11R6jkTNFrPrRYIx_dX_hYbxrk/edit?resourcekey=0-iw9bsKY2OqkUHCFMkCar3A&amp;gid=2055363397#gid=2055363397"",""MTR!C:O""),9,false)"),"Follow AOSP design")</f>
        <v>Follow AOSP design</v>
      </c>
      <c r="P1528" s="248"/>
      <c r="Q1528" s="248"/>
      <c r="R1528" s="248"/>
      <c r="S1528" s="154" t="s">
        <v>68</v>
      </c>
      <c r="T1528" s="154" t="s">
        <v>60</v>
      </c>
      <c r="U1528" s="154" t="s">
        <v>60</v>
      </c>
      <c r="V1528" s="154" t="s">
        <v>60</v>
      </c>
      <c r="W1528" s="154" t="s">
        <v>60</v>
      </c>
      <c r="X1528" s="154" t="s">
        <v>60</v>
      </c>
      <c r="Y1528" s="154" t="s">
        <v>60</v>
      </c>
      <c r="Z1528" s="154" t="s">
        <v>60</v>
      </c>
      <c r="AA1528" s="154" t="s">
        <v>60</v>
      </c>
      <c r="AB1528" s="154"/>
      <c r="AC1528" s="242" t="b">
        <f t="shared" si="2"/>
        <v>1</v>
      </c>
      <c r="AD1528" s="154" t="s">
        <v>391</v>
      </c>
      <c r="AE1528" s="243" t="b">
        <f t="shared" si="3"/>
        <v>0</v>
      </c>
      <c r="AF1528" s="154"/>
      <c r="AG1528" s="243" t="b">
        <f t="shared" si="7"/>
        <v>0</v>
      </c>
      <c r="AH1528" s="154"/>
      <c r="AI1528" s="243" t="str">
        <f t="shared" si="5"/>
        <v>N/A</v>
      </c>
      <c r="AJ1528" s="157" t="str">
        <f t="shared" si="6"/>
        <v/>
      </c>
    </row>
    <row r="1529" ht="12.75" customHeight="1">
      <c r="A1529" s="238" t="s">
        <v>3601</v>
      </c>
      <c r="B1529" s="238" t="s">
        <v>3960</v>
      </c>
      <c r="C1529" s="238" t="s">
        <v>4004</v>
      </c>
      <c r="D1529" s="238"/>
      <c r="E1529" s="238"/>
      <c r="F1529" s="154" t="str">
        <f t="array" ref="F1529">XLOOKUP(Cover!$D$12,$S$1:$AA$1,$S1529:$AA1529)</f>
        <v>Heading</v>
      </c>
      <c r="G1529" s="239" t="s">
        <v>4005</v>
      </c>
      <c r="H1529" s="240"/>
      <c r="I1529" s="240" t="s">
        <v>420</v>
      </c>
      <c r="J1529" s="240"/>
      <c r="K1529" s="240"/>
      <c r="L1529" s="154" t="str">
        <f t="shared" si="1"/>
        <v/>
      </c>
      <c r="M1529" s="241" t="str">
        <f>IFERROR(__xludf.DUMMYFUNCTION("VLOOKUP(C1529,IMPORTRANGE(""https://docs.google.com/spreadsheets/d/1P8eX0NWBhUPS_hvzA11R6jkTNFrPrRYIx_dX_hYbxrk/edit?resourcekey=0-iw9bsKY2OqkUHCFMkCar3A&amp;gid=2055363397#gid=2055363397"",""MTR!C:O""),11,false)"),"")</f>
        <v/>
      </c>
      <c r="N1529" s="241" t="str">
        <f>IFERROR(__xludf.DUMMYFUNCTION("VLOOKUP(C1529,IMPORTRANGE(""https://docs.google.com/spreadsheets/d/1ihFlp3_ePlYtFuPbUNbYj1muErVpI73WHXbEwJDIA7Q/edit#gid=1493122344"",""MTR!C:O""),8,false)"),"")</f>
        <v/>
      </c>
      <c r="O1529" s="241" t="str">
        <f>IFERROR(__xludf.DUMMYFUNCTION("VLOOKUP(C1529,IMPORTRANGE(""https://docs.google.com/spreadsheets/d/1P8eX0NWBhUPS_hvzA11R6jkTNFrPrRYIx_dX_hYbxrk/edit?resourcekey=0-iw9bsKY2OqkUHCFMkCar3A&amp;gid=2055363397#gid=2055363397"",""MTR!C:O""),9,false)"),"")</f>
        <v/>
      </c>
      <c r="P1529" s="241"/>
      <c r="Q1529" s="241"/>
      <c r="R1529" s="241"/>
      <c r="S1529" s="240" t="s">
        <v>390</v>
      </c>
      <c r="T1529" s="240" t="s">
        <v>390</v>
      </c>
      <c r="U1529" s="240" t="s">
        <v>390</v>
      </c>
      <c r="V1529" s="240" t="s">
        <v>390</v>
      </c>
      <c r="W1529" s="240" t="s">
        <v>390</v>
      </c>
      <c r="X1529" s="240" t="s">
        <v>390</v>
      </c>
      <c r="Y1529" s="240" t="s">
        <v>390</v>
      </c>
      <c r="Z1529" s="240" t="s">
        <v>390</v>
      </c>
      <c r="AA1529" s="240" t="s">
        <v>390</v>
      </c>
      <c r="AB1529" s="240"/>
      <c r="AC1529" s="242" t="b">
        <f t="shared" si="2"/>
        <v>0</v>
      </c>
      <c r="AD1529" s="240" t="s">
        <v>391</v>
      </c>
      <c r="AE1529" s="243" t="b">
        <f t="shared" si="3"/>
        <v>0</v>
      </c>
      <c r="AF1529" s="240"/>
      <c r="AG1529" s="243" t="b">
        <f t="shared" si="7"/>
        <v>0</v>
      </c>
      <c r="AH1529" s="240"/>
      <c r="AI1529" s="243" t="str">
        <f t="shared" si="5"/>
        <v>N/A</v>
      </c>
      <c r="AJ1529" s="157" t="str">
        <f t="shared" si="6"/>
        <v/>
      </c>
    </row>
    <row r="1530" ht="12.75" customHeight="1">
      <c r="A1530" s="244" t="s">
        <v>3601</v>
      </c>
      <c r="B1530" s="244" t="s">
        <v>3960</v>
      </c>
      <c r="C1530" s="244" t="s">
        <v>4006</v>
      </c>
      <c r="D1530" s="154" t="s">
        <v>477</v>
      </c>
      <c r="E1530" s="250"/>
      <c r="F1530" s="154" t="str">
        <f t="array" ref="F1530">XLOOKUP(Cover!$D$12,$S$1:$AA$1,$S1530:$AA1530)</f>
        <v>Mandatory</v>
      </c>
      <c r="G1530" s="154" t="s">
        <v>4007</v>
      </c>
      <c r="H1530" s="154" t="s">
        <v>398</v>
      </c>
      <c r="I1530" s="154" t="s">
        <v>420</v>
      </c>
      <c r="J1530" s="154" t="s">
        <v>445</v>
      </c>
      <c r="K1530" s="154" t="s">
        <v>4008</v>
      </c>
      <c r="L1530" s="154" t="str">
        <f t="shared" si="1"/>
        <v/>
      </c>
      <c r="M1530" s="248" t="str">
        <f>IFERROR(__xludf.DUMMYFUNCTION("VLOOKUP(C1530,IMPORTRANGE(""https://docs.google.com/spreadsheets/d/1P8eX0NWBhUPS_hvzA11R6jkTNFrPrRYIx_dX_hYbxrk/edit?resourcekey=0-iw9bsKY2OqkUHCFMkCar3A&amp;gid=2055363397#gid=2055363397"",""MTR!C:O""),11,false)"),"TAM")</f>
        <v>TAM</v>
      </c>
      <c r="N1530" s="248" t="str">
        <f>IFERROR(__xludf.DUMMYFUNCTION("VLOOKUP(C1530,IMPORTRANGE(""https://docs.google.com/spreadsheets/d/1ihFlp3_ePlYtFuPbUNbYj1muErVpI73WHXbEwJDIA7Q/edit#gid=1493122344"",""MTR!C:O""),8,false)"),"Complies")</f>
        <v>Complies</v>
      </c>
      <c r="O1530" s="269" t="str">
        <f>IFERROR(__xludf.DUMMYFUNCTION("VLOOKUP(C1530,IMPORTRANGE(""https://docs.google.com/spreadsheets/d/1P8eX0NWBhUPS_hvzA11R6jkTNFrPrRYIx_dX_hYbxrk/edit?resourcekey=0-iw9bsKY2OqkUHCFMkCar3A&amp;gid=2055363397#gid=2055363397"",""MTR!C:O""),9,false)"),"https://android.googlesource.com/?format=HTML")</f>
        <v>https://android.googlesource.com/?format=HTML</v>
      </c>
      <c r="P1530" s="269"/>
      <c r="Q1530" s="270" t="s">
        <v>445</v>
      </c>
      <c r="R1530" s="270" t="s">
        <v>4008</v>
      </c>
      <c r="S1530" s="154" t="s">
        <v>60</v>
      </c>
      <c r="T1530" s="154" t="s">
        <v>60</v>
      </c>
      <c r="U1530" s="154" t="s">
        <v>60</v>
      </c>
      <c r="V1530" s="154" t="s">
        <v>60</v>
      </c>
      <c r="W1530" s="154" t="s">
        <v>60</v>
      </c>
      <c r="X1530" s="154" t="s">
        <v>60</v>
      </c>
      <c r="Y1530" s="154" t="s">
        <v>60</v>
      </c>
      <c r="Z1530" s="154" t="s">
        <v>60</v>
      </c>
      <c r="AA1530" s="154" t="s">
        <v>60</v>
      </c>
      <c r="AB1530" s="154"/>
      <c r="AC1530" s="242" t="b">
        <f t="shared" si="2"/>
        <v>1</v>
      </c>
      <c r="AD1530" s="154" t="s">
        <v>391</v>
      </c>
      <c r="AE1530" s="243" t="b">
        <f t="shared" si="3"/>
        <v>0</v>
      </c>
      <c r="AF1530" s="154"/>
      <c r="AG1530" s="243" t="b">
        <f t="shared" si="7"/>
        <v>0</v>
      </c>
      <c r="AH1530" s="154"/>
      <c r="AI1530" s="243" t="str">
        <f t="shared" si="5"/>
        <v>N/A</v>
      </c>
      <c r="AJ1530" s="157" t="str">
        <f t="shared" si="6"/>
        <v/>
      </c>
    </row>
    <row r="1531" ht="12.75" customHeight="1">
      <c r="A1531" s="238" t="s">
        <v>3601</v>
      </c>
      <c r="B1531" s="238" t="s">
        <v>3960</v>
      </c>
      <c r="C1531" s="238" t="s">
        <v>4009</v>
      </c>
      <c r="D1531" s="238"/>
      <c r="E1531" s="238"/>
      <c r="F1531" s="154" t="str">
        <f t="array" ref="F1531">XLOOKUP(Cover!$D$12,$S$1:$AA$1,$S1531:$AA1531)</f>
        <v>Heading</v>
      </c>
      <c r="G1531" s="239" t="s">
        <v>4010</v>
      </c>
      <c r="H1531" s="240"/>
      <c r="I1531" s="240" t="s">
        <v>420</v>
      </c>
      <c r="J1531" s="262"/>
      <c r="K1531" s="262"/>
      <c r="L1531" s="154" t="str">
        <f t="shared" si="1"/>
        <v/>
      </c>
      <c r="M1531" s="241" t="str">
        <f>IFERROR(__xludf.DUMMYFUNCTION("VLOOKUP(C1531,IMPORTRANGE(""https://docs.google.com/spreadsheets/d/1P8eX0NWBhUPS_hvzA11R6jkTNFrPrRYIx_dX_hYbxrk/edit?resourcekey=0-iw9bsKY2OqkUHCFMkCar3A&amp;gid=2055363397#gid=2055363397"",""MTR!C:O""),11,false)"),"")</f>
        <v/>
      </c>
      <c r="N1531" s="241" t="str">
        <f>IFERROR(__xludf.DUMMYFUNCTION("VLOOKUP(C1531,IMPORTRANGE(""https://docs.google.com/spreadsheets/d/1ihFlp3_ePlYtFuPbUNbYj1muErVpI73WHXbEwJDIA7Q/edit#gid=1493122344"",""MTR!C:O""),8,false)"),"")</f>
        <v/>
      </c>
      <c r="O1531" s="241" t="str">
        <f>IFERROR(__xludf.DUMMYFUNCTION("VLOOKUP(C1531,IMPORTRANGE(""https://docs.google.com/spreadsheets/d/1P8eX0NWBhUPS_hvzA11R6jkTNFrPrRYIx_dX_hYbxrk/edit?resourcekey=0-iw9bsKY2OqkUHCFMkCar3A&amp;gid=2055363397#gid=2055363397"",""MTR!C:O""),9,false)"),"")</f>
        <v/>
      </c>
      <c r="P1531" s="241"/>
      <c r="Q1531" s="251"/>
      <c r="R1531" s="251"/>
      <c r="S1531" s="240" t="s">
        <v>390</v>
      </c>
      <c r="T1531" s="240" t="s">
        <v>390</v>
      </c>
      <c r="U1531" s="240" t="s">
        <v>390</v>
      </c>
      <c r="V1531" s="240" t="s">
        <v>390</v>
      </c>
      <c r="W1531" s="240" t="s">
        <v>390</v>
      </c>
      <c r="X1531" s="240" t="s">
        <v>390</v>
      </c>
      <c r="Y1531" s="240" t="s">
        <v>390</v>
      </c>
      <c r="Z1531" s="240" t="s">
        <v>390</v>
      </c>
      <c r="AA1531" s="240" t="s">
        <v>390</v>
      </c>
      <c r="AB1531" s="240"/>
      <c r="AC1531" s="242" t="b">
        <f t="shared" si="2"/>
        <v>0</v>
      </c>
      <c r="AD1531" s="240" t="s">
        <v>391</v>
      </c>
      <c r="AE1531" s="243" t="b">
        <f t="shared" si="3"/>
        <v>0</v>
      </c>
      <c r="AF1531" s="240"/>
      <c r="AG1531" s="243" t="b">
        <f t="shared" si="7"/>
        <v>0</v>
      </c>
      <c r="AH1531" s="240"/>
      <c r="AI1531" s="243" t="str">
        <f t="shared" si="5"/>
        <v>N/A</v>
      </c>
      <c r="AJ1531" s="157" t="str">
        <f t="shared" si="6"/>
        <v/>
      </c>
    </row>
    <row r="1532" ht="12.75" customHeight="1">
      <c r="A1532" s="244" t="s">
        <v>3601</v>
      </c>
      <c r="B1532" s="244" t="s">
        <v>3960</v>
      </c>
      <c r="C1532" s="244" t="s">
        <v>4011</v>
      </c>
      <c r="D1532" s="154" t="s">
        <v>739</v>
      </c>
      <c r="E1532" s="250"/>
      <c r="F1532" s="154" t="str">
        <f t="array" ref="F1532">XLOOKUP(Cover!$D$12,$S$1:$AA$1,$S1532:$AA1532)</f>
        <v>Mandatory</v>
      </c>
      <c r="G1532" s="154" t="s">
        <v>4012</v>
      </c>
      <c r="H1532" s="154" t="s">
        <v>398</v>
      </c>
      <c r="I1532" s="154" t="s">
        <v>414</v>
      </c>
      <c r="J1532" s="154" t="s">
        <v>445</v>
      </c>
      <c r="K1532" s="154" t="s">
        <v>4008</v>
      </c>
      <c r="L1532" s="154" t="str">
        <f t="shared" si="1"/>
        <v/>
      </c>
      <c r="M1532" s="248" t="str">
        <f>IFERROR(__xludf.DUMMYFUNCTION("VLOOKUP(C1532,IMPORTRANGE(""https://docs.google.com/spreadsheets/d/1P8eX0NWBhUPS_hvzA11R6jkTNFrPrRYIx_dX_hYbxrk/edit?resourcekey=0-iw9bsKY2OqkUHCFMkCar3A&amp;gid=2055363397#gid=2055363397"",""MTR!C:O""),11,false)"),"TAM")</f>
        <v>TAM</v>
      </c>
      <c r="N1532" s="248" t="str">
        <f>IFERROR(__xludf.DUMMYFUNCTION("VLOOKUP(C1532,IMPORTRANGE(""https://docs.google.com/spreadsheets/d/1ihFlp3_ePlYtFuPbUNbYj1muErVpI73WHXbEwJDIA7Q/edit#gid=1493122344"",""MTR!C:O""),8,false)"),"Complies")</f>
        <v>Complies</v>
      </c>
      <c r="O1532" s="269" t="str">
        <f>IFERROR(__xludf.DUMMYFUNCTION("VLOOKUP(C1532,IMPORTRANGE(""https://docs.google.com/spreadsheets/d/1P8eX0NWBhUPS_hvzA11R6jkTNFrPrRYIx_dX_hYbxrk/edit?resourcekey=0-iw9bsKY2OqkUHCFMkCar3A&amp;gid=2055363397#gid=2055363397"",""MTR!C:O""),9,false)"),"https://android.googlesource.com/?format=HTML")</f>
        <v>https://android.googlesource.com/?format=HTML</v>
      </c>
      <c r="P1532" s="269"/>
      <c r="Q1532" s="270" t="s">
        <v>445</v>
      </c>
      <c r="R1532" s="270" t="s">
        <v>4008</v>
      </c>
      <c r="S1532" s="154" t="s">
        <v>60</v>
      </c>
      <c r="T1532" s="154" t="s">
        <v>60</v>
      </c>
      <c r="U1532" s="154" t="s">
        <v>60</v>
      </c>
      <c r="V1532" s="154" t="s">
        <v>60</v>
      </c>
      <c r="W1532" s="154" t="s">
        <v>60</v>
      </c>
      <c r="X1532" s="154" t="s">
        <v>60</v>
      </c>
      <c r="Y1532" s="154" t="s">
        <v>60</v>
      </c>
      <c r="Z1532" s="154" t="s">
        <v>60</v>
      </c>
      <c r="AA1532" s="154" t="s">
        <v>60</v>
      </c>
      <c r="AB1532" s="154"/>
      <c r="AC1532" s="242" t="b">
        <f t="shared" si="2"/>
        <v>1</v>
      </c>
      <c r="AD1532" s="154" t="s">
        <v>445</v>
      </c>
      <c r="AE1532" s="243" t="b">
        <f t="shared" si="3"/>
        <v>0</v>
      </c>
      <c r="AF1532" s="154"/>
      <c r="AG1532" s="243" t="b">
        <f t="shared" si="7"/>
        <v>0</v>
      </c>
      <c r="AH1532" s="154"/>
      <c r="AI1532" s="243" t="str">
        <f t="shared" si="5"/>
        <v>N/A</v>
      </c>
      <c r="AJ1532" s="157" t="str">
        <f t="shared" si="6"/>
        <v/>
      </c>
    </row>
    <row r="1533" ht="12.75" customHeight="1">
      <c r="A1533" s="244" t="s">
        <v>3601</v>
      </c>
      <c r="B1533" s="244" t="s">
        <v>3960</v>
      </c>
      <c r="C1533" s="244" t="s">
        <v>4013</v>
      </c>
      <c r="D1533" s="154" t="s">
        <v>739</v>
      </c>
      <c r="E1533" s="250"/>
      <c r="F1533" s="154" t="str">
        <f t="array" ref="F1533">XLOOKUP(Cover!$D$12,$S$1:$AA$1,$S1533:$AA1533)</f>
        <v>Mandatory</v>
      </c>
      <c r="G1533" s="154" t="s">
        <v>4014</v>
      </c>
      <c r="H1533" s="154" t="s">
        <v>398</v>
      </c>
      <c r="I1533" s="154" t="s">
        <v>414</v>
      </c>
      <c r="J1533" s="247" t="s">
        <v>445</v>
      </c>
      <c r="K1533" s="247" t="s">
        <v>4008</v>
      </c>
      <c r="L1533" s="154" t="str">
        <f t="shared" si="1"/>
        <v/>
      </c>
      <c r="M1533" s="248" t="str">
        <f>IFERROR(__xludf.DUMMYFUNCTION("VLOOKUP(C1533,IMPORTRANGE(""https://docs.google.com/spreadsheets/d/1P8eX0NWBhUPS_hvzA11R6jkTNFrPrRYIx_dX_hYbxrk/edit?resourcekey=0-iw9bsKY2OqkUHCFMkCar3A&amp;gid=2055363397#gid=2055363397"",""MTR!C:O""),11,false)"),"TAM")</f>
        <v>TAM</v>
      </c>
      <c r="N1533" s="248" t="str">
        <f>IFERROR(__xludf.DUMMYFUNCTION("VLOOKUP(C1533,IMPORTRANGE(""https://docs.google.com/spreadsheets/d/1ihFlp3_ePlYtFuPbUNbYj1muErVpI73WHXbEwJDIA7Q/edit#gid=1493122344"",""MTR!C:O""),8,false)"),"Complies")</f>
        <v>Complies</v>
      </c>
      <c r="O1533" s="269" t="str">
        <f>IFERROR(__xludf.DUMMYFUNCTION("VLOOKUP(C1533,IMPORTRANGE(""https://docs.google.com/spreadsheets/d/1P8eX0NWBhUPS_hvzA11R6jkTNFrPrRYIx_dX_hYbxrk/edit?resourcekey=0-iw9bsKY2OqkUHCFMkCar3A&amp;gid=2055363397#gid=2055363397"",""MTR!C:O""),9,false)"),"https://android.googlesource.com/?format=HTML")</f>
        <v>https://android.googlesource.com/?format=HTML</v>
      </c>
      <c r="P1533" s="269"/>
      <c r="Q1533" s="270" t="s">
        <v>445</v>
      </c>
      <c r="R1533" s="270" t="s">
        <v>4008</v>
      </c>
      <c r="S1533" s="154" t="s">
        <v>60</v>
      </c>
      <c r="T1533" s="154" t="s">
        <v>60</v>
      </c>
      <c r="U1533" s="154" t="s">
        <v>60</v>
      </c>
      <c r="V1533" s="154" t="s">
        <v>60</v>
      </c>
      <c r="W1533" s="154" t="s">
        <v>60</v>
      </c>
      <c r="X1533" s="154" t="s">
        <v>60</v>
      </c>
      <c r="Y1533" s="154" t="s">
        <v>60</v>
      </c>
      <c r="Z1533" s="154" t="s">
        <v>60</v>
      </c>
      <c r="AA1533" s="154" t="s">
        <v>60</v>
      </c>
      <c r="AB1533" s="154"/>
      <c r="AC1533" s="242" t="b">
        <f t="shared" si="2"/>
        <v>1</v>
      </c>
      <c r="AD1533" s="154" t="s">
        <v>391</v>
      </c>
      <c r="AE1533" s="243" t="b">
        <f t="shared" si="3"/>
        <v>0</v>
      </c>
      <c r="AF1533" s="154"/>
      <c r="AG1533" s="243" t="b">
        <f t="shared" si="7"/>
        <v>0</v>
      </c>
      <c r="AH1533" s="154"/>
      <c r="AI1533" s="243" t="str">
        <f t="shared" si="5"/>
        <v>N/A</v>
      </c>
      <c r="AJ1533" s="157" t="str">
        <f t="shared" si="6"/>
        <v/>
      </c>
    </row>
    <row r="1534" ht="12.75" customHeight="1">
      <c r="A1534" s="244" t="s">
        <v>3601</v>
      </c>
      <c r="B1534" s="244" t="s">
        <v>3960</v>
      </c>
      <c r="C1534" s="244" t="s">
        <v>4015</v>
      </c>
      <c r="D1534" s="154" t="s">
        <v>739</v>
      </c>
      <c r="E1534" s="250"/>
      <c r="F1534" s="154" t="str">
        <f t="array" ref="F1534">XLOOKUP(Cover!$D$12,$S$1:$AA$1,$S1534:$AA1534)</f>
        <v>Mandatory</v>
      </c>
      <c r="G1534" s="154" t="s">
        <v>4016</v>
      </c>
      <c r="H1534" s="154" t="s">
        <v>398</v>
      </c>
      <c r="I1534" s="154" t="s">
        <v>414</v>
      </c>
      <c r="J1534" s="247" t="s">
        <v>445</v>
      </c>
      <c r="K1534" s="247" t="s">
        <v>4008</v>
      </c>
      <c r="L1534" s="154" t="str">
        <f t="shared" si="1"/>
        <v/>
      </c>
      <c r="M1534" s="248" t="str">
        <f>IFERROR(__xludf.DUMMYFUNCTION("VLOOKUP(C1534,IMPORTRANGE(""https://docs.google.com/spreadsheets/d/1P8eX0NWBhUPS_hvzA11R6jkTNFrPrRYIx_dX_hYbxrk/edit?resourcekey=0-iw9bsKY2OqkUHCFMkCar3A&amp;gid=2055363397#gid=2055363397"",""MTR!C:O""),11,false)"),"TAM")</f>
        <v>TAM</v>
      </c>
      <c r="N1534" s="248" t="str">
        <f>IFERROR(__xludf.DUMMYFUNCTION("VLOOKUP(C1534,IMPORTRANGE(""https://docs.google.com/spreadsheets/d/1ihFlp3_ePlYtFuPbUNbYj1muErVpI73WHXbEwJDIA7Q/edit#gid=1493122344"",""MTR!C:O""),8,false)"),"Complies")</f>
        <v>Complies</v>
      </c>
      <c r="O1534" s="269" t="str">
        <f>IFERROR(__xludf.DUMMYFUNCTION("VLOOKUP(C1534,IMPORTRANGE(""https://docs.google.com/spreadsheets/d/1P8eX0NWBhUPS_hvzA11R6jkTNFrPrRYIx_dX_hYbxrk/edit?resourcekey=0-iw9bsKY2OqkUHCFMkCar3A&amp;gid=2055363397#gid=2055363397"",""MTR!C:O""),9,false)"),"https://android.googlesource.com/?format=HTML")</f>
        <v>https://android.googlesource.com/?format=HTML</v>
      </c>
      <c r="P1534" s="269"/>
      <c r="Q1534" s="270" t="s">
        <v>445</v>
      </c>
      <c r="R1534" s="270" t="s">
        <v>4008</v>
      </c>
      <c r="S1534" s="154" t="s">
        <v>60</v>
      </c>
      <c r="T1534" s="154" t="s">
        <v>60</v>
      </c>
      <c r="U1534" s="154" t="s">
        <v>60</v>
      </c>
      <c r="V1534" s="154" t="s">
        <v>60</v>
      </c>
      <c r="W1534" s="154" t="s">
        <v>60</v>
      </c>
      <c r="X1534" s="154" t="s">
        <v>60</v>
      </c>
      <c r="Y1534" s="154" t="s">
        <v>60</v>
      </c>
      <c r="Z1534" s="154" t="s">
        <v>60</v>
      </c>
      <c r="AA1534" s="154" t="s">
        <v>60</v>
      </c>
      <c r="AB1534" s="154"/>
      <c r="AC1534" s="242" t="b">
        <f t="shared" si="2"/>
        <v>1</v>
      </c>
      <c r="AD1534" s="154" t="s">
        <v>445</v>
      </c>
      <c r="AE1534" s="243" t="b">
        <f t="shared" si="3"/>
        <v>0</v>
      </c>
      <c r="AF1534" s="154"/>
      <c r="AG1534" s="243" t="b">
        <f t="shared" si="7"/>
        <v>0</v>
      </c>
      <c r="AH1534" s="154"/>
      <c r="AI1534" s="243" t="str">
        <f t="shared" si="5"/>
        <v>N/A</v>
      </c>
      <c r="AJ1534" s="157" t="str">
        <f t="shared" si="6"/>
        <v/>
      </c>
    </row>
    <row r="1535" ht="12.75" customHeight="1">
      <c r="A1535" s="238" t="s">
        <v>3601</v>
      </c>
      <c r="B1535" s="238" t="s">
        <v>4017</v>
      </c>
      <c r="C1535" s="238" t="s">
        <v>4018</v>
      </c>
      <c r="D1535" s="238"/>
      <c r="E1535" s="238"/>
      <c r="F1535" s="154" t="str">
        <f t="array" ref="F1535">XLOOKUP(Cover!$D$12,$S$1:$AA$1,$S1535:$AA1535)</f>
        <v>Heading</v>
      </c>
      <c r="G1535" s="239" t="s">
        <v>4019</v>
      </c>
      <c r="H1535" s="240"/>
      <c r="I1535" s="240" t="s">
        <v>505</v>
      </c>
      <c r="J1535" s="262"/>
      <c r="K1535" s="262"/>
      <c r="L1535" s="154" t="str">
        <f t="shared" si="1"/>
        <v/>
      </c>
      <c r="M1535" s="241" t="str">
        <f>IFERROR(__xludf.DUMMYFUNCTION("VLOOKUP(C1535,IMPORTRANGE(""https://docs.google.com/spreadsheets/d/1P8eX0NWBhUPS_hvzA11R6jkTNFrPrRYIx_dX_hYbxrk/edit?resourcekey=0-iw9bsKY2OqkUHCFMkCar3A&amp;gid=2055363397#gid=2055363397"",""MTR!C:O""),11,false)"),"")</f>
        <v/>
      </c>
      <c r="N1535" s="241" t="str">
        <f>IFERROR(__xludf.DUMMYFUNCTION("VLOOKUP(C1535,IMPORTRANGE(""https://docs.google.com/spreadsheets/d/1ihFlp3_ePlYtFuPbUNbYj1muErVpI73WHXbEwJDIA7Q/edit#gid=1493122344"",""MTR!C:O""),8,false)"),"")</f>
        <v/>
      </c>
      <c r="O1535" s="241" t="str">
        <f>IFERROR(__xludf.DUMMYFUNCTION("VLOOKUP(C1535,IMPORTRANGE(""https://docs.google.com/spreadsheets/d/1P8eX0NWBhUPS_hvzA11R6jkTNFrPrRYIx_dX_hYbxrk/edit?resourcekey=0-iw9bsKY2OqkUHCFMkCar3A&amp;gid=2055363397#gid=2055363397"",""MTR!C:O""),9,false)"),"")</f>
        <v/>
      </c>
      <c r="P1535" s="241"/>
      <c r="Q1535" s="251"/>
      <c r="R1535" s="251"/>
      <c r="S1535" s="240" t="s">
        <v>390</v>
      </c>
      <c r="T1535" s="240" t="s">
        <v>390</v>
      </c>
      <c r="U1535" s="240" t="s">
        <v>390</v>
      </c>
      <c r="V1535" s="240" t="s">
        <v>390</v>
      </c>
      <c r="W1535" s="240" t="s">
        <v>390</v>
      </c>
      <c r="X1535" s="240" t="s">
        <v>390</v>
      </c>
      <c r="Y1535" s="240" t="s">
        <v>390</v>
      </c>
      <c r="Z1535" s="240" t="s">
        <v>390</v>
      </c>
      <c r="AA1535" s="240" t="s">
        <v>390</v>
      </c>
      <c r="AB1535" s="240"/>
      <c r="AC1535" s="242" t="b">
        <f t="shared" si="2"/>
        <v>0</v>
      </c>
      <c r="AD1535" s="240" t="s">
        <v>391</v>
      </c>
      <c r="AE1535" s="243" t="b">
        <f t="shared" si="3"/>
        <v>0</v>
      </c>
      <c r="AF1535" s="240"/>
      <c r="AG1535" s="243" t="b">
        <f t="shared" si="7"/>
        <v>0</v>
      </c>
      <c r="AH1535" s="240"/>
      <c r="AI1535" s="243" t="str">
        <f t="shared" si="5"/>
        <v>N/A</v>
      </c>
      <c r="AJ1535" s="157" t="str">
        <f t="shared" si="6"/>
        <v/>
      </c>
    </row>
    <row r="1536" ht="12.75" customHeight="1">
      <c r="A1536" s="238" t="s">
        <v>3601</v>
      </c>
      <c r="B1536" s="238" t="s">
        <v>4017</v>
      </c>
      <c r="C1536" s="238" t="s">
        <v>4020</v>
      </c>
      <c r="D1536" s="238"/>
      <c r="E1536" s="238"/>
      <c r="F1536" s="154" t="str">
        <f t="array" ref="F1536">XLOOKUP(Cover!$D$12,$S$1:$AA$1,$S1536:$AA1536)</f>
        <v>Heading</v>
      </c>
      <c r="G1536" s="239" t="s">
        <v>4021</v>
      </c>
      <c r="H1536" s="240"/>
      <c r="I1536" s="240" t="s">
        <v>505</v>
      </c>
      <c r="J1536" s="240"/>
      <c r="K1536" s="240"/>
      <c r="L1536" s="154" t="str">
        <f t="shared" si="1"/>
        <v/>
      </c>
      <c r="M1536" s="241" t="str">
        <f>IFERROR(__xludf.DUMMYFUNCTION("VLOOKUP(C1536,IMPORTRANGE(""https://docs.google.com/spreadsheets/d/1P8eX0NWBhUPS_hvzA11R6jkTNFrPrRYIx_dX_hYbxrk/edit?resourcekey=0-iw9bsKY2OqkUHCFMkCar3A&amp;gid=2055363397#gid=2055363397"",""MTR!C:O""),11,false)"),"")</f>
        <v/>
      </c>
      <c r="N1536" s="241" t="str">
        <f>IFERROR(__xludf.DUMMYFUNCTION("VLOOKUP(C1536,IMPORTRANGE(""https://docs.google.com/spreadsheets/d/1ihFlp3_ePlYtFuPbUNbYj1muErVpI73WHXbEwJDIA7Q/edit#gid=1493122344"",""MTR!C:O""),8,false)"),"")</f>
        <v/>
      </c>
      <c r="O1536" s="241" t="str">
        <f>IFERROR(__xludf.DUMMYFUNCTION("VLOOKUP(C1536,IMPORTRANGE(""https://docs.google.com/spreadsheets/d/1P8eX0NWBhUPS_hvzA11R6jkTNFrPrRYIx_dX_hYbxrk/edit?resourcekey=0-iw9bsKY2OqkUHCFMkCar3A&amp;gid=2055363397#gid=2055363397"",""MTR!C:O""),9,false)"),"")</f>
        <v/>
      </c>
      <c r="P1536" s="241"/>
      <c r="Q1536" s="241"/>
      <c r="R1536" s="241"/>
      <c r="S1536" s="240" t="s">
        <v>390</v>
      </c>
      <c r="T1536" s="240" t="s">
        <v>390</v>
      </c>
      <c r="U1536" s="240" t="s">
        <v>390</v>
      </c>
      <c r="V1536" s="240" t="s">
        <v>390</v>
      </c>
      <c r="W1536" s="240" t="s">
        <v>390</v>
      </c>
      <c r="X1536" s="240" t="s">
        <v>390</v>
      </c>
      <c r="Y1536" s="240" t="s">
        <v>390</v>
      </c>
      <c r="Z1536" s="240" t="s">
        <v>390</v>
      </c>
      <c r="AA1536" s="240" t="s">
        <v>390</v>
      </c>
      <c r="AB1536" s="240"/>
      <c r="AC1536" s="242" t="b">
        <f t="shared" si="2"/>
        <v>0</v>
      </c>
      <c r="AD1536" s="240" t="s">
        <v>391</v>
      </c>
      <c r="AE1536" s="243" t="b">
        <f t="shared" si="3"/>
        <v>0</v>
      </c>
      <c r="AF1536" s="240"/>
      <c r="AG1536" s="243" t="b">
        <f t="shared" si="7"/>
        <v>0</v>
      </c>
      <c r="AH1536" s="240"/>
      <c r="AI1536" s="243" t="str">
        <f t="shared" si="5"/>
        <v>N/A</v>
      </c>
      <c r="AJ1536" s="157" t="str">
        <f t="shared" si="6"/>
        <v/>
      </c>
    </row>
    <row r="1537" ht="12.75" customHeight="1">
      <c r="A1537" s="244" t="s">
        <v>3601</v>
      </c>
      <c r="B1537" s="244" t="s">
        <v>4017</v>
      </c>
      <c r="C1537" s="244" t="s">
        <v>4022</v>
      </c>
      <c r="D1537" s="154" t="s">
        <v>503</v>
      </c>
      <c r="E1537" s="250"/>
      <c r="F1537" s="154" t="str">
        <f t="array" ref="F1537">XLOOKUP(Cover!$D$12,$S$1:$AA$1,$S1537:$AA1537)</f>
        <v>Mandatory</v>
      </c>
      <c r="G1537" s="154" t="s">
        <v>4023</v>
      </c>
      <c r="H1537" s="154"/>
      <c r="I1537" s="154" t="s">
        <v>505</v>
      </c>
      <c r="J1537" s="154" t="s">
        <v>445</v>
      </c>
      <c r="K1537" s="154" t="s">
        <v>4024</v>
      </c>
      <c r="L1537" s="154" t="str">
        <f t="shared" si="1"/>
        <v/>
      </c>
      <c r="M1537" s="248" t="str">
        <f>IFERROR(__xludf.DUMMYFUNCTION("VLOOKUP(C1537,IMPORTRANGE(""https://docs.google.com/spreadsheets/d/1P8eX0NWBhUPS_hvzA11R6jkTNFrPrRYIx_dX_hYbxrk/edit?resourcekey=0-iw9bsKY2OqkUHCFMkCar3A&amp;gid=2055363397#gid=2055363397"",""MTR!C:O""),11,false)"),"TAM")</f>
        <v>TAM</v>
      </c>
      <c r="N1537" s="248" t="str">
        <f>IFERROR(__xludf.DUMMYFUNCTION("VLOOKUP(C1537,IMPORTRANGE(""https://docs.google.com/spreadsheets/d/1ihFlp3_ePlYtFuPbUNbYj1muErVpI73WHXbEwJDIA7Q/edit#gid=1493122344"",""MTR!C:O""),8,false)"),"Complies")</f>
        <v>Complies</v>
      </c>
      <c r="O1537" s="248" t="str">
        <f>IFERROR(__xludf.DUMMYFUNCTION("VLOOKUP(C1537,IMPORTRANGE(""https://docs.google.com/spreadsheets/d/1P8eX0NWBhUPS_hvzA11R6jkTNFrPrRYIx_dX_hYbxrk/edit?resourcekey=0-iw9bsKY2OqkUHCFMkCar3A&amp;gid=2055363397#gid=2055363397"",""MTR!C:O""),9,false)"),"GOTA")</f>
        <v>GOTA</v>
      </c>
      <c r="P1537" s="248"/>
      <c r="Q1537" s="249" t="s">
        <v>445</v>
      </c>
      <c r="R1537" s="249" t="s">
        <v>4024</v>
      </c>
      <c r="S1537" s="154" t="s">
        <v>60</v>
      </c>
      <c r="T1537" s="154" t="s">
        <v>60</v>
      </c>
      <c r="U1537" s="154" t="s">
        <v>60</v>
      </c>
      <c r="V1537" s="154" t="s">
        <v>60</v>
      </c>
      <c r="W1537" s="154" t="s">
        <v>60</v>
      </c>
      <c r="X1537" s="154" t="s">
        <v>60</v>
      </c>
      <c r="Y1537" s="154" t="s">
        <v>60</v>
      </c>
      <c r="Z1537" s="154" t="s">
        <v>60</v>
      </c>
      <c r="AA1537" s="154" t="s">
        <v>60</v>
      </c>
      <c r="AB1537" s="154"/>
      <c r="AC1537" s="242" t="b">
        <f t="shared" si="2"/>
        <v>1</v>
      </c>
      <c r="AD1537" s="154" t="s">
        <v>391</v>
      </c>
      <c r="AE1537" s="243" t="b">
        <f t="shared" si="3"/>
        <v>0</v>
      </c>
      <c r="AF1537" s="154"/>
      <c r="AG1537" s="243" t="b">
        <f t="shared" si="7"/>
        <v>0</v>
      </c>
      <c r="AH1537" s="154"/>
      <c r="AI1537" s="243" t="str">
        <f t="shared" si="5"/>
        <v>N/A</v>
      </c>
      <c r="AJ1537" s="157" t="str">
        <f t="shared" si="6"/>
        <v/>
      </c>
    </row>
    <row r="1538" ht="12.75" customHeight="1">
      <c r="A1538" s="244" t="s">
        <v>3601</v>
      </c>
      <c r="B1538" s="244" t="s">
        <v>4017</v>
      </c>
      <c r="C1538" s="244" t="s">
        <v>4025</v>
      </c>
      <c r="D1538" s="154" t="s">
        <v>642</v>
      </c>
      <c r="E1538" s="250"/>
      <c r="F1538" s="154" t="str">
        <f t="array" ref="F1538">XLOOKUP(Cover!$D$12,$S$1:$AA$1,$S1538:$AA1538)</f>
        <v>Mandatory</v>
      </c>
      <c r="G1538" s="154" t="s">
        <v>4026</v>
      </c>
      <c r="H1538" s="154" t="s">
        <v>4027</v>
      </c>
      <c r="I1538" s="154" t="s">
        <v>505</v>
      </c>
      <c r="J1538" s="247" t="s">
        <v>445</v>
      </c>
      <c r="K1538" s="247" t="s">
        <v>4024</v>
      </c>
      <c r="L1538" s="154" t="str">
        <f t="shared" si="1"/>
        <v/>
      </c>
      <c r="M1538" s="248" t="str">
        <f>IFERROR(__xludf.DUMMYFUNCTION("VLOOKUP(C1538,IMPORTRANGE(""https://docs.google.com/spreadsheets/d/1P8eX0NWBhUPS_hvzA11R6jkTNFrPrRYIx_dX_hYbxrk/edit?resourcekey=0-iw9bsKY2OqkUHCFMkCar3A&amp;gid=2055363397#gid=2055363397"",""MTR!C:O""),11,false)"),"TAM")</f>
        <v>TAM</v>
      </c>
      <c r="N1538" s="248" t="str">
        <f>IFERROR(__xludf.DUMMYFUNCTION("VLOOKUP(C1538,IMPORTRANGE(""https://docs.google.com/spreadsheets/d/1ihFlp3_ePlYtFuPbUNbYj1muErVpI73WHXbEwJDIA7Q/edit#gid=1493122344"",""MTR!C:O""),8,false)"),"Complies")</f>
        <v>Complies</v>
      </c>
      <c r="O1538" s="241" t="str">
        <f>IFERROR(__xludf.DUMMYFUNCTION("VLOOKUP(C1538,IMPORTRANGE(""https://docs.google.com/spreadsheets/d/1P8eX0NWBhUPS_hvzA11R6jkTNFrPrRYIx_dX_hYbxrk/edit?resourcekey=0-iw9bsKY2OqkUHCFMkCar3A&amp;gid=2055363397#gid=2055363397"",""MTR!C:O""),9,false)"),"")</f>
        <v/>
      </c>
      <c r="P1538" s="241"/>
      <c r="Q1538" s="251" t="s">
        <v>445</v>
      </c>
      <c r="R1538" s="251"/>
      <c r="S1538" s="154" t="s">
        <v>60</v>
      </c>
      <c r="T1538" s="154" t="s">
        <v>60</v>
      </c>
      <c r="U1538" s="154" t="s">
        <v>60</v>
      </c>
      <c r="V1538" s="154" t="s">
        <v>60</v>
      </c>
      <c r="W1538" s="154" t="s">
        <v>60</v>
      </c>
      <c r="X1538" s="154" t="s">
        <v>60</v>
      </c>
      <c r="Y1538" s="154" t="s">
        <v>60</v>
      </c>
      <c r="Z1538" s="154" t="s">
        <v>60</v>
      </c>
      <c r="AA1538" s="154" t="s">
        <v>60</v>
      </c>
      <c r="AB1538" s="154"/>
      <c r="AC1538" s="242" t="b">
        <f t="shared" si="2"/>
        <v>1</v>
      </c>
      <c r="AD1538" s="154" t="s">
        <v>445</v>
      </c>
      <c r="AE1538" s="243" t="b">
        <f t="shared" si="3"/>
        <v>0</v>
      </c>
      <c r="AF1538" s="154"/>
      <c r="AG1538" s="243" t="b">
        <f t="shared" si="7"/>
        <v>0</v>
      </c>
      <c r="AH1538" s="154"/>
      <c r="AI1538" s="243" t="str">
        <f t="shared" si="5"/>
        <v>N/A</v>
      </c>
      <c r="AJ1538" s="157" t="str">
        <f t="shared" si="6"/>
        <v/>
      </c>
    </row>
    <row r="1539" ht="12.75" customHeight="1">
      <c r="A1539" s="244" t="s">
        <v>3601</v>
      </c>
      <c r="B1539" s="244" t="s">
        <v>4017</v>
      </c>
      <c r="C1539" s="244" t="s">
        <v>4028</v>
      </c>
      <c r="D1539" s="154" t="s">
        <v>492</v>
      </c>
      <c r="E1539" s="250"/>
      <c r="F1539" s="154" t="str">
        <f t="array" ref="F1539">XLOOKUP(Cover!$D$12,$S$1:$AA$1,$S1539:$AA1539)</f>
        <v>Mandatory</v>
      </c>
      <c r="G1539" s="154" t="s">
        <v>4029</v>
      </c>
      <c r="H1539" s="154" t="s">
        <v>4027</v>
      </c>
      <c r="I1539" s="154" t="s">
        <v>414</v>
      </c>
      <c r="J1539" s="247" t="s">
        <v>445</v>
      </c>
      <c r="K1539" s="154"/>
      <c r="L1539" s="154" t="str">
        <f t="shared" si="1"/>
        <v/>
      </c>
      <c r="M1539" s="248" t="str">
        <f>IFERROR(__xludf.DUMMYFUNCTION("VLOOKUP(C1539,IMPORTRANGE(""https://docs.google.com/spreadsheets/d/1P8eX0NWBhUPS_hvzA11R6jkTNFrPrRYIx_dX_hYbxrk/edit?resourcekey=0-iw9bsKY2OqkUHCFMkCar3A&amp;gid=2055363397#gid=2055363397"",""MTR!C:O""),11,false)"),"TAM")</f>
        <v>TAM</v>
      </c>
      <c r="N1539" s="248" t="str">
        <f>IFERROR(__xludf.DUMMYFUNCTION("VLOOKUP(C1539,IMPORTRANGE(""https://docs.google.com/spreadsheets/d/1ihFlp3_ePlYtFuPbUNbYj1muErVpI73WHXbEwJDIA7Q/edit#gid=1493122344"",""MTR!C:O""),8,false)"),"Complies")</f>
        <v>Complies</v>
      </c>
      <c r="O1539" s="241" t="str">
        <f>IFERROR(__xludf.DUMMYFUNCTION("VLOOKUP(C1539,IMPORTRANGE(""https://docs.google.com/spreadsheets/d/1P8eX0NWBhUPS_hvzA11R6jkTNFrPrRYIx_dX_hYbxrk/edit?resourcekey=0-iw9bsKY2OqkUHCFMkCar3A&amp;gid=2055363397#gid=2055363397"",""MTR!C:O""),9,false)"),"")</f>
        <v/>
      </c>
      <c r="P1539" s="241"/>
      <c r="Q1539" s="251" t="s">
        <v>445</v>
      </c>
      <c r="R1539" s="241"/>
      <c r="S1539" s="154" t="s">
        <v>60</v>
      </c>
      <c r="T1539" s="154" t="s">
        <v>60</v>
      </c>
      <c r="U1539" s="154" t="s">
        <v>60</v>
      </c>
      <c r="V1539" s="154" t="s">
        <v>60</v>
      </c>
      <c r="W1539" s="154" t="s">
        <v>60</v>
      </c>
      <c r="X1539" s="154" t="s">
        <v>60</v>
      </c>
      <c r="Y1539" s="154" t="s">
        <v>60</v>
      </c>
      <c r="Z1539" s="154" t="s">
        <v>60</v>
      </c>
      <c r="AA1539" s="154" t="s">
        <v>60</v>
      </c>
      <c r="AB1539" s="154"/>
      <c r="AC1539" s="242" t="b">
        <f t="shared" si="2"/>
        <v>1</v>
      </c>
      <c r="AD1539" s="154" t="s">
        <v>391</v>
      </c>
      <c r="AE1539" s="243" t="b">
        <f t="shared" si="3"/>
        <v>0</v>
      </c>
      <c r="AF1539" s="154"/>
      <c r="AG1539" s="243" t="b">
        <f t="shared" si="7"/>
        <v>0</v>
      </c>
      <c r="AH1539" s="154"/>
      <c r="AI1539" s="243" t="str">
        <f t="shared" si="5"/>
        <v>N/A</v>
      </c>
      <c r="AJ1539" s="157" t="str">
        <f t="shared" si="6"/>
        <v/>
      </c>
    </row>
    <row r="1540" ht="12.75" customHeight="1">
      <c r="A1540" s="244" t="s">
        <v>3601</v>
      </c>
      <c r="B1540" s="244" t="s">
        <v>4017</v>
      </c>
      <c r="C1540" s="244" t="s">
        <v>4030</v>
      </c>
      <c r="D1540" s="154" t="s">
        <v>45</v>
      </c>
      <c r="E1540" s="250"/>
      <c r="F1540" s="154" t="str">
        <f t="array" ref="F1540">XLOOKUP(Cover!$D$12,$S$1:$AA$1,$S1540:$AA1540)</f>
        <v>Recommended</v>
      </c>
      <c r="G1540" s="154" t="s">
        <v>4031</v>
      </c>
      <c r="H1540" s="154" t="s">
        <v>4027</v>
      </c>
      <c r="I1540" s="154" t="s">
        <v>505</v>
      </c>
      <c r="J1540" s="247" t="s">
        <v>445</v>
      </c>
      <c r="K1540" s="154"/>
      <c r="L1540" s="154" t="str">
        <f t="shared" si="1"/>
        <v/>
      </c>
      <c r="M1540" s="253" t="str">
        <f>IFERROR(__xludf.DUMMYFUNCTION("VLOOKUP(C1540,IMPORTRANGE(""https://docs.google.com/spreadsheets/d/1P8eX0NWBhUPS_hvzA11R6jkTNFrPrRYIx_dX_hYbxrk/edit?resourcekey=0-iw9bsKY2OqkUHCFMkCar3A&amp;gid=2055363397#gid=2055363397"",""MTR!C:O""),11,false)"),"#N/A")</f>
        <v>#N/A</v>
      </c>
      <c r="N1540" s="253" t="str">
        <f>IFERROR(__xludf.DUMMYFUNCTION("VLOOKUP(C1540,IMPORTRANGE(""https://docs.google.com/spreadsheets/d/1ihFlp3_ePlYtFuPbUNbYj1muErVpI73WHXbEwJDIA7Q/edit#gid=1493122344"",""MTR!C:O""),8,false)"),"#N/A")</f>
        <v>#N/A</v>
      </c>
      <c r="O1540" s="241" t="str">
        <f>IFERROR(__xludf.DUMMYFUNCTION("VLOOKUP(C1540,IMPORTRANGE(""https://docs.google.com/spreadsheets/d/1P8eX0NWBhUPS_hvzA11R6jkTNFrPrRYIx_dX_hYbxrk/edit?resourcekey=0-iw9bsKY2OqkUHCFMkCar3A&amp;gid=2055363397#gid=2055363397"",""MTR!C:O""),9,false)"),"")</f>
        <v/>
      </c>
      <c r="P1540" s="241"/>
      <c r="Q1540" s="251"/>
      <c r="R1540" s="241"/>
      <c r="S1540" s="154" t="s">
        <v>64</v>
      </c>
      <c r="T1540" s="154" t="s">
        <v>64</v>
      </c>
      <c r="U1540" s="154" t="s">
        <v>64</v>
      </c>
      <c r="V1540" s="154" t="s">
        <v>64</v>
      </c>
      <c r="W1540" s="154" t="s">
        <v>64</v>
      </c>
      <c r="X1540" s="154" t="s">
        <v>64</v>
      </c>
      <c r="Y1540" s="154" t="s">
        <v>64</v>
      </c>
      <c r="Z1540" s="154" t="s">
        <v>64</v>
      </c>
      <c r="AA1540" s="154" t="s">
        <v>64</v>
      </c>
      <c r="AB1540" s="154"/>
      <c r="AC1540" s="242" t="b">
        <f t="shared" si="2"/>
        <v>1</v>
      </c>
      <c r="AD1540" s="154" t="s">
        <v>516</v>
      </c>
      <c r="AE1540" s="243" t="b">
        <f t="shared" si="3"/>
        <v>0</v>
      </c>
      <c r="AF1540" s="154"/>
      <c r="AG1540" s="243" t="b">
        <f t="shared" si="7"/>
        <v>0</v>
      </c>
      <c r="AH1540" s="154"/>
      <c r="AI1540" s="243" t="str">
        <f t="shared" si="5"/>
        <v>N/A</v>
      </c>
      <c r="AJ1540" s="157" t="str">
        <f t="shared" si="6"/>
        <v/>
      </c>
    </row>
    <row r="1541" ht="12.75" customHeight="1">
      <c r="A1541" s="244" t="s">
        <v>3601</v>
      </c>
      <c r="B1541" s="244" t="s">
        <v>4017</v>
      </c>
      <c r="C1541" s="255" t="s">
        <v>4032</v>
      </c>
      <c r="D1541" s="256" t="s">
        <v>42</v>
      </c>
      <c r="E1541" s="257" t="s">
        <v>489</v>
      </c>
      <c r="F1541" s="154" t="str">
        <f t="array" ref="F1541">XLOOKUP(Cover!$D$12,$S$1:$AA$1,$S1541:$AA1541)</f>
        <v>Mandatory</v>
      </c>
      <c r="G1541" s="154" t="s">
        <v>4033</v>
      </c>
      <c r="H1541" s="154" t="s">
        <v>4027</v>
      </c>
      <c r="I1541" s="154" t="s">
        <v>505</v>
      </c>
      <c r="J1541" s="154"/>
      <c r="K1541" s="247" t="s">
        <v>4034</v>
      </c>
      <c r="L1541" s="154" t="str">
        <f t="shared" si="1"/>
        <v>Compliance Statement missing!</v>
      </c>
      <c r="M1541" s="253" t="str">
        <f>IFERROR(__xludf.DUMMYFUNCTION("VLOOKUP(C1541,IMPORTRANGE(""https://docs.google.com/spreadsheets/d/1P8eX0NWBhUPS_hvzA11R6jkTNFrPrRYIx_dX_hYbxrk/edit?resourcekey=0-iw9bsKY2OqkUHCFMkCar3A&amp;gid=2055363397#gid=2055363397"",""MTR!C:O""),11,false)"),"#N/A")</f>
        <v>#N/A</v>
      </c>
      <c r="N1541" s="253" t="str">
        <f>IFERROR(__xludf.DUMMYFUNCTION("VLOOKUP(C1541,IMPORTRANGE(""https://docs.google.com/spreadsheets/d/1ihFlp3_ePlYtFuPbUNbYj1muErVpI73WHXbEwJDIA7Q/edit#gid=1493122344"",""MTR!C:O""),8,false)"),"#N/A")</f>
        <v>#N/A</v>
      </c>
      <c r="O1541" s="253" t="str">
        <f>IFERROR(__xludf.DUMMYFUNCTION("VLOOKUP(C1541,IMPORTRANGE(""https://docs.google.com/spreadsheets/d/1P8eX0NWBhUPS_hvzA11R6jkTNFrPrRYIx_dX_hYbxrk/edit?resourcekey=0-iw9bsKY2OqkUHCFMkCar3A&amp;gid=2055363397#gid=2055363397"",""MTR!C:O""),9,false)"),"#N/A")</f>
        <v>#N/A</v>
      </c>
      <c r="P1541" s="253"/>
      <c r="Q1541" s="253"/>
      <c r="R1541" s="253"/>
      <c r="S1541" s="154" t="s">
        <v>60</v>
      </c>
      <c r="T1541" s="154" t="s">
        <v>60</v>
      </c>
      <c r="U1541" s="154" t="s">
        <v>60</v>
      </c>
      <c r="V1541" s="154" t="s">
        <v>60</v>
      </c>
      <c r="W1541" s="154" t="s">
        <v>60</v>
      </c>
      <c r="X1541" s="154" t="s">
        <v>60</v>
      </c>
      <c r="Y1541" s="154" t="s">
        <v>60</v>
      </c>
      <c r="Z1541" s="154" t="s">
        <v>60</v>
      </c>
      <c r="AA1541" s="154" t="s">
        <v>60</v>
      </c>
      <c r="AB1541" s="154"/>
      <c r="AC1541" s="242" t="b">
        <f t="shared" si="2"/>
        <v>0</v>
      </c>
      <c r="AD1541" s="154" t="s">
        <v>445</v>
      </c>
      <c r="AE1541" s="243" t="b">
        <f t="shared" si="3"/>
        <v>0</v>
      </c>
      <c r="AF1541" s="154"/>
      <c r="AG1541" s="243" t="b">
        <f t="shared" si="7"/>
        <v>0</v>
      </c>
      <c r="AH1541" s="154"/>
      <c r="AI1541" s="243" t="str">
        <f t="shared" si="5"/>
        <v>N/A</v>
      </c>
      <c r="AJ1541" s="157" t="str">
        <f t="shared" si="6"/>
        <v>Compliance Statement missing!</v>
      </c>
    </row>
    <row r="1542" ht="12.75" customHeight="1">
      <c r="A1542" s="244" t="s">
        <v>3601</v>
      </c>
      <c r="B1542" s="244" t="s">
        <v>4017</v>
      </c>
      <c r="C1542" s="244" t="s">
        <v>4035</v>
      </c>
      <c r="D1542" s="154" t="s">
        <v>642</v>
      </c>
      <c r="E1542" s="250"/>
      <c r="F1542" s="154" t="str">
        <f t="array" ref="F1542">XLOOKUP(Cover!$D$12,$S$1:$AA$1,$S1542:$AA1542)</f>
        <v>Mandatory</v>
      </c>
      <c r="G1542" s="154" t="s">
        <v>4036</v>
      </c>
      <c r="H1542" s="154" t="s">
        <v>4027</v>
      </c>
      <c r="I1542" s="154" t="s">
        <v>505</v>
      </c>
      <c r="J1542" s="154" t="s">
        <v>506</v>
      </c>
      <c r="K1542" s="154" t="s">
        <v>4037</v>
      </c>
      <c r="L1542" s="154" t="str">
        <f t="shared" si="1"/>
        <v/>
      </c>
      <c r="M1542" s="248" t="str">
        <f>IFERROR(__xludf.DUMMYFUNCTION("VLOOKUP(C1542,IMPORTRANGE(""https://docs.google.com/spreadsheets/d/1P8eX0NWBhUPS_hvzA11R6jkTNFrPrRYIx_dX_hYbxrk/edit?resourcekey=0-iw9bsKY2OqkUHCFMkCar3A&amp;gid=2055363397#gid=2055363397"",""MTR!C:O""),11,false)"),"TAM")</f>
        <v>TAM</v>
      </c>
      <c r="N1542" s="248" t="str">
        <f>IFERROR(__xludf.DUMMYFUNCTION("VLOOKUP(C1542,IMPORTRANGE(""https://docs.google.com/spreadsheets/d/1ihFlp3_ePlYtFuPbUNbYj1muErVpI73WHXbEwJDIA7Q/edit#gid=1493122344"",""MTR!C:O""),8,false)"),"Partially Complies")</f>
        <v>Partially Complies</v>
      </c>
      <c r="O1542" s="248" t="str">
        <f>IFERROR(__xludf.DUMMYFUNCTION("VLOOKUP(C1542,IMPORTRANGE(""https://docs.google.com/spreadsheets/d/1P8eX0NWBhUPS_hvzA11R6jkTNFrPrRYIx_dX_hYbxrk/edit?resourcekey=0-iw9bsKY2OqkUHCFMkCar3A&amp;gid=2055363397#gid=2055363397"",""MTR!C:O""),9,false)"),"Charging information not displayed, The size of the download is shown the user in the System update page. Most updates will wait for a wifi connection before downloading.")</f>
        <v>Charging information not displayed, The size of the download is shown the user in the System update page. Most updates will wait for a wifi connection before downloading.</v>
      </c>
      <c r="P1542" s="248"/>
      <c r="Q1542" s="249" t="s">
        <v>506</v>
      </c>
      <c r="R1542" s="249" t="s">
        <v>4037</v>
      </c>
      <c r="S1542" s="154" t="s">
        <v>60</v>
      </c>
      <c r="T1542" s="154" t="s">
        <v>60</v>
      </c>
      <c r="U1542" s="154" t="s">
        <v>60</v>
      </c>
      <c r="V1542" s="154" t="s">
        <v>60</v>
      </c>
      <c r="W1542" s="154" t="s">
        <v>60</v>
      </c>
      <c r="X1542" s="154" t="s">
        <v>60</v>
      </c>
      <c r="Y1542" s="154" t="s">
        <v>60</v>
      </c>
      <c r="Z1542" s="154" t="s">
        <v>60</v>
      </c>
      <c r="AA1542" s="154" t="s">
        <v>60</v>
      </c>
      <c r="AB1542" s="154"/>
      <c r="AC1542" s="242" t="b">
        <f t="shared" si="2"/>
        <v>1</v>
      </c>
      <c r="AD1542" s="154" t="s">
        <v>391</v>
      </c>
      <c r="AE1542" s="243" t="b">
        <f t="shared" si="3"/>
        <v>0</v>
      </c>
      <c r="AF1542" s="154"/>
      <c r="AG1542" s="243" t="b">
        <f t="shared" si="7"/>
        <v>0</v>
      </c>
      <c r="AH1542" s="154"/>
      <c r="AI1542" s="243" t="str">
        <f t="shared" si="5"/>
        <v>N/A</v>
      </c>
      <c r="AJ1542" s="157" t="str">
        <f t="shared" si="6"/>
        <v/>
      </c>
    </row>
    <row r="1543" ht="12.75" customHeight="1">
      <c r="A1543" s="244" t="s">
        <v>3601</v>
      </c>
      <c r="B1543" s="244" t="s">
        <v>4017</v>
      </c>
      <c r="C1543" s="255" t="s">
        <v>4038</v>
      </c>
      <c r="D1543" s="256" t="s">
        <v>42</v>
      </c>
      <c r="E1543" s="257" t="s">
        <v>489</v>
      </c>
      <c r="F1543" s="154" t="str">
        <f t="array" ref="F1543">XLOOKUP(Cover!$D$12,$S$1:$AA$1,$S1543:$AA1543)</f>
        <v>Mandatory</v>
      </c>
      <c r="G1543" s="154" t="s">
        <v>4039</v>
      </c>
      <c r="H1543" s="154" t="s">
        <v>4027</v>
      </c>
      <c r="I1543" s="154" t="s">
        <v>550</v>
      </c>
      <c r="J1543" s="247" t="s">
        <v>506</v>
      </c>
      <c r="K1543" s="247" t="s">
        <v>4037</v>
      </c>
      <c r="L1543" s="154" t="str">
        <f t="shared" si="1"/>
        <v/>
      </c>
      <c r="M1543" s="253" t="str">
        <f>IFERROR(__xludf.DUMMYFUNCTION("VLOOKUP(C1543,IMPORTRANGE(""https://docs.google.com/spreadsheets/d/1P8eX0NWBhUPS_hvzA11R6jkTNFrPrRYIx_dX_hYbxrk/edit?resourcekey=0-iw9bsKY2OqkUHCFMkCar3A&amp;gid=2055363397#gid=2055363397"",""MTR!C:O""),11,false)"),"#N/A")</f>
        <v>#N/A</v>
      </c>
      <c r="N1543" s="253" t="str">
        <f>IFERROR(__xludf.DUMMYFUNCTION("VLOOKUP(C1543,IMPORTRANGE(""https://docs.google.com/spreadsheets/d/1ihFlp3_ePlYtFuPbUNbYj1muErVpI73WHXbEwJDIA7Q/edit#gid=1493122344"",""MTR!C:O""),8,false)"),"#N/A")</f>
        <v>#N/A</v>
      </c>
      <c r="O1543" s="253" t="str">
        <f>IFERROR(__xludf.DUMMYFUNCTION("VLOOKUP(C1543,IMPORTRANGE(""https://docs.google.com/spreadsheets/d/1P8eX0NWBhUPS_hvzA11R6jkTNFrPrRYIx_dX_hYbxrk/edit?resourcekey=0-iw9bsKY2OqkUHCFMkCar3A&amp;gid=2055363397#gid=2055363397"",""MTR!C:O""),9,false)"),"#N/A")</f>
        <v>#N/A</v>
      </c>
      <c r="P1543" s="253"/>
      <c r="Q1543" s="259"/>
      <c r="R1543" s="259"/>
      <c r="S1543" s="154" t="s">
        <v>60</v>
      </c>
      <c r="T1543" s="154" t="s">
        <v>60</v>
      </c>
      <c r="U1543" s="154" t="s">
        <v>60</v>
      </c>
      <c r="V1543" s="154" t="s">
        <v>60</v>
      </c>
      <c r="W1543" s="154" t="s">
        <v>60</v>
      </c>
      <c r="X1543" s="154" t="s">
        <v>60</v>
      </c>
      <c r="Y1543" s="154" t="s">
        <v>60</v>
      </c>
      <c r="Z1543" s="154" t="s">
        <v>60</v>
      </c>
      <c r="AA1543" s="154" t="s">
        <v>60</v>
      </c>
      <c r="AB1543" s="154"/>
      <c r="AC1543" s="242" t="b">
        <f t="shared" si="2"/>
        <v>1</v>
      </c>
      <c r="AD1543" s="154" t="s">
        <v>391</v>
      </c>
      <c r="AE1543" s="243" t="b">
        <f t="shared" si="3"/>
        <v>0</v>
      </c>
      <c r="AF1543" s="154"/>
      <c r="AG1543" s="243" t="b">
        <f t="shared" si="7"/>
        <v>0</v>
      </c>
      <c r="AH1543" s="154"/>
      <c r="AI1543" s="243" t="str">
        <f t="shared" si="5"/>
        <v>N/A</v>
      </c>
      <c r="AJ1543" s="157" t="str">
        <f t="shared" si="6"/>
        <v/>
      </c>
    </row>
    <row r="1544" ht="12.75" customHeight="1">
      <c r="A1544" s="244" t="s">
        <v>3601</v>
      </c>
      <c r="B1544" s="244" t="s">
        <v>4017</v>
      </c>
      <c r="C1544" s="255" t="s">
        <v>4040</v>
      </c>
      <c r="D1544" s="256" t="s">
        <v>42</v>
      </c>
      <c r="E1544" s="257" t="s">
        <v>489</v>
      </c>
      <c r="F1544" s="154" t="str">
        <f t="array" ref="F1544">XLOOKUP(Cover!$D$12,$S$1:$AA$1,$S1544:$AA1544)</f>
        <v>Mandatory</v>
      </c>
      <c r="G1544" s="154" t="s">
        <v>4041</v>
      </c>
      <c r="H1544" s="154" t="s">
        <v>4027</v>
      </c>
      <c r="I1544" s="154" t="s">
        <v>550</v>
      </c>
      <c r="J1544" s="247" t="s">
        <v>506</v>
      </c>
      <c r="K1544" s="247" t="s">
        <v>4042</v>
      </c>
      <c r="L1544" s="154" t="str">
        <f t="shared" si="1"/>
        <v/>
      </c>
      <c r="M1544" s="253" t="str">
        <f>IFERROR(__xludf.DUMMYFUNCTION("VLOOKUP(C1544,IMPORTRANGE(""https://docs.google.com/spreadsheets/d/1P8eX0NWBhUPS_hvzA11R6jkTNFrPrRYIx_dX_hYbxrk/edit?resourcekey=0-iw9bsKY2OqkUHCFMkCar3A&amp;gid=2055363397#gid=2055363397"",""MTR!C:O""),11,false)"),"#N/A")</f>
        <v>#N/A</v>
      </c>
      <c r="N1544" s="253" t="str">
        <f>IFERROR(__xludf.DUMMYFUNCTION("VLOOKUP(C1544,IMPORTRANGE(""https://docs.google.com/spreadsheets/d/1ihFlp3_ePlYtFuPbUNbYj1muErVpI73WHXbEwJDIA7Q/edit#gid=1493122344"",""MTR!C:O""),8,false)"),"#N/A")</f>
        <v>#N/A</v>
      </c>
      <c r="O1544" s="253" t="str">
        <f>IFERROR(__xludf.DUMMYFUNCTION("VLOOKUP(C1544,IMPORTRANGE(""https://docs.google.com/spreadsheets/d/1P8eX0NWBhUPS_hvzA11R6jkTNFrPrRYIx_dX_hYbxrk/edit?resourcekey=0-iw9bsKY2OqkUHCFMkCar3A&amp;gid=2055363397#gid=2055363397"",""MTR!C:O""),9,false)"),"#N/A")</f>
        <v>#N/A</v>
      </c>
      <c r="P1544" s="253"/>
      <c r="Q1544" s="253"/>
      <c r="R1544" s="253"/>
      <c r="S1544" s="154" t="s">
        <v>60</v>
      </c>
      <c r="T1544" s="154" t="s">
        <v>60</v>
      </c>
      <c r="U1544" s="154" t="s">
        <v>60</v>
      </c>
      <c r="V1544" s="154" t="s">
        <v>60</v>
      </c>
      <c r="W1544" s="154" t="s">
        <v>60</v>
      </c>
      <c r="X1544" s="154" t="s">
        <v>60</v>
      </c>
      <c r="Y1544" s="154" t="s">
        <v>60</v>
      </c>
      <c r="Z1544" s="154" t="s">
        <v>60</v>
      </c>
      <c r="AA1544" s="154" t="s">
        <v>60</v>
      </c>
      <c r="AB1544" s="154"/>
      <c r="AC1544" s="242" t="b">
        <f t="shared" si="2"/>
        <v>1</v>
      </c>
      <c r="AD1544" s="154" t="s">
        <v>391</v>
      </c>
      <c r="AE1544" s="243" t="b">
        <f t="shared" si="3"/>
        <v>0</v>
      </c>
      <c r="AF1544" s="154"/>
      <c r="AG1544" s="243" t="b">
        <f t="shared" si="7"/>
        <v>0</v>
      </c>
      <c r="AH1544" s="154"/>
      <c r="AI1544" s="243" t="str">
        <f t="shared" si="5"/>
        <v>N/A</v>
      </c>
      <c r="AJ1544" s="157" t="str">
        <f t="shared" si="6"/>
        <v/>
      </c>
    </row>
    <row r="1545" ht="12.75" customHeight="1">
      <c r="A1545" s="244" t="s">
        <v>3601</v>
      </c>
      <c r="B1545" s="244" t="s">
        <v>4017</v>
      </c>
      <c r="C1545" s="255" t="s">
        <v>4043</v>
      </c>
      <c r="D1545" s="256" t="s">
        <v>42</v>
      </c>
      <c r="E1545" s="257" t="s">
        <v>489</v>
      </c>
      <c r="F1545" s="154" t="str">
        <f t="array" ref="F1545">XLOOKUP(Cover!$D$12,$S$1:$AA$1,$S1545:$AA1545)</f>
        <v>Mandatory</v>
      </c>
      <c r="G1545" s="154" t="s">
        <v>4044</v>
      </c>
      <c r="H1545" s="154" t="s">
        <v>4027</v>
      </c>
      <c r="I1545" s="154" t="s">
        <v>420</v>
      </c>
      <c r="J1545" s="247" t="s">
        <v>445</v>
      </c>
      <c r="K1545" s="154"/>
      <c r="L1545" s="154" t="str">
        <f t="shared" si="1"/>
        <v/>
      </c>
      <c r="M1545" s="253" t="str">
        <f>IFERROR(__xludf.DUMMYFUNCTION("VLOOKUP(C1545,IMPORTRANGE(""https://docs.google.com/spreadsheets/d/1P8eX0NWBhUPS_hvzA11R6jkTNFrPrRYIx_dX_hYbxrk/edit?resourcekey=0-iw9bsKY2OqkUHCFMkCar3A&amp;gid=2055363397#gid=2055363397"",""MTR!C:O""),11,false)"),"#N/A")</f>
        <v>#N/A</v>
      </c>
      <c r="N1545" s="253" t="str">
        <f>IFERROR(__xludf.DUMMYFUNCTION("VLOOKUP(C1545,IMPORTRANGE(""https://docs.google.com/spreadsheets/d/1ihFlp3_ePlYtFuPbUNbYj1muErVpI73WHXbEwJDIA7Q/edit#gid=1493122344"",""MTR!C:O""),8,false)"),"#N/A")</f>
        <v>#N/A</v>
      </c>
      <c r="O1545" s="253" t="str">
        <f>IFERROR(__xludf.DUMMYFUNCTION("VLOOKUP(C1545,IMPORTRANGE(""https://docs.google.com/spreadsheets/d/1P8eX0NWBhUPS_hvzA11R6jkTNFrPrRYIx_dX_hYbxrk/edit?resourcekey=0-iw9bsKY2OqkUHCFMkCar3A&amp;gid=2055363397#gid=2055363397"",""MTR!C:O""),9,false)"),"#N/A")</f>
        <v>#N/A</v>
      </c>
      <c r="P1545" s="253"/>
      <c r="Q1545" s="253"/>
      <c r="R1545" s="253"/>
      <c r="S1545" s="154" t="s">
        <v>60</v>
      </c>
      <c r="T1545" s="154" t="s">
        <v>60</v>
      </c>
      <c r="U1545" s="154" t="s">
        <v>60</v>
      </c>
      <c r="V1545" s="154" t="s">
        <v>60</v>
      </c>
      <c r="W1545" s="154" t="s">
        <v>60</v>
      </c>
      <c r="X1545" s="154" t="s">
        <v>60</v>
      </c>
      <c r="Y1545" s="154" t="s">
        <v>60</v>
      </c>
      <c r="Z1545" s="154" t="s">
        <v>60</v>
      </c>
      <c r="AA1545" s="154" t="s">
        <v>60</v>
      </c>
      <c r="AB1545" s="154"/>
      <c r="AC1545" s="242" t="b">
        <f t="shared" si="2"/>
        <v>1</v>
      </c>
      <c r="AD1545" s="154" t="s">
        <v>391</v>
      </c>
      <c r="AE1545" s="243" t="b">
        <f t="shared" si="3"/>
        <v>0</v>
      </c>
      <c r="AF1545" s="154"/>
      <c r="AG1545" s="243" t="b">
        <f t="shared" si="7"/>
        <v>0</v>
      </c>
      <c r="AH1545" s="154"/>
      <c r="AI1545" s="243" t="str">
        <f t="shared" si="5"/>
        <v>N/A</v>
      </c>
      <c r="AJ1545" s="157" t="str">
        <f t="shared" si="6"/>
        <v/>
      </c>
    </row>
    <row r="1546" ht="12.75" customHeight="1">
      <c r="A1546" s="244" t="s">
        <v>3601</v>
      </c>
      <c r="B1546" s="244" t="s">
        <v>4017</v>
      </c>
      <c r="C1546" s="244" t="s">
        <v>4045</v>
      </c>
      <c r="D1546" s="154" t="s">
        <v>492</v>
      </c>
      <c r="E1546" s="250"/>
      <c r="F1546" s="154" t="str">
        <f t="array" ref="F1546">XLOOKUP(Cover!$D$12,$S$1:$AA$1,$S1546:$AA1546)</f>
        <v>Mandatory</v>
      </c>
      <c r="G1546" s="154" t="s">
        <v>4046</v>
      </c>
      <c r="H1546" s="154" t="s">
        <v>4027</v>
      </c>
      <c r="I1546" s="154" t="s">
        <v>550</v>
      </c>
      <c r="J1546" s="154" t="s">
        <v>516</v>
      </c>
      <c r="K1546" s="154" t="s">
        <v>4047</v>
      </c>
      <c r="L1546" s="154" t="str">
        <f t="shared" si="1"/>
        <v/>
      </c>
      <c r="M1546" s="248" t="str">
        <f>IFERROR(__xludf.DUMMYFUNCTION("VLOOKUP(C1546,IMPORTRANGE(""https://docs.google.com/spreadsheets/d/1P8eX0NWBhUPS_hvzA11R6jkTNFrPrRYIx_dX_hYbxrk/edit?resourcekey=0-iw9bsKY2OqkUHCFMkCar3A&amp;gid=2055363397#gid=2055363397"",""MTR!C:O""),11,false)"),"TAM")</f>
        <v>TAM</v>
      </c>
      <c r="N1546" s="248" t="str">
        <f>IFERROR(__xludf.DUMMYFUNCTION("VLOOKUP(C1546,IMPORTRANGE(""https://docs.google.com/spreadsheets/d/1ihFlp3_ePlYtFuPbUNbYj1muErVpI73WHXbEwJDIA7Q/edit#gid=1493122344"",""MTR!C:O""),8,false)"),"Does Not Comply")</f>
        <v>Does Not Comply</v>
      </c>
      <c r="O1546" s="248" t="str">
        <f>IFERROR(__xludf.DUMMYFUNCTION("VLOOKUP(C1546,IMPORTRANGE(""https://docs.google.com/spreadsheets/d/1P8eX0NWBhUPS_hvzA11R6jkTNFrPrRYIx_dX_hYbxrk/edit?resourcekey=0-iw9bsKY2OqkUHCFMkCar3A&amp;gid=2055363397#gid=2055363397"",""MTR!C:O""),9,false)"),"Pixel only offers one application via PAI")</f>
        <v>Pixel only offers one application via PAI</v>
      </c>
      <c r="P1546" s="248"/>
      <c r="Q1546" s="249" t="s">
        <v>516</v>
      </c>
      <c r="R1546" s="249" t="s">
        <v>4047</v>
      </c>
      <c r="S1546" s="154" t="s">
        <v>60</v>
      </c>
      <c r="T1546" s="154" t="s">
        <v>60</v>
      </c>
      <c r="U1546" s="154" t="s">
        <v>60</v>
      </c>
      <c r="V1546" s="154" t="s">
        <v>60</v>
      </c>
      <c r="W1546" s="154" t="s">
        <v>60</v>
      </c>
      <c r="X1546" s="154" t="s">
        <v>60</v>
      </c>
      <c r="Y1546" s="154" t="s">
        <v>60</v>
      </c>
      <c r="Z1546" s="154" t="s">
        <v>60</v>
      </c>
      <c r="AA1546" s="154" t="s">
        <v>60</v>
      </c>
      <c r="AB1546" s="154"/>
      <c r="AC1546" s="242" t="b">
        <f t="shared" si="2"/>
        <v>1</v>
      </c>
      <c r="AD1546" s="154" t="s">
        <v>391</v>
      </c>
      <c r="AE1546" s="243" t="b">
        <f t="shared" si="3"/>
        <v>0</v>
      </c>
      <c r="AF1546" s="154"/>
      <c r="AG1546" s="243" t="b">
        <f t="shared" si="7"/>
        <v>0</v>
      </c>
      <c r="AH1546" s="154"/>
      <c r="AI1546" s="243" t="str">
        <f t="shared" si="5"/>
        <v>N/A</v>
      </c>
      <c r="AJ1546" s="157" t="str">
        <f t="shared" si="6"/>
        <v/>
      </c>
    </row>
    <row r="1547" ht="12.75" customHeight="1">
      <c r="A1547" s="244" t="s">
        <v>3601</v>
      </c>
      <c r="B1547" s="244" t="s">
        <v>4017</v>
      </c>
      <c r="C1547" s="244" t="s">
        <v>4048</v>
      </c>
      <c r="D1547" s="154" t="s">
        <v>492</v>
      </c>
      <c r="E1547" s="250"/>
      <c r="F1547" s="154" t="str">
        <f t="array" ref="F1547">XLOOKUP(Cover!$D$12,$S$1:$AA$1,$S1547:$AA1547)</f>
        <v>Mandatory</v>
      </c>
      <c r="G1547" s="154" t="s">
        <v>4049</v>
      </c>
      <c r="H1547" s="154" t="s">
        <v>4027</v>
      </c>
      <c r="I1547" s="154" t="s">
        <v>550</v>
      </c>
      <c r="J1547" s="247" t="s">
        <v>516</v>
      </c>
      <c r="K1547" s="247" t="s">
        <v>4047</v>
      </c>
      <c r="L1547" s="154" t="str">
        <f t="shared" si="1"/>
        <v/>
      </c>
      <c r="M1547" s="248" t="str">
        <f>IFERROR(__xludf.DUMMYFUNCTION("VLOOKUP(C1547,IMPORTRANGE(""https://docs.google.com/spreadsheets/d/1P8eX0NWBhUPS_hvzA11R6jkTNFrPrRYIx_dX_hYbxrk/edit?resourcekey=0-iw9bsKY2OqkUHCFMkCar3A&amp;gid=2055363397#gid=2055363397"",""MTR!C:O""),11,false)"),"TAM")</f>
        <v>TAM</v>
      </c>
      <c r="N1547" s="248" t="str">
        <f>IFERROR(__xludf.DUMMYFUNCTION("VLOOKUP(C1547,IMPORTRANGE(""https://docs.google.com/spreadsheets/d/1ihFlp3_ePlYtFuPbUNbYj1muErVpI73WHXbEwJDIA7Q/edit#gid=1493122344"",""MTR!C:O""),8,false)"),"Partially Complies")</f>
        <v>Partially Complies</v>
      </c>
      <c r="O1547" s="248" t="str">
        <f>IFERROR(__xludf.DUMMYFUNCTION("VLOOKUP(C1547,IMPORTRANGE(""https://docs.google.com/spreadsheets/d/1P8eX0NWBhUPS_hvzA11R6jkTNFrPrRYIx_dX_hYbxrk/edit?resourcekey=0-iw9bsKY2OqkUHCFMkCar3A&amp;gid=2055363397#gid=2055363397"",""MTR!C:O""),9,false)"),"Pixel only offers one application via PAI")</f>
        <v>Pixel only offers one application via PAI</v>
      </c>
      <c r="P1547" s="248"/>
      <c r="Q1547" s="249" t="s">
        <v>506</v>
      </c>
      <c r="R1547" s="249" t="s">
        <v>4047</v>
      </c>
      <c r="S1547" s="154" t="s">
        <v>60</v>
      </c>
      <c r="T1547" s="154" t="s">
        <v>60</v>
      </c>
      <c r="U1547" s="154" t="s">
        <v>60</v>
      </c>
      <c r="V1547" s="154" t="s">
        <v>60</v>
      </c>
      <c r="W1547" s="154" t="s">
        <v>60</v>
      </c>
      <c r="X1547" s="154" t="s">
        <v>60</v>
      </c>
      <c r="Y1547" s="154" t="s">
        <v>60</v>
      </c>
      <c r="Z1547" s="154" t="s">
        <v>60</v>
      </c>
      <c r="AA1547" s="154" t="s">
        <v>60</v>
      </c>
      <c r="AB1547" s="154"/>
      <c r="AC1547" s="242" t="b">
        <f t="shared" si="2"/>
        <v>1</v>
      </c>
      <c r="AD1547" s="154" t="s">
        <v>391</v>
      </c>
      <c r="AE1547" s="243" t="b">
        <f t="shared" si="3"/>
        <v>0</v>
      </c>
      <c r="AF1547" s="154"/>
      <c r="AG1547" s="243" t="b">
        <f t="shared" si="7"/>
        <v>0</v>
      </c>
      <c r="AH1547" s="154"/>
      <c r="AI1547" s="243" t="str">
        <f t="shared" si="5"/>
        <v>N/A</v>
      </c>
      <c r="AJ1547" s="157" t="str">
        <f t="shared" si="6"/>
        <v/>
      </c>
    </row>
    <row r="1548" ht="12.75" customHeight="1">
      <c r="A1548" s="244" t="s">
        <v>3601</v>
      </c>
      <c r="B1548" s="244" t="s">
        <v>4017</v>
      </c>
      <c r="C1548" s="244" t="s">
        <v>4050</v>
      </c>
      <c r="D1548" s="154" t="s">
        <v>492</v>
      </c>
      <c r="E1548" s="250"/>
      <c r="F1548" s="154" t="str">
        <f t="array" ref="F1548">XLOOKUP(Cover!$D$12,$S$1:$AA$1,$S1548:$AA1548)</f>
        <v>Mandatory</v>
      </c>
      <c r="G1548" s="154" t="s">
        <v>4051</v>
      </c>
      <c r="H1548" s="154" t="s">
        <v>4027</v>
      </c>
      <c r="I1548" s="154" t="s">
        <v>550</v>
      </c>
      <c r="J1548" s="247" t="s">
        <v>516</v>
      </c>
      <c r="K1548" s="247"/>
      <c r="L1548" s="154" t="str">
        <f t="shared" si="1"/>
        <v/>
      </c>
      <c r="M1548" s="248" t="str">
        <f>IFERROR(__xludf.DUMMYFUNCTION("VLOOKUP(C1548,IMPORTRANGE(""https://docs.google.com/spreadsheets/d/1P8eX0NWBhUPS_hvzA11R6jkTNFrPrRYIx_dX_hYbxrk/edit?resourcekey=0-iw9bsKY2OqkUHCFMkCar3A&amp;gid=2055363397#gid=2055363397"",""MTR!C:O""),11,false)"),"TAM")</f>
        <v>TAM</v>
      </c>
      <c r="N1548" s="248" t="str">
        <f>IFERROR(__xludf.DUMMYFUNCTION("VLOOKUP(C1548,IMPORTRANGE(""https://docs.google.com/spreadsheets/d/1ihFlp3_ePlYtFuPbUNbYj1muErVpI73WHXbEwJDIA7Q/edit#gid=1493122344"",""MTR!C:O""),8,false)"),"Does Not Comply")</f>
        <v>Does Not Comply</v>
      </c>
      <c r="O1548" s="241" t="str">
        <f>IFERROR(__xludf.DUMMYFUNCTION("VLOOKUP(C1548,IMPORTRANGE(""https://docs.google.com/spreadsheets/d/1P8eX0NWBhUPS_hvzA11R6jkTNFrPrRYIx_dX_hYbxrk/edit?resourcekey=0-iw9bsKY2OqkUHCFMkCar3A&amp;gid=2055363397#gid=2055363397"",""MTR!C:O""),9,false)"),"")</f>
        <v/>
      </c>
      <c r="P1548" s="241"/>
      <c r="Q1548" s="251" t="s">
        <v>516</v>
      </c>
      <c r="R1548" s="251"/>
      <c r="S1548" s="154" t="s">
        <v>60</v>
      </c>
      <c r="T1548" s="154" t="s">
        <v>60</v>
      </c>
      <c r="U1548" s="154" t="s">
        <v>60</v>
      </c>
      <c r="V1548" s="154" t="s">
        <v>60</v>
      </c>
      <c r="W1548" s="154" t="s">
        <v>60</v>
      </c>
      <c r="X1548" s="154" t="s">
        <v>60</v>
      </c>
      <c r="Y1548" s="154" t="s">
        <v>60</v>
      </c>
      <c r="Z1548" s="154" t="s">
        <v>60</v>
      </c>
      <c r="AA1548" s="154" t="s">
        <v>60</v>
      </c>
      <c r="AB1548" s="154"/>
      <c r="AC1548" s="242" t="b">
        <f t="shared" si="2"/>
        <v>1</v>
      </c>
      <c r="AD1548" s="154" t="s">
        <v>391</v>
      </c>
      <c r="AE1548" s="243" t="b">
        <f t="shared" si="3"/>
        <v>0</v>
      </c>
      <c r="AF1548" s="154"/>
      <c r="AG1548" s="243" t="b">
        <f t="shared" si="7"/>
        <v>0</v>
      </c>
      <c r="AH1548" s="154"/>
      <c r="AI1548" s="243" t="str">
        <f t="shared" si="5"/>
        <v>N/A</v>
      </c>
      <c r="AJ1548" s="157" t="str">
        <f t="shared" si="6"/>
        <v/>
      </c>
    </row>
    <row r="1549" ht="12.75" customHeight="1">
      <c r="A1549" s="244" t="s">
        <v>3601</v>
      </c>
      <c r="B1549" s="244" t="s">
        <v>4017</v>
      </c>
      <c r="C1549" s="244" t="s">
        <v>4052</v>
      </c>
      <c r="D1549" s="154" t="s">
        <v>492</v>
      </c>
      <c r="E1549" s="250"/>
      <c r="F1549" s="154" t="str">
        <f t="array" ref="F1549">XLOOKUP(Cover!$D$12,$S$1:$AA$1,$S1549:$AA1549)</f>
        <v>Mandatory</v>
      </c>
      <c r="G1549" s="154" t="s">
        <v>4053</v>
      </c>
      <c r="H1549" s="154" t="s">
        <v>4027</v>
      </c>
      <c r="I1549" s="154" t="s">
        <v>550</v>
      </c>
      <c r="J1549" s="247" t="s">
        <v>516</v>
      </c>
      <c r="K1549" s="154"/>
      <c r="L1549" s="154" t="str">
        <f t="shared" si="1"/>
        <v/>
      </c>
      <c r="M1549" s="248" t="str">
        <f>IFERROR(__xludf.DUMMYFUNCTION("VLOOKUP(C1549,IMPORTRANGE(""https://docs.google.com/spreadsheets/d/1P8eX0NWBhUPS_hvzA11R6jkTNFrPrRYIx_dX_hYbxrk/edit?resourcekey=0-iw9bsKY2OqkUHCFMkCar3A&amp;gid=2055363397#gid=2055363397"",""MTR!C:O""),11,false)"),"TAM")</f>
        <v>TAM</v>
      </c>
      <c r="N1549" s="248" t="str">
        <f>IFERROR(__xludf.DUMMYFUNCTION("VLOOKUP(C1549,IMPORTRANGE(""https://docs.google.com/spreadsheets/d/1ihFlp3_ePlYtFuPbUNbYj1muErVpI73WHXbEwJDIA7Q/edit#gid=1493122344"",""MTR!C:O""),8,false)"),"Does Not Comply")</f>
        <v>Does Not Comply</v>
      </c>
      <c r="O1549" s="241" t="str">
        <f>IFERROR(__xludf.DUMMYFUNCTION("VLOOKUP(C1549,IMPORTRANGE(""https://docs.google.com/spreadsheets/d/1P8eX0NWBhUPS_hvzA11R6jkTNFrPrRYIx_dX_hYbxrk/edit?resourcekey=0-iw9bsKY2OqkUHCFMkCar3A&amp;gid=2055363397#gid=2055363397"",""MTR!C:O""),9,false)"),"")</f>
        <v/>
      </c>
      <c r="P1549" s="241"/>
      <c r="Q1549" s="251" t="s">
        <v>516</v>
      </c>
      <c r="R1549" s="241"/>
      <c r="S1549" s="154" t="s">
        <v>60</v>
      </c>
      <c r="T1549" s="154" t="s">
        <v>60</v>
      </c>
      <c r="U1549" s="154" t="s">
        <v>60</v>
      </c>
      <c r="V1549" s="154" t="s">
        <v>60</v>
      </c>
      <c r="W1549" s="154" t="s">
        <v>60</v>
      </c>
      <c r="X1549" s="154" t="s">
        <v>60</v>
      </c>
      <c r="Y1549" s="154" t="s">
        <v>60</v>
      </c>
      <c r="Z1549" s="154" t="s">
        <v>60</v>
      </c>
      <c r="AA1549" s="154" t="s">
        <v>60</v>
      </c>
      <c r="AB1549" s="154"/>
      <c r="AC1549" s="242" t="b">
        <f t="shared" si="2"/>
        <v>1</v>
      </c>
      <c r="AD1549" s="154" t="s">
        <v>391</v>
      </c>
      <c r="AE1549" s="243" t="b">
        <f t="shared" si="3"/>
        <v>0</v>
      </c>
      <c r="AF1549" s="154"/>
      <c r="AG1549" s="243" t="b">
        <f t="shared" si="7"/>
        <v>0</v>
      </c>
      <c r="AH1549" s="154"/>
      <c r="AI1549" s="243" t="str">
        <f t="shared" si="5"/>
        <v>N/A</v>
      </c>
      <c r="AJ1549" s="157" t="str">
        <f t="shared" si="6"/>
        <v/>
      </c>
    </row>
    <row r="1550" ht="12.75" customHeight="1">
      <c r="A1550" s="244" t="s">
        <v>3601</v>
      </c>
      <c r="B1550" s="244" t="s">
        <v>4017</v>
      </c>
      <c r="C1550" s="244" t="s">
        <v>4054</v>
      </c>
      <c r="D1550" s="154" t="s">
        <v>1282</v>
      </c>
      <c r="E1550" s="250"/>
      <c r="F1550" s="154" t="str">
        <f t="array" ref="F1550">XLOOKUP(Cover!$D$12,$S$1:$AA$1,$S1550:$AA1550)</f>
        <v>Mandatory</v>
      </c>
      <c r="G1550" s="154" t="s">
        <v>4055</v>
      </c>
      <c r="H1550" s="154" t="s">
        <v>4027</v>
      </c>
      <c r="I1550" s="154" t="s">
        <v>550</v>
      </c>
      <c r="J1550" s="247" t="s">
        <v>445</v>
      </c>
      <c r="K1550" s="154"/>
      <c r="L1550" s="154" t="str">
        <f t="shared" si="1"/>
        <v/>
      </c>
      <c r="M1550" s="248" t="str">
        <f>IFERROR(__xludf.DUMMYFUNCTION("VLOOKUP(C1550,IMPORTRANGE(""https://docs.google.com/spreadsheets/d/1P8eX0NWBhUPS_hvzA11R6jkTNFrPrRYIx_dX_hYbxrk/edit?resourcekey=0-iw9bsKY2OqkUHCFMkCar3A&amp;gid=2055363397#gid=2055363397"",""MTR!C:O""),11,false)"),"TAM")</f>
        <v>TAM</v>
      </c>
      <c r="N1550" s="248" t="str">
        <f>IFERROR(__xludf.DUMMYFUNCTION("VLOOKUP(C1550,IMPORTRANGE(""https://docs.google.com/spreadsheets/d/1ihFlp3_ePlYtFuPbUNbYj1muErVpI73WHXbEwJDIA7Q/edit#gid=1493122344"",""MTR!C:O""),8,false)"),"Complies")</f>
        <v>Complies</v>
      </c>
      <c r="O1550" s="241" t="str">
        <f>IFERROR(__xludf.DUMMYFUNCTION("VLOOKUP(C1550,IMPORTRANGE(""https://docs.google.com/spreadsheets/d/1P8eX0NWBhUPS_hvzA11R6jkTNFrPrRYIx_dX_hYbxrk/edit?resourcekey=0-iw9bsKY2OqkUHCFMkCar3A&amp;gid=2055363397#gid=2055363397"",""MTR!C:O""),9,false)"),"")</f>
        <v/>
      </c>
      <c r="P1550" s="241"/>
      <c r="Q1550" s="251" t="s">
        <v>445</v>
      </c>
      <c r="R1550" s="241"/>
      <c r="S1550" s="154" t="s">
        <v>60</v>
      </c>
      <c r="T1550" s="154" t="s">
        <v>60</v>
      </c>
      <c r="U1550" s="154" t="s">
        <v>60</v>
      </c>
      <c r="V1550" s="154" t="s">
        <v>60</v>
      </c>
      <c r="W1550" s="154" t="s">
        <v>60</v>
      </c>
      <c r="X1550" s="154" t="s">
        <v>60</v>
      </c>
      <c r="Y1550" s="154" t="s">
        <v>60</v>
      </c>
      <c r="Z1550" s="154" t="s">
        <v>60</v>
      </c>
      <c r="AA1550" s="154" t="s">
        <v>60</v>
      </c>
      <c r="AB1550" s="154"/>
      <c r="AC1550" s="242" t="b">
        <f t="shared" si="2"/>
        <v>1</v>
      </c>
      <c r="AD1550" s="154" t="s">
        <v>391</v>
      </c>
      <c r="AE1550" s="243" t="b">
        <f t="shared" si="3"/>
        <v>0</v>
      </c>
      <c r="AF1550" s="154"/>
      <c r="AG1550" s="243" t="b">
        <f t="shared" si="7"/>
        <v>0</v>
      </c>
      <c r="AH1550" s="154"/>
      <c r="AI1550" s="243" t="str">
        <f t="shared" si="5"/>
        <v>N/A</v>
      </c>
      <c r="AJ1550" s="157" t="str">
        <f t="shared" si="6"/>
        <v/>
      </c>
    </row>
    <row r="1551" ht="12.75" customHeight="1">
      <c r="A1551" s="238" t="s">
        <v>4056</v>
      </c>
      <c r="B1551" s="238"/>
      <c r="C1551" s="238" t="s">
        <v>4057</v>
      </c>
      <c r="D1551" s="238"/>
      <c r="E1551" s="238"/>
      <c r="F1551" s="154" t="str">
        <f t="array" ref="F1551">XLOOKUP(Cover!$D$12,$S$1:$AA$1,$S1551:$AA1551)</f>
        <v>Heading</v>
      </c>
      <c r="G1551" s="239" t="s">
        <v>4058</v>
      </c>
      <c r="H1551" s="240"/>
      <c r="I1551" s="240" t="s">
        <v>420</v>
      </c>
      <c r="J1551" s="240"/>
      <c r="K1551" s="240"/>
      <c r="L1551" s="154" t="str">
        <f t="shared" si="1"/>
        <v/>
      </c>
      <c r="M1551" s="241" t="str">
        <f>IFERROR(__xludf.DUMMYFUNCTION("VLOOKUP(C1551,IMPORTRANGE(""https://docs.google.com/spreadsheets/d/1P8eX0NWBhUPS_hvzA11R6jkTNFrPrRYIx_dX_hYbxrk/edit?resourcekey=0-iw9bsKY2OqkUHCFMkCar3A&amp;gid=2055363397#gid=2055363397"",""MTR!C:O""),11,false)"),"")</f>
        <v/>
      </c>
      <c r="N1551" s="241" t="str">
        <f>IFERROR(__xludf.DUMMYFUNCTION("VLOOKUP(C1551,IMPORTRANGE(""https://docs.google.com/spreadsheets/d/1ihFlp3_ePlYtFuPbUNbYj1muErVpI73WHXbEwJDIA7Q/edit#gid=1493122344"",""MTR!C:O""),8,false)"),"")</f>
        <v/>
      </c>
      <c r="O1551" s="241" t="str">
        <f>IFERROR(__xludf.DUMMYFUNCTION("VLOOKUP(C1551,IMPORTRANGE(""https://docs.google.com/spreadsheets/d/1P8eX0NWBhUPS_hvzA11R6jkTNFrPrRYIx_dX_hYbxrk/edit?resourcekey=0-iw9bsKY2OqkUHCFMkCar3A&amp;gid=2055363397#gid=2055363397"",""MTR!C:O""),9,false)"),"")</f>
        <v/>
      </c>
      <c r="P1551" s="241"/>
      <c r="Q1551" s="251"/>
      <c r="R1551" s="241"/>
      <c r="S1551" s="240" t="s">
        <v>390</v>
      </c>
      <c r="T1551" s="240" t="s">
        <v>390</v>
      </c>
      <c r="U1551" s="240" t="s">
        <v>390</v>
      </c>
      <c r="V1551" s="240" t="s">
        <v>390</v>
      </c>
      <c r="W1551" s="240" t="s">
        <v>390</v>
      </c>
      <c r="X1551" s="240" t="s">
        <v>390</v>
      </c>
      <c r="Y1551" s="240" t="s">
        <v>390</v>
      </c>
      <c r="Z1551" s="240" t="s">
        <v>390</v>
      </c>
      <c r="AA1551" s="240" t="s">
        <v>390</v>
      </c>
      <c r="AB1551" s="240"/>
      <c r="AC1551" s="242" t="b">
        <f t="shared" si="2"/>
        <v>0</v>
      </c>
      <c r="AD1551" s="240" t="s">
        <v>391</v>
      </c>
      <c r="AE1551" s="243" t="b">
        <f t="shared" si="3"/>
        <v>0</v>
      </c>
      <c r="AF1551" s="240"/>
      <c r="AG1551" s="243" t="b">
        <f t="shared" si="7"/>
        <v>0</v>
      </c>
      <c r="AH1551" s="240"/>
      <c r="AI1551" s="243" t="str">
        <f t="shared" si="5"/>
        <v>N/A</v>
      </c>
      <c r="AJ1551" s="157" t="str">
        <f t="shared" si="6"/>
        <v/>
      </c>
    </row>
    <row r="1552" ht="12.75" customHeight="1">
      <c r="A1552" s="238" t="s">
        <v>4056</v>
      </c>
      <c r="B1552" s="238" t="s">
        <v>4059</v>
      </c>
      <c r="C1552" s="238" t="s">
        <v>4060</v>
      </c>
      <c r="D1552" s="238"/>
      <c r="E1552" s="238"/>
      <c r="F1552" s="154" t="str">
        <f t="array" ref="F1552">XLOOKUP(Cover!$D$12,$S$1:$AA$1,$S1552:$AA1552)</f>
        <v>Heading</v>
      </c>
      <c r="G1552" s="239" t="s">
        <v>4061</v>
      </c>
      <c r="H1552" s="240"/>
      <c r="I1552" s="240" t="s">
        <v>420</v>
      </c>
      <c r="J1552" s="240"/>
      <c r="K1552" s="240"/>
      <c r="L1552" s="154" t="str">
        <f t="shared" si="1"/>
        <v/>
      </c>
      <c r="M1552" s="241" t="str">
        <f>IFERROR(__xludf.DUMMYFUNCTION("VLOOKUP(C1552,IMPORTRANGE(""https://docs.google.com/spreadsheets/d/1P8eX0NWBhUPS_hvzA11R6jkTNFrPrRYIx_dX_hYbxrk/edit?resourcekey=0-iw9bsKY2OqkUHCFMkCar3A&amp;gid=2055363397#gid=2055363397"",""MTR!C:O""),11,false)"),"")</f>
        <v/>
      </c>
      <c r="N1552" s="241" t="str">
        <f>IFERROR(__xludf.DUMMYFUNCTION("VLOOKUP(C1552,IMPORTRANGE(""https://docs.google.com/spreadsheets/d/1ihFlp3_ePlYtFuPbUNbYj1muErVpI73WHXbEwJDIA7Q/edit#gid=1493122344"",""MTR!C:O""),8,false)"),"")</f>
        <v/>
      </c>
      <c r="O1552" s="241" t="str">
        <f>IFERROR(__xludf.DUMMYFUNCTION("VLOOKUP(C1552,IMPORTRANGE(""https://docs.google.com/spreadsheets/d/1P8eX0NWBhUPS_hvzA11R6jkTNFrPrRYIx_dX_hYbxrk/edit?resourcekey=0-iw9bsKY2OqkUHCFMkCar3A&amp;gid=2055363397#gid=2055363397"",""MTR!C:O""),9,false)"),"")</f>
        <v/>
      </c>
      <c r="P1552" s="241"/>
      <c r="Q1552" s="241"/>
      <c r="R1552" s="241"/>
      <c r="S1552" s="240" t="s">
        <v>390</v>
      </c>
      <c r="T1552" s="240" t="s">
        <v>390</v>
      </c>
      <c r="U1552" s="240" t="s">
        <v>390</v>
      </c>
      <c r="V1552" s="240" t="s">
        <v>390</v>
      </c>
      <c r="W1552" s="240" t="s">
        <v>390</v>
      </c>
      <c r="X1552" s="240" t="s">
        <v>390</v>
      </c>
      <c r="Y1552" s="240" t="s">
        <v>390</v>
      </c>
      <c r="Z1552" s="240" t="s">
        <v>390</v>
      </c>
      <c r="AA1552" s="240" t="s">
        <v>390</v>
      </c>
      <c r="AB1552" s="240"/>
      <c r="AC1552" s="242" t="b">
        <f t="shared" si="2"/>
        <v>0</v>
      </c>
      <c r="AD1552" s="240" t="s">
        <v>391</v>
      </c>
      <c r="AE1552" s="243" t="b">
        <f t="shared" si="3"/>
        <v>0</v>
      </c>
      <c r="AF1552" s="240"/>
      <c r="AG1552" s="243" t="b">
        <f t="shared" si="7"/>
        <v>0</v>
      </c>
      <c r="AH1552" s="240"/>
      <c r="AI1552" s="243" t="str">
        <f t="shared" si="5"/>
        <v>N/A</v>
      </c>
      <c r="AJ1552" s="157" t="str">
        <f t="shared" si="6"/>
        <v/>
      </c>
    </row>
    <row r="1553" ht="12.75" customHeight="1">
      <c r="A1553" s="238" t="s">
        <v>4056</v>
      </c>
      <c r="B1553" s="238" t="s">
        <v>4059</v>
      </c>
      <c r="C1553" s="238" t="s">
        <v>4062</v>
      </c>
      <c r="D1553" s="238"/>
      <c r="E1553" s="238"/>
      <c r="F1553" s="154" t="str">
        <f t="array" ref="F1553">XLOOKUP(Cover!$D$12,$S$1:$AA$1,$S1553:$AA1553)</f>
        <v>Heading</v>
      </c>
      <c r="G1553" s="239" t="s">
        <v>4063</v>
      </c>
      <c r="H1553" s="240"/>
      <c r="I1553" s="240" t="s">
        <v>420</v>
      </c>
      <c r="J1553" s="240"/>
      <c r="K1553" s="240"/>
      <c r="L1553" s="154" t="str">
        <f t="shared" si="1"/>
        <v/>
      </c>
      <c r="M1553" s="241" t="str">
        <f>IFERROR(__xludf.DUMMYFUNCTION("VLOOKUP(C1553,IMPORTRANGE(""https://docs.google.com/spreadsheets/d/1P8eX0NWBhUPS_hvzA11R6jkTNFrPrRYIx_dX_hYbxrk/edit?resourcekey=0-iw9bsKY2OqkUHCFMkCar3A&amp;gid=2055363397#gid=2055363397"",""MTR!C:O""),11,false)"),"")</f>
        <v/>
      </c>
      <c r="N1553" s="241" t="str">
        <f>IFERROR(__xludf.DUMMYFUNCTION("VLOOKUP(C1553,IMPORTRANGE(""https://docs.google.com/spreadsheets/d/1ihFlp3_ePlYtFuPbUNbYj1muErVpI73WHXbEwJDIA7Q/edit#gid=1493122344"",""MTR!C:O""),8,false)"),"")</f>
        <v/>
      </c>
      <c r="O1553" s="241" t="str">
        <f>IFERROR(__xludf.DUMMYFUNCTION("VLOOKUP(C1553,IMPORTRANGE(""https://docs.google.com/spreadsheets/d/1P8eX0NWBhUPS_hvzA11R6jkTNFrPrRYIx_dX_hYbxrk/edit?resourcekey=0-iw9bsKY2OqkUHCFMkCar3A&amp;gid=2055363397#gid=2055363397"",""MTR!C:O""),9,false)"),"")</f>
        <v/>
      </c>
      <c r="P1553" s="241"/>
      <c r="Q1553" s="241"/>
      <c r="R1553" s="241"/>
      <c r="S1553" s="240" t="s">
        <v>390</v>
      </c>
      <c r="T1553" s="240" t="s">
        <v>390</v>
      </c>
      <c r="U1553" s="240" t="s">
        <v>390</v>
      </c>
      <c r="V1553" s="240" t="s">
        <v>390</v>
      </c>
      <c r="W1553" s="240" t="s">
        <v>390</v>
      </c>
      <c r="X1553" s="240" t="s">
        <v>390</v>
      </c>
      <c r="Y1553" s="240" t="s">
        <v>390</v>
      </c>
      <c r="Z1553" s="240" t="s">
        <v>390</v>
      </c>
      <c r="AA1553" s="240" t="s">
        <v>390</v>
      </c>
      <c r="AB1553" s="240"/>
      <c r="AC1553" s="242" t="b">
        <f t="shared" si="2"/>
        <v>0</v>
      </c>
      <c r="AD1553" s="240" t="s">
        <v>391</v>
      </c>
      <c r="AE1553" s="243" t="b">
        <f t="shared" si="3"/>
        <v>0</v>
      </c>
      <c r="AF1553" s="240"/>
      <c r="AG1553" s="243" t="b">
        <f t="shared" si="7"/>
        <v>0</v>
      </c>
      <c r="AH1553" s="240"/>
      <c r="AI1553" s="243" t="str">
        <f t="shared" si="5"/>
        <v>N/A</v>
      </c>
      <c r="AJ1553" s="157" t="str">
        <f t="shared" si="6"/>
        <v/>
      </c>
    </row>
    <row r="1554" ht="12.75" customHeight="1">
      <c r="A1554" s="244" t="s">
        <v>4056</v>
      </c>
      <c r="B1554" s="244" t="s">
        <v>4059</v>
      </c>
      <c r="C1554" s="244" t="s">
        <v>4064</v>
      </c>
      <c r="D1554" s="244" t="s">
        <v>2746</v>
      </c>
      <c r="E1554" s="244"/>
      <c r="F1554" s="154" t="str">
        <f t="array" ref="F1554">XLOOKUP(Cover!$D$12,$S$1:$AA$1,$S1554:$AA1554)</f>
        <v>Comment</v>
      </c>
      <c r="G1554" s="154" t="s">
        <v>4065</v>
      </c>
      <c r="H1554" s="154"/>
      <c r="I1554" s="154" t="s">
        <v>420</v>
      </c>
      <c r="J1554" s="154"/>
      <c r="K1554" s="154"/>
      <c r="L1554" s="154" t="str">
        <f t="shared" si="1"/>
        <v/>
      </c>
      <c r="M1554" s="241" t="str">
        <f>IFERROR(__xludf.DUMMYFUNCTION("VLOOKUP(C1554,IMPORTRANGE(""https://docs.google.com/spreadsheets/d/1P8eX0NWBhUPS_hvzA11R6jkTNFrPrRYIx_dX_hYbxrk/edit?resourcekey=0-iw9bsKY2OqkUHCFMkCar3A&amp;gid=2055363397#gid=2055363397"",""MTR!C:O""),11,false)"),"")</f>
        <v/>
      </c>
      <c r="N1554" s="241" t="str">
        <f>IFERROR(__xludf.DUMMYFUNCTION("VLOOKUP(C1554,IMPORTRANGE(""https://docs.google.com/spreadsheets/d/1ihFlp3_ePlYtFuPbUNbYj1muErVpI73WHXbEwJDIA7Q/edit#gid=1493122344"",""MTR!C:O""),8,false)"),"")</f>
        <v/>
      </c>
      <c r="O1554" s="241" t="str">
        <f>IFERROR(__xludf.DUMMYFUNCTION("VLOOKUP(C1554,IMPORTRANGE(""https://docs.google.com/spreadsheets/d/1P8eX0NWBhUPS_hvzA11R6jkTNFrPrRYIx_dX_hYbxrk/edit?resourcekey=0-iw9bsKY2OqkUHCFMkCar3A&amp;gid=2055363397#gid=2055363397"",""MTR!C:O""),9,false)"),"")</f>
        <v/>
      </c>
      <c r="P1554" s="241"/>
      <c r="Q1554" s="241"/>
      <c r="R1554" s="241"/>
      <c r="S1554" s="154" t="s">
        <v>35</v>
      </c>
      <c r="T1554" s="154" t="s">
        <v>35</v>
      </c>
      <c r="U1554" s="154" t="s">
        <v>35</v>
      </c>
      <c r="V1554" s="154" t="s">
        <v>35</v>
      </c>
      <c r="W1554" s="154" t="s">
        <v>35</v>
      </c>
      <c r="X1554" s="154" t="s">
        <v>35</v>
      </c>
      <c r="Y1554" s="154" t="s">
        <v>35</v>
      </c>
      <c r="Z1554" s="154" t="s">
        <v>35</v>
      </c>
      <c r="AA1554" s="154" t="s">
        <v>35</v>
      </c>
      <c r="AB1554" s="154"/>
      <c r="AC1554" s="242" t="b">
        <f t="shared" si="2"/>
        <v>0</v>
      </c>
      <c r="AD1554" s="154" t="s">
        <v>391</v>
      </c>
      <c r="AE1554" s="243" t="b">
        <f t="shared" si="3"/>
        <v>0</v>
      </c>
      <c r="AF1554" s="154"/>
      <c r="AG1554" s="243" t="b">
        <f t="shared" si="7"/>
        <v>0</v>
      </c>
      <c r="AH1554" s="154"/>
      <c r="AI1554" s="243" t="str">
        <f t="shared" si="5"/>
        <v>N/A</v>
      </c>
      <c r="AJ1554" s="157" t="str">
        <f t="shared" si="6"/>
        <v/>
      </c>
    </row>
    <row r="1555" ht="12.75" customHeight="1">
      <c r="A1555" s="244" t="s">
        <v>4056</v>
      </c>
      <c r="B1555" s="244" t="s">
        <v>4059</v>
      </c>
      <c r="C1555" s="244" t="s">
        <v>4066</v>
      </c>
      <c r="D1555" s="154" t="s">
        <v>781</v>
      </c>
      <c r="E1555" s="250"/>
      <c r="F1555" s="154" t="str">
        <f t="array" ref="F1555">XLOOKUP(Cover!$D$12,$S$1:$AA$1,$S1555:$AA1555)</f>
        <v>Mandatory</v>
      </c>
      <c r="G1555" s="154" t="s">
        <v>4067</v>
      </c>
      <c r="H1555" s="154" t="s">
        <v>398</v>
      </c>
      <c r="I1555" s="154" t="s">
        <v>420</v>
      </c>
      <c r="J1555" s="247" t="s">
        <v>445</v>
      </c>
      <c r="K1555" s="154"/>
      <c r="L1555" s="154" t="str">
        <f t="shared" si="1"/>
        <v/>
      </c>
      <c r="M1555" s="248" t="str">
        <f>IFERROR(__xludf.DUMMYFUNCTION("VLOOKUP(C1555,IMPORTRANGE(""https://docs.google.com/spreadsheets/d/1P8eX0NWBhUPS_hvzA11R6jkTNFrPrRYIx_dX_hYbxrk/edit?resourcekey=0-iw9bsKY2OqkUHCFMkCar3A&amp;gid=2055363397#gid=2055363397"",""MTR!C:O""),11,false)"),"TAM")</f>
        <v>TAM</v>
      </c>
      <c r="N1555" s="248" t="str">
        <f>IFERROR(__xludf.DUMMYFUNCTION("VLOOKUP(C1555,IMPORTRANGE(""https://docs.google.com/spreadsheets/d/1ihFlp3_ePlYtFuPbUNbYj1muErVpI73WHXbEwJDIA7Q/edit#gid=1493122344"",""MTR!C:O""),8,false)"),"Complies")</f>
        <v>Complies</v>
      </c>
      <c r="O1555" s="241" t="str">
        <f>IFERROR(__xludf.DUMMYFUNCTION("VLOOKUP(C1555,IMPORTRANGE(""https://docs.google.com/spreadsheets/d/1P8eX0NWBhUPS_hvzA11R6jkTNFrPrRYIx_dX_hYbxrk/edit?resourcekey=0-iw9bsKY2OqkUHCFMkCar3A&amp;gid=2055363397#gid=2055363397"",""MTR!C:O""),9,false)"),"")</f>
        <v/>
      </c>
      <c r="P1555" s="241"/>
      <c r="Q1555" s="251" t="s">
        <v>445</v>
      </c>
      <c r="R1555" s="241"/>
      <c r="S1555" s="154" t="s">
        <v>60</v>
      </c>
      <c r="T1555" s="154" t="s">
        <v>60</v>
      </c>
      <c r="U1555" s="154" t="s">
        <v>60</v>
      </c>
      <c r="V1555" s="154" t="s">
        <v>60</v>
      </c>
      <c r="W1555" s="154" t="s">
        <v>60</v>
      </c>
      <c r="X1555" s="154" t="s">
        <v>60</v>
      </c>
      <c r="Y1555" s="154" t="s">
        <v>60</v>
      </c>
      <c r="Z1555" s="154" t="s">
        <v>60</v>
      </c>
      <c r="AA1555" s="154" t="s">
        <v>60</v>
      </c>
      <c r="AB1555" s="154"/>
      <c r="AC1555" s="242" t="b">
        <f t="shared" si="2"/>
        <v>1</v>
      </c>
      <c r="AD1555" s="154" t="s">
        <v>391</v>
      </c>
      <c r="AE1555" s="243" t="b">
        <f t="shared" si="3"/>
        <v>0</v>
      </c>
      <c r="AF1555" s="154"/>
      <c r="AG1555" s="243" t="b">
        <f t="shared" si="7"/>
        <v>0</v>
      </c>
      <c r="AH1555" s="154"/>
      <c r="AI1555" s="243" t="str">
        <f t="shared" si="5"/>
        <v>N/A</v>
      </c>
      <c r="AJ1555" s="157" t="str">
        <f t="shared" si="6"/>
        <v/>
      </c>
    </row>
    <row r="1556" ht="12.75" customHeight="1">
      <c r="A1556" s="244" t="s">
        <v>4056</v>
      </c>
      <c r="B1556" s="244" t="s">
        <v>4059</v>
      </c>
      <c r="C1556" s="244" t="s">
        <v>4068</v>
      </c>
      <c r="D1556" s="154" t="s">
        <v>781</v>
      </c>
      <c r="E1556" s="250"/>
      <c r="F1556" s="154" t="str">
        <f t="array" ref="F1556">XLOOKUP(Cover!$D$12,$S$1:$AA$1,$S1556:$AA1556)</f>
        <v>Mandatory</v>
      </c>
      <c r="G1556" s="154" t="s">
        <v>4069</v>
      </c>
      <c r="H1556" s="154" t="s">
        <v>398</v>
      </c>
      <c r="I1556" s="154" t="s">
        <v>420</v>
      </c>
      <c r="J1556" s="247" t="s">
        <v>445</v>
      </c>
      <c r="K1556" s="154"/>
      <c r="L1556" s="154" t="str">
        <f t="shared" si="1"/>
        <v/>
      </c>
      <c r="M1556" s="248" t="str">
        <f>IFERROR(__xludf.DUMMYFUNCTION("VLOOKUP(C1556,IMPORTRANGE(""https://docs.google.com/spreadsheets/d/1P8eX0NWBhUPS_hvzA11R6jkTNFrPrRYIx_dX_hYbxrk/edit?resourcekey=0-iw9bsKY2OqkUHCFMkCar3A&amp;gid=2055363397#gid=2055363397"",""MTR!C:O""),11,false)"),"TAM")</f>
        <v>TAM</v>
      </c>
      <c r="N1556" s="248" t="str">
        <f>IFERROR(__xludf.DUMMYFUNCTION("VLOOKUP(C1556,IMPORTRANGE(""https://docs.google.com/spreadsheets/d/1ihFlp3_ePlYtFuPbUNbYj1muErVpI73WHXbEwJDIA7Q/edit#gid=1493122344"",""MTR!C:O""),8,false)"),"Complies")</f>
        <v>Complies</v>
      </c>
      <c r="O1556" s="241" t="str">
        <f>IFERROR(__xludf.DUMMYFUNCTION("VLOOKUP(C1556,IMPORTRANGE(""https://docs.google.com/spreadsheets/d/1P8eX0NWBhUPS_hvzA11R6jkTNFrPrRYIx_dX_hYbxrk/edit?resourcekey=0-iw9bsKY2OqkUHCFMkCar3A&amp;gid=2055363397#gid=2055363397"",""MTR!C:O""),9,false)"),"")</f>
        <v/>
      </c>
      <c r="P1556" s="241"/>
      <c r="Q1556" s="251" t="s">
        <v>445</v>
      </c>
      <c r="R1556" s="241"/>
      <c r="S1556" s="154" t="s">
        <v>60</v>
      </c>
      <c r="T1556" s="154" t="s">
        <v>60</v>
      </c>
      <c r="U1556" s="154" t="s">
        <v>60</v>
      </c>
      <c r="V1556" s="154" t="s">
        <v>60</v>
      </c>
      <c r="W1556" s="154" t="s">
        <v>60</v>
      </c>
      <c r="X1556" s="154" t="s">
        <v>60</v>
      </c>
      <c r="Y1556" s="154" t="s">
        <v>60</v>
      </c>
      <c r="Z1556" s="154" t="s">
        <v>60</v>
      </c>
      <c r="AA1556" s="154" t="s">
        <v>60</v>
      </c>
      <c r="AB1556" s="154"/>
      <c r="AC1556" s="242" t="b">
        <f t="shared" si="2"/>
        <v>1</v>
      </c>
      <c r="AD1556" s="154" t="s">
        <v>391</v>
      </c>
      <c r="AE1556" s="243" t="b">
        <f t="shared" si="3"/>
        <v>0</v>
      </c>
      <c r="AF1556" s="154"/>
      <c r="AG1556" s="243" t="b">
        <f t="shared" si="7"/>
        <v>0</v>
      </c>
      <c r="AH1556" s="154"/>
      <c r="AI1556" s="243" t="str">
        <f t="shared" si="5"/>
        <v>N/A</v>
      </c>
      <c r="AJ1556" s="157" t="str">
        <f t="shared" si="6"/>
        <v/>
      </c>
    </row>
    <row r="1557" ht="12.75" customHeight="1">
      <c r="A1557" s="244" t="s">
        <v>4056</v>
      </c>
      <c r="B1557" s="244" t="s">
        <v>4059</v>
      </c>
      <c r="C1557" s="244" t="s">
        <v>4070</v>
      </c>
      <c r="D1557" s="154" t="s">
        <v>781</v>
      </c>
      <c r="E1557" s="250"/>
      <c r="F1557" s="154" t="str">
        <f t="array" ref="F1557">XLOOKUP(Cover!$D$12,$S$1:$AA$1,$S1557:$AA1557)</f>
        <v>Mandatory</v>
      </c>
      <c r="G1557" s="154" t="s">
        <v>4071</v>
      </c>
      <c r="H1557" s="154" t="s">
        <v>398</v>
      </c>
      <c r="I1557" s="154" t="s">
        <v>420</v>
      </c>
      <c r="J1557" s="247" t="s">
        <v>445</v>
      </c>
      <c r="K1557" s="247" t="s">
        <v>4072</v>
      </c>
      <c r="L1557" s="154" t="str">
        <f t="shared" si="1"/>
        <v/>
      </c>
      <c r="M1557" s="248" t="str">
        <f>IFERROR(__xludf.DUMMYFUNCTION("VLOOKUP(C1557,IMPORTRANGE(""https://docs.google.com/spreadsheets/d/1P8eX0NWBhUPS_hvzA11R6jkTNFrPrRYIx_dX_hYbxrk/edit?resourcekey=0-iw9bsKY2OqkUHCFMkCar3A&amp;gid=2055363397#gid=2055363397"",""MTR!C:O""),11,false)"),"TAM")</f>
        <v>TAM</v>
      </c>
      <c r="N1557" s="248" t="str">
        <f>IFERROR(__xludf.DUMMYFUNCTION("VLOOKUP(C1557,IMPORTRANGE(""https://docs.google.com/spreadsheets/d/1ihFlp3_ePlYtFuPbUNbYj1muErVpI73WHXbEwJDIA7Q/edit#gid=1493122344"",""MTR!C:O""),8,false)"),"Complies")</f>
        <v>Complies</v>
      </c>
      <c r="O1557" s="248" t="str">
        <f>IFERROR(__xludf.DUMMYFUNCTION("VLOOKUP(C1557,IMPORTRANGE(""https://docs.google.com/spreadsheets/d/1P8eX0NWBhUPS_hvzA11R6jkTNFrPrRYIx_dX_hYbxrk/edit?resourcekey=0-iw9bsKY2OqkUHCFMkCar3A&amp;gid=2055363397#gid=2055363397"",""MTR!C:O""),9,false)"),"Not support external storage")</f>
        <v>Not support external storage</v>
      </c>
      <c r="P1557" s="248"/>
      <c r="Q1557" s="249" t="s">
        <v>445</v>
      </c>
      <c r="R1557" s="249" t="s">
        <v>4072</v>
      </c>
      <c r="S1557" s="154" t="s">
        <v>60</v>
      </c>
      <c r="T1557" s="154" t="s">
        <v>60</v>
      </c>
      <c r="U1557" s="154" t="s">
        <v>60</v>
      </c>
      <c r="V1557" s="154" t="s">
        <v>60</v>
      </c>
      <c r="W1557" s="154" t="s">
        <v>60</v>
      </c>
      <c r="X1557" s="154" t="s">
        <v>60</v>
      </c>
      <c r="Y1557" s="154" t="s">
        <v>60</v>
      </c>
      <c r="Z1557" s="154" t="s">
        <v>60</v>
      </c>
      <c r="AA1557" s="154" t="s">
        <v>60</v>
      </c>
      <c r="AB1557" s="154"/>
      <c r="AC1557" s="242" t="b">
        <f t="shared" si="2"/>
        <v>1</v>
      </c>
      <c r="AD1557" s="154" t="s">
        <v>391</v>
      </c>
      <c r="AE1557" s="243" t="b">
        <f t="shared" si="3"/>
        <v>0</v>
      </c>
      <c r="AF1557" s="154"/>
      <c r="AG1557" s="243" t="b">
        <f t="shared" si="7"/>
        <v>0</v>
      </c>
      <c r="AH1557" s="154"/>
      <c r="AI1557" s="243" t="str">
        <f t="shared" si="5"/>
        <v>N/A</v>
      </c>
      <c r="AJ1557" s="157" t="str">
        <f t="shared" si="6"/>
        <v/>
      </c>
    </row>
    <row r="1558" ht="12.75" customHeight="1">
      <c r="A1558" s="244" t="s">
        <v>4056</v>
      </c>
      <c r="B1558" s="244" t="s">
        <v>4059</v>
      </c>
      <c r="C1558" s="244" t="s">
        <v>4073</v>
      </c>
      <c r="D1558" s="154" t="s">
        <v>781</v>
      </c>
      <c r="E1558" s="250"/>
      <c r="F1558" s="154" t="str">
        <f t="array" ref="F1558">XLOOKUP(Cover!$D$12,$S$1:$AA$1,$S1558:$AA1558)</f>
        <v>Mandatory</v>
      </c>
      <c r="G1558" s="154" t="s">
        <v>4074</v>
      </c>
      <c r="H1558" s="154" t="s">
        <v>398</v>
      </c>
      <c r="I1558" s="154" t="s">
        <v>420</v>
      </c>
      <c r="J1558" s="247" t="s">
        <v>617</v>
      </c>
      <c r="K1558" s="247"/>
      <c r="L1558" s="154" t="str">
        <f t="shared" si="1"/>
        <v/>
      </c>
      <c r="M1558" s="248" t="str">
        <f>IFERROR(__xludf.DUMMYFUNCTION("VLOOKUP(C1558,IMPORTRANGE(""https://docs.google.com/spreadsheets/d/1P8eX0NWBhUPS_hvzA11R6jkTNFrPrRYIx_dX_hYbxrk/edit?resourcekey=0-iw9bsKY2OqkUHCFMkCar3A&amp;gid=2055363397#gid=2055363397"",""MTR!C:O""),11,false)"),"TAM")</f>
        <v>TAM</v>
      </c>
      <c r="N1558" s="248" t="str">
        <f>IFERROR(__xludf.DUMMYFUNCTION("VLOOKUP(C1558,IMPORTRANGE(""https://docs.google.com/spreadsheets/d/1ihFlp3_ePlYtFuPbUNbYj1muErVpI73WHXbEwJDIA7Q/edit#gid=1493122344"",""MTR!C:O""),8,false)"),"Not Applicable")</f>
        <v>Not Applicable</v>
      </c>
      <c r="O1558" s="241" t="str">
        <f>IFERROR(__xludf.DUMMYFUNCTION("VLOOKUP(C1558,IMPORTRANGE(""https://docs.google.com/spreadsheets/d/1P8eX0NWBhUPS_hvzA11R6jkTNFrPrRYIx_dX_hYbxrk/edit?resourcekey=0-iw9bsKY2OqkUHCFMkCar3A&amp;gid=2055363397#gid=2055363397"",""MTR!C:O""),9,false)"),"")</f>
        <v/>
      </c>
      <c r="P1558" s="241"/>
      <c r="Q1558" s="251" t="s">
        <v>617</v>
      </c>
      <c r="R1558" s="251"/>
      <c r="S1558" s="154" t="s">
        <v>60</v>
      </c>
      <c r="T1558" s="154" t="s">
        <v>60</v>
      </c>
      <c r="U1558" s="154" t="s">
        <v>60</v>
      </c>
      <c r="V1558" s="154" t="s">
        <v>60</v>
      </c>
      <c r="W1558" s="154" t="s">
        <v>60</v>
      </c>
      <c r="X1558" s="154" t="s">
        <v>60</v>
      </c>
      <c r="Y1558" s="154" t="s">
        <v>60</v>
      </c>
      <c r="Z1558" s="154" t="s">
        <v>60</v>
      </c>
      <c r="AA1558" s="154" t="s">
        <v>60</v>
      </c>
      <c r="AB1558" s="154"/>
      <c r="AC1558" s="242" t="b">
        <f t="shared" si="2"/>
        <v>1</v>
      </c>
      <c r="AD1558" s="154" t="s">
        <v>391</v>
      </c>
      <c r="AE1558" s="243" t="b">
        <f t="shared" si="3"/>
        <v>0</v>
      </c>
      <c r="AF1558" s="154"/>
      <c r="AG1558" s="243" t="b">
        <f t="shared" si="7"/>
        <v>0</v>
      </c>
      <c r="AH1558" s="154"/>
      <c r="AI1558" s="243" t="str">
        <f t="shared" si="5"/>
        <v>N/A</v>
      </c>
      <c r="AJ1558" s="157" t="str">
        <f t="shared" si="6"/>
        <v/>
      </c>
    </row>
    <row r="1559" ht="12.75" customHeight="1">
      <c r="A1559" s="244" t="s">
        <v>4056</v>
      </c>
      <c r="B1559" s="244" t="s">
        <v>4059</v>
      </c>
      <c r="C1559" s="244" t="s">
        <v>4075</v>
      </c>
      <c r="D1559" s="154" t="s">
        <v>781</v>
      </c>
      <c r="E1559" s="250"/>
      <c r="F1559" s="154" t="str">
        <f t="array" ref="F1559">XLOOKUP(Cover!$D$12,$S$1:$AA$1,$S1559:$AA1559)</f>
        <v>Mandatory</v>
      </c>
      <c r="G1559" s="154" t="s">
        <v>4076</v>
      </c>
      <c r="H1559" s="154" t="s">
        <v>398</v>
      </c>
      <c r="I1559" s="154" t="s">
        <v>420</v>
      </c>
      <c r="J1559" s="247" t="s">
        <v>445</v>
      </c>
      <c r="K1559" s="154"/>
      <c r="L1559" s="154" t="str">
        <f t="shared" si="1"/>
        <v/>
      </c>
      <c r="M1559" s="248" t="str">
        <f>IFERROR(__xludf.DUMMYFUNCTION("VLOOKUP(C1559,IMPORTRANGE(""https://docs.google.com/spreadsheets/d/1P8eX0NWBhUPS_hvzA11R6jkTNFrPrRYIx_dX_hYbxrk/edit?resourcekey=0-iw9bsKY2OqkUHCFMkCar3A&amp;gid=2055363397#gid=2055363397"",""MTR!C:O""),11,false)"),"TAM")</f>
        <v>TAM</v>
      </c>
      <c r="N1559" s="248" t="str">
        <f>IFERROR(__xludf.DUMMYFUNCTION("VLOOKUP(C1559,IMPORTRANGE(""https://docs.google.com/spreadsheets/d/1ihFlp3_ePlYtFuPbUNbYj1muErVpI73WHXbEwJDIA7Q/edit#gid=1493122344"",""MTR!C:O""),8,false)"),"Complies")</f>
        <v>Complies</v>
      </c>
      <c r="O1559" s="241" t="str">
        <f>IFERROR(__xludf.DUMMYFUNCTION("VLOOKUP(C1559,IMPORTRANGE(""https://docs.google.com/spreadsheets/d/1P8eX0NWBhUPS_hvzA11R6jkTNFrPrRYIx_dX_hYbxrk/edit?resourcekey=0-iw9bsKY2OqkUHCFMkCar3A&amp;gid=2055363397#gid=2055363397"",""MTR!C:O""),9,false)"),"")</f>
        <v/>
      </c>
      <c r="P1559" s="241"/>
      <c r="Q1559" s="251" t="s">
        <v>445</v>
      </c>
      <c r="R1559" s="241"/>
      <c r="S1559" s="154" t="s">
        <v>60</v>
      </c>
      <c r="T1559" s="154" t="s">
        <v>60</v>
      </c>
      <c r="U1559" s="154" t="s">
        <v>60</v>
      </c>
      <c r="V1559" s="154" t="s">
        <v>60</v>
      </c>
      <c r="W1559" s="154" t="s">
        <v>60</v>
      </c>
      <c r="X1559" s="154" t="s">
        <v>60</v>
      </c>
      <c r="Y1559" s="154" t="s">
        <v>60</v>
      </c>
      <c r="Z1559" s="154" t="s">
        <v>60</v>
      </c>
      <c r="AA1559" s="154" t="s">
        <v>60</v>
      </c>
      <c r="AB1559" s="154"/>
      <c r="AC1559" s="242" t="b">
        <f t="shared" si="2"/>
        <v>1</v>
      </c>
      <c r="AD1559" s="154" t="s">
        <v>391</v>
      </c>
      <c r="AE1559" s="243" t="b">
        <f t="shared" si="3"/>
        <v>0</v>
      </c>
      <c r="AF1559" s="154"/>
      <c r="AG1559" s="243" t="b">
        <f t="shared" si="7"/>
        <v>0</v>
      </c>
      <c r="AH1559" s="154"/>
      <c r="AI1559" s="243" t="str">
        <f t="shared" si="5"/>
        <v>N/A</v>
      </c>
      <c r="AJ1559" s="157" t="str">
        <f t="shared" si="6"/>
        <v/>
      </c>
    </row>
    <row r="1560" ht="12.75" customHeight="1">
      <c r="A1560" s="244" t="s">
        <v>4056</v>
      </c>
      <c r="B1560" s="244" t="s">
        <v>4059</v>
      </c>
      <c r="C1560" s="244" t="s">
        <v>4077</v>
      </c>
      <c r="D1560" s="154" t="s">
        <v>781</v>
      </c>
      <c r="E1560" s="250"/>
      <c r="F1560" s="154" t="str">
        <f t="array" ref="F1560">XLOOKUP(Cover!$D$12,$S$1:$AA$1,$S1560:$AA1560)</f>
        <v>Mandatory</v>
      </c>
      <c r="G1560" s="154" t="s">
        <v>4078</v>
      </c>
      <c r="H1560" s="154" t="s">
        <v>398</v>
      </c>
      <c r="I1560" s="154" t="s">
        <v>420</v>
      </c>
      <c r="J1560" s="247" t="s">
        <v>445</v>
      </c>
      <c r="K1560" s="154"/>
      <c r="L1560" s="154" t="str">
        <f t="shared" si="1"/>
        <v/>
      </c>
      <c r="M1560" s="248" t="str">
        <f>IFERROR(__xludf.DUMMYFUNCTION("VLOOKUP(C1560,IMPORTRANGE(""https://docs.google.com/spreadsheets/d/1P8eX0NWBhUPS_hvzA11R6jkTNFrPrRYIx_dX_hYbxrk/edit?resourcekey=0-iw9bsKY2OqkUHCFMkCar3A&amp;gid=2055363397#gid=2055363397"",""MTR!C:O""),11,false)"),"TAM")</f>
        <v>TAM</v>
      </c>
      <c r="N1560" s="248" t="str">
        <f>IFERROR(__xludf.DUMMYFUNCTION("VLOOKUP(C1560,IMPORTRANGE(""https://docs.google.com/spreadsheets/d/1ihFlp3_ePlYtFuPbUNbYj1muErVpI73WHXbEwJDIA7Q/edit#gid=1493122344"",""MTR!C:O""),8,false)"),"Complies")</f>
        <v>Complies</v>
      </c>
      <c r="O1560" s="241" t="str">
        <f>IFERROR(__xludf.DUMMYFUNCTION("VLOOKUP(C1560,IMPORTRANGE(""https://docs.google.com/spreadsheets/d/1P8eX0NWBhUPS_hvzA11R6jkTNFrPrRYIx_dX_hYbxrk/edit?resourcekey=0-iw9bsKY2OqkUHCFMkCar3A&amp;gid=2055363397#gid=2055363397"",""MTR!C:O""),9,false)"),"")</f>
        <v/>
      </c>
      <c r="P1560" s="241"/>
      <c r="Q1560" s="251" t="s">
        <v>445</v>
      </c>
      <c r="R1560" s="241"/>
      <c r="S1560" s="154" t="s">
        <v>60</v>
      </c>
      <c r="T1560" s="154" t="s">
        <v>60</v>
      </c>
      <c r="U1560" s="154" t="s">
        <v>60</v>
      </c>
      <c r="V1560" s="154" t="s">
        <v>60</v>
      </c>
      <c r="W1560" s="154" t="s">
        <v>60</v>
      </c>
      <c r="X1560" s="154" t="s">
        <v>60</v>
      </c>
      <c r="Y1560" s="154" t="s">
        <v>60</v>
      </c>
      <c r="Z1560" s="154" t="s">
        <v>60</v>
      </c>
      <c r="AA1560" s="154" t="s">
        <v>60</v>
      </c>
      <c r="AB1560" s="154"/>
      <c r="AC1560" s="242" t="b">
        <f t="shared" si="2"/>
        <v>1</v>
      </c>
      <c r="AD1560" s="154" t="s">
        <v>391</v>
      </c>
      <c r="AE1560" s="243" t="b">
        <f t="shared" si="3"/>
        <v>0</v>
      </c>
      <c r="AF1560" s="154"/>
      <c r="AG1560" s="243" t="b">
        <f t="shared" si="7"/>
        <v>0</v>
      </c>
      <c r="AH1560" s="154"/>
      <c r="AI1560" s="243" t="str">
        <f t="shared" si="5"/>
        <v>N/A</v>
      </c>
      <c r="AJ1560" s="157" t="str">
        <f t="shared" si="6"/>
        <v/>
      </c>
    </row>
    <row r="1561" ht="12.75" customHeight="1">
      <c r="A1561" s="244" t="s">
        <v>4056</v>
      </c>
      <c r="B1561" s="244" t="s">
        <v>4059</v>
      </c>
      <c r="C1561" s="244" t="s">
        <v>4079</v>
      </c>
      <c r="D1561" s="154" t="s">
        <v>781</v>
      </c>
      <c r="E1561" s="250"/>
      <c r="F1561" s="154" t="str">
        <f t="array" ref="F1561">XLOOKUP(Cover!$D$12,$S$1:$AA$1,$S1561:$AA1561)</f>
        <v>Mandatory</v>
      </c>
      <c r="G1561" s="154" t="s">
        <v>4080</v>
      </c>
      <c r="H1561" s="154" t="s">
        <v>398</v>
      </c>
      <c r="I1561" s="154" t="s">
        <v>420</v>
      </c>
      <c r="J1561" s="247" t="s">
        <v>445</v>
      </c>
      <c r="K1561" s="154"/>
      <c r="L1561" s="154" t="str">
        <f t="shared" si="1"/>
        <v/>
      </c>
      <c r="M1561" s="248" t="str">
        <f>IFERROR(__xludf.DUMMYFUNCTION("VLOOKUP(C1561,IMPORTRANGE(""https://docs.google.com/spreadsheets/d/1P8eX0NWBhUPS_hvzA11R6jkTNFrPrRYIx_dX_hYbxrk/edit?resourcekey=0-iw9bsKY2OqkUHCFMkCar3A&amp;gid=2055363397#gid=2055363397"",""MTR!C:O""),11,false)"),"TAM")</f>
        <v>TAM</v>
      </c>
      <c r="N1561" s="248" t="str">
        <f>IFERROR(__xludf.DUMMYFUNCTION("VLOOKUP(C1561,IMPORTRANGE(""https://docs.google.com/spreadsheets/d/1ihFlp3_ePlYtFuPbUNbYj1muErVpI73WHXbEwJDIA7Q/edit#gid=1493122344"",""MTR!C:O""),8,false)"),"Complies")</f>
        <v>Complies</v>
      </c>
      <c r="O1561" s="241" t="str">
        <f>IFERROR(__xludf.DUMMYFUNCTION("VLOOKUP(C1561,IMPORTRANGE(""https://docs.google.com/spreadsheets/d/1P8eX0NWBhUPS_hvzA11R6jkTNFrPrRYIx_dX_hYbxrk/edit?resourcekey=0-iw9bsKY2OqkUHCFMkCar3A&amp;gid=2055363397#gid=2055363397"",""MTR!C:O""),9,false)"),"")</f>
        <v/>
      </c>
      <c r="P1561" s="241"/>
      <c r="Q1561" s="251" t="s">
        <v>445</v>
      </c>
      <c r="R1561" s="241"/>
      <c r="S1561" s="154" t="s">
        <v>68</v>
      </c>
      <c r="T1561" s="154" t="s">
        <v>60</v>
      </c>
      <c r="U1561" s="154" t="s">
        <v>60</v>
      </c>
      <c r="V1561" s="154" t="s">
        <v>60</v>
      </c>
      <c r="W1561" s="154" t="s">
        <v>60</v>
      </c>
      <c r="X1561" s="154" t="s">
        <v>60</v>
      </c>
      <c r="Y1561" s="154" t="s">
        <v>60</v>
      </c>
      <c r="Z1561" s="154" t="s">
        <v>60</v>
      </c>
      <c r="AA1561" s="154" t="s">
        <v>60</v>
      </c>
      <c r="AB1561" s="154"/>
      <c r="AC1561" s="242" t="b">
        <f t="shared" si="2"/>
        <v>1</v>
      </c>
      <c r="AD1561" s="154" t="s">
        <v>391</v>
      </c>
      <c r="AE1561" s="243" t="b">
        <f t="shared" si="3"/>
        <v>0</v>
      </c>
      <c r="AF1561" s="154"/>
      <c r="AG1561" s="243" t="b">
        <f t="shared" si="7"/>
        <v>0</v>
      </c>
      <c r="AH1561" s="154"/>
      <c r="AI1561" s="243" t="str">
        <f t="shared" si="5"/>
        <v>N/A</v>
      </c>
      <c r="AJ1561" s="157" t="str">
        <f t="shared" si="6"/>
        <v/>
      </c>
    </row>
    <row r="1562" ht="12.75" customHeight="1">
      <c r="A1562" s="244" t="s">
        <v>4056</v>
      </c>
      <c r="B1562" s="244" t="s">
        <v>4059</v>
      </c>
      <c r="C1562" s="244" t="s">
        <v>4081</v>
      </c>
      <c r="D1562" s="154" t="s">
        <v>781</v>
      </c>
      <c r="E1562" s="250"/>
      <c r="F1562" s="154" t="str">
        <f t="array" ref="F1562">XLOOKUP(Cover!$D$12,$S$1:$AA$1,$S1562:$AA1562)</f>
        <v>Mandatory</v>
      </c>
      <c r="G1562" s="154" t="s">
        <v>4082</v>
      </c>
      <c r="H1562" s="154" t="s">
        <v>398</v>
      </c>
      <c r="I1562" s="154" t="s">
        <v>420</v>
      </c>
      <c r="J1562" s="247" t="s">
        <v>445</v>
      </c>
      <c r="K1562" s="154"/>
      <c r="L1562" s="154" t="str">
        <f t="shared" si="1"/>
        <v/>
      </c>
      <c r="M1562" s="248" t="str">
        <f>IFERROR(__xludf.DUMMYFUNCTION("VLOOKUP(C1562,IMPORTRANGE(""https://docs.google.com/spreadsheets/d/1P8eX0NWBhUPS_hvzA11R6jkTNFrPrRYIx_dX_hYbxrk/edit?resourcekey=0-iw9bsKY2OqkUHCFMkCar3A&amp;gid=2055363397#gid=2055363397"",""MTR!C:O""),11,false)"),"TAM")</f>
        <v>TAM</v>
      </c>
      <c r="N1562" s="248" t="str">
        <f>IFERROR(__xludf.DUMMYFUNCTION("VLOOKUP(C1562,IMPORTRANGE(""https://docs.google.com/spreadsheets/d/1ihFlp3_ePlYtFuPbUNbYj1muErVpI73WHXbEwJDIA7Q/edit#gid=1493122344"",""MTR!C:O""),8,false)"),"Complies")</f>
        <v>Complies</v>
      </c>
      <c r="O1562" s="241" t="str">
        <f>IFERROR(__xludf.DUMMYFUNCTION("VLOOKUP(C1562,IMPORTRANGE(""https://docs.google.com/spreadsheets/d/1P8eX0NWBhUPS_hvzA11R6jkTNFrPrRYIx_dX_hYbxrk/edit?resourcekey=0-iw9bsKY2OqkUHCFMkCar3A&amp;gid=2055363397#gid=2055363397"",""MTR!C:O""),9,false)"),"")</f>
        <v/>
      </c>
      <c r="P1562" s="241"/>
      <c r="Q1562" s="251" t="s">
        <v>445</v>
      </c>
      <c r="R1562" s="241"/>
      <c r="S1562" s="154" t="s">
        <v>68</v>
      </c>
      <c r="T1562" s="154" t="s">
        <v>60</v>
      </c>
      <c r="U1562" s="154" t="s">
        <v>60</v>
      </c>
      <c r="V1562" s="154" t="s">
        <v>60</v>
      </c>
      <c r="W1562" s="154" t="s">
        <v>60</v>
      </c>
      <c r="X1562" s="154" t="s">
        <v>60</v>
      </c>
      <c r="Y1562" s="154" t="s">
        <v>60</v>
      </c>
      <c r="Z1562" s="154" t="s">
        <v>60</v>
      </c>
      <c r="AA1562" s="154" t="s">
        <v>60</v>
      </c>
      <c r="AB1562" s="154"/>
      <c r="AC1562" s="242" t="b">
        <f t="shared" si="2"/>
        <v>1</v>
      </c>
      <c r="AD1562" s="154" t="s">
        <v>391</v>
      </c>
      <c r="AE1562" s="243" t="b">
        <f t="shared" si="3"/>
        <v>0</v>
      </c>
      <c r="AF1562" s="154"/>
      <c r="AG1562" s="243" t="b">
        <f t="shared" si="7"/>
        <v>0</v>
      </c>
      <c r="AH1562" s="154"/>
      <c r="AI1562" s="243" t="str">
        <f t="shared" si="5"/>
        <v>N/A</v>
      </c>
      <c r="AJ1562" s="157" t="str">
        <f t="shared" si="6"/>
        <v/>
      </c>
    </row>
    <row r="1563" ht="12.75" customHeight="1">
      <c r="A1563" s="244" t="s">
        <v>4056</v>
      </c>
      <c r="B1563" s="244" t="s">
        <v>4059</v>
      </c>
      <c r="C1563" s="244" t="s">
        <v>4083</v>
      </c>
      <c r="D1563" s="154" t="s">
        <v>781</v>
      </c>
      <c r="E1563" s="250"/>
      <c r="F1563" s="154" t="str">
        <f t="array" ref="F1563">XLOOKUP(Cover!$D$12,$S$1:$AA$1,$S1563:$AA1563)</f>
        <v>Mandatory</v>
      </c>
      <c r="G1563" s="154" t="s">
        <v>4084</v>
      </c>
      <c r="H1563" s="154" t="s">
        <v>398</v>
      </c>
      <c r="I1563" s="154" t="s">
        <v>420</v>
      </c>
      <c r="J1563" s="247" t="s">
        <v>445</v>
      </c>
      <c r="K1563" s="154"/>
      <c r="L1563" s="154" t="str">
        <f t="shared" si="1"/>
        <v/>
      </c>
      <c r="M1563" s="248" t="str">
        <f>IFERROR(__xludf.DUMMYFUNCTION("VLOOKUP(C1563,IMPORTRANGE(""https://docs.google.com/spreadsheets/d/1P8eX0NWBhUPS_hvzA11R6jkTNFrPrRYIx_dX_hYbxrk/edit?resourcekey=0-iw9bsKY2OqkUHCFMkCar3A&amp;gid=2055363397#gid=2055363397"",""MTR!C:O""),11,false)"),"TAM")</f>
        <v>TAM</v>
      </c>
      <c r="N1563" s="248" t="str">
        <f>IFERROR(__xludf.DUMMYFUNCTION("VLOOKUP(C1563,IMPORTRANGE(""https://docs.google.com/spreadsheets/d/1ihFlp3_ePlYtFuPbUNbYj1muErVpI73WHXbEwJDIA7Q/edit#gid=1493122344"",""MTR!C:O""),8,false)"),"Complies")</f>
        <v>Complies</v>
      </c>
      <c r="O1563" s="241" t="str">
        <f>IFERROR(__xludf.DUMMYFUNCTION("VLOOKUP(C1563,IMPORTRANGE(""https://docs.google.com/spreadsheets/d/1P8eX0NWBhUPS_hvzA11R6jkTNFrPrRYIx_dX_hYbxrk/edit?resourcekey=0-iw9bsKY2OqkUHCFMkCar3A&amp;gid=2055363397#gid=2055363397"",""MTR!C:O""),9,false)"),"")</f>
        <v/>
      </c>
      <c r="P1563" s="241"/>
      <c r="Q1563" s="251" t="s">
        <v>445</v>
      </c>
      <c r="R1563" s="241"/>
      <c r="S1563" s="154" t="s">
        <v>68</v>
      </c>
      <c r="T1563" s="154" t="s">
        <v>60</v>
      </c>
      <c r="U1563" s="154" t="s">
        <v>60</v>
      </c>
      <c r="V1563" s="154" t="s">
        <v>60</v>
      </c>
      <c r="W1563" s="154" t="s">
        <v>60</v>
      </c>
      <c r="X1563" s="154" t="s">
        <v>60</v>
      </c>
      <c r="Y1563" s="154" t="s">
        <v>60</v>
      </c>
      <c r="Z1563" s="154" t="s">
        <v>60</v>
      </c>
      <c r="AA1563" s="154" t="s">
        <v>60</v>
      </c>
      <c r="AB1563" s="154"/>
      <c r="AC1563" s="242" t="b">
        <f t="shared" si="2"/>
        <v>1</v>
      </c>
      <c r="AD1563" s="154" t="s">
        <v>391</v>
      </c>
      <c r="AE1563" s="243" t="b">
        <f t="shared" si="3"/>
        <v>0</v>
      </c>
      <c r="AF1563" s="154"/>
      <c r="AG1563" s="243" t="b">
        <f t="shared" si="7"/>
        <v>0</v>
      </c>
      <c r="AH1563" s="154"/>
      <c r="AI1563" s="243" t="str">
        <f t="shared" si="5"/>
        <v>N/A</v>
      </c>
      <c r="AJ1563" s="157" t="str">
        <f t="shared" si="6"/>
        <v/>
      </c>
    </row>
    <row r="1564" ht="12.75" customHeight="1">
      <c r="A1564" s="244" t="s">
        <v>4056</v>
      </c>
      <c r="B1564" s="244" t="s">
        <v>4059</v>
      </c>
      <c r="C1564" s="244" t="s">
        <v>4085</v>
      </c>
      <c r="D1564" s="154" t="s">
        <v>781</v>
      </c>
      <c r="E1564" s="250"/>
      <c r="F1564" s="154" t="str">
        <f t="array" ref="F1564">XLOOKUP(Cover!$D$12,$S$1:$AA$1,$S1564:$AA1564)</f>
        <v>Mandatory</v>
      </c>
      <c r="G1564" s="154" t="s">
        <v>4086</v>
      </c>
      <c r="H1564" s="154" t="s">
        <v>398</v>
      </c>
      <c r="I1564" s="154" t="s">
        <v>420</v>
      </c>
      <c r="J1564" s="247" t="s">
        <v>445</v>
      </c>
      <c r="K1564" s="154"/>
      <c r="L1564" s="154" t="str">
        <f t="shared" si="1"/>
        <v/>
      </c>
      <c r="M1564" s="248" t="str">
        <f>IFERROR(__xludf.DUMMYFUNCTION("VLOOKUP(C1564,IMPORTRANGE(""https://docs.google.com/spreadsheets/d/1P8eX0NWBhUPS_hvzA11R6jkTNFrPrRYIx_dX_hYbxrk/edit?resourcekey=0-iw9bsKY2OqkUHCFMkCar3A&amp;gid=2055363397#gid=2055363397"",""MTR!C:O""),11,false)"),"TAM")</f>
        <v>TAM</v>
      </c>
      <c r="N1564" s="248" t="str">
        <f>IFERROR(__xludf.DUMMYFUNCTION("VLOOKUP(C1564,IMPORTRANGE(""https://docs.google.com/spreadsheets/d/1ihFlp3_ePlYtFuPbUNbYj1muErVpI73WHXbEwJDIA7Q/edit#gid=1493122344"",""MTR!C:O""),8,false)"),"Complies")</f>
        <v>Complies</v>
      </c>
      <c r="O1564" s="241" t="str">
        <f>IFERROR(__xludf.DUMMYFUNCTION("VLOOKUP(C1564,IMPORTRANGE(""https://docs.google.com/spreadsheets/d/1P8eX0NWBhUPS_hvzA11R6jkTNFrPrRYIx_dX_hYbxrk/edit?resourcekey=0-iw9bsKY2OqkUHCFMkCar3A&amp;gid=2055363397#gid=2055363397"",""MTR!C:O""),9,false)"),"")</f>
        <v/>
      </c>
      <c r="P1564" s="241"/>
      <c r="Q1564" s="251" t="s">
        <v>445</v>
      </c>
      <c r="R1564" s="241"/>
      <c r="S1564" s="154" t="s">
        <v>68</v>
      </c>
      <c r="T1564" s="154" t="s">
        <v>60</v>
      </c>
      <c r="U1564" s="154" t="s">
        <v>60</v>
      </c>
      <c r="V1564" s="154" t="s">
        <v>60</v>
      </c>
      <c r="W1564" s="154" t="s">
        <v>60</v>
      </c>
      <c r="X1564" s="154" t="s">
        <v>60</v>
      </c>
      <c r="Y1564" s="154" t="s">
        <v>60</v>
      </c>
      <c r="Z1564" s="154" t="s">
        <v>60</v>
      </c>
      <c r="AA1564" s="154" t="s">
        <v>60</v>
      </c>
      <c r="AB1564" s="154"/>
      <c r="AC1564" s="242" t="b">
        <f t="shared" si="2"/>
        <v>1</v>
      </c>
      <c r="AD1564" s="154" t="s">
        <v>391</v>
      </c>
      <c r="AE1564" s="243" t="b">
        <f t="shared" si="3"/>
        <v>0</v>
      </c>
      <c r="AF1564" s="154"/>
      <c r="AG1564" s="243" t="b">
        <f t="shared" si="7"/>
        <v>0</v>
      </c>
      <c r="AH1564" s="154"/>
      <c r="AI1564" s="243" t="str">
        <f t="shared" si="5"/>
        <v>N/A</v>
      </c>
      <c r="AJ1564" s="157" t="str">
        <f t="shared" si="6"/>
        <v/>
      </c>
    </row>
    <row r="1565" ht="12.75" customHeight="1">
      <c r="A1565" s="244" t="s">
        <v>4056</v>
      </c>
      <c r="B1565" s="244" t="s">
        <v>4059</v>
      </c>
      <c r="C1565" s="244" t="s">
        <v>4087</v>
      </c>
      <c r="D1565" s="154" t="s">
        <v>1282</v>
      </c>
      <c r="E1565" s="250"/>
      <c r="F1565" s="154" t="str">
        <f t="array" ref="F1565">XLOOKUP(Cover!$D$12,$S$1:$AA$1,$S1565:$AA1565)</f>
        <v>Mandatory</v>
      </c>
      <c r="G1565" s="154" t="s">
        <v>4088</v>
      </c>
      <c r="H1565" s="154" t="s">
        <v>398</v>
      </c>
      <c r="I1565" s="154" t="s">
        <v>420</v>
      </c>
      <c r="J1565" s="247" t="s">
        <v>445</v>
      </c>
      <c r="K1565" s="154"/>
      <c r="L1565" s="154" t="str">
        <f t="shared" si="1"/>
        <v/>
      </c>
      <c r="M1565" s="248" t="str">
        <f>IFERROR(__xludf.DUMMYFUNCTION("VLOOKUP(C1565,IMPORTRANGE(""https://docs.google.com/spreadsheets/d/1P8eX0NWBhUPS_hvzA11R6jkTNFrPrRYIx_dX_hYbxrk/edit?resourcekey=0-iw9bsKY2OqkUHCFMkCar3A&amp;gid=2055363397#gid=2055363397"",""MTR!C:O""),11,false)"),"TAM")</f>
        <v>TAM</v>
      </c>
      <c r="N1565" s="248" t="str">
        <f>IFERROR(__xludf.DUMMYFUNCTION("VLOOKUP(C1565,IMPORTRANGE(""https://docs.google.com/spreadsheets/d/1ihFlp3_ePlYtFuPbUNbYj1muErVpI73WHXbEwJDIA7Q/edit#gid=1493122344"",""MTR!C:O""),8,false)"),"Complies")</f>
        <v>Complies</v>
      </c>
      <c r="O1565" s="241" t="str">
        <f>IFERROR(__xludf.DUMMYFUNCTION("VLOOKUP(C1565,IMPORTRANGE(""https://docs.google.com/spreadsheets/d/1P8eX0NWBhUPS_hvzA11R6jkTNFrPrRYIx_dX_hYbxrk/edit?resourcekey=0-iw9bsKY2OqkUHCFMkCar3A&amp;gid=2055363397#gid=2055363397"",""MTR!C:O""),9,false)"),"")</f>
        <v/>
      </c>
      <c r="P1565" s="241"/>
      <c r="Q1565" s="251" t="s">
        <v>445</v>
      </c>
      <c r="R1565" s="241"/>
      <c r="S1565" s="154" t="s">
        <v>60</v>
      </c>
      <c r="T1565" s="154" t="s">
        <v>60</v>
      </c>
      <c r="U1565" s="154" t="s">
        <v>60</v>
      </c>
      <c r="V1565" s="154" t="s">
        <v>60</v>
      </c>
      <c r="W1565" s="154" t="s">
        <v>60</v>
      </c>
      <c r="X1565" s="154" t="s">
        <v>60</v>
      </c>
      <c r="Y1565" s="154" t="s">
        <v>60</v>
      </c>
      <c r="Z1565" s="154" t="s">
        <v>60</v>
      </c>
      <c r="AA1565" s="154" t="s">
        <v>60</v>
      </c>
      <c r="AB1565" s="154"/>
      <c r="AC1565" s="242" t="b">
        <f t="shared" si="2"/>
        <v>1</v>
      </c>
      <c r="AD1565" s="154" t="s">
        <v>391</v>
      </c>
      <c r="AE1565" s="243" t="b">
        <f t="shared" si="3"/>
        <v>0</v>
      </c>
      <c r="AF1565" s="154"/>
      <c r="AG1565" s="243" t="b">
        <f t="shared" si="7"/>
        <v>0</v>
      </c>
      <c r="AH1565" s="154"/>
      <c r="AI1565" s="243" t="str">
        <f t="shared" si="5"/>
        <v>N/A</v>
      </c>
      <c r="AJ1565" s="157" t="str">
        <f t="shared" si="6"/>
        <v/>
      </c>
    </row>
    <row r="1566" ht="12.75" customHeight="1">
      <c r="A1566" s="244" t="s">
        <v>4056</v>
      </c>
      <c r="B1566" s="244" t="s">
        <v>4059</v>
      </c>
      <c r="C1566" s="244" t="s">
        <v>4089</v>
      </c>
      <c r="D1566" s="154" t="s">
        <v>1282</v>
      </c>
      <c r="E1566" s="250"/>
      <c r="F1566" s="154" t="str">
        <f t="array" ref="F1566">XLOOKUP(Cover!$D$12,$S$1:$AA$1,$S1566:$AA1566)</f>
        <v>Mandatory</v>
      </c>
      <c r="G1566" s="154" t="s">
        <v>4090</v>
      </c>
      <c r="H1566" s="154" t="s">
        <v>398</v>
      </c>
      <c r="I1566" s="154" t="s">
        <v>420</v>
      </c>
      <c r="J1566" s="247" t="s">
        <v>445</v>
      </c>
      <c r="K1566" s="247" t="s">
        <v>4091</v>
      </c>
      <c r="L1566" s="154" t="str">
        <f t="shared" si="1"/>
        <v/>
      </c>
      <c r="M1566" s="248" t="str">
        <f>IFERROR(__xludf.DUMMYFUNCTION("VLOOKUP(C1566,IMPORTRANGE(""https://docs.google.com/spreadsheets/d/1P8eX0NWBhUPS_hvzA11R6jkTNFrPrRYIx_dX_hYbxrk/edit?resourcekey=0-iw9bsKY2OqkUHCFMkCar3A&amp;gid=2055363397#gid=2055363397"",""MTR!C:O""),11,false)"),"TAM")</f>
        <v>TAM</v>
      </c>
      <c r="N1566" s="248" t="str">
        <f>IFERROR(__xludf.DUMMYFUNCTION("VLOOKUP(C1566,IMPORTRANGE(""https://docs.google.com/spreadsheets/d/1ihFlp3_ePlYtFuPbUNbYj1muErVpI73WHXbEwJDIA7Q/edit#gid=1493122344"",""MTR!C:O""),8,false)"),"Complies")</f>
        <v>Complies</v>
      </c>
      <c r="O1566" s="248" t="str">
        <f>IFERROR(__xludf.DUMMYFUNCTION("VLOOKUP(C1566,IMPORTRANGE(""https://docs.google.com/spreadsheets/d/1P8eX0NWBhUPS_hvzA11R6jkTNFrPrRYIx_dX_hYbxrk/edit?resourcekey=0-iw9bsKY2OqkUHCFMkCar3A&amp;gid=2055363397#gid=2055363397"",""MTR!C:O""),9,false)"),"At least 36 months after the terminal has launched")</f>
        <v>At least 36 months after the terminal has launched</v>
      </c>
      <c r="P1566" s="248"/>
      <c r="Q1566" s="249" t="s">
        <v>445</v>
      </c>
      <c r="R1566" s="249" t="s">
        <v>4091</v>
      </c>
      <c r="S1566" s="154" t="s">
        <v>60</v>
      </c>
      <c r="T1566" s="154" t="s">
        <v>60</v>
      </c>
      <c r="U1566" s="154" t="s">
        <v>60</v>
      </c>
      <c r="V1566" s="154" t="s">
        <v>60</v>
      </c>
      <c r="W1566" s="154" t="s">
        <v>60</v>
      </c>
      <c r="X1566" s="154" t="s">
        <v>60</v>
      </c>
      <c r="Y1566" s="154" t="s">
        <v>60</v>
      </c>
      <c r="Z1566" s="154" t="s">
        <v>60</v>
      </c>
      <c r="AA1566" s="154" t="s">
        <v>60</v>
      </c>
      <c r="AB1566" s="154"/>
      <c r="AC1566" s="242" t="b">
        <f t="shared" si="2"/>
        <v>1</v>
      </c>
      <c r="AD1566" s="154" t="s">
        <v>391</v>
      </c>
      <c r="AE1566" s="243" t="b">
        <f t="shared" si="3"/>
        <v>0</v>
      </c>
      <c r="AF1566" s="154"/>
      <c r="AG1566" s="243" t="b">
        <f t="shared" si="7"/>
        <v>0</v>
      </c>
      <c r="AH1566" s="154"/>
      <c r="AI1566" s="243" t="str">
        <f t="shared" si="5"/>
        <v>N/A</v>
      </c>
      <c r="AJ1566" s="157" t="str">
        <f t="shared" si="6"/>
        <v/>
      </c>
    </row>
    <row r="1567" ht="12.75" customHeight="1">
      <c r="A1567" s="244" t="s">
        <v>4056</v>
      </c>
      <c r="B1567" s="244" t="s">
        <v>4059</v>
      </c>
      <c r="C1567" s="244" t="s">
        <v>4092</v>
      </c>
      <c r="D1567" s="154" t="s">
        <v>1282</v>
      </c>
      <c r="E1567" s="250"/>
      <c r="F1567" s="154" t="str">
        <f t="array" ref="F1567">XLOOKUP(Cover!$D$12,$S$1:$AA$1,$S1567:$AA1567)</f>
        <v>Mandatory</v>
      </c>
      <c r="G1567" s="154" t="s">
        <v>4093</v>
      </c>
      <c r="H1567" s="154" t="s">
        <v>398</v>
      </c>
      <c r="I1567" s="154" t="s">
        <v>420</v>
      </c>
      <c r="J1567" s="247" t="s">
        <v>445</v>
      </c>
      <c r="K1567" s="247"/>
      <c r="L1567" s="154" t="str">
        <f t="shared" si="1"/>
        <v>Comments Vendor missing!
</v>
      </c>
      <c r="M1567" s="248" t="str">
        <f>IFERROR(__xludf.DUMMYFUNCTION("VLOOKUP(C1567,IMPORTRANGE(""https://docs.google.com/spreadsheets/d/1P8eX0NWBhUPS_hvzA11R6jkTNFrPrRYIx_dX_hYbxrk/edit?resourcekey=0-iw9bsKY2OqkUHCFMkCar3A&amp;gid=2055363397#gid=2055363397"",""MTR!C:O""),11,false)"),"TAM")</f>
        <v>TAM</v>
      </c>
      <c r="N1567" s="248" t="str">
        <f>IFERROR(__xludf.DUMMYFUNCTION("VLOOKUP(C1567,IMPORTRANGE(""https://docs.google.com/spreadsheets/d/1ihFlp3_ePlYtFuPbUNbYj1muErVpI73WHXbEwJDIA7Q/edit#gid=1493122344"",""MTR!C:O""),8,false)"),"Complies")</f>
        <v>Complies</v>
      </c>
      <c r="O1567" s="241" t="str">
        <f>IFERROR(__xludf.DUMMYFUNCTION("VLOOKUP(C1567,IMPORTRANGE(""https://docs.google.com/spreadsheets/d/1P8eX0NWBhUPS_hvzA11R6jkTNFrPrRYIx_dX_hYbxrk/edit?resourcekey=0-iw9bsKY2OqkUHCFMkCar3A&amp;gid=2055363397#gid=2055363397"",""MTR!C:O""),9,false)"),"")</f>
        <v/>
      </c>
      <c r="P1567" s="241"/>
      <c r="Q1567" s="251" t="s">
        <v>445</v>
      </c>
      <c r="R1567" s="251"/>
      <c r="S1567" s="154" t="s">
        <v>60</v>
      </c>
      <c r="T1567" s="154" t="s">
        <v>60</v>
      </c>
      <c r="U1567" s="154" t="s">
        <v>60</v>
      </c>
      <c r="V1567" s="154" t="s">
        <v>60</v>
      </c>
      <c r="W1567" s="154" t="s">
        <v>60</v>
      </c>
      <c r="X1567" s="154" t="s">
        <v>60</v>
      </c>
      <c r="Y1567" s="154" t="s">
        <v>60</v>
      </c>
      <c r="Z1567" s="154" t="s">
        <v>60</v>
      </c>
      <c r="AA1567" s="154" t="s">
        <v>60</v>
      </c>
      <c r="AB1567" s="154"/>
      <c r="AC1567" s="242" t="b">
        <f t="shared" si="2"/>
        <v>1</v>
      </c>
      <c r="AD1567" s="154" t="s">
        <v>445</v>
      </c>
      <c r="AE1567" s="243" t="b">
        <f t="shared" si="3"/>
        <v>0</v>
      </c>
      <c r="AF1567" s="154"/>
      <c r="AG1567" s="243" t="b">
        <f t="shared" si="7"/>
        <v>1</v>
      </c>
      <c r="AH1567" s="154"/>
      <c r="AI1567" s="243" t="str">
        <f t="shared" si="5"/>
        <v>N/A</v>
      </c>
      <c r="AJ1567" s="157" t="str">
        <f t="shared" si="6"/>
        <v>Comments Vendor missing!
</v>
      </c>
    </row>
    <row r="1568" ht="12.75" customHeight="1">
      <c r="A1568" s="244" t="s">
        <v>4056</v>
      </c>
      <c r="B1568" s="244" t="s">
        <v>4059</v>
      </c>
      <c r="C1568" s="244" t="s">
        <v>4094</v>
      </c>
      <c r="D1568" s="154" t="s">
        <v>433</v>
      </c>
      <c r="E1568" s="250"/>
      <c r="F1568" s="154" t="str">
        <f t="array" ref="F1568">XLOOKUP(Cover!$D$12,$S$1:$AA$1,$S1568:$AA1568)</f>
        <v>Mandatory</v>
      </c>
      <c r="G1568" s="154" t="s">
        <v>4095</v>
      </c>
      <c r="H1568" s="154" t="s">
        <v>398</v>
      </c>
      <c r="I1568" s="154" t="s">
        <v>420</v>
      </c>
      <c r="J1568" s="247" t="s">
        <v>445</v>
      </c>
      <c r="K1568" s="154"/>
      <c r="L1568" s="154" t="str">
        <f t="shared" si="1"/>
        <v/>
      </c>
      <c r="M1568" s="248" t="str">
        <f>IFERROR(__xludf.DUMMYFUNCTION("VLOOKUP(C1568,IMPORTRANGE(""https://docs.google.com/spreadsheets/d/1P8eX0NWBhUPS_hvzA11R6jkTNFrPrRYIx_dX_hYbxrk/edit?resourcekey=0-iw9bsKY2OqkUHCFMkCar3A&amp;gid=2055363397#gid=2055363397"",""MTR!C:O""),11,false)"),"TAM")</f>
        <v>TAM</v>
      </c>
      <c r="N1568" s="248" t="str">
        <f>IFERROR(__xludf.DUMMYFUNCTION("VLOOKUP(C1568,IMPORTRANGE(""https://docs.google.com/spreadsheets/d/1ihFlp3_ePlYtFuPbUNbYj1muErVpI73WHXbEwJDIA7Q/edit#gid=1493122344"",""MTR!C:O""),8,false)"),"Complies")</f>
        <v>Complies</v>
      </c>
      <c r="O1568" s="241" t="str">
        <f>IFERROR(__xludf.DUMMYFUNCTION("VLOOKUP(C1568,IMPORTRANGE(""https://docs.google.com/spreadsheets/d/1P8eX0NWBhUPS_hvzA11R6jkTNFrPrRYIx_dX_hYbxrk/edit?resourcekey=0-iw9bsKY2OqkUHCFMkCar3A&amp;gid=2055363397#gid=2055363397"",""MTR!C:O""),9,false)"),"")</f>
        <v/>
      </c>
      <c r="P1568" s="241"/>
      <c r="Q1568" s="251" t="s">
        <v>445</v>
      </c>
      <c r="R1568" s="241"/>
      <c r="S1568" s="154" t="s">
        <v>60</v>
      </c>
      <c r="T1568" s="154" t="s">
        <v>60</v>
      </c>
      <c r="U1568" s="154" t="s">
        <v>60</v>
      </c>
      <c r="V1568" s="154" t="s">
        <v>60</v>
      </c>
      <c r="W1568" s="154" t="s">
        <v>60</v>
      </c>
      <c r="X1568" s="154" t="s">
        <v>60</v>
      </c>
      <c r="Y1568" s="154" t="s">
        <v>60</v>
      </c>
      <c r="Z1568" s="154" t="s">
        <v>60</v>
      </c>
      <c r="AA1568" s="154" t="s">
        <v>60</v>
      </c>
      <c r="AB1568" s="154"/>
      <c r="AC1568" s="242" t="b">
        <f t="shared" si="2"/>
        <v>1</v>
      </c>
      <c r="AD1568" s="154" t="s">
        <v>391</v>
      </c>
      <c r="AE1568" s="243" t="b">
        <f t="shared" si="3"/>
        <v>0</v>
      </c>
      <c r="AF1568" s="154"/>
      <c r="AG1568" s="243" t="b">
        <f t="shared" si="7"/>
        <v>0</v>
      </c>
      <c r="AH1568" s="154"/>
      <c r="AI1568" s="243" t="str">
        <f t="shared" si="5"/>
        <v>N/A</v>
      </c>
      <c r="AJ1568" s="157" t="str">
        <f t="shared" si="6"/>
        <v/>
      </c>
    </row>
    <row r="1569" ht="12.75" customHeight="1">
      <c r="A1569" s="244" t="s">
        <v>4056</v>
      </c>
      <c r="B1569" s="244" t="s">
        <v>4059</v>
      </c>
      <c r="C1569" s="244" t="s">
        <v>4096</v>
      </c>
      <c r="D1569" s="154" t="s">
        <v>433</v>
      </c>
      <c r="E1569" s="250"/>
      <c r="F1569" s="154" t="str">
        <f t="array" ref="F1569">XLOOKUP(Cover!$D$12,$S$1:$AA$1,$S1569:$AA1569)</f>
        <v>Mandatory</v>
      </c>
      <c r="G1569" s="154" t="s">
        <v>4097</v>
      </c>
      <c r="H1569" s="154" t="s">
        <v>398</v>
      </c>
      <c r="I1569" s="154" t="s">
        <v>420</v>
      </c>
      <c r="J1569" s="247" t="s">
        <v>445</v>
      </c>
      <c r="K1569" s="154"/>
      <c r="L1569" s="154" t="str">
        <f t="shared" si="1"/>
        <v/>
      </c>
      <c r="M1569" s="248" t="str">
        <f>IFERROR(__xludf.DUMMYFUNCTION("VLOOKUP(C1569,IMPORTRANGE(""https://docs.google.com/spreadsheets/d/1P8eX0NWBhUPS_hvzA11R6jkTNFrPrRYIx_dX_hYbxrk/edit?resourcekey=0-iw9bsKY2OqkUHCFMkCar3A&amp;gid=2055363397#gid=2055363397"",""MTR!C:O""),11,false)"),"TAM")</f>
        <v>TAM</v>
      </c>
      <c r="N1569" s="248" t="str">
        <f>IFERROR(__xludf.DUMMYFUNCTION("VLOOKUP(C1569,IMPORTRANGE(""https://docs.google.com/spreadsheets/d/1ihFlp3_ePlYtFuPbUNbYj1muErVpI73WHXbEwJDIA7Q/edit#gid=1493122344"",""MTR!C:O""),8,false)"),"Complies")</f>
        <v>Complies</v>
      </c>
      <c r="O1569" s="241" t="str">
        <f>IFERROR(__xludf.DUMMYFUNCTION("VLOOKUP(C1569,IMPORTRANGE(""https://docs.google.com/spreadsheets/d/1P8eX0NWBhUPS_hvzA11R6jkTNFrPrRYIx_dX_hYbxrk/edit?resourcekey=0-iw9bsKY2OqkUHCFMkCar3A&amp;gid=2055363397#gid=2055363397"",""MTR!C:O""),9,false)"),"")</f>
        <v/>
      </c>
      <c r="P1569" s="241"/>
      <c r="Q1569" s="251" t="s">
        <v>445</v>
      </c>
      <c r="R1569" s="241"/>
      <c r="S1569" s="154" t="s">
        <v>60</v>
      </c>
      <c r="T1569" s="154" t="s">
        <v>60</v>
      </c>
      <c r="U1569" s="154" t="s">
        <v>60</v>
      </c>
      <c r="V1569" s="154" t="s">
        <v>60</v>
      </c>
      <c r="W1569" s="154" t="s">
        <v>60</v>
      </c>
      <c r="X1569" s="154" t="s">
        <v>60</v>
      </c>
      <c r="Y1569" s="154" t="s">
        <v>60</v>
      </c>
      <c r="Z1569" s="154" t="s">
        <v>60</v>
      </c>
      <c r="AA1569" s="154" t="s">
        <v>60</v>
      </c>
      <c r="AB1569" s="154"/>
      <c r="AC1569" s="242" t="b">
        <f t="shared" si="2"/>
        <v>1</v>
      </c>
      <c r="AD1569" s="154" t="s">
        <v>391</v>
      </c>
      <c r="AE1569" s="243" t="b">
        <f t="shared" si="3"/>
        <v>0</v>
      </c>
      <c r="AF1569" s="154"/>
      <c r="AG1569" s="243" t="b">
        <f t="shared" si="7"/>
        <v>0</v>
      </c>
      <c r="AH1569" s="154"/>
      <c r="AI1569" s="243" t="str">
        <f t="shared" si="5"/>
        <v>N/A</v>
      </c>
      <c r="AJ1569" s="157" t="str">
        <f t="shared" si="6"/>
        <v/>
      </c>
    </row>
    <row r="1570" ht="12.75" customHeight="1">
      <c r="A1570" s="244" t="s">
        <v>4056</v>
      </c>
      <c r="B1570" s="244" t="s">
        <v>4059</v>
      </c>
      <c r="C1570" s="244" t="s">
        <v>4098</v>
      </c>
      <c r="D1570" s="154" t="s">
        <v>781</v>
      </c>
      <c r="E1570" s="250"/>
      <c r="F1570" s="154" t="str">
        <f t="array" ref="F1570">XLOOKUP(Cover!$D$12,$S$1:$AA$1,$S1570:$AA1570)</f>
        <v>Mandatory</v>
      </c>
      <c r="G1570" s="154" t="s">
        <v>4099</v>
      </c>
      <c r="H1570" s="154" t="s">
        <v>398</v>
      </c>
      <c r="I1570" s="154" t="s">
        <v>420</v>
      </c>
      <c r="J1570" s="247" t="s">
        <v>445</v>
      </c>
      <c r="K1570" s="154"/>
      <c r="L1570" s="154" t="str">
        <f t="shared" si="1"/>
        <v/>
      </c>
      <c r="M1570" s="248" t="str">
        <f>IFERROR(__xludf.DUMMYFUNCTION("VLOOKUP(C1570,IMPORTRANGE(""https://docs.google.com/spreadsheets/d/1P8eX0NWBhUPS_hvzA11R6jkTNFrPrRYIx_dX_hYbxrk/edit?resourcekey=0-iw9bsKY2OqkUHCFMkCar3A&amp;gid=2055363397#gid=2055363397"",""MTR!C:O""),11,false)"),"TAM")</f>
        <v>TAM</v>
      </c>
      <c r="N1570" s="248" t="str">
        <f>IFERROR(__xludf.DUMMYFUNCTION("VLOOKUP(C1570,IMPORTRANGE(""https://docs.google.com/spreadsheets/d/1ihFlp3_ePlYtFuPbUNbYj1muErVpI73WHXbEwJDIA7Q/edit#gid=1493122344"",""MTR!C:O""),8,false)"),"Complies")</f>
        <v>Complies</v>
      </c>
      <c r="O1570" s="241" t="str">
        <f>IFERROR(__xludf.DUMMYFUNCTION("VLOOKUP(C1570,IMPORTRANGE(""https://docs.google.com/spreadsheets/d/1P8eX0NWBhUPS_hvzA11R6jkTNFrPrRYIx_dX_hYbxrk/edit?resourcekey=0-iw9bsKY2OqkUHCFMkCar3A&amp;gid=2055363397#gid=2055363397"",""MTR!C:O""),9,false)"),"")</f>
        <v/>
      </c>
      <c r="P1570" s="241"/>
      <c r="Q1570" s="251" t="s">
        <v>445</v>
      </c>
      <c r="R1570" s="241"/>
      <c r="S1570" s="154" t="s">
        <v>60</v>
      </c>
      <c r="T1570" s="154" t="s">
        <v>60</v>
      </c>
      <c r="U1570" s="154" t="s">
        <v>60</v>
      </c>
      <c r="V1570" s="154" t="s">
        <v>60</v>
      </c>
      <c r="W1570" s="154" t="s">
        <v>60</v>
      </c>
      <c r="X1570" s="154" t="s">
        <v>60</v>
      </c>
      <c r="Y1570" s="154" t="s">
        <v>60</v>
      </c>
      <c r="Z1570" s="154" t="s">
        <v>60</v>
      </c>
      <c r="AA1570" s="154" t="s">
        <v>60</v>
      </c>
      <c r="AB1570" s="154"/>
      <c r="AC1570" s="242" t="b">
        <f t="shared" si="2"/>
        <v>1</v>
      </c>
      <c r="AD1570" s="154" t="s">
        <v>391</v>
      </c>
      <c r="AE1570" s="243" t="b">
        <f t="shared" si="3"/>
        <v>0</v>
      </c>
      <c r="AF1570" s="154"/>
      <c r="AG1570" s="243" t="b">
        <f t="shared" si="7"/>
        <v>0</v>
      </c>
      <c r="AH1570" s="154"/>
      <c r="AI1570" s="243" t="str">
        <f t="shared" si="5"/>
        <v>N/A</v>
      </c>
      <c r="AJ1570" s="157" t="str">
        <f t="shared" si="6"/>
        <v/>
      </c>
    </row>
    <row r="1571" ht="12.75" customHeight="1">
      <c r="A1571" s="244" t="s">
        <v>4056</v>
      </c>
      <c r="B1571" s="244" t="s">
        <v>4059</v>
      </c>
      <c r="C1571" s="244" t="s">
        <v>4100</v>
      </c>
      <c r="D1571" s="154" t="s">
        <v>433</v>
      </c>
      <c r="E1571" s="250"/>
      <c r="F1571" s="154" t="str">
        <f t="array" ref="F1571">XLOOKUP(Cover!$D$12,$S$1:$AA$1,$S1571:$AA1571)</f>
        <v>Mandatory</v>
      </c>
      <c r="G1571" s="154" t="s">
        <v>4101</v>
      </c>
      <c r="H1571" s="154" t="s">
        <v>398</v>
      </c>
      <c r="I1571" s="154" t="s">
        <v>420</v>
      </c>
      <c r="J1571" s="247" t="s">
        <v>516</v>
      </c>
      <c r="K1571" s="154"/>
      <c r="L1571" s="154" t="str">
        <f t="shared" si="1"/>
        <v/>
      </c>
      <c r="M1571" s="248" t="str">
        <f>IFERROR(__xludf.DUMMYFUNCTION("VLOOKUP(C1571,IMPORTRANGE(""https://docs.google.com/spreadsheets/d/1P8eX0NWBhUPS_hvzA11R6jkTNFrPrRYIx_dX_hYbxrk/edit?resourcekey=0-iw9bsKY2OqkUHCFMkCar3A&amp;gid=2055363397#gid=2055363397"",""MTR!C:O""),11,false)"),"TAM")</f>
        <v>TAM</v>
      </c>
      <c r="N1571" s="248" t="str">
        <f>IFERROR(__xludf.DUMMYFUNCTION("VLOOKUP(C1571,IMPORTRANGE(""https://docs.google.com/spreadsheets/d/1ihFlp3_ePlYtFuPbUNbYj1muErVpI73WHXbEwJDIA7Q/edit#gid=1493122344"",""MTR!C:O""),8,false)"),"Does Not Comply")</f>
        <v>Does Not Comply</v>
      </c>
      <c r="O1571" s="241" t="str">
        <f>IFERROR(__xludf.DUMMYFUNCTION("VLOOKUP(C1571,IMPORTRANGE(""https://docs.google.com/spreadsheets/d/1P8eX0NWBhUPS_hvzA11R6jkTNFrPrRYIx_dX_hYbxrk/edit?resourcekey=0-iw9bsKY2OqkUHCFMkCar3A&amp;gid=2055363397#gid=2055363397"",""MTR!C:O""),9,false)"),"")</f>
        <v/>
      </c>
      <c r="P1571" s="241"/>
      <c r="Q1571" s="251" t="s">
        <v>516</v>
      </c>
      <c r="R1571" s="241"/>
      <c r="S1571" s="154" t="s">
        <v>60</v>
      </c>
      <c r="T1571" s="154" t="s">
        <v>60</v>
      </c>
      <c r="U1571" s="154" t="s">
        <v>60</v>
      </c>
      <c r="V1571" s="154" t="s">
        <v>60</v>
      </c>
      <c r="W1571" s="154" t="s">
        <v>60</v>
      </c>
      <c r="X1571" s="154" t="s">
        <v>60</v>
      </c>
      <c r="Y1571" s="154" t="s">
        <v>60</v>
      </c>
      <c r="Z1571" s="154" t="s">
        <v>60</v>
      </c>
      <c r="AA1571" s="154" t="s">
        <v>60</v>
      </c>
      <c r="AB1571" s="154"/>
      <c r="AC1571" s="242" t="b">
        <f t="shared" si="2"/>
        <v>1</v>
      </c>
      <c r="AD1571" s="154" t="s">
        <v>445</v>
      </c>
      <c r="AE1571" s="243" t="b">
        <f t="shared" si="3"/>
        <v>0</v>
      </c>
      <c r="AF1571" s="154"/>
      <c r="AG1571" s="243" t="b">
        <f t="shared" si="7"/>
        <v>0</v>
      </c>
      <c r="AH1571" s="154"/>
      <c r="AI1571" s="243" t="str">
        <f t="shared" si="5"/>
        <v>N/A</v>
      </c>
      <c r="AJ1571" s="157" t="str">
        <f t="shared" si="6"/>
        <v/>
      </c>
    </row>
    <row r="1572" ht="12.75" customHeight="1">
      <c r="A1572" s="244" t="s">
        <v>4056</v>
      </c>
      <c r="B1572" s="244" t="s">
        <v>4059</v>
      </c>
      <c r="C1572" s="244" t="s">
        <v>4102</v>
      </c>
      <c r="D1572" s="154" t="s">
        <v>781</v>
      </c>
      <c r="E1572" s="250"/>
      <c r="F1572" s="154" t="str">
        <f t="array" ref="F1572">XLOOKUP(Cover!$D$12,$S$1:$AA$1,$S1572:$AA1572)</f>
        <v>Recommended</v>
      </c>
      <c r="G1572" s="154" t="s">
        <v>4103</v>
      </c>
      <c r="H1572" s="154"/>
      <c r="I1572" s="154" t="s">
        <v>420</v>
      </c>
      <c r="J1572" s="247" t="s">
        <v>445</v>
      </c>
      <c r="K1572" s="154"/>
      <c r="L1572" s="154" t="str">
        <f t="shared" si="1"/>
        <v/>
      </c>
      <c r="M1572" s="248" t="str">
        <f>IFERROR(__xludf.DUMMYFUNCTION("VLOOKUP(C1572,IMPORTRANGE(""https://docs.google.com/spreadsheets/d/1P8eX0NWBhUPS_hvzA11R6jkTNFrPrRYIx_dX_hYbxrk/edit?resourcekey=0-iw9bsKY2OqkUHCFMkCar3A&amp;gid=2055363397#gid=2055363397"",""MTR!C:O""),11,false)"),"TAM")</f>
        <v>TAM</v>
      </c>
      <c r="N1572" s="248" t="str">
        <f>IFERROR(__xludf.DUMMYFUNCTION("VLOOKUP(C1572,IMPORTRANGE(""https://docs.google.com/spreadsheets/d/1ihFlp3_ePlYtFuPbUNbYj1muErVpI73WHXbEwJDIA7Q/edit#gid=1493122344"",""MTR!C:O""),8,false)"),"Complies")</f>
        <v>Complies</v>
      </c>
      <c r="O1572" s="241" t="str">
        <f>IFERROR(__xludf.DUMMYFUNCTION("VLOOKUP(C1572,IMPORTRANGE(""https://docs.google.com/spreadsheets/d/1P8eX0NWBhUPS_hvzA11R6jkTNFrPrRYIx_dX_hYbxrk/edit?resourcekey=0-iw9bsKY2OqkUHCFMkCar3A&amp;gid=2055363397#gid=2055363397"",""MTR!C:O""),9,false)"),"")</f>
        <v/>
      </c>
      <c r="P1572" s="241"/>
      <c r="Q1572" s="251" t="s">
        <v>445</v>
      </c>
      <c r="R1572" s="241"/>
      <c r="S1572" s="154" t="s">
        <v>64</v>
      </c>
      <c r="T1572" s="154" t="s">
        <v>64</v>
      </c>
      <c r="U1572" s="154" t="s">
        <v>64</v>
      </c>
      <c r="V1572" s="154" t="s">
        <v>64</v>
      </c>
      <c r="W1572" s="154" t="s">
        <v>64</v>
      </c>
      <c r="X1572" s="154" t="s">
        <v>64</v>
      </c>
      <c r="Y1572" s="154" t="s">
        <v>64</v>
      </c>
      <c r="Z1572" s="154" t="s">
        <v>64</v>
      </c>
      <c r="AA1572" s="154" t="s">
        <v>64</v>
      </c>
      <c r="AB1572" s="154"/>
      <c r="AC1572" s="242" t="b">
        <f t="shared" si="2"/>
        <v>1</v>
      </c>
      <c r="AD1572" s="154" t="s">
        <v>391</v>
      </c>
      <c r="AE1572" s="243" t="b">
        <f t="shared" si="3"/>
        <v>0</v>
      </c>
      <c r="AF1572" s="154"/>
      <c r="AG1572" s="243" t="b">
        <f t="shared" si="7"/>
        <v>0</v>
      </c>
      <c r="AH1572" s="154"/>
      <c r="AI1572" s="243" t="str">
        <f t="shared" si="5"/>
        <v>N/A</v>
      </c>
      <c r="AJ1572" s="157" t="str">
        <f t="shared" si="6"/>
        <v/>
      </c>
    </row>
    <row r="1573" ht="12.75" customHeight="1">
      <c r="A1573" s="238" t="s">
        <v>4056</v>
      </c>
      <c r="B1573" s="238" t="s">
        <v>4059</v>
      </c>
      <c r="C1573" s="238" t="s">
        <v>4104</v>
      </c>
      <c r="D1573" s="238"/>
      <c r="E1573" s="238"/>
      <c r="F1573" s="154" t="str">
        <f t="array" ref="F1573">XLOOKUP(Cover!$D$12,$S$1:$AA$1,$S1573:$AA1573)</f>
        <v>Heading</v>
      </c>
      <c r="G1573" s="239" t="s">
        <v>4105</v>
      </c>
      <c r="H1573" s="240"/>
      <c r="I1573" s="240" t="s">
        <v>420</v>
      </c>
      <c r="J1573" s="240"/>
      <c r="K1573" s="240"/>
      <c r="L1573" s="154" t="str">
        <f t="shared" si="1"/>
        <v/>
      </c>
      <c r="M1573" s="241" t="str">
        <f>IFERROR(__xludf.DUMMYFUNCTION("VLOOKUP(C1573,IMPORTRANGE(""https://docs.google.com/spreadsheets/d/1P8eX0NWBhUPS_hvzA11R6jkTNFrPrRYIx_dX_hYbxrk/edit?resourcekey=0-iw9bsKY2OqkUHCFMkCar3A&amp;gid=2055363397#gid=2055363397"",""MTR!C:O""),11,false)"),"")</f>
        <v/>
      </c>
      <c r="N1573" s="241" t="str">
        <f>IFERROR(__xludf.DUMMYFUNCTION("VLOOKUP(C1573,IMPORTRANGE(""https://docs.google.com/spreadsheets/d/1ihFlp3_ePlYtFuPbUNbYj1muErVpI73WHXbEwJDIA7Q/edit#gid=1493122344"",""MTR!C:O""),8,false)"),"")</f>
        <v/>
      </c>
      <c r="O1573" s="241" t="str">
        <f>IFERROR(__xludf.DUMMYFUNCTION("VLOOKUP(C1573,IMPORTRANGE(""https://docs.google.com/spreadsheets/d/1P8eX0NWBhUPS_hvzA11R6jkTNFrPrRYIx_dX_hYbxrk/edit?resourcekey=0-iw9bsKY2OqkUHCFMkCar3A&amp;gid=2055363397#gid=2055363397"",""MTR!C:O""),9,false)"),"")</f>
        <v/>
      </c>
      <c r="P1573" s="241"/>
      <c r="Q1573" s="251"/>
      <c r="R1573" s="241"/>
      <c r="S1573" s="240" t="s">
        <v>390</v>
      </c>
      <c r="T1573" s="240" t="s">
        <v>390</v>
      </c>
      <c r="U1573" s="240" t="s">
        <v>390</v>
      </c>
      <c r="V1573" s="240" t="s">
        <v>390</v>
      </c>
      <c r="W1573" s="240" t="s">
        <v>390</v>
      </c>
      <c r="X1573" s="240" t="s">
        <v>390</v>
      </c>
      <c r="Y1573" s="240" t="s">
        <v>390</v>
      </c>
      <c r="Z1573" s="240" t="s">
        <v>390</v>
      </c>
      <c r="AA1573" s="240" t="s">
        <v>390</v>
      </c>
      <c r="AB1573" s="240"/>
      <c r="AC1573" s="242" t="b">
        <f t="shared" si="2"/>
        <v>0</v>
      </c>
      <c r="AD1573" s="240" t="s">
        <v>391</v>
      </c>
      <c r="AE1573" s="243" t="b">
        <f t="shared" si="3"/>
        <v>0</v>
      </c>
      <c r="AF1573" s="240"/>
      <c r="AG1573" s="243" t="b">
        <f t="shared" si="7"/>
        <v>0</v>
      </c>
      <c r="AH1573" s="240"/>
      <c r="AI1573" s="243" t="str">
        <f t="shared" si="5"/>
        <v>N/A</v>
      </c>
      <c r="AJ1573" s="157" t="str">
        <f t="shared" si="6"/>
        <v/>
      </c>
    </row>
    <row r="1574" ht="12.75" customHeight="1">
      <c r="A1574" s="244" t="s">
        <v>4056</v>
      </c>
      <c r="B1574" s="244" t="s">
        <v>4059</v>
      </c>
      <c r="C1574" s="244" t="s">
        <v>4106</v>
      </c>
      <c r="D1574" s="154" t="s">
        <v>1282</v>
      </c>
      <c r="E1574" s="250"/>
      <c r="F1574" s="154" t="str">
        <f t="array" ref="F1574">XLOOKUP(Cover!$D$12,$S$1:$AA$1,$S1574:$AA1574)</f>
        <v>Mandatory</v>
      </c>
      <c r="G1574" s="154" t="s">
        <v>4107</v>
      </c>
      <c r="H1574" s="154" t="s">
        <v>398</v>
      </c>
      <c r="I1574" s="154" t="s">
        <v>420</v>
      </c>
      <c r="J1574" s="154" t="s">
        <v>445</v>
      </c>
      <c r="K1574" s="154"/>
      <c r="L1574" s="154" t="str">
        <f t="shared" si="1"/>
        <v/>
      </c>
      <c r="M1574" s="248" t="str">
        <f>IFERROR(__xludf.DUMMYFUNCTION("VLOOKUP(C1574,IMPORTRANGE(""https://docs.google.com/spreadsheets/d/1P8eX0NWBhUPS_hvzA11R6jkTNFrPrRYIx_dX_hYbxrk/edit?resourcekey=0-iw9bsKY2OqkUHCFMkCar3A&amp;gid=2055363397#gid=2055363397"",""MTR!C:O""),11,false)"),"TAM")</f>
        <v>TAM</v>
      </c>
      <c r="N1574" s="248" t="str">
        <f>IFERROR(__xludf.DUMMYFUNCTION("VLOOKUP(C1574,IMPORTRANGE(""https://docs.google.com/spreadsheets/d/1ihFlp3_ePlYtFuPbUNbYj1muErVpI73WHXbEwJDIA7Q/edit#gid=1493122344"",""MTR!C:O""),8,false)"),"Complies")</f>
        <v>Complies</v>
      </c>
      <c r="O1574" s="241" t="str">
        <f>IFERROR(__xludf.DUMMYFUNCTION("VLOOKUP(C1574,IMPORTRANGE(""https://docs.google.com/spreadsheets/d/1P8eX0NWBhUPS_hvzA11R6jkTNFrPrRYIx_dX_hYbxrk/edit?resourcekey=0-iw9bsKY2OqkUHCFMkCar3A&amp;gid=2055363397#gid=2055363397"",""MTR!C:O""),9,false)"),"")</f>
        <v/>
      </c>
      <c r="P1574" s="241"/>
      <c r="Q1574" s="251" t="s">
        <v>445</v>
      </c>
      <c r="R1574" s="241"/>
      <c r="S1574" s="154" t="s">
        <v>60</v>
      </c>
      <c r="T1574" s="154" t="s">
        <v>60</v>
      </c>
      <c r="U1574" s="154" t="s">
        <v>60</v>
      </c>
      <c r="V1574" s="154" t="s">
        <v>60</v>
      </c>
      <c r="W1574" s="154" t="s">
        <v>60</v>
      </c>
      <c r="X1574" s="154" t="s">
        <v>60</v>
      </c>
      <c r="Y1574" s="154" t="s">
        <v>60</v>
      </c>
      <c r="Z1574" s="154" t="s">
        <v>60</v>
      </c>
      <c r="AA1574" s="154" t="s">
        <v>60</v>
      </c>
      <c r="AB1574" s="154"/>
      <c r="AC1574" s="242" t="b">
        <f t="shared" si="2"/>
        <v>1</v>
      </c>
      <c r="AD1574" s="154" t="s">
        <v>391</v>
      </c>
      <c r="AE1574" s="243" t="b">
        <f t="shared" si="3"/>
        <v>0</v>
      </c>
      <c r="AF1574" s="154"/>
      <c r="AG1574" s="243" t="b">
        <f t="shared" si="7"/>
        <v>0</v>
      </c>
      <c r="AH1574" s="154"/>
      <c r="AI1574" s="243" t="str">
        <f t="shared" si="5"/>
        <v>N/A</v>
      </c>
      <c r="AJ1574" s="157" t="str">
        <f t="shared" si="6"/>
        <v/>
      </c>
    </row>
    <row r="1575" ht="12.75" customHeight="1">
      <c r="A1575" s="238" t="s">
        <v>4056</v>
      </c>
      <c r="B1575" s="238" t="s">
        <v>4059</v>
      </c>
      <c r="C1575" s="238" t="s">
        <v>4108</v>
      </c>
      <c r="D1575" s="238"/>
      <c r="E1575" s="238"/>
      <c r="F1575" s="154" t="str">
        <f t="array" ref="F1575">XLOOKUP(Cover!$D$12,$S$1:$AA$1,$S1575:$AA1575)</f>
        <v>Heading</v>
      </c>
      <c r="G1575" s="239" t="s">
        <v>4109</v>
      </c>
      <c r="H1575" s="240"/>
      <c r="I1575" s="240" t="s">
        <v>420</v>
      </c>
      <c r="J1575" s="240"/>
      <c r="K1575" s="240"/>
      <c r="L1575" s="154" t="str">
        <f t="shared" si="1"/>
        <v/>
      </c>
      <c r="M1575" s="241" t="str">
        <f>IFERROR(__xludf.DUMMYFUNCTION("VLOOKUP(C1575,IMPORTRANGE(""https://docs.google.com/spreadsheets/d/1P8eX0NWBhUPS_hvzA11R6jkTNFrPrRYIx_dX_hYbxrk/edit?resourcekey=0-iw9bsKY2OqkUHCFMkCar3A&amp;gid=2055363397#gid=2055363397"",""MTR!C:O""),11,false)"),"")</f>
        <v/>
      </c>
      <c r="N1575" s="241" t="str">
        <f>IFERROR(__xludf.DUMMYFUNCTION("VLOOKUP(C1575,IMPORTRANGE(""https://docs.google.com/spreadsheets/d/1ihFlp3_ePlYtFuPbUNbYj1muErVpI73WHXbEwJDIA7Q/edit#gid=1493122344"",""MTR!C:O""),8,false)"),"")</f>
        <v/>
      </c>
      <c r="O1575" s="241" t="str">
        <f>IFERROR(__xludf.DUMMYFUNCTION("VLOOKUP(C1575,IMPORTRANGE(""https://docs.google.com/spreadsheets/d/1P8eX0NWBhUPS_hvzA11R6jkTNFrPrRYIx_dX_hYbxrk/edit?resourcekey=0-iw9bsKY2OqkUHCFMkCar3A&amp;gid=2055363397#gid=2055363397"",""MTR!C:O""),9,false)"),"")</f>
        <v/>
      </c>
      <c r="P1575" s="241"/>
      <c r="Q1575" s="251"/>
      <c r="R1575" s="241"/>
      <c r="S1575" s="240" t="s">
        <v>390</v>
      </c>
      <c r="T1575" s="240" t="s">
        <v>390</v>
      </c>
      <c r="U1575" s="240" t="s">
        <v>390</v>
      </c>
      <c r="V1575" s="240" t="s">
        <v>390</v>
      </c>
      <c r="W1575" s="240" t="s">
        <v>390</v>
      </c>
      <c r="X1575" s="240" t="s">
        <v>390</v>
      </c>
      <c r="Y1575" s="240" t="s">
        <v>390</v>
      </c>
      <c r="Z1575" s="240" t="s">
        <v>390</v>
      </c>
      <c r="AA1575" s="240" t="s">
        <v>390</v>
      </c>
      <c r="AB1575" s="240"/>
      <c r="AC1575" s="242" t="b">
        <f t="shared" si="2"/>
        <v>0</v>
      </c>
      <c r="AD1575" s="240" t="s">
        <v>391</v>
      </c>
      <c r="AE1575" s="243" t="b">
        <f t="shared" si="3"/>
        <v>0</v>
      </c>
      <c r="AF1575" s="240"/>
      <c r="AG1575" s="243" t="b">
        <f t="shared" si="7"/>
        <v>0</v>
      </c>
      <c r="AH1575" s="240"/>
      <c r="AI1575" s="243" t="str">
        <f t="shared" si="5"/>
        <v>N/A</v>
      </c>
      <c r="AJ1575" s="157" t="str">
        <f t="shared" si="6"/>
        <v/>
      </c>
    </row>
    <row r="1576" ht="12.75" customHeight="1">
      <c r="A1576" s="244" t="s">
        <v>4056</v>
      </c>
      <c r="B1576" s="244" t="s">
        <v>4059</v>
      </c>
      <c r="C1576" s="244" t="s">
        <v>4110</v>
      </c>
      <c r="D1576" s="244" t="s">
        <v>396</v>
      </c>
      <c r="E1576" s="244"/>
      <c r="F1576" s="154" t="str">
        <f t="array" ref="F1576">XLOOKUP(Cover!$D$12,$S$1:$AA$1,$S1576:$AA1576)</f>
        <v>Comment</v>
      </c>
      <c r="G1576" s="154" t="s">
        <v>4111</v>
      </c>
      <c r="H1576" s="154"/>
      <c r="I1576" s="154" t="s">
        <v>420</v>
      </c>
      <c r="J1576" s="154"/>
      <c r="K1576" s="154"/>
      <c r="L1576" s="154" t="str">
        <f t="shared" si="1"/>
        <v/>
      </c>
      <c r="M1576" s="241" t="str">
        <f>IFERROR(__xludf.DUMMYFUNCTION("VLOOKUP(C1576,IMPORTRANGE(""https://docs.google.com/spreadsheets/d/1P8eX0NWBhUPS_hvzA11R6jkTNFrPrRYIx_dX_hYbxrk/edit?resourcekey=0-iw9bsKY2OqkUHCFMkCar3A&amp;gid=2055363397#gid=2055363397"",""MTR!C:O""),11,false)"),"")</f>
        <v/>
      </c>
      <c r="N1576" s="241" t="str">
        <f>IFERROR(__xludf.DUMMYFUNCTION("VLOOKUP(C1576,IMPORTRANGE(""https://docs.google.com/spreadsheets/d/1ihFlp3_ePlYtFuPbUNbYj1muErVpI73WHXbEwJDIA7Q/edit#gid=1493122344"",""MTR!C:O""),8,false)"),"")</f>
        <v/>
      </c>
      <c r="O1576" s="241" t="str">
        <f>IFERROR(__xludf.DUMMYFUNCTION("VLOOKUP(C1576,IMPORTRANGE(""https://docs.google.com/spreadsheets/d/1P8eX0NWBhUPS_hvzA11R6jkTNFrPrRYIx_dX_hYbxrk/edit?resourcekey=0-iw9bsKY2OqkUHCFMkCar3A&amp;gid=2055363397#gid=2055363397"",""MTR!C:O""),9,false)"),"")</f>
        <v/>
      </c>
      <c r="P1576" s="241"/>
      <c r="Q1576" s="241"/>
      <c r="R1576" s="241"/>
      <c r="S1576" s="154" t="s">
        <v>35</v>
      </c>
      <c r="T1576" s="154" t="s">
        <v>35</v>
      </c>
      <c r="U1576" s="154" t="s">
        <v>35</v>
      </c>
      <c r="V1576" s="154" t="s">
        <v>35</v>
      </c>
      <c r="W1576" s="154" t="s">
        <v>35</v>
      </c>
      <c r="X1576" s="154" t="s">
        <v>35</v>
      </c>
      <c r="Y1576" s="154" t="s">
        <v>35</v>
      </c>
      <c r="Z1576" s="154" t="s">
        <v>35</v>
      </c>
      <c r="AA1576" s="154" t="s">
        <v>35</v>
      </c>
      <c r="AB1576" s="154"/>
      <c r="AC1576" s="242" t="b">
        <f t="shared" si="2"/>
        <v>0</v>
      </c>
      <c r="AD1576" s="154" t="s">
        <v>391</v>
      </c>
      <c r="AE1576" s="243" t="b">
        <f t="shared" si="3"/>
        <v>0</v>
      </c>
      <c r="AF1576" s="154"/>
      <c r="AG1576" s="243" t="b">
        <f t="shared" si="7"/>
        <v>0</v>
      </c>
      <c r="AH1576" s="154"/>
      <c r="AI1576" s="243" t="str">
        <f t="shared" si="5"/>
        <v>N/A</v>
      </c>
      <c r="AJ1576" s="157" t="str">
        <f t="shared" si="6"/>
        <v/>
      </c>
    </row>
    <row r="1577" ht="12.75" customHeight="1">
      <c r="A1577" s="244" t="s">
        <v>4056</v>
      </c>
      <c r="B1577" s="244" t="s">
        <v>4059</v>
      </c>
      <c r="C1577" s="244" t="s">
        <v>4112</v>
      </c>
      <c r="D1577" s="154" t="s">
        <v>433</v>
      </c>
      <c r="E1577" s="250"/>
      <c r="F1577" s="154" t="str">
        <f t="array" ref="F1577">XLOOKUP(Cover!$D$12,$S$1:$AA$1,$S1577:$AA1577)</f>
        <v>Mandatory</v>
      </c>
      <c r="G1577" s="154" t="s">
        <v>4113</v>
      </c>
      <c r="H1577" s="154" t="s">
        <v>398</v>
      </c>
      <c r="I1577" s="154" t="s">
        <v>420</v>
      </c>
      <c r="J1577" s="154" t="s">
        <v>445</v>
      </c>
      <c r="K1577" s="154" t="s">
        <v>4114</v>
      </c>
      <c r="L1577" s="154" t="str">
        <f t="shared" si="1"/>
        <v/>
      </c>
      <c r="M1577" s="248" t="str">
        <f>IFERROR(__xludf.DUMMYFUNCTION("VLOOKUP(C1577,IMPORTRANGE(""https://docs.google.com/spreadsheets/d/1P8eX0NWBhUPS_hvzA11R6jkTNFrPrRYIx_dX_hYbxrk/edit?resourcekey=0-iw9bsKY2OqkUHCFMkCar3A&amp;gid=2055363397#gid=2055363397"",""MTR!C:O""),11,false)"),"TAM")</f>
        <v>TAM</v>
      </c>
      <c r="N1577" s="248" t="str">
        <f>IFERROR(__xludf.DUMMYFUNCTION("VLOOKUP(C1577,IMPORTRANGE(""https://docs.google.com/spreadsheets/d/1ihFlp3_ePlYtFuPbUNbYj1muErVpI73WHXbEwJDIA7Q/edit#gid=1493122344"",""MTR!C:O""),8,false)"),"Complies")</f>
        <v>Complies</v>
      </c>
      <c r="O1577" s="248" t="str">
        <f>IFERROR(__xludf.DUMMYFUNCTION("VLOOKUP(C1577,IMPORTRANGE(""https://docs.google.com/spreadsheets/d/1P8eX0NWBhUPS_hvzA11R6jkTNFrPrRYIx_dX_hYbxrk/edit?resourcekey=0-iw9bsKY2OqkUHCFMkCar3A&amp;gid=2055363397#gid=2055363397"",""MTR!C:O""),9,false)"),"PAIs (consumer retains option to delete) - Final list is subject to change")</f>
        <v>PAIs (consumer retains option to delete) - Final list is subject to change</v>
      </c>
      <c r="P1577" s="248"/>
      <c r="Q1577" s="249" t="s">
        <v>445</v>
      </c>
      <c r="R1577" s="249" t="s">
        <v>4114</v>
      </c>
      <c r="S1577" s="154" t="s">
        <v>60</v>
      </c>
      <c r="T1577" s="154" t="s">
        <v>60</v>
      </c>
      <c r="U1577" s="154" t="s">
        <v>60</v>
      </c>
      <c r="V1577" s="154" t="s">
        <v>60</v>
      </c>
      <c r="W1577" s="154" t="s">
        <v>60</v>
      </c>
      <c r="X1577" s="154" t="s">
        <v>60</v>
      </c>
      <c r="Y1577" s="154" t="s">
        <v>60</v>
      </c>
      <c r="Z1577" s="154" t="s">
        <v>60</v>
      </c>
      <c r="AA1577" s="154" t="s">
        <v>60</v>
      </c>
      <c r="AB1577" s="154"/>
      <c r="AC1577" s="242" t="b">
        <f t="shared" si="2"/>
        <v>1</v>
      </c>
      <c r="AD1577" s="154" t="s">
        <v>445</v>
      </c>
      <c r="AE1577" s="243" t="b">
        <f t="shared" si="3"/>
        <v>0</v>
      </c>
      <c r="AF1577" s="154"/>
      <c r="AG1577" s="243" t="b">
        <f t="shared" si="7"/>
        <v>0</v>
      </c>
      <c r="AH1577" s="154"/>
      <c r="AI1577" s="243" t="str">
        <f t="shared" si="5"/>
        <v>N/A</v>
      </c>
      <c r="AJ1577" s="157" t="str">
        <f t="shared" si="6"/>
        <v/>
      </c>
    </row>
    <row r="1578" ht="12.75" customHeight="1">
      <c r="A1578" s="238" t="s">
        <v>4056</v>
      </c>
      <c r="B1578" s="238" t="s">
        <v>4059</v>
      </c>
      <c r="C1578" s="238" t="s">
        <v>4115</v>
      </c>
      <c r="D1578" s="238"/>
      <c r="E1578" s="238"/>
      <c r="F1578" s="154" t="str">
        <f t="array" ref="F1578">XLOOKUP(Cover!$D$12,$S$1:$AA$1,$S1578:$AA1578)</f>
        <v>Heading</v>
      </c>
      <c r="G1578" s="239" t="s">
        <v>4116</v>
      </c>
      <c r="H1578" s="240"/>
      <c r="I1578" s="240" t="s">
        <v>420</v>
      </c>
      <c r="J1578" s="240"/>
      <c r="K1578" s="262"/>
      <c r="L1578" s="154" t="str">
        <f t="shared" si="1"/>
        <v/>
      </c>
      <c r="M1578" s="241" t="str">
        <f>IFERROR(__xludf.DUMMYFUNCTION("VLOOKUP(C1578,IMPORTRANGE(""https://docs.google.com/spreadsheets/d/1P8eX0NWBhUPS_hvzA11R6jkTNFrPrRYIx_dX_hYbxrk/edit?resourcekey=0-iw9bsKY2OqkUHCFMkCar3A&amp;gid=2055363397#gid=2055363397"",""MTR!C:O""),11,false)"),"")</f>
        <v/>
      </c>
      <c r="N1578" s="241" t="str">
        <f>IFERROR(__xludf.DUMMYFUNCTION("VLOOKUP(C1578,IMPORTRANGE(""https://docs.google.com/spreadsheets/d/1ihFlp3_ePlYtFuPbUNbYj1muErVpI73WHXbEwJDIA7Q/edit#gid=1493122344"",""MTR!C:O""),8,false)"),"")</f>
        <v/>
      </c>
      <c r="O1578" s="241" t="str">
        <f>IFERROR(__xludf.DUMMYFUNCTION("VLOOKUP(C1578,IMPORTRANGE(""https://docs.google.com/spreadsheets/d/1P8eX0NWBhUPS_hvzA11R6jkTNFrPrRYIx_dX_hYbxrk/edit?resourcekey=0-iw9bsKY2OqkUHCFMkCar3A&amp;gid=2055363397#gid=2055363397"",""MTR!C:O""),9,false)"),"")</f>
        <v/>
      </c>
      <c r="P1578" s="241"/>
      <c r="Q1578" s="251"/>
      <c r="R1578" s="251"/>
      <c r="S1578" s="240" t="s">
        <v>390</v>
      </c>
      <c r="T1578" s="240" t="s">
        <v>390</v>
      </c>
      <c r="U1578" s="240" t="s">
        <v>390</v>
      </c>
      <c r="V1578" s="240" t="s">
        <v>390</v>
      </c>
      <c r="W1578" s="240" t="s">
        <v>390</v>
      </c>
      <c r="X1578" s="240" t="s">
        <v>390</v>
      </c>
      <c r="Y1578" s="240" t="s">
        <v>390</v>
      </c>
      <c r="Z1578" s="240" t="s">
        <v>390</v>
      </c>
      <c r="AA1578" s="240" t="s">
        <v>390</v>
      </c>
      <c r="AB1578" s="240"/>
      <c r="AC1578" s="242" t="b">
        <f t="shared" si="2"/>
        <v>0</v>
      </c>
      <c r="AD1578" s="240" t="s">
        <v>391</v>
      </c>
      <c r="AE1578" s="243" t="b">
        <f t="shared" si="3"/>
        <v>0</v>
      </c>
      <c r="AF1578" s="240"/>
      <c r="AG1578" s="243" t="b">
        <f t="shared" si="7"/>
        <v>0</v>
      </c>
      <c r="AH1578" s="240"/>
      <c r="AI1578" s="243" t="str">
        <f t="shared" si="5"/>
        <v>N/A</v>
      </c>
      <c r="AJ1578" s="157" t="str">
        <f t="shared" si="6"/>
        <v/>
      </c>
    </row>
    <row r="1579" ht="12.75" customHeight="1">
      <c r="A1579" s="244" t="s">
        <v>4056</v>
      </c>
      <c r="B1579" s="244" t="s">
        <v>4059</v>
      </c>
      <c r="C1579" s="244" t="s">
        <v>4117</v>
      </c>
      <c r="D1579" s="154" t="s">
        <v>433</v>
      </c>
      <c r="E1579" s="250"/>
      <c r="F1579" s="154" t="str">
        <f t="array" ref="F1579">XLOOKUP(Cover!$D$12,$S$1:$AA$1,$S1579:$AA1579)</f>
        <v>Mandatory</v>
      </c>
      <c r="G1579" s="154" t="s">
        <v>4118</v>
      </c>
      <c r="H1579" s="154" t="s">
        <v>398</v>
      </c>
      <c r="I1579" s="154" t="s">
        <v>420</v>
      </c>
      <c r="J1579" s="154" t="s">
        <v>445</v>
      </c>
      <c r="K1579" s="154" t="s">
        <v>4119</v>
      </c>
      <c r="L1579" s="154" t="str">
        <f t="shared" si="1"/>
        <v/>
      </c>
      <c r="M1579" s="248" t="str">
        <f>IFERROR(__xludf.DUMMYFUNCTION("VLOOKUP(C1579,IMPORTRANGE(""https://docs.google.com/spreadsheets/d/1P8eX0NWBhUPS_hvzA11R6jkTNFrPrRYIx_dX_hYbxrk/edit?resourcekey=0-iw9bsKY2OqkUHCFMkCar3A&amp;gid=2055363397#gid=2055363397"",""MTR!C:O""),11,false)"),"TAM")</f>
        <v>TAM</v>
      </c>
      <c r="N1579" s="248" t="str">
        <f>IFERROR(__xludf.DUMMYFUNCTION("VLOOKUP(C1579,IMPORTRANGE(""https://docs.google.com/spreadsheets/d/1ihFlp3_ePlYtFuPbUNbYj1muErVpI73WHXbEwJDIA7Q/edit#gid=1493122344"",""MTR!C:O""),8,false)"),"Complies")</f>
        <v>Complies</v>
      </c>
      <c r="O1579" s="248" t="str">
        <f>IFERROR(__xludf.DUMMYFUNCTION("VLOOKUP(C1579,IMPORTRANGE(""https://docs.google.com/spreadsheets/d/1P8eX0NWBhUPS_hvzA11R6jkTNFrPrRYIx_dX_hYbxrk/edit?resourcekey=0-iw9bsKY2OqkUHCFMkCar3A&amp;gid=2055363397#gid=2055363397"",""MTR!C:O""),9,false)"),"Devices encrypted by default")</f>
        <v>Devices encrypted by default</v>
      </c>
      <c r="P1579" s="248"/>
      <c r="Q1579" s="249" t="s">
        <v>445</v>
      </c>
      <c r="R1579" s="249" t="s">
        <v>4119</v>
      </c>
      <c r="S1579" s="154" t="s">
        <v>60</v>
      </c>
      <c r="T1579" s="154" t="s">
        <v>60</v>
      </c>
      <c r="U1579" s="154" t="s">
        <v>60</v>
      </c>
      <c r="V1579" s="154" t="s">
        <v>60</v>
      </c>
      <c r="W1579" s="154" t="s">
        <v>60</v>
      </c>
      <c r="X1579" s="154" t="s">
        <v>60</v>
      </c>
      <c r="Y1579" s="154" t="s">
        <v>60</v>
      </c>
      <c r="Z1579" s="154" t="s">
        <v>60</v>
      </c>
      <c r="AA1579" s="154" t="s">
        <v>60</v>
      </c>
      <c r="AB1579" s="154"/>
      <c r="AC1579" s="242" t="b">
        <f t="shared" si="2"/>
        <v>1</v>
      </c>
      <c r="AD1579" s="154" t="s">
        <v>445</v>
      </c>
      <c r="AE1579" s="243" t="b">
        <f t="shared" si="3"/>
        <v>0</v>
      </c>
      <c r="AF1579" s="154"/>
      <c r="AG1579" s="243" t="b">
        <f t="shared" si="7"/>
        <v>0</v>
      </c>
      <c r="AH1579" s="154"/>
      <c r="AI1579" s="243" t="str">
        <f t="shared" si="5"/>
        <v>N/A</v>
      </c>
      <c r="AJ1579" s="157" t="str">
        <f t="shared" si="6"/>
        <v/>
      </c>
    </row>
    <row r="1580" ht="12.75" customHeight="1">
      <c r="A1580" s="238" t="s">
        <v>4056</v>
      </c>
      <c r="B1580" s="238" t="s">
        <v>4059</v>
      </c>
      <c r="C1580" s="238" t="s">
        <v>4120</v>
      </c>
      <c r="D1580" s="238"/>
      <c r="E1580" s="238"/>
      <c r="F1580" s="154" t="str">
        <f t="array" ref="F1580">XLOOKUP(Cover!$D$12,$S$1:$AA$1,$S1580:$AA1580)</f>
        <v>Heading</v>
      </c>
      <c r="G1580" s="239" t="s">
        <v>4121</v>
      </c>
      <c r="H1580" s="240"/>
      <c r="I1580" s="240" t="s">
        <v>420</v>
      </c>
      <c r="J1580" s="262"/>
      <c r="K1580" s="262"/>
      <c r="L1580" s="154" t="str">
        <f t="shared" si="1"/>
        <v/>
      </c>
      <c r="M1580" s="241" t="str">
        <f>IFERROR(__xludf.DUMMYFUNCTION("VLOOKUP(C1580,IMPORTRANGE(""https://docs.google.com/spreadsheets/d/1P8eX0NWBhUPS_hvzA11R6jkTNFrPrRYIx_dX_hYbxrk/edit?resourcekey=0-iw9bsKY2OqkUHCFMkCar3A&amp;gid=2055363397#gid=2055363397"",""MTR!C:O""),11,false)"),"")</f>
        <v/>
      </c>
      <c r="N1580" s="241" t="str">
        <f>IFERROR(__xludf.DUMMYFUNCTION("VLOOKUP(C1580,IMPORTRANGE(""https://docs.google.com/spreadsheets/d/1ihFlp3_ePlYtFuPbUNbYj1muErVpI73WHXbEwJDIA7Q/edit#gid=1493122344"",""MTR!C:O""),8,false)"),"")</f>
        <v/>
      </c>
      <c r="O1580" s="241" t="str">
        <f>IFERROR(__xludf.DUMMYFUNCTION("VLOOKUP(C1580,IMPORTRANGE(""https://docs.google.com/spreadsheets/d/1P8eX0NWBhUPS_hvzA11R6jkTNFrPrRYIx_dX_hYbxrk/edit?resourcekey=0-iw9bsKY2OqkUHCFMkCar3A&amp;gid=2055363397#gid=2055363397"",""MTR!C:O""),9,false)"),"")</f>
        <v/>
      </c>
      <c r="P1580" s="241"/>
      <c r="Q1580" s="251"/>
      <c r="R1580" s="251"/>
      <c r="S1580" s="240" t="s">
        <v>390</v>
      </c>
      <c r="T1580" s="240" t="s">
        <v>390</v>
      </c>
      <c r="U1580" s="240" t="s">
        <v>390</v>
      </c>
      <c r="V1580" s="240" t="s">
        <v>390</v>
      </c>
      <c r="W1580" s="240" t="s">
        <v>390</v>
      </c>
      <c r="X1580" s="240" t="s">
        <v>390</v>
      </c>
      <c r="Y1580" s="240" t="s">
        <v>390</v>
      </c>
      <c r="Z1580" s="240" t="s">
        <v>390</v>
      </c>
      <c r="AA1580" s="240" t="s">
        <v>390</v>
      </c>
      <c r="AB1580" s="240"/>
      <c r="AC1580" s="242" t="b">
        <f t="shared" si="2"/>
        <v>0</v>
      </c>
      <c r="AD1580" s="240" t="s">
        <v>391</v>
      </c>
      <c r="AE1580" s="243" t="b">
        <f t="shared" si="3"/>
        <v>0</v>
      </c>
      <c r="AF1580" s="240"/>
      <c r="AG1580" s="243" t="b">
        <f t="shared" si="7"/>
        <v>0</v>
      </c>
      <c r="AH1580" s="240"/>
      <c r="AI1580" s="243" t="str">
        <f t="shared" si="5"/>
        <v>N/A</v>
      </c>
      <c r="AJ1580" s="157" t="str">
        <f t="shared" si="6"/>
        <v/>
      </c>
    </row>
    <row r="1581" ht="12.75" customHeight="1">
      <c r="A1581" s="244" t="s">
        <v>4056</v>
      </c>
      <c r="B1581" s="244" t="s">
        <v>4059</v>
      </c>
      <c r="C1581" s="244" t="s">
        <v>4122</v>
      </c>
      <c r="D1581" s="154" t="s">
        <v>433</v>
      </c>
      <c r="E1581" s="250"/>
      <c r="F1581" s="154" t="str">
        <f t="array" ref="F1581">XLOOKUP(Cover!$D$12,$S$1:$AA$1,$S1581:$AA1581)</f>
        <v>Mandatory</v>
      </c>
      <c r="G1581" s="154" t="s">
        <v>4123</v>
      </c>
      <c r="H1581" s="154" t="s">
        <v>398</v>
      </c>
      <c r="I1581" s="154" t="s">
        <v>420</v>
      </c>
      <c r="J1581" s="154" t="s">
        <v>445</v>
      </c>
      <c r="K1581" s="154"/>
      <c r="L1581" s="154" t="str">
        <f t="shared" si="1"/>
        <v/>
      </c>
      <c r="M1581" s="248" t="str">
        <f>IFERROR(__xludf.DUMMYFUNCTION("VLOOKUP(C1581,IMPORTRANGE(""https://docs.google.com/spreadsheets/d/1P8eX0NWBhUPS_hvzA11R6jkTNFrPrRYIx_dX_hYbxrk/edit?resourcekey=0-iw9bsKY2OqkUHCFMkCar3A&amp;gid=2055363397#gid=2055363397"",""MTR!C:O""),11,false)"),"TAM")</f>
        <v>TAM</v>
      </c>
      <c r="N1581" s="248" t="str">
        <f>IFERROR(__xludf.DUMMYFUNCTION("VLOOKUP(C1581,IMPORTRANGE(""https://docs.google.com/spreadsheets/d/1ihFlp3_ePlYtFuPbUNbYj1muErVpI73WHXbEwJDIA7Q/edit#gid=1493122344"",""MTR!C:O""),8,false)"),"Complies")</f>
        <v>Complies</v>
      </c>
      <c r="O1581" s="241" t="str">
        <f>IFERROR(__xludf.DUMMYFUNCTION("VLOOKUP(C1581,IMPORTRANGE(""https://docs.google.com/spreadsheets/d/1P8eX0NWBhUPS_hvzA11R6jkTNFrPrRYIx_dX_hYbxrk/edit?resourcekey=0-iw9bsKY2OqkUHCFMkCar3A&amp;gid=2055363397#gid=2055363397"",""MTR!C:O""),9,false)"),"")</f>
        <v/>
      </c>
      <c r="P1581" s="241"/>
      <c r="Q1581" s="251" t="s">
        <v>445</v>
      </c>
      <c r="R1581" s="241"/>
      <c r="S1581" s="154" t="s">
        <v>60</v>
      </c>
      <c r="T1581" s="154" t="s">
        <v>60</v>
      </c>
      <c r="U1581" s="154" t="s">
        <v>60</v>
      </c>
      <c r="V1581" s="154" t="s">
        <v>60</v>
      </c>
      <c r="W1581" s="154" t="s">
        <v>60</v>
      </c>
      <c r="X1581" s="154" t="s">
        <v>60</v>
      </c>
      <c r="Y1581" s="154" t="s">
        <v>60</v>
      </c>
      <c r="Z1581" s="154" t="s">
        <v>60</v>
      </c>
      <c r="AA1581" s="154" t="s">
        <v>60</v>
      </c>
      <c r="AB1581" s="154"/>
      <c r="AC1581" s="242" t="b">
        <f t="shared" si="2"/>
        <v>1</v>
      </c>
      <c r="AD1581" s="154" t="s">
        <v>391</v>
      </c>
      <c r="AE1581" s="243" t="b">
        <f t="shared" si="3"/>
        <v>0</v>
      </c>
      <c r="AF1581" s="154"/>
      <c r="AG1581" s="243" t="b">
        <f t="shared" si="7"/>
        <v>0</v>
      </c>
      <c r="AH1581" s="154"/>
      <c r="AI1581" s="243" t="str">
        <f t="shared" si="5"/>
        <v>N/A</v>
      </c>
      <c r="AJ1581" s="157" t="str">
        <f t="shared" si="6"/>
        <v/>
      </c>
    </row>
    <row r="1582" ht="12.75" customHeight="1">
      <c r="A1582" s="238" t="s">
        <v>4056</v>
      </c>
      <c r="B1582" s="238" t="s">
        <v>4059</v>
      </c>
      <c r="C1582" s="238" t="s">
        <v>4124</v>
      </c>
      <c r="D1582" s="238"/>
      <c r="E1582" s="238"/>
      <c r="F1582" s="154" t="str">
        <f t="array" ref="F1582">XLOOKUP(Cover!$D$12,$S$1:$AA$1,$S1582:$AA1582)</f>
        <v>Heading</v>
      </c>
      <c r="G1582" s="239" t="s">
        <v>4125</v>
      </c>
      <c r="H1582" s="240"/>
      <c r="I1582" s="240" t="s">
        <v>420</v>
      </c>
      <c r="J1582" s="262"/>
      <c r="K1582" s="240"/>
      <c r="L1582" s="154" t="str">
        <f t="shared" si="1"/>
        <v/>
      </c>
      <c r="M1582" s="241" t="str">
        <f>IFERROR(__xludf.DUMMYFUNCTION("VLOOKUP(C1582,IMPORTRANGE(""https://docs.google.com/spreadsheets/d/1P8eX0NWBhUPS_hvzA11R6jkTNFrPrRYIx_dX_hYbxrk/edit?resourcekey=0-iw9bsKY2OqkUHCFMkCar3A&amp;gid=2055363397#gid=2055363397"",""MTR!C:O""),11,false)"),"")</f>
        <v/>
      </c>
      <c r="N1582" s="241" t="str">
        <f>IFERROR(__xludf.DUMMYFUNCTION("VLOOKUP(C1582,IMPORTRANGE(""https://docs.google.com/spreadsheets/d/1ihFlp3_ePlYtFuPbUNbYj1muErVpI73WHXbEwJDIA7Q/edit#gid=1493122344"",""MTR!C:O""),8,false)"),"")</f>
        <v/>
      </c>
      <c r="O1582" s="241" t="str">
        <f>IFERROR(__xludf.DUMMYFUNCTION("VLOOKUP(C1582,IMPORTRANGE(""https://docs.google.com/spreadsheets/d/1P8eX0NWBhUPS_hvzA11R6jkTNFrPrRYIx_dX_hYbxrk/edit?resourcekey=0-iw9bsKY2OqkUHCFMkCar3A&amp;gid=2055363397#gid=2055363397"",""MTR!C:O""),9,false)"),"")</f>
        <v/>
      </c>
      <c r="P1582" s="241"/>
      <c r="Q1582" s="251"/>
      <c r="R1582" s="241"/>
      <c r="S1582" s="240" t="s">
        <v>390</v>
      </c>
      <c r="T1582" s="240" t="s">
        <v>390</v>
      </c>
      <c r="U1582" s="240" t="s">
        <v>390</v>
      </c>
      <c r="V1582" s="240" t="s">
        <v>390</v>
      </c>
      <c r="W1582" s="240" t="s">
        <v>390</v>
      </c>
      <c r="X1582" s="240" t="s">
        <v>390</v>
      </c>
      <c r="Y1582" s="240" t="s">
        <v>390</v>
      </c>
      <c r="Z1582" s="240" t="s">
        <v>390</v>
      </c>
      <c r="AA1582" s="240" t="s">
        <v>390</v>
      </c>
      <c r="AB1582" s="240"/>
      <c r="AC1582" s="242" t="b">
        <f t="shared" si="2"/>
        <v>0</v>
      </c>
      <c r="AD1582" s="240" t="s">
        <v>68</v>
      </c>
      <c r="AE1582" s="243" t="b">
        <f t="shared" si="3"/>
        <v>0</v>
      </c>
      <c r="AF1582" s="240"/>
      <c r="AG1582" s="243" t="b">
        <f t="shared" si="7"/>
        <v>0</v>
      </c>
      <c r="AH1582" s="240"/>
      <c r="AI1582" s="243" t="str">
        <f t="shared" si="5"/>
        <v>N/A</v>
      </c>
      <c r="AJ1582" s="157" t="str">
        <f t="shared" si="6"/>
        <v/>
      </c>
    </row>
    <row r="1583" ht="12.75" customHeight="1">
      <c r="A1583" s="244" t="s">
        <v>4056</v>
      </c>
      <c r="B1583" s="244" t="s">
        <v>4059</v>
      </c>
      <c r="C1583" s="244" t="s">
        <v>4126</v>
      </c>
      <c r="D1583" s="154" t="s">
        <v>781</v>
      </c>
      <c r="E1583" s="250"/>
      <c r="F1583" s="154" t="str">
        <f t="array" ref="F1583">XLOOKUP(Cover!$D$12,$S$1:$AA$1,$S1583:$AA1583)</f>
        <v>Comments Vendor</v>
      </c>
      <c r="G1583" s="154" t="s">
        <v>4127</v>
      </c>
      <c r="H1583" s="154"/>
      <c r="I1583" s="154" t="s">
        <v>420</v>
      </c>
      <c r="J1583" s="154" t="s">
        <v>445</v>
      </c>
      <c r="K1583" s="247" t="s">
        <v>4128</v>
      </c>
      <c r="L1583" s="154" t="str">
        <f t="shared" si="1"/>
        <v/>
      </c>
      <c r="M1583" s="248" t="str">
        <f>IFERROR(__xludf.DUMMYFUNCTION("VLOOKUP(C1583,IMPORTRANGE(""https://docs.google.com/spreadsheets/d/1P8eX0NWBhUPS_hvzA11R6jkTNFrPrRYIx_dX_hYbxrk/edit?resourcekey=0-iw9bsKY2OqkUHCFMkCar3A&amp;gid=2055363397#gid=2055363397"",""MTR!C:O""),11,false)"),"TAM")</f>
        <v>TAM</v>
      </c>
      <c r="N1583" s="248" t="str">
        <f>IFERROR(__xludf.DUMMYFUNCTION("VLOOKUP(C1583,IMPORTRANGE(""https://docs.google.com/spreadsheets/d/1ihFlp3_ePlYtFuPbUNbYj1muErVpI73WHXbEwJDIA7Q/edit#gid=1493122344"",""MTR!C:O""),8,false)"),"Complies")</f>
        <v>Complies</v>
      </c>
      <c r="O1583" s="248" t="str">
        <f>IFERROR(__xludf.DUMMYFUNCTION("VLOOKUP(C1583,IMPORTRANGE(""https://docs.google.com/spreadsheets/d/1P8eX0NWBhUPS_hvzA11R6jkTNFrPrRYIx_dX_hYbxrk/edit?resourcekey=0-iw9bsKY2OqkUHCFMkCar3A&amp;gid=2055363397#gid=2055363397"",""MTR!C:O""),9,false)"),"Titan M2")</f>
        <v>Titan M2</v>
      </c>
      <c r="P1583" s="248"/>
      <c r="Q1583" s="249" t="s">
        <v>445</v>
      </c>
      <c r="R1583" s="249" t="s">
        <v>4128</v>
      </c>
      <c r="S1583" s="154" t="s">
        <v>62</v>
      </c>
      <c r="T1583" s="154" t="s">
        <v>62</v>
      </c>
      <c r="U1583" s="154" t="s">
        <v>62</v>
      </c>
      <c r="V1583" s="154" t="s">
        <v>62</v>
      </c>
      <c r="W1583" s="154" t="s">
        <v>62</v>
      </c>
      <c r="X1583" s="154" t="s">
        <v>62</v>
      </c>
      <c r="Y1583" s="154" t="s">
        <v>62</v>
      </c>
      <c r="Z1583" s="154" t="s">
        <v>62</v>
      </c>
      <c r="AA1583" s="154" t="s">
        <v>62</v>
      </c>
      <c r="AB1583" s="154"/>
      <c r="AC1583" s="242" t="b">
        <f t="shared" si="2"/>
        <v>1</v>
      </c>
      <c r="AD1583" s="154" t="s">
        <v>391</v>
      </c>
      <c r="AE1583" s="243" t="b">
        <f t="shared" si="3"/>
        <v>1</v>
      </c>
      <c r="AF1583" s="154"/>
      <c r="AG1583" s="243" t="b">
        <f t="shared" si="7"/>
        <v>0</v>
      </c>
      <c r="AH1583" s="154"/>
      <c r="AI1583" s="243" t="str">
        <f t="shared" si="5"/>
        <v>N/A</v>
      </c>
      <c r="AJ1583" s="157" t="str">
        <f t="shared" si="6"/>
        <v/>
      </c>
    </row>
    <row r="1584" ht="12.75" customHeight="1">
      <c r="A1584" s="244" t="s">
        <v>4056</v>
      </c>
      <c r="B1584" s="244" t="s">
        <v>4059</v>
      </c>
      <c r="C1584" s="244" t="s">
        <v>4129</v>
      </c>
      <c r="D1584" s="154" t="s">
        <v>781</v>
      </c>
      <c r="E1584" s="250"/>
      <c r="F1584" s="154" t="str">
        <f t="array" ref="F1584">XLOOKUP(Cover!$D$12,$S$1:$AA$1,$S1584:$AA1584)</f>
        <v>Comments Vendor</v>
      </c>
      <c r="G1584" s="154" t="s">
        <v>4130</v>
      </c>
      <c r="H1584" s="154"/>
      <c r="I1584" s="154" t="s">
        <v>420</v>
      </c>
      <c r="J1584" s="154" t="s">
        <v>445</v>
      </c>
      <c r="K1584" s="247" t="s">
        <v>4131</v>
      </c>
      <c r="L1584" s="154" t="str">
        <f t="shared" si="1"/>
        <v/>
      </c>
      <c r="M1584" s="248" t="str">
        <f>IFERROR(__xludf.DUMMYFUNCTION("VLOOKUP(C1584,IMPORTRANGE(""https://docs.google.com/spreadsheets/d/1P8eX0NWBhUPS_hvzA11R6jkTNFrPrRYIx_dX_hYbxrk/edit?resourcekey=0-iw9bsKY2OqkUHCFMkCar3A&amp;gid=2055363397#gid=2055363397"",""MTR!C:O""),11,false)"),"TAM")</f>
        <v>TAM</v>
      </c>
      <c r="N1584" s="248" t="str">
        <f>IFERROR(__xludf.DUMMYFUNCTION("VLOOKUP(C1584,IMPORTRANGE(""https://docs.google.com/spreadsheets/d/1ihFlp3_ePlYtFuPbUNbYj1muErVpI73WHXbEwJDIA7Q/edit#gid=1493122344"",""MTR!C:O""),8,false)"),"Complies")</f>
        <v>Complies</v>
      </c>
      <c r="O1584" s="248" t="str">
        <f>IFERROR(__xludf.DUMMYFUNCTION("VLOOKUP(C1584,IMPORTRANGE(""https://docs.google.com/spreadsheets/d/1P8eX0NWBhUPS_hvzA11R6jkTNFrPrRYIx_dX_hYbxrk/edit?resourcekey=0-iw9bsKY2OqkUHCFMkCar3A&amp;gid=2055363397#gid=2055363397"",""MTR!C:O""),9,false)"),"Security in the Bootloader
Lock Screen Protection &amp; Disk Encryption On-Device
Secure Transactions in Third-Party Apps
Insider Attack Resistance (https://android-developers.googleblog.com/2018/05/insider-attack-resistance.html)")</f>
        <v>Security in the Bootloader
Lock Screen Protection &amp; Disk Encryption On-Device
Secure Transactions in Third-Party Apps
Insider Attack Resistance (https://android-developers.googleblog.com/2018/05/insider-attack-resistance.html)</v>
      </c>
      <c r="P1584" s="248"/>
      <c r="Q1584" s="249" t="s">
        <v>445</v>
      </c>
      <c r="R1584" s="249" t="s">
        <v>4131</v>
      </c>
      <c r="S1584" s="154" t="s">
        <v>62</v>
      </c>
      <c r="T1584" s="154" t="s">
        <v>62</v>
      </c>
      <c r="U1584" s="154" t="s">
        <v>62</v>
      </c>
      <c r="V1584" s="154" t="s">
        <v>62</v>
      </c>
      <c r="W1584" s="154" t="s">
        <v>62</v>
      </c>
      <c r="X1584" s="154" t="s">
        <v>62</v>
      </c>
      <c r="Y1584" s="154" t="s">
        <v>62</v>
      </c>
      <c r="Z1584" s="154" t="s">
        <v>62</v>
      </c>
      <c r="AA1584" s="154" t="s">
        <v>62</v>
      </c>
      <c r="AB1584" s="154"/>
      <c r="AC1584" s="242" t="b">
        <f t="shared" si="2"/>
        <v>1</v>
      </c>
      <c r="AD1584" s="154" t="s">
        <v>391</v>
      </c>
      <c r="AE1584" s="243" t="b">
        <f t="shared" si="3"/>
        <v>1</v>
      </c>
      <c r="AF1584" s="154"/>
      <c r="AG1584" s="243" t="b">
        <f t="shared" si="7"/>
        <v>0</v>
      </c>
      <c r="AH1584" s="154"/>
      <c r="AI1584" s="243" t="str">
        <f t="shared" si="5"/>
        <v>N/A</v>
      </c>
      <c r="AJ1584" s="157" t="str">
        <f t="shared" si="6"/>
        <v/>
      </c>
    </row>
    <row r="1585" ht="12.75" customHeight="1">
      <c r="A1585" s="244" t="s">
        <v>4056</v>
      </c>
      <c r="B1585" s="244" t="s">
        <v>4059</v>
      </c>
      <c r="C1585" s="244" t="s">
        <v>4132</v>
      </c>
      <c r="D1585" s="154" t="s">
        <v>781</v>
      </c>
      <c r="E1585" s="250"/>
      <c r="F1585" s="154" t="str">
        <f t="array" ref="F1585">XLOOKUP(Cover!$D$12,$S$1:$AA$1,$S1585:$AA1585)</f>
        <v>Comments Vendor</v>
      </c>
      <c r="G1585" s="154" t="s">
        <v>4133</v>
      </c>
      <c r="H1585" s="154"/>
      <c r="I1585" s="154" t="s">
        <v>420</v>
      </c>
      <c r="J1585" s="154" t="s">
        <v>445</v>
      </c>
      <c r="K1585" s="247" t="s">
        <v>4134</v>
      </c>
      <c r="L1585" s="154" t="str">
        <f t="shared" si="1"/>
        <v/>
      </c>
      <c r="M1585" s="248" t="str">
        <f>IFERROR(__xludf.DUMMYFUNCTION("VLOOKUP(C1585,IMPORTRANGE(""https://docs.google.com/spreadsheets/d/1P8eX0NWBhUPS_hvzA11R6jkTNFrPrRYIx_dX_hYbxrk/edit?resourcekey=0-iw9bsKY2OqkUHCFMkCar3A&amp;gid=2055363397#gid=2055363397"",""MTR!C:O""),11,false)"),"TAM")</f>
        <v>TAM</v>
      </c>
      <c r="N1585" s="248" t="str">
        <f>IFERROR(__xludf.DUMMYFUNCTION("VLOOKUP(C1585,IMPORTRANGE(""https://docs.google.com/spreadsheets/d/1ihFlp3_ePlYtFuPbUNbYj1muErVpI73WHXbEwJDIA7Q/edit#gid=1493122344"",""MTR!C:O""),8,false)"),"Complies")</f>
        <v>Complies</v>
      </c>
      <c r="O1585" s="248" t="str">
        <f>IFERROR(__xludf.DUMMYFUNCTION("VLOOKUP(C1585,IMPORTRANGE(""https://docs.google.com/spreadsheets/d/1P8eX0NWBhUPS_hvzA11R6jkTNFrPrRYIx_dX_hYbxrk/edit?resourcekey=0-iw9bsKY2OqkUHCFMkCar3A&amp;gid=2055363397#gid=2055363397"",""MTR!C:O""),9,false)"),"Android Enterprise Recommended (https://www.android.com/enterprise/recommended/)")</f>
        <v>Android Enterprise Recommended (https://www.android.com/enterprise/recommended/)</v>
      </c>
      <c r="P1585" s="248"/>
      <c r="Q1585" s="249" t="s">
        <v>445</v>
      </c>
      <c r="R1585" s="249" t="s">
        <v>4134</v>
      </c>
      <c r="S1585" s="154" t="s">
        <v>62</v>
      </c>
      <c r="T1585" s="154" t="s">
        <v>62</v>
      </c>
      <c r="U1585" s="154" t="s">
        <v>62</v>
      </c>
      <c r="V1585" s="154" t="s">
        <v>62</v>
      </c>
      <c r="W1585" s="154" t="s">
        <v>62</v>
      </c>
      <c r="X1585" s="154" t="s">
        <v>62</v>
      </c>
      <c r="Y1585" s="154" t="s">
        <v>62</v>
      </c>
      <c r="Z1585" s="154" t="s">
        <v>62</v>
      </c>
      <c r="AA1585" s="154" t="s">
        <v>62</v>
      </c>
      <c r="AB1585" s="154"/>
      <c r="AC1585" s="242" t="b">
        <f t="shared" si="2"/>
        <v>1</v>
      </c>
      <c r="AD1585" s="154" t="s">
        <v>391</v>
      </c>
      <c r="AE1585" s="243" t="b">
        <f t="shared" si="3"/>
        <v>1</v>
      </c>
      <c r="AF1585" s="154"/>
      <c r="AG1585" s="243" t="b">
        <f t="shared" si="7"/>
        <v>0</v>
      </c>
      <c r="AH1585" s="154"/>
      <c r="AI1585" s="243" t="str">
        <f t="shared" si="5"/>
        <v>N/A</v>
      </c>
      <c r="AJ1585" s="157" t="str">
        <f t="shared" si="6"/>
        <v/>
      </c>
    </row>
    <row r="1586" ht="12.75" customHeight="1">
      <c r="A1586" s="238" t="s">
        <v>4056</v>
      </c>
      <c r="B1586" s="238" t="s">
        <v>4135</v>
      </c>
      <c r="C1586" s="238" t="s">
        <v>4136</v>
      </c>
      <c r="D1586" s="238"/>
      <c r="E1586" s="238"/>
      <c r="F1586" s="154" t="str">
        <f t="array" ref="F1586">XLOOKUP(Cover!$D$12,$S$1:$AA$1,$S1586:$AA1586)</f>
        <v>Heading</v>
      </c>
      <c r="G1586" s="239" t="s">
        <v>4137</v>
      </c>
      <c r="H1586" s="240"/>
      <c r="I1586" s="240" t="s">
        <v>420</v>
      </c>
      <c r="J1586" s="262"/>
      <c r="K1586" s="262"/>
      <c r="L1586" s="154" t="str">
        <f t="shared" si="1"/>
        <v/>
      </c>
      <c r="M1586" s="241" t="str">
        <f>IFERROR(__xludf.DUMMYFUNCTION("VLOOKUP(C1586,IMPORTRANGE(""https://docs.google.com/spreadsheets/d/1P8eX0NWBhUPS_hvzA11R6jkTNFrPrRYIx_dX_hYbxrk/edit?resourcekey=0-iw9bsKY2OqkUHCFMkCar3A&amp;gid=2055363397#gid=2055363397"",""MTR!C:O""),11,false)"),"")</f>
        <v/>
      </c>
      <c r="N1586" s="241" t="str">
        <f>IFERROR(__xludf.DUMMYFUNCTION("VLOOKUP(C1586,IMPORTRANGE(""https://docs.google.com/spreadsheets/d/1ihFlp3_ePlYtFuPbUNbYj1muErVpI73WHXbEwJDIA7Q/edit#gid=1493122344"",""MTR!C:O""),8,false)"),"")</f>
        <v/>
      </c>
      <c r="O1586" s="241" t="str">
        <f>IFERROR(__xludf.DUMMYFUNCTION("VLOOKUP(C1586,IMPORTRANGE(""https://docs.google.com/spreadsheets/d/1P8eX0NWBhUPS_hvzA11R6jkTNFrPrRYIx_dX_hYbxrk/edit?resourcekey=0-iw9bsKY2OqkUHCFMkCar3A&amp;gid=2055363397#gid=2055363397"",""MTR!C:O""),9,false)"),"")</f>
        <v/>
      </c>
      <c r="P1586" s="241"/>
      <c r="Q1586" s="251"/>
      <c r="R1586" s="251"/>
      <c r="S1586" s="240" t="s">
        <v>390</v>
      </c>
      <c r="T1586" s="240" t="s">
        <v>390</v>
      </c>
      <c r="U1586" s="240" t="s">
        <v>390</v>
      </c>
      <c r="V1586" s="240" t="s">
        <v>390</v>
      </c>
      <c r="W1586" s="240" t="s">
        <v>390</v>
      </c>
      <c r="X1586" s="240" t="s">
        <v>390</v>
      </c>
      <c r="Y1586" s="240" t="s">
        <v>390</v>
      </c>
      <c r="Z1586" s="240" t="s">
        <v>390</v>
      </c>
      <c r="AA1586" s="240" t="s">
        <v>390</v>
      </c>
      <c r="AB1586" s="240"/>
      <c r="AC1586" s="242" t="b">
        <f t="shared" si="2"/>
        <v>0</v>
      </c>
      <c r="AD1586" s="240" t="s">
        <v>391</v>
      </c>
      <c r="AE1586" s="243" t="b">
        <f t="shared" si="3"/>
        <v>0</v>
      </c>
      <c r="AF1586" s="240"/>
      <c r="AG1586" s="243" t="b">
        <f t="shared" si="7"/>
        <v>0</v>
      </c>
      <c r="AH1586" s="240"/>
      <c r="AI1586" s="243" t="str">
        <f t="shared" si="5"/>
        <v>N/A</v>
      </c>
      <c r="AJ1586" s="157" t="str">
        <f t="shared" si="6"/>
        <v/>
      </c>
    </row>
    <row r="1587" ht="12.75" customHeight="1">
      <c r="A1587" s="238" t="s">
        <v>4056</v>
      </c>
      <c r="B1587" s="238" t="s">
        <v>4135</v>
      </c>
      <c r="C1587" s="238" t="s">
        <v>4138</v>
      </c>
      <c r="D1587" s="238"/>
      <c r="E1587" s="238"/>
      <c r="F1587" s="154" t="str">
        <f t="array" ref="F1587">XLOOKUP(Cover!$D$12,$S$1:$AA$1,$S1587:$AA1587)</f>
        <v>Heading</v>
      </c>
      <c r="G1587" s="239" t="s">
        <v>4139</v>
      </c>
      <c r="H1587" s="240"/>
      <c r="I1587" s="240" t="s">
        <v>420</v>
      </c>
      <c r="J1587" s="262"/>
      <c r="K1587" s="240"/>
      <c r="L1587" s="154" t="str">
        <f t="shared" si="1"/>
        <v/>
      </c>
      <c r="M1587" s="241" t="str">
        <f>IFERROR(__xludf.DUMMYFUNCTION("VLOOKUP(C1587,IMPORTRANGE(""https://docs.google.com/spreadsheets/d/1P8eX0NWBhUPS_hvzA11R6jkTNFrPrRYIx_dX_hYbxrk/edit?resourcekey=0-iw9bsKY2OqkUHCFMkCar3A&amp;gid=2055363397#gid=2055363397"",""MTR!C:O""),11,false)"),"")</f>
        <v/>
      </c>
      <c r="N1587" s="241" t="str">
        <f>IFERROR(__xludf.DUMMYFUNCTION("VLOOKUP(C1587,IMPORTRANGE(""https://docs.google.com/spreadsheets/d/1ihFlp3_ePlYtFuPbUNbYj1muErVpI73WHXbEwJDIA7Q/edit#gid=1493122344"",""MTR!C:O""),8,false)"),"")</f>
        <v/>
      </c>
      <c r="O1587" s="241" t="str">
        <f>IFERROR(__xludf.DUMMYFUNCTION("VLOOKUP(C1587,IMPORTRANGE(""https://docs.google.com/spreadsheets/d/1P8eX0NWBhUPS_hvzA11R6jkTNFrPrRYIx_dX_hYbxrk/edit?resourcekey=0-iw9bsKY2OqkUHCFMkCar3A&amp;gid=2055363397#gid=2055363397"",""MTR!C:O""),9,false)"),"")</f>
        <v/>
      </c>
      <c r="P1587" s="241"/>
      <c r="Q1587" s="241"/>
      <c r="R1587" s="241"/>
      <c r="S1587" s="240" t="s">
        <v>390</v>
      </c>
      <c r="T1587" s="240" t="s">
        <v>390</v>
      </c>
      <c r="U1587" s="240" t="s">
        <v>390</v>
      </c>
      <c r="V1587" s="240" t="s">
        <v>390</v>
      </c>
      <c r="W1587" s="240" t="s">
        <v>390</v>
      </c>
      <c r="X1587" s="240" t="s">
        <v>390</v>
      </c>
      <c r="Y1587" s="240" t="s">
        <v>390</v>
      </c>
      <c r="Z1587" s="240" t="s">
        <v>390</v>
      </c>
      <c r="AA1587" s="240" t="s">
        <v>390</v>
      </c>
      <c r="AB1587" s="240"/>
      <c r="AC1587" s="242" t="b">
        <f t="shared" si="2"/>
        <v>0</v>
      </c>
      <c r="AD1587" s="240" t="s">
        <v>391</v>
      </c>
      <c r="AE1587" s="243" t="b">
        <f t="shared" si="3"/>
        <v>0</v>
      </c>
      <c r="AF1587" s="240"/>
      <c r="AG1587" s="243" t="b">
        <f t="shared" si="7"/>
        <v>0</v>
      </c>
      <c r="AH1587" s="240"/>
      <c r="AI1587" s="243" t="str">
        <f t="shared" si="5"/>
        <v>N/A</v>
      </c>
      <c r="AJ1587" s="157" t="str">
        <f t="shared" si="6"/>
        <v/>
      </c>
    </row>
    <row r="1588" ht="12.75" customHeight="1">
      <c r="A1588" s="244" t="s">
        <v>4056</v>
      </c>
      <c r="B1588" s="244" t="s">
        <v>4135</v>
      </c>
      <c r="C1588" s="244" t="s">
        <v>4140</v>
      </c>
      <c r="D1588" s="154" t="s">
        <v>411</v>
      </c>
      <c r="E1588" s="250"/>
      <c r="F1588" s="154" t="str">
        <f t="array" ref="F1588">XLOOKUP(Cover!$D$12,$S$1:$AA$1,$S1588:$AA1588)</f>
        <v>Mandatory</v>
      </c>
      <c r="G1588" s="154" t="s">
        <v>4141</v>
      </c>
      <c r="H1588" s="154" t="s">
        <v>413</v>
      </c>
      <c r="I1588" s="154" t="s">
        <v>420</v>
      </c>
      <c r="J1588" s="154" t="s">
        <v>445</v>
      </c>
      <c r="K1588" s="154"/>
      <c r="L1588" s="154" t="str">
        <f t="shared" si="1"/>
        <v/>
      </c>
      <c r="M1588" s="248" t="str">
        <f>IFERROR(__xludf.DUMMYFUNCTION("VLOOKUP(C1588,IMPORTRANGE(""https://docs.google.com/spreadsheets/d/1P8eX0NWBhUPS_hvzA11R6jkTNFrPrRYIx_dX_hYbxrk/edit?resourcekey=0-iw9bsKY2OqkUHCFMkCar3A&amp;gid=2055363397#gid=2055363397"",""MTR!C:O""),11,false)"),"TAM")</f>
        <v>TAM</v>
      </c>
      <c r="N1588" s="248" t="str">
        <f>IFERROR(__xludf.DUMMYFUNCTION("VLOOKUP(C1588,IMPORTRANGE(""https://docs.google.com/spreadsheets/d/1ihFlp3_ePlYtFuPbUNbYj1muErVpI73WHXbEwJDIA7Q/edit#gid=1493122344"",""MTR!C:O""),8,false)"),"Complies")</f>
        <v>Complies</v>
      </c>
      <c r="O1588" s="241" t="str">
        <f>IFERROR(__xludf.DUMMYFUNCTION("VLOOKUP(C1588,IMPORTRANGE(""https://docs.google.com/spreadsheets/d/1P8eX0NWBhUPS_hvzA11R6jkTNFrPrRYIx_dX_hYbxrk/edit?resourcekey=0-iw9bsKY2OqkUHCFMkCar3A&amp;gid=2055363397#gid=2055363397"",""MTR!C:O""),9,false)"),"")</f>
        <v/>
      </c>
      <c r="P1588" s="241"/>
      <c r="Q1588" s="251" t="s">
        <v>445</v>
      </c>
      <c r="R1588" s="241"/>
      <c r="S1588" s="154" t="s">
        <v>68</v>
      </c>
      <c r="T1588" s="154" t="s">
        <v>60</v>
      </c>
      <c r="U1588" s="154" t="s">
        <v>60</v>
      </c>
      <c r="V1588" s="154" t="s">
        <v>60</v>
      </c>
      <c r="W1588" s="154" t="s">
        <v>60</v>
      </c>
      <c r="X1588" s="154" t="s">
        <v>60</v>
      </c>
      <c r="Y1588" s="154" t="s">
        <v>60</v>
      </c>
      <c r="Z1588" s="154" t="s">
        <v>60</v>
      </c>
      <c r="AA1588" s="154" t="s">
        <v>60</v>
      </c>
      <c r="AB1588" s="154"/>
      <c r="AC1588" s="242" t="b">
        <f t="shared" si="2"/>
        <v>1</v>
      </c>
      <c r="AD1588" s="154" t="s">
        <v>391</v>
      </c>
      <c r="AE1588" s="243" t="b">
        <f t="shared" si="3"/>
        <v>0</v>
      </c>
      <c r="AF1588" s="154"/>
      <c r="AG1588" s="243" t="b">
        <f t="shared" si="7"/>
        <v>0</v>
      </c>
      <c r="AH1588" s="154"/>
      <c r="AI1588" s="243" t="str">
        <f t="shared" si="5"/>
        <v>N/A</v>
      </c>
      <c r="AJ1588" s="157" t="str">
        <f t="shared" si="6"/>
        <v/>
      </c>
    </row>
    <row r="1589" ht="12.75" customHeight="1">
      <c r="A1589" s="244" t="s">
        <v>4056</v>
      </c>
      <c r="B1589" s="244" t="s">
        <v>4135</v>
      </c>
      <c r="C1589" s="244" t="s">
        <v>4142</v>
      </c>
      <c r="D1589" s="154" t="s">
        <v>484</v>
      </c>
      <c r="E1589" s="250"/>
      <c r="F1589" s="154" t="str">
        <f t="array" ref="F1589">XLOOKUP(Cover!$D$12,$S$1:$AA$1,$S1589:$AA1589)</f>
        <v>Mandatory</v>
      </c>
      <c r="G1589" s="154" t="s">
        <v>4143</v>
      </c>
      <c r="H1589" s="154" t="s">
        <v>413</v>
      </c>
      <c r="I1589" s="154" t="s">
        <v>420</v>
      </c>
      <c r="J1589" s="154" t="s">
        <v>445</v>
      </c>
      <c r="K1589" s="247" t="s">
        <v>4144</v>
      </c>
      <c r="L1589" s="154" t="str">
        <f t="shared" si="1"/>
        <v/>
      </c>
      <c r="M1589" s="248" t="str">
        <f>IFERROR(__xludf.DUMMYFUNCTION("VLOOKUP(C1589,IMPORTRANGE(""https://docs.google.com/spreadsheets/d/1P8eX0NWBhUPS_hvzA11R6jkTNFrPrRYIx_dX_hYbxrk/edit?resourcekey=0-iw9bsKY2OqkUHCFMkCar3A&amp;gid=2055363397#gid=2055363397"",""MTR!C:O""),11,false)"),"TAM")</f>
        <v>TAM</v>
      </c>
      <c r="N1589" s="248" t="str">
        <f>IFERROR(__xludf.DUMMYFUNCTION("VLOOKUP(C1589,IMPORTRANGE(""https://docs.google.com/spreadsheets/d/1ihFlp3_ePlYtFuPbUNbYj1muErVpI73WHXbEwJDIA7Q/edit#gid=1493122344"",""MTR!C:O""),8,false)"),"Complies")</f>
        <v>Complies</v>
      </c>
      <c r="O1589" s="241" t="str">
        <f>IFERROR(__xludf.DUMMYFUNCTION("VLOOKUP(C1589,IMPORTRANGE(""https://docs.google.com/spreadsheets/d/1P8eX0NWBhUPS_hvzA11R6jkTNFrPrRYIx_dX_hYbxrk/edit?resourcekey=0-iw9bsKY2OqkUHCFMkCar3A&amp;gid=2055363397#gid=2055363397"",""MTR!C:O""),9,false)"),"")</f>
        <v/>
      </c>
      <c r="P1589" s="241"/>
      <c r="Q1589" s="251" t="s">
        <v>445</v>
      </c>
      <c r="R1589" s="241"/>
      <c r="S1589" s="154" t="s">
        <v>68</v>
      </c>
      <c r="T1589" s="154" t="s">
        <v>60</v>
      </c>
      <c r="U1589" s="154" t="s">
        <v>60</v>
      </c>
      <c r="V1589" s="154" t="s">
        <v>60</v>
      </c>
      <c r="W1589" s="154" t="s">
        <v>60</v>
      </c>
      <c r="X1589" s="154" t="s">
        <v>60</v>
      </c>
      <c r="Y1589" s="154" t="s">
        <v>60</v>
      </c>
      <c r="Z1589" s="154" t="s">
        <v>60</v>
      </c>
      <c r="AA1589" s="154" t="s">
        <v>60</v>
      </c>
      <c r="AB1589" s="154"/>
      <c r="AC1589" s="242" t="b">
        <f t="shared" si="2"/>
        <v>1</v>
      </c>
      <c r="AD1589" s="154" t="s">
        <v>445</v>
      </c>
      <c r="AE1589" s="243" t="b">
        <f t="shared" si="3"/>
        <v>0</v>
      </c>
      <c r="AF1589" s="154"/>
      <c r="AG1589" s="243" t="b">
        <f t="shared" si="7"/>
        <v>0</v>
      </c>
      <c r="AH1589" s="154"/>
      <c r="AI1589" s="243" t="str">
        <f t="shared" si="5"/>
        <v>N/A</v>
      </c>
      <c r="AJ1589" s="157" t="str">
        <f t="shared" si="6"/>
        <v/>
      </c>
    </row>
    <row r="1590" ht="12.75" customHeight="1">
      <c r="A1590" s="238" t="s">
        <v>4056</v>
      </c>
      <c r="B1590" s="238" t="s">
        <v>4135</v>
      </c>
      <c r="C1590" s="238" t="s">
        <v>4145</v>
      </c>
      <c r="D1590" s="238"/>
      <c r="E1590" s="238"/>
      <c r="F1590" s="154" t="str">
        <f t="array" ref="F1590">XLOOKUP(Cover!$D$12,$S$1:$AA$1,$S1590:$AA1590)</f>
        <v>Heading</v>
      </c>
      <c r="G1590" s="239" t="s">
        <v>4146</v>
      </c>
      <c r="H1590" s="240"/>
      <c r="I1590" s="240" t="s">
        <v>420</v>
      </c>
      <c r="J1590" s="262"/>
      <c r="K1590" s="240"/>
      <c r="L1590" s="154" t="str">
        <f t="shared" si="1"/>
        <v/>
      </c>
      <c r="M1590" s="241" t="str">
        <f>IFERROR(__xludf.DUMMYFUNCTION("VLOOKUP(C1590,IMPORTRANGE(""https://docs.google.com/spreadsheets/d/1P8eX0NWBhUPS_hvzA11R6jkTNFrPrRYIx_dX_hYbxrk/edit?resourcekey=0-iw9bsKY2OqkUHCFMkCar3A&amp;gid=2055363397#gid=2055363397"",""MTR!C:O""),11,false)"),"")</f>
        <v/>
      </c>
      <c r="N1590" s="241" t="str">
        <f>IFERROR(__xludf.DUMMYFUNCTION("VLOOKUP(C1590,IMPORTRANGE(""https://docs.google.com/spreadsheets/d/1ihFlp3_ePlYtFuPbUNbYj1muErVpI73WHXbEwJDIA7Q/edit#gid=1493122344"",""MTR!C:O""),8,false)"),"")</f>
        <v/>
      </c>
      <c r="O1590" s="241" t="str">
        <f>IFERROR(__xludf.DUMMYFUNCTION("VLOOKUP(C1590,IMPORTRANGE(""https://docs.google.com/spreadsheets/d/1P8eX0NWBhUPS_hvzA11R6jkTNFrPrRYIx_dX_hYbxrk/edit?resourcekey=0-iw9bsKY2OqkUHCFMkCar3A&amp;gid=2055363397#gid=2055363397"",""MTR!C:O""),9,false)"),"")</f>
        <v/>
      </c>
      <c r="P1590" s="241"/>
      <c r="Q1590" s="251"/>
      <c r="R1590" s="241"/>
      <c r="S1590" s="240" t="s">
        <v>390</v>
      </c>
      <c r="T1590" s="240" t="s">
        <v>390</v>
      </c>
      <c r="U1590" s="240" t="s">
        <v>390</v>
      </c>
      <c r="V1590" s="240" t="s">
        <v>390</v>
      </c>
      <c r="W1590" s="240" t="s">
        <v>390</v>
      </c>
      <c r="X1590" s="240" t="s">
        <v>390</v>
      </c>
      <c r="Y1590" s="240" t="s">
        <v>390</v>
      </c>
      <c r="Z1590" s="240" t="s">
        <v>390</v>
      </c>
      <c r="AA1590" s="240" t="s">
        <v>390</v>
      </c>
      <c r="AB1590" s="240"/>
      <c r="AC1590" s="242" t="b">
        <f t="shared" si="2"/>
        <v>0</v>
      </c>
      <c r="AD1590" s="240" t="s">
        <v>391</v>
      </c>
      <c r="AE1590" s="243" t="b">
        <f t="shared" si="3"/>
        <v>0</v>
      </c>
      <c r="AF1590" s="240"/>
      <c r="AG1590" s="243" t="b">
        <f t="shared" si="7"/>
        <v>0</v>
      </c>
      <c r="AH1590" s="240"/>
      <c r="AI1590" s="243" t="str">
        <f t="shared" si="5"/>
        <v>N/A</v>
      </c>
      <c r="AJ1590" s="157" t="str">
        <f t="shared" si="6"/>
        <v/>
      </c>
    </row>
    <row r="1591" ht="12.75" customHeight="1">
      <c r="A1591" s="244" t="s">
        <v>4056</v>
      </c>
      <c r="B1591" s="244" t="s">
        <v>4135</v>
      </c>
      <c r="C1591" s="244" t="s">
        <v>4147</v>
      </c>
      <c r="D1591" s="154" t="s">
        <v>433</v>
      </c>
      <c r="E1591" s="250"/>
      <c r="F1591" s="154" t="str">
        <f t="array" ref="F1591">XLOOKUP(Cover!$D$12,$S$1:$AA$1,$S1591:$AA1591)</f>
        <v>Mandatory</v>
      </c>
      <c r="G1591" s="154" t="s">
        <v>4148</v>
      </c>
      <c r="H1591" s="154" t="s">
        <v>413</v>
      </c>
      <c r="I1591" s="154" t="s">
        <v>420</v>
      </c>
      <c r="J1591" s="154" t="s">
        <v>445</v>
      </c>
      <c r="K1591" s="154"/>
      <c r="L1591" s="154" t="str">
        <f t="shared" si="1"/>
        <v/>
      </c>
      <c r="M1591" s="248" t="str">
        <f>IFERROR(__xludf.DUMMYFUNCTION("VLOOKUP(C1591,IMPORTRANGE(""https://docs.google.com/spreadsheets/d/1P8eX0NWBhUPS_hvzA11R6jkTNFrPrRYIx_dX_hYbxrk/edit?resourcekey=0-iw9bsKY2OqkUHCFMkCar3A&amp;gid=2055363397#gid=2055363397"",""MTR!C:O""),11,false)"),"TAM")</f>
        <v>TAM</v>
      </c>
      <c r="N1591" s="248" t="str">
        <f>IFERROR(__xludf.DUMMYFUNCTION("VLOOKUP(C1591,IMPORTRANGE(""https://docs.google.com/spreadsheets/d/1ihFlp3_ePlYtFuPbUNbYj1muErVpI73WHXbEwJDIA7Q/edit#gid=1493122344"",""MTR!C:O""),8,false)"),"Complies")</f>
        <v>Complies</v>
      </c>
      <c r="O1591" s="241" t="str">
        <f>IFERROR(__xludf.DUMMYFUNCTION("VLOOKUP(C1591,IMPORTRANGE(""https://docs.google.com/spreadsheets/d/1P8eX0NWBhUPS_hvzA11R6jkTNFrPrRYIx_dX_hYbxrk/edit?resourcekey=0-iw9bsKY2OqkUHCFMkCar3A&amp;gid=2055363397#gid=2055363397"",""MTR!C:O""),9,false)"),"")</f>
        <v/>
      </c>
      <c r="P1591" s="241"/>
      <c r="Q1591" s="251" t="s">
        <v>445</v>
      </c>
      <c r="R1591" s="241"/>
      <c r="S1591" s="154" t="s">
        <v>68</v>
      </c>
      <c r="T1591" s="154" t="s">
        <v>60</v>
      </c>
      <c r="U1591" s="154" t="s">
        <v>60</v>
      </c>
      <c r="V1591" s="154" t="s">
        <v>60</v>
      </c>
      <c r="W1591" s="154" t="s">
        <v>60</v>
      </c>
      <c r="X1591" s="154" t="s">
        <v>60</v>
      </c>
      <c r="Y1591" s="154" t="s">
        <v>60</v>
      </c>
      <c r="Z1591" s="154" t="s">
        <v>60</v>
      </c>
      <c r="AA1591" s="154" t="s">
        <v>60</v>
      </c>
      <c r="AB1591" s="154"/>
      <c r="AC1591" s="242" t="b">
        <f t="shared" si="2"/>
        <v>1</v>
      </c>
      <c r="AD1591" s="154" t="s">
        <v>391</v>
      </c>
      <c r="AE1591" s="243" t="b">
        <f t="shared" si="3"/>
        <v>0</v>
      </c>
      <c r="AF1591" s="154"/>
      <c r="AG1591" s="243" t="b">
        <f t="shared" si="7"/>
        <v>0</v>
      </c>
      <c r="AH1591" s="154"/>
      <c r="AI1591" s="243" t="str">
        <f t="shared" si="5"/>
        <v>N/A</v>
      </c>
      <c r="AJ1591" s="157" t="str">
        <f t="shared" si="6"/>
        <v/>
      </c>
    </row>
    <row r="1592" ht="12.75" customHeight="1">
      <c r="A1592" s="244" t="s">
        <v>4056</v>
      </c>
      <c r="B1592" s="244" t="s">
        <v>4135</v>
      </c>
      <c r="C1592" s="244" t="s">
        <v>4149</v>
      </c>
      <c r="D1592" s="154" t="s">
        <v>433</v>
      </c>
      <c r="E1592" s="250"/>
      <c r="F1592" s="154" t="str">
        <f t="array" ref="F1592">XLOOKUP(Cover!$D$12,$S$1:$AA$1,$S1592:$AA1592)</f>
        <v>Mandatory</v>
      </c>
      <c r="G1592" s="154" t="s">
        <v>4150</v>
      </c>
      <c r="H1592" s="154" t="s">
        <v>413</v>
      </c>
      <c r="I1592" s="154" t="s">
        <v>420</v>
      </c>
      <c r="J1592" s="247" t="s">
        <v>445</v>
      </c>
      <c r="K1592" s="154"/>
      <c r="L1592" s="154" t="str">
        <f t="shared" si="1"/>
        <v/>
      </c>
      <c r="M1592" s="248" t="str">
        <f>IFERROR(__xludf.DUMMYFUNCTION("VLOOKUP(C1592,IMPORTRANGE(""https://docs.google.com/spreadsheets/d/1P8eX0NWBhUPS_hvzA11R6jkTNFrPrRYIx_dX_hYbxrk/edit?resourcekey=0-iw9bsKY2OqkUHCFMkCar3A&amp;gid=2055363397#gid=2055363397"",""MTR!C:O""),11,false)"),"TAM")</f>
        <v>TAM</v>
      </c>
      <c r="N1592" s="248" t="str">
        <f>IFERROR(__xludf.DUMMYFUNCTION("VLOOKUP(C1592,IMPORTRANGE(""https://docs.google.com/spreadsheets/d/1ihFlp3_ePlYtFuPbUNbYj1muErVpI73WHXbEwJDIA7Q/edit#gid=1493122344"",""MTR!C:O""),8,false)"),"Complies")</f>
        <v>Complies</v>
      </c>
      <c r="O1592" s="241" t="str">
        <f>IFERROR(__xludf.DUMMYFUNCTION("VLOOKUP(C1592,IMPORTRANGE(""https://docs.google.com/spreadsheets/d/1P8eX0NWBhUPS_hvzA11R6jkTNFrPrRYIx_dX_hYbxrk/edit?resourcekey=0-iw9bsKY2OqkUHCFMkCar3A&amp;gid=2055363397#gid=2055363397"",""MTR!C:O""),9,false)"),"")</f>
        <v/>
      </c>
      <c r="P1592" s="241"/>
      <c r="Q1592" s="251" t="s">
        <v>445</v>
      </c>
      <c r="R1592" s="241"/>
      <c r="S1592" s="154" t="s">
        <v>68</v>
      </c>
      <c r="T1592" s="154" t="s">
        <v>60</v>
      </c>
      <c r="U1592" s="154" t="s">
        <v>60</v>
      </c>
      <c r="V1592" s="154" t="s">
        <v>60</v>
      </c>
      <c r="W1592" s="154" t="s">
        <v>60</v>
      </c>
      <c r="X1592" s="154" t="s">
        <v>60</v>
      </c>
      <c r="Y1592" s="154" t="s">
        <v>60</v>
      </c>
      <c r="Z1592" s="154" t="s">
        <v>60</v>
      </c>
      <c r="AA1592" s="154" t="s">
        <v>60</v>
      </c>
      <c r="AB1592" s="154"/>
      <c r="AC1592" s="242" t="b">
        <f t="shared" si="2"/>
        <v>1</v>
      </c>
      <c r="AD1592" s="154" t="s">
        <v>391</v>
      </c>
      <c r="AE1592" s="243" t="b">
        <f t="shared" si="3"/>
        <v>0</v>
      </c>
      <c r="AF1592" s="154"/>
      <c r="AG1592" s="243" t="b">
        <f t="shared" si="7"/>
        <v>0</v>
      </c>
      <c r="AH1592" s="154"/>
      <c r="AI1592" s="243" t="str">
        <f t="shared" si="5"/>
        <v>N/A</v>
      </c>
      <c r="AJ1592" s="157" t="str">
        <f t="shared" si="6"/>
        <v/>
      </c>
    </row>
    <row r="1593" ht="12.75" customHeight="1">
      <c r="A1593" s="244" t="s">
        <v>4056</v>
      </c>
      <c r="B1593" s="244" t="s">
        <v>4135</v>
      </c>
      <c r="C1593" s="244" t="s">
        <v>4151</v>
      </c>
      <c r="D1593" s="154" t="s">
        <v>433</v>
      </c>
      <c r="E1593" s="250"/>
      <c r="F1593" s="154" t="str">
        <f t="array" ref="F1593">XLOOKUP(Cover!$D$12,$S$1:$AA$1,$S1593:$AA1593)</f>
        <v>Mandatory</v>
      </c>
      <c r="G1593" s="154" t="s">
        <v>4152</v>
      </c>
      <c r="H1593" s="154" t="s">
        <v>413</v>
      </c>
      <c r="I1593" s="154" t="s">
        <v>420</v>
      </c>
      <c r="J1593" s="247" t="s">
        <v>445</v>
      </c>
      <c r="K1593" s="154"/>
      <c r="L1593" s="154" t="str">
        <f t="shared" si="1"/>
        <v/>
      </c>
      <c r="M1593" s="248" t="str">
        <f>IFERROR(__xludf.DUMMYFUNCTION("VLOOKUP(C1593,IMPORTRANGE(""https://docs.google.com/spreadsheets/d/1P8eX0NWBhUPS_hvzA11R6jkTNFrPrRYIx_dX_hYbxrk/edit?resourcekey=0-iw9bsKY2OqkUHCFMkCar3A&amp;gid=2055363397#gid=2055363397"",""MTR!C:O""),11,false)"),"TAM")</f>
        <v>TAM</v>
      </c>
      <c r="N1593" s="248" t="str">
        <f>IFERROR(__xludf.DUMMYFUNCTION("VLOOKUP(C1593,IMPORTRANGE(""https://docs.google.com/spreadsheets/d/1ihFlp3_ePlYtFuPbUNbYj1muErVpI73WHXbEwJDIA7Q/edit#gid=1493122344"",""MTR!C:O""),8,false)"),"Complies")</f>
        <v>Complies</v>
      </c>
      <c r="O1593" s="241" t="str">
        <f>IFERROR(__xludf.DUMMYFUNCTION("VLOOKUP(C1593,IMPORTRANGE(""https://docs.google.com/spreadsheets/d/1P8eX0NWBhUPS_hvzA11R6jkTNFrPrRYIx_dX_hYbxrk/edit?resourcekey=0-iw9bsKY2OqkUHCFMkCar3A&amp;gid=2055363397#gid=2055363397"",""MTR!C:O""),9,false)"),"")</f>
        <v/>
      </c>
      <c r="P1593" s="241"/>
      <c r="Q1593" s="251" t="s">
        <v>445</v>
      </c>
      <c r="R1593" s="241"/>
      <c r="S1593" s="154" t="s">
        <v>68</v>
      </c>
      <c r="T1593" s="154" t="s">
        <v>60</v>
      </c>
      <c r="U1593" s="154" t="s">
        <v>60</v>
      </c>
      <c r="V1593" s="154" t="s">
        <v>60</v>
      </c>
      <c r="W1593" s="154" t="s">
        <v>60</v>
      </c>
      <c r="X1593" s="154" t="s">
        <v>60</v>
      </c>
      <c r="Y1593" s="154" t="s">
        <v>60</v>
      </c>
      <c r="Z1593" s="154" t="s">
        <v>60</v>
      </c>
      <c r="AA1593" s="154" t="s">
        <v>60</v>
      </c>
      <c r="AB1593" s="154"/>
      <c r="AC1593" s="242" t="b">
        <f t="shared" si="2"/>
        <v>1</v>
      </c>
      <c r="AD1593" s="154" t="s">
        <v>391</v>
      </c>
      <c r="AE1593" s="243" t="b">
        <f t="shared" si="3"/>
        <v>0</v>
      </c>
      <c r="AF1593" s="154"/>
      <c r="AG1593" s="243" t="b">
        <f t="shared" si="7"/>
        <v>0</v>
      </c>
      <c r="AH1593" s="154"/>
      <c r="AI1593" s="243" t="str">
        <f t="shared" si="5"/>
        <v>N/A</v>
      </c>
      <c r="AJ1593" s="157" t="str">
        <f t="shared" si="6"/>
        <v/>
      </c>
    </row>
    <row r="1594" ht="12.75" customHeight="1">
      <c r="A1594" s="244" t="s">
        <v>4056</v>
      </c>
      <c r="B1594" s="244" t="s">
        <v>4135</v>
      </c>
      <c r="C1594" s="244" t="s">
        <v>4153</v>
      </c>
      <c r="D1594" s="154" t="s">
        <v>411</v>
      </c>
      <c r="E1594" s="250"/>
      <c r="F1594" s="154" t="str">
        <f t="array" ref="F1594">XLOOKUP(Cover!$D$12,$S$1:$AA$1,$S1594:$AA1594)</f>
        <v>Mandatory</v>
      </c>
      <c r="G1594" s="154" t="s">
        <v>4154</v>
      </c>
      <c r="H1594" s="154" t="s">
        <v>413</v>
      </c>
      <c r="I1594" s="154" t="s">
        <v>420</v>
      </c>
      <c r="J1594" s="247" t="s">
        <v>445</v>
      </c>
      <c r="K1594" s="154"/>
      <c r="L1594" s="154" t="str">
        <f t="shared" si="1"/>
        <v/>
      </c>
      <c r="M1594" s="248" t="str">
        <f>IFERROR(__xludf.DUMMYFUNCTION("VLOOKUP(C1594,IMPORTRANGE(""https://docs.google.com/spreadsheets/d/1P8eX0NWBhUPS_hvzA11R6jkTNFrPrRYIx_dX_hYbxrk/edit?resourcekey=0-iw9bsKY2OqkUHCFMkCar3A&amp;gid=2055363397#gid=2055363397"",""MTR!C:O""),11,false)"),"TAM")</f>
        <v>TAM</v>
      </c>
      <c r="N1594" s="248" t="str">
        <f>IFERROR(__xludf.DUMMYFUNCTION("VLOOKUP(C1594,IMPORTRANGE(""https://docs.google.com/spreadsheets/d/1ihFlp3_ePlYtFuPbUNbYj1muErVpI73WHXbEwJDIA7Q/edit#gid=1493122344"",""MTR!C:O""),8,false)"),"Complies")</f>
        <v>Complies</v>
      </c>
      <c r="O1594" s="241" t="str">
        <f>IFERROR(__xludf.DUMMYFUNCTION("VLOOKUP(C1594,IMPORTRANGE(""https://docs.google.com/spreadsheets/d/1P8eX0NWBhUPS_hvzA11R6jkTNFrPrRYIx_dX_hYbxrk/edit?resourcekey=0-iw9bsKY2OqkUHCFMkCar3A&amp;gid=2055363397#gid=2055363397"",""MTR!C:O""),9,false)"),"")</f>
        <v/>
      </c>
      <c r="P1594" s="241"/>
      <c r="Q1594" s="251" t="s">
        <v>445</v>
      </c>
      <c r="R1594" s="241"/>
      <c r="S1594" s="154" t="s">
        <v>68</v>
      </c>
      <c r="T1594" s="154" t="s">
        <v>60</v>
      </c>
      <c r="U1594" s="154" t="s">
        <v>60</v>
      </c>
      <c r="V1594" s="154" t="s">
        <v>60</v>
      </c>
      <c r="W1594" s="154" t="s">
        <v>60</v>
      </c>
      <c r="X1594" s="154" t="s">
        <v>60</v>
      </c>
      <c r="Y1594" s="154" t="s">
        <v>60</v>
      </c>
      <c r="Z1594" s="154" t="s">
        <v>60</v>
      </c>
      <c r="AA1594" s="154" t="s">
        <v>60</v>
      </c>
      <c r="AB1594" s="154"/>
      <c r="AC1594" s="242" t="b">
        <f t="shared" si="2"/>
        <v>1</v>
      </c>
      <c r="AD1594" s="154" t="s">
        <v>391</v>
      </c>
      <c r="AE1594" s="243" t="b">
        <f t="shared" si="3"/>
        <v>0</v>
      </c>
      <c r="AF1594" s="154"/>
      <c r="AG1594" s="243" t="b">
        <f t="shared" si="7"/>
        <v>0</v>
      </c>
      <c r="AH1594" s="154"/>
      <c r="AI1594" s="243" t="str">
        <f t="shared" si="5"/>
        <v>N/A</v>
      </c>
      <c r="AJ1594" s="157" t="str">
        <f t="shared" si="6"/>
        <v/>
      </c>
    </row>
    <row r="1595" ht="12.75" customHeight="1">
      <c r="A1595" s="244" t="s">
        <v>4056</v>
      </c>
      <c r="B1595" s="244" t="s">
        <v>4135</v>
      </c>
      <c r="C1595" s="244" t="s">
        <v>4155</v>
      </c>
      <c r="D1595" s="154" t="s">
        <v>2434</v>
      </c>
      <c r="E1595" s="250"/>
      <c r="F1595" s="154" t="str">
        <f t="array" ref="F1595">XLOOKUP(Cover!$D$12,$S$1:$AA$1,$S1595:$AA1595)</f>
        <v>Mandatory</v>
      </c>
      <c r="G1595" s="154" t="s">
        <v>4156</v>
      </c>
      <c r="H1595" s="154" t="s">
        <v>413</v>
      </c>
      <c r="I1595" s="154" t="s">
        <v>420</v>
      </c>
      <c r="J1595" s="247" t="s">
        <v>445</v>
      </c>
      <c r="K1595" s="247" t="s">
        <v>4157</v>
      </c>
      <c r="L1595" s="154" t="str">
        <f t="shared" si="1"/>
        <v/>
      </c>
      <c r="M1595" s="248" t="str">
        <f>IFERROR(__xludf.DUMMYFUNCTION("VLOOKUP(C1595,IMPORTRANGE(""https://docs.google.com/spreadsheets/d/1P8eX0NWBhUPS_hvzA11R6jkTNFrPrRYIx_dX_hYbxrk/edit?resourcekey=0-iw9bsKY2OqkUHCFMkCar3A&amp;gid=2055363397#gid=2055363397"",""MTR!C:O""),11,false)"),"TAM")</f>
        <v>TAM</v>
      </c>
      <c r="N1595" s="248" t="str">
        <f>IFERROR(__xludf.DUMMYFUNCTION("VLOOKUP(C1595,IMPORTRANGE(""https://docs.google.com/spreadsheets/d/1ihFlp3_ePlYtFuPbUNbYj1muErVpI73WHXbEwJDIA7Q/edit#gid=1493122344"",""MTR!C:O""),8,false)"),"Complies")</f>
        <v>Complies</v>
      </c>
      <c r="O1595" s="248" t="str">
        <f>IFERROR(__xludf.DUMMYFUNCTION("VLOOKUP(C1595,IMPORTRANGE(""https://docs.google.com/spreadsheets/d/1P8eX0NWBhUPS_hvzA11R6jkTNFrPrRYIx_dX_hYbxrk/edit?resourcekey=0-iw9bsKY2OqkUHCFMkCar3A&amp;gid=2055363397#gid=2055363397"",""MTR!C:O""),9,false)"),"Supports for Open, WPA2 PSK, WPA3-SAE")</f>
        <v>Supports for Open, WPA2 PSK, WPA3-SAE</v>
      </c>
      <c r="P1595" s="248"/>
      <c r="Q1595" s="249" t="s">
        <v>445</v>
      </c>
      <c r="R1595" s="249" t="s">
        <v>4157</v>
      </c>
      <c r="S1595" s="154" t="s">
        <v>68</v>
      </c>
      <c r="T1595" s="154" t="s">
        <v>60</v>
      </c>
      <c r="U1595" s="154" t="s">
        <v>60</v>
      </c>
      <c r="V1595" s="154" t="s">
        <v>60</v>
      </c>
      <c r="W1595" s="154" t="s">
        <v>60</v>
      </c>
      <c r="X1595" s="154" t="s">
        <v>60</v>
      </c>
      <c r="Y1595" s="154" t="s">
        <v>60</v>
      </c>
      <c r="Z1595" s="154" t="s">
        <v>60</v>
      </c>
      <c r="AA1595" s="154" t="s">
        <v>60</v>
      </c>
      <c r="AB1595" s="154"/>
      <c r="AC1595" s="242" t="b">
        <f t="shared" si="2"/>
        <v>1</v>
      </c>
      <c r="AD1595" s="154" t="s">
        <v>391</v>
      </c>
      <c r="AE1595" s="243" t="b">
        <f t="shared" si="3"/>
        <v>0</v>
      </c>
      <c r="AF1595" s="154"/>
      <c r="AG1595" s="243" t="b">
        <f t="shared" si="7"/>
        <v>0</v>
      </c>
      <c r="AH1595" s="154"/>
      <c r="AI1595" s="243" t="str">
        <f t="shared" si="5"/>
        <v>N/A</v>
      </c>
      <c r="AJ1595" s="157" t="str">
        <f t="shared" si="6"/>
        <v/>
      </c>
    </row>
    <row r="1596" ht="12.75" customHeight="1">
      <c r="A1596" s="238" t="s">
        <v>4158</v>
      </c>
      <c r="B1596" s="238"/>
      <c r="C1596" s="238" t="s">
        <v>4159</v>
      </c>
      <c r="D1596" s="238"/>
      <c r="E1596" s="238"/>
      <c r="F1596" s="154" t="str">
        <f t="array" ref="F1596">XLOOKUP(Cover!$D$12,$S$1:$AA$1,$S1596:$AA1596)</f>
        <v>Heading</v>
      </c>
      <c r="G1596" s="239" t="s">
        <v>4160</v>
      </c>
      <c r="H1596" s="240"/>
      <c r="I1596" s="240" t="s">
        <v>420</v>
      </c>
      <c r="J1596" s="262"/>
      <c r="K1596" s="262"/>
      <c r="L1596" s="154" t="str">
        <f t="shared" si="1"/>
        <v/>
      </c>
      <c r="M1596" s="241" t="str">
        <f>IFERROR(__xludf.DUMMYFUNCTION("VLOOKUP(C1596,IMPORTRANGE(""https://docs.google.com/spreadsheets/d/1P8eX0NWBhUPS_hvzA11R6jkTNFrPrRYIx_dX_hYbxrk/edit?resourcekey=0-iw9bsKY2OqkUHCFMkCar3A&amp;gid=2055363397#gid=2055363397"",""MTR!C:O""),11,false)"),"")</f>
        <v/>
      </c>
      <c r="N1596" s="241" t="str">
        <f>IFERROR(__xludf.DUMMYFUNCTION("VLOOKUP(C1596,IMPORTRANGE(""https://docs.google.com/spreadsheets/d/1ihFlp3_ePlYtFuPbUNbYj1muErVpI73WHXbEwJDIA7Q/edit#gid=1493122344"",""MTR!C:O""),8,false)"),"")</f>
        <v/>
      </c>
      <c r="O1596" s="241" t="str">
        <f>IFERROR(__xludf.DUMMYFUNCTION("VLOOKUP(C1596,IMPORTRANGE(""https://docs.google.com/spreadsheets/d/1P8eX0NWBhUPS_hvzA11R6jkTNFrPrRYIx_dX_hYbxrk/edit?resourcekey=0-iw9bsKY2OqkUHCFMkCar3A&amp;gid=2055363397#gid=2055363397"",""MTR!C:O""),9,false)"),"")</f>
        <v/>
      </c>
      <c r="P1596" s="241"/>
      <c r="Q1596" s="251"/>
      <c r="R1596" s="251"/>
      <c r="S1596" s="240" t="s">
        <v>390</v>
      </c>
      <c r="T1596" s="240" t="s">
        <v>390</v>
      </c>
      <c r="U1596" s="240" t="s">
        <v>390</v>
      </c>
      <c r="V1596" s="240" t="s">
        <v>390</v>
      </c>
      <c r="W1596" s="240" t="s">
        <v>390</v>
      </c>
      <c r="X1596" s="240" t="s">
        <v>390</v>
      </c>
      <c r="Y1596" s="240" t="s">
        <v>390</v>
      </c>
      <c r="Z1596" s="240" t="s">
        <v>390</v>
      </c>
      <c r="AA1596" s="240" t="s">
        <v>390</v>
      </c>
      <c r="AB1596" s="240"/>
      <c r="AC1596" s="242" t="b">
        <f t="shared" si="2"/>
        <v>0</v>
      </c>
      <c r="AD1596" s="240" t="s">
        <v>391</v>
      </c>
      <c r="AE1596" s="243" t="b">
        <f t="shared" si="3"/>
        <v>0</v>
      </c>
      <c r="AF1596" s="240"/>
      <c r="AG1596" s="243" t="b">
        <f t="shared" si="7"/>
        <v>0</v>
      </c>
      <c r="AH1596" s="240"/>
      <c r="AI1596" s="243" t="str">
        <f t="shared" si="5"/>
        <v>N/A</v>
      </c>
      <c r="AJ1596" s="157" t="str">
        <f t="shared" si="6"/>
        <v/>
      </c>
    </row>
    <row r="1597" ht="12.75" customHeight="1">
      <c r="A1597" s="238" t="s">
        <v>4158</v>
      </c>
      <c r="B1597" s="238" t="s">
        <v>4161</v>
      </c>
      <c r="C1597" s="238" t="s">
        <v>4162</v>
      </c>
      <c r="D1597" s="238"/>
      <c r="E1597" s="238"/>
      <c r="F1597" s="154" t="str">
        <f t="array" ref="F1597">XLOOKUP(Cover!$D$12,$S$1:$AA$1,$S1597:$AA1597)</f>
        <v>Heading</v>
      </c>
      <c r="G1597" s="239" t="s">
        <v>4163</v>
      </c>
      <c r="H1597" s="240"/>
      <c r="I1597" s="240" t="s">
        <v>632</v>
      </c>
      <c r="J1597" s="262"/>
      <c r="K1597" s="262"/>
      <c r="L1597" s="154" t="str">
        <f t="shared" si="1"/>
        <v/>
      </c>
      <c r="M1597" s="241" t="str">
        <f>IFERROR(__xludf.DUMMYFUNCTION("VLOOKUP(C1597,IMPORTRANGE(""https://docs.google.com/spreadsheets/d/1P8eX0NWBhUPS_hvzA11R6jkTNFrPrRYIx_dX_hYbxrk/edit?resourcekey=0-iw9bsKY2OqkUHCFMkCar3A&amp;gid=2055363397#gid=2055363397"",""MTR!C:O""),11,false)"),"")</f>
        <v/>
      </c>
      <c r="N1597" s="241" t="str">
        <f>IFERROR(__xludf.DUMMYFUNCTION("VLOOKUP(C1597,IMPORTRANGE(""https://docs.google.com/spreadsheets/d/1ihFlp3_ePlYtFuPbUNbYj1muErVpI73WHXbEwJDIA7Q/edit#gid=1493122344"",""MTR!C:O""),8,false)"),"")</f>
        <v/>
      </c>
      <c r="O1597" s="241" t="str">
        <f>IFERROR(__xludf.DUMMYFUNCTION("VLOOKUP(C1597,IMPORTRANGE(""https://docs.google.com/spreadsheets/d/1P8eX0NWBhUPS_hvzA11R6jkTNFrPrRYIx_dX_hYbxrk/edit?resourcekey=0-iw9bsKY2OqkUHCFMkCar3A&amp;gid=2055363397#gid=2055363397"",""MTR!C:O""),9,false)"),"")</f>
        <v/>
      </c>
      <c r="P1597" s="241"/>
      <c r="Q1597" s="241"/>
      <c r="R1597" s="241"/>
      <c r="S1597" s="240" t="s">
        <v>390</v>
      </c>
      <c r="T1597" s="240" t="s">
        <v>390</v>
      </c>
      <c r="U1597" s="240" t="s">
        <v>390</v>
      </c>
      <c r="V1597" s="240" t="s">
        <v>390</v>
      </c>
      <c r="W1597" s="240" t="s">
        <v>390</v>
      </c>
      <c r="X1597" s="240" t="s">
        <v>390</v>
      </c>
      <c r="Y1597" s="240" t="s">
        <v>390</v>
      </c>
      <c r="Z1597" s="240" t="s">
        <v>390</v>
      </c>
      <c r="AA1597" s="240" t="s">
        <v>390</v>
      </c>
      <c r="AB1597" s="240"/>
      <c r="AC1597" s="242" t="b">
        <f t="shared" si="2"/>
        <v>0</v>
      </c>
      <c r="AD1597" s="240" t="s">
        <v>391</v>
      </c>
      <c r="AE1597" s="243" t="b">
        <f t="shared" si="3"/>
        <v>0</v>
      </c>
      <c r="AF1597" s="240"/>
      <c r="AG1597" s="243" t="b">
        <f t="shared" si="7"/>
        <v>0</v>
      </c>
      <c r="AH1597" s="240"/>
      <c r="AI1597" s="243" t="str">
        <f t="shared" si="5"/>
        <v>N/A</v>
      </c>
      <c r="AJ1597" s="157" t="str">
        <f t="shared" si="6"/>
        <v/>
      </c>
    </row>
    <row r="1598" ht="12.75" customHeight="1">
      <c r="A1598" s="238" t="s">
        <v>4158</v>
      </c>
      <c r="B1598" s="238" t="s">
        <v>4161</v>
      </c>
      <c r="C1598" s="238" t="s">
        <v>4164</v>
      </c>
      <c r="D1598" s="238"/>
      <c r="E1598" s="238"/>
      <c r="F1598" s="154" t="str">
        <f t="array" ref="F1598">XLOOKUP(Cover!$D$12,$S$1:$AA$1,$S1598:$AA1598)</f>
        <v>Heading</v>
      </c>
      <c r="G1598" s="239" t="s">
        <v>4165</v>
      </c>
      <c r="H1598" s="240"/>
      <c r="I1598" s="240" t="s">
        <v>632</v>
      </c>
      <c r="J1598" s="262"/>
      <c r="K1598" s="262"/>
      <c r="L1598" s="154" t="str">
        <f t="shared" si="1"/>
        <v/>
      </c>
      <c r="M1598" s="241" t="str">
        <f>IFERROR(__xludf.DUMMYFUNCTION("VLOOKUP(C1598,IMPORTRANGE(""https://docs.google.com/spreadsheets/d/1P8eX0NWBhUPS_hvzA11R6jkTNFrPrRYIx_dX_hYbxrk/edit?resourcekey=0-iw9bsKY2OqkUHCFMkCar3A&amp;gid=2055363397#gid=2055363397"",""MTR!C:O""),11,false)"),"")</f>
        <v/>
      </c>
      <c r="N1598" s="241" t="str">
        <f>IFERROR(__xludf.DUMMYFUNCTION("VLOOKUP(C1598,IMPORTRANGE(""https://docs.google.com/spreadsheets/d/1ihFlp3_ePlYtFuPbUNbYj1muErVpI73WHXbEwJDIA7Q/edit#gid=1493122344"",""MTR!C:O""),8,false)"),"")</f>
        <v/>
      </c>
      <c r="O1598" s="241" t="str">
        <f>IFERROR(__xludf.DUMMYFUNCTION("VLOOKUP(C1598,IMPORTRANGE(""https://docs.google.com/spreadsheets/d/1P8eX0NWBhUPS_hvzA11R6jkTNFrPrRYIx_dX_hYbxrk/edit?resourcekey=0-iw9bsKY2OqkUHCFMkCar3A&amp;gid=2055363397#gid=2055363397"",""MTR!C:O""),9,false)"),"")</f>
        <v/>
      </c>
      <c r="P1598" s="241"/>
      <c r="Q1598" s="241"/>
      <c r="R1598" s="241"/>
      <c r="S1598" s="240" t="s">
        <v>390</v>
      </c>
      <c r="T1598" s="240" t="s">
        <v>390</v>
      </c>
      <c r="U1598" s="240" t="s">
        <v>390</v>
      </c>
      <c r="V1598" s="240" t="s">
        <v>390</v>
      </c>
      <c r="W1598" s="240" t="s">
        <v>390</v>
      </c>
      <c r="X1598" s="240" t="s">
        <v>390</v>
      </c>
      <c r="Y1598" s="240" t="s">
        <v>390</v>
      </c>
      <c r="Z1598" s="240" t="s">
        <v>390</v>
      </c>
      <c r="AA1598" s="240" t="s">
        <v>390</v>
      </c>
      <c r="AB1598" s="240"/>
      <c r="AC1598" s="242" t="b">
        <f t="shared" si="2"/>
        <v>0</v>
      </c>
      <c r="AD1598" s="240" t="s">
        <v>391</v>
      </c>
      <c r="AE1598" s="243" t="b">
        <f t="shared" si="3"/>
        <v>0</v>
      </c>
      <c r="AF1598" s="240"/>
      <c r="AG1598" s="243" t="b">
        <f t="shared" si="7"/>
        <v>0</v>
      </c>
      <c r="AH1598" s="240"/>
      <c r="AI1598" s="243" t="str">
        <f t="shared" si="5"/>
        <v>N/A</v>
      </c>
      <c r="AJ1598" s="157" t="str">
        <f t="shared" si="6"/>
        <v/>
      </c>
    </row>
    <row r="1599" ht="12.75" customHeight="1">
      <c r="A1599" s="244" t="s">
        <v>4158</v>
      </c>
      <c r="B1599" s="244" t="s">
        <v>4161</v>
      </c>
      <c r="C1599" s="244" t="s">
        <v>4166</v>
      </c>
      <c r="D1599" s="154" t="s">
        <v>411</v>
      </c>
      <c r="E1599" s="250"/>
      <c r="F1599" s="154" t="str">
        <f t="array" ref="F1599">XLOOKUP(Cover!$D$12,$S$1:$AA$1,$S1599:$AA1599)</f>
        <v>Mandatory</v>
      </c>
      <c r="G1599" s="154" t="s">
        <v>4167</v>
      </c>
      <c r="H1599" s="154" t="s">
        <v>351</v>
      </c>
      <c r="I1599" s="154" t="s">
        <v>632</v>
      </c>
      <c r="J1599" s="154" t="s">
        <v>445</v>
      </c>
      <c r="K1599" s="154"/>
      <c r="L1599" s="154" t="str">
        <f t="shared" si="1"/>
        <v/>
      </c>
      <c r="M1599" s="248" t="str">
        <f>IFERROR(__xludf.DUMMYFUNCTION("VLOOKUP(C1599,IMPORTRANGE(""https://docs.google.com/spreadsheets/d/1P8eX0NWBhUPS_hvzA11R6jkTNFrPrRYIx_dX_hYbxrk/edit?resourcekey=0-iw9bsKY2OqkUHCFMkCar3A&amp;gid=2055363397#gid=2055363397"",""MTR!C:O""),11,false)"),"pixel-carrier-triage")</f>
        <v>pixel-carrier-triage</v>
      </c>
      <c r="N1599" s="248" t="str">
        <f>IFERROR(__xludf.DUMMYFUNCTION("VLOOKUP(C1599,IMPORTRANGE(""https://docs.google.com/spreadsheets/d/1ihFlp3_ePlYtFuPbUNbYj1muErVpI73WHXbEwJDIA7Q/edit#gid=1493122344"",""MTR!C:O""),8,false)"),"Complies")</f>
        <v>Complies</v>
      </c>
      <c r="O1599" s="241" t="str">
        <f>IFERROR(__xludf.DUMMYFUNCTION("VLOOKUP(C1599,IMPORTRANGE(""https://docs.google.com/spreadsheets/d/1P8eX0NWBhUPS_hvzA11R6jkTNFrPrRYIx_dX_hYbxrk/edit?resourcekey=0-iw9bsKY2OqkUHCFMkCar3A&amp;gid=2055363397#gid=2055363397"",""MTR!C:O""),9,false)"),"")</f>
        <v/>
      </c>
      <c r="P1599" s="241"/>
      <c r="Q1599" s="251" t="s">
        <v>445</v>
      </c>
      <c r="R1599" s="241"/>
      <c r="S1599" s="154" t="s">
        <v>64</v>
      </c>
      <c r="T1599" s="154" t="s">
        <v>60</v>
      </c>
      <c r="U1599" s="154" t="s">
        <v>60</v>
      </c>
      <c r="V1599" s="154" t="s">
        <v>60</v>
      </c>
      <c r="W1599" s="154" t="s">
        <v>60</v>
      </c>
      <c r="X1599" s="154" t="s">
        <v>60</v>
      </c>
      <c r="Y1599" s="154" t="s">
        <v>64</v>
      </c>
      <c r="Z1599" s="154" t="s">
        <v>64</v>
      </c>
      <c r="AA1599" s="154" t="s">
        <v>64</v>
      </c>
      <c r="AB1599" s="154"/>
      <c r="AC1599" s="242" t="b">
        <f t="shared" si="2"/>
        <v>1</v>
      </c>
      <c r="AD1599" s="154" t="s">
        <v>391</v>
      </c>
      <c r="AE1599" s="243" t="b">
        <f t="shared" si="3"/>
        <v>0</v>
      </c>
      <c r="AF1599" s="154"/>
      <c r="AG1599" s="243" t="b">
        <f t="shared" si="7"/>
        <v>0</v>
      </c>
      <c r="AH1599" s="154"/>
      <c r="AI1599" s="243" t="str">
        <f t="shared" si="5"/>
        <v>N/A</v>
      </c>
      <c r="AJ1599" s="157" t="str">
        <f t="shared" si="6"/>
        <v/>
      </c>
    </row>
    <row r="1600" ht="12.75" customHeight="1">
      <c r="A1600" s="244" t="s">
        <v>4158</v>
      </c>
      <c r="B1600" s="244" t="s">
        <v>4161</v>
      </c>
      <c r="C1600" s="244" t="s">
        <v>4168</v>
      </c>
      <c r="D1600" s="154" t="s">
        <v>1282</v>
      </c>
      <c r="E1600" s="250"/>
      <c r="F1600" s="154" t="str">
        <f t="array" ref="F1600">XLOOKUP(Cover!$D$12,$S$1:$AA$1,$S1600:$AA1600)</f>
        <v>Mandatory</v>
      </c>
      <c r="G1600" s="154" t="s">
        <v>4169</v>
      </c>
      <c r="H1600" s="154" t="s">
        <v>144</v>
      </c>
      <c r="I1600" s="154" t="s">
        <v>389</v>
      </c>
      <c r="J1600" s="247" t="s">
        <v>445</v>
      </c>
      <c r="K1600" s="154"/>
      <c r="L1600" s="154" t="str">
        <f t="shared" si="1"/>
        <v/>
      </c>
      <c r="M1600" s="248" t="str">
        <f>IFERROR(__xludf.DUMMYFUNCTION("VLOOKUP(C1600,IMPORTRANGE(""https://docs.google.com/spreadsheets/d/1P8eX0NWBhUPS_hvzA11R6jkTNFrPrRYIx_dX_hYbxrk/edit?resourcekey=0-iw9bsKY2OqkUHCFMkCar3A&amp;gid=2055363397#gid=2055363397"",""MTR!C:O""),11,false)"),"PMW-MCE-NAS")</f>
        <v>PMW-MCE-NAS</v>
      </c>
      <c r="N1600" s="248" t="str">
        <f>IFERROR(__xludf.DUMMYFUNCTION("VLOOKUP(C1600,IMPORTRANGE(""https://docs.google.com/spreadsheets/d/1ihFlp3_ePlYtFuPbUNbYj1muErVpI73WHXbEwJDIA7Q/edit#gid=1493122344"",""MTR!C:O""),8,false)"),"Complies")</f>
        <v>Complies</v>
      </c>
      <c r="O1600" s="241" t="str">
        <f>IFERROR(__xludf.DUMMYFUNCTION("VLOOKUP(C1600,IMPORTRANGE(""https://docs.google.com/spreadsheets/d/1P8eX0NWBhUPS_hvzA11R6jkTNFrPrRYIx_dX_hYbxrk/edit?resourcekey=0-iw9bsKY2OqkUHCFMkCar3A&amp;gid=2055363397#gid=2055363397"",""MTR!C:O""),9,false)"),"")</f>
        <v/>
      </c>
      <c r="P1600" s="241"/>
      <c r="Q1600" s="251" t="s">
        <v>445</v>
      </c>
      <c r="R1600" s="241"/>
      <c r="S1600" s="154" t="s">
        <v>60</v>
      </c>
      <c r="T1600" s="154" t="s">
        <v>60</v>
      </c>
      <c r="U1600" s="154" t="s">
        <v>60</v>
      </c>
      <c r="V1600" s="154" t="s">
        <v>60</v>
      </c>
      <c r="W1600" s="154" t="s">
        <v>60</v>
      </c>
      <c r="X1600" s="154" t="s">
        <v>60</v>
      </c>
      <c r="Y1600" s="154" t="s">
        <v>60</v>
      </c>
      <c r="Z1600" s="154" t="s">
        <v>60</v>
      </c>
      <c r="AA1600" s="154" t="s">
        <v>60</v>
      </c>
      <c r="AB1600" s="154"/>
      <c r="AC1600" s="242" t="b">
        <f t="shared" si="2"/>
        <v>1</v>
      </c>
      <c r="AD1600" s="154" t="s">
        <v>391</v>
      </c>
      <c r="AE1600" s="243" t="b">
        <f t="shared" si="3"/>
        <v>0</v>
      </c>
      <c r="AF1600" s="154"/>
      <c r="AG1600" s="243" t="b">
        <f t="shared" si="7"/>
        <v>0</v>
      </c>
      <c r="AH1600" s="154" t="s">
        <v>637</v>
      </c>
      <c r="AI1600" s="243" t="str">
        <f t="shared" si="5"/>
        <v>Complies</v>
      </c>
      <c r="AJ1600" s="157" t="str">
        <f t="shared" si="6"/>
        <v/>
      </c>
    </row>
    <row r="1601" ht="12.75" customHeight="1">
      <c r="A1601" s="238" t="s">
        <v>4158</v>
      </c>
      <c r="B1601" s="238" t="s">
        <v>4161</v>
      </c>
      <c r="C1601" s="238" t="s">
        <v>4170</v>
      </c>
      <c r="D1601" s="238"/>
      <c r="E1601" s="238"/>
      <c r="F1601" s="154" t="str">
        <f t="array" ref="F1601">XLOOKUP(Cover!$D$12,$S$1:$AA$1,$S1601:$AA1601)</f>
        <v>Heading</v>
      </c>
      <c r="G1601" s="239" t="s">
        <v>4171</v>
      </c>
      <c r="H1601" s="240"/>
      <c r="I1601" s="240" t="s">
        <v>632</v>
      </c>
      <c r="J1601" s="262"/>
      <c r="K1601" s="262"/>
      <c r="L1601" s="154" t="str">
        <f t="shared" si="1"/>
        <v/>
      </c>
      <c r="M1601" s="241" t="str">
        <f>IFERROR(__xludf.DUMMYFUNCTION("VLOOKUP(C1601,IMPORTRANGE(""https://docs.google.com/spreadsheets/d/1P8eX0NWBhUPS_hvzA11R6jkTNFrPrRYIx_dX_hYbxrk/edit?resourcekey=0-iw9bsKY2OqkUHCFMkCar3A&amp;gid=2055363397#gid=2055363397"",""MTR!C:O""),11,false)"),"")</f>
        <v/>
      </c>
      <c r="N1601" s="241" t="str">
        <f>IFERROR(__xludf.DUMMYFUNCTION("VLOOKUP(C1601,IMPORTRANGE(""https://docs.google.com/spreadsheets/d/1ihFlp3_ePlYtFuPbUNbYj1muErVpI73WHXbEwJDIA7Q/edit#gid=1493122344"",""MTR!C:O""),8,false)"),"")</f>
        <v/>
      </c>
      <c r="O1601" s="241" t="str">
        <f>IFERROR(__xludf.DUMMYFUNCTION("VLOOKUP(C1601,IMPORTRANGE(""https://docs.google.com/spreadsheets/d/1P8eX0NWBhUPS_hvzA11R6jkTNFrPrRYIx_dX_hYbxrk/edit?resourcekey=0-iw9bsKY2OqkUHCFMkCar3A&amp;gid=2055363397#gid=2055363397"",""MTR!C:O""),9,false)"),"")</f>
        <v/>
      </c>
      <c r="P1601" s="241"/>
      <c r="Q1601" s="251"/>
      <c r="R1601" s="241"/>
      <c r="S1601" s="240" t="s">
        <v>390</v>
      </c>
      <c r="T1601" s="240" t="s">
        <v>390</v>
      </c>
      <c r="U1601" s="240" t="s">
        <v>390</v>
      </c>
      <c r="V1601" s="240" t="s">
        <v>390</v>
      </c>
      <c r="W1601" s="240" t="s">
        <v>390</v>
      </c>
      <c r="X1601" s="240" t="s">
        <v>390</v>
      </c>
      <c r="Y1601" s="240" t="s">
        <v>390</v>
      </c>
      <c r="Z1601" s="240" t="s">
        <v>390</v>
      </c>
      <c r="AA1601" s="240" t="s">
        <v>390</v>
      </c>
      <c r="AB1601" s="240"/>
      <c r="AC1601" s="242" t="b">
        <f t="shared" si="2"/>
        <v>0</v>
      </c>
      <c r="AD1601" s="240" t="s">
        <v>391</v>
      </c>
      <c r="AE1601" s="243" t="b">
        <f t="shared" si="3"/>
        <v>0</v>
      </c>
      <c r="AF1601" s="240"/>
      <c r="AG1601" s="243" t="b">
        <f t="shared" si="7"/>
        <v>0</v>
      </c>
      <c r="AH1601" s="240"/>
      <c r="AI1601" s="243" t="str">
        <f t="shared" si="5"/>
        <v>N/A</v>
      </c>
      <c r="AJ1601" s="157" t="str">
        <f t="shared" si="6"/>
        <v/>
      </c>
    </row>
    <row r="1602" ht="12.75" customHeight="1">
      <c r="A1602" s="238" t="s">
        <v>4158</v>
      </c>
      <c r="B1602" s="238" t="s">
        <v>4161</v>
      </c>
      <c r="C1602" s="238" t="s">
        <v>4172</v>
      </c>
      <c r="D1602" s="238"/>
      <c r="E1602" s="238"/>
      <c r="F1602" s="154" t="str">
        <f t="array" ref="F1602">XLOOKUP(Cover!$D$12,$S$1:$AA$1,$S1602:$AA1602)</f>
        <v>Heading</v>
      </c>
      <c r="G1602" s="239" t="s">
        <v>4173</v>
      </c>
      <c r="H1602" s="240"/>
      <c r="I1602" s="240" t="s">
        <v>632</v>
      </c>
      <c r="J1602" s="262"/>
      <c r="K1602" s="262"/>
      <c r="L1602" s="154" t="str">
        <f t="shared" si="1"/>
        <v/>
      </c>
      <c r="M1602" s="241" t="str">
        <f>IFERROR(__xludf.DUMMYFUNCTION("VLOOKUP(C1602,IMPORTRANGE(""https://docs.google.com/spreadsheets/d/1P8eX0NWBhUPS_hvzA11R6jkTNFrPrRYIx_dX_hYbxrk/edit?resourcekey=0-iw9bsKY2OqkUHCFMkCar3A&amp;gid=2055363397#gid=2055363397"",""MTR!C:O""),11,false)"),"")</f>
        <v/>
      </c>
      <c r="N1602" s="241" t="str">
        <f>IFERROR(__xludf.DUMMYFUNCTION("VLOOKUP(C1602,IMPORTRANGE(""https://docs.google.com/spreadsheets/d/1ihFlp3_ePlYtFuPbUNbYj1muErVpI73WHXbEwJDIA7Q/edit#gid=1493122344"",""MTR!C:O""),8,false)"),"")</f>
        <v/>
      </c>
      <c r="O1602" s="241" t="str">
        <f>IFERROR(__xludf.DUMMYFUNCTION("VLOOKUP(C1602,IMPORTRANGE(""https://docs.google.com/spreadsheets/d/1P8eX0NWBhUPS_hvzA11R6jkTNFrPrRYIx_dX_hYbxrk/edit?resourcekey=0-iw9bsKY2OqkUHCFMkCar3A&amp;gid=2055363397#gid=2055363397"",""MTR!C:O""),9,false)"),"")</f>
        <v/>
      </c>
      <c r="P1602" s="241"/>
      <c r="Q1602" s="241"/>
      <c r="R1602" s="241"/>
      <c r="S1602" s="240" t="s">
        <v>390</v>
      </c>
      <c r="T1602" s="240" t="s">
        <v>390</v>
      </c>
      <c r="U1602" s="240" t="s">
        <v>390</v>
      </c>
      <c r="V1602" s="240" t="s">
        <v>390</v>
      </c>
      <c r="W1602" s="240" t="s">
        <v>390</v>
      </c>
      <c r="X1602" s="240" t="s">
        <v>390</v>
      </c>
      <c r="Y1602" s="240" t="s">
        <v>390</v>
      </c>
      <c r="Z1602" s="240" t="s">
        <v>390</v>
      </c>
      <c r="AA1602" s="240" t="s">
        <v>390</v>
      </c>
      <c r="AB1602" s="240"/>
      <c r="AC1602" s="242" t="b">
        <f t="shared" si="2"/>
        <v>0</v>
      </c>
      <c r="AD1602" s="240" t="s">
        <v>391</v>
      </c>
      <c r="AE1602" s="243" t="b">
        <f t="shared" si="3"/>
        <v>0</v>
      </c>
      <c r="AF1602" s="240"/>
      <c r="AG1602" s="243" t="b">
        <f t="shared" si="7"/>
        <v>0</v>
      </c>
      <c r="AH1602" s="240"/>
      <c r="AI1602" s="243" t="str">
        <f t="shared" si="5"/>
        <v>N/A</v>
      </c>
      <c r="AJ1602" s="157" t="str">
        <f t="shared" si="6"/>
        <v/>
      </c>
    </row>
    <row r="1603" ht="12.75" customHeight="1">
      <c r="A1603" s="244" t="s">
        <v>4158</v>
      </c>
      <c r="B1603" s="244" t="s">
        <v>4161</v>
      </c>
      <c r="C1603" s="245" t="s">
        <v>4174</v>
      </c>
      <c r="D1603" s="155" t="s">
        <v>861</v>
      </c>
      <c r="E1603" s="246" t="s">
        <v>92</v>
      </c>
      <c r="F1603" s="154" t="str">
        <f t="array" ref="F1603">XLOOKUP(Cover!$D$12,$S$1:$AA$1,$S1603:$AA1603)</f>
        <v>Mandatory</v>
      </c>
      <c r="G1603" s="154" t="s">
        <v>4175</v>
      </c>
      <c r="H1603" s="154" t="s">
        <v>345</v>
      </c>
      <c r="I1603" s="154" t="s">
        <v>632</v>
      </c>
      <c r="J1603" s="154" t="s">
        <v>445</v>
      </c>
      <c r="K1603" s="154"/>
      <c r="L1603" s="154" t="str">
        <f t="shared" si="1"/>
        <v/>
      </c>
      <c r="M1603" s="248" t="str">
        <f>IFERROR(__xludf.DUMMYFUNCTION("VLOOKUP(C1603,IMPORTRANGE(""https://docs.google.com/spreadsheets/d/1P8eX0NWBhUPS_hvzA11R6jkTNFrPrRYIx_dX_hYbxrk/edit?resourcekey=0-iw9bsKY2OqkUHCFMkCar3A&amp;gid=2055363397#gid=2055363397"",""MTR!C:O""),11,false)"),"PMW-MCE-NAS")</f>
        <v>PMW-MCE-NAS</v>
      </c>
      <c r="N1603" s="248" t="str">
        <f>IFERROR(__xludf.DUMMYFUNCTION("VLOOKUP(C1603,IMPORTRANGE(""https://docs.google.com/spreadsheets/d/1ihFlp3_ePlYtFuPbUNbYj1muErVpI73WHXbEwJDIA7Q/edit#gid=1493122344"",""MTR!C:O""),8,false)"),"Complies")</f>
        <v>Complies</v>
      </c>
      <c r="O1603" s="241" t="str">
        <f>IFERROR(__xludf.DUMMYFUNCTION("VLOOKUP(C1603,IMPORTRANGE(""https://docs.google.com/spreadsheets/d/1P8eX0NWBhUPS_hvzA11R6jkTNFrPrRYIx_dX_hYbxrk/edit?resourcekey=0-iw9bsKY2OqkUHCFMkCar3A&amp;gid=2055363397#gid=2055363397"",""MTR!C:O""),9,false)"),"")</f>
        <v/>
      </c>
      <c r="P1603" s="241"/>
      <c r="Q1603" s="251" t="s">
        <v>445</v>
      </c>
      <c r="R1603" s="241"/>
      <c r="S1603" s="154" t="s">
        <v>60</v>
      </c>
      <c r="T1603" s="154" t="s">
        <v>60</v>
      </c>
      <c r="U1603" s="154" t="s">
        <v>60</v>
      </c>
      <c r="V1603" s="154" t="s">
        <v>60</v>
      </c>
      <c r="W1603" s="154" t="s">
        <v>60</v>
      </c>
      <c r="X1603" s="154" t="s">
        <v>60</v>
      </c>
      <c r="Y1603" s="154" t="s">
        <v>64</v>
      </c>
      <c r="Z1603" s="154" t="s">
        <v>64</v>
      </c>
      <c r="AA1603" s="154" t="s">
        <v>64</v>
      </c>
      <c r="AB1603" s="154"/>
      <c r="AC1603" s="242" t="b">
        <f t="shared" si="2"/>
        <v>1</v>
      </c>
      <c r="AD1603" s="154" t="s">
        <v>391</v>
      </c>
      <c r="AE1603" s="243" t="b">
        <f t="shared" si="3"/>
        <v>0</v>
      </c>
      <c r="AF1603" s="154"/>
      <c r="AG1603" s="243" t="b">
        <f t="shared" si="7"/>
        <v>0</v>
      </c>
      <c r="AH1603" s="154"/>
      <c r="AI1603" s="243" t="str">
        <f t="shared" si="5"/>
        <v>N/A</v>
      </c>
      <c r="AJ1603" s="157" t="str">
        <f t="shared" si="6"/>
        <v/>
      </c>
    </row>
    <row r="1604" ht="12.75" customHeight="1">
      <c r="A1604" s="244" t="s">
        <v>4158</v>
      </c>
      <c r="B1604" s="244" t="s">
        <v>4161</v>
      </c>
      <c r="C1604" s="244" t="s">
        <v>4176</v>
      </c>
      <c r="D1604" s="154" t="s">
        <v>1211</v>
      </c>
      <c r="E1604" s="250"/>
      <c r="F1604" s="154" t="str">
        <f t="array" ref="F1604">XLOOKUP(Cover!$D$12,$S$1:$AA$1,$S1604:$AA1604)</f>
        <v>Mandatory</v>
      </c>
      <c r="G1604" s="154" t="s">
        <v>4177</v>
      </c>
      <c r="H1604" s="154" t="s">
        <v>3947</v>
      </c>
      <c r="I1604" s="154" t="s">
        <v>632</v>
      </c>
      <c r="J1604" s="247" t="s">
        <v>445</v>
      </c>
      <c r="K1604" s="154"/>
      <c r="L1604" s="154" t="str">
        <f t="shared" si="1"/>
        <v/>
      </c>
      <c r="M1604" s="248" t="str">
        <f>IFERROR(__xludf.DUMMYFUNCTION("VLOOKUP(C1604,IMPORTRANGE(""https://docs.google.com/spreadsheets/d/1P8eX0NWBhUPS_hvzA11R6jkTNFrPrRYIx_dX_hYbxrk/edit?resourcekey=0-iw9bsKY2OqkUHCFMkCar3A&amp;gid=2055363397#gid=2055363397"",""MTR!C:O""),11,false)"),"PMW-IMS")</f>
        <v>PMW-IMS</v>
      </c>
      <c r="N1604" s="248" t="str">
        <f>IFERROR(__xludf.DUMMYFUNCTION("VLOOKUP(C1604,IMPORTRANGE(""https://docs.google.com/spreadsheets/d/1ihFlp3_ePlYtFuPbUNbYj1muErVpI73WHXbEwJDIA7Q/edit#gid=1493122344"",""MTR!C:O""),8,false)"),"Complies")</f>
        <v>Complies</v>
      </c>
      <c r="O1604" s="241" t="str">
        <f>IFERROR(__xludf.DUMMYFUNCTION("VLOOKUP(C1604,IMPORTRANGE(""https://docs.google.com/spreadsheets/d/1P8eX0NWBhUPS_hvzA11R6jkTNFrPrRYIx_dX_hYbxrk/edit?resourcekey=0-iw9bsKY2OqkUHCFMkCar3A&amp;gid=2055363397#gid=2055363397"",""MTR!C:O""),9,false)"),"")</f>
        <v/>
      </c>
      <c r="P1604" s="241"/>
      <c r="Q1604" s="251" t="s">
        <v>445</v>
      </c>
      <c r="R1604" s="241"/>
      <c r="S1604" s="154" t="s">
        <v>60</v>
      </c>
      <c r="T1604" s="154" t="s">
        <v>60</v>
      </c>
      <c r="U1604" s="154" t="s">
        <v>60</v>
      </c>
      <c r="V1604" s="154" t="s">
        <v>60</v>
      </c>
      <c r="W1604" s="154" t="s">
        <v>60</v>
      </c>
      <c r="X1604" s="154" t="s">
        <v>60</v>
      </c>
      <c r="Y1604" s="154" t="s">
        <v>64</v>
      </c>
      <c r="Z1604" s="154" t="s">
        <v>64</v>
      </c>
      <c r="AA1604" s="154" t="s">
        <v>64</v>
      </c>
      <c r="AB1604" s="154"/>
      <c r="AC1604" s="242" t="b">
        <f t="shared" si="2"/>
        <v>1</v>
      </c>
      <c r="AD1604" s="154" t="s">
        <v>391</v>
      </c>
      <c r="AE1604" s="243" t="b">
        <f t="shared" si="3"/>
        <v>0</v>
      </c>
      <c r="AF1604" s="154"/>
      <c r="AG1604" s="243" t="b">
        <f t="shared" si="7"/>
        <v>0</v>
      </c>
      <c r="AH1604" s="154"/>
      <c r="AI1604" s="243" t="str">
        <f t="shared" si="5"/>
        <v>N/A</v>
      </c>
      <c r="AJ1604" s="157" t="str">
        <f t="shared" si="6"/>
        <v/>
      </c>
    </row>
    <row r="1605" ht="12.75" customHeight="1">
      <c r="A1605" s="238" t="s">
        <v>4158</v>
      </c>
      <c r="B1605" s="238" t="s">
        <v>4161</v>
      </c>
      <c r="C1605" s="238" t="s">
        <v>4178</v>
      </c>
      <c r="D1605" s="238"/>
      <c r="E1605" s="238"/>
      <c r="F1605" s="154" t="str">
        <f t="array" ref="F1605">XLOOKUP(Cover!$D$12,$S$1:$AA$1,$S1605:$AA1605)</f>
        <v>Heading</v>
      </c>
      <c r="G1605" s="239" t="s">
        <v>4179</v>
      </c>
      <c r="H1605" s="240"/>
      <c r="I1605" s="240" t="s">
        <v>632</v>
      </c>
      <c r="J1605" s="262"/>
      <c r="K1605" s="240"/>
      <c r="L1605" s="154" t="str">
        <f t="shared" si="1"/>
        <v/>
      </c>
      <c r="M1605" s="241" t="str">
        <f>IFERROR(__xludf.DUMMYFUNCTION("VLOOKUP(C1605,IMPORTRANGE(""https://docs.google.com/spreadsheets/d/1P8eX0NWBhUPS_hvzA11R6jkTNFrPrRYIx_dX_hYbxrk/edit?resourcekey=0-iw9bsKY2OqkUHCFMkCar3A&amp;gid=2055363397#gid=2055363397"",""MTR!C:O""),11,false)"),"")</f>
        <v/>
      </c>
      <c r="N1605" s="241" t="str">
        <f>IFERROR(__xludf.DUMMYFUNCTION("VLOOKUP(C1605,IMPORTRANGE(""https://docs.google.com/spreadsheets/d/1ihFlp3_ePlYtFuPbUNbYj1muErVpI73WHXbEwJDIA7Q/edit#gid=1493122344"",""MTR!C:O""),8,false)"),"")</f>
        <v/>
      </c>
      <c r="O1605" s="241" t="str">
        <f>IFERROR(__xludf.DUMMYFUNCTION("VLOOKUP(C1605,IMPORTRANGE(""https://docs.google.com/spreadsheets/d/1P8eX0NWBhUPS_hvzA11R6jkTNFrPrRYIx_dX_hYbxrk/edit?resourcekey=0-iw9bsKY2OqkUHCFMkCar3A&amp;gid=2055363397#gid=2055363397"",""MTR!C:O""),9,false)"),"")</f>
        <v/>
      </c>
      <c r="P1605" s="241"/>
      <c r="Q1605" s="251"/>
      <c r="R1605" s="241"/>
      <c r="S1605" s="240" t="s">
        <v>390</v>
      </c>
      <c r="T1605" s="240" t="s">
        <v>390</v>
      </c>
      <c r="U1605" s="240" t="s">
        <v>390</v>
      </c>
      <c r="V1605" s="240" t="s">
        <v>390</v>
      </c>
      <c r="W1605" s="240" t="s">
        <v>390</v>
      </c>
      <c r="X1605" s="240" t="s">
        <v>390</v>
      </c>
      <c r="Y1605" s="240" t="s">
        <v>390</v>
      </c>
      <c r="Z1605" s="240" t="s">
        <v>390</v>
      </c>
      <c r="AA1605" s="240" t="s">
        <v>390</v>
      </c>
      <c r="AB1605" s="240"/>
      <c r="AC1605" s="242" t="b">
        <f t="shared" si="2"/>
        <v>0</v>
      </c>
      <c r="AD1605" s="240" t="s">
        <v>391</v>
      </c>
      <c r="AE1605" s="243" t="b">
        <f t="shared" si="3"/>
        <v>0</v>
      </c>
      <c r="AF1605" s="240"/>
      <c r="AG1605" s="243" t="b">
        <f t="shared" si="7"/>
        <v>0</v>
      </c>
      <c r="AH1605" s="240"/>
      <c r="AI1605" s="243" t="str">
        <f t="shared" si="5"/>
        <v>N/A</v>
      </c>
      <c r="AJ1605" s="157" t="str">
        <f t="shared" si="6"/>
        <v/>
      </c>
    </row>
    <row r="1606" ht="12.75" customHeight="1">
      <c r="A1606" s="244" t="s">
        <v>4158</v>
      </c>
      <c r="B1606" s="244" t="s">
        <v>4161</v>
      </c>
      <c r="C1606" s="244" t="s">
        <v>4180</v>
      </c>
      <c r="D1606" s="154" t="s">
        <v>1282</v>
      </c>
      <c r="E1606" s="250"/>
      <c r="F1606" s="154" t="str">
        <f t="array" ref="F1606">XLOOKUP(Cover!$D$12,$S$1:$AA$1,$S1606:$AA1606)</f>
        <v>Mandatory</v>
      </c>
      <c r="G1606" s="154" t="s">
        <v>4181</v>
      </c>
      <c r="H1606" s="154" t="s">
        <v>345</v>
      </c>
      <c r="I1606" s="154" t="s">
        <v>632</v>
      </c>
      <c r="J1606" s="154" t="s">
        <v>445</v>
      </c>
      <c r="K1606" s="154"/>
      <c r="L1606" s="154" t="str">
        <f t="shared" si="1"/>
        <v/>
      </c>
      <c r="M1606" s="248" t="str">
        <f>IFERROR(__xludf.DUMMYFUNCTION("VLOOKUP(C1606,IMPORTRANGE(""https://docs.google.com/spreadsheets/d/1P8eX0NWBhUPS_hvzA11R6jkTNFrPrRYIx_dX_hYbxrk/edit?resourcekey=0-iw9bsKY2OqkUHCFMkCar3A&amp;gid=2055363397#gid=2055363397"",""MTR!C:O""),11,false)"),"PMW-MCE-NAS")</f>
        <v>PMW-MCE-NAS</v>
      </c>
      <c r="N1606" s="248" t="str">
        <f>IFERROR(__xludf.DUMMYFUNCTION("VLOOKUP(C1606,IMPORTRANGE(""https://docs.google.com/spreadsheets/d/1ihFlp3_ePlYtFuPbUNbYj1muErVpI73WHXbEwJDIA7Q/edit#gid=1493122344"",""MTR!C:O""),8,false)"),"Complies")</f>
        <v>Complies</v>
      </c>
      <c r="O1606" s="241" t="str">
        <f>IFERROR(__xludf.DUMMYFUNCTION("VLOOKUP(C1606,IMPORTRANGE(""https://docs.google.com/spreadsheets/d/1P8eX0NWBhUPS_hvzA11R6jkTNFrPrRYIx_dX_hYbxrk/edit?resourcekey=0-iw9bsKY2OqkUHCFMkCar3A&amp;gid=2055363397#gid=2055363397"",""MTR!C:O""),9,false)"),"")</f>
        <v/>
      </c>
      <c r="P1606" s="241"/>
      <c r="Q1606" s="251" t="s">
        <v>445</v>
      </c>
      <c r="R1606" s="241"/>
      <c r="S1606" s="154" t="s">
        <v>60</v>
      </c>
      <c r="T1606" s="154" t="s">
        <v>60</v>
      </c>
      <c r="U1606" s="154" t="s">
        <v>60</v>
      </c>
      <c r="V1606" s="154" t="s">
        <v>60</v>
      </c>
      <c r="W1606" s="154" t="s">
        <v>60</v>
      </c>
      <c r="X1606" s="154" t="s">
        <v>60</v>
      </c>
      <c r="Y1606" s="154" t="s">
        <v>64</v>
      </c>
      <c r="Z1606" s="154" t="s">
        <v>64</v>
      </c>
      <c r="AA1606" s="154" t="s">
        <v>64</v>
      </c>
      <c r="AB1606" s="154"/>
      <c r="AC1606" s="242" t="b">
        <f t="shared" si="2"/>
        <v>1</v>
      </c>
      <c r="AD1606" s="154" t="s">
        <v>391</v>
      </c>
      <c r="AE1606" s="243" t="b">
        <f t="shared" si="3"/>
        <v>0</v>
      </c>
      <c r="AF1606" s="154"/>
      <c r="AG1606" s="243" t="b">
        <f t="shared" si="7"/>
        <v>0</v>
      </c>
      <c r="AH1606" s="154"/>
      <c r="AI1606" s="243" t="str">
        <f t="shared" si="5"/>
        <v>N/A</v>
      </c>
      <c r="AJ1606" s="157" t="str">
        <f t="shared" si="6"/>
        <v/>
      </c>
    </row>
    <row r="1607" ht="12.75" customHeight="1">
      <c r="A1607" s="244" t="s">
        <v>4158</v>
      </c>
      <c r="B1607" s="244" t="s">
        <v>4161</v>
      </c>
      <c r="C1607" s="244" t="s">
        <v>4182</v>
      </c>
      <c r="D1607" s="154" t="s">
        <v>477</v>
      </c>
      <c r="E1607" s="250"/>
      <c r="F1607" s="154" t="str">
        <f t="array" ref="F1607">XLOOKUP(Cover!$D$12,$S$1:$AA$1,$S1607:$AA1607)</f>
        <v>Recommended</v>
      </c>
      <c r="G1607" s="154" t="s">
        <v>4183</v>
      </c>
      <c r="H1607" s="154"/>
      <c r="I1607" s="154" t="s">
        <v>632</v>
      </c>
      <c r="J1607" s="247" t="s">
        <v>445</v>
      </c>
      <c r="K1607" s="154"/>
      <c r="L1607" s="154" t="str">
        <f t="shared" si="1"/>
        <v/>
      </c>
      <c r="M1607" s="248" t="str">
        <f>IFERROR(__xludf.DUMMYFUNCTION("VLOOKUP(C1607,IMPORTRANGE(""https://docs.google.com/spreadsheets/d/1P8eX0NWBhUPS_hvzA11R6jkTNFrPrRYIx_dX_hYbxrk/edit?resourcekey=0-iw9bsKY2OqkUHCFMkCar3A&amp;gid=2055363397#gid=2055363397"",""MTR!C:O""),11,false)"),"PMW-MCE-NAS")</f>
        <v>PMW-MCE-NAS</v>
      </c>
      <c r="N1607" s="248" t="str">
        <f>IFERROR(__xludf.DUMMYFUNCTION("VLOOKUP(C1607,IMPORTRANGE(""https://docs.google.com/spreadsheets/d/1ihFlp3_ePlYtFuPbUNbYj1muErVpI73WHXbEwJDIA7Q/edit#gid=1493122344"",""MTR!C:O""),8,false)"),"Complies")</f>
        <v>Complies</v>
      </c>
      <c r="O1607" s="241" t="str">
        <f>IFERROR(__xludf.DUMMYFUNCTION("VLOOKUP(C1607,IMPORTRANGE(""https://docs.google.com/spreadsheets/d/1P8eX0NWBhUPS_hvzA11R6jkTNFrPrRYIx_dX_hYbxrk/edit?resourcekey=0-iw9bsKY2OqkUHCFMkCar3A&amp;gid=2055363397#gid=2055363397"",""MTR!C:O""),9,false)"),"")</f>
        <v/>
      </c>
      <c r="P1607" s="241"/>
      <c r="Q1607" s="251" t="s">
        <v>445</v>
      </c>
      <c r="R1607" s="241"/>
      <c r="S1607" s="154" t="s">
        <v>64</v>
      </c>
      <c r="T1607" s="154" t="s">
        <v>64</v>
      </c>
      <c r="U1607" s="154" t="s">
        <v>64</v>
      </c>
      <c r="V1607" s="154" t="s">
        <v>64</v>
      </c>
      <c r="W1607" s="154" t="s">
        <v>64</v>
      </c>
      <c r="X1607" s="154" t="s">
        <v>64</v>
      </c>
      <c r="Y1607" s="154" t="s">
        <v>64</v>
      </c>
      <c r="Z1607" s="154" t="s">
        <v>64</v>
      </c>
      <c r="AA1607" s="154" t="s">
        <v>64</v>
      </c>
      <c r="AB1607" s="154"/>
      <c r="AC1607" s="242" t="b">
        <f t="shared" si="2"/>
        <v>1</v>
      </c>
      <c r="AD1607" s="154" t="s">
        <v>391</v>
      </c>
      <c r="AE1607" s="243" t="b">
        <f t="shared" si="3"/>
        <v>0</v>
      </c>
      <c r="AF1607" s="154"/>
      <c r="AG1607" s="243" t="b">
        <f t="shared" si="7"/>
        <v>0</v>
      </c>
      <c r="AH1607" s="154"/>
      <c r="AI1607" s="243" t="str">
        <f t="shared" si="5"/>
        <v>N/A</v>
      </c>
      <c r="AJ1607" s="157" t="str">
        <f t="shared" si="6"/>
        <v/>
      </c>
    </row>
    <row r="1608" ht="12.75" customHeight="1">
      <c r="A1608" s="244" t="s">
        <v>4158</v>
      </c>
      <c r="B1608" s="244" t="s">
        <v>4161</v>
      </c>
      <c r="C1608" s="244" t="s">
        <v>4184</v>
      </c>
      <c r="D1608" s="154" t="s">
        <v>1211</v>
      </c>
      <c r="E1608" s="250"/>
      <c r="F1608" s="154" t="str">
        <f t="array" ref="F1608">XLOOKUP(Cover!$D$12,$S$1:$AA$1,$S1608:$AA1608)</f>
        <v>Mandatory</v>
      </c>
      <c r="G1608" s="154" t="s">
        <v>4185</v>
      </c>
      <c r="H1608" s="154" t="s">
        <v>4186</v>
      </c>
      <c r="I1608" s="154" t="s">
        <v>632</v>
      </c>
      <c r="J1608" s="247" t="s">
        <v>445</v>
      </c>
      <c r="K1608" s="154"/>
      <c r="L1608" s="154" t="str">
        <f t="shared" si="1"/>
        <v/>
      </c>
      <c r="M1608" s="248" t="str">
        <f>IFERROR(__xludf.DUMMYFUNCTION("VLOOKUP(C1608,IMPORTRANGE(""https://docs.google.com/spreadsheets/d/1P8eX0NWBhUPS_hvzA11R6jkTNFrPrRYIx_dX_hYbxrk/edit?resourcekey=0-iw9bsKY2OqkUHCFMkCar3A&amp;gid=2055363397#gid=2055363397"",""MTR!C:O""),11,false)"),"PMW-IMS")</f>
        <v>PMW-IMS</v>
      </c>
      <c r="N1608" s="248" t="str">
        <f>IFERROR(__xludf.DUMMYFUNCTION("VLOOKUP(C1608,IMPORTRANGE(""https://docs.google.com/spreadsheets/d/1ihFlp3_ePlYtFuPbUNbYj1muErVpI73WHXbEwJDIA7Q/edit#gid=1493122344"",""MTR!C:O""),8,false)"),"Complies")</f>
        <v>Complies</v>
      </c>
      <c r="O1608" s="241" t="str">
        <f>IFERROR(__xludf.DUMMYFUNCTION("VLOOKUP(C1608,IMPORTRANGE(""https://docs.google.com/spreadsheets/d/1P8eX0NWBhUPS_hvzA11R6jkTNFrPrRYIx_dX_hYbxrk/edit?resourcekey=0-iw9bsKY2OqkUHCFMkCar3A&amp;gid=2055363397#gid=2055363397"",""MTR!C:O""),9,false)"),"")</f>
        <v/>
      </c>
      <c r="P1608" s="241"/>
      <c r="Q1608" s="251" t="s">
        <v>445</v>
      </c>
      <c r="R1608" s="241"/>
      <c r="S1608" s="154" t="s">
        <v>60</v>
      </c>
      <c r="T1608" s="154" t="s">
        <v>60</v>
      </c>
      <c r="U1608" s="154" t="s">
        <v>60</v>
      </c>
      <c r="V1608" s="154" t="s">
        <v>60</v>
      </c>
      <c r="W1608" s="154" t="s">
        <v>60</v>
      </c>
      <c r="X1608" s="154" t="s">
        <v>60</v>
      </c>
      <c r="Y1608" s="154" t="s">
        <v>64</v>
      </c>
      <c r="Z1608" s="154" t="s">
        <v>64</v>
      </c>
      <c r="AA1608" s="154" t="s">
        <v>64</v>
      </c>
      <c r="AB1608" s="154"/>
      <c r="AC1608" s="242" t="b">
        <f t="shared" si="2"/>
        <v>1</v>
      </c>
      <c r="AD1608" s="154" t="s">
        <v>391</v>
      </c>
      <c r="AE1608" s="243" t="b">
        <f t="shared" si="3"/>
        <v>0</v>
      </c>
      <c r="AF1608" s="154"/>
      <c r="AG1608" s="243" t="b">
        <f t="shared" si="7"/>
        <v>0</v>
      </c>
      <c r="AH1608" s="154"/>
      <c r="AI1608" s="243" t="str">
        <f t="shared" si="5"/>
        <v>N/A</v>
      </c>
      <c r="AJ1608" s="157" t="str">
        <f t="shared" si="6"/>
        <v/>
      </c>
    </row>
    <row r="1609" ht="12.75" customHeight="1">
      <c r="A1609" s="238" t="s">
        <v>4158</v>
      </c>
      <c r="B1609" s="238" t="s">
        <v>4161</v>
      </c>
      <c r="C1609" s="238" t="s">
        <v>4187</v>
      </c>
      <c r="D1609" s="238"/>
      <c r="E1609" s="238"/>
      <c r="F1609" s="154" t="str">
        <f t="array" ref="F1609">XLOOKUP(Cover!$D$12,$S$1:$AA$1,$S1609:$AA1609)</f>
        <v>Heading</v>
      </c>
      <c r="G1609" s="239" t="s">
        <v>4188</v>
      </c>
      <c r="H1609" s="240"/>
      <c r="I1609" s="240" t="s">
        <v>632</v>
      </c>
      <c r="J1609" s="262"/>
      <c r="K1609" s="240"/>
      <c r="L1609" s="154" t="str">
        <f t="shared" si="1"/>
        <v/>
      </c>
      <c r="M1609" s="241" t="str">
        <f>IFERROR(__xludf.DUMMYFUNCTION("VLOOKUP(C1609,IMPORTRANGE(""https://docs.google.com/spreadsheets/d/1P8eX0NWBhUPS_hvzA11R6jkTNFrPrRYIx_dX_hYbxrk/edit?resourcekey=0-iw9bsKY2OqkUHCFMkCar3A&amp;gid=2055363397#gid=2055363397"",""MTR!C:O""),11,false)"),"")</f>
        <v/>
      </c>
      <c r="N1609" s="241" t="str">
        <f>IFERROR(__xludf.DUMMYFUNCTION("VLOOKUP(C1609,IMPORTRANGE(""https://docs.google.com/spreadsheets/d/1ihFlp3_ePlYtFuPbUNbYj1muErVpI73WHXbEwJDIA7Q/edit#gid=1493122344"",""MTR!C:O""),8,false)"),"")</f>
        <v/>
      </c>
      <c r="O1609" s="241" t="str">
        <f>IFERROR(__xludf.DUMMYFUNCTION("VLOOKUP(C1609,IMPORTRANGE(""https://docs.google.com/spreadsheets/d/1P8eX0NWBhUPS_hvzA11R6jkTNFrPrRYIx_dX_hYbxrk/edit?resourcekey=0-iw9bsKY2OqkUHCFMkCar3A&amp;gid=2055363397#gid=2055363397"",""MTR!C:O""),9,false)"),"")</f>
        <v/>
      </c>
      <c r="P1609" s="241"/>
      <c r="Q1609" s="251"/>
      <c r="R1609" s="241"/>
      <c r="S1609" s="240" t="s">
        <v>390</v>
      </c>
      <c r="T1609" s="240" t="s">
        <v>390</v>
      </c>
      <c r="U1609" s="240" t="s">
        <v>390</v>
      </c>
      <c r="V1609" s="240" t="s">
        <v>390</v>
      </c>
      <c r="W1609" s="240" t="s">
        <v>390</v>
      </c>
      <c r="X1609" s="240" t="s">
        <v>390</v>
      </c>
      <c r="Y1609" s="240" t="s">
        <v>390</v>
      </c>
      <c r="Z1609" s="240" t="s">
        <v>390</v>
      </c>
      <c r="AA1609" s="240" t="s">
        <v>390</v>
      </c>
      <c r="AB1609" s="240"/>
      <c r="AC1609" s="242" t="b">
        <f t="shared" si="2"/>
        <v>0</v>
      </c>
      <c r="AD1609" s="240" t="s">
        <v>391</v>
      </c>
      <c r="AE1609" s="243" t="b">
        <f t="shared" si="3"/>
        <v>0</v>
      </c>
      <c r="AF1609" s="240"/>
      <c r="AG1609" s="243" t="b">
        <f t="shared" si="7"/>
        <v>0</v>
      </c>
      <c r="AH1609" s="240"/>
      <c r="AI1609" s="243" t="str">
        <f t="shared" si="5"/>
        <v>N/A</v>
      </c>
      <c r="AJ1609" s="157" t="str">
        <f t="shared" si="6"/>
        <v/>
      </c>
    </row>
    <row r="1610" ht="12.75" customHeight="1">
      <c r="A1610" s="244" t="s">
        <v>4158</v>
      </c>
      <c r="B1610" s="244" t="s">
        <v>4161</v>
      </c>
      <c r="C1610" s="244" t="s">
        <v>4189</v>
      </c>
      <c r="D1610" s="154" t="s">
        <v>492</v>
      </c>
      <c r="E1610" s="250"/>
      <c r="F1610" s="154" t="str">
        <f t="array" ref="F1610">XLOOKUP(Cover!$D$12,$S$1:$AA$1,$S1610:$AA1610)</f>
        <v>Mandatory</v>
      </c>
      <c r="G1610" s="154" t="s">
        <v>4190</v>
      </c>
      <c r="H1610" s="154" t="s">
        <v>4191</v>
      </c>
      <c r="I1610" s="154" t="s">
        <v>632</v>
      </c>
      <c r="J1610" s="154" t="s">
        <v>445</v>
      </c>
      <c r="K1610" s="154"/>
      <c r="L1610" s="154" t="str">
        <f t="shared" si="1"/>
        <v/>
      </c>
      <c r="M1610" s="248" t="str">
        <f>IFERROR(__xludf.DUMMYFUNCTION("VLOOKUP(C1610,IMPORTRANGE(""https://docs.google.com/spreadsheets/d/1P8eX0NWBhUPS_hvzA11R6jkTNFrPrRYIx_dX_hYbxrk/edit?resourcekey=0-iw9bsKY2OqkUHCFMkCar3A&amp;gid=2055363397#gid=2055363397"",""MTR!C:O""),11,false)"),"PMW-IMS")</f>
        <v>PMW-IMS</v>
      </c>
      <c r="N1610" s="248" t="str">
        <f>IFERROR(__xludf.DUMMYFUNCTION("VLOOKUP(C1610,IMPORTRANGE(""https://docs.google.com/spreadsheets/d/1ihFlp3_ePlYtFuPbUNbYj1muErVpI73WHXbEwJDIA7Q/edit#gid=1493122344"",""MTR!C:O""),8,false)"),"Complies")</f>
        <v>Complies</v>
      </c>
      <c r="O1610" s="241" t="str">
        <f>IFERROR(__xludf.DUMMYFUNCTION("VLOOKUP(C1610,IMPORTRANGE(""https://docs.google.com/spreadsheets/d/1P8eX0NWBhUPS_hvzA11R6jkTNFrPrRYIx_dX_hYbxrk/edit?resourcekey=0-iw9bsKY2OqkUHCFMkCar3A&amp;gid=2055363397#gid=2055363397"",""MTR!C:O""),9,false)"),"")</f>
        <v/>
      </c>
      <c r="P1610" s="241"/>
      <c r="Q1610" s="251" t="s">
        <v>445</v>
      </c>
      <c r="R1610" s="241"/>
      <c r="S1610" s="154" t="s">
        <v>60</v>
      </c>
      <c r="T1610" s="154" t="s">
        <v>60</v>
      </c>
      <c r="U1610" s="154" t="s">
        <v>60</v>
      </c>
      <c r="V1610" s="154" t="s">
        <v>60</v>
      </c>
      <c r="W1610" s="154" t="s">
        <v>60</v>
      </c>
      <c r="X1610" s="154" t="s">
        <v>60</v>
      </c>
      <c r="Y1610" s="154" t="s">
        <v>64</v>
      </c>
      <c r="Z1610" s="154" t="s">
        <v>64</v>
      </c>
      <c r="AA1610" s="154" t="s">
        <v>64</v>
      </c>
      <c r="AB1610" s="154"/>
      <c r="AC1610" s="242" t="b">
        <f t="shared" si="2"/>
        <v>1</v>
      </c>
      <c r="AD1610" s="154" t="s">
        <v>391</v>
      </c>
      <c r="AE1610" s="243" t="b">
        <f t="shared" si="3"/>
        <v>0</v>
      </c>
      <c r="AF1610" s="154"/>
      <c r="AG1610" s="243" t="b">
        <f t="shared" si="7"/>
        <v>0</v>
      </c>
      <c r="AH1610" s="154"/>
      <c r="AI1610" s="243" t="str">
        <f t="shared" si="5"/>
        <v>N/A</v>
      </c>
      <c r="AJ1610" s="157" t="str">
        <f t="shared" si="6"/>
        <v/>
      </c>
    </row>
    <row r="1611" ht="12.75" customHeight="1">
      <c r="A1611" s="244" t="s">
        <v>4158</v>
      </c>
      <c r="B1611" s="244" t="s">
        <v>4161</v>
      </c>
      <c r="C1611" s="244" t="s">
        <v>4192</v>
      </c>
      <c r="D1611" s="154" t="s">
        <v>967</v>
      </c>
      <c r="E1611" s="250"/>
      <c r="F1611" s="154" t="str">
        <f t="array" ref="F1611">XLOOKUP(Cover!$D$12,$S$1:$AA$1,$S1611:$AA1611)</f>
        <v>Mandatory</v>
      </c>
      <c r="G1611" s="154" t="s">
        <v>4193</v>
      </c>
      <c r="H1611" s="154" t="s">
        <v>4191</v>
      </c>
      <c r="I1611" s="154" t="s">
        <v>632</v>
      </c>
      <c r="J1611" s="247" t="s">
        <v>445</v>
      </c>
      <c r="K1611" s="154"/>
      <c r="L1611" s="154" t="str">
        <f t="shared" si="1"/>
        <v/>
      </c>
      <c r="M1611" s="248" t="str">
        <f>IFERROR(__xludf.DUMMYFUNCTION("VLOOKUP(C1611,IMPORTRANGE(""https://docs.google.com/spreadsheets/d/1P8eX0NWBhUPS_hvzA11R6jkTNFrPrRYIx_dX_hYbxrk/edit?resourcekey=0-iw9bsKY2OqkUHCFMkCar3A&amp;gid=2055363397#gid=2055363397"",""MTR!C:O""),11,false)"),"PMW-IMS")</f>
        <v>PMW-IMS</v>
      </c>
      <c r="N1611" s="248" t="str">
        <f>IFERROR(__xludf.DUMMYFUNCTION("VLOOKUP(C1611,IMPORTRANGE(""https://docs.google.com/spreadsheets/d/1ihFlp3_ePlYtFuPbUNbYj1muErVpI73WHXbEwJDIA7Q/edit#gid=1493122344"",""MTR!C:O""),8,false)"),"Complies")</f>
        <v>Complies</v>
      </c>
      <c r="O1611" s="241" t="str">
        <f>IFERROR(__xludf.DUMMYFUNCTION("VLOOKUP(C1611,IMPORTRANGE(""https://docs.google.com/spreadsheets/d/1P8eX0NWBhUPS_hvzA11R6jkTNFrPrRYIx_dX_hYbxrk/edit?resourcekey=0-iw9bsKY2OqkUHCFMkCar3A&amp;gid=2055363397#gid=2055363397"",""MTR!C:O""),9,false)"),"")</f>
        <v/>
      </c>
      <c r="P1611" s="241"/>
      <c r="Q1611" s="251" t="s">
        <v>445</v>
      </c>
      <c r="R1611" s="241"/>
      <c r="S1611" s="154" t="s">
        <v>60</v>
      </c>
      <c r="T1611" s="154" t="s">
        <v>60</v>
      </c>
      <c r="U1611" s="154" t="s">
        <v>60</v>
      </c>
      <c r="V1611" s="154" t="s">
        <v>60</v>
      </c>
      <c r="W1611" s="154" t="s">
        <v>60</v>
      </c>
      <c r="X1611" s="154" t="s">
        <v>60</v>
      </c>
      <c r="Y1611" s="154" t="s">
        <v>64</v>
      </c>
      <c r="Z1611" s="154" t="s">
        <v>64</v>
      </c>
      <c r="AA1611" s="154" t="s">
        <v>64</v>
      </c>
      <c r="AB1611" s="154"/>
      <c r="AC1611" s="242" t="b">
        <f t="shared" si="2"/>
        <v>1</v>
      </c>
      <c r="AD1611" s="154" t="s">
        <v>391</v>
      </c>
      <c r="AE1611" s="243" t="b">
        <f t="shared" si="3"/>
        <v>0</v>
      </c>
      <c r="AF1611" s="154"/>
      <c r="AG1611" s="243" t="b">
        <f t="shared" si="7"/>
        <v>0</v>
      </c>
      <c r="AH1611" s="154"/>
      <c r="AI1611" s="243" t="str">
        <f t="shared" si="5"/>
        <v>N/A</v>
      </c>
      <c r="AJ1611" s="157" t="str">
        <f t="shared" si="6"/>
        <v/>
      </c>
    </row>
    <row r="1612" ht="12.75" customHeight="1">
      <c r="A1612" s="244" t="s">
        <v>4158</v>
      </c>
      <c r="B1612" s="244" t="s">
        <v>4161</v>
      </c>
      <c r="C1612" s="244" t="s">
        <v>4194</v>
      </c>
      <c r="D1612" s="154" t="s">
        <v>492</v>
      </c>
      <c r="E1612" s="250"/>
      <c r="F1612" s="154" t="str">
        <f t="array" ref="F1612">XLOOKUP(Cover!$D$12,$S$1:$AA$1,$S1612:$AA1612)</f>
        <v>Mandatory</v>
      </c>
      <c r="G1612" s="154" t="s">
        <v>4195</v>
      </c>
      <c r="H1612" s="154" t="s">
        <v>4191</v>
      </c>
      <c r="I1612" s="154" t="s">
        <v>632</v>
      </c>
      <c r="J1612" s="247" t="s">
        <v>445</v>
      </c>
      <c r="K1612" s="154"/>
      <c r="L1612" s="154" t="str">
        <f t="shared" si="1"/>
        <v/>
      </c>
      <c r="M1612" s="248" t="str">
        <f>IFERROR(__xludf.DUMMYFUNCTION("VLOOKUP(C1612,IMPORTRANGE(""https://docs.google.com/spreadsheets/d/1P8eX0NWBhUPS_hvzA11R6jkTNFrPrRYIx_dX_hYbxrk/edit?resourcekey=0-iw9bsKY2OqkUHCFMkCar3A&amp;gid=2055363397#gid=2055363397"",""MTR!C:O""),11,false)"),"PMW-IMS")</f>
        <v>PMW-IMS</v>
      </c>
      <c r="N1612" s="248" t="str">
        <f>IFERROR(__xludf.DUMMYFUNCTION("VLOOKUP(C1612,IMPORTRANGE(""https://docs.google.com/spreadsheets/d/1ihFlp3_ePlYtFuPbUNbYj1muErVpI73WHXbEwJDIA7Q/edit#gid=1493122344"",""MTR!C:O""),8,false)"),"Complies")</f>
        <v>Complies</v>
      </c>
      <c r="O1612" s="241" t="str">
        <f>IFERROR(__xludf.DUMMYFUNCTION("VLOOKUP(C1612,IMPORTRANGE(""https://docs.google.com/spreadsheets/d/1P8eX0NWBhUPS_hvzA11R6jkTNFrPrRYIx_dX_hYbxrk/edit?resourcekey=0-iw9bsKY2OqkUHCFMkCar3A&amp;gid=2055363397#gid=2055363397"",""MTR!C:O""),9,false)"),"")</f>
        <v/>
      </c>
      <c r="P1612" s="241"/>
      <c r="Q1612" s="251" t="s">
        <v>445</v>
      </c>
      <c r="R1612" s="241"/>
      <c r="S1612" s="154" t="s">
        <v>60</v>
      </c>
      <c r="T1612" s="154" t="s">
        <v>60</v>
      </c>
      <c r="U1612" s="154" t="s">
        <v>60</v>
      </c>
      <c r="V1612" s="154" t="s">
        <v>60</v>
      </c>
      <c r="W1612" s="154" t="s">
        <v>60</v>
      </c>
      <c r="X1612" s="154" t="s">
        <v>60</v>
      </c>
      <c r="Y1612" s="154" t="s">
        <v>64</v>
      </c>
      <c r="Z1612" s="154" t="s">
        <v>64</v>
      </c>
      <c r="AA1612" s="154" t="s">
        <v>64</v>
      </c>
      <c r="AB1612" s="154"/>
      <c r="AC1612" s="242" t="b">
        <f t="shared" si="2"/>
        <v>1</v>
      </c>
      <c r="AD1612" s="154" t="s">
        <v>391</v>
      </c>
      <c r="AE1612" s="243" t="b">
        <f t="shared" si="3"/>
        <v>0</v>
      </c>
      <c r="AF1612" s="154"/>
      <c r="AG1612" s="243" t="b">
        <f t="shared" si="7"/>
        <v>0</v>
      </c>
      <c r="AH1612" s="154"/>
      <c r="AI1612" s="243" t="str">
        <f t="shared" si="5"/>
        <v>N/A</v>
      </c>
      <c r="AJ1612" s="157" t="str">
        <f t="shared" si="6"/>
        <v/>
      </c>
    </row>
    <row r="1613" ht="12.75" customHeight="1">
      <c r="A1613" s="244" t="s">
        <v>4158</v>
      </c>
      <c r="B1613" s="244" t="s">
        <v>4161</v>
      </c>
      <c r="C1613" s="244" t="s">
        <v>4196</v>
      </c>
      <c r="D1613" s="154" t="s">
        <v>967</v>
      </c>
      <c r="E1613" s="250"/>
      <c r="F1613" s="154" t="str">
        <f t="array" ref="F1613">XLOOKUP(Cover!$D$12,$S$1:$AA$1,$S1613:$AA1613)</f>
        <v>Mandatory</v>
      </c>
      <c r="G1613" s="154" t="s">
        <v>4197</v>
      </c>
      <c r="H1613" s="154" t="s">
        <v>4191</v>
      </c>
      <c r="I1613" s="154" t="s">
        <v>632</v>
      </c>
      <c r="J1613" s="247" t="s">
        <v>445</v>
      </c>
      <c r="K1613" s="154"/>
      <c r="L1613" s="154" t="str">
        <f t="shared" si="1"/>
        <v/>
      </c>
      <c r="M1613" s="248" t="str">
        <f>IFERROR(__xludf.DUMMYFUNCTION("VLOOKUP(C1613,IMPORTRANGE(""https://docs.google.com/spreadsheets/d/1P8eX0NWBhUPS_hvzA11R6jkTNFrPrRYIx_dX_hYbxrk/edit?resourcekey=0-iw9bsKY2OqkUHCFMkCar3A&amp;gid=2055363397#gid=2055363397"",""MTR!C:O""),11,false)"),"PMW-IMS")</f>
        <v>PMW-IMS</v>
      </c>
      <c r="N1613" s="248" t="str">
        <f>IFERROR(__xludf.DUMMYFUNCTION("VLOOKUP(C1613,IMPORTRANGE(""https://docs.google.com/spreadsheets/d/1ihFlp3_ePlYtFuPbUNbYj1muErVpI73WHXbEwJDIA7Q/edit#gid=1493122344"",""MTR!C:O""),8,false)"),"Complies")</f>
        <v>Complies</v>
      </c>
      <c r="O1613" s="241" t="str">
        <f>IFERROR(__xludf.DUMMYFUNCTION("VLOOKUP(C1613,IMPORTRANGE(""https://docs.google.com/spreadsheets/d/1P8eX0NWBhUPS_hvzA11R6jkTNFrPrRYIx_dX_hYbxrk/edit?resourcekey=0-iw9bsKY2OqkUHCFMkCar3A&amp;gid=2055363397#gid=2055363397"",""MTR!C:O""),9,false)"),"")</f>
        <v/>
      </c>
      <c r="P1613" s="241"/>
      <c r="Q1613" s="251" t="s">
        <v>445</v>
      </c>
      <c r="R1613" s="241"/>
      <c r="S1613" s="154" t="s">
        <v>60</v>
      </c>
      <c r="T1613" s="154" t="s">
        <v>60</v>
      </c>
      <c r="U1613" s="154" t="s">
        <v>60</v>
      </c>
      <c r="V1613" s="154" t="s">
        <v>60</v>
      </c>
      <c r="W1613" s="154" t="s">
        <v>60</v>
      </c>
      <c r="X1613" s="154" t="s">
        <v>60</v>
      </c>
      <c r="Y1613" s="154" t="s">
        <v>64</v>
      </c>
      <c r="Z1613" s="154" t="s">
        <v>64</v>
      </c>
      <c r="AA1613" s="154" t="s">
        <v>64</v>
      </c>
      <c r="AB1613" s="154"/>
      <c r="AC1613" s="242" t="b">
        <f t="shared" si="2"/>
        <v>1</v>
      </c>
      <c r="AD1613" s="154" t="s">
        <v>391</v>
      </c>
      <c r="AE1613" s="243" t="b">
        <f t="shared" si="3"/>
        <v>0</v>
      </c>
      <c r="AF1613" s="154"/>
      <c r="AG1613" s="243" t="b">
        <f t="shared" si="7"/>
        <v>0</v>
      </c>
      <c r="AH1613" s="154"/>
      <c r="AI1613" s="243" t="str">
        <f t="shared" si="5"/>
        <v>N/A</v>
      </c>
      <c r="AJ1613" s="157" t="str">
        <f t="shared" si="6"/>
        <v/>
      </c>
    </row>
    <row r="1614" ht="12.75" customHeight="1">
      <c r="A1614" s="244" t="s">
        <v>4158</v>
      </c>
      <c r="B1614" s="244" t="s">
        <v>4161</v>
      </c>
      <c r="C1614" s="244" t="s">
        <v>4198</v>
      </c>
      <c r="D1614" s="154" t="s">
        <v>967</v>
      </c>
      <c r="E1614" s="250"/>
      <c r="F1614" s="154" t="str">
        <f t="array" ref="F1614">XLOOKUP(Cover!$D$12,$S$1:$AA$1,$S1614:$AA1614)</f>
        <v>Mandatory</v>
      </c>
      <c r="G1614" s="154" t="s">
        <v>4199</v>
      </c>
      <c r="H1614" s="154" t="s">
        <v>4191</v>
      </c>
      <c r="I1614" s="154" t="s">
        <v>632</v>
      </c>
      <c r="J1614" s="247" t="s">
        <v>445</v>
      </c>
      <c r="K1614" s="154"/>
      <c r="L1614" s="154" t="str">
        <f t="shared" si="1"/>
        <v/>
      </c>
      <c r="M1614" s="248" t="str">
        <f>IFERROR(__xludf.DUMMYFUNCTION("VLOOKUP(C1614,IMPORTRANGE(""https://docs.google.com/spreadsheets/d/1P8eX0NWBhUPS_hvzA11R6jkTNFrPrRYIx_dX_hYbxrk/edit?resourcekey=0-iw9bsKY2OqkUHCFMkCar3A&amp;gid=2055363397#gid=2055363397"",""MTR!C:O""),11,false)"),"PMW-IMS")</f>
        <v>PMW-IMS</v>
      </c>
      <c r="N1614" s="248" t="str">
        <f>IFERROR(__xludf.DUMMYFUNCTION("VLOOKUP(C1614,IMPORTRANGE(""https://docs.google.com/spreadsheets/d/1ihFlp3_ePlYtFuPbUNbYj1muErVpI73WHXbEwJDIA7Q/edit#gid=1493122344"",""MTR!C:O""),8,false)"),"Complies")</f>
        <v>Complies</v>
      </c>
      <c r="O1614" s="241" t="str">
        <f>IFERROR(__xludf.DUMMYFUNCTION("VLOOKUP(C1614,IMPORTRANGE(""https://docs.google.com/spreadsheets/d/1P8eX0NWBhUPS_hvzA11R6jkTNFrPrRYIx_dX_hYbxrk/edit?resourcekey=0-iw9bsKY2OqkUHCFMkCar3A&amp;gid=2055363397#gid=2055363397"",""MTR!C:O""),9,false)"),"")</f>
        <v/>
      </c>
      <c r="P1614" s="241"/>
      <c r="Q1614" s="251" t="s">
        <v>445</v>
      </c>
      <c r="R1614" s="241"/>
      <c r="S1614" s="154" t="s">
        <v>60</v>
      </c>
      <c r="T1614" s="154" t="s">
        <v>60</v>
      </c>
      <c r="U1614" s="154" t="s">
        <v>60</v>
      </c>
      <c r="V1614" s="154" t="s">
        <v>60</v>
      </c>
      <c r="W1614" s="154" t="s">
        <v>60</v>
      </c>
      <c r="X1614" s="154" t="s">
        <v>60</v>
      </c>
      <c r="Y1614" s="154" t="s">
        <v>64</v>
      </c>
      <c r="Z1614" s="154" t="s">
        <v>64</v>
      </c>
      <c r="AA1614" s="154" t="s">
        <v>64</v>
      </c>
      <c r="AB1614" s="154"/>
      <c r="AC1614" s="242" t="b">
        <f t="shared" si="2"/>
        <v>1</v>
      </c>
      <c r="AD1614" s="154" t="s">
        <v>391</v>
      </c>
      <c r="AE1614" s="243" t="b">
        <f t="shared" si="3"/>
        <v>0</v>
      </c>
      <c r="AF1614" s="154"/>
      <c r="AG1614" s="243" t="b">
        <f t="shared" si="7"/>
        <v>0</v>
      </c>
      <c r="AH1614" s="154"/>
      <c r="AI1614" s="243" t="str">
        <f t="shared" si="5"/>
        <v>N/A</v>
      </c>
      <c r="AJ1614" s="157" t="str">
        <f t="shared" si="6"/>
        <v/>
      </c>
    </row>
    <row r="1615" ht="12.75" customHeight="1">
      <c r="A1615" s="244" t="s">
        <v>4158</v>
      </c>
      <c r="B1615" s="244" t="s">
        <v>4161</v>
      </c>
      <c r="C1615" s="244" t="s">
        <v>4200</v>
      </c>
      <c r="D1615" s="154" t="s">
        <v>967</v>
      </c>
      <c r="E1615" s="250"/>
      <c r="F1615" s="154" t="str">
        <f t="array" ref="F1615">XLOOKUP(Cover!$D$12,$S$1:$AA$1,$S1615:$AA1615)</f>
        <v>Recommended</v>
      </c>
      <c r="G1615" s="154" t="s">
        <v>4201</v>
      </c>
      <c r="H1615" s="154"/>
      <c r="I1615" s="154" t="s">
        <v>632</v>
      </c>
      <c r="J1615" s="247" t="s">
        <v>445</v>
      </c>
      <c r="K1615" s="154"/>
      <c r="L1615" s="154" t="str">
        <f t="shared" si="1"/>
        <v/>
      </c>
      <c r="M1615" s="248" t="str">
        <f>IFERROR(__xludf.DUMMYFUNCTION("VLOOKUP(C1615,IMPORTRANGE(""https://docs.google.com/spreadsheets/d/1P8eX0NWBhUPS_hvzA11R6jkTNFrPrRYIx_dX_hYbxrk/edit?resourcekey=0-iw9bsKY2OqkUHCFMkCar3A&amp;gid=2055363397#gid=2055363397"",""MTR!C:O""),11,false)"),"PMW-IMS")</f>
        <v>PMW-IMS</v>
      </c>
      <c r="N1615" s="248" t="str">
        <f>IFERROR(__xludf.DUMMYFUNCTION("VLOOKUP(C1615,IMPORTRANGE(""https://docs.google.com/spreadsheets/d/1ihFlp3_ePlYtFuPbUNbYj1muErVpI73WHXbEwJDIA7Q/edit#gid=1493122344"",""MTR!C:O""),8,false)"),"Complies")</f>
        <v>Complies</v>
      </c>
      <c r="O1615" s="241" t="str">
        <f>IFERROR(__xludf.DUMMYFUNCTION("VLOOKUP(C1615,IMPORTRANGE(""https://docs.google.com/spreadsheets/d/1P8eX0NWBhUPS_hvzA11R6jkTNFrPrRYIx_dX_hYbxrk/edit?resourcekey=0-iw9bsKY2OqkUHCFMkCar3A&amp;gid=2055363397#gid=2055363397"",""MTR!C:O""),9,false)"),"")</f>
        <v/>
      </c>
      <c r="P1615" s="241"/>
      <c r="Q1615" s="251" t="s">
        <v>445</v>
      </c>
      <c r="R1615" s="241"/>
      <c r="S1615" s="154" t="s">
        <v>64</v>
      </c>
      <c r="T1615" s="154" t="s">
        <v>64</v>
      </c>
      <c r="U1615" s="154" t="s">
        <v>64</v>
      </c>
      <c r="V1615" s="154" t="s">
        <v>64</v>
      </c>
      <c r="W1615" s="154" t="s">
        <v>64</v>
      </c>
      <c r="X1615" s="154" t="s">
        <v>64</v>
      </c>
      <c r="Y1615" s="154" t="s">
        <v>64</v>
      </c>
      <c r="Z1615" s="154" t="s">
        <v>64</v>
      </c>
      <c r="AA1615" s="154" t="s">
        <v>64</v>
      </c>
      <c r="AB1615" s="154"/>
      <c r="AC1615" s="242" t="b">
        <f t="shared" si="2"/>
        <v>1</v>
      </c>
      <c r="AD1615" s="154" t="s">
        <v>391</v>
      </c>
      <c r="AE1615" s="243" t="b">
        <f t="shared" si="3"/>
        <v>0</v>
      </c>
      <c r="AF1615" s="154"/>
      <c r="AG1615" s="243" t="b">
        <f t="shared" si="7"/>
        <v>0</v>
      </c>
      <c r="AH1615" s="154"/>
      <c r="AI1615" s="243" t="str">
        <f t="shared" si="5"/>
        <v>N/A</v>
      </c>
      <c r="AJ1615" s="157" t="str">
        <f t="shared" si="6"/>
        <v/>
      </c>
    </row>
    <row r="1616" ht="12.75" customHeight="1">
      <c r="A1616" s="238" t="s">
        <v>4158</v>
      </c>
      <c r="B1616" s="238" t="s">
        <v>4161</v>
      </c>
      <c r="C1616" s="238" t="s">
        <v>4202</v>
      </c>
      <c r="D1616" s="240"/>
      <c r="E1616" s="252" t="s">
        <v>92</v>
      </c>
      <c r="F1616" s="154" t="str">
        <f t="array" ref="F1616">XLOOKUP(Cover!$D$12,$S$1:$AA$1,$S1616:$AA1616)</f>
        <v>Heading</v>
      </c>
      <c r="G1616" s="239" t="s">
        <v>4203</v>
      </c>
      <c r="H1616" s="240"/>
      <c r="I1616" s="240" t="s">
        <v>632</v>
      </c>
      <c r="J1616" s="262"/>
      <c r="K1616" s="240"/>
      <c r="L1616" s="154" t="str">
        <f t="shared" si="1"/>
        <v/>
      </c>
      <c r="M1616" s="241" t="str">
        <f>IFERROR(__xludf.DUMMYFUNCTION("VLOOKUP(C1616,IMPORTRANGE(""https://docs.google.com/spreadsheets/d/1P8eX0NWBhUPS_hvzA11R6jkTNFrPrRYIx_dX_hYbxrk/edit?resourcekey=0-iw9bsKY2OqkUHCFMkCar3A&amp;gid=2055363397#gid=2055363397"",""MTR!C:O""),11,false)"),"")</f>
        <v/>
      </c>
      <c r="N1616" s="241" t="str">
        <f>IFERROR(__xludf.DUMMYFUNCTION("VLOOKUP(C1616,IMPORTRANGE(""https://docs.google.com/spreadsheets/d/1ihFlp3_ePlYtFuPbUNbYj1muErVpI73WHXbEwJDIA7Q/edit#gid=1493122344"",""MTR!C:O""),8,false)"),"")</f>
        <v/>
      </c>
      <c r="O1616" s="241" t="str">
        <f>IFERROR(__xludf.DUMMYFUNCTION("VLOOKUP(C1616,IMPORTRANGE(""https://docs.google.com/spreadsheets/d/1P8eX0NWBhUPS_hvzA11R6jkTNFrPrRYIx_dX_hYbxrk/edit?resourcekey=0-iw9bsKY2OqkUHCFMkCar3A&amp;gid=2055363397#gid=2055363397"",""MTR!C:O""),9,false)"),"")</f>
        <v/>
      </c>
      <c r="P1616" s="241"/>
      <c r="Q1616" s="251"/>
      <c r="R1616" s="241"/>
      <c r="S1616" s="240" t="s">
        <v>390</v>
      </c>
      <c r="T1616" s="240" t="s">
        <v>390</v>
      </c>
      <c r="U1616" s="240" t="s">
        <v>390</v>
      </c>
      <c r="V1616" s="240" t="s">
        <v>390</v>
      </c>
      <c r="W1616" s="240" t="s">
        <v>390</v>
      </c>
      <c r="X1616" s="240" t="s">
        <v>390</v>
      </c>
      <c r="Y1616" s="240" t="s">
        <v>390</v>
      </c>
      <c r="Z1616" s="240" t="s">
        <v>390</v>
      </c>
      <c r="AA1616" s="240" t="s">
        <v>390</v>
      </c>
      <c r="AB1616" s="240"/>
      <c r="AC1616" s="242" t="b">
        <f t="shared" si="2"/>
        <v>0</v>
      </c>
      <c r="AD1616" s="240" t="s">
        <v>391</v>
      </c>
      <c r="AE1616" s="243" t="b">
        <f t="shared" si="3"/>
        <v>0</v>
      </c>
      <c r="AF1616" s="240"/>
      <c r="AG1616" s="243" t="b">
        <f t="shared" si="7"/>
        <v>0</v>
      </c>
      <c r="AH1616" s="240"/>
      <c r="AI1616" s="243" t="str">
        <f t="shared" si="5"/>
        <v>N/A</v>
      </c>
      <c r="AJ1616" s="157" t="str">
        <f t="shared" si="6"/>
        <v/>
      </c>
    </row>
    <row r="1617" ht="12.75" customHeight="1">
      <c r="A1617" s="244" t="s">
        <v>4158</v>
      </c>
      <c r="B1617" s="244" t="s">
        <v>4161</v>
      </c>
      <c r="C1617" s="244" t="s">
        <v>4204</v>
      </c>
      <c r="D1617" s="154" t="s">
        <v>861</v>
      </c>
      <c r="E1617" s="250"/>
      <c r="F1617" s="154" t="str">
        <f t="array" ref="F1617">XLOOKUP(Cover!$D$12,$S$1:$AA$1,$S1617:$AA1617)</f>
        <v>Mandatory</v>
      </c>
      <c r="G1617" s="154" t="s">
        <v>4205</v>
      </c>
      <c r="H1617" s="154" t="s">
        <v>345</v>
      </c>
      <c r="I1617" s="154" t="s">
        <v>632</v>
      </c>
      <c r="J1617" s="154" t="s">
        <v>445</v>
      </c>
      <c r="K1617" s="154" t="s">
        <v>4206</v>
      </c>
      <c r="L1617" s="154" t="str">
        <f t="shared" si="1"/>
        <v/>
      </c>
      <c r="M1617" s="248" t="str">
        <f>IFERROR(__xludf.DUMMYFUNCTION("VLOOKUP(C1617,IMPORTRANGE(""https://docs.google.com/spreadsheets/d/1P8eX0NWBhUPS_hvzA11R6jkTNFrPrRYIx_dX_hYbxrk/edit?resourcekey=0-iw9bsKY2OqkUHCFMkCar3A&amp;gid=2055363397#gid=2055363397"",""MTR!C:O""),11,false)"),"PMW-MCE-NAS")</f>
        <v>PMW-MCE-NAS</v>
      </c>
      <c r="N1617" s="248" t="str">
        <f>IFERROR(__xludf.DUMMYFUNCTION("VLOOKUP(C1617,IMPORTRANGE(""https://docs.google.com/spreadsheets/d/1ihFlp3_ePlYtFuPbUNbYj1muErVpI73WHXbEwJDIA7Q/edit#gid=1493122344"",""MTR!C:O""),8,false)"),"Complies")</f>
        <v>Complies</v>
      </c>
      <c r="O1617" s="248" t="str">
        <f>IFERROR(__xludf.DUMMYFUNCTION("VLOOKUP(C1617,IMPORTRANGE(""https://docs.google.com/spreadsheets/d/1P8eX0NWBhUPS_hvzA11R6jkTNFrPrRYIx_dX_hYbxrk/edit?resourcekey=0-iw9bsKY2OqkUHCFMkCar3A&amp;gid=2055363397#gid=2055363397"",""MTR!C:O""),9,false)"),"The teleservices sections mentioned in 3GPP TS 22.003 and 3GPP TS 22.105 are supported by UE")</f>
        <v>The teleservices sections mentioned in 3GPP TS 22.003 and 3GPP TS 22.105 are supported by UE</v>
      </c>
      <c r="P1617" s="248"/>
      <c r="Q1617" s="249" t="s">
        <v>445</v>
      </c>
      <c r="R1617" s="249" t="s">
        <v>4206</v>
      </c>
      <c r="S1617" s="154" t="s">
        <v>60</v>
      </c>
      <c r="T1617" s="154" t="s">
        <v>60</v>
      </c>
      <c r="U1617" s="154" t="s">
        <v>60</v>
      </c>
      <c r="V1617" s="154" t="s">
        <v>60</v>
      </c>
      <c r="W1617" s="154" t="s">
        <v>60</v>
      </c>
      <c r="X1617" s="154" t="s">
        <v>60</v>
      </c>
      <c r="Y1617" s="154" t="s">
        <v>64</v>
      </c>
      <c r="Z1617" s="154" t="s">
        <v>64</v>
      </c>
      <c r="AA1617" s="154" t="s">
        <v>64</v>
      </c>
      <c r="AB1617" s="154"/>
      <c r="AC1617" s="242" t="b">
        <f t="shared" si="2"/>
        <v>1</v>
      </c>
      <c r="AD1617" s="154" t="s">
        <v>391</v>
      </c>
      <c r="AE1617" s="243" t="b">
        <f t="shared" si="3"/>
        <v>0</v>
      </c>
      <c r="AF1617" s="154"/>
      <c r="AG1617" s="243" t="b">
        <f t="shared" si="7"/>
        <v>0</v>
      </c>
      <c r="AH1617" s="154"/>
      <c r="AI1617" s="243" t="str">
        <f t="shared" si="5"/>
        <v>N/A</v>
      </c>
      <c r="AJ1617" s="157" t="str">
        <f t="shared" si="6"/>
        <v/>
      </c>
    </row>
    <row r="1618" ht="12.75" customHeight="1">
      <c r="A1618" s="238" t="s">
        <v>4158</v>
      </c>
      <c r="B1618" s="238" t="s">
        <v>4161</v>
      </c>
      <c r="C1618" s="238" t="s">
        <v>4207</v>
      </c>
      <c r="D1618" s="240"/>
      <c r="E1618" s="252" t="s">
        <v>92</v>
      </c>
      <c r="F1618" s="154" t="str">
        <f t="array" ref="F1618">XLOOKUP(Cover!$D$12,$S$1:$AA$1,$S1618:$AA1618)</f>
        <v>Heading</v>
      </c>
      <c r="G1618" s="239" t="s">
        <v>4208</v>
      </c>
      <c r="H1618" s="240"/>
      <c r="I1618" s="240" t="s">
        <v>632</v>
      </c>
      <c r="J1618" s="262"/>
      <c r="K1618" s="262"/>
      <c r="L1618" s="154" t="str">
        <f t="shared" si="1"/>
        <v/>
      </c>
      <c r="M1618" s="241" t="str">
        <f>IFERROR(__xludf.DUMMYFUNCTION("VLOOKUP(C1618,IMPORTRANGE(""https://docs.google.com/spreadsheets/d/1P8eX0NWBhUPS_hvzA11R6jkTNFrPrRYIx_dX_hYbxrk/edit?resourcekey=0-iw9bsKY2OqkUHCFMkCar3A&amp;gid=2055363397#gid=2055363397"",""MTR!C:O""),11,false)"),"")</f>
        <v/>
      </c>
      <c r="N1618" s="241" t="str">
        <f>IFERROR(__xludf.DUMMYFUNCTION("VLOOKUP(C1618,IMPORTRANGE(""https://docs.google.com/spreadsheets/d/1ihFlp3_ePlYtFuPbUNbYj1muErVpI73WHXbEwJDIA7Q/edit#gid=1493122344"",""MTR!C:O""),8,false)"),"")</f>
        <v/>
      </c>
      <c r="O1618" s="241" t="str">
        <f>IFERROR(__xludf.DUMMYFUNCTION("VLOOKUP(C1618,IMPORTRANGE(""https://docs.google.com/spreadsheets/d/1P8eX0NWBhUPS_hvzA11R6jkTNFrPrRYIx_dX_hYbxrk/edit?resourcekey=0-iw9bsKY2OqkUHCFMkCar3A&amp;gid=2055363397#gid=2055363397"",""MTR!C:O""),9,false)"),"")</f>
        <v/>
      </c>
      <c r="P1618" s="241"/>
      <c r="Q1618" s="251"/>
      <c r="R1618" s="251"/>
      <c r="S1618" s="240" t="s">
        <v>390</v>
      </c>
      <c r="T1618" s="240" t="s">
        <v>390</v>
      </c>
      <c r="U1618" s="240" t="s">
        <v>390</v>
      </c>
      <c r="V1618" s="240" t="s">
        <v>390</v>
      </c>
      <c r="W1618" s="240" t="s">
        <v>390</v>
      </c>
      <c r="X1618" s="240" t="s">
        <v>390</v>
      </c>
      <c r="Y1618" s="240" t="s">
        <v>390</v>
      </c>
      <c r="Z1618" s="240" t="s">
        <v>390</v>
      </c>
      <c r="AA1618" s="240" t="s">
        <v>390</v>
      </c>
      <c r="AB1618" s="240"/>
      <c r="AC1618" s="242" t="b">
        <f t="shared" si="2"/>
        <v>0</v>
      </c>
      <c r="AD1618" s="240" t="s">
        <v>391</v>
      </c>
      <c r="AE1618" s="243" t="b">
        <f t="shared" si="3"/>
        <v>0</v>
      </c>
      <c r="AF1618" s="240"/>
      <c r="AG1618" s="243" t="b">
        <f t="shared" si="7"/>
        <v>0</v>
      </c>
      <c r="AH1618" s="240"/>
      <c r="AI1618" s="243" t="str">
        <f t="shared" si="5"/>
        <v>N/A</v>
      </c>
      <c r="AJ1618" s="157" t="str">
        <f t="shared" si="6"/>
        <v/>
      </c>
    </row>
    <row r="1619" ht="12.75" customHeight="1">
      <c r="A1619" s="244" t="s">
        <v>4158</v>
      </c>
      <c r="B1619" s="244" t="s">
        <v>4161</v>
      </c>
      <c r="C1619" s="244" t="s">
        <v>4209</v>
      </c>
      <c r="D1619" s="154" t="s">
        <v>443</v>
      </c>
      <c r="E1619" s="250"/>
      <c r="F1619" s="154" t="str">
        <f t="array" ref="F1619">XLOOKUP(Cover!$D$12,$S$1:$AA$1,$S1619:$AA1619)</f>
        <v>Mandatory</v>
      </c>
      <c r="G1619" s="154" t="s">
        <v>4210</v>
      </c>
      <c r="H1619" s="154" t="s">
        <v>345</v>
      </c>
      <c r="I1619" s="154" t="s">
        <v>632</v>
      </c>
      <c r="J1619" s="247" t="s">
        <v>445</v>
      </c>
      <c r="K1619" s="154"/>
      <c r="L1619" s="154" t="str">
        <f t="shared" si="1"/>
        <v/>
      </c>
      <c r="M1619" s="248" t="str">
        <f>IFERROR(__xludf.DUMMYFUNCTION("VLOOKUP(C1619,IMPORTRANGE(""https://docs.google.com/spreadsheets/d/1P8eX0NWBhUPS_hvzA11R6jkTNFrPrRYIx_dX_hYbxrk/edit?resourcekey=0-iw9bsKY2OqkUHCFMkCar3A&amp;gid=2055363397#gid=2055363397"",""MTR!C:O""),11,false)"),"PMW-MCE-NAS")</f>
        <v>PMW-MCE-NAS</v>
      </c>
      <c r="N1619" s="248" t="str">
        <f>IFERROR(__xludf.DUMMYFUNCTION("VLOOKUP(C1619,IMPORTRANGE(""https://docs.google.com/spreadsheets/d/1ihFlp3_ePlYtFuPbUNbYj1muErVpI73WHXbEwJDIA7Q/edit#gid=1493122344"",""MTR!C:O""),8,false)"),"Complies")</f>
        <v>Complies</v>
      </c>
      <c r="O1619" s="241" t="str">
        <f>IFERROR(__xludf.DUMMYFUNCTION("VLOOKUP(C1619,IMPORTRANGE(""https://docs.google.com/spreadsheets/d/1P8eX0NWBhUPS_hvzA11R6jkTNFrPrRYIx_dX_hYbxrk/edit?resourcekey=0-iw9bsKY2OqkUHCFMkCar3A&amp;gid=2055363397#gid=2055363397"",""MTR!C:O""),9,false)"),"")</f>
        <v/>
      </c>
      <c r="P1619" s="241"/>
      <c r="Q1619" s="251" t="s">
        <v>445</v>
      </c>
      <c r="R1619" s="241"/>
      <c r="S1619" s="154" t="s">
        <v>60</v>
      </c>
      <c r="T1619" s="154" t="s">
        <v>60</v>
      </c>
      <c r="U1619" s="154" t="s">
        <v>60</v>
      </c>
      <c r="V1619" s="154" t="s">
        <v>60</v>
      </c>
      <c r="W1619" s="154" t="s">
        <v>60</v>
      </c>
      <c r="X1619" s="154" t="s">
        <v>60</v>
      </c>
      <c r="Y1619" s="154" t="s">
        <v>64</v>
      </c>
      <c r="Z1619" s="154" t="s">
        <v>64</v>
      </c>
      <c r="AA1619" s="154" t="s">
        <v>64</v>
      </c>
      <c r="AB1619" s="154"/>
      <c r="AC1619" s="242" t="b">
        <f t="shared" si="2"/>
        <v>1</v>
      </c>
      <c r="AD1619" s="154" t="s">
        <v>391</v>
      </c>
      <c r="AE1619" s="243" t="b">
        <f t="shared" si="3"/>
        <v>0</v>
      </c>
      <c r="AF1619" s="154"/>
      <c r="AG1619" s="243" t="b">
        <f t="shared" si="7"/>
        <v>0</v>
      </c>
      <c r="AH1619" s="154"/>
      <c r="AI1619" s="243" t="str">
        <f t="shared" si="5"/>
        <v>N/A</v>
      </c>
      <c r="AJ1619" s="157" t="str">
        <f t="shared" si="6"/>
        <v/>
      </c>
    </row>
    <row r="1620" ht="12.75" customHeight="1">
      <c r="A1620" s="244" t="s">
        <v>4158</v>
      </c>
      <c r="B1620" s="244" t="s">
        <v>4161</v>
      </c>
      <c r="C1620" s="244" t="s">
        <v>4211</v>
      </c>
      <c r="D1620" s="154" t="s">
        <v>443</v>
      </c>
      <c r="E1620" s="250"/>
      <c r="F1620" s="154" t="str">
        <f t="array" ref="F1620">XLOOKUP(Cover!$D$12,$S$1:$AA$1,$S1620:$AA1620)</f>
        <v>Mandatory</v>
      </c>
      <c r="G1620" s="154" t="s">
        <v>4212</v>
      </c>
      <c r="H1620" s="154" t="s">
        <v>345</v>
      </c>
      <c r="I1620" s="154" t="s">
        <v>632</v>
      </c>
      <c r="J1620" s="247" t="s">
        <v>445</v>
      </c>
      <c r="K1620" s="154"/>
      <c r="L1620" s="154" t="str">
        <f t="shared" si="1"/>
        <v/>
      </c>
      <c r="M1620" s="248" t="str">
        <f>IFERROR(__xludf.DUMMYFUNCTION("VLOOKUP(C1620,IMPORTRANGE(""https://docs.google.com/spreadsheets/d/1P8eX0NWBhUPS_hvzA11R6jkTNFrPrRYIx_dX_hYbxrk/edit?resourcekey=0-iw9bsKY2OqkUHCFMkCar3A&amp;gid=2055363397#gid=2055363397"",""MTR!C:O""),11,false)"),"PMW-MCE-NAS")</f>
        <v>PMW-MCE-NAS</v>
      </c>
      <c r="N1620" s="248" t="str">
        <f>IFERROR(__xludf.DUMMYFUNCTION("VLOOKUP(C1620,IMPORTRANGE(""https://docs.google.com/spreadsheets/d/1ihFlp3_ePlYtFuPbUNbYj1muErVpI73WHXbEwJDIA7Q/edit#gid=1493122344"",""MTR!C:O""),8,false)"),"Complies")</f>
        <v>Complies</v>
      </c>
      <c r="O1620" s="241" t="str">
        <f>IFERROR(__xludf.DUMMYFUNCTION("VLOOKUP(C1620,IMPORTRANGE(""https://docs.google.com/spreadsheets/d/1P8eX0NWBhUPS_hvzA11R6jkTNFrPrRYIx_dX_hYbxrk/edit?resourcekey=0-iw9bsKY2OqkUHCFMkCar3A&amp;gid=2055363397#gid=2055363397"",""MTR!C:O""),9,false)"),"")</f>
        <v/>
      </c>
      <c r="P1620" s="241"/>
      <c r="Q1620" s="251" t="s">
        <v>445</v>
      </c>
      <c r="R1620" s="241"/>
      <c r="S1620" s="154" t="s">
        <v>60</v>
      </c>
      <c r="T1620" s="154" t="s">
        <v>60</v>
      </c>
      <c r="U1620" s="154" t="s">
        <v>60</v>
      </c>
      <c r="V1620" s="154" t="s">
        <v>60</v>
      </c>
      <c r="W1620" s="154" t="s">
        <v>60</v>
      </c>
      <c r="X1620" s="154" t="s">
        <v>60</v>
      </c>
      <c r="Y1620" s="154" t="s">
        <v>64</v>
      </c>
      <c r="Z1620" s="154" t="s">
        <v>64</v>
      </c>
      <c r="AA1620" s="154" t="s">
        <v>64</v>
      </c>
      <c r="AB1620" s="154"/>
      <c r="AC1620" s="242" t="b">
        <f t="shared" si="2"/>
        <v>1</v>
      </c>
      <c r="AD1620" s="154" t="s">
        <v>391</v>
      </c>
      <c r="AE1620" s="243" t="b">
        <f t="shared" si="3"/>
        <v>0</v>
      </c>
      <c r="AF1620" s="154"/>
      <c r="AG1620" s="243" t="b">
        <f t="shared" si="7"/>
        <v>0</v>
      </c>
      <c r="AH1620" s="154"/>
      <c r="AI1620" s="243" t="str">
        <f t="shared" si="5"/>
        <v>N/A</v>
      </c>
      <c r="AJ1620" s="157" t="str">
        <f t="shared" si="6"/>
        <v/>
      </c>
    </row>
    <row r="1621" ht="12.75" customHeight="1">
      <c r="A1621" s="244" t="s">
        <v>4158</v>
      </c>
      <c r="B1621" s="244" t="s">
        <v>4161</v>
      </c>
      <c r="C1621" s="244" t="s">
        <v>4213</v>
      </c>
      <c r="D1621" s="154" t="s">
        <v>2326</v>
      </c>
      <c r="E1621" s="250"/>
      <c r="F1621" s="154" t="str">
        <f t="array" ref="F1621">XLOOKUP(Cover!$D$12,$S$1:$AA$1,$S1621:$AA1621)</f>
        <v>Mandatory</v>
      </c>
      <c r="G1621" s="154" t="s">
        <v>4214</v>
      </c>
      <c r="H1621" s="154" t="s">
        <v>4186</v>
      </c>
      <c r="I1621" s="154" t="s">
        <v>632</v>
      </c>
      <c r="J1621" s="247" t="s">
        <v>445</v>
      </c>
      <c r="K1621" s="154"/>
      <c r="L1621" s="154" t="str">
        <f t="shared" si="1"/>
        <v/>
      </c>
      <c r="M1621" s="248" t="str">
        <f>IFERROR(__xludf.DUMMYFUNCTION("VLOOKUP(C1621,IMPORTRANGE(""https://docs.google.com/spreadsheets/d/1P8eX0NWBhUPS_hvzA11R6jkTNFrPrRYIx_dX_hYbxrk/edit?resourcekey=0-iw9bsKY2OqkUHCFMkCar3A&amp;gid=2055363397#gid=2055363397"",""MTR!C:O""),11,false)"),"PMW-MCE-NAS")</f>
        <v>PMW-MCE-NAS</v>
      </c>
      <c r="N1621" s="248" t="str">
        <f>IFERROR(__xludf.DUMMYFUNCTION("VLOOKUP(C1621,IMPORTRANGE(""https://docs.google.com/spreadsheets/d/1ihFlp3_ePlYtFuPbUNbYj1muErVpI73WHXbEwJDIA7Q/edit#gid=1493122344"",""MTR!C:O""),8,false)"),"Complies")</f>
        <v>Complies</v>
      </c>
      <c r="O1621" s="241" t="str">
        <f>IFERROR(__xludf.DUMMYFUNCTION("VLOOKUP(C1621,IMPORTRANGE(""https://docs.google.com/spreadsheets/d/1P8eX0NWBhUPS_hvzA11R6jkTNFrPrRYIx_dX_hYbxrk/edit?resourcekey=0-iw9bsKY2OqkUHCFMkCar3A&amp;gid=2055363397#gid=2055363397"",""MTR!C:O""),9,false)"),"")</f>
        <v/>
      </c>
      <c r="P1621" s="241"/>
      <c r="Q1621" s="251" t="s">
        <v>445</v>
      </c>
      <c r="R1621" s="241"/>
      <c r="S1621" s="154" t="s">
        <v>60</v>
      </c>
      <c r="T1621" s="154" t="s">
        <v>60</v>
      </c>
      <c r="U1621" s="154" t="s">
        <v>60</v>
      </c>
      <c r="V1621" s="154" t="s">
        <v>60</v>
      </c>
      <c r="W1621" s="154" t="s">
        <v>60</v>
      </c>
      <c r="X1621" s="154" t="s">
        <v>60</v>
      </c>
      <c r="Y1621" s="154" t="s">
        <v>64</v>
      </c>
      <c r="Z1621" s="154" t="s">
        <v>64</v>
      </c>
      <c r="AA1621" s="154" t="s">
        <v>64</v>
      </c>
      <c r="AB1621" s="154"/>
      <c r="AC1621" s="242" t="b">
        <f t="shared" si="2"/>
        <v>1</v>
      </c>
      <c r="AD1621" s="154" t="s">
        <v>391</v>
      </c>
      <c r="AE1621" s="243" t="b">
        <f t="shared" si="3"/>
        <v>0</v>
      </c>
      <c r="AF1621" s="154"/>
      <c r="AG1621" s="243" t="b">
        <f t="shared" si="7"/>
        <v>0</v>
      </c>
      <c r="AH1621" s="154"/>
      <c r="AI1621" s="243" t="str">
        <f t="shared" si="5"/>
        <v>N/A</v>
      </c>
      <c r="AJ1621" s="157" t="str">
        <f t="shared" si="6"/>
        <v/>
      </c>
    </row>
    <row r="1622" ht="12.75" customHeight="1">
      <c r="A1622" s="244" t="s">
        <v>4158</v>
      </c>
      <c r="B1622" s="244" t="s">
        <v>4161</v>
      </c>
      <c r="C1622" s="244" t="s">
        <v>4215</v>
      </c>
      <c r="D1622" s="154" t="s">
        <v>2326</v>
      </c>
      <c r="E1622" s="250"/>
      <c r="F1622" s="154" t="str">
        <f t="array" ref="F1622">XLOOKUP(Cover!$D$12,$S$1:$AA$1,$S1622:$AA1622)</f>
        <v>Mandatory</v>
      </c>
      <c r="G1622" s="154" t="s">
        <v>4216</v>
      </c>
      <c r="H1622" s="154" t="s">
        <v>345</v>
      </c>
      <c r="I1622" s="154" t="s">
        <v>632</v>
      </c>
      <c r="J1622" s="247" t="s">
        <v>445</v>
      </c>
      <c r="K1622" s="154"/>
      <c r="L1622" s="154" t="str">
        <f t="shared" si="1"/>
        <v/>
      </c>
      <c r="M1622" s="248" t="str">
        <f>IFERROR(__xludf.DUMMYFUNCTION("VLOOKUP(C1622,IMPORTRANGE(""https://docs.google.com/spreadsheets/d/1P8eX0NWBhUPS_hvzA11R6jkTNFrPrRYIx_dX_hYbxrk/edit?resourcekey=0-iw9bsKY2OqkUHCFMkCar3A&amp;gid=2055363397#gid=2055363397"",""MTR!C:O""),11,false)"),"PMW-MCE-NAS")</f>
        <v>PMW-MCE-NAS</v>
      </c>
      <c r="N1622" s="248" t="str">
        <f>IFERROR(__xludf.DUMMYFUNCTION("VLOOKUP(C1622,IMPORTRANGE(""https://docs.google.com/spreadsheets/d/1ihFlp3_ePlYtFuPbUNbYj1muErVpI73WHXbEwJDIA7Q/edit#gid=1493122344"",""MTR!C:O""),8,false)"),"Complies")</f>
        <v>Complies</v>
      </c>
      <c r="O1622" s="241" t="str">
        <f>IFERROR(__xludf.DUMMYFUNCTION("VLOOKUP(C1622,IMPORTRANGE(""https://docs.google.com/spreadsheets/d/1P8eX0NWBhUPS_hvzA11R6jkTNFrPrRYIx_dX_hYbxrk/edit?resourcekey=0-iw9bsKY2OqkUHCFMkCar3A&amp;gid=2055363397#gid=2055363397"",""MTR!C:O""),9,false)"),"")</f>
        <v/>
      </c>
      <c r="P1622" s="241"/>
      <c r="Q1622" s="251" t="s">
        <v>445</v>
      </c>
      <c r="R1622" s="241"/>
      <c r="S1622" s="154" t="s">
        <v>60</v>
      </c>
      <c r="T1622" s="154" t="s">
        <v>60</v>
      </c>
      <c r="U1622" s="154" t="s">
        <v>60</v>
      </c>
      <c r="V1622" s="154" t="s">
        <v>60</v>
      </c>
      <c r="W1622" s="154" t="s">
        <v>60</v>
      </c>
      <c r="X1622" s="154" t="s">
        <v>60</v>
      </c>
      <c r="Y1622" s="154" t="s">
        <v>64</v>
      </c>
      <c r="Z1622" s="154" t="s">
        <v>64</v>
      </c>
      <c r="AA1622" s="154" t="s">
        <v>64</v>
      </c>
      <c r="AB1622" s="154"/>
      <c r="AC1622" s="242" t="b">
        <f t="shared" si="2"/>
        <v>1</v>
      </c>
      <c r="AD1622" s="154" t="s">
        <v>391</v>
      </c>
      <c r="AE1622" s="243" t="b">
        <f t="shared" si="3"/>
        <v>0</v>
      </c>
      <c r="AF1622" s="154"/>
      <c r="AG1622" s="243" t="b">
        <f t="shared" si="7"/>
        <v>0</v>
      </c>
      <c r="AH1622" s="154"/>
      <c r="AI1622" s="243" t="str">
        <f t="shared" si="5"/>
        <v>N/A</v>
      </c>
      <c r="AJ1622" s="157" t="str">
        <f t="shared" si="6"/>
        <v/>
      </c>
    </row>
    <row r="1623" ht="12.75" customHeight="1">
      <c r="A1623" s="244" t="s">
        <v>4158</v>
      </c>
      <c r="B1623" s="244" t="s">
        <v>4161</v>
      </c>
      <c r="C1623" s="244" t="s">
        <v>4217</v>
      </c>
      <c r="D1623" s="154" t="s">
        <v>443</v>
      </c>
      <c r="E1623" s="250"/>
      <c r="F1623" s="154" t="str">
        <f t="array" ref="F1623">XLOOKUP(Cover!$D$12,$S$1:$AA$1,$S1623:$AA1623)</f>
        <v>Mandatory</v>
      </c>
      <c r="G1623" s="154" t="s">
        <v>4218</v>
      </c>
      <c r="H1623" s="154" t="s">
        <v>345</v>
      </c>
      <c r="I1623" s="154" t="s">
        <v>632</v>
      </c>
      <c r="J1623" s="247" t="s">
        <v>445</v>
      </c>
      <c r="K1623" s="154"/>
      <c r="L1623" s="154" t="str">
        <f t="shared" si="1"/>
        <v/>
      </c>
      <c r="M1623" s="248" t="str">
        <f>IFERROR(__xludf.DUMMYFUNCTION("VLOOKUP(C1623,IMPORTRANGE(""https://docs.google.com/spreadsheets/d/1P8eX0NWBhUPS_hvzA11R6jkTNFrPrRYIx_dX_hYbxrk/edit?resourcekey=0-iw9bsKY2OqkUHCFMkCar3A&amp;gid=2055363397#gid=2055363397"",""MTR!C:O""),11,false)"),"PMW-MCE-NAS")</f>
        <v>PMW-MCE-NAS</v>
      </c>
      <c r="N1623" s="248" t="str">
        <f>IFERROR(__xludf.DUMMYFUNCTION("VLOOKUP(C1623,IMPORTRANGE(""https://docs.google.com/spreadsheets/d/1ihFlp3_ePlYtFuPbUNbYj1muErVpI73WHXbEwJDIA7Q/edit#gid=1493122344"",""MTR!C:O""),8,false)"),"Complies")</f>
        <v>Complies</v>
      </c>
      <c r="O1623" s="241" t="str">
        <f>IFERROR(__xludf.DUMMYFUNCTION("VLOOKUP(C1623,IMPORTRANGE(""https://docs.google.com/spreadsheets/d/1P8eX0NWBhUPS_hvzA11R6jkTNFrPrRYIx_dX_hYbxrk/edit?resourcekey=0-iw9bsKY2OqkUHCFMkCar3A&amp;gid=2055363397#gid=2055363397"",""MTR!C:O""),9,false)"),"")</f>
        <v/>
      </c>
      <c r="P1623" s="241"/>
      <c r="Q1623" s="251" t="s">
        <v>445</v>
      </c>
      <c r="R1623" s="241"/>
      <c r="S1623" s="154" t="s">
        <v>60</v>
      </c>
      <c r="T1623" s="154" t="s">
        <v>60</v>
      </c>
      <c r="U1623" s="154" t="s">
        <v>60</v>
      </c>
      <c r="V1623" s="154" t="s">
        <v>60</v>
      </c>
      <c r="W1623" s="154" t="s">
        <v>60</v>
      </c>
      <c r="X1623" s="154" t="s">
        <v>60</v>
      </c>
      <c r="Y1623" s="154" t="s">
        <v>64</v>
      </c>
      <c r="Z1623" s="154" t="s">
        <v>64</v>
      </c>
      <c r="AA1623" s="154" t="s">
        <v>64</v>
      </c>
      <c r="AB1623" s="154"/>
      <c r="AC1623" s="242" t="b">
        <f t="shared" si="2"/>
        <v>1</v>
      </c>
      <c r="AD1623" s="154" t="s">
        <v>391</v>
      </c>
      <c r="AE1623" s="243" t="b">
        <f t="shared" si="3"/>
        <v>0</v>
      </c>
      <c r="AF1623" s="154"/>
      <c r="AG1623" s="243" t="b">
        <f t="shared" si="7"/>
        <v>0</v>
      </c>
      <c r="AH1623" s="154"/>
      <c r="AI1623" s="243" t="str">
        <f t="shared" si="5"/>
        <v>N/A</v>
      </c>
      <c r="AJ1623" s="157" t="str">
        <f t="shared" si="6"/>
        <v/>
      </c>
    </row>
    <row r="1624" ht="12.75" customHeight="1">
      <c r="A1624" s="244" t="s">
        <v>4158</v>
      </c>
      <c r="B1624" s="244" t="s">
        <v>4161</v>
      </c>
      <c r="C1624" s="244" t="s">
        <v>4219</v>
      </c>
      <c r="D1624" s="154" t="s">
        <v>443</v>
      </c>
      <c r="E1624" s="250"/>
      <c r="F1624" s="154" t="str">
        <f t="array" ref="F1624">XLOOKUP(Cover!$D$12,$S$1:$AA$1,$S1624:$AA1624)</f>
        <v>Mandatory</v>
      </c>
      <c r="G1624" s="154" t="s">
        <v>4220</v>
      </c>
      <c r="H1624" s="154" t="s">
        <v>345</v>
      </c>
      <c r="I1624" s="154" t="s">
        <v>632</v>
      </c>
      <c r="J1624" s="247" t="s">
        <v>445</v>
      </c>
      <c r="K1624" s="154"/>
      <c r="L1624" s="154" t="str">
        <f t="shared" si="1"/>
        <v/>
      </c>
      <c r="M1624" s="248" t="str">
        <f>IFERROR(__xludf.DUMMYFUNCTION("VLOOKUP(C1624,IMPORTRANGE(""https://docs.google.com/spreadsheets/d/1P8eX0NWBhUPS_hvzA11R6jkTNFrPrRYIx_dX_hYbxrk/edit?resourcekey=0-iw9bsKY2OqkUHCFMkCar3A&amp;gid=2055363397#gid=2055363397"",""MTR!C:O""),11,false)"),"PMW-MCE-NAS")</f>
        <v>PMW-MCE-NAS</v>
      </c>
      <c r="N1624" s="248" t="str">
        <f>IFERROR(__xludf.DUMMYFUNCTION("VLOOKUP(C1624,IMPORTRANGE(""https://docs.google.com/spreadsheets/d/1ihFlp3_ePlYtFuPbUNbYj1muErVpI73WHXbEwJDIA7Q/edit#gid=1493122344"",""MTR!C:O""),8,false)"),"Complies")</f>
        <v>Complies</v>
      </c>
      <c r="O1624" s="241" t="str">
        <f>IFERROR(__xludf.DUMMYFUNCTION("VLOOKUP(C1624,IMPORTRANGE(""https://docs.google.com/spreadsheets/d/1P8eX0NWBhUPS_hvzA11R6jkTNFrPrRYIx_dX_hYbxrk/edit?resourcekey=0-iw9bsKY2OqkUHCFMkCar3A&amp;gid=2055363397#gid=2055363397"",""MTR!C:O""),9,false)"),"")</f>
        <v/>
      </c>
      <c r="P1624" s="241"/>
      <c r="Q1624" s="251" t="s">
        <v>445</v>
      </c>
      <c r="R1624" s="241"/>
      <c r="S1624" s="154" t="s">
        <v>60</v>
      </c>
      <c r="T1624" s="154" t="s">
        <v>60</v>
      </c>
      <c r="U1624" s="154" t="s">
        <v>60</v>
      </c>
      <c r="V1624" s="154" t="s">
        <v>60</v>
      </c>
      <c r="W1624" s="154" t="s">
        <v>60</v>
      </c>
      <c r="X1624" s="154" t="s">
        <v>60</v>
      </c>
      <c r="Y1624" s="154" t="s">
        <v>64</v>
      </c>
      <c r="Z1624" s="154" t="s">
        <v>64</v>
      </c>
      <c r="AA1624" s="154" t="s">
        <v>64</v>
      </c>
      <c r="AB1624" s="154"/>
      <c r="AC1624" s="242" t="b">
        <f t="shared" si="2"/>
        <v>1</v>
      </c>
      <c r="AD1624" s="154" t="s">
        <v>391</v>
      </c>
      <c r="AE1624" s="243" t="b">
        <f t="shared" si="3"/>
        <v>0</v>
      </c>
      <c r="AF1624" s="154"/>
      <c r="AG1624" s="243" t="b">
        <f t="shared" si="7"/>
        <v>0</v>
      </c>
      <c r="AH1624" s="154"/>
      <c r="AI1624" s="243" t="str">
        <f t="shared" si="5"/>
        <v>N/A</v>
      </c>
      <c r="AJ1624" s="157" t="str">
        <f t="shared" si="6"/>
        <v/>
      </c>
    </row>
    <row r="1625" ht="12.75" customHeight="1">
      <c r="A1625" s="244" t="s">
        <v>4158</v>
      </c>
      <c r="B1625" s="244" t="s">
        <v>4161</v>
      </c>
      <c r="C1625" s="244" t="s">
        <v>4221</v>
      </c>
      <c r="D1625" s="154" t="s">
        <v>443</v>
      </c>
      <c r="E1625" s="250"/>
      <c r="F1625" s="154" t="str">
        <f t="array" ref="F1625">XLOOKUP(Cover!$D$12,$S$1:$AA$1,$S1625:$AA1625)</f>
        <v>Mandatory</v>
      </c>
      <c r="G1625" s="154" t="s">
        <v>4222</v>
      </c>
      <c r="H1625" s="154" t="s">
        <v>345</v>
      </c>
      <c r="I1625" s="154" t="s">
        <v>632</v>
      </c>
      <c r="J1625" s="247" t="s">
        <v>445</v>
      </c>
      <c r="K1625" s="154"/>
      <c r="L1625" s="154" t="str">
        <f t="shared" si="1"/>
        <v/>
      </c>
      <c r="M1625" s="248" t="str">
        <f>IFERROR(__xludf.DUMMYFUNCTION("VLOOKUP(C1625,IMPORTRANGE(""https://docs.google.com/spreadsheets/d/1P8eX0NWBhUPS_hvzA11R6jkTNFrPrRYIx_dX_hYbxrk/edit?resourcekey=0-iw9bsKY2OqkUHCFMkCar3A&amp;gid=2055363397#gid=2055363397"",""MTR!C:O""),11,false)"),"PMW-MCE-NAS")</f>
        <v>PMW-MCE-NAS</v>
      </c>
      <c r="N1625" s="248" t="str">
        <f>IFERROR(__xludf.DUMMYFUNCTION("VLOOKUP(C1625,IMPORTRANGE(""https://docs.google.com/spreadsheets/d/1ihFlp3_ePlYtFuPbUNbYj1muErVpI73WHXbEwJDIA7Q/edit#gid=1493122344"",""MTR!C:O""),8,false)"),"Complies")</f>
        <v>Complies</v>
      </c>
      <c r="O1625" s="241" t="str">
        <f>IFERROR(__xludf.DUMMYFUNCTION("VLOOKUP(C1625,IMPORTRANGE(""https://docs.google.com/spreadsheets/d/1P8eX0NWBhUPS_hvzA11R6jkTNFrPrRYIx_dX_hYbxrk/edit?resourcekey=0-iw9bsKY2OqkUHCFMkCar3A&amp;gid=2055363397#gid=2055363397"",""MTR!C:O""),9,false)"),"")</f>
        <v/>
      </c>
      <c r="P1625" s="241"/>
      <c r="Q1625" s="251" t="s">
        <v>445</v>
      </c>
      <c r="R1625" s="241"/>
      <c r="S1625" s="154" t="s">
        <v>60</v>
      </c>
      <c r="T1625" s="154" t="s">
        <v>60</v>
      </c>
      <c r="U1625" s="154" t="s">
        <v>60</v>
      </c>
      <c r="V1625" s="154" t="s">
        <v>60</v>
      </c>
      <c r="W1625" s="154" t="s">
        <v>60</v>
      </c>
      <c r="X1625" s="154" t="s">
        <v>60</v>
      </c>
      <c r="Y1625" s="154" t="s">
        <v>64</v>
      </c>
      <c r="Z1625" s="154" t="s">
        <v>64</v>
      </c>
      <c r="AA1625" s="154" t="s">
        <v>64</v>
      </c>
      <c r="AB1625" s="154"/>
      <c r="AC1625" s="242" t="b">
        <f t="shared" si="2"/>
        <v>1</v>
      </c>
      <c r="AD1625" s="154" t="s">
        <v>391</v>
      </c>
      <c r="AE1625" s="243" t="b">
        <f t="shared" si="3"/>
        <v>0</v>
      </c>
      <c r="AF1625" s="154"/>
      <c r="AG1625" s="243" t="b">
        <f t="shared" si="7"/>
        <v>0</v>
      </c>
      <c r="AH1625" s="154"/>
      <c r="AI1625" s="243" t="str">
        <f t="shared" si="5"/>
        <v>N/A</v>
      </c>
      <c r="AJ1625" s="157" t="str">
        <f t="shared" si="6"/>
        <v/>
      </c>
    </row>
    <row r="1626" ht="12.75" customHeight="1">
      <c r="A1626" s="244" t="s">
        <v>4158</v>
      </c>
      <c r="B1626" s="244" t="s">
        <v>4161</v>
      </c>
      <c r="C1626" s="244" t="s">
        <v>4223</v>
      </c>
      <c r="D1626" s="154" t="s">
        <v>484</v>
      </c>
      <c r="E1626" s="250"/>
      <c r="F1626" s="154" t="str">
        <f t="array" ref="F1626">XLOOKUP(Cover!$D$12,$S$1:$AA$1,$S1626:$AA1626)</f>
        <v>Mandatory</v>
      </c>
      <c r="G1626" s="154" t="s">
        <v>4224</v>
      </c>
      <c r="H1626" s="154" t="s">
        <v>345</v>
      </c>
      <c r="I1626" s="154" t="s">
        <v>632</v>
      </c>
      <c r="J1626" s="247" t="s">
        <v>506</v>
      </c>
      <c r="K1626" s="247" t="s">
        <v>4225</v>
      </c>
      <c r="L1626" s="154" t="str">
        <f t="shared" si="1"/>
        <v/>
      </c>
      <c r="M1626" s="248" t="str">
        <f>IFERROR(__xludf.DUMMYFUNCTION("VLOOKUP(C1626,IMPORTRANGE(""https://docs.google.com/spreadsheets/d/1P8eX0NWBhUPS_hvzA11R6jkTNFrPrRYIx_dX_hYbxrk/edit?resourcekey=0-iw9bsKY2OqkUHCFMkCar3A&amp;gid=2055363397#gid=2055363397"",""MTR!C:O""),11,false)"),"TAM")</f>
        <v>TAM</v>
      </c>
      <c r="N1626" s="248" t="str">
        <f>IFERROR(__xludf.DUMMYFUNCTION("VLOOKUP(C1626,IMPORTRANGE(""https://docs.google.com/spreadsheets/d/1ihFlp3_ePlYtFuPbUNbYj1muErVpI73WHXbEwJDIA7Q/edit#gid=1493122344"",""MTR!C:O""),8,false)"),"Partially Complies")</f>
        <v>Partially Complies</v>
      </c>
      <c r="O1626" s="248" t="str">
        <f>IFERROR(__xludf.DUMMYFUNCTION("VLOOKUP(C1626,IMPORTRANGE(""https://docs.google.com/spreadsheets/d/1P8eX0NWBhUPS_hvzA11R6jkTNFrPrRYIx_dX_hYbxrk/edit?resourcekey=0-iw9bsKY2OqkUHCFMkCar3A&amp;gid=2055363397#gid=2055363397"",""MTR!C:O""),9,false)"),"Does support Call Barring but the UI is default off as DT_DE network does not supports following features, AO/OX/BAIC/BAICRoam/BAIC/BOICexHC.
Please contact with Google TAM for further feature enablement plans")</f>
        <v>Does support Call Barring but the UI is default off as DT_DE network does not supports following features, AO/OX/BAIC/BAICRoam/BAIC/BOICexHC.
Please contact with Google TAM for further feature enablement plans</v>
      </c>
      <c r="P1626" s="248"/>
      <c r="Q1626" s="249" t="s">
        <v>506</v>
      </c>
      <c r="R1626" s="249" t="s">
        <v>4225</v>
      </c>
      <c r="S1626" s="154" t="s">
        <v>60</v>
      </c>
      <c r="T1626" s="154" t="s">
        <v>60</v>
      </c>
      <c r="U1626" s="154" t="s">
        <v>60</v>
      </c>
      <c r="V1626" s="154" t="s">
        <v>60</v>
      </c>
      <c r="W1626" s="154" t="s">
        <v>60</v>
      </c>
      <c r="X1626" s="154" t="s">
        <v>60</v>
      </c>
      <c r="Y1626" s="154" t="s">
        <v>64</v>
      </c>
      <c r="Z1626" s="154" t="s">
        <v>64</v>
      </c>
      <c r="AA1626" s="154" t="s">
        <v>64</v>
      </c>
      <c r="AB1626" s="154"/>
      <c r="AC1626" s="242" t="b">
        <f t="shared" si="2"/>
        <v>1</v>
      </c>
      <c r="AD1626" s="154" t="s">
        <v>391</v>
      </c>
      <c r="AE1626" s="243" t="b">
        <f t="shared" si="3"/>
        <v>0</v>
      </c>
      <c r="AF1626" s="154"/>
      <c r="AG1626" s="243" t="b">
        <f t="shared" si="7"/>
        <v>0</v>
      </c>
      <c r="AH1626" s="154"/>
      <c r="AI1626" s="243" t="str">
        <f t="shared" si="5"/>
        <v>N/A</v>
      </c>
      <c r="AJ1626" s="157" t="str">
        <f t="shared" si="6"/>
        <v/>
      </c>
    </row>
    <row r="1627" ht="12.75" customHeight="1">
      <c r="A1627" s="244" t="s">
        <v>4158</v>
      </c>
      <c r="B1627" s="244" t="s">
        <v>4161</v>
      </c>
      <c r="C1627" s="244" t="s">
        <v>4226</v>
      </c>
      <c r="D1627" s="154" t="s">
        <v>2326</v>
      </c>
      <c r="E1627" s="250"/>
      <c r="F1627" s="154" t="str">
        <f t="array" ref="F1627">XLOOKUP(Cover!$D$12,$S$1:$AA$1,$S1627:$AA1627)</f>
        <v>Mandatory</v>
      </c>
      <c r="G1627" s="154" t="s">
        <v>4227</v>
      </c>
      <c r="H1627" s="154" t="s">
        <v>345</v>
      </c>
      <c r="I1627" s="154" t="s">
        <v>632</v>
      </c>
      <c r="J1627" s="247" t="s">
        <v>445</v>
      </c>
      <c r="K1627" s="247"/>
      <c r="L1627" s="154" t="str">
        <f t="shared" si="1"/>
        <v/>
      </c>
      <c r="M1627" s="248" t="str">
        <f>IFERROR(__xludf.DUMMYFUNCTION("VLOOKUP(C1627,IMPORTRANGE(""https://docs.google.com/spreadsheets/d/1P8eX0NWBhUPS_hvzA11R6jkTNFrPrRYIx_dX_hYbxrk/edit?resourcekey=0-iw9bsKY2OqkUHCFMkCar3A&amp;gid=2055363397#gid=2055363397"",""MTR!C:O""),11,false)"),"PMW-MCE-NAS")</f>
        <v>PMW-MCE-NAS</v>
      </c>
      <c r="N1627" s="248" t="str">
        <f>IFERROR(__xludf.DUMMYFUNCTION("VLOOKUP(C1627,IMPORTRANGE(""https://docs.google.com/spreadsheets/d/1ihFlp3_ePlYtFuPbUNbYj1muErVpI73WHXbEwJDIA7Q/edit#gid=1493122344"",""MTR!C:O""),8,false)"),"Complies")</f>
        <v>Complies</v>
      </c>
      <c r="O1627" s="241" t="str">
        <f>IFERROR(__xludf.DUMMYFUNCTION("VLOOKUP(C1627,IMPORTRANGE(""https://docs.google.com/spreadsheets/d/1P8eX0NWBhUPS_hvzA11R6jkTNFrPrRYIx_dX_hYbxrk/edit?resourcekey=0-iw9bsKY2OqkUHCFMkCar3A&amp;gid=2055363397#gid=2055363397"",""MTR!C:O""),9,false)"),"")</f>
        <v/>
      </c>
      <c r="P1627" s="241"/>
      <c r="Q1627" s="251" t="s">
        <v>445</v>
      </c>
      <c r="R1627" s="251"/>
      <c r="S1627" s="154" t="s">
        <v>60</v>
      </c>
      <c r="T1627" s="154" t="s">
        <v>60</v>
      </c>
      <c r="U1627" s="154" t="s">
        <v>60</v>
      </c>
      <c r="V1627" s="154" t="s">
        <v>60</v>
      </c>
      <c r="W1627" s="154" t="s">
        <v>60</v>
      </c>
      <c r="X1627" s="154" t="s">
        <v>60</v>
      </c>
      <c r="Y1627" s="154" t="s">
        <v>64</v>
      </c>
      <c r="Z1627" s="154" t="s">
        <v>64</v>
      </c>
      <c r="AA1627" s="154" t="s">
        <v>64</v>
      </c>
      <c r="AB1627" s="154"/>
      <c r="AC1627" s="242" t="b">
        <f t="shared" si="2"/>
        <v>1</v>
      </c>
      <c r="AD1627" s="154" t="s">
        <v>391</v>
      </c>
      <c r="AE1627" s="243" t="b">
        <f t="shared" si="3"/>
        <v>0</v>
      </c>
      <c r="AF1627" s="154"/>
      <c r="AG1627" s="243" t="b">
        <f t="shared" si="7"/>
        <v>0</v>
      </c>
      <c r="AH1627" s="154"/>
      <c r="AI1627" s="243" t="str">
        <f t="shared" si="5"/>
        <v>N/A</v>
      </c>
      <c r="AJ1627" s="157" t="str">
        <f t="shared" si="6"/>
        <v/>
      </c>
    </row>
    <row r="1628" ht="12.75" customHeight="1">
      <c r="A1628" s="244" t="s">
        <v>4158</v>
      </c>
      <c r="B1628" s="244" t="s">
        <v>4161</v>
      </c>
      <c r="C1628" s="244" t="s">
        <v>4228</v>
      </c>
      <c r="D1628" s="154" t="s">
        <v>443</v>
      </c>
      <c r="E1628" s="250"/>
      <c r="F1628" s="154" t="str">
        <f t="array" ref="F1628">XLOOKUP(Cover!$D$12,$S$1:$AA$1,$S1628:$AA1628)</f>
        <v>Mandatory</v>
      </c>
      <c r="G1628" s="154" t="s">
        <v>4229</v>
      </c>
      <c r="H1628" s="154" t="s">
        <v>345</v>
      </c>
      <c r="I1628" s="154" t="s">
        <v>632</v>
      </c>
      <c r="J1628" s="247" t="s">
        <v>445</v>
      </c>
      <c r="K1628" s="154"/>
      <c r="L1628" s="154" t="str">
        <f t="shared" si="1"/>
        <v/>
      </c>
      <c r="M1628" s="248" t="str">
        <f>IFERROR(__xludf.DUMMYFUNCTION("VLOOKUP(C1628,IMPORTRANGE(""https://docs.google.com/spreadsheets/d/1P8eX0NWBhUPS_hvzA11R6jkTNFrPrRYIx_dX_hYbxrk/edit?resourcekey=0-iw9bsKY2OqkUHCFMkCar3A&amp;gid=2055363397#gid=2055363397"",""MTR!C:O""),11,false)"),"PMW-MCE-NAS")</f>
        <v>PMW-MCE-NAS</v>
      </c>
      <c r="N1628" s="248" t="str">
        <f>IFERROR(__xludf.DUMMYFUNCTION("VLOOKUP(C1628,IMPORTRANGE(""https://docs.google.com/spreadsheets/d/1ihFlp3_ePlYtFuPbUNbYj1muErVpI73WHXbEwJDIA7Q/edit#gid=1493122344"",""MTR!C:O""),8,false)"),"Complies")</f>
        <v>Complies</v>
      </c>
      <c r="O1628" s="241" t="str">
        <f>IFERROR(__xludf.DUMMYFUNCTION("VLOOKUP(C1628,IMPORTRANGE(""https://docs.google.com/spreadsheets/d/1P8eX0NWBhUPS_hvzA11R6jkTNFrPrRYIx_dX_hYbxrk/edit?resourcekey=0-iw9bsKY2OqkUHCFMkCar3A&amp;gid=2055363397#gid=2055363397"",""MTR!C:O""),9,false)"),"")</f>
        <v/>
      </c>
      <c r="P1628" s="241"/>
      <c r="Q1628" s="251" t="s">
        <v>445</v>
      </c>
      <c r="R1628" s="241"/>
      <c r="S1628" s="154" t="s">
        <v>60</v>
      </c>
      <c r="T1628" s="154" t="s">
        <v>60</v>
      </c>
      <c r="U1628" s="154" t="s">
        <v>60</v>
      </c>
      <c r="V1628" s="154" t="s">
        <v>60</v>
      </c>
      <c r="W1628" s="154" t="s">
        <v>60</v>
      </c>
      <c r="X1628" s="154" t="s">
        <v>60</v>
      </c>
      <c r="Y1628" s="154" t="s">
        <v>64</v>
      </c>
      <c r="Z1628" s="154" t="s">
        <v>64</v>
      </c>
      <c r="AA1628" s="154" t="s">
        <v>64</v>
      </c>
      <c r="AB1628" s="154"/>
      <c r="AC1628" s="242" t="b">
        <f t="shared" si="2"/>
        <v>1</v>
      </c>
      <c r="AD1628" s="154" t="s">
        <v>391</v>
      </c>
      <c r="AE1628" s="243" t="b">
        <f t="shared" si="3"/>
        <v>0</v>
      </c>
      <c r="AF1628" s="154"/>
      <c r="AG1628" s="243" t="b">
        <f t="shared" si="7"/>
        <v>0</v>
      </c>
      <c r="AH1628" s="154"/>
      <c r="AI1628" s="243" t="str">
        <f t="shared" si="5"/>
        <v>N/A</v>
      </c>
      <c r="AJ1628" s="157" t="str">
        <f t="shared" si="6"/>
        <v/>
      </c>
    </row>
    <row r="1629" ht="12.75" customHeight="1">
      <c r="A1629" s="244" t="s">
        <v>4158</v>
      </c>
      <c r="B1629" s="244" t="s">
        <v>4161</v>
      </c>
      <c r="C1629" s="244" t="s">
        <v>4230</v>
      </c>
      <c r="D1629" s="154" t="s">
        <v>443</v>
      </c>
      <c r="E1629" s="250"/>
      <c r="F1629" s="154" t="str">
        <f t="array" ref="F1629">XLOOKUP(Cover!$D$12,$S$1:$AA$1,$S1629:$AA1629)</f>
        <v>Mandatory</v>
      </c>
      <c r="G1629" s="154" t="s">
        <v>4231</v>
      </c>
      <c r="H1629" s="154" t="s">
        <v>345</v>
      </c>
      <c r="I1629" s="154" t="s">
        <v>632</v>
      </c>
      <c r="J1629" s="247" t="s">
        <v>445</v>
      </c>
      <c r="K1629" s="154"/>
      <c r="L1629" s="154" t="str">
        <f t="shared" si="1"/>
        <v/>
      </c>
      <c r="M1629" s="248" t="str">
        <f>IFERROR(__xludf.DUMMYFUNCTION("VLOOKUP(C1629,IMPORTRANGE(""https://docs.google.com/spreadsheets/d/1P8eX0NWBhUPS_hvzA11R6jkTNFrPrRYIx_dX_hYbxrk/edit?resourcekey=0-iw9bsKY2OqkUHCFMkCar3A&amp;gid=2055363397#gid=2055363397"",""MTR!C:O""),11,false)"),"PMW-MCE-NAS")</f>
        <v>PMW-MCE-NAS</v>
      </c>
      <c r="N1629" s="248" t="str">
        <f>IFERROR(__xludf.DUMMYFUNCTION("VLOOKUP(C1629,IMPORTRANGE(""https://docs.google.com/spreadsheets/d/1ihFlp3_ePlYtFuPbUNbYj1muErVpI73WHXbEwJDIA7Q/edit#gid=1493122344"",""MTR!C:O""),8,false)"),"Complies")</f>
        <v>Complies</v>
      </c>
      <c r="O1629" s="241" t="str">
        <f>IFERROR(__xludf.DUMMYFUNCTION("VLOOKUP(C1629,IMPORTRANGE(""https://docs.google.com/spreadsheets/d/1P8eX0NWBhUPS_hvzA11R6jkTNFrPrRYIx_dX_hYbxrk/edit?resourcekey=0-iw9bsKY2OqkUHCFMkCar3A&amp;gid=2055363397#gid=2055363397"",""MTR!C:O""),9,false)"),"")</f>
        <v/>
      </c>
      <c r="P1629" s="241"/>
      <c r="Q1629" s="251" t="s">
        <v>445</v>
      </c>
      <c r="R1629" s="241"/>
      <c r="S1629" s="154" t="s">
        <v>60</v>
      </c>
      <c r="T1629" s="154" t="s">
        <v>60</v>
      </c>
      <c r="U1629" s="154" t="s">
        <v>60</v>
      </c>
      <c r="V1629" s="154" t="s">
        <v>60</v>
      </c>
      <c r="W1629" s="154" t="s">
        <v>60</v>
      </c>
      <c r="X1629" s="154" t="s">
        <v>60</v>
      </c>
      <c r="Y1629" s="154" t="s">
        <v>64</v>
      </c>
      <c r="Z1629" s="154" t="s">
        <v>64</v>
      </c>
      <c r="AA1629" s="154" t="s">
        <v>64</v>
      </c>
      <c r="AB1629" s="154"/>
      <c r="AC1629" s="242" t="b">
        <f t="shared" si="2"/>
        <v>1</v>
      </c>
      <c r="AD1629" s="154" t="s">
        <v>391</v>
      </c>
      <c r="AE1629" s="243" t="b">
        <f t="shared" si="3"/>
        <v>0</v>
      </c>
      <c r="AF1629" s="154"/>
      <c r="AG1629" s="243" t="b">
        <f t="shared" si="7"/>
        <v>0</v>
      </c>
      <c r="AH1629" s="154"/>
      <c r="AI1629" s="243" t="str">
        <f t="shared" si="5"/>
        <v>N/A</v>
      </c>
      <c r="AJ1629" s="157" t="str">
        <f t="shared" si="6"/>
        <v/>
      </c>
    </row>
    <row r="1630" ht="12.75" customHeight="1">
      <c r="A1630" s="244" t="s">
        <v>4158</v>
      </c>
      <c r="B1630" s="244" t="s">
        <v>4161</v>
      </c>
      <c r="C1630" s="244" t="s">
        <v>4232</v>
      </c>
      <c r="D1630" s="154" t="s">
        <v>443</v>
      </c>
      <c r="E1630" s="250"/>
      <c r="F1630" s="154" t="str">
        <f t="array" ref="F1630">XLOOKUP(Cover!$D$12,$S$1:$AA$1,$S1630:$AA1630)</f>
        <v>Mandatory</v>
      </c>
      <c r="G1630" s="154" t="s">
        <v>4233</v>
      </c>
      <c r="H1630" s="154" t="s">
        <v>345</v>
      </c>
      <c r="I1630" s="154" t="s">
        <v>632</v>
      </c>
      <c r="J1630" s="247" t="s">
        <v>445</v>
      </c>
      <c r="K1630" s="154"/>
      <c r="L1630" s="154" t="str">
        <f t="shared" si="1"/>
        <v/>
      </c>
      <c r="M1630" s="248" t="str">
        <f>IFERROR(__xludf.DUMMYFUNCTION("VLOOKUP(C1630,IMPORTRANGE(""https://docs.google.com/spreadsheets/d/1P8eX0NWBhUPS_hvzA11R6jkTNFrPrRYIx_dX_hYbxrk/edit?resourcekey=0-iw9bsKY2OqkUHCFMkCar3A&amp;gid=2055363397#gid=2055363397"",""MTR!C:O""),11,false)"),"PMW-MCE-NAS")</f>
        <v>PMW-MCE-NAS</v>
      </c>
      <c r="N1630" s="248" t="str">
        <f>IFERROR(__xludf.DUMMYFUNCTION("VLOOKUP(C1630,IMPORTRANGE(""https://docs.google.com/spreadsheets/d/1ihFlp3_ePlYtFuPbUNbYj1muErVpI73WHXbEwJDIA7Q/edit#gid=1493122344"",""MTR!C:O""),8,false)"),"Complies")</f>
        <v>Complies</v>
      </c>
      <c r="O1630" s="241" t="str">
        <f>IFERROR(__xludf.DUMMYFUNCTION("VLOOKUP(C1630,IMPORTRANGE(""https://docs.google.com/spreadsheets/d/1P8eX0NWBhUPS_hvzA11R6jkTNFrPrRYIx_dX_hYbxrk/edit?resourcekey=0-iw9bsKY2OqkUHCFMkCar3A&amp;gid=2055363397#gid=2055363397"",""MTR!C:O""),9,false)"),"")</f>
        <v/>
      </c>
      <c r="P1630" s="241"/>
      <c r="Q1630" s="251" t="s">
        <v>445</v>
      </c>
      <c r="R1630" s="241"/>
      <c r="S1630" s="154" t="s">
        <v>60</v>
      </c>
      <c r="T1630" s="154" t="s">
        <v>60</v>
      </c>
      <c r="U1630" s="154" t="s">
        <v>60</v>
      </c>
      <c r="V1630" s="154" t="s">
        <v>60</v>
      </c>
      <c r="W1630" s="154" t="s">
        <v>60</v>
      </c>
      <c r="X1630" s="154" t="s">
        <v>60</v>
      </c>
      <c r="Y1630" s="154" t="s">
        <v>64</v>
      </c>
      <c r="Z1630" s="154" t="s">
        <v>64</v>
      </c>
      <c r="AA1630" s="154" t="s">
        <v>64</v>
      </c>
      <c r="AB1630" s="154"/>
      <c r="AC1630" s="242" t="b">
        <f t="shared" si="2"/>
        <v>1</v>
      </c>
      <c r="AD1630" s="154" t="s">
        <v>391</v>
      </c>
      <c r="AE1630" s="243" t="b">
        <f t="shared" si="3"/>
        <v>0</v>
      </c>
      <c r="AF1630" s="154"/>
      <c r="AG1630" s="243" t="b">
        <f t="shared" si="7"/>
        <v>0</v>
      </c>
      <c r="AH1630" s="154"/>
      <c r="AI1630" s="243" t="str">
        <f t="shared" si="5"/>
        <v>N/A</v>
      </c>
      <c r="AJ1630" s="157" t="str">
        <f t="shared" si="6"/>
        <v/>
      </c>
    </row>
    <row r="1631" ht="12.75" customHeight="1">
      <c r="A1631" s="244" t="s">
        <v>4158</v>
      </c>
      <c r="B1631" s="244" t="s">
        <v>4161</v>
      </c>
      <c r="C1631" s="244" t="s">
        <v>4234</v>
      </c>
      <c r="D1631" s="154" t="s">
        <v>630</v>
      </c>
      <c r="E1631" s="250"/>
      <c r="F1631" s="154" t="str">
        <f t="array" ref="F1631">XLOOKUP(Cover!$D$12,$S$1:$AA$1,$S1631:$AA1631)</f>
        <v>Mandatory</v>
      </c>
      <c r="G1631" s="154" t="s">
        <v>4235</v>
      </c>
      <c r="H1631" s="154" t="s">
        <v>345</v>
      </c>
      <c r="I1631" s="154" t="s">
        <v>632</v>
      </c>
      <c r="J1631" s="247" t="s">
        <v>445</v>
      </c>
      <c r="K1631" s="154"/>
      <c r="L1631" s="154" t="str">
        <f t="shared" si="1"/>
        <v/>
      </c>
      <c r="M1631" s="248" t="str">
        <f>IFERROR(__xludf.DUMMYFUNCTION("VLOOKUP(C1631,IMPORTRANGE(""https://docs.google.com/spreadsheets/d/1P8eX0NWBhUPS_hvzA11R6jkTNFrPrRYIx_dX_hYbxrk/edit?resourcekey=0-iw9bsKY2OqkUHCFMkCar3A&amp;gid=2055363397#gid=2055363397"",""MTR!C:O""),11,false)"),"PMW-MCE-NAS")</f>
        <v>PMW-MCE-NAS</v>
      </c>
      <c r="N1631" s="248" t="str">
        <f>IFERROR(__xludf.DUMMYFUNCTION("VLOOKUP(C1631,IMPORTRANGE(""https://docs.google.com/spreadsheets/d/1ihFlp3_ePlYtFuPbUNbYj1muErVpI73WHXbEwJDIA7Q/edit#gid=1493122344"",""MTR!C:O""),8,false)"),"Complies")</f>
        <v>Complies</v>
      </c>
      <c r="O1631" s="241" t="str">
        <f>IFERROR(__xludf.DUMMYFUNCTION("VLOOKUP(C1631,IMPORTRANGE(""https://docs.google.com/spreadsheets/d/1P8eX0NWBhUPS_hvzA11R6jkTNFrPrRYIx_dX_hYbxrk/edit?resourcekey=0-iw9bsKY2OqkUHCFMkCar3A&amp;gid=2055363397#gid=2055363397"",""MTR!C:O""),9,false)"),"")</f>
        <v/>
      </c>
      <c r="P1631" s="241"/>
      <c r="Q1631" s="251" t="s">
        <v>445</v>
      </c>
      <c r="R1631" s="241"/>
      <c r="S1631" s="154" t="s">
        <v>60</v>
      </c>
      <c r="T1631" s="154" t="s">
        <v>60</v>
      </c>
      <c r="U1631" s="154" t="s">
        <v>60</v>
      </c>
      <c r="V1631" s="154" t="s">
        <v>60</v>
      </c>
      <c r="W1631" s="154" t="s">
        <v>60</v>
      </c>
      <c r="X1631" s="154" t="s">
        <v>60</v>
      </c>
      <c r="Y1631" s="154" t="s">
        <v>64</v>
      </c>
      <c r="Z1631" s="154" t="s">
        <v>64</v>
      </c>
      <c r="AA1631" s="154" t="s">
        <v>64</v>
      </c>
      <c r="AB1631" s="154"/>
      <c r="AC1631" s="242" t="b">
        <f t="shared" si="2"/>
        <v>1</v>
      </c>
      <c r="AD1631" s="154" t="s">
        <v>391</v>
      </c>
      <c r="AE1631" s="243" t="b">
        <f t="shared" si="3"/>
        <v>0</v>
      </c>
      <c r="AF1631" s="154"/>
      <c r="AG1631" s="243" t="b">
        <f t="shared" si="7"/>
        <v>0</v>
      </c>
      <c r="AH1631" s="154"/>
      <c r="AI1631" s="243" t="str">
        <f t="shared" si="5"/>
        <v>N/A</v>
      </c>
      <c r="AJ1631" s="157" t="str">
        <f t="shared" si="6"/>
        <v/>
      </c>
    </row>
    <row r="1632" ht="12.75" customHeight="1">
      <c r="A1632" s="244" t="s">
        <v>4158</v>
      </c>
      <c r="B1632" s="244" t="s">
        <v>4161</v>
      </c>
      <c r="C1632" s="244" t="s">
        <v>4236</v>
      </c>
      <c r="D1632" s="154" t="s">
        <v>630</v>
      </c>
      <c r="E1632" s="250"/>
      <c r="F1632" s="154" t="str">
        <f t="array" ref="F1632">XLOOKUP(Cover!$D$12,$S$1:$AA$1,$S1632:$AA1632)</f>
        <v>Mandatory</v>
      </c>
      <c r="G1632" s="154" t="s">
        <v>4237</v>
      </c>
      <c r="H1632" s="154" t="s">
        <v>345</v>
      </c>
      <c r="I1632" s="154" t="s">
        <v>632</v>
      </c>
      <c r="J1632" s="247" t="s">
        <v>445</v>
      </c>
      <c r="K1632" s="154"/>
      <c r="L1632" s="154" t="str">
        <f t="shared" si="1"/>
        <v/>
      </c>
      <c r="M1632" s="248" t="str">
        <f>IFERROR(__xludf.DUMMYFUNCTION("VLOOKUP(C1632,IMPORTRANGE(""https://docs.google.com/spreadsheets/d/1P8eX0NWBhUPS_hvzA11R6jkTNFrPrRYIx_dX_hYbxrk/edit?resourcekey=0-iw9bsKY2OqkUHCFMkCar3A&amp;gid=2055363397#gid=2055363397"",""MTR!C:O""),11,false)"),"PMW-MCE-NAS")</f>
        <v>PMW-MCE-NAS</v>
      </c>
      <c r="N1632" s="248" t="str">
        <f>IFERROR(__xludf.DUMMYFUNCTION("VLOOKUP(C1632,IMPORTRANGE(""https://docs.google.com/spreadsheets/d/1ihFlp3_ePlYtFuPbUNbYj1muErVpI73WHXbEwJDIA7Q/edit#gid=1493122344"",""MTR!C:O""),8,false)"),"Complies")</f>
        <v>Complies</v>
      </c>
      <c r="O1632" s="241" t="str">
        <f>IFERROR(__xludf.DUMMYFUNCTION("VLOOKUP(C1632,IMPORTRANGE(""https://docs.google.com/spreadsheets/d/1P8eX0NWBhUPS_hvzA11R6jkTNFrPrRYIx_dX_hYbxrk/edit?resourcekey=0-iw9bsKY2OqkUHCFMkCar3A&amp;gid=2055363397#gid=2055363397"",""MTR!C:O""),9,false)"),"")</f>
        <v/>
      </c>
      <c r="P1632" s="241"/>
      <c r="Q1632" s="251" t="s">
        <v>445</v>
      </c>
      <c r="R1632" s="241"/>
      <c r="S1632" s="154" t="s">
        <v>60</v>
      </c>
      <c r="T1632" s="154" t="s">
        <v>60</v>
      </c>
      <c r="U1632" s="154" t="s">
        <v>60</v>
      </c>
      <c r="V1632" s="154" t="s">
        <v>60</v>
      </c>
      <c r="W1632" s="154" t="s">
        <v>60</v>
      </c>
      <c r="X1632" s="154" t="s">
        <v>60</v>
      </c>
      <c r="Y1632" s="154" t="s">
        <v>64</v>
      </c>
      <c r="Z1632" s="154" t="s">
        <v>64</v>
      </c>
      <c r="AA1632" s="154" t="s">
        <v>64</v>
      </c>
      <c r="AB1632" s="154"/>
      <c r="AC1632" s="242" t="b">
        <f t="shared" si="2"/>
        <v>1</v>
      </c>
      <c r="AD1632" s="154" t="s">
        <v>391</v>
      </c>
      <c r="AE1632" s="243" t="b">
        <f t="shared" si="3"/>
        <v>0</v>
      </c>
      <c r="AF1632" s="154"/>
      <c r="AG1632" s="243" t="b">
        <f t="shared" si="7"/>
        <v>0</v>
      </c>
      <c r="AH1632" s="154"/>
      <c r="AI1632" s="243" t="str">
        <f t="shared" si="5"/>
        <v>N/A</v>
      </c>
      <c r="AJ1632" s="157" t="str">
        <f t="shared" si="6"/>
        <v/>
      </c>
    </row>
    <row r="1633" ht="12.75" customHeight="1">
      <c r="A1633" s="244" t="s">
        <v>4158</v>
      </c>
      <c r="B1633" s="244" t="s">
        <v>4161</v>
      </c>
      <c r="C1633" s="244" t="s">
        <v>4238</v>
      </c>
      <c r="D1633" s="154" t="s">
        <v>630</v>
      </c>
      <c r="E1633" s="250"/>
      <c r="F1633" s="154" t="str">
        <f t="array" ref="F1633">XLOOKUP(Cover!$D$12,$S$1:$AA$1,$S1633:$AA1633)</f>
        <v>Mandatory</v>
      </c>
      <c r="G1633" s="154" t="s">
        <v>4239</v>
      </c>
      <c r="H1633" s="154" t="s">
        <v>345</v>
      </c>
      <c r="I1633" s="154" t="s">
        <v>632</v>
      </c>
      <c r="J1633" s="247" t="s">
        <v>445</v>
      </c>
      <c r="K1633" s="154"/>
      <c r="L1633" s="154" t="str">
        <f t="shared" si="1"/>
        <v/>
      </c>
      <c r="M1633" s="248" t="str">
        <f>IFERROR(__xludf.DUMMYFUNCTION("VLOOKUP(C1633,IMPORTRANGE(""https://docs.google.com/spreadsheets/d/1P8eX0NWBhUPS_hvzA11R6jkTNFrPrRYIx_dX_hYbxrk/edit?resourcekey=0-iw9bsKY2OqkUHCFMkCar3A&amp;gid=2055363397#gid=2055363397"",""MTR!C:O""),11,false)"),"PMW-MCE-NAS")</f>
        <v>PMW-MCE-NAS</v>
      </c>
      <c r="N1633" s="248" t="str">
        <f>IFERROR(__xludf.DUMMYFUNCTION("VLOOKUP(C1633,IMPORTRANGE(""https://docs.google.com/spreadsheets/d/1ihFlp3_ePlYtFuPbUNbYj1muErVpI73WHXbEwJDIA7Q/edit#gid=1493122344"",""MTR!C:O""),8,false)"),"Complies")</f>
        <v>Complies</v>
      </c>
      <c r="O1633" s="241" t="str">
        <f>IFERROR(__xludf.DUMMYFUNCTION("VLOOKUP(C1633,IMPORTRANGE(""https://docs.google.com/spreadsheets/d/1P8eX0NWBhUPS_hvzA11R6jkTNFrPrRYIx_dX_hYbxrk/edit?resourcekey=0-iw9bsKY2OqkUHCFMkCar3A&amp;gid=2055363397#gid=2055363397"",""MTR!C:O""),9,false)"),"")</f>
        <v/>
      </c>
      <c r="P1633" s="241"/>
      <c r="Q1633" s="251" t="s">
        <v>445</v>
      </c>
      <c r="R1633" s="241"/>
      <c r="S1633" s="154" t="s">
        <v>60</v>
      </c>
      <c r="T1633" s="154" t="s">
        <v>60</v>
      </c>
      <c r="U1633" s="154" t="s">
        <v>60</v>
      </c>
      <c r="V1633" s="154" t="s">
        <v>60</v>
      </c>
      <c r="W1633" s="154" t="s">
        <v>60</v>
      </c>
      <c r="X1633" s="154" t="s">
        <v>60</v>
      </c>
      <c r="Y1633" s="154" t="s">
        <v>64</v>
      </c>
      <c r="Z1633" s="154" t="s">
        <v>64</v>
      </c>
      <c r="AA1633" s="154" t="s">
        <v>64</v>
      </c>
      <c r="AB1633" s="154"/>
      <c r="AC1633" s="242" t="b">
        <f t="shared" si="2"/>
        <v>1</v>
      </c>
      <c r="AD1633" s="154" t="s">
        <v>391</v>
      </c>
      <c r="AE1633" s="243" t="b">
        <f t="shared" si="3"/>
        <v>0</v>
      </c>
      <c r="AF1633" s="154"/>
      <c r="AG1633" s="243" t="b">
        <f t="shared" si="7"/>
        <v>0</v>
      </c>
      <c r="AH1633" s="154"/>
      <c r="AI1633" s="243" t="str">
        <f t="shared" si="5"/>
        <v>N/A</v>
      </c>
      <c r="AJ1633" s="157" t="str">
        <f t="shared" si="6"/>
        <v/>
      </c>
    </row>
    <row r="1634" ht="12.75" customHeight="1">
      <c r="A1634" s="244" t="s">
        <v>4158</v>
      </c>
      <c r="B1634" s="244" t="s">
        <v>4161</v>
      </c>
      <c r="C1634" s="244" t="s">
        <v>4240</v>
      </c>
      <c r="D1634" s="154" t="s">
        <v>396</v>
      </c>
      <c r="E1634" s="250"/>
      <c r="F1634" s="154" t="str">
        <f t="array" ref="F1634">XLOOKUP(Cover!$D$12,$S$1:$AA$1,$S1634:$AA1634)</f>
        <v>Mandatory</v>
      </c>
      <c r="G1634" s="154" t="s">
        <v>4241</v>
      </c>
      <c r="H1634" s="154" t="s">
        <v>345</v>
      </c>
      <c r="I1634" s="154" t="s">
        <v>632</v>
      </c>
      <c r="J1634" s="247" t="s">
        <v>445</v>
      </c>
      <c r="K1634" s="154"/>
      <c r="L1634" s="154" t="str">
        <f t="shared" si="1"/>
        <v/>
      </c>
      <c r="M1634" s="248" t="str">
        <f>IFERROR(__xludf.DUMMYFUNCTION("VLOOKUP(C1634,IMPORTRANGE(""https://docs.google.com/spreadsheets/d/1P8eX0NWBhUPS_hvzA11R6jkTNFrPrRYIx_dX_hYbxrk/edit?resourcekey=0-iw9bsKY2OqkUHCFMkCar3A&amp;gid=2055363397#gid=2055363397"",""MTR!C:O""),11,false)"),"PMW-MCE-NAS")</f>
        <v>PMW-MCE-NAS</v>
      </c>
      <c r="N1634" s="248" t="str">
        <f>IFERROR(__xludf.DUMMYFUNCTION("VLOOKUP(C1634,IMPORTRANGE(""https://docs.google.com/spreadsheets/d/1ihFlp3_ePlYtFuPbUNbYj1muErVpI73WHXbEwJDIA7Q/edit#gid=1493122344"",""MTR!C:O""),8,false)"),"Complies")</f>
        <v>Complies</v>
      </c>
      <c r="O1634" s="241" t="str">
        <f>IFERROR(__xludf.DUMMYFUNCTION("VLOOKUP(C1634,IMPORTRANGE(""https://docs.google.com/spreadsheets/d/1P8eX0NWBhUPS_hvzA11R6jkTNFrPrRYIx_dX_hYbxrk/edit?resourcekey=0-iw9bsKY2OqkUHCFMkCar3A&amp;gid=2055363397#gid=2055363397"",""MTR!C:O""),9,false)"),"")</f>
        <v/>
      </c>
      <c r="P1634" s="241"/>
      <c r="Q1634" s="251" t="s">
        <v>445</v>
      </c>
      <c r="R1634" s="241"/>
      <c r="S1634" s="154" t="s">
        <v>60</v>
      </c>
      <c r="T1634" s="154" t="s">
        <v>60</v>
      </c>
      <c r="U1634" s="154" t="s">
        <v>60</v>
      </c>
      <c r="V1634" s="154" t="s">
        <v>60</v>
      </c>
      <c r="W1634" s="154" t="s">
        <v>60</v>
      </c>
      <c r="X1634" s="154" t="s">
        <v>60</v>
      </c>
      <c r="Y1634" s="154" t="s">
        <v>64</v>
      </c>
      <c r="Z1634" s="154" t="s">
        <v>64</v>
      </c>
      <c r="AA1634" s="154" t="s">
        <v>64</v>
      </c>
      <c r="AB1634" s="154"/>
      <c r="AC1634" s="242" t="b">
        <f t="shared" si="2"/>
        <v>1</v>
      </c>
      <c r="AD1634" s="154" t="s">
        <v>391</v>
      </c>
      <c r="AE1634" s="243" t="b">
        <f t="shared" si="3"/>
        <v>0</v>
      </c>
      <c r="AF1634" s="154"/>
      <c r="AG1634" s="243" t="b">
        <f t="shared" si="7"/>
        <v>0</v>
      </c>
      <c r="AH1634" s="154"/>
      <c r="AI1634" s="243" t="str">
        <f t="shared" si="5"/>
        <v>N/A</v>
      </c>
      <c r="AJ1634" s="157" t="str">
        <f t="shared" si="6"/>
        <v/>
      </c>
    </row>
    <row r="1635" ht="12.75" customHeight="1">
      <c r="A1635" s="238" t="s">
        <v>4158</v>
      </c>
      <c r="B1635" s="238" t="s">
        <v>4161</v>
      </c>
      <c r="C1635" s="238" t="s">
        <v>4242</v>
      </c>
      <c r="D1635" s="238"/>
      <c r="E1635" s="238"/>
      <c r="F1635" s="154" t="str">
        <f t="array" ref="F1635">XLOOKUP(Cover!$D$12,$S$1:$AA$1,$S1635:$AA1635)</f>
        <v>Heading</v>
      </c>
      <c r="G1635" s="239" t="s">
        <v>4243</v>
      </c>
      <c r="H1635" s="240"/>
      <c r="I1635" s="240" t="s">
        <v>632</v>
      </c>
      <c r="J1635" s="240"/>
      <c r="K1635" s="240"/>
      <c r="L1635" s="154" t="str">
        <f t="shared" si="1"/>
        <v/>
      </c>
      <c r="M1635" s="241" t="str">
        <f>IFERROR(__xludf.DUMMYFUNCTION("VLOOKUP(C1635,IMPORTRANGE(""https://docs.google.com/spreadsheets/d/1P8eX0NWBhUPS_hvzA11R6jkTNFrPrRYIx_dX_hYbxrk/edit?resourcekey=0-iw9bsKY2OqkUHCFMkCar3A&amp;gid=2055363397#gid=2055363397"",""MTR!C:O""),11,false)"),"")</f>
        <v/>
      </c>
      <c r="N1635" s="241" t="str">
        <f>IFERROR(__xludf.DUMMYFUNCTION("VLOOKUP(C1635,IMPORTRANGE(""https://docs.google.com/spreadsheets/d/1ihFlp3_ePlYtFuPbUNbYj1muErVpI73WHXbEwJDIA7Q/edit#gid=1493122344"",""MTR!C:O""),8,false)"),"")</f>
        <v/>
      </c>
      <c r="O1635" s="241" t="str">
        <f>IFERROR(__xludf.DUMMYFUNCTION("VLOOKUP(C1635,IMPORTRANGE(""https://docs.google.com/spreadsheets/d/1P8eX0NWBhUPS_hvzA11R6jkTNFrPrRYIx_dX_hYbxrk/edit?resourcekey=0-iw9bsKY2OqkUHCFMkCar3A&amp;gid=2055363397#gid=2055363397"",""MTR!C:O""),9,false)"),"")</f>
        <v/>
      </c>
      <c r="P1635" s="241"/>
      <c r="Q1635" s="251"/>
      <c r="R1635" s="241"/>
      <c r="S1635" s="240" t="s">
        <v>390</v>
      </c>
      <c r="T1635" s="240" t="s">
        <v>390</v>
      </c>
      <c r="U1635" s="240" t="s">
        <v>390</v>
      </c>
      <c r="V1635" s="240" t="s">
        <v>390</v>
      </c>
      <c r="W1635" s="240" t="s">
        <v>390</v>
      </c>
      <c r="X1635" s="240" t="s">
        <v>390</v>
      </c>
      <c r="Y1635" s="240" t="s">
        <v>390</v>
      </c>
      <c r="Z1635" s="240" t="s">
        <v>390</v>
      </c>
      <c r="AA1635" s="240" t="s">
        <v>390</v>
      </c>
      <c r="AB1635" s="240"/>
      <c r="AC1635" s="242" t="b">
        <f t="shared" si="2"/>
        <v>0</v>
      </c>
      <c r="AD1635" s="240" t="s">
        <v>391</v>
      </c>
      <c r="AE1635" s="243" t="b">
        <f t="shared" si="3"/>
        <v>0</v>
      </c>
      <c r="AF1635" s="240"/>
      <c r="AG1635" s="243" t="b">
        <f t="shared" si="7"/>
        <v>0</v>
      </c>
      <c r="AH1635" s="240"/>
      <c r="AI1635" s="243" t="str">
        <f t="shared" si="5"/>
        <v>N/A</v>
      </c>
      <c r="AJ1635" s="157" t="str">
        <f t="shared" si="6"/>
        <v/>
      </c>
    </row>
    <row r="1636" ht="12.75" customHeight="1">
      <c r="A1636" s="244" t="s">
        <v>4158</v>
      </c>
      <c r="B1636" s="244" t="s">
        <v>4161</v>
      </c>
      <c r="C1636" s="244" t="s">
        <v>4244</v>
      </c>
      <c r="D1636" s="154" t="s">
        <v>443</v>
      </c>
      <c r="E1636" s="250"/>
      <c r="F1636" s="154" t="str">
        <f t="array" ref="F1636">XLOOKUP(Cover!$D$12,$S$1:$AA$1,$S1636:$AA1636)</f>
        <v>Mandatory</v>
      </c>
      <c r="G1636" s="153" t="s">
        <v>4245</v>
      </c>
      <c r="H1636" s="154" t="s">
        <v>345</v>
      </c>
      <c r="I1636" s="154" t="s">
        <v>632</v>
      </c>
      <c r="J1636" s="154" t="s">
        <v>445</v>
      </c>
      <c r="K1636" s="154"/>
      <c r="L1636" s="154" t="str">
        <f t="shared" si="1"/>
        <v/>
      </c>
      <c r="M1636" s="248" t="str">
        <f>IFERROR(__xludf.DUMMYFUNCTION("VLOOKUP(C1636,IMPORTRANGE(""https://docs.google.com/spreadsheets/d/1P8eX0NWBhUPS_hvzA11R6jkTNFrPrRYIx_dX_hYbxrk/edit?resourcekey=0-iw9bsKY2OqkUHCFMkCar3A&amp;gid=2055363397#gid=2055363397"",""MTR!C:O""),11,false)"),"PMW-IMS")</f>
        <v>PMW-IMS</v>
      </c>
      <c r="N1636" s="248" t="str">
        <f>IFERROR(__xludf.DUMMYFUNCTION("VLOOKUP(C1636,IMPORTRANGE(""https://docs.google.com/spreadsheets/d/1ihFlp3_ePlYtFuPbUNbYj1muErVpI73WHXbEwJDIA7Q/edit#gid=1493122344"",""MTR!C:O""),8,false)"),"Complies")</f>
        <v>Complies</v>
      </c>
      <c r="O1636" s="241" t="str">
        <f>IFERROR(__xludf.DUMMYFUNCTION("VLOOKUP(C1636,IMPORTRANGE(""https://docs.google.com/spreadsheets/d/1P8eX0NWBhUPS_hvzA11R6jkTNFrPrRYIx_dX_hYbxrk/edit?resourcekey=0-iw9bsKY2OqkUHCFMkCar3A&amp;gid=2055363397#gid=2055363397"",""MTR!C:O""),9,false)"),"")</f>
        <v/>
      </c>
      <c r="P1636" s="241"/>
      <c r="Q1636" s="251" t="s">
        <v>445</v>
      </c>
      <c r="R1636" s="241"/>
      <c r="S1636" s="154" t="s">
        <v>60</v>
      </c>
      <c r="T1636" s="154" t="s">
        <v>60</v>
      </c>
      <c r="U1636" s="154" t="s">
        <v>60</v>
      </c>
      <c r="V1636" s="154" t="s">
        <v>60</v>
      </c>
      <c r="W1636" s="154" t="s">
        <v>60</v>
      </c>
      <c r="X1636" s="154" t="s">
        <v>60</v>
      </c>
      <c r="Y1636" s="154" t="s">
        <v>64</v>
      </c>
      <c r="Z1636" s="154" t="s">
        <v>64</v>
      </c>
      <c r="AA1636" s="154" t="s">
        <v>64</v>
      </c>
      <c r="AB1636" s="154"/>
      <c r="AC1636" s="242" t="b">
        <f t="shared" si="2"/>
        <v>1</v>
      </c>
      <c r="AD1636" s="154" t="s">
        <v>391</v>
      </c>
      <c r="AE1636" s="243" t="b">
        <f t="shared" si="3"/>
        <v>0</v>
      </c>
      <c r="AF1636" s="154"/>
      <c r="AG1636" s="243" t="b">
        <f t="shared" si="7"/>
        <v>0</v>
      </c>
      <c r="AH1636" s="154"/>
      <c r="AI1636" s="243" t="str">
        <f t="shared" si="5"/>
        <v>N/A</v>
      </c>
      <c r="AJ1636" s="157" t="str">
        <f t="shared" si="6"/>
        <v/>
      </c>
    </row>
    <row r="1637" ht="12.75" customHeight="1">
      <c r="A1637" s="238" t="s">
        <v>4158</v>
      </c>
      <c r="B1637" s="238" t="s">
        <v>4161</v>
      </c>
      <c r="C1637" s="238" t="s">
        <v>4246</v>
      </c>
      <c r="D1637" s="238"/>
      <c r="E1637" s="238"/>
      <c r="F1637" s="154" t="str">
        <f t="array" ref="F1637">XLOOKUP(Cover!$D$12,$S$1:$AA$1,$S1637:$AA1637)</f>
        <v>Heading</v>
      </c>
      <c r="G1637" s="239" t="s">
        <v>4247</v>
      </c>
      <c r="H1637" s="240"/>
      <c r="I1637" s="240" t="s">
        <v>632</v>
      </c>
      <c r="J1637" s="240"/>
      <c r="K1637" s="240"/>
      <c r="L1637" s="154" t="str">
        <f t="shared" si="1"/>
        <v/>
      </c>
      <c r="M1637" s="241" t="str">
        <f>IFERROR(__xludf.DUMMYFUNCTION("VLOOKUP(C1637,IMPORTRANGE(""https://docs.google.com/spreadsheets/d/1P8eX0NWBhUPS_hvzA11R6jkTNFrPrRYIx_dX_hYbxrk/edit?resourcekey=0-iw9bsKY2OqkUHCFMkCar3A&amp;gid=2055363397#gid=2055363397"",""MTR!C:O""),11,false)"),"")</f>
        <v/>
      </c>
      <c r="N1637" s="241" t="str">
        <f>IFERROR(__xludf.DUMMYFUNCTION("VLOOKUP(C1637,IMPORTRANGE(""https://docs.google.com/spreadsheets/d/1ihFlp3_ePlYtFuPbUNbYj1muErVpI73WHXbEwJDIA7Q/edit#gid=1493122344"",""MTR!C:O""),8,false)"),"")</f>
        <v/>
      </c>
      <c r="O1637" s="241" t="str">
        <f>IFERROR(__xludf.DUMMYFUNCTION("VLOOKUP(C1637,IMPORTRANGE(""https://docs.google.com/spreadsheets/d/1P8eX0NWBhUPS_hvzA11R6jkTNFrPrRYIx_dX_hYbxrk/edit?resourcekey=0-iw9bsKY2OqkUHCFMkCar3A&amp;gid=2055363397#gid=2055363397"",""MTR!C:O""),9,false)"),"")</f>
        <v/>
      </c>
      <c r="P1637" s="241"/>
      <c r="Q1637" s="251"/>
      <c r="R1637" s="241"/>
      <c r="S1637" s="240" t="s">
        <v>390</v>
      </c>
      <c r="T1637" s="240" t="s">
        <v>390</v>
      </c>
      <c r="U1637" s="240" t="s">
        <v>390</v>
      </c>
      <c r="V1637" s="240" t="s">
        <v>390</v>
      </c>
      <c r="W1637" s="240" t="s">
        <v>390</v>
      </c>
      <c r="X1637" s="240" t="s">
        <v>390</v>
      </c>
      <c r="Y1637" s="240" t="s">
        <v>390</v>
      </c>
      <c r="Z1637" s="240" t="s">
        <v>390</v>
      </c>
      <c r="AA1637" s="240" t="s">
        <v>390</v>
      </c>
      <c r="AB1637" s="240"/>
      <c r="AC1637" s="242" t="b">
        <f t="shared" si="2"/>
        <v>0</v>
      </c>
      <c r="AD1637" s="240" t="s">
        <v>391</v>
      </c>
      <c r="AE1637" s="243" t="b">
        <f t="shared" si="3"/>
        <v>0</v>
      </c>
      <c r="AF1637" s="240"/>
      <c r="AG1637" s="243" t="b">
        <f t="shared" si="7"/>
        <v>0</v>
      </c>
      <c r="AH1637" s="240"/>
      <c r="AI1637" s="243" t="str">
        <f t="shared" si="5"/>
        <v>N/A</v>
      </c>
      <c r="AJ1637" s="157" t="str">
        <f t="shared" si="6"/>
        <v/>
      </c>
    </row>
    <row r="1638" ht="12.75" customHeight="1">
      <c r="A1638" s="244" t="s">
        <v>4158</v>
      </c>
      <c r="B1638" s="244" t="s">
        <v>4161</v>
      </c>
      <c r="C1638" s="244" t="s">
        <v>4248</v>
      </c>
      <c r="D1638" s="154" t="s">
        <v>1211</v>
      </c>
      <c r="E1638" s="250"/>
      <c r="F1638" s="154" t="str">
        <f t="array" ref="F1638">XLOOKUP(Cover!$D$12,$S$1:$AA$1,$S1638:$AA1638)</f>
        <v>Mandatory</v>
      </c>
      <c r="G1638" s="153" t="s">
        <v>4249</v>
      </c>
      <c r="H1638" s="154" t="s">
        <v>347</v>
      </c>
      <c r="I1638" s="154" t="s">
        <v>632</v>
      </c>
      <c r="J1638" s="154" t="s">
        <v>445</v>
      </c>
      <c r="K1638" s="154"/>
      <c r="L1638" s="154" t="str">
        <f t="shared" si="1"/>
        <v/>
      </c>
      <c r="M1638" s="248" t="str">
        <f>IFERROR(__xludf.DUMMYFUNCTION("VLOOKUP(C1638,IMPORTRANGE(""https://docs.google.com/spreadsheets/d/1P8eX0NWBhUPS_hvzA11R6jkTNFrPrRYIx_dX_hYbxrk/edit?resourcekey=0-iw9bsKY2OqkUHCFMkCar3A&amp;gid=2055363397#gid=2055363397"",""MTR!C:O""),11,false)"),"PMW-IMS")</f>
        <v>PMW-IMS</v>
      </c>
      <c r="N1638" s="248" t="str">
        <f>IFERROR(__xludf.DUMMYFUNCTION("VLOOKUP(C1638,IMPORTRANGE(""https://docs.google.com/spreadsheets/d/1ihFlp3_ePlYtFuPbUNbYj1muErVpI73WHXbEwJDIA7Q/edit#gid=1493122344"",""MTR!C:O""),8,false)"),"Complies")</f>
        <v>Complies</v>
      </c>
      <c r="O1638" s="241" t="str">
        <f>IFERROR(__xludf.DUMMYFUNCTION("VLOOKUP(C1638,IMPORTRANGE(""https://docs.google.com/spreadsheets/d/1P8eX0NWBhUPS_hvzA11R6jkTNFrPrRYIx_dX_hYbxrk/edit?resourcekey=0-iw9bsKY2OqkUHCFMkCar3A&amp;gid=2055363397#gid=2055363397"",""MTR!C:O""),9,false)"),"")</f>
        <v/>
      </c>
      <c r="P1638" s="241"/>
      <c r="Q1638" s="251" t="s">
        <v>445</v>
      </c>
      <c r="R1638" s="241"/>
      <c r="S1638" s="154" t="s">
        <v>60</v>
      </c>
      <c r="T1638" s="154" t="s">
        <v>60</v>
      </c>
      <c r="U1638" s="154" t="s">
        <v>60</v>
      </c>
      <c r="V1638" s="154" t="s">
        <v>60</v>
      </c>
      <c r="W1638" s="154" t="s">
        <v>60</v>
      </c>
      <c r="X1638" s="154" t="s">
        <v>60</v>
      </c>
      <c r="Y1638" s="154" t="s">
        <v>64</v>
      </c>
      <c r="Z1638" s="154" t="s">
        <v>64</v>
      </c>
      <c r="AA1638" s="154" t="s">
        <v>64</v>
      </c>
      <c r="AB1638" s="154"/>
      <c r="AC1638" s="242" t="b">
        <f t="shared" si="2"/>
        <v>1</v>
      </c>
      <c r="AD1638" s="154" t="s">
        <v>391</v>
      </c>
      <c r="AE1638" s="243" t="b">
        <f t="shared" si="3"/>
        <v>0</v>
      </c>
      <c r="AF1638" s="154"/>
      <c r="AG1638" s="243" t="b">
        <f t="shared" si="7"/>
        <v>0</v>
      </c>
      <c r="AH1638" s="154"/>
      <c r="AI1638" s="243" t="str">
        <f t="shared" si="5"/>
        <v>N/A</v>
      </c>
      <c r="AJ1638" s="157" t="str">
        <f t="shared" si="6"/>
        <v/>
      </c>
    </row>
    <row r="1639" ht="12.75" customHeight="1">
      <c r="A1639" s="244" t="s">
        <v>4158</v>
      </c>
      <c r="B1639" s="244" t="s">
        <v>4161</v>
      </c>
      <c r="C1639" s="244" t="s">
        <v>4250</v>
      </c>
      <c r="D1639" s="154" t="s">
        <v>422</v>
      </c>
      <c r="E1639" s="250"/>
      <c r="F1639" s="154" t="str">
        <f t="array" ref="F1639">XLOOKUP(Cover!$D$12,$S$1:$AA$1,$S1639:$AA1639)</f>
        <v>Information</v>
      </c>
      <c r="G1639" s="153" t="s">
        <v>4251</v>
      </c>
      <c r="H1639" s="154"/>
      <c r="I1639" s="154" t="s">
        <v>632</v>
      </c>
      <c r="J1639" s="154" t="s">
        <v>617</v>
      </c>
      <c r="K1639" s="154"/>
      <c r="L1639" s="154" t="str">
        <f t="shared" si="1"/>
        <v/>
      </c>
      <c r="M1639" s="248" t="str">
        <f>IFERROR(__xludf.DUMMYFUNCTION("VLOOKUP(C1639,IMPORTRANGE(""https://docs.google.com/spreadsheets/d/1P8eX0NWBhUPS_hvzA11R6jkTNFrPrRYIx_dX_hYbxrk/edit?resourcekey=0-iw9bsKY2OqkUHCFMkCar3A&amp;gid=2055363397#gid=2055363397"",""MTR!C:O""),11,false)"),"PMW-IMS")</f>
        <v>PMW-IMS</v>
      </c>
      <c r="N1639" s="248" t="str">
        <f>IFERROR(__xludf.DUMMYFUNCTION("VLOOKUP(C1639,IMPORTRANGE(""https://docs.google.com/spreadsheets/d/1ihFlp3_ePlYtFuPbUNbYj1muErVpI73WHXbEwJDIA7Q/edit#gid=1493122344"",""MTR!C:O""),8,false)"),"Not Applicable")</f>
        <v>Not Applicable</v>
      </c>
      <c r="O1639" s="241" t="str">
        <f>IFERROR(__xludf.DUMMYFUNCTION("VLOOKUP(C1639,IMPORTRANGE(""https://docs.google.com/spreadsheets/d/1P8eX0NWBhUPS_hvzA11R6jkTNFrPrRYIx_dX_hYbxrk/edit?resourcekey=0-iw9bsKY2OqkUHCFMkCar3A&amp;gid=2055363397#gid=2055363397"",""MTR!C:O""),9,false)"),"")</f>
        <v/>
      </c>
      <c r="P1639" s="241"/>
      <c r="Q1639" s="251" t="s">
        <v>617</v>
      </c>
      <c r="R1639" s="241"/>
      <c r="S1639" s="154" t="s">
        <v>66</v>
      </c>
      <c r="T1639" s="154" t="s">
        <v>66</v>
      </c>
      <c r="U1639" s="154" t="s">
        <v>66</v>
      </c>
      <c r="V1639" s="154" t="s">
        <v>66</v>
      </c>
      <c r="W1639" s="154" t="s">
        <v>66</v>
      </c>
      <c r="X1639" s="154" t="s">
        <v>66</v>
      </c>
      <c r="Y1639" s="154" t="s">
        <v>66</v>
      </c>
      <c r="Z1639" s="154" t="s">
        <v>66</v>
      </c>
      <c r="AA1639" s="154" t="s">
        <v>66</v>
      </c>
      <c r="AB1639" s="154"/>
      <c r="AC1639" s="242" t="b">
        <f t="shared" si="2"/>
        <v>1</v>
      </c>
      <c r="AD1639" s="154" t="s">
        <v>445</v>
      </c>
      <c r="AE1639" s="243" t="b">
        <f t="shared" si="3"/>
        <v>0</v>
      </c>
      <c r="AF1639" s="154"/>
      <c r="AG1639" s="243" t="b">
        <f t="shared" si="7"/>
        <v>0</v>
      </c>
      <c r="AH1639" s="154"/>
      <c r="AI1639" s="243" t="str">
        <f t="shared" si="5"/>
        <v>N/A</v>
      </c>
      <c r="AJ1639" s="157" t="str">
        <f t="shared" si="6"/>
        <v/>
      </c>
    </row>
    <row r="1640" ht="12.75" customHeight="1">
      <c r="A1640" s="244" t="s">
        <v>4158</v>
      </c>
      <c r="B1640" s="244" t="s">
        <v>4161</v>
      </c>
      <c r="C1640" s="244" t="s">
        <v>4252</v>
      </c>
      <c r="D1640" s="154" t="s">
        <v>484</v>
      </c>
      <c r="E1640" s="250"/>
      <c r="F1640" s="154" t="str">
        <f t="array" ref="F1640">XLOOKUP(Cover!$D$12,$S$1:$AA$1,$S1640:$AA1640)</f>
        <v>Mandatory</v>
      </c>
      <c r="G1640" s="153" t="s">
        <v>4253</v>
      </c>
      <c r="H1640" s="154" t="s">
        <v>351</v>
      </c>
      <c r="I1640" s="154" t="s">
        <v>632</v>
      </c>
      <c r="J1640" s="247" t="s">
        <v>617</v>
      </c>
      <c r="K1640" s="154"/>
      <c r="L1640" s="154" t="str">
        <f t="shared" si="1"/>
        <v/>
      </c>
      <c r="M1640" s="248" t="str">
        <f>IFERROR(__xludf.DUMMYFUNCTION("VLOOKUP(C1640,IMPORTRANGE(""https://docs.google.com/spreadsheets/d/1P8eX0NWBhUPS_hvzA11R6jkTNFrPrRYIx_dX_hYbxrk/edit?resourcekey=0-iw9bsKY2OqkUHCFMkCar3A&amp;gid=2055363397#gid=2055363397"",""MTR!C:O""),11,false)"),"PMW-IMS")</f>
        <v>PMW-IMS</v>
      </c>
      <c r="N1640" s="248" t="str">
        <f>IFERROR(__xludf.DUMMYFUNCTION("VLOOKUP(C1640,IMPORTRANGE(""https://docs.google.com/spreadsheets/d/1ihFlp3_ePlYtFuPbUNbYj1muErVpI73WHXbEwJDIA7Q/edit#gid=1493122344"",""MTR!C:O""),8,false)"),"Complies")</f>
        <v>Complies</v>
      </c>
      <c r="O1640" s="241" t="str">
        <f>IFERROR(__xludf.DUMMYFUNCTION("VLOOKUP(C1640,IMPORTRANGE(""https://docs.google.com/spreadsheets/d/1P8eX0NWBhUPS_hvzA11R6jkTNFrPrRYIx_dX_hYbxrk/edit?resourcekey=0-iw9bsKY2OqkUHCFMkCar3A&amp;gid=2055363397#gid=2055363397"",""MTR!C:O""),9,false)"),"")</f>
        <v/>
      </c>
      <c r="P1640" s="241"/>
      <c r="Q1640" s="251" t="s">
        <v>445</v>
      </c>
      <c r="R1640" s="241"/>
      <c r="S1640" s="154" t="s">
        <v>66</v>
      </c>
      <c r="T1640" s="154" t="s">
        <v>60</v>
      </c>
      <c r="U1640" s="154" t="s">
        <v>60</v>
      </c>
      <c r="V1640" s="154" t="s">
        <v>60</v>
      </c>
      <c r="W1640" s="154" t="s">
        <v>60</v>
      </c>
      <c r="X1640" s="154" t="s">
        <v>60</v>
      </c>
      <c r="Y1640" s="154" t="s">
        <v>64</v>
      </c>
      <c r="Z1640" s="154" t="s">
        <v>64</v>
      </c>
      <c r="AA1640" s="154" t="s">
        <v>64</v>
      </c>
      <c r="AB1640" s="154"/>
      <c r="AC1640" s="242" t="b">
        <f t="shared" si="2"/>
        <v>1</v>
      </c>
      <c r="AD1640" s="154" t="s">
        <v>391</v>
      </c>
      <c r="AE1640" s="243" t="b">
        <f t="shared" si="3"/>
        <v>0</v>
      </c>
      <c r="AF1640" s="154"/>
      <c r="AG1640" s="243" t="b">
        <f t="shared" si="7"/>
        <v>0</v>
      </c>
      <c r="AH1640" s="154"/>
      <c r="AI1640" s="243" t="str">
        <f t="shared" si="5"/>
        <v>N/A</v>
      </c>
      <c r="AJ1640" s="157" t="str">
        <f t="shared" si="6"/>
        <v/>
      </c>
    </row>
    <row r="1641" ht="12.75" customHeight="1">
      <c r="A1641" s="244" t="s">
        <v>4158</v>
      </c>
      <c r="B1641" s="244" t="s">
        <v>4161</v>
      </c>
      <c r="C1641" s="244" t="s">
        <v>4254</v>
      </c>
      <c r="D1641" s="154" t="s">
        <v>546</v>
      </c>
      <c r="E1641" s="250"/>
      <c r="F1641" s="154" t="str">
        <f t="array" ref="F1641">XLOOKUP(Cover!$D$12,$S$1:$AA$1,$S1641:$AA1641)</f>
        <v>Mandatory</v>
      </c>
      <c r="G1641" s="153" t="s">
        <v>4255</v>
      </c>
      <c r="H1641" s="154" t="s">
        <v>353</v>
      </c>
      <c r="I1641" s="154" t="s">
        <v>2155</v>
      </c>
      <c r="J1641" s="247" t="s">
        <v>506</v>
      </c>
      <c r="K1641" s="154" t="s">
        <v>4256</v>
      </c>
      <c r="L1641" s="154" t="str">
        <f t="shared" si="1"/>
        <v/>
      </c>
      <c r="M1641" s="248" t="str">
        <f>IFERROR(__xludf.DUMMYFUNCTION("VLOOKUP(C1641,IMPORTRANGE(""https://docs.google.com/spreadsheets/d/1P8eX0NWBhUPS_hvzA11R6jkTNFrPrRYIx_dX_hYbxrk/edit?resourcekey=0-iw9bsKY2OqkUHCFMkCar3A&amp;gid=2055363397#gid=2055363397"",""MTR!C:O""),11,false)"),"PMW-IMS")</f>
        <v>PMW-IMS</v>
      </c>
      <c r="N1641" s="248" t="str">
        <f>IFERROR(__xludf.DUMMYFUNCTION("VLOOKUP(C1641,IMPORTRANGE(""https://docs.google.com/spreadsheets/d/1ihFlp3_ePlYtFuPbUNbYj1muErVpI73WHXbEwJDIA7Q/edit#gid=1493122344"",""MTR!C:O""),8,false)"),"Does Not Comply")</f>
        <v>Does Not Comply</v>
      </c>
      <c r="O1641" s="248" t="str">
        <f>IFERROR(__xludf.DUMMYFUNCTION("VLOOKUP(C1641,IMPORTRANGE(""https://docs.google.com/spreadsheets/d/1P8eX0NWBhUPS_hvzA11R6jkTNFrPrRYIx_dX_hYbxrk/edit?resourcekey=0-iw9bsKY2OqkUHCFMkCar3A&amp;gid=2055363397#gid=2055363397"",""MTR!C:O""),9,false)"),"The chipset supports it, but VoNR is disabled as SA is disabled for product launch, please discuss with Google TAM for feature enablement plans if the feature is deployed in live network.")</f>
        <v>The chipset supports it, but VoNR is disabled as SA is disabled for product launch, please discuss with Google TAM for feature enablement plans if the feature is deployed in live network.</v>
      </c>
      <c r="P1641" s="248"/>
      <c r="Q1641" s="249" t="s">
        <v>516</v>
      </c>
      <c r="R1641" s="249" t="s">
        <v>4256</v>
      </c>
      <c r="S1641" s="154" t="s">
        <v>66</v>
      </c>
      <c r="T1641" s="154" t="s">
        <v>66</v>
      </c>
      <c r="U1641" s="154" t="s">
        <v>60</v>
      </c>
      <c r="V1641" s="154" t="s">
        <v>60</v>
      </c>
      <c r="W1641" s="154" t="s">
        <v>60</v>
      </c>
      <c r="X1641" s="154" t="s">
        <v>60</v>
      </c>
      <c r="Y1641" s="154" t="s">
        <v>66</v>
      </c>
      <c r="Z1641" s="154" t="s">
        <v>64</v>
      </c>
      <c r="AA1641" s="154" t="s">
        <v>64</v>
      </c>
      <c r="AB1641" s="154"/>
      <c r="AC1641" s="242" t="b">
        <f t="shared" si="2"/>
        <v>1</v>
      </c>
      <c r="AD1641" s="154" t="s">
        <v>391</v>
      </c>
      <c r="AE1641" s="243" t="b">
        <f t="shared" si="3"/>
        <v>0</v>
      </c>
      <c r="AF1641" s="154"/>
      <c r="AG1641" s="243" t="b">
        <f t="shared" si="7"/>
        <v>0</v>
      </c>
      <c r="AH1641" s="154"/>
      <c r="AI1641" s="243" t="str">
        <f t="shared" si="5"/>
        <v>N/A</v>
      </c>
      <c r="AJ1641" s="157" t="str">
        <f t="shared" si="6"/>
        <v/>
      </c>
    </row>
    <row r="1642" ht="12.75" customHeight="1">
      <c r="A1642" s="244" t="s">
        <v>4158</v>
      </c>
      <c r="B1642" s="244" t="s">
        <v>4161</v>
      </c>
      <c r="C1642" s="244" t="s">
        <v>4257</v>
      </c>
      <c r="D1642" s="154" t="s">
        <v>433</v>
      </c>
      <c r="E1642" s="250"/>
      <c r="F1642" s="154" t="str">
        <f t="array" ref="F1642">XLOOKUP(Cover!$D$12,$S$1:$AA$1,$S1642:$AA1642)</f>
        <v>Comments Vendor</v>
      </c>
      <c r="G1642" s="154" t="s">
        <v>4258</v>
      </c>
      <c r="H1642" s="154" t="s">
        <v>4186</v>
      </c>
      <c r="I1642" s="154" t="s">
        <v>632</v>
      </c>
      <c r="J1642" s="247"/>
      <c r="K1642" s="247" t="s">
        <v>4259</v>
      </c>
      <c r="L1642" s="154" t="str">
        <f t="shared" si="1"/>
        <v/>
      </c>
      <c r="M1642" s="248" t="str">
        <f>IFERROR(__xludf.DUMMYFUNCTION("VLOOKUP(C1642,IMPORTRANGE(""https://docs.google.com/spreadsheets/d/1P8eX0NWBhUPS_hvzA11R6jkTNFrPrRYIx_dX_hYbxrk/edit?resourcekey=0-iw9bsKY2OqkUHCFMkCar3A&amp;gid=2055363397#gid=2055363397"",""MTR!C:O""),11,false)"),"PMW-IMS")</f>
        <v>PMW-IMS</v>
      </c>
      <c r="N1642" s="241" t="str">
        <f>IFERROR(__xludf.DUMMYFUNCTION("VLOOKUP(C1642,IMPORTRANGE(""https://docs.google.com/spreadsheets/d/1ihFlp3_ePlYtFuPbUNbYj1muErVpI73WHXbEwJDIA7Q/edit#gid=1493122344"",""MTR!C:O""),8,false)"),"")</f>
        <v/>
      </c>
      <c r="O1642" s="248" t="str">
        <f>IFERROR(__xludf.DUMMYFUNCTION("VLOOKUP(C1642,IMPORTRANGE(""https://docs.google.com/spreadsheets/d/1P8eX0NWBhUPS_hvzA11R6jkTNFrPrRYIx_dX_hYbxrk/edit?resourcekey=0-iw9bsKY2OqkUHCFMkCar3A&amp;gid=2055363397#gid=2055363397"",""MTR!C:O""),9,false)"),"SLSI")</f>
        <v>SLSI</v>
      </c>
      <c r="P1642" s="248"/>
      <c r="Q1642" s="249"/>
      <c r="R1642" s="249" t="s">
        <v>4260</v>
      </c>
      <c r="S1642" s="154" t="s">
        <v>62</v>
      </c>
      <c r="T1642" s="154" t="s">
        <v>62</v>
      </c>
      <c r="U1642" s="154" t="s">
        <v>62</v>
      </c>
      <c r="V1642" s="154" t="s">
        <v>62</v>
      </c>
      <c r="W1642" s="154" t="s">
        <v>62</v>
      </c>
      <c r="X1642" s="154" t="s">
        <v>62</v>
      </c>
      <c r="Y1642" s="154" t="s">
        <v>62</v>
      </c>
      <c r="Z1642" s="154" t="s">
        <v>62</v>
      </c>
      <c r="AA1642" s="154" t="s">
        <v>62</v>
      </c>
      <c r="AB1642" s="154"/>
      <c r="AC1642" s="242" t="b">
        <f t="shared" si="2"/>
        <v>1</v>
      </c>
      <c r="AD1642" s="154" t="s">
        <v>68</v>
      </c>
      <c r="AE1642" s="243" t="b">
        <f t="shared" si="3"/>
        <v>1</v>
      </c>
      <c r="AF1642" s="154"/>
      <c r="AG1642" s="243" t="b">
        <f t="shared" si="7"/>
        <v>0</v>
      </c>
      <c r="AH1642" s="154"/>
      <c r="AI1642" s="243" t="str">
        <f t="shared" si="5"/>
        <v>N/A</v>
      </c>
      <c r="AJ1642" s="157" t="str">
        <f t="shared" si="6"/>
        <v/>
      </c>
    </row>
    <row r="1643" ht="12.75" customHeight="1">
      <c r="A1643" s="238" t="s">
        <v>4158</v>
      </c>
      <c r="B1643" s="238" t="s">
        <v>4161</v>
      </c>
      <c r="C1643" s="238" t="s">
        <v>4261</v>
      </c>
      <c r="D1643" s="238"/>
      <c r="E1643" s="238"/>
      <c r="F1643" s="154" t="str">
        <f t="array" ref="F1643">XLOOKUP(Cover!$D$12,$S$1:$AA$1,$S1643:$AA1643)</f>
        <v>Heading</v>
      </c>
      <c r="G1643" s="239" t="s">
        <v>4262</v>
      </c>
      <c r="H1643" s="240"/>
      <c r="I1643" s="240" t="s">
        <v>632</v>
      </c>
      <c r="J1643" s="240"/>
      <c r="K1643" s="262"/>
      <c r="L1643" s="154" t="str">
        <f t="shared" si="1"/>
        <v/>
      </c>
      <c r="M1643" s="241" t="str">
        <f>IFERROR(__xludf.DUMMYFUNCTION("VLOOKUP(C1643,IMPORTRANGE(""https://docs.google.com/spreadsheets/d/1P8eX0NWBhUPS_hvzA11R6jkTNFrPrRYIx_dX_hYbxrk/edit?resourcekey=0-iw9bsKY2OqkUHCFMkCar3A&amp;gid=2055363397#gid=2055363397"",""MTR!C:O""),11,false)"),"")</f>
        <v/>
      </c>
      <c r="N1643" s="241" t="str">
        <f>IFERROR(__xludf.DUMMYFUNCTION("VLOOKUP(C1643,IMPORTRANGE(""https://docs.google.com/spreadsheets/d/1ihFlp3_ePlYtFuPbUNbYj1muErVpI73WHXbEwJDIA7Q/edit#gid=1493122344"",""MTR!C:O""),8,false)"),"")</f>
        <v/>
      </c>
      <c r="O1643" s="241" t="str">
        <f>IFERROR(__xludf.DUMMYFUNCTION("VLOOKUP(C1643,IMPORTRANGE(""https://docs.google.com/spreadsheets/d/1P8eX0NWBhUPS_hvzA11R6jkTNFrPrRYIx_dX_hYbxrk/edit?resourcekey=0-iw9bsKY2OqkUHCFMkCar3A&amp;gid=2055363397#gid=2055363397"",""MTR!C:O""),9,false)"),"")</f>
        <v/>
      </c>
      <c r="P1643" s="241"/>
      <c r="Q1643" s="241"/>
      <c r="R1643" s="251"/>
      <c r="S1643" s="240" t="s">
        <v>390</v>
      </c>
      <c r="T1643" s="240" t="s">
        <v>390</v>
      </c>
      <c r="U1643" s="240" t="s">
        <v>390</v>
      </c>
      <c r="V1643" s="240" t="s">
        <v>390</v>
      </c>
      <c r="W1643" s="240" t="s">
        <v>390</v>
      </c>
      <c r="X1643" s="240" t="s">
        <v>390</v>
      </c>
      <c r="Y1643" s="240" t="s">
        <v>390</v>
      </c>
      <c r="Z1643" s="240" t="s">
        <v>390</v>
      </c>
      <c r="AA1643" s="240" t="s">
        <v>390</v>
      </c>
      <c r="AB1643" s="240"/>
      <c r="AC1643" s="242" t="b">
        <f t="shared" si="2"/>
        <v>0</v>
      </c>
      <c r="AD1643" s="240" t="s">
        <v>391</v>
      </c>
      <c r="AE1643" s="243" t="b">
        <f t="shared" si="3"/>
        <v>0</v>
      </c>
      <c r="AF1643" s="240"/>
      <c r="AG1643" s="243" t="b">
        <f t="shared" si="7"/>
        <v>0</v>
      </c>
      <c r="AH1643" s="240"/>
      <c r="AI1643" s="243" t="str">
        <f t="shared" si="5"/>
        <v>N/A</v>
      </c>
      <c r="AJ1643" s="157" t="str">
        <f t="shared" si="6"/>
        <v/>
      </c>
    </row>
    <row r="1644" ht="12.75" customHeight="1">
      <c r="A1644" s="244" t="s">
        <v>4158</v>
      </c>
      <c r="B1644" s="244" t="s">
        <v>4161</v>
      </c>
      <c r="C1644" s="244" t="s">
        <v>4263</v>
      </c>
      <c r="D1644" s="154" t="s">
        <v>1282</v>
      </c>
      <c r="E1644" s="250"/>
      <c r="F1644" s="154" t="str">
        <f t="array" ref="F1644">XLOOKUP(Cover!$D$12,$S$1:$AA$1,$S1644:$AA1644)</f>
        <v>Mandatory</v>
      </c>
      <c r="G1644" s="154" t="s">
        <v>4264</v>
      </c>
      <c r="H1644" s="154" t="s">
        <v>4265</v>
      </c>
      <c r="I1644" s="154" t="s">
        <v>632</v>
      </c>
      <c r="J1644" s="154" t="s">
        <v>445</v>
      </c>
      <c r="K1644" s="154"/>
      <c r="L1644" s="154" t="str">
        <f t="shared" si="1"/>
        <v/>
      </c>
      <c r="M1644" s="248" t="str">
        <f>IFERROR(__xludf.DUMMYFUNCTION("VLOOKUP(C1644,IMPORTRANGE(""https://docs.google.com/spreadsheets/d/1P8eX0NWBhUPS_hvzA11R6jkTNFrPrRYIx_dX_hYbxrk/edit?resourcekey=0-iw9bsKY2OqkUHCFMkCar3A&amp;gid=2055363397#gid=2055363397"",""MTR!C:O""),11,false)"),"PMW-IMS")</f>
        <v>PMW-IMS</v>
      </c>
      <c r="N1644" s="248" t="str">
        <f>IFERROR(__xludf.DUMMYFUNCTION("VLOOKUP(C1644,IMPORTRANGE(""https://docs.google.com/spreadsheets/d/1ihFlp3_ePlYtFuPbUNbYj1muErVpI73WHXbEwJDIA7Q/edit#gid=1493122344"",""MTR!C:O""),8,false)"),"Complies")</f>
        <v>Complies</v>
      </c>
      <c r="O1644" s="241" t="str">
        <f>IFERROR(__xludf.DUMMYFUNCTION("VLOOKUP(C1644,IMPORTRANGE(""https://docs.google.com/spreadsheets/d/1P8eX0NWBhUPS_hvzA11R6jkTNFrPrRYIx_dX_hYbxrk/edit?resourcekey=0-iw9bsKY2OqkUHCFMkCar3A&amp;gid=2055363397#gid=2055363397"",""MTR!C:O""),9,false)"),"")</f>
        <v/>
      </c>
      <c r="P1644" s="241"/>
      <c r="Q1644" s="251" t="s">
        <v>445</v>
      </c>
      <c r="R1644" s="241"/>
      <c r="S1644" s="154" t="s">
        <v>60</v>
      </c>
      <c r="T1644" s="154" t="s">
        <v>60</v>
      </c>
      <c r="U1644" s="154" t="s">
        <v>60</v>
      </c>
      <c r="V1644" s="154" t="s">
        <v>60</v>
      </c>
      <c r="W1644" s="154" t="s">
        <v>60</v>
      </c>
      <c r="X1644" s="154" t="s">
        <v>60</v>
      </c>
      <c r="Y1644" s="154" t="s">
        <v>64</v>
      </c>
      <c r="Z1644" s="154" t="s">
        <v>64</v>
      </c>
      <c r="AA1644" s="154" t="s">
        <v>64</v>
      </c>
      <c r="AB1644" s="154"/>
      <c r="AC1644" s="242" t="b">
        <f t="shared" si="2"/>
        <v>1</v>
      </c>
      <c r="AD1644" s="154" t="s">
        <v>391</v>
      </c>
      <c r="AE1644" s="243" t="b">
        <f t="shared" si="3"/>
        <v>0</v>
      </c>
      <c r="AF1644" s="154"/>
      <c r="AG1644" s="243" t="b">
        <f t="shared" si="7"/>
        <v>0</v>
      </c>
      <c r="AH1644" s="154"/>
      <c r="AI1644" s="243" t="str">
        <f t="shared" si="5"/>
        <v>N/A</v>
      </c>
      <c r="AJ1644" s="157" t="str">
        <f t="shared" si="6"/>
        <v/>
      </c>
    </row>
    <row r="1645" ht="12.75" customHeight="1">
      <c r="A1645" s="244" t="s">
        <v>4158</v>
      </c>
      <c r="B1645" s="244" t="s">
        <v>4161</v>
      </c>
      <c r="C1645" s="244" t="s">
        <v>4266</v>
      </c>
      <c r="D1645" s="154" t="s">
        <v>422</v>
      </c>
      <c r="E1645" s="250"/>
      <c r="F1645" s="154" t="str">
        <f t="array" ref="F1645">XLOOKUP(Cover!$D$12,$S$1:$AA$1,$S1645:$AA1645)</f>
        <v>Mandatory</v>
      </c>
      <c r="G1645" s="154" t="s">
        <v>4267</v>
      </c>
      <c r="H1645" s="154" t="s">
        <v>347</v>
      </c>
      <c r="I1645" s="154" t="s">
        <v>632</v>
      </c>
      <c r="J1645" s="247" t="s">
        <v>445</v>
      </c>
      <c r="K1645" s="154"/>
      <c r="L1645" s="154" t="str">
        <f t="shared" si="1"/>
        <v/>
      </c>
      <c r="M1645" s="248" t="str">
        <f>IFERROR(__xludf.DUMMYFUNCTION("VLOOKUP(C1645,IMPORTRANGE(""https://docs.google.com/spreadsheets/d/1P8eX0NWBhUPS_hvzA11R6jkTNFrPrRYIx_dX_hYbxrk/edit?resourcekey=0-iw9bsKY2OqkUHCFMkCar3A&amp;gid=2055363397#gid=2055363397"",""MTR!C:O""),11,false)"),"PMW-IMS")</f>
        <v>PMW-IMS</v>
      </c>
      <c r="N1645" s="248" t="str">
        <f>IFERROR(__xludf.DUMMYFUNCTION("VLOOKUP(C1645,IMPORTRANGE(""https://docs.google.com/spreadsheets/d/1ihFlp3_ePlYtFuPbUNbYj1muErVpI73WHXbEwJDIA7Q/edit#gid=1493122344"",""MTR!C:O""),8,false)"),"Complies")</f>
        <v>Complies</v>
      </c>
      <c r="O1645" s="241" t="str">
        <f>IFERROR(__xludf.DUMMYFUNCTION("VLOOKUP(C1645,IMPORTRANGE(""https://docs.google.com/spreadsheets/d/1P8eX0NWBhUPS_hvzA11R6jkTNFrPrRYIx_dX_hYbxrk/edit?resourcekey=0-iw9bsKY2OqkUHCFMkCar3A&amp;gid=2055363397#gid=2055363397"",""MTR!C:O""),9,false)"),"")</f>
        <v/>
      </c>
      <c r="P1645" s="241"/>
      <c r="Q1645" s="251" t="s">
        <v>445</v>
      </c>
      <c r="R1645" s="241"/>
      <c r="S1645" s="154" t="s">
        <v>60</v>
      </c>
      <c r="T1645" s="154" t="s">
        <v>60</v>
      </c>
      <c r="U1645" s="154" t="s">
        <v>60</v>
      </c>
      <c r="V1645" s="154" t="s">
        <v>60</v>
      </c>
      <c r="W1645" s="154" t="s">
        <v>60</v>
      </c>
      <c r="X1645" s="154" t="s">
        <v>60</v>
      </c>
      <c r="Y1645" s="154" t="s">
        <v>64</v>
      </c>
      <c r="Z1645" s="154" t="s">
        <v>64</v>
      </c>
      <c r="AA1645" s="154" t="s">
        <v>64</v>
      </c>
      <c r="AB1645" s="154"/>
      <c r="AC1645" s="242" t="b">
        <f t="shared" si="2"/>
        <v>1</v>
      </c>
      <c r="AD1645" s="154" t="s">
        <v>391</v>
      </c>
      <c r="AE1645" s="243" t="b">
        <f t="shared" si="3"/>
        <v>0</v>
      </c>
      <c r="AF1645" s="154"/>
      <c r="AG1645" s="243" t="b">
        <f t="shared" si="7"/>
        <v>0</v>
      </c>
      <c r="AH1645" s="154"/>
      <c r="AI1645" s="243" t="str">
        <f t="shared" si="5"/>
        <v>N/A</v>
      </c>
      <c r="AJ1645" s="157" t="str">
        <f t="shared" si="6"/>
        <v/>
      </c>
    </row>
    <row r="1646" ht="12.75" customHeight="1">
      <c r="A1646" s="244" t="s">
        <v>4158</v>
      </c>
      <c r="B1646" s="244" t="s">
        <v>4161</v>
      </c>
      <c r="C1646" s="244" t="s">
        <v>4268</v>
      </c>
      <c r="D1646" s="154" t="s">
        <v>581</v>
      </c>
      <c r="E1646" s="250"/>
      <c r="F1646" s="154" t="str">
        <f t="array" ref="F1646">XLOOKUP(Cover!$D$12,$S$1:$AA$1,$S1646:$AA1646)</f>
        <v>Mandatory</v>
      </c>
      <c r="G1646" s="154" t="s">
        <v>4269</v>
      </c>
      <c r="H1646" s="154" t="s">
        <v>351</v>
      </c>
      <c r="I1646" s="154" t="s">
        <v>632</v>
      </c>
      <c r="J1646" s="247" t="s">
        <v>445</v>
      </c>
      <c r="K1646" s="154"/>
      <c r="L1646" s="154" t="str">
        <f t="shared" si="1"/>
        <v/>
      </c>
      <c r="M1646" s="248" t="str">
        <f>IFERROR(__xludf.DUMMYFUNCTION("VLOOKUP(C1646,IMPORTRANGE(""https://docs.google.com/spreadsheets/d/1P8eX0NWBhUPS_hvzA11R6jkTNFrPrRYIx_dX_hYbxrk/edit?resourcekey=0-iw9bsKY2OqkUHCFMkCar3A&amp;gid=2055363397#gid=2055363397"",""MTR!C:O""),11,false)"),"PMW-IMS")</f>
        <v>PMW-IMS</v>
      </c>
      <c r="N1646" s="248" t="str">
        <f>IFERROR(__xludf.DUMMYFUNCTION("VLOOKUP(C1646,IMPORTRANGE(""https://docs.google.com/spreadsheets/d/1ihFlp3_ePlYtFuPbUNbYj1muErVpI73WHXbEwJDIA7Q/edit#gid=1493122344"",""MTR!C:O""),8,false)"),"Complies")</f>
        <v>Complies</v>
      </c>
      <c r="O1646" s="241" t="str">
        <f>IFERROR(__xludf.DUMMYFUNCTION("VLOOKUP(C1646,IMPORTRANGE(""https://docs.google.com/spreadsheets/d/1P8eX0NWBhUPS_hvzA11R6jkTNFrPrRYIx_dX_hYbxrk/edit?resourcekey=0-iw9bsKY2OqkUHCFMkCar3A&amp;gid=2055363397#gid=2055363397"",""MTR!C:O""),9,false)"),"")</f>
        <v/>
      </c>
      <c r="P1646" s="241"/>
      <c r="Q1646" s="251" t="s">
        <v>445</v>
      </c>
      <c r="R1646" s="241"/>
      <c r="S1646" s="154" t="s">
        <v>64</v>
      </c>
      <c r="T1646" s="154" t="s">
        <v>60</v>
      </c>
      <c r="U1646" s="154" t="s">
        <v>60</v>
      </c>
      <c r="V1646" s="154" t="s">
        <v>60</v>
      </c>
      <c r="W1646" s="154" t="s">
        <v>60</v>
      </c>
      <c r="X1646" s="154" t="s">
        <v>60</v>
      </c>
      <c r="Y1646" s="154" t="s">
        <v>64</v>
      </c>
      <c r="Z1646" s="154" t="s">
        <v>64</v>
      </c>
      <c r="AA1646" s="154" t="s">
        <v>64</v>
      </c>
      <c r="AB1646" s="154"/>
      <c r="AC1646" s="242" t="b">
        <f t="shared" si="2"/>
        <v>1</v>
      </c>
      <c r="AD1646" s="154" t="s">
        <v>391</v>
      </c>
      <c r="AE1646" s="243" t="b">
        <f t="shared" si="3"/>
        <v>0</v>
      </c>
      <c r="AF1646" s="154"/>
      <c r="AG1646" s="243" t="b">
        <f t="shared" si="7"/>
        <v>0</v>
      </c>
      <c r="AH1646" s="154"/>
      <c r="AI1646" s="243" t="str">
        <f t="shared" si="5"/>
        <v>N/A</v>
      </c>
      <c r="AJ1646" s="157" t="str">
        <f t="shared" si="6"/>
        <v/>
      </c>
    </row>
    <row r="1647" ht="12.75" customHeight="1">
      <c r="A1647" s="244" t="s">
        <v>4158</v>
      </c>
      <c r="B1647" s="244" t="s">
        <v>4161</v>
      </c>
      <c r="C1647" s="244" t="s">
        <v>4270</v>
      </c>
      <c r="D1647" s="154" t="s">
        <v>861</v>
      </c>
      <c r="E1647" s="250"/>
      <c r="F1647" s="154" t="str">
        <f t="array" ref="F1647">XLOOKUP(Cover!$D$12,$S$1:$AA$1,$S1647:$AA1647)</f>
        <v>Mandatory</v>
      </c>
      <c r="G1647" s="154" t="s">
        <v>4271</v>
      </c>
      <c r="H1647" s="154" t="s">
        <v>353</v>
      </c>
      <c r="I1647" s="154" t="s">
        <v>632</v>
      </c>
      <c r="J1647" s="247" t="s">
        <v>506</v>
      </c>
      <c r="K1647" s="247" t="s">
        <v>4272</v>
      </c>
      <c r="L1647" s="154" t="str">
        <f t="shared" si="1"/>
        <v/>
      </c>
      <c r="M1647" s="248" t="str">
        <f>IFERROR(__xludf.DUMMYFUNCTION("VLOOKUP(C1647,IMPORTRANGE(""https://docs.google.com/spreadsheets/d/1P8eX0NWBhUPS_hvzA11R6jkTNFrPrRYIx_dX_hYbxrk/edit?resourcekey=0-iw9bsKY2OqkUHCFMkCar3A&amp;gid=2055363397#gid=2055363397"",""MTR!C:O""),11,false)"),"PMW-IMS")</f>
        <v>PMW-IMS</v>
      </c>
      <c r="N1647" s="248" t="str">
        <f>IFERROR(__xludf.DUMMYFUNCTION("VLOOKUP(C1647,IMPORTRANGE(""https://docs.google.com/spreadsheets/d/1ihFlp3_ePlYtFuPbUNbYj1muErVpI73WHXbEwJDIA7Q/edit#gid=1493122344"",""MTR!C:O""),8,false)"),"Does Not Comply")</f>
        <v>Does Not Comply</v>
      </c>
      <c r="O1647" s="248" t="str">
        <f>IFERROR(__xludf.DUMMYFUNCTION("VLOOKUP(C1647,IMPORTRANGE(""https://docs.google.com/spreadsheets/d/1P8eX0NWBhUPS_hvzA11R6jkTNFrPrRYIx_dX_hYbxrk/edit?resourcekey=0-iw9bsKY2OqkUHCFMkCar3A&amp;gid=2055363397#gid=2055363397"",""MTR!C:O""),9,false)"),"SA is disabled for product launch, please discuss with Google TAM for feature enablement plans if the feature is deployed in live network.")</f>
        <v>SA is disabled for product launch, please discuss with Google TAM for feature enablement plans if the feature is deployed in live network.</v>
      </c>
      <c r="P1647" s="248"/>
      <c r="Q1647" s="249" t="s">
        <v>516</v>
      </c>
      <c r="R1647" s="249" t="s">
        <v>4272</v>
      </c>
      <c r="S1647" s="154" t="s">
        <v>64</v>
      </c>
      <c r="T1647" s="154" t="s">
        <v>60</v>
      </c>
      <c r="U1647" s="154" t="s">
        <v>60</v>
      </c>
      <c r="V1647" s="154" t="s">
        <v>60</v>
      </c>
      <c r="W1647" s="154" t="s">
        <v>60</v>
      </c>
      <c r="X1647" s="154" t="s">
        <v>60</v>
      </c>
      <c r="Y1647" s="154" t="s">
        <v>64</v>
      </c>
      <c r="Z1647" s="154" t="s">
        <v>64</v>
      </c>
      <c r="AA1647" s="154" t="s">
        <v>64</v>
      </c>
      <c r="AB1647" s="154"/>
      <c r="AC1647" s="242" t="b">
        <f t="shared" si="2"/>
        <v>1</v>
      </c>
      <c r="AD1647" s="154" t="s">
        <v>391</v>
      </c>
      <c r="AE1647" s="243" t="b">
        <f t="shared" si="3"/>
        <v>0</v>
      </c>
      <c r="AF1647" s="154"/>
      <c r="AG1647" s="243" t="b">
        <f t="shared" si="7"/>
        <v>0</v>
      </c>
      <c r="AH1647" s="154"/>
      <c r="AI1647" s="243" t="str">
        <f t="shared" si="5"/>
        <v>N/A</v>
      </c>
      <c r="AJ1647" s="157" t="str">
        <f t="shared" si="6"/>
        <v/>
      </c>
    </row>
    <row r="1648" ht="12.75" customHeight="1">
      <c r="A1648" s="238" t="s">
        <v>4158</v>
      </c>
      <c r="B1648" s="238" t="s">
        <v>4161</v>
      </c>
      <c r="C1648" s="238" t="s">
        <v>4273</v>
      </c>
      <c r="D1648" s="238"/>
      <c r="E1648" s="238"/>
      <c r="F1648" s="154" t="str">
        <f t="array" ref="F1648">XLOOKUP(Cover!$D$12,$S$1:$AA$1,$S1648:$AA1648)</f>
        <v>Heading</v>
      </c>
      <c r="G1648" s="239" t="s">
        <v>4274</v>
      </c>
      <c r="H1648" s="240"/>
      <c r="I1648" s="240" t="s">
        <v>632</v>
      </c>
      <c r="J1648" s="240"/>
      <c r="K1648" s="262"/>
      <c r="L1648" s="154" t="str">
        <f t="shared" si="1"/>
        <v/>
      </c>
      <c r="M1648" s="241" t="str">
        <f>IFERROR(__xludf.DUMMYFUNCTION("VLOOKUP(C1648,IMPORTRANGE(""https://docs.google.com/spreadsheets/d/1P8eX0NWBhUPS_hvzA11R6jkTNFrPrRYIx_dX_hYbxrk/edit?resourcekey=0-iw9bsKY2OqkUHCFMkCar3A&amp;gid=2055363397#gid=2055363397"",""MTR!C:O""),11,false)"),"")</f>
        <v/>
      </c>
      <c r="N1648" s="241" t="str">
        <f>IFERROR(__xludf.DUMMYFUNCTION("VLOOKUP(C1648,IMPORTRANGE(""https://docs.google.com/spreadsheets/d/1ihFlp3_ePlYtFuPbUNbYj1muErVpI73WHXbEwJDIA7Q/edit#gid=1493122344"",""MTR!C:O""),8,false)"),"")</f>
        <v/>
      </c>
      <c r="O1648" s="241" t="str">
        <f>IFERROR(__xludf.DUMMYFUNCTION("VLOOKUP(C1648,IMPORTRANGE(""https://docs.google.com/spreadsheets/d/1P8eX0NWBhUPS_hvzA11R6jkTNFrPrRYIx_dX_hYbxrk/edit?resourcekey=0-iw9bsKY2OqkUHCFMkCar3A&amp;gid=2055363397#gid=2055363397"",""MTR!C:O""),9,false)"),"")</f>
        <v/>
      </c>
      <c r="P1648" s="241"/>
      <c r="Q1648" s="251"/>
      <c r="R1648" s="251"/>
      <c r="S1648" s="240" t="s">
        <v>390</v>
      </c>
      <c r="T1648" s="240" t="s">
        <v>390</v>
      </c>
      <c r="U1648" s="240" t="s">
        <v>390</v>
      </c>
      <c r="V1648" s="240" t="s">
        <v>390</v>
      </c>
      <c r="W1648" s="240" t="s">
        <v>390</v>
      </c>
      <c r="X1648" s="240" t="s">
        <v>390</v>
      </c>
      <c r="Y1648" s="240" t="s">
        <v>390</v>
      </c>
      <c r="Z1648" s="240" t="s">
        <v>390</v>
      </c>
      <c r="AA1648" s="240" t="s">
        <v>390</v>
      </c>
      <c r="AB1648" s="240"/>
      <c r="AC1648" s="242" t="b">
        <f t="shared" si="2"/>
        <v>0</v>
      </c>
      <c r="AD1648" s="240" t="s">
        <v>391</v>
      </c>
      <c r="AE1648" s="243" t="b">
        <f t="shared" si="3"/>
        <v>0</v>
      </c>
      <c r="AF1648" s="240"/>
      <c r="AG1648" s="243" t="b">
        <f t="shared" si="7"/>
        <v>0</v>
      </c>
      <c r="AH1648" s="240"/>
      <c r="AI1648" s="243" t="str">
        <f t="shared" si="5"/>
        <v>N/A</v>
      </c>
      <c r="AJ1648" s="157" t="str">
        <f t="shared" si="6"/>
        <v/>
      </c>
    </row>
    <row r="1649" ht="12.75" customHeight="1">
      <c r="A1649" s="238" t="s">
        <v>4158</v>
      </c>
      <c r="B1649" s="238" t="s">
        <v>4161</v>
      </c>
      <c r="C1649" s="238" t="s">
        <v>4275</v>
      </c>
      <c r="D1649" s="238"/>
      <c r="E1649" s="238"/>
      <c r="F1649" s="154" t="str">
        <f t="array" ref="F1649">XLOOKUP(Cover!$D$12,$S$1:$AA$1,$S1649:$AA1649)</f>
        <v>Heading</v>
      </c>
      <c r="G1649" s="239" t="s">
        <v>4276</v>
      </c>
      <c r="H1649" s="240"/>
      <c r="I1649" s="240" t="s">
        <v>632</v>
      </c>
      <c r="J1649" s="240"/>
      <c r="K1649" s="240"/>
      <c r="L1649" s="154" t="str">
        <f t="shared" si="1"/>
        <v/>
      </c>
      <c r="M1649" s="241" t="str">
        <f>IFERROR(__xludf.DUMMYFUNCTION("VLOOKUP(C1649,IMPORTRANGE(""https://docs.google.com/spreadsheets/d/1P8eX0NWBhUPS_hvzA11R6jkTNFrPrRYIx_dX_hYbxrk/edit?resourcekey=0-iw9bsKY2OqkUHCFMkCar3A&amp;gid=2055363397#gid=2055363397"",""MTR!C:O""),11,false)"),"")</f>
        <v/>
      </c>
      <c r="N1649" s="241" t="str">
        <f>IFERROR(__xludf.DUMMYFUNCTION("VLOOKUP(C1649,IMPORTRANGE(""https://docs.google.com/spreadsheets/d/1ihFlp3_ePlYtFuPbUNbYj1muErVpI73WHXbEwJDIA7Q/edit#gid=1493122344"",""MTR!C:O""),8,false)"),"")</f>
        <v/>
      </c>
      <c r="O1649" s="241" t="str">
        <f>IFERROR(__xludf.DUMMYFUNCTION("VLOOKUP(C1649,IMPORTRANGE(""https://docs.google.com/spreadsheets/d/1P8eX0NWBhUPS_hvzA11R6jkTNFrPrRYIx_dX_hYbxrk/edit?resourcekey=0-iw9bsKY2OqkUHCFMkCar3A&amp;gid=2055363397#gid=2055363397"",""MTR!C:O""),9,false)"),"")</f>
        <v/>
      </c>
      <c r="P1649" s="241"/>
      <c r="Q1649" s="241"/>
      <c r="R1649" s="241"/>
      <c r="S1649" s="240" t="s">
        <v>390</v>
      </c>
      <c r="T1649" s="240" t="s">
        <v>390</v>
      </c>
      <c r="U1649" s="240" t="s">
        <v>390</v>
      </c>
      <c r="V1649" s="240" t="s">
        <v>390</v>
      </c>
      <c r="W1649" s="240" t="s">
        <v>390</v>
      </c>
      <c r="X1649" s="240" t="s">
        <v>390</v>
      </c>
      <c r="Y1649" s="240" t="s">
        <v>390</v>
      </c>
      <c r="Z1649" s="240" t="s">
        <v>390</v>
      </c>
      <c r="AA1649" s="240" t="s">
        <v>390</v>
      </c>
      <c r="AB1649" s="240"/>
      <c r="AC1649" s="242" t="b">
        <f t="shared" si="2"/>
        <v>0</v>
      </c>
      <c r="AD1649" s="240" t="s">
        <v>391</v>
      </c>
      <c r="AE1649" s="243" t="b">
        <f t="shared" si="3"/>
        <v>0</v>
      </c>
      <c r="AF1649" s="240"/>
      <c r="AG1649" s="243" t="b">
        <f t="shared" si="7"/>
        <v>0</v>
      </c>
      <c r="AH1649" s="240"/>
      <c r="AI1649" s="243" t="str">
        <f t="shared" si="5"/>
        <v>N/A</v>
      </c>
      <c r="AJ1649" s="157" t="str">
        <f t="shared" si="6"/>
        <v/>
      </c>
    </row>
    <row r="1650" ht="12.75" customHeight="1">
      <c r="A1650" s="244" t="s">
        <v>4158</v>
      </c>
      <c r="B1650" s="244" t="s">
        <v>4161</v>
      </c>
      <c r="C1650" s="244" t="s">
        <v>4277</v>
      </c>
      <c r="D1650" s="154" t="s">
        <v>1282</v>
      </c>
      <c r="E1650" s="250"/>
      <c r="F1650" s="154" t="str">
        <f t="array" ref="F1650">XLOOKUP(Cover!$D$12,$S$1:$AA$1,$S1650:$AA1650)</f>
        <v>Mandatory</v>
      </c>
      <c r="G1650" s="154" t="s">
        <v>4278</v>
      </c>
      <c r="H1650" s="154" t="s">
        <v>4279</v>
      </c>
      <c r="I1650" s="154" t="s">
        <v>632</v>
      </c>
      <c r="J1650" s="154" t="s">
        <v>445</v>
      </c>
      <c r="K1650" s="154"/>
      <c r="L1650" s="154" t="str">
        <f t="shared" si="1"/>
        <v/>
      </c>
      <c r="M1650" s="248" t="str">
        <f>IFERROR(__xludf.DUMMYFUNCTION("VLOOKUP(C1650,IMPORTRANGE(""https://docs.google.com/spreadsheets/d/1P8eX0NWBhUPS_hvzA11R6jkTNFrPrRYIx_dX_hYbxrk/edit?resourcekey=0-iw9bsKY2OqkUHCFMkCar3A&amp;gid=2055363397#gid=2055363397"",""MTR!C:O""),11,false)"),"PMW-IMS")</f>
        <v>PMW-IMS</v>
      </c>
      <c r="N1650" s="248" t="str">
        <f>IFERROR(__xludf.DUMMYFUNCTION("VLOOKUP(C1650,IMPORTRANGE(""https://docs.google.com/spreadsheets/d/1ihFlp3_ePlYtFuPbUNbYj1muErVpI73WHXbEwJDIA7Q/edit#gid=1493122344"",""MTR!C:O""),8,false)"),"Complies")</f>
        <v>Complies</v>
      </c>
      <c r="O1650" s="241" t="str">
        <f>IFERROR(__xludf.DUMMYFUNCTION("VLOOKUP(C1650,IMPORTRANGE(""https://docs.google.com/spreadsheets/d/1P8eX0NWBhUPS_hvzA11R6jkTNFrPrRYIx_dX_hYbxrk/edit?resourcekey=0-iw9bsKY2OqkUHCFMkCar3A&amp;gid=2055363397#gid=2055363397"",""MTR!C:O""),9,false)"),"")</f>
        <v/>
      </c>
      <c r="P1650" s="241"/>
      <c r="Q1650" s="251" t="s">
        <v>445</v>
      </c>
      <c r="R1650" s="241"/>
      <c r="S1650" s="154" t="s">
        <v>60</v>
      </c>
      <c r="T1650" s="154" t="s">
        <v>60</v>
      </c>
      <c r="U1650" s="154" t="s">
        <v>60</v>
      </c>
      <c r="V1650" s="154" t="s">
        <v>60</v>
      </c>
      <c r="W1650" s="154" t="s">
        <v>60</v>
      </c>
      <c r="X1650" s="154" t="s">
        <v>60</v>
      </c>
      <c r="Y1650" s="154" t="s">
        <v>64</v>
      </c>
      <c r="Z1650" s="154" t="s">
        <v>64</v>
      </c>
      <c r="AA1650" s="154" t="s">
        <v>64</v>
      </c>
      <c r="AB1650" s="154"/>
      <c r="AC1650" s="242" t="b">
        <f t="shared" si="2"/>
        <v>1</v>
      </c>
      <c r="AD1650" s="154" t="s">
        <v>391</v>
      </c>
      <c r="AE1650" s="243" t="b">
        <f t="shared" si="3"/>
        <v>0</v>
      </c>
      <c r="AF1650" s="154"/>
      <c r="AG1650" s="243" t="b">
        <f t="shared" si="7"/>
        <v>0</v>
      </c>
      <c r="AH1650" s="154"/>
      <c r="AI1650" s="243" t="str">
        <f t="shared" si="5"/>
        <v>N/A</v>
      </c>
      <c r="AJ1650" s="157" t="str">
        <f t="shared" si="6"/>
        <v/>
      </c>
    </row>
    <row r="1651" ht="12.75" customHeight="1">
      <c r="A1651" s="244" t="s">
        <v>4158</v>
      </c>
      <c r="B1651" s="244" t="s">
        <v>4161</v>
      </c>
      <c r="C1651" s="244" t="s">
        <v>4280</v>
      </c>
      <c r="D1651" s="154" t="s">
        <v>967</v>
      </c>
      <c r="E1651" s="250"/>
      <c r="F1651" s="154" t="str">
        <f t="array" ref="F1651">XLOOKUP(Cover!$D$12,$S$1:$AA$1,$S1651:$AA1651)</f>
        <v>Mandatory</v>
      </c>
      <c r="G1651" s="154" t="s">
        <v>4281</v>
      </c>
      <c r="H1651" s="154" t="s">
        <v>4279</v>
      </c>
      <c r="I1651" s="154" t="s">
        <v>632</v>
      </c>
      <c r="J1651" s="247" t="s">
        <v>445</v>
      </c>
      <c r="K1651" s="154"/>
      <c r="L1651" s="154" t="str">
        <f t="shared" si="1"/>
        <v/>
      </c>
      <c r="M1651" s="248" t="str">
        <f>IFERROR(__xludf.DUMMYFUNCTION("VLOOKUP(C1651,IMPORTRANGE(""https://docs.google.com/spreadsheets/d/1P8eX0NWBhUPS_hvzA11R6jkTNFrPrRYIx_dX_hYbxrk/edit?resourcekey=0-iw9bsKY2OqkUHCFMkCar3A&amp;gid=2055363397#gid=2055363397"",""MTR!C:O""),11,false)"),"PMW-IMS")</f>
        <v>PMW-IMS</v>
      </c>
      <c r="N1651" s="248" t="str">
        <f>IFERROR(__xludf.DUMMYFUNCTION("VLOOKUP(C1651,IMPORTRANGE(""https://docs.google.com/spreadsheets/d/1ihFlp3_ePlYtFuPbUNbYj1muErVpI73WHXbEwJDIA7Q/edit#gid=1493122344"",""MTR!C:O""),8,false)"),"Complies")</f>
        <v>Complies</v>
      </c>
      <c r="O1651" s="241" t="str">
        <f>IFERROR(__xludf.DUMMYFUNCTION("VLOOKUP(C1651,IMPORTRANGE(""https://docs.google.com/spreadsheets/d/1P8eX0NWBhUPS_hvzA11R6jkTNFrPrRYIx_dX_hYbxrk/edit?resourcekey=0-iw9bsKY2OqkUHCFMkCar3A&amp;gid=2055363397#gid=2055363397"",""MTR!C:O""),9,false)"),"")</f>
        <v/>
      </c>
      <c r="P1651" s="241"/>
      <c r="Q1651" s="251" t="s">
        <v>445</v>
      </c>
      <c r="R1651" s="241"/>
      <c r="S1651" s="154" t="s">
        <v>60</v>
      </c>
      <c r="T1651" s="154" t="s">
        <v>60</v>
      </c>
      <c r="U1651" s="154" t="s">
        <v>60</v>
      </c>
      <c r="V1651" s="154" t="s">
        <v>60</v>
      </c>
      <c r="W1651" s="154" t="s">
        <v>60</v>
      </c>
      <c r="X1651" s="154" t="s">
        <v>60</v>
      </c>
      <c r="Y1651" s="154" t="s">
        <v>64</v>
      </c>
      <c r="Z1651" s="154" t="s">
        <v>64</v>
      </c>
      <c r="AA1651" s="154" t="s">
        <v>64</v>
      </c>
      <c r="AB1651" s="154"/>
      <c r="AC1651" s="242" t="b">
        <f t="shared" si="2"/>
        <v>1</v>
      </c>
      <c r="AD1651" s="154" t="s">
        <v>391</v>
      </c>
      <c r="AE1651" s="243" t="b">
        <f t="shared" si="3"/>
        <v>0</v>
      </c>
      <c r="AF1651" s="154"/>
      <c r="AG1651" s="243" t="b">
        <f t="shared" si="7"/>
        <v>0</v>
      </c>
      <c r="AH1651" s="154"/>
      <c r="AI1651" s="243" t="str">
        <f t="shared" si="5"/>
        <v>N/A</v>
      </c>
      <c r="AJ1651" s="157" t="str">
        <f t="shared" si="6"/>
        <v/>
      </c>
    </row>
    <row r="1652" ht="12.75" customHeight="1">
      <c r="A1652" s="244" t="s">
        <v>4158</v>
      </c>
      <c r="B1652" s="244" t="s">
        <v>4161</v>
      </c>
      <c r="C1652" s="244" t="s">
        <v>4282</v>
      </c>
      <c r="D1652" s="154" t="s">
        <v>967</v>
      </c>
      <c r="E1652" s="250"/>
      <c r="F1652" s="154" t="str">
        <f t="array" ref="F1652">XLOOKUP(Cover!$D$12,$S$1:$AA$1,$S1652:$AA1652)</f>
        <v>Mandatory</v>
      </c>
      <c r="G1652" s="154" t="s">
        <v>4283</v>
      </c>
      <c r="H1652" s="154" t="s">
        <v>4265</v>
      </c>
      <c r="I1652" s="154" t="s">
        <v>632</v>
      </c>
      <c r="J1652" s="154" t="s">
        <v>445</v>
      </c>
      <c r="K1652" s="154" t="s">
        <v>4284</v>
      </c>
      <c r="L1652" s="154" t="str">
        <f t="shared" si="1"/>
        <v/>
      </c>
      <c r="M1652" s="248" t="str">
        <f>IFERROR(__xludf.DUMMYFUNCTION("VLOOKUP(C1652,IMPORTRANGE(""https://docs.google.com/spreadsheets/d/1P8eX0NWBhUPS_hvzA11R6jkTNFrPrRYIx_dX_hYbxrk/edit?resourcekey=0-iw9bsKY2OqkUHCFMkCar3A&amp;gid=2055363397#gid=2055363397"",""MTR!C:O""),11,false)"),"PMW-IMS")</f>
        <v>PMW-IMS</v>
      </c>
      <c r="N1652" s="248" t="str">
        <f>IFERROR(__xludf.DUMMYFUNCTION("VLOOKUP(C1652,IMPORTRANGE(""https://docs.google.com/spreadsheets/d/1ihFlp3_ePlYtFuPbUNbYj1muErVpI73WHXbEwJDIA7Q/edit#gid=1493122344"",""MTR!C:O""),8,false)"),"Complies")</f>
        <v>Complies</v>
      </c>
      <c r="O1652" s="248" t="str">
        <f>IFERROR(__xludf.DUMMYFUNCTION("VLOOKUP(C1652,IMPORTRANGE(""https://docs.google.com/spreadsheets/d/1P8eX0NWBhUPS_hvzA11R6jkTNFrPrRYIx_dX_hYbxrk/edit?resourcekey=0-iw9bsKY2OqkUHCFMkCar3A&amp;gid=2055363397#gid=2055363397"",""MTR!C:O""),9,false)"),"User Agent follow the format Google-DeviceName_SoftwareVersion")</f>
        <v>User Agent follow the format Google-DeviceName_SoftwareVersion</v>
      </c>
      <c r="P1652" s="248"/>
      <c r="Q1652" s="249" t="s">
        <v>445</v>
      </c>
      <c r="R1652" s="249" t="s">
        <v>4284</v>
      </c>
      <c r="S1652" s="154" t="s">
        <v>60</v>
      </c>
      <c r="T1652" s="154" t="s">
        <v>60</v>
      </c>
      <c r="U1652" s="154" t="s">
        <v>60</v>
      </c>
      <c r="V1652" s="154" t="s">
        <v>60</v>
      </c>
      <c r="W1652" s="154" t="s">
        <v>60</v>
      </c>
      <c r="X1652" s="154" t="s">
        <v>60</v>
      </c>
      <c r="Y1652" s="154" t="s">
        <v>64</v>
      </c>
      <c r="Z1652" s="154" t="s">
        <v>64</v>
      </c>
      <c r="AA1652" s="154" t="s">
        <v>64</v>
      </c>
      <c r="AB1652" s="154"/>
      <c r="AC1652" s="242" t="b">
        <f t="shared" si="2"/>
        <v>1</v>
      </c>
      <c r="AD1652" s="154" t="s">
        <v>445</v>
      </c>
      <c r="AE1652" s="243" t="b">
        <f t="shared" si="3"/>
        <v>0</v>
      </c>
      <c r="AF1652" s="154"/>
      <c r="AG1652" s="243" t="b">
        <f t="shared" si="7"/>
        <v>0</v>
      </c>
      <c r="AH1652" s="154"/>
      <c r="AI1652" s="243" t="str">
        <f t="shared" si="5"/>
        <v>N/A</v>
      </c>
      <c r="AJ1652" s="157" t="str">
        <f t="shared" si="6"/>
        <v/>
      </c>
    </row>
    <row r="1653" ht="12.75" customHeight="1">
      <c r="A1653" s="244" t="s">
        <v>4158</v>
      </c>
      <c r="B1653" s="244" t="s">
        <v>4161</v>
      </c>
      <c r="C1653" s="244" t="s">
        <v>4285</v>
      </c>
      <c r="D1653" s="154" t="s">
        <v>602</v>
      </c>
      <c r="E1653" s="250"/>
      <c r="F1653" s="154" t="str">
        <f t="array" ref="F1653">XLOOKUP(Cover!$D$12,$S$1:$AA$1,$S1653:$AA1653)</f>
        <v>Mandatory</v>
      </c>
      <c r="G1653" s="154" t="s">
        <v>4286</v>
      </c>
      <c r="H1653" s="154" t="s">
        <v>4265</v>
      </c>
      <c r="I1653" s="154" t="s">
        <v>632</v>
      </c>
      <c r="J1653" s="247" t="s">
        <v>445</v>
      </c>
      <c r="K1653" s="247"/>
      <c r="L1653" s="154" t="str">
        <f t="shared" si="1"/>
        <v/>
      </c>
      <c r="M1653" s="248" t="str">
        <f>IFERROR(__xludf.DUMMYFUNCTION("VLOOKUP(C1653,IMPORTRANGE(""https://docs.google.com/spreadsheets/d/1P8eX0NWBhUPS_hvzA11R6jkTNFrPrRYIx_dX_hYbxrk/edit?resourcekey=0-iw9bsKY2OqkUHCFMkCar3A&amp;gid=2055363397#gid=2055363397"",""MTR!C:O""),11,false)"),"PMW-IMS")</f>
        <v>PMW-IMS</v>
      </c>
      <c r="N1653" s="248" t="str">
        <f>IFERROR(__xludf.DUMMYFUNCTION("VLOOKUP(C1653,IMPORTRANGE(""https://docs.google.com/spreadsheets/d/1ihFlp3_ePlYtFuPbUNbYj1muErVpI73WHXbEwJDIA7Q/edit#gid=1493122344"",""MTR!C:O""),8,false)"),"Complies")</f>
        <v>Complies</v>
      </c>
      <c r="O1653" s="241" t="str">
        <f>IFERROR(__xludf.DUMMYFUNCTION("VLOOKUP(C1653,IMPORTRANGE(""https://docs.google.com/spreadsheets/d/1P8eX0NWBhUPS_hvzA11R6jkTNFrPrRYIx_dX_hYbxrk/edit?resourcekey=0-iw9bsKY2OqkUHCFMkCar3A&amp;gid=2055363397#gid=2055363397"",""MTR!C:O""),9,false)"),"")</f>
        <v/>
      </c>
      <c r="P1653" s="241"/>
      <c r="Q1653" s="251" t="s">
        <v>445</v>
      </c>
      <c r="R1653" s="251"/>
      <c r="S1653" s="154" t="s">
        <v>60</v>
      </c>
      <c r="T1653" s="154" t="s">
        <v>60</v>
      </c>
      <c r="U1653" s="154" t="s">
        <v>60</v>
      </c>
      <c r="V1653" s="154" t="s">
        <v>60</v>
      </c>
      <c r="W1653" s="154" t="s">
        <v>60</v>
      </c>
      <c r="X1653" s="154" t="s">
        <v>60</v>
      </c>
      <c r="Y1653" s="154" t="s">
        <v>64</v>
      </c>
      <c r="Z1653" s="154" t="s">
        <v>64</v>
      </c>
      <c r="AA1653" s="154" t="s">
        <v>64</v>
      </c>
      <c r="AB1653" s="154"/>
      <c r="AC1653" s="242" t="b">
        <f t="shared" si="2"/>
        <v>1</v>
      </c>
      <c r="AD1653" s="154" t="s">
        <v>391</v>
      </c>
      <c r="AE1653" s="243" t="b">
        <f t="shared" si="3"/>
        <v>0</v>
      </c>
      <c r="AF1653" s="154"/>
      <c r="AG1653" s="243" t="b">
        <f t="shared" si="7"/>
        <v>0</v>
      </c>
      <c r="AH1653" s="154"/>
      <c r="AI1653" s="243" t="str">
        <f t="shared" si="5"/>
        <v>N/A</v>
      </c>
      <c r="AJ1653" s="157" t="str">
        <f t="shared" si="6"/>
        <v/>
      </c>
    </row>
    <row r="1654" ht="12.75" customHeight="1">
      <c r="A1654" s="244" t="s">
        <v>4158</v>
      </c>
      <c r="B1654" s="244" t="s">
        <v>4161</v>
      </c>
      <c r="C1654" s="244" t="s">
        <v>4287</v>
      </c>
      <c r="D1654" s="154" t="s">
        <v>602</v>
      </c>
      <c r="E1654" s="250"/>
      <c r="F1654" s="154" t="str">
        <f t="array" ref="F1654">XLOOKUP(Cover!$D$12,$S$1:$AA$1,$S1654:$AA1654)</f>
        <v>Mandatory</v>
      </c>
      <c r="G1654" s="154" t="s">
        <v>4288</v>
      </c>
      <c r="H1654" s="154" t="s">
        <v>4279</v>
      </c>
      <c r="I1654" s="154" t="s">
        <v>632</v>
      </c>
      <c r="J1654" s="247" t="s">
        <v>445</v>
      </c>
      <c r="K1654" s="154"/>
      <c r="L1654" s="154" t="str">
        <f t="shared" si="1"/>
        <v/>
      </c>
      <c r="M1654" s="248" t="str">
        <f>IFERROR(__xludf.DUMMYFUNCTION("VLOOKUP(C1654,IMPORTRANGE(""https://docs.google.com/spreadsheets/d/1P8eX0NWBhUPS_hvzA11R6jkTNFrPrRYIx_dX_hYbxrk/edit?resourcekey=0-iw9bsKY2OqkUHCFMkCar3A&amp;gid=2055363397#gid=2055363397"",""MTR!C:O""),11,false)"),"PMW-IMS")</f>
        <v>PMW-IMS</v>
      </c>
      <c r="N1654" s="248" t="str">
        <f>IFERROR(__xludf.DUMMYFUNCTION("VLOOKUP(C1654,IMPORTRANGE(""https://docs.google.com/spreadsheets/d/1ihFlp3_ePlYtFuPbUNbYj1muErVpI73WHXbEwJDIA7Q/edit#gid=1493122344"",""MTR!C:O""),8,false)"),"Complies")</f>
        <v>Complies</v>
      </c>
      <c r="O1654" s="241" t="str">
        <f>IFERROR(__xludf.DUMMYFUNCTION("VLOOKUP(C1654,IMPORTRANGE(""https://docs.google.com/spreadsheets/d/1P8eX0NWBhUPS_hvzA11R6jkTNFrPrRYIx_dX_hYbxrk/edit?resourcekey=0-iw9bsKY2OqkUHCFMkCar3A&amp;gid=2055363397#gid=2055363397"",""MTR!C:O""),9,false)"),"")</f>
        <v/>
      </c>
      <c r="P1654" s="241"/>
      <c r="Q1654" s="251" t="s">
        <v>445</v>
      </c>
      <c r="R1654" s="241"/>
      <c r="S1654" s="154" t="s">
        <v>60</v>
      </c>
      <c r="T1654" s="154" t="s">
        <v>60</v>
      </c>
      <c r="U1654" s="154" t="s">
        <v>60</v>
      </c>
      <c r="V1654" s="154" t="s">
        <v>60</v>
      </c>
      <c r="W1654" s="154" t="s">
        <v>60</v>
      </c>
      <c r="X1654" s="154" t="s">
        <v>60</v>
      </c>
      <c r="Y1654" s="154" t="s">
        <v>64</v>
      </c>
      <c r="Z1654" s="154" t="s">
        <v>64</v>
      </c>
      <c r="AA1654" s="154" t="s">
        <v>64</v>
      </c>
      <c r="AB1654" s="154"/>
      <c r="AC1654" s="242" t="b">
        <f t="shared" si="2"/>
        <v>1</v>
      </c>
      <c r="AD1654" s="154" t="s">
        <v>391</v>
      </c>
      <c r="AE1654" s="243" t="b">
        <f t="shared" si="3"/>
        <v>0</v>
      </c>
      <c r="AF1654" s="154"/>
      <c r="AG1654" s="243" t="b">
        <f t="shared" si="7"/>
        <v>0</v>
      </c>
      <c r="AH1654" s="154"/>
      <c r="AI1654" s="243" t="str">
        <f t="shared" si="5"/>
        <v>N/A</v>
      </c>
      <c r="AJ1654" s="157" t="str">
        <f t="shared" si="6"/>
        <v/>
      </c>
    </row>
    <row r="1655" ht="12.75" customHeight="1">
      <c r="A1655" s="238" t="s">
        <v>4158</v>
      </c>
      <c r="B1655" s="238" t="s">
        <v>4161</v>
      </c>
      <c r="C1655" s="238" t="s">
        <v>4289</v>
      </c>
      <c r="D1655" s="238"/>
      <c r="E1655" s="238"/>
      <c r="F1655" s="154" t="str">
        <f t="array" ref="F1655">XLOOKUP(Cover!$D$12,$S$1:$AA$1,$S1655:$AA1655)</f>
        <v>Heading</v>
      </c>
      <c r="G1655" s="239" t="s">
        <v>4290</v>
      </c>
      <c r="H1655" s="240"/>
      <c r="I1655" s="240" t="s">
        <v>632</v>
      </c>
      <c r="J1655" s="240"/>
      <c r="K1655" s="240"/>
      <c r="L1655" s="154" t="str">
        <f t="shared" si="1"/>
        <v/>
      </c>
      <c r="M1655" s="241" t="str">
        <f>IFERROR(__xludf.DUMMYFUNCTION("VLOOKUP(C1655,IMPORTRANGE(""https://docs.google.com/spreadsheets/d/1P8eX0NWBhUPS_hvzA11R6jkTNFrPrRYIx_dX_hYbxrk/edit?resourcekey=0-iw9bsKY2OqkUHCFMkCar3A&amp;gid=2055363397#gid=2055363397"",""MTR!C:O""),11,false)"),"")</f>
        <v/>
      </c>
      <c r="N1655" s="241" t="str">
        <f>IFERROR(__xludf.DUMMYFUNCTION("VLOOKUP(C1655,IMPORTRANGE(""https://docs.google.com/spreadsheets/d/1ihFlp3_ePlYtFuPbUNbYj1muErVpI73WHXbEwJDIA7Q/edit#gid=1493122344"",""MTR!C:O""),8,false)"),"")</f>
        <v/>
      </c>
      <c r="O1655" s="241" t="str">
        <f>IFERROR(__xludf.DUMMYFUNCTION("VLOOKUP(C1655,IMPORTRANGE(""https://docs.google.com/spreadsheets/d/1P8eX0NWBhUPS_hvzA11R6jkTNFrPrRYIx_dX_hYbxrk/edit?resourcekey=0-iw9bsKY2OqkUHCFMkCar3A&amp;gid=2055363397#gid=2055363397"",""MTR!C:O""),9,false)"),"")</f>
        <v/>
      </c>
      <c r="P1655" s="241"/>
      <c r="Q1655" s="251"/>
      <c r="R1655" s="241"/>
      <c r="S1655" s="240" t="s">
        <v>390</v>
      </c>
      <c r="T1655" s="240" t="s">
        <v>390</v>
      </c>
      <c r="U1655" s="240" t="s">
        <v>390</v>
      </c>
      <c r="V1655" s="240" t="s">
        <v>390</v>
      </c>
      <c r="W1655" s="240" t="s">
        <v>390</v>
      </c>
      <c r="X1655" s="240" t="s">
        <v>390</v>
      </c>
      <c r="Y1655" s="240" t="s">
        <v>390</v>
      </c>
      <c r="Z1655" s="240" t="s">
        <v>390</v>
      </c>
      <c r="AA1655" s="240" t="s">
        <v>390</v>
      </c>
      <c r="AB1655" s="240"/>
      <c r="AC1655" s="242" t="b">
        <f t="shared" si="2"/>
        <v>0</v>
      </c>
      <c r="AD1655" s="240" t="s">
        <v>391</v>
      </c>
      <c r="AE1655" s="243" t="b">
        <f t="shared" si="3"/>
        <v>0</v>
      </c>
      <c r="AF1655" s="240"/>
      <c r="AG1655" s="243" t="b">
        <f t="shared" si="7"/>
        <v>0</v>
      </c>
      <c r="AH1655" s="240"/>
      <c r="AI1655" s="243" t="str">
        <f t="shared" si="5"/>
        <v>N/A</v>
      </c>
      <c r="AJ1655" s="157" t="str">
        <f t="shared" si="6"/>
        <v/>
      </c>
    </row>
    <row r="1656" ht="12.75" customHeight="1">
      <c r="A1656" s="244" t="s">
        <v>4158</v>
      </c>
      <c r="B1656" s="244" t="s">
        <v>4161</v>
      </c>
      <c r="C1656" s="244" t="s">
        <v>4291</v>
      </c>
      <c r="D1656" s="154" t="s">
        <v>1282</v>
      </c>
      <c r="E1656" s="250"/>
      <c r="F1656" s="154" t="str">
        <f t="array" ref="F1656">XLOOKUP(Cover!$D$12,$S$1:$AA$1,$S1656:$AA1656)</f>
        <v>Mandatory</v>
      </c>
      <c r="G1656" s="154" t="s">
        <v>4292</v>
      </c>
      <c r="H1656" s="154" t="s">
        <v>4279</v>
      </c>
      <c r="I1656" s="154" t="s">
        <v>632</v>
      </c>
      <c r="J1656" s="154" t="s">
        <v>445</v>
      </c>
      <c r="K1656" s="154"/>
      <c r="L1656" s="154" t="str">
        <f t="shared" si="1"/>
        <v/>
      </c>
      <c r="M1656" s="248" t="str">
        <f>IFERROR(__xludf.DUMMYFUNCTION("VLOOKUP(C1656,IMPORTRANGE(""https://docs.google.com/spreadsheets/d/1P8eX0NWBhUPS_hvzA11R6jkTNFrPrRYIx_dX_hYbxrk/edit?resourcekey=0-iw9bsKY2OqkUHCFMkCar3A&amp;gid=2055363397#gid=2055363397"",""MTR!C:O""),11,false)"),"PMW-IMS")</f>
        <v>PMW-IMS</v>
      </c>
      <c r="N1656" s="248" t="str">
        <f>IFERROR(__xludf.DUMMYFUNCTION("VLOOKUP(C1656,IMPORTRANGE(""https://docs.google.com/spreadsheets/d/1ihFlp3_ePlYtFuPbUNbYj1muErVpI73WHXbEwJDIA7Q/edit#gid=1493122344"",""MTR!C:O""),8,false)"),"Complies")</f>
        <v>Complies</v>
      </c>
      <c r="O1656" s="241" t="str">
        <f>IFERROR(__xludf.DUMMYFUNCTION("VLOOKUP(C1656,IMPORTRANGE(""https://docs.google.com/spreadsheets/d/1P8eX0NWBhUPS_hvzA11R6jkTNFrPrRYIx_dX_hYbxrk/edit?resourcekey=0-iw9bsKY2OqkUHCFMkCar3A&amp;gid=2055363397#gid=2055363397"",""MTR!C:O""),9,false)"),"")</f>
        <v/>
      </c>
      <c r="P1656" s="241"/>
      <c r="Q1656" s="251" t="s">
        <v>445</v>
      </c>
      <c r="R1656" s="241"/>
      <c r="S1656" s="154" t="s">
        <v>60</v>
      </c>
      <c r="T1656" s="154" t="s">
        <v>60</v>
      </c>
      <c r="U1656" s="154" t="s">
        <v>60</v>
      </c>
      <c r="V1656" s="154" t="s">
        <v>60</v>
      </c>
      <c r="W1656" s="154" t="s">
        <v>60</v>
      </c>
      <c r="X1656" s="154" t="s">
        <v>60</v>
      </c>
      <c r="Y1656" s="154" t="s">
        <v>64</v>
      </c>
      <c r="Z1656" s="154" t="s">
        <v>64</v>
      </c>
      <c r="AA1656" s="154" t="s">
        <v>64</v>
      </c>
      <c r="AB1656" s="154"/>
      <c r="AC1656" s="242" t="b">
        <f t="shared" si="2"/>
        <v>1</v>
      </c>
      <c r="AD1656" s="154" t="s">
        <v>391</v>
      </c>
      <c r="AE1656" s="243" t="b">
        <f t="shared" si="3"/>
        <v>0</v>
      </c>
      <c r="AF1656" s="154"/>
      <c r="AG1656" s="243" t="b">
        <f t="shared" si="7"/>
        <v>0</v>
      </c>
      <c r="AH1656" s="154"/>
      <c r="AI1656" s="243" t="str">
        <f t="shared" si="5"/>
        <v>N/A</v>
      </c>
      <c r="AJ1656" s="157" t="str">
        <f t="shared" si="6"/>
        <v/>
      </c>
    </row>
    <row r="1657" ht="12.75" customHeight="1">
      <c r="A1657" s="244" t="s">
        <v>4158</v>
      </c>
      <c r="B1657" s="244" t="s">
        <v>4161</v>
      </c>
      <c r="C1657" s="244" t="s">
        <v>4293</v>
      </c>
      <c r="D1657" s="154" t="s">
        <v>1282</v>
      </c>
      <c r="E1657" s="250"/>
      <c r="F1657" s="154" t="str">
        <f t="array" ref="F1657">XLOOKUP(Cover!$D$12,$S$1:$AA$1,$S1657:$AA1657)</f>
        <v>Mandatory</v>
      </c>
      <c r="G1657" s="154" t="s">
        <v>4294</v>
      </c>
      <c r="H1657" s="154" t="s">
        <v>4279</v>
      </c>
      <c r="I1657" s="154" t="s">
        <v>632</v>
      </c>
      <c r="J1657" s="247" t="s">
        <v>445</v>
      </c>
      <c r="K1657" s="154"/>
      <c r="L1657" s="154" t="str">
        <f t="shared" si="1"/>
        <v/>
      </c>
      <c r="M1657" s="248" t="str">
        <f>IFERROR(__xludf.DUMMYFUNCTION("VLOOKUP(C1657,IMPORTRANGE(""https://docs.google.com/spreadsheets/d/1P8eX0NWBhUPS_hvzA11R6jkTNFrPrRYIx_dX_hYbxrk/edit?resourcekey=0-iw9bsKY2OqkUHCFMkCar3A&amp;gid=2055363397#gid=2055363397"",""MTR!C:O""),11,false)"),"PMW-IMS")</f>
        <v>PMW-IMS</v>
      </c>
      <c r="N1657" s="248" t="str">
        <f>IFERROR(__xludf.DUMMYFUNCTION("VLOOKUP(C1657,IMPORTRANGE(""https://docs.google.com/spreadsheets/d/1ihFlp3_ePlYtFuPbUNbYj1muErVpI73WHXbEwJDIA7Q/edit#gid=1493122344"",""MTR!C:O""),8,false)"),"Complies")</f>
        <v>Complies</v>
      </c>
      <c r="O1657" s="241" t="str">
        <f>IFERROR(__xludf.DUMMYFUNCTION("VLOOKUP(C1657,IMPORTRANGE(""https://docs.google.com/spreadsheets/d/1P8eX0NWBhUPS_hvzA11R6jkTNFrPrRYIx_dX_hYbxrk/edit?resourcekey=0-iw9bsKY2OqkUHCFMkCar3A&amp;gid=2055363397#gid=2055363397"",""MTR!C:O""),9,false)"),"")</f>
        <v/>
      </c>
      <c r="P1657" s="241"/>
      <c r="Q1657" s="251" t="s">
        <v>445</v>
      </c>
      <c r="R1657" s="241"/>
      <c r="S1657" s="154" t="s">
        <v>60</v>
      </c>
      <c r="T1657" s="154" t="s">
        <v>60</v>
      </c>
      <c r="U1657" s="154" t="s">
        <v>60</v>
      </c>
      <c r="V1657" s="154" t="s">
        <v>60</v>
      </c>
      <c r="W1657" s="154" t="s">
        <v>60</v>
      </c>
      <c r="X1657" s="154" t="s">
        <v>60</v>
      </c>
      <c r="Y1657" s="154" t="s">
        <v>64</v>
      </c>
      <c r="Z1657" s="154" t="s">
        <v>64</v>
      </c>
      <c r="AA1657" s="154" t="s">
        <v>64</v>
      </c>
      <c r="AB1657" s="154"/>
      <c r="AC1657" s="242" t="b">
        <f t="shared" si="2"/>
        <v>1</v>
      </c>
      <c r="AD1657" s="154" t="s">
        <v>391</v>
      </c>
      <c r="AE1657" s="243" t="b">
        <f t="shared" si="3"/>
        <v>0</v>
      </c>
      <c r="AF1657" s="154"/>
      <c r="AG1657" s="243" t="b">
        <f t="shared" si="7"/>
        <v>0</v>
      </c>
      <c r="AH1657" s="154"/>
      <c r="AI1657" s="243" t="str">
        <f t="shared" si="5"/>
        <v>N/A</v>
      </c>
      <c r="AJ1657" s="157" t="str">
        <f t="shared" si="6"/>
        <v/>
      </c>
    </row>
    <row r="1658" ht="12.75" customHeight="1">
      <c r="A1658" s="244" t="s">
        <v>4158</v>
      </c>
      <c r="B1658" s="244" t="s">
        <v>4161</v>
      </c>
      <c r="C1658" s="244" t="s">
        <v>4295</v>
      </c>
      <c r="D1658" s="154" t="s">
        <v>433</v>
      </c>
      <c r="E1658" s="250"/>
      <c r="F1658" s="154" t="str">
        <f t="array" ref="F1658">XLOOKUP(Cover!$D$12,$S$1:$AA$1,$S1658:$AA1658)</f>
        <v>Mandatory</v>
      </c>
      <c r="G1658" s="154" t="s">
        <v>4296</v>
      </c>
      <c r="H1658" s="154" t="s">
        <v>4279</v>
      </c>
      <c r="I1658" s="154" t="s">
        <v>632</v>
      </c>
      <c r="J1658" s="247" t="s">
        <v>445</v>
      </c>
      <c r="K1658" s="154"/>
      <c r="L1658" s="154" t="str">
        <f t="shared" si="1"/>
        <v/>
      </c>
      <c r="M1658" s="248" t="str">
        <f>IFERROR(__xludf.DUMMYFUNCTION("VLOOKUP(C1658,IMPORTRANGE(""https://docs.google.com/spreadsheets/d/1P8eX0NWBhUPS_hvzA11R6jkTNFrPrRYIx_dX_hYbxrk/edit?resourcekey=0-iw9bsKY2OqkUHCFMkCar3A&amp;gid=2055363397#gid=2055363397"",""MTR!C:O""),11,false)"),"PMW-IMS")</f>
        <v>PMW-IMS</v>
      </c>
      <c r="N1658" s="248" t="str">
        <f>IFERROR(__xludf.DUMMYFUNCTION("VLOOKUP(C1658,IMPORTRANGE(""https://docs.google.com/spreadsheets/d/1ihFlp3_ePlYtFuPbUNbYj1muErVpI73WHXbEwJDIA7Q/edit#gid=1493122344"",""MTR!C:O""),8,false)"),"Complies")</f>
        <v>Complies</v>
      </c>
      <c r="O1658" s="241" t="str">
        <f>IFERROR(__xludf.DUMMYFUNCTION("VLOOKUP(C1658,IMPORTRANGE(""https://docs.google.com/spreadsheets/d/1P8eX0NWBhUPS_hvzA11R6jkTNFrPrRYIx_dX_hYbxrk/edit?resourcekey=0-iw9bsKY2OqkUHCFMkCar3A&amp;gid=2055363397#gid=2055363397"",""MTR!C:O""),9,false)"),"")</f>
        <v/>
      </c>
      <c r="P1658" s="241"/>
      <c r="Q1658" s="251" t="s">
        <v>445</v>
      </c>
      <c r="R1658" s="241"/>
      <c r="S1658" s="154" t="s">
        <v>60</v>
      </c>
      <c r="T1658" s="154" t="s">
        <v>60</v>
      </c>
      <c r="U1658" s="154" t="s">
        <v>60</v>
      </c>
      <c r="V1658" s="154" t="s">
        <v>60</v>
      </c>
      <c r="W1658" s="154" t="s">
        <v>60</v>
      </c>
      <c r="X1658" s="154" t="s">
        <v>60</v>
      </c>
      <c r="Y1658" s="154" t="s">
        <v>64</v>
      </c>
      <c r="Z1658" s="154" t="s">
        <v>64</v>
      </c>
      <c r="AA1658" s="154" t="s">
        <v>64</v>
      </c>
      <c r="AB1658" s="154"/>
      <c r="AC1658" s="242" t="b">
        <f t="shared" si="2"/>
        <v>1</v>
      </c>
      <c r="AD1658" s="154" t="s">
        <v>391</v>
      </c>
      <c r="AE1658" s="243" t="b">
        <f t="shared" si="3"/>
        <v>0</v>
      </c>
      <c r="AF1658" s="154"/>
      <c r="AG1658" s="243" t="b">
        <f t="shared" si="7"/>
        <v>0</v>
      </c>
      <c r="AH1658" s="154"/>
      <c r="AI1658" s="243" t="str">
        <f t="shared" si="5"/>
        <v>N/A</v>
      </c>
      <c r="AJ1658" s="157" t="str">
        <f t="shared" si="6"/>
        <v/>
      </c>
    </row>
    <row r="1659" ht="12.75" customHeight="1">
      <c r="A1659" s="244" t="s">
        <v>4158</v>
      </c>
      <c r="B1659" s="244" t="s">
        <v>4161</v>
      </c>
      <c r="C1659" s="244" t="s">
        <v>4297</v>
      </c>
      <c r="D1659" s="154" t="s">
        <v>1282</v>
      </c>
      <c r="E1659" s="250"/>
      <c r="F1659" s="154" t="str">
        <f t="array" ref="F1659">XLOOKUP(Cover!$D$12,$S$1:$AA$1,$S1659:$AA1659)</f>
        <v>Mandatory</v>
      </c>
      <c r="G1659" s="154" t="s">
        <v>4298</v>
      </c>
      <c r="H1659" s="154" t="s">
        <v>4279</v>
      </c>
      <c r="I1659" s="154" t="s">
        <v>632</v>
      </c>
      <c r="J1659" s="247" t="s">
        <v>445</v>
      </c>
      <c r="K1659" s="154"/>
      <c r="L1659" s="154" t="str">
        <f t="shared" si="1"/>
        <v/>
      </c>
      <c r="M1659" s="248" t="str">
        <f>IFERROR(__xludf.DUMMYFUNCTION("VLOOKUP(C1659,IMPORTRANGE(""https://docs.google.com/spreadsheets/d/1P8eX0NWBhUPS_hvzA11R6jkTNFrPrRYIx_dX_hYbxrk/edit?resourcekey=0-iw9bsKY2OqkUHCFMkCar3A&amp;gid=2055363397#gid=2055363397"",""MTR!C:O""),11,false)"),"PMW-IMS")</f>
        <v>PMW-IMS</v>
      </c>
      <c r="N1659" s="248" t="str">
        <f>IFERROR(__xludf.DUMMYFUNCTION("VLOOKUP(C1659,IMPORTRANGE(""https://docs.google.com/spreadsheets/d/1ihFlp3_ePlYtFuPbUNbYj1muErVpI73WHXbEwJDIA7Q/edit#gid=1493122344"",""MTR!C:O""),8,false)"),"Complies")</f>
        <v>Complies</v>
      </c>
      <c r="O1659" s="241" t="str">
        <f>IFERROR(__xludf.DUMMYFUNCTION("VLOOKUP(C1659,IMPORTRANGE(""https://docs.google.com/spreadsheets/d/1P8eX0NWBhUPS_hvzA11R6jkTNFrPrRYIx_dX_hYbxrk/edit?resourcekey=0-iw9bsKY2OqkUHCFMkCar3A&amp;gid=2055363397#gid=2055363397"",""MTR!C:O""),9,false)"),"")</f>
        <v/>
      </c>
      <c r="P1659" s="241"/>
      <c r="Q1659" s="251" t="s">
        <v>445</v>
      </c>
      <c r="R1659" s="241"/>
      <c r="S1659" s="154" t="s">
        <v>60</v>
      </c>
      <c r="T1659" s="154" t="s">
        <v>60</v>
      </c>
      <c r="U1659" s="154" t="s">
        <v>60</v>
      </c>
      <c r="V1659" s="154" t="s">
        <v>60</v>
      </c>
      <c r="W1659" s="154" t="s">
        <v>60</v>
      </c>
      <c r="X1659" s="154" t="s">
        <v>60</v>
      </c>
      <c r="Y1659" s="154" t="s">
        <v>64</v>
      </c>
      <c r="Z1659" s="154" t="s">
        <v>64</v>
      </c>
      <c r="AA1659" s="154" t="s">
        <v>64</v>
      </c>
      <c r="AB1659" s="154"/>
      <c r="AC1659" s="242" t="b">
        <f t="shared" si="2"/>
        <v>1</v>
      </c>
      <c r="AD1659" s="154" t="s">
        <v>516</v>
      </c>
      <c r="AE1659" s="243" t="b">
        <f t="shared" si="3"/>
        <v>0</v>
      </c>
      <c r="AF1659" s="154"/>
      <c r="AG1659" s="243" t="b">
        <f t="shared" si="7"/>
        <v>0</v>
      </c>
      <c r="AH1659" s="154"/>
      <c r="AI1659" s="243" t="str">
        <f t="shared" si="5"/>
        <v>N/A</v>
      </c>
      <c r="AJ1659" s="157" t="str">
        <f t="shared" si="6"/>
        <v/>
      </c>
    </row>
    <row r="1660" ht="12.75" customHeight="1">
      <c r="A1660" s="244" t="s">
        <v>4158</v>
      </c>
      <c r="B1660" s="244" t="s">
        <v>4161</v>
      </c>
      <c r="C1660" s="244" t="s">
        <v>4299</v>
      </c>
      <c r="D1660" s="154" t="s">
        <v>1282</v>
      </c>
      <c r="E1660" s="250"/>
      <c r="F1660" s="154" t="str">
        <f t="array" ref="F1660">XLOOKUP(Cover!$D$12,$S$1:$AA$1,$S1660:$AA1660)</f>
        <v>Mandatory</v>
      </c>
      <c r="G1660" s="154" t="s">
        <v>4300</v>
      </c>
      <c r="H1660" s="154" t="s">
        <v>4279</v>
      </c>
      <c r="I1660" s="154" t="s">
        <v>632</v>
      </c>
      <c r="J1660" s="247" t="s">
        <v>445</v>
      </c>
      <c r="K1660" s="154"/>
      <c r="L1660" s="154" t="str">
        <f t="shared" si="1"/>
        <v/>
      </c>
      <c r="M1660" s="248" t="str">
        <f>IFERROR(__xludf.DUMMYFUNCTION("VLOOKUP(C1660,IMPORTRANGE(""https://docs.google.com/spreadsheets/d/1P8eX0NWBhUPS_hvzA11R6jkTNFrPrRYIx_dX_hYbxrk/edit?resourcekey=0-iw9bsKY2OqkUHCFMkCar3A&amp;gid=2055363397#gid=2055363397"",""MTR!C:O""),11,false)"),"PMW-IMS")</f>
        <v>PMW-IMS</v>
      </c>
      <c r="N1660" s="248" t="str">
        <f>IFERROR(__xludf.DUMMYFUNCTION("VLOOKUP(C1660,IMPORTRANGE(""https://docs.google.com/spreadsheets/d/1ihFlp3_ePlYtFuPbUNbYj1muErVpI73WHXbEwJDIA7Q/edit#gid=1493122344"",""MTR!C:O""),8,false)"),"Complies")</f>
        <v>Complies</v>
      </c>
      <c r="O1660" s="241" t="str">
        <f>IFERROR(__xludf.DUMMYFUNCTION("VLOOKUP(C1660,IMPORTRANGE(""https://docs.google.com/spreadsheets/d/1P8eX0NWBhUPS_hvzA11R6jkTNFrPrRYIx_dX_hYbxrk/edit?resourcekey=0-iw9bsKY2OqkUHCFMkCar3A&amp;gid=2055363397#gid=2055363397"",""MTR!C:O""),9,false)"),"")</f>
        <v/>
      </c>
      <c r="P1660" s="241"/>
      <c r="Q1660" s="251" t="s">
        <v>445</v>
      </c>
      <c r="R1660" s="241"/>
      <c r="S1660" s="154" t="s">
        <v>60</v>
      </c>
      <c r="T1660" s="154" t="s">
        <v>60</v>
      </c>
      <c r="U1660" s="154" t="s">
        <v>60</v>
      </c>
      <c r="V1660" s="154" t="s">
        <v>60</v>
      </c>
      <c r="W1660" s="154" t="s">
        <v>60</v>
      </c>
      <c r="X1660" s="154" t="s">
        <v>60</v>
      </c>
      <c r="Y1660" s="154" t="s">
        <v>64</v>
      </c>
      <c r="Z1660" s="154" t="s">
        <v>64</v>
      </c>
      <c r="AA1660" s="154" t="s">
        <v>64</v>
      </c>
      <c r="AB1660" s="154"/>
      <c r="AC1660" s="242" t="b">
        <f t="shared" si="2"/>
        <v>1</v>
      </c>
      <c r="AD1660" s="154" t="s">
        <v>391</v>
      </c>
      <c r="AE1660" s="243" t="b">
        <f t="shared" si="3"/>
        <v>0</v>
      </c>
      <c r="AF1660" s="154"/>
      <c r="AG1660" s="243" t="b">
        <f t="shared" si="7"/>
        <v>0</v>
      </c>
      <c r="AH1660" s="154"/>
      <c r="AI1660" s="243" t="str">
        <f t="shared" si="5"/>
        <v>N/A</v>
      </c>
      <c r="AJ1660" s="157" t="str">
        <f t="shared" si="6"/>
        <v/>
      </c>
    </row>
    <row r="1661" ht="12.75" customHeight="1">
      <c r="A1661" s="244" t="s">
        <v>4158</v>
      </c>
      <c r="B1661" s="244" t="s">
        <v>4161</v>
      </c>
      <c r="C1661" s="244" t="s">
        <v>4301</v>
      </c>
      <c r="D1661" s="154" t="s">
        <v>581</v>
      </c>
      <c r="E1661" s="250"/>
      <c r="F1661" s="154" t="str">
        <f t="array" ref="F1661">XLOOKUP(Cover!$D$12,$S$1:$AA$1,$S1661:$AA1661)</f>
        <v>Mandatory</v>
      </c>
      <c r="G1661" s="154" t="s">
        <v>4302</v>
      </c>
      <c r="H1661" s="154" t="s">
        <v>2307</v>
      </c>
      <c r="I1661" s="154" t="s">
        <v>632</v>
      </c>
      <c r="J1661" s="247" t="s">
        <v>445</v>
      </c>
      <c r="K1661" s="154"/>
      <c r="L1661" s="154" t="str">
        <f t="shared" si="1"/>
        <v/>
      </c>
      <c r="M1661" s="248" t="str">
        <f>IFERROR(__xludf.DUMMYFUNCTION("VLOOKUP(C1661,IMPORTRANGE(""https://docs.google.com/spreadsheets/d/1P8eX0NWBhUPS_hvzA11R6jkTNFrPrRYIx_dX_hYbxrk/edit?resourcekey=0-iw9bsKY2OqkUHCFMkCar3A&amp;gid=2055363397#gid=2055363397"",""MTR!C:O""),11,false)"),"PMW-IMS")</f>
        <v>PMW-IMS</v>
      </c>
      <c r="N1661" s="248" t="str">
        <f>IFERROR(__xludf.DUMMYFUNCTION("VLOOKUP(C1661,IMPORTRANGE(""https://docs.google.com/spreadsheets/d/1ihFlp3_ePlYtFuPbUNbYj1muErVpI73WHXbEwJDIA7Q/edit#gid=1493122344"",""MTR!C:O""),8,false)"),"Complies")</f>
        <v>Complies</v>
      </c>
      <c r="O1661" s="241" t="str">
        <f>IFERROR(__xludf.DUMMYFUNCTION("VLOOKUP(C1661,IMPORTRANGE(""https://docs.google.com/spreadsheets/d/1P8eX0NWBhUPS_hvzA11R6jkTNFrPrRYIx_dX_hYbxrk/edit?resourcekey=0-iw9bsKY2OqkUHCFMkCar3A&amp;gid=2055363397#gid=2055363397"",""MTR!C:O""),9,false)"),"")</f>
        <v/>
      </c>
      <c r="P1661" s="241"/>
      <c r="Q1661" s="251" t="s">
        <v>445</v>
      </c>
      <c r="R1661" s="241"/>
      <c r="S1661" s="154" t="s">
        <v>60</v>
      </c>
      <c r="T1661" s="154" t="s">
        <v>60</v>
      </c>
      <c r="U1661" s="154" t="s">
        <v>60</v>
      </c>
      <c r="V1661" s="154" t="s">
        <v>60</v>
      </c>
      <c r="W1661" s="154" t="s">
        <v>60</v>
      </c>
      <c r="X1661" s="154" t="s">
        <v>60</v>
      </c>
      <c r="Y1661" s="154" t="s">
        <v>64</v>
      </c>
      <c r="Z1661" s="154" t="s">
        <v>64</v>
      </c>
      <c r="AA1661" s="154" t="s">
        <v>64</v>
      </c>
      <c r="AB1661" s="154"/>
      <c r="AC1661" s="242" t="b">
        <f t="shared" si="2"/>
        <v>1</v>
      </c>
      <c r="AD1661" s="154" t="s">
        <v>391</v>
      </c>
      <c r="AE1661" s="243" t="b">
        <f t="shared" si="3"/>
        <v>0</v>
      </c>
      <c r="AF1661" s="154"/>
      <c r="AG1661" s="243" t="b">
        <f t="shared" si="7"/>
        <v>0</v>
      </c>
      <c r="AH1661" s="154"/>
      <c r="AI1661" s="243" t="str">
        <f t="shared" si="5"/>
        <v>N/A</v>
      </c>
      <c r="AJ1661" s="157" t="str">
        <f t="shared" si="6"/>
        <v/>
      </c>
    </row>
    <row r="1662" ht="12.75" customHeight="1">
      <c r="A1662" s="244" t="s">
        <v>4158</v>
      </c>
      <c r="B1662" s="244" t="s">
        <v>4161</v>
      </c>
      <c r="C1662" s="244" t="s">
        <v>4303</v>
      </c>
      <c r="D1662" s="154" t="s">
        <v>1211</v>
      </c>
      <c r="E1662" s="250"/>
      <c r="F1662" s="154" t="str">
        <f t="array" ref="F1662">XLOOKUP(Cover!$D$12,$S$1:$AA$1,$S1662:$AA1662)</f>
        <v>Mandatory</v>
      </c>
      <c r="G1662" s="154" t="s">
        <v>4304</v>
      </c>
      <c r="H1662" s="154" t="s">
        <v>4279</v>
      </c>
      <c r="I1662" s="154" t="s">
        <v>632</v>
      </c>
      <c r="J1662" s="247" t="s">
        <v>445</v>
      </c>
      <c r="K1662" s="154"/>
      <c r="L1662" s="154" t="str">
        <f t="shared" si="1"/>
        <v/>
      </c>
      <c r="M1662" s="248" t="str">
        <f>IFERROR(__xludf.DUMMYFUNCTION("VLOOKUP(C1662,IMPORTRANGE(""https://docs.google.com/spreadsheets/d/1P8eX0NWBhUPS_hvzA11R6jkTNFrPrRYIx_dX_hYbxrk/edit?resourcekey=0-iw9bsKY2OqkUHCFMkCar3A&amp;gid=2055363397#gid=2055363397"",""MTR!C:O""),11,false)"),"PMW-IMS")</f>
        <v>PMW-IMS</v>
      </c>
      <c r="N1662" s="248" t="str">
        <f>IFERROR(__xludf.DUMMYFUNCTION("VLOOKUP(C1662,IMPORTRANGE(""https://docs.google.com/spreadsheets/d/1ihFlp3_ePlYtFuPbUNbYj1muErVpI73WHXbEwJDIA7Q/edit#gid=1493122344"",""MTR!C:O""),8,false)"),"Complies")</f>
        <v>Complies</v>
      </c>
      <c r="O1662" s="241" t="str">
        <f>IFERROR(__xludf.DUMMYFUNCTION("VLOOKUP(C1662,IMPORTRANGE(""https://docs.google.com/spreadsheets/d/1P8eX0NWBhUPS_hvzA11R6jkTNFrPrRYIx_dX_hYbxrk/edit?resourcekey=0-iw9bsKY2OqkUHCFMkCar3A&amp;gid=2055363397#gid=2055363397"",""MTR!C:O""),9,false)"),"")</f>
        <v/>
      </c>
      <c r="P1662" s="241"/>
      <c r="Q1662" s="251" t="s">
        <v>445</v>
      </c>
      <c r="R1662" s="241"/>
      <c r="S1662" s="154" t="s">
        <v>60</v>
      </c>
      <c r="T1662" s="154" t="s">
        <v>60</v>
      </c>
      <c r="U1662" s="154" t="s">
        <v>60</v>
      </c>
      <c r="V1662" s="154" t="s">
        <v>60</v>
      </c>
      <c r="W1662" s="154" t="s">
        <v>60</v>
      </c>
      <c r="X1662" s="154" t="s">
        <v>60</v>
      </c>
      <c r="Y1662" s="154" t="s">
        <v>64</v>
      </c>
      <c r="Z1662" s="154" t="s">
        <v>64</v>
      </c>
      <c r="AA1662" s="154" t="s">
        <v>64</v>
      </c>
      <c r="AB1662" s="154"/>
      <c r="AC1662" s="242" t="b">
        <f t="shared" si="2"/>
        <v>1</v>
      </c>
      <c r="AD1662" s="154" t="s">
        <v>391</v>
      </c>
      <c r="AE1662" s="243" t="b">
        <f t="shared" si="3"/>
        <v>0</v>
      </c>
      <c r="AF1662" s="154"/>
      <c r="AG1662" s="243" t="b">
        <f t="shared" si="7"/>
        <v>0</v>
      </c>
      <c r="AH1662" s="154"/>
      <c r="AI1662" s="243" t="str">
        <f t="shared" si="5"/>
        <v>N/A</v>
      </c>
      <c r="AJ1662" s="157" t="str">
        <f t="shared" si="6"/>
        <v/>
      </c>
    </row>
    <row r="1663" ht="12.75" customHeight="1">
      <c r="A1663" s="244" t="s">
        <v>4158</v>
      </c>
      <c r="B1663" s="244" t="s">
        <v>4161</v>
      </c>
      <c r="C1663" s="244" t="s">
        <v>4305</v>
      </c>
      <c r="D1663" s="154" t="s">
        <v>1211</v>
      </c>
      <c r="E1663" s="250"/>
      <c r="F1663" s="154" t="str">
        <f t="array" ref="F1663">XLOOKUP(Cover!$D$12,$S$1:$AA$1,$S1663:$AA1663)</f>
        <v>Mandatory</v>
      </c>
      <c r="G1663" s="154" t="s">
        <v>4306</v>
      </c>
      <c r="H1663" s="154" t="s">
        <v>4279</v>
      </c>
      <c r="I1663" s="154" t="s">
        <v>632</v>
      </c>
      <c r="J1663" s="247" t="s">
        <v>445</v>
      </c>
      <c r="K1663" s="154"/>
      <c r="L1663" s="154" t="str">
        <f t="shared" si="1"/>
        <v/>
      </c>
      <c r="M1663" s="248" t="str">
        <f>IFERROR(__xludf.DUMMYFUNCTION("VLOOKUP(C1663,IMPORTRANGE(""https://docs.google.com/spreadsheets/d/1P8eX0NWBhUPS_hvzA11R6jkTNFrPrRYIx_dX_hYbxrk/edit?resourcekey=0-iw9bsKY2OqkUHCFMkCar3A&amp;gid=2055363397#gid=2055363397"",""MTR!C:O""),11,false)"),"PMW-IMS")</f>
        <v>PMW-IMS</v>
      </c>
      <c r="N1663" s="248" t="str">
        <f>IFERROR(__xludf.DUMMYFUNCTION("VLOOKUP(C1663,IMPORTRANGE(""https://docs.google.com/spreadsheets/d/1ihFlp3_ePlYtFuPbUNbYj1muErVpI73WHXbEwJDIA7Q/edit#gid=1493122344"",""MTR!C:O""),8,false)"),"Complies")</f>
        <v>Complies</v>
      </c>
      <c r="O1663" s="241" t="str">
        <f>IFERROR(__xludf.DUMMYFUNCTION("VLOOKUP(C1663,IMPORTRANGE(""https://docs.google.com/spreadsheets/d/1P8eX0NWBhUPS_hvzA11R6jkTNFrPrRYIx_dX_hYbxrk/edit?resourcekey=0-iw9bsKY2OqkUHCFMkCar3A&amp;gid=2055363397#gid=2055363397"",""MTR!C:O""),9,false)"),"")</f>
        <v/>
      </c>
      <c r="P1663" s="241"/>
      <c r="Q1663" s="251" t="s">
        <v>445</v>
      </c>
      <c r="R1663" s="241"/>
      <c r="S1663" s="154" t="s">
        <v>60</v>
      </c>
      <c r="T1663" s="154" t="s">
        <v>60</v>
      </c>
      <c r="U1663" s="154" t="s">
        <v>60</v>
      </c>
      <c r="V1663" s="154" t="s">
        <v>60</v>
      </c>
      <c r="W1663" s="154" t="s">
        <v>60</v>
      </c>
      <c r="X1663" s="154" t="s">
        <v>60</v>
      </c>
      <c r="Y1663" s="154" t="s">
        <v>64</v>
      </c>
      <c r="Z1663" s="154" t="s">
        <v>64</v>
      </c>
      <c r="AA1663" s="154" t="s">
        <v>64</v>
      </c>
      <c r="AB1663" s="154"/>
      <c r="AC1663" s="242" t="b">
        <f t="shared" si="2"/>
        <v>1</v>
      </c>
      <c r="AD1663" s="154" t="s">
        <v>391</v>
      </c>
      <c r="AE1663" s="243" t="b">
        <f t="shared" si="3"/>
        <v>0</v>
      </c>
      <c r="AF1663" s="154"/>
      <c r="AG1663" s="243" t="b">
        <f t="shared" si="7"/>
        <v>0</v>
      </c>
      <c r="AH1663" s="154"/>
      <c r="AI1663" s="243" t="str">
        <f t="shared" si="5"/>
        <v>N/A</v>
      </c>
      <c r="AJ1663" s="157" t="str">
        <f t="shared" si="6"/>
        <v/>
      </c>
    </row>
    <row r="1664" ht="12.75" customHeight="1">
      <c r="A1664" s="244" t="s">
        <v>4158</v>
      </c>
      <c r="B1664" s="244" t="s">
        <v>4161</v>
      </c>
      <c r="C1664" s="244" t="s">
        <v>4307</v>
      </c>
      <c r="D1664" s="154" t="s">
        <v>1211</v>
      </c>
      <c r="E1664" s="250"/>
      <c r="F1664" s="154" t="str">
        <f t="array" ref="F1664">XLOOKUP(Cover!$D$12,$S$1:$AA$1,$S1664:$AA1664)</f>
        <v>Mandatory</v>
      </c>
      <c r="G1664" s="154" t="s">
        <v>4308</v>
      </c>
      <c r="H1664" s="154" t="s">
        <v>4265</v>
      </c>
      <c r="I1664" s="154" t="s">
        <v>632</v>
      </c>
      <c r="J1664" s="247" t="s">
        <v>445</v>
      </c>
      <c r="K1664" s="154"/>
      <c r="L1664" s="154" t="str">
        <f t="shared" si="1"/>
        <v/>
      </c>
      <c r="M1664" s="248" t="str">
        <f>IFERROR(__xludf.DUMMYFUNCTION("VLOOKUP(C1664,IMPORTRANGE(""https://docs.google.com/spreadsheets/d/1P8eX0NWBhUPS_hvzA11R6jkTNFrPrRYIx_dX_hYbxrk/edit?resourcekey=0-iw9bsKY2OqkUHCFMkCar3A&amp;gid=2055363397#gid=2055363397"",""MTR!C:O""),11,false)"),"PMW-IMS")</f>
        <v>PMW-IMS</v>
      </c>
      <c r="N1664" s="248" t="str">
        <f>IFERROR(__xludf.DUMMYFUNCTION("VLOOKUP(C1664,IMPORTRANGE(""https://docs.google.com/spreadsheets/d/1ihFlp3_ePlYtFuPbUNbYj1muErVpI73WHXbEwJDIA7Q/edit#gid=1493122344"",""MTR!C:O""),8,false)"),"Complies")</f>
        <v>Complies</v>
      </c>
      <c r="O1664" s="241" t="str">
        <f>IFERROR(__xludf.DUMMYFUNCTION("VLOOKUP(C1664,IMPORTRANGE(""https://docs.google.com/spreadsheets/d/1P8eX0NWBhUPS_hvzA11R6jkTNFrPrRYIx_dX_hYbxrk/edit?resourcekey=0-iw9bsKY2OqkUHCFMkCar3A&amp;gid=2055363397#gid=2055363397"",""MTR!C:O""),9,false)"),"")</f>
        <v/>
      </c>
      <c r="P1664" s="241"/>
      <c r="Q1664" s="251" t="s">
        <v>445</v>
      </c>
      <c r="R1664" s="241"/>
      <c r="S1664" s="154" t="s">
        <v>60</v>
      </c>
      <c r="T1664" s="154" t="s">
        <v>60</v>
      </c>
      <c r="U1664" s="154" t="s">
        <v>60</v>
      </c>
      <c r="V1664" s="154" t="s">
        <v>60</v>
      </c>
      <c r="W1664" s="154" t="s">
        <v>60</v>
      </c>
      <c r="X1664" s="154" t="s">
        <v>60</v>
      </c>
      <c r="Y1664" s="154" t="s">
        <v>64</v>
      </c>
      <c r="Z1664" s="154" t="s">
        <v>64</v>
      </c>
      <c r="AA1664" s="154" t="s">
        <v>64</v>
      </c>
      <c r="AB1664" s="154"/>
      <c r="AC1664" s="242" t="b">
        <f t="shared" si="2"/>
        <v>1</v>
      </c>
      <c r="AD1664" s="154" t="s">
        <v>391</v>
      </c>
      <c r="AE1664" s="243" t="b">
        <f t="shared" si="3"/>
        <v>0</v>
      </c>
      <c r="AF1664" s="154"/>
      <c r="AG1664" s="243" t="b">
        <f t="shared" si="7"/>
        <v>0</v>
      </c>
      <c r="AH1664" s="154"/>
      <c r="AI1664" s="243" t="str">
        <f t="shared" si="5"/>
        <v>N/A</v>
      </c>
      <c r="AJ1664" s="157" t="str">
        <f t="shared" si="6"/>
        <v/>
      </c>
    </row>
    <row r="1665" ht="12.75" customHeight="1">
      <c r="A1665" s="244" t="s">
        <v>4158</v>
      </c>
      <c r="B1665" s="244" t="s">
        <v>4161</v>
      </c>
      <c r="C1665" s="244" t="s">
        <v>4309</v>
      </c>
      <c r="D1665" s="154" t="s">
        <v>1211</v>
      </c>
      <c r="E1665" s="250"/>
      <c r="F1665" s="154" t="str">
        <f t="array" ref="F1665">XLOOKUP(Cover!$D$12,$S$1:$AA$1,$S1665:$AA1665)</f>
        <v>Mandatory</v>
      </c>
      <c r="G1665" s="154" t="s">
        <v>4310</v>
      </c>
      <c r="H1665" s="154" t="s">
        <v>4279</v>
      </c>
      <c r="I1665" s="154" t="s">
        <v>632</v>
      </c>
      <c r="J1665" s="247" t="s">
        <v>445</v>
      </c>
      <c r="K1665" s="154"/>
      <c r="L1665" s="154" t="str">
        <f t="shared" si="1"/>
        <v/>
      </c>
      <c r="M1665" s="248" t="str">
        <f>IFERROR(__xludf.DUMMYFUNCTION("VLOOKUP(C1665,IMPORTRANGE(""https://docs.google.com/spreadsheets/d/1P8eX0NWBhUPS_hvzA11R6jkTNFrPrRYIx_dX_hYbxrk/edit?resourcekey=0-iw9bsKY2OqkUHCFMkCar3A&amp;gid=2055363397#gid=2055363397"",""MTR!C:O""),11,false)"),"PMW-IMS")</f>
        <v>PMW-IMS</v>
      </c>
      <c r="N1665" s="248" t="str">
        <f>IFERROR(__xludf.DUMMYFUNCTION("VLOOKUP(C1665,IMPORTRANGE(""https://docs.google.com/spreadsheets/d/1ihFlp3_ePlYtFuPbUNbYj1muErVpI73WHXbEwJDIA7Q/edit#gid=1493122344"",""MTR!C:O""),8,false)"),"Complies")</f>
        <v>Complies</v>
      </c>
      <c r="O1665" s="241" t="str">
        <f>IFERROR(__xludf.DUMMYFUNCTION("VLOOKUP(C1665,IMPORTRANGE(""https://docs.google.com/spreadsheets/d/1P8eX0NWBhUPS_hvzA11R6jkTNFrPrRYIx_dX_hYbxrk/edit?resourcekey=0-iw9bsKY2OqkUHCFMkCar3A&amp;gid=2055363397#gid=2055363397"",""MTR!C:O""),9,false)"),"")</f>
        <v/>
      </c>
      <c r="P1665" s="241"/>
      <c r="Q1665" s="251" t="s">
        <v>445</v>
      </c>
      <c r="R1665" s="241"/>
      <c r="S1665" s="154" t="s">
        <v>60</v>
      </c>
      <c r="T1665" s="154" t="s">
        <v>60</v>
      </c>
      <c r="U1665" s="154" t="s">
        <v>60</v>
      </c>
      <c r="V1665" s="154" t="s">
        <v>60</v>
      </c>
      <c r="W1665" s="154" t="s">
        <v>60</v>
      </c>
      <c r="X1665" s="154" t="s">
        <v>60</v>
      </c>
      <c r="Y1665" s="154" t="s">
        <v>64</v>
      </c>
      <c r="Z1665" s="154" t="s">
        <v>64</v>
      </c>
      <c r="AA1665" s="154" t="s">
        <v>64</v>
      </c>
      <c r="AB1665" s="154"/>
      <c r="AC1665" s="242" t="b">
        <f t="shared" si="2"/>
        <v>1</v>
      </c>
      <c r="AD1665" s="154" t="s">
        <v>391</v>
      </c>
      <c r="AE1665" s="243" t="b">
        <f t="shared" si="3"/>
        <v>0</v>
      </c>
      <c r="AF1665" s="154"/>
      <c r="AG1665" s="243" t="b">
        <f t="shared" si="7"/>
        <v>0</v>
      </c>
      <c r="AH1665" s="154"/>
      <c r="AI1665" s="243" t="str">
        <f t="shared" si="5"/>
        <v>N/A</v>
      </c>
      <c r="AJ1665" s="157" t="str">
        <f t="shared" si="6"/>
        <v/>
      </c>
    </row>
    <row r="1666" ht="12.75" customHeight="1">
      <c r="A1666" s="244" t="s">
        <v>4158</v>
      </c>
      <c r="B1666" s="244" t="s">
        <v>4161</v>
      </c>
      <c r="C1666" s="244" t="s">
        <v>4311</v>
      </c>
      <c r="D1666" s="154" t="s">
        <v>649</v>
      </c>
      <c r="E1666" s="250"/>
      <c r="F1666" s="154" t="str">
        <f t="array" ref="F1666">XLOOKUP(Cover!$D$12,$S$1:$AA$1,$S1666:$AA1666)</f>
        <v>Mandatory</v>
      </c>
      <c r="G1666" s="154" t="s">
        <v>4312</v>
      </c>
      <c r="H1666" s="154" t="s">
        <v>4265</v>
      </c>
      <c r="I1666" s="154" t="s">
        <v>632</v>
      </c>
      <c r="J1666" s="247" t="s">
        <v>445</v>
      </c>
      <c r="K1666" s="154"/>
      <c r="L1666" s="154" t="str">
        <f t="shared" si="1"/>
        <v/>
      </c>
      <c r="M1666" s="248" t="str">
        <f>IFERROR(__xludf.DUMMYFUNCTION("VLOOKUP(C1666,IMPORTRANGE(""https://docs.google.com/spreadsheets/d/1P8eX0NWBhUPS_hvzA11R6jkTNFrPrRYIx_dX_hYbxrk/edit?resourcekey=0-iw9bsKY2OqkUHCFMkCar3A&amp;gid=2055363397#gid=2055363397"",""MTR!C:O""),11,false)"),"PMW-IMS")</f>
        <v>PMW-IMS</v>
      </c>
      <c r="N1666" s="248" t="str">
        <f>IFERROR(__xludf.DUMMYFUNCTION("VLOOKUP(C1666,IMPORTRANGE(""https://docs.google.com/spreadsheets/d/1ihFlp3_ePlYtFuPbUNbYj1muErVpI73WHXbEwJDIA7Q/edit#gid=1493122344"",""MTR!C:O""),8,false)"),"Complies")</f>
        <v>Complies</v>
      </c>
      <c r="O1666" s="241" t="str">
        <f>IFERROR(__xludf.DUMMYFUNCTION("VLOOKUP(C1666,IMPORTRANGE(""https://docs.google.com/spreadsheets/d/1P8eX0NWBhUPS_hvzA11R6jkTNFrPrRYIx_dX_hYbxrk/edit?resourcekey=0-iw9bsKY2OqkUHCFMkCar3A&amp;gid=2055363397#gid=2055363397"",""MTR!C:O""),9,false)"),"")</f>
        <v/>
      </c>
      <c r="P1666" s="241"/>
      <c r="Q1666" s="251" t="s">
        <v>445</v>
      </c>
      <c r="R1666" s="241"/>
      <c r="S1666" s="154" t="s">
        <v>60</v>
      </c>
      <c r="T1666" s="154" t="s">
        <v>60</v>
      </c>
      <c r="U1666" s="154" t="s">
        <v>60</v>
      </c>
      <c r="V1666" s="154" t="s">
        <v>60</v>
      </c>
      <c r="W1666" s="154" t="s">
        <v>60</v>
      </c>
      <c r="X1666" s="154" t="s">
        <v>60</v>
      </c>
      <c r="Y1666" s="154" t="s">
        <v>64</v>
      </c>
      <c r="Z1666" s="154" t="s">
        <v>64</v>
      </c>
      <c r="AA1666" s="154" t="s">
        <v>64</v>
      </c>
      <c r="AB1666" s="154"/>
      <c r="AC1666" s="242" t="b">
        <f t="shared" si="2"/>
        <v>1</v>
      </c>
      <c r="AD1666" s="154" t="s">
        <v>391</v>
      </c>
      <c r="AE1666" s="243" t="b">
        <f t="shared" si="3"/>
        <v>0</v>
      </c>
      <c r="AF1666" s="154"/>
      <c r="AG1666" s="243" t="b">
        <f t="shared" si="7"/>
        <v>0</v>
      </c>
      <c r="AH1666" s="154"/>
      <c r="AI1666" s="243" t="str">
        <f t="shared" si="5"/>
        <v>N/A</v>
      </c>
      <c r="AJ1666" s="157" t="str">
        <f t="shared" si="6"/>
        <v/>
      </c>
    </row>
    <row r="1667" ht="12.75" customHeight="1">
      <c r="A1667" s="244" t="s">
        <v>4158</v>
      </c>
      <c r="B1667" s="244" t="s">
        <v>4161</v>
      </c>
      <c r="C1667" s="244" t="s">
        <v>4313</v>
      </c>
      <c r="D1667" s="154" t="s">
        <v>649</v>
      </c>
      <c r="E1667" s="250"/>
      <c r="F1667" s="154" t="str">
        <f t="array" ref="F1667">XLOOKUP(Cover!$D$12,$S$1:$AA$1,$S1667:$AA1667)</f>
        <v>Mandatory</v>
      </c>
      <c r="G1667" s="154" t="s">
        <v>4314</v>
      </c>
      <c r="H1667" s="154" t="s">
        <v>4265</v>
      </c>
      <c r="I1667" s="154" t="s">
        <v>632</v>
      </c>
      <c r="J1667" s="247" t="s">
        <v>445</v>
      </c>
      <c r="K1667" s="154"/>
      <c r="L1667" s="154" t="str">
        <f t="shared" si="1"/>
        <v/>
      </c>
      <c r="M1667" s="248" t="str">
        <f>IFERROR(__xludf.DUMMYFUNCTION("VLOOKUP(C1667,IMPORTRANGE(""https://docs.google.com/spreadsheets/d/1P8eX0NWBhUPS_hvzA11R6jkTNFrPrRYIx_dX_hYbxrk/edit?resourcekey=0-iw9bsKY2OqkUHCFMkCar3A&amp;gid=2055363397#gid=2055363397"",""MTR!C:O""),11,false)"),"PMW-IMS")</f>
        <v>PMW-IMS</v>
      </c>
      <c r="N1667" s="248" t="str">
        <f>IFERROR(__xludf.DUMMYFUNCTION("VLOOKUP(C1667,IMPORTRANGE(""https://docs.google.com/spreadsheets/d/1ihFlp3_ePlYtFuPbUNbYj1muErVpI73WHXbEwJDIA7Q/edit#gid=1493122344"",""MTR!C:O""),8,false)"),"Complies")</f>
        <v>Complies</v>
      </c>
      <c r="O1667" s="241" t="str">
        <f>IFERROR(__xludf.DUMMYFUNCTION("VLOOKUP(C1667,IMPORTRANGE(""https://docs.google.com/spreadsheets/d/1P8eX0NWBhUPS_hvzA11R6jkTNFrPrRYIx_dX_hYbxrk/edit?resourcekey=0-iw9bsKY2OqkUHCFMkCar3A&amp;gid=2055363397#gid=2055363397"",""MTR!C:O""),9,false)"),"")</f>
        <v/>
      </c>
      <c r="P1667" s="241"/>
      <c r="Q1667" s="251" t="s">
        <v>445</v>
      </c>
      <c r="R1667" s="241"/>
      <c r="S1667" s="154" t="s">
        <v>60</v>
      </c>
      <c r="T1667" s="154" t="s">
        <v>60</v>
      </c>
      <c r="U1667" s="154" t="s">
        <v>60</v>
      </c>
      <c r="V1667" s="154" t="s">
        <v>60</v>
      </c>
      <c r="W1667" s="154" t="s">
        <v>60</v>
      </c>
      <c r="X1667" s="154" t="s">
        <v>60</v>
      </c>
      <c r="Y1667" s="154" t="s">
        <v>64</v>
      </c>
      <c r="Z1667" s="154" t="s">
        <v>64</v>
      </c>
      <c r="AA1667" s="154" t="s">
        <v>64</v>
      </c>
      <c r="AB1667" s="154"/>
      <c r="AC1667" s="242" t="b">
        <f t="shared" si="2"/>
        <v>1</v>
      </c>
      <c r="AD1667" s="154" t="s">
        <v>391</v>
      </c>
      <c r="AE1667" s="243" t="b">
        <f t="shared" si="3"/>
        <v>0</v>
      </c>
      <c r="AF1667" s="154"/>
      <c r="AG1667" s="243" t="b">
        <f t="shared" si="7"/>
        <v>0</v>
      </c>
      <c r="AH1667" s="154"/>
      <c r="AI1667" s="243" t="str">
        <f t="shared" si="5"/>
        <v>N/A</v>
      </c>
      <c r="AJ1667" s="157" t="str">
        <f t="shared" si="6"/>
        <v/>
      </c>
    </row>
    <row r="1668" ht="12.75" customHeight="1">
      <c r="A1668" s="244" t="s">
        <v>4158</v>
      </c>
      <c r="B1668" s="244" t="s">
        <v>4161</v>
      </c>
      <c r="C1668" s="245" t="s">
        <v>4315</v>
      </c>
      <c r="D1668" s="155" t="s">
        <v>433</v>
      </c>
      <c r="E1668" s="246" t="s">
        <v>92</v>
      </c>
      <c r="F1668" s="154" t="str">
        <f t="array" ref="F1668">XLOOKUP(Cover!$D$12,$S$1:$AA$1,$S1668:$AA1668)</f>
        <v>Mandatory</v>
      </c>
      <c r="G1668" s="154" t="s">
        <v>4316</v>
      </c>
      <c r="H1668" s="154" t="s">
        <v>4279</v>
      </c>
      <c r="I1668" s="154" t="s">
        <v>632</v>
      </c>
      <c r="J1668" s="247" t="s">
        <v>445</v>
      </c>
      <c r="K1668" s="154"/>
      <c r="L1668" s="154" t="str">
        <f t="shared" si="1"/>
        <v/>
      </c>
      <c r="M1668" s="248" t="str">
        <f>IFERROR(__xludf.DUMMYFUNCTION("VLOOKUP(C1668,IMPORTRANGE(""https://docs.google.com/spreadsheets/d/1P8eX0NWBhUPS_hvzA11R6jkTNFrPrRYIx_dX_hYbxrk/edit?resourcekey=0-iw9bsKY2OqkUHCFMkCar3A&amp;gid=2055363397#gid=2055363397"",""MTR!C:O""),11,false)"),"PMW-IMS")</f>
        <v>PMW-IMS</v>
      </c>
      <c r="N1668" s="248" t="str">
        <f>IFERROR(__xludf.DUMMYFUNCTION("VLOOKUP(C1668,IMPORTRANGE(""https://docs.google.com/spreadsheets/d/1ihFlp3_ePlYtFuPbUNbYj1muErVpI73WHXbEwJDIA7Q/edit#gid=1493122344"",""MTR!C:O""),8,false)"),"Complies")</f>
        <v>Complies</v>
      </c>
      <c r="O1668" s="241" t="str">
        <f>IFERROR(__xludf.DUMMYFUNCTION("VLOOKUP(C1668,IMPORTRANGE(""https://docs.google.com/spreadsheets/d/1P8eX0NWBhUPS_hvzA11R6jkTNFrPrRYIx_dX_hYbxrk/edit?resourcekey=0-iw9bsKY2OqkUHCFMkCar3A&amp;gid=2055363397#gid=2055363397"",""MTR!C:O""),9,false)"),"")</f>
        <v/>
      </c>
      <c r="P1668" s="241"/>
      <c r="Q1668" s="251" t="s">
        <v>445</v>
      </c>
      <c r="R1668" s="241"/>
      <c r="S1668" s="154" t="s">
        <v>60</v>
      </c>
      <c r="T1668" s="154" t="s">
        <v>60</v>
      </c>
      <c r="U1668" s="154" t="s">
        <v>60</v>
      </c>
      <c r="V1668" s="154" t="s">
        <v>60</v>
      </c>
      <c r="W1668" s="154" t="s">
        <v>60</v>
      </c>
      <c r="X1668" s="154" t="s">
        <v>60</v>
      </c>
      <c r="Y1668" s="154" t="s">
        <v>64</v>
      </c>
      <c r="Z1668" s="154" t="s">
        <v>64</v>
      </c>
      <c r="AA1668" s="154" t="s">
        <v>64</v>
      </c>
      <c r="AB1668" s="154"/>
      <c r="AC1668" s="242" t="b">
        <f t="shared" si="2"/>
        <v>1</v>
      </c>
      <c r="AD1668" s="154" t="s">
        <v>391</v>
      </c>
      <c r="AE1668" s="243" t="b">
        <f t="shared" si="3"/>
        <v>0</v>
      </c>
      <c r="AF1668" s="154"/>
      <c r="AG1668" s="243" t="b">
        <f t="shared" si="7"/>
        <v>0</v>
      </c>
      <c r="AH1668" s="154"/>
      <c r="AI1668" s="243" t="str">
        <f t="shared" si="5"/>
        <v>N/A</v>
      </c>
      <c r="AJ1668" s="157" t="str">
        <f t="shared" si="6"/>
        <v/>
      </c>
    </row>
    <row r="1669" ht="12.75" customHeight="1">
      <c r="A1669" s="244" t="s">
        <v>4158</v>
      </c>
      <c r="B1669" s="244" t="s">
        <v>4161</v>
      </c>
      <c r="C1669" s="244" t="s">
        <v>4317</v>
      </c>
      <c r="D1669" s="154" t="s">
        <v>781</v>
      </c>
      <c r="E1669" s="250"/>
      <c r="F1669" s="154" t="str">
        <f t="array" ref="F1669">XLOOKUP(Cover!$D$12,$S$1:$AA$1,$S1669:$AA1669)</f>
        <v>Mandatory</v>
      </c>
      <c r="G1669" s="154" t="s">
        <v>4318</v>
      </c>
      <c r="H1669" s="154" t="s">
        <v>4279</v>
      </c>
      <c r="I1669" s="154" t="s">
        <v>632</v>
      </c>
      <c r="J1669" s="247" t="s">
        <v>445</v>
      </c>
      <c r="K1669" s="154"/>
      <c r="L1669" s="154" t="str">
        <f t="shared" si="1"/>
        <v/>
      </c>
      <c r="M1669" s="248" t="str">
        <f>IFERROR(__xludf.DUMMYFUNCTION("VLOOKUP(C1669,IMPORTRANGE(""https://docs.google.com/spreadsheets/d/1P8eX0NWBhUPS_hvzA11R6jkTNFrPrRYIx_dX_hYbxrk/edit?resourcekey=0-iw9bsKY2OqkUHCFMkCar3A&amp;gid=2055363397#gid=2055363397"",""MTR!C:O""),11,false)"),"PMW-IMS")</f>
        <v>PMW-IMS</v>
      </c>
      <c r="N1669" s="248" t="str">
        <f>IFERROR(__xludf.DUMMYFUNCTION("VLOOKUP(C1669,IMPORTRANGE(""https://docs.google.com/spreadsheets/d/1ihFlp3_ePlYtFuPbUNbYj1muErVpI73WHXbEwJDIA7Q/edit#gid=1493122344"",""MTR!C:O""),8,false)"),"Complies")</f>
        <v>Complies</v>
      </c>
      <c r="O1669" s="241" t="str">
        <f>IFERROR(__xludf.DUMMYFUNCTION("VLOOKUP(C1669,IMPORTRANGE(""https://docs.google.com/spreadsheets/d/1P8eX0NWBhUPS_hvzA11R6jkTNFrPrRYIx_dX_hYbxrk/edit?resourcekey=0-iw9bsKY2OqkUHCFMkCar3A&amp;gid=2055363397#gid=2055363397"",""MTR!C:O""),9,false)"),"")</f>
        <v/>
      </c>
      <c r="P1669" s="241"/>
      <c r="Q1669" s="251" t="s">
        <v>445</v>
      </c>
      <c r="R1669" s="241"/>
      <c r="S1669" s="154" t="s">
        <v>60</v>
      </c>
      <c r="T1669" s="154" t="s">
        <v>60</v>
      </c>
      <c r="U1669" s="154" t="s">
        <v>60</v>
      </c>
      <c r="V1669" s="154" t="s">
        <v>60</v>
      </c>
      <c r="W1669" s="154" t="s">
        <v>60</v>
      </c>
      <c r="X1669" s="154" t="s">
        <v>60</v>
      </c>
      <c r="Y1669" s="154" t="s">
        <v>64</v>
      </c>
      <c r="Z1669" s="154" t="s">
        <v>64</v>
      </c>
      <c r="AA1669" s="154" t="s">
        <v>64</v>
      </c>
      <c r="AB1669" s="154"/>
      <c r="AC1669" s="242" t="b">
        <f t="shared" si="2"/>
        <v>1</v>
      </c>
      <c r="AD1669" s="154" t="s">
        <v>391</v>
      </c>
      <c r="AE1669" s="243" t="b">
        <f t="shared" si="3"/>
        <v>0</v>
      </c>
      <c r="AF1669" s="154"/>
      <c r="AG1669" s="243" t="b">
        <f t="shared" si="7"/>
        <v>0</v>
      </c>
      <c r="AH1669" s="154"/>
      <c r="AI1669" s="243" t="str">
        <f t="shared" si="5"/>
        <v>N/A</v>
      </c>
      <c r="AJ1669" s="157" t="str">
        <f t="shared" si="6"/>
        <v/>
      </c>
    </row>
    <row r="1670" ht="12.75" customHeight="1">
      <c r="A1670" s="244" t="s">
        <v>4158</v>
      </c>
      <c r="B1670" s="244" t="s">
        <v>4161</v>
      </c>
      <c r="C1670" s="244" t="s">
        <v>4319</v>
      </c>
      <c r="D1670" s="154" t="s">
        <v>1069</v>
      </c>
      <c r="E1670" s="250"/>
      <c r="F1670" s="154" t="str">
        <f t="array" ref="F1670">XLOOKUP(Cover!$D$12,$S$1:$AA$1,$S1670:$AA1670)</f>
        <v>Mandatory</v>
      </c>
      <c r="G1670" s="154" t="s">
        <v>4320</v>
      </c>
      <c r="H1670" s="154" t="s">
        <v>4279</v>
      </c>
      <c r="I1670" s="154" t="s">
        <v>632</v>
      </c>
      <c r="J1670" s="247" t="s">
        <v>445</v>
      </c>
      <c r="K1670" s="247" t="s">
        <v>4321</v>
      </c>
      <c r="L1670" s="154" t="str">
        <f t="shared" si="1"/>
        <v/>
      </c>
      <c r="M1670" s="248" t="str">
        <f>IFERROR(__xludf.DUMMYFUNCTION("VLOOKUP(C1670,IMPORTRANGE(""https://docs.google.com/spreadsheets/d/1P8eX0NWBhUPS_hvzA11R6jkTNFrPrRYIx_dX_hYbxrk/edit?resourcekey=0-iw9bsKY2OqkUHCFMkCar3A&amp;gid=2055363397#gid=2055363397"",""MTR!C:O""),11,false)"),"PMW-IMS")</f>
        <v>PMW-IMS</v>
      </c>
      <c r="N1670" s="248" t="str">
        <f>IFERROR(__xludf.DUMMYFUNCTION("VLOOKUP(C1670,IMPORTRANGE(""https://docs.google.com/spreadsheets/d/1ihFlp3_ePlYtFuPbUNbYj1muErVpI73WHXbEwJDIA7Q/edit#gid=1493122344"",""MTR!C:O""),8,false)"),"Complies")</f>
        <v>Complies</v>
      </c>
      <c r="O1670" s="241" t="str">
        <f>IFERROR(__xludf.DUMMYFUNCTION("VLOOKUP(C1670,IMPORTRANGE(""https://docs.google.com/spreadsheets/d/1P8eX0NWBhUPS_hvzA11R6jkTNFrPrRYIx_dX_hYbxrk/edit?resourcekey=0-iw9bsKY2OqkUHCFMkCar3A&amp;gid=2055363397#gid=2055363397"",""MTR!C:O""),9,false)"),"")</f>
        <v/>
      </c>
      <c r="P1670" s="241"/>
      <c r="Q1670" s="251" t="s">
        <v>445</v>
      </c>
      <c r="R1670" s="271" t="s">
        <v>4322</v>
      </c>
      <c r="S1670" s="154" t="s">
        <v>60</v>
      </c>
      <c r="T1670" s="154" t="s">
        <v>60</v>
      </c>
      <c r="U1670" s="154" t="s">
        <v>60</v>
      </c>
      <c r="V1670" s="154" t="s">
        <v>60</v>
      </c>
      <c r="W1670" s="154" t="s">
        <v>60</v>
      </c>
      <c r="X1670" s="154" t="s">
        <v>60</v>
      </c>
      <c r="Y1670" s="154" t="s">
        <v>64</v>
      </c>
      <c r="Z1670" s="154" t="s">
        <v>64</v>
      </c>
      <c r="AA1670" s="154" t="s">
        <v>64</v>
      </c>
      <c r="AB1670" s="154"/>
      <c r="AC1670" s="242" t="b">
        <f t="shared" si="2"/>
        <v>1</v>
      </c>
      <c r="AD1670" s="154" t="s">
        <v>391</v>
      </c>
      <c r="AE1670" s="243" t="b">
        <f t="shared" si="3"/>
        <v>0</v>
      </c>
      <c r="AF1670" s="154"/>
      <c r="AG1670" s="243" t="b">
        <f t="shared" si="7"/>
        <v>0</v>
      </c>
      <c r="AH1670" s="154"/>
      <c r="AI1670" s="243" t="str">
        <f t="shared" si="5"/>
        <v>N/A</v>
      </c>
      <c r="AJ1670" s="157" t="str">
        <f t="shared" si="6"/>
        <v/>
      </c>
    </row>
    <row r="1671" ht="12.75" customHeight="1">
      <c r="A1671" s="238" t="s">
        <v>4158</v>
      </c>
      <c r="B1671" s="238" t="s">
        <v>4161</v>
      </c>
      <c r="C1671" s="238" t="s">
        <v>4323</v>
      </c>
      <c r="D1671" s="238"/>
      <c r="E1671" s="238"/>
      <c r="F1671" s="154" t="str">
        <f t="array" ref="F1671">XLOOKUP(Cover!$D$12,$S$1:$AA$1,$S1671:$AA1671)</f>
        <v>Heading</v>
      </c>
      <c r="G1671" s="239" t="s">
        <v>4324</v>
      </c>
      <c r="H1671" s="240"/>
      <c r="I1671" s="240" t="s">
        <v>632</v>
      </c>
      <c r="J1671" s="240"/>
      <c r="K1671" s="240"/>
      <c r="L1671" s="154" t="str">
        <f t="shared" si="1"/>
        <v/>
      </c>
      <c r="M1671" s="241" t="str">
        <f>IFERROR(__xludf.DUMMYFUNCTION("VLOOKUP(C1671,IMPORTRANGE(""https://docs.google.com/spreadsheets/d/1P8eX0NWBhUPS_hvzA11R6jkTNFrPrRYIx_dX_hYbxrk/edit?resourcekey=0-iw9bsKY2OqkUHCFMkCar3A&amp;gid=2055363397#gid=2055363397"",""MTR!C:O""),11,false)"),"")</f>
        <v/>
      </c>
      <c r="N1671" s="241" t="str">
        <f>IFERROR(__xludf.DUMMYFUNCTION("VLOOKUP(C1671,IMPORTRANGE(""https://docs.google.com/spreadsheets/d/1ihFlp3_ePlYtFuPbUNbYj1muErVpI73WHXbEwJDIA7Q/edit#gid=1493122344"",""MTR!C:O""),8,false)"),"")</f>
        <v/>
      </c>
      <c r="O1671" s="241" t="str">
        <f>IFERROR(__xludf.DUMMYFUNCTION("VLOOKUP(C1671,IMPORTRANGE(""https://docs.google.com/spreadsheets/d/1P8eX0NWBhUPS_hvzA11R6jkTNFrPrRYIx_dX_hYbxrk/edit?resourcekey=0-iw9bsKY2OqkUHCFMkCar3A&amp;gid=2055363397#gid=2055363397"",""MTR!C:O""),9,false)"),"")</f>
        <v/>
      </c>
      <c r="P1671" s="241"/>
      <c r="Q1671" s="251"/>
      <c r="R1671" s="251"/>
      <c r="S1671" s="240" t="s">
        <v>390</v>
      </c>
      <c r="T1671" s="240" t="s">
        <v>390</v>
      </c>
      <c r="U1671" s="240" t="s">
        <v>390</v>
      </c>
      <c r="V1671" s="240" t="s">
        <v>390</v>
      </c>
      <c r="W1671" s="240" t="s">
        <v>390</v>
      </c>
      <c r="X1671" s="240" t="s">
        <v>390</v>
      </c>
      <c r="Y1671" s="240" t="s">
        <v>390</v>
      </c>
      <c r="Z1671" s="240" t="s">
        <v>390</v>
      </c>
      <c r="AA1671" s="240" t="s">
        <v>390</v>
      </c>
      <c r="AB1671" s="240"/>
      <c r="AC1671" s="242" t="b">
        <f t="shared" si="2"/>
        <v>0</v>
      </c>
      <c r="AD1671" s="240" t="s">
        <v>391</v>
      </c>
      <c r="AE1671" s="243" t="b">
        <f t="shared" si="3"/>
        <v>0</v>
      </c>
      <c r="AF1671" s="240"/>
      <c r="AG1671" s="243" t="b">
        <f t="shared" si="7"/>
        <v>0</v>
      </c>
      <c r="AH1671" s="240"/>
      <c r="AI1671" s="243" t="str">
        <f t="shared" si="5"/>
        <v>N/A</v>
      </c>
      <c r="AJ1671" s="157" t="str">
        <f t="shared" si="6"/>
        <v/>
      </c>
    </row>
    <row r="1672" ht="12.75" customHeight="1">
      <c r="A1672" s="244" t="s">
        <v>4158</v>
      </c>
      <c r="B1672" s="244" t="s">
        <v>4161</v>
      </c>
      <c r="C1672" s="244" t="s">
        <v>4325</v>
      </c>
      <c r="D1672" s="154" t="s">
        <v>1211</v>
      </c>
      <c r="E1672" s="250"/>
      <c r="F1672" s="154" t="str">
        <f t="array" ref="F1672">XLOOKUP(Cover!$D$12,$S$1:$AA$1,$S1672:$AA1672)</f>
        <v>Mandatory</v>
      </c>
      <c r="G1672" s="154" t="s">
        <v>4326</v>
      </c>
      <c r="H1672" s="154" t="s">
        <v>4279</v>
      </c>
      <c r="I1672" s="154" t="s">
        <v>632</v>
      </c>
      <c r="J1672" s="154" t="s">
        <v>445</v>
      </c>
      <c r="K1672" s="154"/>
      <c r="L1672" s="154" t="str">
        <f t="shared" si="1"/>
        <v/>
      </c>
      <c r="M1672" s="248" t="str">
        <f>IFERROR(__xludf.DUMMYFUNCTION("VLOOKUP(C1672,IMPORTRANGE(""https://docs.google.com/spreadsheets/d/1P8eX0NWBhUPS_hvzA11R6jkTNFrPrRYIx_dX_hYbxrk/edit?resourcekey=0-iw9bsKY2OqkUHCFMkCar3A&amp;gid=2055363397#gid=2055363397"",""MTR!C:O""),11,false)"),"PMW-IMS")</f>
        <v>PMW-IMS</v>
      </c>
      <c r="N1672" s="248" t="str">
        <f>IFERROR(__xludf.DUMMYFUNCTION("VLOOKUP(C1672,IMPORTRANGE(""https://docs.google.com/spreadsheets/d/1ihFlp3_ePlYtFuPbUNbYj1muErVpI73WHXbEwJDIA7Q/edit#gid=1493122344"",""MTR!C:O""),8,false)"),"Complies")</f>
        <v>Complies</v>
      </c>
      <c r="O1672" s="241" t="str">
        <f>IFERROR(__xludf.DUMMYFUNCTION("VLOOKUP(C1672,IMPORTRANGE(""https://docs.google.com/spreadsheets/d/1P8eX0NWBhUPS_hvzA11R6jkTNFrPrRYIx_dX_hYbxrk/edit?resourcekey=0-iw9bsKY2OqkUHCFMkCar3A&amp;gid=2055363397#gid=2055363397"",""MTR!C:O""),9,false)"),"")</f>
        <v/>
      </c>
      <c r="P1672" s="241"/>
      <c r="Q1672" s="251" t="s">
        <v>445</v>
      </c>
      <c r="R1672" s="241"/>
      <c r="S1672" s="154" t="s">
        <v>60</v>
      </c>
      <c r="T1672" s="154" t="s">
        <v>60</v>
      </c>
      <c r="U1672" s="154" t="s">
        <v>60</v>
      </c>
      <c r="V1672" s="154" t="s">
        <v>60</v>
      </c>
      <c r="W1672" s="154" t="s">
        <v>60</v>
      </c>
      <c r="X1672" s="154" t="s">
        <v>60</v>
      </c>
      <c r="Y1672" s="154" t="s">
        <v>64</v>
      </c>
      <c r="Z1672" s="154" t="s">
        <v>64</v>
      </c>
      <c r="AA1672" s="154" t="s">
        <v>64</v>
      </c>
      <c r="AB1672" s="154"/>
      <c r="AC1672" s="242" t="b">
        <f t="shared" si="2"/>
        <v>1</v>
      </c>
      <c r="AD1672" s="154" t="s">
        <v>391</v>
      </c>
      <c r="AE1672" s="243" t="b">
        <f t="shared" si="3"/>
        <v>0</v>
      </c>
      <c r="AF1672" s="154"/>
      <c r="AG1672" s="243" t="b">
        <f t="shared" si="7"/>
        <v>0</v>
      </c>
      <c r="AH1672" s="154"/>
      <c r="AI1672" s="243" t="str">
        <f t="shared" si="5"/>
        <v>N/A</v>
      </c>
      <c r="AJ1672" s="157" t="str">
        <f t="shared" si="6"/>
        <v/>
      </c>
    </row>
    <row r="1673" ht="12.75" customHeight="1">
      <c r="A1673" s="244" t="s">
        <v>4158</v>
      </c>
      <c r="B1673" s="244" t="s">
        <v>4161</v>
      </c>
      <c r="C1673" s="244" t="s">
        <v>4327</v>
      </c>
      <c r="D1673" s="154" t="s">
        <v>1211</v>
      </c>
      <c r="E1673" s="250"/>
      <c r="F1673" s="154" t="str">
        <f t="array" ref="F1673">XLOOKUP(Cover!$D$12,$S$1:$AA$1,$S1673:$AA1673)</f>
        <v>Mandatory</v>
      </c>
      <c r="G1673" s="154" t="s">
        <v>4328</v>
      </c>
      <c r="H1673" s="154" t="s">
        <v>4279</v>
      </c>
      <c r="I1673" s="154" t="s">
        <v>632</v>
      </c>
      <c r="J1673" s="247" t="s">
        <v>445</v>
      </c>
      <c r="K1673" s="154"/>
      <c r="L1673" s="154" t="str">
        <f t="shared" si="1"/>
        <v/>
      </c>
      <c r="M1673" s="248" t="str">
        <f>IFERROR(__xludf.DUMMYFUNCTION("VLOOKUP(C1673,IMPORTRANGE(""https://docs.google.com/spreadsheets/d/1P8eX0NWBhUPS_hvzA11R6jkTNFrPrRYIx_dX_hYbxrk/edit?resourcekey=0-iw9bsKY2OqkUHCFMkCar3A&amp;gid=2055363397#gid=2055363397"",""MTR!C:O""),11,false)"),"PMW-IMS")</f>
        <v>PMW-IMS</v>
      </c>
      <c r="N1673" s="248" t="str">
        <f>IFERROR(__xludf.DUMMYFUNCTION("VLOOKUP(C1673,IMPORTRANGE(""https://docs.google.com/spreadsheets/d/1ihFlp3_ePlYtFuPbUNbYj1muErVpI73WHXbEwJDIA7Q/edit#gid=1493122344"",""MTR!C:O""),8,false)"),"Complies")</f>
        <v>Complies</v>
      </c>
      <c r="O1673" s="241" t="str">
        <f>IFERROR(__xludf.DUMMYFUNCTION("VLOOKUP(C1673,IMPORTRANGE(""https://docs.google.com/spreadsheets/d/1P8eX0NWBhUPS_hvzA11R6jkTNFrPrRYIx_dX_hYbxrk/edit?resourcekey=0-iw9bsKY2OqkUHCFMkCar3A&amp;gid=2055363397#gid=2055363397"",""MTR!C:O""),9,false)"),"")</f>
        <v/>
      </c>
      <c r="P1673" s="241"/>
      <c r="Q1673" s="251" t="s">
        <v>445</v>
      </c>
      <c r="R1673" s="241"/>
      <c r="S1673" s="154" t="s">
        <v>60</v>
      </c>
      <c r="T1673" s="154" t="s">
        <v>60</v>
      </c>
      <c r="U1673" s="154" t="s">
        <v>60</v>
      </c>
      <c r="V1673" s="154" t="s">
        <v>60</v>
      </c>
      <c r="W1673" s="154" t="s">
        <v>60</v>
      </c>
      <c r="X1673" s="154" t="s">
        <v>60</v>
      </c>
      <c r="Y1673" s="154" t="s">
        <v>64</v>
      </c>
      <c r="Z1673" s="154" t="s">
        <v>64</v>
      </c>
      <c r="AA1673" s="154" t="s">
        <v>64</v>
      </c>
      <c r="AB1673" s="154"/>
      <c r="AC1673" s="242" t="b">
        <f t="shared" si="2"/>
        <v>1</v>
      </c>
      <c r="AD1673" s="154" t="s">
        <v>391</v>
      </c>
      <c r="AE1673" s="243" t="b">
        <f t="shared" si="3"/>
        <v>0</v>
      </c>
      <c r="AF1673" s="154"/>
      <c r="AG1673" s="243" t="b">
        <f t="shared" si="7"/>
        <v>0</v>
      </c>
      <c r="AH1673" s="154"/>
      <c r="AI1673" s="243" t="str">
        <f t="shared" si="5"/>
        <v>N/A</v>
      </c>
      <c r="AJ1673" s="157" t="str">
        <f t="shared" si="6"/>
        <v/>
      </c>
    </row>
    <row r="1674" ht="12.75" customHeight="1">
      <c r="A1674" s="244" t="s">
        <v>4158</v>
      </c>
      <c r="B1674" s="244" t="s">
        <v>4161</v>
      </c>
      <c r="C1674" s="244" t="s">
        <v>4329</v>
      </c>
      <c r="D1674" s="154" t="s">
        <v>1211</v>
      </c>
      <c r="E1674" s="250"/>
      <c r="F1674" s="154" t="str">
        <f t="array" ref="F1674">XLOOKUP(Cover!$D$12,$S$1:$AA$1,$S1674:$AA1674)</f>
        <v>Recommended</v>
      </c>
      <c r="G1674" s="154" t="s">
        <v>4330</v>
      </c>
      <c r="H1674" s="154"/>
      <c r="I1674" s="154" t="s">
        <v>632</v>
      </c>
      <c r="J1674" s="247" t="s">
        <v>445</v>
      </c>
      <c r="K1674" s="154"/>
      <c r="L1674" s="154" t="str">
        <f t="shared" si="1"/>
        <v/>
      </c>
      <c r="M1674" s="248" t="str">
        <f>IFERROR(__xludf.DUMMYFUNCTION("VLOOKUP(C1674,IMPORTRANGE(""https://docs.google.com/spreadsheets/d/1P8eX0NWBhUPS_hvzA11R6jkTNFrPrRYIx_dX_hYbxrk/edit?resourcekey=0-iw9bsKY2OqkUHCFMkCar3A&amp;gid=2055363397#gid=2055363397"",""MTR!C:O""),11,false)"),"PMW-IMS")</f>
        <v>PMW-IMS</v>
      </c>
      <c r="N1674" s="248" t="str">
        <f>IFERROR(__xludf.DUMMYFUNCTION("VLOOKUP(C1674,IMPORTRANGE(""https://docs.google.com/spreadsheets/d/1ihFlp3_ePlYtFuPbUNbYj1muErVpI73WHXbEwJDIA7Q/edit#gid=1493122344"",""MTR!C:O""),8,false)"),"Complies")</f>
        <v>Complies</v>
      </c>
      <c r="O1674" s="241" t="str">
        <f>IFERROR(__xludf.DUMMYFUNCTION("VLOOKUP(C1674,IMPORTRANGE(""https://docs.google.com/spreadsheets/d/1P8eX0NWBhUPS_hvzA11R6jkTNFrPrRYIx_dX_hYbxrk/edit?resourcekey=0-iw9bsKY2OqkUHCFMkCar3A&amp;gid=2055363397#gid=2055363397"",""MTR!C:O""),9,false)"),"")</f>
        <v/>
      </c>
      <c r="P1674" s="241"/>
      <c r="Q1674" s="251" t="s">
        <v>445</v>
      </c>
      <c r="R1674" s="241"/>
      <c r="S1674" s="154" t="s">
        <v>64</v>
      </c>
      <c r="T1674" s="154" t="s">
        <v>64</v>
      </c>
      <c r="U1674" s="154" t="s">
        <v>64</v>
      </c>
      <c r="V1674" s="154" t="s">
        <v>64</v>
      </c>
      <c r="W1674" s="154" t="s">
        <v>64</v>
      </c>
      <c r="X1674" s="154" t="s">
        <v>64</v>
      </c>
      <c r="Y1674" s="154" t="s">
        <v>64</v>
      </c>
      <c r="Z1674" s="154" t="s">
        <v>64</v>
      </c>
      <c r="AA1674" s="154" t="s">
        <v>64</v>
      </c>
      <c r="AB1674" s="154"/>
      <c r="AC1674" s="242" t="b">
        <f t="shared" si="2"/>
        <v>1</v>
      </c>
      <c r="AD1674" s="154" t="s">
        <v>391</v>
      </c>
      <c r="AE1674" s="243" t="b">
        <f t="shared" si="3"/>
        <v>0</v>
      </c>
      <c r="AF1674" s="154"/>
      <c r="AG1674" s="243" t="b">
        <f t="shared" si="7"/>
        <v>0</v>
      </c>
      <c r="AH1674" s="154"/>
      <c r="AI1674" s="243" t="str">
        <f t="shared" si="5"/>
        <v>N/A</v>
      </c>
      <c r="AJ1674" s="157" t="str">
        <f t="shared" si="6"/>
        <v/>
      </c>
    </row>
    <row r="1675" ht="12.75" customHeight="1">
      <c r="A1675" s="244" t="s">
        <v>4158</v>
      </c>
      <c r="B1675" s="244" t="s">
        <v>4161</v>
      </c>
      <c r="C1675" s="244" t="s">
        <v>4331</v>
      </c>
      <c r="D1675" s="154" t="s">
        <v>967</v>
      </c>
      <c r="E1675" s="250"/>
      <c r="F1675" s="154" t="str">
        <f t="array" ref="F1675">XLOOKUP(Cover!$D$12,$S$1:$AA$1,$S1675:$AA1675)</f>
        <v>Mandatory</v>
      </c>
      <c r="G1675" s="154" t="s">
        <v>4332</v>
      </c>
      <c r="H1675" s="154" t="s">
        <v>4279</v>
      </c>
      <c r="I1675" s="154" t="s">
        <v>632</v>
      </c>
      <c r="J1675" s="247" t="s">
        <v>445</v>
      </c>
      <c r="K1675" s="154"/>
      <c r="L1675" s="154" t="str">
        <f t="shared" si="1"/>
        <v/>
      </c>
      <c r="M1675" s="248" t="str">
        <f>IFERROR(__xludf.DUMMYFUNCTION("VLOOKUP(C1675,IMPORTRANGE(""https://docs.google.com/spreadsheets/d/1P8eX0NWBhUPS_hvzA11R6jkTNFrPrRYIx_dX_hYbxrk/edit?resourcekey=0-iw9bsKY2OqkUHCFMkCar3A&amp;gid=2055363397#gid=2055363397"",""MTR!C:O""),11,false)"),"PMW-IMS")</f>
        <v>PMW-IMS</v>
      </c>
      <c r="N1675" s="248" t="str">
        <f>IFERROR(__xludf.DUMMYFUNCTION("VLOOKUP(C1675,IMPORTRANGE(""https://docs.google.com/spreadsheets/d/1ihFlp3_ePlYtFuPbUNbYj1muErVpI73WHXbEwJDIA7Q/edit#gid=1493122344"",""MTR!C:O""),8,false)"),"Complies")</f>
        <v>Complies</v>
      </c>
      <c r="O1675" s="241" t="str">
        <f>IFERROR(__xludf.DUMMYFUNCTION("VLOOKUP(C1675,IMPORTRANGE(""https://docs.google.com/spreadsheets/d/1P8eX0NWBhUPS_hvzA11R6jkTNFrPrRYIx_dX_hYbxrk/edit?resourcekey=0-iw9bsKY2OqkUHCFMkCar3A&amp;gid=2055363397#gid=2055363397"",""MTR!C:O""),9,false)"),"")</f>
        <v/>
      </c>
      <c r="P1675" s="241"/>
      <c r="Q1675" s="251" t="s">
        <v>445</v>
      </c>
      <c r="R1675" s="241"/>
      <c r="S1675" s="154" t="s">
        <v>60</v>
      </c>
      <c r="T1675" s="154" t="s">
        <v>60</v>
      </c>
      <c r="U1675" s="154" t="s">
        <v>60</v>
      </c>
      <c r="V1675" s="154" t="s">
        <v>60</v>
      </c>
      <c r="W1675" s="154" t="s">
        <v>60</v>
      </c>
      <c r="X1675" s="154" t="s">
        <v>60</v>
      </c>
      <c r="Y1675" s="154" t="s">
        <v>64</v>
      </c>
      <c r="Z1675" s="154" t="s">
        <v>64</v>
      </c>
      <c r="AA1675" s="154" t="s">
        <v>64</v>
      </c>
      <c r="AB1675" s="154"/>
      <c r="AC1675" s="242" t="b">
        <f t="shared" si="2"/>
        <v>1</v>
      </c>
      <c r="AD1675" s="154" t="s">
        <v>391</v>
      </c>
      <c r="AE1675" s="243" t="b">
        <f t="shared" si="3"/>
        <v>0</v>
      </c>
      <c r="AF1675" s="154"/>
      <c r="AG1675" s="243" t="b">
        <f t="shared" si="7"/>
        <v>0</v>
      </c>
      <c r="AH1675" s="154"/>
      <c r="AI1675" s="243" t="str">
        <f t="shared" si="5"/>
        <v>N/A</v>
      </c>
      <c r="AJ1675" s="157" t="str">
        <f t="shared" si="6"/>
        <v/>
      </c>
    </row>
    <row r="1676" ht="12.75" customHeight="1">
      <c r="A1676" s="244" t="s">
        <v>4158</v>
      </c>
      <c r="B1676" s="244" t="s">
        <v>4161</v>
      </c>
      <c r="C1676" s="244" t="s">
        <v>4333</v>
      </c>
      <c r="D1676" s="154" t="s">
        <v>462</v>
      </c>
      <c r="E1676" s="250"/>
      <c r="F1676" s="154" t="str">
        <f t="array" ref="F1676">XLOOKUP(Cover!$D$12,$S$1:$AA$1,$S1676:$AA1676)</f>
        <v>Recommended</v>
      </c>
      <c r="G1676" s="154" t="s">
        <v>4334</v>
      </c>
      <c r="H1676" s="154"/>
      <c r="I1676" s="154" t="s">
        <v>632</v>
      </c>
      <c r="J1676" s="247" t="s">
        <v>445</v>
      </c>
      <c r="K1676" s="154"/>
      <c r="L1676" s="154" t="str">
        <f t="shared" si="1"/>
        <v/>
      </c>
      <c r="M1676" s="248" t="str">
        <f>IFERROR(__xludf.DUMMYFUNCTION("VLOOKUP(C1676,IMPORTRANGE(""https://docs.google.com/spreadsheets/d/1P8eX0NWBhUPS_hvzA11R6jkTNFrPrRYIx_dX_hYbxrk/edit?resourcekey=0-iw9bsKY2OqkUHCFMkCar3A&amp;gid=2055363397#gid=2055363397"",""MTR!C:O""),11,false)"),"PMW-IMS")</f>
        <v>PMW-IMS</v>
      </c>
      <c r="N1676" s="248" t="str">
        <f>IFERROR(__xludf.DUMMYFUNCTION("VLOOKUP(C1676,IMPORTRANGE(""https://docs.google.com/spreadsheets/d/1ihFlp3_ePlYtFuPbUNbYj1muErVpI73WHXbEwJDIA7Q/edit#gid=1493122344"",""MTR!C:O""),8,false)"),"Complies")</f>
        <v>Complies</v>
      </c>
      <c r="O1676" s="241" t="str">
        <f>IFERROR(__xludf.DUMMYFUNCTION("VLOOKUP(C1676,IMPORTRANGE(""https://docs.google.com/spreadsheets/d/1P8eX0NWBhUPS_hvzA11R6jkTNFrPrRYIx_dX_hYbxrk/edit?resourcekey=0-iw9bsKY2OqkUHCFMkCar3A&amp;gid=2055363397#gid=2055363397"",""MTR!C:O""),9,false)"),"")</f>
        <v/>
      </c>
      <c r="P1676" s="241"/>
      <c r="Q1676" s="251" t="s">
        <v>445</v>
      </c>
      <c r="R1676" s="241"/>
      <c r="S1676" s="154" t="s">
        <v>64</v>
      </c>
      <c r="T1676" s="154" t="s">
        <v>64</v>
      </c>
      <c r="U1676" s="154" t="s">
        <v>64</v>
      </c>
      <c r="V1676" s="154" t="s">
        <v>64</v>
      </c>
      <c r="W1676" s="154" t="s">
        <v>64</v>
      </c>
      <c r="X1676" s="154" t="s">
        <v>64</v>
      </c>
      <c r="Y1676" s="154" t="s">
        <v>64</v>
      </c>
      <c r="Z1676" s="154" t="s">
        <v>64</v>
      </c>
      <c r="AA1676" s="154" t="s">
        <v>64</v>
      </c>
      <c r="AB1676" s="154"/>
      <c r="AC1676" s="242" t="b">
        <f t="shared" si="2"/>
        <v>1</v>
      </c>
      <c r="AD1676" s="154" t="s">
        <v>391</v>
      </c>
      <c r="AE1676" s="243" t="b">
        <f t="shared" si="3"/>
        <v>0</v>
      </c>
      <c r="AF1676" s="154"/>
      <c r="AG1676" s="243" t="b">
        <f t="shared" si="7"/>
        <v>0</v>
      </c>
      <c r="AH1676" s="154"/>
      <c r="AI1676" s="243" t="str">
        <f t="shared" si="5"/>
        <v>N/A</v>
      </c>
      <c r="AJ1676" s="157" t="str">
        <f t="shared" si="6"/>
        <v/>
      </c>
    </row>
    <row r="1677" ht="12.75" customHeight="1">
      <c r="A1677" s="244" t="s">
        <v>4158</v>
      </c>
      <c r="B1677" s="244" t="s">
        <v>4161</v>
      </c>
      <c r="C1677" s="244" t="s">
        <v>4335</v>
      </c>
      <c r="D1677" s="154" t="s">
        <v>1211</v>
      </c>
      <c r="E1677" s="250"/>
      <c r="F1677" s="154" t="str">
        <f t="array" ref="F1677">XLOOKUP(Cover!$D$12,$S$1:$AA$1,$S1677:$AA1677)</f>
        <v>Recommended</v>
      </c>
      <c r="G1677" s="154" t="s">
        <v>4336</v>
      </c>
      <c r="H1677" s="154"/>
      <c r="I1677" s="154" t="s">
        <v>632</v>
      </c>
      <c r="J1677" s="247" t="s">
        <v>445</v>
      </c>
      <c r="K1677" s="154"/>
      <c r="L1677" s="154" t="str">
        <f t="shared" si="1"/>
        <v/>
      </c>
      <c r="M1677" s="248" t="str">
        <f>IFERROR(__xludf.DUMMYFUNCTION("VLOOKUP(C1677,IMPORTRANGE(""https://docs.google.com/spreadsheets/d/1P8eX0NWBhUPS_hvzA11R6jkTNFrPrRYIx_dX_hYbxrk/edit?resourcekey=0-iw9bsKY2OqkUHCFMkCar3A&amp;gid=2055363397#gid=2055363397"",""MTR!C:O""),11,false)"),"PMW-IMS")</f>
        <v>PMW-IMS</v>
      </c>
      <c r="N1677" s="248" t="str">
        <f>IFERROR(__xludf.DUMMYFUNCTION("VLOOKUP(C1677,IMPORTRANGE(""https://docs.google.com/spreadsheets/d/1ihFlp3_ePlYtFuPbUNbYj1muErVpI73WHXbEwJDIA7Q/edit#gid=1493122344"",""MTR!C:O""),8,false)"),"Complies")</f>
        <v>Complies</v>
      </c>
      <c r="O1677" s="241" t="str">
        <f>IFERROR(__xludf.DUMMYFUNCTION("VLOOKUP(C1677,IMPORTRANGE(""https://docs.google.com/spreadsheets/d/1P8eX0NWBhUPS_hvzA11R6jkTNFrPrRYIx_dX_hYbxrk/edit?resourcekey=0-iw9bsKY2OqkUHCFMkCar3A&amp;gid=2055363397#gid=2055363397"",""MTR!C:O""),9,false)"),"")</f>
        <v/>
      </c>
      <c r="P1677" s="241"/>
      <c r="Q1677" s="251" t="s">
        <v>445</v>
      </c>
      <c r="R1677" s="241"/>
      <c r="S1677" s="154" t="s">
        <v>64</v>
      </c>
      <c r="T1677" s="154" t="s">
        <v>64</v>
      </c>
      <c r="U1677" s="154" t="s">
        <v>64</v>
      </c>
      <c r="V1677" s="154" t="s">
        <v>64</v>
      </c>
      <c r="W1677" s="154" t="s">
        <v>64</v>
      </c>
      <c r="X1677" s="154" t="s">
        <v>64</v>
      </c>
      <c r="Y1677" s="154" t="s">
        <v>64</v>
      </c>
      <c r="Z1677" s="154" t="s">
        <v>64</v>
      </c>
      <c r="AA1677" s="154" t="s">
        <v>64</v>
      </c>
      <c r="AB1677" s="154"/>
      <c r="AC1677" s="242" t="b">
        <f t="shared" si="2"/>
        <v>1</v>
      </c>
      <c r="AD1677" s="154" t="s">
        <v>391</v>
      </c>
      <c r="AE1677" s="243" t="b">
        <f t="shared" si="3"/>
        <v>0</v>
      </c>
      <c r="AF1677" s="154"/>
      <c r="AG1677" s="243" t="b">
        <f t="shared" si="7"/>
        <v>0</v>
      </c>
      <c r="AH1677" s="154"/>
      <c r="AI1677" s="243" t="str">
        <f t="shared" si="5"/>
        <v>N/A</v>
      </c>
      <c r="AJ1677" s="157" t="str">
        <f t="shared" si="6"/>
        <v/>
      </c>
    </row>
    <row r="1678" ht="12.75" customHeight="1">
      <c r="A1678" s="244" t="s">
        <v>4158</v>
      </c>
      <c r="B1678" s="244" t="s">
        <v>4161</v>
      </c>
      <c r="C1678" s="244" t="s">
        <v>4337</v>
      </c>
      <c r="D1678" s="154" t="s">
        <v>1211</v>
      </c>
      <c r="E1678" s="250"/>
      <c r="F1678" s="154" t="str">
        <f t="array" ref="F1678">XLOOKUP(Cover!$D$12,$S$1:$AA$1,$S1678:$AA1678)</f>
        <v>Recommended</v>
      </c>
      <c r="G1678" s="154" t="s">
        <v>4338</v>
      </c>
      <c r="H1678" s="154"/>
      <c r="I1678" s="154" t="s">
        <v>632</v>
      </c>
      <c r="J1678" s="247" t="s">
        <v>445</v>
      </c>
      <c r="K1678" s="154"/>
      <c r="L1678" s="154" t="str">
        <f t="shared" si="1"/>
        <v/>
      </c>
      <c r="M1678" s="248" t="str">
        <f>IFERROR(__xludf.DUMMYFUNCTION("VLOOKUP(C1678,IMPORTRANGE(""https://docs.google.com/spreadsheets/d/1P8eX0NWBhUPS_hvzA11R6jkTNFrPrRYIx_dX_hYbxrk/edit?resourcekey=0-iw9bsKY2OqkUHCFMkCar3A&amp;gid=2055363397#gid=2055363397"",""MTR!C:O""),11,false)"),"PMW-IMS")</f>
        <v>PMW-IMS</v>
      </c>
      <c r="N1678" s="248" t="str">
        <f>IFERROR(__xludf.DUMMYFUNCTION("VLOOKUP(C1678,IMPORTRANGE(""https://docs.google.com/spreadsheets/d/1ihFlp3_ePlYtFuPbUNbYj1muErVpI73WHXbEwJDIA7Q/edit#gid=1493122344"",""MTR!C:O""),8,false)"),"Complies")</f>
        <v>Complies</v>
      </c>
      <c r="O1678" s="241" t="str">
        <f>IFERROR(__xludf.DUMMYFUNCTION("VLOOKUP(C1678,IMPORTRANGE(""https://docs.google.com/spreadsheets/d/1P8eX0NWBhUPS_hvzA11R6jkTNFrPrRYIx_dX_hYbxrk/edit?resourcekey=0-iw9bsKY2OqkUHCFMkCar3A&amp;gid=2055363397#gid=2055363397"",""MTR!C:O""),9,false)"),"")</f>
        <v/>
      </c>
      <c r="P1678" s="241"/>
      <c r="Q1678" s="251" t="s">
        <v>445</v>
      </c>
      <c r="R1678" s="241"/>
      <c r="S1678" s="154" t="s">
        <v>64</v>
      </c>
      <c r="T1678" s="154" t="s">
        <v>64</v>
      </c>
      <c r="U1678" s="154" t="s">
        <v>64</v>
      </c>
      <c r="V1678" s="154" t="s">
        <v>64</v>
      </c>
      <c r="W1678" s="154" t="s">
        <v>64</v>
      </c>
      <c r="X1678" s="154" t="s">
        <v>64</v>
      </c>
      <c r="Y1678" s="154" t="s">
        <v>64</v>
      </c>
      <c r="Z1678" s="154" t="s">
        <v>64</v>
      </c>
      <c r="AA1678" s="154" t="s">
        <v>64</v>
      </c>
      <c r="AB1678" s="154"/>
      <c r="AC1678" s="242" t="b">
        <f t="shared" si="2"/>
        <v>1</v>
      </c>
      <c r="AD1678" s="154" t="s">
        <v>391</v>
      </c>
      <c r="AE1678" s="243" t="b">
        <f t="shared" si="3"/>
        <v>0</v>
      </c>
      <c r="AF1678" s="154"/>
      <c r="AG1678" s="243" t="b">
        <f t="shared" si="7"/>
        <v>0</v>
      </c>
      <c r="AH1678" s="154"/>
      <c r="AI1678" s="243" t="str">
        <f t="shared" si="5"/>
        <v>N/A</v>
      </c>
      <c r="AJ1678" s="157" t="str">
        <f t="shared" si="6"/>
        <v/>
      </c>
    </row>
    <row r="1679" ht="12.75" customHeight="1">
      <c r="A1679" s="244" t="s">
        <v>4158</v>
      </c>
      <c r="B1679" s="244" t="s">
        <v>4161</v>
      </c>
      <c r="C1679" s="244" t="s">
        <v>4339</v>
      </c>
      <c r="D1679" s="154" t="s">
        <v>1211</v>
      </c>
      <c r="E1679" s="250"/>
      <c r="F1679" s="154" t="str">
        <f t="array" ref="F1679">XLOOKUP(Cover!$D$12,$S$1:$AA$1,$S1679:$AA1679)</f>
        <v>Recommended</v>
      </c>
      <c r="G1679" s="154" t="s">
        <v>4340</v>
      </c>
      <c r="H1679" s="154"/>
      <c r="I1679" s="154" t="s">
        <v>632</v>
      </c>
      <c r="J1679" s="247" t="s">
        <v>445</v>
      </c>
      <c r="K1679" s="154"/>
      <c r="L1679" s="154" t="str">
        <f t="shared" si="1"/>
        <v/>
      </c>
      <c r="M1679" s="248" t="str">
        <f>IFERROR(__xludf.DUMMYFUNCTION("VLOOKUP(C1679,IMPORTRANGE(""https://docs.google.com/spreadsheets/d/1P8eX0NWBhUPS_hvzA11R6jkTNFrPrRYIx_dX_hYbxrk/edit?resourcekey=0-iw9bsKY2OqkUHCFMkCar3A&amp;gid=2055363397#gid=2055363397"",""MTR!C:O""),11,false)"),"PMW-IMS")</f>
        <v>PMW-IMS</v>
      </c>
      <c r="N1679" s="248" t="str">
        <f>IFERROR(__xludf.DUMMYFUNCTION("VLOOKUP(C1679,IMPORTRANGE(""https://docs.google.com/spreadsheets/d/1ihFlp3_ePlYtFuPbUNbYj1muErVpI73WHXbEwJDIA7Q/edit#gid=1493122344"",""MTR!C:O""),8,false)"),"Complies")</f>
        <v>Complies</v>
      </c>
      <c r="O1679" s="241" t="str">
        <f>IFERROR(__xludf.DUMMYFUNCTION("VLOOKUP(C1679,IMPORTRANGE(""https://docs.google.com/spreadsheets/d/1P8eX0NWBhUPS_hvzA11R6jkTNFrPrRYIx_dX_hYbxrk/edit?resourcekey=0-iw9bsKY2OqkUHCFMkCar3A&amp;gid=2055363397#gid=2055363397"",""MTR!C:O""),9,false)"),"")</f>
        <v/>
      </c>
      <c r="P1679" s="241"/>
      <c r="Q1679" s="251" t="s">
        <v>445</v>
      </c>
      <c r="R1679" s="241"/>
      <c r="S1679" s="154" t="s">
        <v>64</v>
      </c>
      <c r="T1679" s="154" t="s">
        <v>64</v>
      </c>
      <c r="U1679" s="154" t="s">
        <v>64</v>
      </c>
      <c r="V1679" s="154" t="s">
        <v>64</v>
      </c>
      <c r="W1679" s="154" t="s">
        <v>64</v>
      </c>
      <c r="X1679" s="154" t="s">
        <v>64</v>
      </c>
      <c r="Y1679" s="154" t="s">
        <v>64</v>
      </c>
      <c r="Z1679" s="154" t="s">
        <v>64</v>
      </c>
      <c r="AA1679" s="154" t="s">
        <v>64</v>
      </c>
      <c r="AB1679" s="154"/>
      <c r="AC1679" s="242" t="b">
        <f t="shared" si="2"/>
        <v>1</v>
      </c>
      <c r="AD1679" s="154" t="s">
        <v>391</v>
      </c>
      <c r="AE1679" s="243" t="b">
        <f t="shared" si="3"/>
        <v>0</v>
      </c>
      <c r="AF1679" s="154"/>
      <c r="AG1679" s="243" t="b">
        <f t="shared" si="7"/>
        <v>0</v>
      </c>
      <c r="AH1679" s="154"/>
      <c r="AI1679" s="243" t="str">
        <f t="shared" si="5"/>
        <v>N/A</v>
      </c>
      <c r="AJ1679" s="157" t="str">
        <f t="shared" si="6"/>
        <v/>
      </c>
    </row>
    <row r="1680" ht="12.75" customHeight="1">
      <c r="A1680" s="238" t="s">
        <v>4158</v>
      </c>
      <c r="B1680" s="238" t="s">
        <v>4161</v>
      </c>
      <c r="C1680" s="238" t="s">
        <v>4341</v>
      </c>
      <c r="D1680" s="238"/>
      <c r="E1680" s="238"/>
      <c r="F1680" s="154" t="str">
        <f t="array" ref="F1680">XLOOKUP(Cover!$D$12,$S$1:$AA$1,$S1680:$AA1680)</f>
        <v>Heading</v>
      </c>
      <c r="G1680" s="239" t="s">
        <v>4342</v>
      </c>
      <c r="H1680" s="240"/>
      <c r="I1680" s="240" t="s">
        <v>632</v>
      </c>
      <c r="J1680" s="240"/>
      <c r="K1680" s="240"/>
      <c r="L1680" s="154" t="str">
        <f t="shared" si="1"/>
        <v/>
      </c>
      <c r="M1680" s="241" t="str">
        <f>IFERROR(__xludf.DUMMYFUNCTION("VLOOKUP(C1680,IMPORTRANGE(""https://docs.google.com/spreadsheets/d/1P8eX0NWBhUPS_hvzA11R6jkTNFrPrRYIx_dX_hYbxrk/edit?resourcekey=0-iw9bsKY2OqkUHCFMkCar3A&amp;gid=2055363397#gid=2055363397"",""MTR!C:O""),11,false)"),"")</f>
        <v/>
      </c>
      <c r="N1680" s="241" t="str">
        <f>IFERROR(__xludf.DUMMYFUNCTION("VLOOKUP(C1680,IMPORTRANGE(""https://docs.google.com/spreadsheets/d/1ihFlp3_ePlYtFuPbUNbYj1muErVpI73WHXbEwJDIA7Q/edit#gid=1493122344"",""MTR!C:O""),8,false)"),"")</f>
        <v/>
      </c>
      <c r="O1680" s="241" t="str">
        <f>IFERROR(__xludf.DUMMYFUNCTION("VLOOKUP(C1680,IMPORTRANGE(""https://docs.google.com/spreadsheets/d/1P8eX0NWBhUPS_hvzA11R6jkTNFrPrRYIx_dX_hYbxrk/edit?resourcekey=0-iw9bsKY2OqkUHCFMkCar3A&amp;gid=2055363397#gid=2055363397"",""MTR!C:O""),9,false)"),"")</f>
        <v/>
      </c>
      <c r="P1680" s="241"/>
      <c r="Q1680" s="251"/>
      <c r="R1680" s="241"/>
      <c r="S1680" s="240" t="s">
        <v>390</v>
      </c>
      <c r="T1680" s="240" t="s">
        <v>390</v>
      </c>
      <c r="U1680" s="240" t="s">
        <v>390</v>
      </c>
      <c r="V1680" s="240" t="s">
        <v>390</v>
      </c>
      <c r="W1680" s="240" t="s">
        <v>390</v>
      </c>
      <c r="X1680" s="240" t="s">
        <v>390</v>
      </c>
      <c r="Y1680" s="240" t="s">
        <v>390</v>
      </c>
      <c r="Z1680" s="240" t="s">
        <v>390</v>
      </c>
      <c r="AA1680" s="240" t="s">
        <v>390</v>
      </c>
      <c r="AB1680" s="240"/>
      <c r="AC1680" s="242" t="b">
        <f t="shared" si="2"/>
        <v>0</v>
      </c>
      <c r="AD1680" s="240" t="s">
        <v>391</v>
      </c>
      <c r="AE1680" s="243" t="b">
        <f t="shared" si="3"/>
        <v>0</v>
      </c>
      <c r="AF1680" s="240"/>
      <c r="AG1680" s="243" t="b">
        <f t="shared" si="7"/>
        <v>0</v>
      </c>
      <c r="AH1680" s="240"/>
      <c r="AI1680" s="243" t="str">
        <f t="shared" si="5"/>
        <v>N/A</v>
      </c>
      <c r="AJ1680" s="157" t="str">
        <f t="shared" si="6"/>
        <v/>
      </c>
    </row>
    <row r="1681" ht="12.75" customHeight="1">
      <c r="A1681" s="244" t="s">
        <v>4158</v>
      </c>
      <c r="B1681" s="244" t="s">
        <v>4161</v>
      </c>
      <c r="C1681" s="244" t="s">
        <v>4343</v>
      </c>
      <c r="D1681" s="154" t="s">
        <v>581</v>
      </c>
      <c r="E1681" s="250"/>
      <c r="F1681" s="154" t="str">
        <f t="array" ref="F1681">XLOOKUP(Cover!$D$12,$S$1:$AA$1,$S1681:$AA1681)</f>
        <v>Mandatory</v>
      </c>
      <c r="G1681" s="154" t="s">
        <v>4344</v>
      </c>
      <c r="H1681" s="154" t="s">
        <v>4279</v>
      </c>
      <c r="I1681" s="154" t="s">
        <v>632</v>
      </c>
      <c r="J1681" s="154" t="s">
        <v>445</v>
      </c>
      <c r="K1681" s="154"/>
      <c r="L1681" s="154" t="str">
        <f t="shared" si="1"/>
        <v/>
      </c>
      <c r="M1681" s="248" t="str">
        <f>IFERROR(__xludf.DUMMYFUNCTION("VLOOKUP(C1681,IMPORTRANGE(""https://docs.google.com/spreadsheets/d/1P8eX0NWBhUPS_hvzA11R6jkTNFrPrRYIx_dX_hYbxrk/edit?resourcekey=0-iw9bsKY2OqkUHCFMkCar3A&amp;gid=2055363397#gid=2055363397"",""MTR!C:O""),11,false)"),"PMW-IMS")</f>
        <v>PMW-IMS</v>
      </c>
      <c r="N1681" s="248" t="str">
        <f>IFERROR(__xludf.DUMMYFUNCTION("VLOOKUP(C1681,IMPORTRANGE(""https://docs.google.com/spreadsheets/d/1ihFlp3_ePlYtFuPbUNbYj1muErVpI73WHXbEwJDIA7Q/edit#gid=1493122344"",""MTR!C:O""),8,false)"),"Complies")</f>
        <v>Complies</v>
      </c>
      <c r="O1681" s="241" t="str">
        <f>IFERROR(__xludf.DUMMYFUNCTION("VLOOKUP(C1681,IMPORTRANGE(""https://docs.google.com/spreadsheets/d/1P8eX0NWBhUPS_hvzA11R6jkTNFrPrRYIx_dX_hYbxrk/edit?resourcekey=0-iw9bsKY2OqkUHCFMkCar3A&amp;gid=2055363397#gid=2055363397"",""MTR!C:O""),9,false)"),"")</f>
        <v/>
      </c>
      <c r="P1681" s="241"/>
      <c r="Q1681" s="251" t="s">
        <v>445</v>
      </c>
      <c r="R1681" s="241"/>
      <c r="S1681" s="154" t="s">
        <v>60</v>
      </c>
      <c r="T1681" s="154" t="s">
        <v>60</v>
      </c>
      <c r="U1681" s="154" t="s">
        <v>60</v>
      </c>
      <c r="V1681" s="154" t="s">
        <v>60</v>
      </c>
      <c r="W1681" s="154" t="s">
        <v>60</v>
      </c>
      <c r="X1681" s="154" t="s">
        <v>60</v>
      </c>
      <c r="Y1681" s="154" t="s">
        <v>64</v>
      </c>
      <c r="Z1681" s="154" t="s">
        <v>64</v>
      </c>
      <c r="AA1681" s="154" t="s">
        <v>64</v>
      </c>
      <c r="AB1681" s="154"/>
      <c r="AC1681" s="242" t="b">
        <f t="shared" si="2"/>
        <v>1</v>
      </c>
      <c r="AD1681" s="154" t="s">
        <v>391</v>
      </c>
      <c r="AE1681" s="243" t="b">
        <f t="shared" si="3"/>
        <v>0</v>
      </c>
      <c r="AF1681" s="154"/>
      <c r="AG1681" s="243" t="b">
        <f t="shared" si="7"/>
        <v>0</v>
      </c>
      <c r="AH1681" s="154"/>
      <c r="AI1681" s="243" t="str">
        <f t="shared" si="5"/>
        <v>N/A</v>
      </c>
      <c r="AJ1681" s="157" t="str">
        <f t="shared" si="6"/>
        <v/>
      </c>
    </row>
    <row r="1682" ht="12.75" customHeight="1">
      <c r="A1682" s="244" t="s">
        <v>4158</v>
      </c>
      <c r="B1682" s="244" t="s">
        <v>4161</v>
      </c>
      <c r="C1682" s="244" t="s">
        <v>4345</v>
      </c>
      <c r="D1682" s="154" t="s">
        <v>1211</v>
      </c>
      <c r="E1682" s="250"/>
      <c r="F1682" s="154" t="str">
        <f t="array" ref="F1682">XLOOKUP(Cover!$D$12,$S$1:$AA$1,$S1682:$AA1682)</f>
        <v>Mandatory</v>
      </c>
      <c r="G1682" s="154" t="s">
        <v>4346</v>
      </c>
      <c r="H1682" s="154" t="s">
        <v>4279</v>
      </c>
      <c r="I1682" s="154" t="s">
        <v>632</v>
      </c>
      <c r="J1682" s="247" t="s">
        <v>445</v>
      </c>
      <c r="K1682" s="154"/>
      <c r="L1682" s="154" t="str">
        <f t="shared" si="1"/>
        <v/>
      </c>
      <c r="M1682" s="248" t="str">
        <f>IFERROR(__xludf.DUMMYFUNCTION("VLOOKUP(C1682,IMPORTRANGE(""https://docs.google.com/spreadsheets/d/1P8eX0NWBhUPS_hvzA11R6jkTNFrPrRYIx_dX_hYbxrk/edit?resourcekey=0-iw9bsKY2OqkUHCFMkCar3A&amp;gid=2055363397#gid=2055363397"",""MTR!C:O""),11,false)"),"PMW-IMS")</f>
        <v>PMW-IMS</v>
      </c>
      <c r="N1682" s="248" t="str">
        <f>IFERROR(__xludf.DUMMYFUNCTION("VLOOKUP(C1682,IMPORTRANGE(""https://docs.google.com/spreadsheets/d/1ihFlp3_ePlYtFuPbUNbYj1muErVpI73WHXbEwJDIA7Q/edit#gid=1493122344"",""MTR!C:O""),8,false)"),"Complies")</f>
        <v>Complies</v>
      </c>
      <c r="O1682" s="241" t="str">
        <f>IFERROR(__xludf.DUMMYFUNCTION("VLOOKUP(C1682,IMPORTRANGE(""https://docs.google.com/spreadsheets/d/1P8eX0NWBhUPS_hvzA11R6jkTNFrPrRYIx_dX_hYbxrk/edit?resourcekey=0-iw9bsKY2OqkUHCFMkCar3A&amp;gid=2055363397#gid=2055363397"",""MTR!C:O""),9,false)"),"")</f>
        <v/>
      </c>
      <c r="P1682" s="241"/>
      <c r="Q1682" s="251" t="s">
        <v>445</v>
      </c>
      <c r="R1682" s="241"/>
      <c r="S1682" s="154" t="s">
        <v>60</v>
      </c>
      <c r="T1682" s="154" t="s">
        <v>60</v>
      </c>
      <c r="U1682" s="154" t="s">
        <v>60</v>
      </c>
      <c r="V1682" s="154" t="s">
        <v>60</v>
      </c>
      <c r="W1682" s="154" t="s">
        <v>60</v>
      </c>
      <c r="X1682" s="154" t="s">
        <v>60</v>
      </c>
      <c r="Y1682" s="154" t="s">
        <v>64</v>
      </c>
      <c r="Z1682" s="154" t="s">
        <v>64</v>
      </c>
      <c r="AA1682" s="154" t="s">
        <v>64</v>
      </c>
      <c r="AB1682" s="154"/>
      <c r="AC1682" s="242" t="b">
        <f t="shared" si="2"/>
        <v>1</v>
      </c>
      <c r="AD1682" s="154" t="s">
        <v>391</v>
      </c>
      <c r="AE1682" s="243" t="b">
        <f t="shared" si="3"/>
        <v>0</v>
      </c>
      <c r="AF1682" s="154"/>
      <c r="AG1682" s="243" t="b">
        <f t="shared" si="7"/>
        <v>0</v>
      </c>
      <c r="AH1682" s="154"/>
      <c r="AI1682" s="243" t="str">
        <f t="shared" si="5"/>
        <v>N/A</v>
      </c>
      <c r="AJ1682" s="157" t="str">
        <f t="shared" si="6"/>
        <v/>
      </c>
    </row>
    <row r="1683" ht="12.75" customHeight="1">
      <c r="A1683" s="244" t="s">
        <v>4158</v>
      </c>
      <c r="B1683" s="244" t="s">
        <v>4161</v>
      </c>
      <c r="C1683" s="244" t="s">
        <v>4347</v>
      </c>
      <c r="D1683" s="154" t="s">
        <v>1282</v>
      </c>
      <c r="E1683" s="250"/>
      <c r="F1683" s="154" t="str">
        <f t="array" ref="F1683">XLOOKUP(Cover!$D$12,$S$1:$AA$1,$S1683:$AA1683)</f>
        <v>Mandatory</v>
      </c>
      <c r="G1683" s="154" t="s">
        <v>4348</v>
      </c>
      <c r="H1683" s="154" t="s">
        <v>4279</v>
      </c>
      <c r="I1683" s="154" t="s">
        <v>632</v>
      </c>
      <c r="J1683" s="247" t="s">
        <v>445</v>
      </c>
      <c r="K1683" s="154"/>
      <c r="L1683" s="154" t="str">
        <f t="shared" si="1"/>
        <v/>
      </c>
      <c r="M1683" s="248" t="str">
        <f>IFERROR(__xludf.DUMMYFUNCTION("VLOOKUP(C1683,IMPORTRANGE(""https://docs.google.com/spreadsheets/d/1P8eX0NWBhUPS_hvzA11R6jkTNFrPrRYIx_dX_hYbxrk/edit?resourcekey=0-iw9bsKY2OqkUHCFMkCar3A&amp;gid=2055363397#gid=2055363397"",""MTR!C:O""),11,false)"),"PMW-IMS")</f>
        <v>PMW-IMS</v>
      </c>
      <c r="N1683" s="248" t="str">
        <f>IFERROR(__xludf.DUMMYFUNCTION("VLOOKUP(C1683,IMPORTRANGE(""https://docs.google.com/spreadsheets/d/1ihFlp3_ePlYtFuPbUNbYj1muErVpI73WHXbEwJDIA7Q/edit#gid=1493122344"",""MTR!C:O""),8,false)"),"Complies")</f>
        <v>Complies</v>
      </c>
      <c r="O1683" s="241" t="str">
        <f>IFERROR(__xludf.DUMMYFUNCTION("VLOOKUP(C1683,IMPORTRANGE(""https://docs.google.com/spreadsheets/d/1P8eX0NWBhUPS_hvzA11R6jkTNFrPrRYIx_dX_hYbxrk/edit?resourcekey=0-iw9bsKY2OqkUHCFMkCar3A&amp;gid=2055363397#gid=2055363397"",""MTR!C:O""),9,false)"),"")</f>
        <v/>
      </c>
      <c r="P1683" s="241"/>
      <c r="Q1683" s="251" t="s">
        <v>445</v>
      </c>
      <c r="R1683" s="241"/>
      <c r="S1683" s="154" t="s">
        <v>60</v>
      </c>
      <c r="T1683" s="154" t="s">
        <v>60</v>
      </c>
      <c r="U1683" s="154" t="s">
        <v>60</v>
      </c>
      <c r="V1683" s="154" t="s">
        <v>60</v>
      </c>
      <c r="W1683" s="154" t="s">
        <v>60</v>
      </c>
      <c r="X1683" s="154" t="s">
        <v>60</v>
      </c>
      <c r="Y1683" s="154" t="s">
        <v>64</v>
      </c>
      <c r="Z1683" s="154" t="s">
        <v>64</v>
      </c>
      <c r="AA1683" s="154" t="s">
        <v>64</v>
      </c>
      <c r="AB1683" s="154"/>
      <c r="AC1683" s="242" t="b">
        <f t="shared" si="2"/>
        <v>1</v>
      </c>
      <c r="AD1683" s="154" t="s">
        <v>391</v>
      </c>
      <c r="AE1683" s="243" t="b">
        <f t="shared" si="3"/>
        <v>0</v>
      </c>
      <c r="AF1683" s="154"/>
      <c r="AG1683" s="243" t="b">
        <f t="shared" si="7"/>
        <v>0</v>
      </c>
      <c r="AH1683" s="154"/>
      <c r="AI1683" s="243" t="str">
        <f t="shared" si="5"/>
        <v>N/A</v>
      </c>
      <c r="AJ1683" s="157" t="str">
        <f t="shared" si="6"/>
        <v/>
      </c>
    </row>
    <row r="1684" ht="12.75" customHeight="1">
      <c r="A1684" s="244" t="s">
        <v>4158</v>
      </c>
      <c r="B1684" s="244" t="s">
        <v>4161</v>
      </c>
      <c r="C1684" s="244" t="s">
        <v>4349</v>
      </c>
      <c r="D1684" s="154" t="s">
        <v>1282</v>
      </c>
      <c r="E1684" s="250"/>
      <c r="F1684" s="154" t="str">
        <f t="array" ref="F1684">XLOOKUP(Cover!$D$12,$S$1:$AA$1,$S1684:$AA1684)</f>
        <v>Mandatory</v>
      </c>
      <c r="G1684" s="154" t="s">
        <v>4350</v>
      </c>
      <c r="H1684" s="154" t="s">
        <v>4279</v>
      </c>
      <c r="I1684" s="154" t="s">
        <v>632</v>
      </c>
      <c r="J1684" s="247" t="s">
        <v>445</v>
      </c>
      <c r="K1684" s="154"/>
      <c r="L1684" s="154" t="str">
        <f t="shared" si="1"/>
        <v/>
      </c>
      <c r="M1684" s="248" t="str">
        <f>IFERROR(__xludf.DUMMYFUNCTION("VLOOKUP(C1684,IMPORTRANGE(""https://docs.google.com/spreadsheets/d/1P8eX0NWBhUPS_hvzA11R6jkTNFrPrRYIx_dX_hYbxrk/edit?resourcekey=0-iw9bsKY2OqkUHCFMkCar3A&amp;gid=2055363397#gid=2055363397"",""MTR!C:O""),11,false)"),"PMW-IMS")</f>
        <v>PMW-IMS</v>
      </c>
      <c r="N1684" s="248" t="str">
        <f>IFERROR(__xludf.DUMMYFUNCTION("VLOOKUP(C1684,IMPORTRANGE(""https://docs.google.com/spreadsheets/d/1ihFlp3_ePlYtFuPbUNbYj1muErVpI73WHXbEwJDIA7Q/edit#gid=1493122344"",""MTR!C:O""),8,false)"),"Complies")</f>
        <v>Complies</v>
      </c>
      <c r="O1684" s="241" t="str">
        <f>IFERROR(__xludf.DUMMYFUNCTION("VLOOKUP(C1684,IMPORTRANGE(""https://docs.google.com/spreadsheets/d/1P8eX0NWBhUPS_hvzA11R6jkTNFrPrRYIx_dX_hYbxrk/edit?resourcekey=0-iw9bsKY2OqkUHCFMkCar3A&amp;gid=2055363397#gid=2055363397"",""MTR!C:O""),9,false)"),"")</f>
        <v/>
      </c>
      <c r="P1684" s="241"/>
      <c r="Q1684" s="251" t="s">
        <v>445</v>
      </c>
      <c r="R1684" s="241"/>
      <c r="S1684" s="154" t="s">
        <v>60</v>
      </c>
      <c r="T1684" s="154" t="s">
        <v>60</v>
      </c>
      <c r="U1684" s="154" t="s">
        <v>60</v>
      </c>
      <c r="V1684" s="154" t="s">
        <v>60</v>
      </c>
      <c r="W1684" s="154" t="s">
        <v>60</v>
      </c>
      <c r="X1684" s="154" t="s">
        <v>60</v>
      </c>
      <c r="Y1684" s="154" t="s">
        <v>64</v>
      </c>
      <c r="Z1684" s="154" t="s">
        <v>64</v>
      </c>
      <c r="AA1684" s="154" t="s">
        <v>64</v>
      </c>
      <c r="AB1684" s="154"/>
      <c r="AC1684" s="242" t="b">
        <f t="shared" si="2"/>
        <v>1</v>
      </c>
      <c r="AD1684" s="154" t="s">
        <v>391</v>
      </c>
      <c r="AE1684" s="243" t="b">
        <f t="shared" si="3"/>
        <v>0</v>
      </c>
      <c r="AF1684" s="154"/>
      <c r="AG1684" s="243" t="b">
        <f t="shared" si="7"/>
        <v>0</v>
      </c>
      <c r="AH1684" s="154"/>
      <c r="AI1684" s="243" t="str">
        <f t="shared" si="5"/>
        <v>N/A</v>
      </c>
      <c r="AJ1684" s="157" t="str">
        <f t="shared" si="6"/>
        <v/>
      </c>
    </row>
    <row r="1685" ht="12.75" customHeight="1">
      <c r="A1685" s="244" t="s">
        <v>4158</v>
      </c>
      <c r="B1685" s="244" t="s">
        <v>4161</v>
      </c>
      <c r="C1685" s="244" t="s">
        <v>4351</v>
      </c>
      <c r="D1685" s="154" t="s">
        <v>581</v>
      </c>
      <c r="E1685" s="250"/>
      <c r="F1685" s="154" t="str">
        <f t="array" ref="F1685">XLOOKUP(Cover!$D$12,$S$1:$AA$1,$S1685:$AA1685)</f>
        <v>Mandatory</v>
      </c>
      <c r="G1685" s="154" t="s">
        <v>4352</v>
      </c>
      <c r="H1685" s="154" t="s">
        <v>4279</v>
      </c>
      <c r="I1685" s="154" t="s">
        <v>632</v>
      </c>
      <c r="J1685" s="247" t="s">
        <v>445</v>
      </c>
      <c r="K1685" s="154"/>
      <c r="L1685" s="154" t="str">
        <f t="shared" si="1"/>
        <v/>
      </c>
      <c r="M1685" s="248" t="str">
        <f>IFERROR(__xludf.DUMMYFUNCTION("VLOOKUP(C1685,IMPORTRANGE(""https://docs.google.com/spreadsheets/d/1P8eX0NWBhUPS_hvzA11R6jkTNFrPrRYIx_dX_hYbxrk/edit?resourcekey=0-iw9bsKY2OqkUHCFMkCar3A&amp;gid=2055363397#gid=2055363397"",""MTR!C:O""),11,false)"),"PMW-IMS")</f>
        <v>PMW-IMS</v>
      </c>
      <c r="N1685" s="248" t="str">
        <f>IFERROR(__xludf.DUMMYFUNCTION("VLOOKUP(C1685,IMPORTRANGE(""https://docs.google.com/spreadsheets/d/1ihFlp3_ePlYtFuPbUNbYj1muErVpI73WHXbEwJDIA7Q/edit#gid=1493122344"",""MTR!C:O""),8,false)"),"Complies")</f>
        <v>Complies</v>
      </c>
      <c r="O1685" s="241" t="str">
        <f>IFERROR(__xludf.DUMMYFUNCTION("VLOOKUP(C1685,IMPORTRANGE(""https://docs.google.com/spreadsheets/d/1P8eX0NWBhUPS_hvzA11R6jkTNFrPrRYIx_dX_hYbxrk/edit?resourcekey=0-iw9bsKY2OqkUHCFMkCar3A&amp;gid=2055363397#gid=2055363397"",""MTR!C:O""),9,false)"),"")</f>
        <v/>
      </c>
      <c r="P1685" s="241"/>
      <c r="Q1685" s="251" t="s">
        <v>445</v>
      </c>
      <c r="R1685" s="241"/>
      <c r="S1685" s="154" t="s">
        <v>60</v>
      </c>
      <c r="T1685" s="154" t="s">
        <v>60</v>
      </c>
      <c r="U1685" s="154" t="s">
        <v>60</v>
      </c>
      <c r="V1685" s="154" t="s">
        <v>60</v>
      </c>
      <c r="W1685" s="154" t="s">
        <v>60</v>
      </c>
      <c r="X1685" s="154" t="s">
        <v>60</v>
      </c>
      <c r="Y1685" s="154" t="s">
        <v>64</v>
      </c>
      <c r="Z1685" s="154" t="s">
        <v>64</v>
      </c>
      <c r="AA1685" s="154" t="s">
        <v>64</v>
      </c>
      <c r="AB1685" s="154"/>
      <c r="AC1685" s="242" t="b">
        <f t="shared" si="2"/>
        <v>1</v>
      </c>
      <c r="AD1685" s="154" t="s">
        <v>391</v>
      </c>
      <c r="AE1685" s="243" t="b">
        <f t="shared" si="3"/>
        <v>0</v>
      </c>
      <c r="AF1685" s="154"/>
      <c r="AG1685" s="243" t="b">
        <f t="shared" si="7"/>
        <v>0</v>
      </c>
      <c r="AH1685" s="154"/>
      <c r="AI1685" s="243" t="str">
        <f t="shared" si="5"/>
        <v>N/A</v>
      </c>
      <c r="AJ1685" s="157" t="str">
        <f t="shared" si="6"/>
        <v/>
      </c>
    </row>
    <row r="1686" ht="12.75" customHeight="1">
      <c r="A1686" s="244" t="s">
        <v>4158</v>
      </c>
      <c r="B1686" s="244" t="s">
        <v>4161</v>
      </c>
      <c r="C1686" s="244" t="s">
        <v>4353</v>
      </c>
      <c r="D1686" s="154" t="s">
        <v>433</v>
      </c>
      <c r="E1686" s="250"/>
      <c r="F1686" s="154" t="str">
        <f t="array" ref="F1686">XLOOKUP(Cover!$D$12,$S$1:$AA$1,$S1686:$AA1686)</f>
        <v>Mandatory</v>
      </c>
      <c r="G1686" s="154" t="s">
        <v>4354</v>
      </c>
      <c r="H1686" s="154" t="s">
        <v>351</v>
      </c>
      <c r="I1686" s="154" t="s">
        <v>632</v>
      </c>
      <c r="J1686" s="247" t="s">
        <v>445</v>
      </c>
      <c r="K1686" s="154"/>
      <c r="L1686" s="154" t="str">
        <f t="shared" si="1"/>
        <v/>
      </c>
      <c r="M1686" s="248" t="str">
        <f>IFERROR(__xludf.DUMMYFUNCTION("VLOOKUP(C1686,IMPORTRANGE(""https://docs.google.com/spreadsheets/d/1P8eX0NWBhUPS_hvzA11R6jkTNFrPrRYIx_dX_hYbxrk/edit?resourcekey=0-iw9bsKY2OqkUHCFMkCar3A&amp;gid=2055363397#gid=2055363397"",""MTR!C:O""),11,false)"),"PMW-IMS")</f>
        <v>PMW-IMS</v>
      </c>
      <c r="N1686" s="248" t="str">
        <f>IFERROR(__xludf.DUMMYFUNCTION("VLOOKUP(C1686,IMPORTRANGE(""https://docs.google.com/spreadsheets/d/1ihFlp3_ePlYtFuPbUNbYj1muErVpI73WHXbEwJDIA7Q/edit#gid=1493122344"",""MTR!C:O""),8,false)"),"Complies")</f>
        <v>Complies</v>
      </c>
      <c r="O1686" s="241" t="str">
        <f>IFERROR(__xludf.DUMMYFUNCTION("VLOOKUP(C1686,IMPORTRANGE(""https://docs.google.com/spreadsheets/d/1P8eX0NWBhUPS_hvzA11R6jkTNFrPrRYIx_dX_hYbxrk/edit?resourcekey=0-iw9bsKY2OqkUHCFMkCar3A&amp;gid=2055363397#gid=2055363397"",""MTR!C:O""),9,false)"),"")</f>
        <v/>
      </c>
      <c r="P1686" s="241"/>
      <c r="Q1686" s="251" t="s">
        <v>445</v>
      </c>
      <c r="R1686" s="241"/>
      <c r="S1686" s="154" t="s">
        <v>64</v>
      </c>
      <c r="T1686" s="154" t="s">
        <v>60</v>
      </c>
      <c r="U1686" s="154" t="s">
        <v>60</v>
      </c>
      <c r="V1686" s="154" t="s">
        <v>60</v>
      </c>
      <c r="W1686" s="154" t="s">
        <v>60</v>
      </c>
      <c r="X1686" s="154" t="s">
        <v>60</v>
      </c>
      <c r="Y1686" s="154" t="s">
        <v>64</v>
      </c>
      <c r="Z1686" s="154" t="s">
        <v>64</v>
      </c>
      <c r="AA1686" s="154" t="s">
        <v>64</v>
      </c>
      <c r="AB1686" s="154"/>
      <c r="AC1686" s="242" t="b">
        <f t="shared" si="2"/>
        <v>1</v>
      </c>
      <c r="AD1686" s="154" t="s">
        <v>391</v>
      </c>
      <c r="AE1686" s="243" t="b">
        <f t="shared" si="3"/>
        <v>0</v>
      </c>
      <c r="AF1686" s="154"/>
      <c r="AG1686" s="243" t="b">
        <f t="shared" si="7"/>
        <v>0</v>
      </c>
      <c r="AH1686" s="154"/>
      <c r="AI1686" s="243" t="str">
        <f t="shared" si="5"/>
        <v>N/A</v>
      </c>
      <c r="AJ1686" s="157" t="str">
        <f t="shared" si="6"/>
        <v/>
      </c>
    </row>
    <row r="1687" ht="12.75" customHeight="1">
      <c r="A1687" s="244" t="s">
        <v>4158</v>
      </c>
      <c r="B1687" s="244" t="s">
        <v>4161</v>
      </c>
      <c r="C1687" s="244" t="s">
        <v>4355</v>
      </c>
      <c r="D1687" s="154" t="s">
        <v>967</v>
      </c>
      <c r="E1687" s="250"/>
      <c r="F1687" s="154" t="str">
        <f t="array" ref="F1687">XLOOKUP(Cover!$D$12,$S$1:$AA$1,$S1687:$AA1687)</f>
        <v>Mandatory</v>
      </c>
      <c r="G1687" s="154" t="s">
        <v>4356</v>
      </c>
      <c r="H1687" s="154" t="s">
        <v>4279</v>
      </c>
      <c r="I1687" s="154" t="s">
        <v>632</v>
      </c>
      <c r="J1687" s="247" t="s">
        <v>445</v>
      </c>
      <c r="K1687" s="154"/>
      <c r="L1687" s="154" t="str">
        <f t="shared" si="1"/>
        <v/>
      </c>
      <c r="M1687" s="248" t="str">
        <f>IFERROR(__xludf.DUMMYFUNCTION("VLOOKUP(C1687,IMPORTRANGE(""https://docs.google.com/spreadsheets/d/1P8eX0NWBhUPS_hvzA11R6jkTNFrPrRYIx_dX_hYbxrk/edit?resourcekey=0-iw9bsKY2OqkUHCFMkCar3A&amp;gid=2055363397#gid=2055363397"",""MTR!C:O""),11,false)"),"PMW-IMS")</f>
        <v>PMW-IMS</v>
      </c>
      <c r="N1687" s="248" t="str">
        <f>IFERROR(__xludf.DUMMYFUNCTION("VLOOKUP(C1687,IMPORTRANGE(""https://docs.google.com/spreadsheets/d/1ihFlp3_ePlYtFuPbUNbYj1muErVpI73WHXbEwJDIA7Q/edit#gid=1493122344"",""MTR!C:O""),8,false)"),"Complies")</f>
        <v>Complies</v>
      </c>
      <c r="O1687" s="241" t="str">
        <f>IFERROR(__xludf.DUMMYFUNCTION("VLOOKUP(C1687,IMPORTRANGE(""https://docs.google.com/spreadsheets/d/1P8eX0NWBhUPS_hvzA11R6jkTNFrPrRYIx_dX_hYbxrk/edit?resourcekey=0-iw9bsKY2OqkUHCFMkCar3A&amp;gid=2055363397#gid=2055363397"",""MTR!C:O""),9,false)"),"")</f>
        <v/>
      </c>
      <c r="P1687" s="241"/>
      <c r="Q1687" s="251" t="s">
        <v>445</v>
      </c>
      <c r="R1687" s="241"/>
      <c r="S1687" s="154" t="s">
        <v>60</v>
      </c>
      <c r="T1687" s="154" t="s">
        <v>60</v>
      </c>
      <c r="U1687" s="154" t="s">
        <v>60</v>
      </c>
      <c r="V1687" s="154" t="s">
        <v>60</v>
      </c>
      <c r="W1687" s="154" t="s">
        <v>60</v>
      </c>
      <c r="X1687" s="154" t="s">
        <v>60</v>
      </c>
      <c r="Y1687" s="154" t="s">
        <v>64</v>
      </c>
      <c r="Z1687" s="154" t="s">
        <v>64</v>
      </c>
      <c r="AA1687" s="154" t="s">
        <v>64</v>
      </c>
      <c r="AB1687" s="154"/>
      <c r="AC1687" s="242" t="b">
        <f t="shared" si="2"/>
        <v>1</v>
      </c>
      <c r="AD1687" s="154" t="s">
        <v>391</v>
      </c>
      <c r="AE1687" s="243" t="b">
        <f t="shared" si="3"/>
        <v>0</v>
      </c>
      <c r="AF1687" s="154"/>
      <c r="AG1687" s="243" t="b">
        <f t="shared" si="7"/>
        <v>0</v>
      </c>
      <c r="AH1687" s="154"/>
      <c r="AI1687" s="243" t="str">
        <f t="shared" si="5"/>
        <v>N/A</v>
      </c>
      <c r="AJ1687" s="157" t="str">
        <f t="shared" si="6"/>
        <v/>
      </c>
    </row>
    <row r="1688" ht="12.75" customHeight="1">
      <c r="A1688" s="244" t="s">
        <v>4158</v>
      </c>
      <c r="B1688" s="244" t="s">
        <v>4161</v>
      </c>
      <c r="C1688" s="244" t="s">
        <v>4357</v>
      </c>
      <c r="D1688" s="154" t="s">
        <v>422</v>
      </c>
      <c r="E1688" s="250"/>
      <c r="F1688" s="154" t="str">
        <f t="array" ref="F1688">XLOOKUP(Cover!$D$12,$S$1:$AA$1,$S1688:$AA1688)</f>
        <v>Mandatory</v>
      </c>
      <c r="G1688" s="154" t="s">
        <v>4358</v>
      </c>
      <c r="H1688" s="154" t="s">
        <v>4265</v>
      </c>
      <c r="I1688" s="154" t="s">
        <v>632</v>
      </c>
      <c r="J1688" s="247" t="s">
        <v>445</v>
      </c>
      <c r="K1688" s="154"/>
      <c r="L1688" s="154" t="str">
        <f t="shared" si="1"/>
        <v/>
      </c>
      <c r="M1688" s="248" t="str">
        <f>IFERROR(__xludf.DUMMYFUNCTION("VLOOKUP(C1688,IMPORTRANGE(""https://docs.google.com/spreadsheets/d/1P8eX0NWBhUPS_hvzA11R6jkTNFrPrRYIx_dX_hYbxrk/edit?resourcekey=0-iw9bsKY2OqkUHCFMkCar3A&amp;gid=2055363397#gid=2055363397"",""MTR!C:O""),11,false)"),"PMW-IMS")</f>
        <v>PMW-IMS</v>
      </c>
      <c r="N1688" s="248" t="str">
        <f>IFERROR(__xludf.DUMMYFUNCTION("VLOOKUP(C1688,IMPORTRANGE(""https://docs.google.com/spreadsheets/d/1ihFlp3_ePlYtFuPbUNbYj1muErVpI73WHXbEwJDIA7Q/edit#gid=1493122344"",""MTR!C:O""),8,false)"),"Complies")</f>
        <v>Complies</v>
      </c>
      <c r="O1688" s="241" t="str">
        <f>IFERROR(__xludf.DUMMYFUNCTION("VLOOKUP(C1688,IMPORTRANGE(""https://docs.google.com/spreadsheets/d/1P8eX0NWBhUPS_hvzA11R6jkTNFrPrRYIx_dX_hYbxrk/edit?resourcekey=0-iw9bsKY2OqkUHCFMkCar3A&amp;gid=2055363397#gid=2055363397"",""MTR!C:O""),9,false)"),"")</f>
        <v/>
      </c>
      <c r="P1688" s="241"/>
      <c r="Q1688" s="251" t="s">
        <v>445</v>
      </c>
      <c r="R1688" s="241"/>
      <c r="S1688" s="154" t="s">
        <v>60</v>
      </c>
      <c r="T1688" s="154" t="s">
        <v>60</v>
      </c>
      <c r="U1688" s="154" t="s">
        <v>60</v>
      </c>
      <c r="V1688" s="154" t="s">
        <v>60</v>
      </c>
      <c r="W1688" s="154" t="s">
        <v>60</v>
      </c>
      <c r="X1688" s="154" t="s">
        <v>60</v>
      </c>
      <c r="Y1688" s="154" t="s">
        <v>64</v>
      </c>
      <c r="Z1688" s="154" t="s">
        <v>64</v>
      </c>
      <c r="AA1688" s="154" t="s">
        <v>64</v>
      </c>
      <c r="AB1688" s="154"/>
      <c r="AC1688" s="242" t="b">
        <f t="shared" si="2"/>
        <v>1</v>
      </c>
      <c r="AD1688" s="154" t="s">
        <v>391</v>
      </c>
      <c r="AE1688" s="243" t="b">
        <f t="shared" si="3"/>
        <v>0</v>
      </c>
      <c r="AF1688" s="154"/>
      <c r="AG1688" s="243" t="b">
        <f t="shared" si="7"/>
        <v>0</v>
      </c>
      <c r="AH1688" s="154"/>
      <c r="AI1688" s="243" t="str">
        <f t="shared" si="5"/>
        <v>N/A</v>
      </c>
      <c r="AJ1688" s="157" t="str">
        <f t="shared" si="6"/>
        <v/>
      </c>
    </row>
    <row r="1689" ht="12.75" customHeight="1">
      <c r="A1689" s="244" t="s">
        <v>4158</v>
      </c>
      <c r="B1689" s="244" t="s">
        <v>4161</v>
      </c>
      <c r="C1689" s="244" t="s">
        <v>4359</v>
      </c>
      <c r="D1689" s="154" t="s">
        <v>422</v>
      </c>
      <c r="E1689" s="250"/>
      <c r="F1689" s="154" t="str">
        <f t="array" ref="F1689">XLOOKUP(Cover!$D$12,$S$1:$AA$1,$S1689:$AA1689)</f>
        <v>Information</v>
      </c>
      <c r="G1689" s="154" t="s">
        <v>4360</v>
      </c>
      <c r="H1689" s="154"/>
      <c r="I1689" s="154" t="s">
        <v>632</v>
      </c>
      <c r="J1689" s="247" t="s">
        <v>445</v>
      </c>
      <c r="K1689" s="154"/>
      <c r="L1689" s="154" t="str">
        <f t="shared" si="1"/>
        <v/>
      </c>
      <c r="M1689" s="248" t="str">
        <f>IFERROR(__xludf.DUMMYFUNCTION("VLOOKUP(C1689,IMPORTRANGE(""https://docs.google.com/spreadsheets/d/1P8eX0NWBhUPS_hvzA11R6jkTNFrPrRYIx_dX_hYbxrk/edit?resourcekey=0-iw9bsKY2OqkUHCFMkCar3A&amp;gid=2055363397#gid=2055363397"",""MTR!C:O""),11,false)"),"PMW-IMS")</f>
        <v>PMW-IMS</v>
      </c>
      <c r="N1689" s="248" t="str">
        <f>IFERROR(__xludf.DUMMYFUNCTION("VLOOKUP(C1689,IMPORTRANGE(""https://docs.google.com/spreadsheets/d/1ihFlp3_ePlYtFuPbUNbYj1muErVpI73WHXbEwJDIA7Q/edit#gid=1493122344"",""MTR!C:O""),8,false)"),"Complies")</f>
        <v>Complies</v>
      </c>
      <c r="O1689" s="241" t="str">
        <f>IFERROR(__xludf.DUMMYFUNCTION("VLOOKUP(C1689,IMPORTRANGE(""https://docs.google.com/spreadsheets/d/1P8eX0NWBhUPS_hvzA11R6jkTNFrPrRYIx_dX_hYbxrk/edit?resourcekey=0-iw9bsKY2OqkUHCFMkCar3A&amp;gid=2055363397#gid=2055363397"",""MTR!C:O""),9,false)"),"")</f>
        <v/>
      </c>
      <c r="P1689" s="241"/>
      <c r="Q1689" s="251" t="s">
        <v>445</v>
      </c>
      <c r="R1689" s="241"/>
      <c r="S1689" s="154" t="s">
        <v>66</v>
      </c>
      <c r="T1689" s="154" t="s">
        <v>66</v>
      </c>
      <c r="U1689" s="154" t="s">
        <v>66</v>
      </c>
      <c r="V1689" s="154" t="s">
        <v>66</v>
      </c>
      <c r="W1689" s="154" t="s">
        <v>66</v>
      </c>
      <c r="X1689" s="154" t="s">
        <v>66</v>
      </c>
      <c r="Y1689" s="154" t="s">
        <v>66</v>
      </c>
      <c r="Z1689" s="154" t="s">
        <v>66</v>
      </c>
      <c r="AA1689" s="154" t="s">
        <v>66</v>
      </c>
      <c r="AB1689" s="154"/>
      <c r="AC1689" s="242" t="b">
        <f t="shared" si="2"/>
        <v>1</v>
      </c>
      <c r="AD1689" s="154" t="s">
        <v>391</v>
      </c>
      <c r="AE1689" s="243" t="b">
        <f t="shared" si="3"/>
        <v>0</v>
      </c>
      <c r="AF1689" s="154"/>
      <c r="AG1689" s="243" t="b">
        <f t="shared" si="7"/>
        <v>0</v>
      </c>
      <c r="AH1689" s="154"/>
      <c r="AI1689" s="243" t="str">
        <f t="shared" si="5"/>
        <v>N/A</v>
      </c>
      <c r="AJ1689" s="157" t="str">
        <f t="shared" si="6"/>
        <v/>
      </c>
    </row>
    <row r="1690" ht="12.75" customHeight="1">
      <c r="A1690" s="244" t="s">
        <v>4158</v>
      </c>
      <c r="B1690" s="244" t="s">
        <v>4161</v>
      </c>
      <c r="C1690" s="244" t="s">
        <v>4361</v>
      </c>
      <c r="D1690" s="154" t="s">
        <v>967</v>
      </c>
      <c r="E1690" s="250"/>
      <c r="F1690" s="154" t="str">
        <f t="array" ref="F1690">XLOOKUP(Cover!$D$12,$S$1:$AA$1,$S1690:$AA1690)</f>
        <v>Mandatory</v>
      </c>
      <c r="G1690" s="154" t="s">
        <v>4362</v>
      </c>
      <c r="H1690" s="154" t="s">
        <v>4279</v>
      </c>
      <c r="I1690" s="154" t="s">
        <v>632</v>
      </c>
      <c r="J1690" s="247" t="s">
        <v>445</v>
      </c>
      <c r="K1690" s="154"/>
      <c r="L1690" s="154" t="str">
        <f t="shared" si="1"/>
        <v/>
      </c>
      <c r="M1690" s="248" t="str">
        <f>IFERROR(__xludf.DUMMYFUNCTION("VLOOKUP(C1690,IMPORTRANGE(""https://docs.google.com/spreadsheets/d/1P8eX0NWBhUPS_hvzA11R6jkTNFrPrRYIx_dX_hYbxrk/edit?resourcekey=0-iw9bsKY2OqkUHCFMkCar3A&amp;gid=2055363397#gid=2055363397"",""MTR!C:O""),11,false)"),"PMW-IMS")</f>
        <v>PMW-IMS</v>
      </c>
      <c r="N1690" s="248" t="str">
        <f>IFERROR(__xludf.DUMMYFUNCTION("VLOOKUP(C1690,IMPORTRANGE(""https://docs.google.com/spreadsheets/d/1ihFlp3_ePlYtFuPbUNbYj1muErVpI73WHXbEwJDIA7Q/edit#gid=1493122344"",""MTR!C:O""),8,false)"),"Complies")</f>
        <v>Complies</v>
      </c>
      <c r="O1690" s="241" t="str">
        <f>IFERROR(__xludf.DUMMYFUNCTION("VLOOKUP(C1690,IMPORTRANGE(""https://docs.google.com/spreadsheets/d/1P8eX0NWBhUPS_hvzA11R6jkTNFrPrRYIx_dX_hYbxrk/edit?resourcekey=0-iw9bsKY2OqkUHCFMkCar3A&amp;gid=2055363397#gid=2055363397"",""MTR!C:O""),9,false)"),"")</f>
        <v/>
      </c>
      <c r="P1690" s="241"/>
      <c r="Q1690" s="251" t="s">
        <v>445</v>
      </c>
      <c r="R1690" s="241"/>
      <c r="S1690" s="154" t="s">
        <v>60</v>
      </c>
      <c r="T1690" s="154" t="s">
        <v>60</v>
      </c>
      <c r="U1690" s="154" t="s">
        <v>60</v>
      </c>
      <c r="V1690" s="154" t="s">
        <v>60</v>
      </c>
      <c r="W1690" s="154" t="s">
        <v>60</v>
      </c>
      <c r="X1690" s="154" t="s">
        <v>60</v>
      </c>
      <c r="Y1690" s="154" t="s">
        <v>64</v>
      </c>
      <c r="Z1690" s="154" t="s">
        <v>64</v>
      </c>
      <c r="AA1690" s="154" t="s">
        <v>64</v>
      </c>
      <c r="AB1690" s="154"/>
      <c r="AC1690" s="242" t="b">
        <f t="shared" si="2"/>
        <v>1</v>
      </c>
      <c r="AD1690" s="154" t="s">
        <v>391</v>
      </c>
      <c r="AE1690" s="243" t="b">
        <f t="shared" si="3"/>
        <v>0</v>
      </c>
      <c r="AF1690" s="154"/>
      <c r="AG1690" s="243" t="b">
        <f t="shared" si="7"/>
        <v>0</v>
      </c>
      <c r="AH1690" s="154"/>
      <c r="AI1690" s="243" t="str">
        <f t="shared" si="5"/>
        <v>N/A</v>
      </c>
      <c r="AJ1690" s="157" t="str">
        <f t="shared" si="6"/>
        <v/>
      </c>
    </row>
    <row r="1691" ht="12.75" customHeight="1">
      <c r="A1691" s="244" t="s">
        <v>4158</v>
      </c>
      <c r="B1691" s="244" t="s">
        <v>4161</v>
      </c>
      <c r="C1691" s="244" t="s">
        <v>4363</v>
      </c>
      <c r="D1691" s="154" t="s">
        <v>542</v>
      </c>
      <c r="E1691" s="250"/>
      <c r="F1691" s="154" t="str">
        <f t="array" ref="F1691">XLOOKUP(Cover!$D$12,$S$1:$AA$1,$S1691:$AA1691)</f>
        <v>Recommended</v>
      </c>
      <c r="G1691" s="154" t="s">
        <v>4364</v>
      </c>
      <c r="H1691" s="154" t="s">
        <v>4279</v>
      </c>
      <c r="I1691" s="154" t="s">
        <v>632</v>
      </c>
      <c r="J1691" s="247" t="s">
        <v>445</v>
      </c>
      <c r="K1691" s="154"/>
      <c r="L1691" s="154" t="str">
        <f t="shared" si="1"/>
        <v/>
      </c>
      <c r="M1691" s="248" t="str">
        <f>IFERROR(__xludf.DUMMYFUNCTION("VLOOKUP(C1691,IMPORTRANGE(""https://docs.google.com/spreadsheets/d/1P8eX0NWBhUPS_hvzA11R6jkTNFrPrRYIx_dX_hYbxrk/edit?resourcekey=0-iw9bsKY2OqkUHCFMkCar3A&amp;gid=2055363397#gid=2055363397"",""MTR!C:O""),11,false)"),"PMW-IMS")</f>
        <v>PMW-IMS</v>
      </c>
      <c r="N1691" s="248" t="str">
        <f>IFERROR(__xludf.DUMMYFUNCTION("VLOOKUP(C1691,IMPORTRANGE(""https://docs.google.com/spreadsheets/d/1ihFlp3_ePlYtFuPbUNbYj1muErVpI73WHXbEwJDIA7Q/edit#gid=1493122344"",""MTR!C:O""),8,false)"),"Complies")</f>
        <v>Complies</v>
      </c>
      <c r="O1691" s="241" t="str">
        <f>IFERROR(__xludf.DUMMYFUNCTION("VLOOKUP(C1691,IMPORTRANGE(""https://docs.google.com/spreadsheets/d/1P8eX0NWBhUPS_hvzA11R6jkTNFrPrRYIx_dX_hYbxrk/edit?resourcekey=0-iw9bsKY2OqkUHCFMkCar3A&amp;gid=2055363397#gid=2055363397"",""MTR!C:O""),9,false)"),"")</f>
        <v/>
      </c>
      <c r="P1691" s="241"/>
      <c r="Q1691" s="251" t="s">
        <v>445</v>
      </c>
      <c r="R1691" s="241"/>
      <c r="S1691" s="154" t="s">
        <v>64</v>
      </c>
      <c r="T1691" s="154" t="s">
        <v>64</v>
      </c>
      <c r="U1691" s="154" t="s">
        <v>64</v>
      </c>
      <c r="V1691" s="154" t="s">
        <v>64</v>
      </c>
      <c r="W1691" s="154" t="s">
        <v>64</v>
      </c>
      <c r="X1691" s="154" t="s">
        <v>64</v>
      </c>
      <c r="Y1691" s="154" t="s">
        <v>64</v>
      </c>
      <c r="Z1691" s="154" t="s">
        <v>64</v>
      </c>
      <c r="AA1691" s="154" t="s">
        <v>64</v>
      </c>
      <c r="AB1691" s="154"/>
      <c r="AC1691" s="242" t="b">
        <f t="shared" si="2"/>
        <v>1</v>
      </c>
      <c r="AD1691" s="154" t="s">
        <v>391</v>
      </c>
      <c r="AE1691" s="243" t="b">
        <f t="shared" si="3"/>
        <v>0</v>
      </c>
      <c r="AF1691" s="154"/>
      <c r="AG1691" s="243" t="b">
        <f t="shared" si="7"/>
        <v>0</v>
      </c>
      <c r="AH1691" s="154"/>
      <c r="AI1691" s="243" t="str">
        <f t="shared" si="5"/>
        <v>N/A</v>
      </c>
      <c r="AJ1691" s="157" t="str">
        <f t="shared" si="6"/>
        <v/>
      </c>
    </row>
    <row r="1692" ht="12.75" customHeight="1">
      <c r="A1692" s="244" t="s">
        <v>4158</v>
      </c>
      <c r="B1692" s="244" t="s">
        <v>4161</v>
      </c>
      <c r="C1692" s="244" t="s">
        <v>4365</v>
      </c>
      <c r="D1692" s="154" t="s">
        <v>422</v>
      </c>
      <c r="E1692" s="250"/>
      <c r="F1692" s="154" t="str">
        <f t="array" ref="F1692">XLOOKUP(Cover!$D$12,$S$1:$AA$1,$S1692:$AA1692)</f>
        <v>Recommended</v>
      </c>
      <c r="G1692" s="154" t="s">
        <v>4366</v>
      </c>
      <c r="H1692" s="154" t="s">
        <v>4279</v>
      </c>
      <c r="I1692" s="154" t="s">
        <v>632</v>
      </c>
      <c r="J1692" s="247" t="s">
        <v>445</v>
      </c>
      <c r="K1692" s="154"/>
      <c r="L1692" s="154" t="str">
        <f t="shared" si="1"/>
        <v/>
      </c>
      <c r="M1692" s="248" t="str">
        <f>IFERROR(__xludf.DUMMYFUNCTION("VLOOKUP(C1692,IMPORTRANGE(""https://docs.google.com/spreadsheets/d/1P8eX0NWBhUPS_hvzA11R6jkTNFrPrRYIx_dX_hYbxrk/edit?resourcekey=0-iw9bsKY2OqkUHCFMkCar3A&amp;gid=2055363397#gid=2055363397"",""MTR!C:O""),11,false)"),"PMW-IMS")</f>
        <v>PMW-IMS</v>
      </c>
      <c r="N1692" s="248" t="str">
        <f>IFERROR(__xludf.DUMMYFUNCTION("VLOOKUP(C1692,IMPORTRANGE(""https://docs.google.com/spreadsheets/d/1ihFlp3_ePlYtFuPbUNbYj1muErVpI73WHXbEwJDIA7Q/edit#gid=1493122344"",""MTR!C:O""),8,false)"),"Complies")</f>
        <v>Complies</v>
      </c>
      <c r="O1692" s="241" t="str">
        <f>IFERROR(__xludf.DUMMYFUNCTION("VLOOKUP(C1692,IMPORTRANGE(""https://docs.google.com/spreadsheets/d/1P8eX0NWBhUPS_hvzA11R6jkTNFrPrRYIx_dX_hYbxrk/edit?resourcekey=0-iw9bsKY2OqkUHCFMkCar3A&amp;gid=2055363397#gid=2055363397"",""MTR!C:O""),9,false)"),"")</f>
        <v/>
      </c>
      <c r="P1692" s="241"/>
      <c r="Q1692" s="251" t="s">
        <v>445</v>
      </c>
      <c r="R1692" s="241"/>
      <c r="S1692" s="154" t="s">
        <v>64</v>
      </c>
      <c r="T1692" s="154" t="s">
        <v>64</v>
      </c>
      <c r="U1692" s="154" t="s">
        <v>64</v>
      </c>
      <c r="V1692" s="154" t="s">
        <v>64</v>
      </c>
      <c r="W1692" s="154" t="s">
        <v>64</v>
      </c>
      <c r="X1692" s="154" t="s">
        <v>64</v>
      </c>
      <c r="Y1692" s="154" t="s">
        <v>64</v>
      </c>
      <c r="Z1692" s="154" t="s">
        <v>64</v>
      </c>
      <c r="AA1692" s="154" t="s">
        <v>64</v>
      </c>
      <c r="AB1692" s="154"/>
      <c r="AC1692" s="242" t="b">
        <f t="shared" si="2"/>
        <v>1</v>
      </c>
      <c r="AD1692" s="154" t="s">
        <v>391</v>
      </c>
      <c r="AE1692" s="243" t="b">
        <f t="shared" si="3"/>
        <v>0</v>
      </c>
      <c r="AF1692" s="154"/>
      <c r="AG1692" s="243" t="b">
        <f t="shared" si="7"/>
        <v>0</v>
      </c>
      <c r="AH1692" s="154"/>
      <c r="AI1692" s="243" t="str">
        <f t="shared" si="5"/>
        <v>N/A</v>
      </c>
      <c r="AJ1692" s="157" t="str">
        <f t="shared" si="6"/>
        <v/>
      </c>
    </row>
    <row r="1693" ht="12.75" customHeight="1">
      <c r="A1693" s="244" t="s">
        <v>4158</v>
      </c>
      <c r="B1693" s="244" t="s">
        <v>4161</v>
      </c>
      <c r="C1693" s="244" t="s">
        <v>4367</v>
      </c>
      <c r="D1693" s="154" t="s">
        <v>1282</v>
      </c>
      <c r="E1693" s="250"/>
      <c r="F1693" s="154" t="str">
        <f t="array" ref="F1693">XLOOKUP(Cover!$D$12,$S$1:$AA$1,$S1693:$AA1693)</f>
        <v>Mandatory</v>
      </c>
      <c r="G1693" s="154" t="s">
        <v>4368</v>
      </c>
      <c r="H1693" s="154" t="s">
        <v>4265</v>
      </c>
      <c r="I1693" s="154" t="s">
        <v>632</v>
      </c>
      <c r="J1693" s="247" t="s">
        <v>445</v>
      </c>
      <c r="K1693" s="154"/>
      <c r="L1693" s="154" t="str">
        <f t="shared" si="1"/>
        <v/>
      </c>
      <c r="M1693" s="248" t="str">
        <f>IFERROR(__xludf.DUMMYFUNCTION("VLOOKUP(C1693,IMPORTRANGE(""https://docs.google.com/spreadsheets/d/1P8eX0NWBhUPS_hvzA11R6jkTNFrPrRYIx_dX_hYbxrk/edit?resourcekey=0-iw9bsKY2OqkUHCFMkCar3A&amp;gid=2055363397#gid=2055363397"",""MTR!C:O""),11,false)"),"PMW-IMS")</f>
        <v>PMW-IMS</v>
      </c>
      <c r="N1693" s="248" t="str">
        <f>IFERROR(__xludf.DUMMYFUNCTION("VLOOKUP(C1693,IMPORTRANGE(""https://docs.google.com/spreadsheets/d/1ihFlp3_ePlYtFuPbUNbYj1muErVpI73WHXbEwJDIA7Q/edit#gid=1493122344"",""MTR!C:O""),8,false)"),"Complies")</f>
        <v>Complies</v>
      </c>
      <c r="O1693" s="241" t="str">
        <f>IFERROR(__xludf.DUMMYFUNCTION("VLOOKUP(C1693,IMPORTRANGE(""https://docs.google.com/spreadsheets/d/1P8eX0NWBhUPS_hvzA11R6jkTNFrPrRYIx_dX_hYbxrk/edit?resourcekey=0-iw9bsKY2OqkUHCFMkCar3A&amp;gid=2055363397#gid=2055363397"",""MTR!C:O""),9,false)"),"")</f>
        <v/>
      </c>
      <c r="P1693" s="241"/>
      <c r="Q1693" s="251" t="s">
        <v>445</v>
      </c>
      <c r="R1693" s="241"/>
      <c r="S1693" s="154" t="s">
        <v>60</v>
      </c>
      <c r="T1693" s="154" t="s">
        <v>60</v>
      </c>
      <c r="U1693" s="154" t="s">
        <v>60</v>
      </c>
      <c r="V1693" s="154" t="s">
        <v>60</v>
      </c>
      <c r="W1693" s="154" t="s">
        <v>60</v>
      </c>
      <c r="X1693" s="154" t="s">
        <v>60</v>
      </c>
      <c r="Y1693" s="154" t="s">
        <v>64</v>
      </c>
      <c r="Z1693" s="154" t="s">
        <v>64</v>
      </c>
      <c r="AA1693" s="154" t="s">
        <v>64</v>
      </c>
      <c r="AB1693" s="154"/>
      <c r="AC1693" s="242" t="b">
        <f t="shared" si="2"/>
        <v>1</v>
      </c>
      <c r="AD1693" s="154" t="s">
        <v>391</v>
      </c>
      <c r="AE1693" s="243" t="b">
        <f t="shared" si="3"/>
        <v>0</v>
      </c>
      <c r="AF1693" s="154"/>
      <c r="AG1693" s="243" t="b">
        <f t="shared" si="7"/>
        <v>0</v>
      </c>
      <c r="AH1693" s="154"/>
      <c r="AI1693" s="243" t="str">
        <f t="shared" si="5"/>
        <v>N/A</v>
      </c>
      <c r="AJ1693" s="157" t="str">
        <f t="shared" si="6"/>
        <v/>
      </c>
    </row>
    <row r="1694" ht="12.75" customHeight="1">
      <c r="A1694" s="244" t="s">
        <v>4158</v>
      </c>
      <c r="B1694" s="244" t="s">
        <v>4161</v>
      </c>
      <c r="C1694" s="244" t="s">
        <v>4369</v>
      </c>
      <c r="D1694" s="154" t="s">
        <v>739</v>
      </c>
      <c r="E1694" s="250"/>
      <c r="F1694" s="154" t="str">
        <f t="array" ref="F1694">XLOOKUP(Cover!$D$12,$S$1:$AA$1,$S1694:$AA1694)</f>
        <v>Recommended</v>
      </c>
      <c r="G1694" s="154" t="s">
        <v>4370</v>
      </c>
      <c r="H1694" s="154"/>
      <c r="I1694" s="154" t="s">
        <v>632</v>
      </c>
      <c r="J1694" s="247" t="s">
        <v>445</v>
      </c>
      <c r="K1694" s="154"/>
      <c r="L1694" s="154" t="str">
        <f t="shared" si="1"/>
        <v/>
      </c>
      <c r="M1694" s="248" t="str">
        <f>IFERROR(__xludf.DUMMYFUNCTION("VLOOKUP(C1694,IMPORTRANGE(""https://docs.google.com/spreadsheets/d/1P8eX0NWBhUPS_hvzA11R6jkTNFrPrRYIx_dX_hYbxrk/edit?resourcekey=0-iw9bsKY2OqkUHCFMkCar3A&amp;gid=2055363397#gid=2055363397"",""MTR!C:O""),11,false)"),"PMW-IMS")</f>
        <v>PMW-IMS</v>
      </c>
      <c r="N1694" s="248" t="str">
        <f>IFERROR(__xludf.DUMMYFUNCTION("VLOOKUP(C1694,IMPORTRANGE(""https://docs.google.com/spreadsheets/d/1ihFlp3_ePlYtFuPbUNbYj1muErVpI73WHXbEwJDIA7Q/edit#gid=1493122344"",""MTR!C:O""),8,false)"),"Complies")</f>
        <v>Complies</v>
      </c>
      <c r="O1694" s="241" t="str">
        <f>IFERROR(__xludf.DUMMYFUNCTION("VLOOKUP(C1694,IMPORTRANGE(""https://docs.google.com/spreadsheets/d/1P8eX0NWBhUPS_hvzA11R6jkTNFrPrRYIx_dX_hYbxrk/edit?resourcekey=0-iw9bsKY2OqkUHCFMkCar3A&amp;gid=2055363397#gid=2055363397"",""MTR!C:O""),9,false)"),"")</f>
        <v/>
      </c>
      <c r="P1694" s="241"/>
      <c r="Q1694" s="251" t="s">
        <v>445</v>
      </c>
      <c r="R1694" s="241"/>
      <c r="S1694" s="154" t="s">
        <v>64</v>
      </c>
      <c r="T1694" s="154" t="s">
        <v>64</v>
      </c>
      <c r="U1694" s="154" t="s">
        <v>64</v>
      </c>
      <c r="V1694" s="154" t="s">
        <v>64</v>
      </c>
      <c r="W1694" s="154" t="s">
        <v>64</v>
      </c>
      <c r="X1694" s="154" t="s">
        <v>64</v>
      </c>
      <c r="Y1694" s="154" t="s">
        <v>64</v>
      </c>
      <c r="Z1694" s="154" t="s">
        <v>64</v>
      </c>
      <c r="AA1694" s="154" t="s">
        <v>64</v>
      </c>
      <c r="AB1694" s="154"/>
      <c r="AC1694" s="242" t="b">
        <f t="shared" si="2"/>
        <v>1</v>
      </c>
      <c r="AD1694" s="154" t="s">
        <v>391</v>
      </c>
      <c r="AE1694" s="243" t="b">
        <f t="shared" si="3"/>
        <v>0</v>
      </c>
      <c r="AF1694" s="154"/>
      <c r="AG1694" s="243" t="b">
        <f t="shared" si="7"/>
        <v>0</v>
      </c>
      <c r="AH1694" s="154"/>
      <c r="AI1694" s="243" t="str">
        <f t="shared" si="5"/>
        <v>N/A</v>
      </c>
      <c r="AJ1694" s="157" t="str">
        <f t="shared" si="6"/>
        <v/>
      </c>
    </row>
    <row r="1695" ht="12.75" customHeight="1">
      <c r="A1695" s="244" t="s">
        <v>4158</v>
      </c>
      <c r="B1695" s="244" t="s">
        <v>4161</v>
      </c>
      <c r="C1695" s="244" t="s">
        <v>4371</v>
      </c>
      <c r="D1695" s="154" t="s">
        <v>1211</v>
      </c>
      <c r="E1695" s="250"/>
      <c r="F1695" s="154" t="str">
        <f t="array" ref="F1695">XLOOKUP(Cover!$D$12,$S$1:$AA$1,$S1695:$AA1695)</f>
        <v>Mandatory</v>
      </c>
      <c r="G1695" s="154" t="s">
        <v>4372</v>
      </c>
      <c r="H1695" s="154" t="s">
        <v>4279</v>
      </c>
      <c r="I1695" s="154" t="s">
        <v>632</v>
      </c>
      <c r="J1695" s="247" t="s">
        <v>445</v>
      </c>
      <c r="K1695" s="154"/>
      <c r="L1695" s="154" t="str">
        <f t="shared" si="1"/>
        <v/>
      </c>
      <c r="M1695" s="248" t="str">
        <f>IFERROR(__xludf.DUMMYFUNCTION("VLOOKUP(C1695,IMPORTRANGE(""https://docs.google.com/spreadsheets/d/1P8eX0NWBhUPS_hvzA11R6jkTNFrPrRYIx_dX_hYbxrk/edit?resourcekey=0-iw9bsKY2OqkUHCFMkCar3A&amp;gid=2055363397#gid=2055363397"",""MTR!C:O""),11,false)"),"PMW-IMS")</f>
        <v>PMW-IMS</v>
      </c>
      <c r="N1695" s="248" t="str">
        <f>IFERROR(__xludf.DUMMYFUNCTION("VLOOKUP(C1695,IMPORTRANGE(""https://docs.google.com/spreadsheets/d/1ihFlp3_ePlYtFuPbUNbYj1muErVpI73WHXbEwJDIA7Q/edit#gid=1493122344"",""MTR!C:O""),8,false)"),"Complies")</f>
        <v>Complies</v>
      </c>
      <c r="O1695" s="241" t="str">
        <f>IFERROR(__xludf.DUMMYFUNCTION("VLOOKUP(C1695,IMPORTRANGE(""https://docs.google.com/spreadsheets/d/1P8eX0NWBhUPS_hvzA11R6jkTNFrPrRYIx_dX_hYbxrk/edit?resourcekey=0-iw9bsKY2OqkUHCFMkCar3A&amp;gid=2055363397#gid=2055363397"",""MTR!C:O""),9,false)"),"")</f>
        <v/>
      </c>
      <c r="P1695" s="241"/>
      <c r="Q1695" s="251" t="s">
        <v>445</v>
      </c>
      <c r="R1695" s="241"/>
      <c r="S1695" s="154" t="s">
        <v>60</v>
      </c>
      <c r="T1695" s="154" t="s">
        <v>60</v>
      </c>
      <c r="U1695" s="154" t="s">
        <v>60</v>
      </c>
      <c r="V1695" s="154" t="s">
        <v>60</v>
      </c>
      <c r="W1695" s="154" t="s">
        <v>60</v>
      </c>
      <c r="X1695" s="154" t="s">
        <v>60</v>
      </c>
      <c r="Y1695" s="154" t="s">
        <v>64</v>
      </c>
      <c r="Z1695" s="154" t="s">
        <v>64</v>
      </c>
      <c r="AA1695" s="154" t="s">
        <v>64</v>
      </c>
      <c r="AB1695" s="154"/>
      <c r="AC1695" s="242" t="b">
        <f t="shared" si="2"/>
        <v>1</v>
      </c>
      <c r="AD1695" s="154" t="s">
        <v>391</v>
      </c>
      <c r="AE1695" s="243" t="b">
        <f t="shared" si="3"/>
        <v>0</v>
      </c>
      <c r="AF1695" s="154"/>
      <c r="AG1695" s="243" t="b">
        <f t="shared" si="7"/>
        <v>0</v>
      </c>
      <c r="AH1695" s="154"/>
      <c r="AI1695" s="243" t="str">
        <f t="shared" si="5"/>
        <v>N/A</v>
      </c>
      <c r="AJ1695" s="157" t="str">
        <f t="shared" si="6"/>
        <v/>
      </c>
    </row>
    <row r="1696" ht="12.75" customHeight="1">
      <c r="A1696" s="244" t="s">
        <v>4158</v>
      </c>
      <c r="B1696" s="244" t="s">
        <v>4161</v>
      </c>
      <c r="C1696" s="244" t="s">
        <v>4373</v>
      </c>
      <c r="D1696" s="154" t="s">
        <v>1211</v>
      </c>
      <c r="E1696" s="250"/>
      <c r="F1696" s="154" t="str">
        <f t="array" ref="F1696">XLOOKUP(Cover!$D$12,$S$1:$AA$1,$S1696:$AA1696)</f>
        <v>Mandatory</v>
      </c>
      <c r="G1696" s="154" t="s">
        <v>4374</v>
      </c>
      <c r="H1696" s="154" t="s">
        <v>4279</v>
      </c>
      <c r="I1696" s="154" t="s">
        <v>632</v>
      </c>
      <c r="J1696" s="247" t="s">
        <v>445</v>
      </c>
      <c r="K1696" s="154"/>
      <c r="L1696" s="154" t="str">
        <f t="shared" si="1"/>
        <v/>
      </c>
      <c r="M1696" s="248" t="str">
        <f>IFERROR(__xludf.DUMMYFUNCTION("VLOOKUP(C1696,IMPORTRANGE(""https://docs.google.com/spreadsheets/d/1P8eX0NWBhUPS_hvzA11R6jkTNFrPrRYIx_dX_hYbxrk/edit?resourcekey=0-iw9bsKY2OqkUHCFMkCar3A&amp;gid=2055363397#gid=2055363397"",""MTR!C:O""),11,false)"),"PMW-IMS")</f>
        <v>PMW-IMS</v>
      </c>
      <c r="N1696" s="248" t="str">
        <f>IFERROR(__xludf.DUMMYFUNCTION("VLOOKUP(C1696,IMPORTRANGE(""https://docs.google.com/spreadsheets/d/1ihFlp3_ePlYtFuPbUNbYj1muErVpI73WHXbEwJDIA7Q/edit#gid=1493122344"",""MTR!C:O""),8,false)"),"Complies")</f>
        <v>Complies</v>
      </c>
      <c r="O1696" s="241" t="str">
        <f>IFERROR(__xludf.DUMMYFUNCTION("VLOOKUP(C1696,IMPORTRANGE(""https://docs.google.com/spreadsheets/d/1P8eX0NWBhUPS_hvzA11R6jkTNFrPrRYIx_dX_hYbxrk/edit?resourcekey=0-iw9bsKY2OqkUHCFMkCar3A&amp;gid=2055363397#gid=2055363397"",""MTR!C:O""),9,false)"),"")</f>
        <v/>
      </c>
      <c r="P1696" s="241"/>
      <c r="Q1696" s="251" t="s">
        <v>445</v>
      </c>
      <c r="R1696" s="241"/>
      <c r="S1696" s="154" t="s">
        <v>60</v>
      </c>
      <c r="T1696" s="154" t="s">
        <v>60</v>
      </c>
      <c r="U1696" s="154" t="s">
        <v>60</v>
      </c>
      <c r="V1696" s="154" t="s">
        <v>60</v>
      </c>
      <c r="W1696" s="154" t="s">
        <v>60</v>
      </c>
      <c r="X1696" s="154" t="s">
        <v>60</v>
      </c>
      <c r="Y1696" s="154" t="s">
        <v>64</v>
      </c>
      <c r="Z1696" s="154" t="s">
        <v>64</v>
      </c>
      <c r="AA1696" s="154" t="s">
        <v>64</v>
      </c>
      <c r="AB1696" s="154"/>
      <c r="AC1696" s="242" t="b">
        <f t="shared" si="2"/>
        <v>1</v>
      </c>
      <c r="AD1696" s="154" t="s">
        <v>391</v>
      </c>
      <c r="AE1696" s="243" t="b">
        <f t="shared" si="3"/>
        <v>0</v>
      </c>
      <c r="AF1696" s="154"/>
      <c r="AG1696" s="243" t="b">
        <f t="shared" si="7"/>
        <v>0</v>
      </c>
      <c r="AH1696" s="154"/>
      <c r="AI1696" s="243" t="str">
        <f t="shared" si="5"/>
        <v>N/A</v>
      </c>
      <c r="AJ1696" s="157" t="str">
        <f t="shared" si="6"/>
        <v/>
      </c>
    </row>
    <row r="1697" ht="12.75" customHeight="1">
      <c r="A1697" s="244" t="s">
        <v>4158</v>
      </c>
      <c r="B1697" s="244" t="s">
        <v>4161</v>
      </c>
      <c r="C1697" s="244" t="s">
        <v>4375</v>
      </c>
      <c r="D1697" s="154" t="s">
        <v>1211</v>
      </c>
      <c r="E1697" s="250"/>
      <c r="F1697" s="154" t="str">
        <f t="array" ref="F1697">XLOOKUP(Cover!$D$12,$S$1:$AA$1,$S1697:$AA1697)</f>
        <v>Mandatory</v>
      </c>
      <c r="G1697" s="154" t="s">
        <v>4376</v>
      </c>
      <c r="H1697" s="154" t="s">
        <v>4279</v>
      </c>
      <c r="I1697" s="154" t="s">
        <v>632</v>
      </c>
      <c r="J1697" s="247" t="s">
        <v>445</v>
      </c>
      <c r="K1697" s="154"/>
      <c r="L1697" s="154" t="str">
        <f t="shared" si="1"/>
        <v/>
      </c>
      <c r="M1697" s="248" t="str">
        <f>IFERROR(__xludf.DUMMYFUNCTION("VLOOKUP(C1697,IMPORTRANGE(""https://docs.google.com/spreadsheets/d/1P8eX0NWBhUPS_hvzA11R6jkTNFrPrRYIx_dX_hYbxrk/edit?resourcekey=0-iw9bsKY2OqkUHCFMkCar3A&amp;gid=2055363397#gid=2055363397"",""MTR!C:O""),11,false)"),"PMW-IMS")</f>
        <v>PMW-IMS</v>
      </c>
      <c r="N1697" s="248" t="str">
        <f>IFERROR(__xludf.DUMMYFUNCTION("VLOOKUP(C1697,IMPORTRANGE(""https://docs.google.com/spreadsheets/d/1ihFlp3_ePlYtFuPbUNbYj1muErVpI73WHXbEwJDIA7Q/edit#gid=1493122344"",""MTR!C:O""),8,false)"),"Complies")</f>
        <v>Complies</v>
      </c>
      <c r="O1697" s="241" t="str">
        <f>IFERROR(__xludf.DUMMYFUNCTION("VLOOKUP(C1697,IMPORTRANGE(""https://docs.google.com/spreadsheets/d/1P8eX0NWBhUPS_hvzA11R6jkTNFrPrRYIx_dX_hYbxrk/edit?resourcekey=0-iw9bsKY2OqkUHCFMkCar3A&amp;gid=2055363397#gid=2055363397"",""MTR!C:O""),9,false)"),"")</f>
        <v/>
      </c>
      <c r="P1697" s="241"/>
      <c r="Q1697" s="251" t="s">
        <v>445</v>
      </c>
      <c r="R1697" s="241"/>
      <c r="S1697" s="154" t="s">
        <v>60</v>
      </c>
      <c r="T1697" s="154" t="s">
        <v>60</v>
      </c>
      <c r="U1697" s="154" t="s">
        <v>60</v>
      </c>
      <c r="V1697" s="154" t="s">
        <v>60</v>
      </c>
      <c r="W1697" s="154" t="s">
        <v>60</v>
      </c>
      <c r="X1697" s="154" t="s">
        <v>60</v>
      </c>
      <c r="Y1697" s="154" t="s">
        <v>64</v>
      </c>
      <c r="Z1697" s="154" t="s">
        <v>64</v>
      </c>
      <c r="AA1697" s="154" t="s">
        <v>64</v>
      </c>
      <c r="AB1697" s="154"/>
      <c r="AC1697" s="242" t="b">
        <f t="shared" si="2"/>
        <v>1</v>
      </c>
      <c r="AD1697" s="154" t="s">
        <v>391</v>
      </c>
      <c r="AE1697" s="243" t="b">
        <f t="shared" si="3"/>
        <v>0</v>
      </c>
      <c r="AF1697" s="154"/>
      <c r="AG1697" s="243" t="b">
        <f t="shared" si="7"/>
        <v>0</v>
      </c>
      <c r="AH1697" s="154"/>
      <c r="AI1697" s="243" t="str">
        <f t="shared" si="5"/>
        <v>N/A</v>
      </c>
      <c r="AJ1697" s="157" t="str">
        <f t="shared" si="6"/>
        <v/>
      </c>
    </row>
    <row r="1698" ht="12.75" customHeight="1">
      <c r="A1698" s="244" t="s">
        <v>4158</v>
      </c>
      <c r="B1698" s="244" t="s">
        <v>4161</v>
      </c>
      <c r="C1698" s="244" t="s">
        <v>4377</v>
      </c>
      <c r="D1698" s="154" t="s">
        <v>602</v>
      </c>
      <c r="E1698" s="250"/>
      <c r="F1698" s="154" t="str">
        <f t="array" ref="F1698">XLOOKUP(Cover!$D$12,$S$1:$AA$1,$S1698:$AA1698)</f>
        <v>Mandatory</v>
      </c>
      <c r="G1698" s="154" t="s">
        <v>4378</v>
      </c>
      <c r="H1698" s="154" t="s">
        <v>4279</v>
      </c>
      <c r="I1698" s="154" t="s">
        <v>632</v>
      </c>
      <c r="J1698" s="247" t="s">
        <v>445</v>
      </c>
      <c r="K1698" s="154"/>
      <c r="L1698" s="154" t="str">
        <f t="shared" si="1"/>
        <v/>
      </c>
      <c r="M1698" s="248" t="str">
        <f>IFERROR(__xludf.DUMMYFUNCTION("VLOOKUP(C1698,IMPORTRANGE(""https://docs.google.com/spreadsheets/d/1P8eX0NWBhUPS_hvzA11R6jkTNFrPrRYIx_dX_hYbxrk/edit?resourcekey=0-iw9bsKY2OqkUHCFMkCar3A&amp;gid=2055363397#gid=2055363397"",""MTR!C:O""),11,false)"),"PMW-IMS")</f>
        <v>PMW-IMS</v>
      </c>
      <c r="N1698" s="248" t="str">
        <f>IFERROR(__xludf.DUMMYFUNCTION("VLOOKUP(C1698,IMPORTRANGE(""https://docs.google.com/spreadsheets/d/1ihFlp3_ePlYtFuPbUNbYj1muErVpI73WHXbEwJDIA7Q/edit#gid=1493122344"",""MTR!C:O""),8,false)"),"Complies")</f>
        <v>Complies</v>
      </c>
      <c r="O1698" s="241" t="str">
        <f>IFERROR(__xludf.DUMMYFUNCTION("VLOOKUP(C1698,IMPORTRANGE(""https://docs.google.com/spreadsheets/d/1P8eX0NWBhUPS_hvzA11R6jkTNFrPrRYIx_dX_hYbxrk/edit?resourcekey=0-iw9bsKY2OqkUHCFMkCar3A&amp;gid=2055363397#gid=2055363397"",""MTR!C:O""),9,false)"),"")</f>
        <v/>
      </c>
      <c r="P1698" s="241"/>
      <c r="Q1698" s="251" t="s">
        <v>445</v>
      </c>
      <c r="R1698" s="241"/>
      <c r="S1698" s="154" t="s">
        <v>60</v>
      </c>
      <c r="T1698" s="154" t="s">
        <v>60</v>
      </c>
      <c r="U1698" s="154" t="s">
        <v>60</v>
      </c>
      <c r="V1698" s="154" t="s">
        <v>60</v>
      </c>
      <c r="W1698" s="154" t="s">
        <v>60</v>
      </c>
      <c r="X1698" s="154" t="s">
        <v>60</v>
      </c>
      <c r="Y1698" s="154" t="s">
        <v>64</v>
      </c>
      <c r="Z1698" s="154" t="s">
        <v>64</v>
      </c>
      <c r="AA1698" s="154" t="s">
        <v>64</v>
      </c>
      <c r="AB1698" s="154"/>
      <c r="AC1698" s="242" t="b">
        <f t="shared" si="2"/>
        <v>1</v>
      </c>
      <c r="AD1698" s="154" t="s">
        <v>391</v>
      </c>
      <c r="AE1698" s="243" t="b">
        <f t="shared" si="3"/>
        <v>0</v>
      </c>
      <c r="AF1698" s="154"/>
      <c r="AG1698" s="243" t="b">
        <f t="shared" si="7"/>
        <v>0</v>
      </c>
      <c r="AH1698" s="154"/>
      <c r="AI1698" s="243" t="str">
        <f t="shared" si="5"/>
        <v>N/A</v>
      </c>
      <c r="AJ1698" s="157" t="str">
        <f t="shared" si="6"/>
        <v/>
      </c>
    </row>
    <row r="1699" ht="12.75" customHeight="1">
      <c r="A1699" s="244" t="s">
        <v>4158</v>
      </c>
      <c r="B1699" s="244" t="s">
        <v>4161</v>
      </c>
      <c r="C1699" s="244" t="s">
        <v>4379</v>
      </c>
      <c r="D1699" s="154" t="s">
        <v>602</v>
      </c>
      <c r="E1699" s="250"/>
      <c r="F1699" s="154" t="str">
        <f t="array" ref="F1699">XLOOKUP(Cover!$D$12,$S$1:$AA$1,$S1699:$AA1699)</f>
        <v>Mandatory</v>
      </c>
      <c r="G1699" s="154" t="s">
        <v>4380</v>
      </c>
      <c r="H1699" s="154" t="s">
        <v>4279</v>
      </c>
      <c r="I1699" s="154" t="s">
        <v>632</v>
      </c>
      <c r="J1699" s="247" t="s">
        <v>445</v>
      </c>
      <c r="K1699" s="154"/>
      <c r="L1699" s="154" t="str">
        <f t="shared" si="1"/>
        <v/>
      </c>
      <c r="M1699" s="248" t="str">
        <f>IFERROR(__xludf.DUMMYFUNCTION("VLOOKUP(C1699,IMPORTRANGE(""https://docs.google.com/spreadsheets/d/1P8eX0NWBhUPS_hvzA11R6jkTNFrPrRYIx_dX_hYbxrk/edit?resourcekey=0-iw9bsKY2OqkUHCFMkCar3A&amp;gid=2055363397#gid=2055363397"",""MTR!C:O""),11,false)"),"PMW-IMS")</f>
        <v>PMW-IMS</v>
      </c>
      <c r="N1699" s="248" t="str">
        <f>IFERROR(__xludf.DUMMYFUNCTION("VLOOKUP(C1699,IMPORTRANGE(""https://docs.google.com/spreadsheets/d/1ihFlp3_ePlYtFuPbUNbYj1muErVpI73WHXbEwJDIA7Q/edit#gid=1493122344"",""MTR!C:O""),8,false)"),"Complies")</f>
        <v>Complies</v>
      </c>
      <c r="O1699" s="241" t="str">
        <f>IFERROR(__xludf.DUMMYFUNCTION("VLOOKUP(C1699,IMPORTRANGE(""https://docs.google.com/spreadsheets/d/1P8eX0NWBhUPS_hvzA11R6jkTNFrPrRYIx_dX_hYbxrk/edit?resourcekey=0-iw9bsKY2OqkUHCFMkCar3A&amp;gid=2055363397#gid=2055363397"",""MTR!C:O""),9,false)"),"")</f>
        <v/>
      </c>
      <c r="P1699" s="241"/>
      <c r="Q1699" s="251" t="s">
        <v>445</v>
      </c>
      <c r="R1699" s="241"/>
      <c r="S1699" s="154" t="s">
        <v>60</v>
      </c>
      <c r="T1699" s="154" t="s">
        <v>60</v>
      </c>
      <c r="U1699" s="154" t="s">
        <v>60</v>
      </c>
      <c r="V1699" s="154" t="s">
        <v>60</v>
      </c>
      <c r="W1699" s="154" t="s">
        <v>60</v>
      </c>
      <c r="X1699" s="154" t="s">
        <v>60</v>
      </c>
      <c r="Y1699" s="154" t="s">
        <v>64</v>
      </c>
      <c r="Z1699" s="154" t="s">
        <v>64</v>
      </c>
      <c r="AA1699" s="154" t="s">
        <v>64</v>
      </c>
      <c r="AB1699" s="154"/>
      <c r="AC1699" s="242" t="b">
        <f t="shared" si="2"/>
        <v>1</v>
      </c>
      <c r="AD1699" s="154" t="s">
        <v>391</v>
      </c>
      <c r="AE1699" s="243" t="b">
        <f t="shared" si="3"/>
        <v>0</v>
      </c>
      <c r="AF1699" s="154"/>
      <c r="AG1699" s="243" t="b">
        <f t="shared" si="7"/>
        <v>0</v>
      </c>
      <c r="AH1699" s="154"/>
      <c r="AI1699" s="243" t="str">
        <f t="shared" si="5"/>
        <v>N/A</v>
      </c>
      <c r="AJ1699" s="157" t="str">
        <f t="shared" si="6"/>
        <v/>
      </c>
    </row>
    <row r="1700" ht="12.75" customHeight="1">
      <c r="A1700" s="244" t="s">
        <v>4158</v>
      </c>
      <c r="B1700" s="244" t="s">
        <v>4161</v>
      </c>
      <c r="C1700" s="244" t="s">
        <v>4381</v>
      </c>
      <c r="D1700" s="154" t="s">
        <v>602</v>
      </c>
      <c r="E1700" s="250"/>
      <c r="F1700" s="154" t="str">
        <f t="array" ref="F1700">XLOOKUP(Cover!$D$12,$S$1:$AA$1,$S1700:$AA1700)</f>
        <v>Mandatory</v>
      </c>
      <c r="G1700" s="154" t="s">
        <v>4382</v>
      </c>
      <c r="H1700" s="154" t="s">
        <v>4279</v>
      </c>
      <c r="I1700" s="154" t="s">
        <v>632</v>
      </c>
      <c r="J1700" s="247" t="s">
        <v>445</v>
      </c>
      <c r="K1700" s="154"/>
      <c r="L1700" s="154" t="str">
        <f t="shared" si="1"/>
        <v/>
      </c>
      <c r="M1700" s="248" t="str">
        <f>IFERROR(__xludf.DUMMYFUNCTION("VLOOKUP(C1700,IMPORTRANGE(""https://docs.google.com/spreadsheets/d/1P8eX0NWBhUPS_hvzA11R6jkTNFrPrRYIx_dX_hYbxrk/edit?resourcekey=0-iw9bsKY2OqkUHCFMkCar3A&amp;gid=2055363397#gid=2055363397"",""MTR!C:O""),11,false)"),"PMW-IMS")</f>
        <v>PMW-IMS</v>
      </c>
      <c r="N1700" s="248" t="str">
        <f>IFERROR(__xludf.DUMMYFUNCTION("VLOOKUP(C1700,IMPORTRANGE(""https://docs.google.com/spreadsheets/d/1ihFlp3_ePlYtFuPbUNbYj1muErVpI73WHXbEwJDIA7Q/edit#gid=1493122344"",""MTR!C:O""),8,false)"),"Complies")</f>
        <v>Complies</v>
      </c>
      <c r="O1700" s="241" t="str">
        <f>IFERROR(__xludf.DUMMYFUNCTION("VLOOKUP(C1700,IMPORTRANGE(""https://docs.google.com/spreadsheets/d/1P8eX0NWBhUPS_hvzA11R6jkTNFrPrRYIx_dX_hYbxrk/edit?resourcekey=0-iw9bsKY2OqkUHCFMkCar3A&amp;gid=2055363397#gid=2055363397"",""MTR!C:O""),9,false)"),"")</f>
        <v/>
      </c>
      <c r="P1700" s="241"/>
      <c r="Q1700" s="251" t="s">
        <v>445</v>
      </c>
      <c r="R1700" s="241"/>
      <c r="S1700" s="154" t="s">
        <v>60</v>
      </c>
      <c r="T1700" s="154" t="s">
        <v>60</v>
      </c>
      <c r="U1700" s="154" t="s">
        <v>60</v>
      </c>
      <c r="V1700" s="154" t="s">
        <v>60</v>
      </c>
      <c r="W1700" s="154" t="s">
        <v>60</v>
      </c>
      <c r="X1700" s="154" t="s">
        <v>60</v>
      </c>
      <c r="Y1700" s="154" t="s">
        <v>64</v>
      </c>
      <c r="Z1700" s="154" t="s">
        <v>64</v>
      </c>
      <c r="AA1700" s="154" t="s">
        <v>64</v>
      </c>
      <c r="AB1700" s="154"/>
      <c r="AC1700" s="242" t="b">
        <f t="shared" si="2"/>
        <v>1</v>
      </c>
      <c r="AD1700" s="154" t="s">
        <v>391</v>
      </c>
      <c r="AE1700" s="243" t="b">
        <f t="shared" si="3"/>
        <v>0</v>
      </c>
      <c r="AF1700" s="154"/>
      <c r="AG1700" s="243" t="b">
        <f t="shared" si="7"/>
        <v>0</v>
      </c>
      <c r="AH1700" s="154"/>
      <c r="AI1700" s="243" t="str">
        <f t="shared" si="5"/>
        <v>N/A</v>
      </c>
      <c r="AJ1700" s="157" t="str">
        <f t="shared" si="6"/>
        <v/>
      </c>
    </row>
    <row r="1701" ht="12.75" customHeight="1">
      <c r="A1701" s="244" t="s">
        <v>4158</v>
      </c>
      <c r="B1701" s="244" t="s">
        <v>4161</v>
      </c>
      <c r="C1701" s="244" t="s">
        <v>4383</v>
      </c>
      <c r="D1701" s="154" t="s">
        <v>1211</v>
      </c>
      <c r="E1701" s="250"/>
      <c r="F1701" s="154" t="str">
        <f t="array" ref="F1701">XLOOKUP(Cover!$D$12,$S$1:$AA$1,$S1701:$AA1701)</f>
        <v>Mandatory</v>
      </c>
      <c r="G1701" s="154" t="s">
        <v>4384</v>
      </c>
      <c r="H1701" s="154" t="s">
        <v>4279</v>
      </c>
      <c r="I1701" s="154" t="s">
        <v>632</v>
      </c>
      <c r="J1701" s="154" t="s">
        <v>445</v>
      </c>
      <c r="K1701" s="154" t="s">
        <v>4385</v>
      </c>
      <c r="L1701" s="154" t="str">
        <f t="shared" si="1"/>
        <v/>
      </c>
      <c r="M1701" s="248" t="str">
        <f>IFERROR(__xludf.DUMMYFUNCTION("VLOOKUP(C1701,IMPORTRANGE(""https://docs.google.com/spreadsheets/d/1P8eX0NWBhUPS_hvzA11R6jkTNFrPrRYIx_dX_hYbxrk/edit?resourcekey=0-iw9bsKY2OqkUHCFMkCar3A&amp;gid=2055363397#gid=2055363397"",""MTR!C:O""),11,false)"),"PMW-IMS")</f>
        <v>PMW-IMS</v>
      </c>
      <c r="N1701" s="248" t="str">
        <f>IFERROR(__xludf.DUMMYFUNCTION("VLOOKUP(C1701,IMPORTRANGE(""https://docs.google.com/spreadsheets/d/1ihFlp3_ePlYtFuPbUNbYj1muErVpI73WHXbEwJDIA7Q/edit#gid=1493122344"",""MTR!C:O""),8,false)"),"Complies")</f>
        <v>Complies</v>
      </c>
      <c r="O1701" s="248" t="str">
        <f>IFERROR(__xludf.DUMMYFUNCTION("VLOOKUP(C1701,IMPORTRANGE(""https://docs.google.com/spreadsheets/d/1P8eX0NWBhUPS_hvzA11R6jkTNFrPrRYIx_dX_hYbxrk/edit?resourcekey=0-iw9bsKY2OqkUHCFMkCar3A&amp;gid=2055363397#gid=2055363397"",""MTR!C:O""),9,false)"),"Maximum 7 early dialogues supported for now.")</f>
        <v>Maximum 7 early dialogues supported for now.</v>
      </c>
      <c r="P1701" s="248"/>
      <c r="Q1701" s="249" t="s">
        <v>445</v>
      </c>
      <c r="R1701" s="249" t="s">
        <v>4385</v>
      </c>
      <c r="S1701" s="154" t="s">
        <v>60</v>
      </c>
      <c r="T1701" s="154" t="s">
        <v>60</v>
      </c>
      <c r="U1701" s="154" t="s">
        <v>60</v>
      </c>
      <c r="V1701" s="154" t="s">
        <v>60</v>
      </c>
      <c r="W1701" s="154" t="s">
        <v>60</v>
      </c>
      <c r="X1701" s="154" t="s">
        <v>60</v>
      </c>
      <c r="Y1701" s="154" t="s">
        <v>64</v>
      </c>
      <c r="Z1701" s="154" t="s">
        <v>64</v>
      </c>
      <c r="AA1701" s="154" t="s">
        <v>64</v>
      </c>
      <c r="AB1701" s="154"/>
      <c r="AC1701" s="242" t="b">
        <f t="shared" si="2"/>
        <v>1</v>
      </c>
      <c r="AD1701" s="154" t="s">
        <v>445</v>
      </c>
      <c r="AE1701" s="243" t="b">
        <f t="shared" si="3"/>
        <v>0</v>
      </c>
      <c r="AF1701" s="154"/>
      <c r="AG1701" s="243" t="b">
        <f t="shared" si="7"/>
        <v>0</v>
      </c>
      <c r="AH1701" s="154"/>
      <c r="AI1701" s="243" t="str">
        <f t="shared" si="5"/>
        <v>N/A</v>
      </c>
      <c r="AJ1701" s="157" t="str">
        <f t="shared" si="6"/>
        <v/>
      </c>
    </row>
    <row r="1702" ht="12.75" customHeight="1">
      <c r="A1702" s="244" t="s">
        <v>4158</v>
      </c>
      <c r="B1702" s="244" t="s">
        <v>4161</v>
      </c>
      <c r="C1702" s="244" t="s">
        <v>4386</v>
      </c>
      <c r="D1702" s="154" t="s">
        <v>484</v>
      </c>
      <c r="E1702" s="250"/>
      <c r="F1702" s="154" t="str">
        <f t="array" ref="F1702">XLOOKUP(Cover!$D$12,$S$1:$AA$1,$S1702:$AA1702)</f>
        <v>Mandatory</v>
      </c>
      <c r="G1702" s="154" t="s">
        <v>4387</v>
      </c>
      <c r="H1702" s="154" t="s">
        <v>4279</v>
      </c>
      <c r="I1702" s="154" t="s">
        <v>632</v>
      </c>
      <c r="J1702" s="247" t="s">
        <v>445</v>
      </c>
      <c r="K1702" s="247" t="s">
        <v>4388</v>
      </c>
      <c r="L1702" s="154" t="str">
        <f t="shared" si="1"/>
        <v/>
      </c>
      <c r="M1702" s="248" t="str">
        <f>IFERROR(__xludf.DUMMYFUNCTION("VLOOKUP(C1702,IMPORTRANGE(""https://docs.google.com/spreadsheets/d/1P8eX0NWBhUPS_hvzA11R6jkTNFrPrRYIx_dX_hYbxrk/edit?resourcekey=0-iw9bsKY2OqkUHCFMkCar3A&amp;gid=2055363397#gid=2055363397"",""MTR!C:O""),11,false)"),"PMW-IMS")</f>
        <v>PMW-IMS</v>
      </c>
      <c r="N1702" s="248" t="str">
        <f>IFERROR(__xludf.DUMMYFUNCTION("VLOOKUP(C1702,IMPORTRANGE(""https://docs.google.com/spreadsheets/d/1ihFlp3_ePlYtFuPbUNbYj1muErVpI73WHXbEwJDIA7Q/edit#gid=1493122344"",""MTR!C:O""),8,false)"),"Complies")</f>
        <v>Complies</v>
      </c>
      <c r="O1702" s="248" t="str">
        <f>IFERROR(__xludf.DUMMYFUNCTION("VLOOKUP(C1702,IMPORTRANGE(""https://docs.google.com/spreadsheets/d/1P8eX0NWBhUPS_hvzA11R6jkTNFrPrRYIx_dX_hYbxrk/edit?resourcekey=0-iw9bsKY2OqkUHCFMkCar3A&amp;gid=2055363397#gid=2055363397"",""MTR!C:O""),9,false)"),"Timer configured to 130 seconds as recommended")</f>
        <v>Timer configured to 130 seconds as recommended</v>
      </c>
      <c r="P1702" s="248"/>
      <c r="Q1702" s="249" t="s">
        <v>445</v>
      </c>
      <c r="R1702" s="249" t="s">
        <v>4388</v>
      </c>
      <c r="S1702" s="154" t="s">
        <v>60</v>
      </c>
      <c r="T1702" s="154" t="s">
        <v>60</v>
      </c>
      <c r="U1702" s="154" t="s">
        <v>60</v>
      </c>
      <c r="V1702" s="154" t="s">
        <v>60</v>
      </c>
      <c r="W1702" s="154" t="s">
        <v>60</v>
      </c>
      <c r="X1702" s="154" t="s">
        <v>60</v>
      </c>
      <c r="Y1702" s="154" t="s">
        <v>64</v>
      </c>
      <c r="Z1702" s="154" t="s">
        <v>64</v>
      </c>
      <c r="AA1702" s="154" t="s">
        <v>64</v>
      </c>
      <c r="AB1702" s="154"/>
      <c r="AC1702" s="242" t="b">
        <f t="shared" si="2"/>
        <v>1</v>
      </c>
      <c r="AD1702" s="154" t="s">
        <v>445</v>
      </c>
      <c r="AE1702" s="243" t="b">
        <f t="shared" si="3"/>
        <v>0</v>
      </c>
      <c r="AF1702" s="154"/>
      <c r="AG1702" s="243" t="b">
        <f t="shared" si="7"/>
        <v>0</v>
      </c>
      <c r="AH1702" s="154"/>
      <c r="AI1702" s="243" t="str">
        <f t="shared" si="5"/>
        <v>N/A</v>
      </c>
      <c r="AJ1702" s="157" t="str">
        <f t="shared" si="6"/>
        <v/>
      </c>
    </row>
    <row r="1703" ht="12.75" customHeight="1">
      <c r="A1703" s="244" t="s">
        <v>4158</v>
      </c>
      <c r="B1703" s="244" t="s">
        <v>4161</v>
      </c>
      <c r="C1703" s="245" t="s">
        <v>4389</v>
      </c>
      <c r="D1703" s="155" t="s">
        <v>1282</v>
      </c>
      <c r="E1703" s="246" t="s">
        <v>92</v>
      </c>
      <c r="F1703" s="154" t="str">
        <f t="array" ref="F1703">XLOOKUP(Cover!$D$12,$S$1:$AA$1,$S1703:$AA1703)</f>
        <v>Mandatory</v>
      </c>
      <c r="G1703" s="247" t="s">
        <v>4390</v>
      </c>
      <c r="H1703" s="154" t="s">
        <v>4279</v>
      </c>
      <c r="I1703" s="154" t="s">
        <v>632</v>
      </c>
      <c r="J1703" s="247" t="s">
        <v>445</v>
      </c>
      <c r="K1703" s="247"/>
      <c r="L1703" s="154" t="str">
        <f t="shared" si="1"/>
        <v/>
      </c>
      <c r="M1703" s="248" t="str">
        <f>IFERROR(__xludf.DUMMYFUNCTION("VLOOKUP(C1703,IMPORTRANGE(""https://docs.google.com/spreadsheets/d/1P8eX0NWBhUPS_hvzA11R6jkTNFrPrRYIx_dX_hYbxrk/edit?resourcekey=0-iw9bsKY2OqkUHCFMkCar3A&amp;gid=2055363397#gid=2055363397"",""MTR!C:O""),11,false)"),"PMW-IMS")</f>
        <v>PMW-IMS</v>
      </c>
      <c r="N1703" s="248" t="str">
        <f>IFERROR(__xludf.DUMMYFUNCTION("VLOOKUP(C1703,IMPORTRANGE(""https://docs.google.com/spreadsheets/d/1ihFlp3_ePlYtFuPbUNbYj1muErVpI73WHXbEwJDIA7Q/edit#gid=1493122344"",""MTR!C:O""),8,false)"),"Complies")</f>
        <v>Complies</v>
      </c>
      <c r="O1703" s="241" t="str">
        <f>IFERROR(__xludf.DUMMYFUNCTION("VLOOKUP(C1703,IMPORTRANGE(""https://docs.google.com/spreadsheets/d/1P8eX0NWBhUPS_hvzA11R6jkTNFrPrRYIx_dX_hYbxrk/edit?resourcekey=0-iw9bsKY2OqkUHCFMkCar3A&amp;gid=2055363397#gid=2055363397"",""MTR!C:O""),9,false)"),"")</f>
        <v/>
      </c>
      <c r="P1703" s="241"/>
      <c r="Q1703" s="251" t="s">
        <v>445</v>
      </c>
      <c r="R1703" s="251"/>
      <c r="S1703" s="154" t="s">
        <v>60</v>
      </c>
      <c r="T1703" s="154" t="s">
        <v>60</v>
      </c>
      <c r="U1703" s="154" t="s">
        <v>60</v>
      </c>
      <c r="V1703" s="154" t="s">
        <v>60</v>
      </c>
      <c r="W1703" s="154" t="s">
        <v>60</v>
      </c>
      <c r="X1703" s="154" t="s">
        <v>60</v>
      </c>
      <c r="Y1703" s="154" t="s">
        <v>64</v>
      </c>
      <c r="Z1703" s="154" t="s">
        <v>64</v>
      </c>
      <c r="AA1703" s="154" t="s">
        <v>64</v>
      </c>
      <c r="AB1703" s="154"/>
      <c r="AC1703" s="242" t="b">
        <f t="shared" si="2"/>
        <v>1</v>
      </c>
      <c r="AD1703" s="154" t="s">
        <v>391</v>
      </c>
      <c r="AE1703" s="243" t="b">
        <f t="shared" si="3"/>
        <v>0</v>
      </c>
      <c r="AF1703" s="154"/>
      <c r="AG1703" s="243" t="b">
        <f t="shared" si="7"/>
        <v>0</v>
      </c>
      <c r="AH1703" s="154"/>
      <c r="AI1703" s="243" t="str">
        <f t="shared" si="5"/>
        <v>N/A</v>
      </c>
      <c r="AJ1703" s="157" t="str">
        <f t="shared" si="6"/>
        <v/>
      </c>
    </row>
    <row r="1704" ht="12.75" customHeight="1">
      <c r="A1704" s="244" t="s">
        <v>4158</v>
      </c>
      <c r="B1704" s="244" t="s">
        <v>4161</v>
      </c>
      <c r="C1704" s="255" t="s">
        <v>4391</v>
      </c>
      <c r="D1704" s="256" t="s">
        <v>42</v>
      </c>
      <c r="E1704" s="257" t="s">
        <v>489</v>
      </c>
      <c r="F1704" s="154" t="str">
        <f t="array" ref="F1704">XLOOKUP(Cover!$D$12,$S$1:$AA$1,$S1704:$AA1704)</f>
        <v>Mandatory</v>
      </c>
      <c r="G1704" s="154" t="s">
        <v>4392</v>
      </c>
      <c r="H1704" s="154" t="s">
        <v>4279</v>
      </c>
      <c r="I1704" s="154" t="s">
        <v>632</v>
      </c>
      <c r="J1704" s="247" t="s">
        <v>445</v>
      </c>
      <c r="K1704" s="154"/>
      <c r="L1704" s="154" t="str">
        <f t="shared" si="1"/>
        <v/>
      </c>
      <c r="M1704" s="253" t="str">
        <f>IFERROR(__xludf.DUMMYFUNCTION("VLOOKUP(C1704,IMPORTRANGE(""https://docs.google.com/spreadsheets/d/1P8eX0NWBhUPS_hvzA11R6jkTNFrPrRYIx_dX_hYbxrk/edit?resourcekey=0-iw9bsKY2OqkUHCFMkCar3A&amp;gid=2055363397#gid=2055363397"",""MTR!C:O""),11,false)"),"#N/A")</f>
        <v>#N/A</v>
      </c>
      <c r="N1704" s="253" t="str">
        <f>IFERROR(__xludf.DUMMYFUNCTION("VLOOKUP(C1704,IMPORTRANGE(""https://docs.google.com/spreadsheets/d/1ihFlp3_ePlYtFuPbUNbYj1muErVpI73WHXbEwJDIA7Q/edit#gid=1493122344"",""MTR!C:O""),8,false)"),"#N/A")</f>
        <v>#N/A</v>
      </c>
      <c r="O1704" s="253" t="str">
        <f>IFERROR(__xludf.DUMMYFUNCTION("VLOOKUP(C1704,IMPORTRANGE(""https://docs.google.com/spreadsheets/d/1P8eX0NWBhUPS_hvzA11R6jkTNFrPrRYIx_dX_hYbxrk/edit?resourcekey=0-iw9bsKY2OqkUHCFMkCar3A&amp;gid=2055363397#gid=2055363397"",""MTR!C:O""),9,false)"),"#N/A")</f>
        <v>#N/A</v>
      </c>
      <c r="P1704" s="253"/>
      <c r="Q1704" s="259"/>
      <c r="R1704" s="253"/>
      <c r="S1704" s="154" t="s">
        <v>60</v>
      </c>
      <c r="T1704" s="154" t="s">
        <v>60</v>
      </c>
      <c r="U1704" s="154" t="s">
        <v>60</v>
      </c>
      <c r="V1704" s="154" t="s">
        <v>60</v>
      </c>
      <c r="W1704" s="154" t="s">
        <v>60</v>
      </c>
      <c r="X1704" s="154" t="s">
        <v>60</v>
      </c>
      <c r="Y1704" s="154" t="s">
        <v>64</v>
      </c>
      <c r="Z1704" s="154" t="s">
        <v>64</v>
      </c>
      <c r="AA1704" s="154" t="s">
        <v>64</v>
      </c>
      <c r="AB1704" s="154"/>
      <c r="AC1704" s="242" t="b">
        <f t="shared" si="2"/>
        <v>1</v>
      </c>
      <c r="AD1704" s="154" t="s">
        <v>391</v>
      </c>
      <c r="AE1704" s="243" t="b">
        <f t="shared" si="3"/>
        <v>0</v>
      </c>
      <c r="AF1704" s="154"/>
      <c r="AG1704" s="243" t="b">
        <f t="shared" si="7"/>
        <v>0</v>
      </c>
      <c r="AH1704" s="154"/>
      <c r="AI1704" s="243" t="str">
        <f t="shared" si="5"/>
        <v>N/A</v>
      </c>
      <c r="AJ1704" s="157" t="str">
        <f t="shared" si="6"/>
        <v/>
      </c>
    </row>
    <row r="1705" ht="12.75" customHeight="1">
      <c r="A1705" s="244" t="s">
        <v>4158</v>
      </c>
      <c r="B1705" s="244" t="s">
        <v>4161</v>
      </c>
      <c r="C1705" s="255" t="s">
        <v>4393</v>
      </c>
      <c r="D1705" s="256" t="s">
        <v>42</v>
      </c>
      <c r="E1705" s="257" t="s">
        <v>489</v>
      </c>
      <c r="F1705" s="154" t="str">
        <f t="array" ref="F1705">XLOOKUP(Cover!$D$12,$S$1:$AA$1,$S1705:$AA1705)</f>
        <v>Mandatory</v>
      </c>
      <c r="G1705" s="154" t="s">
        <v>4394</v>
      </c>
      <c r="H1705" s="154" t="s">
        <v>4279</v>
      </c>
      <c r="I1705" s="154" t="s">
        <v>632</v>
      </c>
      <c r="J1705" s="154"/>
      <c r="K1705" s="154"/>
      <c r="L1705" s="154" t="str">
        <f t="shared" si="1"/>
        <v>Compliance Statement missing!</v>
      </c>
      <c r="M1705" s="253" t="str">
        <f>IFERROR(__xludf.DUMMYFUNCTION("VLOOKUP(C1705,IMPORTRANGE(""https://docs.google.com/spreadsheets/d/1P8eX0NWBhUPS_hvzA11R6jkTNFrPrRYIx_dX_hYbxrk/edit?resourcekey=0-iw9bsKY2OqkUHCFMkCar3A&amp;gid=2055363397#gid=2055363397"",""MTR!C:O""),11,false)"),"#N/A")</f>
        <v>#N/A</v>
      </c>
      <c r="N1705" s="253" t="str">
        <f>IFERROR(__xludf.DUMMYFUNCTION("VLOOKUP(C1705,IMPORTRANGE(""https://docs.google.com/spreadsheets/d/1ihFlp3_ePlYtFuPbUNbYj1muErVpI73WHXbEwJDIA7Q/edit#gid=1493122344"",""MTR!C:O""),8,false)"),"#N/A")</f>
        <v>#N/A</v>
      </c>
      <c r="O1705" s="253" t="str">
        <f>IFERROR(__xludf.DUMMYFUNCTION("VLOOKUP(C1705,IMPORTRANGE(""https://docs.google.com/spreadsheets/d/1P8eX0NWBhUPS_hvzA11R6jkTNFrPrRYIx_dX_hYbxrk/edit?resourcekey=0-iw9bsKY2OqkUHCFMkCar3A&amp;gid=2055363397#gid=2055363397"",""MTR!C:O""),9,false)"),"#N/A")</f>
        <v>#N/A</v>
      </c>
      <c r="P1705" s="253"/>
      <c r="Q1705" s="253"/>
      <c r="R1705" s="253"/>
      <c r="S1705" s="154" t="s">
        <v>60</v>
      </c>
      <c r="T1705" s="154" t="s">
        <v>60</v>
      </c>
      <c r="U1705" s="154" t="s">
        <v>60</v>
      </c>
      <c r="V1705" s="154" t="s">
        <v>60</v>
      </c>
      <c r="W1705" s="154" t="s">
        <v>60</v>
      </c>
      <c r="X1705" s="154" t="s">
        <v>60</v>
      </c>
      <c r="Y1705" s="154" t="s">
        <v>64</v>
      </c>
      <c r="Z1705" s="154" t="s">
        <v>64</v>
      </c>
      <c r="AA1705" s="154" t="s">
        <v>64</v>
      </c>
      <c r="AB1705" s="154"/>
      <c r="AC1705" s="242" t="b">
        <f t="shared" si="2"/>
        <v>0</v>
      </c>
      <c r="AD1705" s="154" t="s">
        <v>391</v>
      </c>
      <c r="AE1705" s="243" t="b">
        <f t="shared" si="3"/>
        <v>0</v>
      </c>
      <c r="AF1705" s="154"/>
      <c r="AG1705" s="243" t="b">
        <f t="shared" si="7"/>
        <v>0</v>
      </c>
      <c r="AH1705" s="154"/>
      <c r="AI1705" s="243" t="str">
        <f t="shared" si="5"/>
        <v>N/A</v>
      </c>
      <c r="AJ1705" s="157" t="str">
        <f t="shared" si="6"/>
        <v>Compliance Statement missing!</v>
      </c>
    </row>
    <row r="1706" ht="12.75" customHeight="1">
      <c r="A1706" s="244" t="s">
        <v>4158</v>
      </c>
      <c r="B1706" s="244" t="s">
        <v>4161</v>
      </c>
      <c r="C1706" s="244" t="s">
        <v>4395</v>
      </c>
      <c r="D1706" s="154" t="s">
        <v>1211</v>
      </c>
      <c r="E1706" s="250"/>
      <c r="F1706" s="154" t="str">
        <f t="array" ref="F1706">XLOOKUP(Cover!$D$12,$S$1:$AA$1,$S1706:$AA1706)</f>
        <v>Mandatory</v>
      </c>
      <c r="G1706" s="154" t="s">
        <v>4396</v>
      </c>
      <c r="H1706" s="154" t="s">
        <v>4279</v>
      </c>
      <c r="I1706" s="154" t="s">
        <v>632</v>
      </c>
      <c r="J1706" s="154" t="s">
        <v>445</v>
      </c>
      <c r="K1706" s="154"/>
      <c r="L1706" s="154" t="str">
        <f t="shared" si="1"/>
        <v/>
      </c>
      <c r="M1706" s="248" t="str">
        <f>IFERROR(__xludf.DUMMYFUNCTION("VLOOKUP(C1706,IMPORTRANGE(""https://docs.google.com/spreadsheets/d/1P8eX0NWBhUPS_hvzA11R6jkTNFrPrRYIx_dX_hYbxrk/edit?resourcekey=0-iw9bsKY2OqkUHCFMkCar3A&amp;gid=2055363397#gid=2055363397"",""MTR!C:O""),11,false)"),"PMW-IMS")</f>
        <v>PMW-IMS</v>
      </c>
      <c r="N1706" s="248" t="str">
        <f>IFERROR(__xludf.DUMMYFUNCTION("VLOOKUP(C1706,IMPORTRANGE(""https://docs.google.com/spreadsheets/d/1ihFlp3_ePlYtFuPbUNbYj1muErVpI73WHXbEwJDIA7Q/edit#gid=1493122344"",""MTR!C:O""),8,false)"),"Complies")</f>
        <v>Complies</v>
      </c>
      <c r="O1706" s="241" t="str">
        <f>IFERROR(__xludf.DUMMYFUNCTION("VLOOKUP(C1706,IMPORTRANGE(""https://docs.google.com/spreadsheets/d/1P8eX0NWBhUPS_hvzA11R6jkTNFrPrRYIx_dX_hYbxrk/edit?resourcekey=0-iw9bsKY2OqkUHCFMkCar3A&amp;gid=2055363397#gid=2055363397"",""MTR!C:O""),9,false)"),"")</f>
        <v/>
      </c>
      <c r="P1706" s="241"/>
      <c r="Q1706" s="251" t="s">
        <v>445</v>
      </c>
      <c r="R1706" s="241"/>
      <c r="S1706" s="154" t="s">
        <v>60</v>
      </c>
      <c r="T1706" s="154" t="s">
        <v>60</v>
      </c>
      <c r="U1706" s="154" t="s">
        <v>60</v>
      </c>
      <c r="V1706" s="154" t="s">
        <v>60</v>
      </c>
      <c r="W1706" s="154" t="s">
        <v>60</v>
      </c>
      <c r="X1706" s="154" t="s">
        <v>60</v>
      </c>
      <c r="Y1706" s="154" t="s">
        <v>64</v>
      </c>
      <c r="Z1706" s="154" t="s">
        <v>64</v>
      </c>
      <c r="AA1706" s="154" t="s">
        <v>64</v>
      </c>
      <c r="AB1706" s="154"/>
      <c r="AC1706" s="242" t="b">
        <f t="shared" si="2"/>
        <v>1</v>
      </c>
      <c r="AD1706" s="154" t="s">
        <v>391</v>
      </c>
      <c r="AE1706" s="243" t="b">
        <f t="shared" si="3"/>
        <v>0</v>
      </c>
      <c r="AF1706" s="154"/>
      <c r="AG1706" s="243" t="b">
        <f t="shared" si="7"/>
        <v>0</v>
      </c>
      <c r="AH1706" s="154"/>
      <c r="AI1706" s="243" t="str">
        <f t="shared" si="5"/>
        <v>N/A</v>
      </c>
      <c r="AJ1706" s="157" t="str">
        <f t="shared" si="6"/>
        <v/>
      </c>
    </row>
    <row r="1707" ht="12.75" customHeight="1">
      <c r="A1707" s="244" t="s">
        <v>4158</v>
      </c>
      <c r="B1707" s="244" t="s">
        <v>4161</v>
      </c>
      <c r="C1707" s="244" t="s">
        <v>4397</v>
      </c>
      <c r="D1707" s="154" t="s">
        <v>1211</v>
      </c>
      <c r="E1707" s="250"/>
      <c r="F1707" s="154" t="str">
        <f t="array" ref="F1707">XLOOKUP(Cover!$D$12,$S$1:$AA$1,$S1707:$AA1707)</f>
        <v>Mandatory</v>
      </c>
      <c r="G1707" s="154" t="s">
        <v>4398</v>
      </c>
      <c r="H1707" s="154" t="s">
        <v>4279</v>
      </c>
      <c r="I1707" s="154" t="s">
        <v>632</v>
      </c>
      <c r="J1707" s="247" t="s">
        <v>445</v>
      </c>
      <c r="K1707" s="154"/>
      <c r="L1707" s="154" t="str">
        <f t="shared" si="1"/>
        <v/>
      </c>
      <c r="M1707" s="248" t="str">
        <f>IFERROR(__xludf.DUMMYFUNCTION("VLOOKUP(C1707,IMPORTRANGE(""https://docs.google.com/spreadsheets/d/1P8eX0NWBhUPS_hvzA11R6jkTNFrPrRYIx_dX_hYbxrk/edit?resourcekey=0-iw9bsKY2OqkUHCFMkCar3A&amp;gid=2055363397#gid=2055363397"",""MTR!C:O""),11,false)"),"PMW-IMS")</f>
        <v>PMW-IMS</v>
      </c>
      <c r="N1707" s="248" t="str">
        <f>IFERROR(__xludf.DUMMYFUNCTION("VLOOKUP(C1707,IMPORTRANGE(""https://docs.google.com/spreadsheets/d/1ihFlp3_ePlYtFuPbUNbYj1muErVpI73WHXbEwJDIA7Q/edit#gid=1493122344"",""MTR!C:O""),8,false)"),"Complies")</f>
        <v>Complies</v>
      </c>
      <c r="O1707" s="241" t="str">
        <f>IFERROR(__xludf.DUMMYFUNCTION("VLOOKUP(C1707,IMPORTRANGE(""https://docs.google.com/spreadsheets/d/1P8eX0NWBhUPS_hvzA11R6jkTNFrPrRYIx_dX_hYbxrk/edit?resourcekey=0-iw9bsKY2OqkUHCFMkCar3A&amp;gid=2055363397#gid=2055363397"",""MTR!C:O""),9,false)"),"")</f>
        <v/>
      </c>
      <c r="P1707" s="241"/>
      <c r="Q1707" s="251" t="s">
        <v>445</v>
      </c>
      <c r="R1707" s="241"/>
      <c r="S1707" s="154" t="s">
        <v>60</v>
      </c>
      <c r="T1707" s="154" t="s">
        <v>60</v>
      </c>
      <c r="U1707" s="154" t="s">
        <v>60</v>
      </c>
      <c r="V1707" s="154" t="s">
        <v>60</v>
      </c>
      <c r="W1707" s="154" t="s">
        <v>60</v>
      </c>
      <c r="X1707" s="154" t="s">
        <v>60</v>
      </c>
      <c r="Y1707" s="154" t="s">
        <v>64</v>
      </c>
      <c r="Z1707" s="154" t="s">
        <v>64</v>
      </c>
      <c r="AA1707" s="154" t="s">
        <v>64</v>
      </c>
      <c r="AB1707" s="154"/>
      <c r="AC1707" s="242" t="b">
        <f t="shared" si="2"/>
        <v>1</v>
      </c>
      <c r="AD1707" s="154" t="s">
        <v>391</v>
      </c>
      <c r="AE1707" s="243" t="b">
        <f t="shared" si="3"/>
        <v>0</v>
      </c>
      <c r="AF1707" s="154"/>
      <c r="AG1707" s="243" t="b">
        <f t="shared" si="7"/>
        <v>0</v>
      </c>
      <c r="AH1707" s="154"/>
      <c r="AI1707" s="243" t="str">
        <f t="shared" si="5"/>
        <v>N/A</v>
      </c>
      <c r="AJ1707" s="157" t="str">
        <f t="shared" si="6"/>
        <v/>
      </c>
    </row>
    <row r="1708" ht="12.75" customHeight="1">
      <c r="A1708" s="244" t="s">
        <v>4158</v>
      </c>
      <c r="B1708" s="244" t="s">
        <v>4161</v>
      </c>
      <c r="C1708" s="244" t="s">
        <v>4399</v>
      </c>
      <c r="D1708" s="154" t="s">
        <v>747</v>
      </c>
      <c r="E1708" s="250"/>
      <c r="F1708" s="154" t="str">
        <f t="array" ref="F1708">XLOOKUP(Cover!$D$12,$S$1:$AA$1,$S1708:$AA1708)</f>
        <v>Mandatory</v>
      </c>
      <c r="G1708" s="154" t="s">
        <v>4400</v>
      </c>
      <c r="H1708" s="154" t="s">
        <v>4279</v>
      </c>
      <c r="I1708" s="154" t="s">
        <v>632</v>
      </c>
      <c r="J1708" s="247" t="s">
        <v>445</v>
      </c>
      <c r="K1708" s="154"/>
      <c r="L1708" s="154" t="str">
        <f t="shared" si="1"/>
        <v/>
      </c>
      <c r="M1708" s="248" t="str">
        <f>IFERROR(__xludf.DUMMYFUNCTION("VLOOKUP(C1708,IMPORTRANGE(""https://docs.google.com/spreadsheets/d/1P8eX0NWBhUPS_hvzA11R6jkTNFrPrRYIx_dX_hYbxrk/edit?resourcekey=0-iw9bsKY2OqkUHCFMkCar3A&amp;gid=2055363397#gid=2055363397"",""MTR!C:O""),11,false)"),"PMW-IMS")</f>
        <v>PMW-IMS</v>
      </c>
      <c r="N1708" s="248" t="str">
        <f>IFERROR(__xludf.DUMMYFUNCTION("VLOOKUP(C1708,IMPORTRANGE(""https://docs.google.com/spreadsheets/d/1ihFlp3_ePlYtFuPbUNbYj1muErVpI73WHXbEwJDIA7Q/edit#gid=1493122344"",""MTR!C:O""),8,false)"),"Complies")</f>
        <v>Complies</v>
      </c>
      <c r="O1708" s="241" t="str">
        <f>IFERROR(__xludf.DUMMYFUNCTION("VLOOKUP(C1708,IMPORTRANGE(""https://docs.google.com/spreadsheets/d/1P8eX0NWBhUPS_hvzA11R6jkTNFrPrRYIx_dX_hYbxrk/edit?resourcekey=0-iw9bsKY2OqkUHCFMkCar3A&amp;gid=2055363397#gid=2055363397"",""MTR!C:O""),9,false)"),"")</f>
        <v/>
      </c>
      <c r="P1708" s="241"/>
      <c r="Q1708" s="251" t="s">
        <v>445</v>
      </c>
      <c r="R1708" s="241"/>
      <c r="S1708" s="154" t="s">
        <v>60</v>
      </c>
      <c r="T1708" s="154" t="s">
        <v>60</v>
      </c>
      <c r="U1708" s="154" t="s">
        <v>60</v>
      </c>
      <c r="V1708" s="154" t="s">
        <v>60</v>
      </c>
      <c r="W1708" s="154" t="s">
        <v>60</v>
      </c>
      <c r="X1708" s="154" t="s">
        <v>60</v>
      </c>
      <c r="Y1708" s="154" t="s">
        <v>64</v>
      </c>
      <c r="Z1708" s="154" t="s">
        <v>64</v>
      </c>
      <c r="AA1708" s="154" t="s">
        <v>64</v>
      </c>
      <c r="AB1708" s="154"/>
      <c r="AC1708" s="242" t="b">
        <f t="shared" si="2"/>
        <v>1</v>
      </c>
      <c r="AD1708" s="154" t="s">
        <v>391</v>
      </c>
      <c r="AE1708" s="243" t="b">
        <f t="shared" si="3"/>
        <v>0</v>
      </c>
      <c r="AF1708" s="154"/>
      <c r="AG1708" s="243" t="b">
        <f t="shared" si="7"/>
        <v>0</v>
      </c>
      <c r="AH1708" s="154"/>
      <c r="AI1708" s="243" t="str">
        <f t="shared" si="5"/>
        <v>N/A</v>
      </c>
      <c r="AJ1708" s="157" t="str">
        <f t="shared" si="6"/>
        <v/>
      </c>
    </row>
    <row r="1709" ht="12.75" customHeight="1">
      <c r="A1709" s="244" t="s">
        <v>4158</v>
      </c>
      <c r="B1709" s="244" t="s">
        <v>4161</v>
      </c>
      <c r="C1709" s="244" t="s">
        <v>4401</v>
      </c>
      <c r="D1709" s="154" t="s">
        <v>1211</v>
      </c>
      <c r="E1709" s="250"/>
      <c r="F1709" s="154" t="str">
        <f t="array" ref="F1709">XLOOKUP(Cover!$D$12,$S$1:$AA$1,$S1709:$AA1709)</f>
        <v>Mandatory</v>
      </c>
      <c r="G1709" s="154" t="s">
        <v>4402</v>
      </c>
      <c r="H1709" s="154" t="s">
        <v>4279</v>
      </c>
      <c r="I1709" s="154" t="s">
        <v>632</v>
      </c>
      <c r="J1709" s="247" t="s">
        <v>445</v>
      </c>
      <c r="K1709" s="154"/>
      <c r="L1709" s="154" t="str">
        <f t="shared" si="1"/>
        <v/>
      </c>
      <c r="M1709" s="248" t="str">
        <f>IFERROR(__xludf.DUMMYFUNCTION("VLOOKUP(C1709,IMPORTRANGE(""https://docs.google.com/spreadsheets/d/1P8eX0NWBhUPS_hvzA11R6jkTNFrPrRYIx_dX_hYbxrk/edit?resourcekey=0-iw9bsKY2OqkUHCFMkCar3A&amp;gid=2055363397#gid=2055363397"",""MTR!C:O""),11,false)"),"PMW-IMS")</f>
        <v>PMW-IMS</v>
      </c>
      <c r="N1709" s="248" t="str">
        <f>IFERROR(__xludf.DUMMYFUNCTION("VLOOKUP(C1709,IMPORTRANGE(""https://docs.google.com/spreadsheets/d/1ihFlp3_ePlYtFuPbUNbYj1muErVpI73WHXbEwJDIA7Q/edit#gid=1493122344"",""MTR!C:O""),8,false)"),"Complies")</f>
        <v>Complies</v>
      </c>
      <c r="O1709" s="241" t="str">
        <f>IFERROR(__xludf.DUMMYFUNCTION("VLOOKUP(C1709,IMPORTRANGE(""https://docs.google.com/spreadsheets/d/1P8eX0NWBhUPS_hvzA11R6jkTNFrPrRYIx_dX_hYbxrk/edit?resourcekey=0-iw9bsKY2OqkUHCFMkCar3A&amp;gid=2055363397#gid=2055363397"",""MTR!C:O""),9,false)"),"")</f>
        <v/>
      </c>
      <c r="P1709" s="241"/>
      <c r="Q1709" s="251" t="s">
        <v>445</v>
      </c>
      <c r="R1709" s="241"/>
      <c r="S1709" s="154" t="s">
        <v>60</v>
      </c>
      <c r="T1709" s="154" t="s">
        <v>60</v>
      </c>
      <c r="U1709" s="154" t="s">
        <v>60</v>
      </c>
      <c r="V1709" s="154" t="s">
        <v>60</v>
      </c>
      <c r="W1709" s="154" t="s">
        <v>60</v>
      </c>
      <c r="X1709" s="154" t="s">
        <v>60</v>
      </c>
      <c r="Y1709" s="154" t="s">
        <v>64</v>
      </c>
      <c r="Z1709" s="154" t="s">
        <v>64</v>
      </c>
      <c r="AA1709" s="154" t="s">
        <v>64</v>
      </c>
      <c r="AB1709" s="154"/>
      <c r="AC1709" s="242" t="b">
        <f t="shared" si="2"/>
        <v>1</v>
      </c>
      <c r="AD1709" s="154" t="s">
        <v>391</v>
      </c>
      <c r="AE1709" s="243" t="b">
        <f t="shared" si="3"/>
        <v>0</v>
      </c>
      <c r="AF1709" s="154"/>
      <c r="AG1709" s="243" t="b">
        <f t="shared" si="7"/>
        <v>0</v>
      </c>
      <c r="AH1709" s="154"/>
      <c r="AI1709" s="243" t="str">
        <f t="shared" si="5"/>
        <v>N/A</v>
      </c>
      <c r="AJ1709" s="157" t="str">
        <f t="shared" si="6"/>
        <v/>
      </c>
    </row>
    <row r="1710" ht="12.75" customHeight="1">
      <c r="A1710" s="244" t="s">
        <v>4158</v>
      </c>
      <c r="B1710" s="244" t="s">
        <v>4161</v>
      </c>
      <c r="C1710" s="244" t="s">
        <v>4403</v>
      </c>
      <c r="D1710" s="154" t="s">
        <v>484</v>
      </c>
      <c r="E1710" s="250"/>
      <c r="F1710" s="154" t="str">
        <f t="array" ref="F1710">XLOOKUP(Cover!$D$12,$S$1:$AA$1,$S1710:$AA1710)</f>
        <v>Recommended</v>
      </c>
      <c r="G1710" s="154" t="s">
        <v>4404</v>
      </c>
      <c r="H1710" s="154"/>
      <c r="I1710" s="154" t="s">
        <v>632</v>
      </c>
      <c r="J1710" s="247" t="s">
        <v>445</v>
      </c>
      <c r="K1710" s="247" t="s">
        <v>4405</v>
      </c>
      <c r="L1710" s="154" t="str">
        <f t="shared" si="1"/>
        <v/>
      </c>
      <c r="M1710" s="248" t="str">
        <f>IFERROR(__xludf.DUMMYFUNCTION("VLOOKUP(C1710,IMPORTRANGE(""https://docs.google.com/spreadsheets/d/1P8eX0NWBhUPS_hvzA11R6jkTNFrPrRYIx_dX_hYbxrk/edit?resourcekey=0-iw9bsKY2OqkUHCFMkCar3A&amp;gid=2055363397#gid=2055363397"",""MTR!C:O""),11,false)"),"PMW-IMS")</f>
        <v>PMW-IMS</v>
      </c>
      <c r="N1710" s="248" t="str">
        <f>IFERROR(__xludf.DUMMYFUNCTION("VLOOKUP(C1710,IMPORTRANGE(""https://docs.google.com/spreadsheets/d/1ihFlp3_ePlYtFuPbUNbYj1muErVpI73WHXbEwJDIA7Q/edit#gid=1493122344"",""MTR!C:O""),8,false)"),"Complies")</f>
        <v>Complies</v>
      </c>
      <c r="O1710" s="248" t="str">
        <f>IFERROR(__xludf.DUMMYFUNCTION("VLOOKUP(C1710,IMPORTRANGE(""https://docs.google.com/spreadsheets/d/1P8eX0NWBhUPS_hvzA11R6jkTNFrPrRYIx_dX_hYbxrk/edit?resourcekey=0-iw9bsKY2OqkUHCFMkCar3A&amp;gid=2055363397#gid=2055363397"",""MTR!C:O""),9,false)"),"UE plays busy tone")</f>
        <v>UE plays busy tone</v>
      </c>
      <c r="P1710" s="248"/>
      <c r="Q1710" s="249" t="s">
        <v>445</v>
      </c>
      <c r="R1710" s="249" t="s">
        <v>4405</v>
      </c>
      <c r="S1710" s="154" t="s">
        <v>64</v>
      </c>
      <c r="T1710" s="154" t="s">
        <v>64</v>
      </c>
      <c r="U1710" s="154" t="s">
        <v>64</v>
      </c>
      <c r="V1710" s="154" t="s">
        <v>64</v>
      </c>
      <c r="W1710" s="154" t="s">
        <v>64</v>
      </c>
      <c r="X1710" s="154" t="s">
        <v>64</v>
      </c>
      <c r="Y1710" s="154" t="s">
        <v>64</v>
      </c>
      <c r="Z1710" s="154" t="s">
        <v>64</v>
      </c>
      <c r="AA1710" s="154" t="s">
        <v>64</v>
      </c>
      <c r="AB1710" s="154"/>
      <c r="AC1710" s="242" t="b">
        <f t="shared" si="2"/>
        <v>1</v>
      </c>
      <c r="AD1710" s="154" t="s">
        <v>391</v>
      </c>
      <c r="AE1710" s="243" t="b">
        <f t="shared" si="3"/>
        <v>0</v>
      </c>
      <c r="AF1710" s="154"/>
      <c r="AG1710" s="243" t="b">
        <f t="shared" si="7"/>
        <v>0</v>
      </c>
      <c r="AH1710" s="154"/>
      <c r="AI1710" s="243" t="str">
        <f t="shared" si="5"/>
        <v>N/A</v>
      </c>
      <c r="AJ1710" s="157" t="str">
        <f t="shared" si="6"/>
        <v/>
      </c>
    </row>
    <row r="1711" ht="12.75" customHeight="1">
      <c r="A1711" s="244" t="s">
        <v>4158</v>
      </c>
      <c r="B1711" s="244" t="s">
        <v>4161</v>
      </c>
      <c r="C1711" s="244" t="s">
        <v>4406</v>
      </c>
      <c r="D1711" s="154" t="s">
        <v>1282</v>
      </c>
      <c r="E1711" s="250"/>
      <c r="F1711" s="154" t="str">
        <f t="array" ref="F1711">XLOOKUP(Cover!$D$12,$S$1:$AA$1,$S1711:$AA1711)</f>
        <v>Mandatory</v>
      </c>
      <c r="G1711" s="154" t="s">
        <v>4407</v>
      </c>
      <c r="H1711" s="154" t="s">
        <v>2307</v>
      </c>
      <c r="I1711" s="154" t="s">
        <v>632</v>
      </c>
      <c r="J1711" s="247" t="s">
        <v>445</v>
      </c>
      <c r="K1711" s="247"/>
      <c r="L1711" s="154" t="str">
        <f t="shared" si="1"/>
        <v/>
      </c>
      <c r="M1711" s="248" t="str">
        <f>IFERROR(__xludf.DUMMYFUNCTION("VLOOKUP(C1711,IMPORTRANGE(""https://docs.google.com/spreadsheets/d/1P8eX0NWBhUPS_hvzA11R6jkTNFrPrRYIx_dX_hYbxrk/edit?resourcekey=0-iw9bsKY2OqkUHCFMkCar3A&amp;gid=2055363397#gid=2055363397"",""MTR!C:O""),11,false)"),"PMW-IMS")</f>
        <v>PMW-IMS</v>
      </c>
      <c r="N1711" s="248" t="str">
        <f>IFERROR(__xludf.DUMMYFUNCTION("VLOOKUP(C1711,IMPORTRANGE(""https://docs.google.com/spreadsheets/d/1ihFlp3_ePlYtFuPbUNbYj1muErVpI73WHXbEwJDIA7Q/edit#gid=1493122344"",""MTR!C:O""),8,false)"),"Complies")</f>
        <v>Complies</v>
      </c>
      <c r="O1711" s="241" t="str">
        <f>IFERROR(__xludf.DUMMYFUNCTION("VLOOKUP(C1711,IMPORTRANGE(""https://docs.google.com/spreadsheets/d/1P8eX0NWBhUPS_hvzA11R6jkTNFrPrRYIx_dX_hYbxrk/edit?resourcekey=0-iw9bsKY2OqkUHCFMkCar3A&amp;gid=2055363397#gid=2055363397"",""MTR!C:O""),9,false)"),"")</f>
        <v/>
      </c>
      <c r="P1711" s="241"/>
      <c r="Q1711" s="251" t="s">
        <v>445</v>
      </c>
      <c r="R1711" s="251"/>
      <c r="S1711" s="154" t="s">
        <v>60</v>
      </c>
      <c r="T1711" s="154" t="s">
        <v>60</v>
      </c>
      <c r="U1711" s="154" t="s">
        <v>60</v>
      </c>
      <c r="V1711" s="154" t="s">
        <v>60</v>
      </c>
      <c r="W1711" s="154" t="s">
        <v>60</v>
      </c>
      <c r="X1711" s="154" t="s">
        <v>60</v>
      </c>
      <c r="Y1711" s="154" t="s">
        <v>64</v>
      </c>
      <c r="Z1711" s="154" t="s">
        <v>64</v>
      </c>
      <c r="AA1711" s="154" t="s">
        <v>64</v>
      </c>
      <c r="AB1711" s="154"/>
      <c r="AC1711" s="242" t="b">
        <f t="shared" si="2"/>
        <v>1</v>
      </c>
      <c r="AD1711" s="154" t="s">
        <v>391</v>
      </c>
      <c r="AE1711" s="243" t="b">
        <f t="shared" si="3"/>
        <v>0</v>
      </c>
      <c r="AF1711" s="154"/>
      <c r="AG1711" s="243" t="b">
        <f t="shared" si="7"/>
        <v>0</v>
      </c>
      <c r="AH1711" s="154"/>
      <c r="AI1711" s="243" t="str">
        <f t="shared" si="5"/>
        <v>N/A</v>
      </c>
      <c r="AJ1711" s="157" t="str">
        <f t="shared" si="6"/>
        <v/>
      </c>
    </row>
    <row r="1712" ht="12.75" customHeight="1">
      <c r="A1712" s="244" t="s">
        <v>4158</v>
      </c>
      <c r="B1712" s="244" t="s">
        <v>4161</v>
      </c>
      <c r="C1712" s="244" t="s">
        <v>4408</v>
      </c>
      <c r="D1712" s="154" t="s">
        <v>739</v>
      </c>
      <c r="E1712" s="250"/>
      <c r="F1712" s="154" t="str">
        <f t="array" ref="F1712">XLOOKUP(Cover!$D$12,$S$1:$AA$1,$S1712:$AA1712)</f>
        <v>Mandatory</v>
      </c>
      <c r="G1712" s="154" t="s">
        <v>4409</v>
      </c>
      <c r="H1712" s="154" t="s">
        <v>4279</v>
      </c>
      <c r="I1712" s="154" t="s">
        <v>632</v>
      </c>
      <c r="J1712" s="247" t="s">
        <v>445</v>
      </c>
      <c r="K1712" s="154"/>
      <c r="L1712" s="154" t="str">
        <f t="shared" si="1"/>
        <v/>
      </c>
      <c r="M1712" s="248" t="str">
        <f>IFERROR(__xludf.DUMMYFUNCTION("VLOOKUP(C1712,IMPORTRANGE(""https://docs.google.com/spreadsheets/d/1P8eX0NWBhUPS_hvzA11R6jkTNFrPrRYIx_dX_hYbxrk/edit?resourcekey=0-iw9bsKY2OqkUHCFMkCar3A&amp;gid=2055363397#gid=2055363397"",""MTR!C:O""),11,false)"),"PMW-IMS")</f>
        <v>PMW-IMS</v>
      </c>
      <c r="N1712" s="248" t="str">
        <f>IFERROR(__xludf.DUMMYFUNCTION("VLOOKUP(C1712,IMPORTRANGE(""https://docs.google.com/spreadsheets/d/1ihFlp3_ePlYtFuPbUNbYj1muErVpI73WHXbEwJDIA7Q/edit#gid=1493122344"",""MTR!C:O""),8,false)"),"Complies")</f>
        <v>Complies</v>
      </c>
      <c r="O1712" s="241" t="str">
        <f>IFERROR(__xludf.DUMMYFUNCTION("VLOOKUP(C1712,IMPORTRANGE(""https://docs.google.com/spreadsheets/d/1P8eX0NWBhUPS_hvzA11R6jkTNFrPrRYIx_dX_hYbxrk/edit?resourcekey=0-iw9bsKY2OqkUHCFMkCar3A&amp;gid=2055363397#gid=2055363397"",""MTR!C:O""),9,false)"),"")</f>
        <v/>
      </c>
      <c r="P1712" s="241"/>
      <c r="Q1712" s="251" t="s">
        <v>445</v>
      </c>
      <c r="R1712" s="241"/>
      <c r="S1712" s="154" t="s">
        <v>60</v>
      </c>
      <c r="T1712" s="154" t="s">
        <v>60</v>
      </c>
      <c r="U1712" s="154" t="s">
        <v>60</v>
      </c>
      <c r="V1712" s="154" t="s">
        <v>60</v>
      </c>
      <c r="W1712" s="154" t="s">
        <v>60</v>
      </c>
      <c r="X1712" s="154" t="s">
        <v>60</v>
      </c>
      <c r="Y1712" s="154" t="s">
        <v>64</v>
      </c>
      <c r="Z1712" s="154" t="s">
        <v>64</v>
      </c>
      <c r="AA1712" s="154" t="s">
        <v>64</v>
      </c>
      <c r="AB1712" s="154"/>
      <c r="AC1712" s="242" t="b">
        <f t="shared" si="2"/>
        <v>1</v>
      </c>
      <c r="AD1712" s="154" t="s">
        <v>391</v>
      </c>
      <c r="AE1712" s="243" t="b">
        <f t="shared" si="3"/>
        <v>0</v>
      </c>
      <c r="AF1712" s="154"/>
      <c r="AG1712" s="243" t="b">
        <f t="shared" si="7"/>
        <v>0</v>
      </c>
      <c r="AH1712" s="154"/>
      <c r="AI1712" s="243" t="str">
        <f t="shared" si="5"/>
        <v>N/A</v>
      </c>
      <c r="AJ1712" s="157" t="str">
        <f t="shared" si="6"/>
        <v/>
      </c>
    </row>
    <row r="1713" ht="12.75" customHeight="1">
      <c r="A1713" s="244" t="s">
        <v>4158</v>
      </c>
      <c r="B1713" s="244" t="s">
        <v>4161</v>
      </c>
      <c r="C1713" s="244" t="s">
        <v>4410</v>
      </c>
      <c r="D1713" s="154" t="s">
        <v>747</v>
      </c>
      <c r="E1713" s="250"/>
      <c r="F1713" s="154" t="str">
        <f t="array" ref="F1713">XLOOKUP(Cover!$D$12,$S$1:$AA$1,$S1713:$AA1713)</f>
        <v>Mandatory</v>
      </c>
      <c r="G1713" s="154" t="s">
        <v>4411</v>
      </c>
      <c r="H1713" s="154" t="s">
        <v>4279</v>
      </c>
      <c r="I1713" s="154" t="s">
        <v>632</v>
      </c>
      <c r="J1713" s="247" t="s">
        <v>445</v>
      </c>
      <c r="K1713" s="154"/>
      <c r="L1713" s="154" t="str">
        <f t="shared" si="1"/>
        <v/>
      </c>
      <c r="M1713" s="248" t="str">
        <f>IFERROR(__xludf.DUMMYFUNCTION("VLOOKUP(C1713,IMPORTRANGE(""https://docs.google.com/spreadsheets/d/1P8eX0NWBhUPS_hvzA11R6jkTNFrPrRYIx_dX_hYbxrk/edit?resourcekey=0-iw9bsKY2OqkUHCFMkCar3A&amp;gid=2055363397#gid=2055363397"",""MTR!C:O""),11,false)"),"PMW-IMS")</f>
        <v>PMW-IMS</v>
      </c>
      <c r="N1713" s="248" t="str">
        <f>IFERROR(__xludf.DUMMYFUNCTION("VLOOKUP(C1713,IMPORTRANGE(""https://docs.google.com/spreadsheets/d/1ihFlp3_ePlYtFuPbUNbYj1muErVpI73WHXbEwJDIA7Q/edit#gid=1493122344"",""MTR!C:O""),8,false)"),"Complies")</f>
        <v>Complies</v>
      </c>
      <c r="O1713" s="241" t="str">
        <f>IFERROR(__xludf.DUMMYFUNCTION("VLOOKUP(C1713,IMPORTRANGE(""https://docs.google.com/spreadsheets/d/1P8eX0NWBhUPS_hvzA11R6jkTNFrPrRYIx_dX_hYbxrk/edit?resourcekey=0-iw9bsKY2OqkUHCFMkCar3A&amp;gid=2055363397#gid=2055363397"",""MTR!C:O""),9,false)"),"")</f>
        <v/>
      </c>
      <c r="P1713" s="241"/>
      <c r="Q1713" s="251" t="s">
        <v>445</v>
      </c>
      <c r="R1713" s="241"/>
      <c r="S1713" s="154" t="s">
        <v>60</v>
      </c>
      <c r="T1713" s="154" t="s">
        <v>60</v>
      </c>
      <c r="U1713" s="154" t="s">
        <v>60</v>
      </c>
      <c r="V1713" s="154" t="s">
        <v>60</v>
      </c>
      <c r="W1713" s="154" t="s">
        <v>60</v>
      </c>
      <c r="X1713" s="154" t="s">
        <v>60</v>
      </c>
      <c r="Y1713" s="154" t="s">
        <v>64</v>
      </c>
      <c r="Z1713" s="154" t="s">
        <v>64</v>
      </c>
      <c r="AA1713" s="154" t="s">
        <v>64</v>
      </c>
      <c r="AB1713" s="154"/>
      <c r="AC1713" s="242" t="b">
        <f t="shared" si="2"/>
        <v>1</v>
      </c>
      <c r="AD1713" s="154" t="s">
        <v>391</v>
      </c>
      <c r="AE1713" s="243" t="b">
        <f t="shared" si="3"/>
        <v>0</v>
      </c>
      <c r="AF1713" s="154"/>
      <c r="AG1713" s="243" t="b">
        <f t="shared" si="7"/>
        <v>0</v>
      </c>
      <c r="AH1713" s="154"/>
      <c r="AI1713" s="243" t="str">
        <f t="shared" si="5"/>
        <v>N/A</v>
      </c>
      <c r="AJ1713" s="157" t="str">
        <f t="shared" si="6"/>
        <v/>
      </c>
    </row>
    <row r="1714" ht="12.75" customHeight="1">
      <c r="A1714" s="244" t="s">
        <v>4158</v>
      </c>
      <c r="B1714" s="244" t="s">
        <v>4161</v>
      </c>
      <c r="C1714" s="244" t="s">
        <v>4412</v>
      </c>
      <c r="D1714" s="244" t="s">
        <v>747</v>
      </c>
      <c r="E1714" s="244"/>
      <c r="F1714" s="154" t="str">
        <f t="array" ref="F1714">XLOOKUP(Cover!$D$12,$S$1:$AA$1,$S1714:$AA1714)</f>
        <v>Mandatory</v>
      </c>
      <c r="G1714" s="154" t="s">
        <v>4413</v>
      </c>
      <c r="H1714" s="154" t="s">
        <v>4279</v>
      </c>
      <c r="I1714" s="154" t="s">
        <v>632</v>
      </c>
      <c r="J1714" s="247" t="s">
        <v>445</v>
      </c>
      <c r="K1714" s="154"/>
      <c r="L1714" s="154" t="str">
        <f t="shared" si="1"/>
        <v/>
      </c>
      <c r="M1714" s="248" t="str">
        <f>IFERROR(__xludf.DUMMYFUNCTION("VLOOKUP(C1714,IMPORTRANGE(""https://docs.google.com/spreadsheets/d/1P8eX0NWBhUPS_hvzA11R6jkTNFrPrRYIx_dX_hYbxrk/edit?resourcekey=0-iw9bsKY2OqkUHCFMkCar3A&amp;gid=2055363397#gid=2055363397"",""MTR!C:O""),11,false)"),"PMW-IMS")</f>
        <v>PMW-IMS</v>
      </c>
      <c r="N1714" s="248" t="str">
        <f>IFERROR(__xludf.DUMMYFUNCTION("VLOOKUP(C1714,IMPORTRANGE(""https://docs.google.com/spreadsheets/d/1ihFlp3_ePlYtFuPbUNbYj1muErVpI73WHXbEwJDIA7Q/edit#gid=1493122344"",""MTR!C:O""),8,false)"),"Complies")</f>
        <v>Complies</v>
      </c>
      <c r="O1714" s="241" t="str">
        <f>IFERROR(__xludf.DUMMYFUNCTION("VLOOKUP(C1714,IMPORTRANGE(""https://docs.google.com/spreadsheets/d/1P8eX0NWBhUPS_hvzA11R6jkTNFrPrRYIx_dX_hYbxrk/edit?resourcekey=0-iw9bsKY2OqkUHCFMkCar3A&amp;gid=2055363397#gid=2055363397"",""MTR!C:O""),9,false)"),"")</f>
        <v/>
      </c>
      <c r="P1714" s="241"/>
      <c r="Q1714" s="251" t="s">
        <v>445</v>
      </c>
      <c r="R1714" s="241"/>
      <c r="S1714" s="154" t="s">
        <v>60</v>
      </c>
      <c r="T1714" s="154" t="s">
        <v>60</v>
      </c>
      <c r="U1714" s="154" t="s">
        <v>60</v>
      </c>
      <c r="V1714" s="154" t="s">
        <v>60</v>
      </c>
      <c r="W1714" s="154" t="s">
        <v>60</v>
      </c>
      <c r="X1714" s="154" t="s">
        <v>60</v>
      </c>
      <c r="Y1714" s="154" t="s">
        <v>64</v>
      </c>
      <c r="Z1714" s="154" t="s">
        <v>64</v>
      </c>
      <c r="AA1714" s="154" t="s">
        <v>64</v>
      </c>
      <c r="AB1714" s="154"/>
      <c r="AC1714" s="242" t="b">
        <f t="shared" si="2"/>
        <v>1</v>
      </c>
      <c r="AD1714" s="154" t="s">
        <v>391</v>
      </c>
      <c r="AE1714" s="243" t="b">
        <f t="shared" si="3"/>
        <v>0</v>
      </c>
      <c r="AF1714" s="154"/>
      <c r="AG1714" s="243" t="b">
        <f t="shared" si="7"/>
        <v>0</v>
      </c>
      <c r="AH1714" s="154"/>
      <c r="AI1714" s="243" t="str">
        <f t="shared" si="5"/>
        <v>N/A</v>
      </c>
      <c r="AJ1714" s="157" t="str">
        <f t="shared" si="6"/>
        <v/>
      </c>
    </row>
    <row r="1715" ht="12.75" customHeight="1">
      <c r="A1715" s="244" t="s">
        <v>4158</v>
      </c>
      <c r="B1715" s="244" t="s">
        <v>4161</v>
      </c>
      <c r="C1715" s="244" t="s">
        <v>4414</v>
      </c>
      <c r="D1715" s="154" t="s">
        <v>462</v>
      </c>
      <c r="E1715" s="250"/>
      <c r="F1715" s="154" t="str">
        <f t="array" ref="F1715">XLOOKUP(Cover!$D$12,$S$1:$AA$1,$S1715:$AA1715)</f>
        <v>Recommended</v>
      </c>
      <c r="G1715" s="154" t="s">
        <v>4415</v>
      </c>
      <c r="H1715" s="154"/>
      <c r="I1715" s="154" t="s">
        <v>632</v>
      </c>
      <c r="J1715" s="247" t="s">
        <v>445</v>
      </c>
      <c r="K1715" s="154"/>
      <c r="L1715" s="154" t="str">
        <f t="shared" si="1"/>
        <v/>
      </c>
      <c r="M1715" s="248" t="str">
        <f>IFERROR(__xludf.DUMMYFUNCTION("VLOOKUP(C1715,IMPORTRANGE(""https://docs.google.com/spreadsheets/d/1P8eX0NWBhUPS_hvzA11R6jkTNFrPrRYIx_dX_hYbxrk/edit?resourcekey=0-iw9bsKY2OqkUHCFMkCar3A&amp;gid=2055363397#gid=2055363397"",""MTR!C:O""),11,false)"),"PMW-IMS")</f>
        <v>PMW-IMS</v>
      </c>
      <c r="N1715" s="248" t="str">
        <f>IFERROR(__xludf.DUMMYFUNCTION("VLOOKUP(C1715,IMPORTRANGE(""https://docs.google.com/spreadsheets/d/1ihFlp3_ePlYtFuPbUNbYj1muErVpI73WHXbEwJDIA7Q/edit#gid=1493122344"",""MTR!C:O""),8,false)"),"Complies")</f>
        <v>Complies</v>
      </c>
      <c r="O1715" s="241" t="str">
        <f>IFERROR(__xludf.DUMMYFUNCTION("VLOOKUP(C1715,IMPORTRANGE(""https://docs.google.com/spreadsheets/d/1P8eX0NWBhUPS_hvzA11R6jkTNFrPrRYIx_dX_hYbxrk/edit?resourcekey=0-iw9bsKY2OqkUHCFMkCar3A&amp;gid=2055363397#gid=2055363397"",""MTR!C:O""),9,false)"),"")</f>
        <v/>
      </c>
      <c r="P1715" s="241"/>
      <c r="Q1715" s="251" t="s">
        <v>445</v>
      </c>
      <c r="R1715" s="241"/>
      <c r="S1715" s="154" t="s">
        <v>64</v>
      </c>
      <c r="T1715" s="154" t="s">
        <v>64</v>
      </c>
      <c r="U1715" s="154" t="s">
        <v>64</v>
      </c>
      <c r="V1715" s="154" t="s">
        <v>64</v>
      </c>
      <c r="W1715" s="154" t="s">
        <v>64</v>
      </c>
      <c r="X1715" s="154" t="s">
        <v>64</v>
      </c>
      <c r="Y1715" s="154" t="s">
        <v>64</v>
      </c>
      <c r="Z1715" s="154" t="s">
        <v>64</v>
      </c>
      <c r="AA1715" s="154" t="s">
        <v>64</v>
      </c>
      <c r="AB1715" s="154"/>
      <c r="AC1715" s="242" t="b">
        <f t="shared" si="2"/>
        <v>1</v>
      </c>
      <c r="AD1715" s="154" t="s">
        <v>391</v>
      </c>
      <c r="AE1715" s="243" t="b">
        <f t="shared" si="3"/>
        <v>0</v>
      </c>
      <c r="AF1715" s="154"/>
      <c r="AG1715" s="243" t="b">
        <f t="shared" si="7"/>
        <v>0</v>
      </c>
      <c r="AH1715" s="154"/>
      <c r="AI1715" s="243" t="str">
        <f t="shared" si="5"/>
        <v>N/A</v>
      </c>
      <c r="AJ1715" s="157" t="str">
        <f t="shared" si="6"/>
        <v/>
      </c>
    </row>
    <row r="1716" ht="12.75" customHeight="1">
      <c r="A1716" s="244" t="s">
        <v>4158</v>
      </c>
      <c r="B1716" s="244" t="s">
        <v>4161</v>
      </c>
      <c r="C1716" s="244" t="s">
        <v>4416</v>
      </c>
      <c r="D1716" s="154" t="s">
        <v>546</v>
      </c>
      <c r="E1716" s="250"/>
      <c r="F1716" s="154" t="str">
        <f t="array" ref="F1716">XLOOKUP(Cover!$D$12,$S$1:$AA$1,$S1716:$AA1716)</f>
        <v>Mandatory</v>
      </c>
      <c r="G1716" s="154" t="s">
        <v>4417</v>
      </c>
      <c r="H1716" s="154" t="s">
        <v>4279</v>
      </c>
      <c r="I1716" s="154" t="s">
        <v>632</v>
      </c>
      <c r="J1716" s="247" t="s">
        <v>445</v>
      </c>
      <c r="K1716" s="154"/>
      <c r="L1716" s="154" t="str">
        <f t="shared" si="1"/>
        <v/>
      </c>
      <c r="M1716" s="248" t="str">
        <f>IFERROR(__xludf.DUMMYFUNCTION("VLOOKUP(C1716,IMPORTRANGE(""https://docs.google.com/spreadsheets/d/1P8eX0NWBhUPS_hvzA11R6jkTNFrPrRYIx_dX_hYbxrk/edit?resourcekey=0-iw9bsKY2OqkUHCFMkCar3A&amp;gid=2055363397#gid=2055363397"",""MTR!C:O""),11,false)"),"PMW-IMS")</f>
        <v>PMW-IMS</v>
      </c>
      <c r="N1716" s="248" t="str">
        <f>IFERROR(__xludf.DUMMYFUNCTION("VLOOKUP(C1716,IMPORTRANGE(""https://docs.google.com/spreadsheets/d/1ihFlp3_ePlYtFuPbUNbYj1muErVpI73WHXbEwJDIA7Q/edit#gid=1493122344"",""MTR!C:O""),8,false)"),"Complies")</f>
        <v>Complies</v>
      </c>
      <c r="O1716" s="241" t="str">
        <f>IFERROR(__xludf.DUMMYFUNCTION("VLOOKUP(C1716,IMPORTRANGE(""https://docs.google.com/spreadsheets/d/1P8eX0NWBhUPS_hvzA11R6jkTNFrPrRYIx_dX_hYbxrk/edit?resourcekey=0-iw9bsKY2OqkUHCFMkCar3A&amp;gid=2055363397#gid=2055363397"",""MTR!C:O""),9,false)"),"")</f>
        <v/>
      </c>
      <c r="P1716" s="241"/>
      <c r="Q1716" s="251" t="s">
        <v>445</v>
      </c>
      <c r="R1716" s="241"/>
      <c r="S1716" s="154" t="s">
        <v>60</v>
      </c>
      <c r="T1716" s="154" t="s">
        <v>60</v>
      </c>
      <c r="U1716" s="154" t="s">
        <v>60</v>
      </c>
      <c r="V1716" s="154" t="s">
        <v>60</v>
      </c>
      <c r="W1716" s="154" t="s">
        <v>60</v>
      </c>
      <c r="X1716" s="154" t="s">
        <v>60</v>
      </c>
      <c r="Y1716" s="154" t="s">
        <v>64</v>
      </c>
      <c r="Z1716" s="154" t="s">
        <v>64</v>
      </c>
      <c r="AA1716" s="154" t="s">
        <v>64</v>
      </c>
      <c r="AB1716" s="154"/>
      <c r="AC1716" s="242" t="b">
        <f t="shared" si="2"/>
        <v>1</v>
      </c>
      <c r="AD1716" s="154" t="s">
        <v>391</v>
      </c>
      <c r="AE1716" s="243" t="b">
        <f t="shared" si="3"/>
        <v>0</v>
      </c>
      <c r="AF1716" s="154"/>
      <c r="AG1716" s="243" t="b">
        <f t="shared" si="7"/>
        <v>0</v>
      </c>
      <c r="AH1716" s="154"/>
      <c r="AI1716" s="243" t="str">
        <f t="shared" si="5"/>
        <v>N/A</v>
      </c>
      <c r="AJ1716" s="157" t="str">
        <f t="shared" si="6"/>
        <v/>
      </c>
    </row>
    <row r="1717" ht="12.75" customHeight="1">
      <c r="A1717" s="244" t="s">
        <v>4158</v>
      </c>
      <c r="B1717" s="244" t="s">
        <v>4161</v>
      </c>
      <c r="C1717" s="244" t="s">
        <v>4418</v>
      </c>
      <c r="D1717" s="154" t="s">
        <v>503</v>
      </c>
      <c r="E1717" s="250"/>
      <c r="F1717" s="154" t="str">
        <f t="array" ref="F1717">XLOOKUP(Cover!$D$12,$S$1:$AA$1,$S1717:$AA1717)</f>
        <v>Mandatory</v>
      </c>
      <c r="G1717" s="154" t="s">
        <v>4419</v>
      </c>
      <c r="H1717" s="154" t="s">
        <v>4279</v>
      </c>
      <c r="I1717" s="154" t="s">
        <v>632</v>
      </c>
      <c r="J1717" s="247" t="s">
        <v>516</v>
      </c>
      <c r="K1717" s="247" t="s">
        <v>4420</v>
      </c>
      <c r="L1717" s="154" t="str">
        <f t="shared" si="1"/>
        <v/>
      </c>
      <c r="M1717" s="248" t="str">
        <f>IFERROR(__xludf.DUMMYFUNCTION("VLOOKUP(C1717,IMPORTRANGE(""https://docs.google.com/spreadsheets/d/1P8eX0NWBhUPS_hvzA11R6jkTNFrPrRYIx_dX_hYbxrk/edit?resourcekey=0-iw9bsKY2OqkUHCFMkCar3A&amp;gid=2055363397#gid=2055363397"",""MTR!C:O""),11,false)"),"PMW-IMS")</f>
        <v>PMW-IMS</v>
      </c>
      <c r="N1717" s="248" t="str">
        <f>IFERROR(__xludf.DUMMYFUNCTION("VLOOKUP(C1717,IMPORTRANGE(""https://docs.google.com/spreadsheets/d/1ihFlp3_ePlYtFuPbUNbYj1muErVpI73WHXbEwJDIA7Q/edit#gid=1493122344"",""MTR!C:O""),8,false)"),"Does Not Comply")</f>
        <v>Does Not Comply</v>
      </c>
      <c r="O1717" s="248" t="str">
        <f>IFERROR(__xludf.DUMMYFUNCTION("VLOOKUP(C1717,IMPORTRANGE(""https://docs.google.com/spreadsheets/d/1P8eX0NWBhUPS_hvzA11R6jkTNFrPrRYIx_dX_hYbxrk/edit?resourcekey=0-iw9bsKY2OqkUHCFMkCar3A&amp;gid=2055363397#gid=2055363397"",""MTR!C:O""),9,false)"),"CSFB by default, when receiving error response to INVITE.
UE follows 3GPP 24.229 Rel15 chapter 5.1.2 and 5.1.3 and 3gpp 24.229 5.1.2A.6")</f>
        <v>CSFB by default, when receiving error response to INVITE.
UE follows 3GPP 24.229 Rel15 chapter 5.1.2 and 5.1.3 and 3gpp 24.229 5.1.2A.6</v>
      </c>
      <c r="P1717" s="248"/>
      <c r="Q1717" s="249" t="s">
        <v>516</v>
      </c>
      <c r="R1717" s="249" t="s">
        <v>4420</v>
      </c>
      <c r="S1717" s="154" t="s">
        <v>60</v>
      </c>
      <c r="T1717" s="154" t="s">
        <v>60</v>
      </c>
      <c r="U1717" s="154" t="s">
        <v>60</v>
      </c>
      <c r="V1717" s="154" t="s">
        <v>60</v>
      </c>
      <c r="W1717" s="154" t="s">
        <v>60</v>
      </c>
      <c r="X1717" s="154" t="s">
        <v>60</v>
      </c>
      <c r="Y1717" s="154" t="s">
        <v>64</v>
      </c>
      <c r="Z1717" s="154" t="s">
        <v>64</v>
      </c>
      <c r="AA1717" s="154" t="s">
        <v>64</v>
      </c>
      <c r="AB1717" s="154"/>
      <c r="AC1717" s="242" t="b">
        <f t="shared" si="2"/>
        <v>1</v>
      </c>
      <c r="AD1717" s="154" t="s">
        <v>391</v>
      </c>
      <c r="AE1717" s="243" t="b">
        <f t="shared" si="3"/>
        <v>0</v>
      </c>
      <c r="AF1717" s="154"/>
      <c r="AG1717" s="243" t="b">
        <f t="shared" si="7"/>
        <v>0</v>
      </c>
      <c r="AH1717" s="154"/>
      <c r="AI1717" s="243" t="str">
        <f t="shared" si="5"/>
        <v>N/A</v>
      </c>
      <c r="AJ1717" s="157" t="str">
        <f t="shared" si="6"/>
        <v/>
      </c>
    </row>
    <row r="1718" ht="12.75" customHeight="1">
      <c r="A1718" s="238" t="s">
        <v>4158</v>
      </c>
      <c r="B1718" s="238" t="s">
        <v>4161</v>
      </c>
      <c r="C1718" s="238" t="s">
        <v>4421</v>
      </c>
      <c r="D1718" s="238"/>
      <c r="E1718" s="238"/>
      <c r="F1718" s="154" t="str">
        <f t="array" ref="F1718">XLOOKUP(Cover!$D$12,$S$1:$AA$1,$S1718:$AA1718)</f>
        <v>Heading</v>
      </c>
      <c r="G1718" s="239" t="s">
        <v>4422</v>
      </c>
      <c r="H1718" s="240"/>
      <c r="I1718" s="240" t="s">
        <v>632</v>
      </c>
      <c r="J1718" s="240"/>
      <c r="K1718" s="240"/>
      <c r="L1718" s="154" t="str">
        <f t="shared" si="1"/>
        <v/>
      </c>
      <c r="M1718" s="241" t="str">
        <f>IFERROR(__xludf.DUMMYFUNCTION("VLOOKUP(C1718,IMPORTRANGE(""https://docs.google.com/spreadsheets/d/1P8eX0NWBhUPS_hvzA11R6jkTNFrPrRYIx_dX_hYbxrk/edit?resourcekey=0-iw9bsKY2OqkUHCFMkCar3A&amp;gid=2055363397#gid=2055363397"",""MTR!C:O""),11,false)"),"")</f>
        <v/>
      </c>
      <c r="N1718" s="241" t="str">
        <f>IFERROR(__xludf.DUMMYFUNCTION("VLOOKUP(C1718,IMPORTRANGE(""https://docs.google.com/spreadsheets/d/1ihFlp3_ePlYtFuPbUNbYj1muErVpI73WHXbEwJDIA7Q/edit#gid=1493122344"",""MTR!C:O""),8,false)"),"")</f>
        <v/>
      </c>
      <c r="O1718" s="241" t="str">
        <f>IFERROR(__xludf.DUMMYFUNCTION("VLOOKUP(C1718,IMPORTRANGE(""https://docs.google.com/spreadsheets/d/1P8eX0NWBhUPS_hvzA11R6jkTNFrPrRYIx_dX_hYbxrk/edit?resourcekey=0-iw9bsKY2OqkUHCFMkCar3A&amp;gid=2055363397#gid=2055363397"",""MTR!C:O""),9,false)"),"")</f>
        <v/>
      </c>
      <c r="P1718" s="241"/>
      <c r="Q1718" s="251"/>
      <c r="R1718" s="251"/>
      <c r="S1718" s="240" t="s">
        <v>390</v>
      </c>
      <c r="T1718" s="240" t="s">
        <v>390</v>
      </c>
      <c r="U1718" s="240" t="s">
        <v>390</v>
      </c>
      <c r="V1718" s="240" t="s">
        <v>390</v>
      </c>
      <c r="W1718" s="240" t="s">
        <v>390</v>
      </c>
      <c r="X1718" s="240" t="s">
        <v>390</v>
      </c>
      <c r="Y1718" s="240" t="s">
        <v>390</v>
      </c>
      <c r="Z1718" s="240" t="s">
        <v>390</v>
      </c>
      <c r="AA1718" s="240" t="s">
        <v>390</v>
      </c>
      <c r="AB1718" s="240"/>
      <c r="AC1718" s="242" t="b">
        <f t="shared" si="2"/>
        <v>0</v>
      </c>
      <c r="AD1718" s="240" t="s">
        <v>391</v>
      </c>
      <c r="AE1718" s="243" t="b">
        <f t="shared" si="3"/>
        <v>0</v>
      </c>
      <c r="AF1718" s="240"/>
      <c r="AG1718" s="243" t="b">
        <f t="shared" si="7"/>
        <v>0</v>
      </c>
      <c r="AH1718" s="240"/>
      <c r="AI1718" s="243" t="str">
        <f t="shared" si="5"/>
        <v>N/A</v>
      </c>
      <c r="AJ1718" s="157" t="str">
        <f t="shared" si="6"/>
        <v/>
      </c>
    </row>
    <row r="1719" ht="12.75" customHeight="1">
      <c r="A1719" s="244" t="s">
        <v>4158</v>
      </c>
      <c r="B1719" s="244" t="s">
        <v>4161</v>
      </c>
      <c r="C1719" s="244" t="s">
        <v>4423</v>
      </c>
      <c r="D1719" s="154" t="s">
        <v>1282</v>
      </c>
      <c r="E1719" s="250"/>
      <c r="F1719" s="154" t="str">
        <f t="array" ref="F1719">XLOOKUP(Cover!$D$12,$S$1:$AA$1,$S1719:$AA1719)</f>
        <v>Mandatory</v>
      </c>
      <c r="G1719" s="154" t="s">
        <v>4424</v>
      </c>
      <c r="H1719" s="154" t="s">
        <v>4279</v>
      </c>
      <c r="I1719" s="154" t="s">
        <v>632</v>
      </c>
      <c r="J1719" s="154" t="s">
        <v>445</v>
      </c>
      <c r="K1719" s="154"/>
      <c r="L1719" s="154" t="str">
        <f t="shared" si="1"/>
        <v/>
      </c>
      <c r="M1719" s="248" t="str">
        <f>IFERROR(__xludf.DUMMYFUNCTION("VLOOKUP(C1719,IMPORTRANGE(""https://docs.google.com/spreadsheets/d/1P8eX0NWBhUPS_hvzA11R6jkTNFrPrRYIx_dX_hYbxrk/edit?resourcekey=0-iw9bsKY2OqkUHCFMkCar3A&amp;gid=2055363397#gid=2055363397"",""MTR!C:O""),11,false)"),"PMW-IMS")</f>
        <v>PMW-IMS</v>
      </c>
      <c r="N1719" s="248" t="str">
        <f>IFERROR(__xludf.DUMMYFUNCTION("VLOOKUP(C1719,IMPORTRANGE(""https://docs.google.com/spreadsheets/d/1ihFlp3_ePlYtFuPbUNbYj1muErVpI73WHXbEwJDIA7Q/edit#gid=1493122344"",""MTR!C:O""),8,false)"),"Complies")</f>
        <v>Complies</v>
      </c>
      <c r="O1719" s="241" t="str">
        <f>IFERROR(__xludf.DUMMYFUNCTION("VLOOKUP(C1719,IMPORTRANGE(""https://docs.google.com/spreadsheets/d/1P8eX0NWBhUPS_hvzA11R6jkTNFrPrRYIx_dX_hYbxrk/edit?resourcekey=0-iw9bsKY2OqkUHCFMkCar3A&amp;gid=2055363397#gid=2055363397"",""MTR!C:O""),9,false)"),"")</f>
        <v/>
      </c>
      <c r="P1719" s="241"/>
      <c r="Q1719" s="251" t="s">
        <v>445</v>
      </c>
      <c r="R1719" s="241"/>
      <c r="S1719" s="154" t="s">
        <v>60</v>
      </c>
      <c r="T1719" s="154" t="s">
        <v>60</v>
      </c>
      <c r="U1719" s="154" t="s">
        <v>60</v>
      </c>
      <c r="V1719" s="154" t="s">
        <v>60</v>
      </c>
      <c r="W1719" s="154" t="s">
        <v>60</v>
      </c>
      <c r="X1719" s="154" t="s">
        <v>60</v>
      </c>
      <c r="Y1719" s="154" t="s">
        <v>64</v>
      </c>
      <c r="Z1719" s="154" t="s">
        <v>64</v>
      </c>
      <c r="AA1719" s="154" t="s">
        <v>64</v>
      </c>
      <c r="AB1719" s="154"/>
      <c r="AC1719" s="242" t="b">
        <f t="shared" si="2"/>
        <v>1</v>
      </c>
      <c r="AD1719" s="154" t="s">
        <v>391</v>
      </c>
      <c r="AE1719" s="243" t="b">
        <f t="shared" si="3"/>
        <v>0</v>
      </c>
      <c r="AF1719" s="154"/>
      <c r="AG1719" s="243" t="b">
        <f t="shared" si="7"/>
        <v>0</v>
      </c>
      <c r="AH1719" s="154"/>
      <c r="AI1719" s="243" t="str">
        <f t="shared" si="5"/>
        <v>N/A</v>
      </c>
      <c r="AJ1719" s="157" t="str">
        <f t="shared" si="6"/>
        <v/>
      </c>
    </row>
    <row r="1720" ht="12.75" customHeight="1">
      <c r="A1720" s="244" t="s">
        <v>4158</v>
      </c>
      <c r="B1720" s="244" t="s">
        <v>4161</v>
      </c>
      <c r="C1720" s="244" t="s">
        <v>4425</v>
      </c>
      <c r="D1720" s="154" t="s">
        <v>1282</v>
      </c>
      <c r="E1720" s="250"/>
      <c r="F1720" s="154" t="str">
        <f t="array" ref="F1720">XLOOKUP(Cover!$D$12,$S$1:$AA$1,$S1720:$AA1720)</f>
        <v>Mandatory</v>
      </c>
      <c r="G1720" s="154" t="s">
        <v>4426</v>
      </c>
      <c r="H1720" s="154" t="s">
        <v>4279</v>
      </c>
      <c r="I1720" s="154" t="s">
        <v>632</v>
      </c>
      <c r="J1720" s="247" t="s">
        <v>445</v>
      </c>
      <c r="K1720" s="154"/>
      <c r="L1720" s="154" t="str">
        <f t="shared" si="1"/>
        <v/>
      </c>
      <c r="M1720" s="248" t="str">
        <f>IFERROR(__xludf.DUMMYFUNCTION("VLOOKUP(C1720,IMPORTRANGE(""https://docs.google.com/spreadsheets/d/1P8eX0NWBhUPS_hvzA11R6jkTNFrPrRYIx_dX_hYbxrk/edit?resourcekey=0-iw9bsKY2OqkUHCFMkCar3A&amp;gid=2055363397#gid=2055363397"",""MTR!C:O""),11,false)"),"PMW-IMS")</f>
        <v>PMW-IMS</v>
      </c>
      <c r="N1720" s="248" t="str">
        <f>IFERROR(__xludf.DUMMYFUNCTION("VLOOKUP(C1720,IMPORTRANGE(""https://docs.google.com/spreadsheets/d/1ihFlp3_ePlYtFuPbUNbYj1muErVpI73WHXbEwJDIA7Q/edit#gid=1493122344"",""MTR!C:O""),8,false)"),"Complies")</f>
        <v>Complies</v>
      </c>
      <c r="O1720" s="241" t="str">
        <f>IFERROR(__xludf.DUMMYFUNCTION("VLOOKUP(C1720,IMPORTRANGE(""https://docs.google.com/spreadsheets/d/1P8eX0NWBhUPS_hvzA11R6jkTNFrPrRYIx_dX_hYbxrk/edit?resourcekey=0-iw9bsKY2OqkUHCFMkCar3A&amp;gid=2055363397#gid=2055363397"",""MTR!C:O""),9,false)"),"")</f>
        <v/>
      </c>
      <c r="P1720" s="241"/>
      <c r="Q1720" s="251" t="s">
        <v>445</v>
      </c>
      <c r="R1720" s="241"/>
      <c r="S1720" s="154" t="s">
        <v>60</v>
      </c>
      <c r="T1720" s="154" t="s">
        <v>60</v>
      </c>
      <c r="U1720" s="154" t="s">
        <v>60</v>
      </c>
      <c r="V1720" s="154" t="s">
        <v>60</v>
      </c>
      <c r="W1720" s="154" t="s">
        <v>60</v>
      </c>
      <c r="X1720" s="154" t="s">
        <v>60</v>
      </c>
      <c r="Y1720" s="154" t="s">
        <v>64</v>
      </c>
      <c r="Z1720" s="154" t="s">
        <v>64</v>
      </c>
      <c r="AA1720" s="154" t="s">
        <v>64</v>
      </c>
      <c r="AB1720" s="154"/>
      <c r="AC1720" s="242" t="b">
        <f t="shared" si="2"/>
        <v>1</v>
      </c>
      <c r="AD1720" s="154" t="s">
        <v>391</v>
      </c>
      <c r="AE1720" s="243" t="b">
        <f t="shared" si="3"/>
        <v>0</v>
      </c>
      <c r="AF1720" s="154"/>
      <c r="AG1720" s="243" t="b">
        <f t="shared" si="7"/>
        <v>0</v>
      </c>
      <c r="AH1720" s="154"/>
      <c r="AI1720" s="243" t="str">
        <f t="shared" si="5"/>
        <v>N/A</v>
      </c>
      <c r="AJ1720" s="157" t="str">
        <f t="shared" si="6"/>
        <v/>
      </c>
    </row>
    <row r="1721" ht="12.75" customHeight="1">
      <c r="A1721" s="244" t="s">
        <v>4158</v>
      </c>
      <c r="B1721" s="244" t="s">
        <v>4161</v>
      </c>
      <c r="C1721" s="244" t="s">
        <v>4427</v>
      </c>
      <c r="D1721" s="154" t="s">
        <v>1211</v>
      </c>
      <c r="E1721" s="250"/>
      <c r="F1721" s="154" t="str">
        <f t="array" ref="F1721">XLOOKUP(Cover!$D$12,$S$1:$AA$1,$S1721:$AA1721)</f>
        <v>Mandatory</v>
      </c>
      <c r="G1721" s="154" t="s">
        <v>4428</v>
      </c>
      <c r="H1721" s="154" t="s">
        <v>4279</v>
      </c>
      <c r="I1721" s="154" t="s">
        <v>632</v>
      </c>
      <c r="J1721" s="247" t="s">
        <v>445</v>
      </c>
      <c r="K1721" s="154"/>
      <c r="L1721" s="154" t="str">
        <f t="shared" si="1"/>
        <v/>
      </c>
      <c r="M1721" s="248" t="str">
        <f>IFERROR(__xludf.DUMMYFUNCTION("VLOOKUP(C1721,IMPORTRANGE(""https://docs.google.com/spreadsheets/d/1P8eX0NWBhUPS_hvzA11R6jkTNFrPrRYIx_dX_hYbxrk/edit?resourcekey=0-iw9bsKY2OqkUHCFMkCar3A&amp;gid=2055363397#gid=2055363397"",""MTR!C:O""),11,false)"),"PMW-IMS")</f>
        <v>PMW-IMS</v>
      </c>
      <c r="N1721" s="248" t="str">
        <f>IFERROR(__xludf.DUMMYFUNCTION("VLOOKUP(C1721,IMPORTRANGE(""https://docs.google.com/spreadsheets/d/1ihFlp3_ePlYtFuPbUNbYj1muErVpI73WHXbEwJDIA7Q/edit#gid=1493122344"",""MTR!C:O""),8,false)"),"Complies")</f>
        <v>Complies</v>
      </c>
      <c r="O1721" s="241" t="str">
        <f>IFERROR(__xludf.DUMMYFUNCTION("VLOOKUP(C1721,IMPORTRANGE(""https://docs.google.com/spreadsheets/d/1P8eX0NWBhUPS_hvzA11R6jkTNFrPrRYIx_dX_hYbxrk/edit?resourcekey=0-iw9bsKY2OqkUHCFMkCar3A&amp;gid=2055363397#gid=2055363397"",""MTR!C:O""),9,false)"),"")</f>
        <v/>
      </c>
      <c r="P1721" s="241"/>
      <c r="Q1721" s="251" t="s">
        <v>445</v>
      </c>
      <c r="R1721" s="241"/>
      <c r="S1721" s="154" t="s">
        <v>60</v>
      </c>
      <c r="T1721" s="154" t="s">
        <v>60</v>
      </c>
      <c r="U1721" s="154" t="s">
        <v>60</v>
      </c>
      <c r="V1721" s="154" t="s">
        <v>60</v>
      </c>
      <c r="W1721" s="154" t="s">
        <v>60</v>
      </c>
      <c r="X1721" s="154" t="s">
        <v>60</v>
      </c>
      <c r="Y1721" s="154" t="s">
        <v>64</v>
      </c>
      <c r="Z1721" s="154" t="s">
        <v>64</v>
      </c>
      <c r="AA1721" s="154" t="s">
        <v>64</v>
      </c>
      <c r="AB1721" s="154"/>
      <c r="AC1721" s="242" t="b">
        <f t="shared" si="2"/>
        <v>1</v>
      </c>
      <c r="AD1721" s="154" t="s">
        <v>391</v>
      </c>
      <c r="AE1721" s="243" t="b">
        <f t="shared" si="3"/>
        <v>0</v>
      </c>
      <c r="AF1721" s="154"/>
      <c r="AG1721" s="243" t="b">
        <f t="shared" si="7"/>
        <v>0</v>
      </c>
      <c r="AH1721" s="154"/>
      <c r="AI1721" s="243" t="str">
        <f t="shared" si="5"/>
        <v>N/A</v>
      </c>
      <c r="AJ1721" s="157" t="str">
        <f t="shared" si="6"/>
        <v/>
      </c>
    </row>
    <row r="1722" ht="12.75" customHeight="1">
      <c r="A1722" s="244" t="s">
        <v>4158</v>
      </c>
      <c r="B1722" s="244" t="s">
        <v>4161</v>
      </c>
      <c r="C1722" s="244" t="s">
        <v>4429</v>
      </c>
      <c r="D1722" s="154" t="s">
        <v>1211</v>
      </c>
      <c r="E1722" s="250"/>
      <c r="F1722" s="154" t="str">
        <f t="array" ref="F1722">XLOOKUP(Cover!$D$12,$S$1:$AA$1,$S1722:$AA1722)</f>
        <v>Mandatory</v>
      </c>
      <c r="G1722" s="154" t="s">
        <v>4430</v>
      </c>
      <c r="H1722" s="154" t="s">
        <v>4279</v>
      </c>
      <c r="I1722" s="154" t="s">
        <v>632</v>
      </c>
      <c r="J1722" s="247" t="s">
        <v>445</v>
      </c>
      <c r="K1722" s="154"/>
      <c r="L1722" s="154" t="str">
        <f t="shared" si="1"/>
        <v/>
      </c>
      <c r="M1722" s="248" t="str">
        <f>IFERROR(__xludf.DUMMYFUNCTION("VLOOKUP(C1722,IMPORTRANGE(""https://docs.google.com/spreadsheets/d/1P8eX0NWBhUPS_hvzA11R6jkTNFrPrRYIx_dX_hYbxrk/edit?resourcekey=0-iw9bsKY2OqkUHCFMkCar3A&amp;gid=2055363397#gid=2055363397"",""MTR!C:O""),11,false)"),"PMW-IMS")</f>
        <v>PMW-IMS</v>
      </c>
      <c r="N1722" s="248" t="str">
        <f>IFERROR(__xludf.DUMMYFUNCTION("VLOOKUP(C1722,IMPORTRANGE(""https://docs.google.com/spreadsheets/d/1ihFlp3_ePlYtFuPbUNbYj1muErVpI73WHXbEwJDIA7Q/edit#gid=1493122344"",""MTR!C:O""),8,false)"),"Complies")</f>
        <v>Complies</v>
      </c>
      <c r="O1722" s="241" t="str">
        <f>IFERROR(__xludf.DUMMYFUNCTION("VLOOKUP(C1722,IMPORTRANGE(""https://docs.google.com/spreadsheets/d/1P8eX0NWBhUPS_hvzA11R6jkTNFrPrRYIx_dX_hYbxrk/edit?resourcekey=0-iw9bsKY2OqkUHCFMkCar3A&amp;gid=2055363397#gid=2055363397"",""MTR!C:O""),9,false)"),"")</f>
        <v/>
      </c>
      <c r="P1722" s="241"/>
      <c r="Q1722" s="251" t="s">
        <v>445</v>
      </c>
      <c r="R1722" s="241"/>
      <c r="S1722" s="154" t="s">
        <v>60</v>
      </c>
      <c r="T1722" s="154" t="s">
        <v>60</v>
      </c>
      <c r="U1722" s="154" t="s">
        <v>60</v>
      </c>
      <c r="V1722" s="154" t="s">
        <v>60</v>
      </c>
      <c r="W1722" s="154" t="s">
        <v>60</v>
      </c>
      <c r="X1722" s="154" t="s">
        <v>60</v>
      </c>
      <c r="Y1722" s="154" t="s">
        <v>64</v>
      </c>
      <c r="Z1722" s="154" t="s">
        <v>64</v>
      </c>
      <c r="AA1722" s="154" t="s">
        <v>64</v>
      </c>
      <c r="AB1722" s="154"/>
      <c r="AC1722" s="242" t="b">
        <f t="shared" si="2"/>
        <v>1</v>
      </c>
      <c r="AD1722" s="154" t="s">
        <v>391</v>
      </c>
      <c r="AE1722" s="243" t="b">
        <f t="shared" si="3"/>
        <v>0</v>
      </c>
      <c r="AF1722" s="154"/>
      <c r="AG1722" s="243" t="b">
        <f t="shared" si="7"/>
        <v>0</v>
      </c>
      <c r="AH1722" s="154"/>
      <c r="AI1722" s="243" t="str">
        <f t="shared" si="5"/>
        <v>N/A</v>
      </c>
      <c r="AJ1722" s="157" t="str">
        <f t="shared" si="6"/>
        <v/>
      </c>
    </row>
    <row r="1723" ht="12.75" customHeight="1">
      <c r="A1723" s="244" t="s">
        <v>4158</v>
      </c>
      <c r="B1723" s="244" t="s">
        <v>4161</v>
      </c>
      <c r="C1723" s="244" t="s">
        <v>4431</v>
      </c>
      <c r="D1723" s="154" t="s">
        <v>1211</v>
      </c>
      <c r="E1723" s="250"/>
      <c r="F1723" s="154" t="str">
        <f t="array" ref="F1723">XLOOKUP(Cover!$D$12,$S$1:$AA$1,$S1723:$AA1723)</f>
        <v>Mandatory</v>
      </c>
      <c r="G1723" s="154" t="s">
        <v>4432</v>
      </c>
      <c r="H1723" s="154" t="s">
        <v>4279</v>
      </c>
      <c r="I1723" s="154" t="s">
        <v>632</v>
      </c>
      <c r="J1723" s="247" t="s">
        <v>445</v>
      </c>
      <c r="K1723" s="154"/>
      <c r="L1723" s="154" t="str">
        <f t="shared" si="1"/>
        <v/>
      </c>
      <c r="M1723" s="248" t="str">
        <f>IFERROR(__xludf.DUMMYFUNCTION("VLOOKUP(C1723,IMPORTRANGE(""https://docs.google.com/spreadsheets/d/1P8eX0NWBhUPS_hvzA11R6jkTNFrPrRYIx_dX_hYbxrk/edit?resourcekey=0-iw9bsKY2OqkUHCFMkCar3A&amp;gid=2055363397#gid=2055363397"",""MTR!C:O""),11,false)"),"PMW-IMS")</f>
        <v>PMW-IMS</v>
      </c>
      <c r="N1723" s="248" t="str">
        <f>IFERROR(__xludf.DUMMYFUNCTION("VLOOKUP(C1723,IMPORTRANGE(""https://docs.google.com/spreadsheets/d/1ihFlp3_ePlYtFuPbUNbYj1muErVpI73WHXbEwJDIA7Q/edit#gid=1493122344"",""MTR!C:O""),8,false)"),"Complies")</f>
        <v>Complies</v>
      </c>
      <c r="O1723" s="241" t="str">
        <f>IFERROR(__xludf.DUMMYFUNCTION("VLOOKUP(C1723,IMPORTRANGE(""https://docs.google.com/spreadsheets/d/1P8eX0NWBhUPS_hvzA11R6jkTNFrPrRYIx_dX_hYbxrk/edit?resourcekey=0-iw9bsKY2OqkUHCFMkCar3A&amp;gid=2055363397#gid=2055363397"",""MTR!C:O""),9,false)"),"")</f>
        <v/>
      </c>
      <c r="P1723" s="241"/>
      <c r="Q1723" s="251" t="s">
        <v>445</v>
      </c>
      <c r="R1723" s="241"/>
      <c r="S1723" s="154" t="s">
        <v>60</v>
      </c>
      <c r="T1723" s="154" t="s">
        <v>60</v>
      </c>
      <c r="U1723" s="154" t="s">
        <v>60</v>
      </c>
      <c r="V1723" s="154" t="s">
        <v>60</v>
      </c>
      <c r="W1723" s="154" t="s">
        <v>60</v>
      </c>
      <c r="X1723" s="154" t="s">
        <v>60</v>
      </c>
      <c r="Y1723" s="154" t="s">
        <v>64</v>
      </c>
      <c r="Z1723" s="154" t="s">
        <v>64</v>
      </c>
      <c r="AA1723" s="154" t="s">
        <v>64</v>
      </c>
      <c r="AB1723" s="154"/>
      <c r="AC1723" s="242" t="b">
        <f t="shared" si="2"/>
        <v>1</v>
      </c>
      <c r="AD1723" s="154" t="s">
        <v>391</v>
      </c>
      <c r="AE1723" s="243" t="b">
        <f t="shared" si="3"/>
        <v>0</v>
      </c>
      <c r="AF1723" s="154"/>
      <c r="AG1723" s="243" t="b">
        <f t="shared" si="7"/>
        <v>0</v>
      </c>
      <c r="AH1723" s="154"/>
      <c r="AI1723" s="243" t="str">
        <f t="shared" si="5"/>
        <v>N/A</v>
      </c>
      <c r="AJ1723" s="157" t="str">
        <f t="shared" si="6"/>
        <v/>
      </c>
    </row>
    <row r="1724" ht="12.75" customHeight="1">
      <c r="A1724" s="238" t="s">
        <v>4158</v>
      </c>
      <c r="B1724" s="238" t="s">
        <v>4161</v>
      </c>
      <c r="C1724" s="238" t="s">
        <v>4433</v>
      </c>
      <c r="D1724" s="238"/>
      <c r="E1724" s="238"/>
      <c r="F1724" s="154" t="str">
        <f t="array" ref="F1724">XLOOKUP(Cover!$D$12,$S$1:$AA$1,$S1724:$AA1724)</f>
        <v>Heading</v>
      </c>
      <c r="G1724" s="239" t="s">
        <v>4434</v>
      </c>
      <c r="H1724" s="240"/>
      <c r="I1724" s="240" t="s">
        <v>632</v>
      </c>
      <c r="J1724" s="262"/>
      <c r="K1724" s="240"/>
      <c r="L1724" s="154" t="str">
        <f t="shared" si="1"/>
        <v/>
      </c>
      <c r="M1724" s="241" t="str">
        <f>IFERROR(__xludf.DUMMYFUNCTION("VLOOKUP(C1724,IMPORTRANGE(""https://docs.google.com/spreadsheets/d/1P8eX0NWBhUPS_hvzA11R6jkTNFrPrRYIx_dX_hYbxrk/edit?resourcekey=0-iw9bsKY2OqkUHCFMkCar3A&amp;gid=2055363397#gid=2055363397"",""MTR!C:O""),11,false)"),"")</f>
        <v/>
      </c>
      <c r="N1724" s="241" t="str">
        <f>IFERROR(__xludf.DUMMYFUNCTION("VLOOKUP(C1724,IMPORTRANGE(""https://docs.google.com/spreadsheets/d/1ihFlp3_ePlYtFuPbUNbYj1muErVpI73WHXbEwJDIA7Q/edit#gid=1493122344"",""MTR!C:O""),8,false)"),"")</f>
        <v/>
      </c>
      <c r="O1724" s="241" t="str">
        <f>IFERROR(__xludf.DUMMYFUNCTION("VLOOKUP(C1724,IMPORTRANGE(""https://docs.google.com/spreadsheets/d/1P8eX0NWBhUPS_hvzA11R6jkTNFrPrRYIx_dX_hYbxrk/edit?resourcekey=0-iw9bsKY2OqkUHCFMkCar3A&amp;gid=2055363397#gid=2055363397"",""MTR!C:O""),9,false)"),"")</f>
        <v/>
      </c>
      <c r="P1724" s="241"/>
      <c r="Q1724" s="251"/>
      <c r="R1724" s="241"/>
      <c r="S1724" s="240" t="s">
        <v>390</v>
      </c>
      <c r="T1724" s="240" t="s">
        <v>390</v>
      </c>
      <c r="U1724" s="240" t="s">
        <v>390</v>
      </c>
      <c r="V1724" s="240" t="s">
        <v>390</v>
      </c>
      <c r="W1724" s="240" t="s">
        <v>390</v>
      </c>
      <c r="X1724" s="240" t="s">
        <v>390</v>
      </c>
      <c r="Y1724" s="240" t="s">
        <v>390</v>
      </c>
      <c r="Z1724" s="240" t="s">
        <v>390</v>
      </c>
      <c r="AA1724" s="240" t="s">
        <v>390</v>
      </c>
      <c r="AB1724" s="240"/>
      <c r="AC1724" s="242" t="b">
        <f t="shared" si="2"/>
        <v>0</v>
      </c>
      <c r="AD1724" s="240" t="s">
        <v>391</v>
      </c>
      <c r="AE1724" s="243" t="b">
        <f t="shared" si="3"/>
        <v>0</v>
      </c>
      <c r="AF1724" s="240"/>
      <c r="AG1724" s="243" t="b">
        <f t="shared" si="7"/>
        <v>0</v>
      </c>
      <c r="AH1724" s="240"/>
      <c r="AI1724" s="243" t="str">
        <f t="shared" si="5"/>
        <v>N/A</v>
      </c>
      <c r="AJ1724" s="157" t="str">
        <f t="shared" si="6"/>
        <v/>
      </c>
    </row>
    <row r="1725" ht="12.75" customHeight="1">
      <c r="A1725" s="244" t="s">
        <v>4158</v>
      </c>
      <c r="B1725" s="244" t="s">
        <v>4161</v>
      </c>
      <c r="C1725" s="244" t="s">
        <v>4435</v>
      </c>
      <c r="D1725" s="154" t="s">
        <v>1282</v>
      </c>
      <c r="E1725" s="250"/>
      <c r="F1725" s="154" t="str">
        <f t="array" ref="F1725">XLOOKUP(Cover!$D$12,$S$1:$AA$1,$S1725:$AA1725)</f>
        <v>Mandatory</v>
      </c>
      <c r="G1725" s="154" t="s">
        <v>4436</v>
      </c>
      <c r="H1725" s="154" t="s">
        <v>4265</v>
      </c>
      <c r="I1725" s="154" t="s">
        <v>632</v>
      </c>
      <c r="J1725" s="247" t="s">
        <v>445</v>
      </c>
      <c r="K1725" s="154"/>
      <c r="L1725" s="154" t="str">
        <f t="shared" si="1"/>
        <v/>
      </c>
      <c r="M1725" s="248" t="str">
        <f>IFERROR(__xludf.DUMMYFUNCTION("VLOOKUP(C1725,IMPORTRANGE(""https://docs.google.com/spreadsheets/d/1P8eX0NWBhUPS_hvzA11R6jkTNFrPrRYIx_dX_hYbxrk/edit?resourcekey=0-iw9bsKY2OqkUHCFMkCar3A&amp;gid=2055363397#gid=2055363397"",""MTR!C:O""),11,false)"),"PMW-IMS")</f>
        <v>PMW-IMS</v>
      </c>
      <c r="N1725" s="248" t="str">
        <f>IFERROR(__xludf.DUMMYFUNCTION("VLOOKUP(C1725,IMPORTRANGE(""https://docs.google.com/spreadsheets/d/1ihFlp3_ePlYtFuPbUNbYj1muErVpI73WHXbEwJDIA7Q/edit#gid=1493122344"",""MTR!C:O""),8,false)"),"Complies")</f>
        <v>Complies</v>
      </c>
      <c r="O1725" s="241" t="str">
        <f>IFERROR(__xludf.DUMMYFUNCTION("VLOOKUP(C1725,IMPORTRANGE(""https://docs.google.com/spreadsheets/d/1P8eX0NWBhUPS_hvzA11R6jkTNFrPrRYIx_dX_hYbxrk/edit?resourcekey=0-iw9bsKY2OqkUHCFMkCar3A&amp;gid=2055363397#gid=2055363397"",""MTR!C:O""),9,false)"),"")</f>
        <v/>
      </c>
      <c r="P1725" s="241"/>
      <c r="Q1725" s="251" t="s">
        <v>445</v>
      </c>
      <c r="R1725" s="241"/>
      <c r="S1725" s="154" t="s">
        <v>60</v>
      </c>
      <c r="T1725" s="154" t="s">
        <v>60</v>
      </c>
      <c r="U1725" s="154" t="s">
        <v>60</v>
      </c>
      <c r="V1725" s="154" t="s">
        <v>60</v>
      </c>
      <c r="W1725" s="154" t="s">
        <v>60</v>
      </c>
      <c r="X1725" s="154" t="s">
        <v>60</v>
      </c>
      <c r="Y1725" s="154" t="s">
        <v>64</v>
      </c>
      <c r="Z1725" s="154" t="s">
        <v>64</v>
      </c>
      <c r="AA1725" s="154" t="s">
        <v>64</v>
      </c>
      <c r="AB1725" s="154"/>
      <c r="AC1725" s="242" t="b">
        <f t="shared" si="2"/>
        <v>1</v>
      </c>
      <c r="AD1725" s="154" t="s">
        <v>391</v>
      </c>
      <c r="AE1725" s="243" t="b">
        <f t="shared" si="3"/>
        <v>0</v>
      </c>
      <c r="AF1725" s="154"/>
      <c r="AG1725" s="243" t="b">
        <f t="shared" si="7"/>
        <v>0</v>
      </c>
      <c r="AH1725" s="154"/>
      <c r="AI1725" s="243" t="str">
        <f t="shared" si="5"/>
        <v>N/A</v>
      </c>
      <c r="AJ1725" s="157" t="str">
        <f t="shared" si="6"/>
        <v/>
      </c>
    </row>
    <row r="1726" ht="12.75" customHeight="1">
      <c r="A1726" s="244" t="s">
        <v>4158</v>
      </c>
      <c r="B1726" s="244" t="s">
        <v>4161</v>
      </c>
      <c r="C1726" s="244" t="s">
        <v>4437</v>
      </c>
      <c r="D1726" s="154" t="s">
        <v>1282</v>
      </c>
      <c r="E1726" s="250"/>
      <c r="F1726" s="154" t="str">
        <f t="array" ref="F1726">XLOOKUP(Cover!$D$12,$S$1:$AA$1,$S1726:$AA1726)</f>
        <v>Mandatory</v>
      </c>
      <c r="G1726" s="154" t="s">
        <v>4438</v>
      </c>
      <c r="H1726" s="154" t="s">
        <v>4265</v>
      </c>
      <c r="I1726" s="154" t="s">
        <v>632</v>
      </c>
      <c r="J1726" s="247" t="s">
        <v>445</v>
      </c>
      <c r="K1726" s="154"/>
      <c r="L1726" s="154" t="str">
        <f t="shared" si="1"/>
        <v/>
      </c>
      <c r="M1726" s="248" t="str">
        <f>IFERROR(__xludf.DUMMYFUNCTION("VLOOKUP(C1726,IMPORTRANGE(""https://docs.google.com/spreadsheets/d/1P8eX0NWBhUPS_hvzA11R6jkTNFrPrRYIx_dX_hYbxrk/edit?resourcekey=0-iw9bsKY2OqkUHCFMkCar3A&amp;gid=2055363397#gid=2055363397"",""MTR!C:O""),11,false)"),"PMW-IMS")</f>
        <v>PMW-IMS</v>
      </c>
      <c r="N1726" s="248" t="str">
        <f>IFERROR(__xludf.DUMMYFUNCTION("VLOOKUP(C1726,IMPORTRANGE(""https://docs.google.com/spreadsheets/d/1ihFlp3_ePlYtFuPbUNbYj1muErVpI73WHXbEwJDIA7Q/edit#gid=1493122344"",""MTR!C:O""),8,false)"),"Complies")</f>
        <v>Complies</v>
      </c>
      <c r="O1726" s="241" t="str">
        <f>IFERROR(__xludf.DUMMYFUNCTION("VLOOKUP(C1726,IMPORTRANGE(""https://docs.google.com/spreadsheets/d/1P8eX0NWBhUPS_hvzA11R6jkTNFrPrRYIx_dX_hYbxrk/edit?resourcekey=0-iw9bsKY2OqkUHCFMkCar3A&amp;gid=2055363397#gid=2055363397"",""MTR!C:O""),9,false)"),"")</f>
        <v/>
      </c>
      <c r="P1726" s="241"/>
      <c r="Q1726" s="251" t="s">
        <v>445</v>
      </c>
      <c r="R1726" s="241"/>
      <c r="S1726" s="154" t="s">
        <v>60</v>
      </c>
      <c r="T1726" s="154" t="s">
        <v>60</v>
      </c>
      <c r="U1726" s="154" t="s">
        <v>60</v>
      </c>
      <c r="V1726" s="154" t="s">
        <v>60</v>
      </c>
      <c r="W1726" s="154" t="s">
        <v>60</v>
      </c>
      <c r="X1726" s="154" t="s">
        <v>60</v>
      </c>
      <c r="Y1726" s="154" t="s">
        <v>64</v>
      </c>
      <c r="Z1726" s="154" t="s">
        <v>64</v>
      </c>
      <c r="AA1726" s="154" t="s">
        <v>64</v>
      </c>
      <c r="AB1726" s="154"/>
      <c r="AC1726" s="242" t="b">
        <f t="shared" si="2"/>
        <v>1</v>
      </c>
      <c r="AD1726" s="154" t="s">
        <v>391</v>
      </c>
      <c r="AE1726" s="243" t="b">
        <f t="shared" si="3"/>
        <v>0</v>
      </c>
      <c r="AF1726" s="154"/>
      <c r="AG1726" s="243" t="b">
        <f t="shared" si="7"/>
        <v>0</v>
      </c>
      <c r="AH1726" s="154"/>
      <c r="AI1726" s="243" t="str">
        <f t="shared" si="5"/>
        <v>N/A</v>
      </c>
      <c r="AJ1726" s="157" t="str">
        <f t="shared" si="6"/>
        <v/>
      </c>
    </row>
    <row r="1727" ht="12.75" customHeight="1">
      <c r="A1727" s="244" t="s">
        <v>4158</v>
      </c>
      <c r="B1727" s="244" t="s">
        <v>4161</v>
      </c>
      <c r="C1727" s="244" t="s">
        <v>4439</v>
      </c>
      <c r="D1727" s="154" t="s">
        <v>1120</v>
      </c>
      <c r="E1727" s="250"/>
      <c r="F1727" s="154" t="str">
        <f t="array" ref="F1727">XLOOKUP(Cover!$D$12,$S$1:$AA$1,$S1727:$AA1727)</f>
        <v>Mandatory</v>
      </c>
      <c r="G1727" s="154" t="s">
        <v>4440</v>
      </c>
      <c r="H1727" s="154" t="s">
        <v>4279</v>
      </c>
      <c r="I1727" s="154" t="s">
        <v>632</v>
      </c>
      <c r="J1727" s="247" t="s">
        <v>445</v>
      </c>
      <c r="K1727" s="247" t="s">
        <v>4441</v>
      </c>
      <c r="L1727" s="154" t="str">
        <f t="shared" si="1"/>
        <v/>
      </c>
      <c r="M1727" s="248" t="str">
        <f>IFERROR(__xludf.DUMMYFUNCTION("VLOOKUP(C1727,IMPORTRANGE(""https://docs.google.com/spreadsheets/d/1P8eX0NWBhUPS_hvzA11R6jkTNFrPrRYIx_dX_hYbxrk/edit?resourcekey=0-iw9bsKY2OqkUHCFMkCar3A&amp;gid=2055363397#gid=2055363397"",""MTR!C:O""),11,false)"),"PMW-IMS")</f>
        <v>PMW-IMS</v>
      </c>
      <c r="N1727" s="248" t="str">
        <f>IFERROR(__xludf.DUMMYFUNCTION("VLOOKUP(C1727,IMPORTRANGE(""https://docs.google.com/spreadsheets/d/1ihFlp3_ePlYtFuPbUNbYj1muErVpI73WHXbEwJDIA7Q/edit#gid=1493122344"",""MTR!C:O""),8,false)"),"Complies")</f>
        <v>Complies</v>
      </c>
      <c r="O1727" s="248" t="str">
        <f>IFERROR(__xludf.DUMMYFUNCTION("VLOOKUP(C1727,IMPORTRANGE(""https://docs.google.com/spreadsheets/d/1P8eX0NWBhUPS_hvzA11R6jkTNFrPrRYIx_dX_hYbxrk/edit?resourcekey=0-iw9bsKY2OqkUHCFMkCar3A&amp;gid=2055363397#gid=2055363397"",""MTR!C:O""),9,false)"),"KEY_LEN_AES_128,
KEY_LEN_AES_192,
KEY_LEN_AES_256")</f>
        <v>KEY_LEN_AES_128,
KEY_LEN_AES_192,
KEY_LEN_AES_256</v>
      </c>
      <c r="P1727" s="248"/>
      <c r="Q1727" s="249" t="s">
        <v>445</v>
      </c>
      <c r="R1727" s="249" t="s">
        <v>4441</v>
      </c>
      <c r="S1727" s="154" t="s">
        <v>60</v>
      </c>
      <c r="T1727" s="154" t="s">
        <v>60</v>
      </c>
      <c r="U1727" s="154" t="s">
        <v>60</v>
      </c>
      <c r="V1727" s="154" t="s">
        <v>60</v>
      </c>
      <c r="W1727" s="154" t="s">
        <v>60</v>
      </c>
      <c r="X1727" s="154" t="s">
        <v>60</v>
      </c>
      <c r="Y1727" s="154" t="s">
        <v>64</v>
      </c>
      <c r="Z1727" s="154" t="s">
        <v>64</v>
      </c>
      <c r="AA1727" s="154" t="s">
        <v>64</v>
      </c>
      <c r="AB1727" s="154"/>
      <c r="AC1727" s="242" t="b">
        <f t="shared" si="2"/>
        <v>1</v>
      </c>
      <c r="AD1727" s="154" t="s">
        <v>391</v>
      </c>
      <c r="AE1727" s="243" t="b">
        <f t="shared" si="3"/>
        <v>0</v>
      </c>
      <c r="AF1727" s="154"/>
      <c r="AG1727" s="243" t="b">
        <f t="shared" si="7"/>
        <v>0</v>
      </c>
      <c r="AH1727" s="154"/>
      <c r="AI1727" s="243" t="str">
        <f t="shared" si="5"/>
        <v>N/A</v>
      </c>
      <c r="AJ1727" s="157" t="str">
        <f t="shared" si="6"/>
        <v/>
      </c>
    </row>
    <row r="1728" ht="12.75" customHeight="1">
      <c r="A1728" s="244" t="s">
        <v>4158</v>
      </c>
      <c r="B1728" s="244" t="s">
        <v>4161</v>
      </c>
      <c r="C1728" s="244" t="s">
        <v>4442</v>
      </c>
      <c r="D1728" s="154" t="s">
        <v>1120</v>
      </c>
      <c r="E1728" s="250"/>
      <c r="F1728" s="154" t="str">
        <f t="array" ref="F1728">XLOOKUP(Cover!$D$12,$S$1:$AA$1,$S1728:$AA1728)</f>
        <v>Mandatory</v>
      </c>
      <c r="G1728" s="154" t="s">
        <v>4443</v>
      </c>
      <c r="H1728" s="154" t="s">
        <v>4279</v>
      </c>
      <c r="I1728" s="154" t="s">
        <v>632</v>
      </c>
      <c r="J1728" s="247" t="s">
        <v>445</v>
      </c>
      <c r="K1728" s="247" t="s">
        <v>4444</v>
      </c>
      <c r="L1728" s="154" t="str">
        <f t="shared" si="1"/>
        <v/>
      </c>
      <c r="M1728" s="248" t="str">
        <f>IFERROR(__xludf.DUMMYFUNCTION("VLOOKUP(C1728,IMPORTRANGE(""https://docs.google.com/spreadsheets/d/1P8eX0NWBhUPS_hvzA11R6jkTNFrPrRYIx_dX_hYbxrk/edit?resourcekey=0-iw9bsKY2OqkUHCFMkCar3A&amp;gid=2055363397#gid=2055363397"",""MTR!C:O""),11,false)"),"PMW-IMS")</f>
        <v>PMW-IMS</v>
      </c>
      <c r="N1728" s="248" t="str">
        <f>IFERROR(__xludf.DUMMYFUNCTION("VLOOKUP(C1728,IMPORTRANGE(""https://docs.google.com/spreadsheets/d/1ihFlp3_ePlYtFuPbUNbYj1muErVpI73WHXbEwJDIA7Q/edit#gid=1493122344"",""MTR!C:O""),8,false)"),"Complies")</f>
        <v>Complies</v>
      </c>
      <c r="O1728" s="248" t="str">
        <f>IFERROR(__xludf.DUMMYFUNCTION("VLOOKUP(C1728,IMPORTRANGE(""https://docs.google.com/spreadsheets/d/1P8eX0NWBhUPS_hvzA11R6jkTNFrPrRYIx_dX_hYbxrk/edit?resourcekey=0-iw9bsKY2OqkUHCFMkCar3A&amp;gid=2055363397#gid=2055363397"",""MTR!C:O""),9,false)"),"AIMS_IPSEC_ENC_ALGO =7")</f>
        <v>AIMS_IPSEC_ENC_ALGO =7</v>
      </c>
      <c r="P1728" s="248"/>
      <c r="Q1728" s="249" t="s">
        <v>445</v>
      </c>
      <c r="R1728" s="249" t="s">
        <v>4444</v>
      </c>
      <c r="S1728" s="154" t="s">
        <v>60</v>
      </c>
      <c r="T1728" s="154" t="s">
        <v>60</v>
      </c>
      <c r="U1728" s="154" t="s">
        <v>60</v>
      </c>
      <c r="V1728" s="154" t="s">
        <v>60</v>
      </c>
      <c r="W1728" s="154" t="s">
        <v>60</v>
      </c>
      <c r="X1728" s="154" t="s">
        <v>60</v>
      </c>
      <c r="Y1728" s="154" t="s">
        <v>64</v>
      </c>
      <c r="Z1728" s="154" t="s">
        <v>64</v>
      </c>
      <c r="AA1728" s="154" t="s">
        <v>64</v>
      </c>
      <c r="AB1728" s="154"/>
      <c r="AC1728" s="242" t="b">
        <f t="shared" si="2"/>
        <v>1</v>
      </c>
      <c r="AD1728" s="154" t="s">
        <v>391</v>
      </c>
      <c r="AE1728" s="243" t="b">
        <f t="shared" si="3"/>
        <v>0</v>
      </c>
      <c r="AF1728" s="154"/>
      <c r="AG1728" s="243" t="b">
        <f t="shared" si="7"/>
        <v>0</v>
      </c>
      <c r="AH1728" s="154"/>
      <c r="AI1728" s="243" t="str">
        <f t="shared" si="5"/>
        <v>N/A</v>
      </c>
      <c r="AJ1728" s="157" t="str">
        <f t="shared" si="6"/>
        <v/>
      </c>
    </row>
    <row r="1729" ht="12.75" customHeight="1">
      <c r="A1729" s="244" t="s">
        <v>4158</v>
      </c>
      <c r="B1729" s="244" t="s">
        <v>4161</v>
      </c>
      <c r="C1729" s="244" t="s">
        <v>4445</v>
      </c>
      <c r="D1729" s="154" t="s">
        <v>1120</v>
      </c>
      <c r="E1729" s="250"/>
      <c r="F1729" s="154" t="str">
        <f t="array" ref="F1729">XLOOKUP(Cover!$D$12,$S$1:$AA$1,$S1729:$AA1729)</f>
        <v>Mandatory</v>
      </c>
      <c r="G1729" s="154" t="s">
        <v>4446</v>
      </c>
      <c r="H1729" s="154" t="s">
        <v>4279</v>
      </c>
      <c r="I1729" s="154" t="s">
        <v>632</v>
      </c>
      <c r="J1729" s="247" t="s">
        <v>445</v>
      </c>
      <c r="K1729" s="247" t="s">
        <v>4447</v>
      </c>
      <c r="L1729" s="154" t="str">
        <f t="shared" si="1"/>
        <v/>
      </c>
      <c r="M1729" s="248" t="str">
        <f>IFERROR(__xludf.DUMMYFUNCTION("VLOOKUP(C1729,IMPORTRANGE(""https://docs.google.com/spreadsheets/d/1P8eX0NWBhUPS_hvzA11R6jkTNFrPrRYIx_dX_hYbxrk/edit?resourcekey=0-iw9bsKY2OqkUHCFMkCar3A&amp;gid=2055363397#gid=2055363397"",""MTR!C:O""),11,false)"),"PMW-IMS")</f>
        <v>PMW-IMS</v>
      </c>
      <c r="N1729" s="248" t="str">
        <f>IFERROR(__xludf.DUMMYFUNCTION("VLOOKUP(C1729,IMPORTRANGE(""https://docs.google.com/spreadsheets/d/1ihFlp3_ePlYtFuPbUNbYj1muErVpI73WHXbEwJDIA7Q/edit#gid=1493122344"",""MTR!C:O""),8,false)"),"Complies")</f>
        <v>Complies</v>
      </c>
      <c r="O1729" s="248" t="str">
        <f>IFERROR(__xludf.DUMMYFUNCTION("VLOOKUP(C1729,IMPORTRANGE(""https://docs.google.com/spreadsheets/d/1P8eX0NWBhUPS_hvzA11R6jkTNFrPrRYIx_dX_hYbxrk/edit?resourcekey=0-iw9bsKY2OqkUHCFMkCar3A&amp;gid=2055363397#gid=2055363397"",""MTR!C:O""),9,false)"),"hmac-md5-96,""hmac-sha-1-96")</f>
        <v>hmac-md5-96,"hmac-sha-1-96</v>
      </c>
      <c r="P1729" s="248"/>
      <c r="Q1729" s="249" t="s">
        <v>445</v>
      </c>
      <c r="R1729" s="249" t="s">
        <v>4447</v>
      </c>
      <c r="S1729" s="154" t="s">
        <v>60</v>
      </c>
      <c r="T1729" s="154" t="s">
        <v>60</v>
      </c>
      <c r="U1729" s="154" t="s">
        <v>60</v>
      </c>
      <c r="V1729" s="154" t="s">
        <v>60</v>
      </c>
      <c r="W1729" s="154" t="s">
        <v>60</v>
      </c>
      <c r="X1729" s="154" t="s">
        <v>60</v>
      </c>
      <c r="Y1729" s="154" t="s">
        <v>64</v>
      </c>
      <c r="Z1729" s="154" t="s">
        <v>64</v>
      </c>
      <c r="AA1729" s="154" t="s">
        <v>64</v>
      </c>
      <c r="AB1729" s="154"/>
      <c r="AC1729" s="242" t="b">
        <f t="shared" si="2"/>
        <v>1</v>
      </c>
      <c r="AD1729" s="154" t="s">
        <v>391</v>
      </c>
      <c r="AE1729" s="243" t="b">
        <f t="shared" si="3"/>
        <v>0</v>
      </c>
      <c r="AF1729" s="154"/>
      <c r="AG1729" s="243" t="b">
        <f t="shared" si="7"/>
        <v>0</v>
      </c>
      <c r="AH1729" s="154"/>
      <c r="AI1729" s="243" t="str">
        <f t="shared" si="5"/>
        <v>N/A</v>
      </c>
      <c r="AJ1729" s="157" t="str">
        <f t="shared" si="6"/>
        <v/>
      </c>
    </row>
    <row r="1730" ht="12.75" customHeight="1">
      <c r="A1730" s="244" t="s">
        <v>4158</v>
      </c>
      <c r="B1730" s="244" t="s">
        <v>4161</v>
      </c>
      <c r="C1730" s="244" t="s">
        <v>4448</v>
      </c>
      <c r="D1730" s="154" t="s">
        <v>542</v>
      </c>
      <c r="E1730" s="250"/>
      <c r="F1730" s="154" t="str">
        <f t="array" ref="F1730">XLOOKUP(Cover!$D$12,$S$1:$AA$1,$S1730:$AA1730)</f>
        <v>Information</v>
      </c>
      <c r="G1730" s="154" t="s">
        <v>4449</v>
      </c>
      <c r="H1730" s="154"/>
      <c r="I1730" s="154" t="s">
        <v>632</v>
      </c>
      <c r="J1730" s="247" t="s">
        <v>516</v>
      </c>
      <c r="K1730" s="247"/>
      <c r="L1730" s="154" t="str">
        <f t="shared" si="1"/>
        <v/>
      </c>
      <c r="M1730" s="248" t="str">
        <f>IFERROR(__xludf.DUMMYFUNCTION("VLOOKUP(C1730,IMPORTRANGE(""https://docs.google.com/spreadsheets/d/1P8eX0NWBhUPS_hvzA11R6jkTNFrPrRYIx_dX_hYbxrk/edit?resourcekey=0-iw9bsKY2OqkUHCFMkCar3A&amp;gid=2055363397#gid=2055363397"",""MTR!C:O""),11,false)"),"PMW-IMS")</f>
        <v>PMW-IMS</v>
      </c>
      <c r="N1730" s="248" t="str">
        <f>IFERROR(__xludf.DUMMYFUNCTION("VLOOKUP(C1730,IMPORTRANGE(""https://docs.google.com/spreadsheets/d/1ihFlp3_ePlYtFuPbUNbYj1muErVpI73WHXbEwJDIA7Q/edit#gid=1493122344"",""MTR!C:O""),8,false)"),"Does Not Comply")</f>
        <v>Does Not Comply</v>
      </c>
      <c r="O1730" s="241" t="str">
        <f>IFERROR(__xludf.DUMMYFUNCTION("VLOOKUP(C1730,IMPORTRANGE(""https://docs.google.com/spreadsheets/d/1P8eX0NWBhUPS_hvzA11R6jkTNFrPrRYIx_dX_hYbxrk/edit?resourcekey=0-iw9bsKY2OqkUHCFMkCar3A&amp;gid=2055363397#gid=2055363397"",""MTR!C:O""),9,false)"),"")</f>
        <v/>
      </c>
      <c r="P1730" s="241"/>
      <c r="Q1730" s="251" t="s">
        <v>516</v>
      </c>
      <c r="R1730" s="251"/>
      <c r="S1730" s="154" t="s">
        <v>66</v>
      </c>
      <c r="T1730" s="154" t="s">
        <v>66</v>
      </c>
      <c r="U1730" s="154" t="s">
        <v>66</v>
      </c>
      <c r="V1730" s="154" t="s">
        <v>66</v>
      </c>
      <c r="W1730" s="154" t="s">
        <v>66</v>
      </c>
      <c r="X1730" s="154" t="s">
        <v>66</v>
      </c>
      <c r="Y1730" s="154" t="s">
        <v>66</v>
      </c>
      <c r="Z1730" s="154" t="s">
        <v>66</v>
      </c>
      <c r="AA1730" s="154" t="s">
        <v>66</v>
      </c>
      <c r="AB1730" s="154"/>
      <c r="AC1730" s="242" t="b">
        <f t="shared" si="2"/>
        <v>1</v>
      </c>
      <c r="AD1730" s="154" t="s">
        <v>391</v>
      </c>
      <c r="AE1730" s="243" t="b">
        <f t="shared" si="3"/>
        <v>0</v>
      </c>
      <c r="AF1730" s="154"/>
      <c r="AG1730" s="243" t="b">
        <f t="shared" si="7"/>
        <v>0</v>
      </c>
      <c r="AH1730" s="154"/>
      <c r="AI1730" s="243" t="str">
        <f t="shared" si="5"/>
        <v>N/A</v>
      </c>
      <c r="AJ1730" s="157" t="str">
        <f t="shared" si="6"/>
        <v/>
      </c>
    </row>
    <row r="1731" ht="12.75" customHeight="1">
      <c r="A1731" s="244" t="s">
        <v>4158</v>
      </c>
      <c r="B1731" s="244" t="s">
        <v>4161</v>
      </c>
      <c r="C1731" s="244" t="s">
        <v>4450</v>
      </c>
      <c r="D1731" s="154" t="s">
        <v>542</v>
      </c>
      <c r="E1731" s="250"/>
      <c r="F1731" s="154" t="str">
        <f t="array" ref="F1731">XLOOKUP(Cover!$D$12,$S$1:$AA$1,$S1731:$AA1731)</f>
        <v>Information</v>
      </c>
      <c r="G1731" s="154" t="s">
        <v>4451</v>
      </c>
      <c r="H1731" s="154"/>
      <c r="I1731" s="154" t="s">
        <v>632</v>
      </c>
      <c r="J1731" s="247" t="s">
        <v>516</v>
      </c>
      <c r="K1731" s="154"/>
      <c r="L1731" s="154" t="str">
        <f t="shared" si="1"/>
        <v/>
      </c>
      <c r="M1731" s="248" t="str">
        <f>IFERROR(__xludf.DUMMYFUNCTION("VLOOKUP(C1731,IMPORTRANGE(""https://docs.google.com/spreadsheets/d/1P8eX0NWBhUPS_hvzA11R6jkTNFrPrRYIx_dX_hYbxrk/edit?resourcekey=0-iw9bsKY2OqkUHCFMkCar3A&amp;gid=2055363397#gid=2055363397"",""MTR!C:O""),11,false)"),"PMW-IMS")</f>
        <v>PMW-IMS</v>
      </c>
      <c r="N1731" s="248" t="str">
        <f>IFERROR(__xludf.DUMMYFUNCTION("VLOOKUP(C1731,IMPORTRANGE(""https://docs.google.com/spreadsheets/d/1ihFlp3_ePlYtFuPbUNbYj1muErVpI73WHXbEwJDIA7Q/edit#gid=1493122344"",""MTR!C:O""),8,false)"),"Does Not Comply")</f>
        <v>Does Not Comply</v>
      </c>
      <c r="O1731" s="241" t="str">
        <f>IFERROR(__xludf.DUMMYFUNCTION("VLOOKUP(C1731,IMPORTRANGE(""https://docs.google.com/spreadsheets/d/1P8eX0NWBhUPS_hvzA11R6jkTNFrPrRYIx_dX_hYbxrk/edit?resourcekey=0-iw9bsKY2OqkUHCFMkCar3A&amp;gid=2055363397#gid=2055363397"",""MTR!C:O""),9,false)"),"")</f>
        <v/>
      </c>
      <c r="P1731" s="241"/>
      <c r="Q1731" s="251" t="s">
        <v>516</v>
      </c>
      <c r="R1731" s="241"/>
      <c r="S1731" s="154" t="s">
        <v>66</v>
      </c>
      <c r="T1731" s="154" t="s">
        <v>66</v>
      </c>
      <c r="U1731" s="154" t="s">
        <v>66</v>
      </c>
      <c r="V1731" s="154" t="s">
        <v>66</v>
      </c>
      <c r="W1731" s="154" t="s">
        <v>66</v>
      </c>
      <c r="X1731" s="154" t="s">
        <v>66</v>
      </c>
      <c r="Y1731" s="154" t="s">
        <v>66</v>
      </c>
      <c r="Z1731" s="154" t="s">
        <v>66</v>
      </c>
      <c r="AA1731" s="154" t="s">
        <v>66</v>
      </c>
      <c r="AB1731" s="154"/>
      <c r="AC1731" s="242" t="b">
        <f t="shared" si="2"/>
        <v>1</v>
      </c>
      <c r="AD1731" s="154" t="s">
        <v>391</v>
      </c>
      <c r="AE1731" s="243" t="b">
        <f t="shared" si="3"/>
        <v>0</v>
      </c>
      <c r="AF1731" s="154"/>
      <c r="AG1731" s="243" t="b">
        <f t="shared" si="7"/>
        <v>0</v>
      </c>
      <c r="AH1731" s="154"/>
      <c r="AI1731" s="243" t="str">
        <f t="shared" si="5"/>
        <v>N/A</v>
      </c>
      <c r="AJ1731" s="157" t="str">
        <f t="shared" si="6"/>
        <v/>
      </c>
    </row>
    <row r="1732" ht="12.75" customHeight="1">
      <c r="A1732" s="238" t="s">
        <v>4158</v>
      </c>
      <c r="B1732" s="238" t="s">
        <v>4161</v>
      </c>
      <c r="C1732" s="238" t="s">
        <v>4452</v>
      </c>
      <c r="D1732" s="238"/>
      <c r="E1732" s="238"/>
      <c r="F1732" s="154" t="str">
        <f t="array" ref="F1732">XLOOKUP(Cover!$D$12,$S$1:$AA$1,$S1732:$AA1732)</f>
        <v>Heading</v>
      </c>
      <c r="G1732" s="239" t="s">
        <v>4453</v>
      </c>
      <c r="H1732" s="240"/>
      <c r="I1732" s="240" t="s">
        <v>632</v>
      </c>
      <c r="J1732" s="262"/>
      <c r="K1732" s="240"/>
      <c r="L1732" s="154" t="str">
        <f t="shared" si="1"/>
        <v/>
      </c>
      <c r="M1732" s="241" t="str">
        <f>IFERROR(__xludf.DUMMYFUNCTION("VLOOKUP(C1732,IMPORTRANGE(""https://docs.google.com/spreadsheets/d/1P8eX0NWBhUPS_hvzA11R6jkTNFrPrRYIx_dX_hYbxrk/edit?resourcekey=0-iw9bsKY2OqkUHCFMkCar3A&amp;gid=2055363397#gid=2055363397"",""MTR!C:O""),11,false)"),"")</f>
        <v/>
      </c>
      <c r="N1732" s="241" t="str">
        <f>IFERROR(__xludf.DUMMYFUNCTION("VLOOKUP(C1732,IMPORTRANGE(""https://docs.google.com/spreadsheets/d/1ihFlp3_ePlYtFuPbUNbYj1muErVpI73WHXbEwJDIA7Q/edit#gid=1493122344"",""MTR!C:O""),8,false)"),"")</f>
        <v/>
      </c>
      <c r="O1732" s="241" t="str">
        <f>IFERROR(__xludf.DUMMYFUNCTION("VLOOKUP(C1732,IMPORTRANGE(""https://docs.google.com/spreadsheets/d/1P8eX0NWBhUPS_hvzA11R6jkTNFrPrRYIx_dX_hYbxrk/edit?resourcekey=0-iw9bsKY2OqkUHCFMkCar3A&amp;gid=2055363397#gid=2055363397"",""MTR!C:O""),9,false)"),"")</f>
        <v/>
      </c>
      <c r="P1732" s="241"/>
      <c r="Q1732" s="251"/>
      <c r="R1732" s="241"/>
      <c r="S1732" s="240" t="s">
        <v>390</v>
      </c>
      <c r="T1732" s="240" t="s">
        <v>390</v>
      </c>
      <c r="U1732" s="240" t="s">
        <v>390</v>
      </c>
      <c r="V1732" s="240" t="s">
        <v>390</v>
      </c>
      <c r="W1732" s="240" t="s">
        <v>390</v>
      </c>
      <c r="X1732" s="240" t="s">
        <v>390</v>
      </c>
      <c r="Y1732" s="240" t="s">
        <v>390</v>
      </c>
      <c r="Z1732" s="240" t="s">
        <v>390</v>
      </c>
      <c r="AA1732" s="240" t="s">
        <v>390</v>
      </c>
      <c r="AB1732" s="240"/>
      <c r="AC1732" s="242" t="b">
        <f t="shared" si="2"/>
        <v>0</v>
      </c>
      <c r="AD1732" s="240" t="s">
        <v>391</v>
      </c>
      <c r="AE1732" s="243" t="b">
        <f t="shared" si="3"/>
        <v>0</v>
      </c>
      <c r="AF1732" s="240"/>
      <c r="AG1732" s="243" t="b">
        <f t="shared" si="7"/>
        <v>0</v>
      </c>
      <c r="AH1732" s="240"/>
      <c r="AI1732" s="243" t="str">
        <f t="shared" si="5"/>
        <v>N/A</v>
      </c>
      <c r="AJ1732" s="157" t="str">
        <f t="shared" si="6"/>
        <v/>
      </c>
    </row>
    <row r="1733" ht="12.75" customHeight="1">
      <c r="A1733" s="244" t="s">
        <v>4158</v>
      </c>
      <c r="B1733" s="244" t="s">
        <v>4161</v>
      </c>
      <c r="C1733" s="244" t="s">
        <v>4454</v>
      </c>
      <c r="D1733" s="244" t="s">
        <v>739</v>
      </c>
      <c r="E1733" s="244"/>
      <c r="F1733" s="154" t="str">
        <f t="array" ref="F1733">XLOOKUP(Cover!$D$12,$S$1:$AA$1,$S1733:$AA1733)</f>
        <v>Comment</v>
      </c>
      <c r="G1733" s="154" t="s">
        <v>4455</v>
      </c>
      <c r="H1733" s="154"/>
      <c r="I1733" s="154" t="s">
        <v>632</v>
      </c>
      <c r="J1733" s="154"/>
      <c r="K1733" s="154"/>
      <c r="L1733" s="154" t="str">
        <f t="shared" si="1"/>
        <v/>
      </c>
      <c r="M1733" s="241" t="str">
        <f>IFERROR(__xludf.DUMMYFUNCTION("VLOOKUP(C1733,IMPORTRANGE(""https://docs.google.com/spreadsheets/d/1P8eX0NWBhUPS_hvzA11R6jkTNFrPrRYIx_dX_hYbxrk/edit?resourcekey=0-iw9bsKY2OqkUHCFMkCar3A&amp;gid=2055363397#gid=2055363397"",""MTR!C:O""),11,false)"),"")</f>
        <v/>
      </c>
      <c r="N1733" s="241" t="str">
        <f>IFERROR(__xludf.DUMMYFUNCTION("VLOOKUP(C1733,IMPORTRANGE(""https://docs.google.com/spreadsheets/d/1ihFlp3_ePlYtFuPbUNbYj1muErVpI73WHXbEwJDIA7Q/edit#gid=1493122344"",""MTR!C:O""),8,false)"),"")</f>
        <v/>
      </c>
      <c r="O1733" s="241" t="str">
        <f>IFERROR(__xludf.DUMMYFUNCTION("VLOOKUP(C1733,IMPORTRANGE(""https://docs.google.com/spreadsheets/d/1P8eX0NWBhUPS_hvzA11R6jkTNFrPrRYIx_dX_hYbxrk/edit?resourcekey=0-iw9bsKY2OqkUHCFMkCar3A&amp;gid=2055363397#gid=2055363397"",""MTR!C:O""),9,false)"),"")</f>
        <v/>
      </c>
      <c r="P1733" s="241"/>
      <c r="Q1733" s="241"/>
      <c r="R1733" s="241"/>
      <c r="S1733" s="154" t="s">
        <v>35</v>
      </c>
      <c r="T1733" s="154" t="s">
        <v>35</v>
      </c>
      <c r="U1733" s="154" t="s">
        <v>35</v>
      </c>
      <c r="V1733" s="154" t="s">
        <v>35</v>
      </c>
      <c r="W1733" s="154" t="s">
        <v>35</v>
      </c>
      <c r="X1733" s="154" t="s">
        <v>35</v>
      </c>
      <c r="Y1733" s="154" t="s">
        <v>35</v>
      </c>
      <c r="Z1733" s="154" t="s">
        <v>35</v>
      </c>
      <c r="AA1733" s="154" t="s">
        <v>35</v>
      </c>
      <c r="AB1733" s="154"/>
      <c r="AC1733" s="242" t="b">
        <f t="shared" si="2"/>
        <v>0</v>
      </c>
      <c r="AD1733" s="154" t="s">
        <v>391</v>
      </c>
      <c r="AE1733" s="243" t="b">
        <f t="shared" si="3"/>
        <v>0</v>
      </c>
      <c r="AF1733" s="154"/>
      <c r="AG1733" s="243" t="b">
        <f t="shared" si="7"/>
        <v>0</v>
      </c>
      <c r="AH1733" s="154"/>
      <c r="AI1733" s="243" t="str">
        <f t="shared" si="5"/>
        <v>N/A</v>
      </c>
      <c r="AJ1733" s="157" t="str">
        <f t="shared" si="6"/>
        <v/>
      </c>
    </row>
    <row r="1734" ht="12.75" customHeight="1">
      <c r="A1734" s="244" t="s">
        <v>4158</v>
      </c>
      <c r="B1734" s="244" t="s">
        <v>4161</v>
      </c>
      <c r="C1734" s="244" t="s">
        <v>4456</v>
      </c>
      <c r="D1734" s="154" t="s">
        <v>1069</v>
      </c>
      <c r="E1734" s="250"/>
      <c r="F1734" s="154" t="str">
        <f t="array" ref="F1734">XLOOKUP(Cover!$D$12,$S$1:$AA$1,$S1734:$AA1734)</f>
        <v>Mandatory</v>
      </c>
      <c r="G1734" s="154" t="s">
        <v>4457</v>
      </c>
      <c r="H1734" s="154" t="s">
        <v>4279</v>
      </c>
      <c r="I1734" s="154" t="s">
        <v>632</v>
      </c>
      <c r="J1734" s="247" t="s">
        <v>445</v>
      </c>
      <c r="K1734" s="154"/>
      <c r="L1734" s="154" t="str">
        <f t="shared" si="1"/>
        <v/>
      </c>
      <c r="M1734" s="248" t="str">
        <f>IFERROR(__xludf.DUMMYFUNCTION("VLOOKUP(C1734,IMPORTRANGE(""https://docs.google.com/spreadsheets/d/1P8eX0NWBhUPS_hvzA11R6jkTNFrPrRYIx_dX_hYbxrk/edit?resourcekey=0-iw9bsKY2OqkUHCFMkCar3A&amp;gid=2055363397#gid=2055363397"",""MTR!C:O""),11,false)"),"PMW-IMS")</f>
        <v>PMW-IMS</v>
      </c>
      <c r="N1734" s="248" t="str">
        <f>IFERROR(__xludf.DUMMYFUNCTION("VLOOKUP(C1734,IMPORTRANGE(""https://docs.google.com/spreadsheets/d/1ihFlp3_ePlYtFuPbUNbYj1muErVpI73WHXbEwJDIA7Q/edit#gid=1493122344"",""MTR!C:O""),8,false)"),"Complies")</f>
        <v>Complies</v>
      </c>
      <c r="O1734" s="241" t="str">
        <f>IFERROR(__xludf.DUMMYFUNCTION("VLOOKUP(C1734,IMPORTRANGE(""https://docs.google.com/spreadsheets/d/1P8eX0NWBhUPS_hvzA11R6jkTNFrPrRYIx_dX_hYbxrk/edit?resourcekey=0-iw9bsKY2OqkUHCFMkCar3A&amp;gid=2055363397#gid=2055363397"",""MTR!C:O""),9,false)"),"")</f>
        <v/>
      </c>
      <c r="P1734" s="241"/>
      <c r="Q1734" s="251" t="s">
        <v>445</v>
      </c>
      <c r="R1734" s="241"/>
      <c r="S1734" s="154" t="s">
        <v>60</v>
      </c>
      <c r="T1734" s="154" t="s">
        <v>60</v>
      </c>
      <c r="U1734" s="154" t="s">
        <v>60</v>
      </c>
      <c r="V1734" s="154" t="s">
        <v>60</v>
      </c>
      <c r="W1734" s="154" t="s">
        <v>60</v>
      </c>
      <c r="X1734" s="154" t="s">
        <v>60</v>
      </c>
      <c r="Y1734" s="154" t="s">
        <v>64</v>
      </c>
      <c r="Z1734" s="154" t="s">
        <v>64</v>
      </c>
      <c r="AA1734" s="154" t="s">
        <v>64</v>
      </c>
      <c r="AB1734" s="154"/>
      <c r="AC1734" s="242" t="b">
        <f t="shared" si="2"/>
        <v>1</v>
      </c>
      <c r="AD1734" s="154" t="s">
        <v>391</v>
      </c>
      <c r="AE1734" s="243" t="b">
        <f t="shared" si="3"/>
        <v>0</v>
      </c>
      <c r="AF1734" s="154"/>
      <c r="AG1734" s="243" t="b">
        <f t="shared" si="7"/>
        <v>0</v>
      </c>
      <c r="AH1734" s="154"/>
      <c r="AI1734" s="243" t="str">
        <f t="shared" si="5"/>
        <v>N/A</v>
      </c>
      <c r="AJ1734" s="157" t="str">
        <f t="shared" si="6"/>
        <v/>
      </c>
    </row>
    <row r="1735" ht="12.75" customHeight="1">
      <c r="A1735" s="244" t="s">
        <v>4158</v>
      </c>
      <c r="B1735" s="244" t="s">
        <v>4161</v>
      </c>
      <c r="C1735" s="244" t="s">
        <v>4458</v>
      </c>
      <c r="D1735" s="154" t="s">
        <v>739</v>
      </c>
      <c r="E1735" s="250"/>
      <c r="F1735" s="154" t="str">
        <f t="array" ref="F1735">XLOOKUP(Cover!$D$12,$S$1:$AA$1,$S1735:$AA1735)</f>
        <v>Mandatory</v>
      </c>
      <c r="G1735" s="154" t="s">
        <v>4459</v>
      </c>
      <c r="H1735" s="154" t="s">
        <v>4279</v>
      </c>
      <c r="I1735" s="154" t="s">
        <v>632</v>
      </c>
      <c r="J1735" s="247" t="s">
        <v>445</v>
      </c>
      <c r="K1735" s="154"/>
      <c r="L1735" s="154" t="str">
        <f t="shared" si="1"/>
        <v/>
      </c>
      <c r="M1735" s="248" t="str">
        <f>IFERROR(__xludf.DUMMYFUNCTION("VLOOKUP(C1735,IMPORTRANGE(""https://docs.google.com/spreadsheets/d/1P8eX0NWBhUPS_hvzA11R6jkTNFrPrRYIx_dX_hYbxrk/edit?resourcekey=0-iw9bsKY2OqkUHCFMkCar3A&amp;gid=2055363397#gid=2055363397"",""MTR!C:O""),11,false)"),"PMW-IMS")</f>
        <v>PMW-IMS</v>
      </c>
      <c r="N1735" s="248" t="str">
        <f>IFERROR(__xludf.DUMMYFUNCTION("VLOOKUP(C1735,IMPORTRANGE(""https://docs.google.com/spreadsheets/d/1ihFlp3_ePlYtFuPbUNbYj1muErVpI73WHXbEwJDIA7Q/edit#gid=1493122344"",""MTR!C:O""),8,false)"),"Complies")</f>
        <v>Complies</v>
      </c>
      <c r="O1735" s="241" t="str">
        <f>IFERROR(__xludf.DUMMYFUNCTION("VLOOKUP(C1735,IMPORTRANGE(""https://docs.google.com/spreadsheets/d/1P8eX0NWBhUPS_hvzA11R6jkTNFrPrRYIx_dX_hYbxrk/edit?resourcekey=0-iw9bsKY2OqkUHCFMkCar3A&amp;gid=2055363397#gid=2055363397"",""MTR!C:O""),9,false)"),"")</f>
        <v/>
      </c>
      <c r="P1735" s="241"/>
      <c r="Q1735" s="251" t="s">
        <v>445</v>
      </c>
      <c r="R1735" s="241"/>
      <c r="S1735" s="154" t="s">
        <v>60</v>
      </c>
      <c r="T1735" s="154" t="s">
        <v>60</v>
      </c>
      <c r="U1735" s="154" t="s">
        <v>60</v>
      </c>
      <c r="V1735" s="154" t="s">
        <v>60</v>
      </c>
      <c r="W1735" s="154" t="s">
        <v>60</v>
      </c>
      <c r="X1735" s="154" t="s">
        <v>60</v>
      </c>
      <c r="Y1735" s="154" t="s">
        <v>64</v>
      </c>
      <c r="Z1735" s="154" t="s">
        <v>64</v>
      </c>
      <c r="AA1735" s="154" t="s">
        <v>64</v>
      </c>
      <c r="AB1735" s="154"/>
      <c r="AC1735" s="242" t="b">
        <f t="shared" si="2"/>
        <v>1</v>
      </c>
      <c r="AD1735" s="154" t="s">
        <v>391</v>
      </c>
      <c r="AE1735" s="243" t="b">
        <f t="shared" si="3"/>
        <v>0</v>
      </c>
      <c r="AF1735" s="154"/>
      <c r="AG1735" s="243" t="b">
        <f t="shared" si="7"/>
        <v>0</v>
      </c>
      <c r="AH1735" s="154"/>
      <c r="AI1735" s="243" t="str">
        <f t="shared" si="5"/>
        <v>N/A</v>
      </c>
      <c r="AJ1735" s="157" t="str">
        <f t="shared" si="6"/>
        <v/>
      </c>
    </row>
    <row r="1736" ht="12.75" customHeight="1">
      <c r="A1736" s="244" t="s">
        <v>4158</v>
      </c>
      <c r="B1736" s="244" t="s">
        <v>4161</v>
      </c>
      <c r="C1736" s="244" t="s">
        <v>4460</v>
      </c>
      <c r="D1736" s="154" t="s">
        <v>739</v>
      </c>
      <c r="E1736" s="250"/>
      <c r="F1736" s="154" t="str">
        <f t="array" ref="F1736">XLOOKUP(Cover!$D$12,$S$1:$AA$1,$S1736:$AA1736)</f>
        <v>Mandatory</v>
      </c>
      <c r="G1736" s="154" t="s">
        <v>4461</v>
      </c>
      <c r="H1736" s="154" t="s">
        <v>4279</v>
      </c>
      <c r="I1736" s="154" t="s">
        <v>632</v>
      </c>
      <c r="J1736" s="247" t="s">
        <v>445</v>
      </c>
      <c r="K1736" s="154"/>
      <c r="L1736" s="154" t="str">
        <f t="shared" si="1"/>
        <v/>
      </c>
      <c r="M1736" s="248" t="str">
        <f>IFERROR(__xludf.DUMMYFUNCTION("VLOOKUP(C1736,IMPORTRANGE(""https://docs.google.com/spreadsheets/d/1P8eX0NWBhUPS_hvzA11R6jkTNFrPrRYIx_dX_hYbxrk/edit?resourcekey=0-iw9bsKY2OqkUHCFMkCar3A&amp;gid=2055363397#gid=2055363397"",""MTR!C:O""),11,false)"),"PMW-IMS")</f>
        <v>PMW-IMS</v>
      </c>
      <c r="N1736" s="248" t="str">
        <f>IFERROR(__xludf.DUMMYFUNCTION("VLOOKUP(C1736,IMPORTRANGE(""https://docs.google.com/spreadsheets/d/1ihFlp3_ePlYtFuPbUNbYj1muErVpI73WHXbEwJDIA7Q/edit#gid=1493122344"",""MTR!C:O""),8,false)"),"Complies")</f>
        <v>Complies</v>
      </c>
      <c r="O1736" s="241" t="str">
        <f>IFERROR(__xludf.DUMMYFUNCTION("VLOOKUP(C1736,IMPORTRANGE(""https://docs.google.com/spreadsheets/d/1P8eX0NWBhUPS_hvzA11R6jkTNFrPrRYIx_dX_hYbxrk/edit?resourcekey=0-iw9bsKY2OqkUHCFMkCar3A&amp;gid=2055363397#gid=2055363397"",""MTR!C:O""),9,false)"),"")</f>
        <v/>
      </c>
      <c r="P1736" s="241"/>
      <c r="Q1736" s="251" t="s">
        <v>445</v>
      </c>
      <c r="R1736" s="241"/>
      <c r="S1736" s="154" t="s">
        <v>60</v>
      </c>
      <c r="T1736" s="154" t="s">
        <v>60</v>
      </c>
      <c r="U1736" s="154" t="s">
        <v>60</v>
      </c>
      <c r="V1736" s="154" t="s">
        <v>60</v>
      </c>
      <c r="W1736" s="154" t="s">
        <v>60</v>
      </c>
      <c r="X1736" s="154" t="s">
        <v>60</v>
      </c>
      <c r="Y1736" s="154" t="s">
        <v>64</v>
      </c>
      <c r="Z1736" s="154" t="s">
        <v>64</v>
      </c>
      <c r="AA1736" s="154" t="s">
        <v>64</v>
      </c>
      <c r="AB1736" s="154"/>
      <c r="AC1736" s="242" t="b">
        <f t="shared" si="2"/>
        <v>1</v>
      </c>
      <c r="AD1736" s="154" t="s">
        <v>391</v>
      </c>
      <c r="AE1736" s="243" t="b">
        <f t="shared" si="3"/>
        <v>0</v>
      </c>
      <c r="AF1736" s="154"/>
      <c r="AG1736" s="243" t="b">
        <f t="shared" si="7"/>
        <v>0</v>
      </c>
      <c r="AH1736" s="154"/>
      <c r="AI1736" s="243" t="str">
        <f t="shared" si="5"/>
        <v>N/A</v>
      </c>
      <c r="AJ1736" s="157" t="str">
        <f t="shared" si="6"/>
        <v/>
      </c>
    </row>
    <row r="1737" ht="12.75" customHeight="1">
      <c r="A1737" s="244" t="s">
        <v>4158</v>
      </c>
      <c r="B1737" s="244" t="s">
        <v>4161</v>
      </c>
      <c r="C1737" s="244" t="s">
        <v>4462</v>
      </c>
      <c r="D1737" s="154" t="s">
        <v>861</v>
      </c>
      <c r="E1737" s="250"/>
      <c r="F1737" s="154" t="str">
        <f t="array" ref="F1737">XLOOKUP(Cover!$D$12,$S$1:$AA$1,$S1737:$AA1737)</f>
        <v>Mandatory</v>
      </c>
      <c r="G1737" s="154" t="s">
        <v>4463</v>
      </c>
      <c r="H1737" s="154" t="s">
        <v>4279</v>
      </c>
      <c r="I1737" s="154" t="s">
        <v>632</v>
      </c>
      <c r="J1737" s="247" t="s">
        <v>445</v>
      </c>
      <c r="K1737" s="154"/>
      <c r="L1737" s="154" t="str">
        <f t="shared" si="1"/>
        <v/>
      </c>
      <c r="M1737" s="248" t="str">
        <f>IFERROR(__xludf.DUMMYFUNCTION("VLOOKUP(C1737,IMPORTRANGE(""https://docs.google.com/spreadsheets/d/1P8eX0NWBhUPS_hvzA11R6jkTNFrPrRYIx_dX_hYbxrk/edit?resourcekey=0-iw9bsKY2OqkUHCFMkCar3A&amp;gid=2055363397#gid=2055363397"",""MTR!C:O""),11,false)"),"PMW-IMS")</f>
        <v>PMW-IMS</v>
      </c>
      <c r="N1737" s="248" t="str">
        <f>IFERROR(__xludf.DUMMYFUNCTION("VLOOKUP(C1737,IMPORTRANGE(""https://docs.google.com/spreadsheets/d/1ihFlp3_ePlYtFuPbUNbYj1muErVpI73WHXbEwJDIA7Q/edit#gid=1493122344"",""MTR!C:O""),8,false)"),"Complies")</f>
        <v>Complies</v>
      </c>
      <c r="O1737" s="241" t="str">
        <f>IFERROR(__xludf.DUMMYFUNCTION("VLOOKUP(C1737,IMPORTRANGE(""https://docs.google.com/spreadsheets/d/1P8eX0NWBhUPS_hvzA11R6jkTNFrPrRYIx_dX_hYbxrk/edit?resourcekey=0-iw9bsKY2OqkUHCFMkCar3A&amp;gid=2055363397#gid=2055363397"",""MTR!C:O""),9,false)"),"")</f>
        <v/>
      </c>
      <c r="P1737" s="241"/>
      <c r="Q1737" s="251" t="s">
        <v>445</v>
      </c>
      <c r="R1737" s="241"/>
      <c r="S1737" s="154" t="s">
        <v>60</v>
      </c>
      <c r="T1737" s="154" t="s">
        <v>60</v>
      </c>
      <c r="U1737" s="154" t="s">
        <v>60</v>
      </c>
      <c r="V1737" s="154" t="s">
        <v>60</v>
      </c>
      <c r="W1737" s="154" t="s">
        <v>60</v>
      </c>
      <c r="X1737" s="154" t="s">
        <v>60</v>
      </c>
      <c r="Y1737" s="154" t="s">
        <v>64</v>
      </c>
      <c r="Z1737" s="154" t="s">
        <v>64</v>
      </c>
      <c r="AA1737" s="154" t="s">
        <v>64</v>
      </c>
      <c r="AB1737" s="154"/>
      <c r="AC1737" s="242" t="b">
        <f t="shared" si="2"/>
        <v>1</v>
      </c>
      <c r="AD1737" s="154" t="s">
        <v>391</v>
      </c>
      <c r="AE1737" s="243" t="b">
        <f t="shared" si="3"/>
        <v>0</v>
      </c>
      <c r="AF1737" s="154"/>
      <c r="AG1737" s="243" t="b">
        <f t="shared" si="7"/>
        <v>0</v>
      </c>
      <c r="AH1737" s="154"/>
      <c r="AI1737" s="243" t="str">
        <f t="shared" si="5"/>
        <v>N/A</v>
      </c>
      <c r="AJ1737" s="157" t="str">
        <f t="shared" si="6"/>
        <v/>
      </c>
    </row>
    <row r="1738" ht="12.75" customHeight="1">
      <c r="A1738" s="244" t="s">
        <v>4158</v>
      </c>
      <c r="B1738" s="244" t="s">
        <v>4161</v>
      </c>
      <c r="C1738" s="244" t="s">
        <v>4464</v>
      </c>
      <c r="D1738" s="154" t="s">
        <v>503</v>
      </c>
      <c r="E1738" s="250"/>
      <c r="F1738" s="154" t="str">
        <f t="array" ref="F1738">XLOOKUP(Cover!$D$12,$S$1:$AA$1,$S1738:$AA1738)</f>
        <v>Mandatory</v>
      </c>
      <c r="G1738" s="154" t="s">
        <v>4465</v>
      </c>
      <c r="H1738" s="154" t="s">
        <v>4279</v>
      </c>
      <c r="I1738" s="154" t="s">
        <v>632</v>
      </c>
      <c r="J1738" s="247" t="s">
        <v>506</v>
      </c>
      <c r="K1738" s="247" t="s">
        <v>4466</v>
      </c>
      <c r="L1738" s="154" t="str">
        <f t="shared" si="1"/>
        <v/>
      </c>
      <c r="M1738" s="248" t="str">
        <f>IFERROR(__xludf.DUMMYFUNCTION("VLOOKUP(C1738,IMPORTRANGE(""https://docs.google.com/spreadsheets/d/1P8eX0NWBhUPS_hvzA11R6jkTNFrPrRYIx_dX_hYbxrk/edit?resourcekey=0-iw9bsKY2OqkUHCFMkCar3A&amp;gid=2055363397#gid=2055363397"",""MTR!C:O""),11,false)"),"PMW-IMS")</f>
        <v>PMW-IMS</v>
      </c>
      <c r="N1738" s="248" t="str">
        <f>IFERROR(__xludf.DUMMYFUNCTION("VLOOKUP(C1738,IMPORTRANGE(""https://docs.google.com/spreadsheets/d/1ihFlp3_ePlYtFuPbUNbYj1muErVpI73WHXbEwJDIA7Q/edit#gid=1493122344"",""MTR!C:O""),8,false)"),"Does Not Comply")</f>
        <v>Does Not Comply</v>
      </c>
      <c r="O1738" s="248" t="str">
        <f>IFERROR(__xludf.DUMMYFUNCTION("VLOOKUP(C1738,IMPORTRANGE(""https://docs.google.com/spreadsheets/d/1P8eX0NWBhUPS_hvzA11R6jkTNFrPrRYIx_dX_hYbxrk/edit?resourcekey=0-iw9bsKY2OqkUHCFMkCar3A&amp;gid=2055363397#gid=2055363397"",""MTR!C:O""),9,false)"),"Current UE implementation does initial registration in new PCSCF and uses fresh retry timer.
 3GPP 24.229 5.1.9 P-CSCF addresses management
If the UE performs a new P-CSCF discovery or is power-cycled, the UE shall clear all the availability marks on the"&amp;" locally stored P-CSCF addresses.")</f>
        <v>Current UE implementation does initial registration in new PCSCF and uses fresh retry timer.
 3GPP 24.229 5.1.9 P-CSCF addresses management
If the UE performs a new P-CSCF discovery or is power-cycled, the UE shall clear all the availability marks on the locally stored P-CSCF addresses.</v>
      </c>
      <c r="P1738" s="248"/>
      <c r="Q1738" s="249" t="s">
        <v>516</v>
      </c>
      <c r="R1738" s="249" t="s">
        <v>4467</v>
      </c>
      <c r="S1738" s="154" t="s">
        <v>60</v>
      </c>
      <c r="T1738" s="154" t="s">
        <v>60</v>
      </c>
      <c r="U1738" s="154" t="s">
        <v>60</v>
      </c>
      <c r="V1738" s="154" t="s">
        <v>60</v>
      </c>
      <c r="W1738" s="154" t="s">
        <v>60</v>
      </c>
      <c r="X1738" s="154" t="s">
        <v>60</v>
      </c>
      <c r="Y1738" s="154" t="s">
        <v>64</v>
      </c>
      <c r="Z1738" s="154" t="s">
        <v>64</v>
      </c>
      <c r="AA1738" s="154" t="s">
        <v>64</v>
      </c>
      <c r="AB1738" s="154"/>
      <c r="AC1738" s="242" t="b">
        <f t="shared" si="2"/>
        <v>1</v>
      </c>
      <c r="AD1738" s="154" t="s">
        <v>391</v>
      </c>
      <c r="AE1738" s="243" t="b">
        <f t="shared" si="3"/>
        <v>0</v>
      </c>
      <c r="AF1738" s="154"/>
      <c r="AG1738" s="243" t="b">
        <f t="shared" si="7"/>
        <v>0</v>
      </c>
      <c r="AH1738" s="154"/>
      <c r="AI1738" s="243" t="str">
        <f t="shared" si="5"/>
        <v>N/A</v>
      </c>
      <c r="AJ1738" s="157" t="str">
        <f t="shared" si="6"/>
        <v/>
      </c>
    </row>
    <row r="1739" ht="12.75" customHeight="1">
      <c r="A1739" s="244" t="s">
        <v>4158</v>
      </c>
      <c r="B1739" s="244" t="s">
        <v>4161</v>
      </c>
      <c r="C1739" s="244" t="s">
        <v>4468</v>
      </c>
      <c r="D1739" s="154" t="s">
        <v>1773</v>
      </c>
      <c r="E1739" s="250"/>
      <c r="F1739" s="154" t="str">
        <f t="array" ref="F1739">XLOOKUP(Cover!$D$12,$S$1:$AA$1,$S1739:$AA1739)</f>
        <v>Recommended</v>
      </c>
      <c r="G1739" s="154" t="s">
        <v>4469</v>
      </c>
      <c r="H1739" s="154" t="s">
        <v>4279</v>
      </c>
      <c r="I1739" s="154" t="s">
        <v>632</v>
      </c>
      <c r="J1739" s="247" t="s">
        <v>445</v>
      </c>
      <c r="K1739" s="247" t="s">
        <v>4470</v>
      </c>
      <c r="L1739" s="154" t="str">
        <f t="shared" si="1"/>
        <v/>
      </c>
      <c r="M1739" s="248" t="str">
        <f>IFERROR(__xludf.DUMMYFUNCTION("VLOOKUP(C1739,IMPORTRANGE(""https://docs.google.com/spreadsheets/d/1P8eX0NWBhUPS_hvzA11R6jkTNFrPrRYIx_dX_hYbxrk/edit?resourcekey=0-iw9bsKY2OqkUHCFMkCar3A&amp;gid=2055363397#gid=2055363397"",""MTR!C:O""),11,false)"),"PMW-IMS")</f>
        <v>PMW-IMS</v>
      </c>
      <c r="N1739" s="248" t="str">
        <f>IFERROR(__xludf.DUMMYFUNCTION("VLOOKUP(C1739,IMPORTRANGE(""https://docs.google.com/spreadsheets/d/1ihFlp3_ePlYtFuPbUNbYj1muErVpI73WHXbEwJDIA7Q/edit#gid=1493122344"",""MTR!C:O""),8,false)"),"Complies")</f>
        <v>Complies</v>
      </c>
      <c r="O1739" s="241" t="str">
        <f>IFERROR(__xludf.DUMMYFUNCTION("VLOOKUP(C1739,IMPORTRANGE(""https://docs.google.com/spreadsheets/d/1P8eX0NWBhUPS_hvzA11R6jkTNFrPrRYIx_dX_hYbxrk/edit?resourcekey=0-iw9bsKY2OqkUHCFMkCar3A&amp;gid=2055363397#gid=2055363397"",""MTR!C:O""),9,false)"),"")</f>
        <v/>
      </c>
      <c r="P1739" s="241"/>
      <c r="Q1739" s="251" t="s">
        <v>445</v>
      </c>
      <c r="R1739" s="271" t="s">
        <v>4470</v>
      </c>
      <c r="S1739" s="154" t="s">
        <v>64</v>
      </c>
      <c r="T1739" s="154" t="s">
        <v>64</v>
      </c>
      <c r="U1739" s="154" t="s">
        <v>64</v>
      </c>
      <c r="V1739" s="154" t="s">
        <v>64</v>
      </c>
      <c r="W1739" s="154" t="s">
        <v>64</v>
      </c>
      <c r="X1739" s="154" t="s">
        <v>64</v>
      </c>
      <c r="Y1739" s="154" t="s">
        <v>64</v>
      </c>
      <c r="Z1739" s="154" t="s">
        <v>64</v>
      </c>
      <c r="AA1739" s="154" t="s">
        <v>64</v>
      </c>
      <c r="AB1739" s="154"/>
      <c r="AC1739" s="242" t="b">
        <f t="shared" si="2"/>
        <v>1</v>
      </c>
      <c r="AD1739" s="154" t="s">
        <v>391</v>
      </c>
      <c r="AE1739" s="243" t="b">
        <f t="shared" si="3"/>
        <v>0</v>
      </c>
      <c r="AF1739" s="154"/>
      <c r="AG1739" s="243" t="b">
        <f t="shared" si="7"/>
        <v>0</v>
      </c>
      <c r="AH1739" s="154"/>
      <c r="AI1739" s="243" t="str">
        <f t="shared" si="5"/>
        <v>N/A</v>
      </c>
      <c r="AJ1739" s="157" t="str">
        <f t="shared" si="6"/>
        <v/>
      </c>
    </row>
    <row r="1740" ht="12.75" customHeight="1">
      <c r="A1740" s="244" t="s">
        <v>4158</v>
      </c>
      <c r="B1740" s="244" t="s">
        <v>4161</v>
      </c>
      <c r="C1740" s="244" t="s">
        <v>4471</v>
      </c>
      <c r="D1740" s="154" t="s">
        <v>739</v>
      </c>
      <c r="E1740" s="250"/>
      <c r="F1740" s="154" t="str">
        <f t="array" ref="F1740">XLOOKUP(Cover!$D$12,$S$1:$AA$1,$S1740:$AA1740)</f>
        <v>Mandatory</v>
      </c>
      <c r="G1740" s="154" t="s">
        <v>4472</v>
      </c>
      <c r="H1740" s="154" t="s">
        <v>4279</v>
      </c>
      <c r="I1740" s="154" t="s">
        <v>632</v>
      </c>
      <c r="J1740" s="247" t="s">
        <v>445</v>
      </c>
      <c r="K1740" s="247"/>
      <c r="L1740" s="154" t="str">
        <f t="shared" si="1"/>
        <v/>
      </c>
      <c r="M1740" s="248" t="str">
        <f>IFERROR(__xludf.DUMMYFUNCTION("VLOOKUP(C1740,IMPORTRANGE(""https://docs.google.com/spreadsheets/d/1P8eX0NWBhUPS_hvzA11R6jkTNFrPrRYIx_dX_hYbxrk/edit?resourcekey=0-iw9bsKY2OqkUHCFMkCar3A&amp;gid=2055363397#gid=2055363397"",""MTR!C:O""),11,false)"),"PMW-IMS")</f>
        <v>PMW-IMS</v>
      </c>
      <c r="N1740" s="248" t="str">
        <f>IFERROR(__xludf.DUMMYFUNCTION("VLOOKUP(C1740,IMPORTRANGE(""https://docs.google.com/spreadsheets/d/1ihFlp3_ePlYtFuPbUNbYj1muErVpI73WHXbEwJDIA7Q/edit#gid=1493122344"",""MTR!C:O""),8,false)"),"Complies")</f>
        <v>Complies</v>
      </c>
      <c r="O1740" s="241" t="str">
        <f>IFERROR(__xludf.DUMMYFUNCTION("VLOOKUP(C1740,IMPORTRANGE(""https://docs.google.com/spreadsheets/d/1P8eX0NWBhUPS_hvzA11R6jkTNFrPrRYIx_dX_hYbxrk/edit?resourcekey=0-iw9bsKY2OqkUHCFMkCar3A&amp;gid=2055363397#gid=2055363397"",""MTR!C:O""),9,false)"),"")</f>
        <v/>
      </c>
      <c r="P1740" s="241"/>
      <c r="Q1740" s="251" t="s">
        <v>445</v>
      </c>
      <c r="R1740" s="251"/>
      <c r="S1740" s="154" t="s">
        <v>60</v>
      </c>
      <c r="T1740" s="154" t="s">
        <v>60</v>
      </c>
      <c r="U1740" s="154" t="s">
        <v>60</v>
      </c>
      <c r="V1740" s="154" t="s">
        <v>60</v>
      </c>
      <c r="W1740" s="154" t="s">
        <v>60</v>
      </c>
      <c r="X1740" s="154" t="s">
        <v>60</v>
      </c>
      <c r="Y1740" s="154" t="s">
        <v>64</v>
      </c>
      <c r="Z1740" s="154" t="s">
        <v>64</v>
      </c>
      <c r="AA1740" s="154" t="s">
        <v>64</v>
      </c>
      <c r="AB1740" s="154"/>
      <c r="AC1740" s="242" t="b">
        <f t="shared" si="2"/>
        <v>1</v>
      </c>
      <c r="AD1740" s="154" t="s">
        <v>391</v>
      </c>
      <c r="AE1740" s="243" t="b">
        <f t="shared" si="3"/>
        <v>0</v>
      </c>
      <c r="AF1740" s="154"/>
      <c r="AG1740" s="243" t="b">
        <f t="shared" si="7"/>
        <v>0</v>
      </c>
      <c r="AH1740" s="154"/>
      <c r="AI1740" s="243" t="str">
        <f t="shared" si="5"/>
        <v>N/A</v>
      </c>
      <c r="AJ1740" s="157" t="str">
        <f t="shared" si="6"/>
        <v/>
      </c>
    </row>
    <row r="1741" ht="12.75" customHeight="1">
      <c r="A1741" s="244" t="s">
        <v>4158</v>
      </c>
      <c r="B1741" s="244" t="s">
        <v>4161</v>
      </c>
      <c r="C1741" s="244" t="s">
        <v>4473</v>
      </c>
      <c r="D1741" s="154" t="s">
        <v>739</v>
      </c>
      <c r="E1741" s="250"/>
      <c r="F1741" s="154" t="str">
        <f t="array" ref="F1741">XLOOKUP(Cover!$D$12,$S$1:$AA$1,$S1741:$AA1741)</f>
        <v>Mandatory</v>
      </c>
      <c r="G1741" s="154" t="s">
        <v>4474</v>
      </c>
      <c r="H1741" s="154" t="s">
        <v>4279</v>
      </c>
      <c r="I1741" s="154" t="s">
        <v>632</v>
      </c>
      <c r="J1741" s="247" t="s">
        <v>445</v>
      </c>
      <c r="K1741" s="154"/>
      <c r="L1741" s="154" t="str">
        <f t="shared" si="1"/>
        <v/>
      </c>
      <c r="M1741" s="248" t="str">
        <f>IFERROR(__xludf.DUMMYFUNCTION("VLOOKUP(C1741,IMPORTRANGE(""https://docs.google.com/spreadsheets/d/1P8eX0NWBhUPS_hvzA11R6jkTNFrPrRYIx_dX_hYbxrk/edit?resourcekey=0-iw9bsKY2OqkUHCFMkCar3A&amp;gid=2055363397#gid=2055363397"",""MTR!C:O""),11,false)"),"PMW-IMS")</f>
        <v>PMW-IMS</v>
      </c>
      <c r="N1741" s="248" t="str">
        <f>IFERROR(__xludf.DUMMYFUNCTION("VLOOKUP(C1741,IMPORTRANGE(""https://docs.google.com/spreadsheets/d/1ihFlp3_ePlYtFuPbUNbYj1muErVpI73WHXbEwJDIA7Q/edit#gid=1493122344"",""MTR!C:O""),8,false)"),"Complies")</f>
        <v>Complies</v>
      </c>
      <c r="O1741" s="241" t="str">
        <f>IFERROR(__xludf.DUMMYFUNCTION("VLOOKUP(C1741,IMPORTRANGE(""https://docs.google.com/spreadsheets/d/1P8eX0NWBhUPS_hvzA11R6jkTNFrPrRYIx_dX_hYbxrk/edit?resourcekey=0-iw9bsKY2OqkUHCFMkCar3A&amp;gid=2055363397#gid=2055363397"",""MTR!C:O""),9,false)"),"")</f>
        <v/>
      </c>
      <c r="P1741" s="241"/>
      <c r="Q1741" s="251" t="s">
        <v>445</v>
      </c>
      <c r="R1741" s="241"/>
      <c r="S1741" s="154" t="s">
        <v>60</v>
      </c>
      <c r="T1741" s="154" t="s">
        <v>60</v>
      </c>
      <c r="U1741" s="154" t="s">
        <v>60</v>
      </c>
      <c r="V1741" s="154" t="s">
        <v>60</v>
      </c>
      <c r="W1741" s="154" t="s">
        <v>60</v>
      </c>
      <c r="X1741" s="154" t="s">
        <v>60</v>
      </c>
      <c r="Y1741" s="154" t="s">
        <v>64</v>
      </c>
      <c r="Z1741" s="154" t="s">
        <v>64</v>
      </c>
      <c r="AA1741" s="154" t="s">
        <v>64</v>
      </c>
      <c r="AB1741" s="154"/>
      <c r="AC1741" s="242" t="b">
        <f t="shared" si="2"/>
        <v>1</v>
      </c>
      <c r="AD1741" s="154" t="s">
        <v>391</v>
      </c>
      <c r="AE1741" s="243" t="b">
        <f t="shared" si="3"/>
        <v>0</v>
      </c>
      <c r="AF1741" s="154"/>
      <c r="AG1741" s="243" t="b">
        <f t="shared" si="7"/>
        <v>0</v>
      </c>
      <c r="AH1741" s="154"/>
      <c r="AI1741" s="243" t="str">
        <f t="shared" si="5"/>
        <v>N/A</v>
      </c>
      <c r="AJ1741" s="157" t="str">
        <f t="shared" si="6"/>
        <v/>
      </c>
    </row>
    <row r="1742" ht="12.75" customHeight="1">
      <c r="A1742" s="244" t="s">
        <v>4158</v>
      </c>
      <c r="B1742" s="244" t="s">
        <v>4161</v>
      </c>
      <c r="C1742" s="244" t="s">
        <v>4475</v>
      </c>
      <c r="D1742" s="154" t="s">
        <v>484</v>
      </c>
      <c r="E1742" s="250"/>
      <c r="F1742" s="154" t="str">
        <f t="array" ref="F1742">XLOOKUP(Cover!$D$12,$S$1:$AA$1,$S1742:$AA1742)</f>
        <v>Mandatory</v>
      </c>
      <c r="G1742" s="154" t="s">
        <v>4476</v>
      </c>
      <c r="H1742" s="154" t="s">
        <v>2307</v>
      </c>
      <c r="I1742" s="154" t="s">
        <v>632</v>
      </c>
      <c r="J1742" s="247" t="s">
        <v>445</v>
      </c>
      <c r="K1742" s="154"/>
      <c r="L1742" s="154" t="str">
        <f t="shared" si="1"/>
        <v/>
      </c>
      <c r="M1742" s="248" t="str">
        <f>IFERROR(__xludf.DUMMYFUNCTION("VLOOKUP(C1742,IMPORTRANGE(""https://docs.google.com/spreadsheets/d/1P8eX0NWBhUPS_hvzA11R6jkTNFrPrRYIx_dX_hYbxrk/edit?resourcekey=0-iw9bsKY2OqkUHCFMkCar3A&amp;gid=2055363397#gid=2055363397"",""MTR!C:O""),11,false)"),"PMW-IMS")</f>
        <v>PMW-IMS</v>
      </c>
      <c r="N1742" s="248" t="str">
        <f>IFERROR(__xludf.DUMMYFUNCTION("VLOOKUP(C1742,IMPORTRANGE(""https://docs.google.com/spreadsheets/d/1ihFlp3_ePlYtFuPbUNbYj1muErVpI73WHXbEwJDIA7Q/edit#gid=1493122344"",""MTR!C:O""),8,false)"),"Complies")</f>
        <v>Complies</v>
      </c>
      <c r="O1742" s="241" t="str">
        <f>IFERROR(__xludf.DUMMYFUNCTION("VLOOKUP(C1742,IMPORTRANGE(""https://docs.google.com/spreadsheets/d/1P8eX0NWBhUPS_hvzA11R6jkTNFrPrRYIx_dX_hYbxrk/edit?resourcekey=0-iw9bsKY2OqkUHCFMkCar3A&amp;gid=2055363397#gid=2055363397"",""MTR!C:O""),9,false)"),"")</f>
        <v/>
      </c>
      <c r="P1742" s="241"/>
      <c r="Q1742" s="251" t="s">
        <v>445</v>
      </c>
      <c r="R1742" s="241"/>
      <c r="S1742" s="154" t="s">
        <v>60</v>
      </c>
      <c r="T1742" s="154" t="s">
        <v>60</v>
      </c>
      <c r="U1742" s="154" t="s">
        <v>60</v>
      </c>
      <c r="V1742" s="154" t="s">
        <v>60</v>
      </c>
      <c r="W1742" s="154" t="s">
        <v>60</v>
      </c>
      <c r="X1742" s="154" t="s">
        <v>60</v>
      </c>
      <c r="Y1742" s="154" t="s">
        <v>64</v>
      </c>
      <c r="Z1742" s="154" t="s">
        <v>64</v>
      </c>
      <c r="AA1742" s="154" t="s">
        <v>64</v>
      </c>
      <c r="AB1742" s="154"/>
      <c r="AC1742" s="242" t="b">
        <f t="shared" si="2"/>
        <v>1</v>
      </c>
      <c r="AD1742" s="154" t="s">
        <v>391</v>
      </c>
      <c r="AE1742" s="243" t="b">
        <f t="shared" si="3"/>
        <v>0</v>
      </c>
      <c r="AF1742" s="154"/>
      <c r="AG1742" s="243" t="b">
        <f t="shared" si="7"/>
        <v>0</v>
      </c>
      <c r="AH1742" s="154"/>
      <c r="AI1742" s="243" t="str">
        <f t="shared" si="5"/>
        <v>N/A</v>
      </c>
      <c r="AJ1742" s="157" t="str">
        <f t="shared" si="6"/>
        <v/>
      </c>
    </row>
    <row r="1743" ht="12.75" customHeight="1">
      <c r="A1743" s="244" t="s">
        <v>4158</v>
      </c>
      <c r="B1743" s="244" t="s">
        <v>4161</v>
      </c>
      <c r="C1743" s="244" t="s">
        <v>4477</v>
      </c>
      <c r="D1743" s="154" t="s">
        <v>411</v>
      </c>
      <c r="E1743" s="250"/>
      <c r="F1743" s="154" t="str">
        <f t="array" ref="F1743">XLOOKUP(Cover!$D$12,$S$1:$AA$1,$S1743:$AA1743)</f>
        <v>Mandatory</v>
      </c>
      <c r="G1743" s="154" t="s">
        <v>4478</v>
      </c>
      <c r="H1743" s="154" t="s">
        <v>2307</v>
      </c>
      <c r="I1743" s="154" t="s">
        <v>632</v>
      </c>
      <c r="J1743" s="247" t="s">
        <v>445</v>
      </c>
      <c r="K1743" s="154"/>
      <c r="L1743" s="154" t="str">
        <f t="shared" si="1"/>
        <v/>
      </c>
      <c r="M1743" s="248" t="str">
        <f>IFERROR(__xludf.DUMMYFUNCTION("VLOOKUP(C1743,IMPORTRANGE(""https://docs.google.com/spreadsheets/d/1P8eX0NWBhUPS_hvzA11R6jkTNFrPrRYIx_dX_hYbxrk/edit?resourcekey=0-iw9bsKY2OqkUHCFMkCar3A&amp;gid=2055363397#gid=2055363397"",""MTR!C:O""),11,false)"),"PMW-IMS")</f>
        <v>PMW-IMS</v>
      </c>
      <c r="N1743" s="248" t="str">
        <f>IFERROR(__xludf.DUMMYFUNCTION("VLOOKUP(C1743,IMPORTRANGE(""https://docs.google.com/spreadsheets/d/1ihFlp3_ePlYtFuPbUNbYj1muErVpI73WHXbEwJDIA7Q/edit#gid=1493122344"",""MTR!C:O""),8,false)"),"Complies")</f>
        <v>Complies</v>
      </c>
      <c r="O1743" s="241" t="str">
        <f>IFERROR(__xludf.DUMMYFUNCTION("VLOOKUP(C1743,IMPORTRANGE(""https://docs.google.com/spreadsheets/d/1P8eX0NWBhUPS_hvzA11R6jkTNFrPrRYIx_dX_hYbxrk/edit?resourcekey=0-iw9bsKY2OqkUHCFMkCar3A&amp;gid=2055363397#gid=2055363397"",""MTR!C:O""),9,false)"),"")</f>
        <v/>
      </c>
      <c r="P1743" s="241"/>
      <c r="Q1743" s="251" t="s">
        <v>445</v>
      </c>
      <c r="R1743" s="241"/>
      <c r="S1743" s="154" t="s">
        <v>60</v>
      </c>
      <c r="T1743" s="154" t="s">
        <v>60</v>
      </c>
      <c r="U1743" s="154" t="s">
        <v>60</v>
      </c>
      <c r="V1743" s="154" t="s">
        <v>60</v>
      </c>
      <c r="W1743" s="154" t="s">
        <v>60</v>
      </c>
      <c r="X1743" s="154" t="s">
        <v>60</v>
      </c>
      <c r="Y1743" s="154" t="s">
        <v>64</v>
      </c>
      <c r="Z1743" s="154" t="s">
        <v>64</v>
      </c>
      <c r="AA1743" s="154" t="s">
        <v>64</v>
      </c>
      <c r="AB1743" s="154"/>
      <c r="AC1743" s="242" t="b">
        <f t="shared" si="2"/>
        <v>1</v>
      </c>
      <c r="AD1743" s="154" t="s">
        <v>391</v>
      </c>
      <c r="AE1743" s="243" t="b">
        <f t="shared" si="3"/>
        <v>0</v>
      </c>
      <c r="AF1743" s="154"/>
      <c r="AG1743" s="243" t="b">
        <f t="shared" si="7"/>
        <v>0</v>
      </c>
      <c r="AH1743" s="154"/>
      <c r="AI1743" s="243" t="str">
        <f t="shared" si="5"/>
        <v>N/A</v>
      </c>
      <c r="AJ1743" s="157" t="str">
        <f t="shared" si="6"/>
        <v/>
      </c>
    </row>
    <row r="1744" ht="12.75" customHeight="1">
      <c r="A1744" s="244" t="s">
        <v>4158</v>
      </c>
      <c r="B1744" s="244" t="s">
        <v>4161</v>
      </c>
      <c r="C1744" s="244" t="s">
        <v>4479</v>
      </c>
      <c r="D1744" s="154" t="s">
        <v>503</v>
      </c>
      <c r="E1744" s="250"/>
      <c r="F1744" s="154" t="str">
        <f t="array" ref="F1744">XLOOKUP(Cover!$D$12,$S$1:$AA$1,$S1744:$AA1744)</f>
        <v>Mandatory</v>
      </c>
      <c r="G1744" s="154" t="s">
        <v>4480</v>
      </c>
      <c r="H1744" s="154" t="s">
        <v>2307</v>
      </c>
      <c r="I1744" s="154" t="s">
        <v>632</v>
      </c>
      <c r="J1744" s="247" t="s">
        <v>506</v>
      </c>
      <c r="K1744" s="247" t="s">
        <v>4481</v>
      </c>
      <c r="L1744" s="154" t="str">
        <f t="shared" si="1"/>
        <v/>
      </c>
      <c r="M1744" s="248" t="str">
        <f>IFERROR(__xludf.DUMMYFUNCTION("VLOOKUP(C1744,IMPORTRANGE(""https://docs.google.com/spreadsheets/d/1P8eX0NWBhUPS_hvzA11R6jkTNFrPrRYIx_dX_hYbxrk/edit?resourcekey=0-iw9bsKY2OqkUHCFMkCar3A&amp;gid=2055363397#gid=2055363397"",""MTR!C:O""),11,false)"),"PMW-IMS")</f>
        <v>PMW-IMS</v>
      </c>
      <c r="N1744" s="248" t="str">
        <f>IFERROR(__xludf.DUMMYFUNCTION("VLOOKUP(C1744,IMPORTRANGE(""https://docs.google.com/spreadsheets/d/1ihFlp3_ePlYtFuPbUNbYj1muErVpI73WHXbEwJDIA7Q/edit#gid=1493122344"",""MTR!C:O""),8,false)"),"Does Not Comply")</f>
        <v>Does Not Comply</v>
      </c>
      <c r="O1744" s="248" t="str">
        <f>IFERROR(__xludf.DUMMYFUNCTION("VLOOKUP(C1744,IMPORTRANGE(""https://docs.google.com/spreadsheets/d/1P8eX0NWBhUPS_hvzA11R6jkTNFrPrRYIx_dX_hYbxrk/edit?resourcekey=0-iw9bsKY2OqkUHCFMkCar3A&amp;gid=2055363397#gid=2055363397"",""MTR!C:O""),9,false)"),"The chipset does not support it.Can be reqeust as FR and discover the possibility.")</f>
        <v>The chipset does not support it.Can be reqeust as FR and discover the possibility.</v>
      </c>
      <c r="P1744" s="248"/>
      <c r="Q1744" s="249" t="s">
        <v>516</v>
      </c>
      <c r="R1744" s="249" t="s">
        <v>4482</v>
      </c>
      <c r="S1744" s="154" t="s">
        <v>60</v>
      </c>
      <c r="T1744" s="154" t="s">
        <v>60</v>
      </c>
      <c r="U1744" s="154" t="s">
        <v>60</v>
      </c>
      <c r="V1744" s="154" t="s">
        <v>60</v>
      </c>
      <c r="W1744" s="154" t="s">
        <v>60</v>
      </c>
      <c r="X1744" s="154" t="s">
        <v>60</v>
      </c>
      <c r="Y1744" s="154" t="s">
        <v>64</v>
      </c>
      <c r="Z1744" s="154" t="s">
        <v>64</v>
      </c>
      <c r="AA1744" s="154" t="s">
        <v>64</v>
      </c>
      <c r="AB1744" s="154"/>
      <c r="AC1744" s="242" t="b">
        <f t="shared" si="2"/>
        <v>1</v>
      </c>
      <c r="AD1744" s="154" t="s">
        <v>391</v>
      </c>
      <c r="AE1744" s="243" t="b">
        <f t="shared" si="3"/>
        <v>0</v>
      </c>
      <c r="AF1744" s="154"/>
      <c r="AG1744" s="243" t="b">
        <f t="shared" si="7"/>
        <v>0</v>
      </c>
      <c r="AH1744" s="154"/>
      <c r="AI1744" s="243" t="str">
        <f t="shared" si="5"/>
        <v>N/A</v>
      </c>
      <c r="AJ1744" s="157" t="str">
        <f t="shared" si="6"/>
        <v/>
      </c>
    </row>
    <row r="1745" ht="12.75" customHeight="1">
      <c r="A1745" s="244" t="s">
        <v>4158</v>
      </c>
      <c r="B1745" s="244" t="s">
        <v>4161</v>
      </c>
      <c r="C1745" s="244" t="s">
        <v>4483</v>
      </c>
      <c r="D1745" s="154" t="s">
        <v>503</v>
      </c>
      <c r="E1745" s="250"/>
      <c r="F1745" s="154" t="str">
        <f t="array" ref="F1745">XLOOKUP(Cover!$D$12,$S$1:$AA$1,$S1745:$AA1745)</f>
        <v>Mandatory</v>
      </c>
      <c r="G1745" s="154" t="s">
        <v>4484</v>
      </c>
      <c r="H1745" s="154" t="s">
        <v>2307</v>
      </c>
      <c r="I1745" s="154" t="s">
        <v>632</v>
      </c>
      <c r="J1745" s="247" t="s">
        <v>506</v>
      </c>
      <c r="K1745" s="247" t="s">
        <v>4481</v>
      </c>
      <c r="L1745" s="154" t="str">
        <f t="shared" si="1"/>
        <v/>
      </c>
      <c r="M1745" s="248" t="str">
        <f>IFERROR(__xludf.DUMMYFUNCTION("VLOOKUP(C1745,IMPORTRANGE(""https://docs.google.com/spreadsheets/d/1P8eX0NWBhUPS_hvzA11R6jkTNFrPrRYIx_dX_hYbxrk/edit?resourcekey=0-iw9bsKY2OqkUHCFMkCar3A&amp;gid=2055363397#gid=2055363397"",""MTR!C:O""),11,false)"),"PMW-IMS")</f>
        <v>PMW-IMS</v>
      </c>
      <c r="N1745" s="248" t="str">
        <f>IFERROR(__xludf.DUMMYFUNCTION("VLOOKUP(C1745,IMPORTRANGE(""https://docs.google.com/spreadsheets/d/1ihFlp3_ePlYtFuPbUNbYj1muErVpI73WHXbEwJDIA7Q/edit#gid=1493122344"",""MTR!C:O""),8,false)"),"Does Not Comply")</f>
        <v>Does Not Comply</v>
      </c>
      <c r="O1745" s="248" t="str">
        <f>IFERROR(__xludf.DUMMYFUNCTION("VLOOKUP(C1745,IMPORTRANGE(""https://docs.google.com/spreadsheets/d/1P8eX0NWBhUPS_hvzA11R6jkTNFrPrRYIx_dX_hYbxrk/edit?resourcekey=0-iw9bsKY2OqkUHCFMkCar3A&amp;gid=2055363397#gid=2055363397"",""MTR!C:O""),9,false)"),"The chipset does not support it.Can be reqeust as FR and discover the possibility.")</f>
        <v>The chipset does not support it.Can be reqeust as FR and discover the possibility.</v>
      </c>
      <c r="P1745" s="248"/>
      <c r="Q1745" s="249" t="s">
        <v>516</v>
      </c>
      <c r="R1745" s="249" t="s">
        <v>4482</v>
      </c>
      <c r="S1745" s="154" t="s">
        <v>60</v>
      </c>
      <c r="T1745" s="154" t="s">
        <v>60</v>
      </c>
      <c r="U1745" s="154" t="s">
        <v>60</v>
      </c>
      <c r="V1745" s="154" t="s">
        <v>60</v>
      </c>
      <c r="W1745" s="154" t="s">
        <v>60</v>
      </c>
      <c r="X1745" s="154" t="s">
        <v>60</v>
      </c>
      <c r="Y1745" s="154" t="s">
        <v>64</v>
      </c>
      <c r="Z1745" s="154" t="s">
        <v>64</v>
      </c>
      <c r="AA1745" s="154" t="s">
        <v>64</v>
      </c>
      <c r="AB1745" s="154"/>
      <c r="AC1745" s="242" t="b">
        <f t="shared" si="2"/>
        <v>1</v>
      </c>
      <c r="AD1745" s="154" t="s">
        <v>391</v>
      </c>
      <c r="AE1745" s="243" t="b">
        <f t="shared" si="3"/>
        <v>0</v>
      </c>
      <c r="AF1745" s="154"/>
      <c r="AG1745" s="243" t="b">
        <f t="shared" si="7"/>
        <v>0</v>
      </c>
      <c r="AH1745" s="154"/>
      <c r="AI1745" s="243" t="str">
        <f t="shared" si="5"/>
        <v>N/A</v>
      </c>
      <c r="AJ1745" s="157" t="str">
        <f t="shared" si="6"/>
        <v/>
      </c>
    </row>
    <row r="1746" ht="12.75" customHeight="1">
      <c r="A1746" s="244" t="s">
        <v>4158</v>
      </c>
      <c r="B1746" s="244" t="s">
        <v>4161</v>
      </c>
      <c r="C1746" s="244" t="s">
        <v>4485</v>
      </c>
      <c r="D1746" s="154" t="s">
        <v>503</v>
      </c>
      <c r="E1746" s="250"/>
      <c r="F1746" s="154" t="str">
        <f t="array" ref="F1746">XLOOKUP(Cover!$D$12,$S$1:$AA$1,$S1746:$AA1746)</f>
        <v>Mandatory</v>
      </c>
      <c r="G1746" s="154" t="s">
        <v>4486</v>
      </c>
      <c r="H1746" s="154" t="s">
        <v>2307</v>
      </c>
      <c r="I1746" s="154" t="s">
        <v>632</v>
      </c>
      <c r="J1746" s="247" t="s">
        <v>506</v>
      </c>
      <c r="K1746" s="247" t="s">
        <v>4481</v>
      </c>
      <c r="L1746" s="154" t="str">
        <f t="shared" si="1"/>
        <v/>
      </c>
      <c r="M1746" s="248" t="str">
        <f>IFERROR(__xludf.DUMMYFUNCTION("VLOOKUP(C1746,IMPORTRANGE(""https://docs.google.com/spreadsheets/d/1P8eX0NWBhUPS_hvzA11R6jkTNFrPrRYIx_dX_hYbxrk/edit?resourcekey=0-iw9bsKY2OqkUHCFMkCar3A&amp;gid=2055363397#gid=2055363397"",""MTR!C:O""),11,false)"),"PMW-IMS")</f>
        <v>PMW-IMS</v>
      </c>
      <c r="N1746" s="248" t="str">
        <f>IFERROR(__xludf.DUMMYFUNCTION("VLOOKUP(C1746,IMPORTRANGE(""https://docs.google.com/spreadsheets/d/1ihFlp3_ePlYtFuPbUNbYj1muErVpI73WHXbEwJDIA7Q/edit#gid=1493122344"",""MTR!C:O""),8,false)"),"Does Not Comply")</f>
        <v>Does Not Comply</v>
      </c>
      <c r="O1746" s="248" t="str">
        <f>IFERROR(__xludf.DUMMYFUNCTION("VLOOKUP(C1746,IMPORTRANGE(""https://docs.google.com/spreadsheets/d/1P8eX0NWBhUPS_hvzA11R6jkTNFrPrRYIx_dX_hYbxrk/edit?resourcekey=0-iw9bsKY2OqkUHCFMkCar3A&amp;gid=2055363397#gid=2055363397"",""MTR!C:O""),9,false)"),"The chipset does not support it.Can be reqeust as FR and discover the possibility.")</f>
        <v>The chipset does not support it.Can be reqeust as FR and discover the possibility.</v>
      </c>
      <c r="P1746" s="248"/>
      <c r="Q1746" s="249" t="s">
        <v>516</v>
      </c>
      <c r="R1746" s="249" t="s">
        <v>4482</v>
      </c>
      <c r="S1746" s="154" t="s">
        <v>60</v>
      </c>
      <c r="T1746" s="154" t="s">
        <v>60</v>
      </c>
      <c r="U1746" s="154" t="s">
        <v>60</v>
      </c>
      <c r="V1746" s="154" t="s">
        <v>60</v>
      </c>
      <c r="W1746" s="154" t="s">
        <v>60</v>
      </c>
      <c r="X1746" s="154" t="s">
        <v>60</v>
      </c>
      <c r="Y1746" s="154" t="s">
        <v>64</v>
      </c>
      <c r="Z1746" s="154" t="s">
        <v>64</v>
      </c>
      <c r="AA1746" s="154" t="s">
        <v>64</v>
      </c>
      <c r="AB1746" s="154"/>
      <c r="AC1746" s="242" t="b">
        <f t="shared" si="2"/>
        <v>1</v>
      </c>
      <c r="AD1746" s="154" t="s">
        <v>391</v>
      </c>
      <c r="AE1746" s="243" t="b">
        <f t="shared" si="3"/>
        <v>0</v>
      </c>
      <c r="AF1746" s="154"/>
      <c r="AG1746" s="243" t="b">
        <f t="shared" si="7"/>
        <v>0</v>
      </c>
      <c r="AH1746" s="154"/>
      <c r="AI1746" s="243" t="str">
        <f t="shared" si="5"/>
        <v>N/A</v>
      </c>
      <c r="AJ1746" s="157" t="str">
        <f t="shared" si="6"/>
        <v/>
      </c>
    </row>
    <row r="1747" ht="12.75" customHeight="1">
      <c r="A1747" s="244" t="s">
        <v>4158</v>
      </c>
      <c r="B1747" s="244" t="s">
        <v>4161</v>
      </c>
      <c r="C1747" s="244" t="s">
        <v>4487</v>
      </c>
      <c r="D1747" s="154" t="s">
        <v>503</v>
      </c>
      <c r="E1747" s="250"/>
      <c r="F1747" s="154" t="str">
        <f t="array" ref="F1747">XLOOKUP(Cover!$D$12,$S$1:$AA$1,$S1747:$AA1747)</f>
        <v>Mandatory</v>
      </c>
      <c r="G1747" s="154" t="s">
        <v>4488</v>
      </c>
      <c r="H1747" s="154" t="s">
        <v>2307</v>
      </c>
      <c r="I1747" s="154" t="s">
        <v>632</v>
      </c>
      <c r="J1747" s="247" t="s">
        <v>445</v>
      </c>
      <c r="K1747" s="260" t="s">
        <v>4489</v>
      </c>
      <c r="L1747" s="154" t="str">
        <f t="shared" si="1"/>
        <v/>
      </c>
      <c r="M1747" s="248" t="str">
        <f>IFERROR(__xludf.DUMMYFUNCTION("VLOOKUP(C1747,IMPORTRANGE(""https://docs.google.com/spreadsheets/d/1P8eX0NWBhUPS_hvzA11R6jkTNFrPrRYIx_dX_hYbxrk/edit?resourcekey=0-iw9bsKY2OqkUHCFMkCar3A&amp;gid=2055363397#gid=2055363397"",""MTR!C:O""),11,false)"),"PMW-IMS")</f>
        <v>PMW-IMS</v>
      </c>
      <c r="N1747" s="248" t="str">
        <f>IFERROR(__xludf.DUMMYFUNCTION("VLOOKUP(C1747,IMPORTRANGE(""https://docs.google.com/spreadsheets/d/1ihFlp3_ePlYtFuPbUNbYj1muErVpI73WHXbEwJDIA7Q/edit#gid=1493122344"",""MTR!C:O""),8,false)"),"Complies")</f>
        <v>Complies</v>
      </c>
      <c r="O1747" s="269" t="str">
        <f>IFERROR(__xludf.DUMMYFUNCTION("VLOOKUP(C1747,IMPORTRANGE(""https://docs.google.com/spreadsheets/d/1P8eX0NWBhUPS_hvzA11R6jkTNFrPrRYIx_dX_hYbxrk/edit?resourcekey=0-iw9bsKY2OqkUHCFMkCar3A&amp;gid=2055363397#gid=2055363397"",""MTR!C:O""),9,false)"),"b/318796066")</f>
        <v>b/318796066</v>
      </c>
      <c r="P1747" s="269"/>
      <c r="Q1747" s="270" t="s">
        <v>445</v>
      </c>
      <c r="R1747" s="270" t="s">
        <v>4489</v>
      </c>
      <c r="S1747" s="154" t="s">
        <v>60</v>
      </c>
      <c r="T1747" s="154" t="s">
        <v>60</v>
      </c>
      <c r="U1747" s="154" t="s">
        <v>60</v>
      </c>
      <c r="V1747" s="154" t="s">
        <v>60</v>
      </c>
      <c r="W1747" s="154" t="s">
        <v>60</v>
      </c>
      <c r="X1747" s="154" t="s">
        <v>60</v>
      </c>
      <c r="Y1747" s="154" t="s">
        <v>64</v>
      </c>
      <c r="Z1747" s="154" t="s">
        <v>64</v>
      </c>
      <c r="AA1747" s="154" t="s">
        <v>64</v>
      </c>
      <c r="AB1747" s="154"/>
      <c r="AC1747" s="242" t="b">
        <f t="shared" si="2"/>
        <v>1</v>
      </c>
      <c r="AD1747" s="154" t="s">
        <v>391</v>
      </c>
      <c r="AE1747" s="243" t="b">
        <f t="shared" si="3"/>
        <v>0</v>
      </c>
      <c r="AF1747" s="154"/>
      <c r="AG1747" s="243" t="b">
        <f t="shared" si="7"/>
        <v>0</v>
      </c>
      <c r="AH1747" s="154"/>
      <c r="AI1747" s="243" t="str">
        <f t="shared" si="5"/>
        <v>N/A</v>
      </c>
      <c r="AJ1747" s="157" t="str">
        <f t="shared" si="6"/>
        <v/>
      </c>
    </row>
    <row r="1748" ht="12.75" customHeight="1">
      <c r="A1748" s="238" t="s">
        <v>4158</v>
      </c>
      <c r="B1748" s="238" t="s">
        <v>4161</v>
      </c>
      <c r="C1748" s="238" t="s">
        <v>4490</v>
      </c>
      <c r="D1748" s="238"/>
      <c r="E1748" s="238"/>
      <c r="F1748" s="154" t="str">
        <f t="array" ref="F1748">XLOOKUP(Cover!$D$12,$S$1:$AA$1,$S1748:$AA1748)</f>
        <v>Heading</v>
      </c>
      <c r="G1748" s="239" t="s">
        <v>4491</v>
      </c>
      <c r="H1748" s="240"/>
      <c r="I1748" s="240" t="s">
        <v>632</v>
      </c>
      <c r="J1748" s="262"/>
      <c r="K1748" s="240"/>
      <c r="L1748" s="154" t="str">
        <f t="shared" si="1"/>
        <v/>
      </c>
      <c r="M1748" s="253" t="str">
        <f>IFERROR(__xludf.DUMMYFUNCTION("VLOOKUP(C1748,IMPORTRANGE(""https://docs.google.com/spreadsheets/d/1P8eX0NWBhUPS_hvzA11R6jkTNFrPrRYIx_dX_hYbxrk/edit?resourcekey=0-iw9bsKY2OqkUHCFMkCar3A&amp;gid=2055363397#gid=2055363397"",""MTR!C:O""),11,false)"),"#N/A")</f>
        <v>#N/A</v>
      </c>
      <c r="N1748" s="253" t="str">
        <f>IFERROR(__xludf.DUMMYFUNCTION("VLOOKUP(C1748,IMPORTRANGE(""https://docs.google.com/spreadsheets/d/1ihFlp3_ePlYtFuPbUNbYj1muErVpI73WHXbEwJDIA7Q/edit#gid=1493122344"",""MTR!C:O""),8,false)"),"#N/A")</f>
        <v>#N/A</v>
      </c>
      <c r="O1748" s="241" t="str">
        <f>IFERROR(__xludf.DUMMYFUNCTION("VLOOKUP(C1748,IMPORTRANGE(""https://docs.google.com/spreadsheets/d/1P8eX0NWBhUPS_hvzA11R6jkTNFrPrRYIx_dX_hYbxrk/edit?resourcekey=0-iw9bsKY2OqkUHCFMkCar3A&amp;gid=2055363397#gid=2055363397"",""MTR!C:O""),9,false)"),"")</f>
        <v/>
      </c>
      <c r="P1748" s="241"/>
      <c r="Q1748" s="251"/>
      <c r="R1748" s="251"/>
      <c r="S1748" s="240" t="s">
        <v>390</v>
      </c>
      <c r="T1748" s="240" t="s">
        <v>390</v>
      </c>
      <c r="U1748" s="240" t="s">
        <v>390</v>
      </c>
      <c r="V1748" s="240" t="s">
        <v>390</v>
      </c>
      <c r="W1748" s="240" t="s">
        <v>390</v>
      </c>
      <c r="X1748" s="240" t="s">
        <v>390</v>
      </c>
      <c r="Y1748" s="240" t="s">
        <v>390</v>
      </c>
      <c r="Z1748" s="240" t="s">
        <v>390</v>
      </c>
      <c r="AA1748" s="240" t="s">
        <v>390</v>
      </c>
      <c r="AB1748" s="240"/>
      <c r="AC1748" s="242" t="b">
        <f t="shared" si="2"/>
        <v>0</v>
      </c>
      <c r="AD1748" s="240" t="s">
        <v>391</v>
      </c>
      <c r="AE1748" s="243" t="b">
        <f t="shared" si="3"/>
        <v>0</v>
      </c>
      <c r="AF1748" s="240"/>
      <c r="AG1748" s="243" t="b">
        <f t="shared" si="7"/>
        <v>0</v>
      </c>
      <c r="AH1748" s="240"/>
      <c r="AI1748" s="243" t="str">
        <f t="shared" si="5"/>
        <v>N/A</v>
      </c>
      <c r="AJ1748" s="157" t="str">
        <f t="shared" si="6"/>
        <v/>
      </c>
    </row>
    <row r="1749" ht="12.75" customHeight="1">
      <c r="A1749" s="244" t="s">
        <v>4158</v>
      </c>
      <c r="B1749" s="244" t="s">
        <v>4161</v>
      </c>
      <c r="C1749" s="244" t="s">
        <v>4492</v>
      </c>
      <c r="D1749" s="154" t="s">
        <v>45</v>
      </c>
      <c r="E1749" s="250"/>
      <c r="F1749" s="154" t="str">
        <f t="array" ref="F1749">XLOOKUP(Cover!$D$12,$S$1:$AA$1,$S1749:$AA1749)</f>
        <v>Mandatory</v>
      </c>
      <c r="G1749" s="154" t="s">
        <v>4493</v>
      </c>
      <c r="H1749" s="154" t="s">
        <v>2307</v>
      </c>
      <c r="I1749" s="154" t="s">
        <v>632</v>
      </c>
      <c r="J1749" s="154" t="s">
        <v>516</v>
      </c>
      <c r="K1749" s="154" t="s">
        <v>4494</v>
      </c>
      <c r="L1749" s="154" t="str">
        <f t="shared" si="1"/>
        <v/>
      </c>
      <c r="M1749" s="248" t="str">
        <f>IFERROR(__xludf.DUMMYFUNCTION("VLOOKUP(C1749,IMPORTRANGE(""https://docs.google.com/spreadsheets/d/1P8eX0NWBhUPS_hvzA11R6jkTNFrPrRYIx_dX_hYbxrk/edit?resourcekey=0-iw9bsKY2OqkUHCFMkCar3A&amp;gid=2055363397#gid=2055363397"",""MTR!C:O""),11,false)"),"PMW-IMS")</f>
        <v>PMW-IMS</v>
      </c>
      <c r="N1749" s="253" t="str">
        <f>IFERROR(__xludf.DUMMYFUNCTION("VLOOKUP(C1749,IMPORTRANGE(""https://docs.google.com/spreadsheets/d/1ihFlp3_ePlYtFuPbUNbYj1muErVpI73WHXbEwJDIA7Q/edit#gid=1493122344"",""MTR!C:O""),8,false)"),"#N/A")</f>
        <v>#N/A</v>
      </c>
      <c r="O1749" s="248" t="str">
        <f>IFERROR(__xludf.DUMMYFUNCTION("VLOOKUP(C1749,IMPORTRANGE(""https://docs.google.com/spreadsheets/d/1P8eX0NWBhUPS_hvzA11R6jkTNFrPrRYIx_dX_hYbxrk/edit?resourcekey=0-iw9bsKY2OqkUHCFMkCar3A&amp;gid=2055363397#gid=2055363397"",""MTR!C:O""),9,false)"),"The chipset does not support it")</f>
        <v>The chipset does not support it</v>
      </c>
      <c r="P1749" s="248"/>
      <c r="Q1749" s="248"/>
      <c r="R1749" s="248"/>
      <c r="S1749" s="154" t="s">
        <v>60</v>
      </c>
      <c r="T1749" s="154" t="s">
        <v>60</v>
      </c>
      <c r="U1749" s="154" t="s">
        <v>60</v>
      </c>
      <c r="V1749" s="154" t="s">
        <v>60</v>
      </c>
      <c r="W1749" s="154" t="s">
        <v>60</v>
      </c>
      <c r="X1749" s="154" t="s">
        <v>60</v>
      </c>
      <c r="Y1749" s="154" t="s">
        <v>64</v>
      </c>
      <c r="Z1749" s="154" t="s">
        <v>64</v>
      </c>
      <c r="AA1749" s="154" t="s">
        <v>64</v>
      </c>
      <c r="AB1749" s="154"/>
      <c r="AC1749" s="242" t="b">
        <f t="shared" si="2"/>
        <v>1</v>
      </c>
      <c r="AD1749" s="154" t="s">
        <v>391</v>
      </c>
      <c r="AE1749" s="243" t="b">
        <f t="shared" si="3"/>
        <v>0</v>
      </c>
      <c r="AF1749" s="154"/>
      <c r="AG1749" s="243" t="b">
        <f t="shared" si="7"/>
        <v>0</v>
      </c>
      <c r="AH1749" s="154"/>
      <c r="AI1749" s="243" t="str">
        <f t="shared" si="5"/>
        <v>N/A</v>
      </c>
      <c r="AJ1749" s="157" t="str">
        <f t="shared" si="6"/>
        <v/>
      </c>
    </row>
    <row r="1750" ht="12.75" customHeight="1">
      <c r="A1750" s="244" t="s">
        <v>4158</v>
      </c>
      <c r="B1750" s="244" t="s">
        <v>4161</v>
      </c>
      <c r="C1750" s="244" t="s">
        <v>4495</v>
      </c>
      <c r="D1750" s="154" t="s">
        <v>45</v>
      </c>
      <c r="E1750" s="250" t="s">
        <v>489</v>
      </c>
      <c r="F1750" s="154" t="str">
        <f t="array" ref="F1750">XLOOKUP(Cover!$D$12,$S$1:$AA$1,$S1750:$AA1750)</f>
        <v>Mandatory</v>
      </c>
      <c r="G1750" s="247" t="s">
        <v>4496</v>
      </c>
      <c r="H1750" s="154" t="s">
        <v>2307</v>
      </c>
      <c r="I1750" s="154" t="s">
        <v>632</v>
      </c>
      <c r="J1750" s="247" t="s">
        <v>506</v>
      </c>
      <c r="K1750" s="247" t="s">
        <v>4497</v>
      </c>
      <c r="L1750" s="154" t="str">
        <f t="shared" si="1"/>
        <v/>
      </c>
      <c r="M1750" s="253" t="str">
        <f>IFERROR(__xludf.DUMMYFUNCTION("VLOOKUP(C1750,IMPORTRANGE(""https://docs.google.com/spreadsheets/d/1P8eX0NWBhUPS_hvzA11R6jkTNFrPrRYIx_dX_hYbxrk/edit?resourcekey=0-iw9bsKY2OqkUHCFMkCar3A&amp;gid=2055363397#gid=2055363397"",""MTR!C:O""),11,false)"),"#N/A")</f>
        <v>#N/A</v>
      </c>
      <c r="N1750" s="253" t="str">
        <f>IFERROR(__xludf.DUMMYFUNCTION("VLOOKUP(C1750,IMPORTRANGE(""https://docs.google.com/spreadsheets/d/1ihFlp3_ePlYtFuPbUNbYj1muErVpI73WHXbEwJDIA7Q/edit#gid=1493122344"",""MTR!C:O""),8,false)"),"#N/A")</f>
        <v>#N/A</v>
      </c>
      <c r="O1750" s="253" t="str">
        <f>IFERROR(__xludf.DUMMYFUNCTION("VLOOKUP(C1750,IMPORTRANGE(""https://docs.google.com/spreadsheets/d/1P8eX0NWBhUPS_hvzA11R6jkTNFrPrRYIx_dX_hYbxrk/edit?resourcekey=0-iw9bsKY2OqkUHCFMkCar3A&amp;gid=2055363397#gid=2055363397"",""MTR!C:O""),9,false)"),"#N/A")</f>
        <v>#N/A</v>
      </c>
      <c r="P1750" s="253"/>
      <c r="Q1750" s="253"/>
      <c r="R1750" s="253"/>
      <c r="S1750" s="154" t="s">
        <v>60</v>
      </c>
      <c r="T1750" s="154" t="s">
        <v>60</v>
      </c>
      <c r="U1750" s="154" t="s">
        <v>60</v>
      </c>
      <c r="V1750" s="154" t="s">
        <v>60</v>
      </c>
      <c r="W1750" s="154" t="s">
        <v>60</v>
      </c>
      <c r="X1750" s="154" t="s">
        <v>60</v>
      </c>
      <c r="Y1750" s="154" t="s">
        <v>64</v>
      </c>
      <c r="Z1750" s="154" t="s">
        <v>64</v>
      </c>
      <c r="AA1750" s="154" t="s">
        <v>64</v>
      </c>
      <c r="AB1750" s="154"/>
      <c r="AC1750" s="242" t="b">
        <f t="shared" si="2"/>
        <v>1</v>
      </c>
      <c r="AD1750" s="154" t="s">
        <v>391</v>
      </c>
      <c r="AE1750" s="243" t="b">
        <f t="shared" si="3"/>
        <v>0</v>
      </c>
      <c r="AF1750" s="154"/>
      <c r="AG1750" s="243" t="b">
        <f t="shared" si="7"/>
        <v>0</v>
      </c>
      <c r="AH1750" s="154"/>
      <c r="AI1750" s="243" t="str">
        <f t="shared" si="5"/>
        <v>N/A</v>
      </c>
      <c r="AJ1750" s="157" t="str">
        <f t="shared" si="6"/>
        <v/>
      </c>
    </row>
    <row r="1751" ht="12.75" customHeight="1">
      <c r="A1751" s="244" t="s">
        <v>4158</v>
      </c>
      <c r="B1751" s="244" t="s">
        <v>4161</v>
      </c>
      <c r="C1751" s="244" t="s">
        <v>4498</v>
      </c>
      <c r="D1751" s="154" t="s">
        <v>503</v>
      </c>
      <c r="E1751" s="250"/>
      <c r="F1751" s="154" t="str">
        <f t="array" ref="F1751">XLOOKUP(Cover!$D$12,$S$1:$AA$1,$S1751:$AA1751)</f>
        <v>Mandatory</v>
      </c>
      <c r="G1751" s="154" t="s">
        <v>4499</v>
      </c>
      <c r="H1751" s="154" t="s">
        <v>353</v>
      </c>
      <c r="I1751" s="154" t="s">
        <v>632</v>
      </c>
      <c r="J1751" s="154" t="s">
        <v>516</v>
      </c>
      <c r="K1751" s="154" t="s">
        <v>4494</v>
      </c>
      <c r="L1751" s="154" t="str">
        <f t="shared" si="1"/>
        <v/>
      </c>
      <c r="M1751" s="248" t="str">
        <f>IFERROR(__xludf.DUMMYFUNCTION("VLOOKUP(C1751,IMPORTRANGE(""https://docs.google.com/spreadsheets/d/1P8eX0NWBhUPS_hvzA11R6jkTNFrPrRYIx_dX_hYbxrk/edit?resourcekey=0-iw9bsKY2OqkUHCFMkCar3A&amp;gid=2055363397#gid=2055363397"",""MTR!C:O""),11,false)"),"PMW-IMS")</f>
        <v>PMW-IMS</v>
      </c>
      <c r="N1751" s="248" t="str">
        <f>IFERROR(__xludf.DUMMYFUNCTION("VLOOKUP(C1751,IMPORTRANGE(""https://docs.google.com/spreadsheets/d/1ihFlp3_ePlYtFuPbUNbYj1muErVpI73WHXbEwJDIA7Q/edit#gid=1493122344"",""MTR!C:O""),8,false)"),"Does Not Comply")</f>
        <v>Does Not Comply</v>
      </c>
      <c r="O1751" s="248" t="str">
        <f>IFERROR(__xludf.DUMMYFUNCTION("VLOOKUP(C1751,IMPORTRANGE(""https://docs.google.com/spreadsheets/d/1P8eX0NWBhUPS_hvzA11R6jkTNFrPrRYIx_dX_hYbxrk/edit?resourcekey=0-iw9bsKY2OqkUHCFMkCar3A&amp;gid=2055363397#gid=2055363397"",""MTR!C:O""),9,false)"),"The chipset does not support it")</f>
        <v>The chipset does not support it</v>
      </c>
      <c r="P1751" s="248"/>
      <c r="Q1751" s="249" t="s">
        <v>516</v>
      </c>
      <c r="R1751" s="249" t="s">
        <v>4500</v>
      </c>
      <c r="S1751" s="154" t="s">
        <v>64</v>
      </c>
      <c r="T1751" s="154" t="s">
        <v>60</v>
      </c>
      <c r="U1751" s="154" t="s">
        <v>60</v>
      </c>
      <c r="V1751" s="154" t="s">
        <v>60</v>
      </c>
      <c r="W1751" s="154" t="s">
        <v>60</v>
      </c>
      <c r="X1751" s="154" t="s">
        <v>60</v>
      </c>
      <c r="Y1751" s="154" t="s">
        <v>64</v>
      </c>
      <c r="Z1751" s="154" t="s">
        <v>64</v>
      </c>
      <c r="AA1751" s="154" t="s">
        <v>64</v>
      </c>
      <c r="AB1751" s="154"/>
      <c r="AC1751" s="242" t="b">
        <f t="shared" si="2"/>
        <v>1</v>
      </c>
      <c r="AD1751" s="154" t="s">
        <v>391</v>
      </c>
      <c r="AE1751" s="243" t="b">
        <f t="shared" si="3"/>
        <v>0</v>
      </c>
      <c r="AF1751" s="154"/>
      <c r="AG1751" s="243" t="b">
        <f t="shared" si="7"/>
        <v>0</v>
      </c>
      <c r="AH1751" s="154"/>
      <c r="AI1751" s="243" t="str">
        <f t="shared" si="5"/>
        <v>N/A</v>
      </c>
      <c r="AJ1751" s="157" t="str">
        <f t="shared" si="6"/>
        <v/>
      </c>
    </row>
    <row r="1752" ht="12.75" customHeight="1">
      <c r="A1752" s="244" t="s">
        <v>4158</v>
      </c>
      <c r="B1752" s="244" t="s">
        <v>4161</v>
      </c>
      <c r="C1752" s="244" t="s">
        <v>4501</v>
      </c>
      <c r="D1752" s="154" t="s">
        <v>45</v>
      </c>
      <c r="E1752" s="250"/>
      <c r="F1752" s="154" t="str">
        <f t="array" ref="F1752">XLOOKUP(Cover!$D$12,$S$1:$AA$1,$S1752:$AA1752)</f>
        <v>Mandatory</v>
      </c>
      <c r="G1752" s="154" t="s">
        <v>4502</v>
      </c>
      <c r="H1752" s="154" t="s">
        <v>347</v>
      </c>
      <c r="I1752" s="154" t="s">
        <v>632</v>
      </c>
      <c r="J1752" s="247" t="s">
        <v>516</v>
      </c>
      <c r="K1752" s="247" t="s">
        <v>4500</v>
      </c>
      <c r="L1752" s="154" t="str">
        <f t="shared" si="1"/>
        <v/>
      </c>
      <c r="M1752" s="248" t="str">
        <f>IFERROR(__xludf.DUMMYFUNCTION("VLOOKUP(C1752,IMPORTRANGE(""https://docs.google.com/spreadsheets/d/1P8eX0NWBhUPS_hvzA11R6jkTNFrPrRYIx_dX_hYbxrk/edit?resourcekey=0-iw9bsKY2OqkUHCFMkCar3A&amp;gid=2055363397#gid=2055363397"",""MTR!C:O""),11,false)"),"PMW-IMS")</f>
        <v>PMW-IMS</v>
      </c>
      <c r="N1752" s="253" t="str">
        <f>IFERROR(__xludf.DUMMYFUNCTION("VLOOKUP(C1752,IMPORTRANGE(""https://docs.google.com/spreadsheets/d/1ihFlp3_ePlYtFuPbUNbYj1muErVpI73WHXbEwJDIA7Q/edit#gid=1493122344"",""MTR!C:O""),8,false)"),"#N/A")</f>
        <v>#N/A</v>
      </c>
      <c r="O1752" s="248" t="str">
        <f>IFERROR(__xludf.DUMMYFUNCTION("VLOOKUP(C1752,IMPORTRANGE(""https://docs.google.com/spreadsheets/d/1P8eX0NWBhUPS_hvzA11R6jkTNFrPrRYIx_dX_hYbxrk/edit?resourcekey=0-iw9bsKY2OqkUHCFMkCar3A&amp;gid=2055363397#gid=2055363397"",""MTR!C:O""),9,false)"),"The chipset does not support it")</f>
        <v>The chipset does not support it</v>
      </c>
      <c r="P1752" s="248"/>
      <c r="Q1752" s="249"/>
      <c r="R1752" s="249"/>
      <c r="S1752" s="154" t="s">
        <v>60</v>
      </c>
      <c r="T1752" s="154" t="s">
        <v>60</v>
      </c>
      <c r="U1752" s="154" t="s">
        <v>60</v>
      </c>
      <c r="V1752" s="154" t="s">
        <v>60</v>
      </c>
      <c r="W1752" s="154" t="s">
        <v>60</v>
      </c>
      <c r="X1752" s="154" t="s">
        <v>60</v>
      </c>
      <c r="Y1752" s="154" t="s">
        <v>64</v>
      </c>
      <c r="Z1752" s="154" t="s">
        <v>64</v>
      </c>
      <c r="AA1752" s="154" t="s">
        <v>64</v>
      </c>
      <c r="AB1752" s="154"/>
      <c r="AC1752" s="242" t="b">
        <f t="shared" si="2"/>
        <v>1</v>
      </c>
      <c r="AD1752" s="154" t="s">
        <v>391</v>
      </c>
      <c r="AE1752" s="243" t="b">
        <f t="shared" si="3"/>
        <v>0</v>
      </c>
      <c r="AF1752" s="154"/>
      <c r="AG1752" s="243" t="b">
        <f t="shared" si="7"/>
        <v>0</v>
      </c>
      <c r="AH1752" s="154"/>
      <c r="AI1752" s="243" t="str">
        <f t="shared" si="5"/>
        <v>N/A</v>
      </c>
      <c r="AJ1752" s="157" t="str">
        <f t="shared" si="6"/>
        <v/>
      </c>
    </row>
    <row r="1753" ht="12.75" customHeight="1">
      <c r="A1753" s="244" t="s">
        <v>4158</v>
      </c>
      <c r="B1753" s="244" t="s">
        <v>4161</v>
      </c>
      <c r="C1753" s="244" t="s">
        <v>4503</v>
      </c>
      <c r="D1753" s="154" t="s">
        <v>45</v>
      </c>
      <c r="E1753" s="250"/>
      <c r="F1753" s="154" t="str">
        <f t="array" ref="F1753">XLOOKUP(Cover!$D$12,$S$1:$AA$1,$S1753:$AA1753)</f>
        <v>Mandatory</v>
      </c>
      <c r="G1753" s="154" t="s">
        <v>4504</v>
      </c>
      <c r="H1753" s="154" t="s">
        <v>353</v>
      </c>
      <c r="I1753" s="154" t="s">
        <v>632</v>
      </c>
      <c r="J1753" s="154" t="s">
        <v>516</v>
      </c>
      <c r="K1753" s="154" t="s">
        <v>4494</v>
      </c>
      <c r="L1753" s="154" t="str">
        <f t="shared" si="1"/>
        <v/>
      </c>
      <c r="M1753" s="248" t="str">
        <f>IFERROR(__xludf.DUMMYFUNCTION("VLOOKUP(C1753,IMPORTRANGE(""https://docs.google.com/spreadsheets/d/1P8eX0NWBhUPS_hvzA11R6jkTNFrPrRYIx_dX_hYbxrk/edit?resourcekey=0-iw9bsKY2OqkUHCFMkCar3A&amp;gid=2055363397#gid=2055363397"",""MTR!C:O""),11,false)"),"PMW-IMS")</f>
        <v>PMW-IMS</v>
      </c>
      <c r="N1753" s="253" t="str">
        <f>IFERROR(__xludf.DUMMYFUNCTION("VLOOKUP(C1753,IMPORTRANGE(""https://docs.google.com/spreadsheets/d/1ihFlp3_ePlYtFuPbUNbYj1muErVpI73WHXbEwJDIA7Q/edit#gid=1493122344"",""MTR!C:O""),8,false)"),"#N/A")</f>
        <v>#N/A</v>
      </c>
      <c r="O1753" s="248" t="str">
        <f>IFERROR(__xludf.DUMMYFUNCTION("VLOOKUP(C1753,IMPORTRANGE(""https://docs.google.com/spreadsheets/d/1P8eX0NWBhUPS_hvzA11R6jkTNFrPrRYIx_dX_hYbxrk/edit?resourcekey=0-iw9bsKY2OqkUHCFMkCar3A&amp;gid=2055363397#gid=2055363397"",""MTR!C:O""),9,false)"),"The chipset does not support it")</f>
        <v>The chipset does not support it</v>
      </c>
      <c r="P1753" s="248"/>
      <c r="Q1753" s="248"/>
      <c r="R1753" s="248"/>
      <c r="S1753" s="154" t="s">
        <v>64</v>
      </c>
      <c r="T1753" s="154" t="s">
        <v>60</v>
      </c>
      <c r="U1753" s="154" t="s">
        <v>60</v>
      </c>
      <c r="V1753" s="154" t="s">
        <v>60</v>
      </c>
      <c r="W1753" s="154" t="s">
        <v>60</v>
      </c>
      <c r="X1753" s="154" t="s">
        <v>60</v>
      </c>
      <c r="Y1753" s="154" t="s">
        <v>64</v>
      </c>
      <c r="Z1753" s="154" t="s">
        <v>64</v>
      </c>
      <c r="AA1753" s="154" t="s">
        <v>64</v>
      </c>
      <c r="AB1753" s="154"/>
      <c r="AC1753" s="242" t="b">
        <f t="shared" si="2"/>
        <v>1</v>
      </c>
      <c r="AD1753" s="154" t="s">
        <v>391</v>
      </c>
      <c r="AE1753" s="243" t="b">
        <f t="shared" si="3"/>
        <v>0</v>
      </c>
      <c r="AF1753" s="154"/>
      <c r="AG1753" s="243" t="b">
        <f t="shared" si="7"/>
        <v>0</v>
      </c>
      <c r="AH1753" s="154"/>
      <c r="AI1753" s="243" t="str">
        <f t="shared" si="5"/>
        <v>N/A</v>
      </c>
      <c r="AJ1753" s="157" t="str">
        <f t="shared" si="6"/>
        <v/>
      </c>
    </row>
    <row r="1754" ht="12.75" customHeight="1">
      <c r="A1754" s="244" t="s">
        <v>4158</v>
      </c>
      <c r="B1754" s="244" t="s">
        <v>4161</v>
      </c>
      <c r="C1754" s="244" t="s">
        <v>4505</v>
      </c>
      <c r="D1754" s="154" t="s">
        <v>45</v>
      </c>
      <c r="E1754" s="250"/>
      <c r="F1754" s="154" t="str">
        <f t="array" ref="F1754">XLOOKUP(Cover!$D$12,$S$1:$AA$1,$S1754:$AA1754)</f>
        <v>Mandatory</v>
      </c>
      <c r="G1754" s="154" t="s">
        <v>4506</v>
      </c>
      <c r="H1754" s="154" t="s">
        <v>347</v>
      </c>
      <c r="I1754" s="154" t="s">
        <v>632</v>
      </c>
      <c r="J1754" s="154" t="s">
        <v>516</v>
      </c>
      <c r="K1754" s="154" t="s">
        <v>4494</v>
      </c>
      <c r="L1754" s="154" t="str">
        <f t="shared" si="1"/>
        <v/>
      </c>
      <c r="M1754" s="248" t="str">
        <f>IFERROR(__xludf.DUMMYFUNCTION("VLOOKUP(C1754,IMPORTRANGE(""https://docs.google.com/spreadsheets/d/1P8eX0NWBhUPS_hvzA11R6jkTNFrPrRYIx_dX_hYbxrk/edit?resourcekey=0-iw9bsKY2OqkUHCFMkCar3A&amp;gid=2055363397#gid=2055363397"",""MTR!C:O""),11,false)"),"PMW-IMS")</f>
        <v>PMW-IMS</v>
      </c>
      <c r="N1754" s="253" t="str">
        <f>IFERROR(__xludf.DUMMYFUNCTION("VLOOKUP(C1754,IMPORTRANGE(""https://docs.google.com/spreadsheets/d/1ihFlp3_ePlYtFuPbUNbYj1muErVpI73WHXbEwJDIA7Q/edit#gid=1493122344"",""MTR!C:O""),8,false)"),"#N/A")</f>
        <v>#N/A</v>
      </c>
      <c r="O1754" s="269" t="str">
        <f>IFERROR(__xludf.DUMMYFUNCTION("VLOOKUP(C1754,IMPORTRANGE(""https://docs.google.com/spreadsheets/d/1P8eX0NWBhUPS_hvzA11R6jkTNFrPrRYIx_dX_hYbxrk/edit?resourcekey=0-iw9bsKY2OqkUHCFMkCar3A&amp;gid=2055363397#gid=2055363397"",""MTR!C:O""),9,false)"),"The chipset does not support it")</f>
        <v>The chipset does not support it</v>
      </c>
      <c r="P1754" s="269"/>
      <c r="Q1754" s="269"/>
      <c r="R1754" s="269"/>
      <c r="S1754" s="154" t="s">
        <v>60</v>
      </c>
      <c r="T1754" s="154" t="s">
        <v>60</v>
      </c>
      <c r="U1754" s="154" t="s">
        <v>60</v>
      </c>
      <c r="V1754" s="154" t="s">
        <v>60</v>
      </c>
      <c r="W1754" s="154" t="s">
        <v>60</v>
      </c>
      <c r="X1754" s="154" t="s">
        <v>60</v>
      </c>
      <c r="Y1754" s="154" t="s">
        <v>64</v>
      </c>
      <c r="Z1754" s="154" t="s">
        <v>64</v>
      </c>
      <c r="AA1754" s="154" t="s">
        <v>64</v>
      </c>
      <c r="AB1754" s="154"/>
      <c r="AC1754" s="242" t="b">
        <f t="shared" si="2"/>
        <v>1</v>
      </c>
      <c r="AD1754" s="154" t="s">
        <v>391</v>
      </c>
      <c r="AE1754" s="243" t="b">
        <f t="shared" si="3"/>
        <v>0</v>
      </c>
      <c r="AF1754" s="154"/>
      <c r="AG1754" s="243" t="b">
        <f t="shared" si="7"/>
        <v>0</v>
      </c>
      <c r="AH1754" s="154"/>
      <c r="AI1754" s="243" t="str">
        <f t="shared" si="5"/>
        <v>N/A</v>
      </c>
      <c r="AJ1754" s="157" t="str">
        <f t="shared" si="6"/>
        <v/>
      </c>
    </row>
    <row r="1755" ht="12.75" customHeight="1">
      <c r="A1755" s="244" t="s">
        <v>4158</v>
      </c>
      <c r="B1755" s="244" t="s">
        <v>4161</v>
      </c>
      <c r="C1755" s="244" t="s">
        <v>4507</v>
      </c>
      <c r="D1755" s="154" t="s">
        <v>45</v>
      </c>
      <c r="E1755" s="250"/>
      <c r="F1755" s="154" t="str">
        <f t="array" ref="F1755">XLOOKUP(Cover!$D$12,$S$1:$AA$1,$S1755:$AA1755)</f>
        <v>Mandatory</v>
      </c>
      <c r="G1755" s="154" t="s">
        <v>4508</v>
      </c>
      <c r="H1755" s="154" t="s">
        <v>353</v>
      </c>
      <c r="I1755" s="154" t="s">
        <v>632</v>
      </c>
      <c r="J1755" s="247" t="s">
        <v>506</v>
      </c>
      <c r="K1755" s="154" t="s">
        <v>4509</v>
      </c>
      <c r="L1755" s="154" t="str">
        <f t="shared" si="1"/>
        <v/>
      </c>
      <c r="M1755" s="248" t="str">
        <f>IFERROR(__xludf.DUMMYFUNCTION("VLOOKUP(C1755,IMPORTRANGE(""https://docs.google.com/spreadsheets/d/1P8eX0NWBhUPS_hvzA11R6jkTNFrPrRYIx_dX_hYbxrk/edit?resourcekey=0-iw9bsKY2OqkUHCFMkCar3A&amp;gid=2055363397#gid=2055363397"",""MTR!C:O""),11,false)"),"PMW-IMS")</f>
        <v>PMW-IMS</v>
      </c>
      <c r="N1755" s="253" t="str">
        <f>IFERROR(__xludf.DUMMYFUNCTION("VLOOKUP(C1755,IMPORTRANGE(""https://docs.google.com/spreadsheets/d/1ihFlp3_ePlYtFuPbUNbYj1muErVpI73WHXbEwJDIA7Q/edit#gid=1493122344"",""MTR!C:O""),8,false)"),"#N/A")</f>
        <v>#N/A</v>
      </c>
      <c r="O1755" s="248" t="str">
        <f>IFERROR(__xludf.DUMMYFUNCTION("VLOOKUP(C1755,IMPORTRANGE(""https://docs.google.com/spreadsheets/d/1P8eX0NWBhUPS_hvzA11R6jkTNFrPrRYIx_dX_hYbxrk/edit?resourcekey=0-iw9bsKY2OqkUHCFMkCar3A&amp;gid=2055363397#gid=2055363397"",""MTR!C:O""),9,false)"),"VoNR is not enabled. Please reach out to TAM for feature support when VoNR is enabled.")</f>
        <v>VoNR is not enabled. Please reach out to TAM for feature support when VoNR is enabled.</v>
      </c>
      <c r="P1755" s="248"/>
      <c r="Q1755" s="248"/>
      <c r="R1755" s="248"/>
      <c r="S1755" s="154" t="s">
        <v>64</v>
      </c>
      <c r="T1755" s="154" t="s">
        <v>60</v>
      </c>
      <c r="U1755" s="154" t="s">
        <v>60</v>
      </c>
      <c r="V1755" s="154" t="s">
        <v>60</v>
      </c>
      <c r="W1755" s="154" t="s">
        <v>60</v>
      </c>
      <c r="X1755" s="154" t="s">
        <v>60</v>
      </c>
      <c r="Y1755" s="154" t="s">
        <v>64</v>
      </c>
      <c r="Z1755" s="154" t="s">
        <v>64</v>
      </c>
      <c r="AA1755" s="154" t="s">
        <v>64</v>
      </c>
      <c r="AB1755" s="154"/>
      <c r="AC1755" s="242" t="b">
        <f t="shared" si="2"/>
        <v>1</v>
      </c>
      <c r="AD1755" s="154" t="s">
        <v>391</v>
      </c>
      <c r="AE1755" s="243" t="b">
        <f t="shared" si="3"/>
        <v>0</v>
      </c>
      <c r="AF1755" s="154"/>
      <c r="AG1755" s="243" t="b">
        <f t="shared" si="7"/>
        <v>0</v>
      </c>
      <c r="AH1755" s="154"/>
      <c r="AI1755" s="243" t="str">
        <f t="shared" si="5"/>
        <v>N/A</v>
      </c>
      <c r="AJ1755" s="157" t="str">
        <f t="shared" si="6"/>
        <v/>
      </c>
    </row>
    <row r="1756" ht="12.75" customHeight="1">
      <c r="A1756" s="244" t="s">
        <v>4158</v>
      </c>
      <c r="B1756" s="244" t="s">
        <v>4161</v>
      </c>
      <c r="C1756" s="244" t="s">
        <v>4510</v>
      </c>
      <c r="D1756" s="154" t="s">
        <v>45</v>
      </c>
      <c r="E1756" s="250"/>
      <c r="F1756" s="154" t="str">
        <f t="array" ref="F1756">XLOOKUP(Cover!$D$12,$S$1:$AA$1,$S1756:$AA1756)</f>
        <v>Mandatory</v>
      </c>
      <c r="G1756" s="154" t="s">
        <v>4511</v>
      </c>
      <c r="H1756" s="154" t="s">
        <v>347</v>
      </c>
      <c r="I1756" s="154" t="s">
        <v>632</v>
      </c>
      <c r="J1756" s="247" t="s">
        <v>506</v>
      </c>
      <c r="K1756" s="154" t="s">
        <v>4512</v>
      </c>
      <c r="L1756" s="154" t="str">
        <f t="shared" si="1"/>
        <v/>
      </c>
      <c r="M1756" s="248" t="str">
        <f>IFERROR(__xludf.DUMMYFUNCTION("VLOOKUP(C1756,IMPORTRANGE(""https://docs.google.com/spreadsheets/d/1P8eX0NWBhUPS_hvzA11R6jkTNFrPrRYIx_dX_hYbxrk/edit?resourcekey=0-iw9bsKY2OqkUHCFMkCar3A&amp;gid=2055363397#gid=2055363397"",""MTR!C:O""),11,false)"),"PMW-IMS")</f>
        <v>PMW-IMS</v>
      </c>
      <c r="N1756" s="253" t="str">
        <f>IFERROR(__xludf.DUMMYFUNCTION("VLOOKUP(C1756,IMPORTRANGE(""https://docs.google.com/spreadsheets/d/1ihFlp3_ePlYtFuPbUNbYj1muErVpI73WHXbEwJDIA7Q/edit#gid=1493122344"",""MTR!C:O""),8,false)"),"#N/A")</f>
        <v>#N/A</v>
      </c>
      <c r="O1756" s="248" t="str">
        <f>IFERROR(__xludf.DUMMYFUNCTION("VLOOKUP(C1756,IMPORTRANGE(""https://docs.google.com/spreadsheets/d/1P8eX0NWBhUPS_hvzA11R6jkTNFrPrRYIx_dX_hYbxrk/edit?resourcekey=0-iw9bsKY2OqkUHCFMkCar3A&amp;gid=2055363397#gid=2055363397"",""MTR!C:O""),9,false)"),"Ticket has been raised to investigate this vc handling http://b/329816894 [ISD Update][DTAG][IN-MARKET][CM] New timer (VC-4G and VC-5G) added for voice centric device")</f>
        <v>Ticket has been raised to investigate this vc handling http://b/329816894 [ISD Update][DTAG][IN-MARKET][CM] New timer (VC-4G and VC-5G) added for voice centric device</v>
      </c>
      <c r="P1756" s="248"/>
      <c r="Q1756" s="248"/>
      <c r="R1756" s="248"/>
      <c r="S1756" s="154" t="s">
        <v>60</v>
      </c>
      <c r="T1756" s="154" t="s">
        <v>60</v>
      </c>
      <c r="U1756" s="154" t="s">
        <v>60</v>
      </c>
      <c r="V1756" s="154" t="s">
        <v>60</v>
      </c>
      <c r="W1756" s="154" t="s">
        <v>60</v>
      </c>
      <c r="X1756" s="154" t="s">
        <v>60</v>
      </c>
      <c r="Y1756" s="154" t="s">
        <v>64</v>
      </c>
      <c r="Z1756" s="154" t="s">
        <v>64</v>
      </c>
      <c r="AA1756" s="154" t="s">
        <v>64</v>
      </c>
      <c r="AB1756" s="154"/>
      <c r="AC1756" s="242" t="b">
        <f t="shared" si="2"/>
        <v>1</v>
      </c>
      <c r="AD1756" s="154" t="s">
        <v>391</v>
      </c>
      <c r="AE1756" s="243" t="b">
        <f t="shared" si="3"/>
        <v>0</v>
      </c>
      <c r="AF1756" s="154"/>
      <c r="AG1756" s="243" t="b">
        <f t="shared" si="7"/>
        <v>0</v>
      </c>
      <c r="AH1756" s="154"/>
      <c r="AI1756" s="243" t="str">
        <f t="shared" si="5"/>
        <v>N/A</v>
      </c>
      <c r="AJ1756" s="157" t="str">
        <f t="shared" si="6"/>
        <v/>
      </c>
    </row>
    <row r="1757" ht="12.75" customHeight="1">
      <c r="A1757" s="244" t="s">
        <v>4158</v>
      </c>
      <c r="B1757" s="244" t="s">
        <v>4161</v>
      </c>
      <c r="C1757" s="244" t="s">
        <v>4513</v>
      </c>
      <c r="D1757" s="154" t="s">
        <v>45</v>
      </c>
      <c r="E1757" s="250"/>
      <c r="F1757" s="154" t="str">
        <f t="array" ref="F1757">XLOOKUP(Cover!$D$12,$S$1:$AA$1,$S1757:$AA1757)</f>
        <v>Mandatory</v>
      </c>
      <c r="G1757" s="154" t="s">
        <v>4514</v>
      </c>
      <c r="H1757" s="154" t="s">
        <v>353</v>
      </c>
      <c r="I1757" s="154" t="s">
        <v>632</v>
      </c>
      <c r="J1757" s="247" t="s">
        <v>506</v>
      </c>
      <c r="K1757" s="154" t="s">
        <v>4509</v>
      </c>
      <c r="L1757" s="154" t="str">
        <f t="shared" si="1"/>
        <v/>
      </c>
      <c r="M1757" s="248" t="str">
        <f>IFERROR(__xludf.DUMMYFUNCTION("VLOOKUP(C1757,IMPORTRANGE(""https://docs.google.com/spreadsheets/d/1P8eX0NWBhUPS_hvzA11R6jkTNFrPrRYIx_dX_hYbxrk/edit?resourcekey=0-iw9bsKY2OqkUHCFMkCar3A&amp;gid=2055363397#gid=2055363397"",""MTR!C:O""),11,false)"),"PMW-IMS")</f>
        <v>PMW-IMS</v>
      </c>
      <c r="N1757" s="253" t="str">
        <f>IFERROR(__xludf.DUMMYFUNCTION("VLOOKUP(C1757,IMPORTRANGE(""https://docs.google.com/spreadsheets/d/1ihFlp3_ePlYtFuPbUNbYj1muErVpI73WHXbEwJDIA7Q/edit#gid=1493122344"",""MTR!C:O""),8,false)"),"#N/A")</f>
        <v>#N/A</v>
      </c>
      <c r="O1757" s="248" t="str">
        <f>IFERROR(__xludf.DUMMYFUNCTION("VLOOKUP(C1757,IMPORTRANGE(""https://docs.google.com/spreadsheets/d/1P8eX0NWBhUPS_hvzA11R6jkTNFrPrRYIx_dX_hYbxrk/edit?resourcekey=0-iw9bsKY2OqkUHCFMkCar3A&amp;gid=2055363397#gid=2055363397"",""MTR!C:O""),9,false)"),"VoNR is not enabled. Please reach out to TAM for feature support when VoNR is enabled.")</f>
        <v>VoNR is not enabled. Please reach out to TAM for feature support when VoNR is enabled.</v>
      </c>
      <c r="P1757" s="248"/>
      <c r="Q1757" s="248"/>
      <c r="R1757" s="248"/>
      <c r="S1757" s="154" t="s">
        <v>64</v>
      </c>
      <c r="T1757" s="154" t="s">
        <v>60</v>
      </c>
      <c r="U1757" s="154" t="s">
        <v>60</v>
      </c>
      <c r="V1757" s="154" t="s">
        <v>60</v>
      </c>
      <c r="W1757" s="154" t="s">
        <v>60</v>
      </c>
      <c r="X1757" s="154" t="s">
        <v>60</v>
      </c>
      <c r="Y1757" s="154" t="s">
        <v>64</v>
      </c>
      <c r="Z1757" s="154" t="s">
        <v>64</v>
      </c>
      <c r="AA1757" s="154" t="s">
        <v>64</v>
      </c>
      <c r="AB1757" s="154"/>
      <c r="AC1757" s="242" t="b">
        <f t="shared" si="2"/>
        <v>1</v>
      </c>
      <c r="AD1757" s="154" t="s">
        <v>391</v>
      </c>
      <c r="AE1757" s="243" t="b">
        <f t="shared" si="3"/>
        <v>0</v>
      </c>
      <c r="AF1757" s="154"/>
      <c r="AG1757" s="243" t="b">
        <f t="shared" si="7"/>
        <v>0</v>
      </c>
      <c r="AH1757" s="154"/>
      <c r="AI1757" s="243" t="str">
        <f t="shared" si="5"/>
        <v>N/A</v>
      </c>
      <c r="AJ1757" s="157" t="str">
        <f t="shared" si="6"/>
        <v/>
      </c>
    </row>
    <row r="1758" ht="12.75" customHeight="1">
      <c r="A1758" s="244" t="s">
        <v>4158</v>
      </c>
      <c r="B1758" s="244" t="s">
        <v>4161</v>
      </c>
      <c r="C1758" s="244" t="s">
        <v>4515</v>
      </c>
      <c r="D1758" s="154" t="s">
        <v>45</v>
      </c>
      <c r="E1758" s="250"/>
      <c r="F1758" s="154" t="str">
        <f t="array" ref="F1758">XLOOKUP(Cover!$D$12,$S$1:$AA$1,$S1758:$AA1758)</f>
        <v>Mandatory</v>
      </c>
      <c r="G1758" s="154" t="s">
        <v>4516</v>
      </c>
      <c r="H1758" s="154" t="s">
        <v>347</v>
      </c>
      <c r="I1758" s="154" t="s">
        <v>632</v>
      </c>
      <c r="J1758" s="247" t="s">
        <v>506</v>
      </c>
      <c r="K1758" s="247" t="s">
        <v>4517</v>
      </c>
      <c r="L1758" s="154" t="str">
        <f t="shared" si="1"/>
        <v/>
      </c>
      <c r="M1758" s="248" t="str">
        <f>IFERROR(__xludf.DUMMYFUNCTION("VLOOKUP(C1758,IMPORTRANGE(""https://docs.google.com/spreadsheets/d/1P8eX0NWBhUPS_hvzA11R6jkTNFrPrRYIx_dX_hYbxrk/edit?resourcekey=0-iw9bsKY2OqkUHCFMkCar3A&amp;gid=2055363397#gid=2055363397"",""MTR!C:O""),11,false)"),"PMW-IMS")</f>
        <v>PMW-IMS</v>
      </c>
      <c r="N1758" s="253" t="str">
        <f>IFERROR(__xludf.DUMMYFUNCTION("VLOOKUP(C1758,IMPORTRANGE(""https://docs.google.com/spreadsheets/d/1ihFlp3_ePlYtFuPbUNbYj1muErVpI73WHXbEwJDIA7Q/edit#gid=1493122344"",""MTR!C:O""),8,false)"),"#N/A")</f>
        <v>#N/A</v>
      </c>
      <c r="O1758" s="248" t="str">
        <f>IFERROR(__xludf.DUMMYFUNCTION("VLOOKUP(C1758,IMPORTRANGE(""https://docs.google.com/spreadsheets/d/1P8eX0NWBhUPS_hvzA11R6jkTNFrPrRYIx_dX_hYbxrk/edit?resourcekey=0-iw9bsKY2OqkUHCFMkCar3A&amp;gid=2055363397#gid=2055363397"",""MTR!C:O""),9,false)"),"The chipset does not support it")</f>
        <v>The chipset does not support it</v>
      </c>
      <c r="P1758" s="248"/>
      <c r="Q1758" s="248"/>
      <c r="R1758" s="248"/>
      <c r="S1758" s="154" t="s">
        <v>60</v>
      </c>
      <c r="T1758" s="154" t="s">
        <v>60</v>
      </c>
      <c r="U1758" s="154" t="s">
        <v>60</v>
      </c>
      <c r="V1758" s="154" t="s">
        <v>60</v>
      </c>
      <c r="W1758" s="154" t="s">
        <v>60</v>
      </c>
      <c r="X1758" s="154" t="s">
        <v>60</v>
      </c>
      <c r="Y1758" s="154" t="s">
        <v>64</v>
      </c>
      <c r="Z1758" s="154" t="s">
        <v>64</v>
      </c>
      <c r="AA1758" s="154" t="s">
        <v>64</v>
      </c>
      <c r="AB1758" s="154"/>
      <c r="AC1758" s="242" t="b">
        <f t="shared" si="2"/>
        <v>1</v>
      </c>
      <c r="AD1758" s="154" t="s">
        <v>391</v>
      </c>
      <c r="AE1758" s="243" t="b">
        <f t="shared" si="3"/>
        <v>0</v>
      </c>
      <c r="AF1758" s="154"/>
      <c r="AG1758" s="243" t="b">
        <f t="shared" si="7"/>
        <v>0</v>
      </c>
      <c r="AH1758" s="154"/>
      <c r="AI1758" s="243" t="str">
        <f t="shared" si="5"/>
        <v>N/A</v>
      </c>
      <c r="AJ1758" s="157" t="str">
        <f t="shared" si="6"/>
        <v/>
      </c>
    </row>
    <row r="1759" ht="12.75" customHeight="1">
      <c r="A1759" s="244" t="s">
        <v>4158</v>
      </c>
      <c r="B1759" s="244" t="s">
        <v>4161</v>
      </c>
      <c r="C1759" s="244" t="s">
        <v>4518</v>
      </c>
      <c r="D1759" s="154" t="s">
        <v>45</v>
      </c>
      <c r="E1759" s="250"/>
      <c r="F1759" s="154" t="str">
        <f t="array" ref="F1759">XLOOKUP(Cover!$D$12,$S$1:$AA$1,$S1759:$AA1759)</f>
        <v>Mandatory</v>
      </c>
      <c r="G1759" s="154" t="s">
        <v>4519</v>
      </c>
      <c r="H1759" s="154" t="s">
        <v>2307</v>
      </c>
      <c r="I1759" s="154" t="s">
        <v>632</v>
      </c>
      <c r="J1759" s="247" t="s">
        <v>516</v>
      </c>
      <c r="K1759" s="154" t="s">
        <v>4494</v>
      </c>
      <c r="L1759" s="154" t="str">
        <f t="shared" si="1"/>
        <v/>
      </c>
      <c r="M1759" s="248" t="str">
        <f>IFERROR(__xludf.DUMMYFUNCTION("VLOOKUP(C1759,IMPORTRANGE(""https://docs.google.com/spreadsheets/d/1P8eX0NWBhUPS_hvzA11R6jkTNFrPrRYIx_dX_hYbxrk/edit?resourcekey=0-iw9bsKY2OqkUHCFMkCar3A&amp;gid=2055363397#gid=2055363397"",""MTR!C:O""),11,false)"),"PMW-IMS")</f>
        <v>PMW-IMS</v>
      </c>
      <c r="N1759" s="253" t="str">
        <f>IFERROR(__xludf.DUMMYFUNCTION("VLOOKUP(C1759,IMPORTRANGE(""https://docs.google.com/spreadsheets/d/1ihFlp3_ePlYtFuPbUNbYj1muErVpI73WHXbEwJDIA7Q/edit#gid=1493122344"",""MTR!C:O""),8,false)"),"#N/A")</f>
        <v>#N/A</v>
      </c>
      <c r="O1759" s="248" t="str">
        <f>IFERROR(__xludf.DUMMYFUNCTION("VLOOKUP(C1759,IMPORTRANGE(""https://docs.google.com/spreadsheets/d/1P8eX0NWBhUPS_hvzA11R6jkTNFrPrRYIx_dX_hYbxrk/edit?resourcekey=0-iw9bsKY2OqkUHCFMkCar3A&amp;gid=2055363397#gid=2055363397"",""MTR!C:O""),9,false)"),"The chipset does not support it")</f>
        <v>The chipset does not support it</v>
      </c>
      <c r="P1759" s="248"/>
      <c r="Q1759" s="248"/>
      <c r="R1759" s="248"/>
      <c r="S1759" s="154" t="s">
        <v>60</v>
      </c>
      <c r="T1759" s="154" t="s">
        <v>60</v>
      </c>
      <c r="U1759" s="154" t="s">
        <v>60</v>
      </c>
      <c r="V1759" s="154" t="s">
        <v>60</v>
      </c>
      <c r="W1759" s="154" t="s">
        <v>60</v>
      </c>
      <c r="X1759" s="154" t="s">
        <v>60</v>
      </c>
      <c r="Y1759" s="154" t="s">
        <v>64</v>
      </c>
      <c r="Z1759" s="154" t="s">
        <v>64</v>
      </c>
      <c r="AA1759" s="154" t="s">
        <v>64</v>
      </c>
      <c r="AB1759" s="154"/>
      <c r="AC1759" s="242" t="b">
        <f t="shared" si="2"/>
        <v>1</v>
      </c>
      <c r="AD1759" s="154" t="s">
        <v>391</v>
      </c>
      <c r="AE1759" s="243" t="b">
        <f t="shared" si="3"/>
        <v>0</v>
      </c>
      <c r="AF1759" s="154"/>
      <c r="AG1759" s="243" t="b">
        <f t="shared" si="7"/>
        <v>0</v>
      </c>
      <c r="AH1759" s="154"/>
      <c r="AI1759" s="243" t="str">
        <f t="shared" si="5"/>
        <v>N/A</v>
      </c>
      <c r="AJ1759" s="157" t="str">
        <f t="shared" si="6"/>
        <v/>
      </c>
    </row>
    <row r="1760" ht="12.75" customHeight="1">
      <c r="A1760" s="244" t="s">
        <v>4158</v>
      </c>
      <c r="B1760" s="244" t="s">
        <v>4161</v>
      </c>
      <c r="C1760" s="244" t="s">
        <v>4520</v>
      </c>
      <c r="D1760" s="154" t="s">
        <v>45</v>
      </c>
      <c r="E1760" s="250"/>
      <c r="F1760" s="154" t="str">
        <f t="array" ref="F1760">XLOOKUP(Cover!$D$12,$S$1:$AA$1,$S1760:$AA1760)</f>
        <v>Mandatory</v>
      </c>
      <c r="G1760" s="154" t="s">
        <v>4521</v>
      </c>
      <c r="H1760" s="154" t="s">
        <v>2307</v>
      </c>
      <c r="I1760" s="154" t="s">
        <v>632</v>
      </c>
      <c r="J1760" s="247" t="s">
        <v>516</v>
      </c>
      <c r="K1760" s="154" t="s">
        <v>4494</v>
      </c>
      <c r="L1760" s="154" t="str">
        <f t="shared" si="1"/>
        <v/>
      </c>
      <c r="M1760" s="248" t="str">
        <f>IFERROR(__xludf.DUMMYFUNCTION("VLOOKUP(C1760,IMPORTRANGE(""https://docs.google.com/spreadsheets/d/1P8eX0NWBhUPS_hvzA11R6jkTNFrPrRYIx_dX_hYbxrk/edit?resourcekey=0-iw9bsKY2OqkUHCFMkCar3A&amp;gid=2055363397#gid=2055363397"",""MTR!C:O""),11,false)"),"PMW-IMS")</f>
        <v>PMW-IMS</v>
      </c>
      <c r="N1760" s="253" t="str">
        <f>IFERROR(__xludf.DUMMYFUNCTION("VLOOKUP(C1760,IMPORTRANGE(""https://docs.google.com/spreadsheets/d/1ihFlp3_ePlYtFuPbUNbYj1muErVpI73WHXbEwJDIA7Q/edit#gid=1493122344"",""MTR!C:O""),8,false)"),"#N/A")</f>
        <v>#N/A</v>
      </c>
      <c r="O1760" s="248" t="str">
        <f>IFERROR(__xludf.DUMMYFUNCTION("VLOOKUP(C1760,IMPORTRANGE(""https://docs.google.com/spreadsheets/d/1P8eX0NWBhUPS_hvzA11R6jkTNFrPrRYIx_dX_hYbxrk/edit?resourcekey=0-iw9bsKY2OqkUHCFMkCar3A&amp;gid=2055363397#gid=2055363397"",""MTR!C:O""),9,false)"),"The chipset does not support it")</f>
        <v>The chipset does not support it</v>
      </c>
      <c r="P1760" s="248"/>
      <c r="Q1760" s="248"/>
      <c r="R1760" s="248"/>
      <c r="S1760" s="154" t="s">
        <v>60</v>
      </c>
      <c r="T1760" s="154" t="s">
        <v>60</v>
      </c>
      <c r="U1760" s="154" t="s">
        <v>60</v>
      </c>
      <c r="V1760" s="154" t="s">
        <v>60</v>
      </c>
      <c r="W1760" s="154" t="s">
        <v>60</v>
      </c>
      <c r="X1760" s="154" t="s">
        <v>60</v>
      </c>
      <c r="Y1760" s="154" t="s">
        <v>64</v>
      </c>
      <c r="Z1760" s="154" t="s">
        <v>64</v>
      </c>
      <c r="AA1760" s="154" t="s">
        <v>64</v>
      </c>
      <c r="AB1760" s="154"/>
      <c r="AC1760" s="242" t="b">
        <f t="shared" si="2"/>
        <v>1</v>
      </c>
      <c r="AD1760" s="154" t="s">
        <v>391</v>
      </c>
      <c r="AE1760" s="243" t="b">
        <f t="shared" si="3"/>
        <v>0</v>
      </c>
      <c r="AF1760" s="154"/>
      <c r="AG1760" s="243" t="b">
        <f t="shared" si="7"/>
        <v>0</v>
      </c>
      <c r="AH1760" s="154"/>
      <c r="AI1760" s="243" t="str">
        <f t="shared" si="5"/>
        <v>N/A</v>
      </c>
      <c r="AJ1760" s="157" t="str">
        <f t="shared" si="6"/>
        <v/>
      </c>
    </row>
    <row r="1761" ht="12.75" customHeight="1">
      <c r="A1761" s="244" t="s">
        <v>4158</v>
      </c>
      <c r="B1761" s="244" t="s">
        <v>4161</v>
      </c>
      <c r="C1761" s="244" t="s">
        <v>4522</v>
      </c>
      <c r="D1761" s="154" t="s">
        <v>45</v>
      </c>
      <c r="E1761" s="250"/>
      <c r="F1761" s="154" t="str">
        <f t="array" ref="F1761">XLOOKUP(Cover!$D$12,$S$1:$AA$1,$S1761:$AA1761)</f>
        <v>Mandatory</v>
      </c>
      <c r="G1761" s="154" t="s">
        <v>4523</v>
      </c>
      <c r="H1761" s="154" t="s">
        <v>353</v>
      </c>
      <c r="I1761" s="154" t="s">
        <v>632</v>
      </c>
      <c r="J1761" s="247" t="s">
        <v>506</v>
      </c>
      <c r="K1761" s="154" t="s">
        <v>4256</v>
      </c>
      <c r="L1761" s="154" t="str">
        <f t="shared" si="1"/>
        <v/>
      </c>
      <c r="M1761" s="248" t="str">
        <f>IFERROR(__xludf.DUMMYFUNCTION("VLOOKUP(C1761,IMPORTRANGE(""https://docs.google.com/spreadsheets/d/1P8eX0NWBhUPS_hvzA11R6jkTNFrPrRYIx_dX_hYbxrk/edit?resourcekey=0-iw9bsKY2OqkUHCFMkCar3A&amp;gid=2055363397#gid=2055363397"",""MTR!C:O""),11,false)"),"PMW-IMS")</f>
        <v>PMW-IMS</v>
      </c>
      <c r="N1761" s="253" t="str">
        <f>IFERROR(__xludf.DUMMYFUNCTION("VLOOKUP(C1761,IMPORTRANGE(""https://docs.google.com/spreadsheets/d/1ihFlp3_ePlYtFuPbUNbYj1muErVpI73WHXbEwJDIA7Q/edit#gid=1493122344"",""MTR!C:O""),8,false)"),"#N/A")</f>
        <v>#N/A</v>
      </c>
      <c r="O1761" s="248" t="str">
        <f>IFERROR(__xludf.DUMMYFUNCTION("VLOOKUP(C1761,IMPORTRANGE(""https://docs.google.com/spreadsheets/d/1P8eX0NWBhUPS_hvzA11R6jkTNFrPrRYIx_dX_hYbxrk/edit?resourcekey=0-iw9bsKY2OqkUHCFMkCar3A&amp;gid=2055363397#gid=2055363397"",""MTR!C:O""),9,false)"),"The chipset supports it, but VoNR is disabled as SA is disabled for product launch, please discuss with Google TAM for feature enablement plans if the feature is deployed in live network.")</f>
        <v>The chipset supports it, but VoNR is disabled as SA is disabled for product launch, please discuss with Google TAM for feature enablement plans if the feature is deployed in live network.</v>
      </c>
      <c r="P1761" s="248"/>
      <c r="Q1761" s="248"/>
      <c r="R1761" s="248"/>
      <c r="S1761" s="154" t="s">
        <v>64</v>
      </c>
      <c r="T1761" s="154" t="s">
        <v>60</v>
      </c>
      <c r="U1761" s="154" t="s">
        <v>60</v>
      </c>
      <c r="V1761" s="154" t="s">
        <v>60</v>
      </c>
      <c r="W1761" s="154" t="s">
        <v>60</v>
      </c>
      <c r="X1761" s="154" t="s">
        <v>60</v>
      </c>
      <c r="Y1761" s="154" t="s">
        <v>64</v>
      </c>
      <c r="Z1761" s="154" t="s">
        <v>64</v>
      </c>
      <c r="AA1761" s="154" t="s">
        <v>64</v>
      </c>
      <c r="AB1761" s="154"/>
      <c r="AC1761" s="242" t="b">
        <f t="shared" si="2"/>
        <v>1</v>
      </c>
      <c r="AD1761" s="154" t="s">
        <v>391</v>
      </c>
      <c r="AE1761" s="243" t="b">
        <f t="shared" si="3"/>
        <v>0</v>
      </c>
      <c r="AF1761" s="154"/>
      <c r="AG1761" s="243" t="b">
        <f t="shared" si="7"/>
        <v>0</v>
      </c>
      <c r="AH1761" s="154"/>
      <c r="AI1761" s="243" t="str">
        <f t="shared" si="5"/>
        <v>N/A</v>
      </c>
      <c r="AJ1761" s="157" t="str">
        <f t="shared" si="6"/>
        <v/>
      </c>
    </row>
    <row r="1762" ht="12.75" customHeight="1">
      <c r="A1762" s="244" t="s">
        <v>4158</v>
      </c>
      <c r="B1762" s="244" t="s">
        <v>4161</v>
      </c>
      <c r="C1762" s="244" t="s">
        <v>4524</v>
      </c>
      <c r="D1762" s="154" t="s">
        <v>45</v>
      </c>
      <c r="E1762" s="250"/>
      <c r="F1762" s="154" t="str">
        <f t="array" ref="F1762">XLOOKUP(Cover!$D$12,$S$1:$AA$1,$S1762:$AA1762)</f>
        <v>Mandatory</v>
      </c>
      <c r="G1762" s="154" t="s">
        <v>4525</v>
      </c>
      <c r="H1762" s="154" t="s">
        <v>353</v>
      </c>
      <c r="I1762" s="154" t="s">
        <v>632</v>
      </c>
      <c r="J1762" s="247" t="s">
        <v>506</v>
      </c>
      <c r="K1762" s="154" t="s">
        <v>4256</v>
      </c>
      <c r="L1762" s="154" t="str">
        <f t="shared" si="1"/>
        <v/>
      </c>
      <c r="M1762" s="248" t="str">
        <f>IFERROR(__xludf.DUMMYFUNCTION("VLOOKUP(C1762,IMPORTRANGE(""https://docs.google.com/spreadsheets/d/1P8eX0NWBhUPS_hvzA11R6jkTNFrPrRYIx_dX_hYbxrk/edit?resourcekey=0-iw9bsKY2OqkUHCFMkCar3A&amp;gid=2055363397#gid=2055363397"",""MTR!C:O""),11,false)"),"PMW-IMS")</f>
        <v>PMW-IMS</v>
      </c>
      <c r="N1762" s="253" t="str">
        <f>IFERROR(__xludf.DUMMYFUNCTION("VLOOKUP(C1762,IMPORTRANGE(""https://docs.google.com/spreadsheets/d/1ihFlp3_ePlYtFuPbUNbYj1muErVpI73WHXbEwJDIA7Q/edit#gid=1493122344"",""MTR!C:O""),8,false)"),"#N/A")</f>
        <v>#N/A</v>
      </c>
      <c r="O1762" s="248" t="str">
        <f>IFERROR(__xludf.DUMMYFUNCTION("VLOOKUP(C1762,IMPORTRANGE(""https://docs.google.com/spreadsheets/d/1P8eX0NWBhUPS_hvzA11R6jkTNFrPrRYIx_dX_hYbxrk/edit?resourcekey=0-iw9bsKY2OqkUHCFMkCar3A&amp;gid=2055363397#gid=2055363397"",""MTR!C:O""),9,false)"),"The chipset supports it, but VoNR is disabled as SA is disabled for product launch, please discuss with Google TAM for feature enablement plans if the feature is deployed in live network.")</f>
        <v>The chipset supports it, but VoNR is disabled as SA is disabled for product launch, please discuss with Google TAM for feature enablement plans if the feature is deployed in live network.</v>
      </c>
      <c r="P1762" s="248"/>
      <c r="Q1762" s="248"/>
      <c r="R1762" s="248"/>
      <c r="S1762" s="154" t="s">
        <v>64</v>
      </c>
      <c r="T1762" s="154" t="s">
        <v>60</v>
      </c>
      <c r="U1762" s="154" t="s">
        <v>60</v>
      </c>
      <c r="V1762" s="154" t="s">
        <v>60</v>
      </c>
      <c r="W1762" s="154" t="s">
        <v>60</v>
      </c>
      <c r="X1762" s="154" t="s">
        <v>60</v>
      </c>
      <c r="Y1762" s="154" t="s">
        <v>64</v>
      </c>
      <c r="Z1762" s="154" t="s">
        <v>64</v>
      </c>
      <c r="AA1762" s="154" t="s">
        <v>64</v>
      </c>
      <c r="AB1762" s="154"/>
      <c r="AC1762" s="242" t="b">
        <f t="shared" si="2"/>
        <v>1</v>
      </c>
      <c r="AD1762" s="154" t="s">
        <v>391</v>
      </c>
      <c r="AE1762" s="243" t="b">
        <f t="shared" si="3"/>
        <v>0</v>
      </c>
      <c r="AF1762" s="154"/>
      <c r="AG1762" s="243" t="b">
        <f t="shared" si="7"/>
        <v>0</v>
      </c>
      <c r="AH1762" s="154"/>
      <c r="AI1762" s="243" t="str">
        <f t="shared" si="5"/>
        <v>N/A</v>
      </c>
      <c r="AJ1762" s="157" t="str">
        <f t="shared" si="6"/>
        <v/>
      </c>
    </row>
    <row r="1763" ht="12.75" customHeight="1">
      <c r="A1763" s="244" t="s">
        <v>4158</v>
      </c>
      <c r="B1763" s="244" t="s">
        <v>4161</v>
      </c>
      <c r="C1763" s="244" t="s">
        <v>4526</v>
      </c>
      <c r="D1763" s="154" t="s">
        <v>45</v>
      </c>
      <c r="E1763" s="250"/>
      <c r="F1763" s="154" t="str">
        <f t="array" ref="F1763">XLOOKUP(Cover!$D$12,$S$1:$AA$1,$S1763:$AA1763)</f>
        <v>Mandatory</v>
      </c>
      <c r="G1763" s="154" t="s">
        <v>4527</v>
      </c>
      <c r="H1763" s="154" t="s">
        <v>347</v>
      </c>
      <c r="I1763" s="154" t="s">
        <v>632</v>
      </c>
      <c r="J1763" s="247" t="s">
        <v>445</v>
      </c>
      <c r="K1763" s="154"/>
      <c r="L1763" s="154" t="str">
        <f t="shared" si="1"/>
        <v/>
      </c>
      <c r="M1763" s="248" t="str">
        <f>IFERROR(__xludf.DUMMYFUNCTION("VLOOKUP(C1763,IMPORTRANGE(""https://docs.google.com/spreadsheets/d/1P8eX0NWBhUPS_hvzA11R6jkTNFrPrRYIx_dX_hYbxrk/edit?resourcekey=0-iw9bsKY2OqkUHCFMkCar3A&amp;gid=2055363397#gid=2055363397"",""MTR!C:O""),11,false)"),"PMW-IMS")</f>
        <v>PMW-IMS</v>
      </c>
      <c r="N1763" s="253" t="str">
        <f>IFERROR(__xludf.DUMMYFUNCTION("VLOOKUP(C1763,IMPORTRANGE(""https://docs.google.com/spreadsheets/d/1ihFlp3_ePlYtFuPbUNbYj1muErVpI73WHXbEwJDIA7Q/edit#gid=1493122344"",""MTR!C:O""),8,false)"),"#N/A")</f>
        <v>#N/A</v>
      </c>
      <c r="O1763" s="241" t="str">
        <f>IFERROR(__xludf.DUMMYFUNCTION("VLOOKUP(C1763,IMPORTRANGE(""https://docs.google.com/spreadsheets/d/1P8eX0NWBhUPS_hvzA11R6jkTNFrPrRYIx_dX_hYbxrk/edit?resourcekey=0-iw9bsKY2OqkUHCFMkCar3A&amp;gid=2055363397#gid=2055363397"",""MTR!C:O""),9,false)"),"")</f>
        <v/>
      </c>
      <c r="P1763" s="241"/>
      <c r="Q1763" s="241"/>
      <c r="R1763" s="241"/>
      <c r="S1763" s="154" t="s">
        <v>60</v>
      </c>
      <c r="T1763" s="154" t="s">
        <v>60</v>
      </c>
      <c r="U1763" s="154" t="s">
        <v>60</v>
      </c>
      <c r="V1763" s="154" t="s">
        <v>60</v>
      </c>
      <c r="W1763" s="154" t="s">
        <v>60</v>
      </c>
      <c r="X1763" s="154" t="s">
        <v>60</v>
      </c>
      <c r="Y1763" s="154" t="s">
        <v>64</v>
      </c>
      <c r="Z1763" s="154" t="s">
        <v>64</v>
      </c>
      <c r="AA1763" s="154" t="s">
        <v>64</v>
      </c>
      <c r="AB1763" s="154"/>
      <c r="AC1763" s="242" t="b">
        <f t="shared" si="2"/>
        <v>1</v>
      </c>
      <c r="AD1763" s="154" t="s">
        <v>391</v>
      </c>
      <c r="AE1763" s="243" t="b">
        <f t="shared" si="3"/>
        <v>0</v>
      </c>
      <c r="AF1763" s="154"/>
      <c r="AG1763" s="243" t="b">
        <f t="shared" si="7"/>
        <v>0</v>
      </c>
      <c r="AH1763" s="154"/>
      <c r="AI1763" s="243" t="str">
        <f t="shared" si="5"/>
        <v>N/A</v>
      </c>
      <c r="AJ1763" s="157" t="str">
        <f t="shared" si="6"/>
        <v/>
      </c>
    </row>
    <row r="1764" ht="12.75" customHeight="1">
      <c r="A1764" s="244" t="s">
        <v>4158</v>
      </c>
      <c r="B1764" s="244" t="s">
        <v>4161</v>
      </c>
      <c r="C1764" s="244" t="s">
        <v>4528</v>
      </c>
      <c r="D1764" s="154" t="s">
        <v>45</v>
      </c>
      <c r="E1764" s="250"/>
      <c r="F1764" s="154" t="str">
        <f t="array" ref="F1764">XLOOKUP(Cover!$D$12,$S$1:$AA$1,$S1764:$AA1764)</f>
        <v>Mandatory</v>
      </c>
      <c r="G1764" s="154" t="s">
        <v>4529</v>
      </c>
      <c r="H1764" s="154" t="s">
        <v>2307</v>
      </c>
      <c r="I1764" s="154" t="s">
        <v>632</v>
      </c>
      <c r="J1764" s="247" t="s">
        <v>516</v>
      </c>
      <c r="K1764" s="154" t="s">
        <v>4530</v>
      </c>
      <c r="L1764" s="154" t="str">
        <f t="shared" si="1"/>
        <v/>
      </c>
      <c r="M1764" s="248" t="str">
        <f>IFERROR(__xludf.DUMMYFUNCTION("VLOOKUP(C1764,IMPORTRANGE(""https://docs.google.com/spreadsheets/d/1P8eX0NWBhUPS_hvzA11R6jkTNFrPrRYIx_dX_hYbxrk/edit?resourcekey=0-iw9bsKY2OqkUHCFMkCar3A&amp;gid=2055363397#gid=2055363397"",""MTR!C:O""),11,false)"),"PMW-IMS")</f>
        <v>PMW-IMS</v>
      </c>
      <c r="N1764" s="253" t="str">
        <f>IFERROR(__xludf.DUMMYFUNCTION("VLOOKUP(C1764,IMPORTRANGE(""https://docs.google.com/spreadsheets/d/1ihFlp3_ePlYtFuPbUNbYj1muErVpI73WHXbEwJDIA7Q/edit#gid=1493122344"",""MTR!C:O""),8,false)"),"#N/A")</f>
        <v>#N/A</v>
      </c>
      <c r="O1764" s="248" t="str">
        <f>IFERROR(__xludf.DUMMYFUNCTION("VLOOKUP(C1764,IMPORTRANGE(""https://docs.google.com/spreadsheets/d/1P8eX0NWBhUPS_hvzA11R6jkTNFrPrRYIx_dX_hYbxrk/edit?resourcekey=0-iw9bsKY2OqkUHCFMkCar3A&amp;gid=2055363397#gid=2055363397"",""MTR!C:O""),9,false)"),"Chipset not support")</f>
        <v>Chipset not support</v>
      </c>
      <c r="P1764" s="248"/>
      <c r="Q1764" s="248"/>
      <c r="R1764" s="248"/>
      <c r="S1764" s="154" t="s">
        <v>60</v>
      </c>
      <c r="T1764" s="154" t="s">
        <v>60</v>
      </c>
      <c r="U1764" s="154" t="s">
        <v>60</v>
      </c>
      <c r="V1764" s="154" t="s">
        <v>60</v>
      </c>
      <c r="W1764" s="154" t="s">
        <v>60</v>
      </c>
      <c r="X1764" s="154" t="s">
        <v>60</v>
      </c>
      <c r="Y1764" s="154" t="s">
        <v>64</v>
      </c>
      <c r="Z1764" s="154" t="s">
        <v>64</v>
      </c>
      <c r="AA1764" s="154" t="s">
        <v>64</v>
      </c>
      <c r="AB1764" s="154"/>
      <c r="AC1764" s="242" t="b">
        <f t="shared" si="2"/>
        <v>1</v>
      </c>
      <c r="AD1764" s="154" t="s">
        <v>391</v>
      </c>
      <c r="AE1764" s="243" t="b">
        <f t="shared" si="3"/>
        <v>0</v>
      </c>
      <c r="AF1764" s="154"/>
      <c r="AG1764" s="243" t="b">
        <f t="shared" si="7"/>
        <v>0</v>
      </c>
      <c r="AH1764" s="154"/>
      <c r="AI1764" s="243" t="str">
        <f t="shared" si="5"/>
        <v>N/A</v>
      </c>
      <c r="AJ1764" s="157" t="str">
        <f t="shared" si="6"/>
        <v/>
      </c>
    </row>
    <row r="1765" ht="12.75" customHeight="1">
      <c r="A1765" s="244" t="s">
        <v>4158</v>
      </c>
      <c r="B1765" s="244" t="s">
        <v>4161</v>
      </c>
      <c r="C1765" s="244" t="s">
        <v>4531</v>
      </c>
      <c r="D1765" s="154" t="s">
        <v>45</v>
      </c>
      <c r="E1765" s="250"/>
      <c r="F1765" s="154" t="str">
        <f t="array" ref="F1765">XLOOKUP(Cover!$D$12,$S$1:$AA$1,$S1765:$AA1765)</f>
        <v>Mandatory</v>
      </c>
      <c r="G1765" s="154" t="s">
        <v>4532</v>
      </c>
      <c r="H1765" s="154" t="s">
        <v>2307</v>
      </c>
      <c r="I1765" s="154" t="s">
        <v>632</v>
      </c>
      <c r="J1765" s="247" t="s">
        <v>445</v>
      </c>
      <c r="K1765" s="154"/>
      <c r="L1765" s="154" t="str">
        <f t="shared" si="1"/>
        <v/>
      </c>
      <c r="M1765" s="248" t="str">
        <f>IFERROR(__xludf.DUMMYFUNCTION("VLOOKUP(C1765,IMPORTRANGE(""https://docs.google.com/spreadsheets/d/1P8eX0NWBhUPS_hvzA11R6jkTNFrPrRYIx_dX_hYbxrk/edit?resourcekey=0-iw9bsKY2OqkUHCFMkCar3A&amp;gid=2055363397#gid=2055363397"",""MTR!C:O""),11,false)"),"PMW-IMS")</f>
        <v>PMW-IMS</v>
      </c>
      <c r="N1765" s="253" t="str">
        <f>IFERROR(__xludf.DUMMYFUNCTION("VLOOKUP(C1765,IMPORTRANGE(""https://docs.google.com/spreadsheets/d/1ihFlp3_ePlYtFuPbUNbYj1muErVpI73WHXbEwJDIA7Q/edit#gid=1493122344"",""MTR!C:O""),8,false)"),"#N/A")</f>
        <v>#N/A</v>
      </c>
      <c r="O1765" s="241" t="str">
        <f>IFERROR(__xludf.DUMMYFUNCTION("VLOOKUP(C1765,IMPORTRANGE(""https://docs.google.com/spreadsheets/d/1P8eX0NWBhUPS_hvzA11R6jkTNFrPrRYIx_dX_hYbxrk/edit?resourcekey=0-iw9bsKY2OqkUHCFMkCar3A&amp;gid=2055363397#gid=2055363397"",""MTR!C:O""),9,false)"),"")</f>
        <v/>
      </c>
      <c r="P1765" s="241"/>
      <c r="Q1765" s="241"/>
      <c r="R1765" s="241"/>
      <c r="S1765" s="154" t="s">
        <v>60</v>
      </c>
      <c r="T1765" s="154" t="s">
        <v>60</v>
      </c>
      <c r="U1765" s="154" t="s">
        <v>60</v>
      </c>
      <c r="V1765" s="154" t="s">
        <v>60</v>
      </c>
      <c r="W1765" s="154" t="s">
        <v>60</v>
      </c>
      <c r="X1765" s="154" t="s">
        <v>60</v>
      </c>
      <c r="Y1765" s="154" t="s">
        <v>64</v>
      </c>
      <c r="Z1765" s="154" t="s">
        <v>64</v>
      </c>
      <c r="AA1765" s="154" t="s">
        <v>64</v>
      </c>
      <c r="AB1765" s="154"/>
      <c r="AC1765" s="242" t="b">
        <f t="shared" si="2"/>
        <v>1</v>
      </c>
      <c r="AD1765" s="154" t="s">
        <v>391</v>
      </c>
      <c r="AE1765" s="243" t="b">
        <f t="shared" si="3"/>
        <v>0</v>
      </c>
      <c r="AF1765" s="154"/>
      <c r="AG1765" s="243" t="b">
        <f t="shared" si="7"/>
        <v>0</v>
      </c>
      <c r="AH1765" s="154"/>
      <c r="AI1765" s="243" t="str">
        <f t="shared" si="5"/>
        <v>N/A</v>
      </c>
      <c r="AJ1765" s="157" t="str">
        <f t="shared" si="6"/>
        <v/>
      </c>
    </row>
    <row r="1766" ht="12.75" customHeight="1">
      <c r="A1766" s="238" t="s">
        <v>4158</v>
      </c>
      <c r="B1766" s="238" t="s">
        <v>4161</v>
      </c>
      <c r="C1766" s="238" t="s">
        <v>4533</v>
      </c>
      <c r="D1766" s="238"/>
      <c r="E1766" s="238"/>
      <c r="F1766" s="154" t="str">
        <f t="array" ref="F1766">XLOOKUP(Cover!$D$12,$S$1:$AA$1,$S1766:$AA1766)</f>
        <v>Heading</v>
      </c>
      <c r="G1766" s="239" t="s">
        <v>4534</v>
      </c>
      <c r="H1766" s="240"/>
      <c r="I1766" s="240" t="s">
        <v>632</v>
      </c>
      <c r="J1766" s="240"/>
      <c r="K1766" s="240"/>
      <c r="L1766" s="154" t="str">
        <f t="shared" si="1"/>
        <v/>
      </c>
      <c r="M1766" s="241" t="str">
        <f>IFERROR(__xludf.DUMMYFUNCTION("VLOOKUP(C1766,IMPORTRANGE(""https://docs.google.com/spreadsheets/d/1P8eX0NWBhUPS_hvzA11R6jkTNFrPrRYIx_dX_hYbxrk/edit?resourcekey=0-iw9bsKY2OqkUHCFMkCar3A&amp;gid=2055363397#gid=2055363397"",""MTR!C:O""),11,false)"),"")</f>
        <v/>
      </c>
      <c r="N1766" s="241" t="str">
        <f>IFERROR(__xludf.DUMMYFUNCTION("VLOOKUP(C1766,IMPORTRANGE(""https://docs.google.com/spreadsheets/d/1ihFlp3_ePlYtFuPbUNbYj1muErVpI73WHXbEwJDIA7Q/edit#gid=1493122344"",""MTR!C:O""),8,false)"),"")</f>
        <v/>
      </c>
      <c r="O1766" s="241" t="str">
        <f>IFERROR(__xludf.DUMMYFUNCTION("VLOOKUP(C1766,IMPORTRANGE(""https://docs.google.com/spreadsheets/d/1P8eX0NWBhUPS_hvzA11R6jkTNFrPrRYIx_dX_hYbxrk/edit?resourcekey=0-iw9bsKY2OqkUHCFMkCar3A&amp;gid=2055363397#gid=2055363397"",""MTR!C:O""),9,false)"),"")</f>
        <v/>
      </c>
      <c r="P1766" s="241"/>
      <c r="Q1766" s="241"/>
      <c r="R1766" s="241"/>
      <c r="S1766" s="240" t="s">
        <v>390</v>
      </c>
      <c r="T1766" s="240" t="s">
        <v>390</v>
      </c>
      <c r="U1766" s="240" t="s">
        <v>390</v>
      </c>
      <c r="V1766" s="240" t="s">
        <v>390</v>
      </c>
      <c r="W1766" s="240" t="s">
        <v>390</v>
      </c>
      <c r="X1766" s="240" t="s">
        <v>390</v>
      </c>
      <c r="Y1766" s="240" t="s">
        <v>390</v>
      </c>
      <c r="Z1766" s="240" t="s">
        <v>390</v>
      </c>
      <c r="AA1766" s="240" t="s">
        <v>390</v>
      </c>
      <c r="AB1766" s="240"/>
      <c r="AC1766" s="242" t="b">
        <f t="shared" si="2"/>
        <v>0</v>
      </c>
      <c r="AD1766" s="240" t="s">
        <v>391</v>
      </c>
      <c r="AE1766" s="243" t="b">
        <f t="shared" si="3"/>
        <v>0</v>
      </c>
      <c r="AF1766" s="240"/>
      <c r="AG1766" s="243" t="b">
        <f t="shared" si="7"/>
        <v>0</v>
      </c>
      <c r="AH1766" s="240"/>
      <c r="AI1766" s="243" t="str">
        <f t="shared" si="5"/>
        <v>N/A</v>
      </c>
      <c r="AJ1766" s="157" t="str">
        <f t="shared" si="6"/>
        <v/>
      </c>
    </row>
    <row r="1767" ht="12.75" customHeight="1">
      <c r="A1767" s="238" t="s">
        <v>4158</v>
      </c>
      <c r="B1767" s="238" t="s">
        <v>4161</v>
      </c>
      <c r="C1767" s="238" t="s">
        <v>4535</v>
      </c>
      <c r="D1767" s="238"/>
      <c r="E1767" s="238"/>
      <c r="F1767" s="154" t="str">
        <f t="array" ref="F1767">XLOOKUP(Cover!$D$12,$S$1:$AA$1,$S1767:$AA1767)</f>
        <v>Heading</v>
      </c>
      <c r="G1767" s="239" t="s">
        <v>4536</v>
      </c>
      <c r="H1767" s="240"/>
      <c r="I1767" s="240" t="s">
        <v>632</v>
      </c>
      <c r="J1767" s="240"/>
      <c r="K1767" s="240"/>
      <c r="L1767" s="154" t="str">
        <f t="shared" si="1"/>
        <v/>
      </c>
      <c r="M1767" s="241" t="str">
        <f>IFERROR(__xludf.DUMMYFUNCTION("VLOOKUP(C1767,IMPORTRANGE(""https://docs.google.com/spreadsheets/d/1P8eX0NWBhUPS_hvzA11R6jkTNFrPrRYIx_dX_hYbxrk/edit?resourcekey=0-iw9bsKY2OqkUHCFMkCar3A&amp;gid=2055363397#gid=2055363397"",""MTR!C:O""),11,false)"),"")</f>
        <v/>
      </c>
      <c r="N1767" s="241" t="str">
        <f>IFERROR(__xludf.DUMMYFUNCTION("VLOOKUP(C1767,IMPORTRANGE(""https://docs.google.com/spreadsheets/d/1ihFlp3_ePlYtFuPbUNbYj1muErVpI73WHXbEwJDIA7Q/edit#gid=1493122344"",""MTR!C:O""),8,false)"),"")</f>
        <v/>
      </c>
      <c r="O1767" s="241" t="str">
        <f>IFERROR(__xludf.DUMMYFUNCTION("VLOOKUP(C1767,IMPORTRANGE(""https://docs.google.com/spreadsheets/d/1P8eX0NWBhUPS_hvzA11R6jkTNFrPrRYIx_dX_hYbxrk/edit?resourcekey=0-iw9bsKY2OqkUHCFMkCar3A&amp;gid=2055363397#gid=2055363397"",""MTR!C:O""),9,false)"),"")</f>
        <v/>
      </c>
      <c r="P1767" s="241"/>
      <c r="Q1767" s="241"/>
      <c r="R1767" s="241"/>
      <c r="S1767" s="240" t="s">
        <v>390</v>
      </c>
      <c r="T1767" s="240" t="s">
        <v>390</v>
      </c>
      <c r="U1767" s="240" t="s">
        <v>390</v>
      </c>
      <c r="V1767" s="240" t="s">
        <v>390</v>
      </c>
      <c r="W1767" s="240" t="s">
        <v>390</v>
      </c>
      <c r="X1767" s="240" t="s">
        <v>390</v>
      </c>
      <c r="Y1767" s="240" t="s">
        <v>390</v>
      </c>
      <c r="Z1767" s="240" t="s">
        <v>390</v>
      </c>
      <c r="AA1767" s="240" t="s">
        <v>390</v>
      </c>
      <c r="AB1767" s="240"/>
      <c r="AC1767" s="242" t="b">
        <f t="shared" si="2"/>
        <v>0</v>
      </c>
      <c r="AD1767" s="240" t="s">
        <v>391</v>
      </c>
      <c r="AE1767" s="243" t="b">
        <f t="shared" si="3"/>
        <v>0</v>
      </c>
      <c r="AF1767" s="240"/>
      <c r="AG1767" s="243" t="b">
        <f t="shared" si="7"/>
        <v>0</v>
      </c>
      <c r="AH1767" s="240"/>
      <c r="AI1767" s="243" t="str">
        <f t="shared" si="5"/>
        <v>N/A</v>
      </c>
      <c r="AJ1767" s="157" t="str">
        <f t="shared" si="6"/>
        <v/>
      </c>
    </row>
    <row r="1768" ht="12.75" customHeight="1">
      <c r="A1768" s="238" t="s">
        <v>4158</v>
      </c>
      <c r="B1768" s="238" t="s">
        <v>4161</v>
      </c>
      <c r="C1768" s="238" t="s">
        <v>4537</v>
      </c>
      <c r="D1768" s="238"/>
      <c r="E1768" s="238"/>
      <c r="F1768" s="154" t="str">
        <f t="array" ref="F1768">XLOOKUP(Cover!$D$12,$S$1:$AA$1,$S1768:$AA1768)</f>
        <v>Heading</v>
      </c>
      <c r="G1768" s="239" t="s">
        <v>4538</v>
      </c>
      <c r="H1768" s="240"/>
      <c r="I1768" s="240" t="s">
        <v>632</v>
      </c>
      <c r="J1768" s="240"/>
      <c r="K1768" s="240"/>
      <c r="L1768" s="154" t="str">
        <f t="shared" si="1"/>
        <v/>
      </c>
      <c r="M1768" s="241" t="str">
        <f>IFERROR(__xludf.DUMMYFUNCTION("VLOOKUP(C1768,IMPORTRANGE(""https://docs.google.com/spreadsheets/d/1P8eX0NWBhUPS_hvzA11R6jkTNFrPrRYIx_dX_hYbxrk/edit?resourcekey=0-iw9bsKY2OqkUHCFMkCar3A&amp;gid=2055363397#gid=2055363397"",""MTR!C:O""),11,false)"),"")</f>
        <v/>
      </c>
      <c r="N1768" s="241" t="str">
        <f>IFERROR(__xludf.DUMMYFUNCTION("VLOOKUP(C1768,IMPORTRANGE(""https://docs.google.com/spreadsheets/d/1ihFlp3_ePlYtFuPbUNbYj1muErVpI73WHXbEwJDIA7Q/edit#gid=1493122344"",""MTR!C:O""),8,false)"),"")</f>
        <v/>
      </c>
      <c r="O1768" s="241" t="str">
        <f>IFERROR(__xludf.DUMMYFUNCTION("VLOOKUP(C1768,IMPORTRANGE(""https://docs.google.com/spreadsheets/d/1P8eX0NWBhUPS_hvzA11R6jkTNFrPrRYIx_dX_hYbxrk/edit?resourcekey=0-iw9bsKY2OqkUHCFMkCar3A&amp;gid=2055363397#gid=2055363397"",""MTR!C:O""),9,false)"),"")</f>
        <v/>
      </c>
      <c r="P1768" s="241"/>
      <c r="Q1768" s="241"/>
      <c r="R1768" s="241"/>
      <c r="S1768" s="240" t="s">
        <v>390</v>
      </c>
      <c r="T1768" s="240" t="s">
        <v>390</v>
      </c>
      <c r="U1768" s="240" t="s">
        <v>390</v>
      </c>
      <c r="V1768" s="240" t="s">
        <v>390</v>
      </c>
      <c r="W1768" s="240" t="s">
        <v>390</v>
      </c>
      <c r="X1768" s="240" t="s">
        <v>390</v>
      </c>
      <c r="Y1768" s="240" t="s">
        <v>390</v>
      </c>
      <c r="Z1768" s="240" t="s">
        <v>390</v>
      </c>
      <c r="AA1768" s="240" t="s">
        <v>390</v>
      </c>
      <c r="AB1768" s="240"/>
      <c r="AC1768" s="242" t="b">
        <f t="shared" si="2"/>
        <v>0</v>
      </c>
      <c r="AD1768" s="240" t="s">
        <v>391</v>
      </c>
      <c r="AE1768" s="243" t="b">
        <f t="shared" si="3"/>
        <v>0</v>
      </c>
      <c r="AF1768" s="240"/>
      <c r="AG1768" s="243" t="b">
        <f t="shared" si="7"/>
        <v>0</v>
      </c>
      <c r="AH1768" s="240"/>
      <c r="AI1768" s="243" t="str">
        <f t="shared" si="5"/>
        <v>N/A</v>
      </c>
      <c r="AJ1768" s="157" t="str">
        <f t="shared" si="6"/>
        <v/>
      </c>
    </row>
    <row r="1769" ht="12.75" customHeight="1">
      <c r="A1769" s="244" t="s">
        <v>4158</v>
      </c>
      <c r="B1769" s="244" t="s">
        <v>4161</v>
      </c>
      <c r="C1769" s="244" t="s">
        <v>4539</v>
      </c>
      <c r="D1769" s="154" t="s">
        <v>1211</v>
      </c>
      <c r="E1769" s="250"/>
      <c r="F1769" s="154" t="str">
        <f t="array" ref="F1769">XLOOKUP(Cover!$D$12,$S$1:$AA$1,$S1769:$AA1769)</f>
        <v>Mandatory</v>
      </c>
      <c r="G1769" s="154" t="s">
        <v>4540</v>
      </c>
      <c r="H1769" s="154" t="s">
        <v>4279</v>
      </c>
      <c r="I1769" s="154" t="s">
        <v>632</v>
      </c>
      <c r="J1769" s="154" t="s">
        <v>445</v>
      </c>
      <c r="K1769" s="154"/>
      <c r="L1769" s="154" t="str">
        <f t="shared" si="1"/>
        <v/>
      </c>
      <c r="M1769" s="248" t="str">
        <f>IFERROR(__xludf.DUMMYFUNCTION("VLOOKUP(C1769,IMPORTRANGE(""https://docs.google.com/spreadsheets/d/1P8eX0NWBhUPS_hvzA11R6jkTNFrPrRYIx_dX_hYbxrk/edit?resourcekey=0-iw9bsKY2OqkUHCFMkCar3A&amp;gid=2055363397#gid=2055363397"",""MTR!C:O""),11,false)"),"PMW-IMS")</f>
        <v>PMW-IMS</v>
      </c>
      <c r="N1769" s="248" t="str">
        <f>IFERROR(__xludf.DUMMYFUNCTION("VLOOKUP(C1769,IMPORTRANGE(""https://docs.google.com/spreadsheets/d/1ihFlp3_ePlYtFuPbUNbYj1muErVpI73WHXbEwJDIA7Q/edit#gid=1493122344"",""MTR!C:O""),8,false)"),"Complies")</f>
        <v>Complies</v>
      </c>
      <c r="O1769" s="241" t="str">
        <f>IFERROR(__xludf.DUMMYFUNCTION("VLOOKUP(C1769,IMPORTRANGE(""https://docs.google.com/spreadsheets/d/1P8eX0NWBhUPS_hvzA11R6jkTNFrPrRYIx_dX_hYbxrk/edit?resourcekey=0-iw9bsKY2OqkUHCFMkCar3A&amp;gid=2055363397#gid=2055363397"",""MTR!C:O""),9,false)"),"")</f>
        <v/>
      </c>
      <c r="P1769" s="241"/>
      <c r="Q1769" s="251" t="s">
        <v>445</v>
      </c>
      <c r="R1769" s="241"/>
      <c r="S1769" s="154" t="s">
        <v>60</v>
      </c>
      <c r="T1769" s="154" t="s">
        <v>60</v>
      </c>
      <c r="U1769" s="154" t="s">
        <v>60</v>
      </c>
      <c r="V1769" s="154" t="s">
        <v>60</v>
      </c>
      <c r="W1769" s="154" t="s">
        <v>60</v>
      </c>
      <c r="X1769" s="154" t="s">
        <v>60</v>
      </c>
      <c r="Y1769" s="154" t="s">
        <v>64</v>
      </c>
      <c r="Z1769" s="154" t="s">
        <v>64</v>
      </c>
      <c r="AA1769" s="154" t="s">
        <v>64</v>
      </c>
      <c r="AB1769" s="154"/>
      <c r="AC1769" s="242" t="b">
        <f t="shared" si="2"/>
        <v>1</v>
      </c>
      <c r="AD1769" s="154" t="s">
        <v>391</v>
      </c>
      <c r="AE1769" s="243" t="b">
        <f t="shared" si="3"/>
        <v>0</v>
      </c>
      <c r="AF1769" s="154"/>
      <c r="AG1769" s="243" t="b">
        <f t="shared" si="7"/>
        <v>0</v>
      </c>
      <c r="AH1769" s="154"/>
      <c r="AI1769" s="243" t="str">
        <f t="shared" si="5"/>
        <v>N/A</v>
      </c>
      <c r="AJ1769" s="157" t="str">
        <f t="shared" si="6"/>
        <v/>
      </c>
    </row>
    <row r="1770" ht="12.75" customHeight="1">
      <c r="A1770" s="244" t="s">
        <v>4158</v>
      </c>
      <c r="B1770" s="244" t="s">
        <v>4161</v>
      </c>
      <c r="C1770" s="244" t="s">
        <v>4541</v>
      </c>
      <c r="D1770" s="154" t="s">
        <v>1211</v>
      </c>
      <c r="E1770" s="250"/>
      <c r="F1770" s="154" t="str">
        <f t="array" ref="F1770">XLOOKUP(Cover!$D$12,$S$1:$AA$1,$S1770:$AA1770)</f>
        <v>Mandatory</v>
      </c>
      <c r="G1770" s="154" t="s">
        <v>4542</v>
      </c>
      <c r="H1770" s="154" t="s">
        <v>4279</v>
      </c>
      <c r="I1770" s="154" t="s">
        <v>632</v>
      </c>
      <c r="J1770" s="247" t="s">
        <v>445</v>
      </c>
      <c r="K1770" s="154"/>
      <c r="L1770" s="154" t="str">
        <f t="shared" si="1"/>
        <v/>
      </c>
      <c r="M1770" s="248" t="str">
        <f>IFERROR(__xludf.DUMMYFUNCTION("VLOOKUP(C1770,IMPORTRANGE(""https://docs.google.com/spreadsheets/d/1P8eX0NWBhUPS_hvzA11R6jkTNFrPrRYIx_dX_hYbxrk/edit?resourcekey=0-iw9bsKY2OqkUHCFMkCar3A&amp;gid=2055363397#gid=2055363397"",""MTR!C:O""),11,false)"),"PMW-IMS")</f>
        <v>PMW-IMS</v>
      </c>
      <c r="N1770" s="248" t="str">
        <f>IFERROR(__xludf.DUMMYFUNCTION("VLOOKUP(C1770,IMPORTRANGE(""https://docs.google.com/spreadsheets/d/1ihFlp3_ePlYtFuPbUNbYj1muErVpI73WHXbEwJDIA7Q/edit#gid=1493122344"",""MTR!C:O""),8,false)"),"Complies")</f>
        <v>Complies</v>
      </c>
      <c r="O1770" s="241" t="str">
        <f>IFERROR(__xludf.DUMMYFUNCTION("VLOOKUP(C1770,IMPORTRANGE(""https://docs.google.com/spreadsheets/d/1P8eX0NWBhUPS_hvzA11R6jkTNFrPrRYIx_dX_hYbxrk/edit?resourcekey=0-iw9bsKY2OqkUHCFMkCar3A&amp;gid=2055363397#gid=2055363397"",""MTR!C:O""),9,false)"),"")</f>
        <v/>
      </c>
      <c r="P1770" s="241"/>
      <c r="Q1770" s="251" t="s">
        <v>445</v>
      </c>
      <c r="R1770" s="241"/>
      <c r="S1770" s="154" t="s">
        <v>60</v>
      </c>
      <c r="T1770" s="154" t="s">
        <v>60</v>
      </c>
      <c r="U1770" s="154" t="s">
        <v>60</v>
      </c>
      <c r="V1770" s="154" t="s">
        <v>60</v>
      </c>
      <c r="W1770" s="154" t="s">
        <v>60</v>
      </c>
      <c r="X1770" s="154" t="s">
        <v>60</v>
      </c>
      <c r="Y1770" s="154" t="s">
        <v>64</v>
      </c>
      <c r="Z1770" s="154" t="s">
        <v>64</v>
      </c>
      <c r="AA1770" s="154" t="s">
        <v>64</v>
      </c>
      <c r="AB1770" s="154"/>
      <c r="AC1770" s="242" t="b">
        <f t="shared" si="2"/>
        <v>1</v>
      </c>
      <c r="AD1770" s="154" t="s">
        <v>391</v>
      </c>
      <c r="AE1770" s="243" t="b">
        <f t="shared" si="3"/>
        <v>0</v>
      </c>
      <c r="AF1770" s="154"/>
      <c r="AG1770" s="243" t="b">
        <f t="shared" si="7"/>
        <v>0</v>
      </c>
      <c r="AH1770" s="154"/>
      <c r="AI1770" s="243" t="str">
        <f t="shared" si="5"/>
        <v>N/A</v>
      </c>
      <c r="AJ1770" s="157" t="str">
        <f t="shared" si="6"/>
        <v/>
      </c>
    </row>
    <row r="1771" ht="12.75" customHeight="1">
      <c r="A1771" s="244" t="s">
        <v>4158</v>
      </c>
      <c r="B1771" s="244" t="s">
        <v>4161</v>
      </c>
      <c r="C1771" s="244" t="s">
        <v>4543</v>
      </c>
      <c r="D1771" s="154" t="s">
        <v>1211</v>
      </c>
      <c r="E1771" s="250"/>
      <c r="F1771" s="154" t="str">
        <f t="array" ref="F1771">XLOOKUP(Cover!$D$12,$S$1:$AA$1,$S1771:$AA1771)</f>
        <v>Mandatory</v>
      </c>
      <c r="G1771" s="154" t="s">
        <v>4544</v>
      </c>
      <c r="H1771" s="154" t="s">
        <v>4279</v>
      </c>
      <c r="I1771" s="154" t="s">
        <v>632</v>
      </c>
      <c r="J1771" s="247" t="s">
        <v>445</v>
      </c>
      <c r="K1771" s="154"/>
      <c r="L1771" s="154" t="str">
        <f t="shared" si="1"/>
        <v/>
      </c>
      <c r="M1771" s="248" t="str">
        <f>IFERROR(__xludf.DUMMYFUNCTION("VLOOKUP(C1771,IMPORTRANGE(""https://docs.google.com/spreadsheets/d/1P8eX0NWBhUPS_hvzA11R6jkTNFrPrRYIx_dX_hYbxrk/edit?resourcekey=0-iw9bsKY2OqkUHCFMkCar3A&amp;gid=2055363397#gid=2055363397"",""MTR!C:O""),11,false)"),"PMW-IMS")</f>
        <v>PMW-IMS</v>
      </c>
      <c r="N1771" s="248" t="str">
        <f>IFERROR(__xludf.DUMMYFUNCTION("VLOOKUP(C1771,IMPORTRANGE(""https://docs.google.com/spreadsheets/d/1ihFlp3_ePlYtFuPbUNbYj1muErVpI73WHXbEwJDIA7Q/edit#gid=1493122344"",""MTR!C:O""),8,false)"),"Complies")</f>
        <v>Complies</v>
      </c>
      <c r="O1771" s="241" t="str">
        <f>IFERROR(__xludf.DUMMYFUNCTION("VLOOKUP(C1771,IMPORTRANGE(""https://docs.google.com/spreadsheets/d/1P8eX0NWBhUPS_hvzA11R6jkTNFrPrRYIx_dX_hYbxrk/edit?resourcekey=0-iw9bsKY2OqkUHCFMkCar3A&amp;gid=2055363397#gid=2055363397"",""MTR!C:O""),9,false)"),"")</f>
        <v/>
      </c>
      <c r="P1771" s="241"/>
      <c r="Q1771" s="251" t="s">
        <v>445</v>
      </c>
      <c r="R1771" s="241"/>
      <c r="S1771" s="154" t="s">
        <v>60</v>
      </c>
      <c r="T1771" s="154" t="s">
        <v>60</v>
      </c>
      <c r="U1771" s="154" t="s">
        <v>60</v>
      </c>
      <c r="V1771" s="154" t="s">
        <v>60</v>
      </c>
      <c r="W1771" s="154" t="s">
        <v>60</v>
      </c>
      <c r="X1771" s="154" t="s">
        <v>60</v>
      </c>
      <c r="Y1771" s="154" t="s">
        <v>64</v>
      </c>
      <c r="Z1771" s="154" t="s">
        <v>64</v>
      </c>
      <c r="AA1771" s="154" t="s">
        <v>64</v>
      </c>
      <c r="AB1771" s="154"/>
      <c r="AC1771" s="242" t="b">
        <f t="shared" si="2"/>
        <v>1</v>
      </c>
      <c r="AD1771" s="154" t="s">
        <v>391</v>
      </c>
      <c r="AE1771" s="243" t="b">
        <f t="shared" si="3"/>
        <v>0</v>
      </c>
      <c r="AF1771" s="154"/>
      <c r="AG1771" s="243" t="b">
        <f t="shared" si="7"/>
        <v>0</v>
      </c>
      <c r="AH1771" s="154"/>
      <c r="AI1771" s="243" t="str">
        <f t="shared" si="5"/>
        <v>N/A</v>
      </c>
      <c r="AJ1771" s="157" t="str">
        <f t="shared" si="6"/>
        <v/>
      </c>
    </row>
    <row r="1772" ht="12.75" customHeight="1">
      <c r="A1772" s="244" t="s">
        <v>4158</v>
      </c>
      <c r="B1772" s="244" t="s">
        <v>4161</v>
      </c>
      <c r="C1772" s="245" t="s">
        <v>4545</v>
      </c>
      <c r="D1772" s="155" t="s">
        <v>649</v>
      </c>
      <c r="E1772" s="246" t="s">
        <v>92</v>
      </c>
      <c r="F1772" s="154" t="str">
        <f t="array" ref="F1772">XLOOKUP(Cover!$D$12,$S$1:$AA$1,$S1772:$AA1772)</f>
        <v>Recommended</v>
      </c>
      <c r="G1772" s="154" t="s">
        <v>4546</v>
      </c>
      <c r="H1772" s="154"/>
      <c r="I1772" s="154" t="s">
        <v>632</v>
      </c>
      <c r="J1772" s="247" t="s">
        <v>445</v>
      </c>
      <c r="K1772" s="154"/>
      <c r="L1772" s="154" t="str">
        <f t="shared" si="1"/>
        <v/>
      </c>
      <c r="M1772" s="248" t="str">
        <f>IFERROR(__xludf.DUMMYFUNCTION("VLOOKUP(C1772,IMPORTRANGE(""https://docs.google.com/spreadsheets/d/1P8eX0NWBhUPS_hvzA11R6jkTNFrPrRYIx_dX_hYbxrk/edit?resourcekey=0-iw9bsKY2OqkUHCFMkCar3A&amp;gid=2055363397#gid=2055363397"",""MTR!C:O""),11,false)"),"PMW-IMS")</f>
        <v>PMW-IMS</v>
      </c>
      <c r="N1772" s="248" t="str">
        <f>IFERROR(__xludf.DUMMYFUNCTION("VLOOKUP(C1772,IMPORTRANGE(""https://docs.google.com/spreadsheets/d/1ihFlp3_ePlYtFuPbUNbYj1muErVpI73WHXbEwJDIA7Q/edit#gid=1493122344"",""MTR!C:O""),8,false)"),"Complies")</f>
        <v>Complies</v>
      </c>
      <c r="O1772" s="241" t="str">
        <f>IFERROR(__xludf.DUMMYFUNCTION("VLOOKUP(C1772,IMPORTRANGE(""https://docs.google.com/spreadsheets/d/1P8eX0NWBhUPS_hvzA11R6jkTNFrPrRYIx_dX_hYbxrk/edit?resourcekey=0-iw9bsKY2OqkUHCFMkCar3A&amp;gid=2055363397#gid=2055363397"",""MTR!C:O""),9,false)"),"")</f>
        <v/>
      </c>
      <c r="P1772" s="241"/>
      <c r="Q1772" s="251" t="s">
        <v>445</v>
      </c>
      <c r="R1772" s="241"/>
      <c r="S1772" s="154" t="s">
        <v>64</v>
      </c>
      <c r="T1772" s="154" t="s">
        <v>64</v>
      </c>
      <c r="U1772" s="154" t="s">
        <v>64</v>
      </c>
      <c r="V1772" s="154" t="s">
        <v>64</v>
      </c>
      <c r="W1772" s="154" t="s">
        <v>64</v>
      </c>
      <c r="X1772" s="154" t="s">
        <v>64</v>
      </c>
      <c r="Y1772" s="154" t="s">
        <v>64</v>
      </c>
      <c r="Z1772" s="154" t="s">
        <v>64</v>
      </c>
      <c r="AA1772" s="154" t="s">
        <v>64</v>
      </c>
      <c r="AB1772" s="154"/>
      <c r="AC1772" s="242" t="b">
        <f t="shared" si="2"/>
        <v>1</v>
      </c>
      <c r="AD1772" s="154" t="s">
        <v>391</v>
      </c>
      <c r="AE1772" s="243" t="b">
        <f t="shared" si="3"/>
        <v>0</v>
      </c>
      <c r="AF1772" s="154"/>
      <c r="AG1772" s="243" t="b">
        <f t="shared" si="7"/>
        <v>0</v>
      </c>
      <c r="AH1772" s="154"/>
      <c r="AI1772" s="243" t="str">
        <f t="shared" si="5"/>
        <v>N/A</v>
      </c>
      <c r="AJ1772" s="157" t="str">
        <f t="shared" si="6"/>
        <v/>
      </c>
    </row>
    <row r="1773" ht="12.75" customHeight="1">
      <c r="A1773" s="244" t="s">
        <v>4158</v>
      </c>
      <c r="B1773" s="244" t="s">
        <v>4161</v>
      </c>
      <c r="C1773" s="244" t="s">
        <v>4547</v>
      </c>
      <c r="D1773" s="154" t="s">
        <v>433</v>
      </c>
      <c r="E1773" s="250"/>
      <c r="F1773" s="154" t="str">
        <f t="array" ref="F1773">XLOOKUP(Cover!$D$12,$S$1:$AA$1,$S1773:$AA1773)</f>
        <v>Mandatory</v>
      </c>
      <c r="G1773" s="154" t="s">
        <v>4548</v>
      </c>
      <c r="H1773" s="154" t="s">
        <v>4279</v>
      </c>
      <c r="I1773" s="154" t="s">
        <v>632</v>
      </c>
      <c r="J1773" s="247" t="s">
        <v>445</v>
      </c>
      <c r="K1773" s="154"/>
      <c r="L1773" s="154" t="str">
        <f t="shared" si="1"/>
        <v/>
      </c>
      <c r="M1773" s="248" t="str">
        <f>IFERROR(__xludf.DUMMYFUNCTION("VLOOKUP(C1773,IMPORTRANGE(""https://docs.google.com/spreadsheets/d/1P8eX0NWBhUPS_hvzA11R6jkTNFrPrRYIx_dX_hYbxrk/edit?resourcekey=0-iw9bsKY2OqkUHCFMkCar3A&amp;gid=2055363397#gid=2055363397"",""MTR!C:O""),11,false)"),"PMW-IMS")</f>
        <v>PMW-IMS</v>
      </c>
      <c r="N1773" s="248" t="str">
        <f>IFERROR(__xludf.DUMMYFUNCTION("VLOOKUP(C1773,IMPORTRANGE(""https://docs.google.com/spreadsheets/d/1ihFlp3_ePlYtFuPbUNbYj1muErVpI73WHXbEwJDIA7Q/edit#gid=1493122344"",""MTR!C:O""),8,false)"),"Complies")</f>
        <v>Complies</v>
      </c>
      <c r="O1773" s="241" t="str">
        <f>IFERROR(__xludf.DUMMYFUNCTION("VLOOKUP(C1773,IMPORTRANGE(""https://docs.google.com/spreadsheets/d/1P8eX0NWBhUPS_hvzA11R6jkTNFrPrRYIx_dX_hYbxrk/edit?resourcekey=0-iw9bsKY2OqkUHCFMkCar3A&amp;gid=2055363397#gid=2055363397"",""MTR!C:O""),9,false)"),"")</f>
        <v/>
      </c>
      <c r="P1773" s="241"/>
      <c r="Q1773" s="251" t="s">
        <v>445</v>
      </c>
      <c r="R1773" s="241"/>
      <c r="S1773" s="154" t="s">
        <v>60</v>
      </c>
      <c r="T1773" s="154" t="s">
        <v>60</v>
      </c>
      <c r="U1773" s="154" t="s">
        <v>60</v>
      </c>
      <c r="V1773" s="154" t="s">
        <v>60</v>
      </c>
      <c r="W1773" s="154" t="s">
        <v>60</v>
      </c>
      <c r="X1773" s="154" t="s">
        <v>60</v>
      </c>
      <c r="Y1773" s="154" t="s">
        <v>64</v>
      </c>
      <c r="Z1773" s="154" t="s">
        <v>64</v>
      </c>
      <c r="AA1773" s="154" t="s">
        <v>64</v>
      </c>
      <c r="AB1773" s="154"/>
      <c r="AC1773" s="242" t="b">
        <f t="shared" si="2"/>
        <v>1</v>
      </c>
      <c r="AD1773" s="154" t="s">
        <v>391</v>
      </c>
      <c r="AE1773" s="243" t="b">
        <f t="shared" si="3"/>
        <v>0</v>
      </c>
      <c r="AF1773" s="154"/>
      <c r="AG1773" s="243" t="b">
        <f t="shared" si="7"/>
        <v>0</v>
      </c>
      <c r="AH1773" s="154"/>
      <c r="AI1773" s="243" t="str">
        <f t="shared" si="5"/>
        <v>N/A</v>
      </c>
      <c r="AJ1773" s="157" t="str">
        <f t="shared" si="6"/>
        <v/>
      </c>
    </row>
    <row r="1774" ht="12.75" customHeight="1">
      <c r="A1774" s="244" t="s">
        <v>4158</v>
      </c>
      <c r="B1774" s="244" t="s">
        <v>4161</v>
      </c>
      <c r="C1774" s="244" t="s">
        <v>4549</v>
      </c>
      <c r="D1774" s="154" t="s">
        <v>1211</v>
      </c>
      <c r="E1774" s="250"/>
      <c r="F1774" s="154" t="str">
        <f t="array" ref="F1774">XLOOKUP(Cover!$D$12,$S$1:$AA$1,$S1774:$AA1774)</f>
        <v>Mandatory</v>
      </c>
      <c r="G1774" s="154" t="s">
        <v>4550</v>
      </c>
      <c r="H1774" s="154" t="s">
        <v>4279</v>
      </c>
      <c r="I1774" s="154" t="s">
        <v>632</v>
      </c>
      <c r="J1774" s="247" t="s">
        <v>445</v>
      </c>
      <c r="K1774" s="154"/>
      <c r="L1774" s="154" t="str">
        <f t="shared" si="1"/>
        <v/>
      </c>
      <c r="M1774" s="248" t="str">
        <f>IFERROR(__xludf.DUMMYFUNCTION("VLOOKUP(C1774,IMPORTRANGE(""https://docs.google.com/spreadsheets/d/1P8eX0NWBhUPS_hvzA11R6jkTNFrPrRYIx_dX_hYbxrk/edit?resourcekey=0-iw9bsKY2OqkUHCFMkCar3A&amp;gid=2055363397#gid=2055363397"",""MTR!C:O""),11,false)"),"PMW-IMS")</f>
        <v>PMW-IMS</v>
      </c>
      <c r="N1774" s="248" t="str">
        <f>IFERROR(__xludf.DUMMYFUNCTION("VLOOKUP(C1774,IMPORTRANGE(""https://docs.google.com/spreadsheets/d/1ihFlp3_ePlYtFuPbUNbYj1muErVpI73WHXbEwJDIA7Q/edit#gid=1493122344"",""MTR!C:O""),8,false)"),"Complies")</f>
        <v>Complies</v>
      </c>
      <c r="O1774" s="241" t="str">
        <f>IFERROR(__xludf.DUMMYFUNCTION("VLOOKUP(C1774,IMPORTRANGE(""https://docs.google.com/spreadsheets/d/1P8eX0NWBhUPS_hvzA11R6jkTNFrPrRYIx_dX_hYbxrk/edit?resourcekey=0-iw9bsKY2OqkUHCFMkCar3A&amp;gid=2055363397#gid=2055363397"",""MTR!C:O""),9,false)"),"")</f>
        <v/>
      </c>
      <c r="P1774" s="241"/>
      <c r="Q1774" s="251" t="s">
        <v>445</v>
      </c>
      <c r="R1774" s="241"/>
      <c r="S1774" s="154" t="s">
        <v>60</v>
      </c>
      <c r="T1774" s="154" t="s">
        <v>60</v>
      </c>
      <c r="U1774" s="154" t="s">
        <v>60</v>
      </c>
      <c r="V1774" s="154" t="s">
        <v>60</v>
      </c>
      <c r="W1774" s="154" t="s">
        <v>60</v>
      </c>
      <c r="X1774" s="154" t="s">
        <v>60</v>
      </c>
      <c r="Y1774" s="154" t="s">
        <v>64</v>
      </c>
      <c r="Z1774" s="154" t="s">
        <v>64</v>
      </c>
      <c r="AA1774" s="154" t="s">
        <v>64</v>
      </c>
      <c r="AB1774" s="154"/>
      <c r="AC1774" s="242" t="b">
        <f t="shared" si="2"/>
        <v>1</v>
      </c>
      <c r="AD1774" s="154" t="s">
        <v>391</v>
      </c>
      <c r="AE1774" s="243" t="b">
        <f t="shared" si="3"/>
        <v>0</v>
      </c>
      <c r="AF1774" s="154"/>
      <c r="AG1774" s="243" t="b">
        <f t="shared" si="7"/>
        <v>0</v>
      </c>
      <c r="AH1774" s="154"/>
      <c r="AI1774" s="243" t="str">
        <f t="shared" si="5"/>
        <v>N/A</v>
      </c>
      <c r="AJ1774" s="157" t="str">
        <f t="shared" si="6"/>
        <v/>
      </c>
    </row>
    <row r="1775" ht="12.75" customHeight="1">
      <c r="A1775" s="238" t="s">
        <v>4158</v>
      </c>
      <c r="B1775" s="238" t="s">
        <v>4161</v>
      </c>
      <c r="C1775" s="238" t="s">
        <v>4551</v>
      </c>
      <c r="D1775" s="238"/>
      <c r="E1775" s="238"/>
      <c r="F1775" s="154" t="str">
        <f t="array" ref="F1775">XLOOKUP(Cover!$D$12,$S$1:$AA$1,$S1775:$AA1775)</f>
        <v>Heading</v>
      </c>
      <c r="G1775" s="239" t="s">
        <v>4552</v>
      </c>
      <c r="H1775" s="240"/>
      <c r="I1775" s="240" t="s">
        <v>632</v>
      </c>
      <c r="J1775" s="240"/>
      <c r="K1775" s="240"/>
      <c r="L1775" s="154" t="str">
        <f t="shared" si="1"/>
        <v/>
      </c>
      <c r="M1775" s="241" t="str">
        <f>IFERROR(__xludf.DUMMYFUNCTION("VLOOKUP(C1775,IMPORTRANGE(""https://docs.google.com/spreadsheets/d/1P8eX0NWBhUPS_hvzA11R6jkTNFrPrRYIx_dX_hYbxrk/edit?resourcekey=0-iw9bsKY2OqkUHCFMkCar3A&amp;gid=2055363397#gid=2055363397"",""MTR!C:O""),11,false)"),"")</f>
        <v/>
      </c>
      <c r="N1775" s="241" t="str">
        <f>IFERROR(__xludf.DUMMYFUNCTION("VLOOKUP(C1775,IMPORTRANGE(""https://docs.google.com/spreadsheets/d/1ihFlp3_ePlYtFuPbUNbYj1muErVpI73WHXbEwJDIA7Q/edit#gid=1493122344"",""MTR!C:O""),8,false)"),"")</f>
        <v/>
      </c>
      <c r="O1775" s="241" t="str">
        <f>IFERROR(__xludf.DUMMYFUNCTION("VLOOKUP(C1775,IMPORTRANGE(""https://docs.google.com/spreadsheets/d/1P8eX0NWBhUPS_hvzA11R6jkTNFrPrRYIx_dX_hYbxrk/edit?resourcekey=0-iw9bsKY2OqkUHCFMkCar3A&amp;gid=2055363397#gid=2055363397"",""MTR!C:O""),9,false)"),"")</f>
        <v/>
      </c>
      <c r="P1775" s="241"/>
      <c r="Q1775" s="251"/>
      <c r="R1775" s="241"/>
      <c r="S1775" s="240" t="s">
        <v>390</v>
      </c>
      <c r="T1775" s="240" t="s">
        <v>390</v>
      </c>
      <c r="U1775" s="240" t="s">
        <v>390</v>
      </c>
      <c r="V1775" s="240" t="s">
        <v>390</v>
      </c>
      <c r="W1775" s="240" t="s">
        <v>390</v>
      </c>
      <c r="X1775" s="240" t="s">
        <v>390</v>
      </c>
      <c r="Y1775" s="240" t="s">
        <v>390</v>
      </c>
      <c r="Z1775" s="240" t="s">
        <v>390</v>
      </c>
      <c r="AA1775" s="240" t="s">
        <v>390</v>
      </c>
      <c r="AB1775" s="240"/>
      <c r="AC1775" s="242" t="b">
        <f t="shared" si="2"/>
        <v>0</v>
      </c>
      <c r="AD1775" s="240" t="s">
        <v>391</v>
      </c>
      <c r="AE1775" s="243" t="b">
        <f t="shared" si="3"/>
        <v>0</v>
      </c>
      <c r="AF1775" s="240"/>
      <c r="AG1775" s="243" t="b">
        <f t="shared" si="7"/>
        <v>0</v>
      </c>
      <c r="AH1775" s="240"/>
      <c r="AI1775" s="243" t="str">
        <f t="shared" si="5"/>
        <v>N/A</v>
      </c>
      <c r="AJ1775" s="157" t="str">
        <f t="shared" si="6"/>
        <v/>
      </c>
    </row>
    <row r="1776" ht="12.75" customHeight="1">
      <c r="A1776" s="244" t="s">
        <v>4158</v>
      </c>
      <c r="B1776" s="244" t="s">
        <v>4161</v>
      </c>
      <c r="C1776" s="244" t="s">
        <v>4553</v>
      </c>
      <c r="D1776" s="154" t="s">
        <v>1211</v>
      </c>
      <c r="E1776" s="250"/>
      <c r="F1776" s="154" t="str">
        <f t="array" ref="F1776">XLOOKUP(Cover!$D$12,$S$1:$AA$1,$S1776:$AA1776)</f>
        <v>Mandatory</v>
      </c>
      <c r="G1776" s="154" t="s">
        <v>4554</v>
      </c>
      <c r="H1776" s="154" t="s">
        <v>4279</v>
      </c>
      <c r="I1776" s="154" t="s">
        <v>632</v>
      </c>
      <c r="J1776" s="154" t="s">
        <v>445</v>
      </c>
      <c r="K1776" s="154"/>
      <c r="L1776" s="154" t="str">
        <f t="shared" si="1"/>
        <v/>
      </c>
      <c r="M1776" s="248" t="str">
        <f>IFERROR(__xludf.DUMMYFUNCTION("VLOOKUP(C1776,IMPORTRANGE(""https://docs.google.com/spreadsheets/d/1P8eX0NWBhUPS_hvzA11R6jkTNFrPrRYIx_dX_hYbxrk/edit?resourcekey=0-iw9bsKY2OqkUHCFMkCar3A&amp;gid=2055363397#gid=2055363397"",""MTR!C:O""),11,false)"),"PMW-IMS")</f>
        <v>PMW-IMS</v>
      </c>
      <c r="N1776" s="248" t="str">
        <f>IFERROR(__xludf.DUMMYFUNCTION("VLOOKUP(C1776,IMPORTRANGE(""https://docs.google.com/spreadsheets/d/1ihFlp3_ePlYtFuPbUNbYj1muErVpI73WHXbEwJDIA7Q/edit#gid=1493122344"",""MTR!C:O""),8,false)"),"Complies")</f>
        <v>Complies</v>
      </c>
      <c r="O1776" s="241" t="str">
        <f>IFERROR(__xludf.DUMMYFUNCTION("VLOOKUP(C1776,IMPORTRANGE(""https://docs.google.com/spreadsheets/d/1P8eX0NWBhUPS_hvzA11R6jkTNFrPrRYIx_dX_hYbxrk/edit?resourcekey=0-iw9bsKY2OqkUHCFMkCar3A&amp;gid=2055363397#gid=2055363397"",""MTR!C:O""),9,false)"),"")</f>
        <v/>
      </c>
      <c r="P1776" s="241"/>
      <c r="Q1776" s="251" t="s">
        <v>445</v>
      </c>
      <c r="R1776" s="241"/>
      <c r="S1776" s="154" t="s">
        <v>60</v>
      </c>
      <c r="T1776" s="154" t="s">
        <v>60</v>
      </c>
      <c r="U1776" s="154" t="s">
        <v>60</v>
      </c>
      <c r="V1776" s="154" t="s">
        <v>60</v>
      </c>
      <c r="W1776" s="154" t="s">
        <v>60</v>
      </c>
      <c r="X1776" s="154" t="s">
        <v>60</v>
      </c>
      <c r="Y1776" s="154" t="s">
        <v>64</v>
      </c>
      <c r="Z1776" s="154" t="s">
        <v>64</v>
      </c>
      <c r="AA1776" s="154" t="s">
        <v>64</v>
      </c>
      <c r="AB1776" s="154"/>
      <c r="AC1776" s="242" t="b">
        <f t="shared" si="2"/>
        <v>1</v>
      </c>
      <c r="AD1776" s="154" t="s">
        <v>391</v>
      </c>
      <c r="AE1776" s="243" t="b">
        <f t="shared" si="3"/>
        <v>0</v>
      </c>
      <c r="AF1776" s="154"/>
      <c r="AG1776" s="243" t="b">
        <f t="shared" si="7"/>
        <v>0</v>
      </c>
      <c r="AH1776" s="154"/>
      <c r="AI1776" s="243" t="str">
        <f t="shared" si="5"/>
        <v>N/A</v>
      </c>
      <c r="AJ1776" s="157" t="str">
        <f t="shared" si="6"/>
        <v/>
      </c>
    </row>
    <row r="1777" ht="12.75" customHeight="1">
      <c r="A1777" s="244" t="s">
        <v>4158</v>
      </c>
      <c r="B1777" s="244" t="s">
        <v>4161</v>
      </c>
      <c r="C1777" s="244" t="s">
        <v>4555</v>
      </c>
      <c r="D1777" s="154" t="s">
        <v>1211</v>
      </c>
      <c r="E1777" s="250"/>
      <c r="F1777" s="154" t="str">
        <f t="array" ref="F1777">XLOOKUP(Cover!$D$12,$S$1:$AA$1,$S1777:$AA1777)</f>
        <v>Mandatory</v>
      </c>
      <c r="G1777" s="154" t="s">
        <v>4556</v>
      </c>
      <c r="H1777" s="154" t="s">
        <v>4279</v>
      </c>
      <c r="I1777" s="154" t="s">
        <v>632</v>
      </c>
      <c r="J1777" s="247" t="s">
        <v>445</v>
      </c>
      <c r="K1777" s="154"/>
      <c r="L1777" s="154" t="str">
        <f t="shared" si="1"/>
        <v/>
      </c>
      <c r="M1777" s="248" t="str">
        <f>IFERROR(__xludf.DUMMYFUNCTION("VLOOKUP(C1777,IMPORTRANGE(""https://docs.google.com/spreadsheets/d/1P8eX0NWBhUPS_hvzA11R6jkTNFrPrRYIx_dX_hYbxrk/edit?resourcekey=0-iw9bsKY2OqkUHCFMkCar3A&amp;gid=2055363397#gid=2055363397"",""MTR!C:O""),11,false)"),"PMW-IMS")</f>
        <v>PMW-IMS</v>
      </c>
      <c r="N1777" s="248" t="str">
        <f>IFERROR(__xludf.DUMMYFUNCTION("VLOOKUP(C1777,IMPORTRANGE(""https://docs.google.com/spreadsheets/d/1ihFlp3_ePlYtFuPbUNbYj1muErVpI73WHXbEwJDIA7Q/edit#gid=1493122344"",""MTR!C:O""),8,false)"),"Complies")</f>
        <v>Complies</v>
      </c>
      <c r="O1777" s="241" t="str">
        <f>IFERROR(__xludf.DUMMYFUNCTION("VLOOKUP(C1777,IMPORTRANGE(""https://docs.google.com/spreadsheets/d/1P8eX0NWBhUPS_hvzA11R6jkTNFrPrRYIx_dX_hYbxrk/edit?resourcekey=0-iw9bsKY2OqkUHCFMkCar3A&amp;gid=2055363397#gid=2055363397"",""MTR!C:O""),9,false)"),"")</f>
        <v/>
      </c>
      <c r="P1777" s="241"/>
      <c r="Q1777" s="251" t="s">
        <v>445</v>
      </c>
      <c r="R1777" s="241"/>
      <c r="S1777" s="154" t="s">
        <v>60</v>
      </c>
      <c r="T1777" s="154" t="s">
        <v>60</v>
      </c>
      <c r="U1777" s="154" t="s">
        <v>60</v>
      </c>
      <c r="V1777" s="154" t="s">
        <v>60</v>
      </c>
      <c r="W1777" s="154" t="s">
        <v>60</v>
      </c>
      <c r="X1777" s="154" t="s">
        <v>60</v>
      </c>
      <c r="Y1777" s="154" t="s">
        <v>64</v>
      </c>
      <c r="Z1777" s="154" t="s">
        <v>64</v>
      </c>
      <c r="AA1777" s="154" t="s">
        <v>64</v>
      </c>
      <c r="AB1777" s="154"/>
      <c r="AC1777" s="242" t="b">
        <f t="shared" si="2"/>
        <v>1</v>
      </c>
      <c r="AD1777" s="154" t="s">
        <v>391</v>
      </c>
      <c r="AE1777" s="243" t="b">
        <f t="shared" si="3"/>
        <v>0</v>
      </c>
      <c r="AF1777" s="154"/>
      <c r="AG1777" s="243" t="b">
        <f t="shared" si="7"/>
        <v>0</v>
      </c>
      <c r="AH1777" s="154"/>
      <c r="AI1777" s="243" t="str">
        <f t="shared" si="5"/>
        <v>N/A</v>
      </c>
      <c r="AJ1777" s="157" t="str">
        <f t="shared" si="6"/>
        <v/>
      </c>
    </row>
    <row r="1778" ht="12.75" customHeight="1">
      <c r="A1778" s="244" t="s">
        <v>4158</v>
      </c>
      <c r="B1778" s="244" t="s">
        <v>4161</v>
      </c>
      <c r="C1778" s="244" t="s">
        <v>4557</v>
      </c>
      <c r="D1778" s="154" t="s">
        <v>1211</v>
      </c>
      <c r="E1778" s="250"/>
      <c r="F1778" s="154" t="str">
        <f t="array" ref="F1778">XLOOKUP(Cover!$D$12,$S$1:$AA$1,$S1778:$AA1778)</f>
        <v>Recommended</v>
      </c>
      <c r="G1778" s="154" t="s">
        <v>4558</v>
      </c>
      <c r="H1778" s="154"/>
      <c r="I1778" s="154" t="s">
        <v>632</v>
      </c>
      <c r="J1778" s="247" t="s">
        <v>445</v>
      </c>
      <c r="K1778" s="154"/>
      <c r="L1778" s="154" t="str">
        <f t="shared" si="1"/>
        <v/>
      </c>
      <c r="M1778" s="248" t="str">
        <f>IFERROR(__xludf.DUMMYFUNCTION("VLOOKUP(C1778,IMPORTRANGE(""https://docs.google.com/spreadsheets/d/1P8eX0NWBhUPS_hvzA11R6jkTNFrPrRYIx_dX_hYbxrk/edit?resourcekey=0-iw9bsKY2OqkUHCFMkCar3A&amp;gid=2055363397#gid=2055363397"",""MTR!C:O""),11,false)"),"PMW-IMS")</f>
        <v>PMW-IMS</v>
      </c>
      <c r="N1778" s="248" t="str">
        <f>IFERROR(__xludf.DUMMYFUNCTION("VLOOKUP(C1778,IMPORTRANGE(""https://docs.google.com/spreadsheets/d/1ihFlp3_ePlYtFuPbUNbYj1muErVpI73WHXbEwJDIA7Q/edit#gid=1493122344"",""MTR!C:O""),8,false)"),"Complies")</f>
        <v>Complies</v>
      </c>
      <c r="O1778" s="241" t="str">
        <f>IFERROR(__xludf.DUMMYFUNCTION("VLOOKUP(C1778,IMPORTRANGE(""https://docs.google.com/spreadsheets/d/1P8eX0NWBhUPS_hvzA11R6jkTNFrPrRYIx_dX_hYbxrk/edit?resourcekey=0-iw9bsKY2OqkUHCFMkCar3A&amp;gid=2055363397#gid=2055363397"",""MTR!C:O""),9,false)"),"")</f>
        <v/>
      </c>
      <c r="P1778" s="241"/>
      <c r="Q1778" s="251" t="s">
        <v>445</v>
      </c>
      <c r="R1778" s="241"/>
      <c r="S1778" s="154" t="s">
        <v>64</v>
      </c>
      <c r="T1778" s="154" t="s">
        <v>64</v>
      </c>
      <c r="U1778" s="154" t="s">
        <v>64</v>
      </c>
      <c r="V1778" s="154" t="s">
        <v>64</v>
      </c>
      <c r="W1778" s="154" t="s">
        <v>64</v>
      </c>
      <c r="X1778" s="154" t="s">
        <v>64</v>
      </c>
      <c r="Y1778" s="154" t="s">
        <v>64</v>
      </c>
      <c r="Z1778" s="154" t="s">
        <v>64</v>
      </c>
      <c r="AA1778" s="154" t="s">
        <v>64</v>
      </c>
      <c r="AB1778" s="154"/>
      <c r="AC1778" s="242" t="b">
        <f t="shared" si="2"/>
        <v>1</v>
      </c>
      <c r="AD1778" s="154" t="s">
        <v>391</v>
      </c>
      <c r="AE1778" s="243" t="b">
        <f t="shared" si="3"/>
        <v>0</v>
      </c>
      <c r="AF1778" s="154"/>
      <c r="AG1778" s="243" t="b">
        <f t="shared" si="7"/>
        <v>0</v>
      </c>
      <c r="AH1778" s="154"/>
      <c r="AI1778" s="243" t="str">
        <f t="shared" si="5"/>
        <v>N/A</v>
      </c>
      <c r="AJ1778" s="157" t="str">
        <f t="shared" si="6"/>
        <v/>
      </c>
    </row>
    <row r="1779" ht="12.75" customHeight="1">
      <c r="A1779" s="244" t="s">
        <v>4158</v>
      </c>
      <c r="B1779" s="244" t="s">
        <v>4161</v>
      </c>
      <c r="C1779" s="244" t="s">
        <v>4559</v>
      </c>
      <c r="D1779" s="154" t="s">
        <v>484</v>
      </c>
      <c r="E1779" s="250"/>
      <c r="F1779" s="154" t="str">
        <f t="array" ref="F1779">XLOOKUP(Cover!$D$12,$S$1:$AA$1,$S1779:$AA1779)</f>
        <v>Mandatory</v>
      </c>
      <c r="G1779" s="154" t="s">
        <v>4560</v>
      </c>
      <c r="H1779" s="154" t="s">
        <v>4279</v>
      </c>
      <c r="I1779" s="154" t="s">
        <v>632</v>
      </c>
      <c r="J1779" s="247" t="s">
        <v>445</v>
      </c>
      <c r="K1779" s="154"/>
      <c r="L1779" s="154" t="str">
        <f t="shared" si="1"/>
        <v/>
      </c>
      <c r="M1779" s="248" t="str">
        <f>IFERROR(__xludf.DUMMYFUNCTION("VLOOKUP(C1779,IMPORTRANGE(""https://docs.google.com/spreadsheets/d/1P8eX0NWBhUPS_hvzA11R6jkTNFrPrRYIx_dX_hYbxrk/edit?resourcekey=0-iw9bsKY2OqkUHCFMkCar3A&amp;gid=2055363397#gid=2055363397"",""MTR!C:O""),11,false)"),"PMW-IMS")</f>
        <v>PMW-IMS</v>
      </c>
      <c r="N1779" s="248" t="str">
        <f>IFERROR(__xludf.DUMMYFUNCTION("VLOOKUP(C1779,IMPORTRANGE(""https://docs.google.com/spreadsheets/d/1ihFlp3_ePlYtFuPbUNbYj1muErVpI73WHXbEwJDIA7Q/edit#gid=1493122344"",""MTR!C:O""),8,false)"),"Complies")</f>
        <v>Complies</v>
      </c>
      <c r="O1779" s="241" t="str">
        <f>IFERROR(__xludf.DUMMYFUNCTION("VLOOKUP(C1779,IMPORTRANGE(""https://docs.google.com/spreadsheets/d/1P8eX0NWBhUPS_hvzA11R6jkTNFrPrRYIx_dX_hYbxrk/edit?resourcekey=0-iw9bsKY2OqkUHCFMkCar3A&amp;gid=2055363397#gid=2055363397"",""MTR!C:O""),9,false)"),"")</f>
        <v/>
      </c>
      <c r="P1779" s="241"/>
      <c r="Q1779" s="251" t="s">
        <v>445</v>
      </c>
      <c r="R1779" s="241"/>
      <c r="S1779" s="154" t="s">
        <v>60</v>
      </c>
      <c r="T1779" s="154" t="s">
        <v>60</v>
      </c>
      <c r="U1779" s="154" t="s">
        <v>60</v>
      </c>
      <c r="V1779" s="154" t="s">
        <v>60</v>
      </c>
      <c r="W1779" s="154" t="s">
        <v>60</v>
      </c>
      <c r="X1779" s="154" t="s">
        <v>60</v>
      </c>
      <c r="Y1779" s="154" t="s">
        <v>64</v>
      </c>
      <c r="Z1779" s="154" t="s">
        <v>64</v>
      </c>
      <c r="AA1779" s="154" t="s">
        <v>64</v>
      </c>
      <c r="AB1779" s="154"/>
      <c r="AC1779" s="242" t="b">
        <f t="shared" si="2"/>
        <v>1</v>
      </c>
      <c r="AD1779" s="154" t="s">
        <v>391</v>
      </c>
      <c r="AE1779" s="243" t="b">
        <f t="shared" si="3"/>
        <v>0</v>
      </c>
      <c r="AF1779" s="154"/>
      <c r="AG1779" s="243" t="b">
        <f t="shared" si="7"/>
        <v>0</v>
      </c>
      <c r="AH1779" s="154"/>
      <c r="AI1779" s="243" t="str">
        <f t="shared" si="5"/>
        <v>N/A</v>
      </c>
      <c r="AJ1779" s="157" t="str">
        <f t="shared" si="6"/>
        <v/>
      </c>
    </row>
    <row r="1780" ht="12.75" customHeight="1">
      <c r="A1780" s="238" t="s">
        <v>4158</v>
      </c>
      <c r="B1780" s="238" t="s">
        <v>4161</v>
      </c>
      <c r="C1780" s="238" t="s">
        <v>4561</v>
      </c>
      <c r="D1780" s="238"/>
      <c r="E1780" s="238"/>
      <c r="F1780" s="154" t="str">
        <f t="array" ref="F1780">XLOOKUP(Cover!$D$12,$S$1:$AA$1,$S1780:$AA1780)</f>
        <v>Heading</v>
      </c>
      <c r="G1780" s="239" t="s">
        <v>4562</v>
      </c>
      <c r="H1780" s="240"/>
      <c r="I1780" s="240" t="s">
        <v>632</v>
      </c>
      <c r="J1780" s="240"/>
      <c r="K1780" s="240"/>
      <c r="L1780" s="154" t="str">
        <f t="shared" si="1"/>
        <v/>
      </c>
      <c r="M1780" s="241" t="str">
        <f>IFERROR(__xludf.DUMMYFUNCTION("VLOOKUP(C1780,IMPORTRANGE(""https://docs.google.com/spreadsheets/d/1P8eX0NWBhUPS_hvzA11R6jkTNFrPrRYIx_dX_hYbxrk/edit?resourcekey=0-iw9bsKY2OqkUHCFMkCar3A&amp;gid=2055363397#gid=2055363397"",""MTR!C:O""),11,false)"),"")</f>
        <v/>
      </c>
      <c r="N1780" s="241" t="str">
        <f>IFERROR(__xludf.DUMMYFUNCTION("VLOOKUP(C1780,IMPORTRANGE(""https://docs.google.com/spreadsheets/d/1ihFlp3_ePlYtFuPbUNbYj1muErVpI73WHXbEwJDIA7Q/edit#gid=1493122344"",""MTR!C:O""),8,false)"),"")</f>
        <v/>
      </c>
      <c r="O1780" s="241" t="str">
        <f>IFERROR(__xludf.DUMMYFUNCTION("VLOOKUP(C1780,IMPORTRANGE(""https://docs.google.com/spreadsheets/d/1P8eX0NWBhUPS_hvzA11R6jkTNFrPrRYIx_dX_hYbxrk/edit?resourcekey=0-iw9bsKY2OqkUHCFMkCar3A&amp;gid=2055363397#gid=2055363397"",""MTR!C:O""),9,false)"),"")</f>
        <v/>
      </c>
      <c r="P1780" s="241"/>
      <c r="Q1780" s="251"/>
      <c r="R1780" s="241"/>
      <c r="S1780" s="240" t="s">
        <v>390</v>
      </c>
      <c r="T1780" s="240" t="s">
        <v>390</v>
      </c>
      <c r="U1780" s="240" t="s">
        <v>390</v>
      </c>
      <c r="V1780" s="240" t="s">
        <v>390</v>
      </c>
      <c r="W1780" s="240" t="s">
        <v>390</v>
      </c>
      <c r="X1780" s="240" t="s">
        <v>390</v>
      </c>
      <c r="Y1780" s="240" t="s">
        <v>390</v>
      </c>
      <c r="Z1780" s="240" t="s">
        <v>390</v>
      </c>
      <c r="AA1780" s="240" t="s">
        <v>390</v>
      </c>
      <c r="AB1780" s="240"/>
      <c r="AC1780" s="242" t="b">
        <f t="shared" si="2"/>
        <v>0</v>
      </c>
      <c r="AD1780" s="240" t="s">
        <v>391</v>
      </c>
      <c r="AE1780" s="243" t="b">
        <f t="shared" si="3"/>
        <v>0</v>
      </c>
      <c r="AF1780" s="240"/>
      <c r="AG1780" s="243" t="b">
        <f t="shared" si="7"/>
        <v>0</v>
      </c>
      <c r="AH1780" s="240"/>
      <c r="AI1780" s="243" t="str">
        <f t="shared" si="5"/>
        <v>N/A</v>
      </c>
      <c r="AJ1780" s="157" t="str">
        <f t="shared" si="6"/>
        <v/>
      </c>
    </row>
    <row r="1781" ht="12.75" customHeight="1">
      <c r="A1781" s="244" t="s">
        <v>4158</v>
      </c>
      <c r="B1781" s="244" t="s">
        <v>4161</v>
      </c>
      <c r="C1781" s="244" t="s">
        <v>4563</v>
      </c>
      <c r="D1781" s="154" t="s">
        <v>1211</v>
      </c>
      <c r="E1781" s="250"/>
      <c r="F1781" s="154" t="str">
        <f t="array" ref="F1781">XLOOKUP(Cover!$D$12,$S$1:$AA$1,$S1781:$AA1781)</f>
        <v>Mandatory</v>
      </c>
      <c r="G1781" s="154" t="s">
        <v>4564</v>
      </c>
      <c r="H1781" s="154" t="s">
        <v>4279</v>
      </c>
      <c r="I1781" s="154" t="s">
        <v>632</v>
      </c>
      <c r="J1781" s="154" t="s">
        <v>445</v>
      </c>
      <c r="K1781" s="154"/>
      <c r="L1781" s="154" t="str">
        <f t="shared" si="1"/>
        <v/>
      </c>
      <c r="M1781" s="248" t="str">
        <f>IFERROR(__xludf.DUMMYFUNCTION("VLOOKUP(C1781,IMPORTRANGE(""https://docs.google.com/spreadsheets/d/1P8eX0NWBhUPS_hvzA11R6jkTNFrPrRYIx_dX_hYbxrk/edit?resourcekey=0-iw9bsKY2OqkUHCFMkCar3A&amp;gid=2055363397#gid=2055363397"",""MTR!C:O""),11,false)"),"PMW-IMS")</f>
        <v>PMW-IMS</v>
      </c>
      <c r="N1781" s="248" t="str">
        <f>IFERROR(__xludf.DUMMYFUNCTION("VLOOKUP(C1781,IMPORTRANGE(""https://docs.google.com/spreadsheets/d/1ihFlp3_ePlYtFuPbUNbYj1muErVpI73WHXbEwJDIA7Q/edit#gid=1493122344"",""MTR!C:O""),8,false)"),"Complies")</f>
        <v>Complies</v>
      </c>
      <c r="O1781" s="241" t="str">
        <f>IFERROR(__xludf.DUMMYFUNCTION("VLOOKUP(C1781,IMPORTRANGE(""https://docs.google.com/spreadsheets/d/1P8eX0NWBhUPS_hvzA11R6jkTNFrPrRYIx_dX_hYbxrk/edit?resourcekey=0-iw9bsKY2OqkUHCFMkCar3A&amp;gid=2055363397#gid=2055363397"",""MTR!C:O""),9,false)"),"")</f>
        <v/>
      </c>
      <c r="P1781" s="241"/>
      <c r="Q1781" s="251" t="s">
        <v>445</v>
      </c>
      <c r="R1781" s="241"/>
      <c r="S1781" s="154" t="s">
        <v>60</v>
      </c>
      <c r="T1781" s="154" t="s">
        <v>60</v>
      </c>
      <c r="U1781" s="154" t="s">
        <v>60</v>
      </c>
      <c r="V1781" s="154" t="s">
        <v>60</v>
      </c>
      <c r="W1781" s="154" t="s">
        <v>60</v>
      </c>
      <c r="X1781" s="154" t="s">
        <v>60</v>
      </c>
      <c r="Y1781" s="154" t="s">
        <v>64</v>
      </c>
      <c r="Z1781" s="154" t="s">
        <v>64</v>
      </c>
      <c r="AA1781" s="154" t="s">
        <v>64</v>
      </c>
      <c r="AB1781" s="154"/>
      <c r="AC1781" s="242" t="b">
        <f t="shared" si="2"/>
        <v>1</v>
      </c>
      <c r="AD1781" s="154" t="s">
        <v>391</v>
      </c>
      <c r="AE1781" s="243" t="b">
        <f t="shared" si="3"/>
        <v>0</v>
      </c>
      <c r="AF1781" s="154"/>
      <c r="AG1781" s="243" t="b">
        <f t="shared" si="7"/>
        <v>0</v>
      </c>
      <c r="AH1781" s="154"/>
      <c r="AI1781" s="243" t="str">
        <f t="shared" si="5"/>
        <v>N/A</v>
      </c>
      <c r="AJ1781" s="157" t="str">
        <f t="shared" si="6"/>
        <v/>
      </c>
    </row>
    <row r="1782" ht="12.75" customHeight="1">
      <c r="A1782" s="244" t="s">
        <v>4158</v>
      </c>
      <c r="B1782" s="244" t="s">
        <v>4161</v>
      </c>
      <c r="C1782" s="244" t="s">
        <v>4565</v>
      </c>
      <c r="D1782" s="154" t="s">
        <v>747</v>
      </c>
      <c r="E1782" s="250"/>
      <c r="F1782" s="154" t="str">
        <f t="array" ref="F1782">XLOOKUP(Cover!$D$12,$S$1:$AA$1,$S1782:$AA1782)</f>
        <v>Mandatory</v>
      </c>
      <c r="G1782" s="154" t="s">
        <v>4566</v>
      </c>
      <c r="H1782" s="154" t="s">
        <v>4279</v>
      </c>
      <c r="I1782" s="154" t="s">
        <v>632</v>
      </c>
      <c r="J1782" s="247" t="s">
        <v>445</v>
      </c>
      <c r="K1782" s="154"/>
      <c r="L1782" s="154" t="str">
        <f t="shared" si="1"/>
        <v/>
      </c>
      <c r="M1782" s="248" t="str">
        <f>IFERROR(__xludf.DUMMYFUNCTION("VLOOKUP(C1782,IMPORTRANGE(""https://docs.google.com/spreadsheets/d/1P8eX0NWBhUPS_hvzA11R6jkTNFrPrRYIx_dX_hYbxrk/edit?resourcekey=0-iw9bsKY2OqkUHCFMkCar3A&amp;gid=2055363397#gid=2055363397"",""MTR!C:O""),11,false)"),"PMW-IMS")</f>
        <v>PMW-IMS</v>
      </c>
      <c r="N1782" s="248" t="str">
        <f>IFERROR(__xludf.DUMMYFUNCTION("VLOOKUP(C1782,IMPORTRANGE(""https://docs.google.com/spreadsheets/d/1ihFlp3_ePlYtFuPbUNbYj1muErVpI73WHXbEwJDIA7Q/edit#gid=1493122344"",""MTR!C:O""),8,false)"),"Complies")</f>
        <v>Complies</v>
      </c>
      <c r="O1782" s="241" t="str">
        <f>IFERROR(__xludf.DUMMYFUNCTION("VLOOKUP(C1782,IMPORTRANGE(""https://docs.google.com/spreadsheets/d/1P8eX0NWBhUPS_hvzA11R6jkTNFrPrRYIx_dX_hYbxrk/edit?resourcekey=0-iw9bsKY2OqkUHCFMkCar3A&amp;gid=2055363397#gid=2055363397"",""MTR!C:O""),9,false)"),"")</f>
        <v/>
      </c>
      <c r="P1782" s="241"/>
      <c r="Q1782" s="251" t="s">
        <v>445</v>
      </c>
      <c r="R1782" s="241"/>
      <c r="S1782" s="154" t="s">
        <v>60</v>
      </c>
      <c r="T1782" s="154" t="s">
        <v>60</v>
      </c>
      <c r="U1782" s="154" t="s">
        <v>60</v>
      </c>
      <c r="V1782" s="154" t="s">
        <v>60</v>
      </c>
      <c r="W1782" s="154" t="s">
        <v>60</v>
      </c>
      <c r="X1782" s="154" t="s">
        <v>60</v>
      </c>
      <c r="Y1782" s="154" t="s">
        <v>64</v>
      </c>
      <c r="Z1782" s="154" t="s">
        <v>64</v>
      </c>
      <c r="AA1782" s="154" t="s">
        <v>64</v>
      </c>
      <c r="AB1782" s="154"/>
      <c r="AC1782" s="242" t="b">
        <f t="shared" si="2"/>
        <v>1</v>
      </c>
      <c r="AD1782" s="154" t="s">
        <v>391</v>
      </c>
      <c r="AE1782" s="243" t="b">
        <f t="shared" si="3"/>
        <v>0</v>
      </c>
      <c r="AF1782" s="154"/>
      <c r="AG1782" s="243" t="b">
        <f t="shared" si="7"/>
        <v>0</v>
      </c>
      <c r="AH1782" s="154"/>
      <c r="AI1782" s="243" t="str">
        <f t="shared" si="5"/>
        <v>N/A</v>
      </c>
      <c r="AJ1782" s="157" t="str">
        <f t="shared" si="6"/>
        <v/>
      </c>
    </row>
    <row r="1783" ht="12.75" customHeight="1">
      <c r="A1783" s="238" t="s">
        <v>4158</v>
      </c>
      <c r="B1783" s="238" t="s">
        <v>4161</v>
      </c>
      <c r="C1783" s="238" t="s">
        <v>4567</v>
      </c>
      <c r="D1783" s="238"/>
      <c r="E1783" s="238"/>
      <c r="F1783" s="154" t="str">
        <f t="array" ref="F1783">XLOOKUP(Cover!$D$12,$S$1:$AA$1,$S1783:$AA1783)</f>
        <v>Heading</v>
      </c>
      <c r="G1783" s="239" t="s">
        <v>4568</v>
      </c>
      <c r="H1783" s="240"/>
      <c r="I1783" s="240" t="s">
        <v>632</v>
      </c>
      <c r="J1783" s="240"/>
      <c r="K1783" s="240"/>
      <c r="L1783" s="154" t="str">
        <f t="shared" si="1"/>
        <v/>
      </c>
      <c r="M1783" s="241" t="str">
        <f>IFERROR(__xludf.DUMMYFUNCTION("VLOOKUP(C1783,IMPORTRANGE(""https://docs.google.com/spreadsheets/d/1P8eX0NWBhUPS_hvzA11R6jkTNFrPrRYIx_dX_hYbxrk/edit?resourcekey=0-iw9bsKY2OqkUHCFMkCar3A&amp;gid=2055363397#gid=2055363397"",""MTR!C:O""),11,false)"),"")</f>
        <v/>
      </c>
      <c r="N1783" s="241" t="str">
        <f>IFERROR(__xludf.DUMMYFUNCTION("VLOOKUP(C1783,IMPORTRANGE(""https://docs.google.com/spreadsheets/d/1ihFlp3_ePlYtFuPbUNbYj1muErVpI73WHXbEwJDIA7Q/edit#gid=1493122344"",""MTR!C:O""),8,false)"),"")</f>
        <v/>
      </c>
      <c r="O1783" s="241" t="str">
        <f>IFERROR(__xludf.DUMMYFUNCTION("VLOOKUP(C1783,IMPORTRANGE(""https://docs.google.com/spreadsheets/d/1P8eX0NWBhUPS_hvzA11R6jkTNFrPrRYIx_dX_hYbxrk/edit?resourcekey=0-iw9bsKY2OqkUHCFMkCar3A&amp;gid=2055363397#gid=2055363397"",""MTR!C:O""),9,false)"),"")</f>
        <v/>
      </c>
      <c r="P1783" s="241"/>
      <c r="Q1783" s="251"/>
      <c r="R1783" s="241"/>
      <c r="S1783" s="240" t="s">
        <v>390</v>
      </c>
      <c r="T1783" s="240" t="s">
        <v>390</v>
      </c>
      <c r="U1783" s="240" t="s">
        <v>390</v>
      </c>
      <c r="V1783" s="240" t="s">
        <v>390</v>
      </c>
      <c r="W1783" s="240" t="s">
        <v>390</v>
      </c>
      <c r="X1783" s="240" t="s">
        <v>390</v>
      </c>
      <c r="Y1783" s="240" t="s">
        <v>390</v>
      </c>
      <c r="Z1783" s="240" t="s">
        <v>390</v>
      </c>
      <c r="AA1783" s="240" t="s">
        <v>390</v>
      </c>
      <c r="AB1783" s="240"/>
      <c r="AC1783" s="242" t="b">
        <f t="shared" si="2"/>
        <v>0</v>
      </c>
      <c r="AD1783" s="240" t="s">
        <v>391</v>
      </c>
      <c r="AE1783" s="243" t="b">
        <f t="shared" si="3"/>
        <v>0</v>
      </c>
      <c r="AF1783" s="240"/>
      <c r="AG1783" s="243" t="b">
        <f t="shared" si="7"/>
        <v>0</v>
      </c>
      <c r="AH1783" s="240"/>
      <c r="AI1783" s="243" t="str">
        <f t="shared" si="5"/>
        <v>N/A</v>
      </c>
      <c r="AJ1783" s="157" t="str">
        <f t="shared" si="6"/>
        <v/>
      </c>
    </row>
    <row r="1784" ht="12.75" customHeight="1">
      <c r="A1784" s="244" t="s">
        <v>4158</v>
      </c>
      <c r="B1784" s="244" t="s">
        <v>4161</v>
      </c>
      <c r="C1784" s="244" t="s">
        <v>4569</v>
      </c>
      <c r="D1784" s="154" t="s">
        <v>1211</v>
      </c>
      <c r="E1784" s="250"/>
      <c r="F1784" s="154" t="str">
        <f t="array" ref="F1784">XLOOKUP(Cover!$D$12,$S$1:$AA$1,$S1784:$AA1784)</f>
        <v>Mandatory</v>
      </c>
      <c r="G1784" s="154" t="s">
        <v>4570</v>
      </c>
      <c r="H1784" s="154" t="s">
        <v>4279</v>
      </c>
      <c r="I1784" s="154" t="s">
        <v>632</v>
      </c>
      <c r="J1784" s="154" t="s">
        <v>445</v>
      </c>
      <c r="K1784" s="154"/>
      <c r="L1784" s="154" t="str">
        <f t="shared" si="1"/>
        <v/>
      </c>
      <c r="M1784" s="248" t="str">
        <f>IFERROR(__xludf.DUMMYFUNCTION("VLOOKUP(C1784,IMPORTRANGE(""https://docs.google.com/spreadsheets/d/1P8eX0NWBhUPS_hvzA11R6jkTNFrPrRYIx_dX_hYbxrk/edit?resourcekey=0-iw9bsKY2OqkUHCFMkCar3A&amp;gid=2055363397#gid=2055363397"",""MTR!C:O""),11,false)"),"PMW-IMS")</f>
        <v>PMW-IMS</v>
      </c>
      <c r="N1784" s="248" t="str">
        <f>IFERROR(__xludf.DUMMYFUNCTION("VLOOKUP(C1784,IMPORTRANGE(""https://docs.google.com/spreadsheets/d/1ihFlp3_ePlYtFuPbUNbYj1muErVpI73WHXbEwJDIA7Q/edit#gid=1493122344"",""MTR!C:O""),8,false)"),"Complies")</f>
        <v>Complies</v>
      </c>
      <c r="O1784" s="241" t="str">
        <f>IFERROR(__xludf.DUMMYFUNCTION("VLOOKUP(C1784,IMPORTRANGE(""https://docs.google.com/spreadsheets/d/1P8eX0NWBhUPS_hvzA11R6jkTNFrPrRYIx_dX_hYbxrk/edit?resourcekey=0-iw9bsKY2OqkUHCFMkCar3A&amp;gid=2055363397#gid=2055363397"",""MTR!C:O""),9,false)"),"")</f>
        <v/>
      </c>
      <c r="P1784" s="241"/>
      <c r="Q1784" s="251" t="s">
        <v>445</v>
      </c>
      <c r="R1784" s="241"/>
      <c r="S1784" s="154" t="s">
        <v>60</v>
      </c>
      <c r="T1784" s="154" t="s">
        <v>60</v>
      </c>
      <c r="U1784" s="154" t="s">
        <v>60</v>
      </c>
      <c r="V1784" s="154" t="s">
        <v>60</v>
      </c>
      <c r="W1784" s="154" t="s">
        <v>60</v>
      </c>
      <c r="X1784" s="154" t="s">
        <v>60</v>
      </c>
      <c r="Y1784" s="154" t="s">
        <v>64</v>
      </c>
      <c r="Z1784" s="154" t="s">
        <v>64</v>
      </c>
      <c r="AA1784" s="154" t="s">
        <v>64</v>
      </c>
      <c r="AB1784" s="154"/>
      <c r="AC1784" s="242" t="b">
        <f t="shared" si="2"/>
        <v>1</v>
      </c>
      <c r="AD1784" s="154" t="s">
        <v>391</v>
      </c>
      <c r="AE1784" s="243" t="b">
        <f t="shared" si="3"/>
        <v>0</v>
      </c>
      <c r="AF1784" s="154"/>
      <c r="AG1784" s="243" t="b">
        <f t="shared" si="7"/>
        <v>0</v>
      </c>
      <c r="AH1784" s="154"/>
      <c r="AI1784" s="243" t="str">
        <f t="shared" si="5"/>
        <v>N/A</v>
      </c>
      <c r="AJ1784" s="157" t="str">
        <f t="shared" si="6"/>
        <v/>
      </c>
    </row>
    <row r="1785" ht="12.75" customHeight="1">
      <c r="A1785" s="238" t="s">
        <v>4158</v>
      </c>
      <c r="B1785" s="238" t="s">
        <v>4161</v>
      </c>
      <c r="C1785" s="238" t="s">
        <v>4571</v>
      </c>
      <c r="D1785" s="238"/>
      <c r="E1785" s="238"/>
      <c r="F1785" s="154" t="str">
        <f t="array" ref="F1785">XLOOKUP(Cover!$D$12,$S$1:$AA$1,$S1785:$AA1785)</f>
        <v>Heading</v>
      </c>
      <c r="G1785" s="239" t="s">
        <v>4572</v>
      </c>
      <c r="H1785" s="240"/>
      <c r="I1785" s="240" t="s">
        <v>632</v>
      </c>
      <c r="J1785" s="240"/>
      <c r="K1785" s="240"/>
      <c r="L1785" s="154" t="str">
        <f t="shared" si="1"/>
        <v/>
      </c>
      <c r="M1785" s="241" t="str">
        <f>IFERROR(__xludf.DUMMYFUNCTION("VLOOKUP(C1785,IMPORTRANGE(""https://docs.google.com/spreadsheets/d/1P8eX0NWBhUPS_hvzA11R6jkTNFrPrRYIx_dX_hYbxrk/edit?resourcekey=0-iw9bsKY2OqkUHCFMkCar3A&amp;gid=2055363397#gid=2055363397"",""MTR!C:O""),11,false)"),"")</f>
        <v/>
      </c>
      <c r="N1785" s="241" t="str">
        <f>IFERROR(__xludf.DUMMYFUNCTION("VLOOKUP(C1785,IMPORTRANGE(""https://docs.google.com/spreadsheets/d/1ihFlp3_ePlYtFuPbUNbYj1muErVpI73WHXbEwJDIA7Q/edit#gid=1493122344"",""MTR!C:O""),8,false)"),"")</f>
        <v/>
      </c>
      <c r="O1785" s="241" t="str">
        <f>IFERROR(__xludf.DUMMYFUNCTION("VLOOKUP(C1785,IMPORTRANGE(""https://docs.google.com/spreadsheets/d/1P8eX0NWBhUPS_hvzA11R6jkTNFrPrRYIx_dX_hYbxrk/edit?resourcekey=0-iw9bsKY2OqkUHCFMkCar3A&amp;gid=2055363397#gid=2055363397"",""MTR!C:O""),9,false)"),"")</f>
        <v/>
      </c>
      <c r="P1785" s="241"/>
      <c r="Q1785" s="251"/>
      <c r="R1785" s="241"/>
      <c r="S1785" s="240" t="s">
        <v>390</v>
      </c>
      <c r="T1785" s="240" t="s">
        <v>390</v>
      </c>
      <c r="U1785" s="240" t="s">
        <v>390</v>
      </c>
      <c r="V1785" s="240" t="s">
        <v>390</v>
      </c>
      <c r="W1785" s="240" t="s">
        <v>390</v>
      </c>
      <c r="X1785" s="240" t="s">
        <v>390</v>
      </c>
      <c r="Y1785" s="240" t="s">
        <v>390</v>
      </c>
      <c r="Z1785" s="240" t="s">
        <v>390</v>
      </c>
      <c r="AA1785" s="240" t="s">
        <v>390</v>
      </c>
      <c r="AB1785" s="240"/>
      <c r="AC1785" s="242" t="b">
        <f t="shared" si="2"/>
        <v>0</v>
      </c>
      <c r="AD1785" s="240" t="s">
        <v>391</v>
      </c>
      <c r="AE1785" s="243" t="b">
        <f t="shared" si="3"/>
        <v>0</v>
      </c>
      <c r="AF1785" s="240"/>
      <c r="AG1785" s="243" t="b">
        <f t="shared" si="7"/>
        <v>0</v>
      </c>
      <c r="AH1785" s="240"/>
      <c r="AI1785" s="243" t="str">
        <f t="shared" si="5"/>
        <v>N/A</v>
      </c>
      <c r="AJ1785" s="157" t="str">
        <f t="shared" si="6"/>
        <v/>
      </c>
    </row>
    <row r="1786" ht="12.75" customHeight="1">
      <c r="A1786" s="244" t="s">
        <v>4158</v>
      </c>
      <c r="B1786" s="244" t="s">
        <v>4161</v>
      </c>
      <c r="C1786" s="244" t="s">
        <v>4573</v>
      </c>
      <c r="D1786" s="154" t="s">
        <v>1211</v>
      </c>
      <c r="E1786" s="250"/>
      <c r="F1786" s="154" t="str">
        <f t="array" ref="F1786">XLOOKUP(Cover!$D$12,$S$1:$AA$1,$S1786:$AA1786)</f>
        <v>Information</v>
      </c>
      <c r="G1786" s="154" t="s">
        <v>4574</v>
      </c>
      <c r="H1786" s="154"/>
      <c r="I1786" s="154" t="s">
        <v>632</v>
      </c>
      <c r="J1786" s="154" t="s">
        <v>516</v>
      </c>
      <c r="K1786" s="154"/>
      <c r="L1786" s="154" t="str">
        <f t="shared" si="1"/>
        <v/>
      </c>
      <c r="M1786" s="248" t="str">
        <f>IFERROR(__xludf.DUMMYFUNCTION("VLOOKUP(C1786,IMPORTRANGE(""https://docs.google.com/spreadsheets/d/1P8eX0NWBhUPS_hvzA11R6jkTNFrPrRYIx_dX_hYbxrk/edit?resourcekey=0-iw9bsKY2OqkUHCFMkCar3A&amp;gid=2055363397#gid=2055363397"",""MTR!C:O""),11,false)"),"PMW-IMS")</f>
        <v>PMW-IMS</v>
      </c>
      <c r="N1786" s="248" t="str">
        <f>IFERROR(__xludf.DUMMYFUNCTION("VLOOKUP(C1786,IMPORTRANGE(""https://docs.google.com/spreadsheets/d/1ihFlp3_ePlYtFuPbUNbYj1muErVpI73WHXbEwJDIA7Q/edit#gid=1493122344"",""MTR!C:O""),8,false)"),"Does Not Comply")</f>
        <v>Does Not Comply</v>
      </c>
      <c r="O1786" s="241" t="str">
        <f>IFERROR(__xludf.DUMMYFUNCTION("VLOOKUP(C1786,IMPORTRANGE(""https://docs.google.com/spreadsheets/d/1P8eX0NWBhUPS_hvzA11R6jkTNFrPrRYIx_dX_hYbxrk/edit?resourcekey=0-iw9bsKY2OqkUHCFMkCar3A&amp;gid=2055363397#gid=2055363397"",""MTR!C:O""),9,false)"),"")</f>
        <v/>
      </c>
      <c r="P1786" s="241"/>
      <c r="Q1786" s="251" t="s">
        <v>516</v>
      </c>
      <c r="R1786" s="241"/>
      <c r="S1786" s="154" t="s">
        <v>66</v>
      </c>
      <c r="T1786" s="154" t="s">
        <v>66</v>
      </c>
      <c r="U1786" s="154" t="s">
        <v>66</v>
      </c>
      <c r="V1786" s="154" t="s">
        <v>66</v>
      </c>
      <c r="W1786" s="154" t="s">
        <v>66</v>
      </c>
      <c r="X1786" s="154" t="s">
        <v>66</v>
      </c>
      <c r="Y1786" s="154" t="s">
        <v>66</v>
      </c>
      <c r="Z1786" s="154" t="s">
        <v>66</v>
      </c>
      <c r="AA1786" s="154" t="s">
        <v>66</v>
      </c>
      <c r="AB1786" s="154"/>
      <c r="AC1786" s="242" t="b">
        <f t="shared" si="2"/>
        <v>1</v>
      </c>
      <c r="AD1786" s="154" t="s">
        <v>391</v>
      </c>
      <c r="AE1786" s="243" t="b">
        <f t="shared" si="3"/>
        <v>0</v>
      </c>
      <c r="AF1786" s="154"/>
      <c r="AG1786" s="243" t="b">
        <f t="shared" si="7"/>
        <v>0</v>
      </c>
      <c r="AH1786" s="154"/>
      <c r="AI1786" s="243" t="str">
        <f t="shared" si="5"/>
        <v>N/A</v>
      </c>
      <c r="AJ1786" s="157" t="str">
        <f t="shared" si="6"/>
        <v/>
      </c>
    </row>
    <row r="1787" ht="12.75" customHeight="1">
      <c r="A1787" s="244" t="s">
        <v>4158</v>
      </c>
      <c r="B1787" s="244" t="s">
        <v>4161</v>
      </c>
      <c r="C1787" s="244" t="s">
        <v>4575</v>
      </c>
      <c r="D1787" s="154" t="s">
        <v>1211</v>
      </c>
      <c r="E1787" s="250"/>
      <c r="F1787" s="154" t="str">
        <f t="array" ref="F1787">XLOOKUP(Cover!$D$12,$S$1:$AA$1,$S1787:$AA1787)</f>
        <v>Mandatory</v>
      </c>
      <c r="G1787" s="154" t="s">
        <v>4576</v>
      </c>
      <c r="H1787" s="154" t="s">
        <v>4279</v>
      </c>
      <c r="I1787" s="154" t="s">
        <v>632</v>
      </c>
      <c r="J1787" s="247" t="s">
        <v>516</v>
      </c>
      <c r="K1787" s="154"/>
      <c r="L1787" s="154" t="str">
        <f t="shared" si="1"/>
        <v/>
      </c>
      <c r="M1787" s="248" t="str">
        <f>IFERROR(__xludf.DUMMYFUNCTION("VLOOKUP(C1787,IMPORTRANGE(""https://docs.google.com/spreadsheets/d/1P8eX0NWBhUPS_hvzA11R6jkTNFrPrRYIx_dX_hYbxrk/edit?resourcekey=0-iw9bsKY2OqkUHCFMkCar3A&amp;gid=2055363397#gid=2055363397"",""MTR!C:O""),11,false)"),"PMW-IMS")</f>
        <v>PMW-IMS</v>
      </c>
      <c r="N1787" s="248" t="str">
        <f>IFERROR(__xludf.DUMMYFUNCTION("VLOOKUP(C1787,IMPORTRANGE(""https://docs.google.com/spreadsheets/d/1ihFlp3_ePlYtFuPbUNbYj1muErVpI73WHXbEwJDIA7Q/edit#gid=1493122344"",""MTR!C:O""),8,false)"),"Complies")</f>
        <v>Complies</v>
      </c>
      <c r="O1787" s="241" t="str">
        <f>IFERROR(__xludf.DUMMYFUNCTION("VLOOKUP(C1787,IMPORTRANGE(""https://docs.google.com/spreadsheets/d/1P8eX0NWBhUPS_hvzA11R6jkTNFrPrRYIx_dX_hYbxrk/edit?resourcekey=0-iw9bsKY2OqkUHCFMkCar3A&amp;gid=2055363397#gid=2055363397"",""MTR!C:O""),9,false)"),"")</f>
        <v/>
      </c>
      <c r="P1787" s="241"/>
      <c r="Q1787" s="251" t="s">
        <v>445</v>
      </c>
      <c r="R1787" s="241"/>
      <c r="S1787" s="154" t="s">
        <v>60</v>
      </c>
      <c r="T1787" s="154" t="s">
        <v>60</v>
      </c>
      <c r="U1787" s="154" t="s">
        <v>60</v>
      </c>
      <c r="V1787" s="154" t="s">
        <v>60</v>
      </c>
      <c r="W1787" s="154" t="s">
        <v>60</v>
      </c>
      <c r="X1787" s="154" t="s">
        <v>60</v>
      </c>
      <c r="Y1787" s="154" t="s">
        <v>64</v>
      </c>
      <c r="Z1787" s="154" t="s">
        <v>64</v>
      </c>
      <c r="AA1787" s="154" t="s">
        <v>64</v>
      </c>
      <c r="AB1787" s="154"/>
      <c r="AC1787" s="242" t="b">
        <f t="shared" si="2"/>
        <v>1</v>
      </c>
      <c r="AD1787" s="154" t="s">
        <v>391</v>
      </c>
      <c r="AE1787" s="243" t="b">
        <f t="shared" si="3"/>
        <v>0</v>
      </c>
      <c r="AF1787" s="154"/>
      <c r="AG1787" s="243" t="b">
        <f t="shared" si="7"/>
        <v>0</v>
      </c>
      <c r="AH1787" s="154"/>
      <c r="AI1787" s="243" t="str">
        <f t="shared" si="5"/>
        <v>N/A</v>
      </c>
      <c r="AJ1787" s="157" t="str">
        <f t="shared" si="6"/>
        <v/>
      </c>
    </row>
    <row r="1788" ht="12.75" customHeight="1">
      <c r="A1788" s="238" t="s">
        <v>4158</v>
      </c>
      <c r="B1788" s="238" t="s">
        <v>4161</v>
      </c>
      <c r="C1788" s="238" t="s">
        <v>4577</v>
      </c>
      <c r="D1788" s="238"/>
      <c r="E1788" s="238"/>
      <c r="F1788" s="154" t="str">
        <f t="array" ref="F1788">XLOOKUP(Cover!$D$12,$S$1:$AA$1,$S1788:$AA1788)</f>
        <v>Heading</v>
      </c>
      <c r="G1788" s="239" t="s">
        <v>4578</v>
      </c>
      <c r="H1788" s="240"/>
      <c r="I1788" s="240" t="s">
        <v>632</v>
      </c>
      <c r="J1788" s="240"/>
      <c r="K1788" s="240"/>
      <c r="L1788" s="154" t="str">
        <f t="shared" si="1"/>
        <v/>
      </c>
      <c r="M1788" s="241" t="str">
        <f>IFERROR(__xludf.DUMMYFUNCTION("VLOOKUP(C1788,IMPORTRANGE(""https://docs.google.com/spreadsheets/d/1P8eX0NWBhUPS_hvzA11R6jkTNFrPrRYIx_dX_hYbxrk/edit?resourcekey=0-iw9bsKY2OqkUHCFMkCar3A&amp;gid=2055363397#gid=2055363397"",""MTR!C:O""),11,false)"),"")</f>
        <v/>
      </c>
      <c r="N1788" s="241" t="str">
        <f>IFERROR(__xludf.DUMMYFUNCTION("VLOOKUP(C1788,IMPORTRANGE(""https://docs.google.com/spreadsheets/d/1ihFlp3_ePlYtFuPbUNbYj1muErVpI73WHXbEwJDIA7Q/edit#gid=1493122344"",""MTR!C:O""),8,false)"),"")</f>
        <v/>
      </c>
      <c r="O1788" s="241" t="str">
        <f>IFERROR(__xludf.DUMMYFUNCTION("VLOOKUP(C1788,IMPORTRANGE(""https://docs.google.com/spreadsheets/d/1P8eX0NWBhUPS_hvzA11R6jkTNFrPrRYIx_dX_hYbxrk/edit?resourcekey=0-iw9bsKY2OqkUHCFMkCar3A&amp;gid=2055363397#gid=2055363397"",""MTR!C:O""),9,false)"),"")</f>
        <v/>
      </c>
      <c r="P1788" s="241"/>
      <c r="Q1788" s="251"/>
      <c r="R1788" s="241"/>
      <c r="S1788" s="240" t="s">
        <v>390</v>
      </c>
      <c r="T1788" s="240" t="s">
        <v>390</v>
      </c>
      <c r="U1788" s="240" t="s">
        <v>390</v>
      </c>
      <c r="V1788" s="240" t="s">
        <v>390</v>
      </c>
      <c r="W1788" s="240" t="s">
        <v>390</v>
      </c>
      <c r="X1788" s="240" t="s">
        <v>390</v>
      </c>
      <c r="Y1788" s="240" t="s">
        <v>390</v>
      </c>
      <c r="Z1788" s="240" t="s">
        <v>390</v>
      </c>
      <c r="AA1788" s="240" t="s">
        <v>390</v>
      </c>
      <c r="AB1788" s="240"/>
      <c r="AC1788" s="242" t="b">
        <f t="shared" si="2"/>
        <v>0</v>
      </c>
      <c r="AD1788" s="240" t="s">
        <v>391</v>
      </c>
      <c r="AE1788" s="243" t="b">
        <f t="shared" si="3"/>
        <v>0</v>
      </c>
      <c r="AF1788" s="240"/>
      <c r="AG1788" s="243" t="b">
        <f t="shared" si="7"/>
        <v>0</v>
      </c>
      <c r="AH1788" s="240"/>
      <c r="AI1788" s="243" t="str">
        <f t="shared" si="5"/>
        <v>N/A</v>
      </c>
      <c r="AJ1788" s="157" t="str">
        <f t="shared" si="6"/>
        <v/>
      </c>
    </row>
    <row r="1789" ht="12.75" customHeight="1">
      <c r="A1789" s="244" t="s">
        <v>4158</v>
      </c>
      <c r="B1789" s="244" t="s">
        <v>4161</v>
      </c>
      <c r="C1789" s="244" t="s">
        <v>4579</v>
      </c>
      <c r="D1789" s="154" t="s">
        <v>1211</v>
      </c>
      <c r="E1789" s="250"/>
      <c r="F1789" s="154" t="str">
        <f t="array" ref="F1789">XLOOKUP(Cover!$D$12,$S$1:$AA$1,$S1789:$AA1789)</f>
        <v>Mandatory</v>
      </c>
      <c r="G1789" s="154" t="s">
        <v>4580</v>
      </c>
      <c r="H1789" s="154" t="s">
        <v>4279</v>
      </c>
      <c r="I1789" s="154" t="s">
        <v>632</v>
      </c>
      <c r="J1789" s="154" t="s">
        <v>445</v>
      </c>
      <c r="K1789" s="154"/>
      <c r="L1789" s="154" t="str">
        <f t="shared" si="1"/>
        <v/>
      </c>
      <c r="M1789" s="248" t="str">
        <f>IFERROR(__xludf.DUMMYFUNCTION("VLOOKUP(C1789,IMPORTRANGE(""https://docs.google.com/spreadsheets/d/1P8eX0NWBhUPS_hvzA11R6jkTNFrPrRYIx_dX_hYbxrk/edit?resourcekey=0-iw9bsKY2OqkUHCFMkCar3A&amp;gid=2055363397#gid=2055363397"",""MTR!C:O""),11,false)"),"PMW-IMS")</f>
        <v>PMW-IMS</v>
      </c>
      <c r="N1789" s="248" t="str">
        <f>IFERROR(__xludf.DUMMYFUNCTION("VLOOKUP(C1789,IMPORTRANGE(""https://docs.google.com/spreadsheets/d/1ihFlp3_ePlYtFuPbUNbYj1muErVpI73WHXbEwJDIA7Q/edit#gid=1493122344"",""MTR!C:O""),8,false)"),"Complies")</f>
        <v>Complies</v>
      </c>
      <c r="O1789" s="241" t="str">
        <f>IFERROR(__xludf.DUMMYFUNCTION("VLOOKUP(C1789,IMPORTRANGE(""https://docs.google.com/spreadsheets/d/1P8eX0NWBhUPS_hvzA11R6jkTNFrPrRYIx_dX_hYbxrk/edit?resourcekey=0-iw9bsKY2OqkUHCFMkCar3A&amp;gid=2055363397#gid=2055363397"",""MTR!C:O""),9,false)"),"")</f>
        <v/>
      </c>
      <c r="P1789" s="241"/>
      <c r="Q1789" s="251" t="s">
        <v>445</v>
      </c>
      <c r="R1789" s="241"/>
      <c r="S1789" s="154" t="s">
        <v>60</v>
      </c>
      <c r="T1789" s="154" t="s">
        <v>60</v>
      </c>
      <c r="U1789" s="154" t="s">
        <v>60</v>
      </c>
      <c r="V1789" s="154" t="s">
        <v>60</v>
      </c>
      <c r="W1789" s="154" t="s">
        <v>60</v>
      </c>
      <c r="X1789" s="154" t="s">
        <v>60</v>
      </c>
      <c r="Y1789" s="154" t="s">
        <v>64</v>
      </c>
      <c r="Z1789" s="154" t="s">
        <v>64</v>
      </c>
      <c r="AA1789" s="154" t="s">
        <v>64</v>
      </c>
      <c r="AB1789" s="154"/>
      <c r="AC1789" s="242" t="b">
        <f t="shared" si="2"/>
        <v>1</v>
      </c>
      <c r="AD1789" s="154" t="s">
        <v>391</v>
      </c>
      <c r="AE1789" s="243" t="b">
        <f t="shared" si="3"/>
        <v>0</v>
      </c>
      <c r="AF1789" s="154"/>
      <c r="AG1789" s="243" t="b">
        <f t="shared" si="7"/>
        <v>0</v>
      </c>
      <c r="AH1789" s="154"/>
      <c r="AI1789" s="243" t="str">
        <f t="shared" si="5"/>
        <v>N/A</v>
      </c>
      <c r="AJ1789" s="157" t="str">
        <f t="shared" si="6"/>
        <v/>
      </c>
    </row>
    <row r="1790" ht="12.75" customHeight="1">
      <c r="A1790" s="244" t="s">
        <v>4158</v>
      </c>
      <c r="B1790" s="244" t="s">
        <v>4161</v>
      </c>
      <c r="C1790" s="244" t="s">
        <v>4581</v>
      </c>
      <c r="D1790" s="154" t="s">
        <v>649</v>
      </c>
      <c r="E1790" s="250"/>
      <c r="F1790" s="154" t="str">
        <f t="array" ref="F1790">XLOOKUP(Cover!$D$12,$S$1:$AA$1,$S1790:$AA1790)</f>
        <v>Mandatory</v>
      </c>
      <c r="G1790" s="154" t="s">
        <v>4582</v>
      </c>
      <c r="H1790" s="154" t="s">
        <v>4279</v>
      </c>
      <c r="I1790" s="154" t="s">
        <v>632</v>
      </c>
      <c r="J1790" s="247" t="s">
        <v>445</v>
      </c>
      <c r="K1790" s="154"/>
      <c r="L1790" s="154" t="str">
        <f t="shared" si="1"/>
        <v/>
      </c>
      <c r="M1790" s="248" t="str">
        <f>IFERROR(__xludf.DUMMYFUNCTION("VLOOKUP(C1790,IMPORTRANGE(""https://docs.google.com/spreadsheets/d/1P8eX0NWBhUPS_hvzA11R6jkTNFrPrRYIx_dX_hYbxrk/edit?resourcekey=0-iw9bsKY2OqkUHCFMkCar3A&amp;gid=2055363397#gid=2055363397"",""MTR!C:O""),11,false)"),"PMW-IMS")</f>
        <v>PMW-IMS</v>
      </c>
      <c r="N1790" s="248" t="str">
        <f>IFERROR(__xludf.DUMMYFUNCTION("VLOOKUP(C1790,IMPORTRANGE(""https://docs.google.com/spreadsheets/d/1ihFlp3_ePlYtFuPbUNbYj1muErVpI73WHXbEwJDIA7Q/edit#gid=1493122344"",""MTR!C:O""),8,false)"),"Complies")</f>
        <v>Complies</v>
      </c>
      <c r="O1790" s="241" t="str">
        <f>IFERROR(__xludf.DUMMYFUNCTION("VLOOKUP(C1790,IMPORTRANGE(""https://docs.google.com/spreadsheets/d/1P8eX0NWBhUPS_hvzA11R6jkTNFrPrRYIx_dX_hYbxrk/edit?resourcekey=0-iw9bsKY2OqkUHCFMkCar3A&amp;gid=2055363397#gid=2055363397"",""MTR!C:O""),9,false)"),"")</f>
        <v/>
      </c>
      <c r="P1790" s="241"/>
      <c r="Q1790" s="251" t="s">
        <v>445</v>
      </c>
      <c r="R1790" s="241"/>
      <c r="S1790" s="154" t="s">
        <v>60</v>
      </c>
      <c r="T1790" s="154" t="s">
        <v>60</v>
      </c>
      <c r="U1790" s="154" t="s">
        <v>60</v>
      </c>
      <c r="V1790" s="154" t="s">
        <v>60</v>
      </c>
      <c r="W1790" s="154" t="s">
        <v>60</v>
      </c>
      <c r="X1790" s="154" t="s">
        <v>60</v>
      </c>
      <c r="Y1790" s="154" t="s">
        <v>64</v>
      </c>
      <c r="Z1790" s="154" t="s">
        <v>64</v>
      </c>
      <c r="AA1790" s="154" t="s">
        <v>64</v>
      </c>
      <c r="AB1790" s="154"/>
      <c r="AC1790" s="242" t="b">
        <f t="shared" si="2"/>
        <v>1</v>
      </c>
      <c r="AD1790" s="154" t="s">
        <v>391</v>
      </c>
      <c r="AE1790" s="243" t="b">
        <f t="shared" si="3"/>
        <v>0</v>
      </c>
      <c r="AF1790" s="154"/>
      <c r="AG1790" s="243" t="b">
        <f t="shared" si="7"/>
        <v>0</v>
      </c>
      <c r="AH1790" s="154"/>
      <c r="AI1790" s="243" t="str">
        <f t="shared" si="5"/>
        <v>N/A</v>
      </c>
      <c r="AJ1790" s="157" t="str">
        <f t="shared" si="6"/>
        <v/>
      </c>
    </row>
    <row r="1791" ht="12.75" customHeight="1">
      <c r="A1791" s="238" t="s">
        <v>4158</v>
      </c>
      <c r="B1791" s="238" t="s">
        <v>4161</v>
      </c>
      <c r="C1791" s="238" t="s">
        <v>4583</v>
      </c>
      <c r="D1791" s="238"/>
      <c r="E1791" s="238"/>
      <c r="F1791" s="154" t="str">
        <f t="array" ref="F1791">XLOOKUP(Cover!$D$12,$S$1:$AA$1,$S1791:$AA1791)</f>
        <v>Heading</v>
      </c>
      <c r="G1791" s="239" t="s">
        <v>4584</v>
      </c>
      <c r="H1791" s="240"/>
      <c r="I1791" s="240" t="s">
        <v>632</v>
      </c>
      <c r="J1791" s="262"/>
      <c r="K1791" s="240"/>
      <c r="L1791" s="154" t="str">
        <f t="shared" si="1"/>
        <v/>
      </c>
      <c r="M1791" s="241" t="str">
        <f>IFERROR(__xludf.DUMMYFUNCTION("VLOOKUP(C1791,IMPORTRANGE(""https://docs.google.com/spreadsheets/d/1P8eX0NWBhUPS_hvzA11R6jkTNFrPrRYIx_dX_hYbxrk/edit?resourcekey=0-iw9bsKY2OqkUHCFMkCar3A&amp;gid=2055363397#gid=2055363397"",""MTR!C:O""),11,false)"),"")</f>
        <v/>
      </c>
      <c r="N1791" s="241" t="str">
        <f>IFERROR(__xludf.DUMMYFUNCTION("VLOOKUP(C1791,IMPORTRANGE(""https://docs.google.com/spreadsheets/d/1ihFlp3_ePlYtFuPbUNbYj1muErVpI73WHXbEwJDIA7Q/edit#gid=1493122344"",""MTR!C:O""),8,false)"),"")</f>
        <v/>
      </c>
      <c r="O1791" s="241" t="str">
        <f>IFERROR(__xludf.DUMMYFUNCTION("VLOOKUP(C1791,IMPORTRANGE(""https://docs.google.com/spreadsheets/d/1P8eX0NWBhUPS_hvzA11R6jkTNFrPrRYIx_dX_hYbxrk/edit?resourcekey=0-iw9bsKY2OqkUHCFMkCar3A&amp;gid=2055363397#gid=2055363397"",""MTR!C:O""),9,false)"),"")</f>
        <v/>
      </c>
      <c r="P1791" s="241"/>
      <c r="Q1791" s="251"/>
      <c r="R1791" s="241"/>
      <c r="S1791" s="240" t="s">
        <v>390</v>
      </c>
      <c r="T1791" s="240" t="s">
        <v>390</v>
      </c>
      <c r="U1791" s="240" t="s">
        <v>390</v>
      </c>
      <c r="V1791" s="240" t="s">
        <v>390</v>
      </c>
      <c r="W1791" s="240" t="s">
        <v>390</v>
      </c>
      <c r="X1791" s="240" t="s">
        <v>390</v>
      </c>
      <c r="Y1791" s="240" t="s">
        <v>390</v>
      </c>
      <c r="Z1791" s="240" t="s">
        <v>390</v>
      </c>
      <c r="AA1791" s="240" t="s">
        <v>390</v>
      </c>
      <c r="AB1791" s="240"/>
      <c r="AC1791" s="242" t="b">
        <f t="shared" si="2"/>
        <v>0</v>
      </c>
      <c r="AD1791" s="240" t="s">
        <v>391</v>
      </c>
      <c r="AE1791" s="243" t="b">
        <f t="shared" si="3"/>
        <v>0</v>
      </c>
      <c r="AF1791" s="240"/>
      <c r="AG1791" s="243" t="b">
        <f t="shared" si="7"/>
        <v>0</v>
      </c>
      <c r="AH1791" s="240"/>
      <c r="AI1791" s="243" t="str">
        <f t="shared" si="5"/>
        <v>N/A</v>
      </c>
      <c r="AJ1791" s="157" t="str">
        <f t="shared" si="6"/>
        <v/>
      </c>
    </row>
    <row r="1792" ht="12.75" customHeight="1">
      <c r="A1792" s="244" t="s">
        <v>4158</v>
      </c>
      <c r="B1792" s="244" t="s">
        <v>4161</v>
      </c>
      <c r="C1792" s="244" t="s">
        <v>4585</v>
      </c>
      <c r="D1792" s="154" t="s">
        <v>1211</v>
      </c>
      <c r="E1792" s="250"/>
      <c r="F1792" s="154" t="str">
        <f t="array" ref="F1792">XLOOKUP(Cover!$D$12,$S$1:$AA$1,$S1792:$AA1792)</f>
        <v>Mandatory</v>
      </c>
      <c r="G1792" s="154" t="s">
        <v>4586</v>
      </c>
      <c r="H1792" s="154" t="s">
        <v>4279</v>
      </c>
      <c r="I1792" s="154" t="s">
        <v>632</v>
      </c>
      <c r="J1792" s="247" t="s">
        <v>445</v>
      </c>
      <c r="K1792" s="154"/>
      <c r="L1792" s="154" t="str">
        <f t="shared" si="1"/>
        <v/>
      </c>
      <c r="M1792" s="248" t="str">
        <f>IFERROR(__xludf.DUMMYFUNCTION("VLOOKUP(C1792,IMPORTRANGE(""https://docs.google.com/spreadsheets/d/1P8eX0NWBhUPS_hvzA11R6jkTNFrPrRYIx_dX_hYbxrk/edit?resourcekey=0-iw9bsKY2OqkUHCFMkCar3A&amp;gid=2055363397#gid=2055363397"",""MTR!C:O""),11,false)"),"PMW-IMS")</f>
        <v>PMW-IMS</v>
      </c>
      <c r="N1792" s="248" t="str">
        <f>IFERROR(__xludf.DUMMYFUNCTION("VLOOKUP(C1792,IMPORTRANGE(""https://docs.google.com/spreadsheets/d/1ihFlp3_ePlYtFuPbUNbYj1muErVpI73WHXbEwJDIA7Q/edit#gid=1493122344"",""MTR!C:O""),8,false)"),"Complies")</f>
        <v>Complies</v>
      </c>
      <c r="O1792" s="241" t="str">
        <f>IFERROR(__xludf.DUMMYFUNCTION("VLOOKUP(C1792,IMPORTRANGE(""https://docs.google.com/spreadsheets/d/1P8eX0NWBhUPS_hvzA11R6jkTNFrPrRYIx_dX_hYbxrk/edit?resourcekey=0-iw9bsKY2OqkUHCFMkCar3A&amp;gid=2055363397#gid=2055363397"",""MTR!C:O""),9,false)"),"")</f>
        <v/>
      </c>
      <c r="P1792" s="241"/>
      <c r="Q1792" s="251" t="s">
        <v>445</v>
      </c>
      <c r="R1792" s="241"/>
      <c r="S1792" s="154" t="s">
        <v>60</v>
      </c>
      <c r="T1792" s="154" t="s">
        <v>60</v>
      </c>
      <c r="U1792" s="154" t="s">
        <v>60</v>
      </c>
      <c r="V1792" s="154" t="s">
        <v>60</v>
      </c>
      <c r="W1792" s="154" t="s">
        <v>60</v>
      </c>
      <c r="X1792" s="154" t="s">
        <v>60</v>
      </c>
      <c r="Y1792" s="154" t="s">
        <v>64</v>
      </c>
      <c r="Z1792" s="154" t="s">
        <v>64</v>
      </c>
      <c r="AA1792" s="154" t="s">
        <v>64</v>
      </c>
      <c r="AB1792" s="154"/>
      <c r="AC1792" s="242" t="b">
        <f t="shared" si="2"/>
        <v>1</v>
      </c>
      <c r="AD1792" s="154" t="s">
        <v>391</v>
      </c>
      <c r="AE1792" s="243" t="b">
        <f t="shared" si="3"/>
        <v>0</v>
      </c>
      <c r="AF1792" s="154"/>
      <c r="AG1792" s="243" t="b">
        <f t="shared" si="7"/>
        <v>0</v>
      </c>
      <c r="AH1792" s="154"/>
      <c r="AI1792" s="243" t="str">
        <f t="shared" si="5"/>
        <v>N/A</v>
      </c>
      <c r="AJ1792" s="157" t="str">
        <f t="shared" si="6"/>
        <v/>
      </c>
    </row>
    <row r="1793" ht="12.75" customHeight="1">
      <c r="A1793" s="244" t="s">
        <v>4158</v>
      </c>
      <c r="B1793" s="244" t="s">
        <v>4161</v>
      </c>
      <c r="C1793" s="244" t="s">
        <v>4587</v>
      </c>
      <c r="D1793" s="154" t="s">
        <v>422</v>
      </c>
      <c r="E1793" s="250"/>
      <c r="F1793" s="154" t="str">
        <f t="array" ref="F1793">XLOOKUP(Cover!$D$12,$S$1:$AA$1,$S1793:$AA1793)</f>
        <v>Mandatory</v>
      </c>
      <c r="G1793" s="154" t="s">
        <v>4588</v>
      </c>
      <c r="H1793" s="154" t="s">
        <v>4279</v>
      </c>
      <c r="I1793" s="154" t="s">
        <v>632</v>
      </c>
      <c r="J1793" s="247" t="s">
        <v>445</v>
      </c>
      <c r="K1793" s="247" t="s">
        <v>4589</v>
      </c>
      <c r="L1793" s="154" t="str">
        <f t="shared" si="1"/>
        <v/>
      </c>
      <c r="M1793" s="248" t="str">
        <f>IFERROR(__xludf.DUMMYFUNCTION("VLOOKUP(C1793,IMPORTRANGE(""https://docs.google.com/spreadsheets/d/1P8eX0NWBhUPS_hvzA11R6jkTNFrPrRYIx_dX_hYbxrk/edit?resourcekey=0-iw9bsKY2OqkUHCFMkCar3A&amp;gid=2055363397#gid=2055363397"",""MTR!C:O""),11,false)"),"PMW-IMS")</f>
        <v>PMW-IMS</v>
      </c>
      <c r="N1793" s="248" t="str">
        <f>IFERROR(__xludf.DUMMYFUNCTION("VLOOKUP(C1793,IMPORTRANGE(""https://docs.google.com/spreadsheets/d/1ihFlp3_ePlYtFuPbUNbYj1muErVpI73WHXbEwJDIA7Q/edit#gid=1493122344"",""MTR!C:O""),8,false)"),"Complies")</f>
        <v>Complies</v>
      </c>
      <c r="O1793" s="248" t="str">
        <f>IFERROR(__xludf.DUMMYFUNCTION("VLOOKUP(C1793,IMPORTRANGE(""https://docs.google.com/spreadsheets/d/1P8eX0NWBhUPS_hvzA11R6jkTNFrPrRYIx_dX_hYbxrk/edit?resourcekey=0-iw9bsKY2OqkUHCFMkCar3A&amp;gid=2055363397#gid=2055363397"",""MTR!C:O""),9,false)"),"Configured by CP")</f>
        <v>Configured by CP</v>
      </c>
      <c r="P1793" s="248"/>
      <c r="Q1793" s="249" t="s">
        <v>445</v>
      </c>
      <c r="R1793" s="249" t="s">
        <v>4589</v>
      </c>
      <c r="S1793" s="154" t="s">
        <v>60</v>
      </c>
      <c r="T1793" s="154" t="s">
        <v>60</v>
      </c>
      <c r="U1793" s="154" t="s">
        <v>60</v>
      </c>
      <c r="V1793" s="154" t="s">
        <v>60</v>
      </c>
      <c r="W1793" s="154" t="s">
        <v>60</v>
      </c>
      <c r="X1793" s="154" t="s">
        <v>60</v>
      </c>
      <c r="Y1793" s="154" t="s">
        <v>64</v>
      </c>
      <c r="Z1793" s="154" t="s">
        <v>64</v>
      </c>
      <c r="AA1793" s="154" t="s">
        <v>64</v>
      </c>
      <c r="AB1793" s="154"/>
      <c r="AC1793" s="242" t="b">
        <f t="shared" si="2"/>
        <v>1</v>
      </c>
      <c r="AD1793" s="154" t="s">
        <v>391</v>
      </c>
      <c r="AE1793" s="243" t="b">
        <f t="shared" si="3"/>
        <v>0</v>
      </c>
      <c r="AF1793" s="154"/>
      <c r="AG1793" s="243" t="b">
        <f t="shared" si="7"/>
        <v>0</v>
      </c>
      <c r="AH1793" s="154"/>
      <c r="AI1793" s="243" t="str">
        <f t="shared" si="5"/>
        <v>N/A</v>
      </c>
      <c r="AJ1793" s="157" t="str">
        <f t="shared" si="6"/>
        <v/>
      </c>
    </row>
    <row r="1794" ht="12.75" customHeight="1">
      <c r="A1794" s="244" t="s">
        <v>4158</v>
      </c>
      <c r="B1794" s="244" t="s">
        <v>4161</v>
      </c>
      <c r="C1794" s="244" t="s">
        <v>4590</v>
      </c>
      <c r="D1794" s="154" t="s">
        <v>1211</v>
      </c>
      <c r="E1794" s="250"/>
      <c r="F1794" s="154" t="str">
        <f t="array" ref="F1794">XLOOKUP(Cover!$D$12,$S$1:$AA$1,$S1794:$AA1794)</f>
        <v>Mandatory</v>
      </c>
      <c r="G1794" s="154" t="s">
        <v>4591</v>
      </c>
      <c r="H1794" s="154" t="s">
        <v>4279</v>
      </c>
      <c r="I1794" s="154" t="s">
        <v>632</v>
      </c>
      <c r="J1794" s="247" t="s">
        <v>445</v>
      </c>
      <c r="K1794" s="247"/>
      <c r="L1794" s="154" t="str">
        <f t="shared" si="1"/>
        <v/>
      </c>
      <c r="M1794" s="248" t="str">
        <f>IFERROR(__xludf.DUMMYFUNCTION("VLOOKUP(C1794,IMPORTRANGE(""https://docs.google.com/spreadsheets/d/1P8eX0NWBhUPS_hvzA11R6jkTNFrPrRYIx_dX_hYbxrk/edit?resourcekey=0-iw9bsKY2OqkUHCFMkCar3A&amp;gid=2055363397#gid=2055363397"",""MTR!C:O""),11,false)"),"PMW-IMS")</f>
        <v>PMW-IMS</v>
      </c>
      <c r="N1794" s="248" t="str">
        <f>IFERROR(__xludf.DUMMYFUNCTION("VLOOKUP(C1794,IMPORTRANGE(""https://docs.google.com/spreadsheets/d/1ihFlp3_ePlYtFuPbUNbYj1muErVpI73WHXbEwJDIA7Q/edit#gid=1493122344"",""MTR!C:O""),8,false)"),"Complies")</f>
        <v>Complies</v>
      </c>
      <c r="O1794" s="241" t="str">
        <f>IFERROR(__xludf.DUMMYFUNCTION("VLOOKUP(C1794,IMPORTRANGE(""https://docs.google.com/spreadsheets/d/1P8eX0NWBhUPS_hvzA11R6jkTNFrPrRYIx_dX_hYbxrk/edit?resourcekey=0-iw9bsKY2OqkUHCFMkCar3A&amp;gid=2055363397#gid=2055363397"",""MTR!C:O""),9,false)"),"")</f>
        <v/>
      </c>
      <c r="P1794" s="241"/>
      <c r="Q1794" s="251" t="s">
        <v>445</v>
      </c>
      <c r="R1794" s="251"/>
      <c r="S1794" s="154" t="s">
        <v>60</v>
      </c>
      <c r="T1794" s="154" t="s">
        <v>60</v>
      </c>
      <c r="U1794" s="154" t="s">
        <v>60</v>
      </c>
      <c r="V1794" s="154" t="s">
        <v>60</v>
      </c>
      <c r="W1794" s="154" t="s">
        <v>60</v>
      </c>
      <c r="X1794" s="154" t="s">
        <v>60</v>
      </c>
      <c r="Y1794" s="154" t="s">
        <v>64</v>
      </c>
      <c r="Z1794" s="154" t="s">
        <v>64</v>
      </c>
      <c r="AA1794" s="154" t="s">
        <v>64</v>
      </c>
      <c r="AB1794" s="154"/>
      <c r="AC1794" s="242" t="b">
        <f t="shared" si="2"/>
        <v>1</v>
      </c>
      <c r="AD1794" s="154" t="s">
        <v>391</v>
      </c>
      <c r="AE1794" s="243" t="b">
        <f t="shared" si="3"/>
        <v>0</v>
      </c>
      <c r="AF1794" s="154"/>
      <c r="AG1794" s="243" t="b">
        <f t="shared" si="7"/>
        <v>0</v>
      </c>
      <c r="AH1794" s="154"/>
      <c r="AI1794" s="243" t="str">
        <f t="shared" si="5"/>
        <v>N/A</v>
      </c>
      <c r="AJ1794" s="157" t="str">
        <f t="shared" si="6"/>
        <v/>
      </c>
    </row>
    <row r="1795" ht="12.75" customHeight="1">
      <c r="A1795" s="244" t="s">
        <v>4158</v>
      </c>
      <c r="B1795" s="244" t="s">
        <v>4161</v>
      </c>
      <c r="C1795" s="244" t="s">
        <v>4592</v>
      </c>
      <c r="D1795" s="154" t="s">
        <v>484</v>
      </c>
      <c r="E1795" s="250"/>
      <c r="F1795" s="154" t="str">
        <f t="array" ref="F1795">XLOOKUP(Cover!$D$12,$S$1:$AA$1,$S1795:$AA1795)</f>
        <v>Mandatory</v>
      </c>
      <c r="G1795" s="154" t="s">
        <v>4593</v>
      </c>
      <c r="H1795" s="154" t="s">
        <v>4279</v>
      </c>
      <c r="I1795" s="154" t="s">
        <v>632</v>
      </c>
      <c r="J1795" s="247" t="s">
        <v>445</v>
      </c>
      <c r="K1795" s="154"/>
      <c r="L1795" s="154" t="str">
        <f t="shared" si="1"/>
        <v/>
      </c>
      <c r="M1795" s="248" t="str">
        <f>IFERROR(__xludf.DUMMYFUNCTION("VLOOKUP(C1795,IMPORTRANGE(""https://docs.google.com/spreadsheets/d/1P8eX0NWBhUPS_hvzA11R6jkTNFrPrRYIx_dX_hYbxrk/edit?resourcekey=0-iw9bsKY2OqkUHCFMkCar3A&amp;gid=2055363397#gid=2055363397"",""MTR!C:O""),11,false)"),"PMW-IMS")</f>
        <v>PMW-IMS</v>
      </c>
      <c r="N1795" s="248" t="str">
        <f>IFERROR(__xludf.DUMMYFUNCTION("VLOOKUP(C1795,IMPORTRANGE(""https://docs.google.com/spreadsheets/d/1ihFlp3_ePlYtFuPbUNbYj1muErVpI73WHXbEwJDIA7Q/edit#gid=1493122344"",""MTR!C:O""),8,false)"),"Complies")</f>
        <v>Complies</v>
      </c>
      <c r="O1795" s="241" t="str">
        <f>IFERROR(__xludf.DUMMYFUNCTION("VLOOKUP(C1795,IMPORTRANGE(""https://docs.google.com/spreadsheets/d/1P8eX0NWBhUPS_hvzA11R6jkTNFrPrRYIx_dX_hYbxrk/edit?resourcekey=0-iw9bsKY2OqkUHCFMkCar3A&amp;gid=2055363397#gid=2055363397"",""MTR!C:O""),9,false)"),"")</f>
        <v/>
      </c>
      <c r="P1795" s="241"/>
      <c r="Q1795" s="251" t="s">
        <v>445</v>
      </c>
      <c r="R1795" s="241"/>
      <c r="S1795" s="154" t="s">
        <v>60</v>
      </c>
      <c r="T1795" s="154" t="s">
        <v>60</v>
      </c>
      <c r="U1795" s="154" t="s">
        <v>60</v>
      </c>
      <c r="V1795" s="154" t="s">
        <v>60</v>
      </c>
      <c r="W1795" s="154" t="s">
        <v>60</v>
      </c>
      <c r="X1795" s="154" t="s">
        <v>60</v>
      </c>
      <c r="Y1795" s="154" t="s">
        <v>64</v>
      </c>
      <c r="Z1795" s="154" t="s">
        <v>64</v>
      </c>
      <c r="AA1795" s="154" t="s">
        <v>64</v>
      </c>
      <c r="AB1795" s="154"/>
      <c r="AC1795" s="242" t="b">
        <f t="shared" si="2"/>
        <v>1</v>
      </c>
      <c r="AD1795" s="154" t="s">
        <v>391</v>
      </c>
      <c r="AE1795" s="243" t="b">
        <f t="shared" si="3"/>
        <v>0</v>
      </c>
      <c r="AF1795" s="154"/>
      <c r="AG1795" s="243" t="b">
        <f t="shared" si="7"/>
        <v>0</v>
      </c>
      <c r="AH1795" s="154"/>
      <c r="AI1795" s="243" t="str">
        <f t="shared" si="5"/>
        <v>N/A</v>
      </c>
      <c r="AJ1795" s="157" t="str">
        <f t="shared" si="6"/>
        <v/>
      </c>
    </row>
    <row r="1796" ht="12.75" customHeight="1">
      <c r="A1796" s="244" t="s">
        <v>4158</v>
      </c>
      <c r="B1796" s="244" t="s">
        <v>4161</v>
      </c>
      <c r="C1796" s="244" t="s">
        <v>4594</v>
      </c>
      <c r="D1796" s="154" t="s">
        <v>1211</v>
      </c>
      <c r="E1796" s="250"/>
      <c r="F1796" s="154" t="str">
        <f t="array" ref="F1796">XLOOKUP(Cover!$D$12,$S$1:$AA$1,$S1796:$AA1796)</f>
        <v>Recommended</v>
      </c>
      <c r="G1796" s="154" t="s">
        <v>4595</v>
      </c>
      <c r="H1796" s="154"/>
      <c r="I1796" s="154" t="s">
        <v>632</v>
      </c>
      <c r="J1796" s="247" t="s">
        <v>445</v>
      </c>
      <c r="K1796" s="154"/>
      <c r="L1796" s="154" t="str">
        <f t="shared" si="1"/>
        <v/>
      </c>
      <c r="M1796" s="248" t="str">
        <f>IFERROR(__xludf.DUMMYFUNCTION("VLOOKUP(C1796,IMPORTRANGE(""https://docs.google.com/spreadsheets/d/1P8eX0NWBhUPS_hvzA11R6jkTNFrPrRYIx_dX_hYbxrk/edit?resourcekey=0-iw9bsKY2OqkUHCFMkCar3A&amp;gid=2055363397#gid=2055363397"",""MTR!C:O""),11,false)"),"PMW-IMS")</f>
        <v>PMW-IMS</v>
      </c>
      <c r="N1796" s="248" t="str">
        <f>IFERROR(__xludf.DUMMYFUNCTION("VLOOKUP(C1796,IMPORTRANGE(""https://docs.google.com/spreadsheets/d/1ihFlp3_ePlYtFuPbUNbYj1muErVpI73WHXbEwJDIA7Q/edit#gid=1493122344"",""MTR!C:O""),8,false)"),"Complies")</f>
        <v>Complies</v>
      </c>
      <c r="O1796" s="241" t="str">
        <f>IFERROR(__xludf.DUMMYFUNCTION("VLOOKUP(C1796,IMPORTRANGE(""https://docs.google.com/spreadsheets/d/1P8eX0NWBhUPS_hvzA11R6jkTNFrPrRYIx_dX_hYbxrk/edit?resourcekey=0-iw9bsKY2OqkUHCFMkCar3A&amp;gid=2055363397#gid=2055363397"",""MTR!C:O""),9,false)"),"")</f>
        <v/>
      </c>
      <c r="P1796" s="241"/>
      <c r="Q1796" s="251" t="s">
        <v>445</v>
      </c>
      <c r="R1796" s="241"/>
      <c r="S1796" s="154" t="s">
        <v>64</v>
      </c>
      <c r="T1796" s="154" t="s">
        <v>64</v>
      </c>
      <c r="U1796" s="154" t="s">
        <v>64</v>
      </c>
      <c r="V1796" s="154" t="s">
        <v>64</v>
      </c>
      <c r="W1796" s="154" t="s">
        <v>64</v>
      </c>
      <c r="X1796" s="154" t="s">
        <v>64</v>
      </c>
      <c r="Y1796" s="154" t="s">
        <v>64</v>
      </c>
      <c r="Z1796" s="154" t="s">
        <v>64</v>
      </c>
      <c r="AA1796" s="154" t="s">
        <v>64</v>
      </c>
      <c r="AB1796" s="154"/>
      <c r="AC1796" s="242" t="b">
        <f t="shared" si="2"/>
        <v>1</v>
      </c>
      <c r="AD1796" s="154" t="s">
        <v>391</v>
      </c>
      <c r="AE1796" s="243" t="b">
        <f t="shared" si="3"/>
        <v>0</v>
      </c>
      <c r="AF1796" s="154"/>
      <c r="AG1796" s="243" t="b">
        <f t="shared" si="7"/>
        <v>0</v>
      </c>
      <c r="AH1796" s="154"/>
      <c r="AI1796" s="243" t="str">
        <f t="shared" si="5"/>
        <v>N/A</v>
      </c>
      <c r="AJ1796" s="157" t="str">
        <f t="shared" si="6"/>
        <v/>
      </c>
    </row>
    <row r="1797" ht="12.75" customHeight="1">
      <c r="A1797" s="244" t="s">
        <v>4158</v>
      </c>
      <c r="B1797" s="244" t="s">
        <v>4161</v>
      </c>
      <c r="C1797" s="244" t="s">
        <v>4596</v>
      </c>
      <c r="D1797" s="154" t="s">
        <v>484</v>
      </c>
      <c r="E1797" s="250"/>
      <c r="F1797" s="154" t="str">
        <f t="array" ref="F1797">XLOOKUP(Cover!$D$12,$S$1:$AA$1,$S1797:$AA1797)</f>
        <v>Recommended</v>
      </c>
      <c r="G1797" s="154" t="s">
        <v>4597</v>
      </c>
      <c r="H1797" s="154"/>
      <c r="I1797" s="154" t="s">
        <v>632</v>
      </c>
      <c r="J1797" s="247" t="s">
        <v>445</v>
      </c>
      <c r="K1797" s="154"/>
      <c r="L1797" s="154" t="str">
        <f t="shared" si="1"/>
        <v/>
      </c>
      <c r="M1797" s="248" t="str">
        <f>IFERROR(__xludf.DUMMYFUNCTION("VLOOKUP(C1797,IMPORTRANGE(""https://docs.google.com/spreadsheets/d/1P8eX0NWBhUPS_hvzA11R6jkTNFrPrRYIx_dX_hYbxrk/edit?resourcekey=0-iw9bsKY2OqkUHCFMkCar3A&amp;gid=2055363397#gid=2055363397"",""MTR!C:O""),11,false)"),"PMW-IMS")</f>
        <v>PMW-IMS</v>
      </c>
      <c r="N1797" s="248" t="str">
        <f>IFERROR(__xludf.DUMMYFUNCTION("VLOOKUP(C1797,IMPORTRANGE(""https://docs.google.com/spreadsheets/d/1ihFlp3_ePlYtFuPbUNbYj1muErVpI73WHXbEwJDIA7Q/edit#gid=1493122344"",""MTR!C:O""),8,false)"),"Complies")</f>
        <v>Complies</v>
      </c>
      <c r="O1797" s="241" t="str">
        <f>IFERROR(__xludf.DUMMYFUNCTION("VLOOKUP(C1797,IMPORTRANGE(""https://docs.google.com/spreadsheets/d/1P8eX0NWBhUPS_hvzA11R6jkTNFrPrRYIx_dX_hYbxrk/edit?resourcekey=0-iw9bsKY2OqkUHCFMkCar3A&amp;gid=2055363397#gid=2055363397"",""MTR!C:O""),9,false)"),"")</f>
        <v/>
      </c>
      <c r="P1797" s="241"/>
      <c r="Q1797" s="251" t="s">
        <v>445</v>
      </c>
      <c r="R1797" s="241"/>
      <c r="S1797" s="154" t="s">
        <v>64</v>
      </c>
      <c r="T1797" s="154" t="s">
        <v>64</v>
      </c>
      <c r="U1797" s="154" t="s">
        <v>64</v>
      </c>
      <c r="V1797" s="154" t="s">
        <v>64</v>
      </c>
      <c r="W1797" s="154" t="s">
        <v>64</v>
      </c>
      <c r="X1797" s="154" t="s">
        <v>64</v>
      </c>
      <c r="Y1797" s="154" t="s">
        <v>64</v>
      </c>
      <c r="Z1797" s="154" t="s">
        <v>64</v>
      </c>
      <c r="AA1797" s="154" t="s">
        <v>64</v>
      </c>
      <c r="AB1797" s="154"/>
      <c r="AC1797" s="242" t="b">
        <f t="shared" si="2"/>
        <v>1</v>
      </c>
      <c r="AD1797" s="154" t="s">
        <v>391</v>
      </c>
      <c r="AE1797" s="243" t="b">
        <f t="shared" si="3"/>
        <v>0</v>
      </c>
      <c r="AF1797" s="154"/>
      <c r="AG1797" s="243" t="b">
        <f t="shared" si="7"/>
        <v>0</v>
      </c>
      <c r="AH1797" s="154"/>
      <c r="AI1797" s="243" t="str">
        <f t="shared" si="5"/>
        <v>N/A</v>
      </c>
      <c r="AJ1797" s="157" t="str">
        <f t="shared" si="6"/>
        <v/>
      </c>
    </row>
    <row r="1798" ht="12.75" customHeight="1">
      <c r="A1798" s="244" t="s">
        <v>4158</v>
      </c>
      <c r="B1798" s="244" t="s">
        <v>4161</v>
      </c>
      <c r="C1798" s="244" t="s">
        <v>4598</v>
      </c>
      <c r="D1798" s="154" t="s">
        <v>484</v>
      </c>
      <c r="E1798" s="250"/>
      <c r="F1798" s="154" t="str">
        <f t="array" ref="F1798">XLOOKUP(Cover!$D$12,$S$1:$AA$1,$S1798:$AA1798)</f>
        <v>Mandatory</v>
      </c>
      <c r="G1798" s="154" t="s">
        <v>4599</v>
      </c>
      <c r="H1798" s="154" t="s">
        <v>4279</v>
      </c>
      <c r="I1798" s="154" t="s">
        <v>632</v>
      </c>
      <c r="J1798" s="247" t="s">
        <v>445</v>
      </c>
      <c r="K1798" s="154"/>
      <c r="L1798" s="154" t="str">
        <f t="shared" si="1"/>
        <v/>
      </c>
      <c r="M1798" s="248" t="str">
        <f>IFERROR(__xludf.DUMMYFUNCTION("VLOOKUP(C1798,IMPORTRANGE(""https://docs.google.com/spreadsheets/d/1P8eX0NWBhUPS_hvzA11R6jkTNFrPrRYIx_dX_hYbxrk/edit?resourcekey=0-iw9bsKY2OqkUHCFMkCar3A&amp;gid=2055363397#gid=2055363397"",""MTR!C:O""),11,false)"),"PMW-IMS")</f>
        <v>PMW-IMS</v>
      </c>
      <c r="N1798" s="248" t="str">
        <f>IFERROR(__xludf.DUMMYFUNCTION("VLOOKUP(C1798,IMPORTRANGE(""https://docs.google.com/spreadsheets/d/1ihFlp3_ePlYtFuPbUNbYj1muErVpI73WHXbEwJDIA7Q/edit#gid=1493122344"",""MTR!C:O""),8,false)"),"Complies")</f>
        <v>Complies</v>
      </c>
      <c r="O1798" s="241" t="str">
        <f>IFERROR(__xludf.DUMMYFUNCTION("VLOOKUP(C1798,IMPORTRANGE(""https://docs.google.com/spreadsheets/d/1P8eX0NWBhUPS_hvzA11R6jkTNFrPrRYIx_dX_hYbxrk/edit?resourcekey=0-iw9bsKY2OqkUHCFMkCar3A&amp;gid=2055363397#gid=2055363397"",""MTR!C:O""),9,false)"),"")</f>
        <v/>
      </c>
      <c r="P1798" s="241"/>
      <c r="Q1798" s="251" t="s">
        <v>445</v>
      </c>
      <c r="R1798" s="241"/>
      <c r="S1798" s="154" t="s">
        <v>60</v>
      </c>
      <c r="T1798" s="154" t="s">
        <v>60</v>
      </c>
      <c r="U1798" s="154" t="s">
        <v>60</v>
      </c>
      <c r="V1798" s="154" t="s">
        <v>60</v>
      </c>
      <c r="W1798" s="154" t="s">
        <v>60</v>
      </c>
      <c r="X1798" s="154" t="s">
        <v>60</v>
      </c>
      <c r="Y1798" s="154" t="s">
        <v>64</v>
      </c>
      <c r="Z1798" s="154" t="s">
        <v>64</v>
      </c>
      <c r="AA1798" s="154" t="s">
        <v>64</v>
      </c>
      <c r="AB1798" s="154"/>
      <c r="AC1798" s="242" t="b">
        <f t="shared" si="2"/>
        <v>1</v>
      </c>
      <c r="AD1798" s="154" t="s">
        <v>391</v>
      </c>
      <c r="AE1798" s="243" t="b">
        <f t="shared" si="3"/>
        <v>0</v>
      </c>
      <c r="AF1798" s="154"/>
      <c r="AG1798" s="243" t="b">
        <f t="shared" si="7"/>
        <v>0</v>
      </c>
      <c r="AH1798" s="154"/>
      <c r="AI1798" s="243" t="str">
        <f t="shared" si="5"/>
        <v>N/A</v>
      </c>
      <c r="AJ1798" s="157" t="str">
        <f t="shared" si="6"/>
        <v/>
      </c>
    </row>
    <row r="1799" ht="12.75" customHeight="1">
      <c r="A1799" s="244" t="s">
        <v>4158</v>
      </c>
      <c r="B1799" s="244" t="s">
        <v>4161</v>
      </c>
      <c r="C1799" s="244" t="s">
        <v>4600</v>
      </c>
      <c r="D1799" s="154" t="s">
        <v>747</v>
      </c>
      <c r="E1799" s="250"/>
      <c r="F1799" s="154" t="str">
        <f t="array" ref="F1799">XLOOKUP(Cover!$D$12,$S$1:$AA$1,$S1799:$AA1799)</f>
        <v>Mandatory</v>
      </c>
      <c r="G1799" s="154" t="s">
        <v>4601</v>
      </c>
      <c r="H1799" s="154" t="s">
        <v>4279</v>
      </c>
      <c r="I1799" s="154" t="s">
        <v>632</v>
      </c>
      <c r="J1799" s="247" t="s">
        <v>445</v>
      </c>
      <c r="K1799" s="154"/>
      <c r="L1799" s="154" t="str">
        <f t="shared" si="1"/>
        <v/>
      </c>
      <c r="M1799" s="248" t="str">
        <f>IFERROR(__xludf.DUMMYFUNCTION("VLOOKUP(C1799,IMPORTRANGE(""https://docs.google.com/spreadsheets/d/1P8eX0NWBhUPS_hvzA11R6jkTNFrPrRYIx_dX_hYbxrk/edit?resourcekey=0-iw9bsKY2OqkUHCFMkCar3A&amp;gid=2055363397#gid=2055363397"",""MTR!C:O""),11,false)"),"PMW-IMS")</f>
        <v>PMW-IMS</v>
      </c>
      <c r="N1799" s="248" t="str">
        <f>IFERROR(__xludf.DUMMYFUNCTION("VLOOKUP(C1799,IMPORTRANGE(""https://docs.google.com/spreadsheets/d/1ihFlp3_ePlYtFuPbUNbYj1muErVpI73WHXbEwJDIA7Q/edit#gid=1493122344"",""MTR!C:O""),8,false)"),"Complies")</f>
        <v>Complies</v>
      </c>
      <c r="O1799" s="241" t="str">
        <f>IFERROR(__xludf.DUMMYFUNCTION("VLOOKUP(C1799,IMPORTRANGE(""https://docs.google.com/spreadsheets/d/1P8eX0NWBhUPS_hvzA11R6jkTNFrPrRYIx_dX_hYbxrk/edit?resourcekey=0-iw9bsKY2OqkUHCFMkCar3A&amp;gid=2055363397#gid=2055363397"",""MTR!C:O""),9,false)"),"")</f>
        <v/>
      </c>
      <c r="P1799" s="241"/>
      <c r="Q1799" s="251" t="s">
        <v>445</v>
      </c>
      <c r="R1799" s="241"/>
      <c r="S1799" s="154" t="s">
        <v>60</v>
      </c>
      <c r="T1799" s="154" t="s">
        <v>60</v>
      </c>
      <c r="U1799" s="154" t="s">
        <v>60</v>
      </c>
      <c r="V1799" s="154" t="s">
        <v>60</v>
      </c>
      <c r="W1799" s="154" t="s">
        <v>60</v>
      </c>
      <c r="X1799" s="154" t="s">
        <v>60</v>
      </c>
      <c r="Y1799" s="154" t="s">
        <v>64</v>
      </c>
      <c r="Z1799" s="154" t="s">
        <v>64</v>
      </c>
      <c r="AA1799" s="154" t="s">
        <v>64</v>
      </c>
      <c r="AB1799" s="154"/>
      <c r="AC1799" s="242" t="b">
        <f t="shared" si="2"/>
        <v>1</v>
      </c>
      <c r="AD1799" s="154" t="s">
        <v>391</v>
      </c>
      <c r="AE1799" s="243" t="b">
        <f t="shared" si="3"/>
        <v>0</v>
      </c>
      <c r="AF1799" s="154"/>
      <c r="AG1799" s="243" t="b">
        <f t="shared" si="7"/>
        <v>0</v>
      </c>
      <c r="AH1799" s="154"/>
      <c r="AI1799" s="243" t="str">
        <f t="shared" si="5"/>
        <v>N/A</v>
      </c>
      <c r="AJ1799" s="157" t="str">
        <f t="shared" si="6"/>
        <v/>
      </c>
    </row>
    <row r="1800" ht="12.75" customHeight="1">
      <c r="A1800" s="244" t="s">
        <v>4158</v>
      </c>
      <c r="B1800" s="244" t="s">
        <v>4161</v>
      </c>
      <c r="C1800" s="244" t="s">
        <v>4602</v>
      </c>
      <c r="D1800" s="154" t="s">
        <v>503</v>
      </c>
      <c r="E1800" s="250" t="s">
        <v>489</v>
      </c>
      <c r="F1800" s="154" t="str">
        <f t="array" ref="F1800">XLOOKUP(Cover!$D$12,$S$1:$AA$1,$S1800:$AA1800)</f>
        <v>Mandatory</v>
      </c>
      <c r="G1800" s="154" t="s">
        <v>4603</v>
      </c>
      <c r="H1800" s="154" t="s">
        <v>4279</v>
      </c>
      <c r="I1800" s="154" t="s">
        <v>632</v>
      </c>
      <c r="J1800" s="247"/>
      <c r="K1800" s="154"/>
      <c r="L1800" s="154" t="str">
        <f t="shared" si="1"/>
        <v>Compliance Statement missing!</v>
      </c>
      <c r="M1800" s="253" t="str">
        <f>IFERROR(__xludf.DUMMYFUNCTION("VLOOKUP(C1800,IMPORTRANGE(""https://docs.google.com/spreadsheets/d/1P8eX0NWBhUPS_hvzA11R6jkTNFrPrRYIx_dX_hYbxrk/edit?resourcekey=0-iw9bsKY2OqkUHCFMkCar3A&amp;gid=2055363397#gid=2055363397"",""MTR!C:O""),11,false)"),"#N/A")</f>
        <v>#N/A</v>
      </c>
      <c r="N1800" s="253" t="str">
        <f>IFERROR(__xludf.DUMMYFUNCTION("VLOOKUP(C1800,IMPORTRANGE(""https://docs.google.com/spreadsheets/d/1ihFlp3_ePlYtFuPbUNbYj1muErVpI73WHXbEwJDIA7Q/edit#gid=1493122344"",""MTR!C:O""),8,false)"),"#N/A")</f>
        <v>#N/A</v>
      </c>
      <c r="O1800" s="253" t="str">
        <f>IFERROR(__xludf.DUMMYFUNCTION("VLOOKUP(C1800,IMPORTRANGE(""https://docs.google.com/spreadsheets/d/1P8eX0NWBhUPS_hvzA11R6jkTNFrPrRYIx_dX_hYbxrk/edit?resourcekey=0-iw9bsKY2OqkUHCFMkCar3A&amp;gid=2055363397#gid=2055363397"",""MTR!C:O""),9,false)"),"#N/A")</f>
        <v>#N/A</v>
      </c>
      <c r="P1800" s="253"/>
      <c r="Q1800" s="259"/>
      <c r="R1800" s="253"/>
      <c r="S1800" s="154" t="s">
        <v>60</v>
      </c>
      <c r="T1800" s="154" t="s">
        <v>60</v>
      </c>
      <c r="U1800" s="154" t="s">
        <v>60</v>
      </c>
      <c r="V1800" s="154" t="s">
        <v>60</v>
      </c>
      <c r="W1800" s="154" t="s">
        <v>60</v>
      </c>
      <c r="X1800" s="154" t="s">
        <v>60</v>
      </c>
      <c r="Y1800" s="154" t="s">
        <v>64</v>
      </c>
      <c r="Z1800" s="154" t="s">
        <v>64</v>
      </c>
      <c r="AA1800" s="154" t="s">
        <v>64</v>
      </c>
      <c r="AB1800" s="154"/>
      <c r="AC1800" s="242" t="b">
        <f t="shared" si="2"/>
        <v>0</v>
      </c>
      <c r="AD1800" s="154" t="s">
        <v>391</v>
      </c>
      <c r="AE1800" s="243" t="b">
        <f t="shared" si="3"/>
        <v>0</v>
      </c>
      <c r="AF1800" s="154"/>
      <c r="AG1800" s="243" t="b">
        <f t="shared" si="7"/>
        <v>0</v>
      </c>
      <c r="AH1800" s="154"/>
      <c r="AI1800" s="243" t="str">
        <f t="shared" si="5"/>
        <v>N/A</v>
      </c>
      <c r="AJ1800" s="157" t="str">
        <f t="shared" si="6"/>
        <v>Compliance Statement missing!</v>
      </c>
    </row>
    <row r="1801" ht="12.75" customHeight="1">
      <c r="A1801" s="238" t="s">
        <v>4158</v>
      </c>
      <c r="B1801" s="238" t="s">
        <v>4161</v>
      </c>
      <c r="C1801" s="238" t="s">
        <v>4604</v>
      </c>
      <c r="D1801" s="238"/>
      <c r="E1801" s="238"/>
      <c r="F1801" s="154" t="str">
        <f t="array" ref="F1801">XLOOKUP(Cover!$D$12,$S$1:$AA$1,$S1801:$AA1801)</f>
        <v>Heading</v>
      </c>
      <c r="G1801" s="239" t="s">
        <v>4605</v>
      </c>
      <c r="H1801" s="240"/>
      <c r="I1801" s="240" t="s">
        <v>632</v>
      </c>
      <c r="J1801" s="240"/>
      <c r="K1801" s="240"/>
      <c r="L1801" s="154" t="str">
        <f t="shared" si="1"/>
        <v/>
      </c>
      <c r="M1801" s="241" t="str">
        <f>IFERROR(__xludf.DUMMYFUNCTION("VLOOKUP(C1801,IMPORTRANGE(""https://docs.google.com/spreadsheets/d/1P8eX0NWBhUPS_hvzA11R6jkTNFrPrRYIx_dX_hYbxrk/edit?resourcekey=0-iw9bsKY2OqkUHCFMkCar3A&amp;gid=2055363397#gid=2055363397"",""MTR!C:O""),11,false)"),"")</f>
        <v/>
      </c>
      <c r="N1801" s="241" t="str">
        <f>IFERROR(__xludf.DUMMYFUNCTION("VLOOKUP(C1801,IMPORTRANGE(""https://docs.google.com/spreadsheets/d/1ihFlp3_ePlYtFuPbUNbYj1muErVpI73WHXbEwJDIA7Q/edit#gid=1493122344"",""MTR!C:O""),8,false)"),"")</f>
        <v/>
      </c>
      <c r="O1801" s="241" t="str">
        <f>IFERROR(__xludf.DUMMYFUNCTION("VLOOKUP(C1801,IMPORTRANGE(""https://docs.google.com/spreadsheets/d/1P8eX0NWBhUPS_hvzA11R6jkTNFrPrRYIx_dX_hYbxrk/edit?resourcekey=0-iw9bsKY2OqkUHCFMkCar3A&amp;gid=2055363397#gid=2055363397"",""MTR!C:O""),9,false)"),"")</f>
        <v/>
      </c>
      <c r="P1801" s="241"/>
      <c r="Q1801" s="241"/>
      <c r="R1801" s="241"/>
      <c r="S1801" s="240" t="s">
        <v>390</v>
      </c>
      <c r="T1801" s="240" t="s">
        <v>390</v>
      </c>
      <c r="U1801" s="240" t="s">
        <v>390</v>
      </c>
      <c r="V1801" s="240" t="s">
        <v>390</v>
      </c>
      <c r="W1801" s="240" t="s">
        <v>390</v>
      </c>
      <c r="X1801" s="240" t="s">
        <v>390</v>
      </c>
      <c r="Y1801" s="240" t="s">
        <v>390</v>
      </c>
      <c r="Z1801" s="240" t="s">
        <v>390</v>
      </c>
      <c r="AA1801" s="240" t="s">
        <v>390</v>
      </c>
      <c r="AB1801" s="240"/>
      <c r="AC1801" s="242" t="b">
        <f t="shared" si="2"/>
        <v>0</v>
      </c>
      <c r="AD1801" s="240" t="s">
        <v>391</v>
      </c>
      <c r="AE1801" s="243" t="b">
        <f t="shared" si="3"/>
        <v>0</v>
      </c>
      <c r="AF1801" s="240"/>
      <c r="AG1801" s="243" t="b">
        <f t="shared" si="7"/>
        <v>0</v>
      </c>
      <c r="AH1801" s="240"/>
      <c r="AI1801" s="243" t="str">
        <f t="shared" si="5"/>
        <v>N/A</v>
      </c>
      <c r="AJ1801" s="157" t="str">
        <f t="shared" si="6"/>
        <v/>
      </c>
    </row>
    <row r="1802" ht="12.75" customHeight="1">
      <c r="A1802" s="244" t="s">
        <v>4158</v>
      </c>
      <c r="B1802" s="244" t="s">
        <v>4161</v>
      </c>
      <c r="C1802" s="244" t="s">
        <v>4606</v>
      </c>
      <c r="D1802" s="154" t="s">
        <v>492</v>
      </c>
      <c r="E1802" s="250"/>
      <c r="F1802" s="154" t="str">
        <f t="array" ref="F1802">XLOOKUP(Cover!$D$12,$S$1:$AA$1,$S1802:$AA1802)</f>
        <v>Mandatory</v>
      </c>
      <c r="G1802" s="154" t="s">
        <v>4607</v>
      </c>
      <c r="H1802" s="154" t="s">
        <v>4279</v>
      </c>
      <c r="I1802" s="154" t="s">
        <v>632</v>
      </c>
      <c r="J1802" s="154" t="s">
        <v>445</v>
      </c>
      <c r="K1802" s="154"/>
      <c r="L1802" s="154" t="str">
        <f t="shared" si="1"/>
        <v/>
      </c>
      <c r="M1802" s="248" t="str">
        <f>IFERROR(__xludf.DUMMYFUNCTION("VLOOKUP(C1802,IMPORTRANGE(""https://docs.google.com/spreadsheets/d/1P8eX0NWBhUPS_hvzA11R6jkTNFrPrRYIx_dX_hYbxrk/edit?resourcekey=0-iw9bsKY2OqkUHCFMkCar3A&amp;gid=2055363397#gid=2055363397"",""MTR!C:O""),11,false)"),"PMW-IMS")</f>
        <v>PMW-IMS</v>
      </c>
      <c r="N1802" s="248" t="str">
        <f>IFERROR(__xludf.DUMMYFUNCTION("VLOOKUP(C1802,IMPORTRANGE(""https://docs.google.com/spreadsheets/d/1ihFlp3_ePlYtFuPbUNbYj1muErVpI73WHXbEwJDIA7Q/edit#gid=1493122344"",""MTR!C:O""),8,false)"),"Complies")</f>
        <v>Complies</v>
      </c>
      <c r="O1802" s="241" t="str">
        <f>IFERROR(__xludf.DUMMYFUNCTION("VLOOKUP(C1802,IMPORTRANGE(""https://docs.google.com/spreadsheets/d/1P8eX0NWBhUPS_hvzA11R6jkTNFrPrRYIx_dX_hYbxrk/edit?resourcekey=0-iw9bsKY2OqkUHCFMkCar3A&amp;gid=2055363397#gid=2055363397"",""MTR!C:O""),9,false)"),"")</f>
        <v/>
      </c>
      <c r="P1802" s="241"/>
      <c r="Q1802" s="251" t="s">
        <v>445</v>
      </c>
      <c r="R1802" s="241"/>
      <c r="S1802" s="154" t="s">
        <v>60</v>
      </c>
      <c r="T1802" s="154" t="s">
        <v>60</v>
      </c>
      <c r="U1802" s="154" t="s">
        <v>60</v>
      </c>
      <c r="V1802" s="154" t="s">
        <v>60</v>
      </c>
      <c r="W1802" s="154" t="s">
        <v>60</v>
      </c>
      <c r="X1802" s="154" t="s">
        <v>60</v>
      </c>
      <c r="Y1802" s="154" t="s">
        <v>64</v>
      </c>
      <c r="Z1802" s="154" t="s">
        <v>64</v>
      </c>
      <c r="AA1802" s="154" t="s">
        <v>64</v>
      </c>
      <c r="AB1802" s="154"/>
      <c r="AC1802" s="242" t="b">
        <f t="shared" si="2"/>
        <v>1</v>
      </c>
      <c r="AD1802" s="154" t="s">
        <v>391</v>
      </c>
      <c r="AE1802" s="243" t="b">
        <f t="shared" si="3"/>
        <v>0</v>
      </c>
      <c r="AF1802" s="154"/>
      <c r="AG1802" s="243" t="b">
        <f t="shared" si="7"/>
        <v>0</v>
      </c>
      <c r="AH1802" s="154"/>
      <c r="AI1802" s="243" t="str">
        <f t="shared" si="5"/>
        <v>N/A</v>
      </c>
      <c r="AJ1802" s="157" t="str">
        <f t="shared" si="6"/>
        <v/>
      </c>
    </row>
    <row r="1803" ht="12.75" customHeight="1">
      <c r="A1803" s="244" t="s">
        <v>4158</v>
      </c>
      <c r="B1803" s="244" t="s">
        <v>4161</v>
      </c>
      <c r="C1803" s="244" t="s">
        <v>4608</v>
      </c>
      <c r="D1803" s="154" t="s">
        <v>1315</v>
      </c>
      <c r="E1803" s="250"/>
      <c r="F1803" s="154" t="str">
        <f t="array" ref="F1803">XLOOKUP(Cover!$D$12,$S$1:$AA$1,$S1803:$AA1803)</f>
        <v>Mandatory</v>
      </c>
      <c r="G1803" s="154" t="s">
        <v>4609</v>
      </c>
      <c r="H1803" s="154" t="s">
        <v>4279</v>
      </c>
      <c r="I1803" s="154" t="s">
        <v>632</v>
      </c>
      <c r="J1803" s="247" t="s">
        <v>445</v>
      </c>
      <c r="K1803" s="154"/>
      <c r="L1803" s="154" t="str">
        <f t="shared" si="1"/>
        <v/>
      </c>
      <c r="M1803" s="248" t="str">
        <f>IFERROR(__xludf.DUMMYFUNCTION("VLOOKUP(C1803,IMPORTRANGE(""https://docs.google.com/spreadsheets/d/1P8eX0NWBhUPS_hvzA11R6jkTNFrPrRYIx_dX_hYbxrk/edit?resourcekey=0-iw9bsKY2OqkUHCFMkCar3A&amp;gid=2055363397#gid=2055363397"",""MTR!C:O""),11,false)"),"PMW-IMS")</f>
        <v>PMW-IMS</v>
      </c>
      <c r="N1803" s="248" t="str">
        <f>IFERROR(__xludf.DUMMYFUNCTION("VLOOKUP(C1803,IMPORTRANGE(""https://docs.google.com/spreadsheets/d/1ihFlp3_ePlYtFuPbUNbYj1muErVpI73WHXbEwJDIA7Q/edit#gid=1493122344"",""MTR!C:O""),8,false)"),"Complies")</f>
        <v>Complies</v>
      </c>
      <c r="O1803" s="241" t="str">
        <f>IFERROR(__xludf.DUMMYFUNCTION("VLOOKUP(C1803,IMPORTRANGE(""https://docs.google.com/spreadsheets/d/1P8eX0NWBhUPS_hvzA11R6jkTNFrPrRYIx_dX_hYbxrk/edit?resourcekey=0-iw9bsKY2OqkUHCFMkCar3A&amp;gid=2055363397#gid=2055363397"",""MTR!C:O""),9,false)"),"")</f>
        <v/>
      </c>
      <c r="P1803" s="241"/>
      <c r="Q1803" s="251" t="s">
        <v>445</v>
      </c>
      <c r="R1803" s="241"/>
      <c r="S1803" s="154" t="s">
        <v>60</v>
      </c>
      <c r="T1803" s="154" t="s">
        <v>60</v>
      </c>
      <c r="U1803" s="154" t="s">
        <v>60</v>
      </c>
      <c r="V1803" s="154" t="s">
        <v>60</v>
      </c>
      <c r="W1803" s="154" t="s">
        <v>60</v>
      </c>
      <c r="X1803" s="154" t="s">
        <v>60</v>
      </c>
      <c r="Y1803" s="154" t="s">
        <v>64</v>
      </c>
      <c r="Z1803" s="154" t="s">
        <v>64</v>
      </c>
      <c r="AA1803" s="154" t="s">
        <v>64</v>
      </c>
      <c r="AB1803" s="154"/>
      <c r="AC1803" s="242" t="b">
        <f t="shared" si="2"/>
        <v>1</v>
      </c>
      <c r="AD1803" s="154" t="s">
        <v>391</v>
      </c>
      <c r="AE1803" s="243" t="b">
        <f t="shared" si="3"/>
        <v>0</v>
      </c>
      <c r="AF1803" s="154"/>
      <c r="AG1803" s="243" t="b">
        <f t="shared" si="7"/>
        <v>0</v>
      </c>
      <c r="AH1803" s="154"/>
      <c r="AI1803" s="243" t="str">
        <f t="shared" si="5"/>
        <v>N/A</v>
      </c>
      <c r="AJ1803" s="157" t="str">
        <f t="shared" si="6"/>
        <v/>
      </c>
    </row>
    <row r="1804" ht="12.75" customHeight="1">
      <c r="A1804" s="244" t="s">
        <v>4158</v>
      </c>
      <c r="B1804" s="244" t="s">
        <v>4161</v>
      </c>
      <c r="C1804" s="244" t="s">
        <v>4610</v>
      </c>
      <c r="D1804" s="154" t="s">
        <v>1315</v>
      </c>
      <c r="E1804" s="250"/>
      <c r="F1804" s="154" t="str">
        <f t="array" ref="F1804">XLOOKUP(Cover!$D$12,$S$1:$AA$1,$S1804:$AA1804)</f>
        <v>Mandatory</v>
      </c>
      <c r="G1804" s="154" t="s">
        <v>4611</v>
      </c>
      <c r="H1804" s="154" t="s">
        <v>4279</v>
      </c>
      <c r="I1804" s="154" t="s">
        <v>632</v>
      </c>
      <c r="J1804" s="247" t="s">
        <v>445</v>
      </c>
      <c r="K1804" s="154"/>
      <c r="L1804" s="154" t="str">
        <f t="shared" si="1"/>
        <v/>
      </c>
      <c r="M1804" s="248" t="str">
        <f>IFERROR(__xludf.DUMMYFUNCTION("VLOOKUP(C1804,IMPORTRANGE(""https://docs.google.com/spreadsheets/d/1P8eX0NWBhUPS_hvzA11R6jkTNFrPrRYIx_dX_hYbxrk/edit?resourcekey=0-iw9bsKY2OqkUHCFMkCar3A&amp;gid=2055363397#gid=2055363397"",""MTR!C:O""),11,false)"),"PMW-IMS")</f>
        <v>PMW-IMS</v>
      </c>
      <c r="N1804" s="248" t="str">
        <f>IFERROR(__xludf.DUMMYFUNCTION("VLOOKUP(C1804,IMPORTRANGE(""https://docs.google.com/spreadsheets/d/1ihFlp3_ePlYtFuPbUNbYj1muErVpI73WHXbEwJDIA7Q/edit#gid=1493122344"",""MTR!C:O""),8,false)"),"Complies")</f>
        <v>Complies</v>
      </c>
      <c r="O1804" s="241" t="str">
        <f>IFERROR(__xludf.DUMMYFUNCTION("VLOOKUP(C1804,IMPORTRANGE(""https://docs.google.com/spreadsheets/d/1P8eX0NWBhUPS_hvzA11R6jkTNFrPrRYIx_dX_hYbxrk/edit?resourcekey=0-iw9bsKY2OqkUHCFMkCar3A&amp;gid=2055363397#gid=2055363397"",""MTR!C:O""),9,false)"),"")</f>
        <v/>
      </c>
      <c r="P1804" s="241"/>
      <c r="Q1804" s="251" t="s">
        <v>445</v>
      </c>
      <c r="R1804" s="241"/>
      <c r="S1804" s="154" t="s">
        <v>60</v>
      </c>
      <c r="T1804" s="154" t="s">
        <v>60</v>
      </c>
      <c r="U1804" s="154" t="s">
        <v>60</v>
      </c>
      <c r="V1804" s="154" t="s">
        <v>60</v>
      </c>
      <c r="W1804" s="154" t="s">
        <v>60</v>
      </c>
      <c r="X1804" s="154" t="s">
        <v>60</v>
      </c>
      <c r="Y1804" s="154" t="s">
        <v>64</v>
      </c>
      <c r="Z1804" s="154" t="s">
        <v>64</v>
      </c>
      <c r="AA1804" s="154" t="s">
        <v>64</v>
      </c>
      <c r="AB1804" s="154"/>
      <c r="AC1804" s="242" t="b">
        <f t="shared" si="2"/>
        <v>1</v>
      </c>
      <c r="AD1804" s="154" t="s">
        <v>391</v>
      </c>
      <c r="AE1804" s="243" t="b">
        <f t="shared" si="3"/>
        <v>0</v>
      </c>
      <c r="AF1804" s="154"/>
      <c r="AG1804" s="243" t="b">
        <f t="shared" si="7"/>
        <v>0</v>
      </c>
      <c r="AH1804" s="154"/>
      <c r="AI1804" s="243" t="str">
        <f t="shared" si="5"/>
        <v>N/A</v>
      </c>
      <c r="AJ1804" s="157" t="str">
        <f t="shared" si="6"/>
        <v/>
      </c>
    </row>
    <row r="1805" ht="12.75" customHeight="1">
      <c r="A1805" s="244" t="s">
        <v>4158</v>
      </c>
      <c r="B1805" s="244" t="s">
        <v>4161</v>
      </c>
      <c r="C1805" s="244" t="s">
        <v>4612</v>
      </c>
      <c r="D1805" s="154" t="s">
        <v>747</v>
      </c>
      <c r="E1805" s="250"/>
      <c r="F1805" s="154" t="str">
        <f t="array" ref="F1805">XLOOKUP(Cover!$D$12,$S$1:$AA$1,$S1805:$AA1805)</f>
        <v>Mandatory</v>
      </c>
      <c r="G1805" s="154" t="s">
        <v>4613</v>
      </c>
      <c r="H1805" s="154" t="s">
        <v>4279</v>
      </c>
      <c r="I1805" s="154" t="s">
        <v>632</v>
      </c>
      <c r="J1805" s="247" t="s">
        <v>445</v>
      </c>
      <c r="K1805" s="154"/>
      <c r="L1805" s="154" t="str">
        <f t="shared" si="1"/>
        <v/>
      </c>
      <c r="M1805" s="248" t="str">
        <f>IFERROR(__xludf.DUMMYFUNCTION("VLOOKUP(C1805,IMPORTRANGE(""https://docs.google.com/spreadsheets/d/1P8eX0NWBhUPS_hvzA11R6jkTNFrPrRYIx_dX_hYbxrk/edit?resourcekey=0-iw9bsKY2OqkUHCFMkCar3A&amp;gid=2055363397#gid=2055363397"",""MTR!C:O""),11,false)"),"PMW-IMS")</f>
        <v>PMW-IMS</v>
      </c>
      <c r="N1805" s="248" t="str">
        <f>IFERROR(__xludf.DUMMYFUNCTION("VLOOKUP(C1805,IMPORTRANGE(""https://docs.google.com/spreadsheets/d/1ihFlp3_ePlYtFuPbUNbYj1muErVpI73WHXbEwJDIA7Q/edit#gid=1493122344"",""MTR!C:O""),8,false)"),"Complies")</f>
        <v>Complies</v>
      </c>
      <c r="O1805" s="241" t="str">
        <f>IFERROR(__xludf.DUMMYFUNCTION("VLOOKUP(C1805,IMPORTRANGE(""https://docs.google.com/spreadsheets/d/1P8eX0NWBhUPS_hvzA11R6jkTNFrPrRYIx_dX_hYbxrk/edit?resourcekey=0-iw9bsKY2OqkUHCFMkCar3A&amp;gid=2055363397#gid=2055363397"",""MTR!C:O""),9,false)"),"")</f>
        <v/>
      </c>
      <c r="P1805" s="241"/>
      <c r="Q1805" s="251" t="s">
        <v>445</v>
      </c>
      <c r="R1805" s="241"/>
      <c r="S1805" s="154" t="s">
        <v>60</v>
      </c>
      <c r="T1805" s="154" t="s">
        <v>60</v>
      </c>
      <c r="U1805" s="154" t="s">
        <v>60</v>
      </c>
      <c r="V1805" s="154" t="s">
        <v>60</v>
      </c>
      <c r="W1805" s="154" t="s">
        <v>60</v>
      </c>
      <c r="X1805" s="154" t="s">
        <v>60</v>
      </c>
      <c r="Y1805" s="154" t="s">
        <v>64</v>
      </c>
      <c r="Z1805" s="154" t="s">
        <v>64</v>
      </c>
      <c r="AA1805" s="154" t="s">
        <v>64</v>
      </c>
      <c r="AB1805" s="154"/>
      <c r="AC1805" s="242" t="b">
        <f t="shared" si="2"/>
        <v>1</v>
      </c>
      <c r="AD1805" s="154" t="s">
        <v>391</v>
      </c>
      <c r="AE1805" s="243" t="b">
        <f t="shared" si="3"/>
        <v>0</v>
      </c>
      <c r="AF1805" s="154"/>
      <c r="AG1805" s="243" t="b">
        <f t="shared" si="7"/>
        <v>0</v>
      </c>
      <c r="AH1805" s="154"/>
      <c r="AI1805" s="243" t="str">
        <f t="shared" si="5"/>
        <v>N/A</v>
      </c>
      <c r="AJ1805" s="157" t="str">
        <f t="shared" si="6"/>
        <v/>
      </c>
    </row>
    <row r="1806" ht="12.75" customHeight="1">
      <c r="A1806" s="244" t="s">
        <v>4158</v>
      </c>
      <c r="B1806" s="244" t="s">
        <v>4161</v>
      </c>
      <c r="C1806" s="244" t="s">
        <v>4614</v>
      </c>
      <c r="D1806" s="154" t="s">
        <v>861</v>
      </c>
      <c r="E1806" s="250"/>
      <c r="F1806" s="154" t="str">
        <f t="array" ref="F1806">XLOOKUP(Cover!$D$12,$S$1:$AA$1,$S1806:$AA1806)</f>
        <v>Mandatory</v>
      </c>
      <c r="G1806" s="154" t="s">
        <v>4615</v>
      </c>
      <c r="H1806" s="154" t="s">
        <v>4279</v>
      </c>
      <c r="I1806" s="154" t="s">
        <v>632</v>
      </c>
      <c r="J1806" s="247" t="s">
        <v>445</v>
      </c>
      <c r="K1806" s="154"/>
      <c r="L1806" s="154" t="str">
        <f t="shared" si="1"/>
        <v/>
      </c>
      <c r="M1806" s="248" t="str">
        <f>IFERROR(__xludf.DUMMYFUNCTION("VLOOKUP(C1806,IMPORTRANGE(""https://docs.google.com/spreadsheets/d/1P8eX0NWBhUPS_hvzA11R6jkTNFrPrRYIx_dX_hYbxrk/edit?resourcekey=0-iw9bsKY2OqkUHCFMkCar3A&amp;gid=2055363397#gid=2055363397"",""MTR!C:O""),11,false)"),"PMW-IMS")</f>
        <v>PMW-IMS</v>
      </c>
      <c r="N1806" s="248" t="str">
        <f>IFERROR(__xludf.DUMMYFUNCTION("VLOOKUP(C1806,IMPORTRANGE(""https://docs.google.com/spreadsheets/d/1ihFlp3_ePlYtFuPbUNbYj1muErVpI73WHXbEwJDIA7Q/edit#gid=1493122344"",""MTR!C:O""),8,false)"),"Complies")</f>
        <v>Complies</v>
      </c>
      <c r="O1806" s="241" t="str">
        <f>IFERROR(__xludf.DUMMYFUNCTION("VLOOKUP(C1806,IMPORTRANGE(""https://docs.google.com/spreadsheets/d/1P8eX0NWBhUPS_hvzA11R6jkTNFrPrRYIx_dX_hYbxrk/edit?resourcekey=0-iw9bsKY2OqkUHCFMkCar3A&amp;gid=2055363397#gid=2055363397"",""MTR!C:O""),9,false)"),"")</f>
        <v/>
      </c>
      <c r="P1806" s="241"/>
      <c r="Q1806" s="251" t="s">
        <v>445</v>
      </c>
      <c r="R1806" s="241"/>
      <c r="S1806" s="154" t="s">
        <v>60</v>
      </c>
      <c r="T1806" s="154" t="s">
        <v>60</v>
      </c>
      <c r="U1806" s="154" t="s">
        <v>60</v>
      </c>
      <c r="V1806" s="154" t="s">
        <v>60</v>
      </c>
      <c r="W1806" s="154" t="s">
        <v>60</v>
      </c>
      <c r="X1806" s="154" t="s">
        <v>60</v>
      </c>
      <c r="Y1806" s="154" t="s">
        <v>64</v>
      </c>
      <c r="Z1806" s="154" t="s">
        <v>64</v>
      </c>
      <c r="AA1806" s="154" t="s">
        <v>64</v>
      </c>
      <c r="AB1806" s="154"/>
      <c r="AC1806" s="242" t="b">
        <f t="shared" si="2"/>
        <v>1</v>
      </c>
      <c r="AD1806" s="154" t="s">
        <v>391</v>
      </c>
      <c r="AE1806" s="243" t="b">
        <f t="shared" si="3"/>
        <v>0</v>
      </c>
      <c r="AF1806" s="154"/>
      <c r="AG1806" s="243" t="b">
        <f t="shared" si="7"/>
        <v>0</v>
      </c>
      <c r="AH1806" s="154"/>
      <c r="AI1806" s="243" t="str">
        <f t="shared" si="5"/>
        <v>N/A</v>
      </c>
      <c r="AJ1806" s="157" t="str">
        <f t="shared" si="6"/>
        <v/>
      </c>
    </row>
    <row r="1807" ht="12.75" customHeight="1">
      <c r="A1807" s="244" t="s">
        <v>4158</v>
      </c>
      <c r="B1807" s="244" t="s">
        <v>4161</v>
      </c>
      <c r="C1807" s="244" t="s">
        <v>4616</v>
      </c>
      <c r="D1807" s="154" t="s">
        <v>861</v>
      </c>
      <c r="E1807" s="250"/>
      <c r="F1807" s="154" t="str">
        <f t="array" ref="F1807">XLOOKUP(Cover!$D$12,$S$1:$AA$1,$S1807:$AA1807)</f>
        <v>Mandatory</v>
      </c>
      <c r="G1807" s="154" t="s">
        <v>4617</v>
      </c>
      <c r="H1807" s="154" t="s">
        <v>4279</v>
      </c>
      <c r="I1807" s="154" t="s">
        <v>632</v>
      </c>
      <c r="J1807" s="247" t="s">
        <v>445</v>
      </c>
      <c r="K1807" s="154"/>
      <c r="L1807" s="154" t="str">
        <f t="shared" si="1"/>
        <v/>
      </c>
      <c r="M1807" s="248" t="str">
        <f>IFERROR(__xludf.DUMMYFUNCTION("VLOOKUP(C1807,IMPORTRANGE(""https://docs.google.com/spreadsheets/d/1P8eX0NWBhUPS_hvzA11R6jkTNFrPrRYIx_dX_hYbxrk/edit?resourcekey=0-iw9bsKY2OqkUHCFMkCar3A&amp;gid=2055363397#gid=2055363397"",""MTR!C:O""),11,false)"),"pixel-carrier-triage")</f>
        <v>pixel-carrier-triage</v>
      </c>
      <c r="N1807" s="248" t="str">
        <f>IFERROR(__xludf.DUMMYFUNCTION("VLOOKUP(C1807,IMPORTRANGE(""https://docs.google.com/spreadsheets/d/1ihFlp3_ePlYtFuPbUNbYj1muErVpI73WHXbEwJDIA7Q/edit#gid=1493122344"",""MTR!C:O""),8,false)"),"Complies")</f>
        <v>Complies</v>
      </c>
      <c r="O1807" s="241" t="str">
        <f>IFERROR(__xludf.DUMMYFUNCTION("VLOOKUP(C1807,IMPORTRANGE(""https://docs.google.com/spreadsheets/d/1P8eX0NWBhUPS_hvzA11R6jkTNFrPrRYIx_dX_hYbxrk/edit?resourcekey=0-iw9bsKY2OqkUHCFMkCar3A&amp;gid=2055363397#gid=2055363397"",""MTR!C:O""),9,false)"),"")</f>
        <v/>
      </c>
      <c r="P1807" s="241"/>
      <c r="Q1807" s="251" t="s">
        <v>445</v>
      </c>
      <c r="R1807" s="241"/>
      <c r="S1807" s="154" t="s">
        <v>60</v>
      </c>
      <c r="T1807" s="154" t="s">
        <v>60</v>
      </c>
      <c r="U1807" s="154" t="s">
        <v>60</v>
      </c>
      <c r="V1807" s="154" t="s">
        <v>60</v>
      </c>
      <c r="W1807" s="154" t="s">
        <v>60</v>
      </c>
      <c r="X1807" s="154" t="s">
        <v>60</v>
      </c>
      <c r="Y1807" s="154" t="s">
        <v>64</v>
      </c>
      <c r="Z1807" s="154" t="s">
        <v>64</v>
      </c>
      <c r="AA1807" s="154" t="s">
        <v>64</v>
      </c>
      <c r="AB1807" s="154"/>
      <c r="AC1807" s="242" t="b">
        <f t="shared" si="2"/>
        <v>1</v>
      </c>
      <c r="AD1807" s="154" t="s">
        <v>391</v>
      </c>
      <c r="AE1807" s="243" t="b">
        <f t="shared" si="3"/>
        <v>0</v>
      </c>
      <c r="AF1807" s="154"/>
      <c r="AG1807" s="243" t="b">
        <f t="shared" si="7"/>
        <v>0</v>
      </c>
      <c r="AH1807" s="154"/>
      <c r="AI1807" s="243" t="str">
        <f t="shared" si="5"/>
        <v>N/A</v>
      </c>
      <c r="AJ1807" s="157" t="str">
        <f t="shared" si="6"/>
        <v/>
      </c>
    </row>
    <row r="1808" ht="12.75" customHeight="1">
      <c r="A1808" s="244" t="s">
        <v>4158</v>
      </c>
      <c r="B1808" s="244" t="s">
        <v>4161</v>
      </c>
      <c r="C1808" s="244" t="s">
        <v>4618</v>
      </c>
      <c r="D1808" s="154" t="s">
        <v>861</v>
      </c>
      <c r="E1808" s="250"/>
      <c r="F1808" s="154" t="str">
        <f t="array" ref="F1808">XLOOKUP(Cover!$D$12,$S$1:$AA$1,$S1808:$AA1808)</f>
        <v>Mandatory</v>
      </c>
      <c r="G1808" s="154" t="s">
        <v>4619</v>
      </c>
      <c r="H1808" s="154" t="s">
        <v>4279</v>
      </c>
      <c r="I1808" s="154" t="s">
        <v>632</v>
      </c>
      <c r="J1808" s="247" t="s">
        <v>445</v>
      </c>
      <c r="K1808" s="154"/>
      <c r="L1808" s="154" t="str">
        <f t="shared" si="1"/>
        <v/>
      </c>
      <c r="M1808" s="248" t="str">
        <f>IFERROR(__xludf.DUMMYFUNCTION("VLOOKUP(C1808,IMPORTRANGE(""https://docs.google.com/spreadsheets/d/1P8eX0NWBhUPS_hvzA11R6jkTNFrPrRYIx_dX_hYbxrk/edit?resourcekey=0-iw9bsKY2OqkUHCFMkCar3A&amp;gid=2055363397#gid=2055363397"",""MTR!C:O""),11,false)"),"PMW-IMS")</f>
        <v>PMW-IMS</v>
      </c>
      <c r="N1808" s="248" t="str">
        <f>IFERROR(__xludf.DUMMYFUNCTION("VLOOKUP(C1808,IMPORTRANGE(""https://docs.google.com/spreadsheets/d/1ihFlp3_ePlYtFuPbUNbYj1muErVpI73WHXbEwJDIA7Q/edit#gid=1493122344"",""MTR!C:O""),8,false)"),"Complies")</f>
        <v>Complies</v>
      </c>
      <c r="O1808" s="241" t="str">
        <f>IFERROR(__xludf.DUMMYFUNCTION("VLOOKUP(C1808,IMPORTRANGE(""https://docs.google.com/spreadsheets/d/1P8eX0NWBhUPS_hvzA11R6jkTNFrPrRYIx_dX_hYbxrk/edit?resourcekey=0-iw9bsKY2OqkUHCFMkCar3A&amp;gid=2055363397#gid=2055363397"",""MTR!C:O""),9,false)"),"")</f>
        <v/>
      </c>
      <c r="P1808" s="241"/>
      <c r="Q1808" s="251" t="s">
        <v>445</v>
      </c>
      <c r="R1808" s="241"/>
      <c r="S1808" s="154" t="s">
        <v>60</v>
      </c>
      <c r="T1808" s="154" t="s">
        <v>60</v>
      </c>
      <c r="U1808" s="154" t="s">
        <v>60</v>
      </c>
      <c r="V1808" s="154" t="s">
        <v>60</v>
      </c>
      <c r="W1808" s="154" t="s">
        <v>60</v>
      </c>
      <c r="X1808" s="154" t="s">
        <v>60</v>
      </c>
      <c r="Y1808" s="154" t="s">
        <v>64</v>
      </c>
      <c r="Z1808" s="154" t="s">
        <v>64</v>
      </c>
      <c r="AA1808" s="154" t="s">
        <v>64</v>
      </c>
      <c r="AB1808" s="154"/>
      <c r="AC1808" s="242" t="b">
        <f t="shared" si="2"/>
        <v>1</v>
      </c>
      <c r="AD1808" s="154" t="s">
        <v>391</v>
      </c>
      <c r="AE1808" s="243" t="b">
        <f t="shared" si="3"/>
        <v>0</v>
      </c>
      <c r="AF1808" s="154"/>
      <c r="AG1808" s="243" t="b">
        <f t="shared" si="7"/>
        <v>0</v>
      </c>
      <c r="AH1808" s="154"/>
      <c r="AI1808" s="243" t="str">
        <f t="shared" si="5"/>
        <v>N/A</v>
      </c>
      <c r="AJ1808" s="157" t="str">
        <f t="shared" si="6"/>
        <v/>
      </c>
    </row>
    <row r="1809" ht="12.75" customHeight="1">
      <c r="A1809" s="238" t="s">
        <v>4158</v>
      </c>
      <c r="B1809" s="238" t="s">
        <v>4161</v>
      </c>
      <c r="C1809" s="238" t="s">
        <v>4620</v>
      </c>
      <c r="D1809" s="238"/>
      <c r="E1809" s="238"/>
      <c r="F1809" s="154" t="str">
        <f t="array" ref="F1809">XLOOKUP(Cover!$D$12,$S$1:$AA$1,$S1809:$AA1809)</f>
        <v>Heading</v>
      </c>
      <c r="G1809" s="239" t="s">
        <v>4621</v>
      </c>
      <c r="H1809" s="240"/>
      <c r="I1809" s="240" t="s">
        <v>632</v>
      </c>
      <c r="J1809" s="262"/>
      <c r="K1809" s="240"/>
      <c r="L1809" s="154" t="str">
        <f t="shared" si="1"/>
        <v/>
      </c>
      <c r="M1809" s="241" t="str">
        <f>IFERROR(__xludf.DUMMYFUNCTION("VLOOKUP(C1809,IMPORTRANGE(""https://docs.google.com/spreadsheets/d/1P8eX0NWBhUPS_hvzA11R6jkTNFrPrRYIx_dX_hYbxrk/edit?resourcekey=0-iw9bsKY2OqkUHCFMkCar3A&amp;gid=2055363397#gid=2055363397"",""MTR!C:O""),11,false)"),"")</f>
        <v/>
      </c>
      <c r="N1809" s="241" t="str">
        <f>IFERROR(__xludf.DUMMYFUNCTION("VLOOKUP(C1809,IMPORTRANGE(""https://docs.google.com/spreadsheets/d/1ihFlp3_ePlYtFuPbUNbYj1muErVpI73WHXbEwJDIA7Q/edit#gid=1493122344"",""MTR!C:O""),8,false)"),"")</f>
        <v/>
      </c>
      <c r="O1809" s="241" t="str">
        <f>IFERROR(__xludf.DUMMYFUNCTION("VLOOKUP(C1809,IMPORTRANGE(""https://docs.google.com/spreadsheets/d/1P8eX0NWBhUPS_hvzA11R6jkTNFrPrRYIx_dX_hYbxrk/edit?resourcekey=0-iw9bsKY2OqkUHCFMkCar3A&amp;gid=2055363397#gid=2055363397"",""MTR!C:O""),9,false)"),"")</f>
        <v/>
      </c>
      <c r="P1809" s="241"/>
      <c r="Q1809" s="251"/>
      <c r="R1809" s="241"/>
      <c r="S1809" s="240" t="s">
        <v>390</v>
      </c>
      <c r="T1809" s="240" t="s">
        <v>390</v>
      </c>
      <c r="U1809" s="240" t="s">
        <v>390</v>
      </c>
      <c r="V1809" s="240" t="s">
        <v>390</v>
      </c>
      <c r="W1809" s="240" t="s">
        <v>390</v>
      </c>
      <c r="X1809" s="240" t="s">
        <v>390</v>
      </c>
      <c r="Y1809" s="240" t="s">
        <v>390</v>
      </c>
      <c r="Z1809" s="240" t="s">
        <v>390</v>
      </c>
      <c r="AA1809" s="240" t="s">
        <v>390</v>
      </c>
      <c r="AB1809" s="240"/>
      <c r="AC1809" s="242" t="b">
        <f t="shared" si="2"/>
        <v>0</v>
      </c>
      <c r="AD1809" s="240" t="s">
        <v>391</v>
      </c>
      <c r="AE1809" s="243" t="b">
        <f t="shared" si="3"/>
        <v>0</v>
      </c>
      <c r="AF1809" s="240"/>
      <c r="AG1809" s="243" t="b">
        <f t="shared" si="7"/>
        <v>0</v>
      </c>
      <c r="AH1809" s="240"/>
      <c r="AI1809" s="243" t="str">
        <f t="shared" si="5"/>
        <v>N/A</v>
      </c>
      <c r="AJ1809" s="157" t="str">
        <f t="shared" si="6"/>
        <v/>
      </c>
    </row>
    <row r="1810" ht="12.75" customHeight="1">
      <c r="A1810" s="244" t="s">
        <v>4158</v>
      </c>
      <c r="B1810" s="244" t="s">
        <v>4161</v>
      </c>
      <c r="C1810" s="244" t="s">
        <v>4622</v>
      </c>
      <c r="D1810" s="154" t="s">
        <v>581</v>
      </c>
      <c r="E1810" s="250"/>
      <c r="F1810" s="154" t="str">
        <f t="array" ref="F1810">XLOOKUP(Cover!$D$12,$S$1:$AA$1,$S1810:$AA1810)</f>
        <v>Mandatory</v>
      </c>
      <c r="G1810" s="154" t="s">
        <v>4623</v>
      </c>
      <c r="H1810" s="154" t="s">
        <v>4279</v>
      </c>
      <c r="I1810" s="154" t="s">
        <v>632</v>
      </c>
      <c r="J1810" s="247" t="s">
        <v>445</v>
      </c>
      <c r="K1810" s="154"/>
      <c r="L1810" s="154" t="str">
        <f t="shared" si="1"/>
        <v/>
      </c>
      <c r="M1810" s="248" t="str">
        <f>IFERROR(__xludf.DUMMYFUNCTION("VLOOKUP(C1810,IMPORTRANGE(""https://docs.google.com/spreadsheets/d/1P8eX0NWBhUPS_hvzA11R6jkTNFrPrRYIx_dX_hYbxrk/edit?resourcekey=0-iw9bsKY2OqkUHCFMkCar3A&amp;gid=2055363397#gid=2055363397"",""MTR!C:O""),11,false)"),"PMW-IMS")</f>
        <v>PMW-IMS</v>
      </c>
      <c r="N1810" s="248" t="str">
        <f>IFERROR(__xludf.DUMMYFUNCTION("VLOOKUP(C1810,IMPORTRANGE(""https://docs.google.com/spreadsheets/d/1ihFlp3_ePlYtFuPbUNbYj1muErVpI73WHXbEwJDIA7Q/edit#gid=1493122344"",""MTR!C:O""),8,false)"),"Complies")</f>
        <v>Complies</v>
      </c>
      <c r="O1810" s="241" t="str">
        <f>IFERROR(__xludf.DUMMYFUNCTION("VLOOKUP(C1810,IMPORTRANGE(""https://docs.google.com/spreadsheets/d/1P8eX0NWBhUPS_hvzA11R6jkTNFrPrRYIx_dX_hYbxrk/edit?resourcekey=0-iw9bsKY2OqkUHCFMkCar3A&amp;gid=2055363397#gid=2055363397"",""MTR!C:O""),9,false)"),"")</f>
        <v/>
      </c>
      <c r="P1810" s="241"/>
      <c r="Q1810" s="251" t="s">
        <v>445</v>
      </c>
      <c r="R1810" s="241"/>
      <c r="S1810" s="154" t="s">
        <v>60</v>
      </c>
      <c r="T1810" s="154" t="s">
        <v>60</v>
      </c>
      <c r="U1810" s="154" t="s">
        <v>60</v>
      </c>
      <c r="V1810" s="154" t="s">
        <v>60</v>
      </c>
      <c r="W1810" s="154" t="s">
        <v>60</v>
      </c>
      <c r="X1810" s="154" t="s">
        <v>60</v>
      </c>
      <c r="Y1810" s="154" t="s">
        <v>64</v>
      </c>
      <c r="Z1810" s="154" t="s">
        <v>64</v>
      </c>
      <c r="AA1810" s="154" t="s">
        <v>64</v>
      </c>
      <c r="AB1810" s="154"/>
      <c r="AC1810" s="242" t="b">
        <f t="shared" si="2"/>
        <v>1</v>
      </c>
      <c r="AD1810" s="154" t="s">
        <v>391</v>
      </c>
      <c r="AE1810" s="243" t="b">
        <f t="shared" si="3"/>
        <v>0</v>
      </c>
      <c r="AF1810" s="154"/>
      <c r="AG1810" s="243" t="b">
        <f t="shared" si="7"/>
        <v>0</v>
      </c>
      <c r="AH1810" s="154"/>
      <c r="AI1810" s="243" t="str">
        <f t="shared" si="5"/>
        <v>N/A</v>
      </c>
      <c r="AJ1810" s="157" t="str">
        <f t="shared" si="6"/>
        <v/>
      </c>
    </row>
    <row r="1811" ht="12.75" customHeight="1">
      <c r="A1811" s="244" t="s">
        <v>4158</v>
      </c>
      <c r="B1811" s="244" t="s">
        <v>4161</v>
      </c>
      <c r="C1811" s="244" t="s">
        <v>4624</v>
      </c>
      <c r="D1811" s="154" t="s">
        <v>411</v>
      </c>
      <c r="E1811" s="250"/>
      <c r="F1811" s="154" t="str">
        <f t="array" ref="F1811">XLOOKUP(Cover!$D$12,$S$1:$AA$1,$S1811:$AA1811)</f>
        <v>Mandatory</v>
      </c>
      <c r="G1811" s="154" t="s">
        <v>4625</v>
      </c>
      <c r="H1811" s="154" t="s">
        <v>4279</v>
      </c>
      <c r="I1811" s="154" t="s">
        <v>632</v>
      </c>
      <c r="J1811" s="247" t="s">
        <v>445</v>
      </c>
      <c r="K1811" s="247" t="s">
        <v>4626</v>
      </c>
      <c r="L1811" s="154" t="str">
        <f t="shared" si="1"/>
        <v/>
      </c>
      <c r="M1811" s="248" t="str">
        <f>IFERROR(__xludf.DUMMYFUNCTION("VLOOKUP(C1811,IMPORTRANGE(""https://docs.google.com/spreadsheets/d/1P8eX0NWBhUPS_hvzA11R6jkTNFrPrRYIx_dX_hYbxrk/edit?resourcekey=0-iw9bsKY2OqkUHCFMkCar3A&amp;gid=2055363397#gid=2055363397"",""MTR!C:O""),11,false)"),"PMW-IMS")</f>
        <v>PMW-IMS</v>
      </c>
      <c r="N1811" s="248" t="str">
        <f>IFERROR(__xludf.DUMMYFUNCTION("VLOOKUP(C1811,IMPORTRANGE(""https://docs.google.com/spreadsheets/d/1ihFlp3_ePlYtFuPbUNbYj1muErVpI73WHXbEwJDIA7Q/edit#gid=1493122344"",""MTR!C:O""),8,false)"),"Complies")</f>
        <v>Complies</v>
      </c>
      <c r="O1811" s="248" t="str">
        <f>IFERROR(__xludf.DUMMYFUNCTION("VLOOKUP(C1811,IMPORTRANGE(""https://docs.google.com/spreadsheets/d/1P8eX0NWBhUPS_hvzA11R6jkTNFrPrRYIx_dX_hYbxrk/edit?resourcekey=0-iw9bsKY2OqkUHCFMkCar3A&amp;gid=2055363397#gid=2055363397"",""MTR!C:O""),9,false)"),"120s for HOS")</f>
        <v>120s for HOS</v>
      </c>
      <c r="P1811" s="248"/>
      <c r="Q1811" s="249" t="s">
        <v>445</v>
      </c>
      <c r="R1811" s="249" t="s">
        <v>4626</v>
      </c>
      <c r="S1811" s="154" t="s">
        <v>60</v>
      </c>
      <c r="T1811" s="154" t="s">
        <v>60</v>
      </c>
      <c r="U1811" s="154" t="s">
        <v>60</v>
      </c>
      <c r="V1811" s="154" t="s">
        <v>60</v>
      </c>
      <c r="W1811" s="154" t="s">
        <v>60</v>
      </c>
      <c r="X1811" s="154" t="s">
        <v>60</v>
      </c>
      <c r="Y1811" s="154" t="s">
        <v>64</v>
      </c>
      <c r="Z1811" s="154" t="s">
        <v>64</v>
      </c>
      <c r="AA1811" s="154" t="s">
        <v>64</v>
      </c>
      <c r="AB1811" s="154"/>
      <c r="AC1811" s="242" t="b">
        <f t="shared" si="2"/>
        <v>1</v>
      </c>
      <c r="AD1811" s="154" t="s">
        <v>391</v>
      </c>
      <c r="AE1811" s="243" t="b">
        <f t="shared" si="3"/>
        <v>0</v>
      </c>
      <c r="AF1811" s="154"/>
      <c r="AG1811" s="243" t="b">
        <f t="shared" si="7"/>
        <v>0</v>
      </c>
      <c r="AH1811" s="154"/>
      <c r="AI1811" s="243" t="str">
        <f t="shared" si="5"/>
        <v>N/A</v>
      </c>
      <c r="AJ1811" s="157" t="str">
        <f t="shared" si="6"/>
        <v/>
      </c>
    </row>
    <row r="1812" ht="12.75" customHeight="1">
      <c r="A1812" s="244" t="s">
        <v>4158</v>
      </c>
      <c r="B1812" s="244" t="s">
        <v>4161</v>
      </c>
      <c r="C1812" s="244" t="s">
        <v>4627</v>
      </c>
      <c r="D1812" s="154" t="s">
        <v>1211</v>
      </c>
      <c r="E1812" s="250"/>
      <c r="F1812" s="154" t="str">
        <f t="array" ref="F1812">XLOOKUP(Cover!$D$12,$S$1:$AA$1,$S1812:$AA1812)</f>
        <v>Mandatory</v>
      </c>
      <c r="G1812" s="154" t="s">
        <v>4628</v>
      </c>
      <c r="H1812" s="154" t="s">
        <v>4279</v>
      </c>
      <c r="I1812" s="154" t="s">
        <v>632</v>
      </c>
      <c r="J1812" s="247" t="s">
        <v>445</v>
      </c>
      <c r="K1812" s="247"/>
      <c r="L1812" s="154" t="str">
        <f t="shared" si="1"/>
        <v/>
      </c>
      <c r="M1812" s="248" t="str">
        <f>IFERROR(__xludf.DUMMYFUNCTION("VLOOKUP(C1812,IMPORTRANGE(""https://docs.google.com/spreadsheets/d/1P8eX0NWBhUPS_hvzA11R6jkTNFrPrRYIx_dX_hYbxrk/edit?resourcekey=0-iw9bsKY2OqkUHCFMkCar3A&amp;gid=2055363397#gid=2055363397"",""MTR!C:O""),11,false)"),"PMW-IMS")</f>
        <v>PMW-IMS</v>
      </c>
      <c r="N1812" s="248" t="str">
        <f>IFERROR(__xludf.DUMMYFUNCTION("VLOOKUP(C1812,IMPORTRANGE(""https://docs.google.com/spreadsheets/d/1ihFlp3_ePlYtFuPbUNbYj1muErVpI73WHXbEwJDIA7Q/edit#gid=1493122344"",""MTR!C:O""),8,false)"),"Complies")</f>
        <v>Complies</v>
      </c>
      <c r="O1812" s="241" t="str">
        <f>IFERROR(__xludf.DUMMYFUNCTION("VLOOKUP(C1812,IMPORTRANGE(""https://docs.google.com/spreadsheets/d/1P8eX0NWBhUPS_hvzA11R6jkTNFrPrRYIx_dX_hYbxrk/edit?resourcekey=0-iw9bsKY2OqkUHCFMkCar3A&amp;gid=2055363397#gid=2055363397"",""MTR!C:O""),9,false)"),"")</f>
        <v/>
      </c>
      <c r="P1812" s="241"/>
      <c r="Q1812" s="251" t="s">
        <v>445</v>
      </c>
      <c r="R1812" s="251"/>
      <c r="S1812" s="154" t="s">
        <v>60</v>
      </c>
      <c r="T1812" s="154" t="s">
        <v>60</v>
      </c>
      <c r="U1812" s="154" t="s">
        <v>60</v>
      </c>
      <c r="V1812" s="154" t="s">
        <v>60</v>
      </c>
      <c r="W1812" s="154" t="s">
        <v>60</v>
      </c>
      <c r="X1812" s="154" t="s">
        <v>60</v>
      </c>
      <c r="Y1812" s="154" t="s">
        <v>64</v>
      </c>
      <c r="Z1812" s="154" t="s">
        <v>64</v>
      </c>
      <c r="AA1812" s="154" t="s">
        <v>64</v>
      </c>
      <c r="AB1812" s="154"/>
      <c r="AC1812" s="242" t="b">
        <f t="shared" si="2"/>
        <v>1</v>
      </c>
      <c r="AD1812" s="154" t="s">
        <v>391</v>
      </c>
      <c r="AE1812" s="243" t="b">
        <f t="shared" si="3"/>
        <v>0</v>
      </c>
      <c r="AF1812" s="154"/>
      <c r="AG1812" s="243" t="b">
        <f t="shared" si="7"/>
        <v>0</v>
      </c>
      <c r="AH1812" s="154"/>
      <c r="AI1812" s="243" t="str">
        <f t="shared" si="5"/>
        <v>N/A</v>
      </c>
      <c r="AJ1812" s="157" t="str">
        <f t="shared" si="6"/>
        <v/>
      </c>
    </row>
    <row r="1813" ht="12.75" customHeight="1">
      <c r="A1813" s="244" t="s">
        <v>4158</v>
      </c>
      <c r="B1813" s="244" t="s">
        <v>4161</v>
      </c>
      <c r="C1813" s="244" t="s">
        <v>4629</v>
      </c>
      <c r="D1813" s="154" t="s">
        <v>1211</v>
      </c>
      <c r="E1813" s="250"/>
      <c r="F1813" s="154" t="str">
        <f t="array" ref="F1813">XLOOKUP(Cover!$D$12,$S$1:$AA$1,$S1813:$AA1813)</f>
        <v>Mandatory</v>
      </c>
      <c r="G1813" s="154" t="s">
        <v>4630</v>
      </c>
      <c r="H1813" s="154" t="s">
        <v>4279</v>
      </c>
      <c r="I1813" s="154" t="s">
        <v>632</v>
      </c>
      <c r="J1813" s="247" t="s">
        <v>445</v>
      </c>
      <c r="K1813" s="154"/>
      <c r="L1813" s="154" t="str">
        <f t="shared" si="1"/>
        <v/>
      </c>
      <c r="M1813" s="248" t="str">
        <f>IFERROR(__xludf.DUMMYFUNCTION("VLOOKUP(C1813,IMPORTRANGE(""https://docs.google.com/spreadsheets/d/1P8eX0NWBhUPS_hvzA11R6jkTNFrPrRYIx_dX_hYbxrk/edit?resourcekey=0-iw9bsKY2OqkUHCFMkCar3A&amp;gid=2055363397#gid=2055363397"",""MTR!C:O""),11,false)"),"PMW-IMS")</f>
        <v>PMW-IMS</v>
      </c>
      <c r="N1813" s="248" t="str">
        <f>IFERROR(__xludf.DUMMYFUNCTION("VLOOKUP(C1813,IMPORTRANGE(""https://docs.google.com/spreadsheets/d/1ihFlp3_ePlYtFuPbUNbYj1muErVpI73WHXbEwJDIA7Q/edit#gid=1493122344"",""MTR!C:O""),8,false)"),"Complies")</f>
        <v>Complies</v>
      </c>
      <c r="O1813" s="241" t="str">
        <f>IFERROR(__xludf.DUMMYFUNCTION("VLOOKUP(C1813,IMPORTRANGE(""https://docs.google.com/spreadsheets/d/1P8eX0NWBhUPS_hvzA11R6jkTNFrPrRYIx_dX_hYbxrk/edit?resourcekey=0-iw9bsKY2OqkUHCFMkCar3A&amp;gid=2055363397#gid=2055363397"",""MTR!C:O""),9,false)"),"")</f>
        <v/>
      </c>
      <c r="P1813" s="241"/>
      <c r="Q1813" s="251" t="s">
        <v>445</v>
      </c>
      <c r="R1813" s="241"/>
      <c r="S1813" s="154" t="s">
        <v>60</v>
      </c>
      <c r="T1813" s="154" t="s">
        <v>60</v>
      </c>
      <c r="U1813" s="154" t="s">
        <v>60</v>
      </c>
      <c r="V1813" s="154" t="s">
        <v>60</v>
      </c>
      <c r="W1813" s="154" t="s">
        <v>60</v>
      </c>
      <c r="X1813" s="154" t="s">
        <v>60</v>
      </c>
      <c r="Y1813" s="154" t="s">
        <v>64</v>
      </c>
      <c r="Z1813" s="154" t="s">
        <v>64</v>
      </c>
      <c r="AA1813" s="154" t="s">
        <v>64</v>
      </c>
      <c r="AB1813" s="154"/>
      <c r="AC1813" s="242" t="b">
        <f t="shared" si="2"/>
        <v>1</v>
      </c>
      <c r="AD1813" s="154" t="s">
        <v>391</v>
      </c>
      <c r="AE1813" s="243" t="b">
        <f t="shared" si="3"/>
        <v>0</v>
      </c>
      <c r="AF1813" s="154"/>
      <c r="AG1813" s="243" t="b">
        <f t="shared" si="7"/>
        <v>0</v>
      </c>
      <c r="AH1813" s="154"/>
      <c r="AI1813" s="243" t="str">
        <f t="shared" si="5"/>
        <v>N/A</v>
      </c>
      <c r="AJ1813" s="157" t="str">
        <f t="shared" si="6"/>
        <v/>
      </c>
    </row>
    <row r="1814" ht="12.75" customHeight="1">
      <c r="A1814" s="244" t="s">
        <v>4158</v>
      </c>
      <c r="B1814" s="244" t="s">
        <v>4161</v>
      </c>
      <c r="C1814" s="244" t="s">
        <v>4631</v>
      </c>
      <c r="D1814" s="154" t="s">
        <v>1211</v>
      </c>
      <c r="E1814" s="250"/>
      <c r="F1814" s="154" t="str">
        <f t="array" ref="F1814">XLOOKUP(Cover!$D$12,$S$1:$AA$1,$S1814:$AA1814)</f>
        <v>Mandatory</v>
      </c>
      <c r="G1814" s="154" t="s">
        <v>4632</v>
      </c>
      <c r="H1814" s="154" t="s">
        <v>4279</v>
      </c>
      <c r="I1814" s="154" t="s">
        <v>632</v>
      </c>
      <c r="J1814" s="247" t="s">
        <v>445</v>
      </c>
      <c r="K1814" s="154"/>
      <c r="L1814" s="154" t="str">
        <f t="shared" si="1"/>
        <v/>
      </c>
      <c r="M1814" s="248" t="str">
        <f>IFERROR(__xludf.DUMMYFUNCTION("VLOOKUP(C1814,IMPORTRANGE(""https://docs.google.com/spreadsheets/d/1P8eX0NWBhUPS_hvzA11R6jkTNFrPrRYIx_dX_hYbxrk/edit?resourcekey=0-iw9bsKY2OqkUHCFMkCar3A&amp;gid=2055363397#gid=2055363397"",""MTR!C:O""),11,false)"),"PMW-IMS")</f>
        <v>PMW-IMS</v>
      </c>
      <c r="N1814" s="248" t="str">
        <f>IFERROR(__xludf.DUMMYFUNCTION("VLOOKUP(C1814,IMPORTRANGE(""https://docs.google.com/spreadsheets/d/1ihFlp3_ePlYtFuPbUNbYj1muErVpI73WHXbEwJDIA7Q/edit#gid=1493122344"",""MTR!C:O""),8,false)"),"Complies")</f>
        <v>Complies</v>
      </c>
      <c r="O1814" s="241" t="str">
        <f>IFERROR(__xludf.DUMMYFUNCTION("VLOOKUP(C1814,IMPORTRANGE(""https://docs.google.com/spreadsheets/d/1P8eX0NWBhUPS_hvzA11R6jkTNFrPrRYIx_dX_hYbxrk/edit?resourcekey=0-iw9bsKY2OqkUHCFMkCar3A&amp;gid=2055363397#gid=2055363397"",""MTR!C:O""),9,false)"),"")</f>
        <v/>
      </c>
      <c r="P1814" s="241"/>
      <c r="Q1814" s="251" t="s">
        <v>445</v>
      </c>
      <c r="R1814" s="241"/>
      <c r="S1814" s="154" t="s">
        <v>60</v>
      </c>
      <c r="T1814" s="154" t="s">
        <v>60</v>
      </c>
      <c r="U1814" s="154" t="s">
        <v>60</v>
      </c>
      <c r="V1814" s="154" t="s">
        <v>60</v>
      </c>
      <c r="W1814" s="154" t="s">
        <v>60</v>
      </c>
      <c r="X1814" s="154" t="s">
        <v>60</v>
      </c>
      <c r="Y1814" s="154" t="s">
        <v>64</v>
      </c>
      <c r="Z1814" s="154" t="s">
        <v>64</v>
      </c>
      <c r="AA1814" s="154" t="s">
        <v>64</v>
      </c>
      <c r="AB1814" s="154"/>
      <c r="AC1814" s="242" t="b">
        <f t="shared" si="2"/>
        <v>1</v>
      </c>
      <c r="AD1814" s="154" t="s">
        <v>391</v>
      </c>
      <c r="AE1814" s="243" t="b">
        <f t="shared" si="3"/>
        <v>0</v>
      </c>
      <c r="AF1814" s="154"/>
      <c r="AG1814" s="243" t="b">
        <f t="shared" si="7"/>
        <v>0</v>
      </c>
      <c r="AH1814" s="154"/>
      <c r="AI1814" s="243" t="str">
        <f t="shared" si="5"/>
        <v>N/A</v>
      </c>
      <c r="AJ1814" s="157" t="str">
        <f t="shared" si="6"/>
        <v/>
      </c>
    </row>
    <row r="1815" ht="12.75" customHeight="1">
      <c r="A1815" s="244" t="s">
        <v>4158</v>
      </c>
      <c r="B1815" s="244" t="s">
        <v>4161</v>
      </c>
      <c r="C1815" s="244" t="s">
        <v>4633</v>
      </c>
      <c r="D1815" s="154" t="s">
        <v>1211</v>
      </c>
      <c r="E1815" s="250"/>
      <c r="F1815" s="154" t="str">
        <f t="array" ref="F1815">XLOOKUP(Cover!$D$12,$S$1:$AA$1,$S1815:$AA1815)</f>
        <v>Mandatory</v>
      </c>
      <c r="G1815" s="154" t="s">
        <v>4634</v>
      </c>
      <c r="H1815" s="154" t="s">
        <v>4279</v>
      </c>
      <c r="I1815" s="154" t="s">
        <v>632</v>
      </c>
      <c r="J1815" s="247" t="s">
        <v>445</v>
      </c>
      <c r="K1815" s="154"/>
      <c r="L1815" s="154" t="str">
        <f t="shared" si="1"/>
        <v/>
      </c>
      <c r="M1815" s="248" t="str">
        <f>IFERROR(__xludf.DUMMYFUNCTION("VLOOKUP(C1815,IMPORTRANGE(""https://docs.google.com/spreadsheets/d/1P8eX0NWBhUPS_hvzA11R6jkTNFrPrRYIx_dX_hYbxrk/edit?resourcekey=0-iw9bsKY2OqkUHCFMkCar3A&amp;gid=2055363397#gid=2055363397"",""MTR!C:O""),11,false)"),"PMW-IMS")</f>
        <v>PMW-IMS</v>
      </c>
      <c r="N1815" s="248" t="str">
        <f>IFERROR(__xludf.DUMMYFUNCTION("VLOOKUP(C1815,IMPORTRANGE(""https://docs.google.com/spreadsheets/d/1ihFlp3_ePlYtFuPbUNbYj1muErVpI73WHXbEwJDIA7Q/edit#gid=1493122344"",""MTR!C:O""),8,false)"),"Complies")</f>
        <v>Complies</v>
      </c>
      <c r="O1815" s="241" t="str">
        <f>IFERROR(__xludf.DUMMYFUNCTION("VLOOKUP(C1815,IMPORTRANGE(""https://docs.google.com/spreadsheets/d/1P8eX0NWBhUPS_hvzA11R6jkTNFrPrRYIx_dX_hYbxrk/edit?resourcekey=0-iw9bsKY2OqkUHCFMkCar3A&amp;gid=2055363397#gid=2055363397"",""MTR!C:O""),9,false)"),"")</f>
        <v/>
      </c>
      <c r="P1815" s="241"/>
      <c r="Q1815" s="251" t="s">
        <v>445</v>
      </c>
      <c r="R1815" s="241"/>
      <c r="S1815" s="154" t="s">
        <v>60</v>
      </c>
      <c r="T1815" s="154" t="s">
        <v>60</v>
      </c>
      <c r="U1815" s="154" t="s">
        <v>60</v>
      </c>
      <c r="V1815" s="154" t="s">
        <v>60</v>
      </c>
      <c r="W1815" s="154" t="s">
        <v>60</v>
      </c>
      <c r="X1815" s="154" t="s">
        <v>60</v>
      </c>
      <c r="Y1815" s="154" t="s">
        <v>64</v>
      </c>
      <c r="Z1815" s="154" t="s">
        <v>64</v>
      </c>
      <c r="AA1815" s="154" t="s">
        <v>64</v>
      </c>
      <c r="AB1815" s="154"/>
      <c r="AC1815" s="242" t="b">
        <f t="shared" si="2"/>
        <v>1</v>
      </c>
      <c r="AD1815" s="154" t="s">
        <v>391</v>
      </c>
      <c r="AE1815" s="243" t="b">
        <f t="shared" si="3"/>
        <v>0</v>
      </c>
      <c r="AF1815" s="154"/>
      <c r="AG1815" s="243" t="b">
        <f t="shared" si="7"/>
        <v>0</v>
      </c>
      <c r="AH1815" s="154"/>
      <c r="AI1815" s="243" t="str">
        <f t="shared" si="5"/>
        <v>N/A</v>
      </c>
      <c r="AJ1815" s="157" t="str">
        <f t="shared" si="6"/>
        <v/>
      </c>
    </row>
    <row r="1816" ht="12.75" customHeight="1">
      <c r="A1816" s="244" t="s">
        <v>4158</v>
      </c>
      <c r="B1816" s="244" t="s">
        <v>4161</v>
      </c>
      <c r="C1816" s="244" t="s">
        <v>4635</v>
      </c>
      <c r="D1816" s="154" t="s">
        <v>739</v>
      </c>
      <c r="E1816" s="250"/>
      <c r="F1816" s="154" t="str">
        <f t="array" ref="F1816">XLOOKUP(Cover!$D$12,$S$1:$AA$1,$S1816:$AA1816)</f>
        <v>Mandatory</v>
      </c>
      <c r="G1816" s="154" t="s">
        <v>4636</v>
      </c>
      <c r="H1816" s="154" t="s">
        <v>4279</v>
      </c>
      <c r="I1816" s="154" t="s">
        <v>632</v>
      </c>
      <c r="J1816" s="247" t="s">
        <v>445</v>
      </c>
      <c r="K1816" s="154"/>
      <c r="L1816" s="154" t="str">
        <f t="shared" si="1"/>
        <v/>
      </c>
      <c r="M1816" s="248" t="str">
        <f>IFERROR(__xludf.DUMMYFUNCTION("VLOOKUP(C1816,IMPORTRANGE(""https://docs.google.com/spreadsheets/d/1P8eX0NWBhUPS_hvzA11R6jkTNFrPrRYIx_dX_hYbxrk/edit?resourcekey=0-iw9bsKY2OqkUHCFMkCar3A&amp;gid=2055363397#gid=2055363397"",""MTR!C:O""),11,false)"),"PMW-IMS")</f>
        <v>PMW-IMS</v>
      </c>
      <c r="N1816" s="248" t="str">
        <f>IFERROR(__xludf.DUMMYFUNCTION("VLOOKUP(C1816,IMPORTRANGE(""https://docs.google.com/spreadsheets/d/1ihFlp3_ePlYtFuPbUNbYj1muErVpI73WHXbEwJDIA7Q/edit#gid=1493122344"",""MTR!C:O""),8,false)"),"Complies")</f>
        <v>Complies</v>
      </c>
      <c r="O1816" s="241" t="str">
        <f>IFERROR(__xludf.DUMMYFUNCTION("VLOOKUP(C1816,IMPORTRANGE(""https://docs.google.com/spreadsheets/d/1P8eX0NWBhUPS_hvzA11R6jkTNFrPrRYIx_dX_hYbxrk/edit?resourcekey=0-iw9bsKY2OqkUHCFMkCar3A&amp;gid=2055363397#gid=2055363397"",""MTR!C:O""),9,false)"),"")</f>
        <v/>
      </c>
      <c r="P1816" s="241"/>
      <c r="Q1816" s="251" t="s">
        <v>445</v>
      </c>
      <c r="R1816" s="241"/>
      <c r="S1816" s="154" t="s">
        <v>60</v>
      </c>
      <c r="T1816" s="154" t="s">
        <v>60</v>
      </c>
      <c r="U1816" s="154" t="s">
        <v>60</v>
      </c>
      <c r="V1816" s="154" t="s">
        <v>60</v>
      </c>
      <c r="W1816" s="154" t="s">
        <v>60</v>
      </c>
      <c r="X1816" s="154" t="s">
        <v>60</v>
      </c>
      <c r="Y1816" s="154" t="s">
        <v>64</v>
      </c>
      <c r="Z1816" s="154" t="s">
        <v>64</v>
      </c>
      <c r="AA1816" s="154" t="s">
        <v>64</v>
      </c>
      <c r="AB1816" s="154"/>
      <c r="AC1816" s="242" t="b">
        <f t="shared" si="2"/>
        <v>1</v>
      </c>
      <c r="AD1816" s="154" t="s">
        <v>391</v>
      </c>
      <c r="AE1816" s="243" t="b">
        <f t="shared" si="3"/>
        <v>0</v>
      </c>
      <c r="AF1816" s="154"/>
      <c r="AG1816" s="243" t="b">
        <f t="shared" si="7"/>
        <v>0</v>
      </c>
      <c r="AH1816" s="154"/>
      <c r="AI1816" s="243" t="str">
        <f t="shared" si="5"/>
        <v>N/A</v>
      </c>
      <c r="AJ1816" s="157" t="str">
        <f t="shared" si="6"/>
        <v/>
      </c>
    </row>
    <row r="1817" ht="12.75" customHeight="1">
      <c r="A1817" s="244" t="s">
        <v>4158</v>
      </c>
      <c r="B1817" s="244" t="s">
        <v>4161</v>
      </c>
      <c r="C1817" s="244" t="s">
        <v>4637</v>
      </c>
      <c r="D1817" s="154" t="s">
        <v>967</v>
      </c>
      <c r="E1817" s="250"/>
      <c r="F1817" s="154" t="str">
        <f t="array" ref="F1817">XLOOKUP(Cover!$D$12,$S$1:$AA$1,$S1817:$AA1817)</f>
        <v>Recommended</v>
      </c>
      <c r="G1817" s="154" t="s">
        <v>4638</v>
      </c>
      <c r="H1817" s="154"/>
      <c r="I1817" s="154" t="s">
        <v>632</v>
      </c>
      <c r="J1817" s="247" t="s">
        <v>445</v>
      </c>
      <c r="K1817" s="154"/>
      <c r="L1817" s="154" t="str">
        <f t="shared" si="1"/>
        <v/>
      </c>
      <c r="M1817" s="248" t="str">
        <f>IFERROR(__xludf.DUMMYFUNCTION("VLOOKUP(C1817,IMPORTRANGE(""https://docs.google.com/spreadsheets/d/1P8eX0NWBhUPS_hvzA11R6jkTNFrPrRYIx_dX_hYbxrk/edit?resourcekey=0-iw9bsKY2OqkUHCFMkCar3A&amp;gid=2055363397#gid=2055363397"",""MTR!C:O""),11,false)"),"PMW-IMS")</f>
        <v>PMW-IMS</v>
      </c>
      <c r="N1817" s="248" t="str">
        <f>IFERROR(__xludf.DUMMYFUNCTION("VLOOKUP(C1817,IMPORTRANGE(""https://docs.google.com/spreadsheets/d/1ihFlp3_ePlYtFuPbUNbYj1muErVpI73WHXbEwJDIA7Q/edit#gid=1493122344"",""MTR!C:O""),8,false)"),"Complies")</f>
        <v>Complies</v>
      </c>
      <c r="O1817" s="241" t="str">
        <f>IFERROR(__xludf.DUMMYFUNCTION("VLOOKUP(C1817,IMPORTRANGE(""https://docs.google.com/spreadsheets/d/1P8eX0NWBhUPS_hvzA11R6jkTNFrPrRYIx_dX_hYbxrk/edit?resourcekey=0-iw9bsKY2OqkUHCFMkCar3A&amp;gid=2055363397#gid=2055363397"",""MTR!C:O""),9,false)"),"")</f>
        <v/>
      </c>
      <c r="P1817" s="241"/>
      <c r="Q1817" s="251" t="s">
        <v>445</v>
      </c>
      <c r="R1817" s="241"/>
      <c r="S1817" s="154" t="s">
        <v>64</v>
      </c>
      <c r="T1817" s="154" t="s">
        <v>64</v>
      </c>
      <c r="U1817" s="154" t="s">
        <v>64</v>
      </c>
      <c r="V1817" s="154" t="s">
        <v>64</v>
      </c>
      <c r="W1817" s="154" t="s">
        <v>64</v>
      </c>
      <c r="X1817" s="154" t="s">
        <v>64</v>
      </c>
      <c r="Y1817" s="154" t="s">
        <v>64</v>
      </c>
      <c r="Z1817" s="154" t="s">
        <v>64</v>
      </c>
      <c r="AA1817" s="154" t="s">
        <v>64</v>
      </c>
      <c r="AB1817" s="154"/>
      <c r="AC1817" s="242" t="b">
        <f t="shared" si="2"/>
        <v>1</v>
      </c>
      <c r="AD1817" s="154" t="s">
        <v>391</v>
      </c>
      <c r="AE1817" s="243" t="b">
        <f t="shared" si="3"/>
        <v>0</v>
      </c>
      <c r="AF1817" s="154"/>
      <c r="AG1817" s="243" t="b">
        <f t="shared" si="7"/>
        <v>0</v>
      </c>
      <c r="AH1817" s="154"/>
      <c r="AI1817" s="243" t="str">
        <f t="shared" si="5"/>
        <v>N/A</v>
      </c>
      <c r="AJ1817" s="157" t="str">
        <f t="shared" si="6"/>
        <v/>
      </c>
    </row>
    <row r="1818" ht="12.75" customHeight="1">
      <c r="A1818" s="244" t="s">
        <v>4158</v>
      </c>
      <c r="B1818" s="244" t="s">
        <v>4161</v>
      </c>
      <c r="C1818" s="244" t="s">
        <v>4639</v>
      </c>
      <c r="D1818" s="154" t="s">
        <v>411</v>
      </c>
      <c r="E1818" s="250"/>
      <c r="F1818" s="154" t="str">
        <f t="array" ref="F1818">XLOOKUP(Cover!$D$12,$S$1:$AA$1,$S1818:$AA1818)</f>
        <v>Mandatory</v>
      </c>
      <c r="G1818" s="154" t="s">
        <v>4640</v>
      </c>
      <c r="H1818" s="154" t="s">
        <v>4279</v>
      </c>
      <c r="I1818" s="154" t="s">
        <v>632</v>
      </c>
      <c r="J1818" s="247" t="s">
        <v>445</v>
      </c>
      <c r="K1818" s="154"/>
      <c r="L1818" s="154" t="str">
        <f t="shared" si="1"/>
        <v/>
      </c>
      <c r="M1818" s="248" t="str">
        <f>IFERROR(__xludf.DUMMYFUNCTION("VLOOKUP(C1818,IMPORTRANGE(""https://docs.google.com/spreadsheets/d/1P8eX0NWBhUPS_hvzA11R6jkTNFrPrRYIx_dX_hYbxrk/edit?resourcekey=0-iw9bsKY2OqkUHCFMkCar3A&amp;gid=2055363397#gid=2055363397"",""MTR!C:O""),11,false)"),"PMW-IMS")</f>
        <v>PMW-IMS</v>
      </c>
      <c r="N1818" s="248" t="str">
        <f>IFERROR(__xludf.DUMMYFUNCTION("VLOOKUP(C1818,IMPORTRANGE(""https://docs.google.com/spreadsheets/d/1ihFlp3_ePlYtFuPbUNbYj1muErVpI73WHXbEwJDIA7Q/edit#gid=1493122344"",""MTR!C:O""),8,false)"),"Complies")</f>
        <v>Complies</v>
      </c>
      <c r="O1818" s="241" t="str">
        <f>IFERROR(__xludf.DUMMYFUNCTION("VLOOKUP(C1818,IMPORTRANGE(""https://docs.google.com/spreadsheets/d/1P8eX0NWBhUPS_hvzA11R6jkTNFrPrRYIx_dX_hYbxrk/edit?resourcekey=0-iw9bsKY2OqkUHCFMkCar3A&amp;gid=2055363397#gid=2055363397"",""MTR!C:O""),9,false)"),"")</f>
        <v/>
      </c>
      <c r="P1818" s="241"/>
      <c r="Q1818" s="251" t="s">
        <v>445</v>
      </c>
      <c r="R1818" s="241"/>
      <c r="S1818" s="154" t="s">
        <v>60</v>
      </c>
      <c r="T1818" s="154" t="s">
        <v>60</v>
      </c>
      <c r="U1818" s="154" t="s">
        <v>60</v>
      </c>
      <c r="V1818" s="154" t="s">
        <v>60</v>
      </c>
      <c r="W1818" s="154" t="s">
        <v>60</v>
      </c>
      <c r="X1818" s="154" t="s">
        <v>60</v>
      </c>
      <c r="Y1818" s="154" t="s">
        <v>64</v>
      </c>
      <c r="Z1818" s="154" t="s">
        <v>64</v>
      </c>
      <c r="AA1818" s="154" t="s">
        <v>64</v>
      </c>
      <c r="AB1818" s="154"/>
      <c r="AC1818" s="242" t="b">
        <f t="shared" si="2"/>
        <v>1</v>
      </c>
      <c r="AD1818" s="154" t="s">
        <v>391</v>
      </c>
      <c r="AE1818" s="243" t="b">
        <f t="shared" si="3"/>
        <v>0</v>
      </c>
      <c r="AF1818" s="154"/>
      <c r="AG1818" s="243" t="b">
        <f t="shared" si="7"/>
        <v>0</v>
      </c>
      <c r="AH1818" s="154"/>
      <c r="AI1818" s="243" t="str">
        <f t="shared" si="5"/>
        <v>N/A</v>
      </c>
      <c r="AJ1818" s="157" t="str">
        <f t="shared" si="6"/>
        <v/>
      </c>
    </row>
    <row r="1819" ht="12.75" customHeight="1">
      <c r="A1819" s="244" t="s">
        <v>4158</v>
      </c>
      <c r="B1819" s="244" t="s">
        <v>4161</v>
      </c>
      <c r="C1819" s="244" t="s">
        <v>4641</v>
      </c>
      <c r="D1819" s="154" t="s">
        <v>649</v>
      </c>
      <c r="E1819" s="250"/>
      <c r="F1819" s="154" t="str">
        <f t="array" ref="F1819">XLOOKUP(Cover!$D$12,$S$1:$AA$1,$S1819:$AA1819)</f>
        <v>Mandatory</v>
      </c>
      <c r="G1819" s="154" t="s">
        <v>4642</v>
      </c>
      <c r="H1819" s="154" t="s">
        <v>3947</v>
      </c>
      <c r="I1819" s="154" t="s">
        <v>632</v>
      </c>
      <c r="J1819" s="247" t="s">
        <v>445</v>
      </c>
      <c r="K1819" s="154"/>
      <c r="L1819" s="154" t="str">
        <f t="shared" si="1"/>
        <v/>
      </c>
      <c r="M1819" s="248" t="str">
        <f>IFERROR(__xludf.DUMMYFUNCTION("VLOOKUP(C1819,IMPORTRANGE(""https://docs.google.com/spreadsheets/d/1P8eX0NWBhUPS_hvzA11R6jkTNFrPrRYIx_dX_hYbxrk/edit?resourcekey=0-iw9bsKY2OqkUHCFMkCar3A&amp;gid=2055363397#gid=2055363397"",""MTR!C:O""),11,false)"),"PMW-IMS")</f>
        <v>PMW-IMS</v>
      </c>
      <c r="N1819" s="248" t="str">
        <f>IFERROR(__xludf.DUMMYFUNCTION("VLOOKUP(C1819,IMPORTRANGE(""https://docs.google.com/spreadsheets/d/1ihFlp3_ePlYtFuPbUNbYj1muErVpI73WHXbEwJDIA7Q/edit#gid=1493122344"",""MTR!C:O""),8,false)"),"Complies")</f>
        <v>Complies</v>
      </c>
      <c r="O1819" s="241" t="str">
        <f>IFERROR(__xludf.DUMMYFUNCTION("VLOOKUP(C1819,IMPORTRANGE(""https://docs.google.com/spreadsheets/d/1P8eX0NWBhUPS_hvzA11R6jkTNFrPrRYIx_dX_hYbxrk/edit?resourcekey=0-iw9bsKY2OqkUHCFMkCar3A&amp;gid=2055363397#gid=2055363397"",""MTR!C:O""),9,false)"),"")</f>
        <v/>
      </c>
      <c r="P1819" s="241"/>
      <c r="Q1819" s="251" t="s">
        <v>445</v>
      </c>
      <c r="R1819" s="241"/>
      <c r="S1819" s="154" t="s">
        <v>60</v>
      </c>
      <c r="T1819" s="154" t="s">
        <v>60</v>
      </c>
      <c r="U1819" s="154" t="s">
        <v>60</v>
      </c>
      <c r="V1819" s="154" t="s">
        <v>60</v>
      </c>
      <c r="W1819" s="154" t="s">
        <v>60</v>
      </c>
      <c r="X1819" s="154" t="s">
        <v>60</v>
      </c>
      <c r="Y1819" s="154" t="s">
        <v>64</v>
      </c>
      <c r="Z1819" s="154" t="s">
        <v>64</v>
      </c>
      <c r="AA1819" s="154" t="s">
        <v>64</v>
      </c>
      <c r="AB1819" s="154"/>
      <c r="AC1819" s="242" t="b">
        <f t="shared" si="2"/>
        <v>1</v>
      </c>
      <c r="AD1819" s="154" t="s">
        <v>516</v>
      </c>
      <c r="AE1819" s="243" t="b">
        <f t="shared" si="3"/>
        <v>0</v>
      </c>
      <c r="AF1819" s="154"/>
      <c r="AG1819" s="243" t="b">
        <f t="shared" si="7"/>
        <v>0</v>
      </c>
      <c r="AH1819" s="154"/>
      <c r="AI1819" s="243" t="str">
        <f t="shared" si="5"/>
        <v>N/A</v>
      </c>
      <c r="AJ1819" s="157" t="str">
        <f t="shared" si="6"/>
        <v/>
      </c>
    </row>
    <row r="1820" ht="12.75" customHeight="1">
      <c r="A1820" s="244" t="s">
        <v>4158</v>
      </c>
      <c r="B1820" s="244" t="s">
        <v>4161</v>
      </c>
      <c r="C1820" s="244" t="s">
        <v>4643</v>
      </c>
      <c r="D1820" s="154" t="s">
        <v>492</v>
      </c>
      <c r="E1820" s="250"/>
      <c r="F1820" s="154" t="str">
        <f t="array" ref="F1820">XLOOKUP(Cover!$D$12,$S$1:$AA$1,$S1820:$AA1820)</f>
        <v>Mandatory</v>
      </c>
      <c r="G1820" s="154" t="s">
        <v>4644</v>
      </c>
      <c r="H1820" s="154" t="s">
        <v>4279</v>
      </c>
      <c r="I1820" s="154" t="s">
        <v>632</v>
      </c>
      <c r="J1820" s="247" t="s">
        <v>445</v>
      </c>
      <c r="K1820" s="154"/>
      <c r="L1820" s="154" t="str">
        <f t="shared" si="1"/>
        <v/>
      </c>
      <c r="M1820" s="248" t="str">
        <f>IFERROR(__xludf.DUMMYFUNCTION("VLOOKUP(C1820,IMPORTRANGE(""https://docs.google.com/spreadsheets/d/1P8eX0NWBhUPS_hvzA11R6jkTNFrPrRYIx_dX_hYbxrk/edit?resourcekey=0-iw9bsKY2OqkUHCFMkCar3A&amp;gid=2055363397#gid=2055363397"",""MTR!C:O""),11,false)"),"PMW-IMS")</f>
        <v>PMW-IMS</v>
      </c>
      <c r="N1820" s="248" t="str">
        <f>IFERROR(__xludf.DUMMYFUNCTION("VLOOKUP(C1820,IMPORTRANGE(""https://docs.google.com/spreadsheets/d/1ihFlp3_ePlYtFuPbUNbYj1muErVpI73WHXbEwJDIA7Q/edit#gid=1493122344"",""MTR!C:O""),8,false)"),"Complies")</f>
        <v>Complies</v>
      </c>
      <c r="O1820" s="241" t="str">
        <f>IFERROR(__xludf.DUMMYFUNCTION("VLOOKUP(C1820,IMPORTRANGE(""https://docs.google.com/spreadsheets/d/1P8eX0NWBhUPS_hvzA11R6jkTNFrPrRYIx_dX_hYbxrk/edit?resourcekey=0-iw9bsKY2OqkUHCFMkCar3A&amp;gid=2055363397#gid=2055363397"",""MTR!C:O""),9,false)"),"")</f>
        <v/>
      </c>
      <c r="P1820" s="241"/>
      <c r="Q1820" s="251" t="s">
        <v>445</v>
      </c>
      <c r="R1820" s="241"/>
      <c r="S1820" s="154" t="s">
        <v>60</v>
      </c>
      <c r="T1820" s="154" t="s">
        <v>60</v>
      </c>
      <c r="U1820" s="154" t="s">
        <v>60</v>
      </c>
      <c r="V1820" s="154" t="s">
        <v>60</v>
      </c>
      <c r="W1820" s="154" t="s">
        <v>60</v>
      </c>
      <c r="X1820" s="154" t="s">
        <v>60</v>
      </c>
      <c r="Y1820" s="154" t="s">
        <v>64</v>
      </c>
      <c r="Z1820" s="154" t="s">
        <v>64</v>
      </c>
      <c r="AA1820" s="154" t="s">
        <v>64</v>
      </c>
      <c r="AB1820" s="154"/>
      <c r="AC1820" s="242" t="b">
        <f t="shared" si="2"/>
        <v>1</v>
      </c>
      <c r="AD1820" s="154" t="s">
        <v>391</v>
      </c>
      <c r="AE1820" s="243" t="b">
        <f t="shared" si="3"/>
        <v>0</v>
      </c>
      <c r="AF1820" s="154"/>
      <c r="AG1820" s="243" t="b">
        <f t="shared" si="7"/>
        <v>0</v>
      </c>
      <c r="AH1820" s="154"/>
      <c r="AI1820" s="243" t="str">
        <f t="shared" si="5"/>
        <v>N/A</v>
      </c>
      <c r="AJ1820" s="157" t="str">
        <f t="shared" si="6"/>
        <v/>
      </c>
    </row>
    <row r="1821" ht="12.75" customHeight="1">
      <c r="A1821" s="244" t="s">
        <v>4158</v>
      </c>
      <c r="B1821" s="244" t="s">
        <v>4161</v>
      </c>
      <c r="C1821" s="244" t="s">
        <v>4645</v>
      </c>
      <c r="D1821" s="154" t="s">
        <v>1211</v>
      </c>
      <c r="E1821" s="250"/>
      <c r="F1821" s="154" t="str">
        <f t="array" ref="F1821">XLOOKUP(Cover!$D$12,$S$1:$AA$1,$S1821:$AA1821)</f>
        <v>Mandatory</v>
      </c>
      <c r="G1821" s="154" t="s">
        <v>4646</v>
      </c>
      <c r="H1821" s="154" t="s">
        <v>4279</v>
      </c>
      <c r="I1821" s="154" t="s">
        <v>632</v>
      </c>
      <c r="J1821" s="247" t="s">
        <v>445</v>
      </c>
      <c r="K1821" s="154"/>
      <c r="L1821" s="154" t="str">
        <f t="shared" si="1"/>
        <v/>
      </c>
      <c r="M1821" s="248" t="str">
        <f>IFERROR(__xludf.DUMMYFUNCTION("VLOOKUP(C1821,IMPORTRANGE(""https://docs.google.com/spreadsheets/d/1P8eX0NWBhUPS_hvzA11R6jkTNFrPrRYIx_dX_hYbxrk/edit?resourcekey=0-iw9bsKY2OqkUHCFMkCar3A&amp;gid=2055363397#gid=2055363397"",""MTR!C:O""),11,false)"),"PMW-IMS")</f>
        <v>PMW-IMS</v>
      </c>
      <c r="N1821" s="248" t="str">
        <f>IFERROR(__xludf.DUMMYFUNCTION("VLOOKUP(C1821,IMPORTRANGE(""https://docs.google.com/spreadsheets/d/1ihFlp3_ePlYtFuPbUNbYj1muErVpI73WHXbEwJDIA7Q/edit#gid=1493122344"",""MTR!C:O""),8,false)"),"Complies")</f>
        <v>Complies</v>
      </c>
      <c r="O1821" s="241" t="str">
        <f>IFERROR(__xludf.DUMMYFUNCTION("VLOOKUP(C1821,IMPORTRANGE(""https://docs.google.com/spreadsheets/d/1P8eX0NWBhUPS_hvzA11R6jkTNFrPrRYIx_dX_hYbxrk/edit?resourcekey=0-iw9bsKY2OqkUHCFMkCar3A&amp;gid=2055363397#gid=2055363397"",""MTR!C:O""),9,false)"),"")</f>
        <v/>
      </c>
      <c r="P1821" s="241"/>
      <c r="Q1821" s="251" t="s">
        <v>445</v>
      </c>
      <c r="R1821" s="241"/>
      <c r="S1821" s="154" t="s">
        <v>60</v>
      </c>
      <c r="T1821" s="154" t="s">
        <v>60</v>
      </c>
      <c r="U1821" s="154" t="s">
        <v>60</v>
      </c>
      <c r="V1821" s="154" t="s">
        <v>60</v>
      </c>
      <c r="W1821" s="154" t="s">
        <v>60</v>
      </c>
      <c r="X1821" s="154" t="s">
        <v>60</v>
      </c>
      <c r="Y1821" s="154" t="s">
        <v>64</v>
      </c>
      <c r="Z1821" s="154" t="s">
        <v>64</v>
      </c>
      <c r="AA1821" s="154" t="s">
        <v>64</v>
      </c>
      <c r="AB1821" s="154"/>
      <c r="AC1821" s="242" t="b">
        <f t="shared" si="2"/>
        <v>1</v>
      </c>
      <c r="AD1821" s="154" t="s">
        <v>516</v>
      </c>
      <c r="AE1821" s="243" t="b">
        <f t="shared" si="3"/>
        <v>0</v>
      </c>
      <c r="AF1821" s="154"/>
      <c r="AG1821" s="243" t="b">
        <f t="shared" si="7"/>
        <v>0</v>
      </c>
      <c r="AH1821" s="154"/>
      <c r="AI1821" s="243" t="str">
        <f t="shared" si="5"/>
        <v>N/A</v>
      </c>
      <c r="AJ1821" s="157" t="str">
        <f t="shared" si="6"/>
        <v/>
      </c>
    </row>
    <row r="1822" ht="12.75" customHeight="1">
      <c r="A1822" s="244" t="s">
        <v>4158</v>
      </c>
      <c r="B1822" s="244" t="s">
        <v>4161</v>
      </c>
      <c r="C1822" s="244" t="s">
        <v>4647</v>
      </c>
      <c r="D1822" s="154" t="s">
        <v>1120</v>
      </c>
      <c r="E1822" s="250"/>
      <c r="F1822" s="154" t="str">
        <f t="array" ref="F1822">XLOOKUP(Cover!$D$12,$S$1:$AA$1,$S1822:$AA1822)</f>
        <v>Mandatory</v>
      </c>
      <c r="G1822" s="154" t="s">
        <v>4648</v>
      </c>
      <c r="H1822" s="154" t="s">
        <v>4279</v>
      </c>
      <c r="I1822" s="154" t="s">
        <v>632</v>
      </c>
      <c r="J1822" s="247" t="s">
        <v>445</v>
      </c>
      <c r="K1822" s="154"/>
      <c r="L1822" s="154" t="str">
        <f t="shared" si="1"/>
        <v/>
      </c>
      <c r="M1822" s="248" t="str">
        <f>IFERROR(__xludf.DUMMYFUNCTION("VLOOKUP(C1822,IMPORTRANGE(""https://docs.google.com/spreadsheets/d/1P8eX0NWBhUPS_hvzA11R6jkTNFrPrRYIx_dX_hYbxrk/edit?resourcekey=0-iw9bsKY2OqkUHCFMkCar3A&amp;gid=2055363397#gid=2055363397"",""MTR!C:O""),11,false)"),"PMW-IMS")</f>
        <v>PMW-IMS</v>
      </c>
      <c r="N1822" s="248" t="str">
        <f>IFERROR(__xludf.DUMMYFUNCTION("VLOOKUP(C1822,IMPORTRANGE(""https://docs.google.com/spreadsheets/d/1ihFlp3_ePlYtFuPbUNbYj1muErVpI73WHXbEwJDIA7Q/edit#gid=1493122344"",""MTR!C:O""),8,false)"),"Complies")</f>
        <v>Complies</v>
      </c>
      <c r="O1822" s="241" t="str">
        <f>IFERROR(__xludf.DUMMYFUNCTION("VLOOKUP(C1822,IMPORTRANGE(""https://docs.google.com/spreadsheets/d/1P8eX0NWBhUPS_hvzA11R6jkTNFrPrRYIx_dX_hYbxrk/edit?resourcekey=0-iw9bsKY2OqkUHCFMkCar3A&amp;gid=2055363397#gid=2055363397"",""MTR!C:O""),9,false)"),"")</f>
        <v/>
      </c>
      <c r="P1822" s="241"/>
      <c r="Q1822" s="251" t="s">
        <v>445</v>
      </c>
      <c r="R1822" s="241"/>
      <c r="S1822" s="154" t="s">
        <v>60</v>
      </c>
      <c r="T1822" s="154" t="s">
        <v>60</v>
      </c>
      <c r="U1822" s="154" t="s">
        <v>60</v>
      </c>
      <c r="V1822" s="154" t="s">
        <v>60</v>
      </c>
      <c r="W1822" s="154" t="s">
        <v>60</v>
      </c>
      <c r="X1822" s="154" t="s">
        <v>60</v>
      </c>
      <c r="Y1822" s="154" t="s">
        <v>64</v>
      </c>
      <c r="Z1822" s="154" t="s">
        <v>64</v>
      </c>
      <c r="AA1822" s="154" t="s">
        <v>64</v>
      </c>
      <c r="AB1822" s="154"/>
      <c r="AC1822" s="242" t="b">
        <f t="shared" si="2"/>
        <v>1</v>
      </c>
      <c r="AD1822" s="154" t="s">
        <v>391</v>
      </c>
      <c r="AE1822" s="243" t="b">
        <f t="shared" si="3"/>
        <v>0</v>
      </c>
      <c r="AF1822" s="154"/>
      <c r="AG1822" s="243" t="b">
        <f t="shared" si="7"/>
        <v>0</v>
      </c>
      <c r="AH1822" s="154"/>
      <c r="AI1822" s="243" t="str">
        <f t="shared" si="5"/>
        <v>N/A</v>
      </c>
      <c r="AJ1822" s="157" t="str">
        <f t="shared" si="6"/>
        <v/>
      </c>
    </row>
    <row r="1823" ht="12.75" customHeight="1">
      <c r="A1823" s="244" t="s">
        <v>4158</v>
      </c>
      <c r="B1823" s="244" t="s">
        <v>4161</v>
      </c>
      <c r="C1823" s="244" t="s">
        <v>4649</v>
      </c>
      <c r="D1823" s="154" t="s">
        <v>1120</v>
      </c>
      <c r="E1823" s="250"/>
      <c r="F1823" s="154" t="str">
        <f t="array" ref="F1823">XLOOKUP(Cover!$D$12,$S$1:$AA$1,$S1823:$AA1823)</f>
        <v>Mandatory</v>
      </c>
      <c r="G1823" s="154" t="s">
        <v>4650</v>
      </c>
      <c r="H1823" s="154" t="s">
        <v>4279</v>
      </c>
      <c r="I1823" s="154" t="s">
        <v>632</v>
      </c>
      <c r="J1823" s="247" t="s">
        <v>445</v>
      </c>
      <c r="K1823" s="154"/>
      <c r="L1823" s="154" t="str">
        <f t="shared" si="1"/>
        <v/>
      </c>
      <c r="M1823" s="248" t="str">
        <f>IFERROR(__xludf.DUMMYFUNCTION("VLOOKUP(C1823,IMPORTRANGE(""https://docs.google.com/spreadsheets/d/1P8eX0NWBhUPS_hvzA11R6jkTNFrPrRYIx_dX_hYbxrk/edit?resourcekey=0-iw9bsKY2OqkUHCFMkCar3A&amp;gid=2055363397#gid=2055363397"",""MTR!C:O""),11,false)"),"PMW-IMS")</f>
        <v>PMW-IMS</v>
      </c>
      <c r="N1823" s="248" t="str">
        <f>IFERROR(__xludf.DUMMYFUNCTION("VLOOKUP(C1823,IMPORTRANGE(""https://docs.google.com/spreadsheets/d/1ihFlp3_ePlYtFuPbUNbYj1muErVpI73WHXbEwJDIA7Q/edit#gid=1493122344"",""MTR!C:O""),8,false)"),"Complies")</f>
        <v>Complies</v>
      </c>
      <c r="O1823" s="241" t="str">
        <f>IFERROR(__xludf.DUMMYFUNCTION("VLOOKUP(C1823,IMPORTRANGE(""https://docs.google.com/spreadsheets/d/1P8eX0NWBhUPS_hvzA11R6jkTNFrPrRYIx_dX_hYbxrk/edit?resourcekey=0-iw9bsKY2OqkUHCFMkCar3A&amp;gid=2055363397#gid=2055363397"",""MTR!C:O""),9,false)"),"")</f>
        <v/>
      </c>
      <c r="P1823" s="241"/>
      <c r="Q1823" s="251" t="s">
        <v>445</v>
      </c>
      <c r="R1823" s="241"/>
      <c r="S1823" s="154" t="s">
        <v>60</v>
      </c>
      <c r="T1823" s="154" t="s">
        <v>60</v>
      </c>
      <c r="U1823" s="154" t="s">
        <v>60</v>
      </c>
      <c r="V1823" s="154" t="s">
        <v>60</v>
      </c>
      <c r="W1823" s="154" t="s">
        <v>60</v>
      </c>
      <c r="X1823" s="154" t="s">
        <v>60</v>
      </c>
      <c r="Y1823" s="154" t="s">
        <v>64</v>
      </c>
      <c r="Z1823" s="154" t="s">
        <v>64</v>
      </c>
      <c r="AA1823" s="154" t="s">
        <v>64</v>
      </c>
      <c r="AB1823" s="154"/>
      <c r="AC1823" s="242" t="b">
        <f t="shared" si="2"/>
        <v>1</v>
      </c>
      <c r="AD1823" s="154" t="s">
        <v>391</v>
      </c>
      <c r="AE1823" s="243" t="b">
        <f t="shared" si="3"/>
        <v>0</v>
      </c>
      <c r="AF1823" s="154"/>
      <c r="AG1823" s="243" t="b">
        <f t="shared" si="7"/>
        <v>0</v>
      </c>
      <c r="AH1823" s="154"/>
      <c r="AI1823" s="243" t="str">
        <f t="shared" si="5"/>
        <v>N/A</v>
      </c>
      <c r="AJ1823" s="157" t="str">
        <f t="shared" si="6"/>
        <v/>
      </c>
    </row>
    <row r="1824" ht="12.75" customHeight="1">
      <c r="A1824" s="238" t="s">
        <v>4158</v>
      </c>
      <c r="B1824" s="238" t="s">
        <v>4161</v>
      </c>
      <c r="C1824" s="238" t="s">
        <v>4651</v>
      </c>
      <c r="D1824" s="238"/>
      <c r="E1824" s="238"/>
      <c r="F1824" s="154" t="str">
        <f t="array" ref="F1824">XLOOKUP(Cover!$D$12,$S$1:$AA$1,$S1824:$AA1824)</f>
        <v>Heading</v>
      </c>
      <c r="G1824" s="239" t="s">
        <v>4652</v>
      </c>
      <c r="H1824" s="240"/>
      <c r="I1824" s="240" t="s">
        <v>632</v>
      </c>
      <c r="J1824" s="240"/>
      <c r="K1824" s="240"/>
      <c r="L1824" s="154" t="str">
        <f t="shared" si="1"/>
        <v/>
      </c>
      <c r="M1824" s="241" t="str">
        <f>IFERROR(__xludf.DUMMYFUNCTION("VLOOKUP(C1824,IMPORTRANGE(""https://docs.google.com/spreadsheets/d/1P8eX0NWBhUPS_hvzA11R6jkTNFrPrRYIx_dX_hYbxrk/edit?resourcekey=0-iw9bsKY2OqkUHCFMkCar3A&amp;gid=2055363397#gid=2055363397"",""MTR!C:O""),11,false)"),"")</f>
        <v/>
      </c>
      <c r="N1824" s="241" t="str">
        <f>IFERROR(__xludf.DUMMYFUNCTION("VLOOKUP(C1824,IMPORTRANGE(""https://docs.google.com/spreadsheets/d/1ihFlp3_ePlYtFuPbUNbYj1muErVpI73WHXbEwJDIA7Q/edit#gid=1493122344"",""MTR!C:O""),8,false)"),"")</f>
        <v/>
      </c>
      <c r="O1824" s="241" t="str">
        <f>IFERROR(__xludf.DUMMYFUNCTION("VLOOKUP(C1824,IMPORTRANGE(""https://docs.google.com/spreadsheets/d/1P8eX0NWBhUPS_hvzA11R6jkTNFrPrRYIx_dX_hYbxrk/edit?resourcekey=0-iw9bsKY2OqkUHCFMkCar3A&amp;gid=2055363397#gid=2055363397"",""MTR!C:O""),9,false)"),"")</f>
        <v/>
      </c>
      <c r="P1824" s="241"/>
      <c r="Q1824" s="251"/>
      <c r="R1824" s="241"/>
      <c r="S1824" s="240" t="s">
        <v>390</v>
      </c>
      <c r="T1824" s="240" t="s">
        <v>390</v>
      </c>
      <c r="U1824" s="240" t="s">
        <v>390</v>
      </c>
      <c r="V1824" s="240" t="s">
        <v>390</v>
      </c>
      <c r="W1824" s="240" t="s">
        <v>390</v>
      </c>
      <c r="X1824" s="240" t="s">
        <v>390</v>
      </c>
      <c r="Y1824" s="240" t="s">
        <v>390</v>
      </c>
      <c r="Z1824" s="240" t="s">
        <v>390</v>
      </c>
      <c r="AA1824" s="240" t="s">
        <v>390</v>
      </c>
      <c r="AB1824" s="240"/>
      <c r="AC1824" s="242" t="b">
        <f t="shared" si="2"/>
        <v>0</v>
      </c>
      <c r="AD1824" s="240" t="s">
        <v>391</v>
      </c>
      <c r="AE1824" s="243" t="b">
        <f t="shared" si="3"/>
        <v>0</v>
      </c>
      <c r="AF1824" s="240"/>
      <c r="AG1824" s="243" t="b">
        <f t="shared" si="7"/>
        <v>0</v>
      </c>
      <c r="AH1824" s="240"/>
      <c r="AI1824" s="243" t="str">
        <f t="shared" si="5"/>
        <v>N/A</v>
      </c>
      <c r="AJ1824" s="157" t="str">
        <f t="shared" si="6"/>
        <v/>
      </c>
    </row>
    <row r="1825" ht="12.75" customHeight="1">
      <c r="A1825" s="244" t="s">
        <v>4158</v>
      </c>
      <c r="B1825" s="244" t="s">
        <v>4161</v>
      </c>
      <c r="C1825" s="244" t="s">
        <v>4653</v>
      </c>
      <c r="D1825" s="154" t="s">
        <v>1211</v>
      </c>
      <c r="E1825" s="250"/>
      <c r="F1825" s="154" t="str">
        <f t="array" ref="F1825">XLOOKUP(Cover!$D$12,$S$1:$AA$1,$S1825:$AA1825)</f>
        <v>Mandatory</v>
      </c>
      <c r="G1825" s="154" t="s">
        <v>4654</v>
      </c>
      <c r="H1825" s="154" t="s">
        <v>4279</v>
      </c>
      <c r="I1825" s="154" t="s">
        <v>632</v>
      </c>
      <c r="J1825" s="154" t="s">
        <v>445</v>
      </c>
      <c r="K1825" s="154"/>
      <c r="L1825" s="154" t="str">
        <f t="shared" si="1"/>
        <v/>
      </c>
      <c r="M1825" s="248" t="str">
        <f>IFERROR(__xludf.DUMMYFUNCTION("VLOOKUP(C1825,IMPORTRANGE(""https://docs.google.com/spreadsheets/d/1P8eX0NWBhUPS_hvzA11R6jkTNFrPrRYIx_dX_hYbxrk/edit?resourcekey=0-iw9bsKY2OqkUHCFMkCar3A&amp;gid=2055363397#gid=2055363397"",""MTR!C:O""),11,false)"),"PMW-IMS")</f>
        <v>PMW-IMS</v>
      </c>
      <c r="N1825" s="248" t="str">
        <f>IFERROR(__xludf.DUMMYFUNCTION("VLOOKUP(C1825,IMPORTRANGE(""https://docs.google.com/spreadsheets/d/1ihFlp3_ePlYtFuPbUNbYj1muErVpI73WHXbEwJDIA7Q/edit#gid=1493122344"",""MTR!C:O""),8,false)"),"Complies")</f>
        <v>Complies</v>
      </c>
      <c r="O1825" s="241" t="str">
        <f>IFERROR(__xludf.DUMMYFUNCTION("VLOOKUP(C1825,IMPORTRANGE(""https://docs.google.com/spreadsheets/d/1P8eX0NWBhUPS_hvzA11R6jkTNFrPrRYIx_dX_hYbxrk/edit?resourcekey=0-iw9bsKY2OqkUHCFMkCar3A&amp;gid=2055363397#gid=2055363397"",""MTR!C:O""),9,false)"),"")</f>
        <v/>
      </c>
      <c r="P1825" s="241"/>
      <c r="Q1825" s="251" t="s">
        <v>445</v>
      </c>
      <c r="R1825" s="241"/>
      <c r="S1825" s="154" t="s">
        <v>60</v>
      </c>
      <c r="T1825" s="154" t="s">
        <v>60</v>
      </c>
      <c r="U1825" s="154" t="s">
        <v>60</v>
      </c>
      <c r="V1825" s="154" t="s">
        <v>60</v>
      </c>
      <c r="W1825" s="154" t="s">
        <v>60</v>
      </c>
      <c r="X1825" s="154" t="s">
        <v>60</v>
      </c>
      <c r="Y1825" s="154" t="s">
        <v>64</v>
      </c>
      <c r="Z1825" s="154" t="s">
        <v>64</v>
      </c>
      <c r="AA1825" s="154" t="s">
        <v>64</v>
      </c>
      <c r="AB1825" s="154"/>
      <c r="AC1825" s="242" t="b">
        <f t="shared" si="2"/>
        <v>1</v>
      </c>
      <c r="AD1825" s="154" t="s">
        <v>391</v>
      </c>
      <c r="AE1825" s="243" t="b">
        <f t="shared" si="3"/>
        <v>0</v>
      </c>
      <c r="AF1825" s="154"/>
      <c r="AG1825" s="243" t="b">
        <f t="shared" si="7"/>
        <v>0</v>
      </c>
      <c r="AH1825" s="154"/>
      <c r="AI1825" s="243" t="str">
        <f t="shared" si="5"/>
        <v>N/A</v>
      </c>
      <c r="AJ1825" s="157" t="str">
        <f t="shared" si="6"/>
        <v/>
      </c>
    </row>
    <row r="1826" ht="12.75" customHeight="1">
      <c r="A1826" s="244" t="s">
        <v>4158</v>
      </c>
      <c r="B1826" s="244" t="s">
        <v>4161</v>
      </c>
      <c r="C1826" s="244" t="s">
        <v>4655</v>
      </c>
      <c r="D1826" s="154" t="s">
        <v>411</v>
      </c>
      <c r="E1826" s="250"/>
      <c r="F1826" s="154" t="str">
        <f t="array" ref="F1826">XLOOKUP(Cover!$D$12,$S$1:$AA$1,$S1826:$AA1826)</f>
        <v>Mandatory</v>
      </c>
      <c r="G1826" s="154" t="s">
        <v>4656</v>
      </c>
      <c r="H1826" s="154" t="s">
        <v>4279</v>
      </c>
      <c r="I1826" s="154" t="s">
        <v>632</v>
      </c>
      <c r="J1826" s="247" t="s">
        <v>445</v>
      </c>
      <c r="K1826" s="154"/>
      <c r="L1826" s="154" t="str">
        <f t="shared" si="1"/>
        <v/>
      </c>
      <c r="M1826" s="248" t="str">
        <f>IFERROR(__xludf.DUMMYFUNCTION("VLOOKUP(C1826,IMPORTRANGE(""https://docs.google.com/spreadsheets/d/1P8eX0NWBhUPS_hvzA11R6jkTNFrPrRYIx_dX_hYbxrk/edit?resourcekey=0-iw9bsKY2OqkUHCFMkCar3A&amp;gid=2055363397#gid=2055363397"",""MTR!C:O""),11,false)"),"PMW-IMS")</f>
        <v>PMW-IMS</v>
      </c>
      <c r="N1826" s="248" t="str">
        <f>IFERROR(__xludf.DUMMYFUNCTION("VLOOKUP(C1826,IMPORTRANGE(""https://docs.google.com/spreadsheets/d/1ihFlp3_ePlYtFuPbUNbYj1muErVpI73WHXbEwJDIA7Q/edit#gid=1493122344"",""MTR!C:O""),8,false)"),"Complies")</f>
        <v>Complies</v>
      </c>
      <c r="O1826" s="241" t="str">
        <f>IFERROR(__xludf.DUMMYFUNCTION("VLOOKUP(C1826,IMPORTRANGE(""https://docs.google.com/spreadsheets/d/1P8eX0NWBhUPS_hvzA11R6jkTNFrPrRYIx_dX_hYbxrk/edit?resourcekey=0-iw9bsKY2OqkUHCFMkCar3A&amp;gid=2055363397#gid=2055363397"",""MTR!C:O""),9,false)"),"")</f>
        <v/>
      </c>
      <c r="P1826" s="241"/>
      <c r="Q1826" s="251" t="s">
        <v>445</v>
      </c>
      <c r="R1826" s="241"/>
      <c r="S1826" s="154" t="s">
        <v>60</v>
      </c>
      <c r="T1826" s="154" t="s">
        <v>60</v>
      </c>
      <c r="U1826" s="154" t="s">
        <v>60</v>
      </c>
      <c r="V1826" s="154" t="s">
        <v>60</v>
      </c>
      <c r="W1826" s="154" t="s">
        <v>60</v>
      </c>
      <c r="X1826" s="154" t="s">
        <v>60</v>
      </c>
      <c r="Y1826" s="154" t="s">
        <v>64</v>
      </c>
      <c r="Z1826" s="154" t="s">
        <v>64</v>
      </c>
      <c r="AA1826" s="154" t="s">
        <v>64</v>
      </c>
      <c r="AB1826" s="154"/>
      <c r="AC1826" s="242" t="b">
        <f t="shared" si="2"/>
        <v>1</v>
      </c>
      <c r="AD1826" s="154" t="s">
        <v>391</v>
      </c>
      <c r="AE1826" s="243" t="b">
        <f t="shared" si="3"/>
        <v>0</v>
      </c>
      <c r="AF1826" s="154"/>
      <c r="AG1826" s="243" t="b">
        <f t="shared" si="7"/>
        <v>0</v>
      </c>
      <c r="AH1826" s="154"/>
      <c r="AI1826" s="243" t="str">
        <f t="shared" si="5"/>
        <v>N/A</v>
      </c>
      <c r="AJ1826" s="157" t="str">
        <f t="shared" si="6"/>
        <v/>
      </c>
    </row>
    <row r="1827" ht="12.75" customHeight="1">
      <c r="A1827" s="244" t="s">
        <v>4158</v>
      </c>
      <c r="B1827" s="244" t="s">
        <v>4161</v>
      </c>
      <c r="C1827" s="244" t="s">
        <v>4657</v>
      </c>
      <c r="D1827" s="154" t="s">
        <v>967</v>
      </c>
      <c r="E1827" s="250"/>
      <c r="F1827" s="154" t="str">
        <f t="array" ref="F1827">XLOOKUP(Cover!$D$12,$S$1:$AA$1,$S1827:$AA1827)</f>
        <v>Mandatory</v>
      </c>
      <c r="G1827" s="154" t="s">
        <v>4658</v>
      </c>
      <c r="H1827" s="154" t="s">
        <v>3947</v>
      </c>
      <c r="I1827" s="154" t="s">
        <v>632</v>
      </c>
      <c r="J1827" s="247" t="s">
        <v>445</v>
      </c>
      <c r="K1827" s="154"/>
      <c r="L1827" s="154" t="str">
        <f t="shared" si="1"/>
        <v/>
      </c>
      <c r="M1827" s="248" t="str">
        <f>IFERROR(__xludf.DUMMYFUNCTION("VLOOKUP(C1827,IMPORTRANGE(""https://docs.google.com/spreadsheets/d/1P8eX0NWBhUPS_hvzA11R6jkTNFrPrRYIx_dX_hYbxrk/edit?resourcekey=0-iw9bsKY2OqkUHCFMkCar3A&amp;gid=2055363397#gid=2055363397"",""MTR!C:O""),11,false)"),"PMW-IMS")</f>
        <v>PMW-IMS</v>
      </c>
      <c r="N1827" s="248" t="str">
        <f>IFERROR(__xludf.DUMMYFUNCTION("VLOOKUP(C1827,IMPORTRANGE(""https://docs.google.com/spreadsheets/d/1ihFlp3_ePlYtFuPbUNbYj1muErVpI73WHXbEwJDIA7Q/edit#gid=1493122344"",""MTR!C:O""),8,false)"),"Complies")</f>
        <v>Complies</v>
      </c>
      <c r="O1827" s="241" t="str">
        <f>IFERROR(__xludf.DUMMYFUNCTION("VLOOKUP(C1827,IMPORTRANGE(""https://docs.google.com/spreadsheets/d/1P8eX0NWBhUPS_hvzA11R6jkTNFrPrRYIx_dX_hYbxrk/edit?resourcekey=0-iw9bsKY2OqkUHCFMkCar3A&amp;gid=2055363397#gid=2055363397"",""MTR!C:O""),9,false)"),"")</f>
        <v/>
      </c>
      <c r="P1827" s="241"/>
      <c r="Q1827" s="251" t="s">
        <v>445</v>
      </c>
      <c r="R1827" s="241"/>
      <c r="S1827" s="154" t="s">
        <v>60</v>
      </c>
      <c r="T1827" s="154" t="s">
        <v>60</v>
      </c>
      <c r="U1827" s="154" t="s">
        <v>60</v>
      </c>
      <c r="V1827" s="154" t="s">
        <v>60</v>
      </c>
      <c r="W1827" s="154" t="s">
        <v>60</v>
      </c>
      <c r="X1827" s="154" t="s">
        <v>60</v>
      </c>
      <c r="Y1827" s="154" t="s">
        <v>64</v>
      </c>
      <c r="Z1827" s="154" t="s">
        <v>64</v>
      </c>
      <c r="AA1827" s="154" t="s">
        <v>64</v>
      </c>
      <c r="AB1827" s="154"/>
      <c r="AC1827" s="242" t="b">
        <f t="shared" si="2"/>
        <v>1</v>
      </c>
      <c r="AD1827" s="154" t="s">
        <v>391</v>
      </c>
      <c r="AE1827" s="243" t="b">
        <f t="shared" si="3"/>
        <v>0</v>
      </c>
      <c r="AF1827" s="154"/>
      <c r="AG1827" s="243" t="b">
        <f t="shared" si="7"/>
        <v>0</v>
      </c>
      <c r="AH1827" s="154"/>
      <c r="AI1827" s="243" t="str">
        <f t="shared" si="5"/>
        <v>N/A</v>
      </c>
      <c r="AJ1827" s="157" t="str">
        <f t="shared" si="6"/>
        <v/>
      </c>
    </row>
    <row r="1828" ht="12.75" customHeight="1">
      <c r="A1828" s="238" t="s">
        <v>4158</v>
      </c>
      <c r="B1828" s="238" t="s">
        <v>4161</v>
      </c>
      <c r="C1828" s="238" t="s">
        <v>4659</v>
      </c>
      <c r="D1828" s="238"/>
      <c r="E1828" s="238"/>
      <c r="F1828" s="154" t="str">
        <f t="array" ref="F1828">XLOOKUP(Cover!$D$12,$S$1:$AA$1,$S1828:$AA1828)</f>
        <v>Heading</v>
      </c>
      <c r="G1828" s="239" t="s">
        <v>4660</v>
      </c>
      <c r="H1828" s="240"/>
      <c r="I1828" s="240" t="s">
        <v>632</v>
      </c>
      <c r="J1828" s="262"/>
      <c r="K1828" s="240"/>
      <c r="L1828" s="154" t="str">
        <f t="shared" si="1"/>
        <v/>
      </c>
      <c r="M1828" s="241" t="str">
        <f>IFERROR(__xludf.DUMMYFUNCTION("VLOOKUP(C1828,IMPORTRANGE(""https://docs.google.com/spreadsheets/d/1P8eX0NWBhUPS_hvzA11R6jkTNFrPrRYIx_dX_hYbxrk/edit?resourcekey=0-iw9bsKY2OqkUHCFMkCar3A&amp;gid=2055363397#gid=2055363397"",""MTR!C:O""),11,false)"),"")</f>
        <v/>
      </c>
      <c r="N1828" s="241" t="str">
        <f>IFERROR(__xludf.DUMMYFUNCTION("VLOOKUP(C1828,IMPORTRANGE(""https://docs.google.com/spreadsheets/d/1ihFlp3_ePlYtFuPbUNbYj1muErVpI73WHXbEwJDIA7Q/edit#gid=1493122344"",""MTR!C:O""),8,false)"),"")</f>
        <v/>
      </c>
      <c r="O1828" s="241" t="str">
        <f>IFERROR(__xludf.DUMMYFUNCTION("VLOOKUP(C1828,IMPORTRANGE(""https://docs.google.com/spreadsheets/d/1P8eX0NWBhUPS_hvzA11R6jkTNFrPrRYIx_dX_hYbxrk/edit?resourcekey=0-iw9bsKY2OqkUHCFMkCar3A&amp;gid=2055363397#gid=2055363397"",""MTR!C:O""),9,false)"),"")</f>
        <v/>
      </c>
      <c r="P1828" s="241"/>
      <c r="Q1828" s="251"/>
      <c r="R1828" s="241"/>
      <c r="S1828" s="240" t="s">
        <v>390</v>
      </c>
      <c r="T1828" s="240" t="s">
        <v>390</v>
      </c>
      <c r="U1828" s="240" t="s">
        <v>390</v>
      </c>
      <c r="V1828" s="240" t="s">
        <v>390</v>
      </c>
      <c r="W1828" s="240" t="s">
        <v>390</v>
      </c>
      <c r="X1828" s="240" t="s">
        <v>390</v>
      </c>
      <c r="Y1828" s="240" t="s">
        <v>390</v>
      </c>
      <c r="Z1828" s="240" t="s">
        <v>390</v>
      </c>
      <c r="AA1828" s="240" t="s">
        <v>390</v>
      </c>
      <c r="AB1828" s="240"/>
      <c r="AC1828" s="242" t="b">
        <f t="shared" si="2"/>
        <v>0</v>
      </c>
      <c r="AD1828" s="240" t="s">
        <v>391</v>
      </c>
      <c r="AE1828" s="243" t="b">
        <f t="shared" si="3"/>
        <v>0</v>
      </c>
      <c r="AF1828" s="240"/>
      <c r="AG1828" s="243" t="b">
        <f t="shared" si="7"/>
        <v>0</v>
      </c>
      <c r="AH1828" s="240"/>
      <c r="AI1828" s="243" t="str">
        <f t="shared" si="5"/>
        <v>N/A</v>
      </c>
      <c r="AJ1828" s="157" t="str">
        <f t="shared" si="6"/>
        <v/>
      </c>
    </row>
    <row r="1829" ht="12.75" customHeight="1">
      <c r="A1829" s="238" t="s">
        <v>4158</v>
      </c>
      <c r="B1829" s="238" t="s">
        <v>4161</v>
      </c>
      <c r="C1829" s="238" t="s">
        <v>4661</v>
      </c>
      <c r="D1829" s="238"/>
      <c r="E1829" s="238"/>
      <c r="F1829" s="154" t="str">
        <f t="array" ref="F1829">XLOOKUP(Cover!$D$12,$S$1:$AA$1,$S1829:$AA1829)</f>
        <v>Heading</v>
      </c>
      <c r="G1829" s="239" t="s">
        <v>4662</v>
      </c>
      <c r="H1829" s="240"/>
      <c r="I1829" s="240" t="s">
        <v>632</v>
      </c>
      <c r="J1829" s="240"/>
      <c r="K1829" s="240"/>
      <c r="L1829" s="154" t="str">
        <f t="shared" si="1"/>
        <v/>
      </c>
      <c r="M1829" s="241" t="str">
        <f>IFERROR(__xludf.DUMMYFUNCTION("VLOOKUP(C1829,IMPORTRANGE(""https://docs.google.com/spreadsheets/d/1P8eX0NWBhUPS_hvzA11R6jkTNFrPrRYIx_dX_hYbxrk/edit?resourcekey=0-iw9bsKY2OqkUHCFMkCar3A&amp;gid=2055363397#gid=2055363397"",""MTR!C:O""),11,false)"),"")</f>
        <v/>
      </c>
      <c r="N1829" s="241" t="str">
        <f>IFERROR(__xludf.DUMMYFUNCTION("VLOOKUP(C1829,IMPORTRANGE(""https://docs.google.com/spreadsheets/d/1ihFlp3_ePlYtFuPbUNbYj1muErVpI73WHXbEwJDIA7Q/edit#gid=1493122344"",""MTR!C:O""),8,false)"),"")</f>
        <v/>
      </c>
      <c r="O1829" s="241" t="str">
        <f>IFERROR(__xludf.DUMMYFUNCTION("VLOOKUP(C1829,IMPORTRANGE(""https://docs.google.com/spreadsheets/d/1P8eX0NWBhUPS_hvzA11R6jkTNFrPrRYIx_dX_hYbxrk/edit?resourcekey=0-iw9bsKY2OqkUHCFMkCar3A&amp;gid=2055363397#gid=2055363397"",""MTR!C:O""),9,false)"),"")</f>
        <v/>
      </c>
      <c r="P1829" s="241"/>
      <c r="Q1829" s="241"/>
      <c r="R1829" s="241"/>
      <c r="S1829" s="240" t="s">
        <v>390</v>
      </c>
      <c r="T1829" s="240" t="s">
        <v>390</v>
      </c>
      <c r="U1829" s="240" t="s">
        <v>390</v>
      </c>
      <c r="V1829" s="240" t="s">
        <v>390</v>
      </c>
      <c r="W1829" s="240" t="s">
        <v>390</v>
      </c>
      <c r="X1829" s="240" t="s">
        <v>390</v>
      </c>
      <c r="Y1829" s="240" t="s">
        <v>390</v>
      </c>
      <c r="Z1829" s="240" t="s">
        <v>390</v>
      </c>
      <c r="AA1829" s="240" t="s">
        <v>390</v>
      </c>
      <c r="AB1829" s="240"/>
      <c r="AC1829" s="242" t="b">
        <f t="shared" si="2"/>
        <v>0</v>
      </c>
      <c r="AD1829" s="240" t="s">
        <v>391</v>
      </c>
      <c r="AE1829" s="243" t="b">
        <f t="shared" si="3"/>
        <v>0</v>
      </c>
      <c r="AF1829" s="240"/>
      <c r="AG1829" s="243" t="b">
        <f t="shared" si="7"/>
        <v>0</v>
      </c>
      <c r="AH1829" s="240"/>
      <c r="AI1829" s="243" t="str">
        <f t="shared" si="5"/>
        <v>N/A</v>
      </c>
      <c r="AJ1829" s="157" t="str">
        <f t="shared" si="6"/>
        <v/>
      </c>
    </row>
    <row r="1830" ht="12.75" customHeight="1">
      <c r="A1830" s="244" t="s">
        <v>4158</v>
      </c>
      <c r="B1830" s="244" t="s">
        <v>4161</v>
      </c>
      <c r="C1830" s="244" t="s">
        <v>4663</v>
      </c>
      <c r="D1830" s="154" t="s">
        <v>1211</v>
      </c>
      <c r="E1830" s="250"/>
      <c r="F1830" s="154" t="str">
        <f t="array" ref="F1830">XLOOKUP(Cover!$D$12,$S$1:$AA$1,$S1830:$AA1830)</f>
        <v>Mandatory</v>
      </c>
      <c r="G1830" s="154" t="s">
        <v>4664</v>
      </c>
      <c r="H1830" s="154" t="s">
        <v>347</v>
      </c>
      <c r="I1830" s="154" t="s">
        <v>632</v>
      </c>
      <c r="J1830" s="247" t="s">
        <v>445</v>
      </c>
      <c r="K1830" s="154"/>
      <c r="L1830" s="154" t="str">
        <f t="shared" si="1"/>
        <v/>
      </c>
      <c r="M1830" s="248" t="str">
        <f>IFERROR(__xludf.DUMMYFUNCTION("VLOOKUP(C1830,IMPORTRANGE(""https://docs.google.com/spreadsheets/d/1P8eX0NWBhUPS_hvzA11R6jkTNFrPrRYIx_dX_hYbxrk/edit?resourcekey=0-iw9bsKY2OqkUHCFMkCar3A&amp;gid=2055363397#gid=2055363397"",""MTR!C:O""),11,false)"),"PMW-IMS
PMW-MCE-NAS")</f>
        <v>PMW-IMS
PMW-MCE-NAS</v>
      </c>
      <c r="N1830" s="248" t="str">
        <f>IFERROR(__xludf.DUMMYFUNCTION("VLOOKUP(C1830,IMPORTRANGE(""https://docs.google.com/spreadsheets/d/1ihFlp3_ePlYtFuPbUNbYj1muErVpI73WHXbEwJDIA7Q/edit#gid=1493122344"",""MTR!C:O""),8,false)"),"Complies")</f>
        <v>Complies</v>
      </c>
      <c r="O1830" s="241" t="str">
        <f>IFERROR(__xludf.DUMMYFUNCTION("VLOOKUP(C1830,IMPORTRANGE(""https://docs.google.com/spreadsheets/d/1P8eX0NWBhUPS_hvzA11R6jkTNFrPrRYIx_dX_hYbxrk/edit?resourcekey=0-iw9bsKY2OqkUHCFMkCar3A&amp;gid=2055363397#gid=2055363397"",""MTR!C:O""),9,false)"),"")</f>
        <v/>
      </c>
      <c r="P1830" s="241"/>
      <c r="Q1830" s="251" t="s">
        <v>445</v>
      </c>
      <c r="R1830" s="241"/>
      <c r="S1830" s="154" t="s">
        <v>60</v>
      </c>
      <c r="T1830" s="154" t="s">
        <v>60</v>
      </c>
      <c r="U1830" s="154" t="s">
        <v>60</v>
      </c>
      <c r="V1830" s="154" t="s">
        <v>60</v>
      </c>
      <c r="W1830" s="154" t="s">
        <v>60</v>
      </c>
      <c r="X1830" s="154" t="s">
        <v>60</v>
      </c>
      <c r="Y1830" s="154" t="s">
        <v>64</v>
      </c>
      <c r="Z1830" s="154" t="s">
        <v>64</v>
      </c>
      <c r="AA1830" s="154" t="s">
        <v>64</v>
      </c>
      <c r="AB1830" s="154"/>
      <c r="AC1830" s="242" t="b">
        <f t="shared" si="2"/>
        <v>1</v>
      </c>
      <c r="AD1830" s="154" t="s">
        <v>391</v>
      </c>
      <c r="AE1830" s="243" t="b">
        <f t="shared" si="3"/>
        <v>0</v>
      </c>
      <c r="AF1830" s="154"/>
      <c r="AG1830" s="243" t="b">
        <f t="shared" si="7"/>
        <v>0</v>
      </c>
      <c r="AH1830" s="154"/>
      <c r="AI1830" s="243" t="str">
        <f t="shared" si="5"/>
        <v>N/A</v>
      </c>
      <c r="AJ1830" s="157" t="str">
        <f t="shared" si="6"/>
        <v/>
      </c>
    </row>
    <row r="1831" ht="12.75" customHeight="1">
      <c r="A1831" s="244" t="s">
        <v>4158</v>
      </c>
      <c r="B1831" s="244" t="s">
        <v>4161</v>
      </c>
      <c r="C1831" s="244" t="s">
        <v>4665</v>
      </c>
      <c r="D1831" s="154" t="s">
        <v>422</v>
      </c>
      <c r="E1831" s="250"/>
      <c r="F1831" s="154" t="str">
        <f t="array" ref="F1831">XLOOKUP(Cover!$D$12,$S$1:$AA$1,$S1831:$AA1831)</f>
        <v>Mandatory</v>
      </c>
      <c r="G1831" s="154" t="s">
        <v>4666</v>
      </c>
      <c r="H1831" s="154" t="s">
        <v>347</v>
      </c>
      <c r="I1831" s="154" t="s">
        <v>632</v>
      </c>
      <c r="J1831" s="247" t="s">
        <v>445</v>
      </c>
      <c r="K1831" s="154"/>
      <c r="L1831" s="154" t="str">
        <f t="shared" si="1"/>
        <v/>
      </c>
      <c r="M1831" s="248" t="str">
        <f>IFERROR(__xludf.DUMMYFUNCTION("VLOOKUP(C1831,IMPORTRANGE(""https://docs.google.com/spreadsheets/d/1P8eX0NWBhUPS_hvzA11R6jkTNFrPrRYIx_dX_hYbxrk/edit?resourcekey=0-iw9bsKY2OqkUHCFMkCar3A&amp;gid=2055363397#gid=2055363397"",""MTR!C:O""),11,false)"),"PMW-IMS")</f>
        <v>PMW-IMS</v>
      </c>
      <c r="N1831" s="248" t="str">
        <f>IFERROR(__xludf.DUMMYFUNCTION("VLOOKUP(C1831,IMPORTRANGE(""https://docs.google.com/spreadsheets/d/1ihFlp3_ePlYtFuPbUNbYj1muErVpI73WHXbEwJDIA7Q/edit#gid=1493122344"",""MTR!C:O""),8,false)"),"Complies")</f>
        <v>Complies</v>
      </c>
      <c r="O1831" s="241" t="str">
        <f>IFERROR(__xludf.DUMMYFUNCTION("VLOOKUP(C1831,IMPORTRANGE(""https://docs.google.com/spreadsheets/d/1P8eX0NWBhUPS_hvzA11R6jkTNFrPrRYIx_dX_hYbxrk/edit?resourcekey=0-iw9bsKY2OqkUHCFMkCar3A&amp;gid=2055363397#gid=2055363397"",""MTR!C:O""),9,false)"),"")</f>
        <v/>
      </c>
      <c r="P1831" s="241"/>
      <c r="Q1831" s="251" t="s">
        <v>445</v>
      </c>
      <c r="R1831" s="241"/>
      <c r="S1831" s="154" t="s">
        <v>60</v>
      </c>
      <c r="T1831" s="154" t="s">
        <v>60</v>
      </c>
      <c r="U1831" s="154" t="s">
        <v>60</v>
      </c>
      <c r="V1831" s="154" t="s">
        <v>60</v>
      </c>
      <c r="W1831" s="154" t="s">
        <v>60</v>
      </c>
      <c r="X1831" s="154" t="s">
        <v>60</v>
      </c>
      <c r="Y1831" s="154" t="s">
        <v>64</v>
      </c>
      <c r="Z1831" s="154" t="s">
        <v>64</v>
      </c>
      <c r="AA1831" s="154" t="s">
        <v>64</v>
      </c>
      <c r="AB1831" s="154"/>
      <c r="AC1831" s="242" t="b">
        <f t="shared" si="2"/>
        <v>1</v>
      </c>
      <c r="AD1831" s="154" t="s">
        <v>391</v>
      </c>
      <c r="AE1831" s="243" t="b">
        <f t="shared" si="3"/>
        <v>0</v>
      </c>
      <c r="AF1831" s="154"/>
      <c r="AG1831" s="243" t="b">
        <f t="shared" si="7"/>
        <v>0</v>
      </c>
      <c r="AH1831" s="154"/>
      <c r="AI1831" s="243" t="str">
        <f t="shared" si="5"/>
        <v>N/A</v>
      </c>
      <c r="AJ1831" s="157" t="str">
        <f t="shared" si="6"/>
        <v/>
      </c>
    </row>
    <row r="1832" ht="12.75" customHeight="1">
      <c r="A1832" s="244" t="s">
        <v>4158</v>
      </c>
      <c r="B1832" s="244" t="s">
        <v>4161</v>
      </c>
      <c r="C1832" s="244" t="s">
        <v>4667</v>
      </c>
      <c r="D1832" s="154" t="s">
        <v>1315</v>
      </c>
      <c r="E1832" s="250"/>
      <c r="F1832" s="154" t="str">
        <f t="array" ref="F1832">XLOOKUP(Cover!$D$12,$S$1:$AA$1,$S1832:$AA1832)</f>
        <v>Mandatory</v>
      </c>
      <c r="G1832" s="154" t="s">
        <v>4668</v>
      </c>
      <c r="H1832" s="154" t="s">
        <v>347</v>
      </c>
      <c r="I1832" s="154" t="s">
        <v>632</v>
      </c>
      <c r="J1832" s="247" t="s">
        <v>445</v>
      </c>
      <c r="K1832" s="154"/>
      <c r="L1832" s="154" t="str">
        <f t="shared" si="1"/>
        <v/>
      </c>
      <c r="M1832" s="248" t="str">
        <f>IFERROR(__xludf.DUMMYFUNCTION("VLOOKUP(C1832,IMPORTRANGE(""https://docs.google.com/spreadsheets/d/1P8eX0NWBhUPS_hvzA11R6jkTNFrPrRYIx_dX_hYbxrk/edit?resourcekey=0-iw9bsKY2OqkUHCFMkCar3A&amp;gid=2055363397#gid=2055363397"",""MTR!C:O""),11,false)"),"PMW-MCE-NAS")</f>
        <v>PMW-MCE-NAS</v>
      </c>
      <c r="N1832" s="248" t="str">
        <f>IFERROR(__xludf.DUMMYFUNCTION("VLOOKUP(C1832,IMPORTRANGE(""https://docs.google.com/spreadsheets/d/1ihFlp3_ePlYtFuPbUNbYj1muErVpI73WHXbEwJDIA7Q/edit#gid=1493122344"",""MTR!C:O""),8,false)"),"Complies")</f>
        <v>Complies</v>
      </c>
      <c r="O1832" s="241" t="str">
        <f>IFERROR(__xludf.DUMMYFUNCTION("VLOOKUP(C1832,IMPORTRANGE(""https://docs.google.com/spreadsheets/d/1P8eX0NWBhUPS_hvzA11R6jkTNFrPrRYIx_dX_hYbxrk/edit?resourcekey=0-iw9bsKY2OqkUHCFMkCar3A&amp;gid=2055363397#gid=2055363397"",""MTR!C:O""),9,false)"),"")</f>
        <v/>
      </c>
      <c r="P1832" s="241"/>
      <c r="Q1832" s="251" t="s">
        <v>445</v>
      </c>
      <c r="R1832" s="241"/>
      <c r="S1832" s="154" t="s">
        <v>60</v>
      </c>
      <c r="T1832" s="154" t="s">
        <v>60</v>
      </c>
      <c r="U1832" s="154" t="s">
        <v>60</v>
      </c>
      <c r="V1832" s="154" t="s">
        <v>60</v>
      </c>
      <c r="W1832" s="154" t="s">
        <v>60</v>
      </c>
      <c r="X1832" s="154" t="s">
        <v>60</v>
      </c>
      <c r="Y1832" s="154" t="s">
        <v>64</v>
      </c>
      <c r="Z1832" s="154" t="s">
        <v>64</v>
      </c>
      <c r="AA1832" s="154" t="s">
        <v>64</v>
      </c>
      <c r="AB1832" s="154"/>
      <c r="AC1832" s="242" t="b">
        <f t="shared" si="2"/>
        <v>1</v>
      </c>
      <c r="AD1832" s="154" t="s">
        <v>391</v>
      </c>
      <c r="AE1832" s="243" t="b">
        <f t="shared" si="3"/>
        <v>0</v>
      </c>
      <c r="AF1832" s="154"/>
      <c r="AG1832" s="243" t="b">
        <f t="shared" si="7"/>
        <v>0</v>
      </c>
      <c r="AH1832" s="154"/>
      <c r="AI1832" s="243" t="str">
        <f t="shared" si="5"/>
        <v>N/A</v>
      </c>
      <c r="AJ1832" s="157" t="str">
        <f t="shared" si="6"/>
        <v/>
      </c>
    </row>
    <row r="1833" ht="12.75" customHeight="1">
      <c r="A1833" s="244" t="s">
        <v>4158</v>
      </c>
      <c r="B1833" s="244" t="s">
        <v>4161</v>
      </c>
      <c r="C1833" s="244" t="s">
        <v>4669</v>
      </c>
      <c r="D1833" s="154" t="s">
        <v>1211</v>
      </c>
      <c r="E1833" s="250"/>
      <c r="F1833" s="154" t="str">
        <f t="array" ref="F1833">XLOOKUP(Cover!$D$12,$S$1:$AA$1,$S1833:$AA1833)</f>
        <v>Mandatory</v>
      </c>
      <c r="G1833" s="154" t="s">
        <v>4670</v>
      </c>
      <c r="H1833" s="154" t="s">
        <v>3947</v>
      </c>
      <c r="I1833" s="154" t="s">
        <v>632</v>
      </c>
      <c r="J1833" s="247" t="s">
        <v>445</v>
      </c>
      <c r="K1833" s="154"/>
      <c r="L1833" s="154" t="str">
        <f t="shared" si="1"/>
        <v/>
      </c>
      <c r="M1833" s="248" t="str">
        <f>IFERROR(__xludf.DUMMYFUNCTION("VLOOKUP(C1833,IMPORTRANGE(""https://docs.google.com/spreadsheets/d/1P8eX0NWBhUPS_hvzA11R6jkTNFrPrRYIx_dX_hYbxrk/edit?resourcekey=0-iw9bsKY2OqkUHCFMkCar3A&amp;gid=2055363397#gid=2055363397"",""MTR!C:O""),11,false)"),"PMW-IMS")</f>
        <v>PMW-IMS</v>
      </c>
      <c r="N1833" s="248" t="str">
        <f>IFERROR(__xludf.DUMMYFUNCTION("VLOOKUP(C1833,IMPORTRANGE(""https://docs.google.com/spreadsheets/d/1ihFlp3_ePlYtFuPbUNbYj1muErVpI73WHXbEwJDIA7Q/edit#gid=1493122344"",""MTR!C:O""),8,false)"),"Complies")</f>
        <v>Complies</v>
      </c>
      <c r="O1833" s="241" t="str">
        <f>IFERROR(__xludf.DUMMYFUNCTION("VLOOKUP(C1833,IMPORTRANGE(""https://docs.google.com/spreadsheets/d/1P8eX0NWBhUPS_hvzA11R6jkTNFrPrRYIx_dX_hYbxrk/edit?resourcekey=0-iw9bsKY2OqkUHCFMkCar3A&amp;gid=2055363397#gid=2055363397"",""MTR!C:O""),9,false)"),"")</f>
        <v/>
      </c>
      <c r="P1833" s="241"/>
      <c r="Q1833" s="251" t="s">
        <v>445</v>
      </c>
      <c r="R1833" s="241"/>
      <c r="S1833" s="154" t="s">
        <v>60</v>
      </c>
      <c r="T1833" s="154" t="s">
        <v>60</v>
      </c>
      <c r="U1833" s="154" t="s">
        <v>60</v>
      </c>
      <c r="V1833" s="154" t="s">
        <v>60</v>
      </c>
      <c r="W1833" s="154" t="s">
        <v>60</v>
      </c>
      <c r="X1833" s="154" t="s">
        <v>60</v>
      </c>
      <c r="Y1833" s="154" t="s">
        <v>64</v>
      </c>
      <c r="Z1833" s="154" t="s">
        <v>64</v>
      </c>
      <c r="AA1833" s="154" t="s">
        <v>64</v>
      </c>
      <c r="AB1833" s="154"/>
      <c r="AC1833" s="242" t="b">
        <f t="shared" si="2"/>
        <v>1</v>
      </c>
      <c r="AD1833" s="154" t="s">
        <v>391</v>
      </c>
      <c r="AE1833" s="243" t="b">
        <f t="shared" si="3"/>
        <v>0</v>
      </c>
      <c r="AF1833" s="154"/>
      <c r="AG1833" s="243" t="b">
        <f t="shared" si="7"/>
        <v>0</v>
      </c>
      <c r="AH1833" s="154"/>
      <c r="AI1833" s="243" t="str">
        <f t="shared" si="5"/>
        <v>N/A</v>
      </c>
      <c r="AJ1833" s="157" t="str">
        <f t="shared" si="6"/>
        <v/>
      </c>
    </row>
    <row r="1834" ht="12.75" customHeight="1">
      <c r="A1834" s="244" t="s">
        <v>4158</v>
      </c>
      <c r="B1834" s="244" t="s">
        <v>4161</v>
      </c>
      <c r="C1834" s="244" t="s">
        <v>4671</v>
      </c>
      <c r="D1834" s="154" t="s">
        <v>1211</v>
      </c>
      <c r="E1834" s="250"/>
      <c r="F1834" s="154" t="str">
        <f t="array" ref="F1834">XLOOKUP(Cover!$D$12,$S$1:$AA$1,$S1834:$AA1834)</f>
        <v>Mandatory</v>
      </c>
      <c r="G1834" s="154" t="s">
        <v>4672</v>
      </c>
      <c r="H1834" s="154" t="s">
        <v>3947</v>
      </c>
      <c r="I1834" s="154" t="s">
        <v>632</v>
      </c>
      <c r="J1834" s="247" t="s">
        <v>445</v>
      </c>
      <c r="K1834" s="154"/>
      <c r="L1834" s="154" t="str">
        <f t="shared" si="1"/>
        <v/>
      </c>
      <c r="M1834" s="248" t="str">
        <f>IFERROR(__xludf.DUMMYFUNCTION("VLOOKUP(C1834,IMPORTRANGE(""https://docs.google.com/spreadsheets/d/1P8eX0NWBhUPS_hvzA11R6jkTNFrPrRYIx_dX_hYbxrk/edit?resourcekey=0-iw9bsKY2OqkUHCFMkCar3A&amp;gid=2055363397#gid=2055363397"",""MTR!C:O""),11,false)"),"PMW-IMS")</f>
        <v>PMW-IMS</v>
      </c>
      <c r="N1834" s="248" t="str">
        <f>IFERROR(__xludf.DUMMYFUNCTION("VLOOKUP(C1834,IMPORTRANGE(""https://docs.google.com/spreadsheets/d/1ihFlp3_ePlYtFuPbUNbYj1muErVpI73WHXbEwJDIA7Q/edit#gid=1493122344"",""MTR!C:O""),8,false)"),"Complies")</f>
        <v>Complies</v>
      </c>
      <c r="O1834" s="241" t="str">
        <f>IFERROR(__xludf.DUMMYFUNCTION("VLOOKUP(C1834,IMPORTRANGE(""https://docs.google.com/spreadsheets/d/1P8eX0NWBhUPS_hvzA11R6jkTNFrPrRYIx_dX_hYbxrk/edit?resourcekey=0-iw9bsKY2OqkUHCFMkCar3A&amp;gid=2055363397#gid=2055363397"",""MTR!C:O""),9,false)"),"")</f>
        <v/>
      </c>
      <c r="P1834" s="241"/>
      <c r="Q1834" s="251" t="s">
        <v>445</v>
      </c>
      <c r="R1834" s="241"/>
      <c r="S1834" s="154" t="s">
        <v>60</v>
      </c>
      <c r="T1834" s="154" t="s">
        <v>60</v>
      </c>
      <c r="U1834" s="154" t="s">
        <v>60</v>
      </c>
      <c r="V1834" s="154" t="s">
        <v>60</v>
      </c>
      <c r="W1834" s="154" t="s">
        <v>60</v>
      </c>
      <c r="X1834" s="154" t="s">
        <v>60</v>
      </c>
      <c r="Y1834" s="154" t="s">
        <v>64</v>
      </c>
      <c r="Z1834" s="154" t="s">
        <v>64</v>
      </c>
      <c r="AA1834" s="154" t="s">
        <v>64</v>
      </c>
      <c r="AB1834" s="154"/>
      <c r="AC1834" s="242" t="b">
        <f t="shared" si="2"/>
        <v>1</v>
      </c>
      <c r="AD1834" s="154" t="s">
        <v>391</v>
      </c>
      <c r="AE1834" s="243" t="b">
        <f t="shared" si="3"/>
        <v>0</v>
      </c>
      <c r="AF1834" s="154"/>
      <c r="AG1834" s="243" t="b">
        <f t="shared" si="7"/>
        <v>0</v>
      </c>
      <c r="AH1834" s="154"/>
      <c r="AI1834" s="243" t="str">
        <f t="shared" si="5"/>
        <v>N/A</v>
      </c>
      <c r="AJ1834" s="157" t="str">
        <f t="shared" si="6"/>
        <v/>
      </c>
    </row>
    <row r="1835" ht="12.75" customHeight="1">
      <c r="A1835" s="244" t="s">
        <v>4158</v>
      </c>
      <c r="B1835" s="244" t="s">
        <v>4161</v>
      </c>
      <c r="C1835" s="244" t="s">
        <v>4673</v>
      </c>
      <c r="D1835" s="154" t="s">
        <v>642</v>
      </c>
      <c r="E1835" s="250"/>
      <c r="F1835" s="154" t="str">
        <f t="array" ref="F1835">XLOOKUP(Cover!$D$12,$S$1:$AA$1,$S1835:$AA1835)</f>
        <v>Mandatory</v>
      </c>
      <c r="G1835" s="154" t="s">
        <v>4674</v>
      </c>
      <c r="H1835" s="154" t="s">
        <v>3947</v>
      </c>
      <c r="I1835" s="154" t="s">
        <v>632</v>
      </c>
      <c r="J1835" s="247" t="s">
        <v>445</v>
      </c>
      <c r="K1835" s="247" t="s">
        <v>4489</v>
      </c>
      <c r="L1835" s="154" t="str">
        <f t="shared" si="1"/>
        <v/>
      </c>
      <c r="M1835" s="248" t="str">
        <f>IFERROR(__xludf.DUMMYFUNCTION("VLOOKUP(C1835,IMPORTRANGE(""https://docs.google.com/spreadsheets/d/1P8eX0NWBhUPS_hvzA11R6jkTNFrPrRYIx_dX_hYbxrk/edit?resourcekey=0-iw9bsKY2OqkUHCFMkCar3A&amp;gid=2055363397#gid=2055363397"",""MTR!C:O""),11,false)"),"PMW-IMS")</f>
        <v>PMW-IMS</v>
      </c>
      <c r="N1835" s="248" t="str">
        <f>IFERROR(__xludf.DUMMYFUNCTION("VLOOKUP(C1835,IMPORTRANGE(""https://docs.google.com/spreadsheets/d/1ihFlp3_ePlYtFuPbUNbYj1muErVpI73WHXbEwJDIA7Q/edit#gid=1493122344"",""MTR!C:O""),8,false)"),"Complies")</f>
        <v>Complies</v>
      </c>
      <c r="O1835" s="241" t="str">
        <f>IFERROR(__xludf.DUMMYFUNCTION("VLOOKUP(C1835,IMPORTRANGE(""https://docs.google.com/spreadsheets/d/1P8eX0NWBhUPS_hvzA11R6jkTNFrPrRYIx_dX_hYbxrk/edit?resourcekey=0-iw9bsKY2OqkUHCFMkCar3A&amp;gid=2055363397#gid=2055363397"",""MTR!C:O""),9,false)"),"")</f>
        <v/>
      </c>
      <c r="P1835" s="241"/>
      <c r="Q1835" s="251" t="s">
        <v>445</v>
      </c>
      <c r="R1835" s="271" t="s">
        <v>4489</v>
      </c>
      <c r="S1835" s="154" t="s">
        <v>60</v>
      </c>
      <c r="T1835" s="154" t="s">
        <v>60</v>
      </c>
      <c r="U1835" s="154" t="s">
        <v>60</v>
      </c>
      <c r="V1835" s="154" t="s">
        <v>60</v>
      </c>
      <c r="W1835" s="154" t="s">
        <v>60</v>
      </c>
      <c r="X1835" s="154" t="s">
        <v>60</v>
      </c>
      <c r="Y1835" s="154" t="s">
        <v>64</v>
      </c>
      <c r="Z1835" s="154" t="s">
        <v>64</v>
      </c>
      <c r="AA1835" s="154" t="s">
        <v>64</v>
      </c>
      <c r="AB1835" s="154"/>
      <c r="AC1835" s="242" t="b">
        <f t="shared" si="2"/>
        <v>1</v>
      </c>
      <c r="AD1835" s="154" t="s">
        <v>391</v>
      </c>
      <c r="AE1835" s="243" t="b">
        <f t="shared" si="3"/>
        <v>0</v>
      </c>
      <c r="AF1835" s="154"/>
      <c r="AG1835" s="243" t="b">
        <f t="shared" si="7"/>
        <v>0</v>
      </c>
      <c r="AH1835" s="154"/>
      <c r="AI1835" s="243" t="str">
        <f t="shared" si="5"/>
        <v>N/A</v>
      </c>
      <c r="AJ1835" s="157" t="str">
        <f t="shared" si="6"/>
        <v/>
      </c>
    </row>
    <row r="1836" ht="12.75" customHeight="1">
      <c r="A1836" s="244" t="s">
        <v>4158</v>
      </c>
      <c r="B1836" s="244" t="s">
        <v>4161</v>
      </c>
      <c r="C1836" s="244" t="s">
        <v>4675</v>
      </c>
      <c r="D1836" s="154" t="s">
        <v>503</v>
      </c>
      <c r="E1836" s="250"/>
      <c r="F1836" s="154" t="str">
        <f t="array" ref="F1836">XLOOKUP(Cover!$D$12,$S$1:$AA$1,$S1836:$AA1836)</f>
        <v>Mandatory</v>
      </c>
      <c r="G1836" s="154" t="s">
        <v>4676</v>
      </c>
      <c r="H1836" s="154" t="s">
        <v>3947</v>
      </c>
      <c r="I1836" s="154" t="s">
        <v>632</v>
      </c>
      <c r="J1836" s="247" t="s">
        <v>445</v>
      </c>
      <c r="K1836" s="247" t="s">
        <v>4489</v>
      </c>
      <c r="L1836" s="154" t="str">
        <f t="shared" si="1"/>
        <v/>
      </c>
      <c r="M1836" s="248" t="str">
        <f>IFERROR(__xludf.DUMMYFUNCTION("VLOOKUP(C1836,IMPORTRANGE(""https://docs.google.com/spreadsheets/d/1P8eX0NWBhUPS_hvzA11R6jkTNFrPrRYIx_dX_hYbxrk/edit?resourcekey=0-iw9bsKY2OqkUHCFMkCar3A&amp;gid=2055363397#gid=2055363397"",""MTR!C:O""),11,false)"),"PMW-IMS")</f>
        <v>PMW-IMS</v>
      </c>
      <c r="N1836" s="248" t="str">
        <f>IFERROR(__xludf.DUMMYFUNCTION("VLOOKUP(C1836,IMPORTRANGE(""https://docs.google.com/spreadsheets/d/1ihFlp3_ePlYtFuPbUNbYj1muErVpI73WHXbEwJDIA7Q/edit#gid=1493122344"",""MTR!C:O""),8,false)"),"Complies")</f>
        <v>Complies</v>
      </c>
      <c r="O1836" s="248" t="str">
        <f>IFERROR(__xludf.DUMMYFUNCTION("VLOOKUP(C1836,IMPORTRANGE(""https://docs.google.com/spreadsheets/d/1P8eX0NWBhUPS_hvzA11R6jkTNFrPrRYIx_dX_hYbxrk/edit?resourcekey=0-iw9bsKY2OqkUHCFMkCar3A&amp;gid=2055363397#gid=2055363397"",""MTR!C:O""),9,false)"),"CP IMS Supported")</f>
        <v>CP IMS Supported</v>
      </c>
      <c r="P1836" s="248"/>
      <c r="Q1836" s="249" t="s">
        <v>445</v>
      </c>
      <c r="R1836" s="272" t="s">
        <v>4489</v>
      </c>
      <c r="S1836" s="154" t="s">
        <v>60</v>
      </c>
      <c r="T1836" s="154" t="s">
        <v>60</v>
      </c>
      <c r="U1836" s="154" t="s">
        <v>60</v>
      </c>
      <c r="V1836" s="154" t="s">
        <v>60</v>
      </c>
      <c r="W1836" s="154" t="s">
        <v>60</v>
      </c>
      <c r="X1836" s="154" t="s">
        <v>60</v>
      </c>
      <c r="Y1836" s="154" t="s">
        <v>64</v>
      </c>
      <c r="Z1836" s="154" t="s">
        <v>64</v>
      </c>
      <c r="AA1836" s="154" t="s">
        <v>64</v>
      </c>
      <c r="AB1836" s="154"/>
      <c r="AC1836" s="242" t="b">
        <f t="shared" si="2"/>
        <v>1</v>
      </c>
      <c r="AD1836" s="154" t="s">
        <v>391</v>
      </c>
      <c r="AE1836" s="243" t="b">
        <f t="shared" si="3"/>
        <v>0</v>
      </c>
      <c r="AF1836" s="154"/>
      <c r="AG1836" s="243" t="b">
        <f t="shared" si="7"/>
        <v>0</v>
      </c>
      <c r="AH1836" s="154"/>
      <c r="AI1836" s="243" t="str">
        <f t="shared" si="5"/>
        <v>N/A</v>
      </c>
      <c r="AJ1836" s="157" t="str">
        <f t="shared" si="6"/>
        <v/>
      </c>
    </row>
    <row r="1837" ht="12.75" customHeight="1">
      <c r="A1837" s="244" t="s">
        <v>4158</v>
      </c>
      <c r="B1837" s="244" t="s">
        <v>4161</v>
      </c>
      <c r="C1837" s="244" t="s">
        <v>4677</v>
      </c>
      <c r="D1837" s="154" t="s">
        <v>1211</v>
      </c>
      <c r="E1837" s="250"/>
      <c r="F1837" s="154" t="str">
        <f t="array" ref="F1837">XLOOKUP(Cover!$D$12,$S$1:$AA$1,$S1837:$AA1837)</f>
        <v>Mandatory</v>
      </c>
      <c r="G1837" s="154" t="s">
        <v>4678</v>
      </c>
      <c r="H1837" s="154" t="s">
        <v>347</v>
      </c>
      <c r="I1837" s="154" t="s">
        <v>632</v>
      </c>
      <c r="J1837" s="247" t="s">
        <v>445</v>
      </c>
      <c r="K1837" s="247"/>
      <c r="L1837" s="154" t="str">
        <f t="shared" si="1"/>
        <v/>
      </c>
      <c r="M1837" s="248" t="str">
        <f>IFERROR(__xludf.DUMMYFUNCTION("VLOOKUP(C1837,IMPORTRANGE(""https://docs.google.com/spreadsheets/d/1P8eX0NWBhUPS_hvzA11R6jkTNFrPrRYIx_dX_hYbxrk/edit?resourcekey=0-iw9bsKY2OqkUHCFMkCar3A&amp;gid=2055363397#gid=2055363397"",""MTR!C:O""),11,false)"),"PMW-IMS")</f>
        <v>PMW-IMS</v>
      </c>
      <c r="N1837" s="248" t="str">
        <f>IFERROR(__xludf.DUMMYFUNCTION("VLOOKUP(C1837,IMPORTRANGE(""https://docs.google.com/spreadsheets/d/1ihFlp3_ePlYtFuPbUNbYj1muErVpI73WHXbEwJDIA7Q/edit#gid=1493122344"",""MTR!C:O""),8,false)"),"Complies")</f>
        <v>Complies</v>
      </c>
      <c r="O1837" s="241" t="str">
        <f>IFERROR(__xludf.DUMMYFUNCTION("VLOOKUP(C1837,IMPORTRANGE(""https://docs.google.com/spreadsheets/d/1P8eX0NWBhUPS_hvzA11R6jkTNFrPrRYIx_dX_hYbxrk/edit?resourcekey=0-iw9bsKY2OqkUHCFMkCar3A&amp;gid=2055363397#gid=2055363397"",""MTR!C:O""),9,false)"),"")</f>
        <v/>
      </c>
      <c r="P1837" s="241"/>
      <c r="Q1837" s="251" t="s">
        <v>445</v>
      </c>
      <c r="R1837" s="251"/>
      <c r="S1837" s="154" t="s">
        <v>60</v>
      </c>
      <c r="T1837" s="154" t="s">
        <v>60</v>
      </c>
      <c r="U1837" s="154" t="s">
        <v>60</v>
      </c>
      <c r="V1837" s="154" t="s">
        <v>60</v>
      </c>
      <c r="W1837" s="154" t="s">
        <v>60</v>
      </c>
      <c r="X1837" s="154" t="s">
        <v>60</v>
      </c>
      <c r="Y1837" s="154" t="s">
        <v>64</v>
      </c>
      <c r="Z1837" s="154" t="s">
        <v>64</v>
      </c>
      <c r="AA1837" s="154" t="s">
        <v>64</v>
      </c>
      <c r="AB1837" s="154"/>
      <c r="AC1837" s="242" t="b">
        <f t="shared" si="2"/>
        <v>1</v>
      </c>
      <c r="AD1837" s="154" t="s">
        <v>391</v>
      </c>
      <c r="AE1837" s="243" t="b">
        <f t="shared" si="3"/>
        <v>0</v>
      </c>
      <c r="AF1837" s="154"/>
      <c r="AG1837" s="243" t="b">
        <f t="shared" si="7"/>
        <v>0</v>
      </c>
      <c r="AH1837" s="154"/>
      <c r="AI1837" s="243" t="str">
        <f t="shared" si="5"/>
        <v>N/A</v>
      </c>
      <c r="AJ1837" s="157" t="str">
        <f t="shared" si="6"/>
        <v/>
      </c>
    </row>
    <row r="1838" ht="12.75" customHeight="1">
      <c r="A1838" s="238" t="s">
        <v>4158</v>
      </c>
      <c r="B1838" s="238" t="s">
        <v>4161</v>
      </c>
      <c r="C1838" s="238" t="s">
        <v>4679</v>
      </c>
      <c r="D1838" s="238"/>
      <c r="E1838" s="238"/>
      <c r="F1838" s="154" t="str">
        <f t="array" ref="F1838">XLOOKUP(Cover!$D$12,$S$1:$AA$1,$S1838:$AA1838)</f>
        <v>Heading</v>
      </c>
      <c r="G1838" s="239" t="s">
        <v>4680</v>
      </c>
      <c r="H1838" s="240"/>
      <c r="I1838" s="240" t="s">
        <v>632</v>
      </c>
      <c r="J1838" s="262"/>
      <c r="K1838" s="240"/>
      <c r="L1838" s="154" t="str">
        <f t="shared" si="1"/>
        <v/>
      </c>
      <c r="M1838" s="241" t="str">
        <f>IFERROR(__xludf.DUMMYFUNCTION("VLOOKUP(C1838,IMPORTRANGE(""https://docs.google.com/spreadsheets/d/1P8eX0NWBhUPS_hvzA11R6jkTNFrPrRYIx_dX_hYbxrk/edit?resourcekey=0-iw9bsKY2OqkUHCFMkCar3A&amp;gid=2055363397#gid=2055363397"",""MTR!C:O""),11,false)"),"")</f>
        <v/>
      </c>
      <c r="N1838" s="241" t="str">
        <f>IFERROR(__xludf.DUMMYFUNCTION("VLOOKUP(C1838,IMPORTRANGE(""https://docs.google.com/spreadsheets/d/1ihFlp3_ePlYtFuPbUNbYj1muErVpI73WHXbEwJDIA7Q/edit#gid=1493122344"",""MTR!C:O""),8,false)"),"")</f>
        <v/>
      </c>
      <c r="O1838" s="241" t="str">
        <f>IFERROR(__xludf.DUMMYFUNCTION("VLOOKUP(C1838,IMPORTRANGE(""https://docs.google.com/spreadsheets/d/1P8eX0NWBhUPS_hvzA11R6jkTNFrPrRYIx_dX_hYbxrk/edit?resourcekey=0-iw9bsKY2OqkUHCFMkCar3A&amp;gid=2055363397#gid=2055363397"",""MTR!C:O""),9,false)"),"")</f>
        <v/>
      </c>
      <c r="P1838" s="241"/>
      <c r="Q1838" s="251"/>
      <c r="R1838" s="241"/>
      <c r="S1838" s="240" t="s">
        <v>390</v>
      </c>
      <c r="T1838" s="240" t="s">
        <v>390</v>
      </c>
      <c r="U1838" s="240" t="s">
        <v>390</v>
      </c>
      <c r="V1838" s="240" t="s">
        <v>390</v>
      </c>
      <c r="W1838" s="240" t="s">
        <v>390</v>
      </c>
      <c r="X1838" s="240" t="s">
        <v>390</v>
      </c>
      <c r="Y1838" s="240" t="s">
        <v>390</v>
      </c>
      <c r="Z1838" s="240" t="s">
        <v>390</v>
      </c>
      <c r="AA1838" s="240" t="s">
        <v>390</v>
      </c>
      <c r="AB1838" s="240"/>
      <c r="AC1838" s="242" t="b">
        <f t="shared" si="2"/>
        <v>0</v>
      </c>
      <c r="AD1838" s="240" t="s">
        <v>391</v>
      </c>
      <c r="AE1838" s="243" t="b">
        <f t="shared" si="3"/>
        <v>0</v>
      </c>
      <c r="AF1838" s="240"/>
      <c r="AG1838" s="243" t="b">
        <f t="shared" si="7"/>
        <v>0</v>
      </c>
      <c r="AH1838" s="240"/>
      <c r="AI1838" s="243" t="str">
        <f t="shared" si="5"/>
        <v>N/A</v>
      </c>
      <c r="AJ1838" s="157" t="str">
        <f t="shared" si="6"/>
        <v/>
      </c>
    </row>
    <row r="1839" ht="12.75" customHeight="1">
      <c r="A1839" s="244" t="s">
        <v>4158</v>
      </c>
      <c r="B1839" s="244" t="s">
        <v>4161</v>
      </c>
      <c r="C1839" s="244" t="s">
        <v>4681</v>
      </c>
      <c r="D1839" s="154" t="s">
        <v>1120</v>
      </c>
      <c r="E1839" s="250"/>
      <c r="F1839" s="154" t="str">
        <f t="array" ref="F1839">XLOOKUP(Cover!$D$12,$S$1:$AA$1,$S1839:$AA1839)</f>
        <v>Mandatory</v>
      </c>
      <c r="G1839" s="154" t="s">
        <v>4682</v>
      </c>
      <c r="H1839" s="154" t="s">
        <v>347</v>
      </c>
      <c r="I1839" s="154" t="s">
        <v>632</v>
      </c>
      <c r="J1839" s="247" t="s">
        <v>445</v>
      </c>
      <c r="K1839" s="154"/>
      <c r="L1839" s="154" t="str">
        <f t="shared" si="1"/>
        <v/>
      </c>
      <c r="M1839" s="248" t="str">
        <f>IFERROR(__xludf.DUMMYFUNCTION("VLOOKUP(C1839,IMPORTRANGE(""https://docs.google.com/spreadsheets/d/1P8eX0NWBhUPS_hvzA11R6jkTNFrPrRYIx_dX_hYbxrk/edit?resourcekey=0-iw9bsKY2OqkUHCFMkCar3A&amp;gid=2055363397#gid=2055363397"",""MTR!C:O""),11,false)"),"PMW-IMS")</f>
        <v>PMW-IMS</v>
      </c>
      <c r="N1839" s="248" t="str">
        <f>IFERROR(__xludf.DUMMYFUNCTION("VLOOKUP(C1839,IMPORTRANGE(""https://docs.google.com/spreadsheets/d/1ihFlp3_ePlYtFuPbUNbYj1muErVpI73WHXbEwJDIA7Q/edit#gid=1493122344"",""MTR!C:O""),8,false)"),"Complies")</f>
        <v>Complies</v>
      </c>
      <c r="O1839" s="241" t="str">
        <f>IFERROR(__xludf.DUMMYFUNCTION("VLOOKUP(C1839,IMPORTRANGE(""https://docs.google.com/spreadsheets/d/1P8eX0NWBhUPS_hvzA11R6jkTNFrPrRYIx_dX_hYbxrk/edit?resourcekey=0-iw9bsKY2OqkUHCFMkCar3A&amp;gid=2055363397#gid=2055363397"",""MTR!C:O""),9,false)"),"")</f>
        <v/>
      </c>
      <c r="P1839" s="241"/>
      <c r="Q1839" s="251" t="s">
        <v>445</v>
      </c>
      <c r="R1839" s="241"/>
      <c r="S1839" s="154" t="s">
        <v>60</v>
      </c>
      <c r="T1839" s="154" t="s">
        <v>60</v>
      </c>
      <c r="U1839" s="154" t="s">
        <v>60</v>
      </c>
      <c r="V1839" s="154" t="s">
        <v>60</v>
      </c>
      <c r="W1839" s="154" t="s">
        <v>60</v>
      </c>
      <c r="X1839" s="154" t="s">
        <v>60</v>
      </c>
      <c r="Y1839" s="154" t="s">
        <v>64</v>
      </c>
      <c r="Z1839" s="154" t="s">
        <v>64</v>
      </c>
      <c r="AA1839" s="154" t="s">
        <v>64</v>
      </c>
      <c r="AB1839" s="154"/>
      <c r="AC1839" s="242" t="b">
        <f t="shared" si="2"/>
        <v>1</v>
      </c>
      <c r="AD1839" s="154" t="s">
        <v>391</v>
      </c>
      <c r="AE1839" s="243" t="b">
        <f t="shared" si="3"/>
        <v>0</v>
      </c>
      <c r="AF1839" s="154"/>
      <c r="AG1839" s="243" t="b">
        <f t="shared" si="7"/>
        <v>0</v>
      </c>
      <c r="AH1839" s="154"/>
      <c r="AI1839" s="243" t="str">
        <f t="shared" si="5"/>
        <v>N/A</v>
      </c>
      <c r="AJ1839" s="157" t="str">
        <f t="shared" si="6"/>
        <v/>
      </c>
    </row>
    <row r="1840" ht="12.75" customHeight="1">
      <c r="A1840" s="244" t="s">
        <v>4158</v>
      </c>
      <c r="B1840" s="244" t="s">
        <v>4161</v>
      </c>
      <c r="C1840" s="244" t="s">
        <v>4683</v>
      </c>
      <c r="D1840" s="154" t="s">
        <v>1120</v>
      </c>
      <c r="E1840" s="250"/>
      <c r="F1840" s="154" t="str">
        <f t="array" ref="F1840">XLOOKUP(Cover!$D$12,$S$1:$AA$1,$S1840:$AA1840)</f>
        <v>Mandatory</v>
      </c>
      <c r="G1840" s="154" t="s">
        <v>4684</v>
      </c>
      <c r="H1840" s="154" t="s">
        <v>347</v>
      </c>
      <c r="I1840" s="154" t="s">
        <v>632</v>
      </c>
      <c r="J1840" s="247" t="s">
        <v>445</v>
      </c>
      <c r="K1840" s="154"/>
      <c r="L1840" s="154" t="str">
        <f t="shared" si="1"/>
        <v/>
      </c>
      <c r="M1840" s="248" t="str">
        <f>IFERROR(__xludf.DUMMYFUNCTION("VLOOKUP(C1840,IMPORTRANGE(""https://docs.google.com/spreadsheets/d/1P8eX0NWBhUPS_hvzA11R6jkTNFrPrRYIx_dX_hYbxrk/edit?resourcekey=0-iw9bsKY2OqkUHCFMkCar3A&amp;gid=2055363397#gid=2055363397"",""MTR!C:O""),11,false)"),"PMW-IMS")</f>
        <v>PMW-IMS</v>
      </c>
      <c r="N1840" s="248" t="str">
        <f>IFERROR(__xludf.DUMMYFUNCTION("VLOOKUP(C1840,IMPORTRANGE(""https://docs.google.com/spreadsheets/d/1ihFlp3_ePlYtFuPbUNbYj1muErVpI73WHXbEwJDIA7Q/edit#gid=1493122344"",""MTR!C:O""),8,false)"),"Complies")</f>
        <v>Complies</v>
      </c>
      <c r="O1840" s="241" t="str">
        <f>IFERROR(__xludf.DUMMYFUNCTION("VLOOKUP(C1840,IMPORTRANGE(""https://docs.google.com/spreadsheets/d/1P8eX0NWBhUPS_hvzA11R6jkTNFrPrRYIx_dX_hYbxrk/edit?resourcekey=0-iw9bsKY2OqkUHCFMkCar3A&amp;gid=2055363397#gid=2055363397"",""MTR!C:O""),9,false)"),"")</f>
        <v/>
      </c>
      <c r="P1840" s="241"/>
      <c r="Q1840" s="251" t="s">
        <v>445</v>
      </c>
      <c r="R1840" s="241"/>
      <c r="S1840" s="154" t="s">
        <v>60</v>
      </c>
      <c r="T1840" s="154" t="s">
        <v>60</v>
      </c>
      <c r="U1840" s="154" t="s">
        <v>60</v>
      </c>
      <c r="V1840" s="154" t="s">
        <v>60</v>
      </c>
      <c r="W1840" s="154" t="s">
        <v>60</v>
      </c>
      <c r="X1840" s="154" t="s">
        <v>60</v>
      </c>
      <c r="Y1840" s="154" t="s">
        <v>64</v>
      </c>
      <c r="Z1840" s="154" t="s">
        <v>64</v>
      </c>
      <c r="AA1840" s="154" t="s">
        <v>64</v>
      </c>
      <c r="AB1840" s="154"/>
      <c r="AC1840" s="242" t="b">
        <f t="shared" si="2"/>
        <v>1</v>
      </c>
      <c r="AD1840" s="154" t="s">
        <v>391</v>
      </c>
      <c r="AE1840" s="243" t="b">
        <f t="shared" si="3"/>
        <v>0</v>
      </c>
      <c r="AF1840" s="154"/>
      <c r="AG1840" s="243" t="b">
        <f t="shared" si="7"/>
        <v>0</v>
      </c>
      <c r="AH1840" s="154"/>
      <c r="AI1840" s="243" t="str">
        <f t="shared" si="5"/>
        <v>N/A</v>
      </c>
      <c r="AJ1840" s="157" t="str">
        <f t="shared" si="6"/>
        <v/>
      </c>
    </row>
    <row r="1841" ht="12.75" customHeight="1">
      <c r="A1841" s="244" t="s">
        <v>4158</v>
      </c>
      <c r="B1841" s="244" t="s">
        <v>4161</v>
      </c>
      <c r="C1841" s="244" t="s">
        <v>4685</v>
      </c>
      <c r="D1841" s="154" t="s">
        <v>581</v>
      </c>
      <c r="E1841" s="250"/>
      <c r="F1841" s="154" t="str">
        <f t="array" ref="F1841">XLOOKUP(Cover!$D$12,$S$1:$AA$1,$S1841:$AA1841)</f>
        <v>Mandatory</v>
      </c>
      <c r="G1841" s="154" t="s">
        <v>4686</v>
      </c>
      <c r="H1841" s="154" t="s">
        <v>347</v>
      </c>
      <c r="I1841" s="154" t="s">
        <v>632</v>
      </c>
      <c r="J1841" s="247" t="s">
        <v>445</v>
      </c>
      <c r="K1841" s="154"/>
      <c r="L1841" s="154" t="str">
        <f t="shared" si="1"/>
        <v/>
      </c>
      <c r="M1841" s="248" t="str">
        <f>IFERROR(__xludf.DUMMYFUNCTION("VLOOKUP(C1841,IMPORTRANGE(""https://docs.google.com/spreadsheets/d/1P8eX0NWBhUPS_hvzA11R6jkTNFrPrRYIx_dX_hYbxrk/edit?resourcekey=0-iw9bsKY2OqkUHCFMkCar3A&amp;gid=2055363397#gid=2055363397"",""MTR!C:O""),11,false)"),"PMW-IMS")</f>
        <v>PMW-IMS</v>
      </c>
      <c r="N1841" s="248" t="str">
        <f>IFERROR(__xludf.DUMMYFUNCTION("VLOOKUP(C1841,IMPORTRANGE(""https://docs.google.com/spreadsheets/d/1ihFlp3_ePlYtFuPbUNbYj1muErVpI73WHXbEwJDIA7Q/edit#gid=1493122344"",""MTR!C:O""),8,false)"),"Complies")</f>
        <v>Complies</v>
      </c>
      <c r="O1841" s="241" t="str">
        <f>IFERROR(__xludf.DUMMYFUNCTION("VLOOKUP(C1841,IMPORTRANGE(""https://docs.google.com/spreadsheets/d/1P8eX0NWBhUPS_hvzA11R6jkTNFrPrRYIx_dX_hYbxrk/edit?resourcekey=0-iw9bsKY2OqkUHCFMkCar3A&amp;gid=2055363397#gid=2055363397"",""MTR!C:O""),9,false)"),"")</f>
        <v/>
      </c>
      <c r="P1841" s="241"/>
      <c r="Q1841" s="251" t="s">
        <v>445</v>
      </c>
      <c r="R1841" s="241"/>
      <c r="S1841" s="154" t="s">
        <v>60</v>
      </c>
      <c r="T1841" s="154" t="s">
        <v>60</v>
      </c>
      <c r="U1841" s="154" t="s">
        <v>60</v>
      </c>
      <c r="V1841" s="154" t="s">
        <v>60</v>
      </c>
      <c r="W1841" s="154" t="s">
        <v>60</v>
      </c>
      <c r="X1841" s="154" t="s">
        <v>60</v>
      </c>
      <c r="Y1841" s="154" t="s">
        <v>64</v>
      </c>
      <c r="Z1841" s="154" t="s">
        <v>64</v>
      </c>
      <c r="AA1841" s="154" t="s">
        <v>64</v>
      </c>
      <c r="AB1841" s="154"/>
      <c r="AC1841" s="242" t="b">
        <f t="shared" si="2"/>
        <v>1</v>
      </c>
      <c r="AD1841" s="154" t="s">
        <v>391</v>
      </c>
      <c r="AE1841" s="243" t="b">
        <f t="shared" si="3"/>
        <v>0</v>
      </c>
      <c r="AF1841" s="154"/>
      <c r="AG1841" s="243" t="b">
        <f t="shared" si="7"/>
        <v>0</v>
      </c>
      <c r="AH1841" s="154"/>
      <c r="AI1841" s="243" t="str">
        <f t="shared" si="5"/>
        <v>N/A</v>
      </c>
      <c r="AJ1841" s="157" t="str">
        <f t="shared" si="6"/>
        <v/>
      </c>
    </row>
    <row r="1842" ht="12.75" customHeight="1">
      <c r="A1842" s="244" t="s">
        <v>4158</v>
      </c>
      <c r="B1842" s="244" t="s">
        <v>4161</v>
      </c>
      <c r="C1842" s="244" t="s">
        <v>4687</v>
      </c>
      <c r="D1842" s="154" t="s">
        <v>1069</v>
      </c>
      <c r="E1842" s="250"/>
      <c r="F1842" s="154" t="str">
        <f t="array" ref="F1842">XLOOKUP(Cover!$D$12,$S$1:$AA$1,$S1842:$AA1842)</f>
        <v>Mandatory</v>
      </c>
      <c r="G1842" s="154" t="s">
        <v>4688</v>
      </c>
      <c r="H1842" s="154" t="s">
        <v>347</v>
      </c>
      <c r="I1842" s="154" t="s">
        <v>632</v>
      </c>
      <c r="J1842" s="247" t="s">
        <v>445</v>
      </c>
      <c r="K1842" s="154"/>
      <c r="L1842" s="154" t="str">
        <f t="shared" si="1"/>
        <v/>
      </c>
      <c r="M1842" s="248" t="str">
        <f>IFERROR(__xludf.DUMMYFUNCTION("VLOOKUP(C1842,IMPORTRANGE(""https://docs.google.com/spreadsheets/d/1P8eX0NWBhUPS_hvzA11R6jkTNFrPrRYIx_dX_hYbxrk/edit?resourcekey=0-iw9bsKY2OqkUHCFMkCar3A&amp;gid=2055363397#gid=2055363397"",""MTR!C:O""),11,false)"),"PMW-IMS")</f>
        <v>PMW-IMS</v>
      </c>
      <c r="N1842" s="248" t="str">
        <f>IFERROR(__xludf.DUMMYFUNCTION("VLOOKUP(C1842,IMPORTRANGE(""https://docs.google.com/spreadsheets/d/1ihFlp3_ePlYtFuPbUNbYj1muErVpI73WHXbEwJDIA7Q/edit#gid=1493122344"",""MTR!C:O""),8,false)"),"Complies")</f>
        <v>Complies</v>
      </c>
      <c r="O1842" s="241" t="str">
        <f>IFERROR(__xludf.DUMMYFUNCTION("VLOOKUP(C1842,IMPORTRANGE(""https://docs.google.com/spreadsheets/d/1P8eX0NWBhUPS_hvzA11R6jkTNFrPrRYIx_dX_hYbxrk/edit?resourcekey=0-iw9bsKY2OqkUHCFMkCar3A&amp;gid=2055363397#gid=2055363397"",""MTR!C:O""),9,false)"),"")</f>
        <v/>
      </c>
      <c r="P1842" s="241"/>
      <c r="Q1842" s="251" t="s">
        <v>445</v>
      </c>
      <c r="R1842" s="241"/>
      <c r="S1842" s="154" t="s">
        <v>60</v>
      </c>
      <c r="T1842" s="154" t="s">
        <v>60</v>
      </c>
      <c r="U1842" s="154" t="s">
        <v>60</v>
      </c>
      <c r="V1842" s="154" t="s">
        <v>60</v>
      </c>
      <c r="W1842" s="154" t="s">
        <v>60</v>
      </c>
      <c r="X1842" s="154" t="s">
        <v>60</v>
      </c>
      <c r="Y1842" s="154" t="s">
        <v>64</v>
      </c>
      <c r="Z1842" s="154" t="s">
        <v>64</v>
      </c>
      <c r="AA1842" s="154" t="s">
        <v>64</v>
      </c>
      <c r="AB1842" s="154"/>
      <c r="AC1842" s="242" t="b">
        <f t="shared" si="2"/>
        <v>1</v>
      </c>
      <c r="AD1842" s="154" t="s">
        <v>391</v>
      </c>
      <c r="AE1842" s="243" t="b">
        <f t="shared" si="3"/>
        <v>0</v>
      </c>
      <c r="AF1842" s="154"/>
      <c r="AG1842" s="243" t="b">
        <f t="shared" si="7"/>
        <v>0</v>
      </c>
      <c r="AH1842" s="154"/>
      <c r="AI1842" s="243" t="str">
        <f t="shared" si="5"/>
        <v>N/A</v>
      </c>
      <c r="AJ1842" s="157" t="str">
        <f t="shared" si="6"/>
        <v/>
      </c>
    </row>
    <row r="1843" ht="12.75" customHeight="1">
      <c r="A1843" s="244" t="s">
        <v>4158</v>
      </c>
      <c r="B1843" s="244" t="s">
        <v>4161</v>
      </c>
      <c r="C1843" s="244" t="s">
        <v>4689</v>
      </c>
      <c r="D1843" s="154" t="s">
        <v>542</v>
      </c>
      <c r="E1843" s="250"/>
      <c r="F1843" s="154" t="str">
        <f t="array" ref="F1843">XLOOKUP(Cover!$D$12,$S$1:$AA$1,$S1843:$AA1843)</f>
        <v>Mandatory</v>
      </c>
      <c r="G1843" s="154" t="s">
        <v>4690</v>
      </c>
      <c r="H1843" s="154" t="s">
        <v>347</v>
      </c>
      <c r="I1843" s="154" t="s">
        <v>632</v>
      </c>
      <c r="J1843" s="247" t="s">
        <v>445</v>
      </c>
      <c r="K1843" s="154"/>
      <c r="L1843" s="154" t="str">
        <f t="shared" si="1"/>
        <v/>
      </c>
      <c r="M1843" s="248" t="str">
        <f>IFERROR(__xludf.DUMMYFUNCTION("VLOOKUP(C1843,IMPORTRANGE(""https://docs.google.com/spreadsheets/d/1P8eX0NWBhUPS_hvzA11R6jkTNFrPrRYIx_dX_hYbxrk/edit?resourcekey=0-iw9bsKY2OqkUHCFMkCar3A&amp;gid=2055363397#gid=2055363397"",""MTR!C:O""),11,false)"),"PMW-IMS")</f>
        <v>PMW-IMS</v>
      </c>
      <c r="N1843" s="248" t="str">
        <f>IFERROR(__xludf.DUMMYFUNCTION("VLOOKUP(C1843,IMPORTRANGE(""https://docs.google.com/spreadsheets/d/1ihFlp3_ePlYtFuPbUNbYj1muErVpI73WHXbEwJDIA7Q/edit#gid=1493122344"",""MTR!C:O""),8,false)"),"Complies")</f>
        <v>Complies</v>
      </c>
      <c r="O1843" s="241" t="str">
        <f>IFERROR(__xludf.DUMMYFUNCTION("VLOOKUP(C1843,IMPORTRANGE(""https://docs.google.com/spreadsheets/d/1P8eX0NWBhUPS_hvzA11R6jkTNFrPrRYIx_dX_hYbxrk/edit?resourcekey=0-iw9bsKY2OqkUHCFMkCar3A&amp;gid=2055363397#gid=2055363397"",""MTR!C:O""),9,false)"),"")</f>
        <v/>
      </c>
      <c r="P1843" s="241"/>
      <c r="Q1843" s="251" t="s">
        <v>445</v>
      </c>
      <c r="R1843" s="241"/>
      <c r="S1843" s="154" t="s">
        <v>60</v>
      </c>
      <c r="T1843" s="154" t="s">
        <v>60</v>
      </c>
      <c r="U1843" s="154" t="s">
        <v>60</v>
      </c>
      <c r="V1843" s="154" t="s">
        <v>60</v>
      </c>
      <c r="W1843" s="154" t="s">
        <v>60</v>
      </c>
      <c r="X1843" s="154" t="s">
        <v>60</v>
      </c>
      <c r="Y1843" s="154" t="s">
        <v>64</v>
      </c>
      <c r="Z1843" s="154" t="s">
        <v>64</v>
      </c>
      <c r="AA1843" s="154" t="s">
        <v>64</v>
      </c>
      <c r="AB1843" s="154"/>
      <c r="AC1843" s="242" t="b">
        <f t="shared" si="2"/>
        <v>1</v>
      </c>
      <c r="AD1843" s="154" t="s">
        <v>391</v>
      </c>
      <c r="AE1843" s="243" t="b">
        <f t="shared" si="3"/>
        <v>0</v>
      </c>
      <c r="AF1843" s="154"/>
      <c r="AG1843" s="243" t="b">
        <f t="shared" si="7"/>
        <v>0</v>
      </c>
      <c r="AH1843" s="154"/>
      <c r="AI1843" s="243" t="str">
        <f t="shared" si="5"/>
        <v>N/A</v>
      </c>
      <c r="AJ1843" s="157" t="str">
        <f t="shared" si="6"/>
        <v/>
      </c>
    </row>
    <row r="1844" ht="12.75" customHeight="1">
      <c r="A1844" s="244" t="s">
        <v>4158</v>
      </c>
      <c r="B1844" s="244" t="s">
        <v>4161</v>
      </c>
      <c r="C1844" s="244" t="s">
        <v>4691</v>
      </c>
      <c r="D1844" s="154" t="s">
        <v>542</v>
      </c>
      <c r="E1844" s="250"/>
      <c r="F1844" s="154" t="str">
        <f t="array" ref="F1844">XLOOKUP(Cover!$D$12,$S$1:$AA$1,$S1844:$AA1844)</f>
        <v>Mandatory</v>
      </c>
      <c r="G1844" s="154" t="s">
        <v>4692</v>
      </c>
      <c r="H1844" s="154" t="s">
        <v>347</v>
      </c>
      <c r="I1844" s="154" t="s">
        <v>632</v>
      </c>
      <c r="J1844" s="247" t="s">
        <v>445</v>
      </c>
      <c r="K1844" s="247" t="s">
        <v>4693</v>
      </c>
      <c r="L1844" s="154" t="str">
        <f t="shared" si="1"/>
        <v/>
      </c>
      <c r="M1844" s="248" t="str">
        <f>IFERROR(__xludf.DUMMYFUNCTION("VLOOKUP(C1844,IMPORTRANGE(""https://docs.google.com/spreadsheets/d/1P8eX0NWBhUPS_hvzA11R6jkTNFrPrRYIx_dX_hYbxrk/edit?resourcekey=0-iw9bsKY2OqkUHCFMkCar3A&amp;gid=2055363397#gid=2055363397"",""MTR!C:O""),11,false)"),"PMW-IMS")</f>
        <v>PMW-IMS</v>
      </c>
      <c r="N1844" s="248" t="str">
        <f>IFERROR(__xludf.DUMMYFUNCTION("VLOOKUP(C1844,IMPORTRANGE(""https://docs.google.com/spreadsheets/d/1ihFlp3_ePlYtFuPbUNbYj1muErVpI73WHXbEwJDIA7Q/edit#gid=1493122344"",""MTR!C:O""),8,false)"),"Complies")</f>
        <v>Complies</v>
      </c>
      <c r="O1844" s="248" t="str">
        <f>IFERROR(__xludf.DUMMYFUNCTION("VLOOKUP(C1844,IMPORTRANGE(""https://docs.google.com/spreadsheets/d/1P8eX0NWBhUPS_hvzA11R6jkTNFrPrRYIx_dX_hYbxrk/edit?resourcekey=0-iw9bsKY2OqkUHCFMkCar3A&amp;gid=2055363397#gid=2055363397"",""MTR!C:O""),9,false)"),"Config in AP existing configs, e.g., VOICE_OVER_LTE, VIDEO_OVER_LTE")</f>
        <v>Config in AP existing configs, e.g., VOICE_OVER_LTE, VIDEO_OVER_LTE</v>
      </c>
      <c r="P1844" s="248"/>
      <c r="Q1844" s="249" t="s">
        <v>445</v>
      </c>
      <c r="R1844" s="249" t="s">
        <v>4693</v>
      </c>
      <c r="S1844" s="154" t="s">
        <v>60</v>
      </c>
      <c r="T1844" s="154" t="s">
        <v>60</v>
      </c>
      <c r="U1844" s="154" t="s">
        <v>60</v>
      </c>
      <c r="V1844" s="154" t="s">
        <v>60</v>
      </c>
      <c r="W1844" s="154" t="s">
        <v>60</v>
      </c>
      <c r="X1844" s="154" t="s">
        <v>60</v>
      </c>
      <c r="Y1844" s="154" t="s">
        <v>64</v>
      </c>
      <c r="Z1844" s="154" t="s">
        <v>64</v>
      </c>
      <c r="AA1844" s="154" t="s">
        <v>64</v>
      </c>
      <c r="AB1844" s="154"/>
      <c r="AC1844" s="242" t="b">
        <f t="shared" si="2"/>
        <v>1</v>
      </c>
      <c r="AD1844" s="154" t="s">
        <v>391</v>
      </c>
      <c r="AE1844" s="243" t="b">
        <f t="shared" si="3"/>
        <v>0</v>
      </c>
      <c r="AF1844" s="154"/>
      <c r="AG1844" s="243" t="b">
        <f t="shared" si="7"/>
        <v>0</v>
      </c>
      <c r="AH1844" s="154"/>
      <c r="AI1844" s="243" t="str">
        <f t="shared" si="5"/>
        <v>N/A</v>
      </c>
      <c r="AJ1844" s="157" t="str">
        <f t="shared" si="6"/>
        <v/>
      </c>
    </row>
    <row r="1845" ht="12.75" customHeight="1">
      <c r="A1845" s="244" t="s">
        <v>4158</v>
      </c>
      <c r="B1845" s="244" t="s">
        <v>4161</v>
      </c>
      <c r="C1845" s="244" t="s">
        <v>4694</v>
      </c>
      <c r="D1845" s="154" t="s">
        <v>542</v>
      </c>
      <c r="E1845" s="250"/>
      <c r="F1845" s="154" t="str">
        <f t="array" ref="F1845">XLOOKUP(Cover!$D$12,$S$1:$AA$1,$S1845:$AA1845)</f>
        <v>Mandatory</v>
      </c>
      <c r="G1845" s="154" t="s">
        <v>4695</v>
      </c>
      <c r="H1845" s="154" t="s">
        <v>347</v>
      </c>
      <c r="I1845" s="154" t="s">
        <v>632</v>
      </c>
      <c r="J1845" s="247" t="s">
        <v>445</v>
      </c>
      <c r="K1845" s="247"/>
      <c r="L1845" s="154" t="str">
        <f t="shared" si="1"/>
        <v/>
      </c>
      <c r="M1845" s="248" t="str">
        <f>IFERROR(__xludf.DUMMYFUNCTION("VLOOKUP(C1845,IMPORTRANGE(""https://docs.google.com/spreadsheets/d/1P8eX0NWBhUPS_hvzA11R6jkTNFrPrRYIx_dX_hYbxrk/edit?resourcekey=0-iw9bsKY2OqkUHCFMkCar3A&amp;gid=2055363397#gid=2055363397"",""MTR!C:O""),11,false)"),"PMW-IMS")</f>
        <v>PMW-IMS</v>
      </c>
      <c r="N1845" s="248" t="str">
        <f>IFERROR(__xludf.DUMMYFUNCTION("VLOOKUP(C1845,IMPORTRANGE(""https://docs.google.com/spreadsheets/d/1ihFlp3_ePlYtFuPbUNbYj1muErVpI73WHXbEwJDIA7Q/edit#gid=1493122344"",""MTR!C:O""),8,false)"),"Complies")</f>
        <v>Complies</v>
      </c>
      <c r="O1845" s="241" t="str">
        <f>IFERROR(__xludf.DUMMYFUNCTION("VLOOKUP(C1845,IMPORTRANGE(""https://docs.google.com/spreadsheets/d/1P8eX0NWBhUPS_hvzA11R6jkTNFrPrRYIx_dX_hYbxrk/edit?resourcekey=0-iw9bsKY2OqkUHCFMkCar3A&amp;gid=2055363397#gid=2055363397"",""MTR!C:O""),9,false)"),"")</f>
        <v/>
      </c>
      <c r="P1845" s="241"/>
      <c r="Q1845" s="251" t="s">
        <v>445</v>
      </c>
      <c r="R1845" s="251"/>
      <c r="S1845" s="154" t="s">
        <v>60</v>
      </c>
      <c r="T1845" s="154" t="s">
        <v>60</v>
      </c>
      <c r="U1845" s="154" t="s">
        <v>60</v>
      </c>
      <c r="V1845" s="154" t="s">
        <v>60</v>
      </c>
      <c r="W1845" s="154" t="s">
        <v>60</v>
      </c>
      <c r="X1845" s="154" t="s">
        <v>60</v>
      </c>
      <c r="Y1845" s="154" t="s">
        <v>64</v>
      </c>
      <c r="Z1845" s="154" t="s">
        <v>64</v>
      </c>
      <c r="AA1845" s="154" t="s">
        <v>64</v>
      </c>
      <c r="AB1845" s="154"/>
      <c r="AC1845" s="242" t="b">
        <f t="shared" si="2"/>
        <v>1</v>
      </c>
      <c r="AD1845" s="154" t="s">
        <v>391</v>
      </c>
      <c r="AE1845" s="243" t="b">
        <f t="shared" si="3"/>
        <v>0</v>
      </c>
      <c r="AF1845" s="154"/>
      <c r="AG1845" s="243" t="b">
        <f t="shared" si="7"/>
        <v>0</v>
      </c>
      <c r="AH1845" s="154"/>
      <c r="AI1845" s="243" t="str">
        <f t="shared" si="5"/>
        <v>N/A</v>
      </c>
      <c r="AJ1845" s="157" t="str">
        <f t="shared" si="6"/>
        <v/>
      </c>
    </row>
    <row r="1846" ht="12.75" customHeight="1">
      <c r="A1846" s="244" t="s">
        <v>4158</v>
      </c>
      <c r="B1846" s="244" t="s">
        <v>4161</v>
      </c>
      <c r="C1846" s="244" t="s">
        <v>4696</v>
      </c>
      <c r="D1846" s="154" t="s">
        <v>542</v>
      </c>
      <c r="E1846" s="250"/>
      <c r="F1846" s="154" t="str">
        <f t="array" ref="F1846">XLOOKUP(Cover!$D$12,$S$1:$AA$1,$S1846:$AA1846)</f>
        <v>Mandatory</v>
      </c>
      <c r="G1846" s="154" t="s">
        <v>4697</v>
      </c>
      <c r="H1846" s="154" t="s">
        <v>3947</v>
      </c>
      <c r="I1846" s="154" t="s">
        <v>632</v>
      </c>
      <c r="J1846" s="247" t="s">
        <v>445</v>
      </c>
      <c r="K1846" s="154"/>
      <c r="L1846" s="154" t="str">
        <f t="shared" si="1"/>
        <v/>
      </c>
      <c r="M1846" s="248" t="str">
        <f>IFERROR(__xludf.DUMMYFUNCTION("VLOOKUP(C1846,IMPORTRANGE(""https://docs.google.com/spreadsheets/d/1P8eX0NWBhUPS_hvzA11R6jkTNFrPrRYIx_dX_hYbxrk/edit?resourcekey=0-iw9bsKY2OqkUHCFMkCar3A&amp;gid=2055363397#gid=2055363397"",""MTR!C:O""),11,false)"),"PMW-IMS")</f>
        <v>PMW-IMS</v>
      </c>
      <c r="N1846" s="248" t="str">
        <f>IFERROR(__xludf.DUMMYFUNCTION("VLOOKUP(C1846,IMPORTRANGE(""https://docs.google.com/spreadsheets/d/1ihFlp3_ePlYtFuPbUNbYj1muErVpI73WHXbEwJDIA7Q/edit#gid=1493122344"",""MTR!C:O""),8,false)"),"Complies")</f>
        <v>Complies</v>
      </c>
      <c r="O1846" s="241" t="str">
        <f>IFERROR(__xludf.DUMMYFUNCTION("VLOOKUP(C1846,IMPORTRANGE(""https://docs.google.com/spreadsheets/d/1P8eX0NWBhUPS_hvzA11R6jkTNFrPrRYIx_dX_hYbxrk/edit?resourcekey=0-iw9bsKY2OqkUHCFMkCar3A&amp;gid=2055363397#gid=2055363397"",""MTR!C:O""),9,false)"),"")</f>
        <v/>
      </c>
      <c r="P1846" s="241"/>
      <c r="Q1846" s="251" t="s">
        <v>445</v>
      </c>
      <c r="R1846" s="241"/>
      <c r="S1846" s="154" t="s">
        <v>60</v>
      </c>
      <c r="T1846" s="154" t="s">
        <v>60</v>
      </c>
      <c r="U1846" s="154" t="s">
        <v>60</v>
      </c>
      <c r="V1846" s="154" t="s">
        <v>60</v>
      </c>
      <c r="W1846" s="154" t="s">
        <v>60</v>
      </c>
      <c r="X1846" s="154" t="s">
        <v>60</v>
      </c>
      <c r="Y1846" s="154" t="s">
        <v>64</v>
      </c>
      <c r="Z1846" s="154" t="s">
        <v>64</v>
      </c>
      <c r="AA1846" s="154" t="s">
        <v>64</v>
      </c>
      <c r="AB1846" s="154"/>
      <c r="AC1846" s="242" t="b">
        <f t="shared" si="2"/>
        <v>1</v>
      </c>
      <c r="AD1846" s="154" t="s">
        <v>391</v>
      </c>
      <c r="AE1846" s="243" t="b">
        <f t="shared" si="3"/>
        <v>0</v>
      </c>
      <c r="AF1846" s="154"/>
      <c r="AG1846" s="243" t="b">
        <f t="shared" si="7"/>
        <v>0</v>
      </c>
      <c r="AH1846" s="154"/>
      <c r="AI1846" s="243" t="str">
        <f t="shared" si="5"/>
        <v>N/A</v>
      </c>
      <c r="AJ1846" s="157" t="str">
        <f t="shared" si="6"/>
        <v/>
      </c>
    </row>
    <row r="1847" ht="12.75" customHeight="1">
      <c r="A1847" s="244" t="s">
        <v>4158</v>
      </c>
      <c r="B1847" s="244" t="s">
        <v>4161</v>
      </c>
      <c r="C1847" s="244" t="s">
        <v>4698</v>
      </c>
      <c r="D1847" s="154" t="s">
        <v>542</v>
      </c>
      <c r="E1847" s="250"/>
      <c r="F1847" s="154" t="str">
        <f t="array" ref="F1847">XLOOKUP(Cover!$D$12,$S$1:$AA$1,$S1847:$AA1847)</f>
        <v>Mandatory</v>
      </c>
      <c r="G1847" s="154" t="s">
        <v>4699</v>
      </c>
      <c r="H1847" s="154" t="s">
        <v>3947</v>
      </c>
      <c r="I1847" s="154" t="s">
        <v>632</v>
      </c>
      <c r="J1847" s="247" t="s">
        <v>445</v>
      </c>
      <c r="K1847" s="154"/>
      <c r="L1847" s="154" t="str">
        <f t="shared" si="1"/>
        <v/>
      </c>
      <c r="M1847" s="248" t="str">
        <f>IFERROR(__xludf.DUMMYFUNCTION("VLOOKUP(C1847,IMPORTRANGE(""https://docs.google.com/spreadsheets/d/1P8eX0NWBhUPS_hvzA11R6jkTNFrPrRYIx_dX_hYbxrk/edit?resourcekey=0-iw9bsKY2OqkUHCFMkCar3A&amp;gid=2055363397#gid=2055363397"",""MTR!C:O""),11,false)"),"PMW-IMS")</f>
        <v>PMW-IMS</v>
      </c>
      <c r="N1847" s="248" t="str">
        <f>IFERROR(__xludf.DUMMYFUNCTION("VLOOKUP(C1847,IMPORTRANGE(""https://docs.google.com/spreadsheets/d/1ihFlp3_ePlYtFuPbUNbYj1muErVpI73WHXbEwJDIA7Q/edit#gid=1493122344"",""MTR!C:O""),8,false)"),"Complies")</f>
        <v>Complies</v>
      </c>
      <c r="O1847" s="241" t="str">
        <f>IFERROR(__xludf.DUMMYFUNCTION("VLOOKUP(C1847,IMPORTRANGE(""https://docs.google.com/spreadsheets/d/1P8eX0NWBhUPS_hvzA11R6jkTNFrPrRYIx_dX_hYbxrk/edit?resourcekey=0-iw9bsKY2OqkUHCFMkCar3A&amp;gid=2055363397#gid=2055363397"",""MTR!C:O""),9,false)"),"")</f>
        <v/>
      </c>
      <c r="P1847" s="241"/>
      <c r="Q1847" s="251" t="s">
        <v>445</v>
      </c>
      <c r="R1847" s="241"/>
      <c r="S1847" s="154" t="s">
        <v>60</v>
      </c>
      <c r="T1847" s="154" t="s">
        <v>60</v>
      </c>
      <c r="U1847" s="154" t="s">
        <v>60</v>
      </c>
      <c r="V1847" s="154" t="s">
        <v>60</v>
      </c>
      <c r="W1847" s="154" t="s">
        <v>60</v>
      </c>
      <c r="X1847" s="154" t="s">
        <v>60</v>
      </c>
      <c r="Y1847" s="154" t="s">
        <v>64</v>
      </c>
      <c r="Z1847" s="154" t="s">
        <v>64</v>
      </c>
      <c r="AA1847" s="154" t="s">
        <v>64</v>
      </c>
      <c r="AB1847" s="154"/>
      <c r="AC1847" s="242" t="b">
        <f t="shared" si="2"/>
        <v>1</v>
      </c>
      <c r="AD1847" s="154" t="s">
        <v>391</v>
      </c>
      <c r="AE1847" s="243" t="b">
        <f t="shared" si="3"/>
        <v>0</v>
      </c>
      <c r="AF1847" s="154"/>
      <c r="AG1847" s="243" t="b">
        <f t="shared" si="7"/>
        <v>0</v>
      </c>
      <c r="AH1847" s="154"/>
      <c r="AI1847" s="243" t="str">
        <f t="shared" si="5"/>
        <v>N/A</v>
      </c>
      <c r="AJ1847" s="157" t="str">
        <f t="shared" si="6"/>
        <v/>
      </c>
    </row>
    <row r="1848" ht="12.75" customHeight="1">
      <c r="A1848" s="244" t="s">
        <v>4158</v>
      </c>
      <c r="B1848" s="244" t="s">
        <v>4161</v>
      </c>
      <c r="C1848" s="244" t="s">
        <v>4700</v>
      </c>
      <c r="D1848" s="154" t="s">
        <v>602</v>
      </c>
      <c r="E1848" s="250"/>
      <c r="F1848" s="154" t="str">
        <f t="array" ref="F1848">XLOOKUP(Cover!$D$12,$S$1:$AA$1,$S1848:$AA1848)</f>
        <v>Mandatory</v>
      </c>
      <c r="G1848" s="154" t="s">
        <v>4701</v>
      </c>
      <c r="H1848" s="154" t="s">
        <v>347</v>
      </c>
      <c r="I1848" s="154" t="s">
        <v>632</v>
      </c>
      <c r="J1848" s="247" t="s">
        <v>445</v>
      </c>
      <c r="K1848" s="154"/>
      <c r="L1848" s="154" t="str">
        <f t="shared" si="1"/>
        <v/>
      </c>
      <c r="M1848" s="248" t="str">
        <f>IFERROR(__xludf.DUMMYFUNCTION("VLOOKUP(C1848,IMPORTRANGE(""https://docs.google.com/spreadsheets/d/1P8eX0NWBhUPS_hvzA11R6jkTNFrPrRYIx_dX_hYbxrk/edit?resourcekey=0-iw9bsKY2OqkUHCFMkCar3A&amp;gid=2055363397#gid=2055363397"",""MTR!C:O""),11,false)"),"PMW-IMS")</f>
        <v>PMW-IMS</v>
      </c>
      <c r="N1848" s="248" t="str">
        <f>IFERROR(__xludf.DUMMYFUNCTION("VLOOKUP(C1848,IMPORTRANGE(""https://docs.google.com/spreadsheets/d/1ihFlp3_ePlYtFuPbUNbYj1muErVpI73WHXbEwJDIA7Q/edit#gid=1493122344"",""MTR!C:O""),8,false)"),"Complies")</f>
        <v>Complies</v>
      </c>
      <c r="O1848" s="241" t="str">
        <f>IFERROR(__xludf.DUMMYFUNCTION("VLOOKUP(C1848,IMPORTRANGE(""https://docs.google.com/spreadsheets/d/1P8eX0NWBhUPS_hvzA11R6jkTNFrPrRYIx_dX_hYbxrk/edit?resourcekey=0-iw9bsKY2OqkUHCFMkCar3A&amp;gid=2055363397#gid=2055363397"",""MTR!C:O""),9,false)"),"")</f>
        <v/>
      </c>
      <c r="P1848" s="241"/>
      <c r="Q1848" s="251" t="s">
        <v>445</v>
      </c>
      <c r="R1848" s="241"/>
      <c r="S1848" s="154" t="s">
        <v>60</v>
      </c>
      <c r="T1848" s="154" t="s">
        <v>60</v>
      </c>
      <c r="U1848" s="154" t="s">
        <v>60</v>
      </c>
      <c r="V1848" s="154" t="s">
        <v>60</v>
      </c>
      <c r="W1848" s="154" t="s">
        <v>60</v>
      </c>
      <c r="X1848" s="154" t="s">
        <v>60</v>
      </c>
      <c r="Y1848" s="154" t="s">
        <v>64</v>
      </c>
      <c r="Z1848" s="154" t="s">
        <v>64</v>
      </c>
      <c r="AA1848" s="154" t="s">
        <v>64</v>
      </c>
      <c r="AB1848" s="154"/>
      <c r="AC1848" s="242" t="b">
        <f t="shared" si="2"/>
        <v>1</v>
      </c>
      <c r="AD1848" s="154" t="s">
        <v>391</v>
      </c>
      <c r="AE1848" s="243" t="b">
        <f t="shared" si="3"/>
        <v>0</v>
      </c>
      <c r="AF1848" s="154"/>
      <c r="AG1848" s="243" t="b">
        <f t="shared" si="7"/>
        <v>0</v>
      </c>
      <c r="AH1848" s="154"/>
      <c r="AI1848" s="243" t="str">
        <f t="shared" si="5"/>
        <v>N/A</v>
      </c>
      <c r="AJ1848" s="157" t="str">
        <f t="shared" si="6"/>
        <v/>
      </c>
    </row>
    <row r="1849" ht="12.75" customHeight="1">
      <c r="A1849" s="238" t="s">
        <v>4158</v>
      </c>
      <c r="B1849" s="238" t="s">
        <v>4161</v>
      </c>
      <c r="C1849" s="238" t="s">
        <v>4702</v>
      </c>
      <c r="D1849" s="238"/>
      <c r="E1849" s="238"/>
      <c r="F1849" s="154" t="str">
        <f t="array" ref="F1849">XLOOKUP(Cover!$D$12,$S$1:$AA$1,$S1849:$AA1849)</f>
        <v>Heading</v>
      </c>
      <c r="G1849" s="239" t="s">
        <v>4703</v>
      </c>
      <c r="H1849" s="240"/>
      <c r="I1849" s="240" t="s">
        <v>632</v>
      </c>
      <c r="J1849" s="240"/>
      <c r="K1849" s="240"/>
      <c r="L1849" s="154" t="str">
        <f t="shared" si="1"/>
        <v/>
      </c>
      <c r="M1849" s="241" t="str">
        <f>IFERROR(__xludf.DUMMYFUNCTION("VLOOKUP(C1849,IMPORTRANGE(""https://docs.google.com/spreadsheets/d/1P8eX0NWBhUPS_hvzA11R6jkTNFrPrRYIx_dX_hYbxrk/edit?resourcekey=0-iw9bsKY2OqkUHCFMkCar3A&amp;gid=2055363397#gid=2055363397"",""MTR!C:O""),11,false)"),"")</f>
        <v/>
      </c>
      <c r="N1849" s="241" t="str">
        <f>IFERROR(__xludf.DUMMYFUNCTION("VLOOKUP(C1849,IMPORTRANGE(""https://docs.google.com/spreadsheets/d/1ihFlp3_ePlYtFuPbUNbYj1muErVpI73WHXbEwJDIA7Q/edit#gid=1493122344"",""MTR!C:O""),8,false)"),"")</f>
        <v/>
      </c>
      <c r="O1849" s="241" t="str">
        <f>IFERROR(__xludf.DUMMYFUNCTION("VLOOKUP(C1849,IMPORTRANGE(""https://docs.google.com/spreadsheets/d/1P8eX0NWBhUPS_hvzA11R6jkTNFrPrRYIx_dX_hYbxrk/edit?resourcekey=0-iw9bsKY2OqkUHCFMkCar3A&amp;gid=2055363397#gid=2055363397"",""MTR!C:O""),9,false)"),"")</f>
        <v/>
      </c>
      <c r="P1849" s="241"/>
      <c r="Q1849" s="251"/>
      <c r="R1849" s="241"/>
      <c r="S1849" s="240" t="s">
        <v>390</v>
      </c>
      <c r="T1849" s="240" t="s">
        <v>390</v>
      </c>
      <c r="U1849" s="240" t="s">
        <v>390</v>
      </c>
      <c r="V1849" s="240" t="s">
        <v>390</v>
      </c>
      <c r="W1849" s="240" t="s">
        <v>390</v>
      </c>
      <c r="X1849" s="240" t="s">
        <v>390</v>
      </c>
      <c r="Y1849" s="240" t="s">
        <v>390</v>
      </c>
      <c r="Z1849" s="240" t="s">
        <v>390</v>
      </c>
      <c r="AA1849" s="240" t="s">
        <v>390</v>
      </c>
      <c r="AB1849" s="240"/>
      <c r="AC1849" s="242" t="b">
        <f t="shared" si="2"/>
        <v>0</v>
      </c>
      <c r="AD1849" s="240" t="s">
        <v>391</v>
      </c>
      <c r="AE1849" s="243" t="b">
        <f t="shared" si="3"/>
        <v>0</v>
      </c>
      <c r="AF1849" s="240"/>
      <c r="AG1849" s="243" t="b">
        <f t="shared" si="7"/>
        <v>0</v>
      </c>
      <c r="AH1849" s="240"/>
      <c r="AI1849" s="243" t="str">
        <f t="shared" si="5"/>
        <v>N/A</v>
      </c>
      <c r="AJ1849" s="157" t="str">
        <f t="shared" si="6"/>
        <v/>
      </c>
    </row>
    <row r="1850" ht="12.75" customHeight="1">
      <c r="A1850" s="238" t="s">
        <v>4158</v>
      </c>
      <c r="B1850" s="238" t="s">
        <v>4161</v>
      </c>
      <c r="C1850" s="238" t="s">
        <v>4704</v>
      </c>
      <c r="D1850" s="238"/>
      <c r="E1850" s="238"/>
      <c r="F1850" s="154" t="str">
        <f t="array" ref="F1850">XLOOKUP(Cover!$D$12,$S$1:$AA$1,$S1850:$AA1850)</f>
        <v>Heading</v>
      </c>
      <c r="G1850" s="239" t="s">
        <v>4705</v>
      </c>
      <c r="H1850" s="240"/>
      <c r="I1850" s="240" t="s">
        <v>632</v>
      </c>
      <c r="J1850" s="240"/>
      <c r="K1850" s="240"/>
      <c r="L1850" s="154" t="str">
        <f t="shared" si="1"/>
        <v/>
      </c>
      <c r="M1850" s="241" t="str">
        <f>IFERROR(__xludf.DUMMYFUNCTION("VLOOKUP(C1850,IMPORTRANGE(""https://docs.google.com/spreadsheets/d/1P8eX0NWBhUPS_hvzA11R6jkTNFrPrRYIx_dX_hYbxrk/edit?resourcekey=0-iw9bsKY2OqkUHCFMkCar3A&amp;gid=2055363397#gid=2055363397"",""MTR!C:O""),11,false)"),"")</f>
        <v/>
      </c>
      <c r="N1850" s="241" t="str">
        <f>IFERROR(__xludf.DUMMYFUNCTION("VLOOKUP(C1850,IMPORTRANGE(""https://docs.google.com/spreadsheets/d/1ihFlp3_ePlYtFuPbUNbYj1muErVpI73WHXbEwJDIA7Q/edit#gid=1493122344"",""MTR!C:O""),8,false)"),"")</f>
        <v/>
      </c>
      <c r="O1850" s="241" t="str">
        <f>IFERROR(__xludf.DUMMYFUNCTION("VLOOKUP(C1850,IMPORTRANGE(""https://docs.google.com/spreadsheets/d/1P8eX0NWBhUPS_hvzA11R6jkTNFrPrRYIx_dX_hYbxrk/edit?resourcekey=0-iw9bsKY2OqkUHCFMkCar3A&amp;gid=2055363397#gid=2055363397"",""MTR!C:O""),9,false)"),"")</f>
        <v/>
      </c>
      <c r="P1850" s="241"/>
      <c r="Q1850" s="241"/>
      <c r="R1850" s="241"/>
      <c r="S1850" s="240" t="s">
        <v>390</v>
      </c>
      <c r="T1850" s="240" t="s">
        <v>390</v>
      </c>
      <c r="U1850" s="240" t="s">
        <v>390</v>
      </c>
      <c r="V1850" s="240" t="s">
        <v>390</v>
      </c>
      <c r="W1850" s="240" t="s">
        <v>390</v>
      </c>
      <c r="X1850" s="240" t="s">
        <v>390</v>
      </c>
      <c r="Y1850" s="240" t="s">
        <v>390</v>
      </c>
      <c r="Z1850" s="240" t="s">
        <v>390</v>
      </c>
      <c r="AA1850" s="240" t="s">
        <v>390</v>
      </c>
      <c r="AB1850" s="240"/>
      <c r="AC1850" s="242" t="b">
        <f t="shared" si="2"/>
        <v>0</v>
      </c>
      <c r="AD1850" s="240" t="s">
        <v>391</v>
      </c>
      <c r="AE1850" s="243" t="b">
        <f t="shared" si="3"/>
        <v>0</v>
      </c>
      <c r="AF1850" s="240"/>
      <c r="AG1850" s="243" t="b">
        <f t="shared" si="7"/>
        <v>0</v>
      </c>
      <c r="AH1850" s="240"/>
      <c r="AI1850" s="243" t="str">
        <f t="shared" si="5"/>
        <v>N/A</v>
      </c>
      <c r="AJ1850" s="157" t="str">
        <f t="shared" si="6"/>
        <v/>
      </c>
    </row>
    <row r="1851" ht="12.75" customHeight="1">
      <c r="A1851" s="244" t="s">
        <v>4158</v>
      </c>
      <c r="B1851" s="244" t="s">
        <v>4161</v>
      </c>
      <c r="C1851" s="244" t="s">
        <v>4706</v>
      </c>
      <c r="D1851" s="154" t="s">
        <v>581</v>
      </c>
      <c r="E1851" s="250"/>
      <c r="F1851" s="154" t="str">
        <f t="array" ref="F1851">XLOOKUP(Cover!$D$12,$S$1:$AA$1,$S1851:$AA1851)</f>
        <v>Mandatory</v>
      </c>
      <c r="G1851" s="154" t="s">
        <v>4707</v>
      </c>
      <c r="H1851" s="154" t="s">
        <v>351</v>
      </c>
      <c r="I1851" s="154" t="s">
        <v>632</v>
      </c>
      <c r="J1851" s="247" t="s">
        <v>445</v>
      </c>
      <c r="K1851" s="154"/>
      <c r="L1851" s="154" t="str">
        <f t="shared" si="1"/>
        <v/>
      </c>
      <c r="M1851" s="248" t="str">
        <f>IFERROR(__xludf.DUMMYFUNCTION("VLOOKUP(C1851,IMPORTRANGE(""https://docs.google.com/spreadsheets/d/1P8eX0NWBhUPS_hvzA11R6jkTNFrPrRYIx_dX_hYbxrk/edit?resourcekey=0-iw9bsKY2OqkUHCFMkCar3A&amp;gid=2055363397#gid=2055363397"",""MTR!C:O""),11,false)"),"PMW-IMS")</f>
        <v>PMW-IMS</v>
      </c>
      <c r="N1851" s="248" t="str">
        <f>IFERROR(__xludf.DUMMYFUNCTION("VLOOKUP(C1851,IMPORTRANGE(""https://docs.google.com/spreadsheets/d/1ihFlp3_ePlYtFuPbUNbYj1muErVpI73WHXbEwJDIA7Q/edit#gid=1493122344"",""MTR!C:O""),8,false)"),"Complies")</f>
        <v>Complies</v>
      </c>
      <c r="O1851" s="241" t="str">
        <f>IFERROR(__xludf.DUMMYFUNCTION("VLOOKUP(C1851,IMPORTRANGE(""https://docs.google.com/spreadsheets/d/1P8eX0NWBhUPS_hvzA11R6jkTNFrPrRYIx_dX_hYbxrk/edit?resourcekey=0-iw9bsKY2OqkUHCFMkCar3A&amp;gid=2055363397#gid=2055363397"",""MTR!C:O""),9,false)"),"")</f>
        <v/>
      </c>
      <c r="P1851" s="241"/>
      <c r="Q1851" s="251" t="s">
        <v>445</v>
      </c>
      <c r="R1851" s="241"/>
      <c r="S1851" s="154" t="s">
        <v>64</v>
      </c>
      <c r="T1851" s="154" t="s">
        <v>60</v>
      </c>
      <c r="U1851" s="154" t="s">
        <v>60</v>
      </c>
      <c r="V1851" s="154" t="s">
        <v>60</v>
      </c>
      <c r="W1851" s="154" t="s">
        <v>60</v>
      </c>
      <c r="X1851" s="154" t="s">
        <v>60</v>
      </c>
      <c r="Y1851" s="154" t="s">
        <v>64</v>
      </c>
      <c r="Z1851" s="154" t="s">
        <v>64</v>
      </c>
      <c r="AA1851" s="154" t="s">
        <v>64</v>
      </c>
      <c r="AB1851" s="154"/>
      <c r="AC1851" s="242" t="b">
        <f t="shared" si="2"/>
        <v>1</v>
      </c>
      <c r="AD1851" s="154" t="s">
        <v>391</v>
      </c>
      <c r="AE1851" s="243" t="b">
        <f t="shared" si="3"/>
        <v>0</v>
      </c>
      <c r="AF1851" s="154"/>
      <c r="AG1851" s="243" t="b">
        <f t="shared" si="7"/>
        <v>0</v>
      </c>
      <c r="AH1851" s="154"/>
      <c r="AI1851" s="243" t="str">
        <f t="shared" si="5"/>
        <v>N/A</v>
      </c>
      <c r="AJ1851" s="157" t="str">
        <f t="shared" si="6"/>
        <v/>
      </c>
    </row>
    <row r="1852" ht="12.75" customHeight="1">
      <c r="A1852" s="244" t="s">
        <v>4158</v>
      </c>
      <c r="B1852" s="244" t="s">
        <v>4161</v>
      </c>
      <c r="C1852" s="244" t="s">
        <v>4708</v>
      </c>
      <c r="D1852" s="154" t="s">
        <v>581</v>
      </c>
      <c r="E1852" s="250"/>
      <c r="F1852" s="154" t="str">
        <f t="array" ref="F1852">XLOOKUP(Cover!$D$12,$S$1:$AA$1,$S1852:$AA1852)</f>
        <v>Mandatory</v>
      </c>
      <c r="G1852" s="154" t="s">
        <v>4709</v>
      </c>
      <c r="H1852" s="154" t="s">
        <v>4710</v>
      </c>
      <c r="I1852" s="154" t="s">
        <v>632</v>
      </c>
      <c r="J1852" s="247" t="s">
        <v>445</v>
      </c>
      <c r="K1852" s="154"/>
      <c r="L1852" s="154" t="str">
        <f t="shared" si="1"/>
        <v/>
      </c>
      <c r="M1852" s="248" t="str">
        <f>IFERROR(__xludf.DUMMYFUNCTION("VLOOKUP(C1852,IMPORTRANGE(""https://docs.google.com/spreadsheets/d/1P8eX0NWBhUPS_hvzA11R6jkTNFrPrRYIx_dX_hYbxrk/edit?resourcekey=0-iw9bsKY2OqkUHCFMkCar3A&amp;gid=2055363397#gid=2055363397"",""MTR!C:O""),11,false)"),"PMW-IMS")</f>
        <v>PMW-IMS</v>
      </c>
      <c r="N1852" s="248" t="str">
        <f>IFERROR(__xludf.DUMMYFUNCTION("VLOOKUP(C1852,IMPORTRANGE(""https://docs.google.com/spreadsheets/d/1ihFlp3_ePlYtFuPbUNbYj1muErVpI73WHXbEwJDIA7Q/edit#gid=1493122344"",""MTR!C:O""),8,false)"),"Complies")</f>
        <v>Complies</v>
      </c>
      <c r="O1852" s="241" t="str">
        <f>IFERROR(__xludf.DUMMYFUNCTION("VLOOKUP(C1852,IMPORTRANGE(""https://docs.google.com/spreadsheets/d/1P8eX0NWBhUPS_hvzA11R6jkTNFrPrRYIx_dX_hYbxrk/edit?resourcekey=0-iw9bsKY2OqkUHCFMkCar3A&amp;gid=2055363397#gid=2055363397"",""MTR!C:O""),9,false)"),"")</f>
        <v/>
      </c>
      <c r="P1852" s="241"/>
      <c r="Q1852" s="251" t="s">
        <v>445</v>
      </c>
      <c r="R1852" s="241"/>
      <c r="S1852" s="154" t="s">
        <v>64</v>
      </c>
      <c r="T1852" s="154" t="s">
        <v>60</v>
      </c>
      <c r="U1852" s="154" t="s">
        <v>60</v>
      </c>
      <c r="V1852" s="154" t="s">
        <v>60</v>
      </c>
      <c r="W1852" s="154" t="s">
        <v>60</v>
      </c>
      <c r="X1852" s="154" t="s">
        <v>60</v>
      </c>
      <c r="Y1852" s="154" t="s">
        <v>64</v>
      </c>
      <c r="Z1852" s="154" t="s">
        <v>64</v>
      </c>
      <c r="AA1852" s="154" t="s">
        <v>64</v>
      </c>
      <c r="AB1852" s="154"/>
      <c r="AC1852" s="242" t="b">
        <f t="shared" si="2"/>
        <v>1</v>
      </c>
      <c r="AD1852" s="154" t="s">
        <v>391</v>
      </c>
      <c r="AE1852" s="243" t="b">
        <f t="shared" si="3"/>
        <v>0</v>
      </c>
      <c r="AF1852" s="154"/>
      <c r="AG1852" s="243" t="b">
        <f t="shared" si="7"/>
        <v>0</v>
      </c>
      <c r="AH1852" s="154"/>
      <c r="AI1852" s="243" t="str">
        <f t="shared" si="5"/>
        <v>N/A</v>
      </c>
      <c r="AJ1852" s="157" t="str">
        <f t="shared" si="6"/>
        <v/>
      </c>
    </row>
    <row r="1853" ht="12.75" customHeight="1">
      <c r="A1853" s="244" t="s">
        <v>4158</v>
      </c>
      <c r="B1853" s="244" t="s">
        <v>4161</v>
      </c>
      <c r="C1853" s="244" t="s">
        <v>4711</v>
      </c>
      <c r="D1853" s="154" t="s">
        <v>1315</v>
      </c>
      <c r="E1853" s="250"/>
      <c r="F1853" s="154" t="str">
        <f t="array" ref="F1853">XLOOKUP(Cover!$D$12,$S$1:$AA$1,$S1853:$AA1853)</f>
        <v>Recommended</v>
      </c>
      <c r="G1853" s="154" t="s">
        <v>4712</v>
      </c>
      <c r="H1853" s="154"/>
      <c r="I1853" s="154" t="s">
        <v>632</v>
      </c>
      <c r="J1853" s="247" t="s">
        <v>506</v>
      </c>
      <c r="K1853" s="247" t="s">
        <v>1720</v>
      </c>
      <c r="L1853" s="154" t="str">
        <f t="shared" si="1"/>
        <v/>
      </c>
      <c r="M1853" s="248" t="str">
        <f>IFERROR(__xludf.DUMMYFUNCTION("VLOOKUP(C1853,IMPORTRANGE(""https://docs.google.com/spreadsheets/d/1P8eX0NWBhUPS_hvzA11R6jkTNFrPrRYIx_dX_hYbxrk/edit?resourcekey=0-iw9bsKY2OqkUHCFMkCar3A&amp;gid=2055363397#gid=2055363397"",""MTR!C:O""),11,false)"),"PMW-IMS")</f>
        <v>PMW-IMS</v>
      </c>
      <c r="N1853" s="248" t="str">
        <f>IFERROR(__xludf.DUMMYFUNCTION("VLOOKUP(C1853,IMPORTRANGE(""https://docs.google.com/spreadsheets/d/1ihFlp3_ePlYtFuPbUNbYj1muErVpI73WHXbEwJDIA7Q/edit#gid=1493122344"",""MTR!C:O""),8,false)"),"Does Not Comply")</f>
        <v>Does Not Comply</v>
      </c>
      <c r="O1853" s="248" t="str">
        <f>IFERROR(__xludf.DUMMYFUNCTION("VLOOKUP(C1853,IMPORTRANGE(""https://docs.google.com/spreadsheets/d/1P8eX0NWBhUPS_hvzA11R6jkTNFrPrRYIx_dX_hYbxrk/edit?resourcekey=0-iw9bsKY2OqkUHCFMkCar3A&amp;gid=2055363397#gid=2055363397"",""MTR!C:O""),9,false)"),"The feature will be default supported once SA is enabled, please discuss with Google TAM for feature enablement plans")</f>
        <v>The feature will be default supported once SA is enabled, please discuss with Google TAM for feature enablement plans</v>
      </c>
      <c r="P1853" s="248"/>
      <c r="Q1853" s="249" t="s">
        <v>516</v>
      </c>
      <c r="R1853" s="249" t="s">
        <v>1720</v>
      </c>
      <c r="S1853" s="154" t="s">
        <v>64</v>
      </c>
      <c r="T1853" s="154" t="s">
        <v>64</v>
      </c>
      <c r="U1853" s="154" t="s">
        <v>64</v>
      </c>
      <c r="V1853" s="154" t="s">
        <v>64</v>
      </c>
      <c r="W1853" s="154" t="s">
        <v>64</v>
      </c>
      <c r="X1853" s="154" t="s">
        <v>64</v>
      </c>
      <c r="Y1853" s="154" t="s">
        <v>64</v>
      </c>
      <c r="Z1853" s="154" t="s">
        <v>64</v>
      </c>
      <c r="AA1853" s="154" t="s">
        <v>64</v>
      </c>
      <c r="AB1853" s="154"/>
      <c r="AC1853" s="242" t="b">
        <f t="shared" si="2"/>
        <v>1</v>
      </c>
      <c r="AD1853" s="154" t="s">
        <v>391</v>
      </c>
      <c r="AE1853" s="243" t="b">
        <f t="shared" si="3"/>
        <v>0</v>
      </c>
      <c r="AF1853" s="154"/>
      <c r="AG1853" s="243" t="b">
        <f t="shared" si="7"/>
        <v>0</v>
      </c>
      <c r="AH1853" s="154"/>
      <c r="AI1853" s="243" t="str">
        <f t="shared" si="5"/>
        <v>N/A</v>
      </c>
      <c r="AJ1853" s="157" t="str">
        <f t="shared" si="6"/>
        <v/>
      </c>
    </row>
    <row r="1854" ht="12.75" customHeight="1">
      <c r="A1854" s="244" t="s">
        <v>4158</v>
      </c>
      <c r="B1854" s="244" t="s">
        <v>4161</v>
      </c>
      <c r="C1854" s="244" t="s">
        <v>4713</v>
      </c>
      <c r="D1854" s="154" t="s">
        <v>1315</v>
      </c>
      <c r="E1854" s="250"/>
      <c r="F1854" s="154" t="str">
        <f t="array" ref="F1854">XLOOKUP(Cover!$D$12,$S$1:$AA$1,$S1854:$AA1854)</f>
        <v>Mandatory</v>
      </c>
      <c r="G1854" s="154" t="s">
        <v>4714</v>
      </c>
      <c r="H1854" s="154" t="s">
        <v>4710</v>
      </c>
      <c r="I1854" s="154" t="s">
        <v>632</v>
      </c>
      <c r="J1854" s="247" t="s">
        <v>506</v>
      </c>
      <c r="K1854" s="247" t="s">
        <v>4715</v>
      </c>
      <c r="L1854" s="154" t="str">
        <f t="shared" si="1"/>
        <v/>
      </c>
      <c r="M1854" s="248" t="str">
        <f>IFERROR(__xludf.DUMMYFUNCTION("VLOOKUP(C1854,IMPORTRANGE(""https://docs.google.com/spreadsheets/d/1P8eX0NWBhUPS_hvzA11R6jkTNFrPrRYIx_dX_hYbxrk/edit?resourcekey=0-iw9bsKY2OqkUHCFMkCar3A&amp;gid=2055363397#gid=2055363397"",""MTR!C:O""),11,false)"),"PMW-MCE-NAS")</f>
        <v>PMW-MCE-NAS</v>
      </c>
      <c r="N1854" s="248" t="str">
        <f>IFERROR(__xludf.DUMMYFUNCTION("VLOOKUP(C1854,IMPORTRANGE(""https://docs.google.com/spreadsheets/d/1ihFlp3_ePlYtFuPbUNbYj1muErVpI73WHXbEwJDIA7Q/edit#gid=1493122344"",""MTR!C:O""),8,false)"),"Does Not Comply")</f>
        <v>Does Not Comply</v>
      </c>
      <c r="O1854" s="248" t="str">
        <f>IFERROR(__xludf.DUMMYFUNCTION("VLOOKUP(C1854,IMPORTRANGE(""https://docs.google.com/spreadsheets/d/1P8eX0NWBhUPS_hvzA11R6jkTNFrPrRYIx_dX_hYbxrk/edit?resourcekey=0-iw9bsKY2OqkUHCFMkCar3A&amp;gid=2055363397#gid=2055363397"",""MTR!C:O""),9,false)"),"Not comply as for now.")</f>
        <v>Not comply as for now.</v>
      </c>
      <c r="P1854" s="248"/>
      <c r="Q1854" s="249" t="s">
        <v>516</v>
      </c>
      <c r="R1854" s="249" t="s">
        <v>4715</v>
      </c>
      <c r="S1854" s="154" t="s">
        <v>64</v>
      </c>
      <c r="T1854" s="154" t="s">
        <v>64</v>
      </c>
      <c r="U1854" s="154" t="s">
        <v>60</v>
      </c>
      <c r="V1854" s="154" t="s">
        <v>60</v>
      </c>
      <c r="W1854" s="154" t="s">
        <v>60</v>
      </c>
      <c r="X1854" s="154" t="s">
        <v>60</v>
      </c>
      <c r="Y1854" s="154" t="s">
        <v>64</v>
      </c>
      <c r="Z1854" s="154" t="s">
        <v>64</v>
      </c>
      <c r="AA1854" s="154" t="s">
        <v>64</v>
      </c>
      <c r="AB1854" s="154"/>
      <c r="AC1854" s="242" t="b">
        <f t="shared" si="2"/>
        <v>1</v>
      </c>
      <c r="AD1854" s="154" t="s">
        <v>391</v>
      </c>
      <c r="AE1854" s="243" t="b">
        <f t="shared" si="3"/>
        <v>0</v>
      </c>
      <c r="AF1854" s="154"/>
      <c r="AG1854" s="243" t="b">
        <f t="shared" si="7"/>
        <v>0</v>
      </c>
      <c r="AH1854" s="154"/>
      <c r="AI1854" s="243" t="str">
        <f t="shared" si="5"/>
        <v>N/A</v>
      </c>
      <c r="AJ1854" s="157" t="str">
        <f t="shared" si="6"/>
        <v/>
      </c>
    </row>
    <row r="1855" ht="12.75" customHeight="1">
      <c r="A1855" s="244" t="s">
        <v>4158</v>
      </c>
      <c r="B1855" s="244" t="s">
        <v>4161</v>
      </c>
      <c r="C1855" s="245" t="s">
        <v>4716</v>
      </c>
      <c r="D1855" s="155" t="s">
        <v>1315</v>
      </c>
      <c r="E1855" s="246" t="s">
        <v>92</v>
      </c>
      <c r="F1855" s="154" t="str">
        <f t="array" ref="F1855">XLOOKUP(Cover!$D$12,$S$1:$AA$1,$S1855:$AA1855)</f>
        <v>Mandatory</v>
      </c>
      <c r="G1855" s="153" t="s">
        <v>4717</v>
      </c>
      <c r="H1855" s="154" t="s">
        <v>4710</v>
      </c>
      <c r="I1855" s="154" t="s">
        <v>632</v>
      </c>
      <c r="J1855" s="247" t="s">
        <v>617</v>
      </c>
      <c r="K1855" s="247"/>
      <c r="L1855" s="154" t="str">
        <f t="shared" si="1"/>
        <v/>
      </c>
      <c r="M1855" s="248" t="str">
        <f>IFERROR(__xludf.DUMMYFUNCTION("VLOOKUP(C1855,IMPORTRANGE(""https://docs.google.com/spreadsheets/d/1P8eX0NWBhUPS_hvzA11R6jkTNFrPrRYIx_dX_hYbxrk/edit?resourcekey=0-iw9bsKY2OqkUHCFMkCar3A&amp;gid=2055363397#gid=2055363397"",""MTR!C:O""),11,false)"),"PMW-IMS")</f>
        <v>PMW-IMS</v>
      </c>
      <c r="N1855" s="248" t="str">
        <f>IFERROR(__xludf.DUMMYFUNCTION("VLOOKUP(C1855,IMPORTRANGE(""https://docs.google.com/spreadsheets/d/1ihFlp3_ePlYtFuPbUNbYj1muErVpI73WHXbEwJDIA7Q/edit#gid=1493122344"",""MTR!C:O""),8,false)"),"Does Not Comply")</f>
        <v>Does Not Comply</v>
      </c>
      <c r="O1855" s="241" t="str">
        <f>IFERROR(__xludf.DUMMYFUNCTION("VLOOKUP(C1855,IMPORTRANGE(""https://docs.google.com/spreadsheets/d/1P8eX0NWBhUPS_hvzA11R6jkTNFrPrRYIx_dX_hYbxrk/edit?resourcekey=0-iw9bsKY2OqkUHCFMkCar3A&amp;gid=2055363397#gid=2055363397"",""MTR!C:O""),9,false)"),"")</f>
        <v/>
      </c>
      <c r="P1855" s="241"/>
      <c r="Q1855" s="251" t="s">
        <v>516</v>
      </c>
      <c r="R1855" s="251"/>
      <c r="S1855" s="154" t="s">
        <v>64</v>
      </c>
      <c r="T1855" s="154" t="s">
        <v>64</v>
      </c>
      <c r="U1855" s="154" t="s">
        <v>60</v>
      </c>
      <c r="V1855" s="154" t="s">
        <v>60</v>
      </c>
      <c r="W1855" s="154" t="s">
        <v>60</v>
      </c>
      <c r="X1855" s="154" t="s">
        <v>60</v>
      </c>
      <c r="Y1855" s="154" t="s">
        <v>64</v>
      </c>
      <c r="Z1855" s="154" t="s">
        <v>64</v>
      </c>
      <c r="AA1855" s="154" t="s">
        <v>64</v>
      </c>
      <c r="AB1855" s="154"/>
      <c r="AC1855" s="242" t="b">
        <f t="shared" si="2"/>
        <v>1</v>
      </c>
      <c r="AD1855" s="154" t="s">
        <v>391</v>
      </c>
      <c r="AE1855" s="243" t="b">
        <f t="shared" si="3"/>
        <v>0</v>
      </c>
      <c r="AF1855" s="154"/>
      <c r="AG1855" s="243" t="b">
        <f t="shared" si="7"/>
        <v>0</v>
      </c>
      <c r="AH1855" s="154"/>
      <c r="AI1855" s="243" t="str">
        <f t="shared" si="5"/>
        <v>N/A</v>
      </c>
      <c r="AJ1855" s="157" t="str">
        <f t="shared" si="6"/>
        <v/>
      </c>
    </row>
    <row r="1856" ht="12.75" customHeight="1">
      <c r="A1856" s="244" t="s">
        <v>4158</v>
      </c>
      <c r="B1856" s="244" t="s">
        <v>4161</v>
      </c>
      <c r="C1856" s="244" t="s">
        <v>4718</v>
      </c>
      <c r="D1856" s="154" t="s">
        <v>581</v>
      </c>
      <c r="E1856" s="250"/>
      <c r="F1856" s="154" t="str">
        <f t="array" ref="F1856">XLOOKUP(Cover!$D$12,$S$1:$AA$1,$S1856:$AA1856)</f>
        <v>Mandatory</v>
      </c>
      <c r="G1856" s="154" t="s">
        <v>4719</v>
      </c>
      <c r="H1856" s="154" t="s">
        <v>351</v>
      </c>
      <c r="I1856" s="154" t="s">
        <v>632</v>
      </c>
      <c r="J1856" s="247" t="s">
        <v>445</v>
      </c>
      <c r="K1856" s="154"/>
      <c r="L1856" s="154" t="str">
        <f t="shared" si="1"/>
        <v/>
      </c>
      <c r="M1856" s="248" t="str">
        <f>IFERROR(__xludf.DUMMYFUNCTION("VLOOKUP(C1856,IMPORTRANGE(""https://docs.google.com/spreadsheets/d/1P8eX0NWBhUPS_hvzA11R6jkTNFrPrRYIx_dX_hYbxrk/edit?resourcekey=0-iw9bsKY2OqkUHCFMkCar3A&amp;gid=2055363397#gid=2055363397"",""MTR!C:O""),11,false)"),"PMW-IMS")</f>
        <v>PMW-IMS</v>
      </c>
      <c r="N1856" s="248" t="str">
        <f>IFERROR(__xludf.DUMMYFUNCTION("VLOOKUP(C1856,IMPORTRANGE(""https://docs.google.com/spreadsheets/d/1ihFlp3_ePlYtFuPbUNbYj1muErVpI73WHXbEwJDIA7Q/edit#gid=1493122344"",""MTR!C:O""),8,false)"),"Complies")</f>
        <v>Complies</v>
      </c>
      <c r="O1856" s="241" t="str">
        <f>IFERROR(__xludf.DUMMYFUNCTION("VLOOKUP(C1856,IMPORTRANGE(""https://docs.google.com/spreadsheets/d/1P8eX0NWBhUPS_hvzA11R6jkTNFrPrRYIx_dX_hYbxrk/edit?resourcekey=0-iw9bsKY2OqkUHCFMkCar3A&amp;gid=2055363397#gid=2055363397"",""MTR!C:O""),9,false)"),"")</f>
        <v/>
      </c>
      <c r="P1856" s="241"/>
      <c r="Q1856" s="251" t="s">
        <v>445</v>
      </c>
      <c r="R1856" s="241"/>
      <c r="S1856" s="154" t="s">
        <v>64</v>
      </c>
      <c r="T1856" s="154" t="s">
        <v>60</v>
      </c>
      <c r="U1856" s="154" t="s">
        <v>60</v>
      </c>
      <c r="V1856" s="154" t="s">
        <v>60</v>
      </c>
      <c r="W1856" s="154" t="s">
        <v>60</v>
      </c>
      <c r="X1856" s="154" t="s">
        <v>60</v>
      </c>
      <c r="Y1856" s="154" t="s">
        <v>64</v>
      </c>
      <c r="Z1856" s="154" t="s">
        <v>64</v>
      </c>
      <c r="AA1856" s="154" t="s">
        <v>64</v>
      </c>
      <c r="AB1856" s="154"/>
      <c r="AC1856" s="242" t="b">
        <f t="shared" si="2"/>
        <v>1</v>
      </c>
      <c r="AD1856" s="154" t="s">
        <v>391</v>
      </c>
      <c r="AE1856" s="243" t="b">
        <f t="shared" si="3"/>
        <v>0</v>
      </c>
      <c r="AF1856" s="154"/>
      <c r="AG1856" s="243" t="b">
        <f t="shared" si="7"/>
        <v>0</v>
      </c>
      <c r="AH1856" s="154"/>
      <c r="AI1856" s="243" t="str">
        <f t="shared" si="5"/>
        <v>N/A</v>
      </c>
      <c r="AJ1856" s="157" t="str">
        <f t="shared" si="6"/>
        <v/>
      </c>
    </row>
    <row r="1857" ht="12.75" customHeight="1">
      <c r="A1857" s="244" t="s">
        <v>4158</v>
      </c>
      <c r="B1857" s="244" t="s">
        <v>4161</v>
      </c>
      <c r="C1857" s="244" t="s">
        <v>4720</v>
      </c>
      <c r="D1857" s="154" t="s">
        <v>581</v>
      </c>
      <c r="E1857" s="250"/>
      <c r="F1857" s="154" t="str">
        <f t="array" ref="F1857">XLOOKUP(Cover!$D$12,$S$1:$AA$1,$S1857:$AA1857)</f>
        <v>Mandatory</v>
      </c>
      <c r="G1857" s="154" t="s">
        <v>4721</v>
      </c>
      <c r="H1857" s="154" t="s">
        <v>4710</v>
      </c>
      <c r="I1857" s="154" t="s">
        <v>632</v>
      </c>
      <c r="J1857" s="247" t="s">
        <v>445</v>
      </c>
      <c r="K1857" s="154"/>
      <c r="L1857" s="154" t="str">
        <f t="shared" si="1"/>
        <v/>
      </c>
      <c r="M1857" s="248" t="str">
        <f>IFERROR(__xludf.DUMMYFUNCTION("VLOOKUP(C1857,IMPORTRANGE(""https://docs.google.com/spreadsheets/d/1P8eX0NWBhUPS_hvzA11R6jkTNFrPrRYIx_dX_hYbxrk/edit?resourcekey=0-iw9bsKY2OqkUHCFMkCar3A&amp;gid=2055363397#gid=2055363397"",""MTR!C:O""),11,false)"),"PMW-IMS")</f>
        <v>PMW-IMS</v>
      </c>
      <c r="N1857" s="248" t="str">
        <f>IFERROR(__xludf.DUMMYFUNCTION("VLOOKUP(C1857,IMPORTRANGE(""https://docs.google.com/spreadsheets/d/1ihFlp3_ePlYtFuPbUNbYj1muErVpI73WHXbEwJDIA7Q/edit#gid=1493122344"",""MTR!C:O""),8,false)"),"Complies")</f>
        <v>Complies</v>
      </c>
      <c r="O1857" s="241" t="str">
        <f>IFERROR(__xludf.DUMMYFUNCTION("VLOOKUP(C1857,IMPORTRANGE(""https://docs.google.com/spreadsheets/d/1P8eX0NWBhUPS_hvzA11R6jkTNFrPrRYIx_dX_hYbxrk/edit?resourcekey=0-iw9bsKY2OqkUHCFMkCar3A&amp;gid=2055363397#gid=2055363397"",""MTR!C:O""),9,false)"),"")</f>
        <v/>
      </c>
      <c r="P1857" s="241"/>
      <c r="Q1857" s="251" t="s">
        <v>445</v>
      </c>
      <c r="R1857" s="241"/>
      <c r="S1857" s="154" t="s">
        <v>64</v>
      </c>
      <c r="T1857" s="154" t="s">
        <v>60</v>
      </c>
      <c r="U1857" s="154" t="s">
        <v>60</v>
      </c>
      <c r="V1857" s="154" t="s">
        <v>60</v>
      </c>
      <c r="W1857" s="154" t="s">
        <v>60</v>
      </c>
      <c r="X1857" s="154" t="s">
        <v>60</v>
      </c>
      <c r="Y1857" s="154" t="s">
        <v>64</v>
      </c>
      <c r="Z1857" s="154" t="s">
        <v>64</v>
      </c>
      <c r="AA1857" s="154" t="s">
        <v>64</v>
      </c>
      <c r="AB1857" s="154"/>
      <c r="AC1857" s="242" t="b">
        <f t="shared" si="2"/>
        <v>1</v>
      </c>
      <c r="AD1857" s="154" t="s">
        <v>391</v>
      </c>
      <c r="AE1857" s="243" t="b">
        <f t="shared" si="3"/>
        <v>0</v>
      </c>
      <c r="AF1857" s="154"/>
      <c r="AG1857" s="243" t="b">
        <f t="shared" si="7"/>
        <v>0</v>
      </c>
      <c r="AH1857" s="154"/>
      <c r="AI1857" s="243" t="str">
        <f t="shared" si="5"/>
        <v>N/A</v>
      </c>
      <c r="AJ1857" s="157" t="str">
        <f t="shared" si="6"/>
        <v/>
      </c>
    </row>
    <row r="1858" ht="12.75" customHeight="1">
      <c r="A1858" s="244" t="s">
        <v>4158</v>
      </c>
      <c r="B1858" s="244" t="s">
        <v>4161</v>
      </c>
      <c r="C1858" s="244" t="s">
        <v>4722</v>
      </c>
      <c r="D1858" s="154" t="s">
        <v>1773</v>
      </c>
      <c r="E1858" s="250"/>
      <c r="F1858" s="154" t="str">
        <f t="array" ref="F1858">XLOOKUP(Cover!$D$12,$S$1:$AA$1,$S1858:$AA1858)</f>
        <v>Mandatory</v>
      </c>
      <c r="G1858" s="154" t="s">
        <v>4723</v>
      </c>
      <c r="H1858" s="154" t="s">
        <v>351</v>
      </c>
      <c r="I1858" s="154" t="s">
        <v>632</v>
      </c>
      <c r="J1858" s="247" t="s">
        <v>445</v>
      </c>
      <c r="K1858" s="154"/>
      <c r="L1858" s="154" t="str">
        <f t="shared" si="1"/>
        <v/>
      </c>
      <c r="M1858" s="248" t="str">
        <f>IFERROR(__xludf.DUMMYFUNCTION("VLOOKUP(C1858,IMPORTRANGE(""https://docs.google.com/spreadsheets/d/1P8eX0NWBhUPS_hvzA11R6jkTNFrPrRYIx_dX_hYbxrk/edit?resourcekey=0-iw9bsKY2OqkUHCFMkCar3A&amp;gid=2055363397#gid=2055363397"",""MTR!C:O""),11,false)"),"PMW-IMS")</f>
        <v>PMW-IMS</v>
      </c>
      <c r="N1858" s="248" t="str">
        <f>IFERROR(__xludf.DUMMYFUNCTION("VLOOKUP(C1858,IMPORTRANGE(""https://docs.google.com/spreadsheets/d/1ihFlp3_ePlYtFuPbUNbYj1muErVpI73WHXbEwJDIA7Q/edit#gid=1493122344"",""MTR!C:O""),8,false)"),"Complies")</f>
        <v>Complies</v>
      </c>
      <c r="O1858" s="241" t="str">
        <f>IFERROR(__xludf.DUMMYFUNCTION("VLOOKUP(C1858,IMPORTRANGE(""https://docs.google.com/spreadsheets/d/1P8eX0NWBhUPS_hvzA11R6jkTNFrPrRYIx_dX_hYbxrk/edit?resourcekey=0-iw9bsKY2OqkUHCFMkCar3A&amp;gid=2055363397#gid=2055363397"",""MTR!C:O""),9,false)"),"")</f>
        <v/>
      </c>
      <c r="P1858" s="241"/>
      <c r="Q1858" s="251" t="s">
        <v>445</v>
      </c>
      <c r="R1858" s="241"/>
      <c r="S1858" s="154" t="s">
        <v>64</v>
      </c>
      <c r="T1858" s="154" t="s">
        <v>60</v>
      </c>
      <c r="U1858" s="154" t="s">
        <v>60</v>
      </c>
      <c r="V1858" s="154" t="s">
        <v>60</v>
      </c>
      <c r="W1858" s="154" t="s">
        <v>60</v>
      </c>
      <c r="X1858" s="154" t="s">
        <v>60</v>
      </c>
      <c r="Y1858" s="154" t="s">
        <v>64</v>
      </c>
      <c r="Z1858" s="154" t="s">
        <v>64</v>
      </c>
      <c r="AA1858" s="154" t="s">
        <v>64</v>
      </c>
      <c r="AB1858" s="154"/>
      <c r="AC1858" s="242" t="b">
        <f t="shared" si="2"/>
        <v>1</v>
      </c>
      <c r="AD1858" s="154" t="s">
        <v>391</v>
      </c>
      <c r="AE1858" s="243" t="b">
        <f t="shared" si="3"/>
        <v>0</v>
      </c>
      <c r="AF1858" s="154"/>
      <c r="AG1858" s="243" t="b">
        <f t="shared" si="7"/>
        <v>0</v>
      </c>
      <c r="AH1858" s="154"/>
      <c r="AI1858" s="243" t="str">
        <f t="shared" si="5"/>
        <v>N/A</v>
      </c>
      <c r="AJ1858" s="157" t="str">
        <f t="shared" si="6"/>
        <v/>
      </c>
    </row>
    <row r="1859" ht="12.75" customHeight="1">
      <c r="A1859" s="244" t="s">
        <v>4158</v>
      </c>
      <c r="B1859" s="244" t="s">
        <v>4161</v>
      </c>
      <c r="C1859" s="244" t="s">
        <v>4724</v>
      </c>
      <c r="D1859" s="154" t="s">
        <v>1773</v>
      </c>
      <c r="E1859" s="250"/>
      <c r="F1859" s="154" t="str">
        <f t="array" ref="F1859">XLOOKUP(Cover!$D$12,$S$1:$AA$1,$S1859:$AA1859)</f>
        <v>Mandatory</v>
      </c>
      <c r="G1859" s="154" t="s">
        <v>4725</v>
      </c>
      <c r="H1859" s="154" t="s">
        <v>351</v>
      </c>
      <c r="I1859" s="154" t="s">
        <v>632</v>
      </c>
      <c r="J1859" s="247" t="s">
        <v>445</v>
      </c>
      <c r="K1859" s="247" t="s">
        <v>4726</v>
      </c>
      <c r="L1859" s="154" t="str">
        <f t="shared" si="1"/>
        <v/>
      </c>
      <c r="M1859" s="248" t="str">
        <f>IFERROR(__xludf.DUMMYFUNCTION("VLOOKUP(C1859,IMPORTRANGE(""https://docs.google.com/spreadsheets/d/1P8eX0NWBhUPS_hvzA11R6jkTNFrPrRYIx_dX_hYbxrk/edit?resourcekey=0-iw9bsKY2OqkUHCFMkCar3A&amp;gid=2055363397#gid=2055363397"",""MTR!C:O""),11,false)"),"PMW-IMS")</f>
        <v>PMW-IMS</v>
      </c>
      <c r="N1859" s="248" t="str">
        <f>IFERROR(__xludf.DUMMYFUNCTION("VLOOKUP(C1859,IMPORTRANGE(""https://docs.google.com/spreadsheets/d/1ihFlp3_ePlYtFuPbUNbYj1muErVpI73WHXbEwJDIA7Q/edit#gid=1493122344"",""MTR!C:O""),8,false)"),"Complies")</f>
        <v>Complies</v>
      </c>
      <c r="O1859" s="248" t="str">
        <f>IFERROR(__xludf.DUMMYFUNCTION("VLOOKUP(C1859,IMPORTRANGE(""https://docs.google.com/spreadsheets/d/1P8eX0NWBhUPS_hvzA11R6jkTNFrPrRYIx_dX_hYbxrk/edit?resourcekey=0-iw9bsKY2OqkUHCFMkCar3A&amp;gid=2055363397#gid=2055363397"",""MTR!C:O""),9,false)"),"Support:
ENCRYPTION_ALGORITHM_3DES,
ENCRYPTION_ALGORITHM_AES_CBC,
ENCRYPTION_ALGORITHM_AES_CTR,
ENCRYPTION_ALGORITHM_AES_GCM_8,
ENCRYPTION_ALGORITHM_AES_GCM_12,
ENCRYPTION_ALGORITHM_AES_GCM_16,
ENCRYPTION_ALGORITHM_CHACHA20_POLY1305")</f>
        <v>Support:
ENCRYPTION_ALGORITHM_3DES,
ENCRYPTION_ALGORITHM_AES_CBC,
ENCRYPTION_ALGORITHM_AES_CTR,
ENCRYPTION_ALGORITHM_AES_GCM_8,
ENCRYPTION_ALGORITHM_AES_GCM_12,
ENCRYPTION_ALGORITHM_AES_GCM_16,
ENCRYPTION_ALGORITHM_CHACHA20_POLY1305</v>
      </c>
      <c r="P1859" s="248"/>
      <c r="Q1859" s="249" t="s">
        <v>445</v>
      </c>
      <c r="R1859" s="249" t="s">
        <v>4726</v>
      </c>
      <c r="S1859" s="154" t="s">
        <v>64</v>
      </c>
      <c r="T1859" s="154" t="s">
        <v>60</v>
      </c>
      <c r="U1859" s="154" t="s">
        <v>60</v>
      </c>
      <c r="V1859" s="154" t="s">
        <v>60</v>
      </c>
      <c r="W1859" s="154" t="s">
        <v>60</v>
      </c>
      <c r="X1859" s="154" t="s">
        <v>60</v>
      </c>
      <c r="Y1859" s="154" t="s">
        <v>64</v>
      </c>
      <c r="Z1859" s="154" t="s">
        <v>64</v>
      </c>
      <c r="AA1859" s="154" t="s">
        <v>64</v>
      </c>
      <c r="AB1859" s="154"/>
      <c r="AC1859" s="242" t="b">
        <f t="shared" si="2"/>
        <v>1</v>
      </c>
      <c r="AD1859" s="154" t="s">
        <v>391</v>
      </c>
      <c r="AE1859" s="243" t="b">
        <f t="shared" si="3"/>
        <v>0</v>
      </c>
      <c r="AF1859" s="154"/>
      <c r="AG1859" s="243" t="b">
        <f t="shared" si="7"/>
        <v>0</v>
      </c>
      <c r="AH1859" s="154"/>
      <c r="AI1859" s="243" t="str">
        <f t="shared" si="5"/>
        <v>N/A</v>
      </c>
      <c r="AJ1859" s="157" t="str">
        <f t="shared" si="6"/>
        <v/>
      </c>
    </row>
    <row r="1860" ht="12.75" customHeight="1">
      <c r="A1860" s="244" t="s">
        <v>4158</v>
      </c>
      <c r="B1860" s="244" t="s">
        <v>4161</v>
      </c>
      <c r="C1860" s="244" t="s">
        <v>4727</v>
      </c>
      <c r="D1860" s="154" t="s">
        <v>1773</v>
      </c>
      <c r="E1860" s="250"/>
      <c r="F1860" s="154" t="str">
        <f t="array" ref="F1860">XLOOKUP(Cover!$D$12,$S$1:$AA$1,$S1860:$AA1860)</f>
        <v>Mandatory</v>
      </c>
      <c r="G1860" s="154" t="s">
        <v>4728</v>
      </c>
      <c r="H1860" s="154" t="s">
        <v>351</v>
      </c>
      <c r="I1860" s="154" t="s">
        <v>632</v>
      </c>
      <c r="J1860" s="247" t="s">
        <v>445</v>
      </c>
      <c r="K1860" s="247" t="s">
        <v>4729</v>
      </c>
      <c r="L1860" s="154" t="str">
        <f t="shared" si="1"/>
        <v/>
      </c>
      <c r="M1860" s="248" t="str">
        <f>IFERROR(__xludf.DUMMYFUNCTION("VLOOKUP(C1860,IMPORTRANGE(""https://docs.google.com/spreadsheets/d/1P8eX0NWBhUPS_hvzA11R6jkTNFrPrRYIx_dX_hYbxrk/edit?resourcekey=0-iw9bsKY2OqkUHCFMkCar3A&amp;gid=2055363397#gid=2055363397"",""MTR!C:O""),11,false)"),"PMW-IMS")</f>
        <v>PMW-IMS</v>
      </c>
      <c r="N1860" s="248" t="str">
        <f>IFERROR(__xludf.DUMMYFUNCTION("VLOOKUP(C1860,IMPORTRANGE(""https://docs.google.com/spreadsheets/d/1ihFlp3_ePlYtFuPbUNbYj1muErVpI73WHXbEwJDIA7Q/edit#gid=1493122344"",""MTR!C:O""),8,false)"),"Complies")</f>
        <v>Complies</v>
      </c>
      <c r="O1860" s="248" t="str">
        <f>IFERROR(__xludf.DUMMYFUNCTION("VLOOKUP(C1860,IMPORTRANGE(""https://docs.google.com/spreadsheets/d/1P8eX0NWBhUPS_hvzA11R6jkTNFrPrRYIx_dX_hYbxrk/edit?resourcekey=0-iw9bsKY2OqkUHCFMkCar3A&amp;gid=2055363397#gid=2055363397"",""MTR!C:O""),9,false)"),"Support:
PSEUDORANDOM_FUNCTION_HMAC_SHA1,
PSEUDORANDOM_FUNCTION_AES128_XCBC,
PSEUDORANDOM_FUNCTION_SHA2_256,
PSEUDORANDOM_FUNCTION_SHA2_384,
PSEUDORANDOM_FUNCTION_SHA2_512,
PSEUDORANDOM_FUNCTION_AES128_CMAC")</f>
        <v>Support:
PSEUDORANDOM_FUNCTION_HMAC_SHA1,
PSEUDORANDOM_FUNCTION_AES128_XCBC,
PSEUDORANDOM_FUNCTION_SHA2_256,
PSEUDORANDOM_FUNCTION_SHA2_384,
PSEUDORANDOM_FUNCTION_SHA2_512,
PSEUDORANDOM_FUNCTION_AES128_CMAC</v>
      </c>
      <c r="P1860" s="248"/>
      <c r="Q1860" s="249" t="s">
        <v>445</v>
      </c>
      <c r="R1860" s="249" t="s">
        <v>4729</v>
      </c>
      <c r="S1860" s="154" t="s">
        <v>64</v>
      </c>
      <c r="T1860" s="154" t="s">
        <v>60</v>
      </c>
      <c r="U1860" s="154" t="s">
        <v>60</v>
      </c>
      <c r="V1860" s="154" t="s">
        <v>60</v>
      </c>
      <c r="W1860" s="154" t="s">
        <v>60</v>
      </c>
      <c r="X1860" s="154" t="s">
        <v>60</v>
      </c>
      <c r="Y1860" s="154" t="s">
        <v>64</v>
      </c>
      <c r="Z1860" s="154" t="s">
        <v>64</v>
      </c>
      <c r="AA1860" s="154" t="s">
        <v>64</v>
      </c>
      <c r="AB1860" s="154"/>
      <c r="AC1860" s="242" t="b">
        <f t="shared" si="2"/>
        <v>1</v>
      </c>
      <c r="AD1860" s="154" t="s">
        <v>391</v>
      </c>
      <c r="AE1860" s="243" t="b">
        <f t="shared" si="3"/>
        <v>0</v>
      </c>
      <c r="AF1860" s="154"/>
      <c r="AG1860" s="243" t="b">
        <f t="shared" si="7"/>
        <v>0</v>
      </c>
      <c r="AH1860" s="154"/>
      <c r="AI1860" s="243" t="str">
        <f t="shared" si="5"/>
        <v>N/A</v>
      </c>
      <c r="AJ1860" s="157" t="str">
        <f t="shared" si="6"/>
        <v/>
      </c>
    </row>
    <row r="1861" ht="12.75" customHeight="1">
      <c r="A1861" s="244" t="s">
        <v>4158</v>
      </c>
      <c r="B1861" s="244" t="s">
        <v>4161</v>
      </c>
      <c r="C1861" s="244" t="s">
        <v>4730</v>
      </c>
      <c r="D1861" s="154" t="s">
        <v>1773</v>
      </c>
      <c r="E1861" s="250"/>
      <c r="F1861" s="154" t="str">
        <f t="array" ref="F1861">XLOOKUP(Cover!$D$12,$S$1:$AA$1,$S1861:$AA1861)</f>
        <v>Mandatory</v>
      </c>
      <c r="G1861" s="154" t="s">
        <v>4731</v>
      </c>
      <c r="H1861" s="154" t="s">
        <v>351</v>
      </c>
      <c r="I1861" s="154" t="s">
        <v>632</v>
      </c>
      <c r="J1861" s="247" t="s">
        <v>445</v>
      </c>
      <c r="K1861" s="247" t="s">
        <v>4732</v>
      </c>
      <c r="L1861" s="154" t="str">
        <f t="shared" si="1"/>
        <v/>
      </c>
      <c r="M1861" s="248" t="str">
        <f>IFERROR(__xludf.DUMMYFUNCTION("VLOOKUP(C1861,IMPORTRANGE(""https://docs.google.com/spreadsheets/d/1P8eX0NWBhUPS_hvzA11R6jkTNFrPrRYIx_dX_hYbxrk/edit?resourcekey=0-iw9bsKY2OqkUHCFMkCar3A&amp;gid=2055363397#gid=2055363397"",""MTR!C:O""),11,false)"),"PMW-IMS")</f>
        <v>PMW-IMS</v>
      </c>
      <c r="N1861" s="248" t="str">
        <f>IFERROR(__xludf.DUMMYFUNCTION("VLOOKUP(C1861,IMPORTRANGE(""https://docs.google.com/spreadsheets/d/1ihFlp3_ePlYtFuPbUNbYj1muErVpI73WHXbEwJDIA7Q/edit#gid=1493122344"",""MTR!C:O""),8,false)"),"Complies")</f>
        <v>Complies</v>
      </c>
      <c r="O1861" s="248" t="str">
        <f>IFERROR(__xludf.DUMMYFUNCTION("VLOOKUP(C1861,IMPORTRANGE(""https://docs.google.com/spreadsheets/d/1P8eX0NWBhUPS_hvzA11R6jkTNFrPrRYIx_dX_hYbxrk/edit?resourcekey=0-iw9bsKY2OqkUHCFMkCar3A&amp;gid=2055363397#gid=2055363397"",""MTR!C:O""),9,false)"),"Support:
INTEGRITY_ALGORITHM_NONE = 0
INTEGRITY_ALGORITHM_HMAC_SHA1_96 = 2
INTEGRITY_ALGORITHM_AES_XCBC_96 = 5
INTEGRITY_ALGORITHM_AES_CMAC_96 = 8
INTEGRITY_ALGORITHM_HMAC_SHA2_256_128 = 12
INTEGRITY_ALGORITHM_HMAC_SHA2_384_192 = 13
INTEGRITY_ALGORITHM_HM"&amp;"AC_SHA2_512_256 = 14")</f>
        <v>Support:
INTEGRITY_ALGORITHM_NONE = 0
INTEGRITY_ALGORITHM_HMAC_SHA1_96 = 2
INTEGRITY_ALGORITHM_AES_XCBC_96 = 5
INTEGRITY_ALGORITHM_AES_CMAC_96 = 8
INTEGRITY_ALGORITHM_HMAC_SHA2_256_128 = 12
INTEGRITY_ALGORITHM_HMAC_SHA2_384_192 = 13
INTEGRITY_ALGORITHM_HMAC_SHA2_512_256 = 14</v>
      </c>
      <c r="P1861" s="248"/>
      <c r="Q1861" s="249" t="s">
        <v>445</v>
      </c>
      <c r="R1861" s="249" t="s">
        <v>4732</v>
      </c>
      <c r="S1861" s="154" t="s">
        <v>64</v>
      </c>
      <c r="T1861" s="154" t="s">
        <v>60</v>
      </c>
      <c r="U1861" s="154" t="s">
        <v>60</v>
      </c>
      <c r="V1861" s="154" t="s">
        <v>60</v>
      </c>
      <c r="W1861" s="154" t="s">
        <v>60</v>
      </c>
      <c r="X1861" s="154" t="s">
        <v>60</v>
      </c>
      <c r="Y1861" s="154" t="s">
        <v>64</v>
      </c>
      <c r="Z1861" s="154" t="s">
        <v>64</v>
      </c>
      <c r="AA1861" s="154" t="s">
        <v>64</v>
      </c>
      <c r="AB1861" s="154"/>
      <c r="AC1861" s="242" t="b">
        <f t="shared" si="2"/>
        <v>1</v>
      </c>
      <c r="AD1861" s="154" t="s">
        <v>391</v>
      </c>
      <c r="AE1861" s="243" t="b">
        <f t="shared" si="3"/>
        <v>0</v>
      </c>
      <c r="AF1861" s="154"/>
      <c r="AG1861" s="243" t="b">
        <f t="shared" si="7"/>
        <v>0</v>
      </c>
      <c r="AH1861" s="154"/>
      <c r="AI1861" s="243" t="str">
        <f t="shared" si="5"/>
        <v>N/A</v>
      </c>
      <c r="AJ1861" s="157" t="str">
        <f t="shared" si="6"/>
        <v/>
      </c>
    </row>
    <row r="1862" ht="12.75" customHeight="1">
      <c r="A1862" s="244" t="s">
        <v>4158</v>
      </c>
      <c r="B1862" s="244" t="s">
        <v>4161</v>
      </c>
      <c r="C1862" s="244" t="s">
        <v>4733</v>
      </c>
      <c r="D1862" s="154" t="s">
        <v>1773</v>
      </c>
      <c r="E1862" s="250"/>
      <c r="F1862" s="154" t="str">
        <f t="array" ref="F1862">XLOOKUP(Cover!$D$12,$S$1:$AA$1,$S1862:$AA1862)</f>
        <v>Mandatory</v>
      </c>
      <c r="G1862" s="154" t="s">
        <v>4734</v>
      </c>
      <c r="H1862" s="154" t="s">
        <v>351</v>
      </c>
      <c r="I1862" s="154" t="s">
        <v>632</v>
      </c>
      <c r="J1862" s="247" t="s">
        <v>445</v>
      </c>
      <c r="K1862" s="247" t="s">
        <v>4735</v>
      </c>
      <c r="L1862" s="154" t="str">
        <f t="shared" si="1"/>
        <v/>
      </c>
      <c r="M1862" s="248" t="str">
        <f>IFERROR(__xludf.DUMMYFUNCTION("VLOOKUP(C1862,IMPORTRANGE(""https://docs.google.com/spreadsheets/d/1P8eX0NWBhUPS_hvzA11R6jkTNFrPrRYIx_dX_hYbxrk/edit?resourcekey=0-iw9bsKY2OqkUHCFMkCar3A&amp;gid=2055363397#gid=2055363397"",""MTR!C:O""),11,false)"),"PMW-IMS")</f>
        <v>PMW-IMS</v>
      </c>
      <c r="N1862" s="248" t="str">
        <f>IFERROR(__xludf.DUMMYFUNCTION("VLOOKUP(C1862,IMPORTRANGE(""https://docs.google.com/spreadsheets/d/1ihFlp3_ePlYtFuPbUNbYj1muErVpI73WHXbEwJDIA7Q/edit#gid=1493122344"",""MTR!C:O""),8,false)"),"Complies")</f>
        <v>Complies</v>
      </c>
      <c r="O1862" s="248" t="str">
        <f>IFERROR(__xludf.DUMMYFUNCTION("VLOOKUP(C1862,IMPORTRANGE(""https://docs.google.com/spreadsheets/d/1P8eX0NWBhUPS_hvzA11R6jkTNFrPrRYIx_dX_hYbxrk/edit?resourcekey=0-iw9bsKY2OqkUHCFMkCar3A&amp;gid=2055363397#gid=2055363397"",""MTR!C:O""),9,false)"),"Support:
DH_GROUP_1024_BIT_MODP,
DH_GROUP_1536_BIT_MODP,
DH_GROUP_2048_BIT_MODP,
DH_GROUP_3072_BIT_MODP,
DH_GROUP_4096_BIT_MODP,
DH_GROUP_CURVE_25519")</f>
        <v>Support:
DH_GROUP_1024_BIT_MODP,
DH_GROUP_1536_BIT_MODP,
DH_GROUP_2048_BIT_MODP,
DH_GROUP_3072_BIT_MODP,
DH_GROUP_4096_BIT_MODP,
DH_GROUP_CURVE_25519</v>
      </c>
      <c r="P1862" s="248"/>
      <c r="Q1862" s="249" t="s">
        <v>445</v>
      </c>
      <c r="R1862" s="249" t="s">
        <v>4735</v>
      </c>
      <c r="S1862" s="154" t="s">
        <v>64</v>
      </c>
      <c r="T1862" s="154" t="s">
        <v>60</v>
      </c>
      <c r="U1862" s="154" t="s">
        <v>60</v>
      </c>
      <c r="V1862" s="154" t="s">
        <v>60</v>
      </c>
      <c r="W1862" s="154" t="s">
        <v>60</v>
      </c>
      <c r="X1862" s="154" t="s">
        <v>60</v>
      </c>
      <c r="Y1862" s="154" t="s">
        <v>64</v>
      </c>
      <c r="Z1862" s="154" t="s">
        <v>64</v>
      </c>
      <c r="AA1862" s="154" t="s">
        <v>64</v>
      </c>
      <c r="AB1862" s="154"/>
      <c r="AC1862" s="242" t="b">
        <f t="shared" si="2"/>
        <v>1</v>
      </c>
      <c r="AD1862" s="154" t="s">
        <v>391</v>
      </c>
      <c r="AE1862" s="243" t="b">
        <f t="shared" si="3"/>
        <v>0</v>
      </c>
      <c r="AF1862" s="154"/>
      <c r="AG1862" s="243" t="b">
        <f t="shared" si="7"/>
        <v>0</v>
      </c>
      <c r="AH1862" s="154"/>
      <c r="AI1862" s="243" t="str">
        <f t="shared" si="5"/>
        <v>N/A</v>
      </c>
      <c r="AJ1862" s="157" t="str">
        <f t="shared" si="6"/>
        <v/>
      </c>
    </row>
    <row r="1863" ht="12.75" customHeight="1">
      <c r="A1863" s="244" t="s">
        <v>4158</v>
      </c>
      <c r="B1863" s="244" t="s">
        <v>4161</v>
      </c>
      <c r="C1863" s="244" t="s">
        <v>4736</v>
      </c>
      <c r="D1863" s="154" t="s">
        <v>1773</v>
      </c>
      <c r="E1863" s="250"/>
      <c r="F1863" s="154" t="str">
        <f t="array" ref="F1863">XLOOKUP(Cover!$D$12,$S$1:$AA$1,$S1863:$AA1863)</f>
        <v>Mandatory</v>
      </c>
      <c r="G1863" s="154" t="s">
        <v>4737</v>
      </c>
      <c r="H1863" s="154" t="s">
        <v>351</v>
      </c>
      <c r="I1863" s="154" t="s">
        <v>632</v>
      </c>
      <c r="J1863" s="247" t="s">
        <v>445</v>
      </c>
      <c r="K1863" s="247"/>
      <c r="L1863" s="154" t="str">
        <f t="shared" si="1"/>
        <v/>
      </c>
      <c r="M1863" s="248" t="str">
        <f>IFERROR(__xludf.DUMMYFUNCTION("VLOOKUP(C1863,IMPORTRANGE(""https://docs.google.com/spreadsheets/d/1P8eX0NWBhUPS_hvzA11R6jkTNFrPrRYIx_dX_hYbxrk/edit?resourcekey=0-iw9bsKY2OqkUHCFMkCar3A&amp;gid=2055363397#gid=2055363397"",""MTR!C:O""),11,false)"),"PMW-IMS")</f>
        <v>PMW-IMS</v>
      </c>
      <c r="N1863" s="248" t="str">
        <f>IFERROR(__xludf.DUMMYFUNCTION("VLOOKUP(C1863,IMPORTRANGE(""https://docs.google.com/spreadsheets/d/1ihFlp3_ePlYtFuPbUNbYj1muErVpI73WHXbEwJDIA7Q/edit#gid=1493122344"",""MTR!C:O""),8,false)"),"Complies")</f>
        <v>Complies</v>
      </c>
      <c r="O1863" s="241" t="str">
        <f>IFERROR(__xludf.DUMMYFUNCTION("VLOOKUP(C1863,IMPORTRANGE(""https://docs.google.com/spreadsheets/d/1P8eX0NWBhUPS_hvzA11R6jkTNFrPrRYIx_dX_hYbxrk/edit?resourcekey=0-iw9bsKY2OqkUHCFMkCar3A&amp;gid=2055363397#gid=2055363397"",""MTR!C:O""),9,false)"),"")</f>
        <v/>
      </c>
      <c r="P1863" s="241"/>
      <c r="Q1863" s="251" t="s">
        <v>445</v>
      </c>
      <c r="R1863" s="251"/>
      <c r="S1863" s="154" t="s">
        <v>64</v>
      </c>
      <c r="T1863" s="154" t="s">
        <v>60</v>
      </c>
      <c r="U1863" s="154" t="s">
        <v>60</v>
      </c>
      <c r="V1863" s="154" t="s">
        <v>60</v>
      </c>
      <c r="W1863" s="154" t="s">
        <v>60</v>
      </c>
      <c r="X1863" s="154" t="s">
        <v>60</v>
      </c>
      <c r="Y1863" s="154" t="s">
        <v>64</v>
      </c>
      <c r="Z1863" s="154" t="s">
        <v>64</v>
      </c>
      <c r="AA1863" s="154" t="s">
        <v>64</v>
      </c>
      <c r="AB1863" s="154"/>
      <c r="AC1863" s="242" t="b">
        <f t="shared" si="2"/>
        <v>1</v>
      </c>
      <c r="AD1863" s="154" t="s">
        <v>391</v>
      </c>
      <c r="AE1863" s="243" t="b">
        <f t="shared" si="3"/>
        <v>0</v>
      </c>
      <c r="AF1863" s="154"/>
      <c r="AG1863" s="243" t="b">
        <f t="shared" si="7"/>
        <v>0</v>
      </c>
      <c r="AH1863" s="154"/>
      <c r="AI1863" s="243" t="str">
        <f t="shared" si="5"/>
        <v>N/A</v>
      </c>
      <c r="AJ1863" s="157" t="str">
        <f t="shared" si="6"/>
        <v/>
      </c>
    </row>
    <row r="1864" ht="12.75" customHeight="1">
      <c r="A1864" s="244" t="s">
        <v>4158</v>
      </c>
      <c r="B1864" s="244" t="s">
        <v>4161</v>
      </c>
      <c r="C1864" s="244" t="s">
        <v>4738</v>
      </c>
      <c r="D1864" s="154" t="s">
        <v>433</v>
      </c>
      <c r="E1864" s="250"/>
      <c r="F1864" s="154" t="str">
        <f t="array" ref="F1864">XLOOKUP(Cover!$D$12,$S$1:$AA$1,$S1864:$AA1864)</f>
        <v>Mandatory</v>
      </c>
      <c r="G1864" s="154" t="s">
        <v>4739</v>
      </c>
      <c r="H1864" s="154" t="s">
        <v>351</v>
      </c>
      <c r="I1864" s="154" t="s">
        <v>632</v>
      </c>
      <c r="J1864" s="247" t="s">
        <v>445</v>
      </c>
      <c r="K1864" s="154"/>
      <c r="L1864" s="154" t="str">
        <f t="shared" si="1"/>
        <v/>
      </c>
      <c r="M1864" s="248" t="str">
        <f>IFERROR(__xludf.DUMMYFUNCTION("VLOOKUP(C1864,IMPORTRANGE(""https://docs.google.com/spreadsheets/d/1P8eX0NWBhUPS_hvzA11R6jkTNFrPrRYIx_dX_hYbxrk/edit?resourcekey=0-iw9bsKY2OqkUHCFMkCar3A&amp;gid=2055363397#gid=2055363397"",""MTR!C:O""),11,false)"),"PMW-IMS")</f>
        <v>PMW-IMS</v>
      </c>
      <c r="N1864" s="248" t="str">
        <f>IFERROR(__xludf.DUMMYFUNCTION("VLOOKUP(C1864,IMPORTRANGE(""https://docs.google.com/spreadsheets/d/1ihFlp3_ePlYtFuPbUNbYj1muErVpI73WHXbEwJDIA7Q/edit#gid=1493122344"",""MTR!C:O""),8,false)"),"Complies")</f>
        <v>Complies</v>
      </c>
      <c r="O1864" s="241" t="str">
        <f>IFERROR(__xludf.DUMMYFUNCTION("VLOOKUP(C1864,IMPORTRANGE(""https://docs.google.com/spreadsheets/d/1P8eX0NWBhUPS_hvzA11R6jkTNFrPrRYIx_dX_hYbxrk/edit?resourcekey=0-iw9bsKY2OqkUHCFMkCar3A&amp;gid=2055363397#gid=2055363397"",""MTR!C:O""),9,false)"),"")</f>
        <v/>
      </c>
      <c r="P1864" s="241"/>
      <c r="Q1864" s="251" t="s">
        <v>445</v>
      </c>
      <c r="R1864" s="241"/>
      <c r="S1864" s="154" t="s">
        <v>64</v>
      </c>
      <c r="T1864" s="154" t="s">
        <v>60</v>
      </c>
      <c r="U1864" s="154" t="s">
        <v>60</v>
      </c>
      <c r="V1864" s="154" t="s">
        <v>60</v>
      </c>
      <c r="W1864" s="154" t="s">
        <v>60</v>
      </c>
      <c r="X1864" s="154" t="s">
        <v>60</v>
      </c>
      <c r="Y1864" s="154" t="s">
        <v>64</v>
      </c>
      <c r="Z1864" s="154" t="s">
        <v>64</v>
      </c>
      <c r="AA1864" s="154" t="s">
        <v>64</v>
      </c>
      <c r="AB1864" s="154"/>
      <c r="AC1864" s="242" t="b">
        <f t="shared" si="2"/>
        <v>1</v>
      </c>
      <c r="AD1864" s="154" t="s">
        <v>391</v>
      </c>
      <c r="AE1864" s="243" t="b">
        <f t="shared" si="3"/>
        <v>0</v>
      </c>
      <c r="AF1864" s="154"/>
      <c r="AG1864" s="243" t="b">
        <f t="shared" si="7"/>
        <v>0</v>
      </c>
      <c r="AH1864" s="154"/>
      <c r="AI1864" s="243" t="str">
        <f t="shared" si="5"/>
        <v>N/A</v>
      </c>
      <c r="AJ1864" s="157" t="str">
        <f t="shared" si="6"/>
        <v/>
      </c>
    </row>
    <row r="1865" ht="12.75" customHeight="1">
      <c r="A1865" s="244" t="s">
        <v>4158</v>
      </c>
      <c r="B1865" s="244" t="s">
        <v>4161</v>
      </c>
      <c r="C1865" s="244" t="s">
        <v>4740</v>
      </c>
      <c r="D1865" s="154" t="s">
        <v>462</v>
      </c>
      <c r="E1865" s="250"/>
      <c r="F1865" s="154" t="str">
        <f t="array" ref="F1865">XLOOKUP(Cover!$D$12,$S$1:$AA$1,$S1865:$AA1865)</f>
        <v>Mandatory</v>
      </c>
      <c r="G1865" s="154" t="s">
        <v>4741</v>
      </c>
      <c r="H1865" s="154" t="s">
        <v>351</v>
      </c>
      <c r="I1865" s="154" t="s">
        <v>632</v>
      </c>
      <c r="J1865" s="247" t="s">
        <v>445</v>
      </c>
      <c r="K1865" s="247" t="s">
        <v>4742</v>
      </c>
      <c r="L1865" s="154" t="str">
        <f t="shared" si="1"/>
        <v/>
      </c>
      <c r="M1865" s="248" t="str">
        <f>IFERROR(__xludf.DUMMYFUNCTION("VLOOKUP(C1865,IMPORTRANGE(""https://docs.google.com/spreadsheets/d/1P8eX0NWBhUPS_hvzA11R6jkTNFrPrRYIx_dX_hYbxrk/edit?resourcekey=0-iw9bsKY2OqkUHCFMkCar3A&amp;gid=2055363397#gid=2055363397"",""MTR!C:O""),11,false)"),"PMW-IMS")</f>
        <v>PMW-IMS</v>
      </c>
      <c r="N1865" s="248" t="str">
        <f>IFERROR(__xludf.DUMMYFUNCTION("VLOOKUP(C1865,IMPORTRANGE(""https://docs.google.com/spreadsheets/d/1ihFlp3_ePlYtFuPbUNbYj1muErVpI73WHXbEwJDIA7Q/edit#gid=1493122344"",""MTR!C:O""),8,false)"),"Complies")</f>
        <v>Complies</v>
      </c>
      <c r="O1865" s="248" t="str">
        <f>IFERROR(__xludf.DUMMYFUNCTION("VLOOKUP(C1865,IMPORTRANGE(""https://docs.google.com/spreadsheets/d/1P8eX0NWBhUPS_hvzA11R6jkTNFrPrRYIx_dX_hYbxrk/edit?resourcekey=0-iw9bsKY2OqkUHCFMkCar3A&amp;gid=2055363397#gid=2055363397"",""MTR!C:O""),9,false)"),"Set the timer to 18 hrs per TISD.")</f>
        <v>Set the timer to 18 hrs per TISD.</v>
      </c>
      <c r="P1865" s="248"/>
      <c r="Q1865" s="249" t="s">
        <v>445</v>
      </c>
      <c r="R1865" s="249" t="s">
        <v>4742</v>
      </c>
      <c r="S1865" s="154" t="s">
        <v>64</v>
      </c>
      <c r="T1865" s="154" t="s">
        <v>60</v>
      </c>
      <c r="U1865" s="154" t="s">
        <v>60</v>
      </c>
      <c r="V1865" s="154" t="s">
        <v>60</v>
      </c>
      <c r="W1865" s="154" t="s">
        <v>60</v>
      </c>
      <c r="X1865" s="154" t="s">
        <v>60</v>
      </c>
      <c r="Y1865" s="154" t="s">
        <v>64</v>
      </c>
      <c r="Z1865" s="154" t="s">
        <v>64</v>
      </c>
      <c r="AA1865" s="154" t="s">
        <v>64</v>
      </c>
      <c r="AB1865" s="154"/>
      <c r="AC1865" s="242" t="b">
        <f t="shared" si="2"/>
        <v>1</v>
      </c>
      <c r="AD1865" s="154" t="s">
        <v>391</v>
      </c>
      <c r="AE1865" s="243" t="b">
        <f t="shared" si="3"/>
        <v>0</v>
      </c>
      <c r="AF1865" s="154"/>
      <c r="AG1865" s="243" t="b">
        <f t="shared" si="7"/>
        <v>0</v>
      </c>
      <c r="AH1865" s="154"/>
      <c r="AI1865" s="243" t="str">
        <f t="shared" si="5"/>
        <v>N/A</v>
      </c>
      <c r="AJ1865" s="157" t="str">
        <f t="shared" si="6"/>
        <v/>
      </c>
    </row>
    <row r="1866" ht="12.75" customHeight="1">
      <c r="A1866" s="244" t="s">
        <v>4158</v>
      </c>
      <c r="B1866" s="244" t="s">
        <v>4161</v>
      </c>
      <c r="C1866" s="244" t="s">
        <v>4743</v>
      </c>
      <c r="D1866" s="154" t="s">
        <v>861</v>
      </c>
      <c r="E1866" s="250"/>
      <c r="F1866" s="154" t="str">
        <f t="array" ref="F1866">XLOOKUP(Cover!$D$12,$S$1:$AA$1,$S1866:$AA1866)</f>
        <v>Mandatory</v>
      </c>
      <c r="G1866" s="154" t="s">
        <v>4744</v>
      </c>
      <c r="H1866" s="154" t="s">
        <v>351</v>
      </c>
      <c r="I1866" s="154" t="s">
        <v>632</v>
      </c>
      <c r="J1866" s="247" t="s">
        <v>506</v>
      </c>
      <c r="K1866" s="247" t="s">
        <v>4745</v>
      </c>
      <c r="L1866" s="154" t="str">
        <f t="shared" si="1"/>
        <v/>
      </c>
      <c r="M1866" s="248" t="str">
        <f>IFERROR(__xludf.DUMMYFUNCTION("VLOOKUP(C1866,IMPORTRANGE(""https://docs.google.com/spreadsheets/d/1P8eX0NWBhUPS_hvzA11R6jkTNFrPrRYIx_dX_hYbxrk/edit?resourcekey=0-iw9bsKY2OqkUHCFMkCar3A&amp;gid=2055363397#gid=2055363397"",""MTR!C:O""),11,false)"),"PMW-IMS")</f>
        <v>PMW-IMS</v>
      </c>
      <c r="N1866" s="248" t="str">
        <f>IFERROR(__xludf.DUMMYFUNCTION("VLOOKUP(C1866,IMPORTRANGE(""https://docs.google.com/spreadsheets/d/1ihFlp3_ePlYtFuPbUNbYj1muErVpI73WHXbEwJDIA7Q/edit#gid=1493122344"",""MTR!C:O""),8,false)"),"Does Not Comply")</f>
        <v>Does Not Comply</v>
      </c>
      <c r="O1866" s="248" t="str">
        <f>IFERROR(__xludf.DUMMYFUNCTION("VLOOKUP(C1866,IMPORTRANGE(""https://docs.google.com/spreadsheets/d/1P8eX0NWBhUPS_hvzA11R6jkTNFrPrRYIx_dX_hYbxrk/edit?resourcekey=0-iw9bsKY2OqkUHCFMkCar3A&amp;gid=2055363397#gid=2055363397"",""MTR!C:O""),9,false)"),"Support but disabled as the feature is under internal verification, please discuss with Google TAM for feature enablement plans if the feature is deployed in live network.")</f>
        <v>Support but disabled as the feature is under internal verification, please discuss with Google TAM for feature enablement plans if the feature is deployed in live network.</v>
      </c>
      <c r="P1866" s="248"/>
      <c r="Q1866" s="249" t="s">
        <v>516</v>
      </c>
      <c r="R1866" s="249" t="s">
        <v>4745</v>
      </c>
      <c r="S1866" s="154" t="s">
        <v>64</v>
      </c>
      <c r="T1866" s="154" t="s">
        <v>60</v>
      </c>
      <c r="U1866" s="154" t="s">
        <v>60</v>
      </c>
      <c r="V1866" s="154" t="s">
        <v>60</v>
      </c>
      <c r="W1866" s="154" t="s">
        <v>60</v>
      </c>
      <c r="X1866" s="154" t="s">
        <v>60</v>
      </c>
      <c r="Y1866" s="154" t="s">
        <v>64</v>
      </c>
      <c r="Z1866" s="154" t="s">
        <v>64</v>
      </c>
      <c r="AA1866" s="154" t="s">
        <v>64</v>
      </c>
      <c r="AB1866" s="154"/>
      <c r="AC1866" s="242" t="b">
        <f t="shared" si="2"/>
        <v>1</v>
      </c>
      <c r="AD1866" s="154" t="s">
        <v>391</v>
      </c>
      <c r="AE1866" s="243" t="b">
        <f t="shared" si="3"/>
        <v>0</v>
      </c>
      <c r="AF1866" s="154"/>
      <c r="AG1866" s="243" t="b">
        <f t="shared" si="7"/>
        <v>0</v>
      </c>
      <c r="AH1866" s="154"/>
      <c r="AI1866" s="243" t="str">
        <f t="shared" si="5"/>
        <v>N/A</v>
      </c>
      <c r="AJ1866" s="157" t="str">
        <f t="shared" si="6"/>
        <v/>
      </c>
    </row>
    <row r="1867" ht="12.75" customHeight="1">
      <c r="A1867" s="244" t="s">
        <v>4158</v>
      </c>
      <c r="B1867" s="244" t="s">
        <v>4161</v>
      </c>
      <c r="C1867" s="244" t="s">
        <v>4746</v>
      </c>
      <c r="D1867" s="154" t="s">
        <v>492</v>
      </c>
      <c r="E1867" s="250"/>
      <c r="F1867" s="154" t="str">
        <f t="array" ref="F1867">XLOOKUP(Cover!$D$12,$S$1:$AA$1,$S1867:$AA1867)</f>
        <v>Mandatory</v>
      </c>
      <c r="G1867" s="154" t="s">
        <v>4747</v>
      </c>
      <c r="H1867" s="154" t="s">
        <v>351</v>
      </c>
      <c r="I1867" s="154" t="s">
        <v>632</v>
      </c>
      <c r="J1867" s="247" t="s">
        <v>445</v>
      </c>
      <c r="K1867" s="247"/>
      <c r="L1867" s="154" t="str">
        <f t="shared" si="1"/>
        <v/>
      </c>
      <c r="M1867" s="248" t="str">
        <f>IFERROR(__xludf.DUMMYFUNCTION("VLOOKUP(C1867,IMPORTRANGE(""https://docs.google.com/spreadsheets/d/1P8eX0NWBhUPS_hvzA11R6jkTNFrPrRYIx_dX_hYbxrk/edit?resourcekey=0-iw9bsKY2OqkUHCFMkCar3A&amp;gid=2055363397#gid=2055363397"",""MTR!C:O""),11,false)"),"PMW-IMS")</f>
        <v>PMW-IMS</v>
      </c>
      <c r="N1867" s="248" t="str">
        <f>IFERROR(__xludf.DUMMYFUNCTION("VLOOKUP(C1867,IMPORTRANGE(""https://docs.google.com/spreadsheets/d/1ihFlp3_ePlYtFuPbUNbYj1muErVpI73WHXbEwJDIA7Q/edit#gid=1493122344"",""MTR!C:O""),8,false)"),"Complies")</f>
        <v>Complies</v>
      </c>
      <c r="O1867" s="241" t="str">
        <f>IFERROR(__xludf.DUMMYFUNCTION("VLOOKUP(C1867,IMPORTRANGE(""https://docs.google.com/spreadsheets/d/1P8eX0NWBhUPS_hvzA11R6jkTNFrPrRYIx_dX_hYbxrk/edit?resourcekey=0-iw9bsKY2OqkUHCFMkCar3A&amp;gid=2055363397#gid=2055363397"",""MTR!C:O""),9,false)"),"")</f>
        <v/>
      </c>
      <c r="P1867" s="241"/>
      <c r="Q1867" s="251" t="s">
        <v>445</v>
      </c>
      <c r="R1867" s="251"/>
      <c r="S1867" s="154" t="s">
        <v>64</v>
      </c>
      <c r="T1867" s="154" t="s">
        <v>60</v>
      </c>
      <c r="U1867" s="154" t="s">
        <v>60</v>
      </c>
      <c r="V1867" s="154" t="s">
        <v>60</v>
      </c>
      <c r="W1867" s="154" t="s">
        <v>60</v>
      </c>
      <c r="X1867" s="154" t="s">
        <v>60</v>
      </c>
      <c r="Y1867" s="154" t="s">
        <v>64</v>
      </c>
      <c r="Z1867" s="154" t="s">
        <v>64</v>
      </c>
      <c r="AA1867" s="154" t="s">
        <v>64</v>
      </c>
      <c r="AB1867" s="154"/>
      <c r="AC1867" s="242" t="b">
        <f t="shared" si="2"/>
        <v>1</v>
      </c>
      <c r="AD1867" s="154" t="s">
        <v>391</v>
      </c>
      <c r="AE1867" s="243" t="b">
        <f t="shared" si="3"/>
        <v>0</v>
      </c>
      <c r="AF1867" s="154"/>
      <c r="AG1867" s="243" t="b">
        <f t="shared" si="7"/>
        <v>0</v>
      </c>
      <c r="AH1867" s="154"/>
      <c r="AI1867" s="243" t="str">
        <f t="shared" si="5"/>
        <v>N/A</v>
      </c>
      <c r="AJ1867" s="157" t="str">
        <f t="shared" si="6"/>
        <v/>
      </c>
    </row>
    <row r="1868" ht="12.75" customHeight="1">
      <c r="A1868" s="244" t="s">
        <v>4158</v>
      </c>
      <c r="B1868" s="244" t="s">
        <v>4161</v>
      </c>
      <c r="C1868" s="244" t="s">
        <v>4748</v>
      </c>
      <c r="D1868" s="154" t="s">
        <v>581</v>
      </c>
      <c r="E1868" s="250"/>
      <c r="F1868" s="154" t="str">
        <f t="array" ref="F1868">XLOOKUP(Cover!$D$12,$S$1:$AA$1,$S1868:$AA1868)</f>
        <v>Mandatory</v>
      </c>
      <c r="G1868" s="154" t="s">
        <v>4749</v>
      </c>
      <c r="H1868" s="154" t="s">
        <v>351</v>
      </c>
      <c r="I1868" s="154" t="s">
        <v>632</v>
      </c>
      <c r="J1868" s="247" t="s">
        <v>445</v>
      </c>
      <c r="K1868" s="154"/>
      <c r="L1868" s="154" t="str">
        <f t="shared" si="1"/>
        <v/>
      </c>
      <c r="M1868" s="248" t="str">
        <f>IFERROR(__xludf.DUMMYFUNCTION("VLOOKUP(C1868,IMPORTRANGE(""https://docs.google.com/spreadsheets/d/1P8eX0NWBhUPS_hvzA11R6jkTNFrPrRYIx_dX_hYbxrk/edit?resourcekey=0-iw9bsKY2OqkUHCFMkCar3A&amp;gid=2055363397#gid=2055363397"",""MTR!C:O""),11,false)"),"PMW-IMS")</f>
        <v>PMW-IMS</v>
      </c>
      <c r="N1868" s="248" t="str">
        <f>IFERROR(__xludf.DUMMYFUNCTION("VLOOKUP(C1868,IMPORTRANGE(""https://docs.google.com/spreadsheets/d/1ihFlp3_ePlYtFuPbUNbYj1muErVpI73WHXbEwJDIA7Q/edit#gid=1493122344"",""MTR!C:O""),8,false)"),"Complies")</f>
        <v>Complies</v>
      </c>
      <c r="O1868" s="241" t="str">
        <f>IFERROR(__xludf.DUMMYFUNCTION("VLOOKUP(C1868,IMPORTRANGE(""https://docs.google.com/spreadsheets/d/1P8eX0NWBhUPS_hvzA11R6jkTNFrPrRYIx_dX_hYbxrk/edit?resourcekey=0-iw9bsKY2OqkUHCFMkCar3A&amp;gid=2055363397#gid=2055363397"",""MTR!C:O""),9,false)"),"")</f>
        <v/>
      </c>
      <c r="P1868" s="241"/>
      <c r="Q1868" s="251" t="s">
        <v>445</v>
      </c>
      <c r="R1868" s="241"/>
      <c r="S1868" s="154" t="s">
        <v>64</v>
      </c>
      <c r="T1868" s="154" t="s">
        <v>60</v>
      </c>
      <c r="U1868" s="154" t="s">
        <v>60</v>
      </c>
      <c r="V1868" s="154" t="s">
        <v>60</v>
      </c>
      <c r="W1868" s="154" t="s">
        <v>60</v>
      </c>
      <c r="X1868" s="154" t="s">
        <v>60</v>
      </c>
      <c r="Y1868" s="154" t="s">
        <v>64</v>
      </c>
      <c r="Z1868" s="154" t="s">
        <v>64</v>
      </c>
      <c r="AA1868" s="154" t="s">
        <v>64</v>
      </c>
      <c r="AB1868" s="154"/>
      <c r="AC1868" s="242" t="b">
        <f t="shared" si="2"/>
        <v>1</v>
      </c>
      <c r="AD1868" s="154" t="s">
        <v>391</v>
      </c>
      <c r="AE1868" s="243" t="b">
        <f t="shared" si="3"/>
        <v>0</v>
      </c>
      <c r="AF1868" s="154"/>
      <c r="AG1868" s="243" t="b">
        <f t="shared" si="7"/>
        <v>0</v>
      </c>
      <c r="AH1868" s="154"/>
      <c r="AI1868" s="243" t="str">
        <f t="shared" si="5"/>
        <v>N/A</v>
      </c>
      <c r="AJ1868" s="157" t="str">
        <f t="shared" si="6"/>
        <v/>
      </c>
    </row>
    <row r="1869" ht="12.75" customHeight="1">
      <c r="A1869" s="244" t="s">
        <v>4158</v>
      </c>
      <c r="B1869" s="244" t="s">
        <v>4161</v>
      </c>
      <c r="C1869" s="244" t="s">
        <v>4750</v>
      </c>
      <c r="D1869" s="154" t="s">
        <v>967</v>
      </c>
      <c r="E1869" s="250"/>
      <c r="F1869" s="154" t="str">
        <f t="array" ref="F1869">XLOOKUP(Cover!$D$12,$S$1:$AA$1,$S1869:$AA1869)</f>
        <v>Mandatory</v>
      </c>
      <c r="G1869" s="154" t="s">
        <v>4751</v>
      </c>
      <c r="H1869" s="154" t="s">
        <v>351</v>
      </c>
      <c r="I1869" s="154" t="s">
        <v>632</v>
      </c>
      <c r="J1869" s="247" t="s">
        <v>445</v>
      </c>
      <c r="K1869" s="247" t="s">
        <v>4752</v>
      </c>
      <c r="L1869" s="154" t="str">
        <f t="shared" si="1"/>
        <v/>
      </c>
      <c r="M1869" s="248" t="str">
        <f>IFERROR(__xludf.DUMMYFUNCTION("VLOOKUP(C1869,IMPORTRANGE(""https://docs.google.com/spreadsheets/d/1P8eX0NWBhUPS_hvzA11R6jkTNFrPrRYIx_dX_hYbxrk/edit?resourcekey=0-iw9bsKY2OqkUHCFMkCar3A&amp;gid=2055363397#gid=2055363397"",""MTR!C:O""),11,false)"),"PMW-IMS")</f>
        <v>PMW-IMS</v>
      </c>
      <c r="N1869" s="248" t="str">
        <f>IFERROR(__xludf.DUMMYFUNCTION("VLOOKUP(C1869,IMPORTRANGE(""https://docs.google.com/spreadsheets/d/1ihFlp3_ePlYtFuPbUNbYj1muErVpI73WHXbEwJDIA7Q/edit#gid=1493122344"",""MTR!C:O""),8,false)"),"Complies")</f>
        <v>Complies</v>
      </c>
      <c r="O1869" s="248" t="str">
        <f>IFERROR(__xludf.DUMMYFUNCTION("VLOOKUP(C1869,IMPORTRANGE(""https://docs.google.com/spreadsheets/d/1P8eX0NWBhUPS_hvzA11R6jkTNFrPrRYIx_dX_hYbxrk/edit?resourcekey=0-iw9bsKY2OqkUHCFMkCar3A&amp;gid=2055363397#gid=2055363397"",""MTR!C:O""),9,false)"),"iwlan.max_retries_int:Default 3 times")</f>
        <v>iwlan.max_retries_int:Default 3 times</v>
      </c>
      <c r="P1869" s="248"/>
      <c r="Q1869" s="249" t="s">
        <v>445</v>
      </c>
      <c r="R1869" s="249" t="s">
        <v>4752</v>
      </c>
      <c r="S1869" s="154" t="s">
        <v>64</v>
      </c>
      <c r="T1869" s="154" t="s">
        <v>60</v>
      </c>
      <c r="U1869" s="154" t="s">
        <v>60</v>
      </c>
      <c r="V1869" s="154" t="s">
        <v>60</v>
      </c>
      <c r="W1869" s="154" t="s">
        <v>60</v>
      </c>
      <c r="X1869" s="154" t="s">
        <v>60</v>
      </c>
      <c r="Y1869" s="154" t="s">
        <v>64</v>
      </c>
      <c r="Z1869" s="154" t="s">
        <v>64</v>
      </c>
      <c r="AA1869" s="154" t="s">
        <v>64</v>
      </c>
      <c r="AB1869" s="154"/>
      <c r="AC1869" s="242" t="b">
        <f t="shared" si="2"/>
        <v>1</v>
      </c>
      <c r="AD1869" s="154" t="s">
        <v>391</v>
      </c>
      <c r="AE1869" s="243" t="b">
        <f t="shared" si="3"/>
        <v>0</v>
      </c>
      <c r="AF1869" s="154"/>
      <c r="AG1869" s="243" t="b">
        <f t="shared" si="7"/>
        <v>0</v>
      </c>
      <c r="AH1869" s="154"/>
      <c r="AI1869" s="243" t="str">
        <f t="shared" si="5"/>
        <v>N/A</v>
      </c>
      <c r="AJ1869" s="157" t="str">
        <f t="shared" si="6"/>
        <v/>
      </c>
    </row>
    <row r="1870" ht="12.75" customHeight="1">
      <c r="A1870" s="244" t="s">
        <v>4158</v>
      </c>
      <c r="B1870" s="244" t="s">
        <v>4161</v>
      </c>
      <c r="C1870" s="244" t="s">
        <v>4753</v>
      </c>
      <c r="D1870" s="154" t="s">
        <v>581</v>
      </c>
      <c r="E1870" s="250"/>
      <c r="F1870" s="154" t="str">
        <f t="array" ref="F1870">XLOOKUP(Cover!$D$12,$S$1:$AA$1,$S1870:$AA1870)</f>
        <v>Mandatory</v>
      </c>
      <c r="G1870" s="154" t="s">
        <v>4754</v>
      </c>
      <c r="H1870" s="154" t="s">
        <v>351</v>
      </c>
      <c r="I1870" s="154" t="s">
        <v>632</v>
      </c>
      <c r="J1870" s="247" t="s">
        <v>445</v>
      </c>
      <c r="K1870" s="247"/>
      <c r="L1870" s="154" t="str">
        <f t="shared" si="1"/>
        <v/>
      </c>
      <c r="M1870" s="248" t="str">
        <f>IFERROR(__xludf.DUMMYFUNCTION("VLOOKUP(C1870,IMPORTRANGE(""https://docs.google.com/spreadsheets/d/1P8eX0NWBhUPS_hvzA11R6jkTNFrPrRYIx_dX_hYbxrk/edit?resourcekey=0-iw9bsKY2OqkUHCFMkCar3A&amp;gid=2055363397#gid=2055363397"",""MTR!C:O""),11,false)"),"PMW-IMS")</f>
        <v>PMW-IMS</v>
      </c>
      <c r="N1870" s="248" t="str">
        <f>IFERROR(__xludf.DUMMYFUNCTION("VLOOKUP(C1870,IMPORTRANGE(""https://docs.google.com/spreadsheets/d/1ihFlp3_ePlYtFuPbUNbYj1muErVpI73WHXbEwJDIA7Q/edit#gid=1493122344"",""MTR!C:O""),8,false)"),"Complies")</f>
        <v>Complies</v>
      </c>
      <c r="O1870" s="241" t="str">
        <f>IFERROR(__xludf.DUMMYFUNCTION("VLOOKUP(C1870,IMPORTRANGE(""https://docs.google.com/spreadsheets/d/1P8eX0NWBhUPS_hvzA11R6jkTNFrPrRYIx_dX_hYbxrk/edit?resourcekey=0-iw9bsKY2OqkUHCFMkCar3A&amp;gid=2055363397#gid=2055363397"",""MTR!C:O""),9,false)"),"")</f>
        <v/>
      </c>
      <c r="P1870" s="241"/>
      <c r="Q1870" s="251" t="s">
        <v>445</v>
      </c>
      <c r="R1870" s="251"/>
      <c r="S1870" s="154" t="s">
        <v>64</v>
      </c>
      <c r="T1870" s="154" t="s">
        <v>60</v>
      </c>
      <c r="U1870" s="154" t="s">
        <v>60</v>
      </c>
      <c r="V1870" s="154" t="s">
        <v>60</v>
      </c>
      <c r="W1870" s="154" t="s">
        <v>60</v>
      </c>
      <c r="X1870" s="154" t="s">
        <v>60</v>
      </c>
      <c r="Y1870" s="154" t="s">
        <v>64</v>
      </c>
      <c r="Z1870" s="154" t="s">
        <v>64</v>
      </c>
      <c r="AA1870" s="154" t="s">
        <v>64</v>
      </c>
      <c r="AB1870" s="154"/>
      <c r="AC1870" s="242" t="b">
        <f t="shared" si="2"/>
        <v>1</v>
      </c>
      <c r="AD1870" s="154" t="s">
        <v>391</v>
      </c>
      <c r="AE1870" s="243" t="b">
        <f t="shared" si="3"/>
        <v>0</v>
      </c>
      <c r="AF1870" s="154"/>
      <c r="AG1870" s="243" t="b">
        <f t="shared" si="7"/>
        <v>0</v>
      </c>
      <c r="AH1870" s="154"/>
      <c r="AI1870" s="243" t="str">
        <f t="shared" si="5"/>
        <v>N/A</v>
      </c>
      <c r="AJ1870" s="157" t="str">
        <f t="shared" si="6"/>
        <v/>
      </c>
    </row>
    <row r="1871" ht="12.75" customHeight="1">
      <c r="A1871" s="244" t="s">
        <v>4158</v>
      </c>
      <c r="B1871" s="244" t="s">
        <v>4161</v>
      </c>
      <c r="C1871" s="244" t="s">
        <v>4755</v>
      </c>
      <c r="D1871" s="154" t="s">
        <v>462</v>
      </c>
      <c r="E1871" s="250"/>
      <c r="F1871" s="154" t="str">
        <f t="array" ref="F1871">XLOOKUP(Cover!$D$12,$S$1:$AA$1,$S1871:$AA1871)</f>
        <v>Mandatory</v>
      </c>
      <c r="G1871" s="154" t="s">
        <v>4756</v>
      </c>
      <c r="H1871" s="154" t="s">
        <v>351</v>
      </c>
      <c r="I1871" s="154" t="s">
        <v>632</v>
      </c>
      <c r="J1871" s="247" t="s">
        <v>445</v>
      </c>
      <c r="K1871" s="154"/>
      <c r="L1871" s="154" t="str">
        <f t="shared" si="1"/>
        <v/>
      </c>
      <c r="M1871" s="248" t="str">
        <f>IFERROR(__xludf.DUMMYFUNCTION("VLOOKUP(C1871,IMPORTRANGE(""https://docs.google.com/spreadsheets/d/1P8eX0NWBhUPS_hvzA11R6jkTNFrPrRYIx_dX_hYbxrk/edit?resourcekey=0-iw9bsKY2OqkUHCFMkCar3A&amp;gid=2055363397#gid=2055363397"",""MTR!C:O""),11,false)"),"PMW-IMS")</f>
        <v>PMW-IMS</v>
      </c>
      <c r="N1871" s="248" t="str">
        <f>IFERROR(__xludf.DUMMYFUNCTION("VLOOKUP(C1871,IMPORTRANGE(""https://docs.google.com/spreadsheets/d/1ihFlp3_ePlYtFuPbUNbYj1muErVpI73WHXbEwJDIA7Q/edit#gid=1493122344"",""MTR!C:O""),8,false)"),"Complies")</f>
        <v>Complies</v>
      </c>
      <c r="O1871" s="241" t="str">
        <f>IFERROR(__xludf.DUMMYFUNCTION("VLOOKUP(C1871,IMPORTRANGE(""https://docs.google.com/spreadsheets/d/1P8eX0NWBhUPS_hvzA11R6jkTNFrPrRYIx_dX_hYbxrk/edit?resourcekey=0-iw9bsKY2OqkUHCFMkCar3A&amp;gid=2055363397#gid=2055363397"",""MTR!C:O""),9,false)"),"")</f>
        <v/>
      </c>
      <c r="P1871" s="241"/>
      <c r="Q1871" s="251" t="s">
        <v>445</v>
      </c>
      <c r="R1871" s="241"/>
      <c r="S1871" s="154" t="s">
        <v>64</v>
      </c>
      <c r="T1871" s="154" t="s">
        <v>60</v>
      </c>
      <c r="U1871" s="154" t="s">
        <v>60</v>
      </c>
      <c r="V1871" s="154" t="s">
        <v>60</v>
      </c>
      <c r="W1871" s="154" t="s">
        <v>60</v>
      </c>
      <c r="X1871" s="154" t="s">
        <v>60</v>
      </c>
      <c r="Y1871" s="154" t="s">
        <v>64</v>
      </c>
      <c r="Z1871" s="154" t="s">
        <v>64</v>
      </c>
      <c r="AA1871" s="154" t="s">
        <v>64</v>
      </c>
      <c r="AB1871" s="154"/>
      <c r="AC1871" s="242" t="b">
        <f t="shared" si="2"/>
        <v>1</v>
      </c>
      <c r="AD1871" s="154" t="s">
        <v>391</v>
      </c>
      <c r="AE1871" s="243" t="b">
        <f t="shared" si="3"/>
        <v>0</v>
      </c>
      <c r="AF1871" s="154"/>
      <c r="AG1871" s="243" t="b">
        <f t="shared" si="7"/>
        <v>0</v>
      </c>
      <c r="AH1871" s="154"/>
      <c r="AI1871" s="243" t="str">
        <f t="shared" si="5"/>
        <v>N/A</v>
      </c>
      <c r="AJ1871" s="157" t="str">
        <f t="shared" si="6"/>
        <v/>
      </c>
    </row>
    <row r="1872" ht="12.75" customHeight="1">
      <c r="A1872" s="244" t="s">
        <v>4158</v>
      </c>
      <c r="B1872" s="244" t="s">
        <v>4161</v>
      </c>
      <c r="C1872" s="244" t="s">
        <v>4757</v>
      </c>
      <c r="D1872" s="154" t="s">
        <v>433</v>
      </c>
      <c r="E1872" s="250"/>
      <c r="F1872" s="154" t="str">
        <f t="array" ref="F1872">XLOOKUP(Cover!$D$12,$S$1:$AA$1,$S1872:$AA1872)</f>
        <v>Mandatory</v>
      </c>
      <c r="G1872" s="154" t="s">
        <v>4758</v>
      </c>
      <c r="H1872" s="154" t="s">
        <v>351</v>
      </c>
      <c r="I1872" s="154" t="s">
        <v>632</v>
      </c>
      <c r="J1872" s="247" t="s">
        <v>445</v>
      </c>
      <c r="K1872" s="154"/>
      <c r="L1872" s="154" t="str">
        <f t="shared" si="1"/>
        <v/>
      </c>
      <c r="M1872" s="248" t="str">
        <f>IFERROR(__xludf.DUMMYFUNCTION("VLOOKUP(C1872,IMPORTRANGE(""https://docs.google.com/spreadsheets/d/1P8eX0NWBhUPS_hvzA11R6jkTNFrPrRYIx_dX_hYbxrk/edit?resourcekey=0-iw9bsKY2OqkUHCFMkCar3A&amp;gid=2055363397#gid=2055363397"",""MTR!C:O""),11,false)"),"PMW-IMS")</f>
        <v>PMW-IMS</v>
      </c>
      <c r="N1872" s="248" t="str">
        <f>IFERROR(__xludf.DUMMYFUNCTION("VLOOKUP(C1872,IMPORTRANGE(""https://docs.google.com/spreadsheets/d/1ihFlp3_ePlYtFuPbUNbYj1muErVpI73WHXbEwJDIA7Q/edit#gid=1493122344"",""MTR!C:O""),8,false)"),"Complies")</f>
        <v>Complies</v>
      </c>
      <c r="O1872" s="241" t="str">
        <f>IFERROR(__xludf.DUMMYFUNCTION("VLOOKUP(C1872,IMPORTRANGE(""https://docs.google.com/spreadsheets/d/1P8eX0NWBhUPS_hvzA11R6jkTNFrPrRYIx_dX_hYbxrk/edit?resourcekey=0-iw9bsKY2OqkUHCFMkCar3A&amp;gid=2055363397#gid=2055363397"",""MTR!C:O""),9,false)"),"")</f>
        <v/>
      </c>
      <c r="P1872" s="241"/>
      <c r="Q1872" s="251" t="s">
        <v>445</v>
      </c>
      <c r="R1872" s="241"/>
      <c r="S1872" s="154" t="s">
        <v>64</v>
      </c>
      <c r="T1872" s="154" t="s">
        <v>60</v>
      </c>
      <c r="U1872" s="154" t="s">
        <v>60</v>
      </c>
      <c r="V1872" s="154" t="s">
        <v>60</v>
      </c>
      <c r="W1872" s="154" t="s">
        <v>60</v>
      </c>
      <c r="X1872" s="154" t="s">
        <v>60</v>
      </c>
      <c r="Y1872" s="154" t="s">
        <v>64</v>
      </c>
      <c r="Z1872" s="154" t="s">
        <v>64</v>
      </c>
      <c r="AA1872" s="154" t="s">
        <v>64</v>
      </c>
      <c r="AB1872" s="154"/>
      <c r="AC1872" s="242" t="b">
        <f t="shared" si="2"/>
        <v>1</v>
      </c>
      <c r="AD1872" s="154" t="s">
        <v>391</v>
      </c>
      <c r="AE1872" s="243" t="b">
        <f t="shared" si="3"/>
        <v>0</v>
      </c>
      <c r="AF1872" s="154"/>
      <c r="AG1872" s="243" t="b">
        <f t="shared" si="7"/>
        <v>0</v>
      </c>
      <c r="AH1872" s="154"/>
      <c r="AI1872" s="243" t="str">
        <f t="shared" si="5"/>
        <v>N/A</v>
      </c>
      <c r="AJ1872" s="157" t="str">
        <f t="shared" si="6"/>
        <v/>
      </c>
    </row>
    <row r="1873" ht="12.75" customHeight="1">
      <c r="A1873" s="244" t="s">
        <v>4158</v>
      </c>
      <c r="B1873" s="244" t="s">
        <v>4161</v>
      </c>
      <c r="C1873" s="244" t="s">
        <v>4759</v>
      </c>
      <c r="D1873" s="154" t="s">
        <v>433</v>
      </c>
      <c r="E1873" s="250"/>
      <c r="F1873" s="154" t="str">
        <f t="array" ref="F1873">XLOOKUP(Cover!$D$12,$S$1:$AA$1,$S1873:$AA1873)</f>
        <v>Mandatory</v>
      </c>
      <c r="G1873" s="154" t="s">
        <v>4760</v>
      </c>
      <c r="H1873" s="154" t="s">
        <v>351</v>
      </c>
      <c r="I1873" s="154" t="s">
        <v>632</v>
      </c>
      <c r="J1873" s="247" t="s">
        <v>445</v>
      </c>
      <c r="K1873" s="247" t="s">
        <v>4761</v>
      </c>
      <c r="L1873" s="154" t="str">
        <f t="shared" si="1"/>
        <v/>
      </c>
      <c r="M1873" s="248" t="str">
        <f>IFERROR(__xludf.DUMMYFUNCTION("VLOOKUP(C1873,IMPORTRANGE(""https://docs.google.com/spreadsheets/d/1P8eX0NWBhUPS_hvzA11R6jkTNFrPrRYIx_dX_hYbxrk/edit?resourcekey=0-iw9bsKY2OqkUHCFMkCar3A&amp;gid=2055363397#gid=2055363397"",""MTR!C:O""),11,false)"),"PMW-IMS")</f>
        <v>PMW-IMS</v>
      </c>
      <c r="N1873" s="248" t="str">
        <f>IFERROR(__xludf.DUMMYFUNCTION("VLOOKUP(C1873,IMPORTRANGE(""https://docs.google.com/spreadsheets/d/1ihFlp3_ePlYtFuPbUNbYj1muErVpI73WHXbEwJDIA7Q/edit#gid=1493122344"",""MTR!C:O""),8,false)"),"Complies")</f>
        <v>Complies</v>
      </c>
      <c r="O1873" s="248" t="str">
        <f>IFERROR(__xludf.DUMMYFUNCTION("VLOOKUP(C1873,IMPORTRANGE(""https://docs.google.com/spreadsheets/d/1P8eX0NWBhUPS_hvzA11R6jkTNFrPrRYIx_dX_hYbxrk/edit?resourcekey=0-iw9bsKY2OqkUHCFMkCar3A&amp;gid=2055363397#gid=2055363397"",""MTR!C:O""),9,false)"),"iwlan.natt_keep_alive_timer_sec_int=20s")</f>
        <v>iwlan.natt_keep_alive_timer_sec_int=20s</v>
      </c>
      <c r="P1873" s="248"/>
      <c r="Q1873" s="249" t="s">
        <v>445</v>
      </c>
      <c r="R1873" s="249" t="s">
        <v>4761</v>
      </c>
      <c r="S1873" s="154" t="s">
        <v>64</v>
      </c>
      <c r="T1873" s="154" t="s">
        <v>60</v>
      </c>
      <c r="U1873" s="154" t="s">
        <v>60</v>
      </c>
      <c r="V1873" s="154" t="s">
        <v>60</v>
      </c>
      <c r="W1873" s="154" t="s">
        <v>60</v>
      </c>
      <c r="X1873" s="154" t="s">
        <v>60</v>
      </c>
      <c r="Y1873" s="154" t="s">
        <v>64</v>
      </c>
      <c r="Z1873" s="154" t="s">
        <v>64</v>
      </c>
      <c r="AA1873" s="154" t="s">
        <v>64</v>
      </c>
      <c r="AB1873" s="154"/>
      <c r="AC1873" s="242" t="b">
        <f t="shared" si="2"/>
        <v>1</v>
      </c>
      <c r="AD1873" s="154" t="s">
        <v>391</v>
      </c>
      <c r="AE1873" s="243" t="b">
        <f t="shared" si="3"/>
        <v>0</v>
      </c>
      <c r="AF1873" s="154"/>
      <c r="AG1873" s="243" t="b">
        <f t="shared" si="7"/>
        <v>0</v>
      </c>
      <c r="AH1873" s="154"/>
      <c r="AI1873" s="243" t="str">
        <f t="shared" si="5"/>
        <v>N/A</v>
      </c>
      <c r="AJ1873" s="157" t="str">
        <f t="shared" si="6"/>
        <v/>
      </c>
    </row>
    <row r="1874" ht="12.75" customHeight="1">
      <c r="A1874" s="244" t="s">
        <v>4158</v>
      </c>
      <c r="B1874" s="244" t="s">
        <v>4161</v>
      </c>
      <c r="C1874" s="244" t="s">
        <v>4762</v>
      </c>
      <c r="D1874" s="154" t="s">
        <v>581</v>
      </c>
      <c r="E1874" s="250"/>
      <c r="F1874" s="154" t="str">
        <f t="array" ref="F1874">XLOOKUP(Cover!$D$12,$S$1:$AA$1,$S1874:$AA1874)</f>
        <v>Recommended</v>
      </c>
      <c r="G1874" s="154" t="s">
        <v>4763</v>
      </c>
      <c r="H1874" s="154"/>
      <c r="I1874" s="154" t="s">
        <v>632</v>
      </c>
      <c r="J1874" s="247" t="s">
        <v>445</v>
      </c>
      <c r="K1874" s="247" t="s">
        <v>4764</v>
      </c>
      <c r="L1874" s="154" t="str">
        <f t="shared" si="1"/>
        <v/>
      </c>
      <c r="M1874" s="248" t="str">
        <f>IFERROR(__xludf.DUMMYFUNCTION("VLOOKUP(C1874,IMPORTRANGE(""https://docs.google.com/spreadsheets/d/1P8eX0NWBhUPS_hvzA11R6jkTNFrPrRYIx_dX_hYbxrk/edit?resourcekey=0-iw9bsKY2OqkUHCFMkCar3A&amp;gid=2055363397#gid=2055363397"",""MTR!C:O""),11,false)"),"PMW-IMS")</f>
        <v>PMW-IMS</v>
      </c>
      <c r="N1874" s="248" t="str">
        <f>IFERROR(__xludf.DUMMYFUNCTION("VLOOKUP(C1874,IMPORTRANGE(""https://docs.google.com/spreadsheets/d/1ihFlp3_ePlYtFuPbUNbYj1muErVpI73WHXbEwJDIA7Q/edit#gid=1493122344"",""MTR!C:O""),8,false)"),"Complies")</f>
        <v>Complies</v>
      </c>
      <c r="O1874" s="248" t="str">
        <f>IFERROR(__xludf.DUMMYFUNCTION("VLOOKUP(C1874,IMPORTRANGE(""https://docs.google.com/spreadsheets/d/1P8eX0NWBhUPS_hvzA11R6jkTNFrPrRYIx_dX_hYbxrk/edit?resourcekey=0-iw9bsKY2OqkUHCFMkCar3A&amp;gid=2055363397#gid=2055363397"",""MTR!C:O""),9,false)"),"iwlan.dpd_timer_sec_int=120 Not support on liveness check to use the timer network provided.")</f>
        <v>iwlan.dpd_timer_sec_int=120 Not support on liveness check to use the timer network provided.</v>
      </c>
      <c r="P1874" s="248"/>
      <c r="Q1874" s="249" t="s">
        <v>445</v>
      </c>
      <c r="R1874" s="249" t="s">
        <v>4764</v>
      </c>
      <c r="S1874" s="154" t="s">
        <v>64</v>
      </c>
      <c r="T1874" s="154" t="s">
        <v>64</v>
      </c>
      <c r="U1874" s="154" t="s">
        <v>64</v>
      </c>
      <c r="V1874" s="154" t="s">
        <v>64</v>
      </c>
      <c r="W1874" s="154" t="s">
        <v>64</v>
      </c>
      <c r="X1874" s="154" t="s">
        <v>64</v>
      </c>
      <c r="Y1874" s="154" t="s">
        <v>64</v>
      </c>
      <c r="Z1874" s="154" t="s">
        <v>64</v>
      </c>
      <c r="AA1874" s="154" t="s">
        <v>64</v>
      </c>
      <c r="AB1874" s="154"/>
      <c r="AC1874" s="242" t="b">
        <f t="shared" si="2"/>
        <v>1</v>
      </c>
      <c r="AD1874" s="154" t="s">
        <v>391</v>
      </c>
      <c r="AE1874" s="243" t="b">
        <f t="shared" si="3"/>
        <v>0</v>
      </c>
      <c r="AF1874" s="154"/>
      <c r="AG1874" s="243" t="b">
        <f t="shared" si="7"/>
        <v>0</v>
      </c>
      <c r="AH1874" s="154"/>
      <c r="AI1874" s="243" t="str">
        <f t="shared" si="5"/>
        <v>N/A</v>
      </c>
      <c r="AJ1874" s="157" t="str">
        <f t="shared" si="6"/>
        <v/>
      </c>
    </row>
    <row r="1875" ht="12.75" customHeight="1">
      <c r="A1875" s="244" t="s">
        <v>4158</v>
      </c>
      <c r="B1875" s="244" t="s">
        <v>4161</v>
      </c>
      <c r="C1875" s="244" t="s">
        <v>4765</v>
      </c>
      <c r="D1875" s="154" t="s">
        <v>462</v>
      </c>
      <c r="E1875" s="250"/>
      <c r="F1875" s="154" t="str">
        <f t="array" ref="F1875">XLOOKUP(Cover!$D$12,$S$1:$AA$1,$S1875:$AA1875)</f>
        <v>Mandatory</v>
      </c>
      <c r="G1875" s="154" t="s">
        <v>4766</v>
      </c>
      <c r="H1875" s="154" t="s">
        <v>351</v>
      </c>
      <c r="I1875" s="154" t="s">
        <v>632</v>
      </c>
      <c r="J1875" s="247" t="s">
        <v>445</v>
      </c>
      <c r="K1875" s="247"/>
      <c r="L1875" s="154" t="str">
        <f t="shared" si="1"/>
        <v/>
      </c>
      <c r="M1875" s="248" t="str">
        <f>IFERROR(__xludf.DUMMYFUNCTION("VLOOKUP(C1875,IMPORTRANGE(""https://docs.google.com/spreadsheets/d/1P8eX0NWBhUPS_hvzA11R6jkTNFrPrRYIx_dX_hYbxrk/edit?resourcekey=0-iw9bsKY2OqkUHCFMkCar3A&amp;gid=2055363397#gid=2055363397"",""MTR!C:O""),11,false)"),"PMW-IMS")</f>
        <v>PMW-IMS</v>
      </c>
      <c r="N1875" s="248" t="str">
        <f>IFERROR(__xludf.DUMMYFUNCTION("VLOOKUP(C1875,IMPORTRANGE(""https://docs.google.com/spreadsheets/d/1ihFlp3_ePlYtFuPbUNbYj1muErVpI73WHXbEwJDIA7Q/edit#gid=1493122344"",""MTR!C:O""),8,false)"),"Complies")</f>
        <v>Complies</v>
      </c>
      <c r="O1875" s="241" t="str">
        <f>IFERROR(__xludf.DUMMYFUNCTION("VLOOKUP(C1875,IMPORTRANGE(""https://docs.google.com/spreadsheets/d/1P8eX0NWBhUPS_hvzA11R6jkTNFrPrRYIx_dX_hYbxrk/edit?resourcekey=0-iw9bsKY2OqkUHCFMkCar3A&amp;gid=2055363397#gid=2055363397"",""MTR!C:O""),9,false)"),"")</f>
        <v/>
      </c>
      <c r="P1875" s="241"/>
      <c r="Q1875" s="251" t="s">
        <v>445</v>
      </c>
      <c r="R1875" s="251"/>
      <c r="S1875" s="154" t="s">
        <v>64</v>
      </c>
      <c r="T1875" s="154" t="s">
        <v>60</v>
      </c>
      <c r="U1875" s="154" t="s">
        <v>60</v>
      </c>
      <c r="V1875" s="154" t="s">
        <v>60</v>
      </c>
      <c r="W1875" s="154" t="s">
        <v>60</v>
      </c>
      <c r="X1875" s="154" t="s">
        <v>60</v>
      </c>
      <c r="Y1875" s="154" t="s">
        <v>64</v>
      </c>
      <c r="Z1875" s="154" t="s">
        <v>64</v>
      </c>
      <c r="AA1875" s="154" t="s">
        <v>64</v>
      </c>
      <c r="AB1875" s="154"/>
      <c r="AC1875" s="242" t="b">
        <f t="shared" si="2"/>
        <v>1</v>
      </c>
      <c r="AD1875" s="154" t="s">
        <v>391</v>
      </c>
      <c r="AE1875" s="243" t="b">
        <f t="shared" si="3"/>
        <v>0</v>
      </c>
      <c r="AF1875" s="154"/>
      <c r="AG1875" s="243" t="b">
        <f t="shared" si="7"/>
        <v>0</v>
      </c>
      <c r="AH1875" s="154"/>
      <c r="AI1875" s="243" t="str">
        <f t="shared" si="5"/>
        <v>N/A</v>
      </c>
      <c r="AJ1875" s="157" t="str">
        <f t="shared" si="6"/>
        <v/>
      </c>
    </row>
    <row r="1876" ht="12.75" customHeight="1">
      <c r="A1876" s="244" t="s">
        <v>4158</v>
      </c>
      <c r="B1876" s="244" t="s">
        <v>4161</v>
      </c>
      <c r="C1876" s="244" t="s">
        <v>4767</v>
      </c>
      <c r="D1876" s="154" t="s">
        <v>581</v>
      </c>
      <c r="E1876" s="250"/>
      <c r="F1876" s="154" t="str">
        <f t="array" ref="F1876">XLOOKUP(Cover!$D$12,$S$1:$AA$1,$S1876:$AA1876)</f>
        <v>Mandatory</v>
      </c>
      <c r="G1876" s="154" t="s">
        <v>4768</v>
      </c>
      <c r="H1876" s="154" t="s">
        <v>351</v>
      </c>
      <c r="I1876" s="154" t="s">
        <v>632</v>
      </c>
      <c r="J1876" s="247" t="s">
        <v>445</v>
      </c>
      <c r="K1876" s="154"/>
      <c r="L1876" s="154" t="str">
        <f t="shared" si="1"/>
        <v/>
      </c>
      <c r="M1876" s="248" t="str">
        <f>IFERROR(__xludf.DUMMYFUNCTION("VLOOKUP(C1876,IMPORTRANGE(""https://docs.google.com/spreadsheets/d/1P8eX0NWBhUPS_hvzA11R6jkTNFrPrRYIx_dX_hYbxrk/edit?resourcekey=0-iw9bsKY2OqkUHCFMkCar3A&amp;gid=2055363397#gid=2055363397"",""MTR!C:O""),11,false)"),"PMW-IMS")</f>
        <v>PMW-IMS</v>
      </c>
      <c r="N1876" s="248" t="str">
        <f>IFERROR(__xludf.DUMMYFUNCTION("VLOOKUP(C1876,IMPORTRANGE(""https://docs.google.com/spreadsheets/d/1ihFlp3_ePlYtFuPbUNbYj1muErVpI73WHXbEwJDIA7Q/edit#gid=1493122344"",""MTR!C:O""),8,false)"),"Complies")</f>
        <v>Complies</v>
      </c>
      <c r="O1876" s="241" t="str">
        <f>IFERROR(__xludf.DUMMYFUNCTION("VLOOKUP(C1876,IMPORTRANGE(""https://docs.google.com/spreadsheets/d/1P8eX0NWBhUPS_hvzA11R6jkTNFrPrRYIx_dX_hYbxrk/edit?resourcekey=0-iw9bsKY2OqkUHCFMkCar3A&amp;gid=2055363397#gid=2055363397"",""MTR!C:O""),9,false)"),"")</f>
        <v/>
      </c>
      <c r="P1876" s="241"/>
      <c r="Q1876" s="251" t="s">
        <v>445</v>
      </c>
      <c r="R1876" s="241"/>
      <c r="S1876" s="154" t="s">
        <v>64</v>
      </c>
      <c r="T1876" s="154" t="s">
        <v>60</v>
      </c>
      <c r="U1876" s="154" t="s">
        <v>60</v>
      </c>
      <c r="V1876" s="154" t="s">
        <v>60</v>
      </c>
      <c r="W1876" s="154" t="s">
        <v>60</v>
      </c>
      <c r="X1876" s="154" t="s">
        <v>60</v>
      </c>
      <c r="Y1876" s="154" t="s">
        <v>64</v>
      </c>
      <c r="Z1876" s="154" t="s">
        <v>64</v>
      </c>
      <c r="AA1876" s="154" t="s">
        <v>64</v>
      </c>
      <c r="AB1876" s="154"/>
      <c r="AC1876" s="242" t="b">
        <f t="shared" si="2"/>
        <v>1</v>
      </c>
      <c r="AD1876" s="154" t="s">
        <v>391</v>
      </c>
      <c r="AE1876" s="243" t="b">
        <f t="shared" si="3"/>
        <v>0</v>
      </c>
      <c r="AF1876" s="154"/>
      <c r="AG1876" s="243" t="b">
        <f t="shared" si="7"/>
        <v>0</v>
      </c>
      <c r="AH1876" s="154"/>
      <c r="AI1876" s="243" t="str">
        <f t="shared" si="5"/>
        <v>N/A</v>
      </c>
      <c r="AJ1876" s="157" t="str">
        <f t="shared" si="6"/>
        <v/>
      </c>
    </row>
    <row r="1877" ht="12.75" customHeight="1">
      <c r="A1877" s="244" t="s">
        <v>4158</v>
      </c>
      <c r="B1877" s="244" t="s">
        <v>4161</v>
      </c>
      <c r="C1877" s="244" t="s">
        <v>4769</v>
      </c>
      <c r="D1877" s="154" t="s">
        <v>581</v>
      </c>
      <c r="E1877" s="250"/>
      <c r="F1877" s="154" t="str">
        <f t="array" ref="F1877">XLOOKUP(Cover!$D$12,$S$1:$AA$1,$S1877:$AA1877)</f>
        <v>Mandatory</v>
      </c>
      <c r="G1877" s="154" t="s">
        <v>4770</v>
      </c>
      <c r="H1877" s="154" t="s">
        <v>351</v>
      </c>
      <c r="I1877" s="154" t="s">
        <v>632</v>
      </c>
      <c r="J1877" s="247" t="s">
        <v>445</v>
      </c>
      <c r="K1877" s="154"/>
      <c r="L1877" s="154" t="str">
        <f t="shared" si="1"/>
        <v/>
      </c>
      <c r="M1877" s="248" t="str">
        <f>IFERROR(__xludf.DUMMYFUNCTION("VLOOKUP(C1877,IMPORTRANGE(""https://docs.google.com/spreadsheets/d/1P8eX0NWBhUPS_hvzA11R6jkTNFrPrRYIx_dX_hYbxrk/edit?resourcekey=0-iw9bsKY2OqkUHCFMkCar3A&amp;gid=2055363397#gid=2055363397"",""MTR!C:O""),11,false)"),"PMW-IMS")</f>
        <v>PMW-IMS</v>
      </c>
      <c r="N1877" s="248" t="str">
        <f>IFERROR(__xludf.DUMMYFUNCTION("VLOOKUP(C1877,IMPORTRANGE(""https://docs.google.com/spreadsheets/d/1ihFlp3_ePlYtFuPbUNbYj1muErVpI73WHXbEwJDIA7Q/edit#gid=1493122344"",""MTR!C:O""),8,false)"),"Complies")</f>
        <v>Complies</v>
      </c>
      <c r="O1877" s="241" t="str">
        <f>IFERROR(__xludf.DUMMYFUNCTION("VLOOKUP(C1877,IMPORTRANGE(""https://docs.google.com/spreadsheets/d/1P8eX0NWBhUPS_hvzA11R6jkTNFrPrRYIx_dX_hYbxrk/edit?resourcekey=0-iw9bsKY2OqkUHCFMkCar3A&amp;gid=2055363397#gid=2055363397"",""MTR!C:O""),9,false)"),"")</f>
        <v/>
      </c>
      <c r="P1877" s="241"/>
      <c r="Q1877" s="251" t="s">
        <v>445</v>
      </c>
      <c r="R1877" s="241"/>
      <c r="S1877" s="154" t="s">
        <v>64</v>
      </c>
      <c r="T1877" s="154" t="s">
        <v>60</v>
      </c>
      <c r="U1877" s="154" t="s">
        <v>60</v>
      </c>
      <c r="V1877" s="154" t="s">
        <v>60</v>
      </c>
      <c r="W1877" s="154" t="s">
        <v>60</v>
      </c>
      <c r="X1877" s="154" t="s">
        <v>60</v>
      </c>
      <c r="Y1877" s="154" t="s">
        <v>64</v>
      </c>
      <c r="Z1877" s="154" t="s">
        <v>64</v>
      </c>
      <c r="AA1877" s="154" t="s">
        <v>64</v>
      </c>
      <c r="AB1877" s="154"/>
      <c r="AC1877" s="242" t="b">
        <f t="shared" si="2"/>
        <v>1</v>
      </c>
      <c r="AD1877" s="154" t="s">
        <v>391</v>
      </c>
      <c r="AE1877" s="243" t="b">
        <f t="shared" si="3"/>
        <v>0</v>
      </c>
      <c r="AF1877" s="154"/>
      <c r="AG1877" s="243" t="b">
        <f t="shared" si="7"/>
        <v>0</v>
      </c>
      <c r="AH1877" s="154"/>
      <c r="AI1877" s="243" t="str">
        <f t="shared" si="5"/>
        <v>N/A</v>
      </c>
      <c r="AJ1877" s="157" t="str">
        <f t="shared" si="6"/>
        <v/>
      </c>
    </row>
    <row r="1878" ht="12.75" customHeight="1">
      <c r="A1878" s="244" t="s">
        <v>4158</v>
      </c>
      <c r="B1878" s="244" t="s">
        <v>4161</v>
      </c>
      <c r="C1878" s="244" t="s">
        <v>4771</v>
      </c>
      <c r="D1878" s="154" t="s">
        <v>581</v>
      </c>
      <c r="E1878" s="250"/>
      <c r="F1878" s="154" t="str">
        <f t="array" ref="F1878">XLOOKUP(Cover!$D$12,$S$1:$AA$1,$S1878:$AA1878)</f>
        <v>Mandatory</v>
      </c>
      <c r="G1878" s="154" t="s">
        <v>4772</v>
      </c>
      <c r="H1878" s="154" t="s">
        <v>351</v>
      </c>
      <c r="I1878" s="154" t="s">
        <v>632</v>
      </c>
      <c r="J1878" s="247" t="s">
        <v>445</v>
      </c>
      <c r="K1878" s="154"/>
      <c r="L1878" s="154" t="str">
        <f t="shared" si="1"/>
        <v/>
      </c>
      <c r="M1878" s="248" t="str">
        <f>IFERROR(__xludf.DUMMYFUNCTION("VLOOKUP(C1878,IMPORTRANGE(""https://docs.google.com/spreadsheets/d/1P8eX0NWBhUPS_hvzA11R6jkTNFrPrRYIx_dX_hYbxrk/edit?resourcekey=0-iw9bsKY2OqkUHCFMkCar3A&amp;gid=2055363397#gid=2055363397"",""MTR!C:O""),11,false)"),"PMW-IMS")</f>
        <v>PMW-IMS</v>
      </c>
      <c r="N1878" s="248" t="str">
        <f>IFERROR(__xludf.DUMMYFUNCTION("VLOOKUP(C1878,IMPORTRANGE(""https://docs.google.com/spreadsheets/d/1ihFlp3_ePlYtFuPbUNbYj1muErVpI73WHXbEwJDIA7Q/edit#gid=1493122344"",""MTR!C:O""),8,false)"),"Complies")</f>
        <v>Complies</v>
      </c>
      <c r="O1878" s="241" t="str">
        <f>IFERROR(__xludf.DUMMYFUNCTION("VLOOKUP(C1878,IMPORTRANGE(""https://docs.google.com/spreadsheets/d/1P8eX0NWBhUPS_hvzA11R6jkTNFrPrRYIx_dX_hYbxrk/edit?resourcekey=0-iw9bsKY2OqkUHCFMkCar3A&amp;gid=2055363397#gid=2055363397"",""MTR!C:O""),9,false)"),"")</f>
        <v/>
      </c>
      <c r="P1878" s="241"/>
      <c r="Q1878" s="251" t="s">
        <v>445</v>
      </c>
      <c r="R1878" s="241"/>
      <c r="S1878" s="154" t="s">
        <v>64</v>
      </c>
      <c r="T1878" s="154" t="s">
        <v>60</v>
      </c>
      <c r="U1878" s="154" t="s">
        <v>60</v>
      </c>
      <c r="V1878" s="154" t="s">
        <v>60</v>
      </c>
      <c r="W1878" s="154" t="s">
        <v>60</v>
      </c>
      <c r="X1878" s="154" t="s">
        <v>60</v>
      </c>
      <c r="Y1878" s="154" t="s">
        <v>64</v>
      </c>
      <c r="Z1878" s="154" t="s">
        <v>64</v>
      </c>
      <c r="AA1878" s="154" t="s">
        <v>64</v>
      </c>
      <c r="AB1878" s="154"/>
      <c r="AC1878" s="242" t="b">
        <f t="shared" si="2"/>
        <v>1</v>
      </c>
      <c r="AD1878" s="154" t="s">
        <v>391</v>
      </c>
      <c r="AE1878" s="243" t="b">
        <f t="shared" si="3"/>
        <v>0</v>
      </c>
      <c r="AF1878" s="154"/>
      <c r="AG1878" s="243" t="b">
        <f t="shared" si="7"/>
        <v>0</v>
      </c>
      <c r="AH1878" s="154"/>
      <c r="AI1878" s="243" t="str">
        <f t="shared" si="5"/>
        <v>N/A</v>
      </c>
      <c r="AJ1878" s="157" t="str">
        <f t="shared" si="6"/>
        <v/>
      </c>
    </row>
    <row r="1879" ht="12.75" customHeight="1">
      <c r="A1879" s="244" t="s">
        <v>4158</v>
      </c>
      <c r="B1879" s="244" t="s">
        <v>4161</v>
      </c>
      <c r="C1879" s="244" t="s">
        <v>4773</v>
      </c>
      <c r="D1879" s="154" t="s">
        <v>433</v>
      </c>
      <c r="E1879" s="250"/>
      <c r="F1879" s="154" t="str">
        <f t="array" ref="F1879">XLOOKUP(Cover!$D$12,$S$1:$AA$1,$S1879:$AA1879)</f>
        <v>Mandatory</v>
      </c>
      <c r="G1879" s="154" t="s">
        <v>4774</v>
      </c>
      <c r="H1879" s="154" t="s">
        <v>351</v>
      </c>
      <c r="I1879" s="154" t="s">
        <v>632</v>
      </c>
      <c r="J1879" s="247" t="s">
        <v>445</v>
      </c>
      <c r="K1879" s="154"/>
      <c r="L1879" s="154" t="str">
        <f t="shared" si="1"/>
        <v/>
      </c>
      <c r="M1879" s="248" t="str">
        <f>IFERROR(__xludf.DUMMYFUNCTION("VLOOKUP(C1879,IMPORTRANGE(""https://docs.google.com/spreadsheets/d/1P8eX0NWBhUPS_hvzA11R6jkTNFrPrRYIx_dX_hYbxrk/edit?resourcekey=0-iw9bsKY2OqkUHCFMkCar3A&amp;gid=2055363397#gid=2055363397"",""MTR!C:O""),11,false)"),"PMW-IMS")</f>
        <v>PMW-IMS</v>
      </c>
      <c r="N1879" s="248" t="str">
        <f>IFERROR(__xludf.DUMMYFUNCTION("VLOOKUP(C1879,IMPORTRANGE(""https://docs.google.com/spreadsheets/d/1ihFlp3_ePlYtFuPbUNbYj1muErVpI73WHXbEwJDIA7Q/edit#gid=1493122344"",""MTR!C:O""),8,false)"),"Complies")</f>
        <v>Complies</v>
      </c>
      <c r="O1879" s="241" t="str">
        <f>IFERROR(__xludf.DUMMYFUNCTION("VLOOKUP(C1879,IMPORTRANGE(""https://docs.google.com/spreadsheets/d/1P8eX0NWBhUPS_hvzA11R6jkTNFrPrRYIx_dX_hYbxrk/edit?resourcekey=0-iw9bsKY2OqkUHCFMkCar3A&amp;gid=2055363397#gid=2055363397"",""MTR!C:O""),9,false)"),"")</f>
        <v/>
      </c>
      <c r="P1879" s="241"/>
      <c r="Q1879" s="251" t="s">
        <v>445</v>
      </c>
      <c r="R1879" s="241"/>
      <c r="S1879" s="154" t="s">
        <v>64</v>
      </c>
      <c r="T1879" s="154" t="s">
        <v>60</v>
      </c>
      <c r="U1879" s="154" t="s">
        <v>60</v>
      </c>
      <c r="V1879" s="154" t="s">
        <v>60</v>
      </c>
      <c r="W1879" s="154" t="s">
        <v>60</v>
      </c>
      <c r="X1879" s="154" t="s">
        <v>60</v>
      </c>
      <c r="Y1879" s="154" t="s">
        <v>64</v>
      </c>
      <c r="Z1879" s="154" t="s">
        <v>64</v>
      </c>
      <c r="AA1879" s="154" t="s">
        <v>64</v>
      </c>
      <c r="AB1879" s="154"/>
      <c r="AC1879" s="242" t="b">
        <f t="shared" si="2"/>
        <v>1</v>
      </c>
      <c r="AD1879" s="154" t="s">
        <v>391</v>
      </c>
      <c r="AE1879" s="243" t="b">
        <f t="shared" si="3"/>
        <v>0</v>
      </c>
      <c r="AF1879" s="154"/>
      <c r="AG1879" s="243" t="b">
        <f t="shared" si="7"/>
        <v>0</v>
      </c>
      <c r="AH1879" s="154"/>
      <c r="AI1879" s="243" t="str">
        <f t="shared" si="5"/>
        <v>N/A</v>
      </c>
      <c r="AJ1879" s="157" t="str">
        <f t="shared" si="6"/>
        <v/>
      </c>
    </row>
    <row r="1880" ht="12.75" customHeight="1">
      <c r="A1880" s="244" t="s">
        <v>4158</v>
      </c>
      <c r="B1880" s="244" t="s">
        <v>4161</v>
      </c>
      <c r="C1880" s="244" t="s">
        <v>4775</v>
      </c>
      <c r="D1880" s="154" t="s">
        <v>967</v>
      </c>
      <c r="E1880" s="250"/>
      <c r="F1880" s="154" t="str">
        <f t="array" ref="F1880">XLOOKUP(Cover!$D$12,$S$1:$AA$1,$S1880:$AA1880)</f>
        <v>Mandatory</v>
      </c>
      <c r="G1880" s="154" t="s">
        <v>4776</v>
      </c>
      <c r="H1880" s="154" t="s">
        <v>351</v>
      </c>
      <c r="I1880" s="154" t="s">
        <v>632</v>
      </c>
      <c r="J1880" s="247" t="s">
        <v>445</v>
      </c>
      <c r="K1880" s="247" t="s">
        <v>4777</v>
      </c>
      <c r="L1880" s="154" t="str">
        <f t="shared" si="1"/>
        <v/>
      </c>
      <c r="M1880" s="248" t="str">
        <f>IFERROR(__xludf.DUMMYFUNCTION("VLOOKUP(C1880,IMPORTRANGE(""https://docs.google.com/spreadsheets/d/1P8eX0NWBhUPS_hvzA11R6jkTNFrPrRYIx_dX_hYbxrk/edit?resourcekey=0-iw9bsKY2OqkUHCFMkCar3A&amp;gid=2055363397#gid=2055363397"",""MTR!C:O""),11,false)"),"PMW-IMS")</f>
        <v>PMW-IMS</v>
      </c>
      <c r="N1880" s="248" t="str">
        <f>IFERROR(__xludf.DUMMYFUNCTION("VLOOKUP(C1880,IMPORTRANGE(""https://docs.google.com/spreadsheets/d/1ihFlp3_ePlYtFuPbUNbYj1muErVpI73WHXbEwJDIA7Q/edit#gid=1493122344"",""MTR!C:O""),8,false)"),"Complies")</f>
        <v>Complies</v>
      </c>
      <c r="O1880" s="248" t="str">
        <f>IFERROR(__xludf.DUMMYFUNCTION("VLOOKUP(C1880,IMPORTRANGE(""https://docs.google.com/spreadsheets/d/1P8eX0NWBhUPS_hvzA11R6jkTNFrPrRYIx_dX_hYbxrk/edit?resourcekey=0-iw9bsKY2OqkUHCFMkCar3A&amp;gid=2055363397#gid=2055363397"",""MTR!C:O""),9,false)"),"Default size used is 1280 bytes")</f>
        <v>Default size used is 1280 bytes</v>
      </c>
      <c r="P1880" s="248"/>
      <c r="Q1880" s="249" t="s">
        <v>445</v>
      </c>
      <c r="R1880" s="249" t="s">
        <v>4777</v>
      </c>
      <c r="S1880" s="154" t="s">
        <v>64</v>
      </c>
      <c r="T1880" s="154" t="s">
        <v>60</v>
      </c>
      <c r="U1880" s="154" t="s">
        <v>60</v>
      </c>
      <c r="V1880" s="154" t="s">
        <v>60</v>
      </c>
      <c r="W1880" s="154" t="s">
        <v>60</v>
      </c>
      <c r="X1880" s="154" t="s">
        <v>60</v>
      </c>
      <c r="Y1880" s="154" t="s">
        <v>64</v>
      </c>
      <c r="Z1880" s="154" t="s">
        <v>64</v>
      </c>
      <c r="AA1880" s="154" t="s">
        <v>64</v>
      </c>
      <c r="AB1880" s="154"/>
      <c r="AC1880" s="242" t="b">
        <f t="shared" si="2"/>
        <v>1</v>
      </c>
      <c r="AD1880" s="154" t="s">
        <v>391</v>
      </c>
      <c r="AE1880" s="243" t="b">
        <f t="shared" si="3"/>
        <v>0</v>
      </c>
      <c r="AF1880" s="154"/>
      <c r="AG1880" s="243" t="b">
        <f t="shared" si="7"/>
        <v>0</v>
      </c>
      <c r="AH1880" s="154"/>
      <c r="AI1880" s="243" t="str">
        <f t="shared" si="5"/>
        <v>N/A</v>
      </c>
      <c r="AJ1880" s="157" t="str">
        <f t="shared" si="6"/>
        <v/>
      </c>
    </row>
    <row r="1881" ht="12.75" customHeight="1">
      <c r="A1881" s="244" t="s">
        <v>4158</v>
      </c>
      <c r="B1881" s="244" t="s">
        <v>4161</v>
      </c>
      <c r="C1881" s="244" t="s">
        <v>4778</v>
      </c>
      <c r="D1881" s="154" t="s">
        <v>581</v>
      </c>
      <c r="E1881" s="250"/>
      <c r="F1881" s="154" t="str">
        <f t="array" ref="F1881">XLOOKUP(Cover!$D$12,$S$1:$AA$1,$S1881:$AA1881)</f>
        <v>Mandatory</v>
      </c>
      <c r="G1881" s="154" t="s">
        <v>4779</v>
      </c>
      <c r="H1881" s="154" t="s">
        <v>351</v>
      </c>
      <c r="I1881" s="154" t="s">
        <v>632</v>
      </c>
      <c r="J1881" s="247" t="s">
        <v>445</v>
      </c>
      <c r="K1881" s="247"/>
      <c r="L1881" s="154" t="str">
        <f t="shared" si="1"/>
        <v/>
      </c>
      <c r="M1881" s="248" t="str">
        <f>IFERROR(__xludf.DUMMYFUNCTION("VLOOKUP(C1881,IMPORTRANGE(""https://docs.google.com/spreadsheets/d/1P8eX0NWBhUPS_hvzA11R6jkTNFrPrRYIx_dX_hYbxrk/edit?resourcekey=0-iw9bsKY2OqkUHCFMkCar3A&amp;gid=2055363397#gid=2055363397"",""MTR!C:O""),11,false)"),"PMW-IMS")</f>
        <v>PMW-IMS</v>
      </c>
      <c r="N1881" s="248" t="str">
        <f>IFERROR(__xludf.DUMMYFUNCTION("VLOOKUP(C1881,IMPORTRANGE(""https://docs.google.com/spreadsheets/d/1ihFlp3_ePlYtFuPbUNbYj1muErVpI73WHXbEwJDIA7Q/edit#gid=1493122344"",""MTR!C:O""),8,false)"),"Complies")</f>
        <v>Complies</v>
      </c>
      <c r="O1881" s="241" t="str">
        <f>IFERROR(__xludf.DUMMYFUNCTION("VLOOKUP(C1881,IMPORTRANGE(""https://docs.google.com/spreadsheets/d/1P8eX0NWBhUPS_hvzA11R6jkTNFrPrRYIx_dX_hYbxrk/edit?resourcekey=0-iw9bsKY2OqkUHCFMkCar3A&amp;gid=2055363397#gid=2055363397"",""MTR!C:O""),9,false)"),"")</f>
        <v/>
      </c>
      <c r="P1881" s="241"/>
      <c r="Q1881" s="251" t="s">
        <v>445</v>
      </c>
      <c r="R1881" s="251"/>
      <c r="S1881" s="154" t="s">
        <v>64</v>
      </c>
      <c r="T1881" s="154" t="s">
        <v>60</v>
      </c>
      <c r="U1881" s="154" t="s">
        <v>60</v>
      </c>
      <c r="V1881" s="154" t="s">
        <v>60</v>
      </c>
      <c r="W1881" s="154" t="s">
        <v>60</v>
      </c>
      <c r="X1881" s="154" t="s">
        <v>60</v>
      </c>
      <c r="Y1881" s="154" t="s">
        <v>64</v>
      </c>
      <c r="Z1881" s="154" t="s">
        <v>64</v>
      </c>
      <c r="AA1881" s="154" t="s">
        <v>64</v>
      </c>
      <c r="AB1881" s="154"/>
      <c r="AC1881" s="242" t="b">
        <f t="shared" si="2"/>
        <v>1</v>
      </c>
      <c r="AD1881" s="154" t="s">
        <v>516</v>
      </c>
      <c r="AE1881" s="243" t="b">
        <f t="shared" si="3"/>
        <v>0</v>
      </c>
      <c r="AF1881" s="154"/>
      <c r="AG1881" s="243" t="b">
        <f t="shared" si="7"/>
        <v>0</v>
      </c>
      <c r="AH1881" s="154"/>
      <c r="AI1881" s="243" t="str">
        <f t="shared" si="5"/>
        <v>N/A</v>
      </c>
      <c r="AJ1881" s="157" t="str">
        <f t="shared" si="6"/>
        <v/>
      </c>
    </row>
    <row r="1882" ht="12.75" customHeight="1">
      <c r="A1882" s="244" t="s">
        <v>4158</v>
      </c>
      <c r="B1882" s="244" t="s">
        <v>4161</v>
      </c>
      <c r="C1882" s="244" t="s">
        <v>4780</v>
      </c>
      <c r="D1882" s="154" t="s">
        <v>581</v>
      </c>
      <c r="E1882" s="250"/>
      <c r="F1882" s="154" t="str">
        <f t="array" ref="F1882">XLOOKUP(Cover!$D$12,$S$1:$AA$1,$S1882:$AA1882)</f>
        <v>Mandatory</v>
      </c>
      <c r="G1882" s="154" t="s">
        <v>4781</v>
      </c>
      <c r="H1882" s="154" t="s">
        <v>351</v>
      </c>
      <c r="I1882" s="154" t="s">
        <v>632</v>
      </c>
      <c r="J1882" s="247" t="s">
        <v>445</v>
      </c>
      <c r="K1882" s="154"/>
      <c r="L1882" s="154" t="str">
        <f t="shared" si="1"/>
        <v/>
      </c>
      <c r="M1882" s="248" t="str">
        <f>IFERROR(__xludf.DUMMYFUNCTION("VLOOKUP(C1882,IMPORTRANGE(""https://docs.google.com/spreadsheets/d/1P8eX0NWBhUPS_hvzA11R6jkTNFrPrRYIx_dX_hYbxrk/edit?resourcekey=0-iw9bsKY2OqkUHCFMkCar3A&amp;gid=2055363397#gid=2055363397"",""MTR!C:O""),11,false)"),"PMW-IMS")</f>
        <v>PMW-IMS</v>
      </c>
      <c r="N1882" s="248" t="str">
        <f>IFERROR(__xludf.DUMMYFUNCTION("VLOOKUP(C1882,IMPORTRANGE(""https://docs.google.com/spreadsheets/d/1ihFlp3_ePlYtFuPbUNbYj1muErVpI73WHXbEwJDIA7Q/edit#gid=1493122344"",""MTR!C:O""),8,false)"),"Complies")</f>
        <v>Complies</v>
      </c>
      <c r="O1882" s="241" t="str">
        <f>IFERROR(__xludf.DUMMYFUNCTION("VLOOKUP(C1882,IMPORTRANGE(""https://docs.google.com/spreadsheets/d/1P8eX0NWBhUPS_hvzA11R6jkTNFrPrRYIx_dX_hYbxrk/edit?resourcekey=0-iw9bsKY2OqkUHCFMkCar3A&amp;gid=2055363397#gid=2055363397"",""MTR!C:O""),9,false)"),"")</f>
        <v/>
      </c>
      <c r="P1882" s="241"/>
      <c r="Q1882" s="251" t="s">
        <v>445</v>
      </c>
      <c r="R1882" s="241"/>
      <c r="S1882" s="154" t="s">
        <v>64</v>
      </c>
      <c r="T1882" s="154" t="s">
        <v>60</v>
      </c>
      <c r="U1882" s="154" t="s">
        <v>60</v>
      </c>
      <c r="V1882" s="154" t="s">
        <v>60</v>
      </c>
      <c r="W1882" s="154" t="s">
        <v>60</v>
      </c>
      <c r="X1882" s="154" t="s">
        <v>60</v>
      </c>
      <c r="Y1882" s="154" t="s">
        <v>64</v>
      </c>
      <c r="Z1882" s="154" t="s">
        <v>64</v>
      </c>
      <c r="AA1882" s="154" t="s">
        <v>64</v>
      </c>
      <c r="AB1882" s="154"/>
      <c r="AC1882" s="242" t="b">
        <f t="shared" si="2"/>
        <v>1</v>
      </c>
      <c r="AD1882" s="154" t="s">
        <v>391</v>
      </c>
      <c r="AE1882" s="243" t="b">
        <f t="shared" si="3"/>
        <v>0</v>
      </c>
      <c r="AF1882" s="154"/>
      <c r="AG1882" s="243" t="b">
        <f t="shared" si="7"/>
        <v>0</v>
      </c>
      <c r="AH1882" s="154"/>
      <c r="AI1882" s="243" t="str">
        <f t="shared" si="5"/>
        <v>N/A</v>
      </c>
      <c r="AJ1882" s="157" t="str">
        <f t="shared" si="6"/>
        <v/>
      </c>
    </row>
    <row r="1883" ht="12.75" customHeight="1">
      <c r="A1883" s="244" t="s">
        <v>4158</v>
      </c>
      <c r="B1883" s="244" t="s">
        <v>4161</v>
      </c>
      <c r="C1883" s="244" t="s">
        <v>4782</v>
      </c>
      <c r="D1883" s="154" t="s">
        <v>433</v>
      </c>
      <c r="E1883" s="250"/>
      <c r="F1883" s="154" t="str">
        <f t="array" ref="F1883">XLOOKUP(Cover!$D$12,$S$1:$AA$1,$S1883:$AA1883)</f>
        <v>Mandatory</v>
      </c>
      <c r="G1883" s="154" t="s">
        <v>4783</v>
      </c>
      <c r="H1883" s="154" t="s">
        <v>351</v>
      </c>
      <c r="I1883" s="154" t="s">
        <v>632</v>
      </c>
      <c r="J1883" s="247" t="s">
        <v>445</v>
      </c>
      <c r="K1883" s="154"/>
      <c r="L1883" s="154" t="str">
        <f t="shared" si="1"/>
        <v/>
      </c>
      <c r="M1883" s="248" t="str">
        <f>IFERROR(__xludf.DUMMYFUNCTION("VLOOKUP(C1883,IMPORTRANGE(""https://docs.google.com/spreadsheets/d/1P8eX0NWBhUPS_hvzA11R6jkTNFrPrRYIx_dX_hYbxrk/edit?resourcekey=0-iw9bsKY2OqkUHCFMkCar3A&amp;gid=2055363397#gid=2055363397"",""MTR!C:O""),11,false)"),"PMW-IMS")</f>
        <v>PMW-IMS</v>
      </c>
      <c r="N1883" s="248" t="str">
        <f>IFERROR(__xludf.DUMMYFUNCTION("VLOOKUP(C1883,IMPORTRANGE(""https://docs.google.com/spreadsheets/d/1ihFlp3_ePlYtFuPbUNbYj1muErVpI73WHXbEwJDIA7Q/edit#gid=1493122344"",""MTR!C:O""),8,false)"),"Complies")</f>
        <v>Complies</v>
      </c>
      <c r="O1883" s="241" t="str">
        <f>IFERROR(__xludf.DUMMYFUNCTION("VLOOKUP(C1883,IMPORTRANGE(""https://docs.google.com/spreadsheets/d/1P8eX0NWBhUPS_hvzA11R6jkTNFrPrRYIx_dX_hYbxrk/edit?resourcekey=0-iw9bsKY2OqkUHCFMkCar3A&amp;gid=2055363397#gid=2055363397"",""MTR!C:O""),9,false)"),"")</f>
        <v/>
      </c>
      <c r="P1883" s="241"/>
      <c r="Q1883" s="251" t="s">
        <v>445</v>
      </c>
      <c r="R1883" s="241"/>
      <c r="S1883" s="154" t="s">
        <v>64</v>
      </c>
      <c r="T1883" s="154" t="s">
        <v>60</v>
      </c>
      <c r="U1883" s="154" t="s">
        <v>60</v>
      </c>
      <c r="V1883" s="154" t="s">
        <v>60</v>
      </c>
      <c r="W1883" s="154" t="s">
        <v>60</v>
      </c>
      <c r="X1883" s="154" t="s">
        <v>60</v>
      </c>
      <c r="Y1883" s="154" t="s">
        <v>64</v>
      </c>
      <c r="Z1883" s="154" t="s">
        <v>64</v>
      </c>
      <c r="AA1883" s="154" t="s">
        <v>64</v>
      </c>
      <c r="AB1883" s="154"/>
      <c r="AC1883" s="242" t="b">
        <f t="shared" si="2"/>
        <v>1</v>
      </c>
      <c r="AD1883" s="154" t="s">
        <v>391</v>
      </c>
      <c r="AE1883" s="243" t="b">
        <f t="shared" si="3"/>
        <v>0</v>
      </c>
      <c r="AF1883" s="154"/>
      <c r="AG1883" s="243" t="b">
        <f t="shared" si="7"/>
        <v>0</v>
      </c>
      <c r="AH1883" s="154"/>
      <c r="AI1883" s="243" t="str">
        <f t="shared" si="5"/>
        <v>N/A</v>
      </c>
      <c r="AJ1883" s="157" t="str">
        <f t="shared" si="6"/>
        <v/>
      </c>
    </row>
    <row r="1884" ht="12.75" customHeight="1">
      <c r="A1884" s="244" t="s">
        <v>4158</v>
      </c>
      <c r="B1884" s="244" t="s">
        <v>4161</v>
      </c>
      <c r="C1884" s="244" t="s">
        <v>4784</v>
      </c>
      <c r="D1884" s="154" t="s">
        <v>581</v>
      </c>
      <c r="E1884" s="250"/>
      <c r="F1884" s="154" t="str">
        <f t="array" ref="F1884">XLOOKUP(Cover!$D$12,$S$1:$AA$1,$S1884:$AA1884)</f>
        <v>Mandatory</v>
      </c>
      <c r="G1884" s="154" t="s">
        <v>4785</v>
      </c>
      <c r="H1884" s="154" t="s">
        <v>351</v>
      </c>
      <c r="I1884" s="154" t="s">
        <v>632</v>
      </c>
      <c r="J1884" s="247" t="s">
        <v>445</v>
      </c>
      <c r="K1884" s="154"/>
      <c r="L1884" s="154" t="str">
        <f t="shared" si="1"/>
        <v/>
      </c>
      <c r="M1884" s="248" t="str">
        <f>IFERROR(__xludf.DUMMYFUNCTION("VLOOKUP(C1884,IMPORTRANGE(""https://docs.google.com/spreadsheets/d/1P8eX0NWBhUPS_hvzA11R6jkTNFrPrRYIx_dX_hYbxrk/edit?resourcekey=0-iw9bsKY2OqkUHCFMkCar3A&amp;gid=2055363397#gid=2055363397"",""MTR!C:O""),11,false)"),"PMW-IMS")</f>
        <v>PMW-IMS</v>
      </c>
      <c r="N1884" s="248" t="str">
        <f>IFERROR(__xludf.DUMMYFUNCTION("VLOOKUP(C1884,IMPORTRANGE(""https://docs.google.com/spreadsheets/d/1ihFlp3_ePlYtFuPbUNbYj1muErVpI73WHXbEwJDIA7Q/edit#gid=1493122344"",""MTR!C:O""),8,false)"),"Complies")</f>
        <v>Complies</v>
      </c>
      <c r="O1884" s="241" t="str">
        <f>IFERROR(__xludf.DUMMYFUNCTION("VLOOKUP(C1884,IMPORTRANGE(""https://docs.google.com/spreadsheets/d/1P8eX0NWBhUPS_hvzA11R6jkTNFrPrRYIx_dX_hYbxrk/edit?resourcekey=0-iw9bsKY2OqkUHCFMkCar3A&amp;gid=2055363397#gid=2055363397"",""MTR!C:O""),9,false)"),"")</f>
        <v/>
      </c>
      <c r="P1884" s="241"/>
      <c r="Q1884" s="251" t="s">
        <v>445</v>
      </c>
      <c r="R1884" s="241"/>
      <c r="S1884" s="154" t="s">
        <v>64</v>
      </c>
      <c r="T1884" s="154" t="s">
        <v>60</v>
      </c>
      <c r="U1884" s="154" t="s">
        <v>60</v>
      </c>
      <c r="V1884" s="154" t="s">
        <v>60</v>
      </c>
      <c r="W1884" s="154" t="s">
        <v>60</v>
      </c>
      <c r="X1884" s="154" t="s">
        <v>60</v>
      </c>
      <c r="Y1884" s="154" t="s">
        <v>64</v>
      </c>
      <c r="Z1884" s="154" t="s">
        <v>64</v>
      </c>
      <c r="AA1884" s="154" t="s">
        <v>64</v>
      </c>
      <c r="AB1884" s="154"/>
      <c r="AC1884" s="242" t="b">
        <f t="shared" si="2"/>
        <v>1</v>
      </c>
      <c r="AD1884" s="154" t="s">
        <v>391</v>
      </c>
      <c r="AE1884" s="243" t="b">
        <f t="shared" si="3"/>
        <v>0</v>
      </c>
      <c r="AF1884" s="154"/>
      <c r="AG1884" s="243" t="b">
        <f t="shared" si="7"/>
        <v>0</v>
      </c>
      <c r="AH1884" s="154"/>
      <c r="AI1884" s="243" t="str">
        <f t="shared" si="5"/>
        <v>N/A</v>
      </c>
      <c r="AJ1884" s="157" t="str">
        <f t="shared" si="6"/>
        <v/>
      </c>
    </row>
    <row r="1885" ht="12.75" customHeight="1">
      <c r="A1885" s="244" t="s">
        <v>4158</v>
      </c>
      <c r="B1885" s="244" t="s">
        <v>4161</v>
      </c>
      <c r="C1885" s="244" t="s">
        <v>4786</v>
      </c>
      <c r="D1885" s="154" t="s">
        <v>462</v>
      </c>
      <c r="E1885" s="250"/>
      <c r="F1885" s="154" t="str">
        <f t="array" ref="F1885">XLOOKUP(Cover!$D$12,$S$1:$AA$1,$S1885:$AA1885)</f>
        <v>Mandatory</v>
      </c>
      <c r="G1885" s="154" t="s">
        <v>4787</v>
      </c>
      <c r="H1885" s="154" t="s">
        <v>351</v>
      </c>
      <c r="I1885" s="154" t="s">
        <v>632</v>
      </c>
      <c r="J1885" s="247" t="s">
        <v>445</v>
      </c>
      <c r="K1885" s="154"/>
      <c r="L1885" s="154" t="str">
        <f t="shared" si="1"/>
        <v/>
      </c>
      <c r="M1885" s="248" t="str">
        <f>IFERROR(__xludf.DUMMYFUNCTION("VLOOKUP(C1885,IMPORTRANGE(""https://docs.google.com/spreadsheets/d/1P8eX0NWBhUPS_hvzA11R6jkTNFrPrRYIx_dX_hYbxrk/edit?resourcekey=0-iw9bsKY2OqkUHCFMkCar3A&amp;gid=2055363397#gid=2055363397"",""MTR!C:O""),11,false)"),"PMW-IMS")</f>
        <v>PMW-IMS</v>
      </c>
      <c r="N1885" s="248" t="str">
        <f>IFERROR(__xludf.DUMMYFUNCTION("VLOOKUP(C1885,IMPORTRANGE(""https://docs.google.com/spreadsheets/d/1ihFlp3_ePlYtFuPbUNbYj1muErVpI73WHXbEwJDIA7Q/edit#gid=1493122344"",""MTR!C:O""),8,false)"),"Complies")</f>
        <v>Complies</v>
      </c>
      <c r="O1885" s="241" t="str">
        <f>IFERROR(__xludf.DUMMYFUNCTION("VLOOKUP(C1885,IMPORTRANGE(""https://docs.google.com/spreadsheets/d/1P8eX0NWBhUPS_hvzA11R6jkTNFrPrRYIx_dX_hYbxrk/edit?resourcekey=0-iw9bsKY2OqkUHCFMkCar3A&amp;gid=2055363397#gid=2055363397"",""MTR!C:O""),9,false)"),"")</f>
        <v/>
      </c>
      <c r="P1885" s="241"/>
      <c r="Q1885" s="251" t="s">
        <v>445</v>
      </c>
      <c r="R1885" s="241"/>
      <c r="S1885" s="154" t="s">
        <v>64</v>
      </c>
      <c r="T1885" s="154" t="s">
        <v>60</v>
      </c>
      <c r="U1885" s="154" t="s">
        <v>60</v>
      </c>
      <c r="V1885" s="154" t="s">
        <v>60</v>
      </c>
      <c r="W1885" s="154" t="s">
        <v>60</v>
      </c>
      <c r="X1885" s="154" t="s">
        <v>60</v>
      </c>
      <c r="Y1885" s="154" t="s">
        <v>64</v>
      </c>
      <c r="Z1885" s="154" t="s">
        <v>64</v>
      </c>
      <c r="AA1885" s="154" t="s">
        <v>64</v>
      </c>
      <c r="AB1885" s="154"/>
      <c r="AC1885" s="242" t="b">
        <f t="shared" si="2"/>
        <v>1</v>
      </c>
      <c r="AD1885" s="154" t="s">
        <v>391</v>
      </c>
      <c r="AE1885" s="243" t="b">
        <f t="shared" si="3"/>
        <v>0</v>
      </c>
      <c r="AF1885" s="154"/>
      <c r="AG1885" s="243" t="b">
        <f t="shared" si="7"/>
        <v>0</v>
      </c>
      <c r="AH1885" s="154"/>
      <c r="AI1885" s="243" t="str">
        <f t="shared" si="5"/>
        <v>N/A</v>
      </c>
      <c r="AJ1885" s="157" t="str">
        <f t="shared" si="6"/>
        <v/>
      </c>
    </row>
    <row r="1886" ht="12.75" customHeight="1">
      <c r="A1886" s="244" t="s">
        <v>4158</v>
      </c>
      <c r="B1886" s="244" t="s">
        <v>4161</v>
      </c>
      <c r="C1886" s="244" t="s">
        <v>4788</v>
      </c>
      <c r="D1886" s="154" t="s">
        <v>581</v>
      </c>
      <c r="E1886" s="250"/>
      <c r="F1886" s="154" t="str">
        <f t="array" ref="F1886">XLOOKUP(Cover!$D$12,$S$1:$AA$1,$S1886:$AA1886)</f>
        <v>Mandatory</v>
      </c>
      <c r="G1886" s="154" t="s">
        <v>4789</v>
      </c>
      <c r="H1886" s="154" t="s">
        <v>351</v>
      </c>
      <c r="I1886" s="154" t="s">
        <v>632</v>
      </c>
      <c r="J1886" s="247" t="s">
        <v>445</v>
      </c>
      <c r="K1886" s="154"/>
      <c r="L1886" s="154" t="str">
        <f t="shared" si="1"/>
        <v/>
      </c>
      <c r="M1886" s="248" t="str">
        <f>IFERROR(__xludf.DUMMYFUNCTION("VLOOKUP(C1886,IMPORTRANGE(""https://docs.google.com/spreadsheets/d/1P8eX0NWBhUPS_hvzA11R6jkTNFrPrRYIx_dX_hYbxrk/edit?resourcekey=0-iw9bsKY2OqkUHCFMkCar3A&amp;gid=2055363397#gid=2055363397"",""MTR!C:O""),11,false)"),"PMW-IMS")</f>
        <v>PMW-IMS</v>
      </c>
      <c r="N1886" s="248" t="str">
        <f>IFERROR(__xludf.DUMMYFUNCTION("VLOOKUP(C1886,IMPORTRANGE(""https://docs.google.com/spreadsheets/d/1ihFlp3_ePlYtFuPbUNbYj1muErVpI73WHXbEwJDIA7Q/edit#gid=1493122344"",""MTR!C:O""),8,false)"),"Complies")</f>
        <v>Complies</v>
      </c>
      <c r="O1886" s="241" t="str">
        <f>IFERROR(__xludf.DUMMYFUNCTION("VLOOKUP(C1886,IMPORTRANGE(""https://docs.google.com/spreadsheets/d/1P8eX0NWBhUPS_hvzA11R6jkTNFrPrRYIx_dX_hYbxrk/edit?resourcekey=0-iw9bsKY2OqkUHCFMkCar3A&amp;gid=2055363397#gid=2055363397"",""MTR!C:O""),9,false)"),"")</f>
        <v/>
      </c>
      <c r="P1886" s="241"/>
      <c r="Q1886" s="251" t="s">
        <v>445</v>
      </c>
      <c r="R1886" s="241"/>
      <c r="S1886" s="154" t="s">
        <v>64</v>
      </c>
      <c r="T1886" s="154" t="s">
        <v>60</v>
      </c>
      <c r="U1886" s="154" t="s">
        <v>60</v>
      </c>
      <c r="V1886" s="154" t="s">
        <v>60</v>
      </c>
      <c r="W1886" s="154" t="s">
        <v>60</v>
      </c>
      <c r="X1886" s="154" t="s">
        <v>60</v>
      </c>
      <c r="Y1886" s="154" t="s">
        <v>64</v>
      </c>
      <c r="Z1886" s="154" t="s">
        <v>64</v>
      </c>
      <c r="AA1886" s="154" t="s">
        <v>64</v>
      </c>
      <c r="AB1886" s="154"/>
      <c r="AC1886" s="242" t="b">
        <f t="shared" si="2"/>
        <v>1</v>
      </c>
      <c r="AD1886" s="154" t="s">
        <v>391</v>
      </c>
      <c r="AE1886" s="243" t="b">
        <f t="shared" si="3"/>
        <v>0</v>
      </c>
      <c r="AF1886" s="154"/>
      <c r="AG1886" s="243" t="b">
        <f t="shared" si="7"/>
        <v>0</v>
      </c>
      <c r="AH1886" s="154"/>
      <c r="AI1886" s="243" t="str">
        <f t="shared" si="5"/>
        <v>N/A</v>
      </c>
      <c r="AJ1886" s="157" t="str">
        <f t="shared" si="6"/>
        <v/>
      </c>
    </row>
    <row r="1887" ht="12.75" customHeight="1">
      <c r="A1887" s="244" t="s">
        <v>4158</v>
      </c>
      <c r="B1887" s="244" t="s">
        <v>4161</v>
      </c>
      <c r="C1887" s="244" t="s">
        <v>4790</v>
      </c>
      <c r="D1887" s="154" t="s">
        <v>602</v>
      </c>
      <c r="E1887" s="250"/>
      <c r="F1887" s="154" t="str">
        <f t="array" ref="F1887">XLOOKUP(Cover!$D$12,$S$1:$AA$1,$S1887:$AA1887)</f>
        <v>Mandatory</v>
      </c>
      <c r="G1887" s="154" t="s">
        <v>4791</v>
      </c>
      <c r="H1887" s="154" t="s">
        <v>351</v>
      </c>
      <c r="I1887" s="154" t="s">
        <v>632</v>
      </c>
      <c r="J1887" s="247" t="s">
        <v>445</v>
      </c>
      <c r="K1887" s="154"/>
      <c r="L1887" s="154" t="str">
        <f t="shared" si="1"/>
        <v/>
      </c>
      <c r="M1887" s="248" t="str">
        <f>IFERROR(__xludf.DUMMYFUNCTION("VLOOKUP(C1887,IMPORTRANGE(""https://docs.google.com/spreadsheets/d/1P8eX0NWBhUPS_hvzA11R6jkTNFrPrRYIx_dX_hYbxrk/edit?resourcekey=0-iw9bsKY2OqkUHCFMkCar3A&amp;gid=2055363397#gid=2055363397"",""MTR!C:O""),11,false)"),"PMW-IMS")</f>
        <v>PMW-IMS</v>
      </c>
      <c r="N1887" s="248" t="str">
        <f>IFERROR(__xludf.DUMMYFUNCTION("VLOOKUP(C1887,IMPORTRANGE(""https://docs.google.com/spreadsheets/d/1ihFlp3_ePlYtFuPbUNbYj1muErVpI73WHXbEwJDIA7Q/edit#gid=1493122344"",""MTR!C:O""),8,false)"),"Complies")</f>
        <v>Complies</v>
      </c>
      <c r="O1887" s="241" t="str">
        <f>IFERROR(__xludf.DUMMYFUNCTION("VLOOKUP(C1887,IMPORTRANGE(""https://docs.google.com/spreadsheets/d/1P8eX0NWBhUPS_hvzA11R6jkTNFrPrRYIx_dX_hYbxrk/edit?resourcekey=0-iw9bsKY2OqkUHCFMkCar3A&amp;gid=2055363397#gid=2055363397"",""MTR!C:O""),9,false)"),"")</f>
        <v/>
      </c>
      <c r="P1887" s="241"/>
      <c r="Q1887" s="251" t="s">
        <v>445</v>
      </c>
      <c r="R1887" s="241"/>
      <c r="S1887" s="154" t="s">
        <v>64</v>
      </c>
      <c r="T1887" s="154" t="s">
        <v>60</v>
      </c>
      <c r="U1887" s="154" t="s">
        <v>60</v>
      </c>
      <c r="V1887" s="154" t="s">
        <v>60</v>
      </c>
      <c r="W1887" s="154" t="s">
        <v>60</v>
      </c>
      <c r="X1887" s="154" t="s">
        <v>60</v>
      </c>
      <c r="Y1887" s="154" t="s">
        <v>64</v>
      </c>
      <c r="Z1887" s="154" t="s">
        <v>64</v>
      </c>
      <c r="AA1887" s="154" t="s">
        <v>64</v>
      </c>
      <c r="AB1887" s="154"/>
      <c r="AC1887" s="242" t="b">
        <f t="shared" si="2"/>
        <v>1</v>
      </c>
      <c r="AD1887" s="154" t="s">
        <v>391</v>
      </c>
      <c r="AE1887" s="243" t="b">
        <f t="shared" si="3"/>
        <v>0</v>
      </c>
      <c r="AF1887" s="154"/>
      <c r="AG1887" s="243" t="b">
        <f t="shared" si="7"/>
        <v>0</v>
      </c>
      <c r="AH1887" s="154"/>
      <c r="AI1887" s="243" t="str">
        <f t="shared" si="5"/>
        <v>N/A</v>
      </c>
      <c r="AJ1887" s="157" t="str">
        <f t="shared" si="6"/>
        <v/>
      </c>
    </row>
    <row r="1888" ht="12.75" customHeight="1">
      <c r="A1888" s="244" t="s">
        <v>4158</v>
      </c>
      <c r="B1888" s="244" t="s">
        <v>4161</v>
      </c>
      <c r="C1888" s="244" t="s">
        <v>4792</v>
      </c>
      <c r="D1888" s="154" t="s">
        <v>503</v>
      </c>
      <c r="E1888" s="250"/>
      <c r="F1888" s="154" t="str">
        <f t="array" ref="F1888">XLOOKUP(Cover!$D$12,$S$1:$AA$1,$S1888:$AA1888)</f>
        <v>Mandatory</v>
      </c>
      <c r="G1888" s="154" t="s">
        <v>4793</v>
      </c>
      <c r="H1888" s="154" t="s">
        <v>4710</v>
      </c>
      <c r="I1888" s="154" t="s">
        <v>632</v>
      </c>
      <c r="J1888" s="247" t="s">
        <v>506</v>
      </c>
      <c r="K1888" s="247" t="s">
        <v>4794</v>
      </c>
      <c r="L1888" s="154" t="str">
        <f t="shared" si="1"/>
        <v/>
      </c>
      <c r="M1888" s="248" t="str">
        <f>IFERROR(__xludf.DUMMYFUNCTION("VLOOKUP(C1888,IMPORTRANGE(""https://docs.google.com/spreadsheets/d/1P8eX0NWBhUPS_hvzA11R6jkTNFrPrRYIx_dX_hYbxrk/edit?resourcekey=0-iw9bsKY2OqkUHCFMkCar3A&amp;gid=2055363397#gid=2055363397"",""MTR!C:O""),11,false)"),"PMW-IMS")</f>
        <v>PMW-IMS</v>
      </c>
      <c r="N1888" s="248" t="str">
        <f>IFERROR(__xludf.DUMMYFUNCTION("VLOOKUP(C1888,IMPORTRANGE(""https://docs.google.com/spreadsheets/d/1ihFlp3_ePlYtFuPbUNbYj1muErVpI73WHXbEwJDIA7Q/edit#gid=1493122344"",""MTR!C:O""),8,false)"),"Partially Complies")</f>
        <v>Partially Complies</v>
      </c>
      <c r="O1888" s="248" t="str">
        <f>IFERROR(__xludf.DUMMYFUNCTION("VLOOKUP(C1888,IMPORTRANGE(""https://docs.google.com/spreadsheets/d/1P8eX0NWBhUPS_hvzA11R6jkTNFrPrRYIx_dX_hYbxrk/edit?resourcekey=0-iw9bsKY2OqkUHCFMkCar3A&amp;gid=2055363397#gid=2055363397"",""MTR!C:O""),9,false)"),"Need to be confirm supported from QNS side.")</f>
        <v>Need to be confirm supported from QNS side.</v>
      </c>
      <c r="P1888" s="248"/>
      <c r="Q1888" s="249" t="s">
        <v>506</v>
      </c>
      <c r="R1888" s="249" t="s">
        <v>4794</v>
      </c>
      <c r="S1888" s="154" t="s">
        <v>64</v>
      </c>
      <c r="T1888" s="154" t="s">
        <v>64</v>
      </c>
      <c r="U1888" s="154" t="s">
        <v>60</v>
      </c>
      <c r="V1888" s="154" t="s">
        <v>60</v>
      </c>
      <c r="W1888" s="154" t="s">
        <v>60</v>
      </c>
      <c r="X1888" s="154" t="s">
        <v>60</v>
      </c>
      <c r="Y1888" s="154" t="s">
        <v>60</v>
      </c>
      <c r="Z1888" s="154" t="s">
        <v>60</v>
      </c>
      <c r="AA1888" s="154" t="s">
        <v>60</v>
      </c>
      <c r="AB1888" s="154"/>
      <c r="AC1888" s="242" t="b">
        <f t="shared" si="2"/>
        <v>1</v>
      </c>
      <c r="AD1888" s="154" t="s">
        <v>391</v>
      </c>
      <c r="AE1888" s="243" t="b">
        <f t="shared" si="3"/>
        <v>0</v>
      </c>
      <c r="AF1888" s="154"/>
      <c r="AG1888" s="243" t="b">
        <f t="shared" si="7"/>
        <v>0</v>
      </c>
      <c r="AH1888" s="154"/>
      <c r="AI1888" s="243" t="str">
        <f t="shared" si="5"/>
        <v>N/A</v>
      </c>
      <c r="AJ1888" s="157" t="str">
        <f t="shared" si="6"/>
        <v/>
      </c>
    </row>
    <row r="1889" ht="12.75" customHeight="1">
      <c r="A1889" s="244" t="s">
        <v>4158</v>
      </c>
      <c r="B1889" s="244" t="s">
        <v>4161</v>
      </c>
      <c r="C1889" s="244" t="s">
        <v>4795</v>
      </c>
      <c r="D1889" s="154" t="s">
        <v>462</v>
      </c>
      <c r="E1889" s="250"/>
      <c r="F1889" s="154" t="str">
        <f t="array" ref="F1889">XLOOKUP(Cover!$D$12,$S$1:$AA$1,$S1889:$AA1889)</f>
        <v>Mandatory</v>
      </c>
      <c r="G1889" s="154" t="s">
        <v>4796</v>
      </c>
      <c r="H1889" s="154" t="s">
        <v>351</v>
      </c>
      <c r="I1889" s="154" t="s">
        <v>632</v>
      </c>
      <c r="J1889" s="247" t="s">
        <v>445</v>
      </c>
      <c r="K1889" s="247"/>
      <c r="L1889" s="154" t="str">
        <f t="shared" si="1"/>
        <v/>
      </c>
      <c r="M1889" s="248" t="str">
        <f>IFERROR(__xludf.DUMMYFUNCTION("VLOOKUP(C1889,IMPORTRANGE(""https://docs.google.com/spreadsheets/d/1P8eX0NWBhUPS_hvzA11R6jkTNFrPrRYIx_dX_hYbxrk/edit?resourcekey=0-iw9bsKY2OqkUHCFMkCar3A&amp;gid=2055363397#gid=2055363397"",""MTR!C:O""),11,false)"),"PMW-IMS")</f>
        <v>PMW-IMS</v>
      </c>
      <c r="N1889" s="248" t="str">
        <f>IFERROR(__xludf.DUMMYFUNCTION("VLOOKUP(C1889,IMPORTRANGE(""https://docs.google.com/spreadsheets/d/1ihFlp3_ePlYtFuPbUNbYj1muErVpI73WHXbEwJDIA7Q/edit#gid=1493122344"",""MTR!C:O""),8,false)"),"Complies")</f>
        <v>Complies</v>
      </c>
      <c r="O1889" s="241" t="str">
        <f>IFERROR(__xludf.DUMMYFUNCTION("VLOOKUP(C1889,IMPORTRANGE(""https://docs.google.com/spreadsheets/d/1P8eX0NWBhUPS_hvzA11R6jkTNFrPrRYIx_dX_hYbxrk/edit?resourcekey=0-iw9bsKY2OqkUHCFMkCar3A&amp;gid=2055363397#gid=2055363397"",""MTR!C:O""),9,false)"),"")</f>
        <v/>
      </c>
      <c r="P1889" s="241"/>
      <c r="Q1889" s="251" t="s">
        <v>445</v>
      </c>
      <c r="R1889" s="251"/>
      <c r="S1889" s="154" t="s">
        <v>64</v>
      </c>
      <c r="T1889" s="154" t="s">
        <v>60</v>
      </c>
      <c r="U1889" s="154" t="s">
        <v>60</v>
      </c>
      <c r="V1889" s="154" t="s">
        <v>60</v>
      </c>
      <c r="W1889" s="154" t="s">
        <v>60</v>
      </c>
      <c r="X1889" s="154" t="s">
        <v>60</v>
      </c>
      <c r="Y1889" s="154" t="s">
        <v>64</v>
      </c>
      <c r="Z1889" s="154" t="s">
        <v>64</v>
      </c>
      <c r="AA1889" s="154" t="s">
        <v>64</v>
      </c>
      <c r="AB1889" s="154"/>
      <c r="AC1889" s="242" t="b">
        <f t="shared" si="2"/>
        <v>1</v>
      </c>
      <c r="AD1889" s="154" t="s">
        <v>391</v>
      </c>
      <c r="AE1889" s="243" t="b">
        <f t="shared" si="3"/>
        <v>0</v>
      </c>
      <c r="AF1889" s="154"/>
      <c r="AG1889" s="243" t="b">
        <f t="shared" si="7"/>
        <v>0</v>
      </c>
      <c r="AH1889" s="154"/>
      <c r="AI1889" s="243" t="str">
        <f t="shared" si="5"/>
        <v>N/A</v>
      </c>
      <c r="AJ1889" s="157" t="str">
        <f t="shared" si="6"/>
        <v/>
      </c>
    </row>
    <row r="1890" ht="12.75" customHeight="1">
      <c r="A1890" s="244" t="s">
        <v>4158</v>
      </c>
      <c r="B1890" s="244" t="s">
        <v>4161</v>
      </c>
      <c r="C1890" s="244" t="s">
        <v>4797</v>
      </c>
      <c r="D1890" s="154" t="s">
        <v>462</v>
      </c>
      <c r="E1890" s="250"/>
      <c r="F1890" s="154" t="str">
        <f t="array" ref="F1890">XLOOKUP(Cover!$D$12,$S$1:$AA$1,$S1890:$AA1890)</f>
        <v>Mandatory</v>
      </c>
      <c r="G1890" s="154" t="s">
        <v>4798</v>
      </c>
      <c r="H1890" s="154" t="s">
        <v>351</v>
      </c>
      <c r="I1890" s="154" t="s">
        <v>632</v>
      </c>
      <c r="J1890" s="247" t="s">
        <v>445</v>
      </c>
      <c r="K1890" s="154"/>
      <c r="L1890" s="154" t="str">
        <f t="shared" si="1"/>
        <v/>
      </c>
      <c r="M1890" s="248" t="str">
        <f>IFERROR(__xludf.DUMMYFUNCTION("VLOOKUP(C1890,IMPORTRANGE(""https://docs.google.com/spreadsheets/d/1P8eX0NWBhUPS_hvzA11R6jkTNFrPrRYIx_dX_hYbxrk/edit?resourcekey=0-iw9bsKY2OqkUHCFMkCar3A&amp;gid=2055363397#gid=2055363397"",""MTR!C:O""),11,false)"),"PMW-IMS")</f>
        <v>PMW-IMS</v>
      </c>
      <c r="N1890" s="248" t="str">
        <f>IFERROR(__xludf.DUMMYFUNCTION("VLOOKUP(C1890,IMPORTRANGE(""https://docs.google.com/spreadsheets/d/1ihFlp3_ePlYtFuPbUNbYj1muErVpI73WHXbEwJDIA7Q/edit#gid=1493122344"",""MTR!C:O""),8,false)"),"Complies")</f>
        <v>Complies</v>
      </c>
      <c r="O1890" s="241" t="str">
        <f>IFERROR(__xludf.DUMMYFUNCTION("VLOOKUP(C1890,IMPORTRANGE(""https://docs.google.com/spreadsheets/d/1P8eX0NWBhUPS_hvzA11R6jkTNFrPrRYIx_dX_hYbxrk/edit?resourcekey=0-iw9bsKY2OqkUHCFMkCar3A&amp;gid=2055363397#gid=2055363397"",""MTR!C:O""),9,false)"),"")</f>
        <v/>
      </c>
      <c r="P1890" s="241"/>
      <c r="Q1890" s="251" t="s">
        <v>445</v>
      </c>
      <c r="R1890" s="241"/>
      <c r="S1890" s="154" t="s">
        <v>64</v>
      </c>
      <c r="T1890" s="154" t="s">
        <v>60</v>
      </c>
      <c r="U1890" s="154" t="s">
        <v>60</v>
      </c>
      <c r="V1890" s="154" t="s">
        <v>60</v>
      </c>
      <c r="W1890" s="154" t="s">
        <v>60</v>
      </c>
      <c r="X1890" s="154" t="s">
        <v>60</v>
      </c>
      <c r="Y1890" s="154" t="s">
        <v>64</v>
      </c>
      <c r="Z1890" s="154" t="s">
        <v>64</v>
      </c>
      <c r="AA1890" s="154" t="s">
        <v>64</v>
      </c>
      <c r="AB1890" s="154"/>
      <c r="AC1890" s="242" t="b">
        <f t="shared" si="2"/>
        <v>1</v>
      </c>
      <c r="AD1890" s="154" t="s">
        <v>391</v>
      </c>
      <c r="AE1890" s="243" t="b">
        <f t="shared" si="3"/>
        <v>0</v>
      </c>
      <c r="AF1890" s="154"/>
      <c r="AG1890" s="243" t="b">
        <f t="shared" si="7"/>
        <v>0</v>
      </c>
      <c r="AH1890" s="154"/>
      <c r="AI1890" s="243" t="str">
        <f t="shared" si="5"/>
        <v>N/A</v>
      </c>
      <c r="AJ1890" s="157" t="str">
        <f t="shared" si="6"/>
        <v/>
      </c>
    </row>
    <row r="1891" ht="12.75" customHeight="1">
      <c r="A1891" s="244" t="s">
        <v>4158</v>
      </c>
      <c r="B1891" s="244" t="s">
        <v>4161</v>
      </c>
      <c r="C1891" s="244" t="s">
        <v>4799</v>
      </c>
      <c r="D1891" s="154" t="s">
        <v>492</v>
      </c>
      <c r="E1891" s="250"/>
      <c r="F1891" s="154" t="str">
        <f t="array" ref="F1891">XLOOKUP(Cover!$D$12,$S$1:$AA$1,$S1891:$AA1891)</f>
        <v>Mandatory</v>
      </c>
      <c r="G1891" s="154" t="s">
        <v>4800</v>
      </c>
      <c r="H1891" s="154" t="s">
        <v>351</v>
      </c>
      <c r="I1891" s="154" t="s">
        <v>632</v>
      </c>
      <c r="J1891" s="247" t="s">
        <v>445</v>
      </c>
      <c r="K1891" s="154"/>
      <c r="L1891" s="154" t="str">
        <f t="shared" si="1"/>
        <v/>
      </c>
      <c r="M1891" s="248" t="str">
        <f>IFERROR(__xludf.DUMMYFUNCTION("VLOOKUP(C1891,IMPORTRANGE(""https://docs.google.com/spreadsheets/d/1P8eX0NWBhUPS_hvzA11R6jkTNFrPrRYIx_dX_hYbxrk/edit?resourcekey=0-iw9bsKY2OqkUHCFMkCar3A&amp;gid=2055363397#gid=2055363397"",""MTR!C:O""),11,false)"),"PMW-IMS")</f>
        <v>PMW-IMS</v>
      </c>
      <c r="N1891" s="248" t="str">
        <f>IFERROR(__xludf.DUMMYFUNCTION("VLOOKUP(C1891,IMPORTRANGE(""https://docs.google.com/spreadsheets/d/1ihFlp3_ePlYtFuPbUNbYj1muErVpI73WHXbEwJDIA7Q/edit#gid=1493122344"",""MTR!C:O""),8,false)"),"Complies")</f>
        <v>Complies</v>
      </c>
      <c r="O1891" s="241" t="str">
        <f>IFERROR(__xludf.DUMMYFUNCTION("VLOOKUP(C1891,IMPORTRANGE(""https://docs.google.com/spreadsheets/d/1P8eX0NWBhUPS_hvzA11R6jkTNFrPrRYIx_dX_hYbxrk/edit?resourcekey=0-iw9bsKY2OqkUHCFMkCar3A&amp;gid=2055363397#gid=2055363397"",""MTR!C:O""),9,false)"),"")</f>
        <v/>
      </c>
      <c r="P1891" s="241"/>
      <c r="Q1891" s="251" t="s">
        <v>445</v>
      </c>
      <c r="R1891" s="241"/>
      <c r="S1891" s="154" t="s">
        <v>64</v>
      </c>
      <c r="T1891" s="154" t="s">
        <v>60</v>
      </c>
      <c r="U1891" s="154" t="s">
        <v>60</v>
      </c>
      <c r="V1891" s="154" t="s">
        <v>60</v>
      </c>
      <c r="W1891" s="154" t="s">
        <v>60</v>
      </c>
      <c r="X1891" s="154" t="s">
        <v>60</v>
      </c>
      <c r="Y1891" s="154" t="s">
        <v>64</v>
      </c>
      <c r="Z1891" s="154" t="s">
        <v>64</v>
      </c>
      <c r="AA1891" s="154" t="s">
        <v>64</v>
      </c>
      <c r="AB1891" s="154"/>
      <c r="AC1891" s="242" t="b">
        <f t="shared" si="2"/>
        <v>1</v>
      </c>
      <c r="AD1891" s="154" t="s">
        <v>391</v>
      </c>
      <c r="AE1891" s="243" t="b">
        <f t="shared" si="3"/>
        <v>0</v>
      </c>
      <c r="AF1891" s="154"/>
      <c r="AG1891" s="243" t="b">
        <f t="shared" si="7"/>
        <v>0</v>
      </c>
      <c r="AH1891" s="154"/>
      <c r="AI1891" s="243" t="str">
        <f t="shared" si="5"/>
        <v>N/A</v>
      </c>
      <c r="AJ1891" s="157" t="str">
        <f t="shared" si="6"/>
        <v/>
      </c>
    </row>
    <row r="1892" ht="12.75" customHeight="1">
      <c r="A1892" s="238" t="s">
        <v>4158</v>
      </c>
      <c r="B1892" s="238" t="s">
        <v>4161</v>
      </c>
      <c r="C1892" s="238" t="s">
        <v>4801</v>
      </c>
      <c r="D1892" s="238"/>
      <c r="E1892" s="238"/>
      <c r="F1892" s="154" t="str">
        <f t="array" ref="F1892">XLOOKUP(Cover!$D$12,$S$1:$AA$1,$S1892:$AA1892)</f>
        <v>Heading</v>
      </c>
      <c r="G1892" s="239" t="s">
        <v>4802</v>
      </c>
      <c r="H1892" s="240"/>
      <c r="I1892" s="240" t="s">
        <v>2155</v>
      </c>
      <c r="J1892" s="240"/>
      <c r="K1892" s="240"/>
      <c r="L1892" s="154" t="str">
        <f t="shared" si="1"/>
        <v/>
      </c>
      <c r="M1892" s="241" t="str">
        <f>IFERROR(__xludf.DUMMYFUNCTION("VLOOKUP(C1892,IMPORTRANGE(""https://docs.google.com/spreadsheets/d/1P8eX0NWBhUPS_hvzA11R6jkTNFrPrRYIx_dX_hYbxrk/edit?resourcekey=0-iw9bsKY2OqkUHCFMkCar3A&amp;gid=2055363397#gid=2055363397"",""MTR!C:O""),11,false)"),"")</f>
        <v/>
      </c>
      <c r="N1892" s="241" t="str">
        <f>IFERROR(__xludf.DUMMYFUNCTION("VLOOKUP(C1892,IMPORTRANGE(""https://docs.google.com/spreadsheets/d/1ihFlp3_ePlYtFuPbUNbYj1muErVpI73WHXbEwJDIA7Q/edit#gid=1493122344"",""MTR!C:O""),8,false)"),"")</f>
        <v/>
      </c>
      <c r="O1892" s="241" t="str">
        <f>IFERROR(__xludf.DUMMYFUNCTION("VLOOKUP(C1892,IMPORTRANGE(""https://docs.google.com/spreadsheets/d/1P8eX0NWBhUPS_hvzA11R6jkTNFrPrRYIx_dX_hYbxrk/edit?resourcekey=0-iw9bsKY2OqkUHCFMkCar3A&amp;gid=2055363397#gid=2055363397"",""MTR!C:O""),9,false)"),"")</f>
        <v/>
      </c>
      <c r="P1892" s="241"/>
      <c r="Q1892" s="251"/>
      <c r="R1892" s="241"/>
      <c r="S1892" s="240" t="s">
        <v>390</v>
      </c>
      <c r="T1892" s="240" t="s">
        <v>390</v>
      </c>
      <c r="U1892" s="240" t="s">
        <v>390</v>
      </c>
      <c r="V1892" s="240" t="s">
        <v>390</v>
      </c>
      <c r="W1892" s="240" t="s">
        <v>390</v>
      </c>
      <c r="X1892" s="240" t="s">
        <v>390</v>
      </c>
      <c r="Y1892" s="240" t="s">
        <v>390</v>
      </c>
      <c r="Z1892" s="240" t="s">
        <v>390</v>
      </c>
      <c r="AA1892" s="240" t="s">
        <v>390</v>
      </c>
      <c r="AB1892" s="240"/>
      <c r="AC1892" s="242" t="b">
        <f t="shared" si="2"/>
        <v>0</v>
      </c>
      <c r="AD1892" s="240" t="s">
        <v>391</v>
      </c>
      <c r="AE1892" s="243" t="b">
        <f t="shared" si="3"/>
        <v>0</v>
      </c>
      <c r="AF1892" s="240"/>
      <c r="AG1892" s="243" t="b">
        <f t="shared" si="7"/>
        <v>0</v>
      </c>
      <c r="AH1892" s="240"/>
      <c r="AI1892" s="243" t="str">
        <f t="shared" si="5"/>
        <v>N/A</v>
      </c>
      <c r="AJ1892" s="157" t="str">
        <f t="shared" si="6"/>
        <v/>
      </c>
    </row>
    <row r="1893" ht="12.75" customHeight="1">
      <c r="A1893" s="244" t="s">
        <v>4158</v>
      </c>
      <c r="B1893" s="244" t="s">
        <v>4161</v>
      </c>
      <c r="C1893" s="244" t="s">
        <v>4803</v>
      </c>
      <c r="D1893" s="154" t="s">
        <v>1315</v>
      </c>
      <c r="E1893" s="250"/>
      <c r="F1893" s="154" t="str">
        <f t="array" ref="F1893">XLOOKUP(Cover!$D$12,$S$1:$AA$1,$S1893:$AA1893)</f>
        <v>Mandatory</v>
      </c>
      <c r="G1893" s="153" t="s">
        <v>4804</v>
      </c>
      <c r="H1893" s="154" t="s">
        <v>353</v>
      </c>
      <c r="I1893" s="154" t="s">
        <v>2155</v>
      </c>
      <c r="J1893" s="247" t="s">
        <v>506</v>
      </c>
      <c r="K1893" s="154" t="s">
        <v>4805</v>
      </c>
      <c r="L1893" s="154" t="str">
        <f t="shared" si="1"/>
        <v/>
      </c>
      <c r="M1893" s="248" t="str">
        <f>IFERROR(__xludf.DUMMYFUNCTION("VLOOKUP(C1893,IMPORTRANGE(""https://docs.google.com/spreadsheets/d/1P8eX0NWBhUPS_hvzA11R6jkTNFrPrRYIx_dX_hYbxrk/edit?resourcekey=0-iw9bsKY2OqkUHCFMkCar3A&amp;gid=2055363397#gid=2055363397"",""MTR!C:O""),11,false)"),"PMW-IMS")</f>
        <v>PMW-IMS</v>
      </c>
      <c r="N1893" s="248" t="str">
        <f>IFERROR(__xludf.DUMMYFUNCTION("VLOOKUP(C1893,IMPORTRANGE(""https://docs.google.com/spreadsheets/d/1ihFlp3_ePlYtFuPbUNbYj1muErVpI73WHXbEwJDIA7Q/edit#gid=1493122344"",""MTR!C:O""),8,false)"),"Does Not Comply")</f>
        <v>Does Not Comply</v>
      </c>
      <c r="O1893" s="248" t="str">
        <f>IFERROR(__xludf.DUMMYFUNCTION("VLOOKUP(C1893,IMPORTRANGE(""https://docs.google.com/spreadsheets/d/1P8eX0NWBhUPS_hvzA11R6jkTNFrPrRYIx_dX_hYbxrk/edit?resourcekey=0-iw9bsKY2OqkUHCFMkCar3A&amp;gid=2055363397#gid=2055363397"",""MTR!C:O""),9,false)"),"The feature will be default supported once SA is enabled")</f>
        <v>The feature will be default supported once SA is enabled</v>
      </c>
      <c r="P1893" s="248"/>
      <c r="Q1893" s="249" t="s">
        <v>516</v>
      </c>
      <c r="R1893" s="249" t="s">
        <v>4805</v>
      </c>
      <c r="S1893" s="154" t="s">
        <v>64</v>
      </c>
      <c r="T1893" s="154" t="s">
        <v>64</v>
      </c>
      <c r="U1893" s="154" t="s">
        <v>60</v>
      </c>
      <c r="V1893" s="154" t="s">
        <v>60</v>
      </c>
      <c r="W1893" s="154" t="s">
        <v>60</v>
      </c>
      <c r="X1893" s="154" t="s">
        <v>60</v>
      </c>
      <c r="Y1893" s="154" t="s">
        <v>64</v>
      </c>
      <c r="Z1893" s="154" t="s">
        <v>64</v>
      </c>
      <c r="AA1893" s="154" t="s">
        <v>64</v>
      </c>
      <c r="AB1893" s="154"/>
      <c r="AC1893" s="242" t="b">
        <f t="shared" si="2"/>
        <v>1</v>
      </c>
      <c r="AD1893" s="154" t="s">
        <v>391</v>
      </c>
      <c r="AE1893" s="243" t="b">
        <f t="shared" si="3"/>
        <v>0</v>
      </c>
      <c r="AF1893" s="154"/>
      <c r="AG1893" s="243" t="b">
        <f t="shared" si="7"/>
        <v>0</v>
      </c>
      <c r="AH1893" s="154"/>
      <c r="AI1893" s="243" t="str">
        <f t="shared" si="5"/>
        <v>N/A</v>
      </c>
      <c r="AJ1893" s="157" t="str">
        <f t="shared" si="6"/>
        <v/>
      </c>
    </row>
    <row r="1894" ht="12.75" customHeight="1">
      <c r="A1894" s="244" t="s">
        <v>4158</v>
      </c>
      <c r="B1894" s="244" t="s">
        <v>4161</v>
      </c>
      <c r="C1894" s="244" t="s">
        <v>4806</v>
      </c>
      <c r="D1894" s="154" t="s">
        <v>1315</v>
      </c>
      <c r="E1894" s="250"/>
      <c r="F1894" s="154" t="str">
        <f t="array" ref="F1894">XLOOKUP(Cover!$D$12,$S$1:$AA$1,$S1894:$AA1894)</f>
        <v>Mandatory</v>
      </c>
      <c r="G1894" s="154" t="s">
        <v>4807</v>
      </c>
      <c r="H1894" s="154" t="s">
        <v>353</v>
      </c>
      <c r="I1894" s="154" t="s">
        <v>2155</v>
      </c>
      <c r="J1894" s="247" t="s">
        <v>506</v>
      </c>
      <c r="K1894" s="247" t="s">
        <v>4805</v>
      </c>
      <c r="L1894" s="154" t="str">
        <f t="shared" si="1"/>
        <v/>
      </c>
      <c r="M1894" s="248" t="str">
        <f>IFERROR(__xludf.DUMMYFUNCTION("VLOOKUP(C1894,IMPORTRANGE(""https://docs.google.com/spreadsheets/d/1P8eX0NWBhUPS_hvzA11R6jkTNFrPrRYIx_dX_hYbxrk/edit?resourcekey=0-iw9bsKY2OqkUHCFMkCar3A&amp;gid=2055363397#gid=2055363397"",""MTR!C:O""),11,false)"),"PMW-MCE-NAS")</f>
        <v>PMW-MCE-NAS</v>
      </c>
      <c r="N1894" s="248" t="str">
        <f>IFERROR(__xludf.DUMMYFUNCTION("VLOOKUP(C1894,IMPORTRANGE(""https://docs.google.com/spreadsheets/d/1ihFlp3_ePlYtFuPbUNbYj1muErVpI73WHXbEwJDIA7Q/edit#gid=1493122344"",""MTR!C:O""),8,false)"),"Not Applicable")</f>
        <v>Not Applicable</v>
      </c>
      <c r="O1894" s="241" t="str">
        <f>IFERROR(__xludf.DUMMYFUNCTION("VLOOKUP(C1894,IMPORTRANGE(""https://docs.google.com/spreadsheets/d/1P8eX0NWBhUPS_hvzA11R6jkTNFrPrRYIx_dX_hYbxrk/edit?resourcekey=0-iw9bsKY2OqkUHCFMkCar3A&amp;gid=2055363397#gid=2055363397"",""MTR!C:O""),9,false)"),"")</f>
        <v/>
      </c>
      <c r="P1894" s="241"/>
      <c r="Q1894" s="251" t="s">
        <v>617</v>
      </c>
      <c r="R1894" s="251" t="s">
        <v>4805</v>
      </c>
      <c r="S1894" s="154" t="s">
        <v>64</v>
      </c>
      <c r="T1894" s="154" t="s">
        <v>64</v>
      </c>
      <c r="U1894" s="154" t="s">
        <v>60</v>
      </c>
      <c r="V1894" s="154" t="s">
        <v>60</v>
      </c>
      <c r="W1894" s="154" t="s">
        <v>60</v>
      </c>
      <c r="X1894" s="154" t="s">
        <v>60</v>
      </c>
      <c r="Y1894" s="154" t="s">
        <v>64</v>
      </c>
      <c r="Z1894" s="154" t="s">
        <v>64</v>
      </c>
      <c r="AA1894" s="154" t="s">
        <v>64</v>
      </c>
      <c r="AB1894" s="154"/>
      <c r="AC1894" s="242" t="b">
        <f t="shared" si="2"/>
        <v>1</v>
      </c>
      <c r="AD1894" s="154" t="s">
        <v>391</v>
      </c>
      <c r="AE1894" s="243" t="b">
        <f t="shared" si="3"/>
        <v>0</v>
      </c>
      <c r="AF1894" s="154"/>
      <c r="AG1894" s="243" t="b">
        <f t="shared" si="7"/>
        <v>0</v>
      </c>
      <c r="AH1894" s="154"/>
      <c r="AI1894" s="243" t="str">
        <f t="shared" si="5"/>
        <v>N/A</v>
      </c>
      <c r="AJ1894" s="157" t="str">
        <f t="shared" si="6"/>
        <v/>
      </c>
    </row>
    <row r="1895" ht="12.75" customHeight="1">
      <c r="A1895" s="244" t="s">
        <v>4158</v>
      </c>
      <c r="B1895" s="244" t="s">
        <v>4161</v>
      </c>
      <c r="C1895" s="244" t="s">
        <v>4808</v>
      </c>
      <c r="D1895" s="154" t="s">
        <v>1315</v>
      </c>
      <c r="E1895" s="250"/>
      <c r="F1895" s="154" t="str">
        <f t="array" ref="F1895">XLOOKUP(Cover!$D$12,$S$1:$AA$1,$S1895:$AA1895)</f>
        <v>Mandatory</v>
      </c>
      <c r="G1895" s="154" t="s">
        <v>4809</v>
      </c>
      <c r="H1895" s="154" t="s">
        <v>353</v>
      </c>
      <c r="I1895" s="154" t="s">
        <v>2155</v>
      </c>
      <c r="J1895" s="247" t="s">
        <v>506</v>
      </c>
      <c r="K1895" s="247" t="s">
        <v>4805</v>
      </c>
      <c r="L1895" s="154" t="str">
        <f t="shared" si="1"/>
        <v/>
      </c>
      <c r="M1895" s="248" t="str">
        <f>IFERROR(__xludf.DUMMYFUNCTION("VLOOKUP(C1895,IMPORTRANGE(""https://docs.google.com/spreadsheets/d/1P8eX0NWBhUPS_hvzA11R6jkTNFrPrRYIx_dX_hYbxrk/edit?resourcekey=0-iw9bsKY2OqkUHCFMkCar3A&amp;gid=2055363397#gid=2055363397"",""MTR!C:O""),11,false)"),"PMW-IMS")</f>
        <v>PMW-IMS</v>
      </c>
      <c r="N1895" s="248" t="str">
        <f>IFERROR(__xludf.DUMMYFUNCTION("VLOOKUP(C1895,IMPORTRANGE(""https://docs.google.com/spreadsheets/d/1ihFlp3_ePlYtFuPbUNbYj1muErVpI73WHXbEwJDIA7Q/edit#gid=1493122344"",""MTR!C:O""),8,false)"),"Does Not Comply")</f>
        <v>Does Not Comply</v>
      </c>
      <c r="O1895" s="248" t="str">
        <f>IFERROR(__xludf.DUMMYFUNCTION("VLOOKUP(C1895,IMPORTRANGE(""https://docs.google.com/spreadsheets/d/1P8eX0NWBhUPS_hvzA11R6jkTNFrPrRYIx_dX_hYbxrk/edit?resourcekey=0-iw9bsKY2OqkUHCFMkCar3A&amp;gid=2055363397#gid=2055363397"",""MTR!C:O""),9,false)"),"The feature will be default supported once SA is enabled")</f>
        <v>The feature will be default supported once SA is enabled</v>
      </c>
      <c r="P1895" s="248"/>
      <c r="Q1895" s="249" t="s">
        <v>516</v>
      </c>
      <c r="R1895" s="249" t="s">
        <v>4805</v>
      </c>
      <c r="S1895" s="154" t="s">
        <v>64</v>
      </c>
      <c r="T1895" s="154" t="s">
        <v>64</v>
      </c>
      <c r="U1895" s="154" t="s">
        <v>60</v>
      </c>
      <c r="V1895" s="154" t="s">
        <v>60</v>
      </c>
      <c r="W1895" s="154" t="s">
        <v>60</v>
      </c>
      <c r="X1895" s="154" t="s">
        <v>60</v>
      </c>
      <c r="Y1895" s="154" t="s">
        <v>64</v>
      </c>
      <c r="Z1895" s="154" t="s">
        <v>64</v>
      </c>
      <c r="AA1895" s="154" t="s">
        <v>64</v>
      </c>
      <c r="AB1895" s="154"/>
      <c r="AC1895" s="242" t="b">
        <f t="shared" si="2"/>
        <v>1</v>
      </c>
      <c r="AD1895" s="154" t="s">
        <v>391</v>
      </c>
      <c r="AE1895" s="243" t="b">
        <f t="shared" si="3"/>
        <v>0</v>
      </c>
      <c r="AF1895" s="154"/>
      <c r="AG1895" s="243" t="b">
        <f t="shared" si="7"/>
        <v>0</v>
      </c>
      <c r="AH1895" s="154"/>
      <c r="AI1895" s="243" t="str">
        <f t="shared" si="5"/>
        <v>N/A</v>
      </c>
      <c r="AJ1895" s="157" t="str">
        <f t="shared" si="6"/>
        <v/>
      </c>
    </row>
    <row r="1896" ht="12.75" customHeight="1">
      <c r="A1896" s="244" t="s">
        <v>4158</v>
      </c>
      <c r="B1896" s="244" t="s">
        <v>4161</v>
      </c>
      <c r="C1896" s="244" t="s">
        <v>4810</v>
      </c>
      <c r="D1896" s="154" t="s">
        <v>1315</v>
      </c>
      <c r="E1896" s="250"/>
      <c r="F1896" s="154" t="str">
        <f t="array" ref="F1896">XLOOKUP(Cover!$D$12,$S$1:$AA$1,$S1896:$AA1896)</f>
        <v>Mandatory</v>
      </c>
      <c r="G1896" s="154" t="s">
        <v>4811</v>
      </c>
      <c r="H1896" s="154" t="s">
        <v>353</v>
      </c>
      <c r="I1896" s="154" t="s">
        <v>2155</v>
      </c>
      <c r="J1896" s="247" t="s">
        <v>506</v>
      </c>
      <c r="K1896" s="247" t="s">
        <v>4805</v>
      </c>
      <c r="L1896" s="154" t="str">
        <f t="shared" si="1"/>
        <v/>
      </c>
      <c r="M1896" s="248" t="str">
        <f>IFERROR(__xludf.DUMMYFUNCTION("VLOOKUP(C1896,IMPORTRANGE(""https://docs.google.com/spreadsheets/d/1P8eX0NWBhUPS_hvzA11R6jkTNFrPrRYIx_dX_hYbxrk/edit?resourcekey=0-iw9bsKY2OqkUHCFMkCar3A&amp;gid=2055363397#gid=2055363397"",""MTR!C:O""),11,false)"),"PMW-IMS")</f>
        <v>PMW-IMS</v>
      </c>
      <c r="N1896" s="248" t="str">
        <f>IFERROR(__xludf.DUMMYFUNCTION("VLOOKUP(C1896,IMPORTRANGE(""https://docs.google.com/spreadsheets/d/1ihFlp3_ePlYtFuPbUNbYj1muErVpI73WHXbEwJDIA7Q/edit#gid=1493122344"",""MTR!C:O""),8,false)"),"Does Not Comply")</f>
        <v>Does Not Comply</v>
      </c>
      <c r="O1896" s="248" t="str">
        <f>IFERROR(__xludf.DUMMYFUNCTION("VLOOKUP(C1896,IMPORTRANGE(""https://docs.google.com/spreadsheets/d/1P8eX0NWBhUPS_hvzA11R6jkTNFrPrRYIx_dX_hYbxrk/edit?resourcekey=0-iw9bsKY2OqkUHCFMkCar3A&amp;gid=2055363397#gid=2055363397"",""MTR!C:O""),9,false)"),"The feature will be default supported once SA is enabled")</f>
        <v>The feature will be default supported once SA is enabled</v>
      </c>
      <c r="P1896" s="248"/>
      <c r="Q1896" s="249" t="s">
        <v>516</v>
      </c>
      <c r="R1896" s="249" t="s">
        <v>4805</v>
      </c>
      <c r="S1896" s="154" t="s">
        <v>64</v>
      </c>
      <c r="T1896" s="154" t="s">
        <v>64</v>
      </c>
      <c r="U1896" s="154" t="s">
        <v>60</v>
      </c>
      <c r="V1896" s="154" t="s">
        <v>60</v>
      </c>
      <c r="W1896" s="154" t="s">
        <v>60</v>
      </c>
      <c r="X1896" s="154" t="s">
        <v>60</v>
      </c>
      <c r="Y1896" s="154" t="s">
        <v>64</v>
      </c>
      <c r="Z1896" s="154" t="s">
        <v>64</v>
      </c>
      <c r="AA1896" s="154" t="s">
        <v>64</v>
      </c>
      <c r="AB1896" s="154"/>
      <c r="AC1896" s="242" t="b">
        <f t="shared" si="2"/>
        <v>1</v>
      </c>
      <c r="AD1896" s="154" t="s">
        <v>391</v>
      </c>
      <c r="AE1896" s="243" t="b">
        <f t="shared" si="3"/>
        <v>0</v>
      </c>
      <c r="AF1896" s="154"/>
      <c r="AG1896" s="243" t="b">
        <f t="shared" si="7"/>
        <v>0</v>
      </c>
      <c r="AH1896" s="154"/>
      <c r="AI1896" s="243" t="str">
        <f t="shared" si="5"/>
        <v>N/A</v>
      </c>
      <c r="AJ1896" s="157" t="str">
        <f t="shared" si="6"/>
        <v/>
      </c>
    </row>
    <row r="1897" ht="12.75" customHeight="1">
      <c r="A1897" s="244" t="s">
        <v>4158</v>
      </c>
      <c r="B1897" s="244" t="s">
        <v>4161</v>
      </c>
      <c r="C1897" s="244" t="s">
        <v>4812</v>
      </c>
      <c r="D1897" s="154" t="s">
        <v>1315</v>
      </c>
      <c r="E1897" s="250"/>
      <c r="F1897" s="154" t="str">
        <f t="array" ref="F1897">XLOOKUP(Cover!$D$12,$S$1:$AA$1,$S1897:$AA1897)</f>
        <v>Mandatory</v>
      </c>
      <c r="G1897" s="154" t="s">
        <v>4813</v>
      </c>
      <c r="H1897" s="154" t="s">
        <v>353</v>
      </c>
      <c r="I1897" s="154" t="s">
        <v>2155</v>
      </c>
      <c r="J1897" s="247" t="s">
        <v>506</v>
      </c>
      <c r="K1897" s="247" t="s">
        <v>4805</v>
      </c>
      <c r="L1897" s="154" t="str">
        <f t="shared" si="1"/>
        <v/>
      </c>
      <c r="M1897" s="248" t="str">
        <f>IFERROR(__xludf.DUMMYFUNCTION("VLOOKUP(C1897,IMPORTRANGE(""https://docs.google.com/spreadsheets/d/1P8eX0NWBhUPS_hvzA11R6jkTNFrPrRYIx_dX_hYbxrk/edit?resourcekey=0-iw9bsKY2OqkUHCFMkCar3A&amp;gid=2055363397#gid=2055363397"",""MTR!C:O""),11,false)"),"PMW-IMS")</f>
        <v>PMW-IMS</v>
      </c>
      <c r="N1897" s="248" t="str">
        <f>IFERROR(__xludf.DUMMYFUNCTION("VLOOKUP(C1897,IMPORTRANGE(""https://docs.google.com/spreadsheets/d/1ihFlp3_ePlYtFuPbUNbYj1muErVpI73WHXbEwJDIA7Q/edit#gid=1493122344"",""MTR!C:O""),8,false)"),"Does Not Comply")</f>
        <v>Does Not Comply</v>
      </c>
      <c r="O1897" s="248" t="str">
        <f>IFERROR(__xludf.DUMMYFUNCTION("VLOOKUP(C1897,IMPORTRANGE(""https://docs.google.com/spreadsheets/d/1P8eX0NWBhUPS_hvzA11R6jkTNFrPrRYIx_dX_hYbxrk/edit?resourcekey=0-iw9bsKY2OqkUHCFMkCar3A&amp;gid=2055363397#gid=2055363397"",""MTR!C:O""),9,false)"),"The feature will be default supported once SA is enabled")</f>
        <v>The feature will be default supported once SA is enabled</v>
      </c>
      <c r="P1897" s="248"/>
      <c r="Q1897" s="249" t="s">
        <v>516</v>
      </c>
      <c r="R1897" s="249" t="s">
        <v>4805</v>
      </c>
      <c r="S1897" s="154" t="s">
        <v>64</v>
      </c>
      <c r="T1897" s="154" t="s">
        <v>64</v>
      </c>
      <c r="U1897" s="154" t="s">
        <v>60</v>
      </c>
      <c r="V1897" s="154" t="s">
        <v>60</v>
      </c>
      <c r="W1897" s="154" t="s">
        <v>60</v>
      </c>
      <c r="X1897" s="154" t="s">
        <v>60</v>
      </c>
      <c r="Y1897" s="154" t="s">
        <v>64</v>
      </c>
      <c r="Z1897" s="154" t="s">
        <v>64</v>
      </c>
      <c r="AA1897" s="154" t="s">
        <v>64</v>
      </c>
      <c r="AB1897" s="154"/>
      <c r="AC1897" s="242" t="b">
        <f t="shared" si="2"/>
        <v>1</v>
      </c>
      <c r="AD1897" s="154" t="s">
        <v>391</v>
      </c>
      <c r="AE1897" s="243" t="b">
        <f t="shared" si="3"/>
        <v>0</v>
      </c>
      <c r="AF1897" s="154"/>
      <c r="AG1897" s="243" t="b">
        <f t="shared" si="7"/>
        <v>0</v>
      </c>
      <c r="AH1897" s="154"/>
      <c r="AI1897" s="243" t="str">
        <f t="shared" si="5"/>
        <v>N/A</v>
      </c>
      <c r="AJ1897" s="157" t="str">
        <f t="shared" si="6"/>
        <v/>
      </c>
    </row>
    <row r="1898" ht="12.75" customHeight="1">
      <c r="A1898" s="244" t="s">
        <v>4158</v>
      </c>
      <c r="B1898" s="244" t="s">
        <v>4161</v>
      </c>
      <c r="C1898" s="244" t="s">
        <v>4814</v>
      </c>
      <c r="D1898" s="154" t="s">
        <v>1315</v>
      </c>
      <c r="E1898" s="250"/>
      <c r="F1898" s="154" t="str">
        <f t="array" ref="F1898">XLOOKUP(Cover!$D$12,$S$1:$AA$1,$S1898:$AA1898)</f>
        <v>Mandatory</v>
      </c>
      <c r="G1898" s="154" t="s">
        <v>4815</v>
      </c>
      <c r="H1898" s="154" t="s">
        <v>353</v>
      </c>
      <c r="I1898" s="154" t="s">
        <v>2155</v>
      </c>
      <c r="J1898" s="247" t="s">
        <v>506</v>
      </c>
      <c r="K1898" s="247" t="s">
        <v>4805</v>
      </c>
      <c r="L1898" s="154" t="str">
        <f t="shared" si="1"/>
        <v/>
      </c>
      <c r="M1898" s="248" t="str">
        <f>IFERROR(__xludf.DUMMYFUNCTION("VLOOKUP(C1898,IMPORTRANGE(""https://docs.google.com/spreadsheets/d/1P8eX0NWBhUPS_hvzA11R6jkTNFrPrRYIx_dX_hYbxrk/edit?resourcekey=0-iw9bsKY2OqkUHCFMkCar3A&amp;gid=2055363397#gid=2055363397"",""MTR!C:O""),11,false)"),"PMW-IMS")</f>
        <v>PMW-IMS</v>
      </c>
      <c r="N1898" s="248" t="str">
        <f>IFERROR(__xludf.DUMMYFUNCTION("VLOOKUP(C1898,IMPORTRANGE(""https://docs.google.com/spreadsheets/d/1ihFlp3_ePlYtFuPbUNbYj1muErVpI73WHXbEwJDIA7Q/edit#gid=1493122344"",""MTR!C:O""),8,false)"),"Partially Complies")</f>
        <v>Partially Complies</v>
      </c>
      <c r="O1898" s="248" t="str">
        <f>IFERROR(__xludf.DUMMYFUNCTION("VLOOKUP(C1898,IMPORTRANGE(""https://docs.google.com/spreadsheets/d/1P8eX0NWBhUPS_hvzA11R6jkTNFrPrRYIx_dX_hYbxrk/edit?resourcekey=0-iw9bsKY2OqkUHCFMkCar3A&amp;gid=2055363397#gid=2055363397"",""MTR!C:O""),9,false)"),"Compliant by chipset capability.
Requirement complies and set to Partially Complies first as SA/VoNR is disabled for product launch.
")</f>
        <v>Compliant by chipset capability.
Requirement complies and set to Partially Complies first as SA/VoNR is disabled for product launch.
</v>
      </c>
      <c r="P1898" s="248"/>
      <c r="Q1898" s="249" t="s">
        <v>506</v>
      </c>
      <c r="R1898" s="249" t="s">
        <v>4816</v>
      </c>
      <c r="S1898" s="154" t="s">
        <v>64</v>
      </c>
      <c r="T1898" s="154" t="s">
        <v>64</v>
      </c>
      <c r="U1898" s="154" t="s">
        <v>60</v>
      </c>
      <c r="V1898" s="154" t="s">
        <v>60</v>
      </c>
      <c r="W1898" s="154" t="s">
        <v>60</v>
      </c>
      <c r="X1898" s="154" t="s">
        <v>60</v>
      </c>
      <c r="Y1898" s="154" t="s">
        <v>64</v>
      </c>
      <c r="Z1898" s="154" t="s">
        <v>64</v>
      </c>
      <c r="AA1898" s="154" t="s">
        <v>64</v>
      </c>
      <c r="AB1898" s="154"/>
      <c r="AC1898" s="242" t="b">
        <f t="shared" si="2"/>
        <v>1</v>
      </c>
      <c r="AD1898" s="154" t="s">
        <v>391</v>
      </c>
      <c r="AE1898" s="243" t="b">
        <f t="shared" si="3"/>
        <v>0</v>
      </c>
      <c r="AF1898" s="154"/>
      <c r="AG1898" s="243" t="b">
        <f t="shared" si="7"/>
        <v>0</v>
      </c>
      <c r="AH1898" s="154"/>
      <c r="AI1898" s="243" t="str">
        <f t="shared" si="5"/>
        <v>N/A</v>
      </c>
      <c r="AJ1898" s="157" t="str">
        <f t="shared" si="6"/>
        <v/>
      </c>
    </row>
    <row r="1899" ht="12.75" customHeight="1">
      <c r="A1899" s="244" t="s">
        <v>4158</v>
      </c>
      <c r="B1899" s="244" t="s">
        <v>4161</v>
      </c>
      <c r="C1899" s="244" t="s">
        <v>4817</v>
      </c>
      <c r="D1899" s="154" t="s">
        <v>503</v>
      </c>
      <c r="E1899" s="250"/>
      <c r="F1899" s="154" t="str">
        <f t="array" ref="F1899">XLOOKUP(Cover!$D$12,$S$1:$AA$1,$S1899:$AA1899)</f>
        <v>Mandatory</v>
      </c>
      <c r="G1899" s="154" t="s">
        <v>4818</v>
      </c>
      <c r="H1899" s="154" t="s">
        <v>353</v>
      </c>
      <c r="I1899" s="154" t="s">
        <v>2155</v>
      </c>
      <c r="J1899" s="247" t="s">
        <v>506</v>
      </c>
      <c r="K1899" s="247" t="s">
        <v>4816</v>
      </c>
      <c r="L1899" s="154" t="str">
        <f t="shared" si="1"/>
        <v/>
      </c>
      <c r="M1899" s="248" t="str">
        <f>IFERROR(__xludf.DUMMYFUNCTION("VLOOKUP(C1899,IMPORTRANGE(""https://docs.google.com/spreadsheets/d/1P8eX0NWBhUPS_hvzA11R6jkTNFrPrRYIx_dX_hYbxrk/edit?resourcekey=0-iw9bsKY2OqkUHCFMkCar3A&amp;gid=2055363397#gid=2055363397"",""MTR!C:O""),11,false)"),"PMW-NAS")</f>
        <v>PMW-NAS</v>
      </c>
      <c r="N1899" s="248" t="str">
        <f>IFERROR(__xludf.DUMMYFUNCTION("VLOOKUP(C1899,IMPORTRANGE(""https://docs.google.com/spreadsheets/d/1ihFlp3_ePlYtFuPbUNbYj1muErVpI73WHXbEwJDIA7Q/edit#gid=1493122344"",""MTR!C:O""),8,false)"),"Does Not Comply")</f>
        <v>Does Not Comply</v>
      </c>
      <c r="O1899" s="248" t="str">
        <f>IFERROR(__xludf.DUMMYFUNCTION("VLOOKUP(C1899,IMPORTRANGE(""https://docs.google.com/spreadsheets/d/1P8eX0NWBhUPS_hvzA11R6jkTNFrPrRYIx_dX_hYbxrk/edit?resourcekey=0-iw9bsKY2OqkUHCFMkCar3A&amp;gid=2055363397#gid=2055363397"",""MTR!C:O""),9,false)"),"VoNR is not enabled")</f>
        <v>VoNR is not enabled</v>
      </c>
      <c r="P1899" s="248"/>
      <c r="Q1899" s="249" t="s">
        <v>516</v>
      </c>
      <c r="R1899" s="249" t="s">
        <v>4500</v>
      </c>
      <c r="S1899" s="154" t="s">
        <v>64</v>
      </c>
      <c r="T1899" s="154" t="s">
        <v>64</v>
      </c>
      <c r="U1899" s="154" t="s">
        <v>60</v>
      </c>
      <c r="V1899" s="154" t="s">
        <v>60</v>
      </c>
      <c r="W1899" s="154" t="s">
        <v>60</v>
      </c>
      <c r="X1899" s="154" t="s">
        <v>60</v>
      </c>
      <c r="Y1899" s="154" t="s">
        <v>64</v>
      </c>
      <c r="Z1899" s="154" t="s">
        <v>64</v>
      </c>
      <c r="AA1899" s="154" t="s">
        <v>64</v>
      </c>
      <c r="AB1899" s="154"/>
      <c r="AC1899" s="242" t="b">
        <f t="shared" si="2"/>
        <v>1</v>
      </c>
      <c r="AD1899" s="154" t="s">
        <v>391</v>
      </c>
      <c r="AE1899" s="243" t="b">
        <f t="shared" si="3"/>
        <v>0</v>
      </c>
      <c r="AF1899" s="154"/>
      <c r="AG1899" s="243" t="b">
        <f t="shared" si="7"/>
        <v>0</v>
      </c>
      <c r="AH1899" s="154"/>
      <c r="AI1899" s="243" t="str">
        <f t="shared" si="5"/>
        <v>N/A</v>
      </c>
      <c r="AJ1899" s="157" t="str">
        <f t="shared" si="6"/>
        <v/>
      </c>
    </row>
    <row r="1900" ht="12.75" customHeight="1">
      <c r="A1900" s="244" t="s">
        <v>4158</v>
      </c>
      <c r="B1900" s="244" t="s">
        <v>4161</v>
      </c>
      <c r="C1900" s="244" t="s">
        <v>4819</v>
      </c>
      <c r="D1900" s="154" t="s">
        <v>503</v>
      </c>
      <c r="E1900" s="250"/>
      <c r="F1900" s="154" t="str">
        <f t="array" ref="F1900">XLOOKUP(Cover!$D$12,$S$1:$AA$1,$S1900:$AA1900)</f>
        <v>Recommended</v>
      </c>
      <c r="G1900" s="154" t="s">
        <v>4820</v>
      </c>
      <c r="H1900" s="154" t="s">
        <v>353</v>
      </c>
      <c r="I1900" s="154" t="s">
        <v>2155</v>
      </c>
      <c r="J1900" s="247" t="s">
        <v>506</v>
      </c>
      <c r="K1900" s="247" t="s">
        <v>4500</v>
      </c>
      <c r="L1900" s="154" t="str">
        <f t="shared" si="1"/>
        <v/>
      </c>
      <c r="M1900" s="248" t="str">
        <f>IFERROR(__xludf.DUMMYFUNCTION("VLOOKUP(C1900,IMPORTRANGE(""https://docs.google.com/spreadsheets/d/1P8eX0NWBhUPS_hvzA11R6jkTNFrPrRYIx_dX_hYbxrk/edit?resourcekey=0-iw9bsKY2OqkUHCFMkCar3A&amp;gid=2055363397#gid=2055363397"",""MTR!C:O""),11,false)"),"PMW-NAS")</f>
        <v>PMW-NAS</v>
      </c>
      <c r="N1900" s="248" t="str">
        <f>IFERROR(__xludf.DUMMYFUNCTION("VLOOKUP(C1900,IMPORTRANGE(""https://docs.google.com/spreadsheets/d/1ihFlp3_ePlYtFuPbUNbYj1muErVpI73WHXbEwJDIA7Q/edit#gid=1493122344"",""MTR!C:O""),8,false)"),"Does Not Comply")</f>
        <v>Does Not Comply</v>
      </c>
      <c r="O1900" s="248" t="str">
        <f>IFERROR(__xludf.DUMMYFUNCTION("VLOOKUP(C1900,IMPORTRANGE(""https://docs.google.com/spreadsheets/d/1P8eX0NWBhUPS_hvzA11R6jkTNFrPrRYIx_dX_hYbxrk/edit?resourcekey=0-iw9bsKY2OqkUHCFMkCar3A&amp;gid=2055363397#gid=2055363397"",""MTR!C:O""),9,false)"),"VoNR is not enabled")</f>
        <v>VoNR is not enabled</v>
      </c>
      <c r="P1900" s="248"/>
      <c r="Q1900" s="249" t="s">
        <v>516</v>
      </c>
      <c r="R1900" s="249" t="s">
        <v>4500</v>
      </c>
      <c r="S1900" s="154" t="s">
        <v>64</v>
      </c>
      <c r="T1900" s="154" t="s">
        <v>64</v>
      </c>
      <c r="U1900" s="154" t="s">
        <v>64</v>
      </c>
      <c r="V1900" s="154" t="s">
        <v>64</v>
      </c>
      <c r="W1900" s="154" t="s">
        <v>64</v>
      </c>
      <c r="X1900" s="154" t="s">
        <v>64</v>
      </c>
      <c r="Y1900" s="154" t="s">
        <v>64</v>
      </c>
      <c r="Z1900" s="154" t="s">
        <v>64</v>
      </c>
      <c r="AA1900" s="154" t="s">
        <v>64</v>
      </c>
      <c r="AB1900" s="154"/>
      <c r="AC1900" s="242" t="b">
        <f t="shared" si="2"/>
        <v>1</v>
      </c>
      <c r="AD1900" s="154" t="s">
        <v>391</v>
      </c>
      <c r="AE1900" s="243" t="b">
        <f t="shared" si="3"/>
        <v>0</v>
      </c>
      <c r="AF1900" s="154"/>
      <c r="AG1900" s="243" t="b">
        <f t="shared" si="7"/>
        <v>0</v>
      </c>
      <c r="AH1900" s="154"/>
      <c r="AI1900" s="243" t="str">
        <f t="shared" si="5"/>
        <v>N/A</v>
      </c>
      <c r="AJ1900" s="157" t="str">
        <f t="shared" si="6"/>
        <v/>
      </c>
    </row>
    <row r="1901" ht="12.75" customHeight="1">
      <c r="A1901" s="238" t="s">
        <v>4158</v>
      </c>
      <c r="B1901" s="238" t="s">
        <v>4161</v>
      </c>
      <c r="C1901" s="238" t="s">
        <v>4821</v>
      </c>
      <c r="D1901" s="238"/>
      <c r="E1901" s="238"/>
      <c r="F1901" s="154" t="str">
        <f t="array" ref="F1901">XLOOKUP(Cover!$D$12,$S$1:$AA$1,$S1901:$AA1901)</f>
        <v>Heading</v>
      </c>
      <c r="G1901" s="239" t="s">
        <v>4822</v>
      </c>
      <c r="H1901" s="240"/>
      <c r="I1901" s="240" t="s">
        <v>632</v>
      </c>
      <c r="J1901" s="240"/>
      <c r="K1901" s="240"/>
      <c r="L1901" s="154" t="str">
        <f t="shared" si="1"/>
        <v/>
      </c>
      <c r="M1901" s="241" t="str">
        <f>IFERROR(__xludf.DUMMYFUNCTION("VLOOKUP(C1901,IMPORTRANGE(""https://docs.google.com/spreadsheets/d/1P8eX0NWBhUPS_hvzA11R6jkTNFrPrRYIx_dX_hYbxrk/edit?resourcekey=0-iw9bsKY2OqkUHCFMkCar3A&amp;gid=2055363397#gid=2055363397"",""MTR!C:O""),11,false)"),"")</f>
        <v/>
      </c>
      <c r="N1901" s="241" t="str">
        <f>IFERROR(__xludf.DUMMYFUNCTION("VLOOKUP(C1901,IMPORTRANGE(""https://docs.google.com/spreadsheets/d/1ihFlp3_ePlYtFuPbUNbYj1muErVpI73WHXbEwJDIA7Q/edit#gid=1493122344"",""MTR!C:O""),8,false)"),"")</f>
        <v/>
      </c>
      <c r="O1901" s="241" t="str">
        <f>IFERROR(__xludf.DUMMYFUNCTION("VLOOKUP(C1901,IMPORTRANGE(""https://docs.google.com/spreadsheets/d/1P8eX0NWBhUPS_hvzA11R6jkTNFrPrRYIx_dX_hYbxrk/edit?resourcekey=0-iw9bsKY2OqkUHCFMkCar3A&amp;gid=2055363397#gid=2055363397"",""MTR!C:O""),9,false)"),"")</f>
        <v/>
      </c>
      <c r="P1901" s="241"/>
      <c r="Q1901" s="251"/>
      <c r="R1901" s="251"/>
      <c r="S1901" s="240" t="s">
        <v>390</v>
      </c>
      <c r="T1901" s="240" t="s">
        <v>390</v>
      </c>
      <c r="U1901" s="240" t="s">
        <v>390</v>
      </c>
      <c r="V1901" s="240" t="s">
        <v>390</v>
      </c>
      <c r="W1901" s="240" t="s">
        <v>390</v>
      </c>
      <c r="X1901" s="240" t="s">
        <v>390</v>
      </c>
      <c r="Y1901" s="240" t="s">
        <v>390</v>
      </c>
      <c r="Z1901" s="240" t="s">
        <v>390</v>
      </c>
      <c r="AA1901" s="240" t="s">
        <v>390</v>
      </c>
      <c r="AB1901" s="240"/>
      <c r="AC1901" s="242" t="b">
        <f t="shared" si="2"/>
        <v>0</v>
      </c>
      <c r="AD1901" s="240" t="s">
        <v>391</v>
      </c>
      <c r="AE1901" s="243" t="b">
        <f t="shared" si="3"/>
        <v>0</v>
      </c>
      <c r="AF1901" s="240"/>
      <c r="AG1901" s="243" t="b">
        <f t="shared" si="7"/>
        <v>0</v>
      </c>
      <c r="AH1901" s="240"/>
      <c r="AI1901" s="243" t="str">
        <f t="shared" si="5"/>
        <v>N/A</v>
      </c>
      <c r="AJ1901" s="157" t="str">
        <f t="shared" si="6"/>
        <v/>
      </c>
    </row>
    <row r="1902" ht="12.75" customHeight="1">
      <c r="A1902" s="238" t="s">
        <v>4158</v>
      </c>
      <c r="B1902" s="238" t="s">
        <v>4161</v>
      </c>
      <c r="C1902" s="238" t="s">
        <v>4823</v>
      </c>
      <c r="D1902" s="238"/>
      <c r="E1902" s="238"/>
      <c r="F1902" s="154" t="str">
        <f t="array" ref="F1902">XLOOKUP(Cover!$D$12,$S$1:$AA$1,$S1902:$AA1902)</f>
        <v>Heading</v>
      </c>
      <c r="G1902" s="239" t="s">
        <v>4824</v>
      </c>
      <c r="H1902" s="240"/>
      <c r="I1902" s="240" t="s">
        <v>632</v>
      </c>
      <c r="J1902" s="240"/>
      <c r="K1902" s="240"/>
      <c r="L1902" s="154" t="str">
        <f t="shared" si="1"/>
        <v/>
      </c>
      <c r="M1902" s="241" t="str">
        <f>IFERROR(__xludf.DUMMYFUNCTION("VLOOKUP(C1902,IMPORTRANGE(""https://docs.google.com/spreadsheets/d/1P8eX0NWBhUPS_hvzA11R6jkTNFrPrRYIx_dX_hYbxrk/edit?resourcekey=0-iw9bsKY2OqkUHCFMkCar3A&amp;gid=2055363397#gid=2055363397"",""MTR!C:O""),11,false)"),"")</f>
        <v/>
      </c>
      <c r="N1902" s="241" t="str">
        <f>IFERROR(__xludf.DUMMYFUNCTION("VLOOKUP(C1902,IMPORTRANGE(""https://docs.google.com/spreadsheets/d/1ihFlp3_ePlYtFuPbUNbYj1muErVpI73WHXbEwJDIA7Q/edit#gid=1493122344"",""MTR!C:O""),8,false)"),"")</f>
        <v/>
      </c>
      <c r="O1902" s="241" t="str">
        <f>IFERROR(__xludf.DUMMYFUNCTION("VLOOKUP(C1902,IMPORTRANGE(""https://docs.google.com/spreadsheets/d/1P8eX0NWBhUPS_hvzA11R6jkTNFrPrRYIx_dX_hYbxrk/edit?resourcekey=0-iw9bsKY2OqkUHCFMkCar3A&amp;gid=2055363397#gid=2055363397"",""MTR!C:O""),9,false)"),"")</f>
        <v/>
      </c>
      <c r="P1902" s="241"/>
      <c r="Q1902" s="241"/>
      <c r="R1902" s="241"/>
      <c r="S1902" s="240" t="s">
        <v>390</v>
      </c>
      <c r="T1902" s="240" t="s">
        <v>390</v>
      </c>
      <c r="U1902" s="240" t="s">
        <v>390</v>
      </c>
      <c r="V1902" s="240" t="s">
        <v>390</v>
      </c>
      <c r="W1902" s="240" t="s">
        <v>390</v>
      </c>
      <c r="X1902" s="240" t="s">
        <v>390</v>
      </c>
      <c r="Y1902" s="240" t="s">
        <v>390</v>
      </c>
      <c r="Z1902" s="240" t="s">
        <v>390</v>
      </c>
      <c r="AA1902" s="240" t="s">
        <v>390</v>
      </c>
      <c r="AB1902" s="240"/>
      <c r="AC1902" s="242" t="b">
        <f t="shared" si="2"/>
        <v>0</v>
      </c>
      <c r="AD1902" s="240" t="s">
        <v>391</v>
      </c>
      <c r="AE1902" s="243" t="b">
        <f t="shared" si="3"/>
        <v>0</v>
      </c>
      <c r="AF1902" s="240"/>
      <c r="AG1902" s="243" t="b">
        <f t="shared" si="7"/>
        <v>0</v>
      </c>
      <c r="AH1902" s="240"/>
      <c r="AI1902" s="243" t="str">
        <f t="shared" si="5"/>
        <v>N/A</v>
      </c>
      <c r="AJ1902" s="157" t="str">
        <f t="shared" si="6"/>
        <v/>
      </c>
    </row>
    <row r="1903" ht="12.75" customHeight="1">
      <c r="A1903" s="244" t="s">
        <v>4158</v>
      </c>
      <c r="B1903" s="244" t="s">
        <v>4161</v>
      </c>
      <c r="C1903" s="244" t="s">
        <v>4825</v>
      </c>
      <c r="D1903" s="154" t="s">
        <v>1211</v>
      </c>
      <c r="E1903" s="250"/>
      <c r="F1903" s="154" t="str">
        <f t="array" ref="F1903">XLOOKUP(Cover!$D$12,$S$1:$AA$1,$S1903:$AA1903)</f>
        <v>Mandatory</v>
      </c>
      <c r="G1903" s="154" t="s">
        <v>4826</v>
      </c>
      <c r="H1903" s="154" t="s">
        <v>3947</v>
      </c>
      <c r="I1903" s="154" t="s">
        <v>632</v>
      </c>
      <c r="J1903" s="154" t="s">
        <v>445</v>
      </c>
      <c r="K1903" s="154"/>
      <c r="L1903" s="154" t="str">
        <f t="shared" si="1"/>
        <v/>
      </c>
      <c r="M1903" s="248" t="str">
        <f>IFERROR(__xludf.DUMMYFUNCTION("VLOOKUP(C1903,IMPORTRANGE(""https://docs.google.com/spreadsheets/d/1P8eX0NWBhUPS_hvzA11R6jkTNFrPrRYIx_dX_hYbxrk/edit?resourcekey=0-iw9bsKY2OqkUHCFMkCar3A&amp;gid=2055363397#gid=2055363397"",""MTR!C:O""),11,false)"),"PMW-IMS")</f>
        <v>PMW-IMS</v>
      </c>
      <c r="N1903" s="248" t="str">
        <f>IFERROR(__xludf.DUMMYFUNCTION("VLOOKUP(C1903,IMPORTRANGE(""https://docs.google.com/spreadsheets/d/1ihFlp3_ePlYtFuPbUNbYj1muErVpI73WHXbEwJDIA7Q/edit#gid=1493122344"",""MTR!C:O""),8,false)"),"Complies")</f>
        <v>Complies</v>
      </c>
      <c r="O1903" s="241" t="str">
        <f>IFERROR(__xludf.DUMMYFUNCTION("VLOOKUP(C1903,IMPORTRANGE(""https://docs.google.com/spreadsheets/d/1P8eX0NWBhUPS_hvzA11R6jkTNFrPrRYIx_dX_hYbxrk/edit?resourcekey=0-iw9bsKY2OqkUHCFMkCar3A&amp;gid=2055363397#gid=2055363397"",""MTR!C:O""),9,false)"),"")</f>
        <v/>
      </c>
      <c r="P1903" s="241"/>
      <c r="Q1903" s="251" t="s">
        <v>445</v>
      </c>
      <c r="R1903" s="241"/>
      <c r="S1903" s="154" t="s">
        <v>60</v>
      </c>
      <c r="T1903" s="154" t="s">
        <v>60</v>
      </c>
      <c r="U1903" s="154" t="s">
        <v>60</v>
      </c>
      <c r="V1903" s="154" t="s">
        <v>60</v>
      </c>
      <c r="W1903" s="154" t="s">
        <v>60</v>
      </c>
      <c r="X1903" s="154" t="s">
        <v>60</v>
      </c>
      <c r="Y1903" s="154" t="s">
        <v>64</v>
      </c>
      <c r="Z1903" s="154" t="s">
        <v>64</v>
      </c>
      <c r="AA1903" s="154" t="s">
        <v>64</v>
      </c>
      <c r="AB1903" s="154"/>
      <c r="AC1903" s="242" t="b">
        <f t="shared" si="2"/>
        <v>1</v>
      </c>
      <c r="AD1903" s="154" t="s">
        <v>391</v>
      </c>
      <c r="AE1903" s="243" t="b">
        <f t="shared" si="3"/>
        <v>0</v>
      </c>
      <c r="AF1903" s="154"/>
      <c r="AG1903" s="243" t="b">
        <f t="shared" si="7"/>
        <v>0</v>
      </c>
      <c r="AH1903" s="154"/>
      <c r="AI1903" s="243" t="str">
        <f t="shared" si="5"/>
        <v>N/A</v>
      </c>
      <c r="AJ1903" s="157" t="str">
        <f t="shared" si="6"/>
        <v/>
      </c>
    </row>
    <row r="1904" ht="12.75" customHeight="1">
      <c r="A1904" s="244" t="s">
        <v>4158</v>
      </c>
      <c r="B1904" s="244" t="s">
        <v>4161</v>
      </c>
      <c r="C1904" s="244" t="s">
        <v>4827</v>
      </c>
      <c r="D1904" s="154" t="s">
        <v>1211</v>
      </c>
      <c r="E1904" s="250"/>
      <c r="F1904" s="154" t="str">
        <f t="array" ref="F1904">XLOOKUP(Cover!$D$12,$S$1:$AA$1,$S1904:$AA1904)</f>
        <v>Mandatory</v>
      </c>
      <c r="G1904" s="154" t="s">
        <v>4828</v>
      </c>
      <c r="H1904" s="154" t="s">
        <v>3947</v>
      </c>
      <c r="I1904" s="154" t="s">
        <v>632</v>
      </c>
      <c r="J1904" s="247" t="s">
        <v>445</v>
      </c>
      <c r="K1904" s="154"/>
      <c r="L1904" s="154" t="str">
        <f t="shared" si="1"/>
        <v/>
      </c>
      <c r="M1904" s="248" t="str">
        <f>IFERROR(__xludf.DUMMYFUNCTION("VLOOKUP(C1904,IMPORTRANGE(""https://docs.google.com/spreadsheets/d/1P8eX0NWBhUPS_hvzA11R6jkTNFrPrRYIx_dX_hYbxrk/edit?resourcekey=0-iw9bsKY2OqkUHCFMkCar3A&amp;gid=2055363397#gid=2055363397"",""MTR!C:O""),11,false)"),"PMW-IMS")</f>
        <v>PMW-IMS</v>
      </c>
      <c r="N1904" s="248" t="str">
        <f>IFERROR(__xludf.DUMMYFUNCTION("VLOOKUP(C1904,IMPORTRANGE(""https://docs.google.com/spreadsheets/d/1ihFlp3_ePlYtFuPbUNbYj1muErVpI73WHXbEwJDIA7Q/edit#gid=1493122344"",""MTR!C:O""),8,false)"),"Complies")</f>
        <v>Complies</v>
      </c>
      <c r="O1904" s="241" t="str">
        <f>IFERROR(__xludf.DUMMYFUNCTION("VLOOKUP(C1904,IMPORTRANGE(""https://docs.google.com/spreadsheets/d/1P8eX0NWBhUPS_hvzA11R6jkTNFrPrRYIx_dX_hYbxrk/edit?resourcekey=0-iw9bsKY2OqkUHCFMkCar3A&amp;gid=2055363397#gid=2055363397"",""MTR!C:O""),9,false)"),"")</f>
        <v/>
      </c>
      <c r="P1904" s="241"/>
      <c r="Q1904" s="251" t="s">
        <v>445</v>
      </c>
      <c r="R1904" s="241"/>
      <c r="S1904" s="154" t="s">
        <v>60</v>
      </c>
      <c r="T1904" s="154" t="s">
        <v>60</v>
      </c>
      <c r="U1904" s="154" t="s">
        <v>60</v>
      </c>
      <c r="V1904" s="154" t="s">
        <v>60</v>
      </c>
      <c r="W1904" s="154" t="s">
        <v>60</v>
      </c>
      <c r="X1904" s="154" t="s">
        <v>60</v>
      </c>
      <c r="Y1904" s="154" t="s">
        <v>64</v>
      </c>
      <c r="Z1904" s="154" t="s">
        <v>64</v>
      </c>
      <c r="AA1904" s="154" t="s">
        <v>64</v>
      </c>
      <c r="AB1904" s="154"/>
      <c r="AC1904" s="242" t="b">
        <f t="shared" si="2"/>
        <v>1</v>
      </c>
      <c r="AD1904" s="154" t="s">
        <v>391</v>
      </c>
      <c r="AE1904" s="243" t="b">
        <f t="shared" si="3"/>
        <v>0</v>
      </c>
      <c r="AF1904" s="154"/>
      <c r="AG1904" s="243" t="b">
        <f t="shared" si="7"/>
        <v>0</v>
      </c>
      <c r="AH1904" s="154"/>
      <c r="AI1904" s="243" t="str">
        <f t="shared" si="5"/>
        <v>N/A</v>
      </c>
      <c r="AJ1904" s="157" t="str">
        <f t="shared" si="6"/>
        <v/>
      </c>
    </row>
    <row r="1905" ht="12.75" customHeight="1">
      <c r="A1905" s="244" t="s">
        <v>4158</v>
      </c>
      <c r="B1905" s="244" t="s">
        <v>4161</v>
      </c>
      <c r="C1905" s="244" t="s">
        <v>4829</v>
      </c>
      <c r="D1905" s="154" t="s">
        <v>1211</v>
      </c>
      <c r="E1905" s="250"/>
      <c r="F1905" s="154" t="str">
        <f t="array" ref="F1905">XLOOKUP(Cover!$D$12,$S$1:$AA$1,$S1905:$AA1905)</f>
        <v>Mandatory</v>
      </c>
      <c r="G1905" s="154" t="s">
        <v>4830</v>
      </c>
      <c r="H1905" s="154" t="s">
        <v>3947</v>
      </c>
      <c r="I1905" s="154" t="s">
        <v>632</v>
      </c>
      <c r="J1905" s="247" t="s">
        <v>445</v>
      </c>
      <c r="K1905" s="154"/>
      <c r="L1905" s="154" t="str">
        <f t="shared" si="1"/>
        <v/>
      </c>
      <c r="M1905" s="248" t="str">
        <f>IFERROR(__xludf.DUMMYFUNCTION("VLOOKUP(C1905,IMPORTRANGE(""https://docs.google.com/spreadsheets/d/1P8eX0NWBhUPS_hvzA11R6jkTNFrPrRYIx_dX_hYbxrk/edit?resourcekey=0-iw9bsKY2OqkUHCFMkCar3A&amp;gid=2055363397#gid=2055363397"",""MTR!C:O""),11,false)"),"PMW-IMS")</f>
        <v>PMW-IMS</v>
      </c>
      <c r="N1905" s="248" t="str">
        <f>IFERROR(__xludf.DUMMYFUNCTION("VLOOKUP(C1905,IMPORTRANGE(""https://docs.google.com/spreadsheets/d/1ihFlp3_ePlYtFuPbUNbYj1muErVpI73WHXbEwJDIA7Q/edit#gid=1493122344"",""MTR!C:O""),8,false)"),"Complies")</f>
        <v>Complies</v>
      </c>
      <c r="O1905" s="241" t="str">
        <f>IFERROR(__xludf.DUMMYFUNCTION("VLOOKUP(C1905,IMPORTRANGE(""https://docs.google.com/spreadsheets/d/1P8eX0NWBhUPS_hvzA11R6jkTNFrPrRYIx_dX_hYbxrk/edit?resourcekey=0-iw9bsKY2OqkUHCFMkCar3A&amp;gid=2055363397#gid=2055363397"",""MTR!C:O""),9,false)"),"")</f>
        <v/>
      </c>
      <c r="P1905" s="241"/>
      <c r="Q1905" s="251" t="s">
        <v>445</v>
      </c>
      <c r="R1905" s="241"/>
      <c r="S1905" s="154" t="s">
        <v>60</v>
      </c>
      <c r="T1905" s="154" t="s">
        <v>60</v>
      </c>
      <c r="U1905" s="154" t="s">
        <v>60</v>
      </c>
      <c r="V1905" s="154" t="s">
        <v>60</v>
      </c>
      <c r="W1905" s="154" t="s">
        <v>60</v>
      </c>
      <c r="X1905" s="154" t="s">
        <v>60</v>
      </c>
      <c r="Y1905" s="154" t="s">
        <v>64</v>
      </c>
      <c r="Z1905" s="154" t="s">
        <v>64</v>
      </c>
      <c r="AA1905" s="154" t="s">
        <v>64</v>
      </c>
      <c r="AB1905" s="154"/>
      <c r="AC1905" s="242" t="b">
        <f t="shared" si="2"/>
        <v>1</v>
      </c>
      <c r="AD1905" s="154" t="s">
        <v>391</v>
      </c>
      <c r="AE1905" s="243" t="b">
        <f t="shared" si="3"/>
        <v>0</v>
      </c>
      <c r="AF1905" s="154"/>
      <c r="AG1905" s="243" t="b">
        <f t="shared" si="7"/>
        <v>0</v>
      </c>
      <c r="AH1905" s="154"/>
      <c r="AI1905" s="243" t="str">
        <f t="shared" si="5"/>
        <v>N/A</v>
      </c>
      <c r="AJ1905" s="157" t="str">
        <f t="shared" si="6"/>
        <v/>
      </c>
    </row>
    <row r="1906" ht="12.75" customHeight="1">
      <c r="A1906" s="244" t="s">
        <v>4158</v>
      </c>
      <c r="B1906" s="244" t="s">
        <v>4161</v>
      </c>
      <c r="C1906" s="244" t="s">
        <v>4831</v>
      </c>
      <c r="D1906" s="154" t="s">
        <v>967</v>
      </c>
      <c r="E1906" s="250"/>
      <c r="F1906" s="154" t="str">
        <f t="array" ref="F1906">XLOOKUP(Cover!$D$12,$S$1:$AA$1,$S1906:$AA1906)</f>
        <v>Mandatory</v>
      </c>
      <c r="G1906" s="154" t="s">
        <v>4832</v>
      </c>
      <c r="H1906" s="154" t="s">
        <v>3947</v>
      </c>
      <c r="I1906" s="154" t="s">
        <v>632</v>
      </c>
      <c r="J1906" s="247" t="s">
        <v>445</v>
      </c>
      <c r="K1906" s="154"/>
      <c r="L1906" s="154" t="str">
        <f t="shared" si="1"/>
        <v/>
      </c>
      <c r="M1906" s="248" t="str">
        <f>IFERROR(__xludf.DUMMYFUNCTION("VLOOKUP(C1906,IMPORTRANGE(""https://docs.google.com/spreadsheets/d/1P8eX0NWBhUPS_hvzA11R6jkTNFrPrRYIx_dX_hYbxrk/edit?resourcekey=0-iw9bsKY2OqkUHCFMkCar3A&amp;gid=2055363397#gid=2055363397"",""MTR!C:O""),11,false)"),"PMW-IMS")</f>
        <v>PMW-IMS</v>
      </c>
      <c r="N1906" s="248" t="str">
        <f>IFERROR(__xludf.DUMMYFUNCTION("VLOOKUP(C1906,IMPORTRANGE(""https://docs.google.com/spreadsheets/d/1ihFlp3_ePlYtFuPbUNbYj1muErVpI73WHXbEwJDIA7Q/edit#gid=1493122344"",""MTR!C:O""),8,false)"),"Complies")</f>
        <v>Complies</v>
      </c>
      <c r="O1906" s="241" t="str">
        <f>IFERROR(__xludf.DUMMYFUNCTION("VLOOKUP(C1906,IMPORTRANGE(""https://docs.google.com/spreadsheets/d/1P8eX0NWBhUPS_hvzA11R6jkTNFrPrRYIx_dX_hYbxrk/edit?resourcekey=0-iw9bsKY2OqkUHCFMkCar3A&amp;gid=2055363397#gid=2055363397"",""MTR!C:O""),9,false)"),"")</f>
        <v/>
      </c>
      <c r="P1906" s="241"/>
      <c r="Q1906" s="251" t="s">
        <v>445</v>
      </c>
      <c r="R1906" s="241"/>
      <c r="S1906" s="154" t="s">
        <v>60</v>
      </c>
      <c r="T1906" s="154" t="s">
        <v>60</v>
      </c>
      <c r="U1906" s="154" t="s">
        <v>60</v>
      </c>
      <c r="V1906" s="154" t="s">
        <v>60</v>
      </c>
      <c r="W1906" s="154" t="s">
        <v>60</v>
      </c>
      <c r="X1906" s="154" t="s">
        <v>60</v>
      </c>
      <c r="Y1906" s="154" t="s">
        <v>64</v>
      </c>
      <c r="Z1906" s="154" t="s">
        <v>64</v>
      </c>
      <c r="AA1906" s="154" t="s">
        <v>64</v>
      </c>
      <c r="AB1906" s="154"/>
      <c r="AC1906" s="242" t="b">
        <f t="shared" si="2"/>
        <v>1</v>
      </c>
      <c r="AD1906" s="154" t="s">
        <v>391</v>
      </c>
      <c r="AE1906" s="243" t="b">
        <f t="shared" si="3"/>
        <v>0</v>
      </c>
      <c r="AF1906" s="154"/>
      <c r="AG1906" s="243" t="b">
        <f t="shared" si="7"/>
        <v>0</v>
      </c>
      <c r="AH1906" s="154"/>
      <c r="AI1906" s="243" t="str">
        <f t="shared" si="5"/>
        <v>N/A</v>
      </c>
      <c r="AJ1906" s="157" t="str">
        <f t="shared" si="6"/>
        <v/>
      </c>
    </row>
    <row r="1907" ht="12.75" customHeight="1">
      <c r="A1907" s="238" t="s">
        <v>4158</v>
      </c>
      <c r="B1907" s="238" t="s">
        <v>4161</v>
      </c>
      <c r="C1907" s="238" t="s">
        <v>4833</v>
      </c>
      <c r="D1907" s="238"/>
      <c r="E1907" s="238"/>
      <c r="F1907" s="154" t="str">
        <f t="array" ref="F1907">XLOOKUP(Cover!$D$12,$S$1:$AA$1,$S1907:$AA1907)</f>
        <v>Heading</v>
      </c>
      <c r="G1907" s="239" t="s">
        <v>4834</v>
      </c>
      <c r="H1907" s="240"/>
      <c r="I1907" s="240" t="s">
        <v>632</v>
      </c>
      <c r="J1907" s="240"/>
      <c r="K1907" s="240"/>
      <c r="L1907" s="154" t="str">
        <f t="shared" si="1"/>
        <v/>
      </c>
      <c r="M1907" s="241" t="str">
        <f>IFERROR(__xludf.DUMMYFUNCTION("VLOOKUP(C1907,IMPORTRANGE(""https://docs.google.com/spreadsheets/d/1P8eX0NWBhUPS_hvzA11R6jkTNFrPrRYIx_dX_hYbxrk/edit?resourcekey=0-iw9bsKY2OqkUHCFMkCar3A&amp;gid=2055363397#gid=2055363397"",""MTR!C:O""),11,false)"),"")</f>
        <v/>
      </c>
      <c r="N1907" s="241" t="str">
        <f>IFERROR(__xludf.DUMMYFUNCTION("VLOOKUP(C1907,IMPORTRANGE(""https://docs.google.com/spreadsheets/d/1ihFlp3_ePlYtFuPbUNbYj1muErVpI73WHXbEwJDIA7Q/edit#gid=1493122344"",""MTR!C:O""),8,false)"),"")</f>
        <v/>
      </c>
      <c r="O1907" s="241" t="str">
        <f>IFERROR(__xludf.DUMMYFUNCTION("VLOOKUP(C1907,IMPORTRANGE(""https://docs.google.com/spreadsheets/d/1P8eX0NWBhUPS_hvzA11R6jkTNFrPrRYIx_dX_hYbxrk/edit?resourcekey=0-iw9bsKY2OqkUHCFMkCar3A&amp;gid=2055363397#gid=2055363397"",""MTR!C:O""),9,false)"),"")</f>
        <v/>
      </c>
      <c r="P1907" s="241"/>
      <c r="Q1907" s="251"/>
      <c r="R1907" s="241"/>
      <c r="S1907" s="240" t="s">
        <v>390</v>
      </c>
      <c r="T1907" s="240" t="s">
        <v>390</v>
      </c>
      <c r="U1907" s="240" t="s">
        <v>390</v>
      </c>
      <c r="V1907" s="240" t="s">
        <v>390</v>
      </c>
      <c r="W1907" s="240" t="s">
        <v>390</v>
      </c>
      <c r="X1907" s="240" t="s">
        <v>390</v>
      </c>
      <c r="Y1907" s="240" t="s">
        <v>390</v>
      </c>
      <c r="Z1907" s="240" t="s">
        <v>390</v>
      </c>
      <c r="AA1907" s="240" t="s">
        <v>390</v>
      </c>
      <c r="AB1907" s="240"/>
      <c r="AC1907" s="242" t="b">
        <f t="shared" si="2"/>
        <v>0</v>
      </c>
      <c r="AD1907" s="240" t="s">
        <v>391</v>
      </c>
      <c r="AE1907" s="243" t="b">
        <f t="shared" si="3"/>
        <v>0</v>
      </c>
      <c r="AF1907" s="240"/>
      <c r="AG1907" s="243" t="b">
        <f t="shared" si="7"/>
        <v>0</v>
      </c>
      <c r="AH1907" s="240"/>
      <c r="AI1907" s="243" t="str">
        <f t="shared" si="5"/>
        <v>N/A</v>
      </c>
      <c r="AJ1907" s="157" t="str">
        <f t="shared" si="6"/>
        <v/>
      </c>
    </row>
    <row r="1908" ht="12.75" customHeight="1">
      <c r="A1908" s="244" t="s">
        <v>4158</v>
      </c>
      <c r="B1908" s="244" t="s">
        <v>4161</v>
      </c>
      <c r="C1908" s="244" t="s">
        <v>4835</v>
      </c>
      <c r="D1908" s="154" t="s">
        <v>1211</v>
      </c>
      <c r="E1908" s="250"/>
      <c r="F1908" s="154" t="str">
        <f t="array" ref="F1908">XLOOKUP(Cover!$D$12,$S$1:$AA$1,$S1908:$AA1908)</f>
        <v>Mandatory</v>
      </c>
      <c r="G1908" s="154" t="s">
        <v>4836</v>
      </c>
      <c r="H1908" s="154" t="s">
        <v>347</v>
      </c>
      <c r="I1908" s="154" t="s">
        <v>632</v>
      </c>
      <c r="J1908" s="154" t="s">
        <v>445</v>
      </c>
      <c r="K1908" s="154"/>
      <c r="L1908" s="154" t="str">
        <f t="shared" si="1"/>
        <v/>
      </c>
      <c r="M1908" s="248" t="str">
        <f>IFERROR(__xludf.DUMMYFUNCTION("VLOOKUP(C1908,IMPORTRANGE(""https://docs.google.com/spreadsheets/d/1P8eX0NWBhUPS_hvzA11R6jkTNFrPrRYIx_dX_hYbxrk/edit?resourcekey=0-iw9bsKY2OqkUHCFMkCar3A&amp;gid=2055363397#gid=2055363397"",""MTR!C:O""),11,false)"),"PMW-IMS")</f>
        <v>PMW-IMS</v>
      </c>
      <c r="N1908" s="248" t="str">
        <f>IFERROR(__xludf.DUMMYFUNCTION("VLOOKUP(C1908,IMPORTRANGE(""https://docs.google.com/spreadsheets/d/1ihFlp3_ePlYtFuPbUNbYj1muErVpI73WHXbEwJDIA7Q/edit#gid=1493122344"",""MTR!C:O""),8,false)"),"Complies")</f>
        <v>Complies</v>
      </c>
      <c r="O1908" s="241" t="str">
        <f>IFERROR(__xludf.DUMMYFUNCTION("VLOOKUP(C1908,IMPORTRANGE(""https://docs.google.com/spreadsheets/d/1P8eX0NWBhUPS_hvzA11R6jkTNFrPrRYIx_dX_hYbxrk/edit?resourcekey=0-iw9bsKY2OqkUHCFMkCar3A&amp;gid=2055363397#gid=2055363397"",""MTR!C:O""),9,false)"),"")</f>
        <v/>
      </c>
      <c r="P1908" s="241"/>
      <c r="Q1908" s="251" t="s">
        <v>445</v>
      </c>
      <c r="R1908" s="241"/>
      <c r="S1908" s="154" t="s">
        <v>60</v>
      </c>
      <c r="T1908" s="154" t="s">
        <v>60</v>
      </c>
      <c r="U1908" s="154" t="s">
        <v>60</v>
      </c>
      <c r="V1908" s="154" t="s">
        <v>60</v>
      </c>
      <c r="W1908" s="154" t="s">
        <v>60</v>
      </c>
      <c r="X1908" s="154" t="s">
        <v>60</v>
      </c>
      <c r="Y1908" s="154" t="s">
        <v>64</v>
      </c>
      <c r="Z1908" s="154" t="s">
        <v>64</v>
      </c>
      <c r="AA1908" s="154" t="s">
        <v>64</v>
      </c>
      <c r="AB1908" s="154"/>
      <c r="AC1908" s="242" t="b">
        <f t="shared" si="2"/>
        <v>1</v>
      </c>
      <c r="AD1908" s="154" t="s">
        <v>391</v>
      </c>
      <c r="AE1908" s="243" t="b">
        <f t="shared" si="3"/>
        <v>0</v>
      </c>
      <c r="AF1908" s="154"/>
      <c r="AG1908" s="243" t="b">
        <f t="shared" si="7"/>
        <v>0</v>
      </c>
      <c r="AH1908" s="154"/>
      <c r="AI1908" s="243" t="str">
        <f t="shared" si="5"/>
        <v>N/A</v>
      </c>
      <c r="AJ1908" s="157" t="str">
        <f t="shared" si="6"/>
        <v/>
      </c>
    </row>
    <row r="1909" ht="12.75" customHeight="1">
      <c r="A1909" s="244" t="s">
        <v>4158</v>
      </c>
      <c r="B1909" s="244" t="s">
        <v>4161</v>
      </c>
      <c r="C1909" s="244" t="s">
        <v>4837</v>
      </c>
      <c r="D1909" s="154" t="s">
        <v>1211</v>
      </c>
      <c r="E1909" s="250"/>
      <c r="F1909" s="154" t="str">
        <f t="array" ref="F1909">XLOOKUP(Cover!$D$12,$S$1:$AA$1,$S1909:$AA1909)</f>
        <v>Mandatory</v>
      </c>
      <c r="G1909" s="154" t="s">
        <v>4838</v>
      </c>
      <c r="H1909" s="154" t="s">
        <v>347</v>
      </c>
      <c r="I1909" s="154" t="s">
        <v>632</v>
      </c>
      <c r="J1909" s="247" t="s">
        <v>445</v>
      </c>
      <c r="K1909" s="154"/>
      <c r="L1909" s="154" t="str">
        <f t="shared" si="1"/>
        <v/>
      </c>
      <c r="M1909" s="248" t="str">
        <f>IFERROR(__xludf.DUMMYFUNCTION("VLOOKUP(C1909,IMPORTRANGE(""https://docs.google.com/spreadsheets/d/1P8eX0NWBhUPS_hvzA11R6jkTNFrPrRYIx_dX_hYbxrk/edit?resourcekey=0-iw9bsKY2OqkUHCFMkCar3A&amp;gid=2055363397#gid=2055363397"",""MTR!C:O""),11,false)"),"PMW-IMS")</f>
        <v>PMW-IMS</v>
      </c>
      <c r="N1909" s="248" t="str">
        <f>IFERROR(__xludf.DUMMYFUNCTION("VLOOKUP(C1909,IMPORTRANGE(""https://docs.google.com/spreadsheets/d/1ihFlp3_ePlYtFuPbUNbYj1muErVpI73WHXbEwJDIA7Q/edit#gid=1493122344"",""MTR!C:O""),8,false)"),"Complies")</f>
        <v>Complies</v>
      </c>
      <c r="O1909" s="241" t="str">
        <f>IFERROR(__xludf.DUMMYFUNCTION("VLOOKUP(C1909,IMPORTRANGE(""https://docs.google.com/spreadsheets/d/1P8eX0NWBhUPS_hvzA11R6jkTNFrPrRYIx_dX_hYbxrk/edit?resourcekey=0-iw9bsKY2OqkUHCFMkCar3A&amp;gid=2055363397#gid=2055363397"",""MTR!C:O""),9,false)"),"")</f>
        <v/>
      </c>
      <c r="P1909" s="241"/>
      <c r="Q1909" s="251" t="s">
        <v>445</v>
      </c>
      <c r="R1909" s="241"/>
      <c r="S1909" s="154" t="s">
        <v>60</v>
      </c>
      <c r="T1909" s="154" t="s">
        <v>60</v>
      </c>
      <c r="U1909" s="154" t="s">
        <v>60</v>
      </c>
      <c r="V1909" s="154" t="s">
        <v>60</v>
      </c>
      <c r="W1909" s="154" t="s">
        <v>60</v>
      </c>
      <c r="X1909" s="154" t="s">
        <v>60</v>
      </c>
      <c r="Y1909" s="154" t="s">
        <v>64</v>
      </c>
      <c r="Z1909" s="154" t="s">
        <v>64</v>
      </c>
      <c r="AA1909" s="154" t="s">
        <v>64</v>
      </c>
      <c r="AB1909" s="154"/>
      <c r="AC1909" s="242" t="b">
        <f t="shared" si="2"/>
        <v>1</v>
      </c>
      <c r="AD1909" s="154" t="s">
        <v>391</v>
      </c>
      <c r="AE1909" s="243" t="b">
        <f t="shared" si="3"/>
        <v>0</v>
      </c>
      <c r="AF1909" s="154"/>
      <c r="AG1909" s="243" t="b">
        <f t="shared" si="7"/>
        <v>0</v>
      </c>
      <c r="AH1909" s="154"/>
      <c r="AI1909" s="243" t="str">
        <f t="shared" si="5"/>
        <v>N/A</v>
      </c>
      <c r="AJ1909" s="157" t="str">
        <f t="shared" si="6"/>
        <v/>
      </c>
    </row>
    <row r="1910" ht="12.75" customHeight="1">
      <c r="A1910" s="244" t="s">
        <v>4158</v>
      </c>
      <c r="B1910" s="244" t="s">
        <v>4161</v>
      </c>
      <c r="C1910" s="244" t="s">
        <v>4839</v>
      </c>
      <c r="D1910" s="154" t="s">
        <v>1211</v>
      </c>
      <c r="E1910" s="250"/>
      <c r="F1910" s="154" t="str">
        <f t="array" ref="F1910">XLOOKUP(Cover!$D$12,$S$1:$AA$1,$S1910:$AA1910)</f>
        <v>Mandatory</v>
      </c>
      <c r="G1910" s="154" t="s">
        <v>4840</v>
      </c>
      <c r="H1910" s="154" t="s">
        <v>347</v>
      </c>
      <c r="I1910" s="154" t="s">
        <v>632</v>
      </c>
      <c r="J1910" s="247" t="s">
        <v>445</v>
      </c>
      <c r="K1910" s="154"/>
      <c r="L1910" s="154" t="str">
        <f t="shared" si="1"/>
        <v/>
      </c>
      <c r="M1910" s="248" t="str">
        <f>IFERROR(__xludf.DUMMYFUNCTION("VLOOKUP(C1910,IMPORTRANGE(""https://docs.google.com/spreadsheets/d/1P8eX0NWBhUPS_hvzA11R6jkTNFrPrRYIx_dX_hYbxrk/edit?resourcekey=0-iw9bsKY2OqkUHCFMkCar3A&amp;gid=2055363397#gid=2055363397"",""MTR!C:O""),11,false)"),"PMW-IMS")</f>
        <v>PMW-IMS</v>
      </c>
      <c r="N1910" s="248" t="str">
        <f>IFERROR(__xludf.DUMMYFUNCTION("VLOOKUP(C1910,IMPORTRANGE(""https://docs.google.com/spreadsheets/d/1ihFlp3_ePlYtFuPbUNbYj1muErVpI73WHXbEwJDIA7Q/edit#gid=1493122344"",""MTR!C:O""),8,false)"),"Complies")</f>
        <v>Complies</v>
      </c>
      <c r="O1910" s="241" t="str">
        <f>IFERROR(__xludf.DUMMYFUNCTION("VLOOKUP(C1910,IMPORTRANGE(""https://docs.google.com/spreadsheets/d/1P8eX0NWBhUPS_hvzA11R6jkTNFrPrRYIx_dX_hYbxrk/edit?resourcekey=0-iw9bsKY2OqkUHCFMkCar3A&amp;gid=2055363397#gid=2055363397"",""MTR!C:O""),9,false)"),"")</f>
        <v/>
      </c>
      <c r="P1910" s="241"/>
      <c r="Q1910" s="251" t="s">
        <v>445</v>
      </c>
      <c r="R1910" s="241"/>
      <c r="S1910" s="154" t="s">
        <v>60</v>
      </c>
      <c r="T1910" s="154" t="s">
        <v>60</v>
      </c>
      <c r="U1910" s="154" t="s">
        <v>60</v>
      </c>
      <c r="V1910" s="154" t="s">
        <v>60</v>
      </c>
      <c r="W1910" s="154" t="s">
        <v>60</v>
      </c>
      <c r="X1910" s="154" t="s">
        <v>60</v>
      </c>
      <c r="Y1910" s="154" t="s">
        <v>64</v>
      </c>
      <c r="Z1910" s="154" t="s">
        <v>64</v>
      </c>
      <c r="AA1910" s="154" t="s">
        <v>64</v>
      </c>
      <c r="AB1910" s="154"/>
      <c r="AC1910" s="242" t="b">
        <f t="shared" si="2"/>
        <v>1</v>
      </c>
      <c r="AD1910" s="154" t="s">
        <v>391</v>
      </c>
      <c r="AE1910" s="243" t="b">
        <f t="shared" si="3"/>
        <v>0</v>
      </c>
      <c r="AF1910" s="154"/>
      <c r="AG1910" s="243" t="b">
        <f t="shared" si="7"/>
        <v>0</v>
      </c>
      <c r="AH1910" s="154"/>
      <c r="AI1910" s="243" t="str">
        <f t="shared" si="5"/>
        <v>N/A</v>
      </c>
      <c r="AJ1910" s="157" t="str">
        <f t="shared" si="6"/>
        <v/>
      </c>
    </row>
    <row r="1911" ht="12.75" customHeight="1">
      <c r="A1911" s="244" t="s">
        <v>4158</v>
      </c>
      <c r="B1911" s="244" t="s">
        <v>4161</v>
      </c>
      <c r="C1911" s="244" t="s">
        <v>4841</v>
      </c>
      <c r="D1911" s="154" t="s">
        <v>649</v>
      </c>
      <c r="E1911" s="250"/>
      <c r="F1911" s="154" t="str">
        <f t="array" ref="F1911">XLOOKUP(Cover!$D$12,$S$1:$AA$1,$S1911:$AA1911)</f>
        <v>Mandatory</v>
      </c>
      <c r="G1911" s="154" t="s">
        <v>4842</v>
      </c>
      <c r="H1911" s="154" t="s">
        <v>347</v>
      </c>
      <c r="I1911" s="154" t="s">
        <v>632</v>
      </c>
      <c r="J1911" s="247" t="s">
        <v>445</v>
      </c>
      <c r="K1911" s="154"/>
      <c r="L1911" s="154" t="str">
        <f t="shared" si="1"/>
        <v/>
      </c>
      <c r="M1911" s="248" t="str">
        <f>IFERROR(__xludf.DUMMYFUNCTION("VLOOKUP(C1911,IMPORTRANGE(""https://docs.google.com/spreadsheets/d/1P8eX0NWBhUPS_hvzA11R6jkTNFrPrRYIx_dX_hYbxrk/edit?resourcekey=0-iw9bsKY2OqkUHCFMkCar3A&amp;gid=2055363397#gid=2055363397"",""MTR!C:O""),11,false)"),"PMW-IMS")</f>
        <v>PMW-IMS</v>
      </c>
      <c r="N1911" s="248" t="str">
        <f>IFERROR(__xludf.DUMMYFUNCTION("VLOOKUP(C1911,IMPORTRANGE(""https://docs.google.com/spreadsheets/d/1ihFlp3_ePlYtFuPbUNbYj1muErVpI73WHXbEwJDIA7Q/edit#gid=1493122344"",""MTR!C:O""),8,false)"),"Complies")</f>
        <v>Complies</v>
      </c>
      <c r="O1911" s="241" t="str">
        <f>IFERROR(__xludf.DUMMYFUNCTION("VLOOKUP(C1911,IMPORTRANGE(""https://docs.google.com/spreadsheets/d/1P8eX0NWBhUPS_hvzA11R6jkTNFrPrRYIx_dX_hYbxrk/edit?resourcekey=0-iw9bsKY2OqkUHCFMkCar3A&amp;gid=2055363397#gid=2055363397"",""MTR!C:O""),9,false)"),"")</f>
        <v/>
      </c>
      <c r="P1911" s="241"/>
      <c r="Q1911" s="251" t="s">
        <v>445</v>
      </c>
      <c r="R1911" s="241"/>
      <c r="S1911" s="154" t="s">
        <v>60</v>
      </c>
      <c r="T1911" s="154" t="s">
        <v>60</v>
      </c>
      <c r="U1911" s="154" t="s">
        <v>60</v>
      </c>
      <c r="V1911" s="154" t="s">
        <v>60</v>
      </c>
      <c r="W1911" s="154" t="s">
        <v>60</v>
      </c>
      <c r="X1911" s="154" t="s">
        <v>60</v>
      </c>
      <c r="Y1911" s="154" t="s">
        <v>64</v>
      </c>
      <c r="Z1911" s="154" t="s">
        <v>64</v>
      </c>
      <c r="AA1911" s="154" t="s">
        <v>64</v>
      </c>
      <c r="AB1911" s="154"/>
      <c r="AC1911" s="242" t="b">
        <f t="shared" si="2"/>
        <v>1</v>
      </c>
      <c r="AD1911" s="154" t="s">
        <v>391</v>
      </c>
      <c r="AE1911" s="243" t="b">
        <f t="shared" si="3"/>
        <v>0</v>
      </c>
      <c r="AF1911" s="154"/>
      <c r="AG1911" s="243" t="b">
        <f t="shared" si="7"/>
        <v>0</v>
      </c>
      <c r="AH1911" s="154"/>
      <c r="AI1911" s="243" t="str">
        <f t="shared" si="5"/>
        <v>N/A</v>
      </c>
      <c r="AJ1911" s="157" t="str">
        <f t="shared" si="6"/>
        <v/>
      </c>
    </row>
    <row r="1912" ht="12.75" customHeight="1">
      <c r="A1912" s="244" t="s">
        <v>4158</v>
      </c>
      <c r="B1912" s="244" t="s">
        <v>4161</v>
      </c>
      <c r="C1912" s="244" t="s">
        <v>4843</v>
      </c>
      <c r="D1912" s="154" t="s">
        <v>581</v>
      </c>
      <c r="E1912" s="250"/>
      <c r="F1912" s="154" t="str">
        <f t="array" ref="F1912">XLOOKUP(Cover!$D$12,$S$1:$AA$1,$S1912:$AA1912)</f>
        <v>Mandatory</v>
      </c>
      <c r="G1912" s="154" t="s">
        <v>4844</v>
      </c>
      <c r="H1912" s="154" t="s">
        <v>347</v>
      </c>
      <c r="I1912" s="154" t="s">
        <v>632</v>
      </c>
      <c r="J1912" s="247" t="s">
        <v>445</v>
      </c>
      <c r="K1912" s="154"/>
      <c r="L1912" s="154" t="str">
        <f t="shared" si="1"/>
        <v/>
      </c>
      <c r="M1912" s="248" t="str">
        <f>IFERROR(__xludf.DUMMYFUNCTION("VLOOKUP(C1912,IMPORTRANGE(""https://docs.google.com/spreadsheets/d/1P8eX0NWBhUPS_hvzA11R6jkTNFrPrRYIx_dX_hYbxrk/edit?resourcekey=0-iw9bsKY2OqkUHCFMkCar3A&amp;gid=2055363397#gid=2055363397"",""MTR!C:O""),11,false)"),"PMW-IMS")</f>
        <v>PMW-IMS</v>
      </c>
      <c r="N1912" s="248" t="str">
        <f>IFERROR(__xludf.DUMMYFUNCTION("VLOOKUP(C1912,IMPORTRANGE(""https://docs.google.com/spreadsheets/d/1ihFlp3_ePlYtFuPbUNbYj1muErVpI73WHXbEwJDIA7Q/edit#gid=1493122344"",""MTR!C:O""),8,false)"),"Complies")</f>
        <v>Complies</v>
      </c>
      <c r="O1912" s="241" t="str">
        <f>IFERROR(__xludf.DUMMYFUNCTION("VLOOKUP(C1912,IMPORTRANGE(""https://docs.google.com/spreadsheets/d/1P8eX0NWBhUPS_hvzA11R6jkTNFrPrRYIx_dX_hYbxrk/edit?resourcekey=0-iw9bsKY2OqkUHCFMkCar3A&amp;gid=2055363397#gid=2055363397"",""MTR!C:O""),9,false)"),"")</f>
        <v/>
      </c>
      <c r="P1912" s="241"/>
      <c r="Q1912" s="251" t="s">
        <v>445</v>
      </c>
      <c r="R1912" s="241"/>
      <c r="S1912" s="154" t="s">
        <v>60</v>
      </c>
      <c r="T1912" s="154" t="s">
        <v>60</v>
      </c>
      <c r="U1912" s="154" t="s">
        <v>60</v>
      </c>
      <c r="V1912" s="154" t="s">
        <v>60</v>
      </c>
      <c r="W1912" s="154" t="s">
        <v>60</v>
      </c>
      <c r="X1912" s="154" t="s">
        <v>60</v>
      </c>
      <c r="Y1912" s="154" t="s">
        <v>64</v>
      </c>
      <c r="Z1912" s="154" t="s">
        <v>64</v>
      </c>
      <c r="AA1912" s="154" t="s">
        <v>64</v>
      </c>
      <c r="AB1912" s="154"/>
      <c r="AC1912" s="242" t="b">
        <f t="shared" si="2"/>
        <v>1</v>
      </c>
      <c r="AD1912" s="154" t="s">
        <v>391</v>
      </c>
      <c r="AE1912" s="243" t="b">
        <f t="shared" si="3"/>
        <v>0</v>
      </c>
      <c r="AF1912" s="154"/>
      <c r="AG1912" s="243" t="b">
        <f t="shared" si="7"/>
        <v>0</v>
      </c>
      <c r="AH1912" s="154"/>
      <c r="AI1912" s="243" t="str">
        <f t="shared" si="5"/>
        <v>N/A</v>
      </c>
      <c r="AJ1912" s="157" t="str">
        <f t="shared" si="6"/>
        <v/>
      </c>
    </row>
    <row r="1913" ht="12.75" customHeight="1">
      <c r="A1913" s="244" t="s">
        <v>4158</v>
      </c>
      <c r="B1913" s="244" t="s">
        <v>4161</v>
      </c>
      <c r="C1913" s="244" t="s">
        <v>4845</v>
      </c>
      <c r="D1913" s="154" t="s">
        <v>462</v>
      </c>
      <c r="E1913" s="250"/>
      <c r="F1913" s="154" t="str">
        <f t="array" ref="F1913">XLOOKUP(Cover!$D$12,$S$1:$AA$1,$S1913:$AA1913)</f>
        <v>Mandatory</v>
      </c>
      <c r="G1913" s="154" t="s">
        <v>4846</v>
      </c>
      <c r="H1913" s="154" t="s">
        <v>347</v>
      </c>
      <c r="I1913" s="154" t="s">
        <v>632</v>
      </c>
      <c r="J1913" s="247" t="s">
        <v>445</v>
      </c>
      <c r="K1913" s="154"/>
      <c r="L1913" s="154" t="str">
        <f t="shared" si="1"/>
        <v/>
      </c>
      <c r="M1913" s="248" t="str">
        <f>IFERROR(__xludf.DUMMYFUNCTION("VLOOKUP(C1913,IMPORTRANGE(""https://docs.google.com/spreadsheets/d/1P8eX0NWBhUPS_hvzA11R6jkTNFrPrRYIx_dX_hYbxrk/edit?resourcekey=0-iw9bsKY2OqkUHCFMkCar3A&amp;gid=2055363397#gid=2055363397"",""MTR!C:O""),11,false)"),"PMW-IMS")</f>
        <v>PMW-IMS</v>
      </c>
      <c r="N1913" s="248" t="str">
        <f>IFERROR(__xludf.DUMMYFUNCTION("VLOOKUP(C1913,IMPORTRANGE(""https://docs.google.com/spreadsheets/d/1ihFlp3_ePlYtFuPbUNbYj1muErVpI73WHXbEwJDIA7Q/edit#gid=1493122344"",""MTR!C:O""),8,false)"),"Complies")</f>
        <v>Complies</v>
      </c>
      <c r="O1913" s="241" t="str">
        <f>IFERROR(__xludf.DUMMYFUNCTION("VLOOKUP(C1913,IMPORTRANGE(""https://docs.google.com/spreadsheets/d/1P8eX0NWBhUPS_hvzA11R6jkTNFrPrRYIx_dX_hYbxrk/edit?resourcekey=0-iw9bsKY2OqkUHCFMkCar3A&amp;gid=2055363397#gid=2055363397"",""MTR!C:O""),9,false)"),"")</f>
        <v/>
      </c>
      <c r="P1913" s="241"/>
      <c r="Q1913" s="251" t="s">
        <v>445</v>
      </c>
      <c r="R1913" s="241"/>
      <c r="S1913" s="154" t="s">
        <v>60</v>
      </c>
      <c r="T1913" s="154" t="s">
        <v>60</v>
      </c>
      <c r="U1913" s="154" t="s">
        <v>60</v>
      </c>
      <c r="V1913" s="154" t="s">
        <v>60</v>
      </c>
      <c r="W1913" s="154" t="s">
        <v>60</v>
      </c>
      <c r="X1913" s="154" t="s">
        <v>60</v>
      </c>
      <c r="Y1913" s="154" t="s">
        <v>64</v>
      </c>
      <c r="Z1913" s="154" t="s">
        <v>64</v>
      </c>
      <c r="AA1913" s="154" t="s">
        <v>64</v>
      </c>
      <c r="AB1913" s="154"/>
      <c r="AC1913" s="242" t="b">
        <f t="shared" si="2"/>
        <v>1</v>
      </c>
      <c r="AD1913" s="154" t="s">
        <v>391</v>
      </c>
      <c r="AE1913" s="243" t="b">
        <f t="shared" si="3"/>
        <v>0</v>
      </c>
      <c r="AF1913" s="154"/>
      <c r="AG1913" s="243" t="b">
        <f t="shared" si="7"/>
        <v>0</v>
      </c>
      <c r="AH1913" s="154"/>
      <c r="AI1913" s="243" t="str">
        <f t="shared" si="5"/>
        <v>N/A</v>
      </c>
      <c r="AJ1913" s="157" t="str">
        <f t="shared" si="6"/>
        <v/>
      </c>
    </row>
    <row r="1914" ht="12.75" customHeight="1">
      <c r="A1914" s="244" t="s">
        <v>4158</v>
      </c>
      <c r="B1914" s="244" t="s">
        <v>4161</v>
      </c>
      <c r="C1914" s="244" t="s">
        <v>4847</v>
      </c>
      <c r="D1914" s="154" t="s">
        <v>462</v>
      </c>
      <c r="E1914" s="250"/>
      <c r="F1914" s="154" t="str">
        <f t="array" ref="F1914">XLOOKUP(Cover!$D$12,$S$1:$AA$1,$S1914:$AA1914)</f>
        <v>Mandatory</v>
      </c>
      <c r="G1914" s="154" t="s">
        <v>4848</v>
      </c>
      <c r="H1914" s="154" t="s">
        <v>347</v>
      </c>
      <c r="I1914" s="154" t="s">
        <v>632</v>
      </c>
      <c r="J1914" s="247" t="s">
        <v>445</v>
      </c>
      <c r="K1914" s="154"/>
      <c r="L1914" s="154" t="str">
        <f t="shared" si="1"/>
        <v/>
      </c>
      <c r="M1914" s="248" t="str">
        <f>IFERROR(__xludf.DUMMYFUNCTION("VLOOKUP(C1914,IMPORTRANGE(""https://docs.google.com/spreadsheets/d/1P8eX0NWBhUPS_hvzA11R6jkTNFrPrRYIx_dX_hYbxrk/edit?resourcekey=0-iw9bsKY2OqkUHCFMkCar3A&amp;gid=2055363397#gid=2055363397"",""MTR!C:O""),11,false)"),"PMW-IMS")</f>
        <v>PMW-IMS</v>
      </c>
      <c r="N1914" s="248" t="str">
        <f>IFERROR(__xludf.DUMMYFUNCTION("VLOOKUP(C1914,IMPORTRANGE(""https://docs.google.com/spreadsheets/d/1ihFlp3_ePlYtFuPbUNbYj1muErVpI73WHXbEwJDIA7Q/edit#gid=1493122344"",""MTR!C:O""),8,false)"),"Complies")</f>
        <v>Complies</v>
      </c>
      <c r="O1914" s="241" t="str">
        <f>IFERROR(__xludf.DUMMYFUNCTION("VLOOKUP(C1914,IMPORTRANGE(""https://docs.google.com/spreadsheets/d/1P8eX0NWBhUPS_hvzA11R6jkTNFrPrRYIx_dX_hYbxrk/edit?resourcekey=0-iw9bsKY2OqkUHCFMkCar3A&amp;gid=2055363397#gid=2055363397"",""MTR!C:O""),9,false)"),"")</f>
        <v/>
      </c>
      <c r="P1914" s="241"/>
      <c r="Q1914" s="251" t="s">
        <v>445</v>
      </c>
      <c r="R1914" s="241"/>
      <c r="S1914" s="154" t="s">
        <v>60</v>
      </c>
      <c r="T1914" s="154" t="s">
        <v>60</v>
      </c>
      <c r="U1914" s="154" t="s">
        <v>60</v>
      </c>
      <c r="V1914" s="154" t="s">
        <v>60</v>
      </c>
      <c r="W1914" s="154" t="s">
        <v>60</v>
      </c>
      <c r="X1914" s="154" t="s">
        <v>60</v>
      </c>
      <c r="Y1914" s="154" t="s">
        <v>64</v>
      </c>
      <c r="Z1914" s="154" t="s">
        <v>64</v>
      </c>
      <c r="AA1914" s="154" t="s">
        <v>64</v>
      </c>
      <c r="AB1914" s="154"/>
      <c r="AC1914" s="242" t="b">
        <f t="shared" si="2"/>
        <v>1</v>
      </c>
      <c r="AD1914" s="154" t="s">
        <v>391</v>
      </c>
      <c r="AE1914" s="243" t="b">
        <f t="shared" si="3"/>
        <v>0</v>
      </c>
      <c r="AF1914" s="154"/>
      <c r="AG1914" s="243" t="b">
        <f t="shared" si="7"/>
        <v>0</v>
      </c>
      <c r="AH1914" s="154"/>
      <c r="AI1914" s="243" t="str">
        <f t="shared" si="5"/>
        <v>N/A</v>
      </c>
      <c r="AJ1914" s="157" t="str">
        <f t="shared" si="6"/>
        <v/>
      </c>
    </row>
    <row r="1915" ht="12.75" customHeight="1">
      <c r="A1915" s="238" t="s">
        <v>4158</v>
      </c>
      <c r="B1915" s="238" t="s">
        <v>4161</v>
      </c>
      <c r="C1915" s="238" t="s">
        <v>4849</v>
      </c>
      <c r="D1915" s="238"/>
      <c r="E1915" s="238"/>
      <c r="F1915" s="154" t="str">
        <f t="array" ref="F1915">XLOOKUP(Cover!$D$12,$S$1:$AA$1,$S1915:$AA1915)</f>
        <v>Heading</v>
      </c>
      <c r="G1915" s="239" t="s">
        <v>4850</v>
      </c>
      <c r="H1915" s="240"/>
      <c r="I1915" s="240" t="s">
        <v>632</v>
      </c>
      <c r="J1915" s="262"/>
      <c r="K1915" s="240"/>
      <c r="L1915" s="154" t="str">
        <f t="shared" si="1"/>
        <v/>
      </c>
      <c r="M1915" s="241" t="str">
        <f>IFERROR(__xludf.DUMMYFUNCTION("VLOOKUP(C1915,IMPORTRANGE(""https://docs.google.com/spreadsheets/d/1P8eX0NWBhUPS_hvzA11R6jkTNFrPrRYIx_dX_hYbxrk/edit?resourcekey=0-iw9bsKY2OqkUHCFMkCar3A&amp;gid=2055363397#gid=2055363397"",""MTR!C:O""),11,false)"),"")</f>
        <v/>
      </c>
      <c r="N1915" s="241" t="str">
        <f>IFERROR(__xludf.DUMMYFUNCTION("VLOOKUP(C1915,IMPORTRANGE(""https://docs.google.com/spreadsheets/d/1ihFlp3_ePlYtFuPbUNbYj1muErVpI73WHXbEwJDIA7Q/edit#gid=1493122344"",""MTR!C:O""),8,false)"),"")</f>
        <v/>
      </c>
      <c r="O1915" s="241" t="str">
        <f>IFERROR(__xludf.DUMMYFUNCTION("VLOOKUP(C1915,IMPORTRANGE(""https://docs.google.com/spreadsheets/d/1P8eX0NWBhUPS_hvzA11R6jkTNFrPrRYIx_dX_hYbxrk/edit?resourcekey=0-iw9bsKY2OqkUHCFMkCar3A&amp;gid=2055363397#gid=2055363397"",""MTR!C:O""),9,false)"),"")</f>
        <v/>
      </c>
      <c r="P1915" s="241"/>
      <c r="Q1915" s="251"/>
      <c r="R1915" s="241"/>
      <c r="S1915" s="240" t="s">
        <v>390</v>
      </c>
      <c r="T1915" s="240" t="s">
        <v>390</v>
      </c>
      <c r="U1915" s="240" t="s">
        <v>390</v>
      </c>
      <c r="V1915" s="240" t="s">
        <v>390</v>
      </c>
      <c r="W1915" s="240" t="s">
        <v>390</v>
      </c>
      <c r="X1915" s="240" t="s">
        <v>390</v>
      </c>
      <c r="Y1915" s="240" t="s">
        <v>390</v>
      </c>
      <c r="Z1915" s="240" t="s">
        <v>390</v>
      </c>
      <c r="AA1915" s="240" t="s">
        <v>390</v>
      </c>
      <c r="AB1915" s="240"/>
      <c r="AC1915" s="242" t="b">
        <f t="shared" si="2"/>
        <v>0</v>
      </c>
      <c r="AD1915" s="240" t="s">
        <v>391</v>
      </c>
      <c r="AE1915" s="243" t="b">
        <f t="shared" si="3"/>
        <v>0</v>
      </c>
      <c r="AF1915" s="240"/>
      <c r="AG1915" s="243" t="b">
        <f t="shared" si="7"/>
        <v>0</v>
      </c>
      <c r="AH1915" s="240"/>
      <c r="AI1915" s="243" t="str">
        <f t="shared" si="5"/>
        <v>N/A</v>
      </c>
      <c r="AJ1915" s="157" t="str">
        <f t="shared" si="6"/>
        <v/>
      </c>
    </row>
    <row r="1916" ht="12.75" customHeight="1">
      <c r="A1916" s="244" t="s">
        <v>4158</v>
      </c>
      <c r="B1916" s="244" t="s">
        <v>4161</v>
      </c>
      <c r="C1916" s="244" t="s">
        <v>4851</v>
      </c>
      <c r="D1916" s="154" t="s">
        <v>581</v>
      </c>
      <c r="E1916" s="250"/>
      <c r="F1916" s="154" t="str">
        <f t="array" ref="F1916">XLOOKUP(Cover!$D$12,$S$1:$AA$1,$S1916:$AA1916)</f>
        <v>Mandatory</v>
      </c>
      <c r="G1916" s="154" t="s">
        <v>4852</v>
      </c>
      <c r="H1916" s="154" t="s">
        <v>351</v>
      </c>
      <c r="I1916" s="154" t="s">
        <v>632</v>
      </c>
      <c r="J1916" s="247" t="s">
        <v>445</v>
      </c>
      <c r="K1916" s="154"/>
      <c r="L1916" s="154" t="str">
        <f t="shared" si="1"/>
        <v/>
      </c>
      <c r="M1916" s="248" t="str">
        <f>IFERROR(__xludf.DUMMYFUNCTION("VLOOKUP(C1916,IMPORTRANGE(""https://docs.google.com/spreadsheets/d/1P8eX0NWBhUPS_hvzA11R6jkTNFrPrRYIx_dX_hYbxrk/edit?resourcekey=0-iw9bsKY2OqkUHCFMkCar3A&amp;gid=2055363397#gid=2055363397"",""MTR!C:O""),11,false)"),"PMW-IMS")</f>
        <v>PMW-IMS</v>
      </c>
      <c r="N1916" s="248" t="str">
        <f>IFERROR(__xludf.DUMMYFUNCTION("VLOOKUP(C1916,IMPORTRANGE(""https://docs.google.com/spreadsheets/d/1ihFlp3_ePlYtFuPbUNbYj1muErVpI73WHXbEwJDIA7Q/edit#gid=1493122344"",""MTR!C:O""),8,false)"),"Complies")</f>
        <v>Complies</v>
      </c>
      <c r="O1916" s="241" t="str">
        <f>IFERROR(__xludf.DUMMYFUNCTION("VLOOKUP(C1916,IMPORTRANGE(""https://docs.google.com/spreadsheets/d/1P8eX0NWBhUPS_hvzA11R6jkTNFrPrRYIx_dX_hYbxrk/edit?resourcekey=0-iw9bsKY2OqkUHCFMkCar3A&amp;gid=2055363397#gid=2055363397"",""MTR!C:O""),9,false)"),"")</f>
        <v/>
      </c>
      <c r="P1916" s="241"/>
      <c r="Q1916" s="251" t="s">
        <v>445</v>
      </c>
      <c r="R1916" s="241"/>
      <c r="S1916" s="154" t="s">
        <v>64</v>
      </c>
      <c r="T1916" s="154" t="s">
        <v>60</v>
      </c>
      <c r="U1916" s="154" t="s">
        <v>60</v>
      </c>
      <c r="V1916" s="154" t="s">
        <v>60</v>
      </c>
      <c r="W1916" s="154" t="s">
        <v>60</v>
      </c>
      <c r="X1916" s="154" t="s">
        <v>60</v>
      </c>
      <c r="Y1916" s="154" t="s">
        <v>64</v>
      </c>
      <c r="Z1916" s="154" t="s">
        <v>64</v>
      </c>
      <c r="AA1916" s="154" t="s">
        <v>64</v>
      </c>
      <c r="AB1916" s="154"/>
      <c r="AC1916" s="242" t="b">
        <f t="shared" si="2"/>
        <v>1</v>
      </c>
      <c r="AD1916" s="154" t="s">
        <v>391</v>
      </c>
      <c r="AE1916" s="243" t="b">
        <f t="shared" si="3"/>
        <v>0</v>
      </c>
      <c r="AF1916" s="154"/>
      <c r="AG1916" s="243" t="b">
        <f t="shared" si="7"/>
        <v>0</v>
      </c>
      <c r="AH1916" s="154"/>
      <c r="AI1916" s="243" t="str">
        <f t="shared" si="5"/>
        <v>N/A</v>
      </c>
      <c r="AJ1916" s="157" t="str">
        <f t="shared" si="6"/>
        <v/>
      </c>
    </row>
    <row r="1917" ht="12.75" customHeight="1">
      <c r="A1917" s="244" t="s">
        <v>4158</v>
      </c>
      <c r="B1917" s="244" t="s">
        <v>4161</v>
      </c>
      <c r="C1917" s="244" t="s">
        <v>4853</v>
      </c>
      <c r="D1917" s="154" t="s">
        <v>433</v>
      </c>
      <c r="E1917" s="250"/>
      <c r="F1917" s="154" t="str">
        <f t="array" ref="F1917">XLOOKUP(Cover!$D$12,$S$1:$AA$1,$S1917:$AA1917)</f>
        <v>Mandatory</v>
      </c>
      <c r="G1917" s="154" t="s">
        <v>4854</v>
      </c>
      <c r="H1917" s="154" t="s">
        <v>351</v>
      </c>
      <c r="I1917" s="154" t="s">
        <v>632</v>
      </c>
      <c r="J1917" s="247" t="s">
        <v>445</v>
      </c>
      <c r="K1917" s="154"/>
      <c r="L1917" s="154" t="str">
        <f t="shared" si="1"/>
        <v/>
      </c>
      <c r="M1917" s="248" t="str">
        <f>IFERROR(__xludf.DUMMYFUNCTION("VLOOKUP(C1917,IMPORTRANGE(""https://docs.google.com/spreadsheets/d/1P8eX0NWBhUPS_hvzA11R6jkTNFrPrRYIx_dX_hYbxrk/edit?resourcekey=0-iw9bsKY2OqkUHCFMkCar3A&amp;gid=2055363397#gid=2055363397"",""MTR!C:O""),11,false)"),"PMW-IMS")</f>
        <v>PMW-IMS</v>
      </c>
      <c r="N1917" s="248" t="str">
        <f>IFERROR(__xludf.DUMMYFUNCTION("VLOOKUP(C1917,IMPORTRANGE(""https://docs.google.com/spreadsheets/d/1ihFlp3_ePlYtFuPbUNbYj1muErVpI73WHXbEwJDIA7Q/edit#gid=1493122344"",""MTR!C:O""),8,false)"),"Complies")</f>
        <v>Complies</v>
      </c>
      <c r="O1917" s="241" t="str">
        <f>IFERROR(__xludf.DUMMYFUNCTION("VLOOKUP(C1917,IMPORTRANGE(""https://docs.google.com/spreadsheets/d/1P8eX0NWBhUPS_hvzA11R6jkTNFrPrRYIx_dX_hYbxrk/edit?resourcekey=0-iw9bsKY2OqkUHCFMkCar3A&amp;gid=2055363397#gid=2055363397"",""MTR!C:O""),9,false)"),"")</f>
        <v/>
      </c>
      <c r="P1917" s="241"/>
      <c r="Q1917" s="251" t="s">
        <v>445</v>
      </c>
      <c r="R1917" s="241"/>
      <c r="S1917" s="154" t="s">
        <v>64</v>
      </c>
      <c r="T1917" s="154" t="s">
        <v>60</v>
      </c>
      <c r="U1917" s="154" t="s">
        <v>60</v>
      </c>
      <c r="V1917" s="154" t="s">
        <v>60</v>
      </c>
      <c r="W1917" s="154" t="s">
        <v>60</v>
      </c>
      <c r="X1917" s="154" t="s">
        <v>60</v>
      </c>
      <c r="Y1917" s="154" t="s">
        <v>64</v>
      </c>
      <c r="Z1917" s="154" t="s">
        <v>64</v>
      </c>
      <c r="AA1917" s="154" t="s">
        <v>64</v>
      </c>
      <c r="AB1917" s="154"/>
      <c r="AC1917" s="242" t="b">
        <f t="shared" si="2"/>
        <v>1</v>
      </c>
      <c r="AD1917" s="154" t="s">
        <v>391</v>
      </c>
      <c r="AE1917" s="243" t="b">
        <f t="shared" si="3"/>
        <v>0</v>
      </c>
      <c r="AF1917" s="154"/>
      <c r="AG1917" s="243" t="b">
        <f t="shared" si="7"/>
        <v>0</v>
      </c>
      <c r="AH1917" s="154"/>
      <c r="AI1917" s="243" t="str">
        <f t="shared" si="5"/>
        <v>N/A</v>
      </c>
      <c r="AJ1917" s="157" t="str">
        <f t="shared" si="6"/>
        <v/>
      </c>
    </row>
    <row r="1918" ht="12.75" customHeight="1">
      <c r="A1918" s="244" t="s">
        <v>4158</v>
      </c>
      <c r="B1918" s="244" t="s">
        <v>4161</v>
      </c>
      <c r="C1918" s="244" t="s">
        <v>4855</v>
      </c>
      <c r="D1918" s="154" t="s">
        <v>581</v>
      </c>
      <c r="E1918" s="250"/>
      <c r="F1918" s="154" t="str">
        <f t="array" ref="F1918">XLOOKUP(Cover!$D$12,$S$1:$AA$1,$S1918:$AA1918)</f>
        <v>Recommended</v>
      </c>
      <c r="G1918" s="154" t="s">
        <v>4856</v>
      </c>
      <c r="H1918" s="154"/>
      <c r="I1918" s="154" t="s">
        <v>632</v>
      </c>
      <c r="J1918" s="247" t="s">
        <v>445</v>
      </c>
      <c r="K1918" s="154"/>
      <c r="L1918" s="154" t="str">
        <f t="shared" si="1"/>
        <v/>
      </c>
      <c r="M1918" s="248" t="str">
        <f>IFERROR(__xludf.DUMMYFUNCTION("VLOOKUP(C1918,IMPORTRANGE(""https://docs.google.com/spreadsheets/d/1P8eX0NWBhUPS_hvzA11R6jkTNFrPrRYIx_dX_hYbxrk/edit?resourcekey=0-iw9bsKY2OqkUHCFMkCar3A&amp;gid=2055363397#gid=2055363397"",""MTR!C:O""),11,false)"),"PMW-IMS")</f>
        <v>PMW-IMS</v>
      </c>
      <c r="N1918" s="248" t="str">
        <f>IFERROR(__xludf.DUMMYFUNCTION("VLOOKUP(C1918,IMPORTRANGE(""https://docs.google.com/spreadsheets/d/1ihFlp3_ePlYtFuPbUNbYj1muErVpI73WHXbEwJDIA7Q/edit#gid=1493122344"",""MTR!C:O""),8,false)"),"Complies")</f>
        <v>Complies</v>
      </c>
      <c r="O1918" s="241" t="str">
        <f>IFERROR(__xludf.DUMMYFUNCTION("VLOOKUP(C1918,IMPORTRANGE(""https://docs.google.com/spreadsheets/d/1P8eX0NWBhUPS_hvzA11R6jkTNFrPrRYIx_dX_hYbxrk/edit?resourcekey=0-iw9bsKY2OqkUHCFMkCar3A&amp;gid=2055363397#gid=2055363397"",""MTR!C:O""),9,false)"),"")</f>
        <v/>
      </c>
      <c r="P1918" s="241"/>
      <c r="Q1918" s="251" t="s">
        <v>445</v>
      </c>
      <c r="R1918" s="241"/>
      <c r="S1918" s="154" t="s">
        <v>64</v>
      </c>
      <c r="T1918" s="154" t="s">
        <v>64</v>
      </c>
      <c r="U1918" s="154" t="s">
        <v>64</v>
      </c>
      <c r="V1918" s="154" t="s">
        <v>64</v>
      </c>
      <c r="W1918" s="154" t="s">
        <v>64</v>
      </c>
      <c r="X1918" s="154" t="s">
        <v>64</v>
      </c>
      <c r="Y1918" s="154" t="s">
        <v>64</v>
      </c>
      <c r="Z1918" s="154" t="s">
        <v>64</v>
      </c>
      <c r="AA1918" s="154" t="s">
        <v>64</v>
      </c>
      <c r="AB1918" s="154"/>
      <c r="AC1918" s="242" t="b">
        <f t="shared" si="2"/>
        <v>1</v>
      </c>
      <c r="AD1918" s="154" t="s">
        <v>391</v>
      </c>
      <c r="AE1918" s="243" t="b">
        <f t="shared" si="3"/>
        <v>0</v>
      </c>
      <c r="AF1918" s="154"/>
      <c r="AG1918" s="243" t="b">
        <f t="shared" si="7"/>
        <v>0</v>
      </c>
      <c r="AH1918" s="154"/>
      <c r="AI1918" s="243" t="str">
        <f t="shared" si="5"/>
        <v>N/A</v>
      </c>
      <c r="AJ1918" s="157" t="str">
        <f t="shared" si="6"/>
        <v/>
      </c>
    </row>
    <row r="1919" ht="12.75" customHeight="1">
      <c r="A1919" s="244" t="s">
        <v>4158</v>
      </c>
      <c r="B1919" s="244" t="s">
        <v>4161</v>
      </c>
      <c r="C1919" s="244" t="s">
        <v>4857</v>
      </c>
      <c r="D1919" s="154" t="s">
        <v>581</v>
      </c>
      <c r="E1919" s="250"/>
      <c r="F1919" s="154" t="str">
        <f t="array" ref="F1919">XLOOKUP(Cover!$D$12,$S$1:$AA$1,$S1919:$AA1919)</f>
        <v>Information</v>
      </c>
      <c r="G1919" s="154" t="s">
        <v>4858</v>
      </c>
      <c r="H1919" s="154"/>
      <c r="I1919" s="154" t="s">
        <v>632</v>
      </c>
      <c r="J1919" s="247" t="s">
        <v>516</v>
      </c>
      <c r="K1919" s="247" t="s">
        <v>4859</v>
      </c>
      <c r="L1919" s="154" t="str">
        <f t="shared" si="1"/>
        <v/>
      </c>
      <c r="M1919" s="248" t="str">
        <f>IFERROR(__xludf.DUMMYFUNCTION("VLOOKUP(C1919,IMPORTRANGE(""https://docs.google.com/spreadsheets/d/1P8eX0NWBhUPS_hvzA11R6jkTNFrPrRYIx_dX_hYbxrk/edit?resourcekey=0-iw9bsKY2OqkUHCFMkCar3A&amp;gid=2055363397#gid=2055363397"",""MTR!C:O""),11,false)"),"PMW-IMS")</f>
        <v>PMW-IMS</v>
      </c>
      <c r="N1919" s="248" t="str">
        <f>IFERROR(__xludf.DUMMYFUNCTION("VLOOKUP(C1919,IMPORTRANGE(""https://docs.google.com/spreadsheets/d/1ihFlp3_ePlYtFuPbUNbYj1muErVpI73WHXbEwJDIA7Q/edit#gid=1493122344"",""MTR!C:O""),8,false)"),"Does Not Comply")</f>
        <v>Does Not Comply</v>
      </c>
      <c r="O1919" s="248" t="str">
        <f>IFERROR(__xludf.DUMMYFUNCTION("VLOOKUP(C1919,IMPORTRANGE(""https://docs.google.com/spreadsheets/d/1P8eX0NWBhUPS_hvzA11R6jkTNFrPrRYIx_dX_hYbxrk/edit?resourcekey=0-iw9bsKY2OqkUHCFMkCar3A&amp;gid=2055363397#gid=2055363397"",""MTR!C:O""),9,false)"),"We have no config to disable\enable MOBIKE, and the default is ON. In current design, UE will do handover from WiFi to LTE first when UE moves to a different Wi-Fi access if UE has a available cellular service.")</f>
        <v>We have no config to disable\enable MOBIKE, and the default is ON. In current design, UE will do handover from WiFi to LTE first when UE moves to a different Wi-Fi access if UE has a available cellular service.</v>
      </c>
      <c r="P1919" s="248"/>
      <c r="Q1919" s="249" t="s">
        <v>516</v>
      </c>
      <c r="R1919" s="249" t="s">
        <v>4859</v>
      </c>
      <c r="S1919" s="154" t="s">
        <v>66</v>
      </c>
      <c r="T1919" s="154" t="s">
        <v>66</v>
      </c>
      <c r="U1919" s="154" t="s">
        <v>66</v>
      </c>
      <c r="V1919" s="154" t="s">
        <v>66</v>
      </c>
      <c r="W1919" s="154" t="s">
        <v>66</v>
      </c>
      <c r="X1919" s="154" t="s">
        <v>66</v>
      </c>
      <c r="Y1919" s="154" t="s">
        <v>66</v>
      </c>
      <c r="Z1919" s="154" t="s">
        <v>66</v>
      </c>
      <c r="AA1919" s="154" t="s">
        <v>66</v>
      </c>
      <c r="AB1919" s="154"/>
      <c r="AC1919" s="242" t="b">
        <f t="shared" si="2"/>
        <v>1</v>
      </c>
      <c r="AD1919" s="154" t="s">
        <v>391</v>
      </c>
      <c r="AE1919" s="243" t="b">
        <f t="shared" si="3"/>
        <v>0</v>
      </c>
      <c r="AF1919" s="154"/>
      <c r="AG1919" s="243" t="b">
        <f t="shared" si="7"/>
        <v>0</v>
      </c>
      <c r="AH1919" s="154"/>
      <c r="AI1919" s="243" t="str">
        <f t="shared" si="5"/>
        <v>N/A</v>
      </c>
      <c r="AJ1919" s="157" t="str">
        <f t="shared" si="6"/>
        <v/>
      </c>
    </row>
    <row r="1920" ht="12.75" customHeight="1">
      <c r="A1920" s="238" t="s">
        <v>4158</v>
      </c>
      <c r="B1920" s="238" t="s">
        <v>4161</v>
      </c>
      <c r="C1920" s="238" t="s">
        <v>4860</v>
      </c>
      <c r="D1920" s="238"/>
      <c r="E1920" s="238"/>
      <c r="F1920" s="154" t="str">
        <f t="array" ref="F1920">XLOOKUP(Cover!$D$12,$S$1:$AA$1,$S1920:$AA1920)</f>
        <v>Heading</v>
      </c>
      <c r="G1920" s="239" t="s">
        <v>4861</v>
      </c>
      <c r="H1920" s="240"/>
      <c r="I1920" s="240" t="s">
        <v>2155</v>
      </c>
      <c r="J1920" s="262"/>
      <c r="K1920" s="262"/>
      <c r="L1920" s="154" t="str">
        <f t="shared" si="1"/>
        <v/>
      </c>
      <c r="M1920" s="241" t="str">
        <f>IFERROR(__xludf.DUMMYFUNCTION("VLOOKUP(C1920,IMPORTRANGE(""https://docs.google.com/spreadsheets/d/1P8eX0NWBhUPS_hvzA11R6jkTNFrPrRYIx_dX_hYbxrk/edit?resourcekey=0-iw9bsKY2OqkUHCFMkCar3A&amp;gid=2055363397#gid=2055363397"",""MTR!C:O""),11,false)"),"")</f>
        <v/>
      </c>
      <c r="N1920" s="241" t="str">
        <f>IFERROR(__xludf.DUMMYFUNCTION("VLOOKUP(C1920,IMPORTRANGE(""https://docs.google.com/spreadsheets/d/1ihFlp3_ePlYtFuPbUNbYj1muErVpI73WHXbEwJDIA7Q/edit#gid=1493122344"",""MTR!C:O""),8,false)"),"")</f>
        <v/>
      </c>
      <c r="O1920" s="241" t="str">
        <f>IFERROR(__xludf.DUMMYFUNCTION("VLOOKUP(C1920,IMPORTRANGE(""https://docs.google.com/spreadsheets/d/1P8eX0NWBhUPS_hvzA11R6jkTNFrPrRYIx_dX_hYbxrk/edit?resourcekey=0-iw9bsKY2OqkUHCFMkCar3A&amp;gid=2055363397#gid=2055363397"",""MTR!C:O""),9,false)"),"")</f>
        <v/>
      </c>
      <c r="P1920" s="241"/>
      <c r="Q1920" s="251"/>
      <c r="R1920" s="251"/>
      <c r="S1920" s="240" t="s">
        <v>390</v>
      </c>
      <c r="T1920" s="240" t="s">
        <v>390</v>
      </c>
      <c r="U1920" s="240" t="s">
        <v>390</v>
      </c>
      <c r="V1920" s="240" t="s">
        <v>390</v>
      </c>
      <c r="W1920" s="240" t="s">
        <v>390</v>
      </c>
      <c r="X1920" s="240" t="s">
        <v>390</v>
      </c>
      <c r="Y1920" s="240" t="s">
        <v>390</v>
      </c>
      <c r="Z1920" s="240" t="s">
        <v>390</v>
      </c>
      <c r="AA1920" s="240" t="s">
        <v>390</v>
      </c>
      <c r="AB1920" s="240"/>
      <c r="AC1920" s="242" t="b">
        <f t="shared" si="2"/>
        <v>0</v>
      </c>
      <c r="AD1920" s="240" t="s">
        <v>391</v>
      </c>
      <c r="AE1920" s="243" t="b">
        <f t="shared" si="3"/>
        <v>0</v>
      </c>
      <c r="AF1920" s="240"/>
      <c r="AG1920" s="243" t="b">
        <f t="shared" si="7"/>
        <v>0</v>
      </c>
      <c r="AH1920" s="240"/>
      <c r="AI1920" s="243" t="str">
        <f t="shared" si="5"/>
        <v>N/A</v>
      </c>
      <c r="AJ1920" s="157" t="str">
        <f t="shared" si="6"/>
        <v/>
      </c>
    </row>
    <row r="1921" ht="12.75" customHeight="1">
      <c r="A1921" s="244" t="s">
        <v>4158</v>
      </c>
      <c r="B1921" s="244" t="s">
        <v>4161</v>
      </c>
      <c r="C1921" s="244" t="s">
        <v>4862</v>
      </c>
      <c r="D1921" s="154" t="s">
        <v>1315</v>
      </c>
      <c r="E1921" s="250"/>
      <c r="F1921" s="154" t="str">
        <f t="array" ref="F1921">XLOOKUP(Cover!$D$12,$S$1:$AA$1,$S1921:$AA1921)</f>
        <v>Mandatory</v>
      </c>
      <c r="G1921" s="154" t="s">
        <v>4863</v>
      </c>
      <c r="H1921" s="154" t="s">
        <v>353</v>
      </c>
      <c r="I1921" s="154" t="s">
        <v>2155</v>
      </c>
      <c r="J1921" s="247" t="s">
        <v>506</v>
      </c>
      <c r="K1921" s="247" t="s">
        <v>4500</v>
      </c>
      <c r="L1921" s="154" t="str">
        <f t="shared" si="1"/>
        <v/>
      </c>
      <c r="M1921" s="248" t="str">
        <f>IFERROR(__xludf.DUMMYFUNCTION("VLOOKUP(C1921,IMPORTRANGE(""https://docs.google.com/spreadsheets/d/1P8eX0NWBhUPS_hvzA11R6jkTNFrPrRYIx_dX_hYbxrk/edit?resourcekey=0-iw9bsKY2OqkUHCFMkCar3A&amp;gid=2055363397#gid=2055363397"",""MTR!C:O""),11,false)"),"PMW-IMS")</f>
        <v>PMW-IMS</v>
      </c>
      <c r="N1921" s="248" t="str">
        <f>IFERROR(__xludf.DUMMYFUNCTION("VLOOKUP(C1921,IMPORTRANGE(""https://docs.google.com/spreadsheets/d/1ihFlp3_ePlYtFuPbUNbYj1muErVpI73WHXbEwJDIA7Q/edit#gid=1493122344"",""MTR!C:O""),8,false)"),"Does Not Comply")</f>
        <v>Does Not Comply</v>
      </c>
      <c r="O1921" s="248" t="str">
        <f>IFERROR(__xludf.DUMMYFUNCTION("VLOOKUP(C1921,IMPORTRANGE(""https://docs.google.com/spreadsheets/d/1P8eX0NWBhUPS_hvzA11R6jkTNFrPrRYIx_dX_hYbxrk/edit?resourcekey=0-iw9bsKY2OqkUHCFMkCar3A&amp;gid=2055363397#gid=2055363397"",""MTR!C:O""),9,false)"),"VoNR is not enabled")</f>
        <v>VoNR is not enabled</v>
      </c>
      <c r="P1921" s="248"/>
      <c r="Q1921" s="249" t="s">
        <v>516</v>
      </c>
      <c r="R1921" s="249" t="s">
        <v>4500</v>
      </c>
      <c r="S1921" s="154" t="s">
        <v>64</v>
      </c>
      <c r="T1921" s="154" t="s">
        <v>64</v>
      </c>
      <c r="U1921" s="154" t="s">
        <v>60</v>
      </c>
      <c r="V1921" s="154" t="s">
        <v>60</v>
      </c>
      <c r="W1921" s="154" t="s">
        <v>60</v>
      </c>
      <c r="X1921" s="154" t="s">
        <v>60</v>
      </c>
      <c r="Y1921" s="154" t="s">
        <v>64</v>
      </c>
      <c r="Z1921" s="154" t="s">
        <v>64</v>
      </c>
      <c r="AA1921" s="154" t="s">
        <v>64</v>
      </c>
      <c r="AB1921" s="154"/>
      <c r="AC1921" s="242" t="b">
        <f t="shared" si="2"/>
        <v>1</v>
      </c>
      <c r="AD1921" s="154" t="s">
        <v>391</v>
      </c>
      <c r="AE1921" s="243" t="b">
        <f t="shared" si="3"/>
        <v>0</v>
      </c>
      <c r="AF1921" s="154"/>
      <c r="AG1921" s="243" t="b">
        <f t="shared" si="7"/>
        <v>0</v>
      </c>
      <c r="AH1921" s="154"/>
      <c r="AI1921" s="243" t="str">
        <f t="shared" si="5"/>
        <v>N/A</v>
      </c>
      <c r="AJ1921" s="157" t="str">
        <f t="shared" si="6"/>
        <v/>
      </c>
    </row>
    <row r="1922" ht="12.75" customHeight="1">
      <c r="A1922" s="244" t="s">
        <v>4158</v>
      </c>
      <c r="B1922" s="244" t="s">
        <v>4161</v>
      </c>
      <c r="C1922" s="244" t="s">
        <v>4864</v>
      </c>
      <c r="D1922" s="154" t="s">
        <v>503</v>
      </c>
      <c r="E1922" s="250"/>
      <c r="F1922" s="154" t="str">
        <f t="array" ref="F1922">XLOOKUP(Cover!$D$12,$S$1:$AA$1,$S1922:$AA1922)</f>
        <v>Mandatory</v>
      </c>
      <c r="G1922" s="154" t="s">
        <v>4865</v>
      </c>
      <c r="H1922" s="154" t="s">
        <v>4710</v>
      </c>
      <c r="I1922" s="154" t="s">
        <v>2155</v>
      </c>
      <c r="J1922" s="247" t="s">
        <v>506</v>
      </c>
      <c r="K1922" s="247" t="s">
        <v>4500</v>
      </c>
      <c r="L1922" s="154" t="str">
        <f t="shared" si="1"/>
        <v/>
      </c>
      <c r="M1922" s="248" t="str">
        <f>IFERROR(__xludf.DUMMYFUNCTION("VLOOKUP(C1922,IMPORTRANGE(""https://docs.google.com/spreadsheets/d/1P8eX0NWBhUPS_hvzA11R6jkTNFrPrRYIx_dX_hYbxrk/edit?resourcekey=0-iw9bsKY2OqkUHCFMkCar3A&amp;gid=2055363397#gid=2055363397"",""MTR!C:O""),11,false)"),"PMW-NAS")</f>
        <v>PMW-NAS</v>
      </c>
      <c r="N1922" s="248" t="str">
        <f>IFERROR(__xludf.DUMMYFUNCTION("VLOOKUP(C1922,IMPORTRANGE(""https://docs.google.com/spreadsheets/d/1ihFlp3_ePlYtFuPbUNbYj1muErVpI73WHXbEwJDIA7Q/edit#gid=1493122344"",""MTR!C:O""),8,false)"),"Does Not Comply")</f>
        <v>Does Not Comply</v>
      </c>
      <c r="O1922" s="248" t="str">
        <f>IFERROR(__xludf.DUMMYFUNCTION("VLOOKUP(C1922,IMPORTRANGE(""https://docs.google.com/spreadsheets/d/1P8eX0NWBhUPS_hvzA11R6jkTNFrPrRYIx_dX_hYbxrk/edit?resourcekey=0-iw9bsKY2OqkUHCFMkCar3A&amp;gid=2055363397#gid=2055363397"",""MTR!C:O""),9,false)"),"VoNR is not enabled")</f>
        <v>VoNR is not enabled</v>
      </c>
      <c r="P1922" s="248"/>
      <c r="Q1922" s="249" t="s">
        <v>516</v>
      </c>
      <c r="R1922" s="249" t="s">
        <v>4500</v>
      </c>
      <c r="S1922" s="154" t="s">
        <v>64</v>
      </c>
      <c r="T1922" s="154" t="s">
        <v>64</v>
      </c>
      <c r="U1922" s="154" t="s">
        <v>60</v>
      </c>
      <c r="V1922" s="154" t="s">
        <v>60</v>
      </c>
      <c r="W1922" s="154" t="s">
        <v>60</v>
      </c>
      <c r="X1922" s="154" t="s">
        <v>60</v>
      </c>
      <c r="Y1922" s="154" t="s">
        <v>64</v>
      </c>
      <c r="Z1922" s="154" t="s">
        <v>64</v>
      </c>
      <c r="AA1922" s="154" t="s">
        <v>64</v>
      </c>
      <c r="AB1922" s="154"/>
      <c r="AC1922" s="242" t="b">
        <f t="shared" si="2"/>
        <v>1</v>
      </c>
      <c r="AD1922" s="154" t="s">
        <v>391</v>
      </c>
      <c r="AE1922" s="243" t="b">
        <f t="shared" si="3"/>
        <v>0</v>
      </c>
      <c r="AF1922" s="154"/>
      <c r="AG1922" s="243" t="b">
        <f t="shared" si="7"/>
        <v>0</v>
      </c>
      <c r="AH1922" s="154"/>
      <c r="AI1922" s="243" t="str">
        <f t="shared" si="5"/>
        <v>N/A</v>
      </c>
      <c r="AJ1922" s="157" t="str">
        <f t="shared" si="6"/>
        <v/>
      </c>
    </row>
    <row r="1923" ht="12.75" customHeight="1">
      <c r="A1923" s="238" t="s">
        <v>4158</v>
      </c>
      <c r="B1923" s="238" t="s">
        <v>4161</v>
      </c>
      <c r="C1923" s="238" t="s">
        <v>4866</v>
      </c>
      <c r="D1923" s="240"/>
      <c r="E1923" s="252" t="s">
        <v>489</v>
      </c>
      <c r="F1923" s="154" t="str">
        <f t="array" ref="F1923">XLOOKUP(Cover!$D$12,$S$1:$AA$1,$S1923:$AA1923)</f>
        <v>Heading</v>
      </c>
      <c r="G1923" s="239" t="s">
        <v>4867</v>
      </c>
      <c r="H1923" s="240"/>
      <c r="I1923" s="240" t="s">
        <v>632</v>
      </c>
      <c r="J1923" s="262"/>
      <c r="K1923" s="262"/>
      <c r="L1923" s="154" t="str">
        <f t="shared" si="1"/>
        <v/>
      </c>
      <c r="M1923" s="253" t="str">
        <f>IFERROR(__xludf.DUMMYFUNCTION("VLOOKUP(C1923,IMPORTRANGE(""https://docs.google.com/spreadsheets/d/1P8eX0NWBhUPS_hvzA11R6jkTNFrPrRYIx_dX_hYbxrk/edit?resourcekey=0-iw9bsKY2OqkUHCFMkCar3A&amp;gid=2055363397#gid=2055363397"",""MTR!C:O""),11,false)"),"#N/A")</f>
        <v>#N/A</v>
      </c>
      <c r="N1923" s="253" t="str">
        <f>IFERROR(__xludf.DUMMYFUNCTION("VLOOKUP(C1923,IMPORTRANGE(""https://docs.google.com/spreadsheets/d/1ihFlp3_ePlYtFuPbUNbYj1muErVpI73WHXbEwJDIA7Q/edit#gid=1493122344"",""MTR!C:O""),8,false)"),"#N/A")</f>
        <v>#N/A</v>
      </c>
      <c r="O1923" s="253" t="str">
        <f>IFERROR(__xludf.DUMMYFUNCTION("VLOOKUP(C1923,IMPORTRANGE(""https://docs.google.com/spreadsheets/d/1P8eX0NWBhUPS_hvzA11R6jkTNFrPrRYIx_dX_hYbxrk/edit?resourcekey=0-iw9bsKY2OqkUHCFMkCar3A&amp;gid=2055363397#gid=2055363397"",""MTR!C:O""),9,false)"),"#N/A")</f>
        <v>#N/A</v>
      </c>
      <c r="P1923" s="253"/>
      <c r="Q1923" s="259"/>
      <c r="R1923" s="259"/>
      <c r="S1923" s="240" t="s">
        <v>390</v>
      </c>
      <c r="T1923" s="240" t="s">
        <v>390</v>
      </c>
      <c r="U1923" s="240" t="s">
        <v>390</v>
      </c>
      <c r="V1923" s="240" t="s">
        <v>390</v>
      </c>
      <c r="W1923" s="240" t="s">
        <v>390</v>
      </c>
      <c r="X1923" s="240" t="s">
        <v>390</v>
      </c>
      <c r="Y1923" s="240" t="s">
        <v>390</v>
      </c>
      <c r="Z1923" s="240" t="s">
        <v>390</v>
      </c>
      <c r="AA1923" s="240" t="s">
        <v>390</v>
      </c>
      <c r="AB1923" s="240"/>
      <c r="AC1923" s="242" t="b">
        <f t="shared" si="2"/>
        <v>0</v>
      </c>
      <c r="AD1923" s="240"/>
      <c r="AE1923" s="243" t="b">
        <f t="shared" si="3"/>
        <v>0</v>
      </c>
      <c r="AF1923" s="240"/>
      <c r="AG1923" s="243" t="b">
        <f t="shared" si="7"/>
        <v>0</v>
      </c>
      <c r="AH1923" s="240"/>
      <c r="AI1923" s="243" t="str">
        <f t="shared" si="5"/>
        <v>N/A</v>
      </c>
      <c r="AJ1923" s="157" t="str">
        <f t="shared" si="6"/>
        <v/>
      </c>
    </row>
    <row r="1924" ht="12.75" customHeight="1">
      <c r="A1924" s="244" t="s">
        <v>4158</v>
      </c>
      <c r="B1924" s="244" t="s">
        <v>4161</v>
      </c>
      <c r="C1924" s="255" t="s">
        <v>4868</v>
      </c>
      <c r="D1924" s="256" t="s">
        <v>42</v>
      </c>
      <c r="E1924" s="257" t="s">
        <v>489</v>
      </c>
      <c r="F1924" s="154" t="str">
        <f t="array" ref="F1924">XLOOKUP(Cover!$D$12,$S$1:$AA$1,$S1924:$AA1924)</f>
        <v>Mandatory</v>
      </c>
      <c r="G1924" s="154" t="s">
        <v>4869</v>
      </c>
      <c r="H1924" s="154" t="s">
        <v>4279</v>
      </c>
      <c r="I1924" s="154" t="s">
        <v>632</v>
      </c>
      <c r="J1924" s="247" t="s">
        <v>506</v>
      </c>
      <c r="K1924" s="247" t="s">
        <v>4870</v>
      </c>
      <c r="L1924" s="154" t="str">
        <f t="shared" si="1"/>
        <v/>
      </c>
      <c r="M1924" s="253" t="s">
        <v>4871</v>
      </c>
      <c r="N1924" s="253" t="str">
        <f>IFERROR(__xludf.DUMMYFUNCTION("VLOOKUP(C1924,IMPORTRANGE(""https://docs.google.com/spreadsheets/d/1ihFlp3_ePlYtFuPbUNbYj1muErVpI73WHXbEwJDIA7Q/edit#gid=1493122344"",""MTR!C:O""),8,false)"),"#N/A")</f>
        <v>#N/A</v>
      </c>
      <c r="O1924" s="253" t="str">
        <f>IFERROR(__xludf.DUMMYFUNCTION("VLOOKUP(C1924,IMPORTRANGE(""https://docs.google.com/spreadsheets/d/1P8eX0NWBhUPS_hvzA11R6jkTNFrPrRYIx_dX_hYbxrk/edit?resourcekey=0-iw9bsKY2OqkUHCFMkCar3A&amp;gid=2055363397#gid=2055363397"",""MTR!C:O""),9,false)"),"#N/A")</f>
        <v>#N/A</v>
      </c>
      <c r="P1924" s="253"/>
      <c r="Q1924" s="253"/>
      <c r="R1924" s="253"/>
      <c r="S1924" s="154" t="s">
        <v>60</v>
      </c>
      <c r="T1924" s="154" t="s">
        <v>60</v>
      </c>
      <c r="U1924" s="154" t="s">
        <v>60</v>
      </c>
      <c r="V1924" s="154" t="s">
        <v>60</v>
      </c>
      <c r="W1924" s="154" t="s">
        <v>60</v>
      </c>
      <c r="X1924" s="154" t="s">
        <v>60</v>
      </c>
      <c r="Y1924" s="154" t="s">
        <v>64</v>
      </c>
      <c r="Z1924" s="154" t="s">
        <v>64</v>
      </c>
      <c r="AA1924" s="154" t="s">
        <v>64</v>
      </c>
      <c r="AB1924" s="154"/>
      <c r="AC1924" s="242" t="b">
        <f t="shared" si="2"/>
        <v>1</v>
      </c>
      <c r="AD1924" s="154"/>
      <c r="AE1924" s="243" t="b">
        <f t="shared" si="3"/>
        <v>0</v>
      </c>
      <c r="AF1924" s="154"/>
      <c r="AG1924" s="243" t="b">
        <f t="shared" si="7"/>
        <v>0</v>
      </c>
      <c r="AH1924" s="154"/>
      <c r="AI1924" s="243" t="str">
        <f t="shared" si="5"/>
        <v>N/A</v>
      </c>
      <c r="AJ1924" s="157" t="str">
        <f t="shared" si="6"/>
        <v/>
      </c>
    </row>
    <row r="1925" ht="12.75" customHeight="1">
      <c r="A1925" s="244" t="s">
        <v>4158</v>
      </c>
      <c r="B1925" s="244" t="s">
        <v>4161</v>
      </c>
      <c r="C1925" s="255" t="s">
        <v>4872</v>
      </c>
      <c r="D1925" s="256" t="s">
        <v>42</v>
      </c>
      <c r="E1925" s="257" t="s">
        <v>489</v>
      </c>
      <c r="F1925" s="154" t="str">
        <f t="array" ref="F1925">XLOOKUP(Cover!$D$12,$S$1:$AA$1,$S1925:$AA1925)</f>
        <v>Information</v>
      </c>
      <c r="G1925" s="154" t="s">
        <v>4873</v>
      </c>
      <c r="H1925" s="154" t="s">
        <v>347</v>
      </c>
      <c r="I1925" s="154" t="s">
        <v>632</v>
      </c>
      <c r="J1925" s="247" t="s">
        <v>445</v>
      </c>
      <c r="K1925" s="247" t="s">
        <v>4870</v>
      </c>
      <c r="L1925" s="154" t="str">
        <f t="shared" si="1"/>
        <v/>
      </c>
      <c r="M1925" s="253" t="s">
        <v>4871</v>
      </c>
      <c r="N1925" s="253" t="str">
        <f>IFERROR(__xludf.DUMMYFUNCTION("VLOOKUP(C1925,IMPORTRANGE(""https://docs.google.com/spreadsheets/d/1ihFlp3_ePlYtFuPbUNbYj1muErVpI73WHXbEwJDIA7Q/edit#gid=1493122344"",""MTR!C:O""),8,false)"),"#N/A")</f>
        <v>#N/A</v>
      </c>
      <c r="O1925" s="253" t="str">
        <f>IFERROR(__xludf.DUMMYFUNCTION("VLOOKUP(C1925,IMPORTRANGE(""https://docs.google.com/spreadsheets/d/1P8eX0NWBhUPS_hvzA11R6jkTNFrPrRYIx_dX_hYbxrk/edit?resourcekey=0-iw9bsKY2OqkUHCFMkCar3A&amp;gid=2055363397#gid=2055363397"",""MTR!C:O""),9,false)"),"#N/A")</f>
        <v>#N/A</v>
      </c>
      <c r="P1925" s="253"/>
      <c r="Q1925" s="253"/>
      <c r="R1925" s="253"/>
      <c r="S1925" s="154" t="s">
        <v>66</v>
      </c>
      <c r="T1925" s="154" t="s">
        <v>66</v>
      </c>
      <c r="U1925" s="154" t="s">
        <v>66</v>
      </c>
      <c r="V1925" s="154" t="s">
        <v>66</v>
      </c>
      <c r="W1925" s="154" t="s">
        <v>66</v>
      </c>
      <c r="X1925" s="154" t="s">
        <v>66</v>
      </c>
      <c r="Y1925" s="154" t="s">
        <v>66</v>
      </c>
      <c r="Z1925" s="154" t="s">
        <v>66</v>
      </c>
      <c r="AA1925" s="154" t="s">
        <v>66</v>
      </c>
      <c r="AB1925" s="154"/>
      <c r="AC1925" s="242" t="b">
        <f t="shared" si="2"/>
        <v>1</v>
      </c>
      <c r="AD1925" s="154"/>
      <c r="AE1925" s="243" t="b">
        <f t="shared" si="3"/>
        <v>0</v>
      </c>
      <c r="AF1925" s="154"/>
      <c r="AG1925" s="243" t="b">
        <f t="shared" si="7"/>
        <v>0</v>
      </c>
      <c r="AH1925" s="154"/>
      <c r="AI1925" s="243" t="str">
        <f t="shared" si="5"/>
        <v>N/A</v>
      </c>
      <c r="AJ1925" s="157" t="str">
        <f t="shared" si="6"/>
        <v/>
      </c>
    </row>
    <row r="1926" ht="12.75" customHeight="1">
      <c r="A1926" s="244" t="s">
        <v>4158</v>
      </c>
      <c r="B1926" s="244" t="s">
        <v>4161</v>
      </c>
      <c r="C1926" s="255" t="s">
        <v>4874</v>
      </c>
      <c r="D1926" s="256" t="s">
        <v>42</v>
      </c>
      <c r="E1926" s="257" t="s">
        <v>489</v>
      </c>
      <c r="F1926" s="154" t="str">
        <f t="array" ref="F1926">XLOOKUP(Cover!$D$12,$S$1:$AA$1,$S1926:$AA1926)</f>
        <v>Information</v>
      </c>
      <c r="G1926" s="154" t="s">
        <v>4875</v>
      </c>
      <c r="H1926" s="154" t="s">
        <v>353</v>
      </c>
      <c r="I1926" s="154" t="s">
        <v>632</v>
      </c>
      <c r="J1926" s="247" t="s">
        <v>445</v>
      </c>
      <c r="K1926" s="247" t="s">
        <v>4870</v>
      </c>
      <c r="L1926" s="154" t="str">
        <f t="shared" si="1"/>
        <v/>
      </c>
      <c r="M1926" s="253" t="s">
        <v>4871</v>
      </c>
      <c r="N1926" s="253" t="str">
        <f>IFERROR(__xludf.DUMMYFUNCTION("VLOOKUP(C1926,IMPORTRANGE(""https://docs.google.com/spreadsheets/d/1ihFlp3_ePlYtFuPbUNbYj1muErVpI73WHXbEwJDIA7Q/edit#gid=1493122344"",""MTR!C:O""),8,false)"),"#N/A")</f>
        <v>#N/A</v>
      </c>
      <c r="O1926" s="253" t="str">
        <f>IFERROR(__xludf.DUMMYFUNCTION("VLOOKUP(C1926,IMPORTRANGE(""https://docs.google.com/spreadsheets/d/1P8eX0NWBhUPS_hvzA11R6jkTNFrPrRYIx_dX_hYbxrk/edit?resourcekey=0-iw9bsKY2OqkUHCFMkCar3A&amp;gid=2055363397#gid=2055363397"",""MTR!C:O""),9,false)"),"#N/A")</f>
        <v>#N/A</v>
      </c>
      <c r="P1926" s="253"/>
      <c r="Q1926" s="253"/>
      <c r="R1926" s="253"/>
      <c r="S1926" s="154" t="s">
        <v>66</v>
      </c>
      <c r="T1926" s="154" t="s">
        <v>66</v>
      </c>
      <c r="U1926" s="154" t="s">
        <v>66</v>
      </c>
      <c r="V1926" s="154" t="s">
        <v>66</v>
      </c>
      <c r="W1926" s="154" t="s">
        <v>66</v>
      </c>
      <c r="X1926" s="154" t="s">
        <v>66</v>
      </c>
      <c r="Y1926" s="154" t="s">
        <v>66</v>
      </c>
      <c r="Z1926" s="154" t="s">
        <v>66</v>
      </c>
      <c r="AA1926" s="154" t="s">
        <v>66</v>
      </c>
      <c r="AB1926" s="154"/>
      <c r="AC1926" s="242" t="b">
        <f t="shared" si="2"/>
        <v>1</v>
      </c>
      <c r="AD1926" s="154"/>
      <c r="AE1926" s="243" t="b">
        <f t="shared" si="3"/>
        <v>0</v>
      </c>
      <c r="AF1926" s="154"/>
      <c r="AG1926" s="243" t="b">
        <f t="shared" si="7"/>
        <v>0</v>
      </c>
      <c r="AH1926" s="154"/>
      <c r="AI1926" s="243" t="str">
        <f t="shared" si="5"/>
        <v>N/A</v>
      </c>
      <c r="AJ1926" s="157" t="str">
        <f t="shared" si="6"/>
        <v/>
      </c>
    </row>
    <row r="1927" ht="12.75" customHeight="1">
      <c r="A1927" s="238" t="s">
        <v>4158</v>
      </c>
      <c r="B1927" s="238" t="s">
        <v>4161</v>
      </c>
      <c r="C1927" s="238" t="s">
        <v>4876</v>
      </c>
      <c r="D1927" s="238"/>
      <c r="E1927" s="238"/>
      <c r="F1927" s="154" t="str">
        <f t="array" ref="F1927">XLOOKUP(Cover!$D$12,$S$1:$AA$1,$S1927:$AA1927)</f>
        <v>Heading</v>
      </c>
      <c r="G1927" s="239" t="s">
        <v>4877</v>
      </c>
      <c r="H1927" s="240"/>
      <c r="I1927" s="240" t="s">
        <v>632</v>
      </c>
      <c r="J1927" s="240"/>
      <c r="K1927" s="240"/>
      <c r="L1927" s="154" t="str">
        <f t="shared" si="1"/>
        <v/>
      </c>
      <c r="M1927" s="241" t="str">
        <f>IFERROR(__xludf.DUMMYFUNCTION("VLOOKUP(C1927,IMPORTRANGE(""https://docs.google.com/spreadsheets/d/1P8eX0NWBhUPS_hvzA11R6jkTNFrPrRYIx_dX_hYbxrk/edit?resourcekey=0-iw9bsKY2OqkUHCFMkCar3A&amp;gid=2055363397#gid=2055363397"",""MTR!C:O""),11,false)"),"")</f>
        <v/>
      </c>
      <c r="N1927" s="241" t="str">
        <f>IFERROR(__xludf.DUMMYFUNCTION("VLOOKUP(C1927,IMPORTRANGE(""https://docs.google.com/spreadsheets/d/1ihFlp3_ePlYtFuPbUNbYj1muErVpI73WHXbEwJDIA7Q/edit#gid=1493122344"",""MTR!C:O""),8,false)"),"")</f>
        <v/>
      </c>
      <c r="O1927" s="241" t="str">
        <f>IFERROR(__xludf.DUMMYFUNCTION("VLOOKUP(C1927,IMPORTRANGE(""https://docs.google.com/spreadsheets/d/1P8eX0NWBhUPS_hvzA11R6jkTNFrPrRYIx_dX_hYbxrk/edit?resourcekey=0-iw9bsKY2OqkUHCFMkCar3A&amp;gid=2055363397#gid=2055363397"",""MTR!C:O""),9,false)"),"")</f>
        <v/>
      </c>
      <c r="P1927" s="241"/>
      <c r="Q1927" s="241"/>
      <c r="R1927" s="241"/>
      <c r="S1927" s="240" t="s">
        <v>390</v>
      </c>
      <c r="T1927" s="240" t="s">
        <v>390</v>
      </c>
      <c r="U1927" s="240" t="s">
        <v>390</v>
      </c>
      <c r="V1927" s="240" t="s">
        <v>390</v>
      </c>
      <c r="W1927" s="240" t="s">
        <v>390</v>
      </c>
      <c r="X1927" s="240" t="s">
        <v>390</v>
      </c>
      <c r="Y1927" s="240" t="s">
        <v>390</v>
      </c>
      <c r="Z1927" s="240" t="s">
        <v>390</v>
      </c>
      <c r="AA1927" s="240" t="s">
        <v>390</v>
      </c>
      <c r="AB1927" s="240"/>
      <c r="AC1927" s="242" t="b">
        <f t="shared" si="2"/>
        <v>0</v>
      </c>
      <c r="AD1927" s="240" t="s">
        <v>391</v>
      </c>
      <c r="AE1927" s="243" t="b">
        <f t="shared" si="3"/>
        <v>0</v>
      </c>
      <c r="AF1927" s="240"/>
      <c r="AG1927" s="243" t="b">
        <f t="shared" si="7"/>
        <v>0</v>
      </c>
      <c r="AH1927" s="240"/>
      <c r="AI1927" s="243" t="str">
        <f t="shared" si="5"/>
        <v>N/A</v>
      </c>
      <c r="AJ1927" s="157" t="str">
        <f t="shared" si="6"/>
        <v/>
      </c>
    </row>
    <row r="1928" ht="12.75" customHeight="1">
      <c r="A1928" s="244" t="s">
        <v>4158</v>
      </c>
      <c r="B1928" s="244" t="s">
        <v>4161</v>
      </c>
      <c r="C1928" s="244" t="s">
        <v>4878</v>
      </c>
      <c r="D1928" s="154" t="s">
        <v>443</v>
      </c>
      <c r="E1928" s="250"/>
      <c r="F1928" s="154" t="str">
        <f t="array" ref="F1928">XLOOKUP(Cover!$D$12,$S$1:$AA$1,$S1928:$AA1928)</f>
        <v>Mandatory</v>
      </c>
      <c r="G1928" s="154" t="s">
        <v>4879</v>
      </c>
      <c r="H1928" s="154" t="s">
        <v>4880</v>
      </c>
      <c r="I1928" s="154" t="s">
        <v>632</v>
      </c>
      <c r="J1928" s="247" t="s">
        <v>445</v>
      </c>
      <c r="K1928" s="154"/>
      <c r="L1928" s="154" t="str">
        <f t="shared" si="1"/>
        <v/>
      </c>
      <c r="M1928" s="248" t="str">
        <f>IFERROR(__xludf.DUMMYFUNCTION("VLOOKUP(C1928,IMPORTRANGE(""https://docs.google.com/spreadsheets/d/1P8eX0NWBhUPS_hvzA11R6jkTNFrPrRYIx_dX_hYbxrk/edit?resourcekey=0-iw9bsKY2OqkUHCFMkCar3A&amp;gid=2055363397#gid=2055363397"",""MTR!C:O""),11,false)"),"PMW-IMS")</f>
        <v>PMW-IMS</v>
      </c>
      <c r="N1928" s="248" t="str">
        <f>IFERROR(__xludf.DUMMYFUNCTION("VLOOKUP(C1928,IMPORTRANGE(""https://docs.google.com/spreadsheets/d/1ihFlp3_ePlYtFuPbUNbYj1muErVpI73WHXbEwJDIA7Q/edit#gid=1493122344"",""MTR!C:O""),8,false)"),"Complies")</f>
        <v>Complies</v>
      </c>
      <c r="O1928" s="241" t="str">
        <f>IFERROR(__xludf.DUMMYFUNCTION("VLOOKUP(C1928,IMPORTRANGE(""https://docs.google.com/spreadsheets/d/1P8eX0NWBhUPS_hvzA11R6jkTNFrPrRYIx_dX_hYbxrk/edit?resourcekey=0-iw9bsKY2OqkUHCFMkCar3A&amp;gid=2055363397#gid=2055363397"",""MTR!C:O""),9,false)"),"")</f>
        <v/>
      </c>
      <c r="P1928" s="241"/>
      <c r="Q1928" s="251" t="s">
        <v>445</v>
      </c>
      <c r="R1928" s="241"/>
      <c r="S1928" s="154" t="s">
        <v>60</v>
      </c>
      <c r="T1928" s="154" t="s">
        <v>60</v>
      </c>
      <c r="U1928" s="154" t="s">
        <v>60</v>
      </c>
      <c r="V1928" s="154" t="s">
        <v>60</v>
      </c>
      <c r="W1928" s="154" t="s">
        <v>60</v>
      </c>
      <c r="X1928" s="154" t="s">
        <v>60</v>
      </c>
      <c r="Y1928" s="154" t="s">
        <v>64</v>
      </c>
      <c r="Z1928" s="154" t="s">
        <v>64</v>
      </c>
      <c r="AA1928" s="154" t="s">
        <v>64</v>
      </c>
      <c r="AB1928" s="154"/>
      <c r="AC1928" s="242" t="b">
        <f t="shared" si="2"/>
        <v>1</v>
      </c>
      <c r="AD1928" s="154" t="s">
        <v>391</v>
      </c>
      <c r="AE1928" s="243" t="b">
        <f t="shared" si="3"/>
        <v>0</v>
      </c>
      <c r="AF1928" s="154"/>
      <c r="AG1928" s="243" t="b">
        <f t="shared" si="7"/>
        <v>0</v>
      </c>
      <c r="AH1928" s="154"/>
      <c r="AI1928" s="243" t="str">
        <f t="shared" si="5"/>
        <v>N/A</v>
      </c>
      <c r="AJ1928" s="157" t="str">
        <f t="shared" si="6"/>
        <v/>
      </c>
    </row>
    <row r="1929" ht="12.75" customHeight="1">
      <c r="A1929" s="244" t="s">
        <v>4158</v>
      </c>
      <c r="B1929" s="244" t="s">
        <v>4161</v>
      </c>
      <c r="C1929" s="244" t="s">
        <v>4881</v>
      </c>
      <c r="D1929" s="154" t="s">
        <v>443</v>
      </c>
      <c r="E1929" s="250"/>
      <c r="F1929" s="154" t="str">
        <f t="array" ref="F1929">XLOOKUP(Cover!$D$12,$S$1:$AA$1,$S1929:$AA1929)</f>
        <v>Mandatory</v>
      </c>
      <c r="G1929" s="154" t="s">
        <v>4882</v>
      </c>
      <c r="H1929" s="154" t="s">
        <v>4880</v>
      </c>
      <c r="I1929" s="154" t="s">
        <v>632</v>
      </c>
      <c r="J1929" s="247" t="s">
        <v>445</v>
      </c>
      <c r="K1929" s="154"/>
      <c r="L1929" s="154" t="str">
        <f t="shared" si="1"/>
        <v/>
      </c>
      <c r="M1929" s="248" t="str">
        <f>IFERROR(__xludf.DUMMYFUNCTION("VLOOKUP(C1929,IMPORTRANGE(""https://docs.google.com/spreadsheets/d/1P8eX0NWBhUPS_hvzA11R6jkTNFrPrRYIx_dX_hYbxrk/edit?resourcekey=0-iw9bsKY2OqkUHCFMkCar3A&amp;gid=2055363397#gid=2055363397"",""MTR!C:O""),11,false)"),"PMW-IMS")</f>
        <v>PMW-IMS</v>
      </c>
      <c r="N1929" s="248" t="str">
        <f>IFERROR(__xludf.DUMMYFUNCTION("VLOOKUP(C1929,IMPORTRANGE(""https://docs.google.com/spreadsheets/d/1ihFlp3_ePlYtFuPbUNbYj1muErVpI73WHXbEwJDIA7Q/edit#gid=1493122344"",""MTR!C:O""),8,false)"),"Complies")</f>
        <v>Complies</v>
      </c>
      <c r="O1929" s="241" t="str">
        <f>IFERROR(__xludf.DUMMYFUNCTION("VLOOKUP(C1929,IMPORTRANGE(""https://docs.google.com/spreadsheets/d/1P8eX0NWBhUPS_hvzA11R6jkTNFrPrRYIx_dX_hYbxrk/edit?resourcekey=0-iw9bsKY2OqkUHCFMkCar3A&amp;gid=2055363397#gid=2055363397"",""MTR!C:O""),9,false)"),"")</f>
        <v/>
      </c>
      <c r="P1929" s="241"/>
      <c r="Q1929" s="251" t="s">
        <v>445</v>
      </c>
      <c r="R1929" s="241"/>
      <c r="S1929" s="154" t="s">
        <v>60</v>
      </c>
      <c r="T1929" s="154" t="s">
        <v>60</v>
      </c>
      <c r="U1929" s="154" t="s">
        <v>60</v>
      </c>
      <c r="V1929" s="154" t="s">
        <v>60</v>
      </c>
      <c r="W1929" s="154" t="s">
        <v>60</v>
      </c>
      <c r="X1929" s="154" t="s">
        <v>60</v>
      </c>
      <c r="Y1929" s="154" t="s">
        <v>64</v>
      </c>
      <c r="Z1929" s="154" t="s">
        <v>64</v>
      </c>
      <c r="AA1929" s="154" t="s">
        <v>64</v>
      </c>
      <c r="AB1929" s="154"/>
      <c r="AC1929" s="242" t="b">
        <f t="shared" si="2"/>
        <v>1</v>
      </c>
      <c r="AD1929" s="154" t="s">
        <v>391</v>
      </c>
      <c r="AE1929" s="243" t="b">
        <f t="shared" si="3"/>
        <v>0</v>
      </c>
      <c r="AF1929" s="154"/>
      <c r="AG1929" s="243" t="b">
        <f t="shared" si="7"/>
        <v>0</v>
      </c>
      <c r="AH1929" s="154"/>
      <c r="AI1929" s="243" t="str">
        <f t="shared" si="5"/>
        <v>N/A</v>
      </c>
      <c r="AJ1929" s="157" t="str">
        <f t="shared" si="6"/>
        <v/>
      </c>
    </row>
    <row r="1930" ht="12.75" customHeight="1">
      <c r="A1930" s="244" t="s">
        <v>4158</v>
      </c>
      <c r="B1930" s="244" t="s">
        <v>4161</v>
      </c>
      <c r="C1930" s="244" t="s">
        <v>4883</v>
      </c>
      <c r="D1930" s="154" t="s">
        <v>411</v>
      </c>
      <c r="E1930" s="250"/>
      <c r="F1930" s="154" t="str">
        <f t="array" ref="F1930">XLOOKUP(Cover!$D$12,$S$1:$AA$1,$S1930:$AA1930)</f>
        <v>Mandatory</v>
      </c>
      <c r="G1930" s="154" t="s">
        <v>4884</v>
      </c>
      <c r="H1930" s="154" t="s">
        <v>4880</v>
      </c>
      <c r="I1930" s="154" t="s">
        <v>632</v>
      </c>
      <c r="J1930" s="247" t="s">
        <v>445</v>
      </c>
      <c r="K1930" s="154"/>
      <c r="L1930" s="154" t="str">
        <f t="shared" si="1"/>
        <v/>
      </c>
      <c r="M1930" s="248" t="str">
        <f>IFERROR(__xludf.DUMMYFUNCTION("VLOOKUP(C1930,IMPORTRANGE(""https://docs.google.com/spreadsheets/d/1P8eX0NWBhUPS_hvzA11R6jkTNFrPrRYIx_dX_hYbxrk/edit?resourcekey=0-iw9bsKY2OqkUHCFMkCar3A&amp;gid=2055363397#gid=2055363397"",""MTR!C:O""),11,false)"),"PMW-IMS")</f>
        <v>PMW-IMS</v>
      </c>
      <c r="N1930" s="248" t="str">
        <f>IFERROR(__xludf.DUMMYFUNCTION("VLOOKUP(C1930,IMPORTRANGE(""https://docs.google.com/spreadsheets/d/1ihFlp3_ePlYtFuPbUNbYj1muErVpI73WHXbEwJDIA7Q/edit#gid=1493122344"",""MTR!C:O""),8,false)"),"Complies")</f>
        <v>Complies</v>
      </c>
      <c r="O1930" s="241" t="str">
        <f>IFERROR(__xludf.DUMMYFUNCTION("VLOOKUP(C1930,IMPORTRANGE(""https://docs.google.com/spreadsheets/d/1P8eX0NWBhUPS_hvzA11R6jkTNFrPrRYIx_dX_hYbxrk/edit?resourcekey=0-iw9bsKY2OqkUHCFMkCar3A&amp;gid=2055363397#gid=2055363397"",""MTR!C:O""),9,false)"),"")</f>
        <v/>
      </c>
      <c r="P1930" s="241"/>
      <c r="Q1930" s="251" t="s">
        <v>445</v>
      </c>
      <c r="R1930" s="241"/>
      <c r="S1930" s="154" t="s">
        <v>60</v>
      </c>
      <c r="T1930" s="154" t="s">
        <v>60</v>
      </c>
      <c r="U1930" s="154" t="s">
        <v>60</v>
      </c>
      <c r="V1930" s="154" t="s">
        <v>60</v>
      </c>
      <c r="W1930" s="154" t="s">
        <v>60</v>
      </c>
      <c r="X1930" s="154" t="s">
        <v>60</v>
      </c>
      <c r="Y1930" s="154" t="s">
        <v>64</v>
      </c>
      <c r="Z1930" s="154" t="s">
        <v>64</v>
      </c>
      <c r="AA1930" s="154" t="s">
        <v>64</v>
      </c>
      <c r="AB1930" s="154"/>
      <c r="AC1930" s="242" t="b">
        <f t="shared" si="2"/>
        <v>1</v>
      </c>
      <c r="AD1930" s="154" t="s">
        <v>391</v>
      </c>
      <c r="AE1930" s="243" t="b">
        <f t="shared" si="3"/>
        <v>0</v>
      </c>
      <c r="AF1930" s="154"/>
      <c r="AG1930" s="243" t="b">
        <f t="shared" si="7"/>
        <v>0</v>
      </c>
      <c r="AH1930" s="154"/>
      <c r="AI1930" s="243" t="str">
        <f t="shared" si="5"/>
        <v>N/A</v>
      </c>
      <c r="AJ1930" s="157" t="str">
        <f t="shared" si="6"/>
        <v/>
      </c>
    </row>
    <row r="1931" ht="12.75" customHeight="1">
      <c r="A1931" s="244" t="s">
        <v>4158</v>
      </c>
      <c r="B1931" s="244" t="s">
        <v>4161</v>
      </c>
      <c r="C1931" s="244" t="s">
        <v>4885</v>
      </c>
      <c r="D1931" s="154" t="s">
        <v>443</v>
      </c>
      <c r="E1931" s="250"/>
      <c r="F1931" s="154" t="str">
        <f t="array" ref="F1931">XLOOKUP(Cover!$D$12,$S$1:$AA$1,$S1931:$AA1931)</f>
        <v>Mandatory</v>
      </c>
      <c r="G1931" s="154" t="s">
        <v>4886</v>
      </c>
      <c r="H1931" s="154" t="s">
        <v>345</v>
      </c>
      <c r="I1931" s="154" t="s">
        <v>632</v>
      </c>
      <c r="J1931" s="247" t="s">
        <v>445</v>
      </c>
      <c r="K1931" s="154"/>
      <c r="L1931" s="154" t="str">
        <f t="shared" si="1"/>
        <v/>
      </c>
      <c r="M1931" s="248" t="str">
        <f>IFERROR(__xludf.DUMMYFUNCTION("VLOOKUP(C1931,IMPORTRANGE(""https://docs.google.com/spreadsheets/d/1P8eX0NWBhUPS_hvzA11R6jkTNFrPrRYIx_dX_hYbxrk/edit?resourcekey=0-iw9bsKY2OqkUHCFMkCar3A&amp;gid=2055363397#gid=2055363397"",""MTR!C:O""),11,false)"),"PMW-MCE-NAS")</f>
        <v>PMW-MCE-NAS</v>
      </c>
      <c r="N1931" s="248" t="str">
        <f>IFERROR(__xludf.DUMMYFUNCTION("VLOOKUP(C1931,IMPORTRANGE(""https://docs.google.com/spreadsheets/d/1ihFlp3_ePlYtFuPbUNbYj1muErVpI73WHXbEwJDIA7Q/edit#gid=1493122344"",""MTR!C:O""),8,false)"),"Complies")</f>
        <v>Complies</v>
      </c>
      <c r="O1931" s="241" t="str">
        <f>IFERROR(__xludf.DUMMYFUNCTION("VLOOKUP(C1931,IMPORTRANGE(""https://docs.google.com/spreadsheets/d/1P8eX0NWBhUPS_hvzA11R6jkTNFrPrRYIx_dX_hYbxrk/edit?resourcekey=0-iw9bsKY2OqkUHCFMkCar3A&amp;gid=2055363397#gid=2055363397"",""MTR!C:O""),9,false)"),"")</f>
        <v/>
      </c>
      <c r="P1931" s="241"/>
      <c r="Q1931" s="251" t="s">
        <v>445</v>
      </c>
      <c r="R1931" s="241"/>
      <c r="S1931" s="154" t="s">
        <v>60</v>
      </c>
      <c r="T1931" s="154" t="s">
        <v>60</v>
      </c>
      <c r="U1931" s="154" t="s">
        <v>60</v>
      </c>
      <c r="V1931" s="154" t="s">
        <v>60</v>
      </c>
      <c r="W1931" s="154" t="s">
        <v>60</v>
      </c>
      <c r="X1931" s="154" t="s">
        <v>60</v>
      </c>
      <c r="Y1931" s="154" t="s">
        <v>64</v>
      </c>
      <c r="Z1931" s="154" t="s">
        <v>64</v>
      </c>
      <c r="AA1931" s="154" t="s">
        <v>64</v>
      </c>
      <c r="AB1931" s="154"/>
      <c r="AC1931" s="242" t="b">
        <f t="shared" si="2"/>
        <v>1</v>
      </c>
      <c r="AD1931" s="154" t="s">
        <v>391</v>
      </c>
      <c r="AE1931" s="243" t="b">
        <f t="shared" si="3"/>
        <v>0</v>
      </c>
      <c r="AF1931" s="154"/>
      <c r="AG1931" s="243" t="b">
        <f t="shared" si="7"/>
        <v>0</v>
      </c>
      <c r="AH1931" s="154"/>
      <c r="AI1931" s="243" t="str">
        <f t="shared" si="5"/>
        <v>N/A</v>
      </c>
      <c r="AJ1931" s="157" t="str">
        <f t="shared" si="6"/>
        <v/>
      </c>
    </row>
    <row r="1932" ht="12.75" customHeight="1">
      <c r="A1932" s="238" t="s">
        <v>4158</v>
      </c>
      <c r="B1932" s="238" t="s">
        <v>4161</v>
      </c>
      <c r="C1932" s="238" t="s">
        <v>4887</v>
      </c>
      <c r="D1932" s="238"/>
      <c r="E1932" s="238"/>
      <c r="F1932" s="154" t="str">
        <f t="array" ref="F1932">XLOOKUP(Cover!$D$12,$S$1:$AA$1,$S1932:$AA1932)</f>
        <v>Heading</v>
      </c>
      <c r="G1932" s="239" t="s">
        <v>4888</v>
      </c>
      <c r="H1932" s="240"/>
      <c r="I1932" s="240" t="s">
        <v>632</v>
      </c>
      <c r="J1932" s="262"/>
      <c r="K1932" s="240"/>
      <c r="L1932" s="154" t="str">
        <f t="shared" si="1"/>
        <v/>
      </c>
      <c r="M1932" s="241" t="str">
        <f>IFERROR(__xludf.DUMMYFUNCTION("VLOOKUP(C1932,IMPORTRANGE(""https://docs.google.com/spreadsheets/d/1P8eX0NWBhUPS_hvzA11R6jkTNFrPrRYIx_dX_hYbxrk/edit?resourcekey=0-iw9bsKY2OqkUHCFMkCar3A&amp;gid=2055363397#gid=2055363397"",""MTR!C:O""),11,false)"),"")</f>
        <v/>
      </c>
      <c r="N1932" s="241" t="str">
        <f>IFERROR(__xludf.DUMMYFUNCTION("VLOOKUP(C1932,IMPORTRANGE(""https://docs.google.com/spreadsheets/d/1ihFlp3_ePlYtFuPbUNbYj1muErVpI73WHXbEwJDIA7Q/edit#gid=1493122344"",""MTR!C:O""),8,false)"),"")</f>
        <v/>
      </c>
      <c r="O1932" s="241" t="str">
        <f>IFERROR(__xludf.DUMMYFUNCTION("VLOOKUP(C1932,IMPORTRANGE(""https://docs.google.com/spreadsheets/d/1P8eX0NWBhUPS_hvzA11R6jkTNFrPrRYIx_dX_hYbxrk/edit?resourcekey=0-iw9bsKY2OqkUHCFMkCar3A&amp;gid=2055363397#gid=2055363397"",""MTR!C:O""),9,false)"),"")</f>
        <v/>
      </c>
      <c r="P1932" s="241"/>
      <c r="Q1932" s="251"/>
      <c r="R1932" s="241"/>
      <c r="S1932" s="240" t="s">
        <v>390</v>
      </c>
      <c r="T1932" s="240" t="s">
        <v>390</v>
      </c>
      <c r="U1932" s="240" t="s">
        <v>390</v>
      </c>
      <c r="V1932" s="240" t="s">
        <v>390</v>
      </c>
      <c r="W1932" s="240" t="s">
        <v>390</v>
      </c>
      <c r="X1932" s="240" t="s">
        <v>390</v>
      </c>
      <c r="Y1932" s="240" t="s">
        <v>390</v>
      </c>
      <c r="Z1932" s="240" t="s">
        <v>390</v>
      </c>
      <c r="AA1932" s="240" t="s">
        <v>390</v>
      </c>
      <c r="AB1932" s="240"/>
      <c r="AC1932" s="242" t="b">
        <f t="shared" si="2"/>
        <v>0</v>
      </c>
      <c r="AD1932" s="240" t="s">
        <v>391</v>
      </c>
      <c r="AE1932" s="243" t="b">
        <f t="shared" si="3"/>
        <v>0</v>
      </c>
      <c r="AF1932" s="240"/>
      <c r="AG1932" s="243" t="b">
        <f t="shared" si="7"/>
        <v>0</v>
      </c>
      <c r="AH1932" s="240"/>
      <c r="AI1932" s="243" t="str">
        <f t="shared" si="5"/>
        <v>N/A</v>
      </c>
      <c r="AJ1932" s="157" t="str">
        <f t="shared" si="6"/>
        <v/>
      </c>
    </row>
    <row r="1933" ht="12.75" customHeight="1">
      <c r="A1933" s="244" t="s">
        <v>4158</v>
      </c>
      <c r="B1933" s="244" t="s">
        <v>4161</v>
      </c>
      <c r="C1933" s="244" t="s">
        <v>4889</v>
      </c>
      <c r="D1933" s="154" t="s">
        <v>477</v>
      </c>
      <c r="E1933" s="250"/>
      <c r="F1933" s="154" t="str">
        <f t="array" ref="F1933">XLOOKUP(Cover!$D$12,$S$1:$AA$1,$S1933:$AA1933)</f>
        <v>Mandatory</v>
      </c>
      <c r="G1933" s="154" t="s">
        <v>4890</v>
      </c>
      <c r="H1933" s="154" t="s">
        <v>345</v>
      </c>
      <c r="I1933" s="154" t="s">
        <v>632</v>
      </c>
      <c r="J1933" s="247" t="s">
        <v>445</v>
      </c>
      <c r="K1933" s="154"/>
      <c r="L1933" s="154" t="str">
        <f t="shared" si="1"/>
        <v/>
      </c>
      <c r="M1933" s="248" t="str">
        <f>IFERROR(__xludf.DUMMYFUNCTION("VLOOKUP(C1933,IMPORTRANGE(""https://docs.google.com/spreadsheets/d/1P8eX0NWBhUPS_hvzA11R6jkTNFrPrRYIx_dX_hYbxrk/edit?resourcekey=0-iw9bsKY2OqkUHCFMkCar3A&amp;gid=2055363397#gid=2055363397"",""MTR!C:O""),11,false)"),"PMW-MCE-NAS")</f>
        <v>PMW-MCE-NAS</v>
      </c>
      <c r="N1933" s="248" t="str">
        <f>IFERROR(__xludf.DUMMYFUNCTION("VLOOKUP(C1933,IMPORTRANGE(""https://docs.google.com/spreadsheets/d/1ihFlp3_ePlYtFuPbUNbYj1muErVpI73WHXbEwJDIA7Q/edit#gid=1493122344"",""MTR!C:O""),8,false)"),"Complies")</f>
        <v>Complies</v>
      </c>
      <c r="O1933" s="241" t="str">
        <f>IFERROR(__xludf.DUMMYFUNCTION("VLOOKUP(C1933,IMPORTRANGE(""https://docs.google.com/spreadsheets/d/1P8eX0NWBhUPS_hvzA11R6jkTNFrPrRYIx_dX_hYbxrk/edit?resourcekey=0-iw9bsKY2OqkUHCFMkCar3A&amp;gid=2055363397#gid=2055363397"",""MTR!C:O""),9,false)"),"")</f>
        <v/>
      </c>
      <c r="P1933" s="241"/>
      <c r="Q1933" s="251" t="s">
        <v>445</v>
      </c>
      <c r="R1933" s="241"/>
      <c r="S1933" s="154" t="s">
        <v>60</v>
      </c>
      <c r="T1933" s="154" t="s">
        <v>60</v>
      </c>
      <c r="U1933" s="154" t="s">
        <v>60</v>
      </c>
      <c r="V1933" s="154" t="s">
        <v>60</v>
      </c>
      <c r="W1933" s="154" t="s">
        <v>60</v>
      </c>
      <c r="X1933" s="154" t="s">
        <v>60</v>
      </c>
      <c r="Y1933" s="154" t="s">
        <v>64</v>
      </c>
      <c r="Z1933" s="154" t="s">
        <v>64</v>
      </c>
      <c r="AA1933" s="154" t="s">
        <v>64</v>
      </c>
      <c r="AB1933" s="154"/>
      <c r="AC1933" s="242" t="b">
        <f t="shared" si="2"/>
        <v>1</v>
      </c>
      <c r="AD1933" s="154" t="s">
        <v>391</v>
      </c>
      <c r="AE1933" s="243" t="b">
        <f t="shared" si="3"/>
        <v>0</v>
      </c>
      <c r="AF1933" s="154"/>
      <c r="AG1933" s="243" t="b">
        <f t="shared" si="7"/>
        <v>0</v>
      </c>
      <c r="AH1933" s="154"/>
      <c r="AI1933" s="243" t="str">
        <f t="shared" si="5"/>
        <v>N/A</v>
      </c>
      <c r="AJ1933" s="157" t="str">
        <f t="shared" si="6"/>
        <v/>
      </c>
    </row>
    <row r="1934" ht="12.75" customHeight="1">
      <c r="A1934" s="244" t="s">
        <v>4158</v>
      </c>
      <c r="B1934" s="244" t="s">
        <v>4161</v>
      </c>
      <c r="C1934" s="244" t="s">
        <v>4891</v>
      </c>
      <c r="D1934" s="154" t="s">
        <v>2802</v>
      </c>
      <c r="E1934" s="250"/>
      <c r="F1934" s="154" t="str">
        <f t="array" ref="F1934">XLOOKUP(Cover!$D$12,$S$1:$AA$1,$S1934:$AA1934)</f>
        <v>Mandatory</v>
      </c>
      <c r="G1934" s="154" t="s">
        <v>4892</v>
      </c>
      <c r="H1934" s="154" t="s">
        <v>345</v>
      </c>
      <c r="I1934" s="154" t="s">
        <v>632</v>
      </c>
      <c r="J1934" s="247" t="s">
        <v>445</v>
      </c>
      <c r="K1934" s="154"/>
      <c r="L1934" s="154" t="str">
        <f t="shared" si="1"/>
        <v/>
      </c>
      <c r="M1934" s="248" t="str">
        <f>IFERROR(__xludf.DUMMYFUNCTION("VLOOKUP(C1934,IMPORTRANGE(""https://docs.google.com/spreadsheets/d/1P8eX0NWBhUPS_hvzA11R6jkTNFrPrRYIx_dX_hYbxrk/edit?resourcekey=0-iw9bsKY2OqkUHCFMkCar3A&amp;gid=2055363397#gid=2055363397"",""MTR!C:O""),11,false)"),"PMW-MCE-NAS")</f>
        <v>PMW-MCE-NAS</v>
      </c>
      <c r="N1934" s="248" t="str">
        <f>IFERROR(__xludf.DUMMYFUNCTION("VLOOKUP(C1934,IMPORTRANGE(""https://docs.google.com/spreadsheets/d/1ihFlp3_ePlYtFuPbUNbYj1muErVpI73WHXbEwJDIA7Q/edit#gid=1493122344"",""MTR!C:O""),8,false)"),"Complies")</f>
        <v>Complies</v>
      </c>
      <c r="O1934" s="241" t="str">
        <f>IFERROR(__xludf.DUMMYFUNCTION("VLOOKUP(C1934,IMPORTRANGE(""https://docs.google.com/spreadsheets/d/1P8eX0NWBhUPS_hvzA11R6jkTNFrPrRYIx_dX_hYbxrk/edit?resourcekey=0-iw9bsKY2OqkUHCFMkCar3A&amp;gid=2055363397#gid=2055363397"",""MTR!C:O""),9,false)"),"")</f>
        <v/>
      </c>
      <c r="P1934" s="241"/>
      <c r="Q1934" s="251" t="s">
        <v>445</v>
      </c>
      <c r="R1934" s="241"/>
      <c r="S1934" s="154" t="s">
        <v>60</v>
      </c>
      <c r="T1934" s="154" t="s">
        <v>60</v>
      </c>
      <c r="U1934" s="154" t="s">
        <v>60</v>
      </c>
      <c r="V1934" s="154" t="s">
        <v>60</v>
      </c>
      <c r="W1934" s="154" t="s">
        <v>60</v>
      </c>
      <c r="X1934" s="154" t="s">
        <v>60</v>
      </c>
      <c r="Y1934" s="154" t="s">
        <v>64</v>
      </c>
      <c r="Z1934" s="154" t="s">
        <v>64</v>
      </c>
      <c r="AA1934" s="154" t="s">
        <v>64</v>
      </c>
      <c r="AB1934" s="154"/>
      <c r="AC1934" s="242" t="b">
        <f t="shared" si="2"/>
        <v>1</v>
      </c>
      <c r="AD1934" s="154" t="s">
        <v>391</v>
      </c>
      <c r="AE1934" s="243" t="b">
        <f t="shared" si="3"/>
        <v>0</v>
      </c>
      <c r="AF1934" s="154"/>
      <c r="AG1934" s="243" t="b">
        <f t="shared" si="7"/>
        <v>0</v>
      </c>
      <c r="AH1934" s="154"/>
      <c r="AI1934" s="243" t="str">
        <f t="shared" si="5"/>
        <v>N/A</v>
      </c>
      <c r="AJ1934" s="157" t="str">
        <f t="shared" si="6"/>
        <v/>
      </c>
    </row>
    <row r="1935" ht="12.75" customHeight="1">
      <c r="A1935" s="244" t="s">
        <v>4158</v>
      </c>
      <c r="B1935" s="244" t="s">
        <v>4161</v>
      </c>
      <c r="C1935" s="244" t="s">
        <v>4893</v>
      </c>
      <c r="D1935" s="154" t="s">
        <v>2746</v>
      </c>
      <c r="E1935" s="250"/>
      <c r="F1935" s="154" t="str">
        <f t="array" ref="F1935">XLOOKUP(Cover!$D$12,$S$1:$AA$1,$S1935:$AA1935)</f>
        <v>Mandatory</v>
      </c>
      <c r="G1935" s="154" t="s">
        <v>4894</v>
      </c>
      <c r="H1935" s="154" t="s">
        <v>345</v>
      </c>
      <c r="I1935" s="154" t="s">
        <v>632</v>
      </c>
      <c r="J1935" s="247" t="s">
        <v>445</v>
      </c>
      <c r="K1935" s="154"/>
      <c r="L1935" s="154" t="str">
        <f t="shared" si="1"/>
        <v/>
      </c>
      <c r="M1935" s="248" t="str">
        <f>IFERROR(__xludf.DUMMYFUNCTION("VLOOKUP(C1935,IMPORTRANGE(""https://docs.google.com/spreadsheets/d/1P8eX0NWBhUPS_hvzA11R6jkTNFrPrRYIx_dX_hYbxrk/edit?resourcekey=0-iw9bsKY2OqkUHCFMkCar3A&amp;gid=2055363397#gid=2055363397"",""MTR!C:O""),11,false)"),"PMW-MCE-NAS")</f>
        <v>PMW-MCE-NAS</v>
      </c>
      <c r="N1935" s="248" t="str">
        <f>IFERROR(__xludf.DUMMYFUNCTION("VLOOKUP(C1935,IMPORTRANGE(""https://docs.google.com/spreadsheets/d/1ihFlp3_ePlYtFuPbUNbYj1muErVpI73WHXbEwJDIA7Q/edit#gid=1493122344"",""MTR!C:O""),8,false)"),"Complies")</f>
        <v>Complies</v>
      </c>
      <c r="O1935" s="241" t="str">
        <f>IFERROR(__xludf.DUMMYFUNCTION("VLOOKUP(C1935,IMPORTRANGE(""https://docs.google.com/spreadsheets/d/1P8eX0NWBhUPS_hvzA11R6jkTNFrPrRYIx_dX_hYbxrk/edit?resourcekey=0-iw9bsKY2OqkUHCFMkCar3A&amp;gid=2055363397#gid=2055363397"",""MTR!C:O""),9,false)"),"")</f>
        <v/>
      </c>
      <c r="P1935" s="241"/>
      <c r="Q1935" s="251" t="s">
        <v>445</v>
      </c>
      <c r="R1935" s="241"/>
      <c r="S1935" s="154" t="s">
        <v>60</v>
      </c>
      <c r="T1935" s="154" t="s">
        <v>60</v>
      </c>
      <c r="U1935" s="154" t="s">
        <v>60</v>
      </c>
      <c r="V1935" s="154" t="s">
        <v>60</v>
      </c>
      <c r="W1935" s="154" t="s">
        <v>60</v>
      </c>
      <c r="X1935" s="154" t="s">
        <v>60</v>
      </c>
      <c r="Y1935" s="154" t="s">
        <v>64</v>
      </c>
      <c r="Z1935" s="154" t="s">
        <v>64</v>
      </c>
      <c r="AA1935" s="154" t="s">
        <v>64</v>
      </c>
      <c r="AB1935" s="154"/>
      <c r="AC1935" s="242" t="b">
        <f t="shared" si="2"/>
        <v>1</v>
      </c>
      <c r="AD1935" s="154" t="s">
        <v>391</v>
      </c>
      <c r="AE1935" s="243" t="b">
        <f t="shared" si="3"/>
        <v>0</v>
      </c>
      <c r="AF1935" s="154"/>
      <c r="AG1935" s="243" t="b">
        <f t="shared" si="7"/>
        <v>0</v>
      </c>
      <c r="AH1935" s="154"/>
      <c r="AI1935" s="243" t="str">
        <f t="shared" si="5"/>
        <v>N/A</v>
      </c>
      <c r="AJ1935" s="157" t="str">
        <f t="shared" si="6"/>
        <v/>
      </c>
    </row>
    <row r="1936" ht="12.75" customHeight="1">
      <c r="A1936" s="238" t="s">
        <v>4158</v>
      </c>
      <c r="B1936" s="238" t="s">
        <v>4161</v>
      </c>
      <c r="C1936" s="238" t="s">
        <v>4895</v>
      </c>
      <c r="D1936" s="238"/>
      <c r="E1936" s="238"/>
      <c r="F1936" s="154" t="str">
        <f t="array" ref="F1936">XLOOKUP(Cover!$D$12,$S$1:$AA$1,$S1936:$AA1936)</f>
        <v>Heading</v>
      </c>
      <c r="G1936" s="239" t="s">
        <v>4896</v>
      </c>
      <c r="H1936" s="240"/>
      <c r="I1936" s="240" t="s">
        <v>632</v>
      </c>
      <c r="J1936" s="262"/>
      <c r="K1936" s="240"/>
      <c r="L1936" s="154" t="str">
        <f t="shared" si="1"/>
        <v/>
      </c>
      <c r="M1936" s="241" t="str">
        <f>IFERROR(__xludf.DUMMYFUNCTION("VLOOKUP(C1936,IMPORTRANGE(""https://docs.google.com/spreadsheets/d/1P8eX0NWBhUPS_hvzA11R6jkTNFrPrRYIx_dX_hYbxrk/edit?resourcekey=0-iw9bsKY2OqkUHCFMkCar3A&amp;gid=2055363397#gid=2055363397"",""MTR!C:O""),11,false)"),"")</f>
        <v/>
      </c>
      <c r="N1936" s="241" t="str">
        <f>IFERROR(__xludf.DUMMYFUNCTION("VLOOKUP(C1936,IMPORTRANGE(""https://docs.google.com/spreadsheets/d/1ihFlp3_ePlYtFuPbUNbYj1muErVpI73WHXbEwJDIA7Q/edit#gid=1493122344"",""MTR!C:O""),8,false)"),"")</f>
        <v/>
      </c>
      <c r="O1936" s="241" t="str">
        <f>IFERROR(__xludf.DUMMYFUNCTION("VLOOKUP(C1936,IMPORTRANGE(""https://docs.google.com/spreadsheets/d/1P8eX0NWBhUPS_hvzA11R6jkTNFrPrRYIx_dX_hYbxrk/edit?resourcekey=0-iw9bsKY2OqkUHCFMkCar3A&amp;gid=2055363397#gid=2055363397"",""MTR!C:O""),9,false)"),"")</f>
        <v/>
      </c>
      <c r="P1936" s="241"/>
      <c r="Q1936" s="251"/>
      <c r="R1936" s="241"/>
      <c r="S1936" s="240" t="s">
        <v>390</v>
      </c>
      <c r="T1936" s="240" t="s">
        <v>390</v>
      </c>
      <c r="U1936" s="240" t="s">
        <v>390</v>
      </c>
      <c r="V1936" s="240" t="s">
        <v>390</v>
      </c>
      <c r="W1936" s="240" t="s">
        <v>390</v>
      </c>
      <c r="X1936" s="240" t="s">
        <v>390</v>
      </c>
      <c r="Y1936" s="240" t="s">
        <v>390</v>
      </c>
      <c r="Z1936" s="240" t="s">
        <v>390</v>
      </c>
      <c r="AA1936" s="240" t="s">
        <v>390</v>
      </c>
      <c r="AB1936" s="240"/>
      <c r="AC1936" s="242" t="b">
        <f t="shared" si="2"/>
        <v>0</v>
      </c>
      <c r="AD1936" s="240" t="s">
        <v>391</v>
      </c>
      <c r="AE1936" s="243" t="b">
        <f t="shared" si="3"/>
        <v>0</v>
      </c>
      <c r="AF1936" s="240"/>
      <c r="AG1936" s="243" t="b">
        <f t="shared" si="7"/>
        <v>0</v>
      </c>
      <c r="AH1936" s="240"/>
      <c r="AI1936" s="243" t="str">
        <f t="shared" si="5"/>
        <v>N/A</v>
      </c>
      <c r="AJ1936" s="157" t="str">
        <f t="shared" si="6"/>
        <v/>
      </c>
    </row>
    <row r="1937" ht="12.75" customHeight="1">
      <c r="A1937" s="244" t="s">
        <v>4158</v>
      </c>
      <c r="B1937" s="244" t="s">
        <v>4161</v>
      </c>
      <c r="C1937" s="244" t="s">
        <v>4897</v>
      </c>
      <c r="D1937" s="154" t="s">
        <v>1211</v>
      </c>
      <c r="E1937" s="250"/>
      <c r="F1937" s="154" t="str">
        <f t="array" ref="F1937">XLOOKUP(Cover!$D$12,$S$1:$AA$1,$S1937:$AA1937)</f>
        <v>Mandatory</v>
      </c>
      <c r="G1937" s="154" t="s">
        <v>4898</v>
      </c>
      <c r="H1937" s="154" t="s">
        <v>347</v>
      </c>
      <c r="I1937" s="154" t="s">
        <v>632</v>
      </c>
      <c r="J1937" s="247" t="s">
        <v>445</v>
      </c>
      <c r="K1937" s="154"/>
      <c r="L1937" s="154" t="str">
        <f t="shared" si="1"/>
        <v/>
      </c>
      <c r="M1937" s="248" t="str">
        <f>IFERROR(__xludf.DUMMYFUNCTION("VLOOKUP(C1937,IMPORTRANGE(""https://docs.google.com/spreadsheets/d/1P8eX0NWBhUPS_hvzA11R6jkTNFrPrRYIx_dX_hYbxrk/edit?resourcekey=0-iw9bsKY2OqkUHCFMkCar3A&amp;gid=2055363397#gid=2055363397"",""MTR!C:O""),11,false)"),"PMW-IMS")</f>
        <v>PMW-IMS</v>
      </c>
      <c r="N1937" s="248" t="str">
        <f>IFERROR(__xludf.DUMMYFUNCTION("VLOOKUP(C1937,IMPORTRANGE(""https://docs.google.com/spreadsheets/d/1ihFlp3_ePlYtFuPbUNbYj1muErVpI73WHXbEwJDIA7Q/edit#gid=1493122344"",""MTR!C:O""),8,false)"),"Complies")</f>
        <v>Complies</v>
      </c>
      <c r="O1937" s="241" t="str">
        <f>IFERROR(__xludf.DUMMYFUNCTION("VLOOKUP(C1937,IMPORTRANGE(""https://docs.google.com/spreadsheets/d/1P8eX0NWBhUPS_hvzA11R6jkTNFrPrRYIx_dX_hYbxrk/edit?resourcekey=0-iw9bsKY2OqkUHCFMkCar3A&amp;gid=2055363397#gid=2055363397"",""MTR!C:O""),9,false)"),"")</f>
        <v/>
      </c>
      <c r="P1937" s="241"/>
      <c r="Q1937" s="251" t="s">
        <v>445</v>
      </c>
      <c r="R1937" s="241"/>
      <c r="S1937" s="154" t="s">
        <v>60</v>
      </c>
      <c r="T1937" s="154" t="s">
        <v>60</v>
      </c>
      <c r="U1937" s="154" t="s">
        <v>60</v>
      </c>
      <c r="V1937" s="154" t="s">
        <v>60</v>
      </c>
      <c r="W1937" s="154" t="s">
        <v>60</v>
      </c>
      <c r="X1937" s="154" t="s">
        <v>60</v>
      </c>
      <c r="Y1937" s="154" t="s">
        <v>64</v>
      </c>
      <c r="Z1937" s="154" t="s">
        <v>64</v>
      </c>
      <c r="AA1937" s="154" t="s">
        <v>64</v>
      </c>
      <c r="AB1937" s="154"/>
      <c r="AC1937" s="242" t="b">
        <f t="shared" si="2"/>
        <v>1</v>
      </c>
      <c r="AD1937" s="154" t="s">
        <v>391</v>
      </c>
      <c r="AE1937" s="243" t="b">
        <f t="shared" si="3"/>
        <v>0</v>
      </c>
      <c r="AF1937" s="154"/>
      <c r="AG1937" s="243" t="b">
        <f t="shared" si="7"/>
        <v>0</v>
      </c>
      <c r="AH1937" s="154"/>
      <c r="AI1937" s="243" t="str">
        <f t="shared" si="5"/>
        <v>N/A</v>
      </c>
      <c r="AJ1937" s="157" t="str">
        <f t="shared" si="6"/>
        <v/>
      </c>
    </row>
    <row r="1938" ht="12.75" customHeight="1">
      <c r="A1938" s="244" t="s">
        <v>4158</v>
      </c>
      <c r="B1938" s="244" t="s">
        <v>4161</v>
      </c>
      <c r="C1938" s="244" t="s">
        <v>4899</v>
      </c>
      <c r="D1938" s="154" t="s">
        <v>1315</v>
      </c>
      <c r="E1938" s="250"/>
      <c r="F1938" s="154" t="str">
        <f t="array" ref="F1938">XLOOKUP(Cover!$D$12,$S$1:$AA$1,$S1938:$AA1938)</f>
        <v>Mandatory</v>
      </c>
      <c r="G1938" s="154" t="s">
        <v>4900</v>
      </c>
      <c r="H1938" s="154" t="s">
        <v>353</v>
      </c>
      <c r="I1938" s="154" t="s">
        <v>2155</v>
      </c>
      <c r="J1938" s="247" t="s">
        <v>506</v>
      </c>
      <c r="K1938" s="247" t="s">
        <v>4256</v>
      </c>
      <c r="L1938" s="154" t="str">
        <f t="shared" si="1"/>
        <v/>
      </c>
      <c r="M1938" s="248" t="str">
        <f>IFERROR(__xludf.DUMMYFUNCTION("VLOOKUP(C1938,IMPORTRANGE(""https://docs.google.com/spreadsheets/d/1P8eX0NWBhUPS_hvzA11R6jkTNFrPrRYIx_dX_hYbxrk/edit?resourcekey=0-iw9bsKY2OqkUHCFMkCar3A&amp;gid=2055363397#gid=2055363397"",""MTR!C:O""),11,false)"),"PMW-IMS")</f>
        <v>PMW-IMS</v>
      </c>
      <c r="N1938" s="248" t="str">
        <f>IFERROR(__xludf.DUMMYFUNCTION("VLOOKUP(C1938,IMPORTRANGE(""https://docs.google.com/spreadsheets/d/1ihFlp3_ePlYtFuPbUNbYj1muErVpI73WHXbEwJDIA7Q/edit#gid=1493122344"",""MTR!C:O""),8,false)"),"Does Not Comply")</f>
        <v>Does Not Comply</v>
      </c>
      <c r="O1938" s="248" t="str">
        <f>IFERROR(__xludf.DUMMYFUNCTION("VLOOKUP(C1938,IMPORTRANGE(""https://docs.google.com/spreadsheets/d/1P8eX0NWBhUPS_hvzA11R6jkTNFrPrRYIx_dX_hYbxrk/edit?resourcekey=0-iw9bsKY2OqkUHCFMkCar3A&amp;gid=2055363397#gid=2055363397"",""MTR!C:O""),9,false)"),"The chipset supports it, but VoNR is disabled as SA is disabled for product launch, please discuss with Google TAM for feature enablement plans if the feature is deployed in live network.")</f>
        <v>The chipset supports it, but VoNR is disabled as SA is disabled for product launch, please discuss with Google TAM for feature enablement plans if the feature is deployed in live network.</v>
      </c>
      <c r="P1938" s="248"/>
      <c r="Q1938" s="249" t="s">
        <v>516</v>
      </c>
      <c r="R1938" s="249" t="s">
        <v>4256</v>
      </c>
      <c r="S1938" s="154" t="s">
        <v>64</v>
      </c>
      <c r="T1938" s="154" t="s">
        <v>60</v>
      </c>
      <c r="U1938" s="154" t="s">
        <v>60</v>
      </c>
      <c r="V1938" s="154" t="s">
        <v>60</v>
      </c>
      <c r="W1938" s="154" t="s">
        <v>60</v>
      </c>
      <c r="X1938" s="154" t="s">
        <v>60</v>
      </c>
      <c r="Y1938" s="154" t="s">
        <v>64</v>
      </c>
      <c r="Z1938" s="154" t="s">
        <v>64</v>
      </c>
      <c r="AA1938" s="154" t="s">
        <v>64</v>
      </c>
      <c r="AB1938" s="154"/>
      <c r="AC1938" s="242" t="b">
        <f t="shared" si="2"/>
        <v>1</v>
      </c>
      <c r="AD1938" s="154" t="s">
        <v>391</v>
      </c>
      <c r="AE1938" s="243" t="b">
        <f t="shared" si="3"/>
        <v>0</v>
      </c>
      <c r="AF1938" s="154"/>
      <c r="AG1938" s="243" t="b">
        <f t="shared" si="7"/>
        <v>0</v>
      </c>
      <c r="AH1938" s="154"/>
      <c r="AI1938" s="243" t="str">
        <f t="shared" si="5"/>
        <v>N/A</v>
      </c>
      <c r="AJ1938" s="157" t="str">
        <f t="shared" si="6"/>
        <v/>
      </c>
    </row>
    <row r="1939" ht="12.75" customHeight="1">
      <c r="A1939" s="244" t="s">
        <v>4158</v>
      </c>
      <c r="B1939" s="244" t="s">
        <v>4161</v>
      </c>
      <c r="C1939" s="244" t="s">
        <v>4901</v>
      </c>
      <c r="D1939" s="154" t="s">
        <v>1315</v>
      </c>
      <c r="E1939" s="250"/>
      <c r="F1939" s="154" t="str">
        <f t="array" ref="F1939">XLOOKUP(Cover!$D$12,$S$1:$AA$1,$S1939:$AA1939)</f>
        <v>Mandatory</v>
      </c>
      <c r="G1939" s="154" t="s">
        <v>4902</v>
      </c>
      <c r="H1939" s="154" t="s">
        <v>353</v>
      </c>
      <c r="I1939" s="154" t="s">
        <v>2155</v>
      </c>
      <c r="J1939" s="247" t="s">
        <v>506</v>
      </c>
      <c r="K1939" s="247" t="s">
        <v>4256</v>
      </c>
      <c r="L1939" s="154" t="str">
        <f t="shared" si="1"/>
        <v/>
      </c>
      <c r="M1939" s="248" t="str">
        <f>IFERROR(__xludf.DUMMYFUNCTION("VLOOKUP(C1939,IMPORTRANGE(""https://docs.google.com/spreadsheets/d/1P8eX0NWBhUPS_hvzA11R6jkTNFrPrRYIx_dX_hYbxrk/edit?resourcekey=0-iw9bsKY2OqkUHCFMkCar3A&amp;gid=2055363397#gid=2055363397"",""MTR!C:O""),11,false)"),"PMW-IMS")</f>
        <v>PMW-IMS</v>
      </c>
      <c r="N1939" s="248" t="str">
        <f>IFERROR(__xludf.DUMMYFUNCTION("VLOOKUP(C1939,IMPORTRANGE(""https://docs.google.com/spreadsheets/d/1ihFlp3_ePlYtFuPbUNbYj1muErVpI73WHXbEwJDIA7Q/edit#gid=1493122344"",""MTR!C:O""),8,false)"),"Does Not Comply")</f>
        <v>Does Not Comply</v>
      </c>
      <c r="O1939" s="248" t="str">
        <f>IFERROR(__xludf.DUMMYFUNCTION("VLOOKUP(C1939,IMPORTRANGE(""https://docs.google.com/spreadsheets/d/1P8eX0NWBhUPS_hvzA11R6jkTNFrPrRYIx_dX_hYbxrk/edit?resourcekey=0-iw9bsKY2OqkUHCFMkCar3A&amp;gid=2055363397#gid=2055363397"",""MTR!C:O""),9,false)"),"The chipset supports it, but VoNR is disabled as SA is disabled for product launch, please discuss with Google TAM for feature enablement plans if the feature is deployed in live network.")</f>
        <v>The chipset supports it, but VoNR is disabled as SA is disabled for product launch, please discuss with Google TAM for feature enablement plans if the feature is deployed in live network.</v>
      </c>
      <c r="P1939" s="248"/>
      <c r="Q1939" s="249" t="s">
        <v>516</v>
      </c>
      <c r="R1939" s="249" t="s">
        <v>4256</v>
      </c>
      <c r="S1939" s="154" t="s">
        <v>64</v>
      </c>
      <c r="T1939" s="154" t="s">
        <v>60</v>
      </c>
      <c r="U1939" s="154" t="s">
        <v>60</v>
      </c>
      <c r="V1939" s="154" t="s">
        <v>60</v>
      </c>
      <c r="W1939" s="154" t="s">
        <v>60</v>
      </c>
      <c r="X1939" s="154" t="s">
        <v>60</v>
      </c>
      <c r="Y1939" s="154" t="s">
        <v>64</v>
      </c>
      <c r="Z1939" s="154" t="s">
        <v>64</v>
      </c>
      <c r="AA1939" s="154" t="s">
        <v>64</v>
      </c>
      <c r="AB1939" s="154"/>
      <c r="AC1939" s="242" t="b">
        <f t="shared" si="2"/>
        <v>1</v>
      </c>
      <c r="AD1939" s="154" t="s">
        <v>391</v>
      </c>
      <c r="AE1939" s="243" t="b">
        <f t="shared" si="3"/>
        <v>0</v>
      </c>
      <c r="AF1939" s="154"/>
      <c r="AG1939" s="243" t="b">
        <f t="shared" si="7"/>
        <v>0</v>
      </c>
      <c r="AH1939" s="154"/>
      <c r="AI1939" s="243" t="str">
        <f t="shared" si="5"/>
        <v>N/A</v>
      </c>
      <c r="AJ1939" s="157" t="str">
        <f t="shared" si="6"/>
        <v/>
      </c>
    </row>
    <row r="1940" ht="12.75" customHeight="1">
      <c r="A1940" s="244" t="s">
        <v>4158</v>
      </c>
      <c r="B1940" s="244" t="s">
        <v>4161</v>
      </c>
      <c r="C1940" s="244" t="s">
        <v>4903</v>
      </c>
      <c r="D1940" s="154" t="s">
        <v>1315</v>
      </c>
      <c r="E1940" s="250"/>
      <c r="F1940" s="154" t="str">
        <f t="array" ref="F1940">XLOOKUP(Cover!$D$12,$S$1:$AA$1,$S1940:$AA1940)</f>
        <v>Mandatory</v>
      </c>
      <c r="G1940" s="154" t="s">
        <v>4904</v>
      </c>
      <c r="H1940" s="154" t="s">
        <v>353</v>
      </c>
      <c r="I1940" s="154" t="s">
        <v>2155</v>
      </c>
      <c r="J1940" s="247" t="s">
        <v>506</v>
      </c>
      <c r="K1940" s="247" t="s">
        <v>4256</v>
      </c>
      <c r="L1940" s="154" t="str">
        <f t="shared" si="1"/>
        <v/>
      </c>
      <c r="M1940" s="248" t="str">
        <f>IFERROR(__xludf.DUMMYFUNCTION("VLOOKUP(C1940,IMPORTRANGE(""https://docs.google.com/spreadsheets/d/1P8eX0NWBhUPS_hvzA11R6jkTNFrPrRYIx_dX_hYbxrk/edit?resourcekey=0-iw9bsKY2OqkUHCFMkCar3A&amp;gid=2055363397#gid=2055363397"",""MTR!C:O""),11,false)"),"PMW-IMS")</f>
        <v>PMW-IMS</v>
      </c>
      <c r="N1940" s="248" t="str">
        <f>IFERROR(__xludf.DUMMYFUNCTION("VLOOKUP(C1940,IMPORTRANGE(""https://docs.google.com/spreadsheets/d/1ihFlp3_ePlYtFuPbUNbYj1muErVpI73WHXbEwJDIA7Q/edit#gid=1493122344"",""MTR!C:O""),8,false)"),"Does Not Comply")</f>
        <v>Does Not Comply</v>
      </c>
      <c r="O1940" s="248" t="str">
        <f>IFERROR(__xludf.DUMMYFUNCTION("VLOOKUP(C1940,IMPORTRANGE(""https://docs.google.com/spreadsheets/d/1P8eX0NWBhUPS_hvzA11R6jkTNFrPrRYIx_dX_hYbxrk/edit?resourcekey=0-iw9bsKY2OqkUHCFMkCar3A&amp;gid=2055363397#gid=2055363397"",""MTR!C:O""),9,false)"),"The chipset supports it, but VoNR is disabled as SA is disabled for product launch, please discuss with Google TAM for feature enablement plans if the feature is deployed in live network.")</f>
        <v>The chipset supports it, but VoNR is disabled as SA is disabled for product launch, please discuss with Google TAM for feature enablement plans if the feature is deployed in live network.</v>
      </c>
      <c r="P1940" s="248"/>
      <c r="Q1940" s="249" t="s">
        <v>516</v>
      </c>
      <c r="R1940" s="249" t="s">
        <v>4256</v>
      </c>
      <c r="S1940" s="154" t="s">
        <v>64</v>
      </c>
      <c r="T1940" s="154" t="s">
        <v>60</v>
      </c>
      <c r="U1940" s="154" t="s">
        <v>60</v>
      </c>
      <c r="V1940" s="154" t="s">
        <v>60</v>
      </c>
      <c r="W1940" s="154" t="s">
        <v>60</v>
      </c>
      <c r="X1940" s="154" t="s">
        <v>60</v>
      </c>
      <c r="Y1940" s="154" t="s">
        <v>64</v>
      </c>
      <c r="Z1940" s="154" t="s">
        <v>64</v>
      </c>
      <c r="AA1940" s="154" t="s">
        <v>64</v>
      </c>
      <c r="AB1940" s="154"/>
      <c r="AC1940" s="242" t="b">
        <f t="shared" si="2"/>
        <v>1</v>
      </c>
      <c r="AD1940" s="154" t="s">
        <v>391</v>
      </c>
      <c r="AE1940" s="243" t="b">
        <f t="shared" si="3"/>
        <v>0</v>
      </c>
      <c r="AF1940" s="154"/>
      <c r="AG1940" s="243" t="b">
        <f t="shared" si="7"/>
        <v>0</v>
      </c>
      <c r="AH1940" s="154"/>
      <c r="AI1940" s="243" t="str">
        <f t="shared" si="5"/>
        <v>N/A</v>
      </c>
      <c r="AJ1940" s="157" t="str">
        <f t="shared" si="6"/>
        <v/>
      </c>
    </row>
    <row r="1941" ht="12.75" customHeight="1">
      <c r="A1941" s="244" t="s">
        <v>4158</v>
      </c>
      <c r="B1941" s="244" t="s">
        <v>4161</v>
      </c>
      <c r="C1941" s="244" t="s">
        <v>4905</v>
      </c>
      <c r="D1941" s="154" t="s">
        <v>1315</v>
      </c>
      <c r="E1941" s="250"/>
      <c r="F1941" s="154" t="str">
        <f t="array" ref="F1941">XLOOKUP(Cover!$D$12,$S$1:$AA$1,$S1941:$AA1941)</f>
        <v>Mandatory</v>
      </c>
      <c r="G1941" s="154" t="s">
        <v>4906</v>
      </c>
      <c r="H1941" s="154" t="s">
        <v>353</v>
      </c>
      <c r="I1941" s="154" t="s">
        <v>2155</v>
      </c>
      <c r="J1941" s="247" t="s">
        <v>445</v>
      </c>
      <c r="K1941" s="247"/>
      <c r="L1941" s="154" t="str">
        <f t="shared" si="1"/>
        <v/>
      </c>
      <c r="M1941" s="248" t="str">
        <f>IFERROR(__xludf.DUMMYFUNCTION("VLOOKUP(C1941,IMPORTRANGE(""https://docs.google.com/spreadsheets/d/1P8eX0NWBhUPS_hvzA11R6jkTNFrPrRYIx_dX_hYbxrk/edit?resourcekey=0-iw9bsKY2OqkUHCFMkCar3A&amp;gid=2055363397#gid=2055363397"",""MTR!C:O""),11,false)"),"PMW-IMS")</f>
        <v>PMW-IMS</v>
      </c>
      <c r="N1941" s="248" t="str">
        <f>IFERROR(__xludf.DUMMYFUNCTION("VLOOKUP(C1941,IMPORTRANGE(""https://docs.google.com/spreadsheets/d/1ihFlp3_ePlYtFuPbUNbYj1muErVpI73WHXbEwJDIA7Q/edit#gid=1493122344"",""MTR!C:O""),8,false)"),"Complies")</f>
        <v>Complies</v>
      </c>
      <c r="O1941" s="241" t="str">
        <f>IFERROR(__xludf.DUMMYFUNCTION("VLOOKUP(C1941,IMPORTRANGE(""https://docs.google.com/spreadsheets/d/1P8eX0NWBhUPS_hvzA11R6jkTNFrPrRYIx_dX_hYbxrk/edit?resourcekey=0-iw9bsKY2OqkUHCFMkCar3A&amp;gid=2055363397#gid=2055363397"",""MTR!C:O""),9,false)"),"")</f>
        <v/>
      </c>
      <c r="P1941" s="241"/>
      <c r="Q1941" s="251" t="s">
        <v>445</v>
      </c>
      <c r="R1941" s="251"/>
      <c r="S1941" s="154" t="s">
        <v>64</v>
      </c>
      <c r="T1941" s="154" t="s">
        <v>60</v>
      </c>
      <c r="U1941" s="154" t="s">
        <v>60</v>
      </c>
      <c r="V1941" s="154" t="s">
        <v>60</v>
      </c>
      <c r="W1941" s="154" t="s">
        <v>60</v>
      </c>
      <c r="X1941" s="154" t="s">
        <v>60</v>
      </c>
      <c r="Y1941" s="154" t="s">
        <v>64</v>
      </c>
      <c r="Z1941" s="154" t="s">
        <v>64</v>
      </c>
      <c r="AA1941" s="154" t="s">
        <v>64</v>
      </c>
      <c r="AB1941" s="154"/>
      <c r="AC1941" s="242" t="b">
        <f t="shared" si="2"/>
        <v>1</v>
      </c>
      <c r="AD1941" s="154" t="s">
        <v>391</v>
      </c>
      <c r="AE1941" s="243" t="b">
        <f t="shared" si="3"/>
        <v>0</v>
      </c>
      <c r="AF1941" s="154"/>
      <c r="AG1941" s="243" t="b">
        <f t="shared" si="7"/>
        <v>0</v>
      </c>
      <c r="AH1941" s="154"/>
      <c r="AI1941" s="243" t="str">
        <f t="shared" si="5"/>
        <v>N/A</v>
      </c>
      <c r="AJ1941" s="157" t="str">
        <f t="shared" si="6"/>
        <v/>
      </c>
    </row>
    <row r="1942" ht="12.75" customHeight="1">
      <c r="A1942" s="244" t="s">
        <v>4158</v>
      </c>
      <c r="B1942" s="244" t="s">
        <v>4161</v>
      </c>
      <c r="C1942" s="244" t="s">
        <v>4907</v>
      </c>
      <c r="D1942" s="154" t="s">
        <v>1315</v>
      </c>
      <c r="E1942" s="250"/>
      <c r="F1942" s="154" t="str">
        <f t="array" ref="F1942">XLOOKUP(Cover!$D$12,$S$1:$AA$1,$S1942:$AA1942)</f>
        <v>Mandatory</v>
      </c>
      <c r="G1942" s="154" t="s">
        <v>4908</v>
      </c>
      <c r="H1942" s="154" t="s">
        <v>353</v>
      </c>
      <c r="I1942" s="154" t="s">
        <v>2155</v>
      </c>
      <c r="J1942" s="247" t="s">
        <v>506</v>
      </c>
      <c r="K1942" s="247" t="s">
        <v>1720</v>
      </c>
      <c r="L1942" s="154" t="str">
        <f t="shared" si="1"/>
        <v/>
      </c>
      <c r="M1942" s="248" t="str">
        <f>IFERROR(__xludf.DUMMYFUNCTION("VLOOKUP(C1942,IMPORTRANGE(""https://docs.google.com/spreadsheets/d/1P8eX0NWBhUPS_hvzA11R6jkTNFrPrRYIx_dX_hYbxrk/edit?resourcekey=0-iw9bsKY2OqkUHCFMkCar3A&amp;gid=2055363397#gid=2055363397"",""MTR!C:O""),11,false)"),"PMW-IMS")</f>
        <v>PMW-IMS</v>
      </c>
      <c r="N1942" s="248" t="str">
        <f>IFERROR(__xludf.DUMMYFUNCTION("VLOOKUP(C1942,IMPORTRANGE(""https://docs.google.com/spreadsheets/d/1ihFlp3_ePlYtFuPbUNbYj1muErVpI73WHXbEwJDIA7Q/edit#gid=1493122344"",""MTR!C:O""),8,false)"),"Does Not Comply")</f>
        <v>Does Not Comply</v>
      </c>
      <c r="O1942" s="248" t="str">
        <f>IFERROR(__xludf.DUMMYFUNCTION("VLOOKUP(C1942,IMPORTRANGE(""https://docs.google.com/spreadsheets/d/1P8eX0NWBhUPS_hvzA11R6jkTNFrPrRYIx_dX_hYbxrk/edit?resourcekey=0-iw9bsKY2OqkUHCFMkCar3A&amp;gid=2055363397#gid=2055363397"",""MTR!C:O""),9,false)"),"The feature will be default supported once SA is enabled, please discuss with Google TAM for feature enablement plans")</f>
        <v>The feature will be default supported once SA is enabled, please discuss with Google TAM for feature enablement plans</v>
      </c>
      <c r="P1942" s="248"/>
      <c r="Q1942" s="249" t="s">
        <v>516</v>
      </c>
      <c r="R1942" s="249" t="s">
        <v>1720</v>
      </c>
      <c r="S1942" s="154" t="s">
        <v>64</v>
      </c>
      <c r="T1942" s="154" t="s">
        <v>60</v>
      </c>
      <c r="U1942" s="154" t="s">
        <v>60</v>
      </c>
      <c r="V1942" s="154" t="s">
        <v>60</v>
      </c>
      <c r="W1942" s="154" t="s">
        <v>60</v>
      </c>
      <c r="X1942" s="154" t="s">
        <v>60</v>
      </c>
      <c r="Y1942" s="154" t="s">
        <v>64</v>
      </c>
      <c r="Z1942" s="154" t="s">
        <v>64</v>
      </c>
      <c r="AA1942" s="154" t="s">
        <v>64</v>
      </c>
      <c r="AB1942" s="154"/>
      <c r="AC1942" s="242" t="b">
        <f t="shared" si="2"/>
        <v>1</v>
      </c>
      <c r="AD1942" s="154" t="s">
        <v>391</v>
      </c>
      <c r="AE1942" s="243" t="b">
        <f t="shared" si="3"/>
        <v>0</v>
      </c>
      <c r="AF1942" s="154"/>
      <c r="AG1942" s="243" t="b">
        <f t="shared" si="7"/>
        <v>0</v>
      </c>
      <c r="AH1942" s="154"/>
      <c r="AI1942" s="243" t="str">
        <f t="shared" si="5"/>
        <v>N/A</v>
      </c>
      <c r="AJ1942" s="157" t="str">
        <f t="shared" si="6"/>
        <v/>
      </c>
    </row>
    <row r="1943" ht="12.75" customHeight="1">
      <c r="A1943" s="244" t="s">
        <v>4158</v>
      </c>
      <c r="B1943" s="244" t="s">
        <v>4161</v>
      </c>
      <c r="C1943" s="244" t="s">
        <v>4909</v>
      </c>
      <c r="D1943" s="154" t="s">
        <v>45</v>
      </c>
      <c r="E1943" s="250"/>
      <c r="F1943" s="154" t="str">
        <f t="array" ref="F1943">XLOOKUP(Cover!$D$12,$S$1:$AA$1,$S1943:$AA1943)</f>
        <v>Mandatory</v>
      </c>
      <c r="G1943" s="154" t="s">
        <v>4910</v>
      </c>
      <c r="H1943" s="154" t="s">
        <v>353</v>
      </c>
      <c r="I1943" s="154" t="s">
        <v>2155</v>
      </c>
      <c r="J1943" s="247" t="s">
        <v>506</v>
      </c>
      <c r="K1943" s="247" t="s">
        <v>1720</v>
      </c>
      <c r="L1943" s="154" t="str">
        <f t="shared" si="1"/>
        <v/>
      </c>
      <c r="M1943" s="253" t="str">
        <f>IFERROR(__xludf.DUMMYFUNCTION("VLOOKUP(C1943,IMPORTRANGE(""https://docs.google.com/spreadsheets/d/1P8eX0NWBhUPS_hvzA11R6jkTNFrPrRYIx_dX_hYbxrk/edit?resourcekey=0-iw9bsKY2OqkUHCFMkCar3A&amp;gid=2055363397#gid=2055363397"",""MTR!C:O""),11,false)"),"#N/A")</f>
        <v>#N/A</v>
      </c>
      <c r="N1943" s="253" t="str">
        <f>IFERROR(__xludf.DUMMYFUNCTION("VLOOKUP(C1943,IMPORTRANGE(""https://docs.google.com/spreadsheets/d/1ihFlp3_ePlYtFuPbUNbYj1muErVpI73WHXbEwJDIA7Q/edit#gid=1493122344"",""MTR!C:O""),8,false)"),"#N/A")</f>
        <v>#N/A</v>
      </c>
      <c r="O1943" s="248" t="str">
        <f>IFERROR(__xludf.DUMMYFUNCTION("VLOOKUP(C1943,IMPORTRANGE(""https://docs.google.com/spreadsheets/d/1P8eX0NWBhUPS_hvzA11R6jkTNFrPrRYIx_dX_hYbxrk/edit?resourcekey=0-iw9bsKY2OqkUHCFMkCar3A&amp;gid=2055363397#gid=2055363397"",""MTR!C:O""),9,false)"),"The feature will be default supported once SA is enabled, please discuss with Google TAM for feature enablement plans")</f>
        <v>The feature will be default supported once SA is enabled, please discuss with Google TAM for feature enablement plans</v>
      </c>
      <c r="P1943" s="248"/>
      <c r="Q1943" s="249"/>
      <c r="R1943" s="249"/>
      <c r="S1943" s="154" t="s">
        <v>64</v>
      </c>
      <c r="T1943" s="154" t="s">
        <v>60</v>
      </c>
      <c r="U1943" s="154" t="s">
        <v>60</v>
      </c>
      <c r="V1943" s="154" t="s">
        <v>60</v>
      </c>
      <c r="W1943" s="154" t="s">
        <v>60</v>
      </c>
      <c r="X1943" s="154" t="s">
        <v>60</v>
      </c>
      <c r="Y1943" s="154" t="s">
        <v>64</v>
      </c>
      <c r="Z1943" s="154" t="s">
        <v>64</v>
      </c>
      <c r="AA1943" s="154" t="s">
        <v>64</v>
      </c>
      <c r="AB1943" s="154"/>
      <c r="AC1943" s="242" t="b">
        <f t="shared" si="2"/>
        <v>1</v>
      </c>
      <c r="AD1943" s="154" t="s">
        <v>391</v>
      </c>
      <c r="AE1943" s="243" t="b">
        <f t="shared" si="3"/>
        <v>0</v>
      </c>
      <c r="AF1943" s="154"/>
      <c r="AG1943" s="243" t="b">
        <f t="shared" si="7"/>
        <v>0</v>
      </c>
      <c r="AH1943" s="154"/>
      <c r="AI1943" s="243" t="str">
        <f t="shared" si="5"/>
        <v>N/A</v>
      </c>
      <c r="AJ1943" s="157" t="str">
        <f t="shared" si="6"/>
        <v/>
      </c>
    </row>
    <row r="1944" ht="12.75" customHeight="1">
      <c r="A1944" s="244" t="s">
        <v>4158</v>
      </c>
      <c r="B1944" s="244" t="s">
        <v>4161</v>
      </c>
      <c r="C1944" s="244" t="s">
        <v>4911</v>
      </c>
      <c r="D1944" s="154" t="s">
        <v>45</v>
      </c>
      <c r="E1944" s="250"/>
      <c r="F1944" s="154" t="str">
        <f t="array" ref="F1944">XLOOKUP(Cover!$D$12,$S$1:$AA$1,$S1944:$AA1944)</f>
        <v>Mandatory</v>
      </c>
      <c r="G1944" s="154" t="s">
        <v>4912</v>
      </c>
      <c r="H1944" s="154" t="s">
        <v>353</v>
      </c>
      <c r="I1944" s="154" t="s">
        <v>2155</v>
      </c>
      <c r="J1944" s="247" t="s">
        <v>506</v>
      </c>
      <c r="K1944" s="247" t="s">
        <v>1720</v>
      </c>
      <c r="L1944" s="154" t="str">
        <f t="shared" si="1"/>
        <v/>
      </c>
      <c r="M1944" s="253" t="str">
        <f>IFERROR(__xludf.DUMMYFUNCTION("VLOOKUP(C1944,IMPORTRANGE(""https://docs.google.com/spreadsheets/d/1P8eX0NWBhUPS_hvzA11R6jkTNFrPrRYIx_dX_hYbxrk/edit?resourcekey=0-iw9bsKY2OqkUHCFMkCar3A&amp;gid=2055363397#gid=2055363397"",""MTR!C:O""),11,false)"),"#N/A")</f>
        <v>#N/A</v>
      </c>
      <c r="N1944" s="253" t="str">
        <f>IFERROR(__xludf.DUMMYFUNCTION("VLOOKUP(C1944,IMPORTRANGE(""https://docs.google.com/spreadsheets/d/1ihFlp3_ePlYtFuPbUNbYj1muErVpI73WHXbEwJDIA7Q/edit#gid=1493122344"",""MTR!C:O""),8,false)"),"#N/A")</f>
        <v>#N/A</v>
      </c>
      <c r="O1944" s="248" t="str">
        <f>IFERROR(__xludf.DUMMYFUNCTION("VLOOKUP(C1944,IMPORTRANGE(""https://docs.google.com/spreadsheets/d/1P8eX0NWBhUPS_hvzA11R6jkTNFrPrRYIx_dX_hYbxrk/edit?resourcekey=0-iw9bsKY2OqkUHCFMkCar3A&amp;gid=2055363397#gid=2055363397"",""MTR!C:O""),9,false)"),"The feature will be default supported once SA is enabled, please discuss with Google TAM for feature enablement plans")</f>
        <v>The feature will be default supported once SA is enabled, please discuss with Google TAM for feature enablement plans</v>
      </c>
      <c r="P1944" s="248"/>
      <c r="Q1944" s="248"/>
      <c r="R1944" s="248"/>
      <c r="S1944" s="154" t="s">
        <v>64</v>
      </c>
      <c r="T1944" s="154" t="s">
        <v>60</v>
      </c>
      <c r="U1944" s="154" t="s">
        <v>60</v>
      </c>
      <c r="V1944" s="154" t="s">
        <v>60</v>
      </c>
      <c r="W1944" s="154" t="s">
        <v>60</v>
      </c>
      <c r="X1944" s="154" t="s">
        <v>60</v>
      </c>
      <c r="Y1944" s="154" t="s">
        <v>64</v>
      </c>
      <c r="Z1944" s="154" t="s">
        <v>64</v>
      </c>
      <c r="AA1944" s="154" t="s">
        <v>64</v>
      </c>
      <c r="AB1944" s="154"/>
      <c r="AC1944" s="242" t="b">
        <f t="shared" si="2"/>
        <v>1</v>
      </c>
      <c r="AD1944" s="154" t="s">
        <v>391</v>
      </c>
      <c r="AE1944" s="243" t="b">
        <f t="shared" si="3"/>
        <v>0</v>
      </c>
      <c r="AF1944" s="154"/>
      <c r="AG1944" s="243" t="b">
        <f t="shared" si="7"/>
        <v>0</v>
      </c>
      <c r="AH1944" s="154"/>
      <c r="AI1944" s="243" t="str">
        <f t="shared" si="5"/>
        <v>N/A</v>
      </c>
      <c r="AJ1944" s="157" t="str">
        <f t="shared" si="6"/>
        <v/>
      </c>
    </row>
    <row r="1945" ht="12.75" customHeight="1">
      <c r="A1945" s="244" t="s">
        <v>4158</v>
      </c>
      <c r="B1945" s="244" t="s">
        <v>4161</v>
      </c>
      <c r="C1945" s="244" t="s">
        <v>4913</v>
      </c>
      <c r="D1945" s="154" t="s">
        <v>1315</v>
      </c>
      <c r="E1945" s="250"/>
      <c r="F1945" s="154" t="str">
        <f t="array" ref="F1945">XLOOKUP(Cover!$D$12,$S$1:$AA$1,$S1945:$AA1945)</f>
        <v>Mandatory</v>
      </c>
      <c r="G1945" s="154" t="s">
        <v>4914</v>
      </c>
      <c r="H1945" s="154" t="s">
        <v>2307</v>
      </c>
      <c r="I1945" s="154" t="s">
        <v>632</v>
      </c>
      <c r="J1945" s="247" t="s">
        <v>506</v>
      </c>
      <c r="K1945" s="247" t="s">
        <v>4256</v>
      </c>
      <c r="L1945" s="154" t="str">
        <f t="shared" si="1"/>
        <v/>
      </c>
      <c r="M1945" s="248" t="str">
        <f>IFERROR(__xludf.DUMMYFUNCTION("VLOOKUP(C1945,IMPORTRANGE(""https://docs.google.com/spreadsheets/d/1P8eX0NWBhUPS_hvzA11R6jkTNFrPrRYIx_dX_hYbxrk/edit?resourcekey=0-iw9bsKY2OqkUHCFMkCar3A&amp;gid=2055363397#gid=2055363397"",""MTR!C:O""),11,false)"),"PMW-IMS")</f>
        <v>PMW-IMS</v>
      </c>
      <c r="N1945" s="248" t="str">
        <f>IFERROR(__xludf.DUMMYFUNCTION("VLOOKUP(C1945,IMPORTRANGE(""https://docs.google.com/spreadsheets/d/1ihFlp3_ePlYtFuPbUNbYj1muErVpI73WHXbEwJDIA7Q/edit#gid=1493122344"",""MTR!C:O""),8,false)"),"Does Not Comply")</f>
        <v>Does Not Comply</v>
      </c>
      <c r="O1945" s="248" t="str">
        <f>IFERROR(__xludf.DUMMYFUNCTION("VLOOKUP(C1945,IMPORTRANGE(""https://docs.google.com/spreadsheets/d/1P8eX0NWBhUPS_hvzA11R6jkTNFrPrRYIx_dX_hYbxrk/edit?resourcekey=0-iw9bsKY2OqkUHCFMkCar3A&amp;gid=2055363397#gid=2055363397"",""MTR!C:O""),9,false)"),"The chipset supports it, but VoNR is disabled as SA is disabled for product launch, please discuss with Google TAM for feature enablement plans if the feature is deployed in live network.")</f>
        <v>The chipset supports it, but VoNR is disabled as SA is disabled for product launch, please discuss with Google TAM for feature enablement plans if the feature is deployed in live network.</v>
      </c>
      <c r="P1945" s="248"/>
      <c r="Q1945" s="249" t="s">
        <v>516</v>
      </c>
      <c r="R1945" s="249" t="s">
        <v>4256</v>
      </c>
      <c r="S1945" s="154" t="s">
        <v>60</v>
      </c>
      <c r="T1945" s="154" t="s">
        <v>60</v>
      </c>
      <c r="U1945" s="154" t="s">
        <v>60</v>
      </c>
      <c r="V1945" s="154" t="s">
        <v>60</v>
      </c>
      <c r="W1945" s="154" t="s">
        <v>60</v>
      </c>
      <c r="X1945" s="154" t="s">
        <v>60</v>
      </c>
      <c r="Y1945" s="154" t="s">
        <v>64</v>
      </c>
      <c r="Z1945" s="154" t="s">
        <v>64</v>
      </c>
      <c r="AA1945" s="154" t="s">
        <v>64</v>
      </c>
      <c r="AB1945" s="154"/>
      <c r="AC1945" s="242" t="b">
        <f t="shared" si="2"/>
        <v>1</v>
      </c>
      <c r="AD1945" s="154" t="s">
        <v>391</v>
      </c>
      <c r="AE1945" s="243" t="b">
        <f t="shared" si="3"/>
        <v>0</v>
      </c>
      <c r="AF1945" s="154"/>
      <c r="AG1945" s="243" t="b">
        <f t="shared" si="7"/>
        <v>0</v>
      </c>
      <c r="AH1945" s="154"/>
      <c r="AI1945" s="243" t="str">
        <f t="shared" si="5"/>
        <v>N/A</v>
      </c>
      <c r="AJ1945" s="157" t="str">
        <f t="shared" si="6"/>
        <v/>
      </c>
    </row>
    <row r="1946" ht="12.75" customHeight="1">
      <c r="A1946" s="244" t="s">
        <v>4158</v>
      </c>
      <c r="B1946" s="244" t="s">
        <v>4161</v>
      </c>
      <c r="C1946" s="244" t="s">
        <v>4915</v>
      </c>
      <c r="D1946" s="154" t="s">
        <v>1315</v>
      </c>
      <c r="E1946" s="250"/>
      <c r="F1946" s="154" t="str">
        <f t="array" ref="F1946">XLOOKUP(Cover!$D$12,$S$1:$AA$1,$S1946:$AA1946)</f>
        <v>Mandatory</v>
      </c>
      <c r="G1946" s="154" t="s">
        <v>4916</v>
      </c>
      <c r="H1946" s="154" t="s">
        <v>2307</v>
      </c>
      <c r="I1946" s="154" t="s">
        <v>632</v>
      </c>
      <c r="J1946" s="247" t="s">
        <v>445</v>
      </c>
      <c r="K1946" s="247"/>
      <c r="L1946" s="154" t="str">
        <f t="shared" si="1"/>
        <v/>
      </c>
      <c r="M1946" s="248" t="str">
        <f>IFERROR(__xludf.DUMMYFUNCTION("VLOOKUP(C1946,IMPORTRANGE(""https://docs.google.com/spreadsheets/d/1P8eX0NWBhUPS_hvzA11R6jkTNFrPrRYIx_dX_hYbxrk/edit?resourcekey=0-iw9bsKY2OqkUHCFMkCar3A&amp;gid=2055363397#gid=2055363397"",""MTR!C:O""),11,false)"),"PMW-IMS")</f>
        <v>PMW-IMS</v>
      </c>
      <c r="N1946" s="248" t="str">
        <f>IFERROR(__xludf.DUMMYFUNCTION("VLOOKUP(C1946,IMPORTRANGE(""https://docs.google.com/spreadsheets/d/1ihFlp3_ePlYtFuPbUNbYj1muErVpI73WHXbEwJDIA7Q/edit#gid=1493122344"",""MTR!C:O""),8,false)"),"Complies")</f>
        <v>Complies</v>
      </c>
      <c r="O1946" s="241" t="str">
        <f>IFERROR(__xludf.DUMMYFUNCTION("VLOOKUP(C1946,IMPORTRANGE(""https://docs.google.com/spreadsheets/d/1P8eX0NWBhUPS_hvzA11R6jkTNFrPrRYIx_dX_hYbxrk/edit?resourcekey=0-iw9bsKY2OqkUHCFMkCar3A&amp;gid=2055363397#gid=2055363397"",""MTR!C:O""),9,false)"),"")</f>
        <v/>
      </c>
      <c r="P1946" s="241"/>
      <c r="Q1946" s="251" t="s">
        <v>445</v>
      </c>
      <c r="R1946" s="251"/>
      <c r="S1946" s="154" t="s">
        <v>60</v>
      </c>
      <c r="T1946" s="154" t="s">
        <v>60</v>
      </c>
      <c r="U1946" s="154" t="s">
        <v>60</v>
      </c>
      <c r="V1946" s="154" t="s">
        <v>60</v>
      </c>
      <c r="W1946" s="154" t="s">
        <v>60</v>
      </c>
      <c r="X1946" s="154" t="s">
        <v>60</v>
      </c>
      <c r="Y1946" s="154" t="s">
        <v>64</v>
      </c>
      <c r="Z1946" s="154" t="s">
        <v>64</v>
      </c>
      <c r="AA1946" s="154" t="s">
        <v>64</v>
      </c>
      <c r="AB1946" s="154"/>
      <c r="AC1946" s="242" t="b">
        <f t="shared" si="2"/>
        <v>1</v>
      </c>
      <c r="AD1946" s="154" t="s">
        <v>391</v>
      </c>
      <c r="AE1946" s="243" t="b">
        <f t="shared" si="3"/>
        <v>0</v>
      </c>
      <c r="AF1946" s="154"/>
      <c r="AG1946" s="243" t="b">
        <f t="shared" si="7"/>
        <v>0</v>
      </c>
      <c r="AH1946" s="154"/>
      <c r="AI1946" s="243" t="str">
        <f t="shared" si="5"/>
        <v>N/A</v>
      </c>
      <c r="AJ1946" s="157" t="str">
        <f t="shared" si="6"/>
        <v/>
      </c>
    </row>
    <row r="1947" ht="12.75" customHeight="1">
      <c r="A1947" s="244" t="s">
        <v>4158</v>
      </c>
      <c r="B1947" s="244" t="s">
        <v>4161</v>
      </c>
      <c r="C1947" s="244" t="s">
        <v>4917</v>
      </c>
      <c r="D1947" s="154" t="s">
        <v>1211</v>
      </c>
      <c r="E1947" s="250"/>
      <c r="F1947" s="154" t="str">
        <f t="array" ref="F1947">XLOOKUP(Cover!$D$12,$S$1:$AA$1,$S1947:$AA1947)</f>
        <v>Mandatory</v>
      </c>
      <c r="G1947" s="154" t="s">
        <v>4918</v>
      </c>
      <c r="H1947" s="154" t="s">
        <v>347</v>
      </c>
      <c r="I1947" s="154" t="s">
        <v>632</v>
      </c>
      <c r="J1947" s="247" t="s">
        <v>445</v>
      </c>
      <c r="K1947" s="154"/>
      <c r="L1947" s="154" t="str">
        <f t="shared" si="1"/>
        <v/>
      </c>
      <c r="M1947" s="248" t="str">
        <f>IFERROR(__xludf.DUMMYFUNCTION("VLOOKUP(C1947,IMPORTRANGE(""https://docs.google.com/spreadsheets/d/1P8eX0NWBhUPS_hvzA11R6jkTNFrPrRYIx_dX_hYbxrk/edit?resourcekey=0-iw9bsKY2OqkUHCFMkCar3A&amp;gid=2055363397#gid=2055363397"",""MTR!C:O""),11,false)"),"PMW-IMS")</f>
        <v>PMW-IMS</v>
      </c>
      <c r="N1947" s="248" t="str">
        <f>IFERROR(__xludf.DUMMYFUNCTION("VLOOKUP(C1947,IMPORTRANGE(""https://docs.google.com/spreadsheets/d/1ihFlp3_ePlYtFuPbUNbYj1muErVpI73WHXbEwJDIA7Q/edit#gid=1493122344"",""MTR!C:O""),8,false)"),"Complies")</f>
        <v>Complies</v>
      </c>
      <c r="O1947" s="241" t="str">
        <f>IFERROR(__xludf.DUMMYFUNCTION("VLOOKUP(C1947,IMPORTRANGE(""https://docs.google.com/spreadsheets/d/1P8eX0NWBhUPS_hvzA11R6jkTNFrPrRYIx_dX_hYbxrk/edit?resourcekey=0-iw9bsKY2OqkUHCFMkCar3A&amp;gid=2055363397#gid=2055363397"",""MTR!C:O""),9,false)"),"")</f>
        <v/>
      </c>
      <c r="P1947" s="241"/>
      <c r="Q1947" s="251" t="s">
        <v>445</v>
      </c>
      <c r="R1947" s="241"/>
      <c r="S1947" s="154" t="s">
        <v>60</v>
      </c>
      <c r="T1947" s="154" t="s">
        <v>60</v>
      </c>
      <c r="U1947" s="154" t="s">
        <v>60</v>
      </c>
      <c r="V1947" s="154" t="s">
        <v>60</v>
      </c>
      <c r="W1947" s="154" t="s">
        <v>60</v>
      </c>
      <c r="X1947" s="154" t="s">
        <v>60</v>
      </c>
      <c r="Y1947" s="154" t="s">
        <v>64</v>
      </c>
      <c r="Z1947" s="154" t="s">
        <v>64</v>
      </c>
      <c r="AA1947" s="154" t="s">
        <v>64</v>
      </c>
      <c r="AB1947" s="154"/>
      <c r="AC1947" s="242" t="b">
        <f t="shared" si="2"/>
        <v>1</v>
      </c>
      <c r="AD1947" s="154" t="s">
        <v>391</v>
      </c>
      <c r="AE1947" s="243" t="b">
        <f t="shared" si="3"/>
        <v>0</v>
      </c>
      <c r="AF1947" s="154"/>
      <c r="AG1947" s="243" t="b">
        <f t="shared" si="7"/>
        <v>0</v>
      </c>
      <c r="AH1947" s="154"/>
      <c r="AI1947" s="243" t="str">
        <f t="shared" si="5"/>
        <v>N/A</v>
      </c>
      <c r="AJ1947" s="157" t="str">
        <f t="shared" si="6"/>
        <v/>
      </c>
    </row>
    <row r="1948" ht="12.75" customHeight="1">
      <c r="A1948" s="244" t="s">
        <v>4158</v>
      </c>
      <c r="B1948" s="244" t="s">
        <v>4161</v>
      </c>
      <c r="C1948" s="244" t="s">
        <v>4919</v>
      </c>
      <c r="D1948" s="154" t="s">
        <v>1211</v>
      </c>
      <c r="E1948" s="250"/>
      <c r="F1948" s="154" t="str">
        <f t="array" ref="F1948">XLOOKUP(Cover!$D$12,$S$1:$AA$1,$S1948:$AA1948)</f>
        <v>Mandatory</v>
      </c>
      <c r="G1948" s="154" t="s">
        <v>4920</v>
      </c>
      <c r="H1948" s="154" t="s">
        <v>2307</v>
      </c>
      <c r="I1948" s="154" t="s">
        <v>632</v>
      </c>
      <c r="J1948" s="247" t="s">
        <v>445</v>
      </c>
      <c r="K1948" s="154"/>
      <c r="L1948" s="154" t="str">
        <f t="shared" si="1"/>
        <v/>
      </c>
      <c r="M1948" s="248" t="str">
        <f>IFERROR(__xludf.DUMMYFUNCTION("VLOOKUP(C1948,IMPORTRANGE(""https://docs.google.com/spreadsheets/d/1P8eX0NWBhUPS_hvzA11R6jkTNFrPrRYIx_dX_hYbxrk/edit?resourcekey=0-iw9bsKY2OqkUHCFMkCar3A&amp;gid=2055363397#gid=2055363397"",""MTR!C:O""),11,false)"),"PMW-IMS")</f>
        <v>PMW-IMS</v>
      </c>
      <c r="N1948" s="248" t="str">
        <f>IFERROR(__xludf.DUMMYFUNCTION("VLOOKUP(C1948,IMPORTRANGE(""https://docs.google.com/spreadsheets/d/1ihFlp3_ePlYtFuPbUNbYj1muErVpI73WHXbEwJDIA7Q/edit#gid=1493122344"",""MTR!C:O""),8,false)"),"Complies")</f>
        <v>Complies</v>
      </c>
      <c r="O1948" s="241" t="str">
        <f>IFERROR(__xludf.DUMMYFUNCTION("VLOOKUP(C1948,IMPORTRANGE(""https://docs.google.com/spreadsheets/d/1P8eX0NWBhUPS_hvzA11R6jkTNFrPrRYIx_dX_hYbxrk/edit?resourcekey=0-iw9bsKY2OqkUHCFMkCar3A&amp;gid=2055363397#gid=2055363397"",""MTR!C:O""),9,false)"),"")</f>
        <v/>
      </c>
      <c r="P1948" s="241"/>
      <c r="Q1948" s="251" t="s">
        <v>445</v>
      </c>
      <c r="R1948" s="241"/>
      <c r="S1948" s="154" t="s">
        <v>60</v>
      </c>
      <c r="T1948" s="154" t="s">
        <v>60</v>
      </c>
      <c r="U1948" s="154" t="s">
        <v>60</v>
      </c>
      <c r="V1948" s="154" t="s">
        <v>60</v>
      </c>
      <c r="W1948" s="154" t="s">
        <v>60</v>
      </c>
      <c r="X1948" s="154" t="s">
        <v>60</v>
      </c>
      <c r="Y1948" s="154" t="s">
        <v>64</v>
      </c>
      <c r="Z1948" s="154" t="s">
        <v>64</v>
      </c>
      <c r="AA1948" s="154" t="s">
        <v>64</v>
      </c>
      <c r="AB1948" s="154"/>
      <c r="AC1948" s="242" t="b">
        <f t="shared" si="2"/>
        <v>1</v>
      </c>
      <c r="AD1948" s="154" t="s">
        <v>391</v>
      </c>
      <c r="AE1948" s="243" t="b">
        <f t="shared" si="3"/>
        <v>0</v>
      </c>
      <c r="AF1948" s="154"/>
      <c r="AG1948" s="243" t="b">
        <f t="shared" si="7"/>
        <v>0</v>
      </c>
      <c r="AH1948" s="154"/>
      <c r="AI1948" s="243" t="str">
        <f t="shared" si="5"/>
        <v>N/A</v>
      </c>
      <c r="AJ1948" s="157" t="str">
        <f t="shared" si="6"/>
        <v/>
      </c>
    </row>
    <row r="1949" ht="12.75" customHeight="1">
      <c r="A1949" s="244" t="s">
        <v>4158</v>
      </c>
      <c r="B1949" s="244" t="s">
        <v>4161</v>
      </c>
      <c r="C1949" s="244" t="s">
        <v>4921</v>
      </c>
      <c r="D1949" s="154" t="s">
        <v>433</v>
      </c>
      <c r="E1949" s="250"/>
      <c r="F1949" s="154" t="str">
        <f t="array" ref="F1949">XLOOKUP(Cover!$D$12,$S$1:$AA$1,$S1949:$AA1949)</f>
        <v>Mandatory</v>
      </c>
      <c r="G1949" s="154" t="s">
        <v>4922</v>
      </c>
      <c r="H1949" s="154" t="s">
        <v>2307</v>
      </c>
      <c r="I1949" s="154" t="s">
        <v>632</v>
      </c>
      <c r="J1949" s="247" t="s">
        <v>445</v>
      </c>
      <c r="K1949" s="154"/>
      <c r="L1949" s="154" t="str">
        <f t="shared" si="1"/>
        <v/>
      </c>
      <c r="M1949" s="248" t="str">
        <f>IFERROR(__xludf.DUMMYFUNCTION("VLOOKUP(C1949,IMPORTRANGE(""https://docs.google.com/spreadsheets/d/1P8eX0NWBhUPS_hvzA11R6jkTNFrPrRYIx_dX_hYbxrk/edit?resourcekey=0-iw9bsKY2OqkUHCFMkCar3A&amp;gid=2055363397#gid=2055363397"",""MTR!C:O""),11,false)"),"PMW-IMS")</f>
        <v>PMW-IMS</v>
      </c>
      <c r="N1949" s="248" t="str">
        <f>IFERROR(__xludf.DUMMYFUNCTION("VLOOKUP(C1949,IMPORTRANGE(""https://docs.google.com/spreadsheets/d/1ihFlp3_ePlYtFuPbUNbYj1muErVpI73WHXbEwJDIA7Q/edit#gid=1493122344"",""MTR!C:O""),8,false)"),"Complies")</f>
        <v>Complies</v>
      </c>
      <c r="O1949" s="241" t="str">
        <f>IFERROR(__xludf.DUMMYFUNCTION("VLOOKUP(C1949,IMPORTRANGE(""https://docs.google.com/spreadsheets/d/1P8eX0NWBhUPS_hvzA11R6jkTNFrPrRYIx_dX_hYbxrk/edit?resourcekey=0-iw9bsKY2OqkUHCFMkCar3A&amp;gid=2055363397#gid=2055363397"",""MTR!C:O""),9,false)"),"")</f>
        <v/>
      </c>
      <c r="P1949" s="241"/>
      <c r="Q1949" s="251" t="s">
        <v>445</v>
      </c>
      <c r="R1949" s="241"/>
      <c r="S1949" s="154" t="s">
        <v>60</v>
      </c>
      <c r="T1949" s="154" t="s">
        <v>60</v>
      </c>
      <c r="U1949" s="154" t="s">
        <v>60</v>
      </c>
      <c r="V1949" s="154" t="s">
        <v>60</v>
      </c>
      <c r="W1949" s="154" t="s">
        <v>60</v>
      </c>
      <c r="X1949" s="154" t="s">
        <v>60</v>
      </c>
      <c r="Y1949" s="154" t="s">
        <v>64</v>
      </c>
      <c r="Z1949" s="154" t="s">
        <v>64</v>
      </c>
      <c r="AA1949" s="154" t="s">
        <v>64</v>
      </c>
      <c r="AB1949" s="154"/>
      <c r="AC1949" s="242" t="b">
        <f t="shared" si="2"/>
        <v>1</v>
      </c>
      <c r="AD1949" s="154" t="s">
        <v>391</v>
      </c>
      <c r="AE1949" s="243" t="b">
        <f t="shared" si="3"/>
        <v>0</v>
      </c>
      <c r="AF1949" s="154"/>
      <c r="AG1949" s="243" t="b">
        <f t="shared" si="7"/>
        <v>0</v>
      </c>
      <c r="AH1949" s="154"/>
      <c r="AI1949" s="243" t="str">
        <f t="shared" si="5"/>
        <v>N/A</v>
      </c>
      <c r="AJ1949" s="157" t="str">
        <f t="shared" si="6"/>
        <v/>
      </c>
    </row>
    <row r="1950" ht="12.75" customHeight="1">
      <c r="A1950" s="244" t="s">
        <v>4158</v>
      </c>
      <c r="B1950" s="244" t="s">
        <v>4161</v>
      </c>
      <c r="C1950" s="244" t="s">
        <v>4923</v>
      </c>
      <c r="D1950" s="154" t="s">
        <v>433</v>
      </c>
      <c r="E1950" s="250"/>
      <c r="F1950" s="154" t="str">
        <f t="array" ref="F1950">XLOOKUP(Cover!$D$12,$S$1:$AA$1,$S1950:$AA1950)</f>
        <v>Mandatory</v>
      </c>
      <c r="G1950" s="154" t="s">
        <v>4924</v>
      </c>
      <c r="H1950" s="154" t="s">
        <v>2307</v>
      </c>
      <c r="I1950" s="154" t="s">
        <v>632</v>
      </c>
      <c r="J1950" s="247" t="s">
        <v>445</v>
      </c>
      <c r="K1950" s="154"/>
      <c r="L1950" s="154" t="str">
        <f t="shared" si="1"/>
        <v/>
      </c>
      <c r="M1950" s="248" t="str">
        <f>IFERROR(__xludf.DUMMYFUNCTION("VLOOKUP(C1950,IMPORTRANGE(""https://docs.google.com/spreadsheets/d/1P8eX0NWBhUPS_hvzA11R6jkTNFrPrRYIx_dX_hYbxrk/edit?resourcekey=0-iw9bsKY2OqkUHCFMkCar3A&amp;gid=2055363397#gid=2055363397"",""MTR!C:O""),11,false)"),"PMW-IMS")</f>
        <v>PMW-IMS</v>
      </c>
      <c r="N1950" s="248" t="str">
        <f>IFERROR(__xludf.DUMMYFUNCTION("VLOOKUP(C1950,IMPORTRANGE(""https://docs.google.com/spreadsheets/d/1ihFlp3_ePlYtFuPbUNbYj1muErVpI73WHXbEwJDIA7Q/edit#gid=1493122344"",""MTR!C:O""),8,false)"),"Complies")</f>
        <v>Complies</v>
      </c>
      <c r="O1950" s="241" t="str">
        <f>IFERROR(__xludf.DUMMYFUNCTION("VLOOKUP(C1950,IMPORTRANGE(""https://docs.google.com/spreadsheets/d/1P8eX0NWBhUPS_hvzA11R6jkTNFrPrRYIx_dX_hYbxrk/edit?resourcekey=0-iw9bsKY2OqkUHCFMkCar3A&amp;gid=2055363397#gid=2055363397"",""MTR!C:O""),9,false)"),"")</f>
        <v/>
      </c>
      <c r="P1950" s="241"/>
      <c r="Q1950" s="251" t="s">
        <v>445</v>
      </c>
      <c r="R1950" s="241"/>
      <c r="S1950" s="154" t="s">
        <v>60</v>
      </c>
      <c r="T1950" s="154" t="s">
        <v>60</v>
      </c>
      <c r="U1950" s="154" t="s">
        <v>60</v>
      </c>
      <c r="V1950" s="154" t="s">
        <v>60</v>
      </c>
      <c r="W1950" s="154" t="s">
        <v>60</v>
      </c>
      <c r="X1950" s="154" t="s">
        <v>60</v>
      </c>
      <c r="Y1950" s="154" t="s">
        <v>64</v>
      </c>
      <c r="Z1950" s="154" t="s">
        <v>64</v>
      </c>
      <c r="AA1950" s="154" t="s">
        <v>64</v>
      </c>
      <c r="AB1950" s="154"/>
      <c r="AC1950" s="242" t="b">
        <f t="shared" si="2"/>
        <v>1</v>
      </c>
      <c r="AD1950" s="154" t="s">
        <v>391</v>
      </c>
      <c r="AE1950" s="243" t="b">
        <f t="shared" si="3"/>
        <v>0</v>
      </c>
      <c r="AF1950" s="154"/>
      <c r="AG1950" s="243" t="b">
        <f t="shared" si="7"/>
        <v>0</v>
      </c>
      <c r="AH1950" s="154"/>
      <c r="AI1950" s="243" t="str">
        <f t="shared" si="5"/>
        <v>N/A</v>
      </c>
      <c r="AJ1950" s="157" t="str">
        <f t="shared" si="6"/>
        <v/>
      </c>
    </row>
    <row r="1951" ht="12.75" customHeight="1">
      <c r="A1951" s="244" t="s">
        <v>4158</v>
      </c>
      <c r="B1951" s="244" t="s">
        <v>4161</v>
      </c>
      <c r="C1951" s="244" t="s">
        <v>4925</v>
      </c>
      <c r="D1951" s="154" t="s">
        <v>492</v>
      </c>
      <c r="E1951" s="250"/>
      <c r="F1951" s="154" t="str">
        <f t="array" ref="F1951">XLOOKUP(Cover!$D$12,$S$1:$AA$1,$S1951:$AA1951)</f>
        <v>Mandatory</v>
      </c>
      <c r="G1951" s="154" t="s">
        <v>4926</v>
      </c>
      <c r="H1951" s="154" t="s">
        <v>4279</v>
      </c>
      <c r="I1951" s="154" t="s">
        <v>632</v>
      </c>
      <c r="J1951" s="247" t="s">
        <v>445</v>
      </c>
      <c r="K1951" s="154"/>
      <c r="L1951" s="154" t="str">
        <f t="shared" si="1"/>
        <v/>
      </c>
      <c r="M1951" s="248" t="str">
        <f>IFERROR(__xludf.DUMMYFUNCTION("VLOOKUP(C1951,IMPORTRANGE(""https://docs.google.com/spreadsheets/d/1P8eX0NWBhUPS_hvzA11R6jkTNFrPrRYIx_dX_hYbxrk/edit?resourcekey=0-iw9bsKY2OqkUHCFMkCar3A&amp;gid=2055363397#gid=2055363397"",""MTR!C:O""),11,false)"),"PMW-IMS")</f>
        <v>PMW-IMS</v>
      </c>
      <c r="N1951" s="248" t="str">
        <f>IFERROR(__xludf.DUMMYFUNCTION("VLOOKUP(C1951,IMPORTRANGE(""https://docs.google.com/spreadsheets/d/1ihFlp3_ePlYtFuPbUNbYj1muErVpI73WHXbEwJDIA7Q/edit#gid=1493122344"",""MTR!C:O""),8,false)"),"Complies")</f>
        <v>Complies</v>
      </c>
      <c r="O1951" s="241" t="str">
        <f>IFERROR(__xludf.DUMMYFUNCTION("VLOOKUP(C1951,IMPORTRANGE(""https://docs.google.com/spreadsheets/d/1P8eX0NWBhUPS_hvzA11R6jkTNFrPrRYIx_dX_hYbxrk/edit?resourcekey=0-iw9bsKY2OqkUHCFMkCar3A&amp;gid=2055363397#gid=2055363397"",""MTR!C:O""),9,false)"),"")</f>
        <v/>
      </c>
      <c r="P1951" s="241"/>
      <c r="Q1951" s="251" t="s">
        <v>445</v>
      </c>
      <c r="R1951" s="241"/>
      <c r="S1951" s="154" t="s">
        <v>60</v>
      </c>
      <c r="T1951" s="154" t="s">
        <v>60</v>
      </c>
      <c r="U1951" s="154" t="s">
        <v>60</v>
      </c>
      <c r="V1951" s="154" t="s">
        <v>60</v>
      </c>
      <c r="W1951" s="154" t="s">
        <v>60</v>
      </c>
      <c r="X1951" s="154" t="s">
        <v>60</v>
      </c>
      <c r="Y1951" s="154" t="s">
        <v>64</v>
      </c>
      <c r="Z1951" s="154" t="s">
        <v>64</v>
      </c>
      <c r="AA1951" s="154" t="s">
        <v>64</v>
      </c>
      <c r="AB1951" s="154"/>
      <c r="AC1951" s="242" t="b">
        <f t="shared" si="2"/>
        <v>1</v>
      </c>
      <c r="AD1951" s="154" t="s">
        <v>391</v>
      </c>
      <c r="AE1951" s="243" t="b">
        <f t="shared" si="3"/>
        <v>0</v>
      </c>
      <c r="AF1951" s="154"/>
      <c r="AG1951" s="243" t="b">
        <f t="shared" si="7"/>
        <v>0</v>
      </c>
      <c r="AH1951" s="154"/>
      <c r="AI1951" s="243" t="str">
        <f t="shared" si="5"/>
        <v>N/A</v>
      </c>
      <c r="AJ1951" s="157" t="str">
        <f t="shared" si="6"/>
        <v/>
      </c>
    </row>
    <row r="1952" ht="12.75" customHeight="1">
      <c r="A1952" s="244" t="s">
        <v>4158</v>
      </c>
      <c r="B1952" s="244" t="s">
        <v>4161</v>
      </c>
      <c r="C1952" s="244" t="s">
        <v>4927</v>
      </c>
      <c r="D1952" s="154" t="s">
        <v>967</v>
      </c>
      <c r="E1952" s="250"/>
      <c r="F1952" s="154" t="str">
        <f t="array" ref="F1952">XLOOKUP(Cover!$D$12,$S$1:$AA$1,$S1952:$AA1952)</f>
        <v>Mandatory</v>
      </c>
      <c r="G1952" s="154" t="s">
        <v>4928</v>
      </c>
      <c r="H1952" s="154" t="s">
        <v>4279</v>
      </c>
      <c r="I1952" s="154" t="s">
        <v>632</v>
      </c>
      <c r="J1952" s="247" t="s">
        <v>445</v>
      </c>
      <c r="K1952" s="154"/>
      <c r="L1952" s="154" t="str">
        <f t="shared" si="1"/>
        <v/>
      </c>
      <c r="M1952" s="248" t="str">
        <f>IFERROR(__xludf.DUMMYFUNCTION("VLOOKUP(C1952,IMPORTRANGE(""https://docs.google.com/spreadsheets/d/1P8eX0NWBhUPS_hvzA11R6jkTNFrPrRYIx_dX_hYbxrk/edit?resourcekey=0-iw9bsKY2OqkUHCFMkCar3A&amp;gid=2055363397#gid=2055363397"",""MTR!C:O""),11,false)"),"PMW-IMS")</f>
        <v>PMW-IMS</v>
      </c>
      <c r="N1952" s="248" t="str">
        <f>IFERROR(__xludf.DUMMYFUNCTION("VLOOKUP(C1952,IMPORTRANGE(""https://docs.google.com/spreadsheets/d/1ihFlp3_ePlYtFuPbUNbYj1muErVpI73WHXbEwJDIA7Q/edit#gid=1493122344"",""MTR!C:O""),8,false)"),"Complies")</f>
        <v>Complies</v>
      </c>
      <c r="O1952" s="241" t="str">
        <f>IFERROR(__xludf.DUMMYFUNCTION("VLOOKUP(C1952,IMPORTRANGE(""https://docs.google.com/spreadsheets/d/1P8eX0NWBhUPS_hvzA11R6jkTNFrPrRYIx_dX_hYbxrk/edit?resourcekey=0-iw9bsKY2OqkUHCFMkCar3A&amp;gid=2055363397#gid=2055363397"",""MTR!C:O""),9,false)"),"")</f>
        <v/>
      </c>
      <c r="P1952" s="241"/>
      <c r="Q1952" s="251" t="s">
        <v>445</v>
      </c>
      <c r="R1952" s="241"/>
      <c r="S1952" s="154" t="s">
        <v>60</v>
      </c>
      <c r="T1952" s="154" t="s">
        <v>60</v>
      </c>
      <c r="U1952" s="154" t="s">
        <v>60</v>
      </c>
      <c r="V1952" s="154" t="s">
        <v>60</v>
      </c>
      <c r="W1952" s="154" t="s">
        <v>60</v>
      </c>
      <c r="X1952" s="154" t="s">
        <v>60</v>
      </c>
      <c r="Y1952" s="154" t="s">
        <v>64</v>
      </c>
      <c r="Z1952" s="154" t="s">
        <v>64</v>
      </c>
      <c r="AA1952" s="154" t="s">
        <v>64</v>
      </c>
      <c r="AB1952" s="154"/>
      <c r="AC1952" s="242" t="b">
        <f t="shared" si="2"/>
        <v>1</v>
      </c>
      <c r="AD1952" s="154" t="s">
        <v>391</v>
      </c>
      <c r="AE1952" s="243" t="b">
        <f t="shared" si="3"/>
        <v>0</v>
      </c>
      <c r="AF1952" s="154"/>
      <c r="AG1952" s="243" t="b">
        <f t="shared" si="7"/>
        <v>0</v>
      </c>
      <c r="AH1952" s="154"/>
      <c r="AI1952" s="243" t="str">
        <f t="shared" si="5"/>
        <v>N/A</v>
      </c>
      <c r="AJ1952" s="157" t="str">
        <f t="shared" si="6"/>
        <v/>
      </c>
    </row>
    <row r="1953" ht="12.75" customHeight="1">
      <c r="A1953" s="244" t="s">
        <v>4158</v>
      </c>
      <c r="B1953" s="244" t="s">
        <v>4161</v>
      </c>
      <c r="C1953" s="244" t="s">
        <v>4929</v>
      </c>
      <c r="D1953" s="154" t="s">
        <v>967</v>
      </c>
      <c r="E1953" s="250"/>
      <c r="F1953" s="154" t="str">
        <f t="array" ref="F1953">XLOOKUP(Cover!$D$12,$S$1:$AA$1,$S1953:$AA1953)</f>
        <v>Mandatory</v>
      </c>
      <c r="G1953" s="154" t="s">
        <v>4930</v>
      </c>
      <c r="H1953" s="154" t="s">
        <v>3947</v>
      </c>
      <c r="I1953" s="154" t="s">
        <v>632</v>
      </c>
      <c r="J1953" s="247" t="s">
        <v>445</v>
      </c>
      <c r="K1953" s="154"/>
      <c r="L1953" s="154" t="str">
        <f t="shared" si="1"/>
        <v/>
      </c>
      <c r="M1953" s="248" t="str">
        <f>IFERROR(__xludf.DUMMYFUNCTION("VLOOKUP(C1953,IMPORTRANGE(""https://docs.google.com/spreadsheets/d/1P8eX0NWBhUPS_hvzA11R6jkTNFrPrRYIx_dX_hYbxrk/edit?resourcekey=0-iw9bsKY2OqkUHCFMkCar3A&amp;gid=2055363397#gid=2055363397"",""MTR!C:O""),11,false)"),"PMW-IMS")</f>
        <v>PMW-IMS</v>
      </c>
      <c r="N1953" s="248" t="str">
        <f>IFERROR(__xludf.DUMMYFUNCTION("VLOOKUP(C1953,IMPORTRANGE(""https://docs.google.com/spreadsheets/d/1ihFlp3_ePlYtFuPbUNbYj1muErVpI73WHXbEwJDIA7Q/edit#gid=1493122344"",""MTR!C:O""),8,false)"),"Complies")</f>
        <v>Complies</v>
      </c>
      <c r="O1953" s="241" t="str">
        <f>IFERROR(__xludf.DUMMYFUNCTION("VLOOKUP(C1953,IMPORTRANGE(""https://docs.google.com/spreadsheets/d/1P8eX0NWBhUPS_hvzA11R6jkTNFrPrRYIx_dX_hYbxrk/edit?resourcekey=0-iw9bsKY2OqkUHCFMkCar3A&amp;gid=2055363397#gid=2055363397"",""MTR!C:O""),9,false)"),"")</f>
        <v/>
      </c>
      <c r="P1953" s="241"/>
      <c r="Q1953" s="251" t="s">
        <v>445</v>
      </c>
      <c r="R1953" s="241"/>
      <c r="S1953" s="154" t="s">
        <v>60</v>
      </c>
      <c r="T1953" s="154" t="s">
        <v>60</v>
      </c>
      <c r="U1953" s="154" t="s">
        <v>60</v>
      </c>
      <c r="V1953" s="154" t="s">
        <v>60</v>
      </c>
      <c r="W1953" s="154" t="s">
        <v>60</v>
      </c>
      <c r="X1953" s="154" t="s">
        <v>60</v>
      </c>
      <c r="Y1953" s="154" t="s">
        <v>64</v>
      </c>
      <c r="Z1953" s="154" t="s">
        <v>64</v>
      </c>
      <c r="AA1953" s="154" t="s">
        <v>64</v>
      </c>
      <c r="AB1953" s="154"/>
      <c r="AC1953" s="242" t="b">
        <f t="shared" si="2"/>
        <v>1</v>
      </c>
      <c r="AD1953" s="154" t="s">
        <v>391</v>
      </c>
      <c r="AE1953" s="243" t="b">
        <f t="shared" si="3"/>
        <v>0</v>
      </c>
      <c r="AF1953" s="154"/>
      <c r="AG1953" s="243" t="b">
        <f t="shared" si="7"/>
        <v>0</v>
      </c>
      <c r="AH1953" s="154"/>
      <c r="AI1953" s="243" t="str">
        <f t="shared" si="5"/>
        <v>N/A</v>
      </c>
      <c r="AJ1953" s="157" t="str">
        <f t="shared" si="6"/>
        <v/>
      </c>
    </row>
    <row r="1954" ht="12.75" customHeight="1">
      <c r="A1954" s="244" t="s">
        <v>4158</v>
      </c>
      <c r="B1954" s="244" t="s">
        <v>4161</v>
      </c>
      <c r="C1954" s="244" t="s">
        <v>4931</v>
      </c>
      <c r="D1954" s="154" t="s">
        <v>1211</v>
      </c>
      <c r="E1954" s="250"/>
      <c r="F1954" s="154" t="str">
        <f t="array" ref="F1954">XLOOKUP(Cover!$D$12,$S$1:$AA$1,$S1954:$AA1954)</f>
        <v>Mandatory</v>
      </c>
      <c r="G1954" s="154" t="s">
        <v>4932</v>
      </c>
      <c r="H1954" s="154" t="s">
        <v>4279</v>
      </c>
      <c r="I1954" s="154" t="s">
        <v>632</v>
      </c>
      <c r="J1954" s="247" t="s">
        <v>445</v>
      </c>
      <c r="K1954" s="154"/>
      <c r="L1954" s="154" t="str">
        <f t="shared" si="1"/>
        <v/>
      </c>
      <c r="M1954" s="248" t="str">
        <f>IFERROR(__xludf.DUMMYFUNCTION("VLOOKUP(C1954,IMPORTRANGE(""https://docs.google.com/spreadsheets/d/1P8eX0NWBhUPS_hvzA11R6jkTNFrPrRYIx_dX_hYbxrk/edit?resourcekey=0-iw9bsKY2OqkUHCFMkCar3A&amp;gid=2055363397#gid=2055363397"",""MTR!C:O""),11,false)"),"PMW-IMS")</f>
        <v>PMW-IMS</v>
      </c>
      <c r="N1954" s="248" t="str">
        <f>IFERROR(__xludf.DUMMYFUNCTION("VLOOKUP(C1954,IMPORTRANGE(""https://docs.google.com/spreadsheets/d/1ihFlp3_ePlYtFuPbUNbYj1muErVpI73WHXbEwJDIA7Q/edit#gid=1493122344"",""MTR!C:O""),8,false)"),"Complies")</f>
        <v>Complies</v>
      </c>
      <c r="O1954" s="241" t="str">
        <f>IFERROR(__xludf.DUMMYFUNCTION("VLOOKUP(C1954,IMPORTRANGE(""https://docs.google.com/spreadsheets/d/1P8eX0NWBhUPS_hvzA11R6jkTNFrPrRYIx_dX_hYbxrk/edit?resourcekey=0-iw9bsKY2OqkUHCFMkCar3A&amp;gid=2055363397#gid=2055363397"",""MTR!C:O""),9,false)"),"")</f>
        <v/>
      </c>
      <c r="P1954" s="241"/>
      <c r="Q1954" s="251" t="s">
        <v>445</v>
      </c>
      <c r="R1954" s="241"/>
      <c r="S1954" s="154" t="s">
        <v>60</v>
      </c>
      <c r="T1954" s="154" t="s">
        <v>60</v>
      </c>
      <c r="U1954" s="154" t="s">
        <v>60</v>
      </c>
      <c r="V1954" s="154" t="s">
        <v>60</v>
      </c>
      <c r="W1954" s="154" t="s">
        <v>60</v>
      </c>
      <c r="X1954" s="154" t="s">
        <v>60</v>
      </c>
      <c r="Y1954" s="154" t="s">
        <v>64</v>
      </c>
      <c r="Z1954" s="154" t="s">
        <v>64</v>
      </c>
      <c r="AA1954" s="154" t="s">
        <v>64</v>
      </c>
      <c r="AB1954" s="154"/>
      <c r="AC1954" s="242" t="b">
        <f t="shared" si="2"/>
        <v>1</v>
      </c>
      <c r="AD1954" s="154" t="s">
        <v>391</v>
      </c>
      <c r="AE1954" s="243" t="b">
        <f t="shared" si="3"/>
        <v>0</v>
      </c>
      <c r="AF1954" s="154"/>
      <c r="AG1954" s="243" t="b">
        <f t="shared" si="7"/>
        <v>0</v>
      </c>
      <c r="AH1954" s="154"/>
      <c r="AI1954" s="243" t="str">
        <f t="shared" si="5"/>
        <v>N/A</v>
      </c>
      <c r="AJ1954" s="157" t="str">
        <f t="shared" si="6"/>
        <v/>
      </c>
    </row>
    <row r="1955" ht="12.75" customHeight="1">
      <c r="A1955" s="244" t="s">
        <v>4158</v>
      </c>
      <c r="B1955" s="244" t="s">
        <v>4161</v>
      </c>
      <c r="C1955" s="244" t="s">
        <v>4933</v>
      </c>
      <c r="D1955" s="154" t="s">
        <v>1211</v>
      </c>
      <c r="E1955" s="250"/>
      <c r="F1955" s="154" t="str">
        <f t="array" ref="F1955">XLOOKUP(Cover!$D$12,$S$1:$AA$1,$S1955:$AA1955)</f>
        <v>Mandatory</v>
      </c>
      <c r="G1955" s="154" t="s">
        <v>4934</v>
      </c>
      <c r="H1955" s="154" t="s">
        <v>4279</v>
      </c>
      <c r="I1955" s="154" t="s">
        <v>632</v>
      </c>
      <c r="J1955" s="247" t="s">
        <v>445</v>
      </c>
      <c r="K1955" s="154"/>
      <c r="L1955" s="154" t="str">
        <f t="shared" si="1"/>
        <v/>
      </c>
      <c r="M1955" s="248" t="str">
        <f>IFERROR(__xludf.DUMMYFUNCTION("VLOOKUP(C1955,IMPORTRANGE(""https://docs.google.com/spreadsheets/d/1P8eX0NWBhUPS_hvzA11R6jkTNFrPrRYIx_dX_hYbxrk/edit?resourcekey=0-iw9bsKY2OqkUHCFMkCar3A&amp;gid=2055363397#gid=2055363397"",""MTR!C:O""),11,false)"),"PMW-MCE-NAS")</f>
        <v>PMW-MCE-NAS</v>
      </c>
      <c r="N1955" s="248" t="str">
        <f>IFERROR(__xludf.DUMMYFUNCTION("VLOOKUP(C1955,IMPORTRANGE(""https://docs.google.com/spreadsheets/d/1ihFlp3_ePlYtFuPbUNbYj1muErVpI73WHXbEwJDIA7Q/edit#gid=1493122344"",""MTR!C:O""),8,false)"),"Complies")</f>
        <v>Complies</v>
      </c>
      <c r="O1955" s="241" t="str">
        <f>IFERROR(__xludf.DUMMYFUNCTION("VLOOKUP(C1955,IMPORTRANGE(""https://docs.google.com/spreadsheets/d/1P8eX0NWBhUPS_hvzA11R6jkTNFrPrRYIx_dX_hYbxrk/edit?resourcekey=0-iw9bsKY2OqkUHCFMkCar3A&amp;gid=2055363397#gid=2055363397"",""MTR!C:O""),9,false)"),"")</f>
        <v/>
      </c>
      <c r="P1955" s="241"/>
      <c r="Q1955" s="251" t="s">
        <v>445</v>
      </c>
      <c r="R1955" s="241"/>
      <c r="S1955" s="154" t="s">
        <v>60</v>
      </c>
      <c r="T1955" s="154" t="s">
        <v>60</v>
      </c>
      <c r="U1955" s="154" t="s">
        <v>60</v>
      </c>
      <c r="V1955" s="154" t="s">
        <v>60</v>
      </c>
      <c r="W1955" s="154" t="s">
        <v>60</v>
      </c>
      <c r="X1955" s="154" t="s">
        <v>60</v>
      </c>
      <c r="Y1955" s="154" t="s">
        <v>64</v>
      </c>
      <c r="Z1955" s="154" t="s">
        <v>64</v>
      </c>
      <c r="AA1955" s="154" t="s">
        <v>64</v>
      </c>
      <c r="AB1955" s="154"/>
      <c r="AC1955" s="242" t="b">
        <f t="shared" si="2"/>
        <v>1</v>
      </c>
      <c r="AD1955" s="154" t="s">
        <v>391</v>
      </c>
      <c r="AE1955" s="243" t="b">
        <f t="shared" si="3"/>
        <v>0</v>
      </c>
      <c r="AF1955" s="154"/>
      <c r="AG1955" s="243" t="b">
        <f t="shared" si="7"/>
        <v>0</v>
      </c>
      <c r="AH1955" s="154"/>
      <c r="AI1955" s="243" t="str">
        <f t="shared" si="5"/>
        <v>N/A</v>
      </c>
      <c r="AJ1955" s="157" t="str">
        <f t="shared" si="6"/>
        <v/>
      </c>
    </row>
    <row r="1956" ht="12.75" customHeight="1">
      <c r="A1956" s="244" t="s">
        <v>4158</v>
      </c>
      <c r="B1956" s="244" t="s">
        <v>4161</v>
      </c>
      <c r="C1956" s="244" t="s">
        <v>4935</v>
      </c>
      <c r="D1956" s="154" t="s">
        <v>861</v>
      </c>
      <c r="E1956" s="250"/>
      <c r="F1956" s="154" t="str">
        <f t="array" ref="F1956">XLOOKUP(Cover!$D$12,$S$1:$AA$1,$S1956:$AA1956)</f>
        <v>Mandatory</v>
      </c>
      <c r="G1956" s="154" t="s">
        <v>4936</v>
      </c>
      <c r="H1956" s="154" t="s">
        <v>4279</v>
      </c>
      <c r="I1956" s="154" t="s">
        <v>632</v>
      </c>
      <c r="J1956" s="247" t="s">
        <v>445</v>
      </c>
      <c r="K1956" s="154"/>
      <c r="L1956" s="154" t="str">
        <f t="shared" si="1"/>
        <v/>
      </c>
      <c r="M1956" s="248" t="str">
        <f>IFERROR(__xludf.DUMMYFUNCTION("VLOOKUP(C1956,IMPORTRANGE(""https://docs.google.com/spreadsheets/d/1P8eX0NWBhUPS_hvzA11R6jkTNFrPrRYIx_dX_hYbxrk/edit?resourcekey=0-iw9bsKY2OqkUHCFMkCar3A&amp;gid=2055363397#gid=2055363397"",""MTR!C:O""),11,false)"),"PMW-MCE-NAS")</f>
        <v>PMW-MCE-NAS</v>
      </c>
      <c r="N1956" s="248" t="str">
        <f>IFERROR(__xludf.DUMMYFUNCTION("VLOOKUP(C1956,IMPORTRANGE(""https://docs.google.com/spreadsheets/d/1ihFlp3_ePlYtFuPbUNbYj1muErVpI73WHXbEwJDIA7Q/edit#gid=1493122344"",""MTR!C:O""),8,false)"),"Complies")</f>
        <v>Complies</v>
      </c>
      <c r="O1956" s="241" t="str">
        <f>IFERROR(__xludf.DUMMYFUNCTION("VLOOKUP(C1956,IMPORTRANGE(""https://docs.google.com/spreadsheets/d/1P8eX0NWBhUPS_hvzA11R6jkTNFrPrRYIx_dX_hYbxrk/edit?resourcekey=0-iw9bsKY2OqkUHCFMkCar3A&amp;gid=2055363397#gid=2055363397"",""MTR!C:O""),9,false)"),"")</f>
        <v/>
      </c>
      <c r="P1956" s="241"/>
      <c r="Q1956" s="251" t="s">
        <v>445</v>
      </c>
      <c r="R1956" s="241"/>
      <c r="S1956" s="154" t="s">
        <v>60</v>
      </c>
      <c r="T1956" s="154" t="s">
        <v>60</v>
      </c>
      <c r="U1956" s="154" t="s">
        <v>60</v>
      </c>
      <c r="V1956" s="154" t="s">
        <v>60</v>
      </c>
      <c r="W1956" s="154" t="s">
        <v>60</v>
      </c>
      <c r="X1956" s="154" t="s">
        <v>60</v>
      </c>
      <c r="Y1956" s="154" t="s">
        <v>64</v>
      </c>
      <c r="Z1956" s="154" t="s">
        <v>64</v>
      </c>
      <c r="AA1956" s="154" t="s">
        <v>64</v>
      </c>
      <c r="AB1956" s="154"/>
      <c r="AC1956" s="242" t="b">
        <f t="shared" si="2"/>
        <v>1</v>
      </c>
      <c r="AD1956" s="154" t="s">
        <v>391</v>
      </c>
      <c r="AE1956" s="243" t="b">
        <f t="shared" si="3"/>
        <v>0</v>
      </c>
      <c r="AF1956" s="154"/>
      <c r="AG1956" s="243" t="b">
        <f t="shared" si="7"/>
        <v>0</v>
      </c>
      <c r="AH1956" s="154"/>
      <c r="AI1956" s="243" t="str">
        <f t="shared" si="5"/>
        <v>N/A</v>
      </c>
      <c r="AJ1956" s="157" t="str">
        <f t="shared" si="6"/>
        <v/>
      </c>
    </row>
    <row r="1957" ht="12.75" customHeight="1">
      <c r="A1957" s="244" t="s">
        <v>4158</v>
      </c>
      <c r="B1957" s="244" t="s">
        <v>4161</v>
      </c>
      <c r="C1957" s="244" t="s">
        <v>4937</v>
      </c>
      <c r="D1957" s="154" t="s">
        <v>739</v>
      </c>
      <c r="E1957" s="250"/>
      <c r="F1957" s="154" t="str">
        <f t="array" ref="F1957">XLOOKUP(Cover!$D$12,$S$1:$AA$1,$S1957:$AA1957)</f>
        <v>Mandatory</v>
      </c>
      <c r="G1957" s="154" t="s">
        <v>4938</v>
      </c>
      <c r="H1957" s="154" t="s">
        <v>4279</v>
      </c>
      <c r="I1957" s="154" t="s">
        <v>632</v>
      </c>
      <c r="J1957" s="247" t="s">
        <v>445</v>
      </c>
      <c r="K1957" s="154"/>
      <c r="L1957" s="154" t="str">
        <f t="shared" si="1"/>
        <v/>
      </c>
      <c r="M1957" s="248" t="str">
        <f>IFERROR(__xludf.DUMMYFUNCTION("VLOOKUP(C1957,IMPORTRANGE(""https://docs.google.com/spreadsheets/d/1P8eX0NWBhUPS_hvzA11R6jkTNFrPrRYIx_dX_hYbxrk/edit?resourcekey=0-iw9bsKY2OqkUHCFMkCar3A&amp;gid=2055363397#gid=2055363397"",""MTR!C:O""),11,false)"),"PMW-IMS")</f>
        <v>PMW-IMS</v>
      </c>
      <c r="N1957" s="248" t="str">
        <f>IFERROR(__xludf.DUMMYFUNCTION("VLOOKUP(C1957,IMPORTRANGE(""https://docs.google.com/spreadsheets/d/1ihFlp3_ePlYtFuPbUNbYj1muErVpI73WHXbEwJDIA7Q/edit#gid=1493122344"",""MTR!C:O""),8,false)"),"Complies")</f>
        <v>Complies</v>
      </c>
      <c r="O1957" s="241" t="str">
        <f>IFERROR(__xludf.DUMMYFUNCTION("VLOOKUP(C1957,IMPORTRANGE(""https://docs.google.com/spreadsheets/d/1P8eX0NWBhUPS_hvzA11R6jkTNFrPrRYIx_dX_hYbxrk/edit?resourcekey=0-iw9bsKY2OqkUHCFMkCar3A&amp;gid=2055363397#gid=2055363397"",""MTR!C:O""),9,false)"),"")</f>
        <v/>
      </c>
      <c r="P1957" s="241"/>
      <c r="Q1957" s="251" t="s">
        <v>445</v>
      </c>
      <c r="R1957" s="241"/>
      <c r="S1957" s="154" t="s">
        <v>60</v>
      </c>
      <c r="T1957" s="154" t="s">
        <v>60</v>
      </c>
      <c r="U1957" s="154" t="s">
        <v>60</v>
      </c>
      <c r="V1957" s="154" t="s">
        <v>60</v>
      </c>
      <c r="W1957" s="154" t="s">
        <v>60</v>
      </c>
      <c r="X1957" s="154" t="s">
        <v>60</v>
      </c>
      <c r="Y1957" s="154" t="s">
        <v>64</v>
      </c>
      <c r="Z1957" s="154" t="s">
        <v>64</v>
      </c>
      <c r="AA1957" s="154" t="s">
        <v>64</v>
      </c>
      <c r="AB1957" s="154"/>
      <c r="AC1957" s="242" t="b">
        <f t="shared" si="2"/>
        <v>1</v>
      </c>
      <c r="AD1957" s="154" t="s">
        <v>391</v>
      </c>
      <c r="AE1957" s="243" t="b">
        <f t="shared" si="3"/>
        <v>0</v>
      </c>
      <c r="AF1957" s="154"/>
      <c r="AG1957" s="243" t="b">
        <f t="shared" si="7"/>
        <v>0</v>
      </c>
      <c r="AH1957" s="154"/>
      <c r="AI1957" s="243" t="str">
        <f t="shared" si="5"/>
        <v>N/A</v>
      </c>
      <c r="AJ1957" s="157" t="str">
        <f t="shared" si="6"/>
        <v/>
      </c>
    </row>
    <row r="1958" ht="12.75" customHeight="1">
      <c r="A1958" s="244" t="s">
        <v>4158</v>
      </c>
      <c r="B1958" s="244" t="s">
        <v>4161</v>
      </c>
      <c r="C1958" s="244" t="s">
        <v>4939</v>
      </c>
      <c r="D1958" s="154" t="s">
        <v>433</v>
      </c>
      <c r="E1958" s="250"/>
      <c r="F1958" s="154" t="str">
        <f t="array" ref="F1958">XLOOKUP(Cover!$D$12,$S$1:$AA$1,$S1958:$AA1958)</f>
        <v>Mandatory</v>
      </c>
      <c r="G1958" s="154" t="s">
        <v>4940</v>
      </c>
      <c r="H1958" s="154" t="s">
        <v>4279</v>
      </c>
      <c r="I1958" s="154" t="s">
        <v>632</v>
      </c>
      <c r="J1958" s="247" t="s">
        <v>445</v>
      </c>
      <c r="K1958" s="154"/>
      <c r="L1958" s="154" t="str">
        <f t="shared" si="1"/>
        <v/>
      </c>
      <c r="M1958" s="248" t="str">
        <f>IFERROR(__xludf.DUMMYFUNCTION("VLOOKUP(C1958,IMPORTRANGE(""https://docs.google.com/spreadsheets/d/1P8eX0NWBhUPS_hvzA11R6jkTNFrPrRYIx_dX_hYbxrk/edit?resourcekey=0-iw9bsKY2OqkUHCFMkCar3A&amp;gid=2055363397#gid=2055363397"",""MTR!C:O""),11,false)"),"PMW-IMS")</f>
        <v>PMW-IMS</v>
      </c>
      <c r="N1958" s="248" t="str">
        <f>IFERROR(__xludf.DUMMYFUNCTION("VLOOKUP(C1958,IMPORTRANGE(""https://docs.google.com/spreadsheets/d/1ihFlp3_ePlYtFuPbUNbYj1muErVpI73WHXbEwJDIA7Q/edit#gid=1493122344"",""MTR!C:O""),8,false)"),"Complies")</f>
        <v>Complies</v>
      </c>
      <c r="O1958" s="241" t="str">
        <f>IFERROR(__xludf.DUMMYFUNCTION("VLOOKUP(C1958,IMPORTRANGE(""https://docs.google.com/spreadsheets/d/1P8eX0NWBhUPS_hvzA11R6jkTNFrPrRYIx_dX_hYbxrk/edit?resourcekey=0-iw9bsKY2OqkUHCFMkCar3A&amp;gid=2055363397#gid=2055363397"",""MTR!C:O""),9,false)"),"")</f>
        <v/>
      </c>
      <c r="P1958" s="241"/>
      <c r="Q1958" s="251" t="s">
        <v>445</v>
      </c>
      <c r="R1958" s="241"/>
      <c r="S1958" s="154" t="s">
        <v>60</v>
      </c>
      <c r="T1958" s="154" t="s">
        <v>60</v>
      </c>
      <c r="U1958" s="154" t="s">
        <v>60</v>
      </c>
      <c r="V1958" s="154" t="s">
        <v>60</v>
      </c>
      <c r="W1958" s="154" t="s">
        <v>60</v>
      </c>
      <c r="X1958" s="154" t="s">
        <v>60</v>
      </c>
      <c r="Y1958" s="154" t="s">
        <v>64</v>
      </c>
      <c r="Z1958" s="154" t="s">
        <v>64</v>
      </c>
      <c r="AA1958" s="154" t="s">
        <v>64</v>
      </c>
      <c r="AB1958" s="154"/>
      <c r="AC1958" s="242" t="b">
        <f t="shared" si="2"/>
        <v>1</v>
      </c>
      <c r="AD1958" s="154" t="s">
        <v>391</v>
      </c>
      <c r="AE1958" s="243" t="b">
        <f t="shared" si="3"/>
        <v>0</v>
      </c>
      <c r="AF1958" s="154"/>
      <c r="AG1958" s="243" t="b">
        <f t="shared" si="7"/>
        <v>0</v>
      </c>
      <c r="AH1958" s="154"/>
      <c r="AI1958" s="243" t="str">
        <f t="shared" si="5"/>
        <v>N/A</v>
      </c>
      <c r="AJ1958" s="157" t="str">
        <f t="shared" si="6"/>
        <v/>
      </c>
    </row>
    <row r="1959" ht="12.75" customHeight="1">
      <c r="A1959" s="244" t="s">
        <v>4158</v>
      </c>
      <c r="B1959" s="244" t="s">
        <v>4161</v>
      </c>
      <c r="C1959" s="244" t="s">
        <v>4941</v>
      </c>
      <c r="D1959" s="154" t="s">
        <v>492</v>
      </c>
      <c r="E1959" s="250"/>
      <c r="F1959" s="154" t="str">
        <f t="array" ref="F1959">XLOOKUP(Cover!$D$12,$S$1:$AA$1,$S1959:$AA1959)</f>
        <v>Mandatory</v>
      </c>
      <c r="G1959" s="154" t="s">
        <v>4942</v>
      </c>
      <c r="H1959" s="154" t="s">
        <v>4279</v>
      </c>
      <c r="I1959" s="154" t="s">
        <v>632</v>
      </c>
      <c r="J1959" s="247" t="s">
        <v>445</v>
      </c>
      <c r="K1959" s="154"/>
      <c r="L1959" s="154" t="str">
        <f t="shared" si="1"/>
        <v/>
      </c>
      <c r="M1959" s="248" t="str">
        <f>IFERROR(__xludf.DUMMYFUNCTION("VLOOKUP(C1959,IMPORTRANGE(""https://docs.google.com/spreadsheets/d/1P8eX0NWBhUPS_hvzA11R6jkTNFrPrRYIx_dX_hYbxrk/edit?resourcekey=0-iw9bsKY2OqkUHCFMkCar3A&amp;gid=2055363397#gid=2055363397"",""MTR!C:O""),11,false)"),"PMW-IMS")</f>
        <v>PMW-IMS</v>
      </c>
      <c r="N1959" s="248" t="str">
        <f>IFERROR(__xludf.DUMMYFUNCTION("VLOOKUP(C1959,IMPORTRANGE(""https://docs.google.com/spreadsheets/d/1ihFlp3_ePlYtFuPbUNbYj1muErVpI73WHXbEwJDIA7Q/edit#gid=1493122344"",""MTR!C:O""),8,false)"),"Complies")</f>
        <v>Complies</v>
      </c>
      <c r="O1959" s="241" t="str">
        <f>IFERROR(__xludf.DUMMYFUNCTION("VLOOKUP(C1959,IMPORTRANGE(""https://docs.google.com/spreadsheets/d/1P8eX0NWBhUPS_hvzA11R6jkTNFrPrRYIx_dX_hYbxrk/edit?resourcekey=0-iw9bsKY2OqkUHCFMkCar3A&amp;gid=2055363397#gid=2055363397"",""MTR!C:O""),9,false)"),"")</f>
        <v/>
      </c>
      <c r="P1959" s="241"/>
      <c r="Q1959" s="251" t="s">
        <v>445</v>
      </c>
      <c r="R1959" s="241"/>
      <c r="S1959" s="154" t="s">
        <v>60</v>
      </c>
      <c r="T1959" s="154" t="s">
        <v>60</v>
      </c>
      <c r="U1959" s="154" t="s">
        <v>60</v>
      </c>
      <c r="V1959" s="154" t="s">
        <v>60</v>
      </c>
      <c r="W1959" s="154" t="s">
        <v>60</v>
      </c>
      <c r="X1959" s="154" t="s">
        <v>60</v>
      </c>
      <c r="Y1959" s="154" t="s">
        <v>64</v>
      </c>
      <c r="Z1959" s="154" t="s">
        <v>64</v>
      </c>
      <c r="AA1959" s="154" t="s">
        <v>64</v>
      </c>
      <c r="AB1959" s="154"/>
      <c r="AC1959" s="242" t="b">
        <f t="shared" si="2"/>
        <v>1</v>
      </c>
      <c r="AD1959" s="154" t="s">
        <v>391</v>
      </c>
      <c r="AE1959" s="243" t="b">
        <f t="shared" si="3"/>
        <v>0</v>
      </c>
      <c r="AF1959" s="154"/>
      <c r="AG1959" s="243" t="b">
        <f t="shared" si="7"/>
        <v>0</v>
      </c>
      <c r="AH1959" s="154"/>
      <c r="AI1959" s="243" t="str">
        <f t="shared" si="5"/>
        <v>N/A</v>
      </c>
      <c r="AJ1959" s="157" t="str">
        <f t="shared" si="6"/>
        <v/>
      </c>
    </row>
    <row r="1960" ht="12.75" customHeight="1">
      <c r="A1960" s="244" t="s">
        <v>4158</v>
      </c>
      <c r="B1960" s="244" t="s">
        <v>4161</v>
      </c>
      <c r="C1960" s="244" t="s">
        <v>4943</v>
      </c>
      <c r="D1960" s="154" t="s">
        <v>781</v>
      </c>
      <c r="E1960" s="250"/>
      <c r="F1960" s="154" t="str">
        <f t="array" ref="F1960">XLOOKUP(Cover!$D$12,$S$1:$AA$1,$S1960:$AA1960)</f>
        <v>Mandatory</v>
      </c>
      <c r="G1960" s="154" t="s">
        <v>4944</v>
      </c>
      <c r="H1960" s="154" t="s">
        <v>4279</v>
      </c>
      <c r="I1960" s="154" t="s">
        <v>632</v>
      </c>
      <c r="J1960" s="247" t="s">
        <v>445</v>
      </c>
      <c r="K1960" s="154"/>
      <c r="L1960" s="154" t="str">
        <f t="shared" si="1"/>
        <v/>
      </c>
      <c r="M1960" s="248" t="str">
        <f>IFERROR(__xludf.DUMMYFUNCTION("VLOOKUP(C1960,IMPORTRANGE(""https://docs.google.com/spreadsheets/d/1P8eX0NWBhUPS_hvzA11R6jkTNFrPrRYIx_dX_hYbxrk/edit?resourcekey=0-iw9bsKY2OqkUHCFMkCar3A&amp;gid=2055363397#gid=2055363397"",""MTR!C:O""),11,false)"),"PMW-IMS")</f>
        <v>PMW-IMS</v>
      </c>
      <c r="N1960" s="248" t="str">
        <f>IFERROR(__xludf.DUMMYFUNCTION("VLOOKUP(C1960,IMPORTRANGE(""https://docs.google.com/spreadsheets/d/1ihFlp3_ePlYtFuPbUNbYj1muErVpI73WHXbEwJDIA7Q/edit#gid=1493122344"",""MTR!C:O""),8,false)"),"Complies")</f>
        <v>Complies</v>
      </c>
      <c r="O1960" s="241" t="str">
        <f>IFERROR(__xludf.DUMMYFUNCTION("VLOOKUP(C1960,IMPORTRANGE(""https://docs.google.com/spreadsheets/d/1P8eX0NWBhUPS_hvzA11R6jkTNFrPrRYIx_dX_hYbxrk/edit?resourcekey=0-iw9bsKY2OqkUHCFMkCar3A&amp;gid=2055363397#gid=2055363397"",""MTR!C:O""),9,false)"),"")</f>
        <v/>
      </c>
      <c r="P1960" s="241"/>
      <c r="Q1960" s="251" t="s">
        <v>445</v>
      </c>
      <c r="R1960" s="241"/>
      <c r="S1960" s="154" t="s">
        <v>60</v>
      </c>
      <c r="T1960" s="154" t="s">
        <v>60</v>
      </c>
      <c r="U1960" s="154" t="s">
        <v>60</v>
      </c>
      <c r="V1960" s="154" t="s">
        <v>60</v>
      </c>
      <c r="W1960" s="154" t="s">
        <v>60</v>
      </c>
      <c r="X1960" s="154" t="s">
        <v>60</v>
      </c>
      <c r="Y1960" s="154" t="s">
        <v>64</v>
      </c>
      <c r="Z1960" s="154" t="s">
        <v>64</v>
      </c>
      <c r="AA1960" s="154" t="s">
        <v>64</v>
      </c>
      <c r="AB1960" s="154"/>
      <c r="AC1960" s="242" t="b">
        <f t="shared" si="2"/>
        <v>1</v>
      </c>
      <c r="AD1960" s="154" t="s">
        <v>391</v>
      </c>
      <c r="AE1960" s="243" t="b">
        <f t="shared" si="3"/>
        <v>0</v>
      </c>
      <c r="AF1960" s="154"/>
      <c r="AG1960" s="243" t="b">
        <f t="shared" si="7"/>
        <v>0</v>
      </c>
      <c r="AH1960" s="154"/>
      <c r="AI1960" s="243" t="str">
        <f t="shared" si="5"/>
        <v>N/A</v>
      </c>
      <c r="AJ1960" s="157" t="str">
        <f t="shared" si="6"/>
        <v/>
      </c>
    </row>
    <row r="1961" ht="12.75" customHeight="1">
      <c r="A1961" s="244" t="s">
        <v>4158</v>
      </c>
      <c r="B1961" s="244" t="s">
        <v>4161</v>
      </c>
      <c r="C1961" s="244" t="s">
        <v>4945</v>
      </c>
      <c r="D1961" s="154" t="s">
        <v>781</v>
      </c>
      <c r="E1961" s="250"/>
      <c r="F1961" s="154" t="str">
        <f t="array" ref="F1961">XLOOKUP(Cover!$D$12,$S$1:$AA$1,$S1961:$AA1961)</f>
        <v>Mandatory</v>
      </c>
      <c r="G1961" s="154" t="s">
        <v>4946</v>
      </c>
      <c r="H1961" s="154" t="s">
        <v>4279</v>
      </c>
      <c r="I1961" s="154" t="s">
        <v>632</v>
      </c>
      <c r="J1961" s="247" t="s">
        <v>445</v>
      </c>
      <c r="K1961" s="154"/>
      <c r="L1961" s="154" t="str">
        <f t="shared" si="1"/>
        <v/>
      </c>
      <c r="M1961" s="248" t="str">
        <f>IFERROR(__xludf.DUMMYFUNCTION("VLOOKUP(C1961,IMPORTRANGE(""https://docs.google.com/spreadsheets/d/1P8eX0NWBhUPS_hvzA11R6jkTNFrPrRYIx_dX_hYbxrk/edit?resourcekey=0-iw9bsKY2OqkUHCFMkCar3A&amp;gid=2055363397#gid=2055363397"",""MTR!C:O""),11,false)"),"PMW-IMS")</f>
        <v>PMW-IMS</v>
      </c>
      <c r="N1961" s="248" t="str">
        <f>IFERROR(__xludf.DUMMYFUNCTION("VLOOKUP(C1961,IMPORTRANGE(""https://docs.google.com/spreadsheets/d/1ihFlp3_ePlYtFuPbUNbYj1muErVpI73WHXbEwJDIA7Q/edit#gid=1493122344"",""MTR!C:O""),8,false)"),"Complies")</f>
        <v>Complies</v>
      </c>
      <c r="O1961" s="241" t="str">
        <f>IFERROR(__xludf.DUMMYFUNCTION("VLOOKUP(C1961,IMPORTRANGE(""https://docs.google.com/spreadsheets/d/1P8eX0NWBhUPS_hvzA11R6jkTNFrPrRYIx_dX_hYbxrk/edit?resourcekey=0-iw9bsKY2OqkUHCFMkCar3A&amp;gid=2055363397#gid=2055363397"",""MTR!C:O""),9,false)"),"")</f>
        <v/>
      </c>
      <c r="P1961" s="241"/>
      <c r="Q1961" s="251" t="s">
        <v>445</v>
      </c>
      <c r="R1961" s="241"/>
      <c r="S1961" s="154" t="s">
        <v>60</v>
      </c>
      <c r="T1961" s="154" t="s">
        <v>60</v>
      </c>
      <c r="U1961" s="154" t="s">
        <v>60</v>
      </c>
      <c r="V1961" s="154" t="s">
        <v>60</v>
      </c>
      <c r="W1961" s="154" t="s">
        <v>60</v>
      </c>
      <c r="X1961" s="154" t="s">
        <v>60</v>
      </c>
      <c r="Y1961" s="154" t="s">
        <v>64</v>
      </c>
      <c r="Z1961" s="154" t="s">
        <v>64</v>
      </c>
      <c r="AA1961" s="154" t="s">
        <v>64</v>
      </c>
      <c r="AB1961" s="154"/>
      <c r="AC1961" s="242" t="b">
        <f t="shared" si="2"/>
        <v>1</v>
      </c>
      <c r="AD1961" s="154" t="s">
        <v>391</v>
      </c>
      <c r="AE1961" s="243" t="b">
        <f t="shared" si="3"/>
        <v>0</v>
      </c>
      <c r="AF1961" s="154"/>
      <c r="AG1961" s="243" t="b">
        <f t="shared" si="7"/>
        <v>0</v>
      </c>
      <c r="AH1961" s="154"/>
      <c r="AI1961" s="243" t="str">
        <f t="shared" si="5"/>
        <v>N/A</v>
      </c>
      <c r="AJ1961" s="157" t="str">
        <f t="shared" si="6"/>
        <v/>
      </c>
    </row>
    <row r="1962" ht="12.75" customHeight="1">
      <c r="A1962" s="244" t="s">
        <v>4158</v>
      </c>
      <c r="B1962" s="244" t="s">
        <v>4161</v>
      </c>
      <c r="C1962" s="244" t="s">
        <v>4947</v>
      </c>
      <c r="D1962" s="154" t="s">
        <v>781</v>
      </c>
      <c r="E1962" s="250"/>
      <c r="F1962" s="154" t="str">
        <f t="array" ref="F1962">XLOOKUP(Cover!$D$12,$S$1:$AA$1,$S1962:$AA1962)</f>
        <v>Mandatory</v>
      </c>
      <c r="G1962" s="154" t="s">
        <v>4948</v>
      </c>
      <c r="H1962" s="154" t="s">
        <v>4279</v>
      </c>
      <c r="I1962" s="154" t="s">
        <v>632</v>
      </c>
      <c r="J1962" s="247" t="s">
        <v>445</v>
      </c>
      <c r="K1962" s="154"/>
      <c r="L1962" s="154" t="str">
        <f t="shared" si="1"/>
        <v/>
      </c>
      <c r="M1962" s="248" t="str">
        <f>IFERROR(__xludf.DUMMYFUNCTION("VLOOKUP(C1962,IMPORTRANGE(""https://docs.google.com/spreadsheets/d/1P8eX0NWBhUPS_hvzA11R6jkTNFrPrRYIx_dX_hYbxrk/edit?resourcekey=0-iw9bsKY2OqkUHCFMkCar3A&amp;gid=2055363397#gid=2055363397"",""MTR!C:O""),11,false)"),"PMW-IMS")</f>
        <v>PMW-IMS</v>
      </c>
      <c r="N1962" s="248" t="str">
        <f>IFERROR(__xludf.DUMMYFUNCTION("VLOOKUP(C1962,IMPORTRANGE(""https://docs.google.com/spreadsheets/d/1ihFlp3_ePlYtFuPbUNbYj1muErVpI73WHXbEwJDIA7Q/edit#gid=1493122344"",""MTR!C:O""),8,false)"),"Complies")</f>
        <v>Complies</v>
      </c>
      <c r="O1962" s="241" t="str">
        <f>IFERROR(__xludf.DUMMYFUNCTION("VLOOKUP(C1962,IMPORTRANGE(""https://docs.google.com/spreadsheets/d/1P8eX0NWBhUPS_hvzA11R6jkTNFrPrRYIx_dX_hYbxrk/edit?resourcekey=0-iw9bsKY2OqkUHCFMkCar3A&amp;gid=2055363397#gid=2055363397"",""MTR!C:O""),9,false)"),"")</f>
        <v/>
      </c>
      <c r="P1962" s="241"/>
      <c r="Q1962" s="251" t="s">
        <v>445</v>
      </c>
      <c r="R1962" s="241"/>
      <c r="S1962" s="154" t="s">
        <v>64</v>
      </c>
      <c r="T1962" s="154" t="s">
        <v>60</v>
      </c>
      <c r="U1962" s="154" t="s">
        <v>60</v>
      </c>
      <c r="V1962" s="154" t="s">
        <v>60</v>
      </c>
      <c r="W1962" s="154" t="s">
        <v>60</v>
      </c>
      <c r="X1962" s="154" t="s">
        <v>60</v>
      </c>
      <c r="Y1962" s="154" t="s">
        <v>64</v>
      </c>
      <c r="Z1962" s="154" t="s">
        <v>64</v>
      </c>
      <c r="AA1962" s="154" t="s">
        <v>64</v>
      </c>
      <c r="AB1962" s="154"/>
      <c r="AC1962" s="242" t="b">
        <f t="shared" si="2"/>
        <v>1</v>
      </c>
      <c r="AD1962" s="154" t="s">
        <v>391</v>
      </c>
      <c r="AE1962" s="243" t="b">
        <f t="shared" si="3"/>
        <v>0</v>
      </c>
      <c r="AF1962" s="154"/>
      <c r="AG1962" s="243" t="b">
        <f t="shared" si="7"/>
        <v>0</v>
      </c>
      <c r="AH1962" s="154"/>
      <c r="AI1962" s="243" t="str">
        <f t="shared" si="5"/>
        <v>N/A</v>
      </c>
      <c r="AJ1962" s="157" t="str">
        <f t="shared" si="6"/>
        <v/>
      </c>
    </row>
    <row r="1963" ht="12.75" customHeight="1">
      <c r="A1963" s="244" t="s">
        <v>4158</v>
      </c>
      <c r="B1963" s="244" t="s">
        <v>4161</v>
      </c>
      <c r="C1963" s="244" t="s">
        <v>4949</v>
      </c>
      <c r="D1963" s="154" t="s">
        <v>781</v>
      </c>
      <c r="E1963" s="250"/>
      <c r="F1963" s="154" t="str">
        <f t="array" ref="F1963">XLOOKUP(Cover!$D$12,$S$1:$AA$1,$S1963:$AA1963)</f>
        <v>Mandatory</v>
      </c>
      <c r="G1963" s="154" t="s">
        <v>4950</v>
      </c>
      <c r="H1963" s="154" t="s">
        <v>4279</v>
      </c>
      <c r="I1963" s="154" t="s">
        <v>632</v>
      </c>
      <c r="J1963" s="247" t="s">
        <v>445</v>
      </c>
      <c r="K1963" s="154"/>
      <c r="L1963" s="154" t="str">
        <f t="shared" si="1"/>
        <v/>
      </c>
      <c r="M1963" s="248" t="str">
        <f>IFERROR(__xludf.DUMMYFUNCTION("VLOOKUP(C1963,IMPORTRANGE(""https://docs.google.com/spreadsheets/d/1P8eX0NWBhUPS_hvzA11R6jkTNFrPrRYIx_dX_hYbxrk/edit?resourcekey=0-iw9bsKY2OqkUHCFMkCar3A&amp;gid=2055363397#gid=2055363397"",""MTR!C:O""),11,false)"),"PMW-IMS")</f>
        <v>PMW-IMS</v>
      </c>
      <c r="N1963" s="248" t="str">
        <f>IFERROR(__xludf.DUMMYFUNCTION("VLOOKUP(C1963,IMPORTRANGE(""https://docs.google.com/spreadsheets/d/1ihFlp3_ePlYtFuPbUNbYj1muErVpI73WHXbEwJDIA7Q/edit#gid=1493122344"",""MTR!C:O""),8,false)"),"Complies")</f>
        <v>Complies</v>
      </c>
      <c r="O1963" s="241" t="str">
        <f>IFERROR(__xludf.DUMMYFUNCTION("VLOOKUP(C1963,IMPORTRANGE(""https://docs.google.com/spreadsheets/d/1P8eX0NWBhUPS_hvzA11R6jkTNFrPrRYIx_dX_hYbxrk/edit?resourcekey=0-iw9bsKY2OqkUHCFMkCar3A&amp;gid=2055363397#gid=2055363397"",""MTR!C:O""),9,false)"),"")</f>
        <v/>
      </c>
      <c r="P1963" s="241"/>
      <c r="Q1963" s="251" t="s">
        <v>445</v>
      </c>
      <c r="R1963" s="241"/>
      <c r="S1963" s="154" t="s">
        <v>60</v>
      </c>
      <c r="T1963" s="154" t="s">
        <v>60</v>
      </c>
      <c r="U1963" s="154" t="s">
        <v>60</v>
      </c>
      <c r="V1963" s="154" t="s">
        <v>60</v>
      </c>
      <c r="W1963" s="154" t="s">
        <v>60</v>
      </c>
      <c r="X1963" s="154" t="s">
        <v>60</v>
      </c>
      <c r="Y1963" s="154" t="s">
        <v>64</v>
      </c>
      <c r="Z1963" s="154" t="s">
        <v>64</v>
      </c>
      <c r="AA1963" s="154" t="s">
        <v>64</v>
      </c>
      <c r="AB1963" s="154"/>
      <c r="AC1963" s="242" t="b">
        <f t="shared" si="2"/>
        <v>1</v>
      </c>
      <c r="AD1963" s="154" t="s">
        <v>391</v>
      </c>
      <c r="AE1963" s="243" t="b">
        <f t="shared" si="3"/>
        <v>0</v>
      </c>
      <c r="AF1963" s="154"/>
      <c r="AG1963" s="243" t="b">
        <f t="shared" si="7"/>
        <v>0</v>
      </c>
      <c r="AH1963" s="154"/>
      <c r="AI1963" s="243" t="str">
        <f t="shared" si="5"/>
        <v>N/A</v>
      </c>
      <c r="AJ1963" s="157" t="str">
        <f t="shared" si="6"/>
        <v/>
      </c>
    </row>
    <row r="1964" ht="12.75" customHeight="1">
      <c r="A1964" s="244" t="s">
        <v>4158</v>
      </c>
      <c r="B1964" s="244" t="s">
        <v>4161</v>
      </c>
      <c r="C1964" s="244" t="s">
        <v>4951</v>
      </c>
      <c r="D1964" s="154" t="s">
        <v>781</v>
      </c>
      <c r="E1964" s="250"/>
      <c r="F1964" s="154" t="str">
        <f t="array" ref="F1964">XLOOKUP(Cover!$D$12,$S$1:$AA$1,$S1964:$AA1964)</f>
        <v>Mandatory</v>
      </c>
      <c r="G1964" s="154" t="s">
        <v>4952</v>
      </c>
      <c r="H1964" s="154" t="s">
        <v>4279</v>
      </c>
      <c r="I1964" s="154" t="s">
        <v>632</v>
      </c>
      <c r="J1964" s="247" t="s">
        <v>445</v>
      </c>
      <c r="K1964" s="154"/>
      <c r="L1964" s="154" t="str">
        <f t="shared" si="1"/>
        <v/>
      </c>
      <c r="M1964" s="248" t="str">
        <f>IFERROR(__xludf.DUMMYFUNCTION("VLOOKUP(C1964,IMPORTRANGE(""https://docs.google.com/spreadsheets/d/1P8eX0NWBhUPS_hvzA11R6jkTNFrPrRYIx_dX_hYbxrk/edit?resourcekey=0-iw9bsKY2OqkUHCFMkCar3A&amp;gid=2055363397#gid=2055363397"",""MTR!C:O""),11,false)"),"PMW-IMS")</f>
        <v>PMW-IMS</v>
      </c>
      <c r="N1964" s="248" t="str">
        <f>IFERROR(__xludf.DUMMYFUNCTION("VLOOKUP(C1964,IMPORTRANGE(""https://docs.google.com/spreadsheets/d/1ihFlp3_ePlYtFuPbUNbYj1muErVpI73WHXbEwJDIA7Q/edit#gid=1493122344"",""MTR!C:O""),8,false)"),"Complies")</f>
        <v>Complies</v>
      </c>
      <c r="O1964" s="241" t="str">
        <f>IFERROR(__xludf.DUMMYFUNCTION("VLOOKUP(C1964,IMPORTRANGE(""https://docs.google.com/spreadsheets/d/1P8eX0NWBhUPS_hvzA11R6jkTNFrPrRYIx_dX_hYbxrk/edit?resourcekey=0-iw9bsKY2OqkUHCFMkCar3A&amp;gid=2055363397#gid=2055363397"",""MTR!C:O""),9,false)"),"")</f>
        <v/>
      </c>
      <c r="P1964" s="241"/>
      <c r="Q1964" s="251" t="s">
        <v>445</v>
      </c>
      <c r="R1964" s="241"/>
      <c r="S1964" s="154" t="s">
        <v>60</v>
      </c>
      <c r="T1964" s="154" t="s">
        <v>60</v>
      </c>
      <c r="U1964" s="154" t="s">
        <v>60</v>
      </c>
      <c r="V1964" s="154" t="s">
        <v>60</v>
      </c>
      <c r="W1964" s="154" t="s">
        <v>60</v>
      </c>
      <c r="X1964" s="154" t="s">
        <v>60</v>
      </c>
      <c r="Y1964" s="154" t="s">
        <v>64</v>
      </c>
      <c r="Z1964" s="154" t="s">
        <v>64</v>
      </c>
      <c r="AA1964" s="154" t="s">
        <v>64</v>
      </c>
      <c r="AB1964" s="154"/>
      <c r="AC1964" s="242" t="b">
        <f t="shared" si="2"/>
        <v>1</v>
      </c>
      <c r="AD1964" s="154" t="s">
        <v>391</v>
      </c>
      <c r="AE1964" s="243" t="b">
        <f t="shared" si="3"/>
        <v>0</v>
      </c>
      <c r="AF1964" s="154"/>
      <c r="AG1964" s="243" t="b">
        <f t="shared" si="7"/>
        <v>0</v>
      </c>
      <c r="AH1964" s="154"/>
      <c r="AI1964" s="243" t="str">
        <f t="shared" si="5"/>
        <v>N/A</v>
      </c>
      <c r="AJ1964" s="157" t="str">
        <f t="shared" si="6"/>
        <v/>
      </c>
    </row>
    <row r="1965" ht="12.75" customHeight="1">
      <c r="A1965" s="244" t="s">
        <v>4158</v>
      </c>
      <c r="B1965" s="244" t="s">
        <v>4161</v>
      </c>
      <c r="C1965" s="244" t="s">
        <v>4953</v>
      </c>
      <c r="D1965" s="154" t="s">
        <v>967</v>
      </c>
      <c r="E1965" s="250"/>
      <c r="F1965" s="154" t="str">
        <f t="array" ref="F1965">XLOOKUP(Cover!$D$12,$S$1:$AA$1,$S1965:$AA1965)</f>
        <v>Recommended</v>
      </c>
      <c r="G1965" s="154" t="s">
        <v>4954</v>
      </c>
      <c r="H1965" s="154"/>
      <c r="I1965" s="154" t="s">
        <v>632</v>
      </c>
      <c r="J1965" s="247" t="s">
        <v>445</v>
      </c>
      <c r="K1965" s="154"/>
      <c r="L1965" s="154" t="str">
        <f t="shared" si="1"/>
        <v/>
      </c>
      <c r="M1965" s="248" t="str">
        <f>IFERROR(__xludf.DUMMYFUNCTION("VLOOKUP(C1965,IMPORTRANGE(""https://docs.google.com/spreadsheets/d/1P8eX0NWBhUPS_hvzA11R6jkTNFrPrRYIx_dX_hYbxrk/edit?resourcekey=0-iw9bsKY2OqkUHCFMkCar3A&amp;gid=2055363397#gid=2055363397"",""MTR!C:O""),11,false)"),"PMW-IMS")</f>
        <v>PMW-IMS</v>
      </c>
      <c r="N1965" s="248" t="str">
        <f>IFERROR(__xludf.DUMMYFUNCTION("VLOOKUP(C1965,IMPORTRANGE(""https://docs.google.com/spreadsheets/d/1ihFlp3_ePlYtFuPbUNbYj1muErVpI73WHXbEwJDIA7Q/edit#gid=1493122344"",""MTR!C:O""),8,false)"),"Complies")</f>
        <v>Complies</v>
      </c>
      <c r="O1965" s="241" t="str">
        <f>IFERROR(__xludf.DUMMYFUNCTION("VLOOKUP(C1965,IMPORTRANGE(""https://docs.google.com/spreadsheets/d/1P8eX0NWBhUPS_hvzA11R6jkTNFrPrRYIx_dX_hYbxrk/edit?resourcekey=0-iw9bsKY2OqkUHCFMkCar3A&amp;gid=2055363397#gid=2055363397"",""MTR!C:O""),9,false)"),"")</f>
        <v/>
      </c>
      <c r="P1965" s="241"/>
      <c r="Q1965" s="251" t="s">
        <v>445</v>
      </c>
      <c r="R1965" s="241"/>
      <c r="S1965" s="154" t="s">
        <v>64</v>
      </c>
      <c r="T1965" s="154" t="s">
        <v>64</v>
      </c>
      <c r="U1965" s="154" t="s">
        <v>64</v>
      </c>
      <c r="V1965" s="154" t="s">
        <v>64</v>
      </c>
      <c r="W1965" s="154" t="s">
        <v>64</v>
      </c>
      <c r="X1965" s="154" t="s">
        <v>64</v>
      </c>
      <c r="Y1965" s="154" t="s">
        <v>64</v>
      </c>
      <c r="Z1965" s="154" t="s">
        <v>64</v>
      </c>
      <c r="AA1965" s="154" t="s">
        <v>64</v>
      </c>
      <c r="AB1965" s="154"/>
      <c r="AC1965" s="242" t="b">
        <f t="shared" si="2"/>
        <v>1</v>
      </c>
      <c r="AD1965" s="154" t="s">
        <v>391</v>
      </c>
      <c r="AE1965" s="243" t="b">
        <f t="shared" si="3"/>
        <v>0</v>
      </c>
      <c r="AF1965" s="154"/>
      <c r="AG1965" s="243" t="b">
        <f t="shared" si="7"/>
        <v>0</v>
      </c>
      <c r="AH1965" s="154"/>
      <c r="AI1965" s="243" t="str">
        <f t="shared" si="5"/>
        <v>N/A</v>
      </c>
      <c r="AJ1965" s="157" t="str">
        <f t="shared" si="6"/>
        <v/>
      </c>
    </row>
    <row r="1966" ht="12.75" customHeight="1">
      <c r="A1966" s="244" t="s">
        <v>4158</v>
      </c>
      <c r="B1966" s="244" t="s">
        <v>4161</v>
      </c>
      <c r="C1966" s="244" t="s">
        <v>4955</v>
      </c>
      <c r="D1966" s="154" t="s">
        <v>581</v>
      </c>
      <c r="E1966" s="250"/>
      <c r="F1966" s="154" t="str">
        <f t="array" ref="F1966">XLOOKUP(Cover!$D$12,$S$1:$AA$1,$S1966:$AA1966)</f>
        <v>Mandatory</v>
      </c>
      <c r="G1966" s="154" t="s">
        <v>4956</v>
      </c>
      <c r="H1966" s="154" t="s">
        <v>351</v>
      </c>
      <c r="I1966" s="154" t="s">
        <v>632</v>
      </c>
      <c r="J1966" s="247" t="s">
        <v>445</v>
      </c>
      <c r="K1966" s="154"/>
      <c r="L1966" s="154" t="str">
        <f t="shared" si="1"/>
        <v/>
      </c>
      <c r="M1966" s="248" t="str">
        <f>IFERROR(__xludf.DUMMYFUNCTION("VLOOKUP(C1966,IMPORTRANGE(""https://docs.google.com/spreadsheets/d/1P8eX0NWBhUPS_hvzA11R6jkTNFrPrRYIx_dX_hYbxrk/edit?resourcekey=0-iw9bsKY2OqkUHCFMkCar3A&amp;gid=2055363397#gid=2055363397"",""MTR!C:O""),11,false)"),"PMW-IMS")</f>
        <v>PMW-IMS</v>
      </c>
      <c r="N1966" s="248" t="str">
        <f>IFERROR(__xludf.DUMMYFUNCTION("VLOOKUP(C1966,IMPORTRANGE(""https://docs.google.com/spreadsheets/d/1ihFlp3_ePlYtFuPbUNbYj1muErVpI73WHXbEwJDIA7Q/edit#gid=1493122344"",""MTR!C:O""),8,false)"),"Complies")</f>
        <v>Complies</v>
      </c>
      <c r="O1966" s="241" t="str">
        <f>IFERROR(__xludf.DUMMYFUNCTION("VLOOKUP(C1966,IMPORTRANGE(""https://docs.google.com/spreadsheets/d/1P8eX0NWBhUPS_hvzA11R6jkTNFrPrRYIx_dX_hYbxrk/edit?resourcekey=0-iw9bsKY2OqkUHCFMkCar3A&amp;gid=2055363397#gid=2055363397"",""MTR!C:O""),9,false)"),"")</f>
        <v/>
      </c>
      <c r="P1966" s="241"/>
      <c r="Q1966" s="251" t="s">
        <v>445</v>
      </c>
      <c r="R1966" s="241"/>
      <c r="S1966" s="154" t="s">
        <v>64</v>
      </c>
      <c r="T1966" s="154" t="s">
        <v>60</v>
      </c>
      <c r="U1966" s="154" t="s">
        <v>60</v>
      </c>
      <c r="V1966" s="154" t="s">
        <v>60</v>
      </c>
      <c r="W1966" s="154" t="s">
        <v>60</v>
      </c>
      <c r="X1966" s="154" t="s">
        <v>60</v>
      </c>
      <c r="Y1966" s="154" t="s">
        <v>64</v>
      </c>
      <c r="Z1966" s="154" t="s">
        <v>64</v>
      </c>
      <c r="AA1966" s="154" t="s">
        <v>64</v>
      </c>
      <c r="AB1966" s="154"/>
      <c r="AC1966" s="242" t="b">
        <f t="shared" si="2"/>
        <v>1</v>
      </c>
      <c r="AD1966" s="154" t="s">
        <v>391</v>
      </c>
      <c r="AE1966" s="243" t="b">
        <f t="shared" si="3"/>
        <v>0</v>
      </c>
      <c r="AF1966" s="154"/>
      <c r="AG1966" s="243" t="b">
        <f t="shared" si="7"/>
        <v>0</v>
      </c>
      <c r="AH1966" s="154"/>
      <c r="AI1966" s="243" t="str">
        <f t="shared" si="5"/>
        <v>N/A</v>
      </c>
      <c r="AJ1966" s="157" t="str">
        <f t="shared" si="6"/>
        <v/>
      </c>
    </row>
    <row r="1967" ht="12.75" customHeight="1">
      <c r="A1967" s="244" t="s">
        <v>4158</v>
      </c>
      <c r="B1967" s="244" t="s">
        <v>4161</v>
      </c>
      <c r="C1967" s="244" t="s">
        <v>4957</v>
      </c>
      <c r="D1967" s="154" t="s">
        <v>747</v>
      </c>
      <c r="E1967" s="250"/>
      <c r="F1967" s="154" t="str">
        <f t="array" ref="F1967">XLOOKUP(Cover!$D$12,$S$1:$AA$1,$S1967:$AA1967)</f>
        <v>Mandatory</v>
      </c>
      <c r="G1967" s="154" t="s">
        <v>4958</v>
      </c>
      <c r="H1967" s="154" t="s">
        <v>351</v>
      </c>
      <c r="I1967" s="154" t="s">
        <v>632</v>
      </c>
      <c r="J1967" s="247" t="s">
        <v>445</v>
      </c>
      <c r="K1967" s="154"/>
      <c r="L1967" s="154" t="str">
        <f t="shared" si="1"/>
        <v/>
      </c>
      <c r="M1967" s="248" t="str">
        <f>IFERROR(__xludf.DUMMYFUNCTION("VLOOKUP(C1967,IMPORTRANGE(""https://docs.google.com/spreadsheets/d/1P8eX0NWBhUPS_hvzA11R6jkTNFrPrRYIx_dX_hYbxrk/edit?resourcekey=0-iw9bsKY2OqkUHCFMkCar3A&amp;gid=2055363397#gid=2055363397"",""MTR!C:O""),11,false)"),"PMW-IMS")</f>
        <v>PMW-IMS</v>
      </c>
      <c r="N1967" s="248" t="str">
        <f>IFERROR(__xludf.DUMMYFUNCTION("VLOOKUP(C1967,IMPORTRANGE(""https://docs.google.com/spreadsheets/d/1ihFlp3_ePlYtFuPbUNbYj1muErVpI73WHXbEwJDIA7Q/edit#gid=1493122344"",""MTR!C:O""),8,false)"),"Complies")</f>
        <v>Complies</v>
      </c>
      <c r="O1967" s="241" t="str">
        <f>IFERROR(__xludf.DUMMYFUNCTION("VLOOKUP(C1967,IMPORTRANGE(""https://docs.google.com/spreadsheets/d/1P8eX0NWBhUPS_hvzA11R6jkTNFrPrRYIx_dX_hYbxrk/edit?resourcekey=0-iw9bsKY2OqkUHCFMkCar3A&amp;gid=2055363397#gid=2055363397"",""MTR!C:O""),9,false)"),"")</f>
        <v/>
      </c>
      <c r="P1967" s="241"/>
      <c r="Q1967" s="251" t="s">
        <v>445</v>
      </c>
      <c r="R1967" s="241"/>
      <c r="S1967" s="154" t="s">
        <v>64</v>
      </c>
      <c r="T1967" s="154" t="s">
        <v>60</v>
      </c>
      <c r="U1967" s="154" t="s">
        <v>60</v>
      </c>
      <c r="V1967" s="154" t="s">
        <v>60</v>
      </c>
      <c r="W1967" s="154" t="s">
        <v>60</v>
      </c>
      <c r="X1967" s="154" t="s">
        <v>60</v>
      </c>
      <c r="Y1967" s="154" t="s">
        <v>64</v>
      </c>
      <c r="Z1967" s="154" t="s">
        <v>64</v>
      </c>
      <c r="AA1967" s="154" t="s">
        <v>64</v>
      </c>
      <c r="AB1967" s="154"/>
      <c r="AC1967" s="242" t="b">
        <f t="shared" si="2"/>
        <v>1</v>
      </c>
      <c r="AD1967" s="154" t="s">
        <v>391</v>
      </c>
      <c r="AE1967" s="243" t="b">
        <f t="shared" si="3"/>
        <v>0</v>
      </c>
      <c r="AF1967" s="154"/>
      <c r="AG1967" s="243" t="b">
        <f t="shared" si="7"/>
        <v>0</v>
      </c>
      <c r="AH1967" s="154"/>
      <c r="AI1967" s="243" t="str">
        <f t="shared" si="5"/>
        <v>N/A</v>
      </c>
      <c r="AJ1967" s="157" t="str">
        <f t="shared" si="6"/>
        <v/>
      </c>
    </row>
    <row r="1968" ht="12.75" customHeight="1">
      <c r="A1968" s="244" t="s">
        <v>4158</v>
      </c>
      <c r="B1968" s="244" t="s">
        <v>4161</v>
      </c>
      <c r="C1968" s="244" t="s">
        <v>4959</v>
      </c>
      <c r="D1968" s="154" t="s">
        <v>747</v>
      </c>
      <c r="E1968" s="250"/>
      <c r="F1968" s="154" t="str">
        <f t="array" ref="F1968">XLOOKUP(Cover!$D$12,$S$1:$AA$1,$S1968:$AA1968)</f>
        <v>Recommended</v>
      </c>
      <c r="G1968" s="154" t="s">
        <v>4960</v>
      </c>
      <c r="H1968" s="154"/>
      <c r="I1968" s="154" t="s">
        <v>632</v>
      </c>
      <c r="J1968" s="247" t="s">
        <v>445</v>
      </c>
      <c r="K1968" s="154"/>
      <c r="L1968" s="154" t="str">
        <f t="shared" si="1"/>
        <v/>
      </c>
      <c r="M1968" s="248" t="str">
        <f>IFERROR(__xludf.DUMMYFUNCTION("VLOOKUP(C1968,IMPORTRANGE(""https://docs.google.com/spreadsheets/d/1P8eX0NWBhUPS_hvzA11R6jkTNFrPrRYIx_dX_hYbxrk/edit?resourcekey=0-iw9bsKY2OqkUHCFMkCar3A&amp;gid=2055363397#gid=2055363397"",""MTR!C:O""),11,false)"),"PMW-IMS")</f>
        <v>PMW-IMS</v>
      </c>
      <c r="N1968" s="248" t="str">
        <f>IFERROR(__xludf.DUMMYFUNCTION("VLOOKUP(C1968,IMPORTRANGE(""https://docs.google.com/spreadsheets/d/1ihFlp3_ePlYtFuPbUNbYj1muErVpI73WHXbEwJDIA7Q/edit#gid=1493122344"",""MTR!C:O""),8,false)"),"Complies")</f>
        <v>Complies</v>
      </c>
      <c r="O1968" s="241" t="str">
        <f>IFERROR(__xludf.DUMMYFUNCTION("VLOOKUP(C1968,IMPORTRANGE(""https://docs.google.com/spreadsheets/d/1P8eX0NWBhUPS_hvzA11R6jkTNFrPrRYIx_dX_hYbxrk/edit?resourcekey=0-iw9bsKY2OqkUHCFMkCar3A&amp;gid=2055363397#gid=2055363397"",""MTR!C:O""),9,false)"),"")</f>
        <v/>
      </c>
      <c r="P1968" s="241"/>
      <c r="Q1968" s="251" t="s">
        <v>445</v>
      </c>
      <c r="R1968" s="241"/>
      <c r="S1968" s="154" t="s">
        <v>64</v>
      </c>
      <c r="T1968" s="154" t="s">
        <v>64</v>
      </c>
      <c r="U1968" s="154" t="s">
        <v>64</v>
      </c>
      <c r="V1968" s="154" t="s">
        <v>64</v>
      </c>
      <c r="W1968" s="154" t="s">
        <v>64</v>
      </c>
      <c r="X1968" s="154" t="s">
        <v>64</v>
      </c>
      <c r="Y1968" s="154" t="s">
        <v>64</v>
      </c>
      <c r="Z1968" s="154" t="s">
        <v>64</v>
      </c>
      <c r="AA1968" s="154" t="s">
        <v>64</v>
      </c>
      <c r="AB1968" s="154"/>
      <c r="AC1968" s="242" t="b">
        <f t="shared" si="2"/>
        <v>1</v>
      </c>
      <c r="AD1968" s="154" t="s">
        <v>391</v>
      </c>
      <c r="AE1968" s="243" t="b">
        <f t="shared" si="3"/>
        <v>0</v>
      </c>
      <c r="AF1968" s="154"/>
      <c r="AG1968" s="243" t="b">
        <f t="shared" si="7"/>
        <v>0</v>
      </c>
      <c r="AH1968" s="154"/>
      <c r="AI1968" s="243" t="str">
        <f t="shared" si="5"/>
        <v>N/A</v>
      </c>
      <c r="AJ1968" s="157" t="str">
        <f t="shared" si="6"/>
        <v/>
      </c>
    </row>
    <row r="1969" ht="12.75" customHeight="1">
      <c r="A1969" s="244" t="s">
        <v>4158</v>
      </c>
      <c r="B1969" s="244" t="s">
        <v>4161</v>
      </c>
      <c r="C1969" s="244" t="s">
        <v>4961</v>
      </c>
      <c r="D1969" s="154" t="s">
        <v>747</v>
      </c>
      <c r="E1969" s="250"/>
      <c r="F1969" s="154" t="str">
        <f t="array" ref="F1969">XLOOKUP(Cover!$D$12,$S$1:$AA$1,$S1969:$AA1969)</f>
        <v>Mandatory</v>
      </c>
      <c r="G1969" s="154" t="s">
        <v>4962</v>
      </c>
      <c r="H1969" s="154" t="s">
        <v>351</v>
      </c>
      <c r="I1969" s="154" t="s">
        <v>632</v>
      </c>
      <c r="J1969" s="247" t="s">
        <v>445</v>
      </c>
      <c r="K1969" s="154"/>
      <c r="L1969" s="154" t="str">
        <f t="shared" si="1"/>
        <v/>
      </c>
      <c r="M1969" s="248" t="str">
        <f>IFERROR(__xludf.DUMMYFUNCTION("VLOOKUP(C1969,IMPORTRANGE(""https://docs.google.com/spreadsheets/d/1P8eX0NWBhUPS_hvzA11R6jkTNFrPrRYIx_dX_hYbxrk/edit?resourcekey=0-iw9bsKY2OqkUHCFMkCar3A&amp;gid=2055363397#gid=2055363397"",""MTR!C:O""),11,false)"),"PMW-IMS")</f>
        <v>PMW-IMS</v>
      </c>
      <c r="N1969" s="248" t="str">
        <f>IFERROR(__xludf.DUMMYFUNCTION("VLOOKUP(C1969,IMPORTRANGE(""https://docs.google.com/spreadsheets/d/1ihFlp3_ePlYtFuPbUNbYj1muErVpI73WHXbEwJDIA7Q/edit#gid=1493122344"",""MTR!C:O""),8,false)"),"Complies")</f>
        <v>Complies</v>
      </c>
      <c r="O1969" s="241" t="str">
        <f>IFERROR(__xludf.DUMMYFUNCTION("VLOOKUP(C1969,IMPORTRANGE(""https://docs.google.com/spreadsheets/d/1P8eX0NWBhUPS_hvzA11R6jkTNFrPrRYIx_dX_hYbxrk/edit?resourcekey=0-iw9bsKY2OqkUHCFMkCar3A&amp;gid=2055363397#gid=2055363397"",""MTR!C:O""),9,false)"),"")</f>
        <v/>
      </c>
      <c r="P1969" s="241"/>
      <c r="Q1969" s="251" t="s">
        <v>445</v>
      </c>
      <c r="R1969" s="241"/>
      <c r="S1969" s="154" t="s">
        <v>64</v>
      </c>
      <c r="T1969" s="154" t="s">
        <v>60</v>
      </c>
      <c r="U1969" s="154" t="s">
        <v>60</v>
      </c>
      <c r="V1969" s="154" t="s">
        <v>60</v>
      </c>
      <c r="W1969" s="154" t="s">
        <v>60</v>
      </c>
      <c r="X1969" s="154" t="s">
        <v>60</v>
      </c>
      <c r="Y1969" s="154" t="s">
        <v>64</v>
      </c>
      <c r="Z1969" s="154" t="s">
        <v>64</v>
      </c>
      <c r="AA1969" s="154" t="s">
        <v>64</v>
      </c>
      <c r="AB1969" s="154"/>
      <c r="AC1969" s="242" t="b">
        <f t="shared" si="2"/>
        <v>1</v>
      </c>
      <c r="AD1969" s="154" t="s">
        <v>391</v>
      </c>
      <c r="AE1969" s="243" t="b">
        <f t="shared" si="3"/>
        <v>0</v>
      </c>
      <c r="AF1969" s="154"/>
      <c r="AG1969" s="243" t="b">
        <f t="shared" si="7"/>
        <v>0</v>
      </c>
      <c r="AH1969" s="154"/>
      <c r="AI1969" s="243" t="str">
        <f t="shared" si="5"/>
        <v>N/A</v>
      </c>
      <c r="AJ1969" s="157" t="str">
        <f t="shared" si="6"/>
        <v/>
      </c>
    </row>
    <row r="1970" ht="12.75" customHeight="1">
      <c r="A1970" s="244" t="s">
        <v>4158</v>
      </c>
      <c r="B1970" s="244" t="s">
        <v>4161</v>
      </c>
      <c r="C1970" s="244" t="s">
        <v>4963</v>
      </c>
      <c r="D1970" s="154" t="s">
        <v>411</v>
      </c>
      <c r="E1970" s="250"/>
      <c r="F1970" s="154" t="str">
        <f t="array" ref="F1970">XLOOKUP(Cover!$D$12,$S$1:$AA$1,$S1970:$AA1970)</f>
        <v>Mandatory</v>
      </c>
      <c r="G1970" s="154" t="s">
        <v>4964</v>
      </c>
      <c r="H1970" s="154" t="s">
        <v>351</v>
      </c>
      <c r="I1970" s="154" t="s">
        <v>632</v>
      </c>
      <c r="J1970" s="247" t="s">
        <v>445</v>
      </c>
      <c r="K1970" s="154"/>
      <c r="L1970" s="154" t="str">
        <f t="shared" si="1"/>
        <v/>
      </c>
      <c r="M1970" s="248" t="str">
        <f>IFERROR(__xludf.DUMMYFUNCTION("VLOOKUP(C1970,IMPORTRANGE(""https://docs.google.com/spreadsheets/d/1P8eX0NWBhUPS_hvzA11R6jkTNFrPrRYIx_dX_hYbxrk/edit?resourcekey=0-iw9bsKY2OqkUHCFMkCar3A&amp;gid=2055363397#gid=2055363397"",""MTR!C:O""),11,false)"),"PMW-IMS")</f>
        <v>PMW-IMS</v>
      </c>
      <c r="N1970" s="248" t="str">
        <f>IFERROR(__xludf.DUMMYFUNCTION("VLOOKUP(C1970,IMPORTRANGE(""https://docs.google.com/spreadsheets/d/1ihFlp3_ePlYtFuPbUNbYj1muErVpI73WHXbEwJDIA7Q/edit#gid=1493122344"",""MTR!C:O""),8,false)"),"Complies")</f>
        <v>Complies</v>
      </c>
      <c r="O1970" s="241" t="str">
        <f>IFERROR(__xludf.DUMMYFUNCTION("VLOOKUP(C1970,IMPORTRANGE(""https://docs.google.com/spreadsheets/d/1P8eX0NWBhUPS_hvzA11R6jkTNFrPrRYIx_dX_hYbxrk/edit?resourcekey=0-iw9bsKY2OqkUHCFMkCar3A&amp;gid=2055363397#gid=2055363397"",""MTR!C:O""),9,false)"),"")</f>
        <v/>
      </c>
      <c r="P1970" s="241"/>
      <c r="Q1970" s="251" t="s">
        <v>445</v>
      </c>
      <c r="R1970" s="241"/>
      <c r="S1970" s="154" t="s">
        <v>64</v>
      </c>
      <c r="T1970" s="154" t="s">
        <v>60</v>
      </c>
      <c r="U1970" s="154" t="s">
        <v>60</v>
      </c>
      <c r="V1970" s="154" t="s">
        <v>60</v>
      </c>
      <c r="W1970" s="154" t="s">
        <v>60</v>
      </c>
      <c r="X1970" s="154" t="s">
        <v>60</v>
      </c>
      <c r="Y1970" s="154" t="s">
        <v>64</v>
      </c>
      <c r="Z1970" s="154" t="s">
        <v>64</v>
      </c>
      <c r="AA1970" s="154" t="s">
        <v>64</v>
      </c>
      <c r="AB1970" s="154"/>
      <c r="AC1970" s="242" t="b">
        <f t="shared" si="2"/>
        <v>1</v>
      </c>
      <c r="AD1970" s="154" t="s">
        <v>391</v>
      </c>
      <c r="AE1970" s="243" t="b">
        <f t="shared" si="3"/>
        <v>0</v>
      </c>
      <c r="AF1970" s="154"/>
      <c r="AG1970" s="243" t="b">
        <f t="shared" si="7"/>
        <v>0</v>
      </c>
      <c r="AH1970" s="154"/>
      <c r="AI1970" s="243" t="str">
        <f t="shared" si="5"/>
        <v>N/A</v>
      </c>
      <c r="AJ1970" s="157" t="str">
        <f t="shared" si="6"/>
        <v/>
      </c>
    </row>
    <row r="1971" ht="12.75" customHeight="1">
      <c r="A1971" s="244" t="s">
        <v>4158</v>
      </c>
      <c r="B1971" s="244" t="s">
        <v>4161</v>
      </c>
      <c r="C1971" s="244" t="s">
        <v>4965</v>
      </c>
      <c r="D1971" s="154" t="s">
        <v>1120</v>
      </c>
      <c r="E1971" s="250"/>
      <c r="F1971" s="154" t="str">
        <f t="array" ref="F1971">XLOOKUP(Cover!$D$12,$S$1:$AA$1,$S1971:$AA1971)</f>
        <v>Mandatory</v>
      </c>
      <c r="G1971" s="154" t="s">
        <v>4966</v>
      </c>
      <c r="H1971" s="154" t="s">
        <v>351</v>
      </c>
      <c r="I1971" s="154" t="s">
        <v>632</v>
      </c>
      <c r="J1971" s="247" t="s">
        <v>445</v>
      </c>
      <c r="K1971" s="154"/>
      <c r="L1971" s="154" t="str">
        <f t="shared" si="1"/>
        <v/>
      </c>
      <c r="M1971" s="248" t="str">
        <f>IFERROR(__xludf.DUMMYFUNCTION("VLOOKUP(C1971,IMPORTRANGE(""https://docs.google.com/spreadsheets/d/1P8eX0NWBhUPS_hvzA11R6jkTNFrPrRYIx_dX_hYbxrk/edit?resourcekey=0-iw9bsKY2OqkUHCFMkCar3A&amp;gid=2055363397#gid=2055363397"",""MTR!C:O""),11,false)"),"PMW-IMS")</f>
        <v>PMW-IMS</v>
      </c>
      <c r="N1971" s="248" t="str">
        <f>IFERROR(__xludf.DUMMYFUNCTION("VLOOKUP(C1971,IMPORTRANGE(""https://docs.google.com/spreadsheets/d/1ihFlp3_ePlYtFuPbUNbYj1muErVpI73WHXbEwJDIA7Q/edit#gid=1493122344"",""MTR!C:O""),8,false)"),"Complies")</f>
        <v>Complies</v>
      </c>
      <c r="O1971" s="241" t="str">
        <f>IFERROR(__xludf.DUMMYFUNCTION("VLOOKUP(C1971,IMPORTRANGE(""https://docs.google.com/spreadsheets/d/1P8eX0NWBhUPS_hvzA11R6jkTNFrPrRYIx_dX_hYbxrk/edit?resourcekey=0-iw9bsKY2OqkUHCFMkCar3A&amp;gid=2055363397#gid=2055363397"",""MTR!C:O""),9,false)"),"")</f>
        <v/>
      </c>
      <c r="P1971" s="241"/>
      <c r="Q1971" s="251" t="s">
        <v>445</v>
      </c>
      <c r="R1971" s="241"/>
      <c r="S1971" s="154" t="s">
        <v>64</v>
      </c>
      <c r="T1971" s="154" t="s">
        <v>60</v>
      </c>
      <c r="U1971" s="154" t="s">
        <v>60</v>
      </c>
      <c r="V1971" s="154" t="s">
        <v>60</v>
      </c>
      <c r="W1971" s="154" t="s">
        <v>60</v>
      </c>
      <c r="X1971" s="154" t="s">
        <v>60</v>
      </c>
      <c r="Y1971" s="154" t="s">
        <v>64</v>
      </c>
      <c r="Z1971" s="154" t="s">
        <v>64</v>
      </c>
      <c r="AA1971" s="154" t="s">
        <v>64</v>
      </c>
      <c r="AB1971" s="154"/>
      <c r="AC1971" s="242" t="b">
        <f t="shared" si="2"/>
        <v>1</v>
      </c>
      <c r="AD1971" s="154" t="s">
        <v>391</v>
      </c>
      <c r="AE1971" s="243" t="b">
        <f t="shared" si="3"/>
        <v>0</v>
      </c>
      <c r="AF1971" s="154"/>
      <c r="AG1971" s="243" t="b">
        <f t="shared" si="7"/>
        <v>0</v>
      </c>
      <c r="AH1971" s="154"/>
      <c r="AI1971" s="243" t="str">
        <f t="shared" si="5"/>
        <v>N/A</v>
      </c>
      <c r="AJ1971" s="157" t="str">
        <f t="shared" si="6"/>
        <v/>
      </c>
    </row>
    <row r="1972" ht="12.75" customHeight="1">
      <c r="A1972" s="244" t="s">
        <v>4158</v>
      </c>
      <c r="B1972" s="244" t="s">
        <v>4161</v>
      </c>
      <c r="C1972" s="244" t="s">
        <v>4967</v>
      </c>
      <c r="D1972" s="154" t="s">
        <v>1120</v>
      </c>
      <c r="E1972" s="250"/>
      <c r="F1972" s="154" t="str">
        <f t="array" ref="F1972">XLOOKUP(Cover!$D$12,$S$1:$AA$1,$S1972:$AA1972)</f>
        <v>Mandatory</v>
      </c>
      <c r="G1972" s="154" t="s">
        <v>4968</v>
      </c>
      <c r="H1972" s="154" t="s">
        <v>351</v>
      </c>
      <c r="I1972" s="154" t="s">
        <v>632</v>
      </c>
      <c r="J1972" s="247" t="s">
        <v>445</v>
      </c>
      <c r="K1972" s="154"/>
      <c r="L1972" s="154" t="str">
        <f t="shared" si="1"/>
        <v/>
      </c>
      <c r="M1972" s="248" t="str">
        <f>IFERROR(__xludf.DUMMYFUNCTION("VLOOKUP(C1972,IMPORTRANGE(""https://docs.google.com/spreadsheets/d/1P8eX0NWBhUPS_hvzA11R6jkTNFrPrRYIx_dX_hYbxrk/edit?resourcekey=0-iw9bsKY2OqkUHCFMkCar3A&amp;gid=2055363397#gid=2055363397"",""MTR!C:O""),11,false)"),"PMW-IMS")</f>
        <v>PMW-IMS</v>
      </c>
      <c r="N1972" s="248" t="str">
        <f>IFERROR(__xludf.DUMMYFUNCTION("VLOOKUP(C1972,IMPORTRANGE(""https://docs.google.com/spreadsheets/d/1ihFlp3_ePlYtFuPbUNbYj1muErVpI73WHXbEwJDIA7Q/edit#gid=1493122344"",""MTR!C:O""),8,false)"),"Complies")</f>
        <v>Complies</v>
      </c>
      <c r="O1972" s="241" t="str">
        <f>IFERROR(__xludf.DUMMYFUNCTION("VLOOKUP(C1972,IMPORTRANGE(""https://docs.google.com/spreadsheets/d/1P8eX0NWBhUPS_hvzA11R6jkTNFrPrRYIx_dX_hYbxrk/edit?resourcekey=0-iw9bsKY2OqkUHCFMkCar3A&amp;gid=2055363397#gid=2055363397"",""MTR!C:O""),9,false)"),"")</f>
        <v/>
      </c>
      <c r="P1972" s="241"/>
      <c r="Q1972" s="251" t="s">
        <v>445</v>
      </c>
      <c r="R1972" s="241"/>
      <c r="S1972" s="154" t="s">
        <v>64</v>
      </c>
      <c r="T1972" s="154" t="s">
        <v>60</v>
      </c>
      <c r="U1972" s="154" t="s">
        <v>60</v>
      </c>
      <c r="V1972" s="154" t="s">
        <v>60</v>
      </c>
      <c r="W1972" s="154" t="s">
        <v>60</v>
      </c>
      <c r="X1972" s="154" t="s">
        <v>60</v>
      </c>
      <c r="Y1972" s="154" t="s">
        <v>64</v>
      </c>
      <c r="Z1972" s="154" t="s">
        <v>64</v>
      </c>
      <c r="AA1972" s="154" t="s">
        <v>64</v>
      </c>
      <c r="AB1972" s="154"/>
      <c r="AC1972" s="242" t="b">
        <f t="shared" si="2"/>
        <v>1</v>
      </c>
      <c r="AD1972" s="154" t="s">
        <v>391</v>
      </c>
      <c r="AE1972" s="243" t="b">
        <f t="shared" si="3"/>
        <v>0</v>
      </c>
      <c r="AF1972" s="154"/>
      <c r="AG1972" s="243" t="b">
        <f t="shared" si="7"/>
        <v>0</v>
      </c>
      <c r="AH1972" s="154"/>
      <c r="AI1972" s="243" t="str">
        <f t="shared" si="5"/>
        <v>N/A</v>
      </c>
      <c r="AJ1972" s="157" t="str">
        <f t="shared" si="6"/>
        <v/>
      </c>
    </row>
    <row r="1973" ht="12.75" customHeight="1">
      <c r="A1973" s="244" t="s">
        <v>4158</v>
      </c>
      <c r="B1973" s="244" t="s">
        <v>4161</v>
      </c>
      <c r="C1973" s="244" t="s">
        <v>4969</v>
      </c>
      <c r="D1973" s="154" t="s">
        <v>747</v>
      </c>
      <c r="E1973" s="250"/>
      <c r="F1973" s="154" t="str">
        <f t="array" ref="F1973">XLOOKUP(Cover!$D$12,$S$1:$AA$1,$S1973:$AA1973)</f>
        <v>Mandatory</v>
      </c>
      <c r="G1973" s="154" t="s">
        <v>4970</v>
      </c>
      <c r="H1973" s="154" t="s">
        <v>351</v>
      </c>
      <c r="I1973" s="154" t="s">
        <v>632</v>
      </c>
      <c r="J1973" s="247" t="s">
        <v>445</v>
      </c>
      <c r="K1973" s="154"/>
      <c r="L1973" s="154" t="str">
        <f t="shared" si="1"/>
        <v/>
      </c>
      <c r="M1973" s="248" t="str">
        <f>IFERROR(__xludf.DUMMYFUNCTION("VLOOKUP(C1973,IMPORTRANGE(""https://docs.google.com/spreadsheets/d/1P8eX0NWBhUPS_hvzA11R6jkTNFrPrRYIx_dX_hYbxrk/edit?resourcekey=0-iw9bsKY2OqkUHCFMkCar3A&amp;gid=2055363397#gid=2055363397"",""MTR!C:O""),11,false)"),"PMW-IMS")</f>
        <v>PMW-IMS</v>
      </c>
      <c r="N1973" s="248" t="str">
        <f>IFERROR(__xludf.DUMMYFUNCTION("VLOOKUP(C1973,IMPORTRANGE(""https://docs.google.com/spreadsheets/d/1ihFlp3_ePlYtFuPbUNbYj1muErVpI73WHXbEwJDIA7Q/edit#gid=1493122344"",""MTR!C:O""),8,false)"),"Complies")</f>
        <v>Complies</v>
      </c>
      <c r="O1973" s="241" t="str">
        <f>IFERROR(__xludf.DUMMYFUNCTION("VLOOKUP(C1973,IMPORTRANGE(""https://docs.google.com/spreadsheets/d/1P8eX0NWBhUPS_hvzA11R6jkTNFrPrRYIx_dX_hYbxrk/edit?resourcekey=0-iw9bsKY2OqkUHCFMkCar3A&amp;gid=2055363397#gid=2055363397"",""MTR!C:O""),9,false)"),"")</f>
        <v/>
      </c>
      <c r="P1973" s="241"/>
      <c r="Q1973" s="251" t="s">
        <v>445</v>
      </c>
      <c r="R1973" s="241"/>
      <c r="S1973" s="154" t="s">
        <v>64</v>
      </c>
      <c r="T1973" s="154" t="s">
        <v>60</v>
      </c>
      <c r="U1973" s="154" t="s">
        <v>60</v>
      </c>
      <c r="V1973" s="154" t="s">
        <v>60</v>
      </c>
      <c r="W1973" s="154" t="s">
        <v>60</v>
      </c>
      <c r="X1973" s="154" t="s">
        <v>60</v>
      </c>
      <c r="Y1973" s="154" t="s">
        <v>64</v>
      </c>
      <c r="Z1973" s="154" t="s">
        <v>64</v>
      </c>
      <c r="AA1973" s="154" t="s">
        <v>64</v>
      </c>
      <c r="AB1973" s="154"/>
      <c r="AC1973" s="242" t="b">
        <f t="shared" si="2"/>
        <v>1</v>
      </c>
      <c r="AD1973" s="154" t="s">
        <v>391</v>
      </c>
      <c r="AE1973" s="243" t="b">
        <f t="shared" si="3"/>
        <v>0</v>
      </c>
      <c r="AF1973" s="154"/>
      <c r="AG1973" s="243" t="b">
        <f t="shared" si="7"/>
        <v>0</v>
      </c>
      <c r="AH1973" s="154"/>
      <c r="AI1973" s="243" t="str">
        <f t="shared" si="5"/>
        <v>N/A</v>
      </c>
      <c r="AJ1973" s="157" t="str">
        <f t="shared" si="6"/>
        <v/>
      </c>
    </row>
    <row r="1974" ht="12.75" customHeight="1">
      <c r="A1974" s="244" t="s">
        <v>4158</v>
      </c>
      <c r="B1974" s="244" t="s">
        <v>4161</v>
      </c>
      <c r="C1974" s="244" t="s">
        <v>4971</v>
      </c>
      <c r="D1974" s="154" t="s">
        <v>747</v>
      </c>
      <c r="E1974" s="250"/>
      <c r="F1974" s="154" t="str">
        <f t="array" ref="F1974">XLOOKUP(Cover!$D$12,$S$1:$AA$1,$S1974:$AA1974)</f>
        <v>Mandatory</v>
      </c>
      <c r="G1974" s="154" t="s">
        <v>4972</v>
      </c>
      <c r="H1974" s="154" t="s">
        <v>351</v>
      </c>
      <c r="I1974" s="154" t="s">
        <v>632</v>
      </c>
      <c r="J1974" s="247" t="s">
        <v>445</v>
      </c>
      <c r="K1974" s="154"/>
      <c r="L1974" s="154" t="str">
        <f t="shared" si="1"/>
        <v/>
      </c>
      <c r="M1974" s="248" t="str">
        <f>IFERROR(__xludf.DUMMYFUNCTION("VLOOKUP(C1974,IMPORTRANGE(""https://docs.google.com/spreadsheets/d/1P8eX0NWBhUPS_hvzA11R6jkTNFrPrRYIx_dX_hYbxrk/edit?resourcekey=0-iw9bsKY2OqkUHCFMkCar3A&amp;gid=2055363397#gid=2055363397"",""MTR!C:O""),11,false)"),"PMW-IMS")</f>
        <v>PMW-IMS</v>
      </c>
      <c r="N1974" s="248" t="str">
        <f>IFERROR(__xludf.DUMMYFUNCTION("VLOOKUP(C1974,IMPORTRANGE(""https://docs.google.com/spreadsheets/d/1ihFlp3_ePlYtFuPbUNbYj1muErVpI73WHXbEwJDIA7Q/edit#gid=1493122344"",""MTR!C:O""),8,false)"),"Complies")</f>
        <v>Complies</v>
      </c>
      <c r="O1974" s="241" t="str">
        <f>IFERROR(__xludf.DUMMYFUNCTION("VLOOKUP(C1974,IMPORTRANGE(""https://docs.google.com/spreadsheets/d/1P8eX0NWBhUPS_hvzA11R6jkTNFrPrRYIx_dX_hYbxrk/edit?resourcekey=0-iw9bsKY2OqkUHCFMkCar3A&amp;gid=2055363397#gid=2055363397"",""MTR!C:O""),9,false)"),"")</f>
        <v/>
      </c>
      <c r="P1974" s="241"/>
      <c r="Q1974" s="251" t="s">
        <v>445</v>
      </c>
      <c r="R1974" s="241"/>
      <c r="S1974" s="154" t="s">
        <v>64</v>
      </c>
      <c r="T1974" s="154" t="s">
        <v>60</v>
      </c>
      <c r="U1974" s="154" t="s">
        <v>60</v>
      </c>
      <c r="V1974" s="154" t="s">
        <v>60</v>
      </c>
      <c r="W1974" s="154" t="s">
        <v>60</v>
      </c>
      <c r="X1974" s="154" t="s">
        <v>60</v>
      </c>
      <c r="Y1974" s="154" t="s">
        <v>64</v>
      </c>
      <c r="Z1974" s="154" t="s">
        <v>64</v>
      </c>
      <c r="AA1974" s="154" t="s">
        <v>64</v>
      </c>
      <c r="AB1974" s="154"/>
      <c r="AC1974" s="242" t="b">
        <f t="shared" si="2"/>
        <v>1</v>
      </c>
      <c r="AD1974" s="154" t="s">
        <v>391</v>
      </c>
      <c r="AE1974" s="243" t="b">
        <f t="shared" si="3"/>
        <v>0</v>
      </c>
      <c r="AF1974" s="154"/>
      <c r="AG1974" s="243" t="b">
        <f t="shared" si="7"/>
        <v>0</v>
      </c>
      <c r="AH1974" s="154"/>
      <c r="AI1974" s="243" t="str">
        <f t="shared" si="5"/>
        <v>N/A</v>
      </c>
      <c r="AJ1974" s="157" t="str">
        <f t="shared" si="6"/>
        <v/>
      </c>
    </row>
    <row r="1975" ht="12.75" customHeight="1">
      <c r="A1975" s="244" t="s">
        <v>4158</v>
      </c>
      <c r="B1975" s="244" t="s">
        <v>4161</v>
      </c>
      <c r="C1975" s="244" t="s">
        <v>4973</v>
      </c>
      <c r="D1975" s="154" t="s">
        <v>747</v>
      </c>
      <c r="E1975" s="250"/>
      <c r="F1975" s="154" t="str">
        <f t="array" ref="F1975">XLOOKUP(Cover!$D$12,$S$1:$AA$1,$S1975:$AA1975)</f>
        <v>Mandatory</v>
      </c>
      <c r="G1975" s="154" t="s">
        <v>4974</v>
      </c>
      <c r="H1975" s="154" t="s">
        <v>351</v>
      </c>
      <c r="I1975" s="154" t="s">
        <v>632</v>
      </c>
      <c r="J1975" s="247" t="s">
        <v>445</v>
      </c>
      <c r="K1975" s="154"/>
      <c r="L1975" s="154" t="str">
        <f t="shared" si="1"/>
        <v/>
      </c>
      <c r="M1975" s="248" t="str">
        <f>IFERROR(__xludf.DUMMYFUNCTION("VLOOKUP(C1975,IMPORTRANGE(""https://docs.google.com/spreadsheets/d/1P8eX0NWBhUPS_hvzA11R6jkTNFrPrRYIx_dX_hYbxrk/edit?resourcekey=0-iw9bsKY2OqkUHCFMkCar3A&amp;gid=2055363397#gid=2055363397"",""MTR!C:O""),11,false)"),"PMW-IMS")</f>
        <v>PMW-IMS</v>
      </c>
      <c r="N1975" s="248" t="str">
        <f>IFERROR(__xludf.DUMMYFUNCTION("VLOOKUP(C1975,IMPORTRANGE(""https://docs.google.com/spreadsheets/d/1ihFlp3_ePlYtFuPbUNbYj1muErVpI73WHXbEwJDIA7Q/edit#gid=1493122344"",""MTR!C:O""),8,false)"),"Complies")</f>
        <v>Complies</v>
      </c>
      <c r="O1975" s="241" t="str">
        <f>IFERROR(__xludf.DUMMYFUNCTION("VLOOKUP(C1975,IMPORTRANGE(""https://docs.google.com/spreadsheets/d/1P8eX0NWBhUPS_hvzA11R6jkTNFrPrRYIx_dX_hYbxrk/edit?resourcekey=0-iw9bsKY2OqkUHCFMkCar3A&amp;gid=2055363397#gid=2055363397"",""MTR!C:O""),9,false)"),"")</f>
        <v/>
      </c>
      <c r="P1975" s="241"/>
      <c r="Q1975" s="251" t="s">
        <v>445</v>
      </c>
      <c r="R1975" s="241"/>
      <c r="S1975" s="154" t="s">
        <v>64</v>
      </c>
      <c r="T1975" s="154" t="s">
        <v>60</v>
      </c>
      <c r="U1975" s="154" t="s">
        <v>60</v>
      </c>
      <c r="V1975" s="154" t="s">
        <v>60</v>
      </c>
      <c r="W1975" s="154" t="s">
        <v>60</v>
      </c>
      <c r="X1975" s="154" t="s">
        <v>60</v>
      </c>
      <c r="Y1975" s="154" t="s">
        <v>64</v>
      </c>
      <c r="Z1975" s="154" t="s">
        <v>64</v>
      </c>
      <c r="AA1975" s="154" t="s">
        <v>64</v>
      </c>
      <c r="AB1975" s="154"/>
      <c r="AC1975" s="242" t="b">
        <f t="shared" si="2"/>
        <v>1</v>
      </c>
      <c r="AD1975" s="154" t="s">
        <v>391</v>
      </c>
      <c r="AE1975" s="243" t="b">
        <f t="shared" si="3"/>
        <v>0</v>
      </c>
      <c r="AF1975" s="154"/>
      <c r="AG1975" s="243" t="b">
        <f t="shared" si="7"/>
        <v>0</v>
      </c>
      <c r="AH1975" s="154"/>
      <c r="AI1975" s="243" t="str">
        <f t="shared" si="5"/>
        <v>N/A</v>
      </c>
      <c r="AJ1975" s="157" t="str">
        <f t="shared" si="6"/>
        <v/>
      </c>
    </row>
    <row r="1976" ht="12.75" customHeight="1">
      <c r="A1976" s="244" t="s">
        <v>4158</v>
      </c>
      <c r="B1976" s="244" t="s">
        <v>4161</v>
      </c>
      <c r="C1976" s="244" t="s">
        <v>4975</v>
      </c>
      <c r="D1976" s="154" t="s">
        <v>542</v>
      </c>
      <c r="E1976" s="250"/>
      <c r="F1976" s="154" t="str">
        <f t="array" ref="F1976">XLOOKUP(Cover!$D$12,$S$1:$AA$1,$S1976:$AA1976)</f>
        <v>Mandatory</v>
      </c>
      <c r="G1976" s="154" t="s">
        <v>4976</v>
      </c>
      <c r="H1976" s="154" t="s">
        <v>351</v>
      </c>
      <c r="I1976" s="154" t="s">
        <v>632</v>
      </c>
      <c r="J1976" s="247" t="s">
        <v>445</v>
      </c>
      <c r="K1976" s="154"/>
      <c r="L1976" s="154" t="str">
        <f t="shared" si="1"/>
        <v/>
      </c>
      <c r="M1976" s="248" t="str">
        <f>IFERROR(__xludf.DUMMYFUNCTION("VLOOKUP(C1976,IMPORTRANGE(""https://docs.google.com/spreadsheets/d/1P8eX0NWBhUPS_hvzA11R6jkTNFrPrRYIx_dX_hYbxrk/edit?resourcekey=0-iw9bsKY2OqkUHCFMkCar3A&amp;gid=2055363397#gid=2055363397"",""MTR!C:O""),11,false)"),"PMW-IMS")</f>
        <v>PMW-IMS</v>
      </c>
      <c r="N1976" s="248" t="str">
        <f>IFERROR(__xludf.DUMMYFUNCTION("VLOOKUP(C1976,IMPORTRANGE(""https://docs.google.com/spreadsheets/d/1ihFlp3_ePlYtFuPbUNbYj1muErVpI73WHXbEwJDIA7Q/edit#gid=1493122344"",""MTR!C:O""),8,false)"),"Complies")</f>
        <v>Complies</v>
      </c>
      <c r="O1976" s="241" t="str">
        <f>IFERROR(__xludf.DUMMYFUNCTION("VLOOKUP(C1976,IMPORTRANGE(""https://docs.google.com/spreadsheets/d/1P8eX0NWBhUPS_hvzA11R6jkTNFrPrRYIx_dX_hYbxrk/edit?resourcekey=0-iw9bsKY2OqkUHCFMkCar3A&amp;gid=2055363397#gid=2055363397"",""MTR!C:O""),9,false)"),"")</f>
        <v/>
      </c>
      <c r="P1976" s="241"/>
      <c r="Q1976" s="251" t="s">
        <v>445</v>
      </c>
      <c r="R1976" s="241"/>
      <c r="S1976" s="154" t="s">
        <v>64</v>
      </c>
      <c r="T1976" s="154" t="s">
        <v>60</v>
      </c>
      <c r="U1976" s="154" t="s">
        <v>60</v>
      </c>
      <c r="V1976" s="154" t="s">
        <v>60</v>
      </c>
      <c r="W1976" s="154" t="s">
        <v>60</v>
      </c>
      <c r="X1976" s="154" t="s">
        <v>60</v>
      </c>
      <c r="Y1976" s="154" t="s">
        <v>64</v>
      </c>
      <c r="Z1976" s="154" t="s">
        <v>64</v>
      </c>
      <c r="AA1976" s="154" t="s">
        <v>64</v>
      </c>
      <c r="AB1976" s="154"/>
      <c r="AC1976" s="242" t="b">
        <f t="shared" si="2"/>
        <v>1</v>
      </c>
      <c r="AD1976" s="154" t="s">
        <v>391</v>
      </c>
      <c r="AE1976" s="243" t="b">
        <f t="shared" si="3"/>
        <v>0</v>
      </c>
      <c r="AF1976" s="154"/>
      <c r="AG1976" s="243" t="b">
        <f t="shared" si="7"/>
        <v>0</v>
      </c>
      <c r="AH1976" s="154"/>
      <c r="AI1976" s="243" t="str">
        <f t="shared" si="5"/>
        <v>N/A</v>
      </c>
      <c r="AJ1976" s="157" t="str">
        <f t="shared" si="6"/>
        <v/>
      </c>
    </row>
    <row r="1977" ht="12.75" customHeight="1">
      <c r="A1977" s="244" t="s">
        <v>4158</v>
      </c>
      <c r="B1977" s="244" t="s">
        <v>4161</v>
      </c>
      <c r="C1977" s="244" t="s">
        <v>4977</v>
      </c>
      <c r="D1977" s="154" t="s">
        <v>542</v>
      </c>
      <c r="E1977" s="250"/>
      <c r="F1977" s="154" t="str">
        <f t="array" ref="F1977">XLOOKUP(Cover!$D$12,$S$1:$AA$1,$S1977:$AA1977)</f>
        <v>Recommended</v>
      </c>
      <c r="G1977" s="154" t="s">
        <v>4978</v>
      </c>
      <c r="H1977" s="154" t="s">
        <v>351</v>
      </c>
      <c r="I1977" s="154" t="s">
        <v>632</v>
      </c>
      <c r="J1977" s="247" t="s">
        <v>506</v>
      </c>
      <c r="K1977" s="247" t="s">
        <v>4979</v>
      </c>
      <c r="L1977" s="154" t="str">
        <f t="shared" si="1"/>
        <v/>
      </c>
      <c r="M1977" s="248" t="str">
        <f>IFERROR(__xludf.DUMMYFUNCTION("VLOOKUP(C1977,IMPORTRANGE(""https://docs.google.com/spreadsheets/d/1P8eX0NWBhUPS_hvzA11R6jkTNFrPrRYIx_dX_hYbxrk/edit?resourcekey=0-iw9bsKY2OqkUHCFMkCar3A&amp;gid=2055363397#gid=2055363397"",""MTR!C:O""),11,false)"),"PMW-IMS")</f>
        <v>PMW-IMS</v>
      </c>
      <c r="N1977" s="248" t="str">
        <f>IFERROR(__xludf.DUMMYFUNCTION("VLOOKUP(C1977,IMPORTRANGE(""https://docs.google.com/spreadsheets/d/1ihFlp3_ePlYtFuPbUNbYj1muErVpI73WHXbEwJDIA7Q/edit#gid=1493122344"",""MTR!C:O""),8,false)"),"Partially Complies")</f>
        <v>Partially Complies</v>
      </c>
      <c r="O1977" s="248" t="str">
        <f>IFERROR(__xludf.DUMMYFUNCTION("VLOOKUP(C1977,IMPORTRANGE(""https://docs.google.com/spreadsheets/d/1P8eX0NWBhUPS_hvzA11R6jkTNFrPrRYIx_dX_hYbxrk/edit?resourcekey=0-iw9bsKY2OqkUHCFMkCar3A&amp;gid=2055363397#gid=2055363397"",""MTR!C:O""),9,false)"),"LAC/TAC based discovery is implemented but not enabled. In general we comply to the requirement. Some release14/15 requirements are not completely implemented.")</f>
        <v>LAC/TAC based discovery is implemented but not enabled. In general we comply to the requirement. Some release14/15 requirements are not completely implemented.</v>
      </c>
      <c r="P1977" s="248"/>
      <c r="Q1977" s="249" t="s">
        <v>506</v>
      </c>
      <c r="R1977" s="249" t="s">
        <v>4979</v>
      </c>
      <c r="S1977" s="154" t="s">
        <v>64</v>
      </c>
      <c r="T1977" s="154" t="s">
        <v>64</v>
      </c>
      <c r="U1977" s="154" t="s">
        <v>64</v>
      </c>
      <c r="V1977" s="154" t="s">
        <v>64</v>
      </c>
      <c r="W1977" s="154" t="s">
        <v>64</v>
      </c>
      <c r="X1977" s="154" t="s">
        <v>64</v>
      </c>
      <c r="Y1977" s="154" t="s">
        <v>64</v>
      </c>
      <c r="Z1977" s="154" t="s">
        <v>64</v>
      </c>
      <c r="AA1977" s="154" t="s">
        <v>64</v>
      </c>
      <c r="AB1977" s="154"/>
      <c r="AC1977" s="242" t="b">
        <f t="shared" si="2"/>
        <v>1</v>
      </c>
      <c r="AD1977" s="154" t="s">
        <v>391</v>
      </c>
      <c r="AE1977" s="243" t="b">
        <f t="shared" si="3"/>
        <v>0</v>
      </c>
      <c r="AF1977" s="154"/>
      <c r="AG1977" s="243" t="b">
        <f t="shared" si="7"/>
        <v>0</v>
      </c>
      <c r="AH1977" s="154"/>
      <c r="AI1977" s="243" t="str">
        <f t="shared" si="5"/>
        <v>N/A</v>
      </c>
      <c r="AJ1977" s="157" t="str">
        <f t="shared" si="6"/>
        <v/>
      </c>
    </row>
    <row r="1978" ht="12.75" customHeight="1">
      <c r="A1978" s="244" t="s">
        <v>4158</v>
      </c>
      <c r="B1978" s="244" t="s">
        <v>4161</v>
      </c>
      <c r="C1978" s="244" t="s">
        <v>4980</v>
      </c>
      <c r="D1978" s="154" t="s">
        <v>542</v>
      </c>
      <c r="E1978" s="250"/>
      <c r="F1978" s="154" t="str">
        <f t="array" ref="F1978">XLOOKUP(Cover!$D$12,$S$1:$AA$1,$S1978:$AA1978)</f>
        <v>Recommended</v>
      </c>
      <c r="G1978" s="154" t="s">
        <v>4981</v>
      </c>
      <c r="H1978" s="154" t="s">
        <v>351</v>
      </c>
      <c r="I1978" s="154" t="s">
        <v>632</v>
      </c>
      <c r="J1978" s="247" t="s">
        <v>445</v>
      </c>
      <c r="K1978" s="247" t="s">
        <v>4982</v>
      </c>
      <c r="L1978" s="154" t="str">
        <f t="shared" si="1"/>
        <v/>
      </c>
      <c r="M1978" s="248" t="str">
        <f>IFERROR(__xludf.DUMMYFUNCTION("VLOOKUP(C1978,IMPORTRANGE(""https://docs.google.com/spreadsheets/d/1P8eX0NWBhUPS_hvzA11R6jkTNFrPrRYIx_dX_hYbxrk/edit?resourcekey=0-iw9bsKY2OqkUHCFMkCar3A&amp;gid=2055363397#gid=2055363397"",""MTR!C:O""),11,false)"),"PMW-IMS")</f>
        <v>PMW-IMS</v>
      </c>
      <c r="N1978" s="248" t="str">
        <f>IFERROR(__xludf.DUMMYFUNCTION("VLOOKUP(C1978,IMPORTRANGE(""https://docs.google.com/spreadsheets/d/1ihFlp3_ePlYtFuPbUNbYj1muErVpI73WHXbEwJDIA7Q/edit#gid=1493122344"",""MTR!C:O""),8,false)"),"Complies")</f>
        <v>Complies</v>
      </c>
      <c r="O1978" s="248" t="str">
        <f>IFERROR(__xludf.DUMMYFUNCTION("VLOOKUP(C1978,IMPORTRANGE(""https://docs.google.com/spreadsheets/d/1P8eX0NWBhUPS_hvzA11R6jkTNFrPrRYIx_dX_hYbxrk/edit?resourcekey=0-iw9bsKY2OqkUHCFMkCar3A&amp;gid=2055363397#gid=2055363397"",""MTR!C:O""),9,false)"),"For emergency pdn, UE will use fqdn of format sos.epdg.epc.mnc&lt;MNC&gt;.mcc&lt;MCC&gt;.pub.3gppnetwork.org. Some release 14/15 requirements are not completely implemented (ex. section 4.5.4a.1)")</f>
        <v>For emergency pdn, UE will use fqdn of format sos.epdg.epc.mnc&lt;MNC&gt;.mcc&lt;MCC&gt;.pub.3gppnetwork.org. Some release 14/15 requirements are not completely implemented (ex. section 4.5.4a.1)</v>
      </c>
      <c r="P1978" s="248"/>
      <c r="Q1978" s="249" t="s">
        <v>445</v>
      </c>
      <c r="R1978" s="249" t="s">
        <v>4982</v>
      </c>
      <c r="S1978" s="154" t="s">
        <v>64</v>
      </c>
      <c r="T1978" s="154" t="s">
        <v>64</v>
      </c>
      <c r="U1978" s="154" t="s">
        <v>64</v>
      </c>
      <c r="V1978" s="154" t="s">
        <v>64</v>
      </c>
      <c r="W1978" s="154" t="s">
        <v>64</v>
      </c>
      <c r="X1978" s="154" t="s">
        <v>64</v>
      </c>
      <c r="Y1978" s="154" t="s">
        <v>64</v>
      </c>
      <c r="Z1978" s="154" t="s">
        <v>64</v>
      </c>
      <c r="AA1978" s="154" t="s">
        <v>64</v>
      </c>
      <c r="AB1978" s="154"/>
      <c r="AC1978" s="242" t="b">
        <f t="shared" si="2"/>
        <v>1</v>
      </c>
      <c r="AD1978" s="154" t="s">
        <v>391</v>
      </c>
      <c r="AE1978" s="243" t="b">
        <f t="shared" si="3"/>
        <v>0</v>
      </c>
      <c r="AF1978" s="154"/>
      <c r="AG1978" s="243" t="b">
        <f t="shared" si="7"/>
        <v>0</v>
      </c>
      <c r="AH1978" s="154"/>
      <c r="AI1978" s="243" t="str">
        <f t="shared" si="5"/>
        <v>N/A</v>
      </c>
      <c r="AJ1978" s="157" t="str">
        <f t="shared" si="6"/>
        <v/>
      </c>
    </row>
    <row r="1979" ht="12.75" customHeight="1">
      <c r="A1979" s="244" t="s">
        <v>4158</v>
      </c>
      <c r="B1979" s="244" t="s">
        <v>4161</v>
      </c>
      <c r="C1979" s="244" t="s">
        <v>4983</v>
      </c>
      <c r="D1979" s="154" t="s">
        <v>542</v>
      </c>
      <c r="E1979" s="250"/>
      <c r="F1979" s="154" t="str">
        <f t="array" ref="F1979">XLOOKUP(Cover!$D$12,$S$1:$AA$1,$S1979:$AA1979)</f>
        <v>Mandatory</v>
      </c>
      <c r="G1979" s="154" t="s">
        <v>4984</v>
      </c>
      <c r="H1979" s="154" t="s">
        <v>351</v>
      </c>
      <c r="I1979" s="154" t="s">
        <v>632</v>
      </c>
      <c r="J1979" s="247" t="s">
        <v>445</v>
      </c>
      <c r="K1979" s="247"/>
      <c r="L1979" s="154" t="str">
        <f t="shared" si="1"/>
        <v/>
      </c>
      <c r="M1979" s="248" t="str">
        <f>IFERROR(__xludf.DUMMYFUNCTION("VLOOKUP(C1979,IMPORTRANGE(""https://docs.google.com/spreadsheets/d/1P8eX0NWBhUPS_hvzA11R6jkTNFrPrRYIx_dX_hYbxrk/edit?resourcekey=0-iw9bsKY2OqkUHCFMkCar3A&amp;gid=2055363397#gid=2055363397"",""MTR!C:O""),11,false)"),"PMW-IMS")</f>
        <v>PMW-IMS</v>
      </c>
      <c r="N1979" s="248" t="str">
        <f>IFERROR(__xludf.DUMMYFUNCTION("VLOOKUP(C1979,IMPORTRANGE(""https://docs.google.com/spreadsheets/d/1ihFlp3_ePlYtFuPbUNbYj1muErVpI73WHXbEwJDIA7Q/edit#gid=1493122344"",""MTR!C:O""),8,false)"),"Complies")</f>
        <v>Complies</v>
      </c>
      <c r="O1979" s="241" t="str">
        <f>IFERROR(__xludf.DUMMYFUNCTION("VLOOKUP(C1979,IMPORTRANGE(""https://docs.google.com/spreadsheets/d/1P8eX0NWBhUPS_hvzA11R6jkTNFrPrRYIx_dX_hYbxrk/edit?resourcekey=0-iw9bsKY2OqkUHCFMkCar3A&amp;gid=2055363397#gid=2055363397"",""MTR!C:O""),9,false)"),"")</f>
        <v/>
      </c>
      <c r="P1979" s="241"/>
      <c r="Q1979" s="251" t="s">
        <v>445</v>
      </c>
      <c r="R1979" s="251"/>
      <c r="S1979" s="154" t="s">
        <v>64</v>
      </c>
      <c r="T1979" s="154" t="s">
        <v>60</v>
      </c>
      <c r="U1979" s="154" t="s">
        <v>60</v>
      </c>
      <c r="V1979" s="154" t="s">
        <v>60</v>
      </c>
      <c r="W1979" s="154" t="s">
        <v>60</v>
      </c>
      <c r="X1979" s="154" t="s">
        <v>60</v>
      </c>
      <c r="Y1979" s="154" t="s">
        <v>64</v>
      </c>
      <c r="Z1979" s="154" t="s">
        <v>64</v>
      </c>
      <c r="AA1979" s="154" t="s">
        <v>64</v>
      </c>
      <c r="AB1979" s="154"/>
      <c r="AC1979" s="242" t="b">
        <f t="shared" si="2"/>
        <v>1</v>
      </c>
      <c r="AD1979" s="154" t="s">
        <v>391</v>
      </c>
      <c r="AE1979" s="243" t="b">
        <f t="shared" si="3"/>
        <v>0</v>
      </c>
      <c r="AF1979" s="154"/>
      <c r="AG1979" s="243" t="b">
        <f t="shared" si="7"/>
        <v>0</v>
      </c>
      <c r="AH1979" s="154"/>
      <c r="AI1979" s="243" t="str">
        <f t="shared" si="5"/>
        <v>N/A</v>
      </c>
      <c r="AJ1979" s="157" t="str">
        <f t="shared" si="6"/>
        <v/>
      </c>
    </row>
    <row r="1980" ht="12.75" customHeight="1">
      <c r="A1980" s="244" t="s">
        <v>4158</v>
      </c>
      <c r="B1980" s="244" t="s">
        <v>4161</v>
      </c>
      <c r="C1980" s="244" t="s">
        <v>4985</v>
      </c>
      <c r="D1980" s="154" t="s">
        <v>45</v>
      </c>
      <c r="E1980" s="250"/>
      <c r="F1980" s="154" t="str">
        <f t="array" ref="F1980">XLOOKUP(Cover!$D$12,$S$1:$AA$1,$S1980:$AA1980)</f>
        <v>Mandatory</v>
      </c>
      <c r="G1980" s="154" t="s">
        <v>4986</v>
      </c>
      <c r="H1980" s="154" t="s">
        <v>351</v>
      </c>
      <c r="I1980" s="154" t="s">
        <v>632</v>
      </c>
      <c r="J1980" s="247" t="s">
        <v>445</v>
      </c>
      <c r="K1980" s="273" t="s">
        <v>4987</v>
      </c>
      <c r="L1980" s="154" t="str">
        <f t="shared" si="1"/>
        <v/>
      </c>
      <c r="M1980" s="248" t="str">
        <f>IFERROR(__xludf.DUMMYFUNCTION("VLOOKUP(C1980,IMPORTRANGE(""https://docs.google.com/spreadsheets/d/1P8eX0NWBhUPS_hvzA11R6jkTNFrPrRYIx_dX_hYbxrk/edit?resourcekey=0-iw9bsKY2OqkUHCFMkCar3A&amp;gid=2055363397#gid=2055363397"",""MTR!C:O""),11,false)"),"PMW-IMS")</f>
        <v>PMW-IMS</v>
      </c>
      <c r="N1980" s="253" t="str">
        <f>IFERROR(__xludf.DUMMYFUNCTION("VLOOKUP(C1980,IMPORTRANGE(""https://docs.google.com/spreadsheets/d/1ihFlp3_ePlYtFuPbUNbYj1muErVpI73WHXbEwJDIA7Q/edit#gid=1493122344"",""MTR!C:O""),8,false)"),"#N/A")</f>
        <v>#N/A</v>
      </c>
      <c r="O1980" s="248" t="str">
        <f>IFERROR(__xludf.DUMMYFUNCTION("VLOOKUP(C1980,IMPORTRANGE(""https://docs.google.com/spreadsheets/d/1P8eX0NWBhUPS_hvzA11R6jkTNFrPrRYIx_dX_hYbxrk/edit?resourcekey=0-iw9bsKY2OqkUHCFMkCar3A&amp;gid=2055363397#gid=2055363397"",""MTR!C:O""),9,false)"),"LAC/TAC based discovery is implemented but not enabled. In general we comply to the requirement. Some release14/15 requirements are not completely implemented.")</f>
        <v>LAC/TAC based discovery is implemented but not enabled. In general we comply to the requirement. Some release14/15 requirements are not completely implemented.</v>
      </c>
      <c r="P1980" s="248"/>
      <c r="Q1980" s="249"/>
      <c r="R1980" s="248"/>
      <c r="S1980" s="154" t="s">
        <v>64</v>
      </c>
      <c r="T1980" s="154" t="s">
        <v>60</v>
      </c>
      <c r="U1980" s="154" t="s">
        <v>60</v>
      </c>
      <c r="V1980" s="154" t="s">
        <v>60</v>
      </c>
      <c r="W1980" s="154" t="s">
        <v>60</v>
      </c>
      <c r="X1980" s="154" t="s">
        <v>60</v>
      </c>
      <c r="Y1980" s="154" t="s">
        <v>64</v>
      </c>
      <c r="Z1980" s="154" t="s">
        <v>64</v>
      </c>
      <c r="AA1980" s="154" t="s">
        <v>64</v>
      </c>
      <c r="AB1980" s="154"/>
      <c r="AC1980" s="242" t="b">
        <f t="shared" si="2"/>
        <v>1</v>
      </c>
      <c r="AD1980" s="154" t="s">
        <v>391</v>
      </c>
      <c r="AE1980" s="243" t="b">
        <f t="shared" si="3"/>
        <v>0</v>
      </c>
      <c r="AF1980" s="154"/>
      <c r="AG1980" s="243" t="b">
        <f t="shared" si="7"/>
        <v>0</v>
      </c>
      <c r="AH1980" s="154"/>
      <c r="AI1980" s="243" t="str">
        <f t="shared" si="5"/>
        <v>N/A</v>
      </c>
      <c r="AJ1980" s="157" t="str">
        <f t="shared" si="6"/>
        <v/>
      </c>
    </row>
    <row r="1981" ht="12.75" customHeight="1">
      <c r="A1981" s="244" t="s">
        <v>4158</v>
      </c>
      <c r="B1981" s="244" t="s">
        <v>4161</v>
      </c>
      <c r="C1981" s="244" t="s">
        <v>4988</v>
      </c>
      <c r="D1981" s="154" t="s">
        <v>503</v>
      </c>
      <c r="E1981" s="250"/>
      <c r="F1981" s="154" t="str">
        <f t="array" ref="F1981">XLOOKUP(Cover!$D$12,$S$1:$AA$1,$S1981:$AA1981)</f>
        <v>Mandatory</v>
      </c>
      <c r="G1981" s="154" t="s">
        <v>4989</v>
      </c>
      <c r="H1981" s="154" t="s">
        <v>2307</v>
      </c>
      <c r="I1981" s="154" t="s">
        <v>632</v>
      </c>
      <c r="J1981" s="247" t="s">
        <v>506</v>
      </c>
      <c r="K1981" s="247" t="s">
        <v>4990</v>
      </c>
      <c r="L1981" s="154" t="str">
        <f t="shared" si="1"/>
        <v/>
      </c>
      <c r="M1981" s="248" t="str">
        <f>IFERROR(__xludf.DUMMYFUNCTION("VLOOKUP(C1981,IMPORTRANGE(""https://docs.google.com/spreadsheets/d/1P8eX0NWBhUPS_hvzA11R6jkTNFrPrRYIx_dX_hYbxrk/edit?resourcekey=0-iw9bsKY2OqkUHCFMkCar3A&amp;gid=2055363397#gid=2055363397"",""MTR!C:O""),11,false)"),"PMW-IMS")</f>
        <v>PMW-IMS</v>
      </c>
      <c r="N1981" s="248" t="str">
        <f>IFERROR(__xludf.DUMMYFUNCTION("VLOOKUP(C1981,IMPORTRANGE(""https://docs.google.com/spreadsheets/d/1ihFlp3_ePlYtFuPbUNbYj1muErVpI73WHXbEwJDIA7Q/edit#gid=1493122344"",""MTR!C:O""),8,false)"),"Partially Complies")</f>
        <v>Partially Complies</v>
      </c>
      <c r="O1981" s="248" t="str">
        <f>IFERROR(__xludf.DUMMYFUNCTION("VLOOKUP(C1981,IMPORTRANGE(""https://docs.google.com/spreadsheets/d/1P8eX0NWBhUPS_hvzA11R6jkTNFrPrRYIx_dX_hYbxrk/edit?resourcekey=0-iw9bsKY2OqkUHCFMkCar3A&amp;gid=2055363397#gid=2055363397"",""MTR!C:O""),9,false)"),"1. UE supports Emergency camping on 4G cells in limited service state
2. UE doesn't support Emergency camping on 5G cells in limited service state, due to VoNR is not in POR of DT_DE")</f>
        <v>1. UE supports Emergency camping on 4G cells in limited service state
2. UE doesn't support Emergency camping on 5G cells in limited service state, due to VoNR is not in POR of DT_DE</v>
      </c>
      <c r="P1981" s="248"/>
      <c r="Q1981" s="249" t="s">
        <v>506</v>
      </c>
      <c r="R1981" s="249" t="s">
        <v>4990</v>
      </c>
      <c r="S1981" s="154" t="s">
        <v>60</v>
      </c>
      <c r="T1981" s="154" t="s">
        <v>60</v>
      </c>
      <c r="U1981" s="154" t="s">
        <v>60</v>
      </c>
      <c r="V1981" s="154" t="s">
        <v>60</v>
      </c>
      <c r="W1981" s="154" t="s">
        <v>60</v>
      </c>
      <c r="X1981" s="154" t="s">
        <v>60</v>
      </c>
      <c r="Y1981" s="154" t="s">
        <v>64</v>
      </c>
      <c r="Z1981" s="154" t="s">
        <v>64</v>
      </c>
      <c r="AA1981" s="154" t="s">
        <v>64</v>
      </c>
      <c r="AB1981" s="154"/>
      <c r="AC1981" s="242" t="b">
        <f t="shared" si="2"/>
        <v>1</v>
      </c>
      <c r="AD1981" s="154" t="s">
        <v>391</v>
      </c>
      <c r="AE1981" s="243" t="b">
        <f t="shared" si="3"/>
        <v>0</v>
      </c>
      <c r="AF1981" s="154"/>
      <c r="AG1981" s="243" t="b">
        <f t="shared" si="7"/>
        <v>0</v>
      </c>
      <c r="AH1981" s="154"/>
      <c r="AI1981" s="243" t="str">
        <f t="shared" si="5"/>
        <v>N/A</v>
      </c>
      <c r="AJ1981" s="157" t="str">
        <f t="shared" si="6"/>
        <v/>
      </c>
    </row>
    <row r="1982" ht="12.75" customHeight="1">
      <c r="A1982" s="244" t="s">
        <v>4158</v>
      </c>
      <c r="B1982" s="244" t="s">
        <v>4161</v>
      </c>
      <c r="C1982" s="244" t="s">
        <v>4991</v>
      </c>
      <c r="D1982" s="154" t="s">
        <v>503</v>
      </c>
      <c r="E1982" s="250"/>
      <c r="F1982" s="154" t="str">
        <f t="array" ref="F1982">XLOOKUP(Cover!$D$12,$S$1:$AA$1,$S1982:$AA1982)</f>
        <v>Mandatory</v>
      </c>
      <c r="G1982" s="154" t="s">
        <v>4992</v>
      </c>
      <c r="H1982" s="154" t="s">
        <v>353</v>
      </c>
      <c r="I1982" s="154" t="s">
        <v>2155</v>
      </c>
      <c r="J1982" s="247" t="s">
        <v>506</v>
      </c>
      <c r="K1982" s="247" t="s">
        <v>4993</v>
      </c>
      <c r="L1982" s="154" t="str">
        <f t="shared" si="1"/>
        <v/>
      </c>
      <c r="M1982" s="248" t="str">
        <f>IFERROR(__xludf.DUMMYFUNCTION("VLOOKUP(C1982,IMPORTRANGE(""https://docs.google.com/spreadsheets/d/1P8eX0NWBhUPS_hvzA11R6jkTNFrPrRYIx_dX_hYbxrk/edit?resourcekey=0-iw9bsKY2OqkUHCFMkCar3A&amp;gid=2055363397#gid=2055363397"",""MTR!C:O""),11,false)"),"PMW-IMS")</f>
        <v>PMW-IMS</v>
      </c>
      <c r="N1982" s="248" t="str">
        <f>IFERROR(__xludf.DUMMYFUNCTION("VLOOKUP(C1982,IMPORTRANGE(""https://docs.google.com/spreadsheets/d/1ihFlp3_ePlYtFuPbUNbYj1muErVpI73WHXbEwJDIA7Q/edit#gid=1493122344"",""MTR!C:O""),8,false)"),"Does Not Comply")</f>
        <v>Does Not Comply</v>
      </c>
      <c r="O1982" s="248" t="str">
        <f>IFERROR(__xludf.DUMMYFUNCTION("VLOOKUP(C1982,IMPORTRANGE(""https://docs.google.com/spreadsheets/d/1P8eX0NWBhUPS_hvzA11R6jkTNFrPrRYIx_dX_hYbxrk/edit?resourcekey=0-iw9bsKY2OqkUHCFMkCar3A&amp;gid=2055363397#gid=2055363397"",""MTR!C:O""),9,false)"),"Supported but VoNR not enabled")</f>
        <v>Supported but VoNR not enabled</v>
      </c>
      <c r="P1982" s="248"/>
      <c r="Q1982" s="249" t="s">
        <v>516</v>
      </c>
      <c r="R1982" s="249" t="s">
        <v>4993</v>
      </c>
      <c r="S1982" s="154" t="s">
        <v>64</v>
      </c>
      <c r="T1982" s="154" t="s">
        <v>60</v>
      </c>
      <c r="U1982" s="154" t="s">
        <v>60</v>
      </c>
      <c r="V1982" s="154" t="s">
        <v>60</v>
      </c>
      <c r="W1982" s="154" t="s">
        <v>60</v>
      </c>
      <c r="X1982" s="154" t="s">
        <v>60</v>
      </c>
      <c r="Y1982" s="154" t="s">
        <v>64</v>
      </c>
      <c r="Z1982" s="154" t="s">
        <v>64</v>
      </c>
      <c r="AA1982" s="154" t="s">
        <v>64</v>
      </c>
      <c r="AB1982" s="154"/>
      <c r="AC1982" s="242" t="b">
        <f t="shared" si="2"/>
        <v>1</v>
      </c>
      <c r="AD1982" s="154" t="s">
        <v>391</v>
      </c>
      <c r="AE1982" s="243" t="b">
        <f t="shared" si="3"/>
        <v>0</v>
      </c>
      <c r="AF1982" s="154"/>
      <c r="AG1982" s="243" t="b">
        <f t="shared" si="7"/>
        <v>0</v>
      </c>
      <c r="AH1982" s="154"/>
      <c r="AI1982" s="243" t="str">
        <f t="shared" si="5"/>
        <v>N/A</v>
      </c>
      <c r="AJ1982" s="157" t="str">
        <f t="shared" si="6"/>
        <v/>
      </c>
    </row>
    <row r="1983" ht="12.75" customHeight="1">
      <c r="A1983" s="238" t="s">
        <v>4158</v>
      </c>
      <c r="B1983" s="238" t="s">
        <v>4161</v>
      </c>
      <c r="C1983" s="238" t="s">
        <v>4994</v>
      </c>
      <c r="D1983" s="238"/>
      <c r="E1983" s="238"/>
      <c r="F1983" s="154" t="str">
        <f t="array" ref="F1983">XLOOKUP(Cover!$D$12,$S$1:$AA$1,$S1983:$AA1983)</f>
        <v>Heading</v>
      </c>
      <c r="G1983" s="239" t="s">
        <v>4995</v>
      </c>
      <c r="H1983" s="240"/>
      <c r="I1983" s="240" t="s">
        <v>420</v>
      </c>
      <c r="J1983" s="262"/>
      <c r="K1983" s="262"/>
      <c r="L1983" s="154" t="str">
        <f t="shared" si="1"/>
        <v/>
      </c>
      <c r="M1983" s="241" t="str">
        <f>IFERROR(__xludf.DUMMYFUNCTION("VLOOKUP(C1983,IMPORTRANGE(""https://docs.google.com/spreadsheets/d/1P8eX0NWBhUPS_hvzA11R6jkTNFrPrRYIx_dX_hYbxrk/edit?resourcekey=0-iw9bsKY2OqkUHCFMkCar3A&amp;gid=2055363397#gid=2055363397"",""MTR!C:O""),11,false)"),"")</f>
        <v/>
      </c>
      <c r="N1983" s="241" t="str">
        <f>IFERROR(__xludf.DUMMYFUNCTION("VLOOKUP(C1983,IMPORTRANGE(""https://docs.google.com/spreadsheets/d/1ihFlp3_ePlYtFuPbUNbYj1muErVpI73WHXbEwJDIA7Q/edit#gid=1493122344"",""MTR!C:O""),8,false)"),"")</f>
        <v/>
      </c>
      <c r="O1983" s="241" t="str">
        <f>IFERROR(__xludf.DUMMYFUNCTION("VLOOKUP(C1983,IMPORTRANGE(""https://docs.google.com/spreadsheets/d/1P8eX0NWBhUPS_hvzA11R6jkTNFrPrRYIx_dX_hYbxrk/edit?resourcekey=0-iw9bsKY2OqkUHCFMkCar3A&amp;gid=2055363397#gid=2055363397"",""MTR!C:O""),9,false)"),"")</f>
        <v/>
      </c>
      <c r="P1983" s="241"/>
      <c r="Q1983" s="251"/>
      <c r="R1983" s="251"/>
      <c r="S1983" s="240" t="s">
        <v>390</v>
      </c>
      <c r="T1983" s="240" t="s">
        <v>390</v>
      </c>
      <c r="U1983" s="240" t="s">
        <v>390</v>
      </c>
      <c r="V1983" s="240" t="s">
        <v>390</v>
      </c>
      <c r="W1983" s="240" t="s">
        <v>390</v>
      </c>
      <c r="X1983" s="240" t="s">
        <v>390</v>
      </c>
      <c r="Y1983" s="240" t="s">
        <v>390</v>
      </c>
      <c r="Z1983" s="240" t="s">
        <v>390</v>
      </c>
      <c r="AA1983" s="240" t="s">
        <v>390</v>
      </c>
      <c r="AB1983" s="240"/>
      <c r="AC1983" s="242" t="b">
        <f t="shared" si="2"/>
        <v>0</v>
      </c>
      <c r="AD1983" s="240" t="s">
        <v>391</v>
      </c>
      <c r="AE1983" s="243" t="b">
        <f t="shared" si="3"/>
        <v>0</v>
      </c>
      <c r="AF1983" s="240"/>
      <c r="AG1983" s="243" t="b">
        <f t="shared" si="7"/>
        <v>0</v>
      </c>
      <c r="AH1983" s="240"/>
      <c r="AI1983" s="243" t="str">
        <f t="shared" si="5"/>
        <v>N/A</v>
      </c>
      <c r="AJ1983" s="157" t="str">
        <f t="shared" si="6"/>
        <v/>
      </c>
    </row>
    <row r="1984" ht="12.75" customHeight="1">
      <c r="A1984" s="244" t="s">
        <v>4158</v>
      </c>
      <c r="B1984" s="244" t="s">
        <v>4161</v>
      </c>
      <c r="C1984" s="245" t="s">
        <v>4996</v>
      </c>
      <c r="D1984" s="155" t="s">
        <v>1282</v>
      </c>
      <c r="E1984" s="246" t="s">
        <v>92</v>
      </c>
      <c r="F1984" s="154" t="str">
        <f t="array" ref="F1984">XLOOKUP(Cover!$D$12,$S$1:$AA$1,$S1984:$AA1984)</f>
        <v>Mandatory</v>
      </c>
      <c r="G1984" s="154" t="s">
        <v>4997</v>
      </c>
      <c r="H1984" s="154" t="s">
        <v>4880</v>
      </c>
      <c r="I1984" s="154" t="s">
        <v>420</v>
      </c>
      <c r="J1984" s="247" t="s">
        <v>445</v>
      </c>
      <c r="K1984" s="154"/>
      <c r="L1984" s="154" t="str">
        <f t="shared" si="1"/>
        <v/>
      </c>
      <c r="M1984" s="248" t="str">
        <f>IFERROR(__xludf.DUMMYFUNCTION("VLOOKUP(C1984,IMPORTRANGE(""https://docs.google.com/spreadsheets/d/1P8eX0NWBhUPS_hvzA11R6jkTNFrPrRYIx_dX_hYbxrk/edit?resourcekey=0-iw9bsKY2OqkUHCFMkCar3A&amp;gid=2055363397#gid=2055363397"",""MTR!C:O""),11,false)"),"TAM")</f>
        <v>TAM</v>
      </c>
      <c r="N1984" s="248" t="str">
        <f>IFERROR(__xludf.DUMMYFUNCTION("VLOOKUP(C1984,IMPORTRANGE(""https://docs.google.com/spreadsheets/d/1ihFlp3_ePlYtFuPbUNbYj1muErVpI73WHXbEwJDIA7Q/edit#gid=1493122344"",""MTR!C:O""),8,false)"),"Complies")</f>
        <v>Complies</v>
      </c>
      <c r="O1984" s="241" t="str">
        <f>IFERROR(__xludf.DUMMYFUNCTION("VLOOKUP(C1984,IMPORTRANGE(""https://docs.google.com/spreadsheets/d/1P8eX0NWBhUPS_hvzA11R6jkTNFrPrRYIx_dX_hYbxrk/edit?resourcekey=0-iw9bsKY2OqkUHCFMkCar3A&amp;gid=2055363397#gid=2055363397"",""MTR!C:O""),9,false)"),"")</f>
        <v/>
      </c>
      <c r="P1984" s="241"/>
      <c r="Q1984" s="251" t="s">
        <v>445</v>
      </c>
      <c r="R1984" s="241"/>
      <c r="S1984" s="154" t="s">
        <v>60</v>
      </c>
      <c r="T1984" s="154" t="s">
        <v>60</v>
      </c>
      <c r="U1984" s="154" t="s">
        <v>60</v>
      </c>
      <c r="V1984" s="154" t="s">
        <v>60</v>
      </c>
      <c r="W1984" s="154" t="s">
        <v>60</v>
      </c>
      <c r="X1984" s="154" t="s">
        <v>60</v>
      </c>
      <c r="Y1984" s="154" t="s">
        <v>64</v>
      </c>
      <c r="Z1984" s="154" t="s">
        <v>64</v>
      </c>
      <c r="AA1984" s="154" t="s">
        <v>64</v>
      </c>
      <c r="AB1984" s="154"/>
      <c r="AC1984" s="242" t="b">
        <f t="shared" si="2"/>
        <v>1</v>
      </c>
      <c r="AD1984" s="154" t="s">
        <v>391</v>
      </c>
      <c r="AE1984" s="243" t="b">
        <f t="shared" si="3"/>
        <v>0</v>
      </c>
      <c r="AF1984" s="154"/>
      <c r="AG1984" s="243" t="b">
        <f t="shared" si="7"/>
        <v>0</v>
      </c>
      <c r="AH1984" s="154"/>
      <c r="AI1984" s="243" t="str">
        <f t="shared" si="5"/>
        <v>N/A</v>
      </c>
      <c r="AJ1984" s="157" t="str">
        <f t="shared" si="6"/>
        <v/>
      </c>
    </row>
    <row r="1985" ht="12.75" customHeight="1">
      <c r="A1985" s="244" t="s">
        <v>4158</v>
      </c>
      <c r="B1985" s="244" t="s">
        <v>4161</v>
      </c>
      <c r="C1985" s="244" t="s">
        <v>4998</v>
      </c>
      <c r="D1985" s="154" t="s">
        <v>1282</v>
      </c>
      <c r="E1985" s="250"/>
      <c r="F1985" s="154" t="str">
        <f t="array" ref="F1985">XLOOKUP(Cover!$D$12,$S$1:$AA$1,$S1985:$AA1985)</f>
        <v>Mandatory</v>
      </c>
      <c r="G1985" s="154" t="s">
        <v>4999</v>
      </c>
      <c r="H1985" s="154" t="s">
        <v>4880</v>
      </c>
      <c r="I1985" s="154" t="s">
        <v>420</v>
      </c>
      <c r="J1985" s="247" t="s">
        <v>445</v>
      </c>
      <c r="K1985" s="154"/>
      <c r="L1985" s="154" t="str">
        <f t="shared" si="1"/>
        <v/>
      </c>
      <c r="M1985" s="248" t="str">
        <f>IFERROR(__xludf.DUMMYFUNCTION("VLOOKUP(C1985,IMPORTRANGE(""https://docs.google.com/spreadsheets/d/1P8eX0NWBhUPS_hvzA11R6jkTNFrPrRYIx_dX_hYbxrk/edit?resourcekey=0-iw9bsKY2OqkUHCFMkCar3A&amp;gid=2055363397#gid=2055363397"",""MTR!C:O""),11,false)"),"TAM")</f>
        <v>TAM</v>
      </c>
      <c r="N1985" s="248" t="str">
        <f>IFERROR(__xludf.DUMMYFUNCTION("VLOOKUP(C1985,IMPORTRANGE(""https://docs.google.com/spreadsheets/d/1ihFlp3_ePlYtFuPbUNbYj1muErVpI73WHXbEwJDIA7Q/edit#gid=1493122344"",""MTR!C:O""),8,false)"),"Complies")</f>
        <v>Complies</v>
      </c>
      <c r="O1985" s="241" t="str">
        <f>IFERROR(__xludf.DUMMYFUNCTION("VLOOKUP(C1985,IMPORTRANGE(""https://docs.google.com/spreadsheets/d/1P8eX0NWBhUPS_hvzA11R6jkTNFrPrRYIx_dX_hYbxrk/edit?resourcekey=0-iw9bsKY2OqkUHCFMkCar3A&amp;gid=2055363397#gid=2055363397"",""MTR!C:O""),9,false)"),"")</f>
        <v/>
      </c>
      <c r="P1985" s="241"/>
      <c r="Q1985" s="251" t="s">
        <v>445</v>
      </c>
      <c r="R1985" s="241"/>
      <c r="S1985" s="154" t="s">
        <v>60</v>
      </c>
      <c r="T1985" s="154" t="s">
        <v>60</v>
      </c>
      <c r="U1985" s="154" t="s">
        <v>60</v>
      </c>
      <c r="V1985" s="154" t="s">
        <v>60</v>
      </c>
      <c r="W1985" s="154" t="s">
        <v>60</v>
      </c>
      <c r="X1985" s="154" t="s">
        <v>60</v>
      </c>
      <c r="Y1985" s="154" t="s">
        <v>64</v>
      </c>
      <c r="Z1985" s="154" t="s">
        <v>64</v>
      </c>
      <c r="AA1985" s="154" t="s">
        <v>64</v>
      </c>
      <c r="AB1985" s="154"/>
      <c r="AC1985" s="242" t="b">
        <f t="shared" si="2"/>
        <v>1</v>
      </c>
      <c r="AD1985" s="154" t="s">
        <v>391</v>
      </c>
      <c r="AE1985" s="243" t="b">
        <f t="shared" si="3"/>
        <v>0</v>
      </c>
      <c r="AF1985" s="154"/>
      <c r="AG1985" s="243" t="b">
        <f t="shared" si="7"/>
        <v>0</v>
      </c>
      <c r="AH1985" s="154"/>
      <c r="AI1985" s="243" t="str">
        <f t="shared" si="5"/>
        <v>N/A</v>
      </c>
      <c r="AJ1985" s="157" t="str">
        <f t="shared" si="6"/>
        <v/>
      </c>
    </row>
    <row r="1986" ht="12.75" customHeight="1">
      <c r="A1986" s="238" t="s">
        <v>4158</v>
      </c>
      <c r="B1986" s="238" t="s">
        <v>5000</v>
      </c>
      <c r="C1986" s="238" t="s">
        <v>5001</v>
      </c>
      <c r="D1986" s="238"/>
      <c r="E1986" s="238"/>
      <c r="F1986" s="154" t="str">
        <f t="array" ref="F1986">XLOOKUP(Cover!$D$12,$S$1:$AA$1,$S1986:$AA1986)</f>
        <v>Heading</v>
      </c>
      <c r="G1986" s="239" t="s">
        <v>5002</v>
      </c>
      <c r="H1986" s="240"/>
      <c r="I1986" s="240" t="s">
        <v>420</v>
      </c>
      <c r="J1986" s="262"/>
      <c r="K1986" s="240"/>
      <c r="L1986" s="154" t="str">
        <f t="shared" si="1"/>
        <v/>
      </c>
      <c r="M1986" s="241" t="str">
        <f>IFERROR(__xludf.DUMMYFUNCTION("VLOOKUP(C1986,IMPORTRANGE(""https://docs.google.com/spreadsheets/d/1P8eX0NWBhUPS_hvzA11R6jkTNFrPrRYIx_dX_hYbxrk/edit?resourcekey=0-iw9bsKY2OqkUHCFMkCar3A&amp;gid=2055363397#gid=2055363397"",""MTR!C:O""),11,false)"),"")</f>
        <v/>
      </c>
      <c r="N1986" s="241" t="str">
        <f>IFERROR(__xludf.DUMMYFUNCTION("VLOOKUP(C1986,IMPORTRANGE(""https://docs.google.com/spreadsheets/d/1ihFlp3_ePlYtFuPbUNbYj1muErVpI73WHXbEwJDIA7Q/edit#gid=1493122344"",""MTR!C:O""),8,false)"),"")</f>
        <v/>
      </c>
      <c r="O1986" s="241" t="str">
        <f>IFERROR(__xludf.DUMMYFUNCTION("VLOOKUP(C1986,IMPORTRANGE(""https://docs.google.com/spreadsheets/d/1P8eX0NWBhUPS_hvzA11R6jkTNFrPrRYIx_dX_hYbxrk/edit?resourcekey=0-iw9bsKY2OqkUHCFMkCar3A&amp;gid=2055363397#gid=2055363397"",""MTR!C:O""),9,false)"),"")</f>
        <v/>
      </c>
      <c r="P1986" s="241"/>
      <c r="Q1986" s="251"/>
      <c r="R1986" s="241"/>
      <c r="S1986" s="240" t="s">
        <v>390</v>
      </c>
      <c r="T1986" s="240" t="s">
        <v>390</v>
      </c>
      <c r="U1986" s="240" t="s">
        <v>390</v>
      </c>
      <c r="V1986" s="240" t="s">
        <v>390</v>
      </c>
      <c r="W1986" s="240" t="s">
        <v>390</v>
      </c>
      <c r="X1986" s="240" t="s">
        <v>390</v>
      </c>
      <c r="Y1986" s="240" t="s">
        <v>390</v>
      </c>
      <c r="Z1986" s="240" t="s">
        <v>390</v>
      </c>
      <c r="AA1986" s="240" t="s">
        <v>390</v>
      </c>
      <c r="AB1986" s="240"/>
      <c r="AC1986" s="242" t="b">
        <f t="shared" si="2"/>
        <v>0</v>
      </c>
      <c r="AD1986" s="240" t="s">
        <v>391</v>
      </c>
      <c r="AE1986" s="243" t="b">
        <f t="shared" si="3"/>
        <v>0</v>
      </c>
      <c r="AF1986" s="240"/>
      <c r="AG1986" s="243" t="b">
        <f t="shared" si="7"/>
        <v>0</v>
      </c>
      <c r="AH1986" s="240"/>
      <c r="AI1986" s="243" t="str">
        <f t="shared" si="5"/>
        <v>N/A</v>
      </c>
      <c r="AJ1986" s="157" t="str">
        <f t="shared" si="6"/>
        <v/>
      </c>
    </row>
    <row r="1987" ht="12.75" customHeight="1">
      <c r="A1987" s="244" t="s">
        <v>4158</v>
      </c>
      <c r="B1987" s="244" t="s">
        <v>5000</v>
      </c>
      <c r="C1987" s="244" t="s">
        <v>5003</v>
      </c>
      <c r="D1987" s="154" t="s">
        <v>443</v>
      </c>
      <c r="E1987" s="250"/>
      <c r="F1987" s="154" t="str">
        <f t="array" ref="F1987">XLOOKUP(Cover!$D$12,$S$1:$AA$1,$S1987:$AA1987)</f>
        <v>Mandatory</v>
      </c>
      <c r="G1987" s="153" t="s">
        <v>5004</v>
      </c>
      <c r="H1987" s="154" t="s">
        <v>398</v>
      </c>
      <c r="I1987" s="154" t="s">
        <v>389</v>
      </c>
      <c r="J1987" s="154" t="s">
        <v>445</v>
      </c>
      <c r="K1987" s="154"/>
      <c r="L1987" s="154" t="str">
        <f t="shared" si="1"/>
        <v/>
      </c>
      <c r="M1987" s="248" t="str">
        <f>IFERROR(__xludf.DUMMYFUNCTION("VLOOKUP(C1987,IMPORTRANGE(""https://docs.google.com/spreadsheets/d/1P8eX0NWBhUPS_hvzA11R6jkTNFrPrRYIx_dX_hYbxrk/edit?resourcekey=0-iw9bsKY2OqkUHCFMkCar3A&amp;gid=2055363397#gid=2055363397"",""MTR!C:O""),11,false)"),"PMW-IMS")</f>
        <v>PMW-IMS</v>
      </c>
      <c r="N1987" s="248" t="str">
        <f>IFERROR(__xludf.DUMMYFUNCTION("VLOOKUP(C1987,IMPORTRANGE(""https://docs.google.com/spreadsheets/d/1ihFlp3_ePlYtFuPbUNbYj1muErVpI73WHXbEwJDIA7Q/edit#gid=1493122344"",""MTR!C:O""),8,false)"),"Complies")</f>
        <v>Complies</v>
      </c>
      <c r="O1987" s="241" t="str">
        <f>IFERROR(__xludf.DUMMYFUNCTION("VLOOKUP(C1987,IMPORTRANGE(""https://docs.google.com/spreadsheets/d/1P8eX0NWBhUPS_hvzA11R6jkTNFrPrRYIx_dX_hYbxrk/edit?resourcekey=0-iw9bsKY2OqkUHCFMkCar3A&amp;gid=2055363397#gid=2055363397"",""MTR!C:O""),9,false)"),"")</f>
        <v/>
      </c>
      <c r="P1987" s="241"/>
      <c r="Q1987" s="251" t="s">
        <v>445</v>
      </c>
      <c r="R1987" s="241"/>
      <c r="S1987" s="154" t="s">
        <v>60</v>
      </c>
      <c r="T1987" s="154" t="s">
        <v>60</v>
      </c>
      <c r="U1987" s="154" t="s">
        <v>60</v>
      </c>
      <c r="V1987" s="154" t="s">
        <v>60</v>
      </c>
      <c r="W1987" s="154" t="s">
        <v>60</v>
      </c>
      <c r="X1987" s="154" t="s">
        <v>60</v>
      </c>
      <c r="Y1987" s="154" t="s">
        <v>64</v>
      </c>
      <c r="Z1987" s="154" t="s">
        <v>64</v>
      </c>
      <c r="AA1987" s="154" t="s">
        <v>64</v>
      </c>
      <c r="AB1987" s="154"/>
      <c r="AC1987" s="242" t="b">
        <f t="shared" si="2"/>
        <v>1</v>
      </c>
      <c r="AD1987" s="154" t="s">
        <v>391</v>
      </c>
      <c r="AE1987" s="243" t="b">
        <f t="shared" si="3"/>
        <v>0</v>
      </c>
      <c r="AF1987" s="154"/>
      <c r="AG1987" s="243" t="b">
        <f t="shared" si="7"/>
        <v>0</v>
      </c>
      <c r="AH1987" s="154"/>
      <c r="AI1987" s="243" t="str">
        <f t="shared" si="5"/>
        <v>N/A</v>
      </c>
      <c r="AJ1987" s="157" t="str">
        <f t="shared" si="6"/>
        <v/>
      </c>
    </row>
    <row r="1988" ht="12.75" customHeight="1">
      <c r="A1988" s="244" t="s">
        <v>4158</v>
      </c>
      <c r="B1988" s="244" t="s">
        <v>5000</v>
      </c>
      <c r="C1988" s="244" t="s">
        <v>5005</v>
      </c>
      <c r="D1988" s="154" t="s">
        <v>2326</v>
      </c>
      <c r="E1988" s="250"/>
      <c r="F1988" s="154" t="str">
        <f t="array" ref="F1988">XLOOKUP(Cover!$D$12,$S$1:$AA$1,$S1988:$AA1988)</f>
        <v>Mandatory</v>
      </c>
      <c r="G1988" s="153" t="s">
        <v>5006</v>
      </c>
      <c r="H1988" s="154" t="s">
        <v>398</v>
      </c>
      <c r="I1988" s="154" t="s">
        <v>389</v>
      </c>
      <c r="J1988" s="247" t="s">
        <v>445</v>
      </c>
      <c r="K1988" s="154"/>
      <c r="L1988" s="154" t="str">
        <f t="shared" si="1"/>
        <v/>
      </c>
      <c r="M1988" s="248" t="str">
        <f>IFERROR(__xludf.DUMMYFUNCTION("VLOOKUP(C1988,IMPORTRANGE(""https://docs.google.com/spreadsheets/d/1P8eX0NWBhUPS_hvzA11R6jkTNFrPrRYIx_dX_hYbxrk/edit?resourcekey=0-iw9bsKY2OqkUHCFMkCar3A&amp;gid=2055363397#gid=2055363397"",""MTR!C:O""),11,false)"),"PMW-IMS")</f>
        <v>PMW-IMS</v>
      </c>
      <c r="N1988" s="248" t="str">
        <f>IFERROR(__xludf.DUMMYFUNCTION("VLOOKUP(C1988,IMPORTRANGE(""https://docs.google.com/spreadsheets/d/1ihFlp3_ePlYtFuPbUNbYj1muErVpI73WHXbEwJDIA7Q/edit#gid=1493122344"",""MTR!C:O""),8,false)"),"Complies")</f>
        <v>Complies</v>
      </c>
      <c r="O1988" s="241" t="str">
        <f>IFERROR(__xludf.DUMMYFUNCTION("VLOOKUP(C1988,IMPORTRANGE(""https://docs.google.com/spreadsheets/d/1P8eX0NWBhUPS_hvzA11R6jkTNFrPrRYIx_dX_hYbxrk/edit?resourcekey=0-iw9bsKY2OqkUHCFMkCar3A&amp;gid=2055363397#gid=2055363397"",""MTR!C:O""),9,false)"),"")</f>
        <v/>
      </c>
      <c r="P1988" s="241"/>
      <c r="Q1988" s="251" t="s">
        <v>445</v>
      </c>
      <c r="R1988" s="241"/>
      <c r="S1988" s="154" t="s">
        <v>60</v>
      </c>
      <c r="T1988" s="154" t="s">
        <v>60</v>
      </c>
      <c r="U1988" s="154" t="s">
        <v>60</v>
      </c>
      <c r="V1988" s="154" t="s">
        <v>60</v>
      </c>
      <c r="W1988" s="154" t="s">
        <v>60</v>
      </c>
      <c r="X1988" s="154" t="s">
        <v>60</v>
      </c>
      <c r="Y1988" s="154" t="s">
        <v>64</v>
      </c>
      <c r="Z1988" s="154" t="s">
        <v>64</v>
      </c>
      <c r="AA1988" s="154" t="s">
        <v>64</v>
      </c>
      <c r="AB1988" s="154"/>
      <c r="AC1988" s="242" t="b">
        <f t="shared" si="2"/>
        <v>1</v>
      </c>
      <c r="AD1988" s="154" t="s">
        <v>391</v>
      </c>
      <c r="AE1988" s="243" t="b">
        <f t="shared" si="3"/>
        <v>0</v>
      </c>
      <c r="AF1988" s="154"/>
      <c r="AG1988" s="243" t="b">
        <f t="shared" si="7"/>
        <v>0</v>
      </c>
      <c r="AH1988" s="154"/>
      <c r="AI1988" s="243" t="str">
        <f t="shared" si="5"/>
        <v>N/A</v>
      </c>
      <c r="AJ1988" s="157" t="str">
        <f t="shared" si="6"/>
        <v/>
      </c>
    </row>
    <row r="1989" ht="12.75" customHeight="1">
      <c r="A1989" s="244" t="s">
        <v>4158</v>
      </c>
      <c r="B1989" s="244" t="s">
        <v>5000</v>
      </c>
      <c r="C1989" s="244" t="s">
        <v>5007</v>
      </c>
      <c r="D1989" s="154" t="s">
        <v>422</v>
      </c>
      <c r="E1989" s="250"/>
      <c r="F1989" s="154" t="str">
        <f t="array" ref="F1989">XLOOKUP(Cover!$D$12,$S$1:$AA$1,$S1989:$AA1989)</f>
        <v>Recommended</v>
      </c>
      <c r="G1989" s="154" t="s">
        <v>5008</v>
      </c>
      <c r="H1989" s="154"/>
      <c r="I1989" s="154" t="s">
        <v>420</v>
      </c>
      <c r="J1989" s="247" t="s">
        <v>445</v>
      </c>
      <c r="K1989" s="154"/>
      <c r="L1989" s="154" t="str">
        <f t="shared" si="1"/>
        <v/>
      </c>
      <c r="M1989" s="248" t="str">
        <f>IFERROR(__xludf.DUMMYFUNCTION("VLOOKUP(C1989,IMPORTRANGE(""https://docs.google.com/spreadsheets/d/1P8eX0NWBhUPS_hvzA11R6jkTNFrPrRYIx_dX_hYbxrk/edit?resourcekey=0-iw9bsKY2OqkUHCFMkCar3A&amp;gid=2055363397#gid=2055363397"",""MTR!C:O""),11,false)"),"PMW-IMS")</f>
        <v>PMW-IMS</v>
      </c>
      <c r="N1989" s="248" t="str">
        <f>IFERROR(__xludf.DUMMYFUNCTION("VLOOKUP(C1989,IMPORTRANGE(""https://docs.google.com/spreadsheets/d/1ihFlp3_ePlYtFuPbUNbYj1muErVpI73WHXbEwJDIA7Q/edit#gid=1493122344"",""MTR!C:O""),8,false)"),"Complies")</f>
        <v>Complies</v>
      </c>
      <c r="O1989" s="241" t="str">
        <f>IFERROR(__xludf.DUMMYFUNCTION("VLOOKUP(C1989,IMPORTRANGE(""https://docs.google.com/spreadsheets/d/1P8eX0NWBhUPS_hvzA11R6jkTNFrPrRYIx_dX_hYbxrk/edit?resourcekey=0-iw9bsKY2OqkUHCFMkCar3A&amp;gid=2055363397#gid=2055363397"",""MTR!C:O""),9,false)"),"")</f>
        <v/>
      </c>
      <c r="P1989" s="241"/>
      <c r="Q1989" s="251" t="s">
        <v>445</v>
      </c>
      <c r="R1989" s="241"/>
      <c r="S1989" s="154" t="s">
        <v>64</v>
      </c>
      <c r="T1989" s="154" t="s">
        <v>64</v>
      </c>
      <c r="U1989" s="154" t="s">
        <v>64</v>
      </c>
      <c r="V1989" s="154" t="s">
        <v>64</v>
      </c>
      <c r="W1989" s="154" t="s">
        <v>64</v>
      </c>
      <c r="X1989" s="154" t="s">
        <v>64</v>
      </c>
      <c r="Y1989" s="154" t="s">
        <v>64</v>
      </c>
      <c r="Z1989" s="154" t="s">
        <v>64</v>
      </c>
      <c r="AA1989" s="154" t="s">
        <v>64</v>
      </c>
      <c r="AB1989" s="154"/>
      <c r="AC1989" s="242" t="b">
        <f t="shared" si="2"/>
        <v>1</v>
      </c>
      <c r="AD1989" s="154" t="s">
        <v>391</v>
      </c>
      <c r="AE1989" s="243" t="b">
        <f t="shared" si="3"/>
        <v>0</v>
      </c>
      <c r="AF1989" s="154"/>
      <c r="AG1989" s="243" t="b">
        <f t="shared" si="7"/>
        <v>0</v>
      </c>
      <c r="AH1989" s="154"/>
      <c r="AI1989" s="243" t="str">
        <f t="shared" si="5"/>
        <v>N/A</v>
      </c>
      <c r="AJ1989" s="157" t="str">
        <f t="shared" si="6"/>
        <v/>
      </c>
    </row>
    <row r="1990" ht="12.75" customHeight="1">
      <c r="A1990" s="244" t="s">
        <v>4158</v>
      </c>
      <c r="B1990" s="244" t="s">
        <v>5000</v>
      </c>
      <c r="C1990" s="244" t="s">
        <v>5009</v>
      </c>
      <c r="D1990" s="154" t="s">
        <v>422</v>
      </c>
      <c r="E1990" s="250"/>
      <c r="F1990" s="154" t="str">
        <f t="array" ref="F1990">XLOOKUP(Cover!$D$12,$S$1:$AA$1,$S1990:$AA1990)</f>
        <v>Recommended</v>
      </c>
      <c r="G1990" s="154" t="s">
        <v>5010</v>
      </c>
      <c r="H1990" s="154"/>
      <c r="I1990" s="154" t="s">
        <v>420</v>
      </c>
      <c r="J1990" s="247" t="s">
        <v>445</v>
      </c>
      <c r="K1990" s="154"/>
      <c r="L1990" s="154" t="str">
        <f t="shared" si="1"/>
        <v/>
      </c>
      <c r="M1990" s="248" t="str">
        <f>IFERROR(__xludf.DUMMYFUNCTION("VLOOKUP(C1990,IMPORTRANGE(""https://docs.google.com/spreadsheets/d/1P8eX0NWBhUPS_hvzA11R6jkTNFrPrRYIx_dX_hYbxrk/edit?resourcekey=0-iw9bsKY2OqkUHCFMkCar3A&amp;gid=2055363397#gid=2055363397"",""MTR!C:O""),11,false)"),"PMW-IMS")</f>
        <v>PMW-IMS</v>
      </c>
      <c r="N1990" s="248" t="str">
        <f>IFERROR(__xludf.DUMMYFUNCTION("VLOOKUP(C1990,IMPORTRANGE(""https://docs.google.com/spreadsheets/d/1ihFlp3_ePlYtFuPbUNbYj1muErVpI73WHXbEwJDIA7Q/edit#gid=1493122344"",""MTR!C:O""),8,false)"),"Complies")</f>
        <v>Complies</v>
      </c>
      <c r="O1990" s="241" t="str">
        <f>IFERROR(__xludf.DUMMYFUNCTION("VLOOKUP(C1990,IMPORTRANGE(""https://docs.google.com/spreadsheets/d/1P8eX0NWBhUPS_hvzA11R6jkTNFrPrRYIx_dX_hYbxrk/edit?resourcekey=0-iw9bsKY2OqkUHCFMkCar3A&amp;gid=2055363397#gid=2055363397"",""MTR!C:O""),9,false)"),"")</f>
        <v/>
      </c>
      <c r="P1990" s="241"/>
      <c r="Q1990" s="251" t="s">
        <v>445</v>
      </c>
      <c r="R1990" s="241"/>
      <c r="S1990" s="154" t="s">
        <v>64</v>
      </c>
      <c r="T1990" s="154" t="s">
        <v>64</v>
      </c>
      <c r="U1990" s="154" t="s">
        <v>64</v>
      </c>
      <c r="V1990" s="154" t="s">
        <v>64</v>
      </c>
      <c r="W1990" s="154" t="s">
        <v>64</v>
      </c>
      <c r="X1990" s="154" t="s">
        <v>64</v>
      </c>
      <c r="Y1990" s="154" t="s">
        <v>64</v>
      </c>
      <c r="Z1990" s="154" t="s">
        <v>64</v>
      </c>
      <c r="AA1990" s="154" t="s">
        <v>64</v>
      </c>
      <c r="AB1990" s="154"/>
      <c r="AC1990" s="242" t="b">
        <f t="shared" si="2"/>
        <v>1</v>
      </c>
      <c r="AD1990" s="154" t="s">
        <v>391</v>
      </c>
      <c r="AE1990" s="243" t="b">
        <f t="shared" si="3"/>
        <v>0</v>
      </c>
      <c r="AF1990" s="154"/>
      <c r="AG1990" s="243" t="b">
        <f t="shared" si="7"/>
        <v>0</v>
      </c>
      <c r="AH1990" s="154"/>
      <c r="AI1990" s="243" t="str">
        <f t="shared" si="5"/>
        <v>N/A</v>
      </c>
      <c r="AJ1990" s="157" t="str">
        <f t="shared" si="6"/>
        <v/>
      </c>
    </row>
    <row r="1991" ht="12.75" customHeight="1">
      <c r="A1991" s="244" t="s">
        <v>4158</v>
      </c>
      <c r="B1991" s="244" t="s">
        <v>5000</v>
      </c>
      <c r="C1991" s="244" t="s">
        <v>5011</v>
      </c>
      <c r="D1991" s="154" t="s">
        <v>2746</v>
      </c>
      <c r="E1991" s="250"/>
      <c r="F1991" s="154" t="str">
        <f t="array" ref="F1991">XLOOKUP(Cover!$D$12,$S$1:$AA$1,$S1991:$AA1991)</f>
        <v>Mandatory</v>
      </c>
      <c r="G1991" s="153" t="s">
        <v>5012</v>
      </c>
      <c r="H1991" s="154" t="s">
        <v>398</v>
      </c>
      <c r="I1991" s="154" t="s">
        <v>389</v>
      </c>
      <c r="J1991" s="247" t="s">
        <v>445</v>
      </c>
      <c r="K1991" s="154"/>
      <c r="L1991" s="154" t="str">
        <f t="shared" si="1"/>
        <v/>
      </c>
      <c r="M1991" s="248" t="str">
        <f>IFERROR(__xludf.DUMMYFUNCTION("VLOOKUP(C1991,IMPORTRANGE(""https://docs.google.com/spreadsheets/d/1P8eX0NWBhUPS_hvzA11R6jkTNFrPrRYIx_dX_hYbxrk/edit?resourcekey=0-iw9bsKY2OqkUHCFMkCar3A&amp;gid=2055363397#gid=2055363397"",""MTR!C:O""),11,false)"),"PMW-IMS")</f>
        <v>PMW-IMS</v>
      </c>
      <c r="N1991" s="248" t="str">
        <f>IFERROR(__xludf.DUMMYFUNCTION("VLOOKUP(C1991,IMPORTRANGE(""https://docs.google.com/spreadsheets/d/1ihFlp3_ePlYtFuPbUNbYj1muErVpI73WHXbEwJDIA7Q/edit#gid=1493122344"",""MTR!C:O""),8,false)"),"Complies")</f>
        <v>Complies</v>
      </c>
      <c r="O1991" s="241" t="str">
        <f>IFERROR(__xludf.DUMMYFUNCTION("VLOOKUP(C1991,IMPORTRANGE(""https://docs.google.com/spreadsheets/d/1P8eX0NWBhUPS_hvzA11R6jkTNFrPrRYIx_dX_hYbxrk/edit?resourcekey=0-iw9bsKY2OqkUHCFMkCar3A&amp;gid=2055363397#gid=2055363397"",""MTR!C:O""),9,false)"),"")</f>
        <v/>
      </c>
      <c r="P1991" s="241"/>
      <c r="Q1991" s="251" t="s">
        <v>445</v>
      </c>
      <c r="R1991" s="241"/>
      <c r="S1991" s="154" t="s">
        <v>60</v>
      </c>
      <c r="T1991" s="154" t="s">
        <v>60</v>
      </c>
      <c r="U1991" s="154" t="s">
        <v>60</v>
      </c>
      <c r="V1991" s="154" t="s">
        <v>60</v>
      </c>
      <c r="W1991" s="154" t="s">
        <v>60</v>
      </c>
      <c r="X1991" s="154" t="s">
        <v>60</v>
      </c>
      <c r="Y1991" s="154" t="s">
        <v>64</v>
      </c>
      <c r="Z1991" s="154" t="s">
        <v>64</v>
      </c>
      <c r="AA1991" s="154" t="s">
        <v>64</v>
      </c>
      <c r="AB1991" s="154"/>
      <c r="AC1991" s="242" t="b">
        <f t="shared" si="2"/>
        <v>1</v>
      </c>
      <c r="AD1991" s="154" t="s">
        <v>391</v>
      </c>
      <c r="AE1991" s="243" t="b">
        <f t="shared" si="3"/>
        <v>0</v>
      </c>
      <c r="AF1991" s="154"/>
      <c r="AG1991" s="243" t="b">
        <f t="shared" si="7"/>
        <v>0</v>
      </c>
      <c r="AH1991" s="154"/>
      <c r="AI1991" s="243" t="str">
        <f t="shared" si="5"/>
        <v>N/A</v>
      </c>
      <c r="AJ1991" s="157" t="str">
        <f t="shared" si="6"/>
        <v/>
      </c>
    </row>
    <row r="1992" ht="12.75" customHeight="1">
      <c r="A1992" s="244" t="s">
        <v>4158</v>
      </c>
      <c r="B1992" s="244" t="s">
        <v>5000</v>
      </c>
      <c r="C1992" s="244" t="s">
        <v>5013</v>
      </c>
      <c r="D1992" s="154" t="s">
        <v>459</v>
      </c>
      <c r="E1992" s="250" t="s">
        <v>489</v>
      </c>
      <c r="F1992" s="154" t="str">
        <f t="array" ref="F1992">XLOOKUP(Cover!$D$12,$S$1:$AA$1,$S1992:$AA1992)</f>
        <v>Mandatory</v>
      </c>
      <c r="G1992" s="254" t="s">
        <v>5014</v>
      </c>
      <c r="H1992" s="154" t="s">
        <v>144</v>
      </c>
      <c r="I1992" s="154" t="s">
        <v>389</v>
      </c>
      <c r="J1992" s="247" t="s">
        <v>445</v>
      </c>
      <c r="K1992" s="154"/>
      <c r="L1992" s="154" t="str">
        <f t="shared" si="1"/>
        <v/>
      </c>
      <c r="M1992" s="249" t="s">
        <v>2302</v>
      </c>
      <c r="N1992" s="248" t="str">
        <f>IFERROR(__xludf.DUMMYFUNCTION("VLOOKUP(C1992,IMPORTRANGE(""https://docs.google.com/spreadsheets/d/1ihFlp3_ePlYtFuPbUNbYj1muErVpI73WHXbEwJDIA7Q/edit#gid=1493122344"",""MTR!C:O""),8,false)"),"Complies")</f>
        <v>Complies</v>
      </c>
      <c r="O1992" s="241" t="str">
        <f>IFERROR(__xludf.DUMMYFUNCTION("VLOOKUP(C1992,IMPORTRANGE(""https://docs.google.com/spreadsheets/d/1P8eX0NWBhUPS_hvzA11R6jkTNFrPrRYIx_dX_hYbxrk/edit?resourcekey=0-iw9bsKY2OqkUHCFMkCar3A&amp;gid=2055363397#gid=2055363397"",""MTR!C:O""),9,false)"),"")</f>
        <v/>
      </c>
      <c r="P1992" s="241"/>
      <c r="Q1992" s="251" t="s">
        <v>445</v>
      </c>
      <c r="R1992" s="241"/>
      <c r="S1992" s="154" t="s">
        <v>60</v>
      </c>
      <c r="T1992" s="154" t="s">
        <v>60</v>
      </c>
      <c r="U1992" s="154" t="s">
        <v>60</v>
      </c>
      <c r="V1992" s="154" t="s">
        <v>60</v>
      </c>
      <c r="W1992" s="154" t="s">
        <v>60</v>
      </c>
      <c r="X1992" s="154" t="s">
        <v>60</v>
      </c>
      <c r="Y1992" s="154" t="s">
        <v>64</v>
      </c>
      <c r="Z1992" s="154" t="s">
        <v>64</v>
      </c>
      <c r="AA1992" s="154" t="s">
        <v>64</v>
      </c>
      <c r="AB1992" s="154"/>
      <c r="AC1992" s="242" t="b">
        <f t="shared" si="2"/>
        <v>1</v>
      </c>
      <c r="AD1992" s="154" t="s">
        <v>391</v>
      </c>
      <c r="AE1992" s="243" t="b">
        <f t="shared" si="3"/>
        <v>0</v>
      </c>
      <c r="AF1992" s="154"/>
      <c r="AG1992" s="243" t="b">
        <f t="shared" si="7"/>
        <v>0</v>
      </c>
      <c r="AH1992" s="154" t="s">
        <v>637</v>
      </c>
      <c r="AI1992" s="243" t="str">
        <f t="shared" si="5"/>
        <v>Complies</v>
      </c>
      <c r="AJ1992" s="157" t="str">
        <f t="shared" si="6"/>
        <v/>
      </c>
    </row>
    <row r="1993" ht="12.75" customHeight="1">
      <c r="A1993" s="238" t="s">
        <v>4158</v>
      </c>
      <c r="B1993" s="238" t="s">
        <v>5000</v>
      </c>
      <c r="C1993" s="238" t="s">
        <v>5015</v>
      </c>
      <c r="D1993" s="240"/>
      <c r="E1993" s="252" t="s">
        <v>489</v>
      </c>
      <c r="F1993" s="154" t="str">
        <f t="array" ref="F1993">XLOOKUP(Cover!$D$12,$S$1:$AA$1,$S1993:$AA1993)</f>
        <v>Heading</v>
      </c>
      <c r="G1993" s="239" t="s">
        <v>5016</v>
      </c>
      <c r="H1993" s="240"/>
      <c r="I1993" s="240" t="s">
        <v>420</v>
      </c>
      <c r="J1993" s="262"/>
      <c r="K1993" s="240"/>
      <c r="L1993" s="154" t="str">
        <f t="shared" si="1"/>
        <v/>
      </c>
      <c r="M1993" s="241" t="str">
        <f>IFERROR(__xludf.DUMMYFUNCTION("VLOOKUP(C1993,IMPORTRANGE(""https://docs.google.com/spreadsheets/d/1P8eX0NWBhUPS_hvzA11R6jkTNFrPrRYIx_dX_hYbxrk/edit?resourcekey=0-iw9bsKY2OqkUHCFMkCar3A&amp;gid=2055363397#gid=2055363397"",""MTR!C:O""),11,false)"),"")</f>
        <v/>
      </c>
      <c r="N1993" s="241" t="str">
        <f>IFERROR(__xludf.DUMMYFUNCTION("VLOOKUP(C1993,IMPORTRANGE(""https://docs.google.com/spreadsheets/d/1ihFlp3_ePlYtFuPbUNbYj1muErVpI73WHXbEwJDIA7Q/edit#gid=1493122344"",""MTR!C:O""),8,false)"),"")</f>
        <v/>
      </c>
      <c r="O1993" s="241" t="str">
        <f>IFERROR(__xludf.DUMMYFUNCTION("VLOOKUP(C1993,IMPORTRANGE(""https://docs.google.com/spreadsheets/d/1P8eX0NWBhUPS_hvzA11R6jkTNFrPrRYIx_dX_hYbxrk/edit?resourcekey=0-iw9bsKY2OqkUHCFMkCar3A&amp;gid=2055363397#gid=2055363397"",""MTR!C:O""),9,false)"),"")</f>
        <v/>
      </c>
      <c r="P1993" s="241"/>
      <c r="Q1993" s="251"/>
      <c r="R1993" s="241"/>
      <c r="S1993" s="240" t="s">
        <v>390</v>
      </c>
      <c r="T1993" s="240" t="s">
        <v>390</v>
      </c>
      <c r="U1993" s="240" t="s">
        <v>390</v>
      </c>
      <c r="V1993" s="240" t="s">
        <v>390</v>
      </c>
      <c r="W1993" s="240" t="s">
        <v>390</v>
      </c>
      <c r="X1993" s="240" t="s">
        <v>390</v>
      </c>
      <c r="Y1993" s="240" t="s">
        <v>390</v>
      </c>
      <c r="Z1993" s="240" t="s">
        <v>390</v>
      </c>
      <c r="AA1993" s="240" t="s">
        <v>390</v>
      </c>
      <c r="AB1993" s="240"/>
      <c r="AC1993" s="242" t="b">
        <f t="shared" si="2"/>
        <v>0</v>
      </c>
      <c r="AD1993" s="240" t="s">
        <v>391</v>
      </c>
      <c r="AE1993" s="243" t="b">
        <f t="shared" si="3"/>
        <v>0</v>
      </c>
      <c r="AF1993" s="240"/>
      <c r="AG1993" s="243" t="b">
        <f t="shared" si="7"/>
        <v>0</v>
      </c>
      <c r="AH1993" s="240"/>
      <c r="AI1993" s="243" t="str">
        <f t="shared" si="5"/>
        <v>N/A</v>
      </c>
      <c r="AJ1993" s="157" t="str">
        <f t="shared" si="6"/>
        <v/>
      </c>
    </row>
    <row r="1994" ht="12.75" customHeight="1">
      <c r="A1994" s="244" t="s">
        <v>4158</v>
      </c>
      <c r="B1994" s="244" t="s">
        <v>5000</v>
      </c>
      <c r="C1994" s="244" t="s">
        <v>5017</v>
      </c>
      <c r="D1994" s="154" t="s">
        <v>1211</v>
      </c>
      <c r="E1994" s="250" t="s">
        <v>489</v>
      </c>
      <c r="F1994" s="154" t="str">
        <f t="array" ref="F1994">XLOOKUP(Cover!$D$12,$S$1:$AA$1,$S1994:$AA1994)</f>
        <v>Mandatory</v>
      </c>
      <c r="G1994" s="154" t="s">
        <v>5018</v>
      </c>
      <c r="H1994" s="154" t="s">
        <v>4279</v>
      </c>
      <c r="I1994" s="154" t="s">
        <v>420</v>
      </c>
      <c r="J1994" s="154" t="s">
        <v>445</v>
      </c>
      <c r="K1994" s="154"/>
      <c r="L1994" s="154" t="str">
        <f t="shared" si="1"/>
        <v/>
      </c>
      <c r="M1994" s="248" t="str">
        <f>IFERROR(__xludf.DUMMYFUNCTION("VLOOKUP(C1994,IMPORTRANGE(""https://docs.google.com/spreadsheets/d/1P8eX0NWBhUPS_hvzA11R6jkTNFrPrRYIx_dX_hYbxrk/edit?resourcekey=0-iw9bsKY2OqkUHCFMkCar3A&amp;gid=2055363397#gid=2055363397"",""MTR!C:O""),11,false)"),"PMW-IMS")</f>
        <v>PMW-IMS</v>
      </c>
      <c r="N1994" s="248" t="str">
        <f>IFERROR(__xludf.DUMMYFUNCTION("VLOOKUP(C1994,IMPORTRANGE(""https://docs.google.com/spreadsheets/d/1ihFlp3_ePlYtFuPbUNbYj1muErVpI73WHXbEwJDIA7Q/edit#gid=1493122344"",""MTR!C:O""),8,false)"),"Complies")</f>
        <v>Complies</v>
      </c>
      <c r="O1994" s="241" t="str">
        <f>IFERROR(__xludf.DUMMYFUNCTION("VLOOKUP(C1994,IMPORTRANGE(""https://docs.google.com/spreadsheets/d/1P8eX0NWBhUPS_hvzA11R6jkTNFrPrRYIx_dX_hYbxrk/edit?resourcekey=0-iw9bsKY2OqkUHCFMkCar3A&amp;gid=2055363397#gid=2055363397"",""MTR!C:O""),9,false)"),"")</f>
        <v/>
      </c>
      <c r="P1994" s="241"/>
      <c r="Q1994" s="251" t="s">
        <v>445</v>
      </c>
      <c r="R1994" s="241"/>
      <c r="S1994" s="154" t="s">
        <v>60</v>
      </c>
      <c r="T1994" s="154" t="s">
        <v>60</v>
      </c>
      <c r="U1994" s="154" t="s">
        <v>60</v>
      </c>
      <c r="V1994" s="154" t="s">
        <v>60</v>
      </c>
      <c r="W1994" s="154" t="s">
        <v>60</v>
      </c>
      <c r="X1994" s="154" t="s">
        <v>60</v>
      </c>
      <c r="Y1994" s="154" t="s">
        <v>64</v>
      </c>
      <c r="Z1994" s="154" t="s">
        <v>64</v>
      </c>
      <c r="AA1994" s="154" t="s">
        <v>64</v>
      </c>
      <c r="AB1994" s="154"/>
      <c r="AC1994" s="242" t="b">
        <f t="shared" si="2"/>
        <v>1</v>
      </c>
      <c r="AD1994" s="154" t="s">
        <v>391</v>
      </c>
      <c r="AE1994" s="243" t="b">
        <f t="shared" si="3"/>
        <v>0</v>
      </c>
      <c r="AF1994" s="154"/>
      <c r="AG1994" s="243" t="b">
        <f t="shared" si="7"/>
        <v>0</v>
      </c>
      <c r="AH1994" s="154"/>
      <c r="AI1994" s="243" t="str">
        <f t="shared" si="5"/>
        <v>N/A</v>
      </c>
      <c r="AJ1994" s="157" t="str">
        <f t="shared" si="6"/>
        <v/>
      </c>
    </row>
    <row r="1995" ht="12.75" customHeight="1">
      <c r="A1995" s="244" t="s">
        <v>4158</v>
      </c>
      <c r="B1995" s="244" t="s">
        <v>5000</v>
      </c>
      <c r="C1995" s="244" t="s">
        <v>5019</v>
      </c>
      <c r="D1995" s="154" t="s">
        <v>1211</v>
      </c>
      <c r="E1995" s="250" t="s">
        <v>489</v>
      </c>
      <c r="F1995" s="154" t="str">
        <f t="array" ref="F1995">XLOOKUP(Cover!$D$12,$S$1:$AA$1,$S1995:$AA1995)</f>
        <v>Mandatory</v>
      </c>
      <c r="G1995" s="154" t="s">
        <v>5020</v>
      </c>
      <c r="H1995" s="154" t="s">
        <v>4279</v>
      </c>
      <c r="I1995" s="154" t="s">
        <v>420</v>
      </c>
      <c r="J1995" s="247" t="s">
        <v>445</v>
      </c>
      <c r="K1995" s="154"/>
      <c r="L1995" s="154" t="str">
        <f t="shared" si="1"/>
        <v/>
      </c>
      <c r="M1995" s="248" t="str">
        <f>IFERROR(__xludf.DUMMYFUNCTION("VLOOKUP(C1995,IMPORTRANGE(""https://docs.google.com/spreadsheets/d/1P8eX0NWBhUPS_hvzA11R6jkTNFrPrRYIx_dX_hYbxrk/edit?resourcekey=0-iw9bsKY2OqkUHCFMkCar3A&amp;gid=2055363397#gid=2055363397"",""MTR!C:O""),11,false)"),"PMW-IMS")</f>
        <v>PMW-IMS</v>
      </c>
      <c r="N1995" s="248" t="str">
        <f>IFERROR(__xludf.DUMMYFUNCTION("VLOOKUP(C1995,IMPORTRANGE(""https://docs.google.com/spreadsheets/d/1ihFlp3_ePlYtFuPbUNbYj1muErVpI73WHXbEwJDIA7Q/edit#gid=1493122344"",""MTR!C:O""),8,false)"),"Complies")</f>
        <v>Complies</v>
      </c>
      <c r="O1995" s="241" t="str">
        <f>IFERROR(__xludf.DUMMYFUNCTION("VLOOKUP(C1995,IMPORTRANGE(""https://docs.google.com/spreadsheets/d/1P8eX0NWBhUPS_hvzA11R6jkTNFrPrRYIx_dX_hYbxrk/edit?resourcekey=0-iw9bsKY2OqkUHCFMkCar3A&amp;gid=2055363397#gid=2055363397"",""MTR!C:O""),9,false)"),"")</f>
        <v/>
      </c>
      <c r="P1995" s="241"/>
      <c r="Q1995" s="251" t="s">
        <v>445</v>
      </c>
      <c r="R1995" s="241"/>
      <c r="S1995" s="154" t="s">
        <v>60</v>
      </c>
      <c r="T1995" s="154" t="s">
        <v>60</v>
      </c>
      <c r="U1995" s="154" t="s">
        <v>60</v>
      </c>
      <c r="V1995" s="154" t="s">
        <v>60</v>
      </c>
      <c r="W1995" s="154" t="s">
        <v>60</v>
      </c>
      <c r="X1995" s="154" t="s">
        <v>60</v>
      </c>
      <c r="Y1995" s="154" t="s">
        <v>64</v>
      </c>
      <c r="Z1995" s="154" t="s">
        <v>64</v>
      </c>
      <c r="AA1995" s="154" t="s">
        <v>64</v>
      </c>
      <c r="AB1995" s="154"/>
      <c r="AC1995" s="242" t="b">
        <f t="shared" si="2"/>
        <v>1</v>
      </c>
      <c r="AD1995" s="154" t="s">
        <v>391</v>
      </c>
      <c r="AE1995" s="243" t="b">
        <f t="shared" si="3"/>
        <v>0</v>
      </c>
      <c r="AF1995" s="154"/>
      <c r="AG1995" s="243" t="b">
        <f t="shared" si="7"/>
        <v>0</v>
      </c>
      <c r="AH1995" s="154"/>
      <c r="AI1995" s="243" t="str">
        <f t="shared" si="5"/>
        <v>N/A</v>
      </c>
      <c r="AJ1995" s="157" t="str">
        <f t="shared" si="6"/>
        <v/>
      </c>
    </row>
    <row r="1996" ht="12.75" customHeight="1">
      <c r="A1996" s="244" t="s">
        <v>4158</v>
      </c>
      <c r="B1996" s="244" t="s">
        <v>5000</v>
      </c>
      <c r="C1996" s="244" t="s">
        <v>5021</v>
      </c>
      <c r="D1996" s="154" t="s">
        <v>1211</v>
      </c>
      <c r="E1996" s="250" t="s">
        <v>489</v>
      </c>
      <c r="F1996" s="154" t="str">
        <f t="array" ref="F1996">XLOOKUP(Cover!$D$12,$S$1:$AA$1,$S1996:$AA1996)</f>
        <v>Mandatory</v>
      </c>
      <c r="G1996" s="154" t="s">
        <v>5022</v>
      </c>
      <c r="H1996" s="154" t="s">
        <v>4279</v>
      </c>
      <c r="I1996" s="154" t="s">
        <v>420</v>
      </c>
      <c r="J1996" s="247" t="s">
        <v>445</v>
      </c>
      <c r="K1996" s="154"/>
      <c r="L1996" s="154" t="str">
        <f t="shared" si="1"/>
        <v/>
      </c>
      <c r="M1996" s="248" t="str">
        <f>IFERROR(__xludf.DUMMYFUNCTION("VLOOKUP(C1996,IMPORTRANGE(""https://docs.google.com/spreadsheets/d/1P8eX0NWBhUPS_hvzA11R6jkTNFrPrRYIx_dX_hYbxrk/edit?resourcekey=0-iw9bsKY2OqkUHCFMkCar3A&amp;gid=2055363397#gid=2055363397"",""MTR!C:O""),11,false)"),"PMW-IMS")</f>
        <v>PMW-IMS</v>
      </c>
      <c r="N1996" s="248" t="str">
        <f>IFERROR(__xludf.DUMMYFUNCTION("VLOOKUP(C1996,IMPORTRANGE(""https://docs.google.com/spreadsheets/d/1ihFlp3_ePlYtFuPbUNbYj1muErVpI73WHXbEwJDIA7Q/edit#gid=1493122344"",""MTR!C:O""),8,false)"),"Complies")</f>
        <v>Complies</v>
      </c>
      <c r="O1996" s="241" t="str">
        <f>IFERROR(__xludf.DUMMYFUNCTION("VLOOKUP(C1996,IMPORTRANGE(""https://docs.google.com/spreadsheets/d/1P8eX0NWBhUPS_hvzA11R6jkTNFrPrRYIx_dX_hYbxrk/edit?resourcekey=0-iw9bsKY2OqkUHCFMkCar3A&amp;gid=2055363397#gid=2055363397"",""MTR!C:O""),9,false)"),"")</f>
        <v/>
      </c>
      <c r="P1996" s="241"/>
      <c r="Q1996" s="251" t="s">
        <v>445</v>
      </c>
      <c r="R1996" s="241"/>
      <c r="S1996" s="154" t="s">
        <v>60</v>
      </c>
      <c r="T1996" s="154" t="s">
        <v>60</v>
      </c>
      <c r="U1996" s="154" t="s">
        <v>60</v>
      </c>
      <c r="V1996" s="154" t="s">
        <v>60</v>
      </c>
      <c r="W1996" s="154" t="s">
        <v>60</v>
      </c>
      <c r="X1996" s="154" t="s">
        <v>60</v>
      </c>
      <c r="Y1996" s="154" t="s">
        <v>64</v>
      </c>
      <c r="Z1996" s="154" t="s">
        <v>64</v>
      </c>
      <c r="AA1996" s="154" t="s">
        <v>64</v>
      </c>
      <c r="AB1996" s="154"/>
      <c r="AC1996" s="242" t="b">
        <f t="shared" si="2"/>
        <v>1</v>
      </c>
      <c r="AD1996" s="154" t="s">
        <v>391</v>
      </c>
      <c r="AE1996" s="243" t="b">
        <f t="shared" si="3"/>
        <v>0</v>
      </c>
      <c r="AF1996" s="154"/>
      <c r="AG1996" s="243" t="b">
        <f t="shared" si="7"/>
        <v>0</v>
      </c>
      <c r="AH1996" s="154"/>
      <c r="AI1996" s="243" t="str">
        <f t="shared" si="5"/>
        <v>N/A</v>
      </c>
      <c r="AJ1996" s="157" t="str">
        <f t="shared" si="6"/>
        <v/>
      </c>
    </row>
    <row r="1997" ht="12.75" customHeight="1">
      <c r="A1997" s="244" t="s">
        <v>4158</v>
      </c>
      <c r="B1997" s="244" t="s">
        <v>5000</v>
      </c>
      <c r="C1997" s="244" t="s">
        <v>5023</v>
      </c>
      <c r="D1997" s="154" t="s">
        <v>1211</v>
      </c>
      <c r="E1997" s="250" t="s">
        <v>489</v>
      </c>
      <c r="F1997" s="154" t="str">
        <f t="array" ref="F1997">XLOOKUP(Cover!$D$12,$S$1:$AA$1,$S1997:$AA1997)</f>
        <v>Mandatory</v>
      </c>
      <c r="G1997" s="154" t="s">
        <v>5024</v>
      </c>
      <c r="H1997" s="154" t="s">
        <v>4279</v>
      </c>
      <c r="I1997" s="154" t="s">
        <v>420</v>
      </c>
      <c r="J1997" s="247" t="s">
        <v>445</v>
      </c>
      <c r="K1997" s="154"/>
      <c r="L1997" s="154" t="str">
        <f t="shared" si="1"/>
        <v/>
      </c>
      <c r="M1997" s="248" t="str">
        <f>IFERROR(__xludf.DUMMYFUNCTION("VLOOKUP(C1997,IMPORTRANGE(""https://docs.google.com/spreadsheets/d/1P8eX0NWBhUPS_hvzA11R6jkTNFrPrRYIx_dX_hYbxrk/edit?resourcekey=0-iw9bsKY2OqkUHCFMkCar3A&amp;gid=2055363397#gid=2055363397"",""MTR!C:O""),11,false)"),"PMW-IMS")</f>
        <v>PMW-IMS</v>
      </c>
      <c r="N1997" s="248" t="str">
        <f>IFERROR(__xludf.DUMMYFUNCTION("VLOOKUP(C1997,IMPORTRANGE(""https://docs.google.com/spreadsheets/d/1ihFlp3_ePlYtFuPbUNbYj1muErVpI73WHXbEwJDIA7Q/edit#gid=1493122344"",""MTR!C:O""),8,false)"),"Complies")</f>
        <v>Complies</v>
      </c>
      <c r="O1997" s="241" t="str">
        <f>IFERROR(__xludf.DUMMYFUNCTION("VLOOKUP(C1997,IMPORTRANGE(""https://docs.google.com/spreadsheets/d/1P8eX0NWBhUPS_hvzA11R6jkTNFrPrRYIx_dX_hYbxrk/edit?resourcekey=0-iw9bsKY2OqkUHCFMkCar3A&amp;gid=2055363397#gid=2055363397"",""MTR!C:O""),9,false)"),"")</f>
        <v/>
      </c>
      <c r="P1997" s="241"/>
      <c r="Q1997" s="251" t="s">
        <v>445</v>
      </c>
      <c r="R1997" s="241"/>
      <c r="S1997" s="154" t="s">
        <v>60</v>
      </c>
      <c r="T1997" s="154" t="s">
        <v>60</v>
      </c>
      <c r="U1997" s="154" t="s">
        <v>60</v>
      </c>
      <c r="V1997" s="154" t="s">
        <v>60</v>
      </c>
      <c r="W1997" s="154" t="s">
        <v>60</v>
      </c>
      <c r="X1997" s="154" t="s">
        <v>60</v>
      </c>
      <c r="Y1997" s="154" t="s">
        <v>64</v>
      </c>
      <c r="Z1997" s="154" t="s">
        <v>64</v>
      </c>
      <c r="AA1997" s="154" t="s">
        <v>64</v>
      </c>
      <c r="AB1997" s="154"/>
      <c r="AC1997" s="242" t="b">
        <f t="shared" si="2"/>
        <v>1</v>
      </c>
      <c r="AD1997" s="154" t="s">
        <v>391</v>
      </c>
      <c r="AE1997" s="243" t="b">
        <f t="shared" si="3"/>
        <v>0</v>
      </c>
      <c r="AF1997" s="154"/>
      <c r="AG1997" s="243" t="b">
        <f t="shared" si="7"/>
        <v>0</v>
      </c>
      <c r="AH1997" s="154"/>
      <c r="AI1997" s="243" t="str">
        <f t="shared" si="5"/>
        <v>N/A</v>
      </c>
      <c r="AJ1997" s="157" t="str">
        <f t="shared" si="6"/>
        <v/>
      </c>
    </row>
    <row r="1998" ht="12.75" customHeight="1">
      <c r="A1998" s="244" t="s">
        <v>4158</v>
      </c>
      <c r="B1998" s="244" t="s">
        <v>5000</v>
      </c>
      <c r="C1998" s="244" t="s">
        <v>5025</v>
      </c>
      <c r="D1998" s="154" t="s">
        <v>422</v>
      </c>
      <c r="E1998" s="250" t="s">
        <v>489</v>
      </c>
      <c r="F1998" s="154" t="str">
        <f t="array" ref="F1998">XLOOKUP(Cover!$D$12,$S$1:$AA$1,$S1998:$AA1998)</f>
        <v>Mandatory</v>
      </c>
      <c r="G1998" s="154" t="s">
        <v>5026</v>
      </c>
      <c r="H1998" s="154" t="s">
        <v>4279</v>
      </c>
      <c r="I1998" s="154" t="s">
        <v>420</v>
      </c>
      <c r="J1998" s="154" t="s">
        <v>445</v>
      </c>
      <c r="K1998" s="154" t="s">
        <v>5027</v>
      </c>
      <c r="L1998" s="154" t="str">
        <f t="shared" si="1"/>
        <v/>
      </c>
      <c r="M1998" s="248" t="str">
        <f>IFERROR(__xludf.DUMMYFUNCTION("VLOOKUP(C1998,IMPORTRANGE(""https://docs.google.com/spreadsheets/d/1P8eX0NWBhUPS_hvzA11R6jkTNFrPrRYIx_dX_hYbxrk/edit?resourcekey=0-iw9bsKY2OqkUHCFMkCar3A&amp;gid=2055363397#gid=2055363397"",""MTR!C:O""),11,false)"),"PMW-IMS")</f>
        <v>PMW-IMS</v>
      </c>
      <c r="N1998" s="248" t="str">
        <f>IFERROR(__xludf.DUMMYFUNCTION("VLOOKUP(C1998,IMPORTRANGE(""https://docs.google.com/spreadsheets/d/1ihFlp3_ePlYtFuPbUNbYj1muErVpI73WHXbEwJDIA7Q/edit#gid=1493122344"",""MTR!C:O""),8,false)"),"Complies")</f>
        <v>Complies</v>
      </c>
      <c r="O1998" s="248" t="str">
        <f>IFERROR(__xludf.DUMMYFUNCTION("VLOOKUP(C1998,IMPORTRANGE(""https://docs.google.com/spreadsheets/d/1P8eX0NWBhUPS_hvzA11R6jkTNFrPrRYIx_dX_hYbxrk/edit?resourcekey=0-iw9bsKY2OqkUHCFMkCar3A&amp;gid=2055363397#gid=2055363397"",""MTR!C:O""),9,false)"),"No 1-1 mapping config, but can disable SMS over IP in Shannon IMS's SMS_OVER_IP")</f>
        <v>No 1-1 mapping config, but can disable SMS over IP in Shannon IMS's SMS_OVER_IP</v>
      </c>
      <c r="P1998" s="248"/>
      <c r="Q1998" s="249" t="s">
        <v>445</v>
      </c>
      <c r="R1998" s="249" t="s">
        <v>5027</v>
      </c>
      <c r="S1998" s="154" t="s">
        <v>60</v>
      </c>
      <c r="T1998" s="154" t="s">
        <v>60</v>
      </c>
      <c r="U1998" s="154" t="s">
        <v>60</v>
      </c>
      <c r="V1998" s="154" t="s">
        <v>60</v>
      </c>
      <c r="W1998" s="154" t="s">
        <v>60</v>
      </c>
      <c r="X1998" s="154" t="s">
        <v>60</v>
      </c>
      <c r="Y1998" s="154" t="s">
        <v>64</v>
      </c>
      <c r="Z1998" s="154" t="s">
        <v>64</v>
      </c>
      <c r="AA1998" s="154" t="s">
        <v>64</v>
      </c>
      <c r="AB1998" s="154"/>
      <c r="AC1998" s="242" t="b">
        <f t="shared" si="2"/>
        <v>1</v>
      </c>
      <c r="AD1998" s="154" t="s">
        <v>391</v>
      </c>
      <c r="AE1998" s="243" t="b">
        <f t="shared" si="3"/>
        <v>0</v>
      </c>
      <c r="AF1998" s="154"/>
      <c r="AG1998" s="243" t="b">
        <f t="shared" si="7"/>
        <v>0</v>
      </c>
      <c r="AH1998" s="154"/>
      <c r="AI1998" s="243" t="str">
        <f t="shared" si="5"/>
        <v>N/A</v>
      </c>
      <c r="AJ1998" s="157" t="str">
        <f t="shared" si="6"/>
        <v/>
      </c>
    </row>
    <row r="1999" ht="12.75" customHeight="1">
      <c r="A1999" s="238" t="s">
        <v>4158</v>
      </c>
      <c r="B1999" s="238" t="s">
        <v>5028</v>
      </c>
      <c r="C1999" s="238" t="s">
        <v>5029</v>
      </c>
      <c r="D1999" s="240"/>
      <c r="E1999" s="252" t="s">
        <v>489</v>
      </c>
      <c r="F1999" s="154" t="str">
        <f t="array" ref="F1999">XLOOKUP(Cover!$D$12,$S$1:$AA$1,$S1999:$AA1999)</f>
        <v>Heading</v>
      </c>
      <c r="G1999" s="239" t="s">
        <v>5030</v>
      </c>
      <c r="H1999" s="240"/>
      <c r="I1999" s="240" t="s">
        <v>420</v>
      </c>
      <c r="J1999" s="262"/>
      <c r="K1999" s="262"/>
      <c r="L1999" s="154" t="str">
        <f t="shared" si="1"/>
        <v/>
      </c>
      <c r="M1999" s="241" t="str">
        <f>IFERROR(__xludf.DUMMYFUNCTION("VLOOKUP(C1999,IMPORTRANGE(""https://docs.google.com/spreadsheets/d/1P8eX0NWBhUPS_hvzA11R6jkTNFrPrRYIx_dX_hYbxrk/edit?resourcekey=0-iw9bsKY2OqkUHCFMkCar3A&amp;gid=2055363397#gid=2055363397"",""MTR!C:O""),11,false)"),"")</f>
        <v/>
      </c>
      <c r="N1999" s="241" t="str">
        <f>IFERROR(__xludf.DUMMYFUNCTION("VLOOKUP(C1999,IMPORTRANGE(""https://docs.google.com/spreadsheets/d/1ihFlp3_ePlYtFuPbUNbYj1muErVpI73WHXbEwJDIA7Q/edit#gid=1493122344"",""MTR!C:O""),8,false)"),"")</f>
        <v/>
      </c>
      <c r="O1999" s="241" t="str">
        <f>IFERROR(__xludf.DUMMYFUNCTION("VLOOKUP(C1999,IMPORTRANGE(""https://docs.google.com/spreadsheets/d/1P8eX0NWBhUPS_hvzA11R6jkTNFrPrRYIx_dX_hYbxrk/edit?resourcekey=0-iw9bsKY2OqkUHCFMkCar3A&amp;gid=2055363397#gid=2055363397"",""MTR!C:O""),9,false)"),"")</f>
        <v/>
      </c>
      <c r="P1999" s="241"/>
      <c r="Q1999" s="251"/>
      <c r="R1999" s="251"/>
      <c r="S1999" s="240" t="s">
        <v>390</v>
      </c>
      <c r="T1999" s="240" t="s">
        <v>390</v>
      </c>
      <c r="U1999" s="240" t="s">
        <v>390</v>
      </c>
      <c r="V1999" s="240" t="s">
        <v>390</v>
      </c>
      <c r="W1999" s="240" t="s">
        <v>390</v>
      </c>
      <c r="X1999" s="240" t="s">
        <v>390</v>
      </c>
      <c r="Y1999" s="240" t="s">
        <v>390</v>
      </c>
      <c r="Z1999" s="240" t="s">
        <v>390</v>
      </c>
      <c r="AA1999" s="240" t="s">
        <v>390</v>
      </c>
      <c r="AB1999" s="240"/>
      <c r="AC1999" s="242" t="b">
        <f t="shared" si="2"/>
        <v>0</v>
      </c>
      <c r="AD1999" s="240" t="s">
        <v>391</v>
      </c>
      <c r="AE1999" s="243" t="b">
        <f t="shared" si="3"/>
        <v>0</v>
      </c>
      <c r="AF1999" s="240"/>
      <c r="AG1999" s="243" t="b">
        <f t="shared" si="7"/>
        <v>0</v>
      </c>
      <c r="AH1999" s="240"/>
      <c r="AI1999" s="243" t="str">
        <f t="shared" si="5"/>
        <v>N/A</v>
      </c>
      <c r="AJ1999" s="157" t="str">
        <f t="shared" si="6"/>
        <v/>
      </c>
    </row>
    <row r="2000" ht="12.75" customHeight="1">
      <c r="A2000" s="238" t="s">
        <v>4158</v>
      </c>
      <c r="B2000" s="238" t="s">
        <v>5028</v>
      </c>
      <c r="C2000" s="238" t="s">
        <v>5031</v>
      </c>
      <c r="D2000" s="240"/>
      <c r="E2000" s="252" t="s">
        <v>489</v>
      </c>
      <c r="F2000" s="154" t="str">
        <f t="array" ref="F2000">XLOOKUP(Cover!$D$12,$S$1:$AA$1,$S2000:$AA2000)</f>
        <v>Heading</v>
      </c>
      <c r="G2000" s="239" t="s">
        <v>5032</v>
      </c>
      <c r="H2000" s="240"/>
      <c r="I2000" s="240" t="s">
        <v>420</v>
      </c>
      <c r="J2000" s="240"/>
      <c r="K2000" s="240"/>
      <c r="L2000" s="154" t="str">
        <f t="shared" si="1"/>
        <v/>
      </c>
      <c r="M2000" s="241" t="str">
        <f>IFERROR(__xludf.DUMMYFUNCTION("VLOOKUP(C2000,IMPORTRANGE(""https://docs.google.com/spreadsheets/d/1P8eX0NWBhUPS_hvzA11R6jkTNFrPrRYIx_dX_hYbxrk/edit?resourcekey=0-iw9bsKY2OqkUHCFMkCar3A&amp;gid=2055363397#gid=2055363397"",""MTR!C:O""),11,false)"),"")</f>
        <v/>
      </c>
      <c r="N2000" s="241" t="str">
        <f>IFERROR(__xludf.DUMMYFUNCTION("VLOOKUP(C2000,IMPORTRANGE(""https://docs.google.com/spreadsheets/d/1ihFlp3_ePlYtFuPbUNbYj1muErVpI73WHXbEwJDIA7Q/edit#gid=1493122344"",""MTR!C:O""),8,false)"),"")</f>
        <v/>
      </c>
      <c r="O2000" s="241" t="str">
        <f>IFERROR(__xludf.DUMMYFUNCTION("VLOOKUP(C2000,IMPORTRANGE(""https://docs.google.com/spreadsheets/d/1P8eX0NWBhUPS_hvzA11R6jkTNFrPrRYIx_dX_hYbxrk/edit?resourcekey=0-iw9bsKY2OqkUHCFMkCar3A&amp;gid=2055363397#gid=2055363397"",""MTR!C:O""),9,false)"),"")</f>
        <v/>
      </c>
      <c r="P2000" s="241"/>
      <c r="Q2000" s="241"/>
      <c r="R2000" s="241"/>
      <c r="S2000" s="240" t="s">
        <v>390</v>
      </c>
      <c r="T2000" s="240" t="s">
        <v>390</v>
      </c>
      <c r="U2000" s="240" t="s">
        <v>390</v>
      </c>
      <c r="V2000" s="240" t="s">
        <v>390</v>
      </c>
      <c r="W2000" s="240" t="s">
        <v>390</v>
      </c>
      <c r="X2000" s="240" t="s">
        <v>390</v>
      </c>
      <c r="Y2000" s="240" t="s">
        <v>390</v>
      </c>
      <c r="Z2000" s="240" t="s">
        <v>390</v>
      </c>
      <c r="AA2000" s="240" t="s">
        <v>390</v>
      </c>
      <c r="AB2000" s="240"/>
      <c r="AC2000" s="242" t="b">
        <f t="shared" si="2"/>
        <v>0</v>
      </c>
      <c r="AD2000" s="240" t="s">
        <v>391</v>
      </c>
      <c r="AE2000" s="243" t="b">
        <f t="shared" si="3"/>
        <v>0</v>
      </c>
      <c r="AF2000" s="240"/>
      <c r="AG2000" s="243" t="b">
        <f t="shared" si="7"/>
        <v>0</v>
      </c>
      <c r="AH2000" s="240"/>
      <c r="AI2000" s="243" t="str">
        <f t="shared" si="5"/>
        <v>N/A</v>
      </c>
      <c r="AJ2000" s="157" t="str">
        <f t="shared" si="6"/>
        <v/>
      </c>
    </row>
    <row r="2001" ht="12.75" customHeight="1">
      <c r="A2001" s="244" t="s">
        <v>4158</v>
      </c>
      <c r="B2001" s="244" t="s">
        <v>5028</v>
      </c>
      <c r="C2001" s="244" t="s">
        <v>5033</v>
      </c>
      <c r="D2001" s="154" t="s">
        <v>492</v>
      </c>
      <c r="E2001" s="250" t="s">
        <v>489</v>
      </c>
      <c r="F2001" s="154" t="str">
        <f t="array" ref="F2001">XLOOKUP(Cover!$D$12,$S$1:$AA$1,$S2001:$AA2001)</f>
        <v>Information</v>
      </c>
      <c r="G2001" s="154" t="s">
        <v>5034</v>
      </c>
      <c r="H2001" s="154"/>
      <c r="I2001" s="154" t="s">
        <v>420</v>
      </c>
      <c r="J2001" s="154" t="s">
        <v>445</v>
      </c>
      <c r="K2001" s="154" t="s">
        <v>5035</v>
      </c>
      <c r="L2001" s="154" t="str">
        <f t="shared" si="1"/>
        <v/>
      </c>
      <c r="M2001" s="248" t="str">
        <f>IFERROR(__xludf.DUMMYFUNCTION("VLOOKUP(C2001,IMPORTRANGE(""https://docs.google.com/spreadsheets/d/1P8eX0NWBhUPS_hvzA11R6jkTNFrPrRYIx_dX_hYbxrk/edit?resourcekey=0-iw9bsKY2OqkUHCFMkCar3A&amp;gid=2055363397#gid=2055363397"",""MTR!C:O""),11,false)"),"PMW-IMS")</f>
        <v>PMW-IMS</v>
      </c>
      <c r="N2001" s="248" t="str">
        <f>IFERROR(__xludf.DUMMYFUNCTION("VLOOKUP(C2001,IMPORTRANGE(""https://docs.google.com/spreadsheets/d/1ihFlp3_ePlYtFuPbUNbYj1muErVpI73WHXbEwJDIA7Q/edit#gid=1493122344"",""MTR!C:O""),8,false)"),"Complies")</f>
        <v>Complies</v>
      </c>
      <c r="O2001" s="248" t="str">
        <f>IFERROR(__xludf.DUMMYFUNCTION("VLOOKUP(C2001,IMPORTRANGE(""https://docs.google.com/spreadsheets/d/1P8eX0NWBhUPS_hvzA11R6jkTNFrPrRYIx_dX_hYbxrk/edit?resourcekey=0-iw9bsKY2OqkUHCFMkCar3A&amp;gid=2055363397#gid=2055363397"",""MTR!C:O""),9,false)"),"Google RCS")</f>
        <v>Google RCS</v>
      </c>
      <c r="P2001" s="248"/>
      <c r="Q2001" s="249" t="s">
        <v>445</v>
      </c>
      <c r="R2001" s="249" t="s">
        <v>5035</v>
      </c>
      <c r="S2001" s="154" t="s">
        <v>66</v>
      </c>
      <c r="T2001" s="154" t="s">
        <v>66</v>
      </c>
      <c r="U2001" s="154" t="s">
        <v>66</v>
      </c>
      <c r="V2001" s="154" t="s">
        <v>66</v>
      </c>
      <c r="W2001" s="154" t="s">
        <v>66</v>
      </c>
      <c r="X2001" s="154" t="s">
        <v>66</v>
      </c>
      <c r="Y2001" s="154" t="s">
        <v>66</v>
      </c>
      <c r="Z2001" s="154" t="s">
        <v>66</v>
      </c>
      <c r="AA2001" s="154" t="s">
        <v>66</v>
      </c>
      <c r="AB2001" s="154"/>
      <c r="AC2001" s="242" t="b">
        <f t="shared" si="2"/>
        <v>1</v>
      </c>
      <c r="AD2001" s="154" t="s">
        <v>445</v>
      </c>
      <c r="AE2001" s="243" t="b">
        <f t="shared" si="3"/>
        <v>0</v>
      </c>
      <c r="AF2001" s="154"/>
      <c r="AG2001" s="243" t="b">
        <f t="shared" si="7"/>
        <v>0</v>
      </c>
      <c r="AH2001" s="154"/>
      <c r="AI2001" s="243" t="str">
        <f t="shared" si="5"/>
        <v>N/A</v>
      </c>
      <c r="AJ2001" s="157" t="str">
        <f t="shared" si="6"/>
        <v/>
      </c>
    </row>
    <row r="2002" ht="12.75" customHeight="1">
      <c r="A2002" s="244" t="s">
        <v>4158</v>
      </c>
      <c r="B2002" s="244" t="s">
        <v>5028</v>
      </c>
      <c r="C2002" s="244" t="s">
        <v>5036</v>
      </c>
      <c r="D2002" s="154" t="s">
        <v>542</v>
      </c>
      <c r="E2002" s="250" t="s">
        <v>489</v>
      </c>
      <c r="F2002" s="154" t="str">
        <f t="array" ref="F2002">XLOOKUP(Cover!$D$12,$S$1:$AA$1,$S2002:$AA2002)</f>
        <v>Mandatory</v>
      </c>
      <c r="G2002" s="154" t="s">
        <v>5037</v>
      </c>
      <c r="H2002" s="154" t="s">
        <v>5038</v>
      </c>
      <c r="I2002" s="154" t="s">
        <v>420</v>
      </c>
      <c r="J2002" s="154" t="s">
        <v>516</v>
      </c>
      <c r="K2002" s="154"/>
      <c r="L2002" s="154" t="str">
        <f t="shared" si="1"/>
        <v/>
      </c>
      <c r="M2002" s="248" t="str">
        <f>IFERROR(__xludf.DUMMYFUNCTION("VLOOKUP(C2002,IMPORTRANGE(""https://docs.google.com/spreadsheets/d/1P8eX0NWBhUPS_hvzA11R6jkTNFrPrRYIx_dX_hYbxrk/edit?resourcekey=0-iw9bsKY2OqkUHCFMkCar3A&amp;gid=2055363397#gid=2055363397"",""MTR!C:O""),11,false)"),"PMW-IMS")</f>
        <v>PMW-IMS</v>
      </c>
      <c r="N2002" s="248" t="str">
        <f>IFERROR(__xludf.DUMMYFUNCTION("VLOOKUP(C2002,IMPORTRANGE(""https://docs.google.com/spreadsheets/d/1ihFlp3_ePlYtFuPbUNbYj1muErVpI73WHXbEwJDIA7Q/edit#gid=1493122344"",""MTR!C:O""),8,false)"),"Does Not Comply")</f>
        <v>Does Not Comply</v>
      </c>
      <c r="O2002" s="241" t="str">
        <f>IFERROR(__xludf.DUMMYFUNCTION("VLOOKUP(C2002,IMPORTRANGE(""https://docs.google.com/spreadsheets/d/1P8eX0NWBhUPS_hvzA11R6jkTNFrPrRYIx_dX_hYbxrk/edit?resourcekey=0-iw9bsKY2OqkUHCFMkCar3A&amp;gid=2055363397#gid=2055363397"",""MTR!C:O""),9,false)"),"")</f>
        <v/>
      </c>
      <c r="P2002" s="241"/>
      <c r="Q2002" s="251" t="s">
        <v>516</v>
      </c>
      <c r="R2002" s="251"/>
      <c r="S2002" s="154" t="s">
        <v>60</v>
      </c>
      <c r="T2002" s="154" t="s">
        <v>60</v>
      </c>
      <c r="U2002" s="154" t="s">
        <v>60</v>
      </c>
      <c r="V2002" s="154" t="s">
        <v>60</v>
      </c>
      <c r="W2002" s="154" t="s">
        <v>60</v>
      </c>
      <c r="X2002" s="154" t="s">
        <v>60</v>
      </c>
      <c r="Y2002" s="154" t="s">
        <v>60</v>
      </c>
      <c r="Z2002" s="154" t="s">
        <v>60</v>
      </c>
      <c r="AA2002" s="154" t="s">
        <v>60</v>
      </c>
      <c r="AB2002" s="154"/>
      <c r="AC2002" s="242" t="b">
        <f t="shared" si="2"/>
        <v>1</v>
      </c>
      <c r="AD2002" s="154" t="s">
        <v>391</v>
      </c>
      <c r="AE2002" s="243" t="b">
        <f t="shared" si="3"/>
        <v>0</v>
      </c>
      <c r="AF2002" s="154"/>
      <c r="AG2002" s="243" t="b">
        <f t="shared" si="7"/>
        <v>0</v>
      </c>
      <c r="AH2002" s="154"/>
      <c r="AI2002" s="243" t="str">
        <f t="shared" si="5"/>
        <v>N/A</v>
      </c>
      <c r="AJ2002" s="157" t="str">
        <f t="shared" si="6"/>
        <v/>
      </c>
    </row>
    <row r="2003" ht="12.75" customHeight="1">
      <c r="A2003" s="244" t="s">
        <v>4158</v>
      </c>
      <c r="B2003" s="244" t="s">
        <v>5028</v>
      </c>
      <c r="C2003" s="244" t="s">
        <v>5039</v>
      </c>
      <c r="D2003" s="154" t="s">
        <v>477</v>
      </c>
      <c r="E2003" s="250" t="s">
        <v>489</v>
      </c>
      <c r="F2003" s="154" t="str">
        <f t="array" ref="F2003">XLOOKUP(Cover!$D$12,$S$1:$AA$1,$S2003:$AA2003)</f>
        <v>Comments Vendor</v>
      </c>
      <c r="G2003" s="154" t="s">
        <v>5040</v>
      </c>
      <c r="H2003" s="154" t="s">
        <v>5041</v>
      </c>
      <c r="I2003" s="154" t="s">
        <v>420</v>
      </c>
      <c r="J2003" s="154"/>
      <c r="K2003" s="154" t="s">
        <v>5042</v>
      </c>
      <c r="L2003" s="154" t="str">
        <f t="shared" si="1"/>
        <v/>
      </c>
      <c r="M2003" s="241" t="str">
        <f>IFERROR(__xludf.DUMMYFUNCTION("VLOOKUP(C2003,IMPORTRANGE(""https://docs.google.com/spreadsheets/d/1P8eX0NWBhUPS_hvzA11R6jkTNFrPrRYIx_dX_hYbxrk/edit?resourcekey=0-iw9bsKY2OqkUHCFMkCar3A&amp;gid=2055363397#gid=2055363397"",""MTR!C:O""),11,false)"),"")</f>
        <v/>
      </c>
      <c r="N2003" s="241" t="str">
        <f>IFERROR(__xludf.DUMMYFUNCTION("VLOOKUP(C2003,IMPORTRANGE(""https://docs.google.com/spreadsheets/d/1ihFlp3_ePlYtFuPbUNbYj1muErVpI73WHXbEwJDIA7Q/edit#gid=1493122344"",""MTR!C:O""),8,false)"),"")</f>
        <v/>
      </c>
      <c r="O2003" s="248" t="str">
        <f>IFERROR(__xludf.DUMMYFUNCTION("VLOOKUP(C2003,IMPORTRANGE(""https://docs.google.com/spreadsheets/d/1P8eX0NWBhUPS_hvzA11R6jkTNFrPrRYIx_dX_hYbxrk/edit?resourcekey=0-iw9bsKY2OqkUHCFMkCar3A&amp;gid=2055363397#gid=2055363397"",""MTR!C:O""),9,false)"),"Default 300KB")</f>
        <v>Default 300KB</v>
      </c>
      <c r="P2003" s="248"/>
      <c r="Q2003" s="249"/>
      <c r="R2003" s="249" t="s">
        <v>5042</v>
      </c>
      <c r="S2003" s="154" t="s">
        <v>62</v>
      </c>
      <c r="T2003" s="154" t="s">
        <v>62</v>
      </c>
      <c r="U2003" s="154" t="s">
        <v>62</v>
      </c>
      <c r="V2003" s="154" t="s">
        <v>62</v>
      </c>
      <c r="W2003" s="154" t="s">
        <v>62</v>
      </c>
      <c r="X2003" s="154" t="s">
        <v>62</v>
      </c>
      <c r="Y2003" s="154" t="s">
        <v>62</v>
      </c>
      <c r="Z2003" s="154" t="s">
        <v>62</v>
      </c>
      <c r="AA2003" s="154" t="s">
        <v>62</v>
      </c>
      <c r="AB2003" s="154"/>
      <c r="AC2003" s="242" t="b">
        <f t="shared" si="2"/>
        <v>1</v>
      </c>
      <c r="AD2003" s="154" t="s">
        <v>68</v>
      </c>
      <c r="AE2003" s="243" t="b">
        <f t="shared" si="3"/>
        <v>1</v>
      </c>
      <c r="AF2003" s="154"/>
      <c r="AG2003" s="243" t="b">
        <f t="shared" si="7"/>
        <v>0</v>
      </c>
      <c r="AH2003" s="154"/>
      <c r="AI2003" s="243" t="str">
        <f t="shared" si="5"/>
        <v>N/A</v>
      </c>
      <c r="AJ2003" s="157" t="str">
        <f t="shared" si="6"/>
        <v/>
      </c>
    </row>
    <row r="2004" ht="12.75" customHeight="1">
      <c r="A2004" s="244" t="s">
        <v>4158</v>
      </c>
      <c r="B2004" s="244" t="s">
        <v>5028</v>
      </c>
      <c r="C2004" s="244" t="s">
        <v>5043</v>
      </c>
      <c r="D2004" s="154" t="s">
        <v>2326</v>
      </c>
      <c r="E2004" s="250" t="s">
        <v>489</v>
      </c>
      <c r="F2004" s="154" t="str">
        <f t="array" ref="F2004">XLOOKUP(Cover!$D$12,$S$1:$AA$1,$S2004:$AA2004)</f>
        <v>Mandatory</v>
      </c>
      <c r="G2004" s="154" t="s">
        <v>5044</v>
      </c>
      <c r="H2004" s="154" t="s">
        <v>5041</v>
      </c>
      <c r="I2004" s="154" t="s">
        <v>420</v>
      </c>
      <c r="J2004" s="154" t="s">
        <v>445</v>
      </c>
      <c r="K2004" s="154"/>
      <c r="L2004" s="154" t="str">
        <f t="shared" si="1"/>
        <v/>
      </c>
      <c r="M2004" s="248" t="str">
        <f>IFERROR(__xludf.DUMMYFUNCTION("VLOOKUP(C2004,IMPORTRANGE(""https://docs.google.com/spreadsheets/d/1P8eX0NWBhUPS_hvzA11R6jkTNFrPrRYIx_dX_hYbxrk/edit?resourcekey=0-iw9bsKY2OqkUHCFMkCar3A&amp;gid=2055363397#gid=2055363397"",""MTR!C:O""),11,false)"),"PMW-IMS")</f>
        <v>PMW-IMS</v>
      </c>
      <c r="N2004" s="248" t="str">
        <f>IFERROR(__xludf.DUMMYFUNCTION("VLOOKUP(C2004,IMPORTRANGE(""https://docs.google.com/spreadsheets/d/1ihFlp3_ePlYtFuPbUNbYj1muErVpI73WHXbEwJDIA7Q/edit#gid=1493122344"",""MTR!C:O""),8,false)"),"Complies")</f>
        <v>Complies</v>
      </c>
      <c r="O2004" s="241" t="str">
        <f>IFERROR(__xludf.DUMMYFUNCTION("VLOOKUP(C2004,IMPORTRANGE(""https://docs.google.com/spreadsheets/d/1P8eX0NWBhUPS_hvzA11R6jkTNFrPrRYIx_dX_hYbxrk/edit?resourcekey=0-iw9bsKY2OqkUHCFMkCar3A&amp;gid=2055363397#gid=2055363397"",""MTR!C:O""),9,false)"),"")</f>
        <v/>
      </c>
      <c r="P2004" s="241"/>
      <c r="Q2004" s="251" t="s">
        <v>445</v>
      </c>
      <c r="R2004" s="251"/>
      <c r="S2004" s="154" t="s">
        <v>60</v>
      </c>
      <c r="T2004" s="154" t="s">
        <v>60</v>
      </c>
      <c r="U2004" s="154" t="s">
        <v>60</v>
      </c>
      <c r="V2004" s="154" t="s">
        <v>60</v>
      </c>
      <c r="W2004" s="154" t="s">
        <v>60</v>
      </c>
      <c r="X2004" s="154" t="s">
        <v>60</v>
      </c>
      <c r="Y2004" s="154" t="s">
        <v>60</v>
      </c>
      <c r="Z2004" s="154" t="s">
        <v>60</v>
      </c>
      <c r="AA2004" s="154" t="s">
        <v>60</v>
      </c>
      <c r="AB2004" s="154"/>
      <c r="AC2004" s="242" t="b">
        <f t="shared" si="2"/>
        <v>1</v>
      </c>
      <c r="AD2004" s="154" t="s">
        <v>391</v>
      </c>
      <c r="AE2004" s="243" t="b">
        <f t="shared" si="3"/>
        <v>0</v>
      </c>
      <c r="AF2004" s="154"/>
      <c r="AG2004" s="243" t="b">
        <f t="shared" si="7"/>
        <v>0</v>
      </c>
      <c r="AH2004" s="154"/>
      <c r="AI2004" s="243" t="str">
        <f t="shared" si="5"/>
        <v>N/A</v>
      </c>
      <c r="AJ2004" s="157" t="str">
        <f t="shared" si="6"/>
        <v/>
      </c>
    </row>
    <row r="2005" ht="12.75" customHeight="1">
      <c r="A2005" s="244" t="s">
        <v>4158</v>
      </c>
      <c r="B2005" s="244" t="s">
        <v>5028</v>
      </c>
      <c r="C2005" s="244" t="s">
        <v>5045</v>
      </c>
      <c r="D2005" s="154" t="s">
        <v>2746</v>
      </c>
      <c r="E2005" s="250" t="s">
        <v>489</v>
      </c>
      <c r="F2005" s="154" t="str">
        <f t="array" ref="F2005">XLOOKUP(Cover!$D$12,$S$1:$AA$1,$S2005:$AA2005)</f>
        <v>Mandatory</v>
      </c>
      <c r="G2005" s="154" t="s">
        <v>5046</v>
      </c>
      <c r="H2005" s="154" t="s">
        <v>5041</v>
      </c>
      <c r="I2005" s="154" t="s">
        <v>420</v>
      </c>
      <c r="J2005" s="154" t="s">
        <v>445</v>
      </c>
      <c r="K2005" s="154"/>
      <c r="L2005" s="154" t="str">
        <f t="shared" si="1"/>
        <v/>
      </c>
      <c r="M2005" s="248" t="str">
        <f>IFERROR(__xludf.DUMMYFUNCTION("VLOOKUP(C2005,IMPORTRANGE(""https://docs.google.com/spreadsheets/d/1P8eX0NWBhUPS_hvzA11R6jkTNFrPrRYIx_dX_hYbxrk/edit?resourcekey=0-iw9bsKY2OqkUHCFMkCar3A&amp;gid=2055363397#gid=2055363397"",""MTR!C:O""),11,false)"),"PMW-IMS")</f>
        <v>PMW-IMS</v>
      </c>
      <c r="N2005" s="248" t="str">
        <f>IFERROR(__xludf.DUMMYFUNCTION("VLOOKUP(C2005,IMPORTRANGE(""https://docs.google.com/spreadsheets/d/1ihFlp3_ePlYtFuPbUNbYj1muErVpI73WHXbEwJDIA7Q/edit#gid=1493122344"",""MTR!C:O""),8,false)"),"Complies")</f>
        <v>Complies</v>
      </c>
      <c r="O2005" s="241" t="str">
        <f>IFERROR(__xludf.DUMMYFUNCTION("VLOOKUP(C2005,IMPORTRANGE(""https://docs.google.com/spreadsheets/d/1P8eX0NWBhUPS_hvzA11R6jkTNFrPrRYIx_dX_hYbxrk/edit?resourcekey=0-iw9bsKY2OqkUHCFMkCar3A&amp;gid=2055363397#gid=2055363397"",""MTR!C:O""),9,false)"),"")</f>
        <v/>
      </c>
      <c r="P2005" s="241"/>
      <c r="Q2005" s="251" t="s">
        <v>445</v>
      </c>
      <c r="R2005" s="241"/>
      <c r="S2005" s="154" t="s">
        <v>60</v>
      </c>
      <c r="T2005" s="154" t="s">
        <v>60</v>
      </c>
      <c r="U2005" s="154" t="s">
        <v>60</v>
      </c>
      <c r="V2005" s="154" t="s">
        <v>60</v>
      </c>
      <c r="W2005" s="154" t="s">
        <v>60</v>
      </c>
      <c r="X2005" s="154" t="s">
        <v>60</v>
      </c>
      <c r="Y2005" s="154" t="s">
        <v>60</v>
      </c>
      <c r="Z2005" s="154" t="s">
        <v>60</v>
      </c>
      <c r="AA2005" s="154" t="s">
        <v>60</v>
      </c>
      <c r="AB2005" s="154"/>
      <c r="AC2005" s="242" t="b">
        <f t="shared" si="2"/>
        <v>1</v>
      </c>
      <c r="AD2005" s="154" t="s">
        <v>391</v>
      </c>
      <c r="AE2005" s="243" t="b">
        <f t="shared" si="3"/>
        <v>0</v>
      </c>
      <c r="AF2005" s="154"/>
      <c r="AG2005" s="243" t="b">
        <f t="shared" si="7"/>
        <v>0</v>
      </c>
      <c r="AH2005" s="154"/>
      <c r="AI2005" s="243" t="str">
        <f t="shared" si="5"/>
        <v>N/A</v>
      </c>
      <c r="AJ2005" s="157" t="str">
        <f t="shared" si="6"/>
        <v/>
      </c>
    </row>
    <row r="2006" ht="12.75" customHeight="1">
      <c r="A2006" s="244" t="s">
        <v>4158</v>
      </c>
      <c r="B2006" s="244" t="s">
        <v>5028</v>
      </c>
      <c r="C2006" s="244" t="s">
        <v>5047</v>
      </c>
      <c r="D2006" s="154" t="s">
        <v>2746</v>
      </c>
      <c r="E2006" s="250" t="s">
        <v>489</v>
      </c>
      <c r="F2006" s="154" t="str">
        <f t="array" ref="F2006">XLOOKUP(Cover!$D$12,$S$1:$AA$1,$S2006:$AA2006)</f>
        <v>Mandatory</v>
      </c>
      <c r="G2006" s="274" t="s">
        <v>5048</v>
      </c>
      <c r="H2006" s="154" t="s">
        <v>5041</v>
      </c>
      <c r="I2006" s="154" t="s">
        <v>420</v>
      </c>
      <c r="J2006" s="154" t="s">
        <v>445</v>
      </c>
      <c r="K2006" s="154"/>
      <c r="L2006" s="154" t="str">
        <f t="shared" si="1"/>
        <v/>
      </c>
      <c r="M2006" s="248" t="str">
        <f>IFERROR(__xludf.DUMMYFUNCTION("VLOOKUP(C2006,IMPORTRANGE(""https://docs.google.com/spreadsheets/d/1P8eX0NWBhUPS_hvzA11R6jkTNFrPrRYIx_dX_hYbxrk/edit?resourcekey=0-iw9bsKY2OqkUHCFMkCar3A&amp;gid=2055363397#gid=2055363397"",""MTR!C:O""),11,false)"),"PMW-IMS")</f>
        <v>PMW-IMS</v>
      </c>
      <c r="N2006" s="248" t="str">
        <f>IFERROR(__xludf.DUMMYFUNCTION("VLOOKUP(C2006,IMPORTRANGE(""https://docs.google.com/spreadsheets/d/1ihFlp3_ePlYtFuPbUNbYj1muErVpI73WHXbEwJDIA7Q/edit#gid=1493122344"",""MTR!C:O""),8,false)"),"Complies")</f>
        <v>Complies</v>
      </c>
      <c r="O2006" s="241" t="str">
        <f>IFERROR(__xludf.DUMMYFUNCTION("VLOOKUP(C2006,IMPORTRANGE(""https://docs.google.com/spreadsheets/d/1P8eX0NWBhUPS_hvzA11R6jkTNFrPrRYIx_dX_hYbxrk/edit?resourcekey=0-iw9bsKY2OqkUHCFMkCar3A&amp;gid=2055363397#gid=2055363397"",""MTR!C:O""),9,false)"),"")</f>
        <v/>
      </c>
      <c r="P2006" s="241"/>
      <c r="Q2006" s="251" t="s">
        <v>445</v>
      </c>
      <c r="R2006" s="241"/>
      <c r="S2006" s="154" t="s">
        <v>60</v>
      </c>
      <c r="T2006" s="154" t="s">
        <v>60</v>
      </c>
      <c r="U2006" s="154" t="s">
        <v>60</v>
      </c>
      <c r="V2006" s="154" t="s">
        <v>60</v>
      </c>
      <c r="W2006" s="154" t="s">
        <v>60</v>
      </c>
      <c r="X2006" s="154" t="s">
        <v>60</v>
      </c>
      <c r="Y2006" s="154" t="s">
        <v>60</v>
      </c>
      <c r="Z2006" s="154" t="s">
        <v>60</v>
      </c>
      <c r="AA2006" s="154" t="s">
        <v>60</v>
      </c>
      <c r="AB2006" s="154"/>
      <c r="AC2006" s="242" t="b">
        <f t="shared" si="2"/>
        <v>1</v>
      </c>
      <c r="AD2006" s="154" t="s">
        <v>391</v>
      </c>
      <c r="AE2006" s="243" t="b">
        <f t="shared" si="3"/>
        <v>0</v>
      </c>
      <c r="AF2006" s="154"/>
      <c r="AG2006" s="243" t="b">
        <f t="shared" si="7"/>
        <v>0</v>
      </c>
      <c r="AH2006" s="154"/>
      <c r="AI2006" s="243" t="str">
        <f t="shared" si="5"/>
        <v>N/A</v>
      </c>
      <c r="AJ2006" s="157" t="str">
        <f t="shared" si="6"/>
        <v/>
      </c>
    </row>
    <row r="2007" ht="12.75" customHeight="1">
      <c r="A2007" s="244" t="s">
        <v>4158</v>
      </c>
      <c r="B2007" s="244" t="s">
        <v>5028</v>
      </c>
      <c r="C2007" s="244" t="s">
        <v>5049</v>
      </c>
      <c r="D2007" s="154" t="s">
        <v>2746</v>
      </c>
      <c r="E2007" s="250" t="s">
        <v>489</v>
      </c>
      <c r="F2007" s="154" t="str">
        <f t="array" ref="F2007">XLOOKUP(Cover!$D$12,$S$1:$AA$1,$S2007:$AA2007)</f>
        <v>Mandatory</v>
      </c>
      <c r="G2007" s="274" t="s">
        <v>5050</v>
      </c>
      <c r="H2007" s="154" t="s">
        <v>5041</v>
      </c>
      <c r="I2007" s="154" t="s">
        <v>420</v>
      </c>
      <c r="J2007" s="154" t="s">
        <v>445</v>
      </c>
      <c r="K2007" s="154"/>
      <c r="L2007" s="154" t="str">
        <f t="shared" si="1"/>
        <v/>
      </c>
      <c r="M2007" s="248" t="str">
        <f>IFERROR(__xludf.DUMMYFUNCTION("VLOOKUP(C2007,IMPORTRANGE(""https://docs.google.com/spreadsheets/d/1P8eX0NWBhUPS_hvzA11R6jkTNFrPrRYIx_dX_hYbxrk/edit?resourcekey=0-iw9bsKY2OqkUHCFMkCar3A&amp;gid=2055363397#gid=2055363397"",""MTR!C:O""),11,false)"),"PMW-IMS")</f>
        <v>PMW-IMS</v>
      </c>
      <c r="N2007" s="248" t="str">
        <f>IFERROR(__xludf.DUMMYFUNCTION("VLOOKUP(C2007,IMPORTRANGE(""https://docs.google.com/spreadsheets/d/1ihFlp3_ePlYtFuPbUNbYj1muErVpI73WHXbEwJDIA7Q/edit#gid=1493122344"",""MTR!C:O""),8,false)"),"Complies")</f>
        <v>Complies</v>
      </c>
      <c r="O2007" s="241" t="str">
        <f>IFERROR(__xludf.DUMMYFUNCTION("VLOOKUP(C2007,IMPORTRANGE(""https://docs.google.com/spreadsheets/d/1P8eX0NWBhUPS_hvzA11R6jkTNFrPrRYIx_dX_hYbxrk/edit?resourcekey=0-iw9bsKY2OqkUHCFMkCar3A&amp;gid=2055363397#gid=2055363397"",""MTR!C:O""),9,false)"),"")</f>
        <v/>
      </c>
      <c r="P2007" s="241"/>
      <c r="Q2007" s="251" t="s">
        <v>445</v>
      </c>
      <c r="R2007" s="241"/>
      <c r="S2007" s="154" t="s">
        <v>60</v>
      </c>
      <c r="T2007" s="154" t="s">
        <v>60</v>
      </c>
      <c r="U2007" s="154" t="s">
        <v>60</v>
      </c>
      <c r="V2007" s="154" t="s">
        <v>60</v>
      </c>
      <c r="W2007" s="154" t="s">
        <v>60</v>
      </c>
      <c r="X2007" s="154" t="s">
        <v>60</v>
      </c>
      <c r="Y2007" s="154" t="s">
        <v>60</v>
      </c>
      <c r="Z2007" s="154" t="s">
        <v>60</v>
      </c>
      <c r="AA2007" s="154" t="s">
        <v>60</v>
      </c>
      <c r="AB2007" s="154"/>
      <c r="AC2007" s="242" t="b">
        <f t="shared" si="2"/>
        <v>1</v>
      </c>
      <c r="AD2007" s="154" t="s">
        <v>391</v>
      </c>
      <c r="AE2007" s="243" t="b">
        <f t="shared" si="3"/>
        <v>0</v>
      </c>
      <c r="AF2007" s="154"/>
      <c r="AG2007" s="243" t="b">
        <f t="shared" si="7"/>
        <v>0</v>
      </c>
      <c r="AH2007" s="154"/>
      <c r="AI2007" s="243" t="str">
        <f t="shared" si="5"/>
        <v>N/A</v>
      </c>
      <c r="AJ2007" s="157" t="str">
        <f t="shared" si="6"/>
        <v/>
      </c>
    </row>
    <row r="2008" ht="12.75" customHeight="1">
      <c r="A2008" s="244" t="s">
        <v>4158</v>
      </c>
      <c r="B2008" s="244" t="s">
        <v>5028</v>
      </c>
      <c r="C2008" s="244" t="s">
        <v>5051</v>
      </c>
      <c r="D2008" s="154" t="s">
        <v>2746</v>
      </c>
      <c r="E2008" s="250" t="s">
        <v>489</v>
      </c>
      <c r="F2008" s="154" t="str">
        <f t="array" ref="F2008">XLOOKUP(Cover!$D$12,$S$1:$AA$1,$S2008:$AA2008)</f>
        <v>Mandatory</v>
      </c>
      <c r="G2008" s="274" t="s">
        <v>5052</v>
      </c>
      <c r="H2008" s="154" t="s">
        <v>5041</v>
      </c>
      <c r="I2008" s="154" t="s">
        <v>420</v>
      </c>
      <c r="J2008" s="154" t="s">
        <v>445</v>
      </c>
      <c r="K2008" s="154"/>
      <c r="L2008" s="154" t="str">
        <f t="shared" si="1"/>
        <v/>
      </c>
      <c r="M2008" s="248" t="str">
        <f>IFERROR(__xludf.DUMMYFUNCTION("VLOOKUP(C2008,IMPORTRANGE(""https://docs.google.com/spreadsheets/d/1P8eX0NWBhUPS_hvzA11R6jkTNFrPrRYIx_dX_hYbxrk/edit?resourcekey=0-iw9bsKY2OqkUHCFMkCar3A&amp;gid=2055363397#gid=2055363397"",""MTR!C:O""),11,false)"),"PMW-IMS")</f>
        <v>PMW-IMS</v>
      </c>
      <c r="N2008" s="248" t="str">
        <f>IFERROR(__xludf.DUMMYFUNCTION("VLOOKUP(C2008,IMPORTRANGE(""https://docs.google.com/spreadsheets/d/1ihFlp3_ePlYtFuPbUNbYj1muErVpI73WHXbEwJDIA7Q/edit#gid=1493122344"",""MTR!C:O""),8,false)"),"Complies")</f>
        <v>Complies</v>
      </c>
      <c r="O2008" s="241" t="str">
        <f>IFERROR(__xludf.DUMMYFUNCTION("VLOOKUP(C2008,IMPORTRANGE(""https://docs.google.com/spreadsheets/d/1P8eX0NWBhUPS_hvzA11R6jkTNFrPrRYIx_dX_hYbxrk/edit?resourcekey=0-iw9bsKY2OqkUHCFMkCar3A&amp;gid=2055363397#gid=2055363397"",""MTR!C:O""),9,false)"),"")</f>
        <v/>
      </c>
      <c r="P2008" s="241"/>
      <c r="Q2008" s="251" t="s">
        <v>445</v>
      </c>
      <c r="R2008" s="241"/>
      <c r="S2008" s="154" t="s">
        <v>60</v>
      </c>
      <c r="T2008" s="154" t="s">
        <v>60</v>
      </c>
      <c r="U2008" s="154" t="s">
        <v>60</v>
      </c>
      <c r="V2008" s="154" t="s">
        <v>60</v>
      </c>
      <c r="W2008" s="154" t="s">
        <v>60</v>
      </c>
      <c r="X2008" s="154" t="s">
        <v>60</v>
      </c>
      <c r="Y2008" s="154" t="s">
        <v>60</v>
      </c>
      <c r="Z2008" s="154" t="s">
        <v>60</v>
      </c>
      <c r="AA2008" s="154" t="s">
        <v>60</v>
      </c>
      <c r="AB2008" s="154"/>
      <c r="AC2008" s="242" t="b">
        <f t="shared" si="2"/>
        <v>1</v>
      </c>
      <c r="AD2008" s="154" t="s">
        <v>391</v>
      </c>
      <c r="AE2008" s="243" t="b">
        <f t="shared" si="3"/>
        <v>0</v>
      </c>
      <c r="AF2008" s="154"/>
      <c r="AG2008" s="243" t="b">
        <f t="shared" si="7"/>
        <v>0</v>
      </c>
      <c r="AH2008" s="154"/>
      <c r="AI2008" s="243" t="str">
        <f t="shared" si="5"/>
        <v>N/A</v>
      </c>
      <c r="AJ2008" s="157" t="str">
        <f t="shared" si="6"/>
        <v/>
      </c>
    </row>
    <row r="2009" ht="12.75" customHeight="1">
      <c r="A2009" s="238" t="s">
        <v>4158</v>
      </c>
      <c r="B2009" s="238" t="s">
        <v>5028</v>
      </c>
      <c r="C2009" s="238" t="s">
        <v>5053</v>
      </c>
      <c r="D2009" s="240"/>
      <c r="E2009" s="252" t="s">
        <v>489</v>
      </c>
      <c r="F2009" s="154" t="str">
        <f t="array" ref="F2009">XLOOKUP(Cover!$D$12,$S$1:$AA$1,$S2009:$AA2009)</f>
        <v>Heading</v>
      </c>
      <c r="G2009" s="239" t="s">
        <v>5054</v>
      </c>
      <c r="H2009" s="240"/>
      <c r="I2009" s="240" t="s">
        <v>420</v>
      </c>
      <c r="J2009" s="262"/>
      <c r="K2009" s="262"/>
      <c r="L2009" s="154" t="str">
        <f t="shared" si="1"/>
        <v/>
      </c>
      <c r="M2009" s="241" t="str">
        <f>IFERROR(__xludf.DUMMYFUNCTION("VLOOKUP(C2009,IMPORTRANGE(""https://docs.google.com/spreadsheets/d/1P8eX0NWBhUPS_hvzA11R6jkTNFrPrRYIx_dX_hYbxrk/edit?resourcekey=0-iw9bsKY2OqkUHCFMkCar3A&amp;gid=2055363397#gid=2055363397"",""MTR!C:O""),11,false)"),"")</f>
        <v/>
      </c>
      <c r="N2009" s="241" t="str">
        <f>IFERROR(__xludf.DUMMYFUNCTION("VLOOKUP(C2009,IMPORTRANGE(""https://docs.google.com/spreadsheets/d/1ihFlp3_ePlYtFuPbUNbYj1muErVpI73WHXbEwJDIA7Q/edit#gid=1493122344"",""MTR!C:O""),8,false)"),"")</f>
        <v/>
      </c>
      <c r="O2009" s="241" t="str">
        <f>IFERROR(__xludf.DUMMYFUNCTION("VLOOKUP(C2009,IMPORTRANGE(""https://docs.google.com/spreadsheets/d/1P8eX0NWBhUPS_hvzA11R6jkTNFrPrRYIx_dX_hYbxrk/edit?resourcekey=0-iw9bsKY2OqkUHCFMkCar3A&amp;gid=2055363397#gid=2055363397"",""MTR!C:O""),9,false)"),"")</f>
        <v/>
      </c>
      <c r="P2009" s="241"/>
      <c r="Q2009" s="251"/>
      <c r="R2009" s="241"/>
      <c r="S2009" s="240" t="s">
        <v>390</v>
      </c>
      <c r="T2009" s="240" t="s">
        <v>390</v>
      </c>
      <c r="U2009" s="240" t="s">
        <v>390</v>
      </c>
      <c r="V2009" s="240" t="s">
        <v>390</v>
      </c>
      <c r="W2009" s="240" t="s">
        <v>390</v>
      </c>
      <c r="X2009" s="240" t="s">
        <v>390</v>
      </c>
      <c r="Y2009" s="240" t="s">
        <v>390</v>
      </c>
      <c r="Z2009" s="240" t="s">
        <v>390</v>
      </c>
      <c r="AA2009" s="240" t="s">
        <v>390</v>
      </c>
      <c r="AB2009" s="240"/>
      <c r="AC2009" s="242" t="b">
        <f t="shared" si="2"/>
        <v>0</v>
      </c>
      <c r="AD2009" s="240" t="s">
        <v>391</v>
      </c>
      <c r="AE2009" s="243" t="b">
        <f t="shared" si="3"/>
        <v>0</v>
      </c>
      <c r="AF2009" s="240"/>
      <c r="AG2009" s="243" t="b">
        <f t="shared" si="7"/>
        <v>0</v>
      </c>
      <c r="AH2009" s="240"/>
      <c r="AI2009" s="243" t="str">
        <f t="shared" si="5"/>
        <v>N/A</v>
      </c>
      <c r="AJ2009" s="157" t="str">
        <f t="shared" si="6"/>
        <v/>
      </c>
    </row>
    <row r="2010" ht="12.75" customHeight="1">
      <c r="A2010" s="244" t="s">
        <v>4158</v>
      </c>
      <c r="B2010" s="244" t="s">
        <v>5028</v>
      </c>
      <c r="C2010" s="244" t="s">
        <v>5055</v>
      </c>
      <c r="D2010" s="154" t="s">
        <v>477</v>
      </c>
      <c r="E2010" s="250" t="s">
        <v>489</v>
      </c>
      <c r="F2010" s="154" t="str">
        <f t="array" ref="F2010">XLOOKUP(Cover!$D$12,$S$1:$AA$1,$S2010:$AA2010)</f>
        <v>Recommended</v>
      </c>
      <c r="G2010" s="154" t="s">
        <v>5056</v>
      </c>
      <c r="H2010" s="154"/>
      <c r="I2010" s="154" t="s">
        <v>420</v>
      </c>
      <c r="J2010" s="154" t="s">
        <v>445</v>
      </c>
      <c r="K2010" s="154"/>
      <c r="L2010" s="154" t="str">
        <f t="shared" si="1"/>
        <v/>
      </c>
      <c r="M2010" s="248" t="str">
        <f>IFERROR(__xludf.DUMMYFUNCTION("VLOOKUP(C2010,IMPORTRANGE(""https://docs.google.com/spreadsheets/d/1P8eX0NWBhUPS_hvzA11R6jkTNFrPrRYIx_dX_hYbxrk/edit?resourcekey=0-iw9bsKY2OqkUHCFMkCar3A&amp;gid=2055363397#gid=2055363397"",""MTR!C:O""),11,false)"),"PMW-IMS")</f>
        <v>PMW-IMS</v>
      </c>
      <c r="N2010" s="248" t="str">
        <f>IFERROR(__xludf.DUMMYFUNCTION("VLOOKUP(C2010,IMPORTRANGE(""https://docs.google.com/spreadsheets/d/1ihFlp3_ePlYtFuPbUNbYj1muErVpI73WHXbEwJDIA7Q/edit#gid=1493122344"",""MTR!C:O""),8,false)"),"Complies")</f>
        <v>Complies</v>
      </c>
      <c r="O2010" s="241" t="str">
        <f>IFERROR(__xludf.DUMMYFUNCTION("VLOOKUP(C2010,IMPORTRANGE(""https://docs.google.com/spreadsheets/d/1P8eX0NWBhUPS_hvzA11R6jkTNFrPrRYIx_dX_hYbxrk/edit?resourcekey=0-iw9bsKY2OqkUHCFMkCar3A&amp;gid=2055363397#gid=2055363397"",""MTR!C:O""),9,false)"),"")</f>
        <v/>
      </c>
      <c r="P2010" s="241"/>
      <c r="Q2010" s="251" t="s">
        <v>445</v>
      </c>
      <c r="R2010" s="241"/>
      <c r="S2010" s="154" t="s">
        <v>64</v>
      </c>
      <c r="T2010" s="154" t="s">
        <v>64</v>
      </c>
      <c r="U2010" s="154" t="s">
        <v>64</v>
      </c>
      <c r="V2010" s="154" t="s">
        <v>64</v>
      </c>
      <c r="W2010" s="154" t="s">
        <v>64</v>
      </c>
      <c r="X2010" s="154" t="s">
        <v>64</v>
      </c>
      <c r="Y2010" s="154" t="s">
        <v>64</v>
      </c>
      <c r="Z2010" s="154" t="s">
        <v>64</v>
      </c>
      <c r="AA2010" s="154" t="s">
        <v>64</v>
      </c>
      <c r="AB2010" s="154"/>
      <c r="AC2010" s="242" t="b">
        <f t="shared" si="2"/>
        <v>1</v>
      </c>
      <c r="AD2010" s="154" t="s">
        <v>391</v>
      </c>
      <c r="AE2010" s="243" t="b">
        <f t="shared" si="3"/>
        <v>0</v>
      </c>
      <c r="AF2010" s="154"/>
      <c r="AG2010" s="243" t="b">
        <f t="shared" si="7"/>
        <v>0</v>
      </c>
      <c r="AH2010" s="154"/>
      <c r="AI2010" s="243" t="str">
        <f t="shared" si="5"/>
        <v>N/A</v>
      </c>
      <c r="AJ2010" s="157" t="str">
        <f t="shared" si="6"/>
        <v/>
      </c>
    </row>
    <row r="2011" ht="12.75" customHeight="1">
      <c r="A2011" s="244" t="s">
        <v>4158</v>
      </c>
      <c r="B2011" s="244" t="s">
        <v>5028</v>
      </c>
      <c r="C2011" s="244" t="s">
        <v>5057</v>
      </c>
      <c r="D2011" s="154" t="s">
        <v>477</v>
      </c>
      <c r="E2011" s="250" t="s">
        <v>489</v>
      </c>
      <c r="F2011" s="154" t="str">
        <f t="array" ref="F2011">XLOOKUP(Cover!$D$12,$S$1:$AA$1,$S2011:$AA2011)</f>
        <v>Mandatory</v>
      </c>
      <c r="G2011" s="154" t="s">
        <v>5058</v>
      </c>
      <c r="H2011" s="154" t="s">
        <v>5038</v>
      </c>
      <c r="I2011" s="154" t="s">
        <v>420</v>
      </c>
      <c r="J2011" s="154" t="s">
        <v>445</v>
      </c>
      <c r="K2011" s="154"/>
      <c r="L2011" s="154" t="str">
        <f t="shared" si="1"/>
        <v/>
      </c>
      <c r="M2011" s="248" t="str">
        <f>IFERROR(__xludf.DUMMYFUNCTION("VLOOKUP(C2011,IMPORTRANGE(""https://docs.google.com/spreadsheets/d/1P8eX0NWBhUPS_hvzA11R6jkTNFrPrRYIx_dX_hYbxrk/edit?resourcekey=0-iw9bsKY2OqkUHCFMkCar3A&amp;gid=2055363397#gid=2055363397"",""MTR!C:O""),11,false)"),"PMW-IMS")</f>
        <v>PMW-IMS</v>
      </c>
      <c r="N2011" s="248" t="str">
        <f>IFERROR(__xludf.DUMMYFUNCTION("VLOOKUP(C2011,IMPORTRANGE(""https://docs.google.com/spreadsheets/d/1ihFlp3_ePlYtFuPbUNbYj1muErVpI73WHXbEwJDIA7Q/edit#gid=1493122344"",""MTR!C:O""),8,false)"),"Complies")</f>
        <v>Complies</v>
      </c>
      <c r="O2011" s="241" t="str">
        <f>IFERROR(__xludf.DUMMYFUNCTION("VLOOKUP(C2011,IMPORTRANGE(""https://docs.google.com/spreadsheets/d/1P8eX0NWBhUPS_hvzA11R6jkTNFrPrRYIx_dX_hYbxrk/edit?resourcekey=0-iw9bsKY2OqkUHCFMkCar3A&amp;gid=2055363397#gid=2055363397"",""MTR!C:O""),9,false)"),"")</f>
        <v/>
      </c>
      <c r="P2011" s="241"/>
      <c r="Q2011" s="251" t="s">
        <v>445</v>
      </c>
      <c r="R2011" s="241"/>
      <c r="S2011" s="154" t="s">
        <v>60</v>
      </c>
      <c r="T2011" s="154" t="s">
        <v>60</v>
      </c>
      <c r="U2011" s="154" t="s">
        <v>60</v>
      </c>
      <c r="V2011" s="154" t="s">
        <v>60</v>
      </c>
      <c r="W2011" s="154" t="s">
        <v>60</v>
      </c>
      <c r="X2011" s="154" t="s">
        <v>60</v>
      </c>
      <c r="Y2011" s="154" t="s">
        <v>60</v>
      </c>
      <c r="Z2011" s="154" t="s">
        <v>60</v>
      </c>
      <c r="AA2011" s="154" t="s">
        <v>60</v>
      </c>
      <c r="AB2011" s="154"/>
      <c r="AC2011" s="242" t="b">
        <f t="shared" si="2"/>
        <v>1</v>
      </c>
      <c r="AD2011" s="154" t="s">
        <v>391</v>
      </c>
      <c r="AE2011" s="243" t="b">
        <f t="shared" si="3"/>
        <v>0</v>
      </c>
      <c r="AF2011" s="154"/>
      <c r="AG2011" s="243" t="b">
        <f t="shared" si="7"/>
        <v>0</v>
      </c>
      <c r="AH2011" s="154"/>
      <c r="AI2011" s="243" t="str">
        <f t="shared" si="5"/>
        <v>N/A</v>
      </c>
      <c r="AJ2011" s="157" t="str">
        <f t="shared" si="6"/>
        <v/>
      </c>
    </row>
    <row r="2012" ht="12.75" customHeight="1">
      <c r="A2012" s="244" t="s">
        <v>4158</v>
      </c>
      <c r="B2012" s="244" t="s">
        <v>5028</v>
      </c>
      <c r="C2012" s="244" t="s">
        <v>5059</v>
      </c>
      <c r="D2012" s="154" t="s">
        <v>477</v>
      </c>
      <c r="E2012" s="250" t="s">
        <v>489</v>
      </c>
      <c r="F2012" s="154" t="str">
        <f t="array" ref="F2012">XLOOKUP(Cover!$D$12,$S$1:$AA$1,$S2012:$AA2012)</f>
        <v>Mandatory</v>
      </c>
      <c r="G2012" s="154" t="s">
        <v>5060</v>
      </c>
      <c r="H2012" s="154" t="s">
        <v>5041</v>
      </c>
      <c r="I2012" s="154" t="s">
        <v>420</v>
      </c>
      <c r="J2012" s="154" t="s">
        <v>445</v>
      </c>
      <c r="K2012" s="154"/>
      <c r="L2012" s="154" t="str">
        <f t="shared" si="1"/>
        <v/>
      </c>
      <c r="M2012" s="248" t="str">
        <f>IFERROR(__xludf.DUMMYFUNCTION("VLOOKUP(C2012,IMPORTRANGE(""https://docs.google.com/spreadsheets/d/1P8eX0NWBhUPS_hvzA11R6jkTNFrPrRYIx_dX_hYbxrk/edit?resourcekey=0-iw9bsKY2OqkUHCFMkCar3A&amp;gid=2055363397#gid=2055363397"",""MTR!C:O""),11,false)"),"PMW-IMS")</f>
        <v>PMW-IMS</v>
      </c>
      <c r="N2012" s="248" t="str">
        <f>IFERROR(__xludf.DUMMYFUNCTION("VLOOKUP(C2012,IMPORTRANGE(""https://docs.google.com/spreadsheets/d/1ihFlp3_ePlYtFuPbUNbYj1muErVpI73WHXbEwJDIA7Q/edit#gid=1493122344"",""MTR!C:O""),8,false)"),"Complies")</f>
        <v>Complies</v>
      </c>
      <c r="O2012" s="241" t="str">
        <f>IFERROR(__xludf.DUMMYFUNCTION("VLOOKUP(C2012,IMPORTRANGE(""https://docs.google.com/spreadsheets/d/1P8eX0NWBhUPS_hvzA11R6jkTNFrPrRYIx_dX_hYbxrk/edit?resourcekey=0-iw9bsKY2OqkUHCFMkCar3A&amp;gid=2055363397#gid=2055363397"",""MTR!C:O""),9,false)"),"")</f>
        <v/>
      </c>
      <c r="P2012" s="241"/>
      <c r="Q2012" s="251" t="s">
        <v>445</v>
      </c>
      <c r="R2012" s="241"/>
      <c r="S2012" s="154" t="s">
        <v>60</v>
      </c>
      <c r="T2012" s="154" t="s">
        <v>60</v>
      </c>
      <c r="U2012" s="154" t="s">
        <v>60</v>
      </c>
      <c r="V2012" s="154" t="s">
        <v>60</v>
      </c>
      <c r="W2012" s="154" t="s">
        <v>60</v>
      </c>
      <c r="X2012" s="154" t="s">
        <v>60</v>
      </c>
      <c r="Y2012" s="154" t="s">
        <v>60</v>
      </c>
      <c r="Z2012" s="154" t="s">
        <v>60</v>
      </c>
      <c r="AA2012" s="154" t="s">
        <v>60</v>
      </c>
      <c r="AB2012" s="154"/>
      <c r="AC2012" s="242" t="b">
        <f t="shared" si="2"/>
        <v>1</v>
      </c>
      <c r="AD2012" s="154" t="s">
        <v>391</v>
      </c>
      <c r="AE2012" s="243" t="b">
        <f t="shared" si="3"/>
        <v>0</v>
      </c>
      <c r="AF2012" s="154"/>
      <c r="AG2012" s="243" t="b">
        <f t="shared" si="7"/>
        <v>0</v>
      </c>
      <c r="AH2012" s="154"/>
      <c r="AI2012" s="243" t="str">
        <f t="shared" si="5"/>
        <v>N/A</v>
      </c>
      <c r="AJ2012" s="157" t="str">
        <f t="shared" si="6"/>
        <v/>
      </c>
    </row>
    <row r="2013" ht="12.75" customHeight="1">
      <c r="A2013" s="244" t="s">
        <v>4158</v>
      </c>
      <c r="B2013" s="244" t="s">
        <v>5028</v>
      </c>
      <c r="C2013" s="244" t="s">
        <v>5061</v>
      </c>
      <c r="D2013" s="154" t="s">
        <v>477</v>
      </c>
      <c r="E2013" s="250" t="s">
        <v>489</v>
      </c>
      <c r="F2013" s="154" t="str">
        <f t="array" ref="F2013">XLOOKUP(Cover!$D$12,$S$1:$AA$1,$S2013:$AA2013)</f>
        <v>Mandatory</v>
      </c>
      <c r="G2013" s="154" t="s">
        <v>5062</v>
      </c>
      <c r="H2013" s="154" t="s">
        <v>5041</v>
      </c>
      <c r="I2013" s="154" t="s">
        <v>420</v>
      </c>
      <c r="J2013" s="154" t="s">
        <v>445</v>
      </c>
      <c r="K2013" s="154"/>
      <c r="L2013" s="154" t="str">
        <f t="shared" si="1"/>
        <v/>
      </c>
      <c r="M2013" s="248" t="str">
        <f>IFERROR(__xludf.DUMMYFUNCTION("VLOOKUP(C2013,IMPORTRANGE(""https://docs.google.com/spreadsheets/d/1P8eX0NWBhUPS_hvzA11R6jkTNFrPrRYIx_dX_hYbxrk/edit?resourcekey=0-iw9bsKY2OqkUHCFMkCar3A&amp;gid=2055363397#gid=2055363397"",""MTR!C:O""),11,false)"),"PMW-IMS")</f>
        <v>PMW-IMS</v>
      </c>
      <c r="N2013" s="248" t="str">
        <f>IFERROR(__xludf.DUMMYFUNCTION("VLOOKUP(C2013,IMPORTRANGE(""https://docs.google.com/spreadsheets/d/1ihFlp3_ePlYtFuPbUNbYj1muErVpI73WHXbEwJDIA7Q/edit#gid=1493122344"",""MTR!C:O""),8,false)"),"Complies")</f>
        <v>Complies</v>
      </c>
      <c r="O2013" s="241" t="str">
        <f>IFERROR(__xludf.DUMMYFUNCTION("VLOOKUP(C2013,IMPORTRANGE(""https://docs.google.com/spreadsheets/d/1P8eX0NWBhUPS_hvzA11R6jkTNFrPrRYIx_dX_hYbxrk/edit?resourcekey=0-iw9bsKY2OqkUHCFMkCar3A&amp;gid=2055363397#gid=2055363397"",""MTR!C:O""),9,false)"),"")</f>
        <v/>
      </c>
      <c r="P2013" s="241"/>
      <c r="Q2013" s="251" t="s">
        <v>445</v>
      </c>
      <c r="R2013" s="241"/>
      <c r="S2013" s="154" t="s">
        <v>60</v>
      </c>
      <c r="T2013" s="154" t="s">
        <v>60</v>
      </c>
      <c r="U2013" s="154" t="s">
        <v>60</v>
      </c>
      <c r="V2013" s="154" t="s">
        <v>60</v>
      </c>
      <c r="W2013" s="154" t="s">
        <v>60</v>
      </c>
      <c r="X2013" s="154" t="s">
        <v>60</v>
      </c>
      <c r="Y2013" s="154" t="s">
        <v>60</v>
      </c>
      <c r="Z2013" s="154" t="s">
        <v>60</v>
      </c>
      <c r="AA2013" s="154" t="s">
        <v>60</v>
      </c>
      <c r="AB2013" s="154"/>
      <c r="AC2013" s="242" t="b">
        <f t="shared" si="2"/>
        <v>1</v>
      </c>
      <c r="AD2013" s="154" t="s">
        <v>391</v>
      </c>
      <c r="AE2013" s="243" t="b">
        <f t="shared" si="3"/>
        <v>0</v>
      </c>
      <c r="AF2013" s="154"/>
      <c r="AG2013" s="243" t="b">
        <f t="shared" si="7"/>
        <v>0</v>
      </c>
      <c r="AH2013" s="154"/>
      <c r="AI2013" s="243" t="str">
        <f t="shared" si="5"/>
        <v>N/A</v>
      </c>
      <c r="AJ2013" s="157" t="str">
        <f t="shared" si="6"/>
        <v/>
      </c>
    </row>
    <row r="2014" ht="12.75" customHeight="1">
      <c r="A2014" s="238" t="s">
        <v>4158</v>
      </c>
      <c r="B2014" s="238" t="s">
        <v>5028</v>
      </c>
      <c r="C2014" s="238" t="s">
        <v>5063</v>
      </c>
      <c r="D2014" s="240"/>
      <c r="E2014" s="252" t="s">
        <v>489</v>
      </c>
      <c r="F2014" s="154" t="str">
        <f t="array" ref="F2014">XLOOKUP(Cover!$D$12,$S$1:$AA$1,$S2014:$AA2014)</f>
        <v>Heading</v>
      </c>
      <c r="G2014" s="239" t="s">
        <v>5064</v>
      </c>
      <c r="H2014" s="240"/>
      <c r="I2014" s="240" t="s">
        <v>420</v>
      </c>
      <c r="J2014" s="262"/>
      <c r="K2014" s="262"/>
      <c r="L2014" s="154" t="str">
        <f t="shared" si="1"/>
        <v/>
      </c>
      <c r="M2014" s="241" t="str">
        <f>IFERROR(__xludf.DUMMYFUNCTION("VLOOKUP(C2014,IMPORTRANGE(""https://docs.google.com/spreadsheets/d/1P8eX0NWBhUPS_hvzA11R6jkTNFrPrRYIx_dX_hYbxrk/edit?resourcekey=0-iw9bsKY2OqkUHCFMkCar3A&amp;gid=2055363397#gid=2055363397"",""MTR!C:O""),11,false)"),"")</f>
        <v/>
      </c>
      <c r="N2014" s="241" t="str">
        <f>IFERROR(__xludf.DUMMYFUNCTION("VLOOKUP(C2014,IMPORTRANGE(""https://docs.google.com/spreadsheets/d/1ihFlp3_ePlYtFuPbUNbYj1muErVpI73WHXbEwJDIA7Q/edit#gid=1493122344"",""MTR!C:O""),8,false)"),"")</f>
        <v/>
      </c>
      <c r="O2014" s="241" t="str">
        <f>IFERROR(__xludf.DUMMYFUNCTION("VLOOKUP(C2014,IMPORTRANGE(""https://docs.google.com/spreadsheets/d/1P8eX0NWBhUPS_hvzA11R6jkTNFrPrRYIx_dX_hYbxrk/edit?resourcekey=0-iw9bsKY2OqkUHCFMkCar3A&amp;gid=2055363397#gid=2055363397"",""MTR!C:O""),9,false)"),"")</f>
        <v/>
      </c>
      <c r="P2014" s="241"/>
      <c r="Q2014" s="251"/>
      <c r="R2014" s="241"/>
      <c r="S2014" s="240" t="s">
        <v>390</v>
      </c>
      <c r="T2014" s="240" t="s">
        <v>390</v>
      </c>
      <c r="U2014" s="240" t="s">
        <v>390</v>
      </c>
      <c r="V2014" s="240" t="s">
        <v>390</v>
      </c>
      <c r="W2014" s="240" t="s">
        <v>390</v>
      </c>
      <c r="X2014" s="240" t="s">
        <v>390</v>
      </c>
      <c r="Y2014" s="240" t="s">
        <v>390</v>
      </c>
      <c r="Z2014" s="240" t="s">
        <v>390</v>
      </c>
      <c r="AA2014" s="240" t="s">
        <v>390</v>
      </c>
      <c r="AB2014" s="240"/>
      <c r="AC2014" s="242" t="b">
        <f t="shared" si="2"/>
        <v>0</v>
      </c>
      <c r="AD2014" s="240" t="s">
        <v>391</v>
      </c>
      <c r="AE2014" s="243" t="b">
        <f t="shared" si="3"/>
        <v>0</v>
      </c>
      <c r="AF2014" s="240"/>
      <c r="AG2014" s="243" t="b">
        <f t="shared" si="7"/>
        <v>0</v>
      </c>
      <c r="AH2014" s="240"/>
      <c r="AI2014" s="243" t="str">
        <f t="shared" si="5"/>
        <v>N/A</v>
      </c>
      <c r="AJ2014" s="157" t="str">
        <f t="shared" si="6"/>
        <v/>
      </c>
    </row>
    <row r="2015" ht="12.75" customHeight="1">
      <c r="A2015" s="244" t="s">
        <v>4158</v>
      </c>
      <c r="B2015" s="244" t="s">
        <v>5028</v>
      </c>
      <c r="C2015" s="244" t="s">
        <v>5065</v>
      </c>
      <c r="D2015" s="154" t="s">
        <v>406</v>
      </c>
      <c r="E2015" s="250" t="s">
        <v>489</v>
      </c>
      <c r="F2015" s="154" t="str">
        <f t="array" ref="F2015">XLOOKUP(Cover!$D$12,$S$1:$AA$1,$S2015:$AA2015)</f>
        <v>Mandatory</v>
      </c>
      <c r="G2015" s="154" t="s">
        <v>5066</v>
      </c>
      <c r="H2015" s="154" t="s">
        <v>5038</v>
      </c>
      <c r="I2015" s="154" t="s">
        <v>420</v>
      </c>
      <c r="J2015" s="154" t="s">
        <v>445</v>
      </c>
      <c r="K2015" s="154"/>
      <c r="L2015" s="154" t="str">
        <f t="shared" si="1"/>
        <v/>
      </c>
      <c r="M2015" s="248" t="str">
        <f>IFERROR(__xludf.DUMMYFUNCTION("VLOOKUP(C2015,IMPORTRANGE(""https://docs.google.com/spreadsheets/d/1P8eX0NWBhUPS_hvzA11R6jkTNFrPrRYIx_dX_hYbxrk/edit?resourcekey=0-iw9bsKY2OqkUHCFMkCar3A&amp;gid=2055363397#gid=2055363397"",""MTR!C:O""),11,false)"),"PMW-IMS")</f>
        <v>PMW-IMS</v>
      </c>
      <c r="N2015" s="248" t="str">
        <f>IFERROR(__xludf.DUMMYFUNCTION("VLOOKUP(C2015,IMPORTRANGE(""https://docs.google.com/spreadsheets/d/1ihFlp3_ePlYtFuPbUNbYj1muErVpI73WHXbEwJDIA7Q/edit#gid=1493122344"",""MTR!C:O""),8,false)"),"Complies")</f>
        <v>Complies</v>
      </c>
      <c r="O2015" s="241" t="str">
        <f>IFERROR(__xludf.DUMMYFUNCTION("VLOOKUP(C2015,IMPORTRANGE(""https://docs.google.com/spreadsheets/d/1P8eX0NWBhUPS_hvzA11R6jkTNFrPrRYIx_dX_hYbxrk/edit?resourcekey=0-iw9bsKY2OqkUHCFMkCar3A&amp;gid=2055363397#gid=2055363397"",""MTR!C:O""),9,false)"),"")</f>
        <v/>
      </c>
      <c r="P2015" s="241"/>
      <c r="Q2015" s="251" t="s">
        <v>445</v>
      </c>
      <c r="R2015" s="241"/>
      <c r="S2015" s="154" t="s">
        <v>60</v>
      </c>
      <c r="T2015" s="154" t="s">
        <v>60</v>
      </c>
      <c r="U2015" s="154" t="s">
        <v>60</v>
      </c>
      <c r="V2015" s="154" t="s">
        <v>60</v>
      </c>
      <c r="W2015" s="154" t="s">
        <v>60</v>
      </c>
      <c r="X2015" s="154" t="s">
        <v>60</v>
      </c>
      <c r="Y2015" s="154" t="s">
        <v>60</v>
      </c>
      <c r="Z2015" s="154" t="s">
        <v>60</v>
      </c>
      <c r="AA2015" s="154" t="s">
        <v>60</v>
      </c>
      <c r="AB2015" s="154"/>
      <c r="AC2015" s="242" t="b">
        <f t="shared" si="2"/>
        <v>1</v>
      </c>
      <c r="AD2015" s="154" t="s">
        <v>391</v>
      </c>
      <c r="AE2015" s="243" t="b">
        <f t="shared" si="3"/>
        <v>0</v>
      </c>
      <c r="AF2015" s="154"/>
      <c r="AG2015" s="243" t="b">
        <f t="shared" si="7"/>
        <v>0</v>
      </c>
      <c r="AH2015" s="154"/>
      <c r="AI2015" s="243" t="str">
        <f t="shared" si="5"/>
        <v>N/A</v>
      </c>
      <c r="AJ2015" s="157" t="str">
        <f t="shared" si="6"/>
        <v/>
      </c>
    </row>
    <row r="2016" ht="12.75" customHeight="1">
      <c r="A2016" s="244" t="s">
        <v>4158</v>
      </c>
      <c r="B2016" s="244" t="s">
        <v>5028</v>
      </c>
      <c r="C2016" s="244" t="s">
        <v>5067</v>
      </c>
      <c r="D2016" s="154" t="s">
        <v>406</v>
      </c>
      <c r="E2016" s="250" t="s">
        <v>489</v>
      </c>
      <c r="F2016" s="154" t="str">
        <f t="array" ref="F2016">XLOOKUP(Cover!$D$12,$S$1:$AA$1,$S2016:$AA2016)</f>
        <v>Mandatory</v>
      </c>
      <c r="G2016" s="154" t="s">
        <v>5068</v>
      </c>
      <c r="H2016" s="154" t="s">
        <v>5041</v>
      </c>
      <c r="I2016" s="154" t="s">
        <v>420</v>
      </c>
      <c r="J2016" s="154" t="s">
        <v>445</v>
      </c>
      <c r="K2016" s="154"/>
      <c r="L2016" s="154" t="str">
        <f t="shared" si="1"/>
        <v/>
      </c>
      <c r="M2016" s="248" t="str">
        <f>IFERROR(__xludf.DUMMYFUNCTION("VLOOKUP(C2016,IMPORTRANGE(""https://docs.google.com/spreadsheets/d/1P8eX0NWBhUPS_hvzA11R6jkTNFrPrRYIx_dX_hYbxrk/edit?resourcekey=0-iw9bsKY2OqkUHCFMkCar3A&amp;gid=2055363397#gid=2055363397"",""MTR!C:O""),11,false)"),"PMW-IMS")</f>
        <v>PMW-IMS</v>
      </c>
      <c r="N2016" s="248" t="str">
        <f>IFERROR(__xludf.DUMMYFUNCTION("VLOOKUP(C2016,IMPORTRANGE(""https://docs.google.com/spreadsheets/d/1ihFlp3_ePlYtFuPbUNbYj1muErVpI73WHXbEwJDIA7Q/edit#gid=1493122344"",""MTR!C:O""),8,false)"),"Complies")</f>
        <v>Complies</v>
      </c>
      <c r="O2016" s="241" t="str">
        <f>IFERROR(__xludf.DUMMYFUNCTION("VLOOKUP(C2016,IMPORTRANGE(""https://docs.google.com/spreadsheets/d/1P8eX0NWBhUPS_hvzA11R6jkTNFrPrRYIx_dX_hYbxrk/edit?resourcekey=0-iw9bsKY2OqkUHCFMkCar3A&amp;gid=2055363397#gid=2055363397"",""MTR!C:O""),9,false)"),"")</f>
        <v/>
      </c>
      <c r="P2016" s="241"/>
      <c r="Q2016" s="251" t="s">
        <v>445</v>
      </c>
      <c r="R2016" s="241"/>
      <c r="S2016" s="154" t="s">
        <v>60</v>
      </c>
      <c r="T2016" s="154" t="s">
        <v>60</v>
      </c>
      <c r="U2016" s="154" t="s">
        <v>60</v>
      </c>
      <c r="V2016" s="154" t="s">
        <v>60</v>
      </c>
      <c r="W2016" s="154" t="s">
        <v>60</v>
      </c>
      <c r="X2016" s="154" t="s">
        <v>60</v>
      </c>
      <c r="Y2016" s="154" t="s">
        <v>60</v>
      </c>
      <c r="Z2016" s="154" t="s">
        <v>60</v>
      </c>
      <c r="AA2016" s="154" t="s">
        <v>60</v>
      </c>
      <c r="AB2016" s="154"/>
      <c r="AC2016" s="242" t="b">
        <f t="shared" si="2"/>
        <v>1</v>
      </c>
      <c r="AD2016" s="154" t="s">
        <v>391</v>
      </c>
      <c r="AE2016" s="243" t="b">
        <f t="shared" si="3"/>
        <v>0</v>
      </c>
      <c r="AF2016" s="154"/>
      <c r="AG2016" s="243" t="b">
        <f t="shared" si="7"/>
        <v>0</v>
      </c>
      <c r="AH2016" s="154"/>
      <c r="AI2016" s="243" t="str">
        <f t="shared" si="5"/>
        <v>N/A</v>
      </c>
      <c r="AJ2016" s="157" t="str">
        <f t="shared" si="6"/>
        <v/>
      </c>
    </row>
    <row r="2017" ht="12.75" customHeight="1">
      <c r="A2017" s="244" t="s">
        <v>4158</v>
      </c>
      <c r="B2017" s="244" t="s">
        <v>5028</v>
      </c>
      <c r="C2017" s="244" t="s">
        <v>5069</v>
      </c>
      <c r="D2017" s="154" t="s">
        <v>2802</v>
      </c>
      <c r="E2017" s="250" t="s">
        <v>489</v>
      </c>
      <c r="F2017" s="154" t="str">
        <f t="array" ref="F2017">XLOOKUP(Cover!$D$12,$S$1:$AA$1,$S2017:$AA2017)</f>
        <v>Mandatory</v>
      </c>
      <c r="G2017" s="154" t="s">
        <v>5070</v>
      </c>
      <c r="H2017" s="154" t="s">
        <v>5038</v>
      </c>
      <c r="I2017" s="154" t="s">
        <v>420</v>
      </c>
      <c r="J2017" s="154" t="s">
        <v>445</v>
      </c>
      <c r="K2017" s="154"/>
      <c r="L2017" s="154" t="str">
        <f t="shared" si="1"/>
        <v/>
      </c>
      <c r="M2017" s="248" t="str">
        <f>IFERROR(__xludf.DUMMYFUNCTION("VLOOKUP(C2017,IMPORTRANGE(""https://docs.google.com/spreadsheets/d/1P8eX0NWBhUPS_hvzA11R6jkTNFrPrRYIx_dX_hYbxrk/edit?resourcekey=0-iw9bsKY2OqkUHCFMkCar3A&amp;gid=2055363397#gid=2055363397"",""MTR!C:O""),11,false)"),"PMW-IMS")</f>
        <v>PMW-IMS</v>
      </c>
      <c r="N2017" s="248" t="str">
        <f>IFERROR(__xludf.DUMMYFUNCTION("VLOOKUP(C2017,IMPORTRANGE(""https://docs.google.com/spreadsheets/d/1ihFlp3_ePlYtFuPbUNbYj1muErVpI73WHXbEwJDIA7Q/edit#gid=1493122344"",""MTR!C:O""),8,false)"),"Complies")</f>
        <v>Complies</v>
      </c>
      <c r="O2017" s="241" t="str">
        <f>IFERROR(__xludf.DUMMYFUNCTION("VLOOKUP(C2017,IMPORTRANGE(""https://docs.google.com/spreadsheets/d/1P8eX0NWBhUPS_hvzA11R6jkTNFrPrRYIx_dX_hYbxrk/edit?resourcekey=0-iw9bsKY2OqkUHCFMkCar3A&amp;gid=2055363397#gid=2055363397"",""MTR!C:O""),9,false)"),"")</f>
        <v/>
      </c>
      <c r="P2017" s="241"/>
      <c r="Q2017" s="251" t="s">
        <v>445</v>
      </c>
      <c r="R2017" s="241"/>
      <c r="S2017" s="154" t="s">
        <v>60</v>
      </c>
      <c r="T2017" s="154" t="s">
        <v>60</v>
      </c>
      <c r="U2017" s="154" t="s">
        <v>60</v>
      </c>
      <c r="V2017" s="154" t="s">
        <v>60</v>
      </c>
      <c r="W2017" s="154" t="s">
        <v>60</v>
      </c>
      <c r="X2017" s="154" t="s">
        <v>60</v>
      </c>
      <c r="Y2017" s="154" t="s">
        <v>60</v>
      </c>
      <c r="Z2017" s="154" t="s">
        <v>60</v>
      </c>
      <c r="AA2017" s="154" t="s">
        <v>60</v>
      </c>
      <c r="AB2017" s="154"/>
      <c r="AC2017" s="242" t="b">
        <f t="shared" si="2"/>
        <v>1</v>
      </c>
      <c r="AD2017" s="154" t="s">
        <v>391</v>
      </c>
      <c r="AE2017" s="243" t="b">
        <f t="shared" si="3"/>
        <v>0</v>
      </c>
      <c r="AF2017" s="154"/>
      <c r="AG2017" s="243" t="b">
        <f t="shared" si="7"/>
        <v>0</v>
      </c>
      <c r="AH2017" s="154"/>
      <c r="AI2017" s="243" t="str">
        <f t="shared" si="5"/>
        <v>N/A</v>
      </c>
      <c r="AJ2017" s="157" t="str">
        <f t="shared" si="6"/>
        <v/>
      </c>
    </row>
    <row r="2018" ht="12.75" customHeight="1">
      <c r="A2018" s="244" t="s">
        <v>4158</v>
      </c>
      <c r="B2018" s="244" t="s">
        <v>5028</v>
      </c>
      <c r="C2018" s="244" t="s">
        <v>5071</v>
      </c>
      <c r="D2018" s="154" t="s">
        <v>2746</v>
      </c>
      <c r="E2018" s="250" t="s">
        <v>489</v>
      </c>
      <c r="F2018" s="154" t="str">
        <f t="array" ref="F2018">XLOOKUP(Cover!$D$12,$S$1:$AA$1,$S2018:$AA2018)</f>
        <v>Mandatory</v>
      </c>
      <c r="G2018" s="154" t="s">
        <v>5072</v>
      </c>
      <c r="H2018" s="154" t="s">
        <v>5038</v>
      </c>
      <c r="I2018" s="154" t="s">
        <v>420</v>
      </c>
      <c r="J2018" s="154" t="s">
        <v>445</v>
      </c>
      <c r="K2018" s="154"/>
      <c r="L2018" s="154" t="str">
        <f t="shared" si="1"/>
        <v/>
      </c>
      <c r="M2018" s="248" t="str">
        <f>IFERROR(__xludf.DUMMYFUNCTION("VLOOKUP(C2018,IMPORTRANGE(""https://docs.google.com/spreadsheets/d/1P8eX0NWBhUPS_hvzA11R6jkTNFrPrRYIx_dX_hYbxrk/edit?resourcekey=0-iw9bsKY2OqkUHCFMkCar3A&amp;gid=2055363397#gid=2055363397"",""MTR!C:O""),11,false)"),"PMW-IMS")</f>
        <v>PMW-IMS</v>
      </c>
      <c r="N2018" s="248" t="str">
        <f>IFERROR(__xludf.DUMMYFUNCTION("VLOOKUP(C2018,IMPORTRANGE(""https://docs.google.com/spreadsheets/d/1ihFlp3_ePlYtFuPbUNbYj1muErVpI73WHXbEwJDIA7Q/edit#gid=1493122344"",""MTR!C:O""),8,false)"),"Complies")</f>
        <v>Complies</v>
      </c>
      <c r="O2018" s="241" t="str">
        <f>IFERROR(__xludf.DUMMYFUNCTION("VLOOKUP(C2018,IMPORTRANGE(""https://docs.google.com/spreadsheets/d/1P8eX0NWBhUPS_hvzA11R6jkTNFrPrRYIx_dX_hYbxrk/edit?resourcekey=0-iw9bsKY2OqkUHCFMkCar3A&amp;gid=2055363397#gid=2055363397"",""MTR!C:O""),9,false)"),"")</f>
        <v/>
      </c>
      <c r="P2018" s="241"/>
      <c r="Q2018" s="251" t="s">
        <v>445</v>
      </c>
      <c r="R2018" s="241"/>
      <c r="S2018" s="154" t="s">
        <v>60</v>
      </c>
      <c r="T2018" s="154" t="s">
        <v>60</v>
      </c>
      <c r="U2018" s="154" t="s">
        <v>60</v>
      </c>
      <c r="V2018" s="154" t="s">
        <v>60</v>
      </c>
      <c r="W2018" s="154" t="s">
        <v>60</v>
      </c>
      <c r="X2018" s="154" t="s">
        <v>60</v>
      </c>
      <c r="Y2018" s="154" t="s">
        <v>60</v>
      </c>
      <c r="Z2018" s="154" t="s">
        <v>60</v>
      </c>
      <c r="AA2018" s="154" t="s">
        <v>60</v>
      </c>
      <c r="AB2018" s="154"/>
      <c r="AC2018" s="242" t="b">
        <f t="shared" si="2"/>
        <v>1</v>
      </c>
      <c r="AD2018" s="154" t="s">
        <v>391</v>
      </c>
      <c r="AE2018" s="243" t="b">
        <f t="shared" si="3"/>
        <v>0</v>
      </c>
      <c r="AF2018" s="154"/>
      <c r="AG2018" s="243" t="b">
        <f t="shared" si="7"/>
        <v>0</v>
      </c>
      <c r="AH2018" s="154"/>
      <c r="AI2018" s="243" t="str">
        <f t="shared" si="5"/>
        <v>N/A</v>
      </c>
      <c r="AJ2018" s="157" t="str">
        <f t="shared" si="6"/>
        <v/>
      </c>
    </row>
    <row r="2019" ht="12.75" customHeight="1">
      <c r="A2019" s="238" t="s">
        <v>4158</v>
      </c>
      <c r="B2019" s="238" t="s">
        <v>5028</v>
      </c>
      <c r="C2019" s="238" t="s">
        <v>5073</v>
      </c>
      <c r="D2019" s="240"/>
      <c r="E2019" s="252" t="s">
        <v>489</v>
      </c>
      <c r="F2019" s="154" t="str">
        <f t="array" ref="F2019">XLOOKUP(Cover!$D$12,$S$1:$AA$1,$S2019:$AA2019)</f>
        <v>Heading</v>
      </c>
      <c r="G2019" s="239" t="s">
        <v>5074</v>
      </c>
      <c r="H2019" s="240"/>
      <c r="I2019" s="240" t="s">
        <v>420</v>
      </c>
      <c r="J2019" s="262"/>
      <c r="K2019" s="262"/>
      <c r="L2019" s="154" t="str">
        <f t="shared" si="1"/>
        <v/>
      </c>
      <c r="M2019" s="241" t="str">
        <f>IFERROR(__xludf.DUMMYFUNCTION("VLOOKUP(C2019,IMPORTRANGE(""https://docs.google.com/spreadsheets/d/1P8eX0NWBhUPS_hvzA11R6jkTNFrPrRYIx_dX_hYbxrk/edit?resourcekey=0-iw9bsKY2OqkUHCFMkCar3A&amp;gid=2055363397#gid=2055363397"",""MTR!C:O""),11,false)"),"")</f>
        <v/>
      </c>
      <c r="N2019" s="241" t="str">
        <f>IFERROR(__xludf.DUMMYFUNCTION("VLOOKUP(C2019,IMPORTRANGE(""https://docs.google.com/spreadsheets/d/1ihFlp3_ePlYtFuPbUNbYj1muErVpI73WHXbEwJDIA7Q/edit#gid=1493122344"",""MTR!C:O""),8,false)"),"")</f>
        <v/>
      </c>
      <c r="O2019" s="241" t="str">
        <f>IFERROR(__xludf.DUMMYFUNCTION("VLOOKUP(C2019,IMPORTRANGE(""https://docs.google.com/spreadsheets/d/1P8eX0NWBhUPS_hvzA11R6jkTNFrPrRYIx_dX_hYbxrk/edit?resourcekey=0-iw9bsKY2OqkUHCFMkCar3A&amp;gid=2055363397#gid=2055363397"",""MTR!C:O""),9,false)"),"")</f>
        <v/>
      </c>
      <c r="P2019" s="241"/>
      <c r="Q2019" s="251"/>
      <c r="R2019" s="241"/>
      <c r="S2019" s="240" t="s">
        <v>390</v>
      </c>
      <c r="T2019" s="240" t="s">
        <v>390</v>
      </c>
      <c r="U2019" s="240" t="s">
        <v>390</v>
      </c>
      <c r="V2019" s="240" t="s">
        <v>390</v>
      </c>
      <c r="W2019" s="240" t="s">
        <v>390</v>
      </c>
      <c r="X2019" s="240" t="s">
        <v>390</v>
      </c>
      <c r="Y2019" s="240" t="s">
        <v>390</v>
      </c>
      <c r="Z2019" s="240" t="s">
        <v>390</v>
      </c>
      <c r="AA2019" s="240" t="s">
        <v>390</v>
      </c>
      <c r="AB2019" s="240"/>
      <c r="AC2019" s="242" t="b">
        <f t="shared" si="2"/>
        <v>0</v>
      </c>
      <c r="AD2019" s="240" t="s">
        <v>391</v>
      </c>
      <c r="AE2019" s="243" t="b">
        <f t="shared" si="3"/>
        <v>0</v>
      </c>
      <c r="AF2019" s="240"/>
      <c r="AG2019" s="243" t="b">
        <f t="shared" si="7"/>
        <v>0</v>
      </c>
      <c r="AH2019" s="240"/>
      <c r="AI2019" s="243" t="str">
        <f t="shared" si="5"/>
        <v>N/A</v>
      </c>
      <c r="AJ2019" s="157" t="str">
        <f t="shared" si="6"/>
        <v/>
      </c>
    </row>
    <row r="2020" ht="12.75" customHeight="1">
      <c r="A2020" s="244" t="s">
        <v>4158</v>
      </c>
      <c r="B2020" s="244" t="s">
        <v>5028</v>
      </c>
      <c r="C2020" s="244" t="s">
        <v>5075</v>
      </c>
      <c r="D2020" s="154" t="s">
        <v>2326</v>
      </c>
      <c r="E2020" s="250" t="s">
        <v>489</v>
      </c>
      <c r="F2020" s="154" t="str">
        <f t="array" ref="F2020">XLOOKUP(Cover!$D$12,$S$1:$AA$1,$S2020:$AA2020)</f>
        <v>Mandatory</v>
      </c>
      <c r="G2020" s="154" t="s">
        <v>5076</v>
      </c>
      <c r="H2020" s="154" t="s">
        <v>5038</v>
      </c>
      <c r="I2020" s="154" t="s">
        <v>420</v>
      </c>
      <c r="J2020" s="154" t="s">
        <v>445</v>
      </c>
      <c r="K2020" s="154"/>
      <c r="L2020" s="154" t="str">
        <f t="shared" si="1"/>
        <v/>
      </c>
      <c r="M2020" s="248" t="str">
        <f>IFERROR(__xludf.DUMMYFUNCTION("VLOOKUP(C2020,IMPORTRANGE(""https://docs.google.com/spreadsheets/d/1P8eX0NWBhUPS_hvzA11R6jkTNFrPrRYIx_dX_hYbxrk/edit?resourcekey=0-iw9bsKY2OqkUHCFMkCar3A&amp;gid=2055363397#gid=2055363397"",""MTR!C:O""),11,false)"),"PMW-IMS")</f>
        <v>PMW-IMS</v>
      </c>
      <c r="N2020" s="248" t="str">
        <f>IFERROR(__xludf.DUMMYFUNCTION("VLOOKUP(C2020,IMPORTRANGE(""https://docs.google.com/spreadsheets/d/1ihFlp3_ePlYtFuPbUNbYj1muErVpI73WHXbEwJDIA7Q/edit#gid=1493122344"",""MTR!C:O""),8,false)"),"Complies")</f>
        <v>Complies</v>
      </c>
      <c r="O2020" s="241" t="str">
        <f>IFERROR(__xludf.DUMMYFUNCTION("VLOOKUP(C2020,IMPORTRANGE(""https://docs.google.com/spreadsheets/d/1P8eX0NWBhUPS_hvzA11R6jkTNFrPrRYIx_dX_hYbxrk/edit?resourcekey=0-iw9bsKY2OqkUHCFMkCar3A&amp;gid=2055363397#gid=2055363397"",""MTR!C:O""),9,false)"),"")</f>
        <v/>
      </c>
      <c r="P2020" s="241"/>
      <c r="Q2020" s="251" t="s">
        <v>445</v>
      </c>
      <c r="R2020" s="241"/>
      <c r="S2020" s="154" t="s">
        <v>60</v>
      </c>
      <c r="T2020" s="154" t="s">
        <v>60</v>
      </c>
      <c r="U2020" s="154" t="s">
        <v>60</v>
      </c>
      <c r="V2020" s="154" t="s">
        <v>60</v>
      </c>
      <c r="W2020" s="154" t="s">
        <v>60</v>
      </c>
      <c r="X2020" s="154" t="s">
        <v>60</v>
      </c>
      <c r="Y2020" s="154" t="s">
        <v>60</v>
      </c>
      <c r="Z2020" s="154" t="s">
        <v>60</v>
      </c>
      <c r="AA2020" s="154" t="s">
        <v>60</v>
      </c>
      <c r="AB2020" s="154"/>
      <c r="AC2020" s="242" t="b">
        <f t="shared" si="2"/>
        <v>1</v>
      </c>
      <c r="AD2020" s="154" t="s">
        <v>391</v>
      </c>
      <c r="AE2020" s="243" t="b">
        <f t="shared" si="3"/>
        <v>0</v>
      </c>
      <c r="AF2020" s="154"/>
      <c r="AG2020" s="243" t="b">
        <f t="shared" si="7"/>
        <v>0</v>
      </c>
      <c r="AH2020" s="154"/>
      <c r="AI2020" s="243" t="str">
        <f t="shared" si="5"/>
        <v>N/A</v>
      </c>
      <c r="AJ2020" s="157" t="str">
        <f t="shared" si="6"/>
        <v/>
      </c>
    </row>
    <row r="2021" ht="12.75" customHeight="1">
      <c r="A2021" s="244" t="s">
        <v>4158</v>
      </c>
      <c r="B2021" s="244" t="s">
        <v>5028</v>
      </c>
      <c r="C2021" s="244" t="s">
        <v>5077</v>
      </c>
      <c r="D2021" s="154" t="s">
        <v>2746</v>
      </c>
      <c r="E2021" s="250" t="s">
        <v>489</v>
      </c>
      <c r="F2021" s="154" t="str">
        <f t="array" ref="F2021">XLOOKUP(Cover!$D$12,$S$1:$AA$1,$S2021:$AA2021)</f>
        <v>Mandatory</v>
      </c>
      <c r="G2021" s="154" t="s">
        <v>5078</v>
      </c>
      <c r="H2021" s="154" t="s">
        <v>5041</v>
      </c>
      <c r="I2021" s="154" t="s">
        <v>420</v>
      </c>
      <c r="J2021" s="154" t="s">
        <v>445</v>
      </c>
      <c r="K2021" s="154"/>
      <c r="L2021" s="154" t="str">
        <f t="shared" si="1"/>
        <v/>
      </c>
      <c r="M2021" s="248" t="str">
        <f>IFERROR(__xludf.DUMMYFUNCTION("VLOOKUP(C2021,IMPORTRANGE(""https://docs.google.com/spreadsheets/d/1P8eX0NWBhUPS_hvzA11R6jkTNFrPrRYIx_dX_hYbxrk/edit?resourcekey=0-iw9bsKY2OqkUHCFMkCar3A&amp;gid=2055363397#gid=2055363397"",""MTR!C:O""),11,false)"),"PMW-IMS")</f>
        <v>PMW-IMS</v>
      </c>
      <c r="N2021" s="248" t="str">
        <f>IFERROR(__xludf.DUMMYFUNCTION("VLOOKUP(C2021,IMPORTRANGE(""https://docs.google.com/spreadsheets/d/1ihFlp3_ePlYtFuPbUNbYj1muErVpI73WHXbEwJDIA7Q/edit#gid=1493122344"",""MTR!C:O""),8,false)"),"Complies")</f>
        <v>Complies</v>
      </c>
      <c r="O2021" s="241" t="str">
        <f>IFERROR(__xludf.DUMMYFUNCTION("VLOOKUP(C2021,IMPORTRANGE(""https://docs.google.com/spreadsheets/d/1P8eX0NWBhUPS_hvzA11R6jkTNFrPrRYIx_dX_hYbxrk/edit?resourcekey=0-iw9bsKY2OqkUHCFMkCar3A&amp;gid=2055363397#gid=2055363397"",""MTR!C:O""),9,false)"),"")</f>
        <v/>
      </c>
      <c r="P2021" s="241"/>
      <c r="Q2021" s="251" t="s">
        <v>445</v>
      </c>
      <c r="R2021" s="241"/>
      <c r="S2021" s="154" t="s">
        <v>60</v>
      </c>
      <c r="T2021" s="154" t="s">
        <v>60</v>
      </c>
      <c r="U2021" s="154" t="s">
        <v>60</v>
      </c>
      <c r="V2021" s="154" t="s">
        <v>60</v>
      </c>
      <c r="W2021" s="154" t="s">
        <v>60</v>
      </c>
      <c r="X2021" s="154" t="s">
        <v>60</v>
      </c>
      <c r="Y2021" s="154" t="s">
        <v>60</v>
      </c>
      <c r="Z2021" s="154" t="s">
        <v>60</v>
      </c>
      <c r="AA2021" s="154" t="s">
        <v>60</v>
      </c>
      <c r="AB2021" s="154"/>
      <c r="AC2021" s="242" t="b">
        <f t="shared" si="2"/>
        <v>1</v>
      </c>
      <c r="AD2021" s="154" t="s">
        <v>391</v>
      </c>
      <c r="AE2021" s="243" t="b">
        <f t="shared" si="3"/>
        <v>0</v>
      </c>
      <c r="AF2021" s="154"/>
      <c r="AG2021" s="243" t="b">
        <f t="shared" si="7"/>
        <v>0</v>
      </c>
      <c r="AH2021" s="154"/>
      <c r="AI2021" s="243" t="str">
        <f t="shared" si="5"/>
        <v>N/A</v>
      </c>
      <c r="AJ2021" s="157" t="str">
        <f t="shared" si="6"/>
        <v/>
      </c>
    </row>
    <row r="2022" ht="12.75" customHeight="1">
      <c r="A2022" s="244" t="s">
        <v>4158</v>
      </c>
      <c r="B2022" s="244" t="s">
        <v>5028</v>
      </c>
      <c r="C2022" s="244" t="s">
        <v>5079</v>
      </c>
      <c r="D2022" s="154" t="s">
        <v>2746</v>
      </c>
      <c r="E2022" s="250" t="s">
        <v>489</v>
      </c>
      <c r="F2022" s="154" t="str">
        <f t="array" ref="F2022">XLOOKUP(Cover!$D$12,$S$1:$AA$1,$S2022:$AA2022)</f>
        <v>Mandatory</v>
      </c>
      <c r="G2022" s="154" t="s">
        <v>5080</v>
      </c>
      <c r="H2022" s="154" t="s">
        <v>5041</v>
      </c>
      <c r="I2022" s="154" t="s">
        <v>420</v>
      </c>
      <c r="J2022" s="154" t="s">
        <v>445</v>
      </c>
      <c r="K2022" s="154"/>
      <c r="L2022" s="154" t="str">
        <f t="shared" si="1"/>
        <v/>
      </c>
      <c r="M2022" s="248" t="str">
        <f>IFERROR(__xludf.DUMMYFUNCTION("VLOOKUP(C2022,IMPORTRANGE(""https://docs.google.com/spreadsheets/d/1P8eX0NWBhUPS_hvzA11R6jkTNFrPrRYIx_dX_hYbxrk/edit?resourcekey=0-iw9bsKY2OqkUHCFMkCar3A&amp;gid=2055363397#gid=2055363397"",""MTR!C:O""),11,false)"),"PMW-IMS")</f>
        <v>PMW-IMS</v>
      </c>
      <c r="N2022" s="248" t="str">
        <f>IFERROR(__xludf.DUMMYFUNCTION("VLOOKUP(C2022,IMPORTRANGE(""https://docs.google.com/spreadsheets/d/1ihFlp3_ePlYtFuPbUNbYj1muErVpI73WHXbEwJDIA7Q/edit#gid=1493122344"",""MTR!C:O""),8,false)"),"Complies")</f>
        <v>Complies</v>
      </c>
      <c r="O2022" s="241" t="str">
        <f>IFERROR(__xludf.DUMMYFUNCTION("VLOOKUP(C2022,IMPORTRANGE(""https://docs.google.com/spreadsheets/d/1P8eX0NWBhUPS_hvzA11R6jkTNFrPrRYIx_dX_hYbxrk/edit?resourcekey=0-iw9bsKY2OqkUHCFMkCar3A&amp;gid=2055363397#gid=2055363397"",""MTR!C:O""),9,false)"),"")</f>
        <v/>
      </c>
      <c r="P2022" s="241"/>
      <c r="Q2022" s="251" t="s">
        <v>445</v>
      </c>
      <c r="R2022" s="241"/>
      <c r="S2022" s="154" t="s">
        <v>60</v>
      </c>
      <c r="T2022" s="154" t="s">
        <v>60</v>
      </c>
      <c r="U2022" s="154" t="s">
        <v>60</v>
      </c>
      <c r="V2022" s="154" t="s">
        <v>60</v>
      </c>
      <c r="W2022" s="154" t="s">
        <v>60</v>
      </c>
      <c r="X2022" s="154" t="s">
        <v>60</v>
      </c>
      <c r="Y2022" s="154" t="s">
        <v>60</v>
      </c>
      <c r="Z2022" s="154" t="s">
        <v>60</v>
      </c>
      <c r="AA2022" s="154" t="s">
        <v>60</v>
      </c>
      <c r="AB2022" s="154"/>
      <c r="AC2022" s="242" t="b">
        <f t="shared" si="2"/>
        <v>1</v>
      </c>
      <c r="AD2022" s="154" t="s">
        <v>391</v>
      </c>
      <c r="AE2022" s="243" t="b">
        <f t="shared" si="3"/>
        <v>0</v>
      </c>
      <c r="AF2022" s="154"/>
      <c r="AG2022" s="243" t="b">
        <f t="shared" si="7"/>
        <v>0</v>
      </c>
      <c r="AH2022" s="154"/>
      <c r="AI2022" s="243" t="str">
        <f t="shared" si="5"/>
        <v>N/A</v>
      </c>
      <c r="AJ2022" s="157" t="str">
        <f t="shared" si="6"/>
        <v/>
      </c>
    </row>
    <row r="2023" ht="12.75" customHeight="1">
      <c r="A2023" s="244" t="s">
        <v>4158</v>
      </c>
      <c r="B2023" s="244" t="s">
        <v>5028</v>
      </c>
      <c r="C2023" s="244" t="s">
        <v>5081</v>
      </c>
      <c r="D2023" s="154" t="s">
        <v>2746</v>
      </c>
      <c r="E2023" s="250" t="s">
        <v>489</v>
      </c>
      <c r="F2023" s="154" t="str">
        <f t="array" ref="F2023">XLOOKUP(Cover!$D$12,$S$1:$AA$1,$S2023:$AA2023)</f>
        <v>Mandatory</v>
      </c>
      <c r="G2023" s="154" t="s">
        <v>5082</v>
      </c>
      <c r="H2023" s="154" t="s">
        <v>5041</v>
      </c>
      <c r="I2023" s="154" t="s">
        <v>420</v>
      </c>
      <c r="J2023" s="154" t="s">
        <v>445</v>
      </c>
      <c r="K2023" s="154"/>
      <c r="L2023" s="154" t="str">
        <f t="shared" si="1"/>
        <v/>
      </c>
      <c r="M2023" s="248" t="str">
        <f>IFERROR(__xludf.DUMMYFUNCTION("VLOOKUP(C2023,IMPORTRANGE(""https://docs.google.com/spreadsheets/d/1P8eX0NWBhUPS_hvzA11R6jkTNFrPrRYIx_dX_hYbxrk/edit?resourcekey=0-iw9bsKY2OqkUHCFMkCar3A&amp;gid=2055363397#gid=2055363397"",""MTR!C:O""),11,false)"),"PMW-IMS")</f>
        <v>PMW-IMS</v>
      </c>
      <c r="N2023" s="248" t="str">
        <f>IFERROR(__xludf.DUMMYFUNCTION("VLOOKUP(C2023,IMPORTRANGE(""https://docs.google.com/spreadsheets/d/1ihFlp3_ePlYtFuPbUNbYj1muErVpI73WHXbEwJDIA7Q/edit#gid=1493122344"",""MTR!C:O""),8,false)"),"Complies")</f>
        <v>Complies</v>
      </c>
      <c r="O2023" s="241" t="str">
        <f>IFERROR(__xludf.DUMMYFUNCTION("VLOOKUP(C2023,IMPORTRANGE(""https://docs.google.com/spreadsheets/d/1P8eX0NWBhUPS_hvzA11R6jkTNFrPrRYIx_dX_hYbxrk/edit?resourcekey=0-iw9bsKY2OqkUHCFMkCar3A&amp;gid=2055363397#gid=2055363397"",""MTR!C:O""),9,false)"),"")</f>
        <v/>
      </c>
      <c r="P2023" s="241"/>
      <c r="Q2023" s="251" t="s">
        <v>445</v>
      </c>
      <c r="R2023" s="241"/>
      <c r="S2023" s="154" t="s">
        <v>60</v>
      </c>
      <c r="T2023" s="154" t="s">
        <v>60</v>
      </c>
      <c r="U2023" s="154" t="s">
        <v>60</v>
      </c>
      <c r="V2023" s="154" t="s">
        <v>60</v>
      </c>
      <c r="W2023" s="154" t="s">
        <v>60</v>
      </c>
      <c r="X2023" s="154" t="s">
        <v>60</v>
      </c>
      <c r="Y2023" s="154" t="s">
        <v>60</v>
      </c>
      <c r="Z2023" s="154" t="s">
        <v>60</v>
      </c>
      <c r="AA2023" s="154" t="s">
        <v>60</v>
      </c>
      <c r="AB2023" s="154"/>
      <c r="AC2023" s="242" t="b">
        <f t="shared" si="2"/>
        <v>1</v>
      </c>
      <c r="AD2023" s="154" t="s">
        <v>391</v>
      </c>
      <c r="AE2023" s="243" t="b">
        <f t="shared" si="3"/>
        <v>0</v>
      </c>
      <c r="AF2023" s="154"/>
      <c r="AG2023" s="243" t="b">
        <f t="shared" si="7"/>
        <v>0</v>
      </c>
      <c r="AH2023" s="154"/>
      <c r="AI2023" s="243" t="str">
        <f t="shared" si="5"/>
        <v>N/A</v>
      </c>
      <c r="AJ2023" s="157" t="str">
        <f t="shared" si="6"/>
        <v/>
      </c>
    </row>
    <row r="2024" ht="12.75" customHeight="1">
      <c r="A2024" s="244" t="s">
        <v>4158</v>
      </c>
      <c r="B2024" s="244" t="s">
        <v>5028</v>
      </c>
      <c r="C2024" s="244" t="s">
        <v>5083</v>
      </c>
      <c r="D2024" s="154" t="s">
        <v>484</v>
      </c>
      <c r="E2024" s="250" t="s">
        <v>489</v>
      </c>
      <c r="F2024" s="154" t="str">
        <f t="array" ref="F2024">XLOOKUP(Cover!$D$12,$S$1:$AA$1,$S2024:$AA2024)</f>
        <v>Mandatory</v>
      </c>
      <c r="G2024" s="154" t="s">
        <v>5084</v>
      </c>
      <c r="H2024" s="154" t="s">
        <v>5041</v>
      </c>
      <c r="I2024" s="154" t="s">
        <v>420</v>
      </c>
      <c r="J2024" s="154" t="s">
        <v>506</v>
      </c>
      <c r="K2024" s="154" t="s">
        <v>5085</v>
      </c>
      <c r="L2024" s="154" t="str">
        <f t="shared" si="1"/>
        <v/>
      </c>
      <c r="M2024" s="248" t="str">
        <f>IFERROR(__xludf.DUMMYFUNCTION("VLOOKUP(C2024,IMPORTRANGE(""https://docs.google.com/spreadsheets/d/1P8eX0NWBhUPS_hvzA11R6jkTNFrPrRYIx_dX_hYbxrk/edit?resourcekey=0-iw9bsKY2OqkUHCFMkCar3A&amp;gid=2055363397#gid=2055363397"",""MTR!C:O""),11,false)"),"PMW-IMS")</f>
        <v>PMW-IMS</v>
      </c>
      <c r="N2024" s="248" t="str">
        <f>IFERROR(__xludf.DUMMYFUNCTION("VLOOKUP(C2024,IMPORTRANGE(""https://docs.google.com/spreadsheets/d/1ihFlp3_ePlYtFuPbUNbYj1muErVpI73WHXbEwJDIA7Q/edit#gid=1493122344"",""MTR!C:O""),8,false)"),"Partially Complies")</f>
        <v>Partially Complies</v>
      </c>
      <c r="O2024" s="248" t="str">
        <f>IFERROR(__xludf.DUMMYFUNCTION("VLOOKUP(C2024,IMPORTRANGE(""https://docs.google.com/spreadsheets/d/1P8eX0NWBhUPS_hvzA11R6jkTNFrPrRYIx_dX_hYbxrk/edit?resourcekey=0-iw9bsKY2OqkUHCFMkCar3A&amp;gid=2055363397#gid=2055363397"",""MTR!C:O""),9,false)"),"user has to enable the setting manually to allow MMS when mobile data is off.")</f>
        <v>user has to enable the setting manually to allow MMS when mobile data is off.</v>
      </c>
      <c r="P2024" s="248"/>
      <c r="Q2024" s="249" t="s">
        <v>506</v>
      </c>
      <c r="R2024" s="249" t="s">
        <v>5085</v>
      </c>
      <c r="S2024" s="154" t="s">
        <v>60</v>
      </c>
      <c r="T2024" s="154" t="s">
        <v>60</v>
      </c>
      <c r="U2024" s="154" t="s">
        <v>60</v>
      </c>
      <c r="V2024" s="154" t="s">
        <v>60</v>
      </c>
      <c r="W2024" s="154" t="s">
        <v>60</v>
      </c>
      <c r="X2024" s="154" t="s">
        <v>60</v>
      </c>
      <c r="Y2024" s="154" t="s">
        <v>60</v>
      </c>
      <c r="Z2024" s="154" t="s">
        <v>60</v>
      </c>
      <c r="AA2024" s="154" t="s">
        <v>60</v>
      </c>
      <c r="AB2024" s="154"/>
      <c r="AC2024" s="242" t="b">
        <f t="shared" si="2"/>
        <v>1</v>
      </c>
      <c r="AD2024" s="154" t="s">
        <v>391</v>
      </c>
      <c r="AE2024" s="243" t="b">
        <f t="shared" si="3"/>
        <v>0</v>
      </c>
      <c r="AF2024" s="154"/>
      <c r="AG2024" s="243" t="b">
        <f t="shared" si="7"/>
        <v>0</v>
      </c>
      <c r="AH2024" s="154"/>
      <c r="AI2024" s="243" t="str">
        <f t="shared" si="5"/>
        <v>N/A</v>
      </c>
      <c r="AJ2024" s="157" t="str">
        <f t="shared" si="6"/>
        <v/>
      </c>
    </row>
    <row r="2025" ht="12.75" customHeight="1">
      <c r="A2025" s="238" t="s">
        <v>4158</v>
      </c>
      <c r="B2025" s="238" t="s">
        <v>5028</v>
      </c>
      <c r="C2025" s="238" t="s">
        <v>5086</v>
      </c>
      <c r="D2025" s="240"/>
      <c r="E2025" s="252" t="s">
        <v>489</v>
      </c>
      <c r="F2025" s="154" t="str">
        <f t="array" ref="F2025">XLOOKUP(Cover!$D$12,$S$1:$AA$1,$S2025:$AA2025)</f>
        <v>Heading</v>
      </c>
      <c r="G2025" s="239" t="s">
        <v>5087</v>
      </c>
      <c r="H2025" s="240"/>
      <c r="I2025" s="240" t="s">
        <v>420</v>
      </c>
      <c r="J2025" s="262"/>
      <c r="K2025" s="262"/>
      <c r="L2025" s="154" t="str">
        <f t="shared" si="1"/>
        <v/>
      </c>
      <c r="M2025" s="241" t="str">
        <f>IFERROR(__xludf.DUMMYFUNCTION("VLOOKUP(C2025,IMPORTRANGE(""https://docs.google.com/spreadsheets/d/1P8eX0NWBhUPS_hvzA11R6jkTNFrPrRYIx_dX_hYbxrk/edit?resourcekey=0-iw9bsKY2OqkUHCFMkCar3A&amp;gid=2055363397#gid=2055363397"",""MTR!C:O""),11,false)"),"")</f>
        <v/>
      </c>
      <c r="N2025" s="241" t="str">
        <f>IFERROR(__xludf.DUMMYFUNCTION("VLOOKUP(C2025,IMPORTRANGE(""https://docs.google.com/spreadsheets/d/1ihFlp3_ePlYtFuPbUNbYj1muErVpI73WHXbEwJDIA7Q/edit#gid=1493122344"",""MTR!C:O""),8,false)"),"")</f>
        <v/>
      </c>
      <c r="O2025" s="241" t="str">
        <f>IFERROR(__xludf.DUMMYFUNCTION("VLOOKUP(C2025,IMPORTRANGE(""https://docs.google.com/spreadsheets/d/1P8eX0NWBhUPS_hvzA11R6jkTNFrPrRYIx_dX_hYbxrk/edit?resourcekey=0-iw9bsKY2OqkUHCFMkCar3A&amp;gid=2055363397#gid=2055363397"",""MTR!C:O""),9,false)"),"")</f>
        <v/>
      </c>
      <c r="P2025" s="241"/>
      <c r="Q2025" s="251"/>
      <c r="R2025" s="251"/>
      <c r="S2025" s="240" t="s">
        <v>390</v>
      </c>
      <c r="T2025" s="240" t="s">
        <v>390</v>
      </c>
      <c r="U2025" s="240" t="s">
        <v>390</v>
      </c>
      <c r="V2025" s="240" t="s">
        <v>390</v>
      </c>
      <c r="W2025" s="240" t="s">
        <v>390</v>
      </c>
      <c r="X2025" s="240" t="s">
        <v>390</v>
      </c>
      <c r="Y2025" s="240" t="s">
        <v>390</v>
      </c>
      <c r="Z2025" s="240" t="s">
        <v>390</v>
      </c>
      <c r="AA2025" s="240" t="s">
        <v>390</v>
      </c>
      <c r="AB2025" s="240"/>
      <c r="AC2025" s="242" t="b">
        <f t="shared" si="2"/>
        <v>0</v>
      </c>
      <c r="AD2025" s="240" t="s">
        <v>391</v>
      </c>
      <c r="AE2025" s="243" t="b">
        <f t="shared" si="3"/>
        <v>0</v>
      </c>
      <c r="AF2025" s="240"/>
      <c r="AG2025" s="243" t="b">
        <f t="shared" si="7"/>
        <v>0</v>
      </c>
      <c r="AH2025" s="240"/>
      <c r="AI2025" s="243" t="str">
        <f t="shared" si="5"/>
        <v>N/A</v>
      </c>
      <c r="AJ2025" s="157" t="str">
        <f t="shared" si="6"/>
        <v/>
      </c>
    </row>
    <row r="2026" ht="12.75" customHeight="1">
      <c r="A2026" s="244" t="s">
        <v>4158</v>
      </c>
      <c r="B2026" s="244" t="s">
        <v>5028</v>
      </c>
      <c r="C2026" s="244" t="s">
        <v>5088</v>
      </c>
      <c r="D2026" s="154" t="s">
        <v>2746</v>
      </c>
      <c r="E2026" s="250" t="s">
        <v>489</v>
      </c>
      <c r="F2026" s="154" t="str">
        <f t="array" ref="F2026">XLOOKUP(Cover!$D$12,$S$1:$AA$1,$S2026:$AA2026)</f>
        <v>Mandatory</v>
      </c>
      <c r="G2026" s="154" t="s">
        <v>5089</v>
      </c>
      <c r="H2026" s="154" t="s">
        <v>5038</v>
      </c>
      <c r="I2026" s="154" t="s">
        <v>420</v>
      </c>
      <c r="J2026" s="154" t="s">
        <v>445</v>
      </c>
      <c r="K2026" s="154"/>
      <c r="L2026" s="154" t="str">
        <f t="shared" si="1"/>
        <v/>
      </c>
      <c r="M2026" s="248" t="str">
        <f>IFERROR(__xludf.DUMMYFUNCTION("VLOOKUP(C2026,IMPORTRANGE(""https://docs.google.com/spreadsheets/d/1P8eX0NWBhUPS_hvzA11R6jkTNFrPrRYIx_dX_hYbxrk/edit?resourcekey=0-iw9bsKY2OqkUHCFMkCar3A&amp;gid=2055363397#gid=2055363397"",""MTR!C:O""),11,false)"),"PMW-IMS")</f>
        <v>PMW-IMS</v>
      </c>
      <c r="N2026" s="248" t="str">
        <f>IFERROR(__xludf.DUMMYFUNCTION("VLOOKUP(C2026,IMPORTRANGE(""https://docs.google.com/spreadsheets/d/1ihFlp3_ePlYtFuPbUNbYj1muErVpI73WHXbEwJDIA7Q/edit#gid=1493122344"",""MTR!C:O""),8,false)"),"Complies")</f>
        <v>Complies</v>
      </c>
      <c r="O2026" s="241" t="str">
        <f>IFERROR(__xludf.DUMMYFUNCTION("VLOOKUP(C2026,IMPORTRANGE(""https://docs.google.com/spreadsheets/d/1P8eX0NWBhUPS_hvzA11R6jkTNFrPrRYIx_dX_hYbxrk/edit?resourcekey=0-iw9bsKY2OqkUHCFMkCar3A&amp;gid=2055363397#gid=2055363397"",""MTR!C:O""),9,false)"),"")</f>
        <v/>
      </c>
      <c r="P2026" s="241"/>
      <c r="Q2026" s="251" t="s">
        <v>445</v>
      </c>
      <c r="R2026" s="241"/>
      <c r="S2026" s="154" t="s">
        <v>60</v>
      </c>
      <c r="T2026" s="154" t="s">
        <v>60</v>
      </c>
      <c r="U2026" s="154" t="s">
        <v>60</v>
      </c>
      <c r="V2026" s="154" t="s">
        <v>60</v>
      </c>
      <c r="W2026" s="154" t="s">
        <v>60</v>
      </c>
      <c r="X2026" s="154" t="s">
        <v>60</v>
      </c>
      <c r="Y2026" s="154" t="s">
        <v>60</v>
      </c>
      <c r="Z2026" s="154" t="s">
        <v>60</v>
      </c>
      <c r="AA2026" s="154" t="s">
        <v>60</v>
      </c>
      <c r="AB2026" s="154"/>
      <c r="AC2026" s="242" t="b">
        <f t="shared" si="2"/>
        <v>1</v>
      </c>
      <c r="AD2026" s="154" t="s">
        <v>391</v>
      </c>
      <c r="AE2026" s="243" t="b">
        <f t="shared" si="3"/>
        <v>0</v>
      </c>
      <c r="AF2026" s="154"/>
      <c r="AG2026" s="243" t="b">
        <f t="shared" si="7"/>
        <v>0</v>
      </c>
      <c r="AH2026" s="154"/>
      <c r="AI2026" s="243" t="str">
        <f t="shared" si="5"/>
        <v>N/A</v>
      </c>
      <c r="AJ2026" s="157" t="str">
        <f t="shared" si="6"/>
        <v/>
      </c>
    </row>
    <row r="2027" ht="12.75" customHeight="1">
      <c r="A2027" s="244" t="s">
        <v>4158</v>
      </c>
      <c r="B2027" s="244" t="s">
        <v>5028</v>
      </c>
      <c r="C2027" s="244" t="s">
        <v>5090</v>
      </c>
      <c r="D2027" s="154" t="s">
        <v>477</v>
      </c>
      <c r="E2027" s="250" t="s">
        <v>489</v>
      </c>
      <c r="F2027" s="154" t="str">
        <f t="array" ref="F2027">XLOOKUP(Cover!$D$12,$S$1:$AA$1,$S2027:$AA2027)</f>
        <v>Recommended</v>
      </c>
      <c r="G2027" s="154" t="s">
        <v>5091</v>
      </c>
      <c r="H2027" s="154"/>
      <c r="I2027" s="154" t="s">
        <v>420</v>
      </c>
      <c r="J2027" s="154" t="s">
        <v>445</v>
      </c>
      <c r="K2027" s="154"/>
      <c r="L2027" s="154" t="str">
        <f t="shared" si="1"/>
        <v/>
      </c>
      <c r="M2027" s="248" t="str">
        <f>IFERROR(__xludf.DUMMYFUNCTION("VLOOKUP(C2027,IMPORTRANGE(""https://docs.google.com/spreadsheets/d/1P8eX0NWBhUPS_hvzA11R6jkTNFrPrRYIx_dX_hYbxrk/edit?resourcekey=0-iw9bsKY2OqkUHCFMkCar3A&amp;gid=2055363397#gid=2055363397"",""MTR!C:O""),11,false)"),"PMW-IMS")</f>
        <v>PMW-IMS</v>
      </c>
      <c r="N2027" s="248" t="str">
        <f>IFERROR(__xludf.DUMMYFUNCTION("VLOOKUP(C2027,IMPORTRANGE(""https://docs.google.com/spreadsheets/d/1ihFlp3_ePlYtFuPbUNbYj1muErVpI73WHXbEwJDIA7Q/edit#gid=1493122344"",""MTR!C:O""),8,false)"),"Complies")</f>
        <v>Complies</v>
      </c>
      <c r="O2027" s="241" t="str">
        <f>IFERROR(__xludf.DUMMYFUNCTION("VLOOKUP(C2027,IMPORTRANGE(""https://docs.google.com/spreadsheets/d/1P8eX0NWBhUPS_hvzA11R6jkTNFrPrRYIx_dX_hYbxrk/edit?resourcekey=0-iw9bsKY2OqkUHCFMkCar3A&amp;gid=2055363397#gid=2055363397"",""MTR!C:O""),9,false)"),"")</f>
        <v/>
      </c>
      <c r="P2027" s="241"/>
      <c r="Q2027" s="251" t="s">
        <v>445</v>
      </c>
      <c r="R2027" s="241"/>
      <c r="S2027" s="154" t="s">
        <v>64</v>
      </c>
      <c r="T2027" s="154" t="s">
        <v>64</v>
      </c>
      <c r="U2027" s="154" t="s">
        <v>64</v>
      </c>
      <c r="V2027" s="154" t="s">
        <v>64</v>
      </c>
      <c r="W2027" s="154" t="s">
        <v>64</v>
      </c>
      <c r="X2027" s="154" t="s">
        <v>64</v>
      </c>
      <c r="Y2027" s="154" t="s">
        <v>64</v>
      </c>
      <c r="Z2027" s="154" t="s">
        <v>64</v>
      </c>
      <c r="AA2027" s="154" t="s">
        <v>64</v>
      </c>
      <c r="AB2027" s="154"/>
      <c r="AC2027" s="242" t="b">
        <f t="shared" si="2"/>
        <v>1</v>
      </c>
      <c r="AD2027" s="154" t="s">
        <v>391</v>
      </c>
      <c r="AE2027" s="243" t="b">
        <f t="shared" si="3"/>
        <v>0</v>
      </c>
      <c r="AF2027" s="154"/>
      <c r="AG2027" s="243" t="b">
        <f t="shared" si="7"/>
        <v>0</v>
      </c>
      <c r="AH2027" s="154"/>
      <c r="AI2027" s="243" t="str">
        <f t="shared" si="5"/>
        <v>N/A</v>
      </c>
      <c r="AJ2027" s="157" t="str">
        <f t="shared" si="6"/>
        <v/>
      </c>
    </row>
    <row r="2028" ht="12.75" customHeight="1">
      <c r="A2028" s="244" t="s">
        <v>4158</v>
      </c>
      <c r="B2028" s="244" t="s">
        <v>5028</v>
      </c>
      <c r="C2028" s="244" t="s">
        <v>5092</v>
      </c>
      <c r="D2028" s="154" t="s">
        <v>1282</v>
      </c>
      <c r="E2028" s="250" t="s">
        <v>489</v>
      </c>
      <c r="F2028" s="154" t="str">
        <f t="array" ref="F2028">XLOOKUP(Cover!$D$12,$S$1:$AA$1,$S2028:$AA2028)</f>
        <v>Mandatory</v>
      </c>
      <c r="G2028" s="154" t="s">
        <v>5093</v>
      </c>
      <c r="H2028" s="154" t="s">
        <v>5038</v>
      </c>
      <c r="I2028" s="154" t="s">
        <v>420</v>
      </c>
      <c r="J2028" s="154" t="s">
        <v>445</v>
      </c>
      <c r="K2028" s="154"/>
      <c r="L2028" s="154" t="str">
        <f t="shared" si="1"/>
        <v/>
      </c>
      <c r="M2028" s="248" t="str">
        <f>IFERROR(__xludf.DUMMYFUNCTION("VLOOKUP(C2028,IMPORTRANGE(""https://docs.google.com/spreadsheets/d/1P8eX0NWBhUPS_hvzA11R6jkTNFrPrRYIx_dX_hYbxrk/edit?resourcekey=0-iw9bsKY2OqkUHCFMkCar3A&amp;gid=2055363397#gid=2055363397"",""MTR!C:O""),11,false)"),"PMW-IMS")</f>
        <v>PMW-IMS</v>
      </c>
      <c r="N2028" s="248" t="str">
        <f>IFERROR(__xludf.DUMMYFUNCTION("VLOOKUP(C2028,IMPORTRANGE(""https://docs.google.com/spreadsheets/d/1ihFlp3_ePlYtFuPbUNbYj1muErVpI73WHXbEwJDIA7Q/edit#gid=1493122344"",""MTR!C:O""),8,false)"),"Complies")</f>
        <v>Complies</v>
      </c>
      <c r="O2028" s="241" t="str">
        <f>IFERROR(__xludf.DUMMYFUNCTION("VLOOKUP(C2028,IMPORTRANGE(""https://docs.google.com/spreadsheets/d/1P8eX0NWBhUPS_hvzA11R6jkTNFrPrRYIx_dX_hYbxrk/edit?resourcekey=0-iw9bsKY2OqkUHCFMkCar3A&amp;gid=2055363397#gid=2055363397"",""MTR!C:O""),9,false)"),"")</f>
        <v/>
      </c>
      <c r="P2028" s="241"/>
      <c r="Q2028" s="251" t="s">
        <v>445</v>
      </c>
      <c r="R2028" s="241"/>
      <c r="S2028" s="154" t="s">
        <v>60</v>
      </c>
      <c r="T2028" s="154" t="s">
        <v>60</v>
      </c>
      <c r="U2028" s="154" t="s">
        <v>60</v>
      </c>
      <c r="V2028" s="154" t="s">
        <v>60</v>
      </c>
      <c r="W2028" s="154" t="s">
        <v>60</v>
      </c>
      <c r="X2028" s="154" t="s">
        <v>60</v>
      </c>
      <c r="Y2028" s="154" t="s">
        <v>60</v>
      </c>
      <c r="Z2028" s="154" t="s">
        <v>60</v>
      </c>
      <c r="AA2028" s="154" t="s">
        <v>60</v>
      </c>
      <c r="AB2028" s="154"/>
      <c r="AC2028" s="242" t="b">
        <f t="shared" si="2"/>
        <v>1</v>
      </c>
      <c r="AD2028" s="154" t="s">
        <v>391</v>
      </c>
      <c r="AE2028" s="243" t="b">
        <f t="shared" si="3"/>
        <v>0</v>
      </c>
      <c r="AF2028" s="154"/>
      <c r="AG2028" s="243" t="b">
        <f t="shared" si="7"/>
        <v>0</v>
      </c>
      <c r="AH2028" s="154"/>
      <c r="AI2028" s="243" t="str">
        <f t="shared" si="5"/>
        <v>N/A</v>
      </c>
      <c r="AJ2028" s="157" t="str">
        <f t="shared" si="6"/>
        <v/>
      </c>
    </row>
    <row r="2029" ht="12.75" customHeight="1">
      <c r="A2029" s="244" t="s">
        <v>4158</v>
      </c>
      <c r="B2029" s="244" t="s">
        <v>5028</v>
      </c>
      <c r="C2029" s="244" t="s">
        <v>5094</v>
      </c>
      <c r="D2029" s="154" t="s">
        <v>739</v>
      </c>
      <c r="E2029" s="250" t="s">
        <v>489</v>
      </c>
      <c r="F2029" s="154" t="str">
        <f t="array" ref="F2029">XLOOKUP(Cover!$D$12,$S$1:$AA$1,$S2029:$AA2029)</f>
        <v>Mandatory</v>
      </c>
      <c r="G2029" s="154" t="s">
        <v>5095</v>
      </c>
      <c r="H2029" s="154" t="s">
        <v>5038</v>
      </c>
      <c r="I2029" s="154" t="s">
        <v>420</v>
      </c>
      <c r="J2029" s="154" t="s">
        <v>445</v>
      </c>
      <c r="K2029" s="154"/>
      <c r="L2029" s="154" t="str">
        <f t="shared" si="1"/>
        <v/>
      </c>
      <c r="M2029" s="248" t="str">
        <f>IFERROR(__xludf.DUMMYFUNCTION("VLOOKUP(C2029,IMPORTRANGE(""https://docs.google.com/spreadsheets/d/1P8eX0NWBhUPS_hvzA11R6jkTNFrPrRYIx_dX_hYbxrk/edit?resourcekey=0-iw9bsKY2OqkUHCFMkCar3A&amp;gid=2055363397#gid=2055363397"",""MTR!C:O""),11,false)"),"PMW-IMS")</f>
        <v>PMW-IMS</v>
      </c>
      <c r="N2029" s="248" t="str">
        <f>IFERROR(__xludf.DUMMYFUNCTION("VLOOKUP(C2029,IMPORTRANGE(""https://docs.google.com/spreadsheets/d/1ihFlp3_ePlYtFuPbUNbYj1muErVpI73WHXbEwJDIA7Q/edit#gid=1493122344"",""MTR!C:O""),8,false)"),"Complies")</f>
        <v>Complies</v>
      </c>
      <c r="O2029" s="241" t="str">
        <f>IFERROR(__xludf.DUMMYFUNCTION("VLOOKUP(C2029,IMPORTRANGE(""https://docs.google.com/spreadsheets/d/1P8eX0NWBhUPS_hvzA11R6jkTNFrPrRYIx_dX_hYbxrk/edit?resourcekey=0-iw9bsKY2OqkUHCFMkCar3A&amp;gid=2055363397#gid=2055363397"",""MTR!C:O""),9,false)"),"")</f>
        <v/>
      </c>
      <c r="P2029" s="241"/>
      <c r="Q2029" s="251" t="s">
        <v>445</v>
      </c>
      <c r="R2029" s="241"/>
      <c r="S2029" s="154" t="s">
        <v>60</v>
      </c>
      <c r="T2029" s="154" t="s">
        <v>60</v>
      </c>
      <c r="U2029" s="154" t="s">
        <v>60</v>
      </c>
      <c r="V2029" s="154" t="s">
        <v>60</v>
      </c>
      <c r="W2029" s="154" t="s">
        <v>60</v>
      </c>
      <c r="X2029" s="154" t="s">
        <v>60</v>
      </c>
      <c r="Y2029" s="154" t="s">
        <v>60</v>
      </c>
      <c r="Z2029" s="154" t="s">
        <v>60</v>
      </c>
      <c r="AA2029" s="154" t="s">
        <v>60</v>
      </c>
      <c r="AB2029" s="154"/>
      <c r="AC2029" s="242" t="b">
        <f t="shared" si="2"/>
        <v>1</v>
      </c>
      <c r="AD2029" s="154" t="s">
        <v>391</v>
      </c>
      <c r="AE2029" s="243" t="b">
        <f t="shared" si="3"/>
        <v>0</v>
      </c>
      <c r="AF2029" s="154"/>
      <c r="AG2029" s="243" t="b">
        <f t="shared" si="7"/>
        <v>0</v>
      </c>
      <c r="AH2029" s="154"/>
      <c r="AI2029" s="243" t="str">
        <f t="shared" si="5"/>
        <v>N/A</v>
      </c>
      <c r="AJ2029" s="157" t="str">
        <f t="shared" si="6"/>
        <v/>
      </c>
    </row>
    <row r="2030" ht="12.75" customHeight="1">
      <c r="A2030" s="244" t="s">
        <v>4158</v>
      </c>
      <c r="B2030" s="244" t="s">
        <v>5028</v>
      </c>
      <c r="C2030" s="244" t="s">
        <v>5096</v>
      </c>
      <c r="D2030" s="154" t="s">
        <v>2746</v>
      </c>
      <c r="E2030" s="250" t="s">
        <v>489</v>
      </c>
      <c r="F2030" s="154" t="str">
        <f t="array" ref="F2030">XLOOKUP(Cover!$D$12,$S$1:$AA$1,$S2030:$AA2030)</f>
        <v>Mandatory</v>
      </c>
      <c r="G2030" s="154" t="s">
        <v>5097</v>
      </c>
      <c r="H2030" s="154" t="s">
        <v>5038</v>
      </c>
      <c r="I2030" s="154" t="s">
        <v>420</v>
      </c>
      <c r="J2030" s="154" t="s">
        <v>445</v>
      </c>
      <c r="K2030" s="154"/>
      <c r="L2030" s="154" t="str">
        <f t="shared" si="1"/>
        <v/>
      </c>
      <c r="M2030" s="248" t="str">
        <f>IFERROR(__xludf.DUMMYFUNCTION("VLOOKUP(C2030,IMPORTRANGE(""https://docs.google.com/spreadsheets/d/1P8eX0NWBhUPS_hvzA11R6jkTNFrPrRYIx_dX_hYbxrk/edit?resourcekey=0-iw9bsKY2OqkUHCFMkCar3A&amp;gid=2055363397#gid=2055363397"",""MTR!C:O""),11,false)"),"PMW-IMS")</f>
        <v>PMW-IMS</v>
      </c>
      <c r="N2030" s="248" t="str">
        <f>IFERROR(__xludf.DUMMYFUNCTION("VLOOKUP(C2030,IMPORTRANGE(""https://docs.google.com/spreadsheets/d/1ihFlp3_ePlYtFuPbUNbYj1muErVpI73WHXbEwJDIA7Q/edit#gid=1493122344"",""MTR!C:O""),8,false)"),"Complies")</f>
        <v>Complies</v>
      </c>
      <c r="O2030" s="241" t="str">
        <f>IFERROR(__xludf.DUMMYFUNCTION("VLOOKUP(C2030,IMPORTRANGE(""https://docs.google.com/spreadsheets/d/1P8eX0NWBhUPS_hvzA11R6jkTNFrPrRYIx_dX_hYbxrk/edit?resourcekey=0-iw9bsKY2OqkUHCFMkCar3A&amp;gid=2055363397#gid=2055363397"",""MTR!C:O""),9,false)"),"")</f>
        <v/>
      </c>
      <c r="P2030" s="241"/>
      <c r="Q2030" s="251" t="s">
        <v>445</v>
      </c>
      <c r="R2030" s="241"/>
      <c r="S2030" s="154" t="s">
        <v>60</v>
      </c>
      <c r="T2030" s="154" t="s">
        <v>60</v>
      </c>
      <c r="U2030" s="154" t="s">
        <v>60</v>
      </c>
      <c r="V2030" s="154" t="s">
        <v>60</v>
      </c>
      <c r="W2030" s="154" t="s">
        <v>60</v>
      </c>
      <c r="X2030" s="154" t="s">
        <v>60</v>
      </c>
      <c r="Y2030" s="154" t="s">
        <v>60</v>
      </c>
      <c r="Z2030" s="154" t="s">
        <v>60</v>
      </c>
      <c r="AA2030" s="154" t="s">
        <v>60</v>
      </c>
      <c r="AB2030" s="154"/>
      <c r="AC2030" s="242" t="b">
        <f t="shared" si="2"/>
        <v>1</v>
      </c>
      <c r="AD2030" s="154" t="s">
        <v>391</v>
      </c>
      <c r="AE2030" s="243" t="b">
        <f t="shared" si="3"/>
        <v>0</v>
      </c>
      <c r="AF2030" s="154"/>
      <c r="AG2030" s="243" t="b">
        <f t="shared" si="7"/>
        <v>0</v>
      </c>
      <c r="AH2030" s="154"/>
      <c r="AI2030" s="243" t="str">
        <f t="shared" si="5"/>
        <v>N/A</v>
      </c>
      <c r="AJ2030" s="157" t="str">
        <f t="shared" si="6"/>
        <v/>
      </c>
    </row>
    <row r="2031" ht="12.75" customHeight="1">
      <c r="A2031" s="244" t="s">
        <v>4158</v>
      </c>
      <c r="B2031" s="244" t="s">
        <v>5028</v>
      </c>
      <c r="C2031" s="245" t="s">
        <v>5098</v>
      </c>
      <c r="D2031" s="155" t="s">
        <v>2746</v>
      </c>
      <c r="E2031" s="246" t="s">
        <v>489</v>
      </c>
      <c r="F2031" s="154" t="str">
        <f t="array" ref="F2031">XLOOKUP(Cover!$D$12,$S$1:$AA$1,$S2031:$AA2031)</f>
        <v>Comment</v>
      </c>
      <c r="G2031" s="154" t="s">
        <v>5099</v>
      </c>
      <c r="H2031" s="154"/>
      <c r="I2031" s="154" t="s">
        <v>420</v>
      </c>
      <c r="J2031" s="154"/>
      <c r="K2031" s="154"/>
      <c r="L2031" s="154" t="str">
        <f t="shared" si="1"/>
        <v/>
      </c>
      <c r="M2031" s="241" t="str">
        <f>IFERROR(__xludf.DUMMYFUNCTION("VLOOKUP(C2031,IMPORTRANGE(""https://docs.google.com/spreadsheets/d/1P8eX0NWBhUPS_hvzA11R6jkTNFrPrRYIx_dX_hYbxrk/edit?resourcekey=0-iw9bsKY2OqkUHCFMkCar3A&amp;gid=2055363397#gid=2055363397"",""MTR!C:O""),11,false)"),"")</f>
        <v/>
      </c>
      <c r="N2031" s="241" t="str">
        <f>IFERROR(__xludf.DUMMYFUNCTION("VLOOKUP(C2031,IMPORTRANGE(""https://docs.google.com/spreadsheets/d/1ihFlp3_ePlYtFuPbUNbYj1muErVpI73WHXbEwJDIA7Q/edit#gid=1493122344"",""MTR!C:O""),8,false)"),"")</f>
        <v/>
      </c>
      <c r="O2031" s="241" t="str">
        <f>IFERROR(__xludf.DUMMYFUNCTION("VLOOKUP(C2031,IMPORTRANGE(""https://docs.google.com/spreadsheets/d/1P8eX0NWBhUPS_hvzA11R6jkTNFrPrRYIx_dX_hYbxrk/edit?resourcekey=0-iw9bsKY2OqkUHCFMkCar3A&amp;gid=2055363397#gid=2055363397"",""MTR!C:O""),9,false)"),"")</f>
        <v/>
      </c>
      <c r="P2031" s="241"/>
      <c r="Q2031" s="251"/>
      <c r="R2031" s="241"/>
      <c r="S2031" s="154" t="s">
        <v>35</v>
      </c>
      <c r="T2031" s="154" t="s">
        <v>35</v>
      </c>
      <c r="U2031" s="154" t="s">
        <v>35</v>
      </c>
      <c r="V2031" s="154" t="s">
        <v>35</v>
      </c>
      <c r="W2031" s="154" t="s">
        <v>35</v>
      </c>
      <c r="X2031" s="154" t="s">
        <v>35</v>
      </c>
      <c r="Y2031" s="154" t="s">
        <v>35</v>
      </c>
      <c r="Z2031" s="154" t="s">
        <v>35</v>
      </c>
      <c r="AA2031" s="154" t="s">
        <v>35</v>
      </c>
      <c r="AB2031" s="154"/>
      <c r="AC2031" s="242" t="b">
        <f t="shared" si="2"/>
        <v>0</v>
      </c>
      <c r="AD2031" s="154" t="s">
        <v>391</v>
      </c>
      <c r="AE2031" s="243" t="b">
        <f t="shared" si="3"/>
        <v>0</v>
      </c>
      <c r="AF2031" s="154"/>
      <c r="AG2031" s="243" t="b">
        <f t="shared" si="7"/>
        <v>0</v>
      </c>
      <c r="AH2031" s="154"/>
      <c r="AI2031" s="243" t="str">
        <f t="shared" si="5"/>
        <v>N/A</v>
      </c>
      <c r="AJ2031" s="157" t="str">
        <f t="shared" si="6"/>
        <v/>
      </c>
    </row>
    <row r="2032" ht="12.75" customHeight="1">
      <c r="A2032" s="244" t="s">
        <v>4158</v>
      </c>
      <c r="B2032" s="244" t="s">
        <v>5028</v>
      </c>
      <c r="C2032" s="244" t="s">
        <v>5100</v>
      </c>
      <c r="D2032" s="154" t="s">
        <v>2746</v>
      </c>
      <c r="E2032" s="250" t="s">
        <v>489</v>
      </c>
      <c r="F2032" s="154" t="str">
        <f t="array" ref="F2032">XLOOKUP(Cover!$D$12,$S$1:$AA$1,$S2032:$AA2032)</f>
        <v>Mandatory</v>
      </c>
      <c r="G2032" s="154" t="s">
        <v>5101</v>
      </c>
      <c r="H2032" s="154" t="s">
        <v>5038</v>
      </c>
      <c r="I2032" s="154" t="s">
        <v>420</v>
      </c>
      <c r="J2032" s="154" t="s">
        <v>445</v>
      </c>
      <c r="K2032" s="154"/>
      <c r="L2032" s="154" t="str">
        <f t="shared" si="1"/>
        <v/>
      </c>
      <c r="M2032" s="248" t="str">
        <f>IFERROR(__xludf.DUMMYFUNCTION("VLOOKUP(C2032,IMPORTRANGE(""https://docs.google.com/spreadsheets/d/1P8eX0NWBhUPS_hvzA11R6jkTNFrPrRYIx_dX_hYbxrk/edit?resourcekey=0-iw9bsKY2OqkUHCFMkCar3A&amp;gid=2055363397#gid=2055363397"",""MTR!C:O""),11,false)"),"PMW-IMS")</f>
        <v>PMW-IMS</v>
      </c>
      <c r="N2032" s="248" t="str">
        <f>IFERROR(__xludf.DUMMYFUNCTION("VLOOKUP(C2032,IMPORTRANGE(""https://docs.google.com/spreadsheets/d/1ihFlp3_ePlYtFuPbUNbYj1muErVpI73WHXbEwJDIA7Q/edit#gid=1493122344"",""MTR!C:O""),8,false)"),"Complies")</f>
        <v>Complies</v>
      </c>
      <c r="O2032" s="241" t="str">
        <f>IFERROR(__xludf.DUMMYFUNCTION("VLOOKUP(C2032,IMPORTRANGE(""https://docs.google.com/spreadsheets/d/1P8eX0NWBhUPS_hvzA11R6jkTNFrPrRYIx_dX_hYbxrk/edit?resourcekey=0-iw9bsKY2OqkUHCFMkCar3A&amp;gid=2055363397#gid=2055363397"",""MTR!C:O""),9,false)"),"")</f>
        <v/>
      </c>
      <c r="P2032" s="241"/>
      <c r="Q2032" s="251" t="s">
        <v>445</v>
      </c>
      <c r="R2032" s="241"/>
      <c r="S2032" s="154" t="s">
        <v>60</v>
      </c>
      <c r="T2032" s="154" t="s">
        <v>60</v>
      </c>
      <c r="U2032" s="154" t="s">
        <v>60</v>
      </c>
      <c r="V2032" s="154" t="s">
        <v>60</v>
      </c>
      <c r="W2032" s="154" t="s">
        <v>60</v>
      </c>
      <c r="X2032" s="154" t="s">
        <v>60</v>
      </c>
      <c r="Y2032" s="154" t="s">
        <v>60</v>
      </c>
      <c r="Z2032" s="154" t="s">
        <v>60</v>
      </c>
      <c r="AA2032" s="154" t="s">
        <v>60</v>
      </c>
      <c r="AB2032" s="154"/>
      <c r="AC2032" s="242" t="b">
        <f t="shared" si="2"/>
        <v>1</v>
      </c>
      <c r="AD2032" s="154" t="s">
        <v>391</v>
      </c>
      <c r="AE2032" s="243" t="b">
        <f t="shared" si="3"/>
        <v>0</v>
      </c>
      <c r="AF2032" s="154"/>
      <c r="AG2032" s="243" t="b">
        <f t="shared" si="7"/>
        <v>0</v>
      </c>
      <c r="AH2032" s="154"/>
      <c r="AI2032" s="243" t="str">
        <f t="shared" si="5"/>
        <v>N/A</v>
      </c>
      <c r="AJ2032" s="157" t="str">
        <f t="shared" si="6"/>
        <v/>
      </c>
    </row>
    <row r="2033" ht="12.75" customHeight="1">
      <c r="A2033" s="244" t="s">
        <v>4158</v>
      </c>
      <c r="B2033" s="244" t="s">
        <v>5028</v>
      </c>
      <c r="C2033" s="244" t="s">
        <v>5102</v>
      </c>
      <c r="D2033" s="154" t="s">
        <v>2746</v>
      </c>
      <c r="E2033" s="250" t="s">
        <v>489</v>
      </c>
      <c r="F2033" s="154" t="str">
        <f t="array" ref="F2033">XLOOKUP(Cover!$D$12,$S$1:$AA$1,$S2033:$AA2033)</f>
        <v>Mandatory</v>
      </c>
      <c r="G2033" s="154" t="s">
        <v>5103</v>
      </c>
      <c r="H2033" s="154" t="s">
        <v>5038</v>
      </c>
      <c r="I2033" s="154" t="s">
        <v>420</v>
      </c>
      <c r="J2033" s="154" t="s">
        <v>445</v>
      </c>
      <c r="K2033" s="154"/>
      <c r="L2033" s="154" t="str">
        <f t="shared" si="1"/>
        <v/>
      </c>
      <c r="M2033" s="248" t="str">
        <f>IFERROR(__xludf.DUMMYFUNCTION("VLOOKUP(C2033,IMPORTRANGE(""https://docs.google.com/spreadsheets/d/1P8eX0NWBhUPS_hvzA11R6jkTNFrPrRYIx_dX_hYbxrk/edit?resourcekey=0-iw9bsKY2OqkUHCFMkCar3A&amp;gid=2055363397#gid=2055363397"",""MTR!C:O""),11,false)"),"PMW-IMS")</f>
        <v>PMW-IMS</v>
      </c>
      <c r="N2033" s="248" t="str">
        <f>IFERROR(__xludf.DUMMYFUNCTION("VLOOKUP(C2033,IMPORTRANGE(""https://docs.google.com/spreadsheets/d/1ihFlp3_ePlYtFuPbUNbYj1muErVpI73WHXbEwJDIA7Q/edit#gid=1493122344"",""MTR!C:O""),8,false)"),"Complies")</f>
        <v>Complies</v>
      </c>
      <c r="O2033" s="241" t="str">
        <f>IFERROR(__xludf.DUMMYFUNCTION("VLOOKUP(C2033,IMPORTRANGE(""https://docs.google.com/spreadsheets/d/1P8eX0NWBhUPS_hvzA11R6jkTNFrPrRYIx_dX_hYbxrk/edit?resourcekey=0-iw9bsKY2OqkUHCFMkCar3A&amp;gid=2055363397#gid=2055363397"",""MTR!C:O""),9,false)"),"")</f>
        <v/>
      </c>
      <c r="P2033" s="241"/>
      <c r="Q2033" s="251" t="s">
        <v>445</v>
      </c>
      <c r="R2033" s="241"/>
      <c r="S2033" s="154" t="s">
        <v>60</v>
      </c>
      <c r="T2033" s="154" t="s">
        <v>60</v>
      </c>
      <c r="U2033" s="154" t="s">
        <v>60</v>
      </c>
      <c r="V2033" s="154" t="s">
        <v>60</v>
      </c>
      <c r="W2033" s="154" t="s">
        <v>60</v>
      </c>
      <c r="X2033" s="154" t="s">
        <v>60</v>
      </c>
      <c r="Y2033" s="154" t="s">
        <v>60</v>
      </c>
      <c r="Z2033" s="154" t="s">
        <v>60</v>
      </c>
      <c r="AA2033" s="154" t="s">
        <v>60</v>
      </c>
      <c r="AB2033" s="154"/>
      <c r="AC2033" s="242" t="b">
        <f t="shared" si="2"/>
        <v>1</v>
      </c>
      <c r="AD2033" s="154" t="s">
        <v>391</v>
      </c>
      <c r="AE2033" s="243" t="b">
        <f t="shared" si="3"/>
        <v>0</v>
      </c>
      <c r="AF2033" s="154"/>
      <c r="AG2033" s="243" t="b">
        <f t="shared" si="7"/>
        <v>0</v>
      </c>
      <c r="AH2033" s="154"/>
      <c r="AI2033" s="243" t="str">
        <f t="shared" si="5"/>
        <v>N/A</v>
      </c>
      <c r="AJ2033" s="157" t="str">
        <f t="shared" si="6"/>
        <v/>
      </c>
    </row>
    <row r="2034" ht="12.75" customHeight="1">
      <c r="A2034" s="244" t="s">
        <v>4158</v>
      </c>
      <c r="B2034" s="244" t="s">
        <v>5028</v>
      </c>
      <c r="C2034" s="244" t="s">
        <v>5104</v>
      </c>
      <c r="D2034" s="154" t="s">
        <v>2746</v>
      </c>
      <c r="E2034" s="250" t="s">
        <v>489</v>
      </c>
      <c r="F2034" s="154" t="str">
        <f t="array" ref="F2034">XLOOKUP(Cover!$D$12,$S$1:$AA$1,$S2034:$AA2034)</f>
        <v>Mandatory</v>
      </c>
      <c r="G2034" s="154" t="s">
        <v>5105</v>
      </c>
      <c r="H2034" s="154" t="s">
        <v>5038</v>
      </c>
      <c r="I2034" s="154" t="s">
        <v>420</v>
      </c>
      <c r="J2034" s="154" t="s">
        <v>445</v>
      </c>
      <c r="K2034" s="154"/>
      <c r="L2034" s="154" t="str">
        <f t="shared" si="1"/>
        <v/>
      </c>
      <c r="M2034" s="248" t="str">
        <f>IFERROR(__xludf.DUMMYFUNCTION("VLOOKUP(C2034,IMPORTRANGE(""https://docs.google.com/spreadsheets/d/1P8eX0NWBhUPS_hvzA11R6jkTNFrPrRYIx_dX_hYbxrk/edit?resourcekey=0-iw9bsKY2OqkUHCFMkCar3A&amp;gid=2055363397#gid=2055363397"",""MTR!C:O""),11,false)"),"PMW-IMS")</f>
        <v>PMW-IMS</v>
      </c>
      <c r="N2034" s="248" t="str">
        <f>IFERROR(__xludf.DUMMYFUNCTION("VLOOKUP(C2034,IMPORTRANGE(""https://docs.google.com/spreadsheets/d/1ihFlp3_ePlYtFuPbUNbYj1muErVpI73WHXbEwJDIA7Q/edit#gid=1493122344"",""MTR!C:O""),8,false)"),"Complies")</f>
        <v>Complies</v>
      </c>
      <c r="O2034" s="241" t="str">
        <f>IFERROR(__xludf.DUMMYFUNCTION("VLOOKUP(C2034,IMPORTRANGE(""https://docs.google.com/spreadsheets/d/1P8eX0NWBhUPS_hvzA11R6jkTNFrPrRYIx_dX_hYbxrk/edit?resourcekey=0-iw9bsKY2OqkUHCFMkCar3A&amp;gid=2055363397#gid=2055363397"",""MTR!C:O""),9,false)"),"")</f>
        <v/>
      </c>
      <c r="P2034" s="241"/>
      <c r="Q2034" s="251" t="s">
        <v>445</v>
      </c>
      <c r="R2034" s="241"/>
      <c r="S2034" s="154" t="s">
        <v>60</v>
      </c>
      <c r="T2034" s="154" t="s">
        <v>60</v>
      </c>
      <c r="U2034" s="154" t="s">
        <v>60</v>
      </c>
      <c r="V2034" s="154" t="s">
        <v>60</v>
      </c>
      <c r="W2034" s="154" t="s">
        <v>60</v>
      </c>
      <c r="X2034" s="154" t="s">
        <v>60</v>
      </c>
      <c r="Y2034" s="154" t="s">
        <v>60</v>
      </c>
      <c r="Z2034" s="154" t="s">
        <v>60</v>
      </c>
      <c r="AA2034" s="154" t="s">
        <v>60</v>
      </c>
      <c r="AB2034" s="154"/>
      <c r="AC2034" s="242" t="b">
        <f t="shared" si="2"/>
        <v>1</v>
      </c>
      <c r="AD2034" s="154" t="s">
        <v>391</v>
      </c>
      <c r="AE2034" s="243" t="b">
        <f t="shared" si="3"/>
        <v>0</v>
      </c>
      <c r="AF2034" s="154"/>
      <c r="AG2034" s="243" t="b">
        <f t="shared" si="7"/>
        <v>0</v>
      </c>
      <c r="AH2034" s="154"/>
      <c r="AI2034" s="243" t="str">
        <f t="shared" si="5"/>
        <v>N/A</v>
      </c>
      <c r="AJ2034" s="157" t="str">
        <f t="shared" si="6"/>
        <v/>
      </c>
    </row>
    <row r="2035" ht="12.75" customHeight="1">
      <c r="A2035" s="244" t="s">
        <v>4158</v>
      </c>
      <c r="B2035" s="244" t="s">
        <v>5028</v>
      </c>
      <c r="C2035" s="244" t="s">
        <v>5106</v>
      </c>
      <c r="D2035" s="154" t="s">
        <v>2746</v>
      </c>
      <c r="E2035" s="250" t="s">
        <v>489</v>
      </c>
      <c r="F2035" s="154" t="str">
        <f t="array" ref="F2035">XLOOKUP(Cover!$D$12,$S$1:$AA$1,$S2035:$AA2035)</f>
        <v>Mandatory</v>
      </c>
      <c r="G2035" s="154" t="s">
        <v>5107</v>
      </c>
      <c r="H2035" s="154" t="s">
        <v>5038</v>
      </c>
      <c r="I2035" s="154" t="s">
        <v>420</v>
      </c>
      <c r="J2035" s="154" t="s">
        <v>445</v>
      </c>
      <c r="K2035" s="154"/>
      <c r="L2035" s="154" t="str">
        <f t="shared" si="1"/>
        <v/>
      </c>
      <c r="M2035" s="248" t="str">
        <f>IFERROR(__xludf.DUMMYFUNCTION("VLOOKUP(C2035,IMPORTRANGE(""https://docs.google.com/spreadsheets/d/1P8eX0NWBhUPS_hvzA11R6jkTNFrPrRYIx_dX_hYbxrk/edit?resourcekey=0-iw9bsKY2OqkUHCFMkCar3A&amp;gid=2055363397#gid=2055363397"",""MTR!C:O""),11,false)"),"PMW-IMS")</f>
        <v>PMW-IMS</v>
      </c>
      <c r="N2035" s="248" t="str">
        <f>IFERROR(__xludf.DUMMYFUNCTION("VLOOKUP(C2035,IMPORTRANGE(""https://docs.google.com/spreadsheets/d/1ihFlp3_ePlYtFuPbUNbYj1muErVpI73WHXbEwJDIA7Q/edit#gid=1493122344"",""MTR!C:O""),8,false)"),"Complies")</f>
        <v>Complies</v>
      </c>
      <c r="O2035" s="241" t="str">
        <f>IFERROR(__xludf.DUMMYFUNCTION("VLOOKUP(C2035,IMPORTRANGE(""https://docs.google.com/spreadsheets/d/1P8eX0NWBhUPS_hvzA11R6jkTNFrPrRYIx_dX_hYbxrk/edit?resourcekey=0-iw9bsKY2OqkUHCFMkCar3A&amp;gid=2055363397#gid=2055363397"",""MTR!C:O""),9,false)"),"")</f>
        <v/>
      </c>
      <c r="P2035" s="241"/>
      <c r="Q2035" s="251" t="s">
        <v>445</v>
      </c>
      <c r="R2035" s="241"/>
      <c r="S2035" s="154" t="s">
        <v>60</v>
      </c>
      <c r="T2035" s="154" t="s">
        <v>60</v>
      </c>
      <c r="U2035" s="154" t="s">
        <v>60</v>
      </c>
      <c r="V2035" s="154" t="s">
        <v>60</v>
      </c>
      <c r="W2035" s="154" t="s">
        <v>60</v>
      </c>
      <c r="X2035" s="154" t="s">
        <v>60</v>
      </c>
      <c r="Y2035" s="154" t="s">
        <v>60</v>
      </c>
      <c r="Z2035" s="154" t="s">
        <v>60</v>
      </c>
      <c r="AA2035" s="154" t="s">
        <v>60</v>
      </c>
      <c r="AB2035" s="154"/>
      <c r="AC2035" s="242" t="b">
        <f t="shared" si="2"/>
        <v>1</v>
      </c>
      <c r="AD2035" s="154" t="s">
        <v>391</v>
      </c>
      <c r="AE2035" s="243" t="b">
        <f t="shared" si="3"/>
        <v>0</v>
      </c>
      <c r="AF2035" s="154"/>
      <c r="AG2035" s="243" t="b">
        <f t="shared" si="7"/>
        <v>0</v>
      </c>
      <c r="AH2035" s="154"/>
      <c r="AI2035" s="243" t="str">
        <f t="shared" si="5"/>
        <v>N/A</v>
      </c>
      <c r="AJ2035" s="157" t="str">
        <f t="shared" si="6"/>
        <v/>
      </c>
    </row>
    <row r="2036" ht="12.75" customHeight="1">
      <c r="A2036" s="244" t="s">
        <v>4158</v>
      </c>
      <c r="B2036" s="244" t="s">
        <v>5028</v>
      </c>
      <c r="C2036" s="244" t="s">
        <v>5108</v>
      </c>
      <c r="D2036" s="154" t="s">
        <v>2746</v>
      </c>
      <c r="E2036" s="250" t="s">
        <v>489</v>
      </c>
      <c r="F2036" s="154" t="str">
        <f t="array" ref="F2036">XLOOKUP(Cover!$D$12,$S$1:$AA$1,$S2036:$AA2036)</f>
        <v>Mandatory</v>
      </c>
      <c r="G2036" s="154" t="s">
        <v>5109</v>
      </c>
      <c r="H2036" s="154" t="s">
        <v>5038</v>
      </c>
      <c r="I2036" s="154" t="s">
        <v>420</v>
      </c>
      <c r="J2036" s="154" t="s">
        <v>445</v>
      </c>
      <c r="K2036" s="154"/>
      <c r="L2036" s="154" t="str">
        <f t="shared" si="1"/>
        <v/>
      </c>
      <c r="M2036" s="248" t="str">
        <f>IFERROR(__xludf.DUMMYFUNCTION("VLOOKUP(C2036,IMPORTRANGE(""https://docs.google.com/spreadsheets/d/1P8eX0NWBhUPS_hvzA11R6jkTNFrPrRYIx_dX_hYbxrk/edit?resourcekey=0-iw9bsKY2OqkUHCFMkCar3A&amp;gid=2055363397#gid=2055363397"",""MTR!C:O""),11,false)"),"PMW-IMS")</f>
        <v>PMW-IMS</v>
      </c>
      <c r="N2036" s="248" t="str">
        <f>IFERROR(__xludf.DUMMYFUNCTION("VLOOKUP(C2036,IMPORTRANGE(""https://docs.google.com/spreadsheets/d/1ihFlp3_ePlYtFuPbUNbYj1muErVpI73WHXbEwJDIA7Q/edit#gid=1493122344"",""MTR!C:O""),8,false)"),"Complies")</f>
        <v>Complies</v>
      </c>
      <c r="O2036" s="241" t="str">
        <f>IFERROR(__xludf.DUMMYFUNCTION("VLOOKUP(C2036,IMPORTRANGE(""https://docs.google.com/spreadsheets/d/1P8eX0NWBhUPS_hvzA11R6jkTNFrPrRYIx_dX_hYbxrk/edit?resourcekey=0-iw9bsKY2OqkUHCFMkCar3A&amp;gid=2055363397#gid=2055363397"",""MTR!C:O""),9,false)"),"")</f>
        <v/>
      </c>
      <c r="P2036" s="241"/>
      <c r="Q2036" s="251" t="s">
        <v>445</v>
      </c>
      <c r="R2036" s="241"/>
      <c r="S2036" s="154" t="s">
        <v>60</v>
      </c>
      <c r="T2036" s="154" t="s">
        <v>60</v>
      </c>
      <c r="U2036" s="154" t="s">
        <v>60</v>
      </c>
      <c r="V2036" s="154" t="s">
        <v>60</v>
      </c>
      <c r="W2036" s="154" t="s">
        <v>60</v>
      </c>
      <c r="X2036" s="154" t="s">
        <v>60</v>
      </c>
      <c r="Y2036" s="154" t="s">
        <v>60</v>
      </c>
      <c r="Z2036" s="154" t="s">
        <v>60</v>
      </c>
      <c r="AA2036" s="154" t="s">
        <v>60</v>
      </c>
      <c r="AB2036" s="154"/>
      <c r="AC2036" s="242" t="b">
        <f t="shared" si="2"/>
        <v>1</v>
      </c>
      <c r="AD2036" s="154" t="s">
        <v>391</v>
      </c>
      <c r="AE2036" s="243" t="b">
        <f t="shared" si="3"/>
        <v>0</v>
      </c>
      <c r="AF2036" s="154"/>
      <c r="AG2036" s="243" t="b">
        <f t="shared" si="7"/>
        <v>0</v>
      </c>
      <c r="AH2036" s="154"/>
      <c r="AI2036" s="243" t="str">
        <f t="shared" si="5"/>
        <v>N/A</v>
      </c>
      <c r="AJ2036" s="157" t="str">
        <f t="shared" si="6"/>
        <v/>
      </c>
    </row>
    <row r="2037" ht="12.75" customHeight="1">
      <c r="A2037" s="244" t="s">
        <v>4158</v>
      </c>
      <c r="B2037" s="244" t="s">
        <v>5028</v>
      </c>
      <c r="C2037" s="244" t="s">
        <v>5110</v>
      </c>
      <c r="D2037" s="154" t="s">
        <v>2746</v>
      </c>
      <c r="E2037" s="250" t="s">
        <v>489</v>
      </c>
      <c r="F2037" s="154" t="str">
        <f t="array" ref="F2037">XLOOKUP(Cover!$D$12,$S$1:$AA$1,$S2037:$AA2037)</f>
        <v>Mandatory</v>
      </c>
      <c r="G2037" s="154" t="s">
        <v>5111</v>
      </c>
      <c r="H2037" s="154" t="s">
        <v>5038</v>
      </c>
      <c r="I2037" s="154" t="s">
        <v>420</v>
      </c>
      <c r="J2037" s="154" t="s">
        <v>445</v>
      </c>
      <c r="K2037" s="154"/>
      <c r="L2037" s="154" t="str">
        <f t="shared" si="1"/>
        <v/>
      </c>
      <c r="M2037" s="248" t="str">
        <f>IFERROR(__xludf.DUMMYFUNCTION("VLOOKUP(C2037,IMPORTRANGE(""https://docs.google.com/spreadsheets/d/1P8eX0NWBhUPS_hvzA11R6jkTNFrPrRYIx_dX_hYbxrk/edit?resourcekey=0-iw9bsKY2OqkUHCFMkCar3A&amp;gid=2055363397#gid=2055363397"",""MTR!C:O""),11,false)"),"PMW-IMS")</f>
        <v>PMW-IMS</v>
      </c>
      <c r="N2037" s="248" t="str">
        <f>IFERROR(__xludf.DUMMYFUNCTION("VLOOKUP(C2037,IMPORTRANGE(""https://docs.google.com/spreadsheets/d/1ihFlp3_ePlYtFuPbUNbYj1muErVpI73WHXbEwJDIA7Q/edit#gid=1493122344"",""MTR!C:O""),8,false)"),"Complies")</f>
        <v>Complies</v>
      </c>
      <c r="O2037" s="241" t="str">
        <f>IFERROR(__xludf.DUMMYFUNCTION("VLOOKUP(C2037,IMPORTRANGE(""https://docs.google.com/spreadsheets/d/1P8eX0NWBhUPS_hvzA11R6jkTNFrPrRYIx_dX_hYbxrk/edit?resourcekey=0-iw9bsKY2OqkUHCFMkCar3A&amp;gid=2055363397#gid=2055363397"",""MTR!C:O""),9,false)"),"")</f>
        <v/>
      </c>
      <c r="P2037" s="241"/>
      <c r="Q2037" s="251" t="s">
        <v>445</v>
      </c>
      <c r="R2037" s="241"/>
      <c r="S2037" s="154" t="s">
        <v>60</v>
      </c>
      <c r="T2037" s="154" t="s">
        <v>60</v>
      </c>
      <c r="U2037" s="154" t="s">
        <v>60</v>
      </c>
      <c r="V2037" s="154" t="s">
        <v>60</v>
      </c>
      <c r="W2037" s="154" t="s">
        <v>60</v>
      </c>
      <c r="X2037" s="154" t="s">
        <v>60</v>
      </c>
      <c r="Y2037" s="154" t="s">
        <v>60</v>
      </c>
      <c r="Z2037" s="154" t="s">
        <v>60</v>
      </c>
      <c r="AA2037" s="154" t="s">
        <v>60</v>
      </c>
      <c r="AB2037" s="154"/>
      <c r="AC2037" s="242" t="b">
        <f t="shared" si="2"/>
        <v>1</v>
      </c>
      <c r="AD2037" s="154" t="s">
        <v>391</v>
      </c>
      <c r="AE2037" s="243" t="b">
        <f t="shared" si="3"/>
        <v>0</v>
      </c>
      <c r="AF2037" s="154"/>
      <c r="AG2037" s="243" t="b">
        <f t="shared" si="7"/>
        <v>0</v>
      </c>
      <c r="AH2037" s="154"/>
      <c r="AI2037" s="243" t="str">
        <f t="shared" si="5"/>
        <v>N/A</v>
      </c>
      <c r="AJ2037" s="157" t="str">
        <f t="shared" si="6"/>
        <v/>
      </c>
    </row>
    <row r="2038" ht="12.75" customHeight="1">
      <c r="A2038" s="238" t="s">
        <v>4158</v>
      </c>
      <c r="B2038" s="238" t="s">
        <v>5112</v>
      </c>
      <c r="C2038" s="238" t="s">
        <v>5113</v>
      </c>
      <c r="D2038" s="240"/>
      <c r="E2038" s="252" t="s">
        <v>489</v>
      </c>
      <c r="F2038" s="154" t="str">
        <f t="array" ref="F2038">XLOOKUP(Cover!$D$12,$S$1:$AA$1,$S2038:$AA2038)</f>
        <v>Heading</v>
      </c>
      <c r="G2038" s="239" t="s">
        <v>5114</v>
      </c>
      <c r="H2038" s="240"/>
      <c r="I2038" s="240" t="s">
        <v>420</v>
      </c>
      <c r="J2038" s="240"/>
      <c r="K2038" s="240"/>
      <c r="L2038" s="154" t="str">
        <f t="shared" si="1"/>
        <v/>
      </c>
      <c r="M2038" s="241" t="str">
        <f>IFERROR(__xludf.DUMMYFUNCTION("VLOOKUP(C2038,IMPORTRANGE(""https://docs.google.com/spreadsheets/d/1P8eX0NWBhUPS_hvzA11R6jkTNFrPrRYIx_dX_hYbxrk/edit?resourcekey=0-iw9bsKY2OqkUHCFMkCar3A&amp;gid=2055363397#gid=2055363397"",""MTR!C:O""),11,false)"),"")</f>
        <v/>
      </c>
      <c r="N2038" s="241" t="str">
        <f>IFERROR(__xludf.DUMMYFUNCTION("VLOOKUP(C2038,IMPORTRANGE(""https://docs.google.com/spreadsheets/d/1ihFlp3_ePlYtFuPbUNbYj1muErVpI73WHXbEwJDIA7Q/edit#gid=1493122344"",""MTR!C:O""),8,false)"),"")</f>
        <v/>
      </c>
      <c r="O2038" s="241" t="str">
        <f>IFERROR(__xludf.DUMMYFUNCTION("VLOOKUP(C2038,IMPORTRANGE(""https://docs.google.com/spreadsheets/d/1P8eX0NWBhUPS_hvzA11R6jkTNFrPrRYIx_dX_hYbxrk/edit?resourcekey=0-iw9bsKY2OqkUHCFMkCar3A&amp;gid=2055363397#gid=2055363397"",""MTR!C:O""),9,false)"),"")</f>
        <v/>
      </c>
      <c r="P2038" s="241"/>
      <c r="Q2038" s="251"/>
      <c r="R2038" s="241"/>
      <c r="S2038" s="240" t="s">
        <v>390</v>
      </c>
      <c r="T2038" s="240" t="s">
        <v>390</v>
      </c>
      <c r="U2038" s="240" t="s">
        <v>390</v>
      </c>
      <c r="V2038" s="240" t="s">
        <v>390</v>
      </c>
      <c r="W2038" s="240" t="s">
        <v>390</v>
      </c>
      <c r="X2038" s="240" t="s">
        <v>390</v>
      </c>
      <c r="Y2038" s="240" t="s">
        <v>390</v>
      </c>
      <c r="Z2038" s="240" t="s">
        <v>390</v>
      </c>
      <c r="AA2038" s="240" t="s">
        <v>390</v>
      </c>
      <c r="AB2038" s="240"/>
      <c r="AC2038" s="242" t="b">
        <f t="shared" si="2"/>
        <v>0</v>
      </c>
      <c r="AD2038" s="240" t="s">
        <v>391</v>
      </c>
      <c r="AE2038" s="243" t="b">
        <f t="shared" si="3"/>
        <v>0</v>
      </c>
      <c r="AF2038" s="240"/>
      <c r="AG2038" s="243" t="b">
        <f t="shared" si="7"/>
        <v>0</v>
      </c>
      <c r="AH2038" s="240"/>
      <c r="AI2038" s="243" t="str">
        <f t="shared" si="5"/>
        <v>N/A</v>
      </c>
      <c r="AJ2038" s="157" t="str">
        <f t="shared" si="6"/>
        <v/>
      </c>
    </row>
    <row r="2039" ht="12.75" customHeight="1">
      <c r="A2039" s="244" t="s">
        <v>4158</v>
      </c>
      <c r="B2039" s="244" t="s">
        <v>5112</v>
      </c>
      <c r="C2039" s="244" t="s">
        <v>5115</v>
      </c>
      <c r="D2039" s="154" t="s">
        <v>492</v>
      </c>
      <c r="E2039" s="250" t="s">
        <v>489</v>
      </c>
      <c r="F2039" s="154" t="str">
        <f t="array" ref="F2039">XLOOKUP(Cover!$D$12,$S$1:$AA$1,$S2039:$AA2039)</f>
        <v>Comments Vendor</v>
      </c>
      <c r="G2039" s="154" t="s">
        <v>5116</v>
      </c>
      <c r="H2039" s="154"/>
      <c r="I2039" s="154" t="s">
        <v>420</v>
      </c>
      <c r="J2039" s="154"/>
      <c r="K2039" s="247" t="s">
        <v>5117</v>
      </c>
      <c r="L2039" s="154" t="str">
        <f t="shared" si="1"/>
        <v/>
      </c>
      <c r="M2039" s="248" t="str">
        <f>IFERROR(__xludf.DUMMYFUNCTION("VLOOKUP(C2039,IMPORTRANGE(""https://docs.google.com/spreadsheets/d/1P8eX0NWBhUPS_hvzA11R6jkTNFrPrRYIx_dX_hYbxrk/edit?resourcekey=0-iw9bsKY2OqkUHCFMkCar3A&amp;gid=2055363397#gid=2055363397"",""MTR!C:O""),11,false)"),"TAM-RCS")</f>
        <v>TAM-RCS</v>
      </c>
      <c r="N2039" s="241" t="str">
        <f>IFERROR(__xludf.DUMMYFUNCTION("VLOOKUP(C2039,IMPORTRANGE(""https://docs.google.com/spreadsheets/d/1ihFlp3_ePlYtFuPbUNbYj1muErVpI73WHXbEwJDIA7Q/edit#gid=1493122344"",""MTR!C:O""),8,false)"),"")</f>
        <v/>
      </c>
      <c r="O2039" s="248" t="str">
        <f>IFERROR(__xludf.DUMMYFUNCTION("VLOOKUP(C2039,IMPORTRANGE(""https://docs.google.com/spreadsheets/d/1P8eX0NWBhUPS_hvzA11R6jkTNFrPrRYIx_dX_hYbxrk/edit?resourcekey=0-iw9bsKY2OqkUHCFMkCar3A&amp;gid=2055363397#gid=2055363397"",""MTR!C:O""),9,false)"),"Google RCS Client (Android Messages)")</f>
        <v>Google RCS Client (Android Messages)</v>
      </c>
      <c r="P2039" s="248"/>
      <c r="Q2039" s="248"/>
      <c r="R2039" s="249" t="s">
        <v>5117</v>
      </c>
      <c r="S2039" s="154" t="s">
        <v>62</v>
      </c>
      <c r="T2039" s="154" t="s">
        <v>62</v>
      </c>
      <c r="U2039" s="154" t="s">
        <v>62</v>
      </c>
      <c r="V2039" s="154" t="s">
        <v>62</v>
      </c>
      <c r="W2039" s="154" t="s">
        <v>62</v>
      </c>
      <c r="X2039" s="154" t="s">
        <v>62</v>
      </c>
      <c r="Y2039" s="154" t="s">
        <v>62</v>
      </c>
      <c r="Z2039" s="154" t="s">
        <v>62</v>
      </c>
      <c r="AA2039" s="154" t="s">
        <v>62</v>
      </c>
      <c r="AB2039" s="154"/>
      <c r="AC2039" s="242" t="b">
        <f t="shared" si="2"/>
        <v>1</v>
      </c>
      <c r="AD2039" s="154" t="s">
        <v>68</v>
      </c>
      <c r="AE2039" s="243" t="b">
        <f t="shared" si="3"/>
        <v>1</v>
      </c>
      <c r="AF2039" s="154"/>
      <c r="AG2039" s="243" t="b">
        <f t="shared" si="7"/>
        <v>0</v>
      </c>
      <c r="AH2039" s="154"/>
      <c r="AI2039" s="243" t="str">
        <f t="shared" si="5"/>
        <v>N/A</v>
      </c>
      <c r="AJ2039" s="157" t="str">
        <f t="shared" si="6"/>
        <v/>
      </c>
    </row>
    <row r="2040" ht="12.75" customHeight="1">
      <c r="A2040" s="244" t="s">
        <v>4158</v>
      </c>
      <c r="B2040" s="244" t="s">
        <v>5112</v>
      </c>
      <c r="C2040" s="244" t="s">
        <v>5118</v>
      </c>
      <c r="D2040" s="154" t="s">
        <v>411</v>
      </c>
      <c r="E2040" s="250" t="s">
        <v>489</v>
      </c>
      <c r="F2040" s="154" t="str">
        <f t="array" ref="F2040">XLOOKUP(Cover!$D$12,$S$1:$AA$1,$S2040:$AA2040)</f>
        <v>Comments Vendor</v>
      </c>
      <c r="G2040" s="154" t="s">
        <v>5119</v>
      </c>
      <c r="H2040" s="154"/>
      <c r="I2040" s="154" t="s">
        <v>420</v>
      </c>
      <c r="J2040" s="154"/>
      <c r="K2040" s="247" t="s">
        <v>5120</v>
      </c>
      <c r="L2040" s="154" t="str">
        <f t="shared" si="1"/>
        <v/>
      </c>
      <c r="M2040" s="248" t="str">
        <f>IFERROR(__xludf.DUMMYFUNCTION("VLOOKUP(C2040,IMPORTRANGE(""https://docs.google.com/spreadsheets/d/1P8eX0NWBhUPS_hvzA11R6jkTNFrPrRYIx_dX_hYbxrk/edit?resourcekey=0-iw9bsKY2OqkUHCFMkCar3A&amp;gid=2055363397#gid=2055363397"",""MTR!C:O""),11,false)"),"TAM-RCS")</f>
        <v>TAM-RCS</v>
      </c>
      <c r="N2040" s="241" t="str">
        <f>IFERROR(__xludf.DUMMYFUNCTION("VLOOKUP(C2040,IMPORTRANGE(""https://docs.google.com/spreadsheets/d/1ihFlp3_ePlYtFuPbUNbYj1muErVpI73WHXbEwJDIA7Q/edit#gid=1493122344"",""MTR!C:O""),8,false)"),"")</f>
        <v/>
      </c>
      <c r="O2040" s="248" t="str">
        <f>IFERROR(__xludf.DUMMYFUNCTION("VLOOKUP(C2040,IMPORTRANGE(""https://docs.google.com/spreadsheets/d/1P8eX0NWBhUPS_hvzA11R6jkTNFrPrRYIx_dX_hYbxrk/edit?resourcekey=0-iw9bsKY2OqkUHCFMkCar3A&amp;gid=2055363397#gid=2055363397"",""MTR!C:O""),9,false)"),"Google Dialer")</f>
        <v>Google Dialer</v>
      </c>
      <c r="P2040" s="248"/>
      <c r="Q2040" s="248"/>
      <c r="R2040" s="249" t="s">
        <v>5120</v>
      </c>
      <c r="S2040" s="154" t="s">
        <v>62</v>
      </c>
      <c r="T2040" s="154" t="s">
        <v>62</v>
      </c>
      <c r="U2040" s="154" t="s">
        <v>62</v>
      </c>
      <c r="V2040" s="154" t="s">
        <v>62</v>
      </c>
      <c r="W2040" s="154" t="s">
        <v>62</v>
      </c>
      <c r="X2040" s="154" t="s">
        <v>62</v>
      </c>
      <c r="Y2040" s="154" t="s">
        <v>62</v>
      </c>
      <c r="Z2040" s="154" t="s">
        <v>62</v>
      </c>
      <c r="AA2040" s="154" t="s">
        <v>62</v>
      </c>
      <c r="AB2040" s="154"/>
      <c r="AC2040" s="242" t="b">
        <f t="shared" si="2"/>
        <v>1</v>
      </c>
      <c r="AD2040" s="154" t="s">
        <v>68</v>
      </c>
      <c r="AE2040" s="243" t="b">
        <f t="shared" si="3"/>
        <v>1</v>
      </c>
      <c r="AF2040" s="154"/>
      <c r="AG2040" s="243" t="b">
        <f t="shared" si="7"/>
        <v>0</v>
      </c>
      <c r="AH2040" s="154"/>
      <c r="AI2040" s="243" t="str">
        <f t="shared" si="5"/>
        <v>N/A</v>
      </c>
      <c r="AJ2040" s="157" t="str">
        <f t="shared" si="6"/>
        <v/>
      </c>
    </row>
    <row r="2041" ht="12.75" customHeight="1">
      <c r="A2041" s="244" t="s">
        <v>4158</v>
      </c>
      <c r="B2041" s="244" t="s">
        <v>5112</v>
      </c>
      <c r="C2041" s="244" t="s">
        <v>5121</v>
      </c>
      <c r="D2041" s="154" t="s">
        <v>1773</v>
      </c>
      <c r="E2041" s="250" t="s">
        <v>489</v>
      </c>
      <c r="F2041" s="154" t="str">
        <f t="array" ref="F2041">XLOOKUP(Cover!$D$12,$S$1:$AA$1,$S2041:$AA2041)</f>
        <v>Mandatory</v>
      </c>
      <c r="G2041" s="154" t="s">
        <v>5122</v>
      </c>
      <c r="H2041" s="154" t="s">
        <v>5123</v>
      </c>
      <c r="I2041" s="154" t="s">
        <v>420</v>
      </c>
      <c r="J2041" s="154" t="s">
        <v>445</v>
      </c>
      <c r="K2041" s="247"/>
      <c r="L2041" s="154" t="str">
        <f t="shared" si="1"/>
        <v/>
      </c>
      <c r="M2041" s="248" t="str">
        <f>IFERROR(__xludf.DUMMYFUNCTION("VLOOKUP(C2041,IMPORTRANGE(""https://docs.google.com/spreadsheets/d/1P8eX0NWBhUPS_hvzA11R6jkTNFrPrRYIx_dX_hYbxrk/edit?resourcekey=0-iw9bsKY2OqkUHCFMkCar3A&amp;gid=2055363397#gid=2055363397"",""MTR!C:O""),11,false)"),"TAM-RCS")</f>
        <v>TAM-RCS</v>
      </c>
      <c r="N2041" s="248" t="str">
        <f>IFERROR(__xludf.DUMMYFUNCTION("VLOOKUP(C2041,IMPORTRANGE(""https://docs.google.com/spreadsheets/d/1ihFlp3_ePlYtFuPbUNbYj1muErVpI73WHXbEwJDIA7Q/edit#gid=1493122344"",""MTR!C:O""),8,false)"),"Complies")</f>
        <v>Complies</v>
      </c>
      <c r="O2041" s="241" t="str">
        <f>IFERROR(__xludf.DUMMYFUNCTION("VLOOKUP(C2041,IMPORTRANGE(""https://docs.google.com/spreadsheets/d/1P8eX0NWBhUPS_hvzA11R6jkTNFrPrRYIx_dX_hYbxrk/edit?resourcekey=0-iw9bsKY2OqkUHCFMkCar3A&amp;gid=2055363397#gid=2055363397"",""MTR!C:O""),9,false)"),"")</f>
        <v/>
      </c>
      <c r="P2041" s="241"/>
      <c r="Q2041" s="251" t="s">
        <v>445</v>
      </c>
      <c r="R2041" s="251"/>
      <c r="S2041" s="154" t="s">
        <v>66</v>
      </c>
      <c r="T2041" s="154" t="s">
        <v>60</v>
      </c>
      <c r="U2041" s="154" t="s">
        <v>60</v>
      </c>
      <c r="V2041" s="154" t="s">
        <v>60</v>
      </c>
      <c r="W2041" s="154" t="s">
        <v>60</v>
      </c>
      <c r="X2041" s="154" t="s">
        <v>60</v>
      </c>
      <c r="Y2041" s="154" t="s">
        <v>60</v>
      </c>
      <c r="Z2041" s="154" t="s">
        <v>60</v>
      </c>
      <c r="AA2041" s="154" t="s">
        <v>60</v>
      </c>
      <c r="AB2041" s="154"/>
      <c r="AC2041" s="242" t="b">
        <f t="shared" si="2"/>
        <v>1</v>
      </c>
      <c r="AD2041" s="154" t="s">
        <v>68</v>
      </c>
      <c r="AE2041" s="243" t="b">
        <f t="shared" si="3"/>
        <v>0</v>
      </c>
      <c r="AF2041" s="154"/>
      <c r="AG2041" s="243" t="b">
        <f t="shared" si="7"/>
        <v>0</v>
      </c>
      <c r="AH2041" s="154"/>
      <c r="AI2041" s="243" t="str">
        <f t="shared" si="5"/>
        <v>N/A</v>
      </c>
      <c r="AJ2041" s="157" t="str">
        <f t="shared" si="6"/>
        <v/>
      </c>
    </row>
    <row r="2042" ht="12.75" customHeight="1">
      <c r="A2042" s="238" t="s">
        <v>4158</v>
      </c>
      <c r="B2042" s="238" t="s">
        <v>5124</v>
      </c>
      <c r="C2042" s="238" t="s">
        <v>5125</v>
      </c>
      <c r="D2042" s="240"/>
      <c r="E2042" s="252" t="s">
        <v>489</v>
      </c>
      <c r="F2042" s="154" t="str">
        <f t="array" ref="F2042">XLOOKUP(Cover!$D$12,$S$1:$AA$1,$S2042:$AA2042)</f>
        <v>Heading</v>
      </c>
      <c r="G2042" s="239" t="s">
        <v>5126</v>
      </c>
      <c r="H2042" s="240"/>
      <c r="I2042" s="240" t="s">
        <v>632</v>
      </c>
      <c r="J2042" s="262"/>
      <c r="K2042" s="240"/>
      <c r="L2042" s="154" t="str">
        <f t="shared" si="1"/>
        <v/>
      </c>
      <c r="M2042" s="241" t="str">
        <f>IFERROR(__xludf.DUMMYFUNCTION("VLOOKUP(C2042,IMPORTRANGE(""https://docs.google.com/spreadsheets/d/1P8eX0NWBhUPS_hvzA11R6jkTNFrPrRYIx_dX_hYbxrk/edit?resourcekey=0-iw9bsKY2OqkUHCFMkCar3A&amp;gid=2055363397#gid=2055363397"",""MTR!C:O""),11,false)"),"")</f>
        <v/>
      </c>
      <c r="N2042" s="241" t="str">
        <f>IFERROR(__xludf.DUMMYFUNCTION("VLOOKUP(C2042,IMPORTRANGE(""https://docs.google.com/spreadsheets/d/1ihFlp3_ePlYtFuPbUNbYj1muErVpI73WHXbEwJDIA7Q/edit#gid=1493122344"",""MTR!C:O""),8,false)"),"")</f>
        <v/>
      </c>
      <c r="O2042" s="241" t="str">
        <f>IFERROR(__xludf.DUMMYFUNCTION("VLOOKUP(C2042,IMPORTRANGE(""https://docs.google.com/spreadsheets/d/1P8eX0NWBhUPS_hvzA11R6jkTNFrPrRYIx_dX_hYbxrk/edit?resourcekey=0-iw9bsKY2OqkUHCFMkCar3A&amp;gid=2055363397#gid=2055363397"",""MTR!C:O""),9,false)"),"")</f>
        <v/>
      </c>
      <c r="P2042" s="241"/>
      <c r="Q2042" s="251"/>
      <c r="R2042" s="241"/>
      <c r="S2042" s="240" t="s">
        <v>390</v>
      </c>
      <c r="T2042" s="240" t="s">
        <v>390</v>
      </c>
      <c r="U2042" s="240" t="s">
        <v>390</v>
      </c>
      <c r="V2042" s="240" t="s">
        <v>390</v>
      </c>
      <c r="W2042" s="240" t="s">
        <v>390</v>
      </c>
      <c r="X2042" s="240" t="s">
        <v>390</v>
      </c>
      <c r="Y2042" s="240" t="s">
        <v>390</v>
      </c>
      <c r="Z2042" s="240" t="s">
        <v>390</v>
      </c>
      <c r="AA2042" s="240" t="s">
        <v>390</v>
      </c>
      <c r="AB2042" s="240"/>
      <c r="AC2042" s="242" t="b">
        <f t="shared" si="2"/>
        <v>0</v>
      </c>
      <c r="AD2042" s="240" t="s">
        <v>391</v>
      </c>
      <c r="AE2042" s="243" t="b">
        <f t="shared" si="3"/>
        <v>0</v>
      </c>
      <c r="AF2042" s="240"/>
      <c r="AG2042" s="243" t="b">
        <f t="shared" si="7"/>
        <v>0</v>
      </c>
      <c r="AH2042" s="240"/>
      <c r="AI2042" s="243" t="str">
        <f t="shared" si="5"/>
        <v>N/A</v>
      </c>
      <c r="AJ2042" s="157" t="str">
        <f t="shared" si="6"/>
        <v/>
      </c>
    </row>
    <row r="2043" ht="12.75" customHeight="1">
      <c r="A2043" s="244" t="s">
        <v>4158</v>
      </c>
      <c r="B2043" s="244" t="s">
        <v>5124</v>
      </c>
      <c r="C2043" s="244" t="s">
        <v>5127</v>
      </c>
      <c r="D2043" s="154" t="s">
        <v>477</v>
      </c>
      <c r="E2043" s="250" t="s">
        <v>489</v>
      </c>
      <c r="F2043" s="154" t="str">
        <f t="array" ref="F2043">XLOOKUP(Cover!$D$12,$S$1:$AA$1,$S2043:$AA2043)</f>
        <v>Mandatory</v>
      </c>
      <c r="G2043" s="153" t="s">
        <v>5128</v>
      </c>
      <c r="H2043" s="154" t="s">
        <v>5129</v>
      </c>
      <c r="I2043" s="154" t="s">
        <v>632</v>
      </c>
      <c r="J2043" s="247" t="s">
        <v>445</v>
      </c>
      <c r="K2043" s="154"/>
      <c r="L2043" s="154" t="str">
        <f t="shared" si="1"/>
        <v/>
      </c>
      <c r="M2043" s="248" t="s">
        <v>2194</v>
      </c>
      <c r="N2043" s="248" t="str">
        <f>IFERROR(__xludf.DUMMYFUNCTION("VLOOKUP(C2043,IMPORTRANGE(""https://docs.google.com/spreadsheets/d/1ihFlp3_ePlYtFuPbUNbYj1muErVpI73WHXbEwJDIA7Q/edit#gid=1493122344"",""MTR!C:O""),8,false)"),"Complies")</f>
        <v>Complies</v>
      </c>
      <c r="O2043" s="241" t="str">
        <f>IFERROR(__xludf.DUMMYFUNCTION("VLOOKUP(C2043,IMPORTRANGE(""https://docs.google.com/spreadsheets/d/1P8eX0NWBhUPS_hvzA11R6jkTNFrPrRYIx_dX_hYbxrk/edit?resourcekey=0-iw9bsKY2OqkUHCFMkCar3A&amp;gid=2055363397#gid=2055363397"",""MTR!C:O""),9,false)"),"")</f>
        <v/>
      </c>
      <c r="P2043" s="241"/>
      <c r="Q2043" s="251" t="s">
        <v>445</v>
      </c>
      <c r="R2043" s="241"/>
      <c r="S2043" s="154" t="s">
        <v>60</v>
      </c>
      <c r="T2043" s="154" t="s">
        <v>60</v>
      </c>
      <c r="U2043" s="154" t="s">
        <v>60</v>
      </c>
      <c r="V2043" s="154" t="s">
        <v>60</v>
      </c>
      <c r="W2043" s="154" t="s">
        <v>60</v>
      </c>
      <c r="X2043" s="154" t="s">
        <v>60</v>
      </c>
      <c r="Y2043" s="154" t="s">
        <v>60</v>
      </c>
      <c r="Z2043" s="154" t="s">
        <v>60</v>
      </c>
      <c r="AA2043" s="154" t="s">
        <v>60</v>
      </c>
      <c r="AB2043" s="154"/>
      <c r="AC2043" s="242" t="b">
        <f t="shared" si="2"/>
        <v>1</v>
      </c>
      <c r="AD2043" s="154" t="s">
        <v>391</v>
      </c>
      <c r="AE2043" s="243" t="b">
        <f t="shared" si="3"/>
        <v>0</v>
      </c>
      <c r="AF2043" s="154"/>
      <c r="AG2043" s="243" t="b">
        <f t="shared" si="7"/>
        <v>0</v>
      </c>
      <c r="AH2043" s="154"/>
      <c r="AI2043" s="243" t="str">
        <f t="shared" si="5"/>
        <v>N/A</v>
      </c>
      <c r="AJ2043" s="157" t="str">
        <f t="shared" si="6"/>
        <v/>
      </c>
    </row>
    <row r="2044" ht="12.75" customHeight="1">
      <c r="A2044" s="244" t="s">
        <v>4158</v>
      </c>
      <c r="B2044" s="244" t="s">
        <v>5124</v>
      </c>
      <c r="C2044" s="244" t="s">
        <v>5130</v>
      </c>
      <c r="D2044" s="154" t="s">
        <v>861</v>
      </c>
      <c r="E2044" s="250" t="s">
        <v>489</v>
      </c>
      <c r="F2044" s="154" t="str">
        <f t="array" ref="F2044">XLOOKUP(Cover!$D$12,$S$1:$AA$1,$S2044:$AA2044)</f>
        <v>Mandatory</v>
      </c>
      <c r="G2044" s="153" t="s">
        <v>5131</v>
      </c>
      <c r="H2044" s="154" t="s">
        <v>5129</v>
      </c>
      <c r="I2044" s="154" t="s">
        <v>632</v>
      </c>
      <c r="J2044" s="247" t="s">
        <v>445</v>
      </c>
      <c r="K2044" s="154"/>
      <c r="L2044" s="154" t="str">
        <f t="shared" si="1"/>
        <v/>
      </c>
      <c r="M2044" s="248" t="str">
        <f>IFERROR(__xludf.DUMMYFUNCTION("VLOOKUP(C2044,IMPORTRANGE(""https://docs.google.com/spreadsheets/d/1P8eX0NWBhUPS_hvzA11R6jkTNFrPrRYIx_dX_hYbxrk/edit?resourcekey=0-iw9bsKY2OqkUHCFMkCar3A&amp;gid=2055363397#gid=2055363397"",""MTR!C:O""),11,false)"),"PMW-MCE-AS")</f>
        <v>PMW-MCE-AS</v>
      </c>
      <c r="N2044" s="248" t="str">
        <f>IFERROR(__xludf.DUMMYFUNCTION("VLOOKUP(C2044,IMPORTRANGE(""https://docs.google.com/spreadsheets/d/1ihFlp3_ePlYtFuPbUNbYj1muErVpI73WHXbEwJDIA7Q/edit#gid=1493122344"",""MTR!C:O""),8,false)"),"Complies")</f>
        <v>Complies</v>
      </c>
      <c r="O2044" s="241" t="str">
        <f>IFERROR(__xludf.DUMMYFUNCTION("VLOOKUP(C2044,IMPORTRANGE(""https://docs.google.com/spreadsheets/d/1P8eX0NWBhUPS_hvzA11R6jkTNFrPrRYIx_dX_hYbxrk/edit?resourcekey=0-iw9bsKY2OqkUHCFMkCar3A&amp;gid=2055363397#gid=2055363397"",""MTR!C:O""),9,false)"),"")</f>
        <v/>
      </c>
      <c r="P2044" s="241"/>
      <c r="Q2044" s="251" t="s">
        <v>445</v>
      </c>
      <c r="R2044" s="241"/>
      <c r="S2044" s="154" t="s">
        <v>60</v>
      </c>
      <c r="T2044" s="154" t="s">
        <v>60</v>
      </c>
      <c r="U2044" s="154" t="s">
        <v>60</v>
      </c>
      <c r="V2044" s="154" t="s">
        <v>60</v>
      </c>
      <c r="W2044" s="154" t="s">
        <v>60</v>
      </c>
      <c r="X2044" s="154" t="s">
        <v>60</v>
      </c>
      <c r="Y2044" s="154" t="s">
        <v>60</v>
      </c>
      <c r="Z2044" s="154" t="s">
        <v>60</v>
      </c>
      <c r="AA2044" s="154" t="s">
        <v>60</v>
      </c>
      <c r="AB2044" s="154"/>
      <c r="AC2044" s="242" t="b">
        <f t="shared" si="2"/>
        <v>1</v>
      </c>
      <c r="AD2044" s="154" t="s">
        <v>391</v>
      </c>
      <c r="AE2044" s="243" t="b">
        <f t="shared" si="3"/>
        <v>0</v>
      </c>
      <c r="AF2044" s="154"/>
      <c r="AG2044" s="243" t="b">
        <f t="shared" si="7"/>
        <v>0</v>
      </c>
      <c r="AH2044" s="154" t="s">
        <v>637</v>
      </c>
      <c r="AI2044" s="243" t="str">
        <f t="shared" si="5"/>
        <v>Complies</v>
      </c>
      <c r="AJ2044" s="157" t="str">
        <f t="shared" si="6"/>
        <v/>
      </c>
    </row>
    <row r="2045" ht="12.75" customHeight="1">
      <c r="A2045" s="244" t="s">
        <v>4158</v>
      </c>
      <c r="B2045" s="244" t="s">
        <v>5124</v>
      </c>
      <c r="C2045" s="244" t="s">
        <v>5132</v>
      </c>
      <c r="D2045" s="154" t="s">
        <v>1315</v>
      </c>
      <c r="E2045" s="250" t="s">
        <v>489</v>
      </c>
      <c r="F2045" s="154" t="str">
        <f t="array" ref="F2045">XLOOKUP(Cover!$D$12,$S$1:$AA$1,$S2045:$AA2045)</f>
        <v>Mandatory</v>
      </c>
      <c r="G2045" s="153" t="s">
        <v>5133</v>
      </c>
      <c r="H2045" s="154" t="s">
        <v>5134</v>
      </c>
      <c r="I2045" s="154" t="s">
        <v>2155</v>
      </c>
      <c r="J2045" s="247" t="s">
        <v>516</v>
      </c>
      <c r="K2045" s="154"/>
      <c r="L2045" s="154" t="str">
        <f t="shared" si="1"/>
        <v/>
      </c>
      <c r="M2045" s="248" t="str">
        <f>IFERROR(__xludf.DUMMYFUNCTION("VLOOKUP(C2045,IMPORTRANGE(""https://docs.google.com/spreadsheets/d/1P8eX0NWBhUPS_hvzA11R6jkTNFrPrRYIx_dX_hYbxrk/edit?resourcekey=0-iw9bsKY2OqkUHCFMkCar3A&amp;gid=2055363397#gid=2055363397"",""MTR!C:O""),11,false)"),"PMW-MCE-AS")</f>
        <v>PMW-MCE-AS</v>
      </c>
      <c r="N2045" s="248" t="str">
        <f>IFERROR(__xludf.DUMMYFUNCTION("VLOOKUP(C2045,IMPORTRANGE(""https://docs.google.com/spreadsheets/d/1ihFlp3_ePlYtFuPbUNbYj1muErVpI73WHXbEwJDIA7Q/edit#gid=1493122344"",""MTR!C:O""),8,false)"),"Does Not Comply")</f>
        <v>Does Not Comply</v>
      </c>
      <c r="O2045" s="241" t="str">
        <f>IFERROR(__xludf.DUMMYFUNCTION("VLOOKUP(C2045,IMPORTRANGE(""https://docs.google.com/spreadsheets/d/1P8eX0NWBhUPS_hvzA11R6jkTNFrPrRYIx_dX_hYbxrk/edit?resourcekey=0-iw9bsKY2OqkUHCFMkCar3A&amp;gid=2055363397#gid=2055363397"",""MTR!C:O""),9,false)"),"")</f>
        <v/>
      </c>
      <c r="P2045" s="241"/>
      <c r="Q2045" s="251" t="s">
        <v>516</v>
      </c>
      <c r="R2045" s="241"/>
      <c r="S2045" s="154" t="s">
        <v>60</v>
      </c>
      <c r="T2045" s="154" t="s">
        <v>60</v>
      </c>
      <c r="U2045" s="154" t="s">
        <v>60</v>
      </c>
      <c r="V2045" s="154" t="s">
        <v>60</v>
      </c>
      <c r="W2045" s="154" t="s">
        <v>60</v>
      </c>
      <c r="X2045" s="154" t="s">
        <v>60</v>
      </c>
      <c r="Y2045" s="154" t="s">
        <v>60</v>
      </c>
      <c r="Z2045" s="154" t="s">
        <v>60</v>
      </c>
      <c r="AA2045" s="154" t="s">
        <v>60</v>
      </c>
      <c r="AB2045" s="154"/>
      <c r="AC2045" s="242" t="b">
        <f t="shared" si="2"/>
        <v>1</v>
      </c>
      <c r="AD2045" s="154" t="s">
        <v>391</v>
      </c>
      <c r="AE2045" s="243" t="b">
        <f t="shared" si="3"/>
        <v>0</v>
      </c>
      <c r="AF2045" s="154"/>
      <c r="AG2045" s="243" t="b">
        <f t="shared" si="7"/>
        <v>0</v>
      </c>
      <c r="AH2045" s="154" t="s">
        <v>652</v>
      </c>
      <c r="AI2045" s="243" t="str">
        <f t="shared" si="5"/>
        <v>Complies</v>
      </c>
      <c r="AJ2045" s="157" t="str">
        <f t="shared" si="6"/>
        <v/>
      </c>
    </row>
    <row r="2046" ht="12.75" customHeight="1">
      <c r="A2046" s="244" t="s">
        <v>4158</v>
      </c>
      <c r="B2046" s="244" t="s">
        <v>5124</v>
      </c>
      <c r="C2046" s="245" t="s">
        <v>5135</v>
      </c>
      <c r="D2046" s="155" t="s">
        <v>2434</v>
      </c>
      <c r="E2046" s="246" t="s">
        <v>489</v>
      </c>
      <c r="F2046" s="154" t="str">
        <f t="array" ref="F2046">XLOOKUP(Cover!$D$12,$S$1:$AA$1,$S2046:$AA2046)</f>
        <v>Mandatory</v>
      </c>
      <c r="G2046" s="153" t="s">
        <v>5136</v>
      </c>
      <c r="H2046" s="154" t="s">
        <v>5129</v>
      </c>
      <c r="I2046" s="154" t="s">
        <v>420</v>
      </c>
      <c r="J2046" s="247" t="s">
        <v>445</v>
      </c>
      <c r="K2046" s="154"/>
      <c r="L2046" s="154" t="str">
        <f t="shared" si="1"/>
        <v/>
      </c>
      <c r="M2046" s="248" t="str">
        <f>IFERROR(__xludf.DUMMYFUNCTION("VLOOKUP(C2046,IMPORTRANGE(""https://docs.google.com/spreadsheets/d/1P8eX0NWBhUPS_hvzA11R6jkTNFrPrRYIx_dX_hYbxrk/edit?resourcekey=0-iw9bsKY2OqkUHCFMkCar3A&amp;gid=2055363397#gid=2055363397"",""MTR!C:O""),11,false)"),"PMW-MCE-AS")</f>
        <v>PMW-MCE-AS</v>
      </c>
      <c r="N2046" s="248" t="str">
        <f>IFERROR(__xludf.DUMMYFUNCTION("VLOOKUP(C2046,IMPORTRANGE(""https://docs.google.com/spreadsheets/d/1ihFlp3_ePlYtFuPbUNbYj1muErVpI73WHXbEwJDIA7Q/edit#gid=1493122344"",""MTR!C:O""),8,false)"),"Complies")</f>
        <v>Complies</v>
      </c>
      <c r="O2046" s="241" t="str">
        <f>IFERROR(__xludf.DUMMYFUNCTION("VLOOKUP(C2046,IMPORTRANGE(""https://docs.google.com/spreadsheets/d/1P8eX0NWBhUPS_hvzA11R6jkTNFrPrRYIx_dX_hYbxrk/edit?resourcekey=0-iw9bsKY2OqkUHCFMkCar3A&amp;gid=2055363397#gid=2055363397"",""MTR!C:O""),9,false)"),"")</f>
        <v/>
      </c>
      <c r="P2046" s="241"/>
      <c r="Q2046" s="251" t="s">
        <v>445</v>
      </c>
      <c r="R2046" s="241"/>
      <c r="S2046" s="154" t="s">
        <v>60</v>
      </c>
      <c r="T2046" s="154" t="s">
        <v>60</v>
      </c>
      <c r="U2046" s="154" t="s">
        <v>60</v>
      </c>
      <c r="V2046" s="154" t="s">
        <v>60</v>
      </c>
      <c r="W2046" s="154" t="s">
        <v>60</v>
      </c>
      <c r="X2046" s="154" t="s">
        <v>60</v>
      </c>
      <c r="Y2046" s="154" t="s">
        <v>60</v>
      </c>
      <c r="Z2046" s="154" t="s">
        <v>60</v>
      </c>
      <c r="AA2046" s="154" t="s">
        <v>60</v>
      </c>
      <c r="AB2046" s="154"/>
      <c r="AC2046" s="242" t="b">
        <f t="shared" si="2"/>
        <v>1</v>
      </c>
      <c r="AD2046" s="154" t="s">
        <v>391</v>
      </c>
      <c r="AE2046" s="243" t="b">
        <f t="shared" si="3"/>
        <v>0</v>
      </c>
      <c r="AF2046" s="154"/>
      <c r="AG2046" s="243" t="b">
        <f t="shared" si="7"/>
        <v>0</v>
      </c>
      <c r="AH2046" s="154"/>
      <c r="AI2046" s="243" t="str">
        <f t="shared" si="5"/>
        <v>N/A</v>
      </c>
      <c r="AJ2046" s="157" t="str">
        <f t="shared" si="6"/>
        <v/>
      </c>
    </row>
    <row r="2047" ht="12.75" customHeight="1">
      <c r="A2047" s="244" t="s">
        <v>4158</v>
      </c>
      <c r="B2047" s="244" t="s">
        <v>5124</v>
      </c>
      <c r="C2047" s="244" t="s">
        <v>5137</v>
      </c>
      <c r="D2047" s="154" t="s">
        <v>45</v>
      </c>
      <c r="E2047" s="250" t="s">
        <v>489</v>
      </c>
      <c r="F2047" s="154" t="str">
        <f t="array" ref="F2047">XLOOKUP(Cover!$D$12,$S$1:$AA$1,$S2047:$AA2047)</f>
        <v>Mandatory</v>
      </c>
      <c r="G2047" s="254" t="s">
        <v>5138</v>
      </c>
      <c r="H2047" s="154" t="s">
        <v>5129</v>
      </c>
      <c r="I2047" s="154" t="s">
        <v>420</v>
      </c>
      <c r="J2047" s="247" t="s">
        <v>617</v>
      </c>
      <c r="K2047" s="154"/>
      <c r="L2047" s="154" t="str">
        <f t="shared" si="1"/>
        <v/>
      </c>
      <c r="M2047" s="253" t="s">
        <v>2194</v>
      </c>
      <c r="N2047" s="253" t="str">
        <f>IFERROR(__xludf.DUMMYFUNCTION("VLOOKUP(C2047,IMPORTRANGE(""https://docs.google.com/spreadsheets/d/1ihFlp3_ePlYtFuPbUNbYj1muErVpI73WHXbEwJDIA7Q/edit#gid=1493122344"",""MTR!C:O""),8,false)"),"#N/A")</f>
        <v>#N/A</v>
      </c>
      <c r="O2047" s="241" t="str">
        <f>IFERROR(__xludf.DUMMYFUNCTION("VLOOKUP(C2047,IMPORTRANGE(""https://docs.google.com/spreadsheets/d/1P8eX0NWBhUPS_hvzA11R6jkTNFrPrRYIx_dX_hYbxrk/edit?resourcekey=0-iw9bsKY2OqkUHCFMkCar3A&amp;gid=2055363397#gid=2055363397"",""MTR!C:O""),9,false)"),"")</f>
        <v/>
      </c>
      <c r="P2047" s="241"/>
      <c r="Q2047" s="251"/>
      <c r="R2047" s="241"/>
      <c r="S2047" s="154" t="s">
        <v>60</v>
      </c>
      <c r="T2047" s="154" t="s">
        <v>60</v>
      </c>
      <c r="U2047" s="154" t="s">
        <v>60</v>
      </c>
      <c r="V2047" s="154" t="s">
        <v>60</v>
      </c>
      <c r="W2047" s="154" t="s">
        <v>60</v>
      </c>
      <c r="X2047" s="154" t="s">
        <v>60</v>
      </c>
      <c r="Y2047" s="154" t="s">
        <v>60</v>
      </c>
      <c r="Z2047" s="154" t="s">
        <v>60</v>
      </c>
      <c r="AA2047" s="154" t="s">
        <v>60</v>
      </c>
      <c r="AB2047" s="154"/>
      <c r="AC2047" s="242" t="b">
        <f t="shared" si="2"/>
        <v>1</v>
      </c>
      <c r="AD2047" s="154" t="s">
        <v>391</v>
      </c>
      <c r="AE2047" s="243" t="b">
        <f t="shared" si="3"/>
        <v>0</v>
      </c>
      <c r="AF2047" s="154"/>
      <c r="AG2047" s="243" t="b">
        <f t="shared" si="7"/>
        <v>0</v>
      </c>
      <c r="AH2047" s="154"/>
      <c r="AI2047" s="243" t="str">
        <f t="shared" si="5"/>
        <v>N/A</v>
      </c>
      <c r="AJ2047" s="157" t="str">
        <f t="shared" si="6"/>
        <v/>
      </c>
    </row>
    <row r="2048" ht="12.75" customHeight="1">
      <c r="A2048" s="244" t="s">
        <v>4158</v>
      </c>
      <c r="B2048" s="244" t="s">
        <v>5124</v>
      </c>
      <c r="C2048" s="245" t="s">
        <v>5139</v>
      </c>
      <c r="D2048" s="155" t="s">
        <v>861</v>
      </c>
      <c r="E2048" s="246" t="s">
        <v>489</v>
      </c>
      <c r="F2048" s="154" t="str">
        <f t="array" ref="F2048">XLOOKUP(Cover!$D$12,$S$1:$AA$1,$S2048:$AA2048)</f>
        <v>Mandatory</v>
      </c>
      <c r="G2048" s="153" t="s">
        <v>5140</v>
      </c>
      <c r="H2048" s="154" t="s">
        <v>5129</v>
      </c>
      <c r="I2048" s="154" t="s">
        <v>632</v>
      </c>
      <c r="J2048" s="247" t="s">
        <v>445</v>
      </c>
      <c r="K2048" s="154"/>
      <c r="L2048" s="154" t="str">
        <f t="shared" si="1"/>
        <v/>
      </c>
      <c r="M2048" s="248" t="str">
        <f>IFERROR(__xludf.DUMMYFUNCTION("VLOOKUP(C2048,IMPORTRANGE(""https://docs.google.com/spreadsheets/d/1P8eX0NWBhUPS_hvzA11R6jkTNFrPrRYIx_dX_hYbxrk/edit?resourcekey=0-iw9bsKY2OqkUHCFMkCar3A&amp;gid=2055363397#gid=2055363397"",""MTR!C:O""),11,false)"),"PMW-MCE-AS")</f>
        <v>PMW-MCE-AS</v>
      </c>
      <c r="N2048" s="248" t="str">
        <f>IFERROR(__xludf.DUMMYFUNCTION("VLOOKUP(C2048,IMPORTRANGE(""https://docs.google.com/spreadsheets/d/1ihFlp3_ePlYtFuPbUNbYj1muErVpI73WHXbEwJDIA7Q/edit#gid=1493122344"",""MTR!C:O""),8,false)"),"Complies")</f>
        <v>Complies</v>
      </c>
      <c r="O2048" s="241" t="str">
        <f>IFERROR(__xludf.DUMMYFUNCTION("VLOOKUP(C2048,IMPORTRANGE(""https://docs.google.com/spreadsheets/d/1P8eX0NWBhUPS_hvzA11R6jkTNFrPrRYIx_dX_hYbxrk/edit?resourcekey=0-iw9bsKY2OqkUHCFMkCar3A&amp;gid=2055363397#gid=2055363397"",""MTR!C:O""),9,false)"),"")</f>
        <v/>
      </c>
      <c r="P2048" s="241"/>
      <c r="Q2048" s="251" t="s">
        <v>445</v>
      </c>
      <c r="R2048" s="241"/>
      <c r="S2048" s="154" t="s">
        <v>60</v>
      </c>
      <c r="T2048" s="154" t="s">
        <v>60</v>
      </c>
      <c r="U2048" s="154" t="s">
        <v>60</v>
      </c>
      <c r="V2048" s="154" t="s">
        <v>60</v>
      </c>
      <c r="W2048" s="154" t="s">
        <v>60</v>
      </c>
      <c r="X2048" s="154" t="s">
        <v>60</v>
      </c>
      <c r="Y2048" s="154" t="s">
        <v>60</v>
      </c>
      <c r="Z2048" s="154" t="s">
        <v>60</v>
      </c>
      <c r="AA2048" s="154" t="s">
        <v>60</v>
      </c>
      <c r="AB2048" s="154"/>
      <c r="AC2048" s="242" t="b">
        <f t="shared" si="2"/>
        <v>1</v>
      </c>
      <c r="AD2048" s="154" t="s">
        <v>391</v>
      </c>
      <c r="AE2048" s="243" t="b">
        <f t="shared" si="3"/>
        <v>0</v>
      </c>
      <c r="AF2048" s="154"/>
      <c r="AG2048" s="243" t="b">
        <f t="shared" si="7"/>
        <v>0</v>
      </c>
      <c r="AH2048" s="154"/>
      <c r="AI2048" s="243" t="str">
        <f t="shared" si="5"/>
        <v>N/A</v>
      </c>
      <c r="AJ2048" s="157" t="str">
        <f t="shared" si="6"/>
        <v/>
      </c>
    </row>
    <row r="2049" ht="12.75" customHeight="1">
      <c r="A2049" s="244" t="s">
        <v>4158</v>
      </c>
      <c r="B2049" s="244" t="s">
        <v>5124</v>
      </c>
      <c r="C2049" s="244" t="s">
        <v>5141</v>
      </c>
      <c r="D2049" s="154" t="s">
        <v>422</v>
      </c>
      <c r="E2049" s="250" t="s">
        <v>489</v>
      </c>
      <c r="F2049" s="154" t="str">
        <f t="array" ref="F2049">XLOOKUP(Cover!$D$12,$S$1:$AA$1,$S2049:$AA2049)</f>
        <v>Mandatory</v>
      </c>
      <c r="G2049" s="153" t="s">
        <v>5142</v>
      </c>
      <c r="H2049" s="154" t="s">
        <v>5129</v>
      </c>
      <c r="I2049" s="154" t="s">
        <v>420</v>
      </c>
      <c r="J2049" s="247" t="s">
        <v>445</v>
      </c>
      <c r="K2049" s="154"/>
      <c r="L2049" s="154" t="str">
        <f t="shared" si="1"/>
        <v/>
      </c>
      <c r="M2049" s="248" t="str">
        <f>IFERROR(__xludf.DUMMYFUNCTION("VLOOKUP(C2049,IMPORTRANGE(""https://docs.google.com/spreadsheets/d/1P8eX0NWBhUPS_hvzA11R6jkTNFrPrRYIx_dX_hYbxrk/edit?resourcekey=0-iw9bsKY2OqkUHCFMkCar3A&amp;gid=2055363397#gid=2055363397"",""MTR!C:O""),11,false)"),"PMW-MCE-AS")</f>
        <v>PMW-MCE-AS</v>
      </c>
      <c r="N2049" s="248" t="str">
        <f>IFERROR(__xludf.DUMMYFUNCTION("VLOOKUP(C2049,IMPORTRANGE(""https://docs.google.com/spreadsheets/d/1ihFlp3_ePlYtFuPbUNbYj1muErVpI73WHXbEwJDIA7Q/edit#gid=1493122344"",""MTR!C:O""),8,false)"),"Complies")</f>
        <v>Complies</v>
      </c>
      <c r="O2049" s="241" t="str">
        <f>IFERROR(__xludf.DUMMYFUNCTION("VLOOKUP(C2049,IMPORTRANGE(""https://docs.google.com/spreadsheets/d/1P8eX0NWBhUPS_hvzA11R6jkTNFrPrRYIx_dX_hYbxrk/edit?resourcekey=0-iw9bsKY2OqkUHCFMkCar3A&amp;gid=2055363397#gid=2055363397"",""MTR!C:O""),9,false)"),"")</f>
        <v/>
      </c>
      <c r="P2049" s="241"/>
      <c r="Q2049" s="251" t="s">
        <v>445</v>
      </c>
      <c r="R2049" s="241"/>
      <c r="S2049" s="154" t="s">
        <v>60</v>
      </c>
      <c r="T2049" s="154" t="s">
        <v>60</v>
      </c>
      <c r="U2049" s="154" t="s">
        <v>60</v>
      </c>
      <c r="V2049" s="154" t="s">
        <v>60</v>
      </c>
      <c r="W2049" s="154" t="s">
        <v>60</v>
      </c>
      <c r="X2049" s="154" t="s">
        <v>60</v>
      </c>
      <c r="Y2049" s="154" t="s">
        <v>60</v>
      </c>
      <c r="Z2049" s="154" t="s">
        <v>60</v>
      </c>
      <c r="AA2049" s="154" t="s">
        <v>60</v>
      </c>
      <c r="AB2049" s="154"/>
      <c r="AC2049" s="242" t="b">
        <f t="shared" si="2"/>
        <v>1</v>
      </c>
      <c r="AD2049" s="154" t="s">
        <v>391</v>
      </c>
      <c r="AE2049" s="243" t="b">
        <f t="shared" si="3"/>
        <v>0</v>
      </c>
      <c r="AF2049" s="154"/>
      <c r="AG2049" s="243" t="b">
        <f t="shared" si="7"/>
        <v>0</v>
      </c>
      <c r="AH2049" s="154"/>
      <c r="AI2049" s="243" t="str">
        <f t="shared" si="5"/>
        <v>N/A</v>
      </c>
      <c r="AJ2049" s="157" t="str">
        <f t="shared" si="6"/>
        <v/>
      </c>
    </row>
    <row r="2050" ht="12.75" customHeight="1">
      <c r="A2050" s="244" t="s">
        <v>4158</v>
      </c>
      <c r="B2050" s="244" t="s">
        <v>5124</v>
      </c>
      <c r="C2050" s="244" t="s">
        <v>5143</v>
      </c>
      <c r="D2050" s="154" t="s">
        <v>1315</v>
      </c>
      <c r="E2050" s="250" t="s">
        <v>489</v>
      </c>
      <c r="F2050" s="154" t="str">
        <f t="array" ref="F2050">XLOOKUP(Cover!$D$12,$S$1:$AA$1,$S2050:$AA2050)</f>
        <v>Mandatory</v>
      </c>
      <c r="G2050" s="153" t="s">
        <v>5144</v>
      </c>
      <c r="H2050" s="154" t="s">
        <v>5129</v>
      </c>
      <c r="I2050" s="154" t="s">
        <v>632</v>
      </c>
      <c r="J2050" s="247" t="s">
        <v>445</v>
      </c>
      <c r="K2050" s="154"/>
      <c r="L2050" s="154" t="str">
        <f t="shared" si="1"/>
        <v/>
      </c>
      <c r="M2050" s="248" t="str">
        <f>IFERROR(__xludf.DUMMYFUNCTION("VLOOKUP(C2050,IMPORTRANGE(""https://docs.google.com/spreadsheets/d/1P8eX0NWBhUPS_hvzA11R6jkTNFrPrRYIx_dX_hYbxrk/edit?resourcekey=0-iw9bsKY2OqkUHCFMkCar3A&amp;gid=2055363397#gid=2055363397"",""MTR!C:O""),11,false)"),"PMW-MCE-AS")</f>
        <v>PMW-MCE-AS</v>
      </c>
      <c r="N2050" s="248" t="str">
        <f>IFERROR(__xludf.DUMMYFUNCTION("VLOOKUP(C2050,IMPORTRANGE(""https://docs.google.com/spreadsheets/d/1ihFlp3_ePlYtFuPbUNbYj1muErVpI73WHXbEwJDIA7Q/edit#gid=1493122344"",""MTR!C:O""),8,false)"),"Complies")</f>
        <v>Complies</v>
      </c>
      <c r="O2050" s="241" t="str">
        <f>IFERROR(__xludf.DUMMYFUNCTION("VLOOKUP(C2050,IMPORTRANGE(""https://docs.google.com/spreadsheets/d/1P8eX0NWBhUPS_hvzA11R6jkTNFrPrRYIx_dX_hYbxrk/edit?resourcekey=0-iw9bsKY2OqkUHCFMkCar3A&amp;gid=2055363397#gid=2055363397"",""MTR!C:O""),9,false)"),"")</f>
        <v/>
      </c>
      <c r="P2050" s="241"/>
      <c r="Q2050" s="251" t="s">
        <v>445</v>
      </c>
      <c r="R2050" s="241"/>
      <c r="S2050" s="154" t="s">
        <v>60</v>
      </c>
      <c r="T2050" s="154" t="s">
        <v>60</v>
      </c>
      <c r="U2050" s="154" t="s">
        <v>60</v>
      </c>
      <c r="V2050" s="154" t="s">
        <v>60</v>
      </c>
      <c r="W2050" s="154" t="s">
        <v>60</v>
      </c>
      <c r="X2050" s="154" t="s">
        <v>60</v>
      </c>
      <c r="Y2050" s="154" t="s">
        <v>60</v>
      </c>
      <c r="Z2050" s="154" t="s">
        <v>60</v>
      </c>
      <c r="AA2050" s="154" t="s">
        <v>60</v>
      </c>
      <c r="AB2050" s="154"/>
      <c r="AC2050" s="242" t="b">
        <f t="shared" si="2"/>
        <v>1</v>
      </c>
      <c r="AD2050" s="154" t="s">
        <v>391</v>
      </c>
      <c r="AE2050" s="243" t="b">
        <f t="shared" si="3"/>
        <v>0</v>
      </c>
      <c r="AF2050" s="154"/>
      <c r="AG2050" s="243" t="b">
        <f t="shared" si="7"/>
        <v>0</v>
      </c>
      <c r="AH2050" s="154"/>
      <c r="AI2050" s="243" t="str">
        <f t="shared" si="5"/>
        <v>N/A</v>
      </c>
      <c r="AJ2050" s="157" t="str">
        <f t="shared" si="6"/>
        <v/>
      </c>
    </row>
    <row r="2051" ht="12.75" customHeight="1">
      <c r="A2051" s="244" t="s">
        <v>4158</v>
      </c>
      <c r="B2051" s="244" t="s">
        <v>5124</v>
      </c>
      <c r="C2051" s="244" t="s">
        <v>5145</v>
      </c>
      <c r="D2051" s="154" t="s">
        <v>1315</v>
      </c>
      <c r="E2051" s="250" t="s">
        <v>489</v>
      </c>
      <c r="F2051" s="154" t="str">
        <f t="array" ref="F2051">XLOOKUP(Cover!$D$12,$S$1:$AA$1,$S2051:$AA2051)</f>
        <v>Mandatory</v>
      </c>
      <c r="G2051" s="153" t="s">
        <v>5146</v>
      </c>
      <c r="H2051" s="154" t="s">
        <v>5129</v>
      </c>
      <c r="I2051" s="154" t="s">
        <v>632</v>
      </c>
      <c r="J2051" s="247" t="s">
        <v>445</v>
      </c>
      <c r="K2051" s="154"/>
      <c r="L2051" s="154" t="str">
        <f t="shared" si="1"/>
        <v/>
      </c>
      <c r="M2051" s="248" t="str">
        <f>IFERROR(__xludf.DUMMYFUNCTION("VLOOKUP(C2051,IMPORTRANGE(""https://docs.google.com/spreadsheets/d/1P8eX0NWBhUPS_hvzA11R6jkTNFrPrRYIx_dX_hYbxrk/edit?resourcekey=0-iw9bsKY2OqkUHCFMkCar3A&amp;gid=2055363397#gid=2055363397"",""MTR!C:O""),11,false)"),"PMW-MCE-AS")</f>
        <v>PMW-MCE-AS</v>
      </c>
      <c r="N2051" s="248" t="str">
        <f>IFERROR(__xludf.DUMMYFUNCTION("VLOOKUP(C2051,IMPORTRANGE(""https://docs.google.com/spreadsheets/d/1ihFlp3_ePlYtFuPbUNbYj1muErVpI73WHXbEwJDIA7Q/edit#gid=1493122344"",""MTR!C:O""),8,false)"),"Complies")</f>
        <v>Complies</v>
      </c>
      <c r="O2051" s="241" t="str">
        <f>IFERROR(__xludf.DUMMYFUNCTION("VLOOKUP(C2051,IMPORTRANGE(""https://docs.google.com/spreadsheets/d/1P8eX0NWBhUPS_hvzA11R6jkTNFrPrRYIx_dX_hYbxrk/edit?resourcekey=0-iw9bsKY2OqkUHCFMkCar3A&amp;gid=2055363397#gid=2055363397"",""MTR!C:O""),9,false)"),"")</f>
        <v/>
      </c>
      <c r="P2051" s="241"/>
      <c r="Q2051" s="251" t="s">
        <v>445</v>
      </c>
      <c r="R2051" s="241"/>
      <c r="S2051" s="154" t="s">
        <v>60</v>
      </c>
      <c r="T2051" s="154" t="s">
        <v>60</v>
      </c>
      <c r="U2051" s="154" t="s">
        <v>60</v>
      </c>
      <c r="V2051" s="154" t="s">
        <v>60</v>
      </c>
      <c r="W2051" s="154" t="s">
        <v>60</v>
      </c>
      <c r="X2051" s="154" t="s">
        <v>60</v>
      </c>
      <c r="Y2051" s="154" t="s">
        <v>60</v>
      </c>
      <c r="Z2051" s="154" t="s">
        <v>60</v>
      </c>
      <c r="AA2051" s="154" t="s">
        <v>60</v>
      </c>
      <c r="AB2051" s="154"/>
      <c r="AC2051" s="242" t="b">
        <f t="shared" si="2"/>
        <v>1</v>
      </c>
      <c r="AD2051" s="154" t="s">
        <v>391</v>
      </c>
      <c r="AE2051" s="243" t="b">
        <f t="shared" si="3"/>
        <v>0</v>
      </c>
      <c r="AF2051" s="154"/>
      <c r="AG2051" s="243" t="b">
        <f t="shared" si="7"/>
        <v>0</v>
      </c>
      <c r="AH2051" s="154"/>
      <c r="AI2051" s="243" t="str">
        <f t="shared" si="5"/>
        <v>N/A</v>
      </c>
      <c r="AJ2051" s="157" t="str">
        <f t="shared" si="6"/>
        <v/>
      </c>
    </row>
    <row r="2052" ht="12.75" customHeight="1">
      <c r="A2052" s="244" t="s">
        <v>4158</v>
      </c>
      <c r="B2052" s="244" t="s">
        <v>5124</v>
      </c>
      <c r="C2052" s="244" t="s">
        <v>5147</v>
      </c>
      <c r="D2052" s="154" t="s">
        <v>1315</v>
      </c>
      <c r="E2052" s="250" t="s">
        <v>489</v>
      </c>
      <c r="F2052" s="154" t="str">
        <f t="array" ref="F2052">XLOOKUP(Cover!$D$12,$S$1:$AA$1,$S2052:$AA2052)</f>
        <v>Mandatory</v>
      </c>
      <c r="G2052" s="153" t="s">
        <v>5148</v>
      </c>
      <c r="H2052" s="154" t="s">
        <v>5129</v>
      </c>
      <c r="I2052" s="154" t="s">
        <v>632</v>
      </c>
      <c r="J2052" s="247" t="s">
        <v>445</v>
      </c>
      <c r="K2052" s="154"/>
      <c r="L2052" s="154" t="str">
        <f t="shared" si="1"/>
        <v/>
      </c>
      <c r="M2052" s="248" t="s">
        <v>2194</v>
      </c>
      <c r="N2052" s="248" t="str">
        <f>IFERROR(__xludf.DUMMYFUNCTION("VLOOKUP(C2052,IMPORTRANGE(""https://docs.google.com/spreadsheets/d/1ihFlp3_ePlYtFuPbUNbYj1muErVpI73WHXbEwJDIA7Q/edit#gid=1493122344"",""MTR!C:O""),8,false)"),"Complies")</f>
        <v>Complies</v>
      </c>
      <c r="O2052" s="241" t="str">
        <f>IFERROR(__xludf.DUMMYFUNCTION("VLOOKUP(C2052,IMPORTRANGE(""https://docs.google.com/spreadsheets/d/1P8eX0NWBhUPS_hvzA11R6jkTNFrPrRYIx_dX_hYbxrk/edit?resourcekey=0-iw9bsKY2OqkUHCFMkCar3A&amp;gid=2055363397#gid=2055363397"",""MTR!C:O""),9,false)"),"")</f>
        <v/>
      </c>
      <c r="P2052" s="241"/>
      <c r="Q2052" s="251" t="s">
        <v>445</v>
      </c>
      <c r="R2052" s="241"/>
      <c r="S2052" s="154" t="s">
        <v>60</v>
      </c>
      <c r="T2052" s="154" t="s">
        <v>60</v>
      </c>
      <c r="U2052" s="154" t="s">
        <v>60</v>
      </c>
      <c r="V2052" s="154" t="s">
        <v>60</v>
      </c>
      <c r="W2052" s="154" t="s">
        <v>60</v>
      </c>
      <c r="X2052" s="154" t="s">
        <v>60</v>
      </c>
      <c r="Y2052" s="154" t="s">
        <v>60</v>
      </c>
      <c r="Z2052" s="154" t="s">
        <v>60</v>
      </c>
      <c r="AA2052" s="154" t="s">
        <v>60</v>
      </c>
      <c r="AB2052" s="154"/>
      <c r="AC2052" s="242" t="b">
        <f t="shared" si="2"/>
        <v>1</v>
      </c>
      <c r="AD2052" s="154" t="s">
        <v>391</v>
      </c>
      <c r="AE2052" s="243" t="b">
        <f t="shared" si="3"/>
        <v>0</v>
      </c>
      <c r="AF2052" s="154"/>
      <c r="AG2052" s="243" t="b">
        <f t="shared" si="7"/>
        <v>0</v>
      </c>
      <c r="AH2052" s="154"/>
      <c r="AI2052" s="243" t="str">
        <f t="shared" si="5"/>
        <v>N/A</v>
      </c>
      <c r="AJ2052" s="157" t="str">
        <f t="shared" si="6"/>
        <v/>
      </c>
    </row>
    <row r="2053" ht="12.75" customHeight="1">
      <c r="A2053" s="244" t="s">
        <v>4158</v>
      </c>
      <c r="B2053" s="244" t="s">
        <v>5124</v>
      </c>
      <c r="C2053" s="245" t="s">
        <v>5149</v>
      </c>
      <c r="D2053" s="155" t="s">
        <v>1069</v>
      </c>
      <c r="E2053" s="246" t="s">
        <v>489</v>
      </c>
      <c r="F2053" s="154" t="str">
        <f t="array" ref="F2053">XLOOKUP(Cover!$D$12,$S$1:$AA$1,$S2053:$AA2053)</f>
        <v>Mandatory</v>
      </c>
      <c r="G2053" s="153" t="s">
        <v>5150</v>
      </c>
      <c r="H2053" s="154" t="s">
        <v>5129</v>
      </c>
      <c r="I2053" s="154" t="s">
        <v>632</v>
      </c>
      <c r="J2053" s="247" t="s">
        <v>445</v>
      </c>
      <c r="K2053" s="154"/>
      <c r="L2053" s="154" t="str">
        <f t="shared" si="1"/>
        <v/>
      </c>
      <c r="M2053" s="248" t="s">
        <v>2194</v>
      </c>
      <c r="N2053" s="248" t="str">
        <f>IFERROR(__xludf.DUMMYFUNCTION("VLOOKUP(C2053,IMPORTRANGE(""https://docs.google.com/spreadsheets/d/1ihFlp3_ePlYtFuPbUNbYj1muErVpI73WHXbEwJDIA7Q/edit#gid=1493122344"",""MTR!C:O""),8,false)"),"Complies")</f>
        <v>Complies</v>
      </c>
      <c r="O2053" s="241" t="str">
        <f>IFERROR(__xludf.DUMMYFUNCTION("VLOOKUP(C2053,IMPORTRANGE(""https://docs.google.com/spreadsheets/d/1P8eX0NWBhUPS_hvzA11R6jkTNFrPrRYIx_dX_hYbxrk/edit?resourcekey=0-iw9bsKY2OqkUHCFMkCar3A&amp;gid=2055363397#gid=2055363397"",""MTR!C:O""),9,false)"),"")</f>
        <v/>
      </c>
      <c r="P2053" s="241"/>
      <c r="Q2053" s="251" t="s">
        <v>445</v>
      </c>
      <c r="R2053" s="241"/>
      <c r="S2053" s="154" t="s">
        <v>60</v>
      </c>
      <c r="T2053" s="154" t="s">
        <v>60</v>
      </c>
      <c r="U2053" s="154" t="s">
        <v>60</v>
      </c>
      <c r="V2053" s="154" t="s">
        <v>60</v>
      </c>
      <c r="W2053" s="154" t="s">
        <v>60</v>
      </c>
      <c r="X2053" s="154" t="s">
        <v>60</v>
      </c>
      <c r="Y2053" s="154" t="s">
        <v>60</v>
      </c>
      <c r="Z2053" s="154" t="s">
        <v>60</v>
      </c>
      <c r="AA2053" s="154" t="s">
        <v>60</v>
      </c>
      <c r="AB2053" s="154"/>
      <c r="AC2053" s="242" t="b">
        <f t="shared" si="2"/>
        <v>1</v>
      </c>
      <c r="AD2053" s="154" t="s">
        <v>391</v>
      </c>
      <c r="AE2053" s="243" t="b">
        <f t="shared" si="3"/>
        <v>0</v>
      </c>
      <c r="AF2053" s="154"/>
      <c r="AG2053" s="243" t="b">
        <f t="shared" si="7"/>
        <v>0</v>
      </c>
      <c r="AH2053" s="154"/>
      <c r="AI2053" s="243" t="str">
        <f t="shared" si="5"/>
        <v>N/A</v>
      </c>
      <c r="AJ2053" s="157" t="str">
        <f t="shared" si="6"/>
        <v/>
      </c>
    </row>
    <row r="2054" ht="12.75" customHeight="1">
      <c r="A2054" s="244" t="s">
        <v>4158</v>
      </c>
      <c r="B2054" s="244" t="s">
        <v>5124</v>
      </c>
      <c r="C2054" s="245" t="s">
        <v>5151</v>
      </c>
      <c r="D2054" s="155" t="s">
        <v>503</v>
      </c>
      <c r="E2054" s="246" t="s">
        <v>489</v>
      </c>
      <c r="F2054" s="154" t="str">
        <f t="array" ref="F2054">XLOOKUP(Cover!$D$12,$S$1:$AA$1,$S2054:$AA2054)</f>
        <v>Mandatory</v>
      </c>
      <c r="G2054" s="153" t="s">
        <v>5152</v>
      </c>
      <c r="H2054" s="154" t="s">
        <v>5129</v>
      </c>
      <c r="I2054" s="154" t="s">
        <v>632</v>
      </c>
      <c r="J2054" s="247" t="s">
        <v>445</v>
      </c>
      <c r="K2054" s="154"/>
      <c r="L2054" s="154" t="str">
        <f t="shared" si="1"/>
        <v/>
      </c>
      <c r="M2054" s="248" t="s">
        <v>2194</v>
      </c>
      <c r="N2054" s="248" t="str">
        <f>IFERROR(__xludf.DUMMYFUNCTION("VLOOKUP(C2054,IMPORTRANGE(""https://docs.google.com/spreadsheets/d/1ihFlp3_ePlYtFuPbUNbYj1muErVpI73WHXbEwJDIA7Q/edit#gid=1493122344"",""MTR!C:O""),8,false)"),"Complies")</f>
        <v>Complies</v>
      </c>
      <c r="O2054" s="241" t="str">
        <f>IFERROR(__xludf.DUMMYFUNCTION("VLOOKUP(C2054,IMPORTRANGE(""https://docs.google.com/spreadsheets/d/1P8eX0NWBhUPS_hvzA11R6jkTNFrPrRYIx_dX_hYbxrk/edit?resourcekey=0-iw9bsKY2OqkUHCFMkCar3A&amp;gid=2055363397#gid=2055363397"",""MTR!C:O""),9,false)"),"")</f>
        <v/>
      </c>
      <c r="P2054" s="241"/>
      <c r="Q2054" s="251" t="s">
        <v>445</v>
      </c>
      <c r="R2054" s="241"/>
      <c r="S2054" s="154" t="s">
        <v>60</v>
      </c>
      <c r="T2054" s="154" t="s">
        <v>60</v>
      </c>
      <c r="U2054" s="154" t="s">
        <v>60</v>
      </c>
      <c r="V2054" s="154" t="s">
        <v>60</v>
      </c>
      <c r="W2054" s="154" t="s">
        <v>60</v>
      </c>
      <c r="X2054" s="154" t="s">
        <v>60</v>
      </c>
      <c r="Y2054" s="154" t="s">
        <v>60</v>
      </c>
      <c r="Z2054" s="154" t="s">
        <v>60</v>
      </c>
      <c r="AA2054" s="154" t="s">
        <v>60</v>
      </c>
      <c r="AB2054" s="154"/>
      <c r="AC2054" s="242" t="b">
        <f t="shared" si="2"/>
        <v>1</v>
      </c>
      <c r="AD2054" s="154" t="s">
        <v>391</v>
      </c>
      <c r="AE2054" s="243" t="b">
        <f t="shared" si="3"/>
        <v>0</v>
      </c>
      <c r="AF2054" s="154"/>
      <c r="AG2054" s="243" t="b">
        <f t="shared" si="7"/>
        <v>0</v>
      </c>
      <c r="AH2054" s="154"/>
      <c r="AI2054" s="243" t="str">
        <f t="shared" si="5"/>
        <v>N/A</v>
      </c>
      <c r="AJ2054" s="157" t="str">
        <f t="shared" si="6"/>
        <v/>
      </c>
    </row>
    <row r="2055" ht="12.75" customHeight="1">
      <c r="A2055" s="244" t="s">
        <v>4158</v>
      </c>
      <c r="B2055" s="244" t="s">
        <v>5124</v>
      </c>
      <c r="C2055" s="255" t="s">
        <v>5153</v>
      </c>
      <c r="D2055" s="256" t="s">
        <v>42</v>
      </c>
      <c r="E2055" s="257" t="s">
        <v>489</v>
      </c>
      <c r="F2055" s="154" t="str">
        <f t="array" ref="F2055">XLOOKUP(Cover!$D$12,$S$1:$AA$1,$S2055:$AA2055)</f>
        <v>Information</v>
      </c>
      <c r="G2055" s="153" t="s">
        <v>5154</v>
      </c>
      <c r="H2055" s="154" t="s">
        <v>5129</v>
      </c>
      <c r="I2055" s="154" t="s">
        <v>632</v>
      </c>
      <c r="J2055" s="247" t="s">
        <v>617</v>
      </c>
      <c r="K2055" s="247" t="s">
        <v>5155</v>
      </c>
      <c r="L2055" s="154" t="str">
        <f t="shared" si="1"/>
        <v/>
      </c>
      <c r="M2055" s="253" t="s">
        <v>2194</v>
      </c>
      <c r="N2055" s="253" t="str">
        <f>IFERROR(__xludf.DUMMYFUNCTION("VLOOKUP(C2055,IMPORTRANGE(""https://docs.google.com/spreadsheets/d/1ihFlp3_ePlYtFuPbUNbYj1muErVpI73WHXbEwJDIA7Q/edit#gid=1493122344"",""MTR!C:O""),8,false)"),"#N/A")</f>
        <v>#N/A</v>
      </c>
      <c r="O2055" s="253" t="str">
        <f>IFERROR(__xludf.DUMMYFUNCTION("VLOOKUP(C2055,IMPORTRANGE(""https://docs.google.com/spreadsheets/d/1P8eX0NWBhUPS_hvzA11R6jkTNFrPrRYIx_dX_hYbxrk/edit?resourcekey=0-iw9bsKY2OqkUHCFMkCar3A&amp;gid=2055363397#gid=2055363397"",""MTR!C:O""),9,false)"),"#N/A")</f>
        <v>#N/A</v>
      </c>
      <c r="P2055" s="253"/>
      <c r="Q2055" s="259"/>
      <c r="R2055" s="253"/>
      <c r="S2055" s="154" t="s">
        <v>66</v>
      </c>
      <c r="T2055" s="154" t="s">
        <v>66</v>
      </c>
      <c r="U2055" s="154" t="s">
        <v>66</v>
      </c>
      <c r="V2055" s="154" t="s">
        <v>66</v>
      </c>
      <c r="W2055" s="154" t="s">
        <v>66</v>
      </c>
      <c r="X2055" s="154" t="s">
        <v>66</v>
      </c>
      <c r="Y2055" s="154" t="s">
        <v>66</v>
      </c>
      <c r="Z2055" s="154" t="s">
        <v>66</v>
      </c>
      <c r="AA2055" s="154" t="s">
        <v>66</v>
      </c>
      <c r="AB2055" s="154"/>
      <c r="AC2055" s="242" t="b">
        <f t="shared" si="2"/>
        <v>1</v>
      </c>
      <c r="AD2055" s="154" t="s">
        <v>391</v>
      </c>
      <c r="AE2055" s="243" t="b">
        <f t="shared" si="3"/>
        <v>0</v>
      </c>
      <c r="AF2055" s="154"/>
      <c r="AG2055" s="243" t="b">
        <f t="shared" si="7"/>
        <v>0</v>
      </c>
      <c r="AH2055" s="154"/>
      <c r="AI2055" s="243" t="str">
        <f t="shared" si="5"/>
        <v>N/A</v>
      </c>
      <c r="AJ2055" s="157" t="str">
        <f t="shared" si="6"/>
        <v/>
      </c>
    </row>
    <row r="2056" ht="12.75" customHeight="1">
      <c r="A2056" s="244" t="s">
        <v>4158</v>
      </c>
      <c r="B2056" s="244" t="s">
        <v>5124</v>
      </c>
      <c r="C2056" s="255" t="s">
        <v>5156</v>
      </c>
      <c r="D2056" s="256"/>
      <c r="E2056" s="257" t="s">
        <v>489</v>
      </c>
      <c r="F2056" s="154" t="str">
        <f t="array" ref="F2056">XLOOKUP(Cover!$D$12,$S$1:$AA$1,$S2056:$AA2056)</f>
        <v>Information</v>
      </c>
      <c r="G2056" s="153" t="s">
        <v>5157</v>
      </c>
      <c r="H2056" s="154" t="s">
        <v>5129</v>
      </c>
      <c r="I2056" s="154" t="s">
        <v>2155</v>
      </c>
      <c r="J2056" s="247" t="s">
        <v>617</v>
      </c>
      <c r="K2056" s="247" t="s">
        <v>5155</v>
      </c>
      <c r="L2056" s="154" t="str">
        <f t="shared" si="1"/>
        <v/>
      </c>
      <c r="M2056" s="253" t="s">
        <v>2194</v>
      </c>
      <c r="N2056" s="253" t="str">
        <f>IFERROR(__xludf.DUMMYFUNCTION("VLOOKUP(C2056,IMPORTRANGE(""https://docs.google.com/spreadsheets/d/1ihFlp3_ePlYtFuPbUNbYj1muErVpI73WHXbEwJDIA7Q/edit#gid=1493122344"",""MTR!C:O""),8,false)"),"#N/A")</f>
        <v>#N/A</v>
      </c>
      <c r="O2056" s="253" t="str">
        <f>IFERROR(__xludf.DUMMYFUNCTION("VLOOKUP(C2056,IMPORTRANGE(""https://docs.google.com/spreadsheets/d/1P8eX0NWBhUPS_hvzA11R6jkTNFrPrRYIx_dX_hYbxrk/edit?resourcekey=0-iw9bsKY2OqkUHCFMkCar3A&amp;gid=2055363397#gid=2055363397"",""MTR!C:O""),9,false)"),"#N/A")</f>
        <v>#N/A</v>
      </c>
      <c r="P2056" s="253"/>
      <c r="Q2056" s="253"/>
      <c r="R2056" s="253"/>
      <c r="S2056" s="154" t="s">
        <v>66</v>
      </c>
      <c r="T2056" s="154" t="s">
        <v>66</v>
      </c>
      <c r="U2056" s="154" t="s">
        <v>66</v>
      </c>
      <c r="V2056" s="154" t="s">
        <v>66</v>
      </c>
      <c r="W2056" s="154" t="s">
        <v>66</v>
      </c>
      <c r="X2056" s="154" t="s">
        <v>66</v>
      </c>
      <c r="Y2056" s="154" t="s">
        <v>66</v>
      </c>
      <c r="Z2056" s="154" t="s">
        <v>66</v>
      </c>
      <c r="AA2056" s="154" t="s">
        <v>66</v>
      </c>
      <c r="AB2056" s="154"/>
      <c r="AC2056" s="242" t="b">
        <f t="shared" si="2"/>
        <v>1</v>
      </c>
      <c r="AD2056" s="154" t="s">
        <v>391</v>
      </c>
      <c r="AE2056" s="243" t="b">
        <f t="shared" si="3"/>
        <v>0</v>
      </c>
      <c r="AF2056" s="154"/>
      <c r="AG2056" s="243" t="b">
        <f t="shared" si="7"/>
        <v>0</v>
      </c>
      <c r="AH2056" s="154"/>
      <c r="AI2056" s="243" t="str">
        <f t="shared" si="5"/>
        <v>N/A</v>
      </c>
      <c r="AJ2056" s="157" t="str">
        <f t="shared" si="6"/>
        <v/>
      </c>
    </row>
    <row r="2057" ht="12.75" customHeight="1">
      <c r="A2057" s="275"/>
      <c r="B2057" s="275"/>
      <c r="C2057" s="276"/>
      <c r="D2057" s="277"/>
      <c r="E2057" s="278"/>
      <c r="F2057" s="196"/>
      <c r="G2057" s="279"/>
      <c r="H2057" s="196"/>
      <c r="I2057" s="196"/>
      <c r="J2057" s="196"/>
      <c r="K2057" s="196"/>
      <c r="L2057" s="196"/>
      <c r="M2057" s="280"/>
      <c r="N2057" s="280"/>
      <c r="O2057" s="280"/>
      <c r="P2057" s="280"/>
      <c r="Q2057" s="280"/>
      <c r="R2057" s="280"/>
      <c r="S2057" s="196"/>
      <c r="T2057" s="196"/>
      <c r="U2057" s="196"/>
      <c r="V2057" s="196"/>
      <c r="W2057" s="196"/>
      <c r="X2057" s="196"/>
      <c r="Y2057" s="196"/>
      <c r="Z2057" s="196"/>
      <c r="AA2057" s="196"/>
      <c r="AB2057" s="196"/>
      <c r="AC2057" s="281"/>
      <c r="AD2057" s="196"/>
      <c r="AE2057" s="282"/>
      <c r="AF2057" s="196"/>
      <c r="AG2057" s="282"/>
      <c r="AH2057" s="196"/>
      <c r="AI2057" s="282"/>
      <c r="AJ2057" s="170"/>
    </row>
  </sheetData>
  <customSheetViews>
    <customSheetView guid="{17B3E7C4-657B-4D4E-87B6-EACE7243868C}" filter="1" showAutoFilter="1">
      <autoFilter ref="$A$1:$O$2057"/>
    </customSheetView>
  </customSheetViews>
  <conditionalFormatting sqref="L2:L2057">
    <cfRule type="expression" dxfId="5" priority="1" stopIfTrue="1">
      <formula>(F2="Heading")</formula>
    </cfRule>
  </conditionalFormatting>
  <conditionalFormatting sqref="L2:L2057">
    <cfRule type="expression" dxfId="4" priority="2" stopIfTrue="1">
      <formula>(L2&lt;&gt;"")</formula>
    </cfRule>
  </conditionalFormatting>
  <conditionalFormatting sqref="F2:F2057">
    <cfRule type="cellIs" dxfId="5" priority="3" operator="equal">
      <formula>"Heading"</formula>
    </cfRule>
  </conditionalFormatting>
  <conditionalFormatting sqref="J1 Q1:Q2057 J4:J11 J14 J16:J17 J19:J22 J24:J25 J27:J33 J36:J408 J410:J421 J423:J425 J427:J429 J431:J444 J446:J456 J458:J464 J467:J486 J489:J491 J495:J497 J499:J507 J509:J536 J538:J541 J543:J548 J551 J555:J558 J560:J566 J568:J569 J571 J573:J575 J577 J583:J585 J587:J603 J605:J613 J615:J617 J619:J623 J625:J627 J629 J631:J642 J644:J654 J656:J657 J659:J662 J664:J669 J671:J672 J674:J675 J677:J678 J680:J681 J683:J687 J689:J690 J692:J695 J697:J702 J705:J709 J712:J716 J718:J721 J724:J727 J729 J731:J735 J737 J741 J747:J748 J751 J754:J756 J758:J762 J765:J768 J770:J773 J775:J780 J782 J784 J786:J794 J796:J800 J802:J814 J817:J818 J820:J824 J826:J828 J833:J839 J841:J845 J848:J850 J854:J856 J858:J860 J862:J863 J865 J867:J868 J870:J872 J874 J876:J891 J893:J896 J899:J900 J902:J910 J913:J918 J920:J924 J928:J940 J942:J944 J946:J1000 J1002:J1011 J1013:J1037 J1039 J1042:J1044 J1046:J1051 J1053:J1068 J1070:J1094 J1097 J1099:J1102 J1104:J1110 J1113:J1120 J1123:J1128 J1130:J1135 J1137:J1143 J1145:J1147 J1149:J1169 J1171:J1214 J1216:J1217 J1219:J1230 J1232 J1234:J1238 J1240:J1249 J1251:J1263 J1265:J1277 J1279:J1288 J1290:J1298 J1300:J1322 J1324:J1340 J1342:J1349 J1354:J1362 J1364 J1366:J1368 J1370:J1382 J1384:J1397 J1399:J1402 J1405:J1409 J1411:J1413 J1415:J1417 J1419:J1422 J1424:J1425 J1428:J1432 J1434:J1436 J1438:J1442 J1444:J1445 J1447:J1477 J1480:J1483 J1485:J1491 J1494:J1495 J1497:J1498 J1500:J1505 J1507:J1508 J1510 J1514:J1550 J1555:J1572 J1574 J1577 J1579 J1581 J1583:J1585 J1588:J1589 J1591:J1595 J1599:J1600 J1603:J1604 J1606:J1608 J1610:J1615 J1617 J1619:J1634 J1636 J1638:J1642 J1644:J1647 J1650:J1654 J1656:J1670 J1672:J1679 J1681:J1717 J1719:J1723 J1725:J1731 J1734:J1747 J1749:J1765 J1769:J1774 J1776:J1779 J1781:J1782 J1784 J1786:J1787 J1789:J1790 J1792:J1800 J1802:J1808 J1810:J1823 J1825:J1827 J1830:J1837 J1839:J1848 J1851:J1891 J1893:J1900 J1903:J1906 J1908:J1914 J1916:J1919 J1921:J1922 J1924:J1926 J1928:J1931 J1933:J1935 J1937:J1982 J1984:J1985 J1987:J1992 J1994:J1998 J2000:J2008 J2010:J2013 J2015:J2018 J2020:J2024 J2026:J2030 J2032:J2037 J2039:J2041 J2043:J2057">
    <cfRule type="expression" dxfId="6" priority="4">
      <formula>"j1=q1"</formula>
    </cfRule>
  </conditionalFormatting>
  <dataValidations>
    <dataValidation type="custom" allowBlank="1" showInputMessage="1" showErrorMessage="1" prompt="Error - Do not enter Compliance Statements in Comments Vendor requirements!" sqref="J4:J11 J90 J127 J184:J185 J205:J206 J252:J254 J394 J407 J420 J425 J429 J443 J455 J511 J590 J592 J605:J613 J615:J617 J835 J850 J874 J906 J922:J924 J928:J939 J947 J950 J959:J960 J979:J980 J982 J1028 J1034:J1037 J1056:J1059 J1061 J1238 J1300 J1642 J2003 J2039:J2040">
      <formula1>"Not Applicable"</formula1>
    </dataValidation>
    <dataValidation type="list" allowBlank="1" showInputMessage="1" showErrorMessage="1" prompt="Compliance Statement Selection - Invalid value, please reselect" sqref="J14 J16:J17 J19:J22 J24:J25 J27:J33 J36:J89 J91:J126 J128:J183 J186:J204 J207:J251 J255:J393 J395:J406 J408 J410:J419 J421 J423:J424 J427:J428 J431:J442 J444 J446:J454 J456 J458:J464 J467:J486 J489:J491 J495:J497 J499:J507 J509:J510 J512:J536 J538:J541 J543:J548 J551 J555:J558 J560:J566 J568:J569 J571 J573:J575 J577 J583:J585 J587:J589 J591 J593:J603 J619:J623 J625:J627 J629 J631:J642 J644:J654 J656:J657 J659:J662 J664:J669 J671:J672 J674:J675 J677:J678 J680:J681 J683:J687 J689:J690 J692:J695 J697:J702 J705:J709 J712:J716 J718:J721 J724:J727 J729 J731:J735 J737 J741 J747:J748 J751 J754:J756 J758:J762 J765:J768 J770:J773 J775 J777:J780 J782 J784 J786:J794 J796:J800 J802:J814 J817:J818 J820:J824 J826:J828 J833:J834 J836:J839 J841:J845 J848:J849 J854:J856 J858:J860 J862:J863 J865 J867:J868 J870:J872 J876:J891 J893:J896 J899:J900 J902:J905 J907:J910 J913:J918 J920:J921 J940 J942:J944 J946 J948:J949 J951:J958 J961:J978 J981 J983:J1000 J1002:J1011 J1013:J1027 J1029:J1033 J1039 J1042:J1044 J1046:J1051 J1053:J1055 J1060 J1062:J1068 J1070:J1094 J1097 J1099:J1102 J1104:J1110 J1113:J1120 J1123:J1128 J1130:J1135 J1137:J1143 J1145:J1147 J1149:J1169 J1171:J1214 J1216:J1217 J1219:J1230 J1232 J1234:J1237 J1240:J1249 J1251:J1263 J1265:J1277 J1279:J1288 J1290:J1298 J1301:J1322 J1324:J1340 J1342:J1349 J1354:J1362 J1364 J1366:J1368 J1370:J1382 J1384:J1397 J1399:J1402 J1405:J1409 J1411:J1413 J1415:J1417 J1419:J1422 J1424:J1425 J1428:J1432 J1434:J1436 J1438:J1442 J1444:J1445 J1447:J1477 J1480:J1483 J1485:J1491 J1494:J1495 J1497:J1498 J1500:J1505 J1507:J1508 J1510 J1514:J1550 J1555:J1572 J1574 J1577 J1579 J1581 J1583:J1585 J1588:J1589 J1591:J1595 J1599:J1600 J1603:J1604 J1606:J1608 J1610:J1615 J1617 J1619:J1634 J1636 J1638:J1641 J1644:J1647 J1650:J1654 J1656:J1670 J1672:J1679 J1681:J1717 J1719:J1723 J1725:J1731 J1734:J1747 J1749:J1765 J1769:J1774 J1776:J1779 J1781:J1782 J1784 J1786:J1787 J1789:J1790 J1792:J1800 J1802:J1808 J1810:J1823 J1825:J1827 J1830:J1837 J1839:J1848 J1851:J1891 J1893:J1900 J1903:J1906 J1908:J1914 J1916:J1919 J1921:J1922 J1924:J1926 J1928:J1931 J1933:J1935 J1937:J1982 J1984:J1985 J1987:J1992 J1994:J1998 J2000:J2002 J2004:J2008 J2010:J2013 J2015:J2018 J2020:J2024 J2026:J2030 J2032:J2037 J2041 J2043:J2057">
      <formula1>"Complies,Partially Complies,Does Not Comply,Not Applicable"</formula1>
    </dataValidation>
  </dataValidations>
  <hyperlinks>
    <hyperlink r:id="rId2" ref="K372"/>
    <hyperlink r:id="rId3" location="comment46" ref="K523"/>
    <hyperlink r:id="rId4" location="comment46" ref="K524"/>
    <hyperlink r:id="rId5" ref="K646"/>
    <hyperlink r:id="rId6" ref="K648"/>
    <hyperlink r:id="rId7" ref="K732"/>
    <hyperlink r:id="rId8" ref="P1002"/>
    <hyperlink r:id="rId9" ref="K1348"/>
    <hyperlink r:id="rId10" ref="K1349"/>
    <hyperlink r:id="rId11" ref="R1522"/>
    <hyperlink r:id="rId12" ref="R1530"/>
    <hyperlink r:id="rId13" ref="R1532"/>
    <hyperlink r:id="rId14" ref="R1533"/>
    <hyperlink r:id="rId15" ref="R1534"/>
    <hyperlink r:id="rId16" ref="R1670"/>
    <hyperlink r:id="rId17" ref="R1739"/>
    <hyperlink r:id="rId18" ref="K1747"/>
    <hyperlink r:id="rId19" ref="R1747"/>
    <hyperlink r:id="rId20" ref="R1835"/>
    <hyperlink r:id="rId21" ref="R1836"/>
  </hyperlinks>
  <printOptions horizontalCentered="1"/>
  <pageMargins bottom="0.9861111111111112" footer="0.0" header="0.0" left="1.1805555555555556" right="0.7916666666666666" top="0.7916666666666666"/>
  <pageSetup paperSize="8" scale="82" orientation="landscape"/>
  <drawing r:id="rId22"/>
  <legacyDrawing r:id="rId2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0"/>
  <cols>
    <col customWidth="1" min="1" max="1" width="9.14"/>
    <col customWidth="1" min="2" max="2" width="12.57"/>
    <col customWidth="1" min="3" max="3" width="10.86"/>
    <col customWidth="1" min="4" max="4" width="8.0"/>
    <col customWidth="1" min="5" max="5" width="4.14"/>
    <col customWidth="1" min="6" max="6" width="14.71"/>
    <col customWidth="1" min="7" max="7" width="73.14"/>
    <col customWidth="1" hidden="1" min="8" max="8" width="15.0"/>
    <col customWidth="1" hidden="1" min="9" max="9" width="10.57"/>
    <col customWidth="1" min="10" max="10" width="16.57"/>
    <col customWidth="1" min="11" max="11" width="25.86"/>
    <col customWidth="1" min="12" max="12" width="20.29"/>
    <col customWidth="1" hidden="1" min="13" max="21" width="9.14"/>
    <col customWidth="1" hidden="1" min="22" max="22" width="4.86"/>
    <col customWidth="1" hidden="1" min="23" max="23" width="12.0"/>
    <col customWidth="1" hidden="1" min="24" max="24" width="16.29"/>
    <col customWidth="1" hidden="1" min="25" max="25" width="10.29"/>
    <col customWidth="1" hidden="1" min="26" max="26" width="29.86"/>
    <col customWidth="1" hidden="1" min="27" max="27" width="10.29"/>
    <col customWidth="1" hidden="1" min="28" max="28" width="12.71"/>
    <col customWidth="1" hidden="1" min="29" max="29" width="11.43"/>
    <col customWidth="1" hidden="1" min="30" max="30" width="29.71"/>
    <col customWidth="1" hidden="1" min="31" max="41" width="9.14"/>
  </cols>
  <sheetData>
    <row r="1" ht="26.25" customHeight="1">
      <c r="A1" s="283" t="s">
        <v>363</v>
      </c>
      <c r="B1" s="283" t="s">
        <v>364</v>
      </c>
      <c r="C1" s="283" t="s">
        <v>365</v>
      </c>
      <c r="D1" s="284" t="s">
        <v>366</v>
      </c>
      <c r="E1" s="285" t="s">
        <v>367</v>
      </c>
      <c r="F1" s="286" t="s">
        <v>56</v>
      </c>
      <c r="G1" s="233" t="s">
        <v>368</v>
      </c>
      <c r="H1" s="233" t="s">
        <v>132</v>
      </c>
      <c r="I1" s="233" t="s">
        <v>369</v>
      </c>
      <c r="J1" s="233" t="s">
        <v>370</v>
      </c>
      <c r="K1" s="233" t="s">
        <v>62</v>
      </c>
      <c r="L1" s="233" t="s">
        <v>371</v>
      </c>
      <c r="M1" s="234" t="s">
        <v>133</v>
      </c>
      <c r="N1" s="234" t="s">
        <v>134</v>
      </c>
      <c r="O1" s="234" t="s">
        <v>135</v>
      </c>
      <c r="P1" s="234" t="s">
        <v>136</v>
      </c>
      <c r="Q1" s="234" t="s">
        <v>137</v>
      </c>
      <c r="R1" s="234" t="s">
        <v>9</v>
      </c>
      <c r="S1" s="234" t="s">
        <v>138</v>
      </c>
      <c r="T1" s="234" t="s">
        <v>139</v>
      </c>
      <c r="U1" s="234" t="s">
        <v>140</v>
      </c>
      <c r="V1" s="233" t="s">
        <v>377</v>
      </c>
      <c r="W1" s="234" t="s">
        <v>378</v>
      </c>
      <c r="X1" s="283" t="s">
        <v>379</v>
      </c>
      <c r="Y1" s="283" t="s">
        <v>380</v>
      </c>
      <c r="Z1" s="283" t="s">
        <v>381</v>
      </c>
      <c r="AA1" s="283" t="s">
        <v>382</v>
      </c>
      <c r="AB1" s="283" t="s">
        <v>383</v>
      </c>
      <c r="AC1" s="283" t="s">
        <v>384</v>
      </c>
      <c r="AD1" s="234" t="s">
        <v>385</v>
      </c>
      <c r="AE1" s="287"/>
      <c r="AF1" s="287"/>
      <c r="AG1" s="287"/>
      <c r="AH1" s="287"/>
      <c r="AI1" s="287"/>
      <c r="AJ1" s="287"/>
      <c r="AK1" s="287"/>
      <c r="AL1" s="287"/>
      <c r="AM1" s="287"/>
      <c r="AN1" s="287"/>
      <c r="AO1" s="287"/>
    </row>
    <row r="2" ht="12.75" customHeight="1">
      <c r="A2" s="238" t="s">
        <v>5158</v>
      </c>
      <c r="B2" s="238" t="s">
        <v>163</v>
      </c>
      <c r="C2" s="238" t="s">
        <v>926</v>
      </c>
      <c r="D2" s="240"/>
      <c r="E2" s="240" t="s">
        <v>92</v>
      </c>
      <c r="F2" s="240" t="str">
        <f t="array" ref="F2">XLOOKUP(Cover!$D$12,$M$1:$AD$1,$M2:$AD2)</f>
        <v>Heading</v>
      </c>
      <c r="G2" s="239" t="s">
        <v>5159</v>
      </c>
      <c r="H2" s="240"/>
      <c r="I2" s="240" t="s">
        <v>414</v>
      </c>
      <c r="J2" s="240"/>
      <c r="K2" s="240"/>
      <c r="L2" s="240" t="str">
        <f t="shared" ref="L2:L169" si="1">AD2</f>
        <v/>
      </c>
      <c r="M2" s="240" t="s">
        <v>390</v>
      </c>
      <c r="N2" s="240" t="s">
        <v>390</v>
      </c>
      <c r="O2" s="240" t="s">
        <v>390</v>
      </c>
      <c r="P2" s="240" t="s">
        <v>390</v>
      </c>
      <c r="Q2" s="240" t="s">
        <v>390</v>
      </c>
      <c r="R2" s="240" t="s">
        <v>390</v>
      </c>
      <c r="S2" s="240" t="s">
        <v>390</v>
      </c>
      <c r="T2" s="240" t="s">
        <v>390</v>
      </c>
      <c r="U2" s="240" t="s">
        <v>390</v>
      </c>
      <c r="V2" s="240"/>
      <c r="W2" s="242" t="b">
        <f t="shared" ref="W2:W169" si="2">OR(J2=COM,J2=PC,J2=DNC,J2=NA,OR(AC2=DNC,AC2=NA,Y2))</f>
        <v>0</v>
      </c>
      <c r="X2" s="240" t="s">
        <v>391</v>
      </c>
      <c r="Y2" s="242" t="b">
        <f t="shared" ref="Y2:Y169" si="3">IF(F2="Comments Vendor",TRUE,FALSE)</f>
        <v>0</v>
      </c>
      <c r="Z2" s="240"/>
      <c r="AA2" s="242" t="b">
        <f t="shared" ref="AA2:AA169" si="4">IF(Z2&lt;&gt;"",AND(J2&lt;&gt;NA,OR(NOT(ISERROR(FIND("xx",K2))),K2="",K2="tbd",K2=Z2)),AND(K2="",OR(NOT(ISERROR(FIND(X2,J2,1))),J2=PC,AND(Y2,J2&lt;&gt;NA)),OR(AC2=COM,AC2=PC,AC2="N/A")))</f>
        <v>0</v>
      </c>
      <c r="AB2" s="240"/>
      <c r="AC2" s="242" t="str">
        <f>IF(AB2="","N/A",INDIRECT("MTR!"&amp;ADDRESS(MATCH(LEFT(AB2,9),MTR!C:C,0),COLUMN(J2)),TRUE) &amp; "")</f>
        <v>N/A</v>
      </c>
      <c r="AD2" s="157" t="str">
        <f t="shared" ref="AD2:AD169" si="5">IF(OR(F2="Heading",F2="Comment",F2="N/A"),"",IF(AC2="","FilterCheck analysis not possible as answer to " &amp; AB2 &amp; " outstanding.",IF(W2,IF(AA2,IF(J2=PC,"Why is this partially compliant?","Comments Vendor missing!")&amp;"
",""),"Compliance Statement "&amp;IF(J2="","missing!","wrong!")) &amp; IF(AND(OR(AC2=DNC,AC2=NA),OR(J2=COM,J2=PC)),"Inconsistent answer, as " &amp; AB2 &amp; " not supported!","")))</f>
        <v/>
      </c>
      <c r="AE2" s="152"/>
      <c r="AF2" s="152"/>
      <c r="AG2" s="152"/>
      <c r="AH2" s="152"/>
      <c r="AI2" s="152"/>
      <c r="AJ2" s="152"/>
      <c r="AK2" s="152"/>
      <c r="AL2" s="152"/>
      <c r="AM2" s="152"/>
      <c r="AN2" s="152"/>
      <c r="AO2" s="152"/>
    </row>
    <row r="3" ht="12.75" customHeight="1">
      <c r="A3" s="244" t="s">
        <v>5158</v>
      </c>
      <c r="B3" s="244" t="s">
        <v>163</v>
      </c>
      <c r="C3" s="245" t="s">
        <v>5160</v>
      </c>
      <c r="D3" s="155" t="s">
        <v>739</v>
      </c>
      <c r="E3" s="154" t="s">
        <v>92</v>
      </c>
      <c r="F3" s="154" t="str">
        <f t="array" ref="F3">XLOOKUP(Cover!$D$12,$M$1:$AD$1,$M3:$AD3)</f>
        <v>Comment</v>
      </c>
      <c r="G3" s="154" t="s">
        <v>5161</v>
      </c>
      <c r="H3" s="154"/>
      <c r="I3" s="154" t="s">
        <v>414</v>
      </c>
      <c r="J3" s="154"/>
      <c r="K3" s="154"/>
      <c r="L3" s="154" t="str">
        <f t="shared" si="1"/>
        <v/>
      </c>
      <c r="M3" s="154" t="s">
        <v>35</v>
      </c>
      <c r="N3" s="154" t="s">
        <v>35</v>
      </c>
      <c r="O3" s="154" t="s">
        <v>35</v>
      </c>
      <c r="P3" s="154" t="s">
        <v>35</v>
      </c>
      <c r="Q3" s="154" t="s">
        <v>35</v>
      </c>
      <c r="R3" s="154" t="s">
        <v>35</v>
      </c>
      <c r="S3" s="154" t="s">
        <v>35</v>
      </c>
      <c r="T3" s="154" t="s">
        <v>35</v>
      </c>
      <c r="U3" s="154" t="s">
        <v>35</v>
      </c>
      <c r="V3" s="154"/>
      <c r="W3" s="242" t="b">
        <f t="shared" si="2"/>
        <v>0</v>
      </c>
      <c r="X3" s="154" t="s">
        <v>391</v>
      </c>
      <c r="Y3" s="242" t="b">
        <f t="shared" si="3"/>
        <v>0</v>
      </c>
      <c r="Z3" s="154"/>
      <c r="AA3" s="242" t="b">
        <f t="shared" si="4"/>
        <v>0</v>
      </c>
      <c r="AB3" s="154"/>
      <c r="AC3" s="242" t="str">
        <f>IF(AB3="","N/A",INDIRECT("MTR!"&amp;ADDRESS(MATCH(LEFT(AB3,9),MTR!C:C,0),COLUMN(J3)),TRUE) &amp; "")</f>
        <v>N/A</v>
      </c>
      <c r="AD3" s="157" t="str">
        <f t="shared" si="5"/>
        <v/>
      </c>
      <c r="AE3" s="152"/>
      <c r="AF3" s="152"/>
      <c r="AG3" s="152"/>
      <c r="AH3" s="152"/>
      <c r="AI3" s="152"/>
      <c r="AJ3" s="152"/>
      <c r="AK3" s="152"/>
      <c r="AL3" s="152"/>
      <c r="AM3" s="152"/>
      <c r="AN3" s="152"/>
      <c r="AO3" s="152"/>
    </row>
    <row r="4" ht="12.75" customHeight="1">
      <c r="A4" s="244" t="s">
        <v>5158</v>
      </c>
      <c r="B4" s="244" t="s">
        <v>163</v>
      </c>
      <c r="C4" s="245" t="s">
        <v>5162</v>
      </c>
      <c r="D4" s="155" t="s">
        <v>861</v>
      </c>
      <c r="E4" s="154" t="s">
        <v>92</v>
      </c>
      <c r="F4" s="154" t="str">
        <f t="array" ref="F4">XLOOKUP(Cover!$D$12,$M$1:$AD$1,$M4:$AD4)</f>
        <v>Comment</v>
      </c>
      <c r="G4" s="153" t="s">
        <v>5163</v>
      </c>
      <c r="H4" s="154"/>
      <c r="I4" s="154" t="s">
        <v>414</v>
      </c>
      <c r="J4" s="154"/>
      <c r="K4" s="154"/>
      <c r="L4" s="154" t="str">
        <f t="shared" si="1"/>
        <v/>
      </c>
      <c r="M4" s="154" t="s">
        <v>35</v>
      </c>
      <c r="N4" s="154" t="s">
        <v>35</v>
      </c>
      <c r="O4" s="154" t="s">
        <v>35</v>
      </c>
      <c r="P4" s="154" t="s">
        <v>35</v>
      </c>
      <c r="Q4" s="154" t="s">
        <v>35</v>
      </c>
      <c r="R4" s="154" t="s">
        <v>35</v>
      </c>
      <c r="S4" s="154" t="s">
        <v>35</v>
      </c>
      <c r="T4" s="154" t="s">
        <v>35</v>
      </c>
      <c r="U4" s="154" t="s">
        <v>35</v>
      </c>
      <c r="V4" s="154"/>
      <c r="W4" s="242" t="b">
        <f t="shared" si="2"/>
        <v>0</v>
      </c>
      <c r="X4" s="154" t="s">
        <v>391</v>
      </c>
      <c r="Y4" s="242" t="b">
        <f t="shared" si="3"/>
        <v>0</v>
      </c>
      <c r="Z4" s="154"/>
      <c r="AA4" s="242" t="b">
        <f t="shared" si="4"/>
        <v>0</v>
      </c>
      <c r="AB4" s="154"/>
      <c r="AC4" s="242" t="str">
        <f>IF(AB4="","N/A",INDIRECT("MTR!"&amp;ADDRESS(MATCH(LEFT(AB4,9),MTR!C:C,0),COLUMN(J4)),TRUE) &amp; "")</f>
        <v>N/A</v>
      </c>
      <c r="AD4" s="157" t="str">
        <f t="shared" si="5"/>
        <v/>
      </c>
      <c r="AE4" s="152"/>
      <c r="AF4" s="152"/>
      <c r="AG4" s="152"/>
      <c r="AH4" s="152"/>
      <c r="AI4" s="152"/>
      <c r="AJ4" s="152"/>
      <c r="AK4" s="152"/>
      <c r="AL4" s="152"/>
      <c r="AM4" s="152"/>
      <c r="AN4" s="152"/>
      <c r="AO4" s="152"/>
    </row>
    <row r="5" ht="12.75" customHeight="1">
      <c r="A5" s="238" t="s">
        <v>5158</v>
      </c>
      <c r="B5" s="238" t="s">
        <v>163</v>
      </c>
      <c r="C5" s="238" t="s">
        <v>5164</v>
      </c>
      <c r="D5" s="240"/>
      <c r="E5" s="240" t="s">
        <v>92</v>
      </c>
      <c r="F5" s="240" t="str">
        <f t="array" ref="F5">XLOOKUP(Cover!$D$12,$M$1:$AD$1,$M5:$AD5)</f>
        <v>Heading</v>
      </c>
      <c r="G5" s="239" t="s">
        <v>5165</v>
      </c>
      <c r="H5" s="240"/>
      <c r="I5" s="240" t="s">
        <v>486</v>
      </c>
      <c r="J5" s="240"/>
      <c r="K5" s="240"/>
      <c r="L5" s="240" t="str">
        <f t="shared" si="1"/>
        <v/>
      </c>
      <c r="M5" s="240" t="s">
        <v>390</v>
      </c>
      <c r="N5" s="240" t="s">
        <v>390</v>
      </c>
      <c r="O5" s="240" t="s">
        <v>390</v>
      </c>
      <c r="P5" s="240" t="s">
        <v>390</v>
      </c>
      <c r="Q5" s="240" t="s">
        <v>390</v>
      </c>
      <c r="R5" s="240" t="s">
        <v>390</v>
      </c>
      <c r="S5" s="240" t="s">
        <v>390</v>
      </c>
      <c r="T5" s="240" t="s">
        <v>390</v>
      </c>
      <c r="U5" s="240" t="s">
        <v>390</v>
      </c>
      <c r="V5" s="240"/>
      <c r="W5" s="242" t="b">
        <f t="shared" si="2"/>
        <v>0</v>
      </c>
      <c r="X5" s="240" t="s">
        <v>391</v>
      </c>
      <c r="Y5" s="242" t="b">
        <f t="shared" si="3"/>
        <v>0</v>
      </c>
      <c r="Z5" s="240"/>
      <c r="AA5" s="242" t="b">
        <f t="shared" si="4"/>
        <v>0</v>
      </c>
      <c r="AB5" s="240"/>
      <c r="AC5" s="242" t="str">
        <f>IF(AB5="","N/A",INDIRECT("MTR!"&amp;ADDRESS(MATCH(LEFT(AB5,9),MTR!C:C,0),COLUMN(J5)),TRUE) &amp; "")</f>
        <v>N/A</v>
      </c>
      <c r="AD5" s="157" t="str">
        <f t="shared" si="5"/>
        <v/>
      </c>
      <c r="AE5" s="152"/>
      <c r="AF5" s="152"/>
      <c r="AG5" s="152"/>
      <c r="AH5" s="152"/>
      <c r="AI5" s="152"/>
      <c r="AJ5" s="152"/>
      <c r="AK5" s="152"/>
      <c r="AL5" s="152"/>
      <c r="AM5" s="152"/>
      <c r="AN5" s="152"/>
      <c r="AO5" s="152"/>
    </row>
    <row r="6" ht="12.75" customHeight="1">
      <c r="A6" s="244" t="s">
        <v>5158</v>
      </c>
      <c r="B6" s="244" t="s">
        <v>163</v>
      </c>
      <c r="C6" s="245" t="s">
        <v>5166</v>
      </c>
      <c r="D6" s="155" t="s">
        <v>503</v>
      </c>
      <c r="E6" s="154" t="s">
        <v>92</v>
      </c>
      <c r="F6" s="154" t="str">
        <f t="array" ref="F6">XLOOKUP(Cover!$D$12,$M$1:$AD$1,$M6:$AD6)</f>
        <v>Comment</v>
      </c>
      <c r="G6" s="154" t="s">
        <v>5167</v>
      </c>
      <c r="H6" s="154"/>
      <c r="I6" s="154" t="s">
        <v>486</v>
      </c>
      <c r="J6" s="154"/>
      <c r="K6" s="154"/>
      <c r="L6" s="154" t="str">
        <f t="shared" si="1"/>
        <v/>
      </c>
      <c r="M6" s="154" t="s">
        <v>35</v>
      </c>
      <c r="N6" s="154" t="s">
        <v>35</v>
      </c>
      <c r="O6" s="154" t="s">
        <v>35</v>
      </c>
      <c r="P6" s="154" t="s">
        <v>35</v>
      </c>
      <c r="Q6" s="154" t="s">
        <v>35</v>
      </c>
      <c r="R6" s="154" t="s">
        <v>35</v>
      </c>
      <c r="S6" s="154" t="s">
        <v>35</v>
      </c>
      <c r="T6" s="154" t="s">
        <v>35</v>
      </c>
      <c r="U6" s="154" t="s">
        <v>35</v>
      </c>
      <c r="V6" s="154"/>
      <c r="W6" s="242" t="b">
        <f t="shared" si="2"/>
        <v>0</v>
      </c>
      <c r="X6" s="154" t="s">
        <v>391</v>
      </c>
      <c r="Y6" s="242" t="b">
        <f t="shared" si="3"/>
        <v>0</v>
      </c>
      <c r="Z6" s="154"/>
      <c r="AA6" s="242" t="b">
        <f t="shared" si="4"/>
        <v>0</v>
      </c>
      <c r="AB6" s="154"/>
      <c r="AC6" s="242" t="str">
        <f>IF(AB6="","N/A",INDIRECT("MTR!"&amp;ADDRESS(MATCH(LEFT(AB6,9),MTR!C:C,0),COLUMN(J6)),TRUE) &amp; "")</f>
        <v>N/A</v>
      </c>
      <c r="AD6" s="157" t="str">
        <f t="shared" si="5"/>
        <v/>
      </c>
      <c r="AE6" s="152"/>
      <c r="AF6" s="152"/>
      <c r="AG6" s="152"/>
      <c r="AH6" s="152"/>
      <c r="AI6" s="152"/>
      <c r="AJ6" s="152"/>
      <c r="AK6" s="152"/>
      <c r="AL6" s="152"/>
      <c r="AM6" s="152"/>
      <c r="AN6" s="152"/>
      <c r="AO6" s="152"/>
    </row>
    <row r="7" ht="12.75" customHeight="1">
      <c r="A7" s="244" t="s">
        <v>5158</v>
      </c>
      <c r="B7" s="244" t="s">
        <v>163</v>
      </c>
      <c r="C7" s="245" t="s">
        <v>5168</v>
      </c>
      <c r="D7" s="155" t="s">
        <v>503</v>
      </c>
      <c r="E7" s="154" t="s">
        <v>92</v>
      </c>
      <c r="F7" s="154" t="str">
        <f t="array" ref="F7">XLOOKUP(Cover!$D$12,$M$1:$AD$1,$M7:$AD7)</f>
        <v>Comment</v>
      </c>
      <c r="G7" s="154" t="s">
        <v>5169</v>
      </c>
      <c r="H7" s="154"/>
      <c r="I7" s="154" t="s">
        <v>486</v>
      </c>
      <c r="J7" s="154"/>
      <c r="K7" s="154"/>
      <c r="L7" s="154" t="str">
        <f t="shared" si="1"/>
        <v/>
      </c>
      <c r="M7" s="154" t="s">
        <v>35</v>
      </c>
      <c r="N7" s="154" t="s">
        <v>35</v>
      </c>
      <c r="O7" s="154" t="s">
        <v>35</v>
      </c>
      <c r="P7" s="154" t="s">
        <v>35</v>
      </c>
      <c r="Q7" s="154" t="s">
        <v>35</v>
      </c>
      <c r="R7" s="154" t="s">
        <v>35</v>
      </c>
      <c r="S7" s="154" t="s">
        <v>35</v>
      </c>
      <c r="T7" s="154" t="s">
        <v>35</v>
      </c>
      <c r="U7" s="154" t="s">
        <v>35</v>
      </c>
      <c r="V7" s="154"/>
      <c r="W7" s="242" t="b">
        <f t="shared" si="2"/>
        <v>0</v>
      </c>
      <c r="X7" s="154" t="s">
        <v>391</v>
      </c>
      <c r="Y7" s="242" t="b">
        <f t="shared" si="3"/>
        <v>0</v>
      </c>
      <c r="Z7" s="154"/>
      <c r="AA7" s="242" t="b">
        <f t="shared" si="4"/>
        <v>0</v>
      </c>
      <c r="AB7" s="154"/>
      <c r="AC7" s="242" t="str">
        <f>IF(AB7="","N/A",INDIRECT("MTR!"&amp;ADDRESS(MATCH(LEFT(AB7,9),MTR!C:C,0),COLUMN(J7)),TRUE) &amp; "")</f>
        <v>N/A</v>
      </c>
      <c r="AD7" s="157" t="str">
        <f t="shared" si="5"/>
        <v/>
      </c>
      <c r="AE7" s="152"/>
      <c r="AF7" s="152"/>
      <c r="AG7" s="152"/>
      <c r="AH7" s="152"/>
      <c r="AI7" s="152"/>
      <c r="AJ7" s="152"/>
      <c r="AK7" s="152"/>
      <c r="AL7" s="152"/>
      <c r="AM7" s="152"/>
      <c r="AN7" s="152"/>
      <c r="AO7" s="152"/>
    </row>
    <row r="8" ht="12.75" customHeight="1">
      <c r="A8" s="238" t="s">
        <v>5158</v>
      </c>
      <c r="B8" s="238" t="s">
        <v>163</v>
      </c>
      <c r="C8" s="238" t="s">
        <v>5170</v>
      </c>
      <c r="D8" s="240"/>
      <c r="E8" s="240" t="s">
        <v>92</v>
      </c>
      <c r="F8" s="240" t="str">
        <f t="array" ref="F8">XLOOKUP(Cover!$D$12,$M$1:$AD$1,$M8:$AD8)</f>
        <v>Heading</v>
      </c>
      <c r="G8" s="268" t="s">
        <v>5171</v>
      </c>
      <c r="H8" s="240"/>
      <c r="I8" s="240" t="s">
        <v>486</v>
      </c>
      <c r="J8" s="240"/>
      <c r="K8" s="240"/>
      <c r="L8" s="240" t="str">
        <f t="shared" si="1"/>
        <v/>
      </c>
      <c r="M8" s="240" t="s">
        <v>390</v>
      </c>
      <c r="N8" s="240" t="s">
        <v>390</v>
      </c>
      <c r="O8" s="240" t="s">
        <v>390</v>
      </c>
      <c r="P8" s="240" t="s">
        <v>390</v>
      </c>
      <c r="Q8" s="240" t="s">
        <v>390</v>
      </c>
      <c r="R8" s="240" t="s">
        <v>390</v>
      </c>
      <c r="S8" s="240" t="s">
        <v>390</v>
      </c>
      <c r="T8" s="240" t="s">
        <v>390</v>
      </c>
      <c r="U8" s="240" t="s">
        <v>390</v>
      </c>
      <c r="V8" s="240"/>
      <c r="W8" s="242" t="b">
        <f t="shared" si="2"/>
        <v>0</v>
      </c>
      <c r="X8" s="240" t="s">
        <v>391</v>
      </c>
      <c r="Y8" s="242" t="b">
        <f t="shared" si="3"/>
        <v>0</v>
      </c>
      <c r="Z8" s="240"/>
      <c r="AA8" s="242" t="b">
        <f t="shared" si="4"/>
        <v>0</v>
      </c>
      <c r="AB8" s="240"/>
      <c r="AC8" s="242" t="str">
        <f>IF(AB8="","N/A",INDIRECT("MTR!"&amp;ADDRESS(MATCH(LEFT(AB8,9),MTR!C:C,0),COLUMN(J8)),TRUE) &amp; "")</f>
        <v>N/A</v>
      </c>
      <c r="AD8" s="157" t="str">
        <f t="shared" si="5"/>
        <v/>
      </c>
      <c r="AE8" s="152"/>
      <c r="AF8" s="152"/>
      <c r="AG8" s="152"/>
      <c r="AH8" s="152"/>
      <c r="AI8" s="152"/>
      <c r="AJ8" s="152"/>
      <c r="AK8" s="152"/>
      <c r="AL8" s="152"/>
      <c r="AM8" s="152"/>
      <c r="AN8" s="152"/>
      <c r="AO8" s="152"/>
    </row>
    <row r="9" ht="12.75" customHeight="1">
      <c r="A9" s="244" t="s">
        <v>5158</v>
      </c>
      <c r="B9" s="244" t="s">
        <v>163</v>
      </c>
      <c r="C9" s="255" t="s">
        <v>5172</v>
      </c>
      <c r="D9" s="256" t="s">
        <v>42</v>
      </c>
      <c r="E9" s="154" t="s">
        <v>489</v>
      </c>
      <c r="F9" s="154" t="str">
        <f t="array" ref="F9">XLOOKUP(Cover!$D$12,$M$1:$AD$1,$M9:$AD9)</f>
        <v>Comments Vendor</v>
      </c>
      <c r="G9" s="254" t="s">
        <v>5173</v>
      </c>
      <c r="H9" s="154" t="s">
        <v>232</v>
      </c>
      <c r="I9" s="154" t="s">
        <v>486</v>
      </c>
      <c r="J9" s="154"/>
      <c r="K9" s="247" t="s">
        <v>5174</v>
      </c>
      <c r="L9" s="154" t="str">
        <f t="shared" si="1"/>
        <v/>
      </c>
      <c r="M9" s="154" t="s">
        <v>62</v>
      </c>
      <c r="N9" s="154" t="s">
        <v>62</v>
      </c>
      <c r="O9" s="154" t="s">
        <v>62</v>
      </c>
      <c r="P9" s="154" t="s">
        <v>62</v>
      </c>
      <c r="Q9" s="154" t="s">
        <v>62</v>
      </c>
      <c r="R9" s="154" t="s">
        <v>62</v>
      </c>
      <c r="S9" s="154" t="s">
        <v>62</v>
      </c>
      <c r="T9" s="154" t="s">
        <v>62</v>
      </c>
      <c r="U9" s="154" t="s">
        <v>62</v>
      </c>
      <c r="V9" s="154"/>
      <c r="W9" s="242" t="b">
        <f t="shared" si="2"/>
        <v>1</v>
      </c>
      <c r="X9" s="154" t="s">
        <v>400</v>
      </c>
      <c r="Y9" s="242" t="b">
        <f t="shared" si="3"/>
        <v>1</v>
      </c>
      <c r="Z9" s="154" t="s">
        <v>5175</v>
      </c>
      <c r="AA9" s="242" t="b">
        <f t="shared" si="4"/>
        <v>0</v>
      </c>
      <c r="AB9" s="154" t="s">
        <v>652</v>
      </c>
      <c r="AC9" s="242" t="str">
        <f>IF(AB9="","N/A",INDIRECT("MTR!"&amp;ADDRESS(MATCH(LEFT(AB9,9),MTR!C:C,0),COLUMN(J9)),TRUE) &amp; "")</f>
        <v>Complies</v>
      </c>
      <c r="AD9" s="157" t="str">
        <f t="shared" si="5"/>
        <v/>
      </c>
      <c r="AE9" s="152"/>
      <c r="AF9" s="152"/>
      <c r="AG9" s="152"/>
      <c r="AH9" s="152"/>
      <c r="AI9" s="152"/>
      <c r="AJ9" s="152"/>
      <c r="AK9" s="152"/>
      <c r="AL9" s="152"/>
      <c r="AM9" s="152"/>
      <c r="AN9" s="152"/>
      <c r="AO9" s="152"/>
    </row>
    <row r="10" ht="12.75" customHeight="1">
      <c r="A10" s="244" t="s">
        <v>5158</v>
      </c>
      <c r="B10" s="244" t="s">
        <v>163</v>
      </c>
      <c r="C10" s="255" t="s">
        <v>5176</v>
      </c>
      <c r="D10" s="256" t="s">
        <v>42</v>
      </c>
      <c r="E10" s="154" t="s">
        <v>489</v>
      </c>
      <c r="F10" s="154" t="str">
        <f t="array" ref="F10">XLOOKUP(Cover!$D$12,$M$1:$AD$1,$M10:$AD10)</f>
        <v>Comments Vendor</v>
      </c>
      <c r="G10" s="153" t="s">
        <v>5177</v>
      </c>
      <c r="H10" s="154" t="s">
        <v>232</v>
      </c>
      <c r="I10" s="154" t="s">
        <v>486</v>
      </c>
      <c r="J10" s="154"/>
      <c r="K10" s="247" t="s">
        <v>5178</v>
      </c>
      <c r="L10" s="154" t="str">
        <f t="shared" si="1"/>
        <v/>
      </c>
      <c r="M10" s="154" t="s">
        <v>62</v>
      </c>
      <c r="N10" s="154" t="s">
        <v>62</v>
      </c>
      <c r="O10" s="154" t="s">
        <v>62</v>
      </c>
      <c r="P10" s="154" t="s">
        <v>62</v>
      </c>
      <c r="Q10" s="154" t="s">
        <v>62</v>
      </c>
      <c r="R10" s="154" t="s">
        <v>62</v>
      </c>
      <c r="S10" s="154" t="s">
        <v>62</v>
      </c>
      <c r="T10" s="154" t="s">
        <v>62</v>
      </c>
      <c r="U10" s="154" t="s">
        <v>62</v>
      </c>
      <c r="V10" s="154"/>
      <c r="W10" s="242" t="b">
        <f t="shared" si="2"/>
        <v>1</v>
      </c>
      <c r="X10" s="154" t="s">
        <v>400</v>
      </c>
      <c r="Y10" s="242" t="b">
        <f t="shared" si="3"/>
        <v>1</v>
      </c>
      <c r="Z10" s="154" t="s">
        <v>5179</v>
      </c>
      <c r="AA10" s="242" t="b">
        <f t="shared" si="4"/>
        <v>0</v>
      </c>
      <c r="AB10" s="154" t="s">
        <v>652</v>
      </c>
      <c r="AC10" s="242" t="str">
        <f>IF(AB10="","N/A",INDIRECT("MTR!"&amp;ADDRESS(MATCH(LEFT(AB10,9),MTR!C:C,0),COLUMN(J10)),TRUE) &amp; "")</f>
        <v>Complies</v>
      </c>
      <c r="AD10" s="157" t="str">
        <f t="shared" si="5"/>
        <v/>
      </c>
      <c r="AE10" s="152"/>
      <c r="AF10" s="152"/>
      <c r="AG10" s="152"/>
      <c r="AH10" s="152"/>
      <c r="AI10" s="152"/>
      <c r="AJ10" s="152"/>
      <c r="AK10" s="152"/>
      <c r="AL10" s="152"/>
      <c r="AM10" s="152"/>
      <c r="AN10" s="152"/>
      <c r="AO10" s="152"/>
    </row>
    <row r="11" ht="12.75" customHeight="1">
      <c r="A11" s="244" t="s">
        <v>5158</v>
      </c>
      <c r="B11" s="244" t="s">
        <v>163</v>
      </c>
      <c r="C11" s="255" t="s">
        <v>5180</v>
      </c>
      <c r="D11" s="256" t="s">
        <v>42</v>
      </c>
      <c r="E11" s="154" t="s">
        <v>489</v>
      </c>
      <c r="F11" s="154" t="str">
        <f t="array" ref="F11">XLOOKUP(Cover!$D$12,$M$1:$AD$1,$M11:$AD11)</f>
        <v>Comments Vendor</v>
      </c>
      <c r="G11" s="153" t="s">
        <v>5181</v>
      </c>
      <c r="H11" s="154" t="s">
        <v>232</v>
      </c>
      <c r="I11" s="154" t="s">
        <v>486</v>
      </c>
      <c r="J11" s="154"/>
      <c r="K11" s="247" t="s">
        <v>5182</v>
      </c>
      <c r="L11" s="154" t="str">
        <f t="shared" si="1"/>
        <v/>
      </c>
      <c r="M11" s="154" t="s">
        <v>62</v>
      </c>
      <c r="N11" s="154" t="s">
        <v>62</v>
      </c>
      <c r="O11" s="154" t="s">
        <v>62</v>
      </c>
      <c r="P11" s="154" t="s">
        <v>62</v>
      </c>
      <c r="Q11" s="154" t="s">
        <v>62</v>
      </c>
      <c r="R11" s="154" t="s">
        <v>62</v>
      </c>
      <c r="S11" s="154" t="s">
        <v>62</v>
      </c>
      <c r="T11" s="154" t="s">
        <v>62</v>
      </c>
      <c r="U11" s="154" t="s">
        <v>62</v>
      </c>
      <c r="V11" s="154"/>
      <c r="W11" s="242" t="b">
        <f t="shared" si="2"/>
        <v>1</v>
      </c>
      <c r="X11" s="154" t="s">
        <v>400</v>
      </c>
      <c r="Y11" s="242" t="b">
        <f t="shared" si="3"/>
        <v>1</v>
      </c>
      <c r="Z11" s="154" t="s">
        <v>5183</v>
      </c>
      <c r="AA11" s="242" t="b">
        <f t="shared" si="4"/>
        <v>0</v>
      </c>
      <c r="AB11" s="154" t="s">
        <v>652</v>
      </c>
      <c r="AC11" s="242" t="str">
        <f>IF(AB11="","N/A",INDIRECT("MTR!"&amp;ADDRESS(MATCH(LEFT(AB11,9),MTR!C:C,0),COLUMN(J11)),TRUE) &amp; "")</f>
        <v>Complies</v>
      </c>
      <c r="AD11" s="157" t="str">
        <f t="shared" si="5"/>
        <v/>
      </c>
      <c r="AE11" s="152"/>
      <c r="AF11" s="152"/>
      <c r="AG11" s="152"/>
      <c r="AH11" s="152"/>
      <c r="AI11" s="152"/>
      <c r="AJ11" s="152"/>
      <c r="AK11" s="152"/>
      <c r="AL11" s="152"/>
      <c r="AM11" s="152"/>
      <c r="AN11" s="152"/>
      <c r="AO11" s="152"/>
    </row>
    <row r="12" ht="12.75" customHeight="1">
      <c r="A12" s="244" t="s">
        <v>5158</v>
      </c>
      <c r="B12" s="244" t="s">
        <v>163</v>
      </c>
      <c r="C12" s="255" t="s">
        <v>5184</v>
      </c>
      <c r="D12" s="256" t="s">
        <v>42</v>
      </c>
      <c r="E12" s="154" t="s">
        <v>489</v>
      </c>
      <c r="F12" s="154" t="str">
        <f t="array" ref="F12">XLOOKUP(Cover!$D$12,$M$1:$AD$1,$M12:$AD12)</f>
        <v>Comments Vendor</v>
      </c>
      <c r="G12" s="153" t="s">
        <v>5185</v>
      </c>
      <c r="H12" s="154" t="s">
        <v>232</v>
      </c>
      <c r="I12" s="154" t="s">
        <v>486</v>
      </c>
      <c r="J12" s="154"/>
      <c r="K12" s="247" t="s">
        <v>5186</v>
      </c>
      <c r="L12" s="154" t="str">
        <f t="shared" si="1"/>
        <v/>
      </c>
      <c r="M12" s="154" t="s">
        <v>62</v>
      </c>
      <c r="N12" s="154" t="s">
        <v>62</v>
      </c>
      <c r="O12" s="154" t="s">
        <v>62</v>
      </c>
      <c r="P12" s="154" t="s">
        <v>62</v>
      </c>
      <c r="Q12" s="154" t="s">
        <v>62</v>
      </c>
      <c r="R12" s="154" t="s">
        <v>62</v>
      </c>
      <c r="S12" s="154" t="s">
        <v>62</v>
      </c>
      <c r="T12" s="154" t="s">
        <v>62</v>
      </c>
      <c r="U12" s="154" t="s">
        <v>62</v>
      </c>
      <c r="V12" s="154"/>
      <c r="W12" s="242" t="b">
        <f t="shared" si="2"/>
        <v>1</v>
      </c>
      <c r="X12" s="154" t="s">
        <v>400</v>
      </c>
      <c r="Y12" s="242" t="b">
        <f t="shared" si="3"/>
        <v>1</v>
      </c>
      <c r="Z12" s="154" t="s">
        <v>5187</v>
      </c>
      <c r="AA12" s="242" t="b">
        <f t="shared" si="4"/>
        <v>0</v>
      </c>
      <c r="AB12" s="154" t="s">
        <v>652</v>
      </c>
      <c r="AC12" s="242" t="str">
        <f>IF(AB12="","N/A",INDIRECT("MTR!"&amp;ADDRESS(MATCH(LEFT(AB12,9),MTR!C:C,0),COLUMN(J12)),TRUE) &amp; "")</f>
        <v>Complies</v>
      </c>
      <c r="AD12" s="157" t="str">
        <f t="shared" si="5"/>
        <v/>
      </c>
      <c r="AE12" s="152"/>
      <c r="AF12" s="152"/>
      <c r="AG12" s="152"/>
      <c r="AH12" s="152"/>
      <c r="AI12" s="152"/>
      <c r="AJ12" s="152"/>
      <c r="AK12" s="152"/>
      <c r="AL12" s="152"/>
      <c r="AM12" s="152"/>
      <c r="AN12" s="152"/>
      <c r="AO12" s="152"/>
    </row>
    <row r="13" ht="12.75" customHeight="1">
      <c r="A13" s="244" t="s">
        <v>5158</v>
      </c>
      <c r="B13" s="244" t="s">
        <v>163</v>
      </c>
      <c r="C13" s="255" t="s">
        <v>5188</v>
      </c>
      <c r="D13" s="256" t="s">
        <v>42</v>
      </c>
      <c r="E13" s="154" t="s">
        <v>489</v>
      </c>
      <c r="F13" s="154" t="str">
        <f t="array" ref="F13">XLOOKUP(Cover!$D$12,$M$1:$AD$1,$M13:$AD13)</f>
        <v>Comments Vendor</v>
      </c>
      <c r="G13" s="153" t="s">
        <v>5189</v>
      </c>
      <c r="H13" s="154" t="s">
        <v>232</v>
      </c>
      <c r="I13" s="154" t="s">
        <v>486</v>
      </c>
      <c r="J13" s="154"/>
      <c r="K13" s="247" t="s">
        <v>5190</v>
      </c>
      <c r="L13" s="154" t="str">
        <f t="shared" si="1"/>
        <v/>
      </c>
      <c r="M13" s="154" t="s">
        <v>62</v>
      </c>
      <c r="N13" s="154" t="s">
        <v>62</v>
      </c>
      <c r="O13" s="154" t="s">
        <v>62</v>
      </c>
      <c r="P13" s="154" t="s">
        <v>62</v>
      </c>
      <c r="Q13" s="154" t="s">
        <v>62</v>
      </c>
      <c r="R13" s="154" t="s">
        <v>62</v>
      </c>
      <c r="S13" s="154" t="s">
        <v>62</v>
      </c>
      <c r="T13" s="154" t="s">
        <v>62</v>
      </c>
      <c r="U13" s="154" t="s">
        <v>62</v>
      </c>
      <c r="V13" s="154"/>
      <c r="W13" s="242" t="b">
        <f t="shared" si="2"/>
        <v>1</v>
      </c>
      <c r="X13" s="154" t="s">
        <v>400</v>
      </c>
      <c r="Y13" s="242" t="b">
        <f t="shared" si="3"/>
        <v>1</v>
      </c>
      <c r="Z13" s="154" t="s">
        <v>5191</v>
      </c>
      <c r="AA13" s="242" t="b">
        <f t="shared" si="4"/>
        <v>0</v>
      </c>
      <c r="AB13" s="154" t="s">
        <v>652</v>
      </c>
      <c r="AC13" s="242" t="str">
        <f>IF(AB13="","N/A",INDIRECT("MTR!"&amp;ADDRESS(MATCH(LEFT(AB13,9),MTR!C:C,0),COLUMN(J13)),TRUE) &amp; "")</f>
        <v>Complies</v>
      </c>
      <c r="AD13" s="157" t="str">
        <f t="shared" si="5"/>
        <v/>
      </c>
      <c r="AE13" s="152"/>
      <c r="AF13" s="152"/>
      <c r="AG13" s="152"/>
      <c r="AH13" s="152"/>
      <c r="AI13" s="152"/>
      <c r="AJ13" s="152"/>
      <c r="AK13" s="152"/>
      <c r="AL13" s="152"/>
      <c r="AM13" s="152"/>
      <c r="AN13" s="152"/>
      <c r="AO13" s="152"/>
    </row>
    <row r="14" ht="12.75" customHeight="1">
      <c r="A14" s="244" t="s">
        <v>5158</v>
      </c>
      <c r="B14" s="244" t="s">
        <v>163</v>
      </c>
      <c r="C14" s="255" t="s">
        <v>5192</v>
      </c>
      <c r="D14" s="256" t="s">
        <v>42</v>
      </c>
      <c r="E14" s="154" t="s">
        <v>489</v>
      </c>
      <c r="F14" s="154" t="str">
        <f t="array" ref="F14">XLOOKUP(Cover!$D$12,$M$1:$AD$1,$M14:$AD14)</f>
        <v>Comments Vendor</v>
      </c>
      <c r="G14" s="153" t="s">
        <v>5193</v>
      </c>
      <c r="H14" s="154" t="s">
        <v>232</v>
      </c>
      <c r="I14" s="154" t="s">
        <v>486</v>
      </c>
      <c r="J14" s="154"/>
      <c r="K14" s="247" t="s">
        <v>5194</v>
      </c>
      <c r="L14" s="154" t="str">
        <f t="shared" si="1"/>
        <v/>
      </c>
      <c r="M14" s="154" t="s">
        <v>62</v>
      </c>
      <c r="N14" s="154" t="s">
        <v>62</v>
      </c>
      <c r="O14" s="154" t="s">
        <v>62</v>
      </c>
      <c r="P14" s="154" t="s">
        <v>62</v>
      </c>
      <c r="Q14" s="154" t="s">
        <v>62</v>
      </c>
      <c r="R14" s="154" t="s">
        <v>62</v>
      </c>
      <c r="S14" s="154" t="s">
        <v>62</v>
      </c>
      <c r="T14" s="154" t="s">
        <v>62</v>
      </c>
      <c r="U14" s="154" t="s">
        <v>62</v>
      </c>
      <c r="V14" s="154"/>
      <c r="W14" s="242" t="b">
        <f t="shared" si="2"/>
        <v>1</v>
      </c>
      <c r="X14" s="154" t="s">
        <v>400</v>
      </c>
      <c r="Y14" s="242" t="b">
        <f t="shared" si="3"/>
        <v>1</v>
      </c>
      <c r="Z14" s="154" t="s">
        <v>5195</v>
      </c>
      <c r="AA14" s="242" t="b">
        <f t="shared" si="4"/>
        <v>0</v>
      </c>
      <c r="AB14" s="154" t="s">
        <v>652</v>
      </c>
      <c r="AC14" s="242" t="str">
        <f>IF(AB14="","N/A",INDIRECT("MTR!"&amp;ADDRESS(MATCH(LEFT(AB14,9),MTR!C:C,0),COLUMN(J14)),TRUE) &amp; "")</f>
        <v>Complies</v>
      </c>
      <c r="AD14" s="157" t="str">
        <f t="shared" si="5"/>
        <v/>
      </c>
      <c r="AE14" s="152"/>
      <c r="AF14" s="152"/>
      <c r="AG14" s="152"/>
      <c r="AH14" s="152"/>
      <c r="AI14" s="152"/>
      <c r="AJ14" s="152"/>
      <c r="AK14" s="152"/>
      <c r="AL14" s="152"/>
      <c r="AM14" s="152"/>
      <c r="AN14" s="152"/>
      <c r="AO14" s="152"/>
    </row>
    <row r="15" ht="12.75" customHeight="1">
      <c r="A15" s="244" t="s">
        <v>5158</v>
      </c>
      <c r="B15" s="244" t="s">
        <v>163</v>
      </c>
      <c r="C15" s="255" t="s">
        <v>5196</v>
      </c>
      <c r="D15" s="256" t="s">
        <v>42</v>
      </c>
      <c r="E15" s="154" t="s">
        <v>489</v>
      </c>
      <c r="F15" s="154" t="str">
        <f t="array" ref="F15">XLOOKUP(Cover!$D$12,$M$1:$AD$1,$M15:$AD15)</f>
        <v>Comments Vendor</v>
      </c>
      <c r="G15" s="153" t="s">
        <v>5197</v>
      </c>
      <c r="H15" s="154" t="s">
        <v>232</v>
      </c>
      <c r="I15" s="154" t="s">
        <v>486</v>
      </c>
      <c r="J15" s="154"/>
      <c r="K15" s="247" t="s">
        <v>5198</v>
      </c>
      <c r="L15" s="154" t="str">
        <f t="shared" si="1"/>
        <v/>
      </c>
      <c r="M15" s="154" t="s">
        <v>62</v>
      </c>
      <c r="N15" s="154" t="s">
        <v>62</v>
      </c>
      <c r="O15" s="154" t="s">
        <v>62</v>
      </c>
      <c r="P15" s="154" t="s">
        <v>62</v>
      </c>
      <c r="Q15" s="154" t="s">
        <v>62</v>
      </c>
      <c r="R15" s="154" t="s">
        <v>62</v>
      </c>
      <c r="S15" s="154" t="s">
        <v>62</v>
      </c>
      <c r="T15" s="154" t="s">
        <v>62</v>
      </c>
      <c r="U15" s="154" t="s">
        <v>62</v>
      </c>
      <c r="V15" s="154"/>
      <c r="W15" s="242" t="b">
        <f t="shared" si="2"/>
        <v>1</v>
      </c>
      <c r="X15" s="154" t="s">
        <v>400</v>
      </c>
      <c r="Y15" s="242" t="b">
        <f t="shared" si="3"/>
        <v>1</v>
      </c>
      <c r="Z15" s="154" t="s">
        <v>5199</v>
      </c>
      <c r="AA15" s="242" t="b">
        <f t="shared" si="4"/>
        <v>0</v>
      </c>
      <c r="AB15" s="154" t="s">
        <v>652</v>
      </c>
      <c r="AC15" s="242" t="str">
        <f>IF(AB15="","N/A",INDIRECT("MTR!"&amp;ADDRESS(MATCH(LEFT(AB15,9),MTR!C:C,0),COLUMN(J15)),TRUE) &amp; "")</f>
        <v>Complies</v>
      </c>
      <c r="AD15" s="157" t="str">
        <f t="shared" si="5"/>
        <v/>
      </c>
      <c r="AE15" s="152"/>
      <c r="AF15" s="152"/>
      <c r="AG15" s="152"/>
      <c r="AH15" s="152"/>
      <c r="AI15" s="152"/>
      <c r="AJ15" s="152"/>
      <c r="AK15" s="152"/>
      <c r="AL15" s="152"/>
      <c r="AM15" s="152"/>
      <c r="AN15" s="152"/>
      <c r="AO15" s="152"/>
    </row>
    <row r="16" ht="12.75" customHeight="1">
      <c r="A16" s="244" t="s">
        <v>5158</v>
      </c>
      <c r="B16" s="244" t="s">
        <v>163</v>
      </c>
      <c r="C16" s="255" t="s">
        <v>5200</v>
      </c>
      <c r="D16" s="256" t="s">
        <v>42</v>
      </c>
      <c r="E16" s="154" t="s">
        <v>489</v>
      </c>
      <c r="F16" s="154" t="str">
        <f t="array" ref="F16">XLOOKUP(Cover!$D$12,$M$1:$AD$1,$M16:$AD16)</f>
        <v>Comments Vendor</v>
      </c>
      <c r="G16" s="153" t="s">
        <v>5201</v>
      </c>
      <c r="H16" s="154" t="s">
        <v>232</v>
      </c>
      <c r="I16" s="154" t="s">
        <v>486</v>
      </c>
      <c r="J16" s="154"/>
      <c r="K16" s="247" t="s">
        <v>5202</v>
      </c>
      <c r="L16" s="154" t="str">
        <f t="shared" si="1"/>
        <v/>
      </c>
      <c r="M16" s="154" t="s">
        <v>62</v>
      </c>
      <c r="N16" s="154" t="s">
        <v>62</v>
      </c>
      <c r="O16" s="154" t="s">
        <v>62</v>
      </c>
      <c r="P16" s="154" t="s">
        <v>62</v>
      </c>
      <c r="Q16" s="154" t="s">
        <v>62</v>
      </c>
      <c r="R16" s="154" t="s">
        <v>62</v>
      </c>
      <c r="S16" s="154" t="s">
        <v>62</v>
      </c>
      <c r="T16" s="154" t="s">
        <v>62</v>
      </c>
      <c r="U16" s="154" t="s">
        <v>62</v>
      </c>
      <c r="V16" s="154"/>
      <c r="W16" s="242" t="b">
        <f t="shared" si="2"/>
        <v>1</v>
      </c>
      <c r="X16" s="154" t="s">
        <v>400</v>
      </c>
      <c r="Y16" s="242" t="b">
        <f t="shared" si="3"/>
        <v>1</v>
      </c>
      <c r="Z16" s="154" t="s">
        <v>5203</v>
      </c>
      <c r="AA16" s="242" t="b">
        <f t="shared" si="4"/>
        <v>0</v>
      </c>
      <c r="AB16" s="154" t="s">
        <v>652</v>
      </c>
      <c r="AC16" s="242" t="str">
        <f>IF(AB16="","N/A",INDIRECT("MTR!"&amp;ADDRESS(MATCH(LEFT(AB16,9),MTR!C:C,0),COLUMN(J16)),TRUE) &amp; "")</f>
        <v>Complies</v>
      </c>
      <c r="AD16" s="157" t="str">
        <f t="shared" si="5"/>
        <v/>
      </c>
      <c r="AE16" s="152"/>
      <c r="AF16" s="152"/>
      <c r="AG16" s="152"/>
      <c r="AH16" s="152"/>
      <c r="AI16" s="152"/>
      <c r="AJ16" s="152"/>
      <c r="AK16" s="152"/>
      <c r="AL16" s="152"/>
      <c r="AM16" s="152"/>
      <c r="AN16" s="152"/>
      <c r="AO16" s="152"/>
    </row>
    <row r="17" ht="12.75" customHeight="1">
      <c r="A17" s="244" t="s">
        <v>5158</v>
      </c>
      <c r="B17" s="244" t="s">
        <v>163</v>
      </c>
      <c r="C17" s="255" t="s">
        <v>5204</v>
      </c>
      <c r="D17" s="256" t="s">
        <v>42</v>
      </c>
      <c r="E17" s="154" t="s">
        <v>489</v>
      </c>
      <c r="F17" s="154" t="str">
        <f t="array" ref="F17">XLOOKUP(Cover!$D$12,$M$1:$AD$1,$M17:$AD17)</f>
        <v>Mandatory</v>
      </c>
      <c r="G17" s="153" t="s">
        <v>5205</v>
      </c>
      <c r="H17" s="154" t="s">
        <v>232</v>
      </c>
      <c r="I17" s="154" t="s">
        <v>486</v>
      </c>
      <c r="J17" s="247" t="s">
        <v>445</v>
      </c>
      <c r="K17" s="154"/>
      <c r="L17" s="154" t="str">
        <f t="shared" si="1"/>
        <v/>
      </c>
      <c r="M17" s="154" t="s">
        <v>60</v>
      </c>
      <c r="N17" s="154" t="s">
        <v>60</v>
      </c>
      <c r="O17" s="154" t="s">
        <v>60</v>
      </c>
      <c r="P17" s="154" t="s">
        <v>60</v>
      </c>
      <c r="Q17" s="154" t="s">
        <v>60</v>
      </c>
      <c r="R17" s="154" t="s">
        <v>60</v>
      </c>
      <c r="S17" s="154" t="s">
        <v>60</v>
      </c>
      <c r="T17" s="154" t="s">
        <v>60</v>
      </c>
      <c r="U17" s="154" t="s">
        <v>60</v>
      </c>
      <c r="V17" s="154"/>
      <c r="W17" s="242" t="b">
        <f t="shared" si="2"/>
        <v>1</v>
      </c>
      <c r="X17" s="154" t="s">
        <v>391</v>
      </c>
      <c r="Y17" s="242" t="b">
        <f t="shared" si="3"/>
        <v>0</v>
      </c>
      <c r="Z17" s="154"/>
      <c r="AA17" s="242" t="b">
        <f t="shared" si="4"/>
        <v>0</v>
      </c>
      <c r="AB17" s="154" t="s">
        <v>652</v>
      </c>
      <c r="AC17" s="242" t="str">
        <f>IF(AB17="","N/A",INDIRECT("MTR!"&amp;ADDRESS(MATCH(LEFT(AB17,9),MTR!C:C,0),COLUMN(J17)),TRUE) &amp; "")</f>
        <v>Complies</v>
      </c>
      <c r="AD17" s="157" t="str">
        <f t="shared" si="5"/>
        <v/>
      </c>
      <c r="AE17" s="152"/>
      <c r="AF17" s="152"/>
      <c r="AG17" s="152"/>
      <c r="AH17" s="152"/>
      <c r="AI17" s="152"/>
      <c r="AJ17" s="152"/>
      <c r="AK17" s="152"/>
      <c r="AL17" s="152"/>
      <c r="AM17" s="152"/>
      <c r="AN17" s="152"/>
      <c r="AO17" s="152"/>
    </row>
    <row r="18" ht="12.75" customHeight="1">
      <c r="A18" s="238" t="s">
        <v>5158</v>
      </c>
      <c r="B18" s="238" t="s">
        <v>163</v>
      </c>
      <c r="C18" s="238" t="s">
        <v>5206</v>
      </c>
      <c r="D18" s="240"/>
      <c r="E18" s="240" t="s">
        <v>92</v>
      </c>
      <c r="F18" s="240" t="str">
        <f t="array" ref="F18">XLOOKUP(Cover!$D$12,$M$1:$AD$1,$M18:$AD18)</f>
        <v>Heading</v>
      </c>
      <c r="G18" s="239" t="s">
        <v>5207</v>
      </c>
      <c r="H18" s="240"/>
      <c r="I18" s="240" t="s">
        <v>486</v>
      </c>
      <c r="J18" s="240"/>
      <c r="K18" s="240"/>
      <c r="L18" s="240" t="str">
        <f t="shared" si="1"/>
        <v/>
      </c>
      <c r="M18" s="240" t="s">
        <v>390</v>
      </c>
      <c r="N18" s="240" t="s">
        <v>390</v>
      </c>
      <c r="O18" s="240" t="s">
        <v>390</v>
      </c>
      <c r="P18" s="240" t="s">
        <v>390</v>
      </c>
      <c r="Q18" s="240" t="s">
        <v>390</v>
      </c>
      <c r="R18" s="240" t="s">
        <v>390</v>
      </c>
      <c r="S18" s="240" t="s">
        <v>390</v>
      </c>
      <c r="T18" s="240" t="s">
        <v>390</v>
      </c>
      <c r="U18" s="240" t="s">
        <v>390</v>
      </c>
      <c r="V18" s="240"/>
      <c r="W18" s="242" t="b">
        <f t="shared" si="2"/>
        <v>0</v>
      </c>
      <c r="X18" s="240" t="s">
        <v>391</v>
      </c>
      <c r="Y18" s="242" t="b">
        <f t="shared" si="3"/>
        <v>0</v>
      </c>
      <c r="Z18" s="240"/>
      <c r="AA18" s="242" t="b">
        <f t="shared" si="4"/>
        <v>0</v>
      </c>
      <c r="AB18" s="240"/>
      <c r="AC18" s="242" t="str">
        <f>IF(AB18="","N/A",INDIRECT("MTR!"&amp;ADDRESS(MATCH(LEFT(AB18,9),MTR!C:C,0),COLUMN(J18)),TRUE) &amp; "")</f>
        <v>N/A</v>
      </c>
      <c r="AD18" s="157" t="str">
        <f t="shared" si="5"/>
        <v/>
      </c>
      <c r="AE18" s="152"/>
      <c r="AF18" s="152"/>
      <c r="AG18" s="152"/>
      <c r="AH18" s="152"/>
      <c r="AI18" s="152"/>
      <c r="AJ18" s="152"/>
      <c r="AK18" s="152"/>
      <c r="AL18" s="152"/>
      <c r="AM18" s="152"/>
      <c r="AN18" s="152"/>
      <c r="AO18" s="152"/>
    </row>
    <row r="19" ht="12.75" customHeight="1">
      <c r="A19" s="244" t="s">
        <v>5158</v>
      </c>
      <c r="B19" s="244" t="s">
        <v>163</v>
      </c>
      <c r="C19" s="244" t="s">
        <v>5208</v>
      </c>
      <c r="D19" s="154" t="s">
        <v>602</v>
      </c>
      <c r="E19" s="154"/>
      <c r="F19" s="154" t="str">
        <f t="array" ref="F19">XLOOKUP(Cover!$D$12,$M$1:$AD$1,$M19:$AD19)</f>
        <v>Mandatory</v>
      </c>
      <c r="G19" s="153" t="s">
        <v>5209</v>
      </c>
      <c r="H19" s="154" t="s">
        <v>232</v>
      </c>
      <c r="I19" s="154" t="s">
        <v>486</v>
      </c>
      <c r="J19" s="247" t="s">
        <v>445</v>
      </c>
      <c r="K19" s="247" t="s">
        <v>5210</v>
      </c>
      <c r="L19" s="154" t="str">
        <f t="shared" si="1"/>
        <v/>
      </c>
      <c r="M19" s="154" t="s">
        <v>66</v>
      </c>
      <c r="N19" s="154" t="s">
        <v>66</v>
      </c>
      <c r="O19" s="154" t="s">
        <v>60</v>
      </c>
      <c r="P19" s="154" t="s">
        <v>60</v>
      </c>
      <c r="Q19" s="154" t="s">
        <v>60</v>
      </c>
      <c r="R19" s="154" t="s">
        <v>60</v>
      </c>
      <c r="S19" s="154" t="s">
        <v>66</v>
      </c>
      <c r="T19" s="154" t="s">
        <v>60</v>
      </c>
      <c r="U19" s="154" t="s">
        <v>60</v>
      </c>
      <c r="V19" s="154"/>
      <c r="W19" s="242" t="b">
        <f t="shared" si="2"/>
        <v>1</v>
      </c>
      <c r="X19" s="154" t="s">
        <v>400</v>
      </c>
      <c r="Y19" s="242" t="b">
        <f t="shared" si="3"/>
        <v>0</v>
      </c>
      <c r="Z19" s="274" t="s">
        <v>5211</v>
      </c>
      <c r="AA19" s="242" t="b">
        <f t="shared" si="4"/>
        <v>0</v>
      </c>
      <c r="AB19" s="154" t="s">
        <v>652</v>
      </c>
      <c r="AC19" s="242" t="str">
        <f>IF(AB19="","N/A",INDIRECT("MTR!"&amp;ADDRESS(MATCH(LEFT(AB19,9),MTR!C:C,0),COLUMN(J19)),TRUE) &amp; "")</f>
        <v>Complies</v>
      </c>
      <c r="AD19" s="157" t="str">
        <f t="shared" si="5"/>
        <v/>
      </c>
      <c r="AE19" s="152"/>
      <c r="AF19" s="152"/>
      <c r="AG19" s="152"/>
      <c r="AH19" s="152"/>
      <c r="AI19" s="152"/>
      <c r="AJ19" s="152"/>
      <c r="AK19" s="152"/>
      <c r="AL19" s="152"/>
      <c r="AM19" s="152"/>
      <c r="AN19" s="152"/>
      <c r="AO19" s="152"/>
    </row>
    <row r="20" ht="12.75" customHeight="1">
      <c r="A20" s="244" t="s">
        <v>5158</v>
      </c>
      <c r="B20" s="244" t="s">
        <v>163</v>
      </c>
      <c r="C20" s="244" t="s">
        <v>5212</v>
      </c>
      <c r="D20" s="154" t="s">
        <v>602</v>
      </c>
      <c r="E20" s="154"/>
      <c r="F20" s="154" t="str">
        <f t="array" ref="F20">XLOOKUP(Cover!$D$12,$M$1:$AD$1,$M20:$AD20)</f>
        <v>Mandatory</v>
      </c>
      <c r="G20" s="153" t="s">
        <v>5213</v>
      </c>
      <c r="H20" s="154" t="s">
        <v>232</v>
      </c>
      <c r="I20" s="154" t="s">
        <v>486</v>
      </c>
      <c r="J20" s="247" t="s">
        <v>445</v>
      </c>
      <c r="K20" s="247" t="s">
        <v>5214</v>
      </c>
      <c r="L20" s="154" t="str">
        <f t="shared" si="1"/>
        <v/>
      </c>
      <c r="M20" s="154" t="s">
        <v>66</v>
      </c>
      <c r="N20" s="154" t="s">
        <v>66</v>
      </c>
      <c r="O20" s="154" t="s">
        <v>60</v>
      </c>
      <c r="P20" s="154" t="s">
        <v>60</v>
      </c>
      <c r="Q20" s="154" t="s">
        <v>60</v>
      </c>
      <c r="R20" s="154" t="s">
        <v>60</v>
      </c>
      <c r="S20" s="154" t="s">
        <v>66</v>
      </c>
      <c r="T20" s="154" t="s">
        <v>60</v>
      </c>
      <c r="U20" s="154" t="s">
        <v>60</v>
      </c>
      <c r="V20" s="154"/>
      <c r="W20" s="242" t="b">
        <f t="shared" si="2"/>
        <v>1</v>
      </c>
      <c r="X20" s="154" t="s">
        <v>400</v>
      </c>
      <c r="Y20" s="242" t="b">
        <f t="shared" si="3"/>
        <v>0</v>
      </c>
      <c r="Z20" s="274" t="s">
        <v>5211</v>
      </c>
      <c r="AA20" s="242" t="b">
        <f t="shared" si="4"/>
        <v>0</v>
      </c>
      <c r="AB20" s="154" t="s">
        <v>652</v>
      </c>
      <c r="AC20" s="242" t="str">
        <f>IF(AB20="","N/A",INDIRECT("MTR!"&amp;ADDRESS(MATCH(LEFT(AB20,9),MTR!C:C,0),COLUMN(J20)),TRUE) &amp; "")</f>
        <v>Complies</v>
      </c>
      <c r="AD20" s="157" t="str">
        <f t="shared" si="5"/>
        <v/>
      </c>
      <c r="AE20" s="152"/>
      <c r="AF20" s="152"/>
      <c r="AG20" s="152"/>
      <c r="AH20" s="152"/>
      <c r="AI20" s="152"/>
      <c r="AJ20" s="152"/>
      <c r="AK20" s="152"/>
      <c r="AL20" s="152"/>
      <c r="AM20" s="152"/>
      <c r="AN20" s="152"/>
      <c r="AO20" s="152"/>
    </row>
    <row r="21" ht="12.75" customHeight="1">
      <c r="A21" s="244" t="s">
        <v>5158</v>
      </c>
      <c r="B21" s="244" t="s">
        <v>163</v>
      </c>
      <c r="C21" s="244" t="s">
        <v>5215</v>
      </c>
      <c r="D21" s="154" t="s">
        <v>602</v>
      </c>
      <c r="E21" s="154"/>
      <c r="F21" s="154" t="str">
        <f t="array" ref="F21">XLOOKUP(Cover!$D$12,$M$1:$AD$1,$M21:$AD21)</f>
        <v>Mandatory</v>
      </c>
      <c r="G21" s="153" t="s">
        <v>5216</v>
      </c>
      <c r="H21" s="154" t="s">
        <v>232</v>
      </c>
      <c r="I21" s="154" t="s">
        <v>486</v>
      </c>
      <c r="J21" s="247" t="s">
        <v>445</v>
      </c>
      <c r="K21" s="247" t="s">
        <v>5217</v>
      </c>
      <c r="L21" s="154" t="str">
        <f t="shared" si="1"/>
        <v/>
      </c>
      <c r="M21" s="154" t="s">
        <v>66</v>
      </c>
      <c r="N21" s="154" t="s">
        <v>66</v>
      </c>
      <c r="O21" s="154" t="s">
        <v>60</v>
      </c>
      <c r="P21" s="154" t="s">
        <v>60</v>
      </c>
      <c r="Q21" s="154" t="s">
        <v>60</v>
      </c>
      <c r="R21" s="154" t="s">
        <v>60</v>
      </c>
      <c r="S21" s="154" t="s">
        <v>66</v>
      </c>
      <c r="T21" s="154" t="s">
        <v>60</v>
      </c>
      <c r="U21" s="154" t="s">
        <v>60</v>
      </c>
      <c r="V21" s="154"/>
      <c r="W21" s="242" t="b">
        <f t="shared" si="2"/>
        <v>1</v>
      </c>
      <c r="X21" s="154" t="s">
        <v>400</v>
      </c>
      <c r="Y21" s="242" t="b">
        <f t="shared" si="3"/>
        <v>0</v>
      </c>
      <c r="Z21" s="274" t="s">
        <v>5211</v>
      </c>
      <c r="AA21" s="242" t="b">
        <f t="shared" si="4"/>
        <v>0</v>
      </c>
      <c r="AB21" s="154" t="s">
        <v>652</v>
      </c>
      <c r="AC21" s="242" t="str">
        <f>IF(AB21="","N/A",INDIRECT("MTR!"&amp;ADDRESS(MATCH(LEFT(AB21,9),MTR!C:C,0),COLUMN(J21)),TRUE) &amp; "")</f>
        <v>Complies</v>
      </c>
      <c r="AD21" s="157" t="str">
        <f t="shared" si="5"/>
        <v/>
      </c>
      <c r="AE21" s="152"/>
      <c r="AF21" s="152"/>
      <c r="AG21" s="152"/>
      <c r="AH21" s="152"/>
      <c r="AI21" s="152"/>
      <c r="AJ21" s="152"/>
      <c r="AK21" s="152"/>
      <c r="AL21" s="152"/>
      <c r="AM21" s="152"/>
      <c r="AN21" s="152"/>
      <c r="AO21" s="152"/>
    </row>
    <row r="22" ht="12.75" customHeight="1">
      <c r="A22" s="244" t="s">
        <v>5158</v>
      </c>
      <c r="B22" s="244" t="s">
        <v>163</v>
      </c>
      <c r="C22" s="244" t="s">
        <v>5218</v>
      </c>
      <c r="D22" s="154" t="s">
        <v>1773</v>
      </c>
      <c r="E22" s="154"/>
      <c r="F22" s="154" t="str">
        <f t="array" ref="F22">XLOOKUP(Cover!$D$12,$M$1:$AD$1,$M22:$AD22)</f>
        <v>Mandatory</v>
      </c>
      <c r="G22" s="153" t="s">
        <v>5219</v>
      </c>
      <c r="H22" s="154" t="s">
        <v>232</v>
      </c>
      <c r="I22" s="154" t="s">
        <v>486</v>
      </c>
      <c r="J22" s="247" t="s">
        <v>445</v>
      </c>
      <c r="K22" s="247" t="s">
        <v>5220</v>
      </c>
      <c r="L22" s="154" t="str">
        <f t="shared" si="1"/>
        <v/>
      </c>
      <c r="M22" s="154" t="s">
        <v>66</v>
      </c>
      <c r="N22" s="154" t="s">
        <v>66</v>
      </c>
      <c r="O22" s="154" t="s">
        <v>60</v>
      </c>
      <c r="P22" s="154" t="s">
        <v>60</v>
      </c>
      <c r="Q22" s="154" t="s">
        <v>60</v>
      </c>
      <c r="R22" s="154" t="s">
        <v>60</v>
      </c>
      <c r="S22" s="154" t="s">
        <v>66</v>
      </c>
      <c r="T22" s="154" t="s">
        <v>60</v>
      </c>
      <c r="U22" s="154" t="s">
        <v>60</v>
      </c>
      <c r="V22" s="154"/>
      <c r="W22" s="242" t="b">
        <f t="shared" si="2"/>
        <v>1</v>
      </c>
      <c r="X22" s="154" t="s">
        <v>400</v>
      </c>
      <c r="Y22" s="242" t="b">
        <f t="shared" si="3"/>
        <v>0</v>
      </c>
      <c r="Z22" s="274" t="s">
        <v>5211</v>
      </c>
      <c r="AA22" s="242" t="b">
        <f t="shared" si="4"/>
        <v>0</v>
      </c>
      <c r="AB22" s="154" t="s">
        <v>652</v>
      </c>
      <c r="AC22" s="242" t="str">
        <f>IF(AB22="","N/A",INDIRECT("MTR!"&amp;ADDRESS(MATCH(LEFT(AB22,9),MTR!C:C,0),COLUMN(J22)),TRUE) &amp; "")</f>
        <v>Complies</v>
      </c>
      <c r="AD22" s="157" t="str">
        <f t="shared" si="5"/>
        <v/>
      </c>
      <c r="AE22" s="152"/>
      <c r="AF22" s="152"/>
      <c r="AG22" s="152"/>
      <c r="AH22" s="152"/>
      <c r="AI22" s="152"/>
      <c r="AJ22" s="152"/>
      <c r="AK22" s="152"/>
      <c r="AL22" s="152"/>
      <c r="AM22" s="152"/>
      <c r="AN22" s="152"/>
      <c r="AO22" s="152"/>
    </row>
    <row r="23" ht="12.75" customHeight="1">
      <c r="A23" s="244" t="s">
        <v>5158</v>
      </c>
      <c r="B23" s="244" t="s">
        <v>163</v>
      </c>
      <c r="C23" s="244" t="s">
        <v>5221</v>
      </c>
      <c r="D23" s="154" t="s">
        <v>1773</v>
      </c>
      <c r="E23" s="154"/>
      <c r="F23" s="154" t="str">
        <f t="array" ref="F23">XLOOKUP(Cover!$D$12,$M$1:$AD$1,$M23:$AD23)</f>
        <v>Mandatory</v>
      </c>
      <c r="G23" s="153" t="s">
        <v>5222</v>
      </c>
      <c r="H23" s="154" t="s">
        <v>232</v>
      </c>
      <c r="I23" s="154" t="s">
        <v>486</v>
      </c>
      <c r="J23" s="247" t="s">
        <v>445</v>
      </c>
      <c r="K23" s="247" t="s">
        <v>5220</v>
      </c>
      <c r="L23" s="154" t="str">
        <f t="shared" si="1"/>
        <v/>
      </c>
      <c r="M23" s="154" t="s">
        <v>66</v>
      </c>
      <c r="N23" s="154" t="s">
        <v>66</v>
      </c>
      <c r="O23" s="154" t="s">
        <v>60</v>
      </c>
      <c r="P23" s="154" t="s">
        <v>60</v>
      </c>
      <c r="Q23" s="154" t="s">
        <v>60</v>
      </c>
      <c r="R23" s="154" t="s">
        <v>60</v>
      </c>
      <c r="S23" s="154" t="s">
        <v>66</v>
      </c>
      <c r="T23" s="154" t="s">
        <v>60</v>
      </c>
      <c r="U23" s="154" t="s">
        <v>60</v>
      </c>
      <c r="V23" s="154"/>
      <c r="W23" s="242" t="b">
        <f t="shared" si="2"/>
        <v>1</v>
      </c>
      <c r="X23" s="154" t="s">
        <v>400</v>
      </c>
      <c r="Y23" s="242" t="b">
        <f t="shared" si="3"/>
        <v>0</v>
      </c>
      <c r="Z23" s="274" t="s">
        <v>5211</v>
      </c>
      <c r="AA23" s="242" t="b">
        <f t="shared" si="4"/>
        <v>0</v>
      </c>
      <c r="AB23" s="154" t="s">
        <v>652</v>
      </c>
      <c r="AC23" s="242" t="str">
        <f>IF(AB23="","N/A",INDIRECT("MTR!"&amp;ADDRESS(MATCH(LEFT(AB23,9),MTR!C:C,0),COLUMN(J23)),TRUE) &amp; "")</f>
        <v>Complies</v>
      </c>
      <c r="AD23" s="157" t="str">
        <f t="shared" si="5"/>
        <v/>
      </c>
      <c r="AE23" s="152"/>
      <c r="AF23" s="152"/>
      <c r="AG23" s="152"/>
      <c r="AH23" s="152"/>
      <c r="AI23" s="152"/>
      <c r="AJ23" s="152"/>
      <c r="AK23" s="152"/>
      <c r="AL23" s="152"/>
      <c r="AM23" s="152"/>
      <c r="AN23" s="152"/>
      <c r="AO23" s="152"/>
    </row>
    <row r="24" ht="12.75" customHeight="1">
      <c r="A24" s="244" t="s">
        <v>5158</v>
      </c>
      <c r="B24" s="244" t="s">
        <v>163</v>
      </c>
      <c r="C24" s="244" t="s">
        <v>5223</v>
      </c>
      <c r="D24" s="154" t="s">
        <v>602</v>
      </c>
      <c r="E24" s="154"/>
      <c r="F24" s="154" t="str">
        <f t="array" ref="F24">XLOOKUP(Cover!$D$12,$M$1:$AD$1,$M24:$AD24)</f>
        <v>Mandatory</v>
      </c>
      <c r="G24" s="153" t="s">
        <v>5224</v>
      </c>
      <c r="H24" s="154" t="s">
        <v>232</v>
      </c>
      <c r="I24" s="154" t="s">
        <v>486</v>
      </c>
      <c r="J24" s="247" t="s">
        <v>445</v>
      </c>
      <c r="K24" s="247" t="s">
        <v>5225</v>
      </c>
      <c r="L24" s="154" t="str">
        <f t="shared" si="1"/>
        <v/>
      </c>
      <c r="M24" s="154" t="s">
        <v>66</v>
      </c>
      <c r="N24" s="154" t="s">
        <v>66</v>
      </c>
      <c r="O24" s="154" t="s">
        <v>60</v>
      </c>
      <c r="P24" s="154" t="s">
        <v>60</v>
      </c>
      <c r="Q24" s="154" t="s">
        <v>60</v>
      </c>
      <c r="R24" s="154" t="s">
        <v>60</v>
      </c>
      <c r="S24" s="154" t="s">
        <v>66</v>
      </c>
      <c r="T24" s="154" t="s">
        <v>60</v>
      </c>
      <c r="U24" s="154" t="s">
        <v>60</v>
      </c>
      <c r="V24" s="154"/>
      <c r="W24" s="242" t="b">
        <f t="shared" si="2"/>
        <v>1</v>
      </c>
      <c r="X24" s="154" t="s">
        <v>400</v>
      </c>
      <c r="Y24" s="242" t="b">
        <f t="shared" si="3"/>
        <v>0</v>
      </c>
      <c r="Z24" s="274" t="s">
        <v>5211</v>
      </c>
      <c r="AA24" s="242" t="b">
        <f t="shared" si="4"/>
        <v>0</v>
      </c>
      <c r="AB24" s="154" t="s">
        <v>652</v>
      </c>
      <c r="AC24" s="242" t="str">
        <f>IF(AB24="","N/A",INDIRECT("MTR!"&amp;ADDRESS(MATCH(LEFT(AB24,9),MTR!C:C,0),COLUMN(J24)),TRUE) &amp; "")</f>
        <v>Complies</v>
      </c>
      <c r="AD24" s="157" t="str">
        <f t="shared" si="5"/>
        <v/>
      </c>
      <c r="AE24" s="152"/>
      <c r="AF24" s="152"/>
      <c r="AG24" s="152"/>
      <c r="AH24" s="152"/>
      <c r="AI24" s="152"/>
      <c r="AJ24" s="152"/>
      <c r="AK24" s="152"/>
      <c r="AL24" s="152"/>
      <c r="AM24" s="152"/>
      <c r="AN24" s="152"/>
      <c r="AO24" s="152"/>
    </row>
    <row r="25" ht="12.75" customHeight="1">
      <c r="A25" s="244" t="s">
        <v>5158</v>
      </c>
      <c r="B25" s="244" t="s">
        <v>163</v>
      </c>
      <c r="C25" s="244" t="s">
        <v>5226</v>
      </c>
      <c r="D25" s="154" t="s">
        <v>1069</v>
      </c>
      <c r="E25" s="154"/>
      <c r="F25" s="154" t="str">
        <f t="array" ref="F25">XLOOKUP(Cover!$D$12,$M$1:$AD$1,$M25:$AD25)</f>
        <v>Mandatory</v>
      </c>
      <c r="G25" s="153" t="s">
        <v>5227</v>
      </c>
      <c r="H25" s="154" t="s">
        <v>232</v>
      </c>
      <c r="I25" s="154" t="s">
        <v>486</v>
      </c>
      <c r="J25" s="247" t="s">
        <v>445</v>
      </c>
      <c r="K25" s="247" t="s">
        <v>5210</v>
      </c>
      <c r="L25" s="154" t="str">
        <f t="shared" si="1"/>
        <v/>
      </c>
      <c r="M25" s="154" t="s">
        <v>66</v>
      </c>
      <c r="N25" s="154" t="s">
        <v>66</v>
      </c>
      <c r="O25" s="154" t="s">
        <v>66</v>
      </c>
      <c r="P25" s="154" t="s">
        <v>64</v>
      </c>
      <c r="Q25" s="154" t="s">
        <v>60</v>
      </c>
      <c r="R25" s="154" t="s">
        <v>60</v>
      </c>
      <c r="S25" s="154" t="s">
        <v>66</v>
      </c>
      <c r="T25" s="154" t="s">
        <v>66</v>
      </c>
      <c r="U25" s="154" t="s">
        <v>60</v>
      </c>
      <c r="V25" s="154"/>
      <c r="W25" s="242" t="b">
        <f t="shared" si="2"/>
        <v>1</v>
      </c>
      <c r="X25" s="154" t="s">
        <v>400</v>
      </c>
      <c r="Y25" s="242" t="b">
        <f t="shared" si="3"/>
        <v>0</v>
      </c>
      <c r="Z25" s="274" t="s">
        <v>5211</v>
      </c>
      <c r="AA25" s="242" t="b">
        <f t="shared" si="4"/>
        <v>0</v>
      </c>
      <c r="AB25" s="154" t="s">
        <v>652</v>
      </c>
      <c r="AC25" s="242" t="str">
        <f>IF(AB25="","N/A",INDIRECT("MTR!"&amp;ADDRESS(MATCH(LEFT(AB25,9),MTR!C:C,0),COLUMN(J25)),TRUE) &amp; "")</f>
        <v>Complies</v>
      </c>
      <c r="AD25" s="157" t="str">
        <f t="shared" si="5"/>
        <v/>
      </c>
      <c r="AE25" s="152"/>
      <c r="AF25" s="152"/>
      <c r="AG25" s="152"/>
      <c r="AH25" s="152"/>
      <c r="AI25" s="152"/>
      <c r="AJ25" s="152"/>
      <c r="AK25" s="152"/>
      <c r="AL25" s="152"/>
      <c r="AM25" s="152"/>
      <c r="AN25" s="152"/>
      <c r="AO25" s="152"/>
    </row>
    <row r="26" ht="12.75" customHeight="1">
      <c r="A26" s="244" t="s">
        <v>5158</v>
      </c>
      <c r="B26" s="244" t="s">
        <v>163</v>
      </c>
      <c r="C26" s="244" t="s">
        <v>5228</v>
      </c>
      <c r="D26" s="154" t="s">
        <v>602</v>
      </c>
      <c r="E26" s="154"/>
      <c r="F26" s="154" t="str">
        <f t="array" ref="F26">XLOOKUP(Cover!$D$12,$M$1:$AD$1,$M26:$AD26)</f>
        <v>Mandatory</v>
      </c>
      <c r="G26" s="153" t="s">
        <v>5229</v>
      </c>
      <c r="H26" s="154" t="s">
        <v>232</v>
      </c>
      <c r="I26" s="154" t="s">
        <v>486</v>
      </c>
      <c r="J26" s="247" t="s">
        <v>445</v>
      </c>
      <c r="K26" s="247" t="s">
        <v>5230</v>
      </c>
      <c r="L26" s="154" t="str">
        <f t="shared" si="1"/>
        <v/>
      </c>
      <c r="M26" s="154" t="s">
        <v>66</v>
      </c>
      <c r="N26" s="154" t="s">
        <v>66</v>
      </c>
      <c r="O26" s="154" t="s">
        <v>60</v>
      </c>
      <c r="P26" s="154" t="s">
        <v>60</v>
      </c>
      <c r="Q26" s="154" t="s">
        <v>60</v>
      </c>
      <c r="R26" s="154" t="s">
        <v>60</v>
      </c>
      <c r="S26" s="154" t="s">
        <v>66</v>
      </c>
      <c r="T26" s="154" t="s">
        <v>60</v>
      </c>
      <c r="U26" s="154" t="s">
        <v>60</v>
      </c>
      <c r="V26" s="154"/>
      <c r="W26" s="242" t="b">
        <f t="shared" si="2"/>
        <v>1</v>
      </c>
      <c r="X26" s="154" t="s">
        <v>400</v>
      </c>
      <c r="Y26" s="242" t="b">
        <f t="shared" si="3"/>
        <v>0</v>
      </c>
      <c r="Z26" s="274" t="s">
        <v>5211</v>
      </c>
      <c r="AA26" s="242" t="b">
        <f t="shared" si="4"/>
        <v>0</v>
      </c>
      <c r="AB26" s="154" t="s">
        <v>652</v>
      </c>
      <c r="AC26" s="242" t="str">
        <f>IF(AB26="","N/A",INDIRECT("MTR!"&amp;ADDRESS(MATCH(LEFT(AB26,9),MTR!C:C,0),COLUMN(J26)),TRUE) &amp; "")</f>
        <v>Complies</v>
      </c>
      <c r="AD26" s="157" t="str">
        <f t="shared" si="5"/>
        <v/>
      </c>
      <c r="AE26" s="152"/>
      <c r="AF26" s="152"/>
      <c r="AG26" s="152"/>
      <c r="AH26" s="152"/>
      <c r="AI26" s="152"/>
      <c r="AJ26" s="152"/>
      <c r="AK26" s="152"/>
      <c r="AL26" s="152"/>
      <c r="AM26" s="152"/>
      <c r="AN26" s="152"/>
      <c r="AO26" s="152"/>
    </row>
    <row r="27" ht="12.75" customHeight="1">
      <c r="A27" s="238" t="s">
        <v>5158</v>
      </c>
      <c r="B27" s="238" t="s">
        <v>163</v>
      </c>
      <c r="C27" s="238" t="s">
        <v>5231</v>
      </c>
      <c r="D27" s="240"/>
      <c r="E27" s="240" t="s">
        <v>92</v>
      </c>
      <c r="F27" s="240" t="str">
        <f t="array" ref="F27">XLOOKUP(Cover!$D$12,$M$1:$AD$1,$M27:$AD27)</f>
        <v>Heading</v>
      </c>
      <c r="G27" s="239" t="s">
        <v>5232</v>
      </c>
      <c r="H27" s="240"/>
      <c r="I27" s="240" t="s">
        <v>486</v>
      </c>
      <c r="J27" s="240"/>
      <c r="K27" s="240"/>
      <c r="L27" s="240" t="str">
        <f t="shared" si="1"/>
        <v/>
      </c>
      <c r="M27" s="240" t="s">
        <v>390</v>
      </c>
      <c r="N27" s="240" t="s">
        <v>390</v>
      </c>
      <c r="O27" s="240" t="s">
        <v>390</v>
      </c>
      <c r="P27" s="240" t="s">
        <v>390</v>
      </c>
      <c r="Q27" s="240" t="s">
        <v>390</v>
      </c>
      <c r="R27" s="240" t="s">
        <v>390</v>
      </c>
      <c r="S27" s="240" t="s">
        <v>390</v>
      </c>
      <c r="T27" s="240" t="s">
        <v>390</v>
      </c>
      <c r="U27" s="240" t="s">
        <v>390</v>
      </c>
      <c r="V27" s="240"/>
      <c r="W27" s="242" t="b">
        <f t="shared" si="2"/>
        <v>0</v>
      </c>
      <c r="X27" s="240" t="s">
        <v>391</v>
      </c>
      <c r="Y27" s="242" t="b">
        <f t="shared" si="3"/>
        <v>0</v>
      </c>
      <c r="Z27" s="240"/>
      <c r="AA27" s="242" t="b">
        <f t="shared" si="4"/>
        <v>0</v>
      </c>
      <c r="AB27" s="240"/>
      <c r="AC27" s="242" t="str">
        <f>IF(AB27="","N/A",INDIRECT("MTR!"&amp;ADDRESS(MATCH(LEFT(AB27,9),MTR!C:C,0),COLUMN(J27)),TRUE) &amp; "")</f>
        <v>N/A</v>
      </c>
      <c r="AD27" s="157" t="str">
        <f t="shared" si="5"/>
        <v/>
      </c>
      <c r="AE27" s="152"/>
      <c r="AF27" s="152"/>
      <c r="AG27" s="152"/>
      <c r="AH27" s="152"/>
      <c r="AI27" s="152"/>
      <c r="AJ27" s="152"/>
      <c r="AK27" s="152"/>
      <c r="AL27" s="152"/>
      <c r="AM27" s="152"/>
      <c r="AN27" s="152"/>
      <c r="AO27" s="152"/>
    </row>
    <row r="28" ht="12.75" customHeight="1">
      <c r="A28" s="244" t="s">
        <v>5158</v>
      </c>
      <c r="B28" s="244" t="s">
        <v>163</v>
      </c>
      <c r="C28" s="244" t="s">
        <v>5233</v>
      </c>
      <c r="D28" s="154" t="s">
        <v>602</v>
      </c>
      <c r="E28" s="154"/>
      <c r="F28" s="154" t="str">
        <f t="array" ref="F28">XLOOKUP(Cover!$D$12,$M$1:$AD$1,$M28:$AD28)</f>
        <v>Mandatory</v>
      </c>
      <c r="G28" s="153" t="s">
        <v>5234</v>
      </c>
      <c r="H28" s="154" t="s">
        <v>232</v>
      </c>
      <c r="I28" s="154" t="s">
        <v>486</v>
      </c>
      <c r="J28" s="247" t="s">
        <v>445</v>
      </c>
      <c r="K28" s="247" t="s">
        <v>5235</v>
      </c>
      <c r="L28" s="154" t="str">
        <f t="shared" si="1"/>
        <v/>
      </c>
      <c r="M28" s="154" t="s">
        <v>66</v>
      </c>
      <c r="N28" s="154" t="s">
        <v>66</v>
      </c>
      <c r="O28" s="154" t="s">
        <v>60</v>
      </c>
      <c r="P28" s="154" t="s">
        <v>60</v>
      </c>
      <c r="Q28" s="154" t="s">
        <v>60</v>
      </c>
      <c r="R28" s="154" t="s">
        <v>60</v>
      </c>
      <c r="S28" s="154" t="s">
        <v>66</v>
      </c>
      <c r="T28" s="154" t="s">
        <v>60</v>
      </c>
      <c r="U28" s="154" t="s">
        <v>60</v>
      </c>
      <c r="V28" s="154"/>
      <c r="W28" s="242" t="b">
        <f t="shared" si="2"/>
        <v>1</v>
      </c>
      <c r="X28" s="154" t="s">
        <v>400</v>
      </c>
      <c r="Y28" s="242" t="b">
        <f t="shared" si="3"/>
        <v>0</v>
      </c>
      <c r="Z28" s="274" t="s">
        <v>5211</v>
      </c>
      <c r="AA28" s="242" t="b">
        <f t="shared" si="4"/>
        <v>0</v>
      </c>
      <c r="AB28" s="154" t="s">
        <v>652</v>
      </c>
      <c r="AC28" s="242" t="str">
        <f>IF(AB28="","N/A",INDIRECT("MTR!"&amp;ADDRESS(MATCH(LEFT(AB28,9),MTR!C:C,0),COLUMN(J28)),TRUE) &amp; "")</f>
        <v>Complies</v>
      </c>
      <c r="AD28" s="157" t="str">
        <f t="shared" si="5"/>
        <v/>
      </c>
      <c r="AE28" s="152"/>
      <c r="AF28" s="152"/>
      <c r="AG28" s="152"/>
      <c r="AH28" s="152"/>
      <c r="AI28" s="152"/>
      <c r="AJ28" s="152"/>
      <c r="AK28" s="152"/>
      <c r="AL28" s="152"/>
      <c r="AM28" s="152"/>
      <c r="AN28" s="152"/>
      <c r="AO28" s="152"/>
    </row>
    <row r="29" ht="12.75" customHeight="1">
      <c r="A29" s="238" t="s">
        <v>5158</v>
      </c>
      <c r="B29" s="238" t="s">
        <v>163</v>
      </c>
      <c r="C29" s="238" t="s">
        <v>5236</v>
      </c>
      <c r="D29" s="240"/>
      <c r="E29" s="240" t="s">
        <v>92</v>
      </c>
      <c r="F29" s="240" t="str">
        <f t="array" ref="F29">XLOOKUP(Cover!$D$12,$M$1:$AD$1,$M29:$AD29)</f>
        <v>Heading</v>
      </c>
      <c r="G29" s="239" t="s">
        <v>5237</v>
      </c>
      <c r="H29" s="240"/>
      <c r="I29" s="240" t="s">
        <v>486</v>
      </c>
      <c r="J29" s="240"/>
      <c r="K29" s="240"/>
      <c r="L29" s="240" t="str">
        <f t="shared" si="1"/>
        <v/>
      </c>
      <c r="M29" s="240" t="s">
        <v>390</v>
      </c>
      <c r="N29" s="240" t="s">
        <v>390</v>
      </c>
      <c r="O29" s="240" t="s">
        <v>390</v>
      </c>
      <c r="P29" s="240" t="s">
        <v>390</v>
      </c>
      <c r="Q29" s="240" t="s">
        <v>390</v>
      </c>
      <c r="R29" s="240" t="s">
        <v>390</v>
      </c>
      <c r="S29" s="240" t="s">
        <v>390</v>
      </c>
      <c r="T29" s="240" t="s">
        <v>390</v>
      </c>
      <c r="U29" s="240" t="s">
        <v>390</v>
      </c>
      <c r="V29" s="240"/>
      <c r="W29" s="242" t="b">
        <f t="shared" si="2"/>
        <v>0</v>
      </c>
      <c r="X29" s="240" t="s">
        <v>391</v>
      </c>
      <c r="Y29" s="242" t="b">
        <f t="shared" si="3"/>
        <v>0</v>
      </c>
      <c r="Z29" s="240"/>
      <c r="AA29" s="242" t="b">
        <f t="shared" si="4"/>
        <v>0</v>
      </c>
      <c r="AB29" s="240"/>
      <c r="AC29" s="242" t="str">
        <f>IF(AB29="","N/A",INDIRECT("MTR!"&amp;ADDRESS(MATCH(LEFT(AB29,9),MTR!C:C,0),COLUMN(J29)),TRUE) &amp; "")</f>
        <v>N/A</v>
      </c>
      <c r="AD29" s="157" t="str">
        <f t="shared" si="5"/>
        <v/>
      </c>
      <c r="AE29" s="152"/>
      <c r="AF29" s="152"/>
      <c r="AG29" s="152"/>
      <c r="AH29" s="152"/>
      <c r="AI29" s="152"/>
      <c r="AJ29" s="152"/>
      <c r="AK29" s="152"/>
      <c r="AL29" s="152"/>
      <c r="AM29" s="152"/>
      <c r="AN29" s="152"/>
      <c r="AO29" s="152"/>
    </row>
    <row r="30" ht="12.75" customHeight="1">
      <c r="A30" s="244" t="s">
        <v>5158</v>
      </c>
      <c r="B30" s="244" t="s">
        <v>163</v>
      </c>
      <c r="C30" s="244" t="s">
        <v>5238</v>
      </c>
      <c r="D30" s="154" t="s">
        <v>542</v>
      </c>
      <c r="E30" s="154"/>
      <c r="F30" s="154" t="str">
        <f t="array" ref="F30">XLOOKUP(Cover!$D$12,$M$1:$AD$1,$M30:$AD30)</f>
        <v>Comments Vendor</v>
      </c>
      <c r="G30" s="154" t="s">
        <v>5239</v>
      </c>
      <c r="H30" s="154" t="s">
        <v>232</v>
      </c>
      <c r="I30" s="154" t="s">
        <v>486</v>
      </c>
      <c r="J30" s="247"/>
      <c r="K30" s="247" t="s">
        <v>5240</v>
      </c>
      <c r="L30" s="154" t="str">
        <f t="shared" si="1"/>
        <v/>
      </c>
      <c r="M30" s="154" t="s">
        <v>62</v>
      </c>
      <c r="N30" s="154" t="s">
        <v>62</v>
      </c>
      <c r="O30" s="154" t="s">
        <v>62</v>
      </c>
      <c r="P30" s="154" t="s">
        <v>62</v>
      </c>
      <c r="Q30" s="154" t="s">
        <v>62</v>
      </c>
      <c r="R30" s="154" t="s">
        <v>62</v>
      </c>
      <c r="S30" s="154" t="s">
        <v>62</v>
      </c>
      <c r="T30" s="154" t="s">
        <v>62</v>
      </c>
      <c r="U30" s="154" t="s">
        <v>62</v>
      </c>
      <c r="V30" s="154"/>
      <c r="W30" s="242" t="b">
        <f t="shared" si="2"/>
        <v>1</v>
      </c>
      <c r="X30" s="154" t="s">
        <v>68</v>
      </c>
      <c r="Y30" s="242" t="b">
        <f t="shared" si="3"/>
        <v>1</v>
      </c>
      <c r="Z30" s="154" t="s">
        <v>5241</v>
      </c>
      <c r="AA30" s="242" t="b">
        <f t="shared" si="4"/>
        <v>0</v>
      </c>
      <c r="AB30" s="154" t="s">
        <v>652</v>
      </c>
      <c r="AC30" s="242" t="str">
        <f>IF(AB30="","N/A",INDIRECT("MTR!"&amp;ADDRESS(MATCH(LEFT(AB30,9),MTR!C:C,0),COLUMN(J30)),TRUE) &amp; "")</f>
        <v>Complies</v>
      </c>
      <c r="AD30" s="157" t="str">
        <f t="shared" si="5"/>
        <v/>
      </c>
      <c r="AE30" s="152"/>
      <c r="AF30" s="152"/>
      <c r="AG30" s="152"/>
      <c r="AH30" s="152"/>
      <c r="AI30" s="152"/>
      <c r="AJ30" s="152"/>
      <c r="AK30" s="152"/>
      <c r="AL30" s="152"/>
      <c r="AM30" s="152"/>
      <c r="AN30" s="152"/>
      <c r="AO30" s="152"/>
    </row>
    <row r="31" ht="12.75" customHeight="1">
      <c r="A31" s="244" t="s">
        <v>5158</v>
      </c>
      <c r="B31" s="244" t="s">
        <v>163</v>
      </c>
      <c r="C31" s="244" t="s">
        <v>5242</v>
      </c>
      <c r="D31" s="154" t="s">
        <v>747</v>
      </c>
      <c r="E31" s="154"/>
      <c r="F31" s="154" t="str">
        <f t="array" ref="F31">XLOOKUP(Cover!$D$12,$M$1:$AD$1,$M31:$AD31)</f>
        <v>Mandatory</v>
      </c>
      <c r="G31" s="154" t="s">
        <v>5243</v>
      </c>
      <c r="H31" s="154" t="s">
        <v>232</v>
      </c>
      <c r="I31" s="154" t="s">
        <v>486</v>
      </c>
      <c r="J31" s="247" t="s">
        <v>445</v>
      </c>
      <c r="K31" s="247" t="s">
        <v>5244</v>
      </c>
      <c r="L31" s="154" t="str">
        <f t="shared" si="1"/>
        <v/>
      </c>
      <c r="M31" s="154" t="s">
        <v>60</v>
      </c>
      <c r="N31" s="154" t="s">
        <v>60</v>
      </c>
      <c r="O31" s="154" t="s">
        <v>60</v>
      </c>
      <c r="P31" s="154" t="s">
        <v>60</v>
      </c>
      <c r="Q31" s="154" t="s">
        <v>60</v>
      </c>
      <c r="R31" s="154" t="s">
        <v>60</v>
      </c>
      <c r="S31" s="154" t="s">
        <v>60</v>
      </c>
      <c r="T31" s="154" t="s">
        <v>60</v>
      </c>
      <c r="U31" s="154" t="s">
        <v>60</v>
      </c>
      <c r="V31" s="154"/>
      <c r="W31" s="242" t="b">
        <f t="shared" si="2"/>
        <v>1</v>
      </c>
      <c r="X31" s="154" t="s">
        <v>391</v>
      </c>
      <c r="Y31" s="242" t="b">
        <f t="shared" si="3"/>
        <v>0</v>
      </c>
      <c r="Z31" s="154"/>
      <c r="AA31" s="242" t="b">
        <f t="shared" si="4"/>
        <v>0</v>
      </c>
      <c r="AB31" s="154" t="s">
        <v>652</v>
      </c>
      <c r="AC31" s="242" t="str">
        <f>IF(AB31="","N/A",INDIRECT("MTR!"&amp;ADDRESS(MATCH(LEFT(AB31,9),MTR!C:C,0),COLUMN(J31)),TRUE) &amp; "")</f>
        <v>Complies</v>
      </c>
      <c r="AD31" s="157" t="str">
        <f t="shared" si="5"/>
        <v/>
      </c>
      <c r="AE31" s="152"/>
      <c r="AF31" s="152"/>
      <c r="AG31" s="152"/>
      <c r="AH31" s="152"/>
      <c r="AI31" s="152"/>
      <c r="AJ31" s="152"/>
      <c r="AK31" s="152"/>
      <c r="AL31" s="152"/>
      <c r="AM31" s="152"/>
      <c r="AN31" s="152"/>
      <c r="AO31" s="152"/>
    </row>
    <row r="32" ht="12.75" customHeight="1">
      <c r="A32" s="244" t="s">
        <v>5158</v>
      </c>
      <c r="B32" s="244" t="s">
        <v>163</v>
      </c>
      <c r="C32" s="244" t="s">
        <v>5245</v>
      </c>
      <c r="D32" s="154" t="s">
        <v>542</v>
      </c>
      <c r="E32" s="154"/>
      <c r="F32" s="154" t="str">
        <f t="array" ref="F32">XLOOKUP(Cover!$D$12,$M$1:$AD$1,$M32:$AD32)</f>
        <v>Comments Vendor</v>
      </c>
      <c r="G32" s="154" t="s">
        <v>5246</v>
      </c>
      <c r="H32" s="154" t="s">
        <v>232</v>
      </c>
      <c r="I32" s="154" t="s">
        <v>486</v>
      </c>
      <c r="J32" s="247"/>
      <c r="K32" s="247" t="s">
        <v>5247</v>
      </c>
      <c r="L32" s="154" t="str">
        <f t="shared" si="1"/>
        <v/>
      </c>
      <c r="M32" s="154" t="s">
        <v>62</v>
      </c>
      <c r="N32" s="154" t="s">
        <v>62</v>
      </c>
      <c r="O32" s="154" t="s">
        <v>62</v>
      </c>
      <c r="P32" s="154" t="s">
        <v>62</v>
      </c>
      <c r="Q32" s="154" t="s">
        <v>62</v>
      </c>
      <c r="R32" s="154" t="s">
        <v>62</v>
      </c>
      <c r="S32" s="154" t="s">
        <v>62</v>
      </c>
      <c r="T32" s="154" t="s">
        <v>62</v>
      </c>
      <c r="U32" s="154" t="s">
        <v>62</v>
      </c>
      <c r="V32" s="154"/>
      <c r="W32" s="242" t="b">
        <f t="shared" si="2"/>
        <v>1</v>
      </c>
      <c r="X32" s="154" t="s">
        <v>68</v>
      </c>
      <c r="Y32" s="242" t="b">
        <f t="shared" si="3"/>
        <v>1</v>
      </c>
      <c r="Z32" s="154" t="s">
        <v>5241</v>
      </c>
      <c r="AA32" s="242" t="b">
        <f t="shared" si="4"/>
        <v>0</v>
      </c>
      <c r="AB32" s="154" t="s">
        <v>652</v>
      </c>
      <c r="AC32" s="242" t="str">
        <f>IF(AB32="","N/A",INDIRECT("MTR!"&amp;ADDRESS(MATCH(LEFT(AB32,9),MTR!C:C,0),COLUMN(J32)),TRUE) &amp; "")</f>
        <v>Complies</v>
      </c>
      <c r="AD32" s="157" t="str">
        <f t="shared" si="5"/>
        <v/>
      </c>
      <c r="AE32" s="152"/>
      <c r="AF32" s="152"/>
      <c r="AG32" s="152"/>
      <c r="AH32" s="152"/>
      <c r="AI32" s="152"/>
      <c r="AJ32" s="152"/>
      <c r="AK32" s="152"/>
      <c r="AL32" s="152"/>
      <c r="AM32" s="152"/>
      <c r="AN32" s="152"/>
      <c r="AO32" s="152"/>
    </row>
    <row r="33" ht="12.75" customHeight="1">
      <c r="A33" s="244" t="s">
        <v>5158</v>
      </c>
      <c r="B33" s="244" t="s">
        <v>163</v>
      </c>
      <c r="C33" s="244" t="s">
        <v>5248</v>
      </c>
      <c r="D33" s="154" t="s">
        <v>747</v>
      </c>
      <c r="E33" s="154"/>
      <c r="F33" s="154" t="str">
        <f t="array" ref="F33">XLOOKUP(Cover!$D$12,$M$1:$AD$1,$M33:$AD33)</f>
        <v>Mandatory</v>
      </c>
      <c r="G33" s="154" t="s">
        <v>5249</v>
      </c>
      <c r="H33" s="154" t="s">
        <v>232</v>
      </c>
      <c r="I33" s="154" t="s">
        <v>486</v>
      </c>
      <c r="J33" s="247" t="s">
        <v>445</v>
      </c>
      <c r="K33" s="247" t="s">
        <v>5250</v>
      </c>
      <c r="L33" s="154" t="str">
        <f t="shared" si="1"/>
        <v/>
      </c>
      <c r="M33" s="154" t="s">
        <v>60</v>
      </c>
      <c r="N33" s="154" t="s">
        <v>60</v>
      </c>
      <c r="O33" s="154" t="s">
        <v>60</v>
      </c>
      <c r="P33" s="154" t="s">
        <v>60</v>
      </c>
      <c r="Q33" s="154" t="s">
        <v>60</v>
      </c>
      <c r="R33" s="154" t="s">
        <v>60</v>
      </c>
      <c r="S33" s="154" t="s">
        <v>60</v>
      </c>
      <c r="T33" s="154" t="s">
        <v>60</v>
      </c>
      <c r="U33" s="154" t="s">
        <v>60</v>
      </c>
      <c r="V33" s="154"/>
      <c r="W33" s="242" t="b">
        <f t="shared" si="2"/>
        <v>1</v>
      </c>
      <c r="X33" s="154" t="s">
        <v>391</v>
      </c>
      <c r="Y33" s="242" t="b">
        <f t="shared" si="3"/>
        <v>0</v>
      </c>
      <c r="Z33" s="154"/>
      <c r="AA33" s="242" t="b">
        <f t="shared" si="4"/>
        <v>0</v>
      </c>
      <c r="AB33" s="154" t="s">
        <v>652</v>
      </c>
      <c r="AC33" s="242" t="str">
        <f>IF(AB33="","N/A",INDIRECT("MTR!"&amp;ADDRESS(MATCH(LEFT(AB33,9),MTR!C:C,0),COLUMN(J33)),TRUE) &amp; "")</f>
        <v>Complies</v>
      </c>
      <c r="AD33" s="157" t="str">
        <f t="shared" si="5"/>
        <v/>
      </c>
      <c r="AE33" s="152"/>
      <c r="AF33" s="152"/>
      <c r="AG33" s="152"/>
      <c r="AH33" s="152"/>
      <c r="AI33" s="152"/>
      <c r="AJ33" s="152"/>
      <c r="AK33" s="152"/>
      <c r="AL33" s="152"/>
      <c r="AM33" s="152"/>
      <c r="AN33" s="152"/>
      <c r="AO33" s="152"/>
    </row>
    <row r="34" ht="12.75" customHeight="1">
      <c r="A34" s="238" t="s">
        <v>5158</v>
      </c>
      <c r="B34" s="238" t="s">
        <v>163</v>
      </c>
      <c r="C34" s="238" t="s">
        <v>5251</v>
      </c>
      <c r="D34" s="240"/>
      <c r="E34" s="240" t="s">
        <v>92</v>
      </c>
      <c r="F34" s="240" t="str">
        <f t="array" ref="F34">XLOOKUP(Cover!$D$12,$M$1:$AD$1,$M34:$AD34)</f>
        <v>Heading</v>
      </c>
      <c r="G34" s="239" t="s">
        <v>5252</v>
      </c>
      <c r="H34" s="240"/>
      <c r="I34" s="240" t="s">
        <v>479</v>
      </c>
      <c r="J34" s="240"/>
      <c r="K34" s="240"/>
      <c r="L34" s="240" t="str">
        <f t="shared" si="1"/>
        <v/>
      </c>
      <c r="M34" s="240" t="s">
        <v>390</v>
      </c>
      <c r="N34" s="240" t="s">
        <v>390</v>
      </c>
      <c r="O34" s="240" t="s">
        <v>390</v>
      </c>
      <c r="P34" s="240" t="s">
        <v>390</v>
      </c>
      <c r="Q34" s="240" t="s">
        <v>390</v>
      </c>
      <c r="R34" s="240" t="s">
        <v>390</v>
      </c>
      <c r="S34" s="240" t="s">
        <v>390</v>
      </c>
      <c r="T34" s="240" t="s">
        <v>390</v>
      </c>
      <c r="U34" s="240" t="s">
        <v>390</v>
      </c>
      <c r="V34" s="240"/>
      <c r="W34" s="242" t="b">
        <f t="shared" si="2"/>
        <v>0</v>
      </c>
      <c r="X34" s="240" t="s">
        <v>391</v>
      </c>
      <c r="Y34" s="242" t="b">
        <f t="shared" si="3"/>
        <v>0</v>
      </c>
      <c r="Z34" s="240"/>
      <c r="AA34" s="242" t="b">
        <f t="shared" si="4"/>
        <v>0</v>
      </c>
      <c r="AB34" s="240"/>
      <c r="AC34" s="242" t="str">
        <f>IF(AB34="","N/A",INDIRECT("MTR!"&amp;ADDRESS(MATCH(LEFT(AB34,9),MTR!C:C,0),COLUMN(J34)),TRUE) &amp; "")</f>
        <v>N/A</v>
      </c>
      <c r="AD34" s="157" t="str">
        <f t="shared" si="5"/>
        <v/>
      </c>
      <c r="AE34" s="152"/>
      <c r="AF34" s="152"/>
      <c r="AG34" s="152"/>
      <c r="AH34" s="152"/>
      <c r="AI34" s="152"/>
      <c r="AJ34" s="152"/>
      <c r="AK34" s="152"/>
      <c r="AL34" s="152"/>
      <c r="AM34" s="152"/>
      <c r="AN34" s="152"/>
      <c r="AO34" s="152"/>
    </row>
    <row r="35" ht="12.75" customHeight="1">
      <c r="A35" s="244" t="s">
        <v>5158</v>
      </c>
      <c r="B35" s="244" t="s">
        <v>163</v>
      </c>
      <c r="C35" s="245" t="s">
        <v>5253</v>
      </c>
      <c r="D35" s="155" t="s">
        <v>1211</v>
      </c>
      <c r="E35" s="154" t="s">
        <v>92</v>
      </c>
      <c r="F35" s="154" t="str">
        <f t="array" ref="F35">XLOOKUP(Cover!$D$12,$M$1:$AD$1,$M35:$AD35)</f>
        <v>Comment</v>
      </c>
      <c r="G35" s="154" t="s">
        <v>5254</v>
      </c>
      <c r="H35" s="154"/>
      <c r="I35" s="154" t="s">
        <v>486</v>
      </c>
      <c r="J35" s="154"/>
      <c r="K35" s="154"/>
      <c r="L35" s="154" t="str">
        <f t="shared" si="1"/>
        <v/>
      </c>
      <c r="M35" s="154" t="s">
        <v>35</v>
      </c>
      <c r="N35" s="154" t="s">
        <v>35</v>
      </c>
      <c r="O35" s="154" t="s">
        <v>35</v>
      </c>
      <c r="P35" s="154" t="s">
        <v>35</v>
      </c>
      <c r="Q35" s="154" t="s">
        <v>35</v>
      </c>
      <c r="R35" s="154" t="s">
        <v>35</v>
      </c>
      <c r="S35" s="154" t="s">
        <v>35</v>
      </c>
      <c r="T35" s="154" t="s">
        <v>35</v>
      </c>
      <c r="U35" s="154" t="s">
        <v>35</v>
      </c>
      <c r="V35" s="154"/>
      <c r="W35" s="242" t="b">
        <f t="shared" si="2"/>
        <v>0</v>
      </c>
      <c r="X35" s="154" t="s">
        <v>391</v>
      </c>
      <c r="Y35" s="242" t="b">
        <f t="shared" si="3"/>
        <v>0</v>
      </c>
      <c r="Z35" s="154"/>
      <c r="AA35" s="242" t="b">
        <f t="shared" si="4"/>
        <v>0</v>
      </c>
      <c r="AB35" s="154"/>
      <c r="AC35" s="242" t="str">
        <f>IF(AB35="","N/A",INDIRECT("MTR!"&amp;ADDRESS(MATCH(LEFT(AB35,9),MTR!C:C,0),COLUMN(J35)),TRUE) &amp; "")</f>
        <v>N/A</v>
      </c>
      <c r="AD35" s="157" t="str">
        <f t="shared" si="5"/>
        <v/>
      </c>
      <c r="AE35" s="152"/>
      <c r="AF35" s="152"/>
      <c r="AG35" s="152"/>
      <c r="AH35" s="152"/>
      <c r="AI35" s="152"/>
      <c r="AJ35" s="152"/>
      <c r="AK35" s="152"/>
      <c r="AL35" s="152"/>
      <c r="AM35" s="152"/>
      <c r="AN35" s="152"/>
      <c r="AO35" s="152"/>
    </row>
    <row r="36" ht="12.75" customHeight="1">
      <c r="A36" s="244" t="s">
        <v>5158</v>
      </c>
      <c r="B36" s="244" t="s">
        <v>163</v>
      </c>
      <c r="C36" s="245" t="s">
        <v>5255</v>
      </c>
      <c r="D36" s="155" t="s">
        <v>739</v>
      </c>
      <c r="E36" s="154" t="s">
        <v>92</v>
      </c>
      <c r="F36" s="154" t="str">
        <f t="array" ref="F36">XLOOKUP(Cover!$D$12,$M$1:$AD$1,$M36:$AD36)</f>
        <v>Comment</v>
      </c>
      <c r="G36" s="154" t="s">
        <v>5256</v>
      </c>
      <c r="H36" s="154"/>
      <c r="I36" s="154" t="s">
        <v>486</v>
      </c>
      <c r="J36" s="154"/>
      <c r="K36" s="154"/>
      <c r="L36" s="154" t="str">
        <f t="shared" si="1"/>
        <v/>
      </c>
      <c r="M36" s="154" t="s">
        <v>35</v>
      </c>
      <c r="N36" s="154" t="s">
        <v>35</v>
      </c>
      <c r="O36" s="154" t="s">
        <v>35</v>
      </c>
      <c r="P36" s="154" t="s">
        <v>35</v>
      </c>
      <c r="Q36" s="154" t="s">
        <v>35</v>
      </c>
      <c r="R36" s="154" t="s">
        <v>35</v>
      </c>
      <c r="S36" s="154" t="s">
        <v>35</v>
      </c>
      <c r="T36" s="154" t="s">
        <v>35</v>
      </c>
      <c r="U36" s="154" t="s">
        <v>35</v>
      </c>
      <c r="V36" s="154"/>
      <c r="W36" s="242" t="b">
        <f t="shared" si="2"/>
        <v>0</v>
      </c>
      <c r="X36" s="154" t="s">
        <v>391</v>
      </c>
      <c r="Y36" s="242" t="b">
        <f t="shared" si="3"/>
        <v>0</v>
      </c>
      <c r="Z36" s="154"/>
      <c r="AA36" s="242" t="b">
        <f t="shared" si="4"/>
        <v>0</v>
      </c>
      <c r="AB36" s="154"/>
      <c r="AC36" s="242" t="str">
        <f>IF(AB36="","N/A",INDIRECT("MTR!"&amp;ADDRESS(MATCH(LEFT(AB36,9),MTR!C:C,0),COLUMN(J36)),TRUE) &amp; "")</f>
        <v>N/A</v>
      </c>
      <c r="AD36" s="157" t="str">
        <f t="shared" si="5"/>
        <v/>
      </c>
      <c r="AE36" s="152"/>
      <c r="AF36" s="152"/>
      <c r="AG36" s="152"/>
      <c r="AH36" s="152"/>
      <c r="AI36" s="152"/>
      <c r="AJ36" s="152"/>
      <c r="AK36" s="152"/>
      <c r="AL36" s="152"/>
      <c r="AM36" s="152"/>
      <c r="AN36" s="152"/>
      <c r="AO36" s="152"/>
    </row>
    <row r="37" ht="12.75" customHeight="1">
      <c r="A37" s="238" t="s">
        <v>5158</v>
      </c>
      <c r="B37" s="238" t="s">
        <v>163</v>
      </c>
      <c r="C37" s="238" t="s">
        <v>5257</v>
      </c>
      <c r="D37" s="240"/>
      <c r="E37" s="240" t="s">
        <v>92</v>
      </c>
      <c r="F37" s="240" t="str">
        <f t="array" ref="F37">XLOOKUP(Cover!$D$12,$M$1:$AD$1,$M37:$AD37)</f>
        <v>Heading</v>
      </c>
      <c r="G37" s="239" t="s">
        <v>5258</v>
      </c>
      <c r="H37" s="240"/>
      <c r="I37" s="240" t="s">
        <v>486</v>
      </c>
      <c r="J37" s="240"/>
      <c r="K37" s="240"/>
      <c r="L37" s="240" t="str">
        <f t="shared" si="1"/>
        <v/>
      </c>
      <c r="M37" s="240" t="s">
        <v>390</v>
      </c>
      <c r="N37" s="240" t="s">
        <v>390</v>
      </c>
      <c r="O37" s="240" t="s">
        <v>390</v>
      </c>
      <c r="P37" s="240" t="s">
        <v>390</v>
      </c>
      <c r="Q37" s="240" t="s">
        <v>390</v>
      </c>
      <c r="R37" s="240" t="s">
        <v>390</v>
      </c>
      <c r="S37" s="240" t="s">
        <v>390</v>
      </c>
      <c r="T37" s="240" t="s">
        <v>390</v>
      </c>
      <c r="U37" s="240" t="s">
        <v>390</v>
      </c>
      <c r="V37" s="240"/>
      <c r="W37" s="242" t="b">
        <f t="shared" si="2"/>
        <v>0</v>
      </c>
      <c r="X37" s="240" t="s">
        <v>391</v>
      </c>
      <c r="Y37" s="242" t="b">
        <f t="shared" si="3"/>
        <v>0</v>
      </c>
      <c r="Z37" s="240"/>
      <c r="AA37" s="242" t="b">
        <f t="shared" si="4"/>
        <v>0</v>
      </c>
      <c r="AB37" s="240"/>
      <c r="AC37" s="242" t="str">
        <f>IF(AB37="","N/A",INDIRECT("MTR!"&amp;ADDRESS(MATCH(LEFT(AB37,9),MTR!C:C,0),COLUMN(J37)),TRUE) &amp; "")</f>
        <v>N/A</v>
      </c>
      <c r="AD37" s="157" t="str">
        <f t="shared" si="5"/>
        <v/>
      </c>
      <c r="AE37" s="152"/>
      <c r="AF37" s="152"/>
      <c r="AG37" s="152"/>
      <c r="AH37" s="152"/>
      <c r="AI37" s="152"/>
      <c r="AJ37" s="152"/>
      <c r="AK37" s="152"/>
      <c r="AL37" s="152"/>
      <c r="AM37" s="152"/>
      <c r="AN37" s="152"/>
      <c r="AO37" s="152"/>
    </row>
    <row r="38" ht="12.75" customHeight="1">
      <c r="A38" s="244" t="s">
        <v>5158</v>
      </c>
      <c r="B38" s="244" t="s">
        <v>163</v>
      </c>
      <c r="C38" s="244" t="s">
        <v>5259</v>
      </c>
      <c r="D38" s="154" t="s">
        <v>2337</v>
      </c>
      <c r="E38" s="154"/>
      <c r="F38" s="154" t="str">
        <f t="array" ref="F38">XLOOKUP(Cover!$D$12,$M$1:$AD$1,$M38:$AD38)</f>
        <v>Mandatory</v>
      </c>
      <c r="G38" s="154" t="s">
        <v>5260</v>
      </c>
      <c r="H38" s="154" t="s">
        <v>165</v>
      </c>
      <c r="I38" s="154" t="s">
        <v>479</v>
      </c>
      <c r="J38" s="247" t="s">
        <v>506</v>
      </c>
      <c r="K38" s="247" t="s">
        <v>5261</v>
      </c>
      <c r="L38" s="154" t="str">
        <f t="shared" si="1"/>
        <v/>
      </c>
      <c r="M38" s="154" t="s">
        <v>60</v>
      </c>
      <c r="N38" s="154" t="s">
        <v>60</v>
      </c>
      <c r="O38" s="154" t="s">
        <v>60</v>
      </c>
      <c r="P38" s="154" t="s">
        <v>60</v>
      </c>
      <c r="Q38" s="154" t="s">
        <v>60</v>
      </c>
      <c r="R38" s="154" t="s">
        <v>60</v>
      </c>
      <c r="S38" s="154" t="s">
        <v>66</v>
      </c>
      <c r="T38" s="154" t="s">
        <v>66</v>
      </c>
      <c r="U38" s="154" t="s">
        <v>66</v>
      </c>
      <c r="V38" s="154"/>
      <c r="W38" s="242" t="b">
        <f t="shared" si="2"/>
        <v>1</v>
      </c>
      <c r="X38" s="154" t="s">
        <v>400</v>
      </c>
      <c r="Y38" s="242" t="b">
        <f t="shared" si="3"/>
        <v>0</v>
      </c>
      <c r="Z38" s="154" t="s">
        <v>5262</v>
      </c>
      <c r="AA38" s="242" t="b">
        <f t="shared" si="4"/>
        <v>0</v>
      </c>
      <c r="AB38" s="154" t="s">
        <v>629</v>
      </c>
      <c r="AC38" s="242" t="str">
        <f>IF(AB38="","N/A",INDIRECT("MTR!"&amp;ADDRESS(MATCH(LEFT(AB38,9),MTR!C:C,0),COLUMN(J38)),TRUE) &amp; "")</f>
        <v>Complies</v>
      </c>
      <c r="AD38" s="157" t="str">
        <f t="shared" si="5"/>
        <v/>
      </c>
      <c r="AE38" s="152"/>
      <c r="AF38" s="152"/>
      <c r="AG38" s="152"/>
      <c r="AH38" s="152"/>
      <c r="AI38" s="152"/>
      <c r="AJ38" s="152"/>
      <c r="AK38" s="152"/>
      <c r="AL38" s="152"/>
      <c r="AM38" s="152"/>
      <c r="AN38" s="152"/>
      <c r="AO38" s="152"/>
    </row>
    <row r="39" ht="12.75" customHeight="1">
      <c r="A39" s="244" t="s">
        <v>5158</v>
      </c>
      <c r="B39" s="244" t="s">
        <v>163</v>
      </c>
      <c r="C39" s="244" t="s">
        <v>5263</v>
      </c>
      <c r="D39" s="154" t="s">
        <v>2337</v>
      </c>
      <c r="E39" s="154"/>
      <c r="F39" s="154" t="str">
        <f t="array" ref="F39">XLOOKUP(Cover!$D$12,$M$1:$AD$1,$M39:$AD39)</f>
        <v>Mandatory</v>
      </c>
      <c r="G39" s="154" t="s">
        <v>5264</v>
      </c>
      <c r="H39" s="154" t="s">
        <v>165</v>
      </c>
      <c r="I39" s="154" t="s">
        <v>479</v>
      </c>
      <c r="J39" s="247" t="s">
        <v>445</v>
      </c>
      <c r="K39" s="247" t="s">
        <v>5265</v>
      </c>
      <c r="L39" s="154" t="str">
        <f t="shared" si="1"/>
        <v/>
      </c>
      <c r="M39" s="154" t="s">
        <v>60</v>
      </c>
      <c r="N39" s="154" t="s">
        <v>60</v>
      </c>
      <c r="O39" s="154" t="s">
        <v>60</v>
      </c>
      <c r="P39" s="154" t="s">
        <v>60</v>
      </c>
      <c r="Q39" s="154" t="s">
        <v>60</v>
      </c>
      <c r="R39" s="154" t="s">
        <v>60</v>
      </c>
      <c r="S39" s="154" t="s">
        <v>66</v>
      </c>
      <c r="T39" s="154" t="s">
        <v>66</v>
      </c>
      <c r="U39" s="154" t="s">
        <v>66</v>
      </c>
      <c r="V39" s="154"/>
      <c r="W39" s="242" t="b">
        <f t="shared" si="2"/>
        <v>1</v>
      </c>
      <c r="X39" s="154" t="s">
        <v>400</v>
      </c>
      <c r="Y39" s="242" t="b">
        <f t="shared" si="3"/>
        <v>0</v>
      </c>
      <c r="Z39" s="154" t="s">
        <v>5262</v>
      </c>
      <c r="AA39" s="242" t="b">
        <f t="shared" si="4"/>
        <v>0</v>
      </c>
      <c r="AB39" s="154" t="s">
        <v>629</v>
      </c>
      <c r="AC39" s="242" t="str">
        <f>IF(AB39="","N/A",INDIRECT("MTR!"&amp;ADDRESS(MATCH(LEFT(AB39,9),MTR!C:C,0),COLUMN(J39)),TRUE) &amp; "")</f>
        <v>Complies</v>
      </c>
      <c r="AD39" s="157" t="str">
        <f t="shared" si="5"/>
        <v/>
      </c>
      <c r="AE39" s="152"/>
      <c r="AF39" s="152"/>
      <c r="AG39" s="152"/>
      <c r="AH39" s="152"/>
      <c r="AI39" s="152"/>
      <c r="AJ39" s="152"/>
      <c r="AK39" s="152"/>
      <c r="AL39" s="152"/>
      <c r="AM39" s="152"/>
      <c r="AN39" s="152"/>
      <c r="AO39" s="152"/>
    </row>
    <row r="40" ht="12.75" customHeight="1">
      <c r="A40" s="244" t="s">
        <v>5158</v>
      </c>
      <c r="B40" s="244" t="s">
        <v>163</v>
      </c>
      <c r="C40" s="244" t="s">
        <v>5266</v>
      </c>
      <c r="D40" s="154" t="s">
        <v>739</v>
      </c>
      <c r="E40" s="154"/>
      <c r="F40" s="154" t="str">
        <f t="array" ref="F40">XLOOKUP(Cover!$D$12,$M$1:$AD$1,$M40:$AD40)</f>
        <v>Mandatory</v>
      </c>
      <c r="G40" s="154" t="s">
        <v>5267</v>
      </c>
      <c r="H40" s="154" t="s">
        <v>5268</v>
      </c>
      <c r="I40" s="154" t="s">
        <v>486</v>
      </c>
      <c r="J40" s="247" t="s">
        <v>445</v>
      </c>
      <c r="K40" s="247" t="s">
        <v>5269</v>
      </c>
      <c r="L40" s="154" t="str">
        <f t="shared" si="1"/>
        <v/>
      </c>
      <c r="M40" s="154" t="s">
        <v>60</v>
      </c>
      <c r="N40" s="154" t="s">
        <v>60</v>
      </c>
      <c r="O40" s="154" t="s">
        <v>60</v>
      </c>
      <c r="P40" s="154" t="s">
        <v>60</v>
      </c>
      <c r="Q40" s="154" t="s">
        <v>60</v>
      </c>
      <c r="R40" s="154" t="s">
        <v>60</v>
      </c>
      <c r="S40" s="154" t="s">
        <v>60</v>
      </c>
      <c r="T40" s="154" t="s">
        <v>60</v>
      </c>
      <c r="U40" s="154" t="s">
        <v>60</v>
      </c>
      <c r="V40" s="154"/>
      <c r="W40" s="242" t="b">
        <f t="shared" si="2"/>
        <v>1</v>
      </c>
      <c r="X40" s="154" t="s">
        <v>400</v>
      </c>
      <c r="Y40" s="242" t="b">
        <f t="shared" si="3"/>
        <v>0</v>
      </c>
      <c r="Z40" s="154" t="s">
        <v>5262</v>
      </c>
      <c r="AA40" s="242" t="b">
        <f t="shared" si="4"/>
        <v>0</v>
      </c>
      <c r="AB40" s="154" t="s">
        <v>637</v>
      </c>
      <c r="AC40" s="242" t="str">
        <f>IF(AB40="","N/A",INDIRECT("MTR!"&amp;ADDRESS(MATCH(LEFT(AB40,9),MTR!C:C,0),COLUMN(J40)),TRUE) &amp; "")</f>
        <v>Complies</v>
      </c>
      <c r="AD40" s="157" t="str">
        <f t="shared" si="5"/>
        <v/>
      </c>
      <c r="AE40" s="152"/>
      <c r="AF40" s="152"/>
      <c r="AG40" s="152"/>
      <c r="AH40" s="152"/>
      <c r="AI40" s="152"/>
      <c r="AJ40" s="152"/>
      <c r="AK40" s="152"/>
      <c r="AL40" s="152"/>
      <c r="AM40" s="152"/>
      <c r="AN40" s="152"/>
      <c r="AO40" s="152"/>
    </row>
    <row r="41" ht="12.75" customHeight="1">
      <c r="A41" s="244" t="s">
        <v>5158</v>
      </c>
      <c r="B41" s="244" t="s">
        <v>163</v>
      </c>
      <c r="C41" s="244" t="s">
        <v>5270</v>
      </c>
      <c r="D41" s="154" t="s">
        <v>739</v>
      </c>
      <c r="E41" s="154"/>
      <c r="F41" s="154" t="str">
        <f t="array" ref="F41">XLOOKUP(Cover!$D$12,$M$1:$AD$1,$M41:$AD41)</f>
        <v>Mandatory</v>
      </c>
      <c r="G41" s="154" t="s">
        <v>5271</v>
      </c>
      <c r="H41" s="154" t="s">
        <v>5268</v>
      </c>
      <c r="I41" s="154" t="s">
        <v>486</v>
      </c>
      <c r="J41" s="247" t="s">
        <v>445</v>
      </c>
      <c r="K41" s="247" t="s">
        <v>5272</v>
      </c>
      <c r="L41" s="154" t="str">
        <f t="shared" si="1"/>
        <v/>
      </c>
      <c r="M41" s="154" t="s">
        <v>60</v>
      </c>
      <c r="N41" s="154" t="s">
        <v>60</v>
      </c>
      <c r="O41" s="154" t="s">
        <v>60</v>
      </c>
      <c r="P41" s="154" t="s">
        <v>60</v>
      </c>
      <c r="Q41" s="154" t="s">
        <v>60</v>
      </c>
      <c r="R41" s="154" t="s">
        <v>60</v>
      </c>
      <c r="S41" s="154" t="s">
        <v>60</v>
      </c>
      <c r="T41" s="154" t="s">
        <v>60</v>
      </c>
      <c r="U41" s="154" t="s">
        <v>60</v>
      </c>
      <c r="V41" s="154"/>
      <c r="W41" s="242" t="b">
        <f t="shared" si="2"/>
        <v>1</v>
      </c>
      <c r="X41" s="154" t="s">
        <v>400</v>
      </c>
      <c r="Y41" s="242" t="b">
        <f t="shared" si="3"/>
        <v>0</v>
      </c>
      <c r="Z41" s="154" t="s">
        <v>5262</v>
      </c>
      <c r="AA41" s="242" t="b">
        <f t="shared" si="4"/>
        <v>0</v>
      </c>
      <c r="AB41" s="154" t="s">
        <v>637</v>
      </c>
      <c r="AC41" s="242" t="str">
        <f>IF(AB41="","N/A",INDIRECT("MTR!"&amp;ADDRESS(MATCH(LEFT(AB41,9),MTR!C:C,0),COLUMN(J41)),TRUE) &amp; "")</f>
        <v>Complies</v>
      </c>
      <c r="AD41" s="157" t="str">
        <f t="shared" si="5"/>
        <v/>
      </c>
      <c r="AE41" s="152"/>
      <c r="AF41" s="152"/>
      <c r="AG41" s="152"/>
      <c r="AH41" s="152"/>
      <c r="AI41" s="152"/>
      <c r="AJ41" s="152"/>
      <c r="AK41" s="152"/>
      <c r="AL41" s="152"/>
      <c r="AM41" s="152"/>
      <c r="AN41" s="152"/>
      <c r="AO41" s="152"/>
    </row>
    <row r="42" ht="12.75" customHeight="1">
      <c r="A42" s="244" t="s">
        <v>5158</v>
      </c>
      <c r="B42" s="244" t="s">
        <v>163</v>
      </c>
      <c r="C42" s="244" t="s">
        <v>5273</v>
      </c>
      <c r="D42" s="154" t="s">
        <v>1773</v>
      </c>
      <c r="E42" s="154"/>
      <c r="F42" s="154" t="str">
        <f t="array" ref="F42">XLOOKUP(Cover!$D$12,$M$1:$AD$1,$M42:$AD42)</f>
        <v>Mandatory</v>
      </c>
      <c r="G42" s="247" t="s">
        <v>5274</v>
      </c>
      <c r="H42" s="154" t="s">
        <v>232</v>
      </c>
      <c r="I42" s="154" t="s">
        <v>486</v>
      </c>
      <c r="J42" s="247" t="s">
        <v>445</v>
      </c>
      <c r="K42" s="247" t="s">
        <v>5275</v>
      </c>
      <c r="L42" s="154" t="str">
        <f t="shared" si="1"/>
        <v/>
      </c>
      <c r="M42" s="154" t="s">
        <v>60</v>
      </c>
      <c r="N42" s="154" t="s">
        <v>60</v>
      </c>
      <c r="O42" s="154" t="s">
        <v>60</v>
      </c>
      <c r="P42" s="154" t="s">
        <v>60</v>
      </c>
      <c r="Q42" s="154" t="s">
        <v>60</v>
      </c>
      <c r="R42" s="154" t="s">
        <v>60</v>
      </c>
      <c r="S42" s="154" t="s">
        <v>60</v>
      </c>
      <c r="T42" s="154" t="s">
        <v>60</v>
      </c>
      <c r="U42" s="154" t="s">
        <v>60</v>
      </c>
      <c r="V42" s="154"/>
      <c r="W42" s="242" t="b">
        <f t="shared" si="2"/>
        <v>1</v>
      </c>
      <c r="X42" s="154" t="s">
        <v>400</v>
      </c>
      <c r="Y42" s="242" t="b">
        <f t="shared" si="3"/>
        <v>0</v>
      </c>
      <c r="Z42" s="154" t="s">
        <v>5262</v>
      </c>
      <c r="AA42" s="242" t="b">
        <f t="shared" si="4"/>
        <v>0</v>
      </c>
      <c r="AB42" s="154" t="s">
        <v>637</v>
      </c>
      <c r="AC42" s="242" t="str">
        <f>IF(AB42="","N/A",INDIRECT("MTR!"&amp;ADDRESS(MATCH(LEFT(AB42,9),MTR!C:C,0),COLUMN(J42)),TRUE) &amp; "")</f>
        <v>Complies</v>
      </c>
      <c r="AD42" s="157" t="str">
        <f t="shared" si="5"/>
        <v/>
      </c>
      <c r="AE42" s="152"/>
      <c r="AF42" s="152"/>
      <c r="AG42" s="152"/>
      <c r="AH42" s="152"/>
      <c r="AI42" s="152"/>
      <c r="AJ42" s="152"/>
      <c r="AK42" s="152"/>
      <c r="AL42" s="152"/>
      <c r="AM42" s="152"/>
      <c r="AN42" s="152"/>
      <c r="AO42" s="152"/>
    </row>
    <row r="43" ht="12.75" customHeight="1">
      <c r="A43" s="244" t="s">
        <v>5158</v>
      </c>
      <c r="B43" s="244" t="s">
        <v>163</v>
      </c>
      <c r="C43" s="244" t="s">
        <v>5276</v>
      </c>
      <c r="D43" s="154" t="s">
        <v>739</v>
      </c>
      <c r="E43" s="154"/>
      <c r="F43" s="154" t="str">
        <f t="array" ref="F43">XLOOKUP(Cover!$D$12,$M$1:$AD$1,$M43:$AD43)</f>
        <v>Mandatory</v>
      </c>
      <c r="G43" s="154" t="s">
        <v>5277</v>
      </c>
      <c r="H43" s="154" t="s">
        <v>5268</v>
      </c>
      <c r="I43" s="154" t="s">
        <v>486</v>
      </c>
      <c r="J43" s="247" t="s">
        <v>445</v>
      </c>
      <c r="K43" s="247" t="s">
        <v>5278</v>
      </c>
      <c r="L43" s="154" t="str">
        <f t="shared" si="1"/>
        <v/>
      </c>
      <c r="M43" s="154" t="s">
        <v>60</v>
      </c>
      <c r="N43" s="154" t="s">
        <v>60</v>
      </c>
      <c r="O43" s="154" t="s">
        <v>60</v>
      </c>
      <c r="P43" s="154" t="s">
        <v>60</v>
      </c>
      <c r="Q43" s="154" t="s">
        <v>60</v>
      </c>
      <c r="R43" s="154" t="s">
        <v>60</v>
      </c>
      <c r="S43" s="154" t="s">
        <v>60</v>
      </c>
      <c r="T43" s="154" t="s">
        <v>60</v>
      </c>
      <c r="U43" s="154" t="s">
        <v>60</v>
      </c>
      <c r="V43" s="154"/>
      <c r="W43" s="242" t="b">
        <f t="shared" si="2"/>
        <v>1</v>
      </c>
      <c r="X43" s="154" t="s">
        <v>400</v>
      </c>
      <c r="Y43" s="242" t="b">
        <f t="shared" si="3"/>
        <v>0</v>
      </c>
      <c r="Z43" s="154" t="s">
        <v>5262</v>
      </c>
      <c r="AA43" s="242" t="b">
        <f t="shared" si="4"/>
        <v>0</v>
      </c>
      <c r="AB43" s="154" t="s">
        <v>637</v>
      </c>
      <c r="AC43" s="242" t="str">
        <f>IF(AB43="","N/A",INDIRECT("MTR!"&amp;ADDRESS(MATCH(LEFT(AB43,9),MTR!C:C,0),COLUMN(J43)),TRUE) &amp; "")</f>
        <v>Complies</v>
      </c>
      <c r="AD43" s="157" t="str">
        <f t="shared" si="5"/>
        <v/>
      </c>
      <c r="AE43" s="152"/>
      <c r="AF43" s="152"/>
      <c r="AG43" s="152"/>
      <c r="AH43" s="152"/>
      <c r="AI43" s="152"/>
      <c r="AJ43" s="152"/>
      <c r="AK43" s="152"/>
      <c r="AL43" s="152"/>
      <c r="AM43" s="152"/>
      <c r="AN43" s="152"/>
      <c r="AO43" s="152"/>
    </row>
    <row r="44" ht="12.75" customHeight="1">
      <c r="A44" s="244" t="s">
        <v>5158</v>
      </c>
      <c r="B44" s="244" t="s">
        <v>163</v>
      </c>
      <c r="C44" s="244" t="s">
        <v>5279</v>
      </c>
      <c r="D44" s="154" t="s">
        <v>739</v>
      </c>
      <c r="E44" s="154"/>
      <c r="F44" s="154" t="str">
        <f t="array" ref="F44">XLOOKUP(Cover!$D$12,$M$1:$AD$1,$M44:$AD44)</f>
        <v>Mandatory</v>
      </c>
      <c r="G44" s="154" t="s">
        <v>5280</v>
      </c>
      <c r="H44" s="154" t="s">
        <v>5268</v>
      </c>
      <c r="I44" s="154" t="s">
        <v>486</v>
      </c>
      <c r="J44" s="247" t="s">
        <v>445</v>
      </c>
      <c r="K44" s="247" t="s">
        <v>5281</v>
      </c>
      <c r="L44" s="154" t="str">
        <f t="shared" si="1"/>
        <v/>
      </c>
      <c r="M44" s="154" t="s">
        <v>60</v>
      </c>
      <c r="N44" s="154" t="s">
        <v>60</v>
      </c>
      <c r="O44" s="154" t="s">
        <v>60</v>
      </c>
      <c r="P44" s="154" t="s">
        <v>60</v>
      </c>
      <c r="Q44" s="154" t="s">
        <v>60</v>
      </c>
      <c r="R44" s="154" t="s">
        <v>60</v>
      </c>
      <c r="S44" s="154" t="s">
        <v>60</v>
      </c>
      <c r="T44" s="154" t="s">
        <v>60</v>
      </c>
      <c r="U44" s="154" t="s">
        <v>60</v>
      </c>
      <c r="V44" s="154"/>
      <c r="W44" s="242" t="b">
        <f t="shared" si="2"/>
        <v>1</v>
      </c>
      <c r="X44" s="154" t="s">
        <v>400</v>
      </c>
      <c r="Y44" s="242" t="b">
        <f t="shared" si="3"/>
        <v>0</v>
      </c>
      <c r="Z44" s="154" t="s">
        <v>5262</v>
      </c>
      <c r="AA44" s="242" t="b">
        <f t="shared" si="4"/>
        <v>0</v>
      </c>
      <c r="AB44" s="154" t="s">
        <v>637</v>
      </c>
      <c r="AC44" s="242" t="str">
        <f>IF(AB44="","N/A",INDIRECT("MTR!"&amp;ADDRESS(MATCH(LEFT(AB44,9),MTR!C:C,0),COLUMN(J44)),TRUE) &amp; "")</f>
        <v>Complies</v>
      </c>
      <c r="AD44" s="157" t="str">
        <f t="shared" si="5"/>
        <v/>
      </c>
      <c r="AE44" s="152"/>
      <c r="AF44" s="152"/>
      <c r="AG44" s="152"/>
      <c r="AH44" s="152"/>
      <c r="AI44" s="152"/>
      <c r="AJ44" s="152"/>
      <c r="AK44" s="152"/>
      <c r="AL44" s="152"/>
      <c r="AM44" s="152"/>
      <c r="AN44" s="152"/>
      <c r="AO44" s="152"/>
    </row>
    <row r="45" ht="12.75" customHeight="1">
      <c r="A45" s="244" t="s">
        <v>5158</v>
      </c>
      <c r="B45" s="244" t="s">
        <v>163</v>
      </c>
      <c r="C45" s="244" t="s">
        <v>5282</v>
      </c>
      <c r="D45" s="154" t="s">
        <v>739</v>
      </c>
      <c r="E45" s="154"/>
      <c r="F45" s="154" t="str">
        <f t="array" ref="F45">XLOOKUP(Cover!$D$12,$M$1:$AD$1,$M45:$AD45)</f>
        <v>Mandatory</v>
      </c>
      <c r="G45" s="154" t="s">
        <v>5283</v>
      </c>
      <c r="H45" s="154" t="s">
        <v>5268</v>
      </c>
      <c r="I45" s="154" t="s">
        <v>486</v>
      </c>
      <c r="J45" s="247" t="s">
        <v>445</v>
      </c>
      <c r="K45" s="247" t="s">
        <v>5284</v>
      </c>
      <c r="L45" s="154" t="str">
        <f t="shared" si="1"/>
        <v/>
      </c>
      <c r="M45" s="154" t="s">
        <v>60</v>
      </c>
      <c r="N45" s="154" t="s">
        <v>60</v>
      </c>
      <c r="O45" s="154" t="s">
        <v>60</v>
      </c>
      <c r="P45" s="154" t="s">
        <v>60</v>
      </c>
      <c r="Q45" s="154" t="s">
        <v>60</v>
      </c>
      <c r="R45" s="154" t="s">
        <v>60</v>
      </c>
      <c r="S45" s="154" t="s">
        <v>60</v>
      </c>
      <c r="T45" s="154" t="s">
        <v>60</v>
      </c>
      <c r="U45" s="154" t="s">
        <v>60</v>
      </c>
      <c r="V45" s="154"/>
      <c r="W45" s="242" t="b">
        <f t="shared" si="2"/>
        <v>1</v>
      </c>
      <c r="X45" s="154" t="s">
        <v>400</v>
      </c>
      <c r="Y45" s="242" t="b">
        <f t="shared" si="3"/>
        <v>0</v>
      </c>
      <c r="Z45" s="154" t="s">
        <v>5262</v>
      </c>
      <c r="AA45" s="242" t="b">
        <f t="shared" si="4"/>
        <v>0</v>
      </c>
      <c r="AB45" s="154" t="s">
        <v>637</v>
      </c>
      <c r="AC45" s="242" t="str">
        <f>IF(AB45="","N/A",INDIRECT("MTR!"&amp;ADDRESS(MATCH(LEFT(AB45,9),MTR!C:C,0),COLUMN(J45)),TRUE) &amp; "")</f>
        <v>Complies</v>
      </c>
      <c r="AD45" s="157" t="str">
        <f t="shared" si="5"/>
        <v/>
      </c>
      <c r="AE45" s="152"/>
      <c r="AF45" s="152"/>
      <c r="AG45" s="152"/>
      <c r="AH45" s="152"/>
      <c r="AI45" s="152"/>
      <c r="AJ45" s="152"/>
      <c r="AK45" s="152"/>
      <c r="AL45" s="152"/>
      <c r="AM45" s="152"/>
      <c r="AN45" s="152"/>
      <c r="AO45" s="152"/>
    </row>
    <row r="46" ht="12.75" customHeight="1">
      <c r="A46" s="244" t="s">
        <v>5158</v>
      </c>
      <c r="B46" s="244" t="s">
        <v>163</v>
      </c>
      <c r="C46" s="244" t="s">
        <v>5285</v>
      </c>
      <c r="D46" s="154" t="s">
        <v>1773</v>
      </c>
      <c r="E46" s="154"/>
      <c r="F46" s="154" t="str">
        <f t="array" ref="F46">XLOOKUP(Cover!$D$12,$M$1:$AD$1,$M46:$AD46)</f>
        <v>Mandatory</v>
      </c>
      <c r="G46" s="247" t="s">
        <v>5286</v>
      </c>
      <c r="H46" s="154" t="s">
        <v>232</v>
      </c>
      <c r="I46" s="154" t="s">
        <v>486</v>
      </c>
      <c r="J46" s="247" t="s">
        <v>445</v>
      </c>
      <c r="K46" s="247" t="s">
        <v>5287</v>
      </c>
      <c r="L46" s="154" t="str">
        <f t="shared" si="1"/>
        <v/>
      </c>
      <c r="M46" s="154" t="s">
        <v>60</v>
      </c>
      <c r="N46" s="154" t="s">
        <v>60</v>
      </c>
      <c r="O46" s="154" t="s">
        <v>60</v>
      </c>
      <c r="P46" s="154" t="s">
        <v>60</v>
      </c>
      <c r="Q46" s="154" t="s">
        <v>60</v>
      </c>
      <c r="R46" s="154" t="s">
        <v>60</v>
      </c>
      <c r="S46" s="154" t="s">
        <v>60</v>
      </c>
      <c r="T46" s="154" t="s">
        <v>60</v>
      </c>
      <c r="U46" s="154" t="s">
        <v>60</v>
      </c>
      <c r="V46" s="154"/>
      <c r="W46" s="242" t="b">
        <f t="shared" si="2"/>
        <v>1</v>
      </c>
      <c r="X46" s="154" t="s">
        <v>400</v>
      </c>
      <c r="Y46" s="242" t="b">
        <f t="shared" si="3"/>
        <v>0</v>
      </c>
      <c r="Z46" s="154" t="s">
        <v>5262</v>
      </c>
      <c r="AA46" s="242" t="b">
        <f t="shared" si="4"/>
        <v>0</v>
      </c>
      <c r="AB46" s="154" t="s">
        <v>637</v>
      </c>
      <c r="AC46" s="242" t="str">
        <f>IF(AB46="","N/A",INDIRECT("MTR!"&amp;ADDRESS(MATCH(LEFT(AB46,9),MTR!C:C,0),COLUMN(J46)),TRUE) &amp; "")</f>
        <v>Complies</v>
      </c>
      <c r="AD46" s="157" t="str">
        <f t="shared" si="5"/>
        <v/>
      </c>
      <c r="AE46" s="152"/>
      <c r="AF46" s="152"/>
      <c r="AG46" s="152"/>
      <c r="AH46" s="152"/>
      <c r="AI46" s="152"/>
      <c r="AJ46" s="152"/>
      <c r="AK46" s="152"/>
      <c r="AL46" s="152"/>
      <c r="AM46" s="152"/>
      <c r="AN46" s="152"/>
      <c r="AO46" s="152"/>
    </row>
    <row r="47" ht="12.75" customHeight="1">
      <c r="A47" s="244" t="s">
        <v>5158</v>
      </c>
      <c r="B47" s="244" t="s">
        <v>163</v>
      </c>
      <c r="C47" s="244" t="s">
        <v>5288</v>
      </c>
      <c r="D47" s="154" t="s">
        <v>739</v>
      </c>
      <c r="E47" s="154"/>
      <c r="F47" s="154" t="str">
        <f t="array" ref="F47">XLOOKUP(Cover!$D$12,$M$1:$AD$1,$M47:$AD47)</f>
        <v>Mandatory</v>
      </c>
      <c r="G47" s="154" t="s">
        <v>5289</v>
      </c>
      <c r="H47" s="154" t="s">
        <v>5268</v>
      </c>
      <c r="I47" s="154" t="s">
        <v>486</v>
      </c>
      <c r="J47" s="247" t="s">
        <v>445</v>
      </c>
      <c r="K47" s="247" t="s">
        <v>5290</v>
      </c>
      <c r="L47" s="154" t="str">
        <f t="shared" si="1"/>
        <v/>
      </c>
      <c r="M47" s="154" t="s">
        <v>60</v>
      </c>
      <c r="N47" s="154" t="s">
        <v>60</v>
      </c>
      <c r="O47" s="154" t="s">
        <v>60</v>
      </c>
      <c r="P47" s="154" t="s">
        <v>60</v>
      </c>
      <c r="Q47" s="154" t="s">
        <v>60</v>
      </c>
      <c r="R47" s="154" t="s">
        <v>60</v>
      </c>
      <c r="S47" s="154" t="s">
        <v>60</v>
      </c>
      <c r="T47" s="154" t="s">
        <v>60</v>
      </c>
      <c r="U47" s="154" t="s">
        <v>60</v>
      </c>
      <c r="V47" s="154"/>
      <c r="W47" s="242" t="b">
        <f t="shared" si="2"/>
        <v>1</v>
      </c>
      <c r="X47" s="154" t="s">
        <v>400</v>
      </c>
      <c r="Y47" s="242" t="b">
        <f t="shared" si="3"/>
        <v>0</v>
      </c>
      <c r="Z47" s="154" t="s">
        <v>5262</v>
      </c>
      <c r="AA47" s="242" t="b">
        <f t="shared" si="4"/>
        <v>0</v>
      </c>
      <c r="AB47" s="154" t="s">
        <v>637</v>
      </c>
      <c r="AC47" s="242" t="str">
        <f>IF(AB47="","N/A",INDIRECT("MTR!"&amp;ADDRESS(MATCH(LEFT(AB47,9),MTR!C:C,0),COLUMN(J47)),TRUE) &amp; "")</f>
        <v>Complies</v>
      </c>
      <c r="AD47" s="157" t="str">
        <f t="shared" si="5"/>
        <v/>
      </c>
      <c r="AE47" s="152"/>
      <c r="AF47" s="152"/>
      <c r="AG47" s="152"/>
      <c r="AH47" s="152"/>
      <c r="AI47" s="152"/>
      <c r="AJ47" s="152"/>
      <c r="AK47" s="152"/>
      <c r="AL47" s="152"/>
      <c r="AM47" s="152"/>
      <c r="AN47" s="152"/>
      <c r="AO47" s="152"/>
    </row>
    <row r="48" ht="12.75" customHeight="1">
      <c r="A48" s="244" t="s">
        <v>5158</v>
      </c>
      <c r="B48" s="244" t="s">
        <v>163</v>
      </c>
      <c r="C48" s="244" t="s">
        <v>5291</v>
      </c>
      <c r="D48" s="154" t="s">
        <v>602</v>
      </c>
      <c r="E48" s="154"/>
      <c r="F48" s="154" t="str">
        <f t="array" ref="F48">XLOOKUP(Cover!$D$12,$M$1:$AD$1,$M48:$AD48)</f>
        <v>Mandatory</v>
      </c>
      <c r="G48" s="154" t="s">
        <v>5292</v>
      </c>
      <c r="H48" s="154" t="s">
        <v>232</v>
      </c>
      <c r="I48" s="154" t="s">
        <v>486</v>
      </c>
      <c r="J48" s="247" t="s">
        <v>445</v>
      </c>
      <c r="K48" s="247" t="s">
        <v>5293</v>
      </c>
      <c r="L48" s="154" t="str">
        <f t="shared" si="1"/>
        <v/>
      </c>
      <c r="M48" s="154" t="s">
        <v>66</v>
      </c>
      <c r="N48" s="154" t="s">
        <v>66</v>
      </c>
      <c r="O48" s="154" t="s">
        <v>60</v>
      </c>
      <c r="P48" s="154" t="s">
        <v>60</v>
      </c>
      <c r="Q48" s="154" t="s">
        <v>60</v>
      </c>
      <c r="R48" s="154" t="s">
        <v>60</v>
      </c>
      <c r="S48" s="154" t="s">
        <v>66</v>
      </c>
      <c r="T48" s="154" t="s">
        <v>60</v>
      </c>
      <c r="U48" s="154" t="s">
        <v>60</v>
      </c>
      <c r="V48" s="154"/>
      <c r="W48" s="242" t="b">
        <f t="shared" si="2"/>
        <v>1</v>
      </c>
      <c r="X48" s="154" t="s">
        <v>400</v>
      </c>
      <c r="Y48" s="242" t="b">
        <f t="shared" si="3"/>
        <v>0</v>
      </c>
      <c r="Z48" s="154" t="s">
        <v>5262</v>
      </c>
      <c r="AA48" s="242" t="b">
        <f t="shared" si="4"/>
        <v>0</v>
      </c>
      <c r="AB48" s="154" t="s">
        <v>652</v>
      </c>
      <c r="AC48" s="242" t="str">
        <f>IF(AB48="","N/A",INDIRECT("MTR!"&amp;ADDRESS(MATCH(LEFT(AB48,9),MTR!C:C,0),COLUMN(J48)),TRUE) &amp; "")</f>
        <v>Complies</v>
      </c>
      <c r="AD48" s="157" t="str">
        <f t="shared" si="5"/>
        <v/>
      </c>
      <c r="AE48" s="152"/>
      <c r="AF48" s="152"/>
      <c r="AG48" s="152"/>
      <c r="AH48" s="152"/>
      <c r="AI48" s="152"/>
      <c r="AJ48" s="152"/>
      <c r="AK48" s="152"/>
      <c r="AL48" s="152"/>
      <c r="AM48" s="152"/>
      <c r="AN48" s="152"/>
      <c r="AO48" s="152"/>
    </row>
    <row r="49" ht="12.75" customHeight="1">
      <c r="A49" s="244" t="s">
        <v>5158</v>
      </c>
      <c r="B49" s="244" t="s">
        <v>163</v>
      </c>
      <c r="C49" s="244" t="s">
        <v>5294</v>
      </c>
      <c r="D49" s="154" t="s">
        <v>781</v>
      </c>
      <c r="E49" s="154"/>
      <c r="F49" s="154" t="str">
        <f t="array" ref="F49">XLOOKUP(Cover!$D$12,$M$1:$AD$1,$M49:$AD49)</f>
        <v>Mandatory</v>
      </c>
      <c r="G49" s="154" t="s">
        <v>5295</v>
      </c>
      <c r="H49" s="154" t="s">
        <v>232</v>
      </c>
      <c r="I49" s="154" t="s">
        <v>486</v>
      </c>
      <c r="J49" s="247" t="s">
        <v>445</v>
      </c>
      <c r="K49" s="247" t="s">
        <v>5296</v>
      </c>
      <c r="L49" s="154" t="str">
        <f t="shared" si="1"/>
        <v/>
      </c>
      <c r="M49" s="154" t="s">
        <v>66</v>
      </c>
      <c r="N49" s="154" t="s">
        <v>66</v>
      </c>
      <c r="O49" s="154" t="s">
        <v>60</v>
      </c>
      <c r="P49" s="154" t="s">
        <v>60</v>
      </c>
      <c r="Q49" s="154" t="s">
        <v>60</v>
      </c>
      <c r="R49" s="154" t="s">
        <v>60</v>
      </c>
      <c r="S49" s="154" t="s">
        <v>66</v>
      </c>
      <c r="T49" s="154" t="s">
        <v>60</v>
      </c>
      <c r="U49" s="154" t="s">
        <v>60</v>
      </c>
      <c r="V49" s="154"/>
      <c r="W49" s="242" t="b">
        <f t="shared" si="2"/>
        <v>1</v>
      </c>
      <c r="X49" s="154" t="s">
        <v>400</v>
      </c>
      <c r="Y49" s="242" t="b">
        <f t="shared" si="3"/>
        <v>0</v>
      </c>
      <c r="Z49" s="154" t="s">
        <v>5262</v>
      </c>
      <c r="AA49" s="242" t="b">
        <f t="shared" si="4"/>
        <v>0</v>
      </c>
      <c r="AB49" s="154" t="s">
        <v>652</v>
      </c>
      <c r="AC49" s="242" t="str">
        <f>IF(AB49="","N/A",INDIRECT("MTR!"&amp;ADDRESS(MATCH(LEFT(AB49,9),MTR!C:C,0),COLUMN(J49)),TRUE) &amp; "")</f>
        <v>Complies</v>
      </c>
      <c r="AD49" s="157" t="str">
        <f t="shared" si="5"/>
        <v/>
      </c>
      <c r="AE49" s="152"/>
      <c r="AF49" s="152"/>
      <c r="AG49" s="152"/>
      <c r="AH49" s="152"/>
      <c r="AI49" s="152"/>
      <c r="AJ49" s="152"/>
      <c r="AK49" s="152"/>
      <c r="AL49" s="152"/>
      <c r="AM49" s="152"/>
      <c r="AN49" s="152"/>
      <c r="AO49" s="152"/>
    </row>
    <row r="50" ht="12.75" customHeight="1">
      <c r="A50" s="244" t="s">
        <v>5158</v>
      </c>
      <c r="B50" s="244" t="s">
        <v>163</v>
      </c>
      <c r="C50" s="244" t="s">
        <v>5297</v>
      </c>
      <c r="D50" s="154" t="s">
        <v>781</v>
      </c>
      <c r="E50" s="154"/>
      <c r="F50" s="154" t="str">
        <f t="array" ref="F50">XLOOKUP(Cover!$D$12,$M$1:$AD$1,$M50:$AD50)</f>
        <v>Mandatory</v>
      </c>
      <c r="G50" s="154" t="s">
        <v>5298</v>
      </c>
      <c r="H50" s="154" t="s">
        <v>232</v>
      </c>
      <c r="I50" s="154" t="s">
        <v>486</v>
      </c>
      <c r="J50" s="247" t="s">
        <v>445</v>
      </c>
      <c r="K50" s="247" t="s">
        <v>5299</v>
      </c>
      <c r="L50" s="154" t="str">
        <f t="shared" si="1"/>
        <v/>
      </c>
      <c r="M50" s="154" t="s">
        <v>66</v>
      </c>
      <c r="N50" s="154" t="s">
        <v>66</v>
      </c>
      <c r="O50" s="154" t="s">
        <v>60</v>
      </c>
      <c r="P50" s="154" t="s">
        <v>60</v>
      </c>
      <c r="Q50" s="154" t="s">
        <v>60</v>
      </c>
      <c r="R50" s="154" t="s">
        <v>60</v>
      </c>
      <c r="S50" s="154" t="s">
        <v>66</v>
      </c>
      <c r="T50" s="154" t="s">
        <v>60</v>
      </c>
      <c r="U50" s="154" t="s">
        <v>60</v>
      </c>
      <c r="V50" s="154"/>
      <c r="W50" s="242" t="b">
        <f t="shared" si="2"/>
        <v>1</v>
      </c>
      <c r="X50" s="154" t="s">
        <v>400</v>
      </c>
      <c r="Y50" s="242" t="b">
        <f t="shared" si="3"/>
        <v>0</v>
      </c>
      <c r="Z50" s="154" t="s">
        <v>5262</v>
      </c>
      <c r="AA50" s="242" t="b">
        <f t="shared" si="4"/>
        <v>0</v>
      </c>
      <c r="AB50" s="154" t="s">
        <v>652</v>
      </c>
      <c r="AC50" s="242" t="str">
        <f>IF(AB50="","N/A",INDIRECT("MTR!"&amp;ADDRESS(MATCH(LEFT(AB50,9),MTR!C:C,0),COLUMN(J50)),TRUE) &amp; "")</f>
        <v>Complies</v>
      </c>
      <c r="AD50" s="157" t="str">
        <f t="shared" si="5"/>
        <v/>
      </c>
      <c r="AE50" s="152"/>
      <c r="AF50" s="152"/>
      <c r="AG50" s="152"/>
      <c r="AH50" s="152"/>
      <c r="AI50" s="152"/>
      <c r="AJ50" s="152"/>
      <c r="AK50" s="152"/>
      <c r="AL50" s="152"/>
      <c r="AM50" s="152"/>
      <c r="AN50" s="152"/>
      <c r="AO50" s="152"/>
    </row>
    <row r="51" ht="12.75" customHeight="1">
      <c r="A51" s="244" t="s">
        <v>5158</v>
      </c>
      <c r="B51" s="244" t="s">
        <v>163</v>
      </c>
      <c r="C51" s="244" t="s">
        <v>5300</v>
      </c>
      <c r="D51" s="154" t="s">
        <v>602</v>
      </c>
      <c r="E51" s="154"/>
      <c r="F51" s="154" t="str">
        <f t="array" ref="F51">XLOOKUP(Cover!$D$12,$M$1:$AD$1,$M51:$AD51)</f>
        <v>Mandatory</v>
      </c>
      <c r="G51" s="154" t="s">
        <v>5301</v>
      </c>
      <c r="H51" s="154" t="s">
        <v>232</v>
      </c>
      <c r="I51" s="154" t="s">
        <v>486</v>
      </c>
      <c r="J51" s="247" t="s">
        <v>445</v>
      </c>
      <c r="K51" s="247" t="s">
        <v>5302</v>
      </c>
      <c r="L51" s="154" t="str">
        <f t="shared" si="1"/>
        <v/>
      </c>
      <c r="M51" s="154" t="s">
        <v>66</v>
      </c>
      <c r="N51" s="154" t="s">
        <v>66</v>
      </c>
      <c r="O51" s="154" t="s">
        <v>60</v>
      </c>
      <c r="P51" s="154" t="s">
        <v>60</v>
      </c>
      <c r="Q51" s="154" t="s">
        <v>60</v>
      </c>
      <c r="R51" s="154" t="s">
        <v>60</v>
      </c>
      <c r="S51" s="154" t="s">
        <v>66</v>
      </c>
      <c r="T51" s="154" t="s">
        <v>60</v>
      </c>
      <c r="U51" s="154" t="s">
        <v>60</v>
      </c>
      <c r="V51" s="154"/>
      <c r="W51" s="242" t="b">
        <f t="shared" si="2"/>
        <v>1</v>
      </c>
      <c r="X51" s="154" t="s">
        <v>400</v>
      </c>
      <c r="Y51" s="242" t="b">
        <f t="shared" si="3"/>
        <v>0</v>
      </c>
      <c r="Z51" s="154" t="s">
        <v>5262</v>
      </c>
      <c r="AA51" s="242" t="b">
        <f t="shared" si="4"/>
        <v>0</v>
      </c>
      <c r="AB51" s="154" t="s">
        <v>652</v>
      </c>
      <c r="AC51" s="242" t="str">
        <f>IF(AB51="","N/A",INDIRECT("MTR!"&amp;ADDRESS(MATCH(LEFT(AB51,9),MTR!C:C,0),COLUMN(J51)),TRUE) &amp; "")</f>
        <v>Complies</v>
      </c>
      <c r="AD51" s="157" t="str">
        <f t="shared" si="5"/>
        <v/>
      </c>
      <c r="AE51" s="152"/>
      <c r="AF51" s="152"/>
      <c r="AG51" s="152"/>
      <c r="AH51" s="152"/>
      <c r="AI51" s="152"/>
      <c r="AJ51" s="152"/>
      <c r="AK51" s="152"/>
      <c r="AL51" s="152"/>
      <c r="AM51" s="152"/>
      <c r="AN51" s="152"/>
      <c r="AO51" s="152"/>
    </row>
    <row r="52" ht="12.75" customHeight="1">
      <c r="A52" s="244" t="s">
        <v>5158</v>
      </c>
      <c r="B52" s="244" t="s">
        <v>163</v>
      </c>
      <c r="C52" s="244" t="s">
        <v>5303</v>
      </c>
      <c r="D52" s="154" t="s">
        <v>781</v>
      </c>
      <c r="E52" s="154"/>
      <c r="F52" s="154" t="str">
        <f t="array" ref="F52">XLOOKUP(Cover!$D$12,$M$1:$AD$1,$M52:$AD52)</f>
        <v>Mandatory</v>
      </c>
      <c r="G52" s="154" t="s">
        <v>5304</v>
      </c>
      <c r="H52" s="154" t="s">
        <v>232</v>
      </c>
      <c r="I52" s="154" t="s">
        <v>486</v>
      </c>
      <c r="J52" s="247" t="s">
        <v>445</v>
      </c>
      <c r="K52" s="247" t="s">
        <v>5305</v>
      </c>
      <c r="L52" s="154" t="str">
        <f t="shared" si="1"/>
        <v/>
      </c>
      <c r="M52" s="154" t="s">
        <v>66</v>
      </c>
      <c r="N52" s="154" t="s">
        <v>66</v>
      </c>
      <c r="O52" s="154" t="s">
        <v>60</v>
      </c>
      <c r="P52" s="154" t="s">
        <v>60</v>
      </c>
      <c r="Q52" s="154" t="s">
        <v>60</v>
      </c>
      <c r="R52" s="154" t="s">
        <v>60</v>
      </c>
      <c r="S52" s="154" t="s">
        <v>66</v>
      </c>
      <c r="T52" s="154" t="s">
        <v>60</v>
      </c>
      <c r="U52" s="154" t="s">
        <v>60</v>
      </c>
      <c r="V52" s="154"/>
      <c r="W52" s="242" t="b">
        <f t="shared" si="2"/>
        <v>1</v>
      </c>
      <c r="X52" s="154" t="s">
        <v>400</v>
      </c>
      <c r="Y52" s="242" t="b">
        <f t="shared" si="3"/>
        <v>0</v>
      </c>
      <c r="Z52" s="154" t="s">
        <v>5262</v>
      </c>
      <c r="AA52" s="242" t="b">
        <f t="shared" si="4"/>
        <v>0</v>
      </c>
      <c r="AB52" s="154" t="s">
        <v>652</v>
      </c>
      <c r="AC52" s="242" t="str">
        <f>IF(AB52="","N/A",INDIRECT("MTR!"&amp;ADDRESS(MATCH(LEFT(AB52,9),MTR!C:C,0),COLUMN(J52)),TRUE) &amp; "")</f>
        <v>Complies</v>
      </c>
      <c r="AD52" s="157" t="str">
        <f t="shared" si="5"/>
        <v/>
      </c>
      <c r="AE52" s="152"/>
      <c r="AF52" s="152"/>
      <c r="AG52" s="152"/>
      <c r="AH52" s="152"/>
      <c r="AI52" s="152"/>
      <c r="AJ52" s="152"/>
      <c r="AK52" s="152"/>
      <c r="AL52" s="152"/>
      <c r="AM52" s="152"/>
      <c r="AN52" s="152"/>
      <c r="AO52" s="152"/>
    </row>
    <row r="53" ht="12.75" customHeight="1">
      <c r="A53" s="244" t="s">
        <v>5158</v>
      </c>
      <c r="B53" s="244" t="s">
        <v>163</v>
      </c>
      <c r="C53" s="244" t="s">
        <v>5306</v>
      </c>
      <c r="D53" s="154" t="s">
        <v>781</v>
      </c>
      <c r="E53" s="154"/>
      <c r="F53" s="154" t="str">
        <f t="array" ref="F53">XLOOKUP(Cover!$D$12,$M$1:$AD$1,$M53:$AD53)</f>
        <v>Mandatory</v>
      </c>
      <c r="G53" s="154" t="s">
        <v>5307</v>
      </c>
      <c r="H53" s="154" t="s">
        <v>232</v>
      </c>
      <c r="I53" s="154" t="s">
        <v>486</v>
      </c>
      <c r="J53" s="247" t="s">
        <v>445</v>
      </c>
      <c r="K53" s="247" t="s">
        <v>5308</v>
      </c>
      <c r="L53" s="154" t="str">
        <f t="shared" si="1"/>
        <v/>
      </c>
      <c r="M53" s="154" t="s">
        <v>66</v>
      </c>
      <c r="N53" s="154" t="s">
        <v>66</v>
      </c>
      <c r="O53" s="154" t="s">
        <v>60</v>
      </c>
      <c r="P53" s="154" t="s">
        <v>60</v>
      </c>
      <c r="Q53" s="154" t="s">
        <v>60</v>
      </c>
      <c r="R53" s="154" t="s">
        <v>60</v>
      </c>
      <c r="S53" s="154" t="s">
        <v>66</v>
      </c>
      <c r="T53" s="154" t="s">
        <v>60</v>
      </c>
      <c r="U53" s="154" t="s">
        <v>60</v>
      </c>
      <c r="V53" s="154"/>
      <c r="W53" s="242" t="b">
        <f t="shared" si="2"/>
        <v>1</v>
      </c>
      <c r="X53" s="154" t="s">
        <v>400</v>
      </c>
      <c r="Y53" s="242" t="b">
        <f t="shared" si="3"/>
        <v>0</v>
      </c>
      <c r="Z53" s="154" t="s">
        <v>5262</v>
      </c>
      <c r="AA53" s="242" t="b">
        <f t="shared" si="4"/>
        <v>0</v>
      </c>
      <c r="AB53" s="154" t="s">
        <v>652</v>
      </c>
      <c r="AC53" s="242" t="str">
        <f>IF(AB53="","N/A",INDIRECT("MTR!"&amp;ADDRESS(MATCH(LEFT(AB53,9),MTR!C:C,0),COLUMN(J53)),TRUE) &amp; "")</f>
        <v>Complies</v>
      </c>
      <c r="AD53" s="157" t="str">
        <f t="shared" si="5"/>
        <v/>
      </c>
      <c r="AE53" s="152"/>
      <c r="AF53" s="152"/>
      <c r="AG53" s="152"/>
      <c r="AH53" s="152"/>
      <c r="AI53" s="152"/>
      <c r="AJ53" s="152"/>
      <c r="AK53" s="152"/>
      <c r="AL53" s="152"/>
      <c r="AM53" s="152"/>
      <c r="AN53" s="152"/>
      <c r="AO53" s="152"/>
    </row>
    <row r="54" ht="12.75" customHeight="1">
      <c r="A54" s="244" t="s">
        <v>5158</v>
      </c>
      <c r="B54" s="244" t="s">
        <v>163</v>
      </c>
      <c r="C54" s="244" t="s">
        <v>5309</v>
      </c>
      <c r="D54" s="154" t="s">
        <v>602</v>
      </c>
      <c r="E54" s="154"/>
      <c r="F54" s="154" t="str">
        <f t="array" ref="F54">XLOOKUP(Cover!$D$12,$M$1:$AD$1,$M54:$AD54)</f>
        <v>Mandatory</v>
      </c>
      <c r="G54" s="154" t="s">
        <v>5310</v>
      </c>
      <c r="H54" s="154" t="s">
        <v>232</v>
      </c>
      <c r="I54" s="154" t="s">
        <v>486</v>
      </c>
      <c r="J54" s="247" t="s">
        <v>445</v>
      </c>
      <c r="K54" s="247" t="s">
        <v>5311</v>
      </c>
      <c r="L54" s="154" t="str">
        <f t="shared" si="1"/>
        <v/>
      </c>
      <c r="M54" s="154" t="s">
        <v>66</v>
      </c>
      <c r="N54" s="154" t="s">
        <v>66</v>
      </c>
      <c r="O54" s="154" t="s">
        <v>60</v>
      </c>
      <c r="P54" s="154" t="s">
        <v>60</v>
      </c>
      <c r="Q54" s="154" t="s">
        <v>60</v>
      </c>
      <c r="R54" s="154" t="s">
        <v>60</v>
      </c>
      <c r="S54" s="154" t="s">
        <v>66</v>
      </c>
      <c r="T54" s="154" t="s">
        <v>60</v>
      </c>
      <c r="U54" s="154" t="s">
        <v>60</v>
      </c>
      <c r="V54" s="154"/>
      <c r="W54" s="242" t="b">
        <f t="shared" si="2"/>
        <v>1</v>
      </c>
      <c r="X54" s="154" t="s">
        <v>400</v>
      </c>
      <c r="Y54" s="242" t="b">
        <f t="shared" si="3"/>
        <v>0</v>
      </c>
      <c r="Z54" s="154" t="s">
        <v>5262</v>
      </c>
      <c r="AA54" s="242" t="b">
        <f t="shared" si="4"/>
        <v>0</v>
      </c>
      <c r="AB54" s="154" t="s">
        <v>652</v>
      </c>
      <c r="AC54" s="242" t="str">
        <f>IF(AB54="","N/A",INDIRECT("MTR!"&amp;ADDRESS(MATCH(LEFT(AB54,9),MTR!C:C,0),COLUMN(J54)),TRUE) &amp; "")</f>
        <v>Complies</v>
      </c>
      <c r="AD54" s="157" t="str">
        <f t="shared" si="5"/>
        <v/>
      </c>
      <c r="AE54" s="152"/>
      <c r="AF54" s="152"/>
      <c r="AG54" s="152"/>
      <c r="AH54" s="152"/>
      <c r="AI54" s="152"/>
      <c r="AJ54" s="152"/>
      <c r="AK54" s="152"/>
      <c r="AL54" s="152"/>
      <c r="AM54" s="152"/>
      <c r="AN54" s="152"/>
      <c r="AO54" s="152"/>
    </row>
    <row r="55" ht="12.75" customHeight="1">
      <c r="A55" s="244" t="s">
        <v>5158</v>
      </c>
      <c r="B55" s="244" t="s">
        <v>163</v>
      </c>
      <c r="C55" s="244" t="s">
        <v>5312</v>
      </c>
      <c r="D55" s="154" t="s">
        <v>781</v>
      </c>
      <c r="E55" s="154"/>
      <c r="F55" s="154" t="str">
        <f t="array" ref="F55">XLOOKUP(Cover!$D$12,$M$1:$AD$1,$M55:$AD55)</f>
        <v>Mandatory</v>
      </c>
      <c r="G55" s="154" t="s">
        <v>5313</v>
      </c>
      <c r="H55" s="154" t="s">
        <v>232</v>
      </c>
      <c r="I55" s="154" t="s">
        <v>486</v>
      </c>
      <c r="J55" s="247" t="s">
        <v>445</v>
      </c>
      <c r="K55" s="247" t="s">
        <v>5314</v>
      </c>
      <c r="L55" s="154" t="str">
        <f t="shared" si="1"/>
        <v/>
      </c>
      <c r="M55" s="154" t="s">
        <v>66</v>
      </c>
      <c r="N55" s="154" t="s">
        <v>66</v>
      </c>
      <c r="O55" s="154" t="s">
        <v>60</v>
      </c>
      <c r="P55" s="154" t="s">
        <v>60</v>
      </c>
      <c r="Q55" s="154" t="s">
        <v>60</v>
      </c>
      <c r="R55" s="154" t="s">
        <v>60</v>
      </c>
      <c r="S55" s="154" t="s">
        <v>66</v>
      </c>
      <c r="T55" s="154" t="s">
        <v>60</v>
      </c>
      <c r="U55" s="154" t="s">
        <v>60</v>
      </c>
      <c r="V55" s="154"/>
      <c r="W55" s="242" t="b">
        <f t="shared" si="2"/>
        <v>1</v>
      </c>
      <c r="X55" s="154" t="s">
        <v>400</v>
      </c>
      <c r="Y55" s="242" t="b">
        <f t="shared" si="3"/>
        <v>0</v>
      </c>
      <c r="Z55" s="154" t="s">
        <v>5262</v>
      </c>
      <c r="AA55" s="242" t="b">
        <f t="shared" si="4"/>
        <v>0</v>
      </c>
      <c r="AB55" s="154" t="s">
        <v>652</v>
      </c>
      <c r="AC55" s="242" t="str">
        <f>IF(AB55="","N/A",INDIRECT("MTR!"&amp;ADDRESS(MATCH(LEFT(AB55,9),MTR!C:C,0),COLUMN(J55)),TRUE) &amp; "")</f>
        <v>Complies</v>
      </c>
      <c r="AD55" s="157" t="str">
        <f t="shared" si="5"/>
        <v/>
      </c>
      <c r="AE55" s="152"/>
      <c r="AF55" s="152"/>
      <c r="AG55" s="152"/>
      <c r="AH55" s="152"/>
      <c r="AI55" s="152"/>
      <c r="AJ55" s="152"/>
      <c r="AK55" s="152"/>
      <c r="AL55" s="152"/>
      <c r="AM55" s="152"/>
      <c r="AN55" s="152"/>
      <c r="AO55" s="152"/>
    </row>
    <row r="56" ht="12.75" customHeight="1">
      <c r="A56" s="244" t="s">
        <v>5158</v>
      </c>
      <c r="B56" s="244" t="s">
        <v>163</v>
      </c>
      <c r="C56" s="244" t="s">
        <v>5315</v>
      </c>
      <c r="D56" s="154" t="s">
        <v>781</v>
      </c>
      <c r="E56" s="154"/>
      <c r="F56" s="154" t="str">
        <f t="array" ref="F56">XLOOKUP(Cover!$D$12,$M$1:$AD$1,$M56:$AD56)</f>
        <v>Mandatory</v>
      </c>
      <c r="G56" s="154" t="s">
        <v>5316</v>
      </c>
      <c r="H56" s="154" t="s">
        <v>232</v>
      </c>
      <c r="I56" s="154" t="s">
        <v>486</v>
      </c>
      <c r="J56" s="247" t="s">
        <v>445</v>
      </c>
      <c r="K56" s="247" t="s">
        <v>5317</v>
      </c>
      <c r="L56" s="154" t="str">
        <f t="shared" si="1"/>
        <v/>
      </c>
      <c r="M56" s="154" t="s">
        <v>66</v>
      </c>
      <c r="N56" s="154" t="s">
        <v>66</v>
      </c>
      <c r="O56" s="154" t="s">
        <v>60</v>
      </c>
      <c r="P56" s="154" t="s">
        <v>60</v>
      </c>
      <c r="Q56" s="154" t="s">
        <v>60</v>
      </c>
      <c r="R56" s="154" t="s">
        <v>60</v>
      </c>
      <c r="S56" s="154" t="s">
        <v>66</v>
      </c>
      <c r="T56" s="154" t="s">
        <v>60</v>
      </c>
      <c r="U56" s="154" t="s">
        <v>60</v>
      </c>
      <c r="V56" s="154"/>
      <c r="W56" s="242" t="b">
        <f t="shared" si="2"/>
        <v>1</v>
      </c>
      <c r="X56" s="154" t="s">
        <v>400</v>
      </c>
      <c r="Y56" s="242" t="b">
        <f t="shared" si="3"/>
        <v>0</v>
      </c>
      <c r="Z56" s="154" t="s">
        <v>5262</v>
      </c>
      <c r="AA56" s="242" t="b">
        <f t="shared" si="4"/>
        <v>0</v>
      </c>
      <c r="AB56" s="154" t="s">
        <v>652</v>
      </c>
      <c r="AC56" s="242" t="str">
        <f>IF(AB56="","N/A",INDIRECT("MTR!"&amp;ADDRESS(MATCH(LEFT(AB56,9),MTR!C:C,0),COLUMN(J56)),TRUE) &amp; "")</f>
        <v>Complies</v>
      </c>
      <c r="AD56" s="157" t="str">
        <f t="shared" si="5"/>
        <v/>
      </c>
      <c r="AE56" s="152"/>
      <c r="AF56" s="152"/>
      <c r="AG56" s="152"/>
      <c r="AH56" s="152"/>
      <c r="AI56" s="152"/>
      <c r="AJ56" s="152"/>
      <c r="AK56" s="152"/>
      <c r="AL56" s="152"/>
      <c r="AM56" s="152"/>
      <c r="AN56" s="152"/>
      <c r="AO56" s="152"/>
    </row>
    <row r="57" ht="12.75" customHeight="1">
      <c r="A57" s="244" t="s">
        <v>5158</v>
      </c>
      <c r="B57" s="244" t="s">
        <v>163</v>
      </c>
      <c r="C57" s="244" t="s">
        <v>5318</v>
      </c>
      <c r="D57" s="154" t="s">
        <v>1773</v>
      </c>
      <c r="E57" s="154"/>
      <c r="F57" s="154" t="str">
        <f t="array" ref="F57">XLOOKUP(Cover!$D$12,$M$1:$AD$1,$M57:$AD57)</f>
        <v>Mandatory</v>
      </c>
      <c r="G57" s="154" t="s">
        <v>5319</v>
      </c>
      <c r="H57" s="154" t="s">
        <v>232</v>
      </c>
      <c r="I57" s="154" t="s">
        <v>486</v>
      </c>
      <c r="J57" s="247" t="s">
        <v>445</v>
      </c>
      <c r="K57" s="247" t="s">
        <v>5281</v>
      </c>
      <c r="L57" s="154" t="str">
        <f t="shared" si="1"/>
        <v/>
      </c>
      <c r="M57" s="154" t="s">
        <v>66</v>
      </c>
      <c r="N57" s="154" t="s">
        <v>66</v>
      </c>
      <c r="O57" s="154" t="s">
        <v>60</v>
      </c>
      <c r="P57" s="154" t="s">
        <v>60</v>
      </c>
      <c r="Q57" s="154" t="s">
        <v>60</v>
      </c>
      <c r="R57" s="154" t="s">
        <v>60</v>
      </c>
      <c r="S57" s="154" t="s">
        <v>66</v>
      </c>
      <c r="T57" s="154" t="s">
        <v>60</v>
      </c>
      <c r="U57" s="154" t="s">
        <v>60</v>
      </c>
      <c r="V57" s="154"/>
      <c r="W57" s="242" t="b">
        <f t="shared" si="2"/>
        <v>1</v>
      </c>
      <c r="X57" s="154" t="s">
        <v>400</v>
      </c>
      <c r="Y57" s="242" t="b">
        <f t="shared" si="3"/>
        <v>0</v>
      </c>
      <c r="Z57" s="154" t="s">
        <v>5262</v>
      </c>
      <c r="AA57" s="242" t="b">
        <f t="shared" si="4"/>
        <v>0</v>
      </c>
      <c r="AB57" s="154" t="s">
        <v>652</v>
      </c>
      <c r="AC57" s="242" t="str">
        <f>IF(AB57="","N/A",INDIRECT("MTR!"&amp;ADDRESS(MATCH(LEFT(AB57,9),MTR!C:C,0),COLUMN(J57)),TRUE) &amp; "")</f>
        <v>Complies</v>
      </c>
      <c r="AD57" s="157" t="str">
        <f t="shared" si="5"/>
        <v/>
      </c>
      <c r="AE57" s="152"/>
      <c r="AF57" s="152"/>
      <c r="AG57" s="152"/>
      <c r="AH57" s="152"/>
      <c r="AI57" s="152"/>
      <c r="AJ57" s="152"/>
      <c r="AK57" s="152"/>
      <c r="AL57" s="152"/>
      <c r="AM57" s="152"/>
      <c r="AN57" s="152"/>
      <c r="AO57" s="152"/>
    </row>
    <row r="58" ht="12.75" customHeight="1">
      <c r="A58" s="244" t="s">
        <v>5158</v>
      </c>
      <c r="B58" s="244" t="s">
        <v>163</v>
      </c>
      <c r="C58" s="244" t="s">
        <v>5320</v>
      </c>
      <c r="D58" s="154" t="s">
        <v>1773</v>
      </c>
      <c r="E58" s="154"/>
      <c r="F58" s="154" t="str">
        <f t="array" ref="F58">XLOOKUP(Cover!$D$12,$M$1:$AD$1,$M58:$AD58)</f>
        <v>Mandatory</v>
      </c>
      <c r="G58" s="154" t="s">
        <v>5321</v>
      </c>
      <c r="H58" s="154" t="s">
        <v>232</v>
      </c>
      <c r="I58" s="154" t="s">
        <v>486</v>
      </c>
      <c r="J58" s="247" t="s">
        <v>617</v>
      </c>
      <c r="K58" s="247" t="s">
        <v>5322</v>
      </c>
      <c r="L58" s="154" t="str">
        <f t="shared" si="1"/>
        <v/>
      </c>
      <c r="M58" s="154" t="s">
        <v>66</v>
      </c>
      <c r="N58" s="154" t="s">
        <v>66</v>
      </c>
      <c r="O58" s="154" t="s">
        <v>60</v>
      </c>
      <c r="P58" s="154" t="s">
        <v>60</v>
      </c>
      <c r="Q58" s="154" t="s">
        <v>60</v>
      </c>
      <c r="R58" s="154" t="s">
        <v>60</v>
      </c>
      <c r="S58" s="154" t="s">
        <v>66</v>
      </c>
      <c r="T58" s="154" t="s">
        <v>60</v>
      </c>
      <c r="U58" s="154" t="s">
        <v>60</v>
      </c>
      <c r="V58" s="154"/>
      <c r="W58" s="242" t="b">
        <f t="shared" si="2"/>
        <v>1</v>
      </c>
      <c r="X58" s="154" t="s">
        <v>400</v>
      </c>
      <c r="Y58" s="242" t="b">
        <f t="shared" si="3"/>
        <v>0</v>
      </c>
      <c r="Z58" s="154" t="s">
        <v>5262</v>
      </c>
      <c r="AA58" s="242" t="b">
        <f t="shared" si="4"/>
        <v>0</v>
      </c>
      <c r="AB58" s="154" t="s">
        <v>652</v>
      </c>
      <c r="AC58" s="242" t="str">
        <f>IF(AB58="","N/A",INDIRECT("MTR!"&amp;ADDRESS(MATCH(LEFT(AB58,9),MTR!C:C,0),COLUMN(J58)),TRUE) &amp; "")</f>
        <v>Complies</v>
      </c>
      <c r="AD58" s="157" t="str">
        <f t="shared" si="5"/>
        <v/>
      </c>
      <c r="AE58" s="152"/>
      <c r="AF58" s="152"/>
      <c r="AG58" s="152"/>
      <c r="AH58" s="152"/>
      <c r="AI58" s="152"/>
      <c r="AJ58" s="152"/>
      <c r="AK58" s="152"/>
      <c r="AL58" s="152"/>
      <c r="AM58" s="152"/>
      <c r="AN58" s="152"/>
      <c r="AO58" s="152"/>
    </row>
    <row r="59" ht="12.75" customHeight="1">
      <c r="A59" s="244" t="s">
        <v>5158</v>
      </c>
      <c r="B59" s="244" t="s">
        <v>163</v>
      </c>
      <c r="C59" s="244" t="s">
        <v>5323</v>
      </c>
      <c r="D59" s="154" t="s">
        <v>1773</v>
      </c>
      <c r="E59" s="154"/>
      <c r="F59" s="154" t="str">
        <f t="array" ref="F59">XLOOKUP(Cover!$D$12,$M$1:$AD$1,$M59:$AD59)</f>
        <v>Mandatory</v>
      </c>
      <c r="G59" s="154" t="s">
        <v>5324</v>
      </c>
      <c r="H59" s="154" t="s">
        <v>232</v>
      </c>
      <c r="I59" s="154" t="s">
        <v>486</v>
      </c>
      <c r="J59" s="247" t="s">
        <v>445</v>
      </c>
      <c r="K59" s="247" t="s">
        <v>5325</v>
      </c>
      <c r="L59" s="154" t="str">
        <f t="shared" si="1"/>
        <v/>
      </c>
      <c r="M59" s="154" t="s">
        <v>66</v>
      </c>
      <c r="N59" s="154" t="s">
        <v>66</v>
      </c>
      <c r="O59" s="154" t="s">
        <v>60</v>
      </c>
      <c r="P59" s="154" t="s">
        <v>60</v>
      </c>
      <c r="Q59" s="154" t="s">
        <v>60</v>
      </c>
      <c r="R59" s="154" t="s">
        <v>60</v>
      </c>
      <c r="S59" s="154" t="s">
        <v>66</v>
      </c>
      <c r="T59" s="154" t="s">
        <v>60</v>
      </c>
      <c r="U59" s="154" t="s">
        <v>60</v>
      </c>
      <c r="V59" s="154"/>
      <c r="W59" s="242" t="b">
        <f t="shared" si="2"/>
        <v>1</v>
      </c>
      <c r="X59" s="154" t="s">
        <v>400</v>
      </c>
      <c r="Y59" s="242" t="b">
        <f t="shared" si="3"/>
        <v>0</v>
      </c>
      <c r="Z59" s="154" t="s">
        <v>5262</v>
      </c>
      <c r="AA59" s="242" t="b">
        <f t="shared" si="4"/>
        <v>0</v>
      </c>
      <c r="AB59" s="154" t="s">
        <v>652</v>
      </c>
      <c r="AC59" s="242" t="str">
        <f>IF(AB59="","N/A",INDIRECT("MTR!"&amp;ADDRESS(MATCH(LEFT(AB59,9),MTR!C:C,0),COLUMN(J59)),TRUE) &amp; "")</f>
        <v>Complies</v>
      </c>
      <c r="AD59" s="157" t="str">
        <f t="shared" si="5"/>
        <v/>
      </c>
      <c r="AE59" s="152"/>
      <c r="AF59" s="152"/>
      <c r="AG59" s="152"/>
      <c r="AH59" s="152"/>
      <c r="AI59" s="152"/>
      <c r="AJ59" s="152"/>
      <c r="AK59" s="152"/>
      <c r="AL59" s="152"/>
      <c r="AM59" s="152"/>
      <c r="AN59" s="152"/>
      <c r="AO59" s="152"/>
    </row>
    <row r="60" ht="12.75" customHeight="1">
      <c r="A60" s="244" t="s">
        <v>5158</v>
      </c>
      <c r="B60" s="244" t="s">
        <v>163</v>
      </c>
      <c r="C60" s="244" t="s">
        <v>5326</v>
      </c>
      <c r="D60" s="154" t="s">
        <v>1773</v>
      </c>
      <c r="E60" s="154"/>
      <c r="F60" s="154" t="str">
        <f t="array" ref="F60">XLOOKUP(Cover!$D$12,$M$1:$AD$1,$M60:$AD60)</f>
        <v>Mandatory</v>
      </c>
      <c r="G60" s="154" t="s">
        <v>5327</v>
      </c>
      <c r="H60" s="154" t="s">
        <v>232</v>
      </c>
      <c r="I60" s="154" t="s">
        <v>486</v>
      </c>
      <c r="J60" s="247" t="s">
        <v>445</v>
      </c>
      <c r="K60" s="247" t="s">
        <v>5328</v>
      </c>
      <c r="L60" s="154" t="str">
        <f t="shared" si="1"/>
        <v/>
      </c>
      <c r="M60" s="154" t="s">
        <v>66</v>
      </c>
      <c r="N60" s="154" t="s">
        <v>66</v>
      </c>
      <c r="O60" s="154" t="s">
        <v>60</v>
      </c>
      <c r="P60" s="154" t="s">
        <v>60</v>
      </c>
      <c r="Q60" s="154" t="s">
        <v>60</v>
      </c>
      <c r="R60" s="154" t="s">
        <v>60</v>
      </c>
      <c r="S60" s="154" t="s">
        <v>66</v>
      </c>
      <c r="T60" s="154" t="s">
        <v>60</v>
      </c>
      <c r="U60" s="154" t="s">
        <v>60</v>
      </c>
      <c r="V60" s="154"/>
      <c r="W60" s="242" t="b">
        <f t="shared" si="2"/>
        <v>1</v>
      </c>
      <c r="X60" s="154" t="s">
        <v>400</v>
      </c>
      <c r="Y60" s="242" t="b">
        <f t="shared" si="3"/>
        <v>0</v>
      </c>
      <c r="Z60" s="154" t="s">
        <v>5262</v>
      </c>
      <c r="AA60" s="242" t="b">
        <f t="shared" si="4"/>
        <v>0</v>
      </c>
      <c r="AB60" s="154" t="s">
        <v>652</v>
      </c>
      <c r="AC60" s="242" t="str">
        <f>IF(AB60="","N/A",INDIRECT("MTR!"&amp;ADDRESS(MATCH(LEFT(AB60,9),MTR!C:C,0),COLUMN(J60)),TRUE) &amp; "")</f>
        <v>Complies</v>
      </c>
      <c r="AD60" s="157" t="str">
        <f t="shared" si="5"/>
        <v/>
      </c>
      <c r="AE60" s="152"/>
      <c r="AF60" s="152"/>
      <c r="AG60" s="152"/>
      <c r="AH60" s="152"/>
      <c r="AI60" s="152"/>
      <c r="AJ60" s="152"/>
      <c r="AK60" s="152"/>
      <c r="AL60" s="152"/>
      <c r="AM60" s="152"/>
      <c r="AN60" s="152"/>
      <c r="AO60" s="152"/>
    </row>
    <row r="61" ht="12.75" customHeight="1">
      <c r="A61" s="244" t="s">
        <v>5158</v>
      </c>
      <c r="B61" s="244" t="s">
        <v>163</v>
      </c>
      <c r="C61" s="244" t="s">
        <v>5329</v>
      </c>
      <c r="D61" s="154" t="s">
        <v>1773</v>
      </c>
      <c r="E61" s="154"/>
      <c r="F61" s="154" t="str">
        <f t="array" ref="F61">XLOOKUP(Cover!$D$12,$M$1:$AD$1,$M61:$AD61)</f>
        <v>Mandatory</v>
      </c>
      <c r="G61" s="154" t="s">
        <v>5330</v>
      </c>
      <c r="H61" s="154" t="s">
        <v>232</v>
      </c>
      <c r="I61" s="154" t="s">
        <v>486</v>
      </c>
      <c r="J61" s="247" t="s">
        <v>617</v>
      </c>
      <c r="K61" s="247" t="s">
        <v>5322</v>
      </c>
      <c r="L61" s="154" t="str">
        <f t="shared" si="1"/>
        <v/>
      </c>
      <c r="M61" s="154" t="s">
        <v>66</v>
      </c>
      <c r="N61" s="154" t="s">
        <v>66</v>
      </c>
      <c r="O61" s="154" t="s">
        <v>60</v>
      </c>
      <c r="P61" s="154" t="s">
        <v>60</v>
      </c>
      <c r="Q61" s="154" t="s">
        <v>60</v>
      </c>
      <c r="R61" s="154" t="s">
        <v>60</v>
      </c>
      <c r="S61" s="154" t="s">
        <v>66</v>
      </c>
      <c r="T61" s="154" t="s">
        <v>60</v>
      </c>
      <c r="U61" s="154" t="s">
        <v>60</v>
      </c>
      <c r="V61" s="154"/>
      <c r="W61" s="242" t="b">
        <f t="shared" si="2"/>
        <v>1</v>
      </c>
      <c r="X61" s="154" t="s">
        <v>400</v>
      </c>
      <c r="Y61" s="242" t="b">
        <f t="shared" si="3"/>
        <v>0</v>
      </c>
      <c r="Z61" s="154" t="s">
        <v>5262</v>
      </c>
      <c r="AA61" s="242" t="b">
        <f t="shared" si="4"/>
        <v>0</v>
      </c>
      <c r="AB61" s="154" t="s">
        <v>652</v>
      </c>
      <c r="AC61" s="242" t="str">
        <f>IF(AB61="","N/A",INDIRECT("MTR!"&amp;ADDRESS(MATCH(LEFT(AB61,9),MTR!C:C,0),COLUMN(J61)),TRUE) &amp; "")</f>
        <v>Complies</v>
      </c>
      <c r="AD61" s="157" t="str">
        <f t="shared" si="5"/>
        <v/>
      </c>
      <c r="AE61" s="152"/>
      <c r="AF61" s="152"/>
      <c r="AG61" s="152"/>
      <c r="AH61" s="152"/>
      <c r="AI61" s="152"/>
      <c r="AJ61" s="152"/>
      <c r="AK61" s="152"/>
      <c r="AL61" s="152"/>
      <c r="AM61" s="152"/>
      <c r="AN61" s="152"/>
      <c r="AO61" s="152"/>
    </row>
    <row r="62" ht="12.75" customHeight="1">
      <c r="A62" s="244" t="s">
        <v>5158</v>
      </c>
      <c r="B62" s="244" t="s">
        <v>163</v>
      </c>
      <c r="C62" s="244" t="s">
        <v>5331</v>
      </c>
      <c r="D62" s="154" t="s">
        <v>1773</v>
      </c>
      <c r="E62" s="154"/>
      <c r="F62" s="154" t="str">
        <f t="array" ref="F62">XLOOKUP(Cover!$D$12,$M$1:$AD$1,$M62:$AD62)</f>
        <v>Mandatory</v>
      </c>
      <c r="G62" s="154" t="s">
        <v>5332</v>
      </c>
      <c r="H62" s="154" t="s">
        <v>232</v>
      </c>
      <c r="I62" s="154" t="s">
        <v>486</v>
      </c>
      <c r="J62" s="247" t="s">
        <v>445</v>
      </c>
      <c r="K62" s="247" t="s">
        <v>5333</v>
      </c>
      <c r="L62" s="154" t="str">
        <f t="shared" si="1"/>
        <v/>
      </c>
      <c r="M62" s="154" t="s">
        <v>66</v>
      </c>
      <c r="N62" s="154" t="s">
        <v>66</v>
      </c>
      <c r="O62" s="154" t="s">
        <v>60</v>
      </c>
      <c r="P62" s="154" t="s">
        <v>60</v>
      </c>
      <c r="Q62" s="154" t="s">
        <v>60</v>
      </c>
      <c r="R62" s="154" t="s">
        <v>60</v>
      </c>
      <c r="S62" s="154" t="s">
        <v>66</v>
      </c>
      <c r="T62" s="154" t="s">
        <v>60</v>
      </c>
      <c r="U62" s="154" t="s">
        <v>60</v>
      </c>
      <c r="V62" s="154"/>
      <c r="W62" s="242" t="b">
        <f t="shared" si="2"/>
        <v>1</v>
      </c>
      <c r="X62" s="154" t="s">
        <v>400</v>
      </c>
      <c r="Y62" s="242" t="b">
        <f t="shared" si="3"/>
        <v>0</v>
      </c>
      <c r="Z62" s="154" t="s">
        <v>5262</v>
      </c>
      <c r="AA62" s="242" t="b">
        <f t="shared" si="4"/>
        <v>0</v>
      </c>
      <c r="AB62" s="154" t="s">
        <v>652</v>
      </c>
      <c r="AC62" s="242" t="str">
        <f>IF(AB62="","N/A",INDIRECT("MTR!"&amp;ADDRESS(MATCH(LEFT(AB62,9),MTR!C:C,0),COLUMN(J62)),TRUE) &amp; "")</f>
        <v>Complies</v>
      </c>
      <c r="AD62" s="157" t="str">
        <f t="shared" si="5"/>
        <v/>
      </c>
      <c r="AE62" s="152"/>
      <c r="AF62" s="152"/>
      <c r="AG62" s="152"/>
      <c r="AH62" s="152"/>
      <c r="AI62" s="152"/>
      <c r="AJ62" s="152"/>
      <c r="AK62" s="152"/>
      <c r="AL62" s="152"/>
      <c r="AM62" s="152"/>
      <c r="AN62" s="152"/>
      <c r="AO62" s="152"/>
    </row>
    <row r="63" ht="12.75" customHeight="1">
      <c r="A63" s="244" t="s">
        <v>5158</v>
      </c>
      <c r="B63" s="244" t="s">
        <v>163</v>
      </c>
      <c r="C63" s="244" t="s">
        <v>5334</v>
      </c>
      <c r="D63" s="154" t="s">
        <v>602</v>
      </c>
      <c r="E63" s="154"/>
      <c r="F63" s="154" t="str">
        <f t="array" ref="F63">XLOOKUP(Cover!$D$12,$M$1:$AD$1,$M63:$AD63)</f>
        <v>Mandatory</v>
      </c>
      <c r="G63" s="154" t="s">
        <v>5335</v>
      </c>
      <c r="H63" s="154" t="s">
        <v>232</v>
      </c>
      <c r="I63" s="154" t="s">
        <v>486</v>
      </c>
      <c r="J63" s="247" t="s">
        <v>445</v>
      </c>
      <c r="K63" s="247" t="s">
        <v>5269</v>
      </c>
      <c r="L63" s="154" t="str">
        <f t="shared" si="1"/>
        <v/>
      </c>
      <c r="M63" s="154" t="s">
        <v>66</v>
      </c>
      <c r="N63" s="154" t="s">
        <v>66</v>
      </c>
      <c r="O63" s="154" t="s">
        <v>60</v>
      </c>
      <c r="P63" s="154" t="s">
        <v>60</v>
      </c>
      <c r="Q63" s="154" t="s">
        <v>60</v>
      </c>
      <c r="R63" s="154" t="s">
        <v>60</v>
      </c>
      <c r="S63" s="154" t="s">
        <v>66</v>
      </c>
      <c r="T63" s="154" t="s">
        <v>60</v>
      </c>
      <c r="U63" s="154" t="s">
        <v>60</v>
      </c>
      <c r="V63" s="154"/>
      <c r="W63" s="242" t="b">
        <f t="shared" si="2"/>
        <v>1</v>
      </c>
      <c r="X63" s="154" t="s">
        <v>400</v>
      </c>
      <c r="Y63" s="242" t="b">
        <f t="shared" si="3"/>
        <v>0</v>
      </c>
      <c r="Z63" s="154" t="s">
        <v>5262</v>
      </c>
      <c r="AA63" s="242" t="b">
        <f t="shared" si="4"/>
        <v>0</v>
      </c>
      <c r="AB63" s="154" t="s">
        <v>652</v>
      </c>
      <c r="AC63" s="242" t="str">
        <f>IF(AB63="","N/A",INDIRECT("MTR!"&amp;ADDRESS(MATCH(LEFT(AB63,9),MTR!C:C,0),COLUMN(J63)),TRUE) &amp; "")</f>
        <v>Complies</v>
      </c>
      <c r="AD63" s="157" t="str">
        <f t="shared" si="5"/>
        <v/>
      </c>
      <c r="AE63" s="152"/>
      <c r="AF63" s="152"/>
      <c r="AG63" s="152"/>
      <c r="AH63" s="152"/>
      <c r="AI63" s="152"/>
      <c r="AJ63" s="152"/>
      <c r="AK63" s="152"/>
      <c r="AL63" s="152"/>
      <c r="AM63" s="152"/>
      <c r="AN63" s="152"/>
      <c r="AO63" s="152"/>
    </row>
    <row r="64" ht="12.75" customHeight="1">
      <c r="A64" s="244" t="s">
        <v>5158</v>
      </c>
      <c r="B64" s="244" t="s">
        <v>163</v>
      </c>
      <c r="C64" s="244" t="s">
        <v>5336</v>
      </c>
      <c r="D64" s="154" t="s">
        <v>781</v>
      </c>
      <c r="E64" s="154"/>
      <c r="F64" s="154" t="str">
        <f t="array" ref="F64">XLOOKUP(Cover!$D$12,$M$1:$AD$1,$M64:$AD64)</f>
        <v>Mandatory</v>
      </c>
      <c r="G64" s="154" t="s">
        <v>5337</v>
      </c>
      <c r="H64" s="154" t="s">
        <v>232</v>
      </c>
      <c r="I64" s="154" t="s">
        <v>486</v>
      </c>
      <c r="J64" s="247" t="s">
        <v>445</v>
      </c>
      <c r="K64" s="247" t="s">
        <v>5338</v>
      </c>
      <c r="L64" s="154" t="str">
        <f t="shared" si="1"/>
        <v/>
      </c>
      <c r="M64" s="154" t="s">
        <v>66</v>
      </c>
      <c r="N64" s="154" t="s">
        <v>66</v>
      </c>
      <c r="O64" s="154" t="s">
        <v>60</v>
      </c>
      <c r="P64" s="154" t="s">
        <v>60</v>
      </c>
      <c r="Q64" s="154" t="s">
        <v>60</v>
      </c>
      <c r="R64" s="154" t="s">
        <v>60</v>
      </c>
      <c r="S64" s="154" t="s">
        <v>66</v>
      </c>
      <c r="T64" s="154" t="s">
        <v>60</v>
      </c>
      <c r="U64" s="154" t="s">
        <v>60</v>
      </c>
      <c r="V64" s="154"/>
      <c r="W64" s="242" t="b">
        <f t="shared" si="2"/>
        <v>1</v>
      </c>
      <c r="X64" s="154" t="s">
        <v>400</v>
      </c>
      <c r="Y64" s="242" t="b">
        <f t="shared" si="3"/>
        <v>0</v>
      </c>
      <c r="Z64" s="154" t="s">
        <v>5262</v>
      </c>
      <c r="AA64" s="242" t="b">
        <f t="shared" si="4"/>
        <v>0</v>
      </c>
      <c r="AB64" s="154" t="s">
        <v>652</v>
      </c>
      <c r="AC64" s="242" t="str">
        <f>IF(AB64="","N/A",INDIRECT("MTR!"&amp;ADDRESS(MATCH(LEFT(AB64,9),MTR!C:C,0),COLUMN(J64)),TRUE) &amp; "")</f>
        <v>Complies</v>
      </c>
      <c r="AD64" s="157" t="str">
        <f t="shared" si="5"/>
        <v/>
      </c>
      <c r="AE64" s="152"/>
      <c r="AF64" s="152"/>
      <c r="AG64" s="152"/>
      <c r="AH64" s="152"/>
      <c r="AI64" s="152"/>
      <c r="AJ64" s="152"/>
      <c r="AK64" s="152"/>
      <c r="AL64" s="152"/>
      <c r="AM64" s="152"/>
      <c r="AN64" s="152"/>
      <c r="AO64" s="152"/>
    </row>
    <row r="65" ht="12.75" customHeight="1">
      <c r="A65" s="244" t="s">
        <v>5158</v>
      </c>
      <c r="B65" s="244" t="s">
        <v>163</v>
      </c>
      <c r="C65" s="244" t="s">
        <v>5339</v>
      </c>
      <c r="D65" s="154" t="s">
        <v>781</v>
      </c>
      <c r="E65" s="154"/>
      <c r="F65" s="154" t="str">
        <f t="array" ref="F65">XLOOKUP(Cover!$D$12,$M$1:$AD$1,$M65:$AD65)</f>
        <v>Mandatory</v>
      </c>
      <c r="G65" s="154" t="s">
        <v>5340</v>
      </c>
      <c r="H65" s="154" t="s">
        <v>232</v>
      </c>
      <c r="I65" s="154" t="s">
        <v>486</v>
      </c>
      <c r="J65" s="247" t="s">
        <v>445</v>
      </c>
      <c r="K65" s="247" t="s">
        <v>5341</v>
      </c>
      <c r="L65" s="154" t="str">
        <f t="shared" si="1"/>
        <v/>
      </c>
      <c r="M65" s="154" t="s">
        <v>66</v>
      </c>
      <c r="N65" s="154" t="s">
        <v>66</v>
      </c>
      <c r="O65" s="154" t="s">
        <v>60</v>
      </c>
      <c r="P65" s="154" t="s">
        <v>60</v>
      </c>
      <c r="Q65" s="154" t="s">
        <v>60</v>
      </c>
      <c r="R65" s="154" t="s">
        <v>60</v>
      </c>
      <c r="S65" s="154" t="s">
        <v>66</v>
      </c>
      <c r="T65" s="154" t="s">
        <v>60</v>
      </c>
      <c r="U65" s="154" t="s">
        <v>60</v>
      </c>
      <c r="V65" s="154"/>
      <c r="W65" s="242" t="b">
        <f t="shared" si="2"/>
        <v>1</v>
      </c>
      <c r="X65" s="154" t="s">
        <v>400</v>
      </c>
      <c r="Y65" s="242" t="b">
        <f t="shared" si="3"/>
        <v>0</v>
      </c>
      <c r="Z65" s="154" t="s">
        <v>5262</v>
      </c>
      <c r="AA65" s="242" t="b">
        <f t="shared" si="4"/>
        <v>0</v>
      </c>
      <c r="AB65" s="154" t="s">
        <v>652</v>
      </c>
      <c r="AC65" s="242" t="str">
        <f>IF(AB65="","N/A",INDIRECT("MTR!"&amp;ADDRESS(MATCH(LEFT(AB65,9),MTR!C:C,0),COLUMN(J65)),TRUE) &amp; "")</f>
        <v>Complies</v>
      </c>
      <c r="AD65" s="157" t="str">
        <f t="shared" si="5"/>
        <v/>
      </c>
      <c r="AE65" s="152"/>
      <c r="AF65" s="152"/>
      <c r="AG65" s="152"/>
      <c r="AH65" s="152"/>
      <c r="AI65" s="152"/>
      <c r="AJ65" s="152"/>
      <c r="AK65" s="152"/>
      <c r="AL65" s="152"/>
      <c r="AM65" s="152"/>
      <c r="AN65" s="152"/>
      <c r="AO65" s="152"/>
    </row>
    <row r="66" ht="12.75" customHeight="1">
      <c r="A66" s="244" t="s">
        <v>5158</v>
      </c>
      <c r="B66" s="244" t="s">
        <v>163</v>
      </c>
      <c r="C66" s="244" t="s">
        <v>5342</v>
      </c>
      <c r="D66" s="154" t="s">
        <v>602</v>
      </c>
      <c r="E66" s="154"/>
      <c r="F66" s="154" t="str">
        <f t="array" ref="F66">XLOOKUP(Cover!$D$12,$M$1:$AD$1,$M66:$AD66)</f>
        <v>Mandatory</v>
      </c>
      <c r="G66" s="154" t="s">
        <v>5343</v>
      </c>
      <c r="H66" s="154" t="s">
        <v>232</v>
      </c>
      <c r="I66" s="154" t="s">
        <v>486</v>
      </c>
      <c r="J66" s="247" t="s">
        <v>445</v>
      </c>
      <c r="K66" s="247" t="s">
        <v>5344</v>
      </c>
      <c r="L66" s="154" t="str">
        <f t="shared" si="1"/>
        <v/>
      </c>
      <c r="M66" s="154" t="s">
        <v>66</v>
      </c>
      <c r="N66" s="154" t="s">
        <v>66</v>
      </c>
      <c r="O66" s="154" t="s">
        <v>60</v>
      </c>
      <c r="P66" s="154" t="s">
        <v>60</v>
      </c>
      <c r="Q66" s="154" t="s">
        <v>60</v>
      </c>
      <c r="R66" s="154" t="s">
        <v>60</v>
      </c>
      <c r="S66" s="154" t="s">
        <v>66</v>
      </c>
      <c r="T66" s="154" t="s">
        <v>60</v>
      </c>
      <c r="U66" s="154" t="s">
        <v>60</v>
      </c>
      <c r="V66" s="154"/>
      <c r="W66" s="242" t="b">
        <f t="shared" si="2"/>
        <v>1</v>
      </c>
      <c r="X66" s="154" t="s">
        <v>400</v>
      </c>
      <c r="Y66" s="242" t="b">
        <f t="shared" si="3"/>
        <v>0</v>
      </c>
      <c r="Z66" s="154" t="s">
        <v>5262</v>
      </c>
      <c r="AA66" s="242" t="b">
        <f t="shared" si="4"/>
        <v>0</v>
      </c>
      <c r="AB66" s="154" t="s">
        <v>652</v>
      </c>
      <c r="AC66" s="242" t="str">
        <f>IF(AB66="","N/A",INDIRECT("MTR!"&amp;ADDRESS(MATCH(LEFT(AB66,9),MTR!C:C,0),COLUMN(J66)),TRUE) &amp; "")</f>
        <v>Complies</v>
      </c>
      <c r="AD66" s="157" t="str">
        <f t="shared" si="5"/>
        <v/>
      </c>
      <c r="AE66" s="152"/>
      <c r="AF66" s="152"/>
      <c r="AG66" s="152"/>
      <c r="AH66" s="152"/>
      <c r="AI66" s="152"/>
      <c r="AJ66" s="152"/>
      <c r="AK66" s="152"/>
      <c r="AL66" s="152"/>
      <c r="AM66" s="152"/>
      <c r="AN66" s="152"/>
      <c r="AO66" s="152"/>
    </row>
    <row r="67" ht="12.75" customHeight="1">
      <c r="A67" s="244" t="s">
        <v>5158</v>
      </c>
      <c r="B67" s="244" t="s">
        <v>163</v>
      </c>
      <c r="C67" s="244" t="s">
        <v>5345</v>
      </c>
      <c r="D67" s="154" t="s">
        <v>781</v>
      </c>
      <c r="E67" s="154"/>
      <c r="F67" s="154" t="str">
        <f t="array" ref="F67">XLOOKUP(Cover!$D$12,$M$1:$AD$1,$M67:$AD67)</f>
        <v>Mandatory</v>
      </c>
      <c r="G67" s="154" t="s">
        <v>5346</v>
      </c>
      <c r="H67" s="154" t="s">
        <v>232</v>
      </c>
      <c r="I67" s="154" t="s">
        <v>486</v>
      </c>
      <c r="J67" s="247" t="s">
        <v>445</v>
      </c>
      <c r="K67" s="247" t="s">
        <v>5347</v>
      </c>
      <c r="L67" s="154" t="str">
        <f t="shared" si="1"/>
        <v/>
      </c>
      <c r="M67" s="154" t="s">
        <v>66</v>
      </c>
      <c r="N67" s="154" t="s">
        <v>66</v>
      </c>
      <c r="O67" s="154" t="s">
        <v>60</v>
      </c>
      <c r="P67" s="154" t="s">
        <v>60</v>
      </c>
      <c r="Q67" s="154" t="s">
        <v>60</v>
      </c>
      <c r="R67" s="154" t="s">
        <v>60</v>
      </c>
      <c r="S67" s="154" t="s">
        <v>66</v>
      </c>
      <c r="T67" s="154" t="s">
        <v>60</v>
      </c>
      <c r="U67" s="154" t="s">
        <v>60</v>
      </c>
      <c r="V67" s="154"/>
      <c r="W67" s="242" t="b">
        <f t="shared" si="2"/>
        <v>1</v>
      </c>
      <c r="X67" s="154" t="s">
        <v>400</v>
      </c>
      <c r="Y67" s="242" t="b">
        <f t="shared" si="3"/>
        <v>0</v>
      </c>
      <c r="Z67" s="154" t="s">
        <v>5262</v>
      </c>
      <c r="AA67" s="242" t="b">
        <f t="shared" si="4"/>
        <v>0</v>
      </c>
      <c r="AB67" s="154" t="s">
        <v>652</v>
      </c>
      <c r="AC67" s="242" t="str">
        <f>IF(AB67="","N/A",INDIRECT("MTR!"&amp;ADDRESS(MATCH(LEFT(AB67,9),MTR!C:C,0),COLUMN(J67)),TRUE) &amp; "")</f>
        <v>Complies</v>
      </c>
      <c r="AD67" s="157" t="str">
        <f t="shared" si="5"/>
        <v/>
      </c>
      <c r="AE67" s="152"/>
      <c r="AF67" s="152"/>
      <c r="AG67" s="152"/>
      <c r="AH67" s="152"/>
      <c r="AI67" s="152"/>
      <c r="AJ67" s="152"/>
      <c r="AK67" s="152"/>
      <c r="AL67" s="152"/>
      <c r="AM67" s="152"/>
      <c r="AN67" s="152"/>
      <c r="AO67" s="152"/>
    </row>
    <row r="68" ht="12.75" customHeight="1">
      <c r="A68" s="244" t="s">
        <v>5158</v>
      </c>
      <c r="B68" s="244" t="s">
        <v>163</v>
      </c>
      <c r="C68" s="244" t="s">
        <v>5348</v>
      </c>
      <c r="D68" s="154" t="s">
        <v>1069</v>
      </c>
      <c r="E68" s="154"/>
      <c r="F68" s="154" t="str">
        <f t="array" ref="F68">XLOOKUP(Cover!$D$12,$M$1:$AD$1,$M68:$AD68)</f>
        <v>Mandatory</v>
      </c>
      <c r="G68" s="154" t="s">
        <v>5349</v>
      </c>
      <c r="H68" s="154" t="s">
        <v>232</v>
      </c>
      <c r="I68" s="154" t="s">
        <v>486</v>
      </c>
      <c r="J68" s="247" t="s">
        <v>506</v>
      </c>
      <c r="K68" s="247" t="s">
        <v>5350</v>
      </c>
      <c r="L68" s="154" t="str">
        <f t="shared" si="1"/>
        <v/>
      </c>
      <c r="M68" s="154" t="s">
        <v>66</v>
      </c>
      <c r="N68" s="154" t="s">
        <v>66</v>
      </c>
      <c r="O68" s="154" t="s">
        <v>60</v>
      </c>
      <c r="P68" s="154" t="s">
        <v>60</v>
      </c>
      <c r="Q68" s="154" t="s">
        <v>60</v>
      </c>
      <c r="R68" s="154" t="s">
        <v>60</v>
      </c>
      <c r="S68" s="154" t="s">
        <v>66</v>
      </c>
      <c r="T68" s="154" t="s">
        <v>60</v>
      </c>
      <c r="U68" s="154" t="s">
        <v>60</v>
      </c>
      <c r="V68" s="154"/>
      <c r="W68" s="242" t="b">
        <f t="shared" si="2"/>
        <v>1</v>
      </c>
      <c r="X68" s="154" t="s">
        <v>400</v>
      </c>
      <c r="Y68" s="242" t="b">
        <f t="shared" si="3"/>
        <v>0</v>
      </c>
      <c r="Z68" s="154" t="s">
        <v>5262</v>
      </c>
      <c r="AA68" s="242" t="b">
        <f t="shared" si="4"/>
        <v>0</v>
      </c>
      <c r="AB68" s="154" t="s">
        <v>652</v>
      </c>
      <c r="AC68" s="242" t="str">
        <f>IF(AB68="","N/A",INDIRECT("MTR!"&amp;ADDRESS(MATCH(LEFT(AB68,9),MTR!C:C,0),COLUMN(J68)),TRUE) &amp; "")</f>
        <v>Complies</v>
      </c>
      <c r="AD68" s="157" t="str">
        <f t="shared" si="5"/>
        <v/>
      </c>
      <c r="AE68" s="152"/>
      <c r="AF68" s="152"/>
      <c r="AG68" s="152"/>
      <c r="AH68" s="152"/>
      <c r="AI68" s="152"/>
      <c r="AJ68" s="152"/>
      <c r="AK68" s="152"/>
      <c r="AL68" s="152"/>
      <c r="AM68" s="152"/>
      <c r="AN68" s="152"/>
      <c r="AO68" s="152"/>
    </row>
    <row r="69" ht="12.75" customHeight="1">
      <c r="A69" s="238" t="s">
        <v>5158</v>
      </c>
      <c r="B69" s="238" t="s">
        <v>163</v>
      </c>
      <c r="C69" s="238" t="s">
        <v>5351</v>
      </c>
      <c r="D69" s="240"/>
      <c r="E69" s="240" t="s">
        <v>92</v>
      </c>
      <c r="F69" s="240" t="str">
        <f t="array" ref="F69">XLOOKUP(Cover!$D$12,$M$1:$AD$1,$M69:$AD69)</f>
        <v>Heading</v>
      </c>
      <c r="G69" s="239" t="s">
        <v>5352</v>
      </c>
      <c r="H69" s="240"/>
      <c r="I69" s="240" t="s">
        <v>486</v>
      </c>
      <c r="J69" s="240"/>
      <c r="K69" s="240"/>
      <c r="L69" s="240" t="str">
        <f t="shared" si="1"/>
        <v/>
      </c>
      <c r="M69" s="240" t="s">
        <v>390</v>
      </c>
      <c r="N69" s="240" t="s">
        <v>390</v>
      </c>
      <c r="O69" s="240" t="s">
        <v>390</v>
      </c>
      <c r="P69" s="240" t="s">
        <v>390</v>
      </c>
      <c r="Q69" s="240" t="s">
        <v>390</v>
      </c>
      <c r="R69" s="240" t="s">
        <v>390</v>
      </c>
      <c r="S69" s="240" t="s">
        <v>390</v>
      </c>
      <c r="T69" s="240" t="s">
        <v>390</v>
      </c>
      <c r="U69" s="240" t="s">
        <v>390</v>
      </c>
      <c r="V69" s="240"/>
      <c r="W69" s="242" t="b">
        <f t="shared" si="2"/>
        <v>0</v>
      </c>
      <c r="X69" s="240" t="s">
        <v>391</v>
      </c>
      <c r="Y69" s="242" t="b">
        <f t="shared" si="3"/>
        <v>0</v>
      </c>
      <c r="Z69" s="240"/>
      <c r="AA69" s="242" t="b">
        <f t="shared" si="4"/>
        <v>0</v>
      </c>
      <c r="AB69" s="240"/>
      <c r="AC69" s="242" t="str">
        <f>IF(AB69="","N/A",INDIRECT("MTR!"&amp;ADDRESS(MATCH(LEFT(AB69,9),MTR!C:C,0),COLUMN(J69)),TRUE) &amp; "")</f>
        <v>N/A</v>
      </c>
      <c r="AD69" s="157" t="str">
        <f t="shared" si="5"/>
        <v/>
      </c>
      <c r="AE69" s="152"/>
      <c r="AF69" s="152"/>
      <c r="AG69" s="152"/>
      <c r="AH69" s="152"/>
      <c r="AI69" s="152"/>
      <c r="AJ69" s="152"/>
      <c r="AK69" s="152"/>
      <c r="AL69" s="152"/>
      <c r="AM69" s="152"/>
      <c r="AN69" s="152"/>
      <c r="AO69" s="152"/>
    </row>
    <row r="70" ht="12.75" customHeight="1">
      <c r="A70" s="244" t="s">
        <v>5158</v>
      </c>
      <c r="B70" s="244" t="s">
        <v>163</v>
      </c>
      <c r="C70" s="244" t="s">
        <v>5353</v>
      </c>
      <c r="D70" s="154" t="s">
        <v>2337</v>
      </c>
      <c r="E70" s="154"/>
      <c r="F70" s="154" t="str">
        <f t="array" ref="F70">XLOOKUP(Cover!$D$12,$M$1:$AD$1,$M70:$AD70)</f>
        <v>Mandatory</v>
      </c>
      <c r="G70" s="154" t="s">
        <v>5354</v>
      </c>
      <c r="H70" s="154" t="s">
        <v>165</v>
      </c>
      <c r="I70" s="154" t="s">
        <v>479</v>
      </c>
      <c r="J70" s="247" t="s">
        <v>445</v>
      </c>
      <c r="K70" s="247" t="s">
        <v>5355</v>
      </c>
      <c r="L70" s="154" t="str">
        <f t="shared" si="1"/>
        <v/>
      </c>
      <c r="M70" s="154" t="s">
        <v>60</v>
      </c>
      <c r="N70" s="154" t="s">
        <v>60</v>
      </c>
      <c r="O70" s="154" t="s">
        <v>60</v>
      </c>
      <c r="P70" s="154" t="s">
        <v>60</v>
      </c>
      <c r="Q70" s="154" t="s">
        <v>60</v>
      </c>
      <c r="R70" s="154" t="s">
        <v>60</v>
      </c>
      <c r="S70" s="154" t="s">
        <v>66</v>
      </c>
      <c r="T70" s="154" t="s">
        <v>66</v>
      </c>
      <c r="U70" s="154" t="s">
        <v>66</v>
      </c>
      <c r="V70" s="154"/>
      <c r="W70" s="242" t="b">
        <f t="shared" si="2"/>
        <v>1</v>
      </c>
      <c r="X70" s="154" t="s">
        <v>400</v>
      </c>
      <c r="Y70" s="242" t="b">
        <f t="shared" si="3"/>
        <v>0</v>
      </c>
      <c r="Z70" s="274" t="s">
        <v>5211</v>
      </c>
      <c r="AA70" s="242" t="b">
        <f t="shared" si="4"/>
        <v>0</v>
      </c>
      <c r="AB70" s="154" t="s">
        <v>629</v>
      </c>
      <c r="AC70" s="242" t="str">
        <f>IF(AB70="","N/A",INDIRECT("MTR!"&amp;ADDRESS(MATCH(LEFT(AB70,9),MTR!C:C,0),COLUMN(J70)),TRUE) &amp; "")</f>
        <v>Complies</v>
      </c>
      <c r="AD70" s="157" t="str">
        <f t="shared" si="5"/>
        <v/>
      </c>
      <c r="AE70" s="152"/>
      <c r="AF70" s="152"/>
      <c r="AG70" s="152"/>
      <c r="AH70" s="152"/>
      <c r="AI70" s="152"/>
      <c r="AJ70" s="152"/>
      <c r="AK70" s="152"/>
      <c r="AL70" s="152"/>
      <c r="AM70" s="152"/>
      <c r="AN70" s="152"/>
      <c r="AO70" s="152"/>
    </row>
    <row r="71" ht="12.75" customHeight="1">
      <c r="A71" s="244" t="s">
        <v>5158</v>
      </c>
      <c r="B71" s="244" t="s">
        <v>163</v>
      </c>
      <c r="C71" s="244" t="s">
        <v>5356</v>
      </c>
      <c r="D71" s="154" t="s">
        <v>2337</v>
      </c>
      <c r="E71" s="154"/>
      <c r="F71" s="154" t="str">
        <f t="array" ref="F71">XLOOKUP(Cover!$D$12,$M$1:$AD$1,$M71:$AD71)</f>
        <v>Mandatory</v>
      </c>
      <c r="G71" s="154" t="s">
        <v>5357</v>
      </c>
      <c r="H71" s="154" t="s">
        <v>165</v>
      </c>
      <c r="I71" s="154" t="s">
        <v>479</v>
      </c>
      <c r="J71" s="247" t="s">
        <v>445</v>
      </c>
      <c r="K71" s="247" t="s">
        <v>5358</v>
      </c>
      <c r="L71" s="154" t="str">
        <f t="shared" si="1"/>
        <v/>
      </c>
      <c r="M71" s="154" t="s">
        <v>60</v>
      </c>
      <c r="N71" s="154" t="s">
        <v>60</v>
      </c>
      <c r="O71" s="154" t="s">
        <v>60</v>
      </c>
      <c r="P71" s="154" t="s">
        <v>60</v>
      </c>
      <c r="Q71" s="154" t="s">
        <v>60</v>
      </c>
      <c r="R71" s="154" t="s">
        <v>60</v>
      </c>
      <c r="S71" s="154" t="s">
        <v>66</v>
      </c>
      <c r="T71" s="154" t="s">
        <v>66</v>
      </c>
      <c r="U71" s="154" t="s">
        <v>66</v>
      </c>
      <c r="V71" s="154"/>
      <c r="W71" s="242" t="b">
        <f t="shared" si="2"/>
        <v>1</v>
      </c>
      <c r="X71" s="154" t="s">
        <v>400</v>
      </c>
      <c r="Y71" s="242" t="b">
        <f t="shared" si="3"/>
        <v>0</v>
      </c>
      <c r="Z71" s="274" t="s">
        <v>5211</v>
      </c>
      <c r="AA71" s="242" t="b">
        <f t="shared" si="4"/>
        <v>0</v>
      </c>
      <c r="AB71" s="154" t="s">
        <v>629</v>
      </c>
      <c r="AC71" s="242" t="str">
        <f>IF(AB71="","N/A",INDIRECT("MTR!"&amp;ADDRESS(MATCH(LEFT(AB71,9),MTR!C:C,0),COLUMN(J71)),TRUE) &amp; "")</f>
        <v>Complies</v>
      </c>
      <c r="AD71" s="157" t="str">
        <f t="shared" si="5"/>
        <v/>
      </c>
      <c r="AE71" s="152"/>
      <c r="AF71" s="152"/>
      <c r="AG71" s="152"/>
      <c r="AH71" s="152"/>
      <c r="AI71" s="152"/>
      <c r="AJ71" s="152"/>
      <c r="AK71" s="152"/>
      <c r="AL71" s="152"/>
      <c r="AM71" s="152"/>
      <c r="AN71" s="152"/>
      <c r="AO71" s="152"/>
    </row>
    <row r="72" ht="12.75" customHeight="1">
      <c r="A72" s="244" t="s">
        <v>5158</v>
      </c>
      <c r="B72" s="244" t="s">
        <v>163</v>
      </c>
      <c r="C72" s="244" t="s">
        <v>5359</v>
      </c>
      <c r="D72" s="154" t="s">
        <v>739</v>
      </c>
      <c r="E72" s="154"/>
      <c r="F72" s="154" t="str">
        <f t="array" ref="F72">XLOOKUP(Cover!$D$12,$M$1:$AD$1,$M72:$AD72)</f>
        <v>Mandatory</v>
      </c>
      <c r="G72" s="154" t="s">
        <v>5360</v>
      </c>
      <c r="H72" s="154" t="s">
        <v>5268</v>
      </c>
      <c r="I72" s="154" t="s">
        <v>486</v>
      </c>
      <c r="J72" s="154"/>
      <c r="K72" s="247" t="s">
        <v>5361</v>
      </c>
      <c r="L72" s="154" t="str">
        <f t="shared" si="1"/>
        <v>Compliance Statement missing!</v>
      </c>
      <c r="M72" s="154" t="s">
        <v>60</v>
      </c>
      <c r="N72" s="154" t="s">
        <v>60</v>
      </c>
      <c r="O72" s="154" t="s">
        <v>60</v>
      </c>
      <c r="P72" s="154" t="s">
        <v>60</v>
      </c>
      <c r="Q72" s="154" t="s">
        <v>60</v>
      </c>
      <c r="R72" s="154" t="s">
        <v>60</v>
      </c>
      <c r="S72" s="154" t="s">
        <v>60</v>
      </c>
      <c r="T72" s="154" t="s">
        <v>60</v>
      </c>
      <c r="U72" s="154" t="s">
        <v>60</v>
      </c>
      <c r="V72" s="154"/>
      <c r="W72" s="242" t="b">
        <f t="shared" si="2"/>
        <v>0</v>
      </c>
      <c r="X72" s="154" t="s">
        <v>400</v>
      </c>
      <c r="Y72" s="242" t="b">
        <f t="shared" si="3"/>
        <v>0</v>
      </c>
      <c r="Z72" s="154" t="s">
        <v>5362</v>
      </c>
      <c r="AA72" s="242" t="b">
        <f t="shared" si="4"/>
        <v>1</v>
      </c>
      <c r="AB72" s="154" t="s">
        <v>637</v>
      </c>
      <c r="AC72" s="242" t="str">
        <f>IF(AB72="","N/A",INDIRECT("MTR!"&amp;ADDRESS(MATCH(LEFT(AB72,9),MTR!C:C,0),COLUMN(J72)),TRUE) &amp; "")</f>
        <v>Complies</v>
      </c>
      <c r="AD72" s="157" t="str">
        <f t="shared" si="5"/>
        <v>Compliance Statement missing!</v>
      </c>
      <c r="AE72" s="152"/>
      <c r="AF72" s="152"/>
      <c r="AG72" s="152"/>
      <c r="AH72" s="152"/>
      <c r="AI72" s="152"/>
      <c r="AJ72" s="152"/>
      <c r="AK72" s="152"/>
      <c r="AL72" s="152"/>
      <c r="AM72" s="152"/>
      <c r="AN72" s="152"/>
      <c r="AO72" s="152"/>
    </row>
    <row r="73" ht="12.75" customHeight="1">
      <c r="A73" s="244" t="s">
        <v>5158</v>
      </c>
      <c r="B73" s="244" t="s">
        <v>163</v>
      </c>
      <c r="C73" s="244" t="s">
        <v>5363</v>
      </c>
      <c r="D73" s="154" t="s">
        <v>739</v>
      </c>
      <c r="E73" s="154"/>
      <c r="F73" s="154" t="str">
        <f t="array" ref="F73">XLOOKUP(Cover!$D$12,$M$1:$AD$1,$M73:$AD73)</f>
        <v>Mandatory</v>
      </c>
      <c r="G73" s="154" t="s">
        <v>5364</v>
      </c>
      <c r="H73" s="154" t="s">
        <v>5268</v>
      </c>
      <c r="I73" s="154" t="s">
        <v>486</v>
      </c>
      <c r="J73" s="247" t="s">
        <v>445</v>
      </c>
      <c r="K73" s="247" t="s">
        <v>5365</v>
      </c>
      <c r="L73" s="154" t="str">
        <f t="shared" si="1"/>
        <v/>
      </c>
      <c r="M73" s="154" t="s">
        <v>60</v>
      </c>
      <c r="N73" s="154" t="s">
        <v>60</v>
      </c>
      <c r="O73" s="154" t="s">
        <v>60</v>
      </c>
      <c r="P73" s="154" t="s">
        <v>60</v>
      </c>
      <c r="Q73" s="154" t="s">
        <v>60</v>
      </c>
      <c r="R73" s="154" t="s">
        <v>60</v>
      </c>
      <c r="S73" s="154" t="s">
        <v>60</v>
      </c>
      <c r="T73" s="154" t="s">
        <v>60</v>
      </c>
      <c r="U73" s="154" t="s">
        <v>60</v>
      </c>
      <c r="V73" s="154"/>
      <c r="W73" s="242" t="b">
        <f t="shared" si="2"/>
        <v>1</v>
      </c>
      <c r="X73" s="154" t="s">
        <v>400</v>
      </c>
      <c r="Y73" s="242" t="b">
        <f t="shared" si="3"/>
        <v>0</v>
      </c>
      <c r="Z73" s="154" t="s">
        <v>5366</v>
      </c>
      <c r="AA73" s="242" t="b">
        <f t="shared" si="4"/>
        <v>0</v>
      </c>
      <c r="AB73" s="154" t="s">
        <v>637</v>
      </c>
      <c r="AC73" s="242" t="str">
        <f>IF(AB73="","N/A",INDIRECT("MTR!"&amp;ADDRESS(MATCH(LEFT(AB73,9),MTR!C:C,0),COLUMN(J73)),TRUE) &amp; "")</f>
        <v>Complies</v>
      </c>
      <c r="AD73" s="157" t="str">
        <f t="shared" si="5"/>
        <v/>
      </c>
      <c r="AE73" s="152"/>
      <c r="AF73" s="152"/>
      <c r="AG73" s="152"/>
      <c r="AH73" s="152"/>
      <c r="AI73" s="152"/>
      <c r="AJ73" s="152"/>
      <c r="AK73" s="152"/>
      <c r="AL73" s="152"/>
      <c r="AM73" s="152"/>
      <c r="AN73" s="152"/>
      <c r="AO73" s="152"/>
    </row>
    <row r="74" ht="12.75" customHeight="1">
      <c r="A74" s="244" t="s">
        <v>5158</v>
      </c>
      <c r="B74" s="244" t="s">
        <v>163</v>
      </c>
      <c r="C74" s="244" t="s">
        <v>5367</v>
      </c>
      <c r="D74" s="154" t="s">
        <v>739</v>
      </c>
      <c r="E74" s="154"/>
      <c r="F74" s="154" t="str">
        <f t="array" ref="F74">XLOOKUP(Cover!$D$12,$M$1:$AD$1,$M74:$AD74)</f>
        <v>Mandatory</v>
      </c>
      <c r="G74" s="154" t="s">
        <v>5368</v>
      </c>
      <c r="H74" s="154" t="s">
        <v>5268</v>
      </c>
      <c r="I74" s="154" t="s">
        <v>486</v>
      </c>
      <c r="J74" s="247" t="s">
        <v>445</v>
      </c>
      <c r="K74" s="247" t="s">
        <v>5369</v>
      </c>
      <c r="L74" s="154" t="str">
        <f t="shared" si="1"/>
        <v/>
      </c>
      <c r="M74" s="154" t="s">
        <v>60</v>
      </c>
      <c r="N74" s="154" t="s">
        <v>60</v>
      </c>
      <c r="O74" s="154" t="s">
        <v>60</v>
      </c>
      <c r="P74" s="154" t="s">
        <v>60</v>
      </c>
      <c r="Q74" s="154" t="s">
        <v>60</v>
      </c>
      <c r="R74" s="154" t="s">
        <v>60</v>
      </c>
      <c r="S74" s="154" t="s">
        <v>60</v>
      </c>
      <c r="T74" s="154" t="s">
        <v>60</v>
      </c>
      <c r="U74" s="154" t="s">
        <v>60</v>
      </c>
      <c r="V74" s="154"/>
      <c r="W74" s="242" t="b">
        <f t="shared" si="2"/>
        <v>1</v>
      </c>
      <c r="X74" s="154" t="s">
        <v>400</v>
      </c>
      <c r="Y74" s="242" t="b">
        <f t="shared" si="3"/>
        <v>0</v>
      </c>
      <c r="Z74" s="154" t="s">
        <v>5370</v>
      </c>
      <c r="AA74" s="242" t="b">
        <f t="shared" si="4"/>
        <v>0</v>
      </c>
      <c r="AB74" s="154" t="s">
        <v>637</v>
      </c>
      <c r="AC74" s="242" t="str">
        <f>IF(AB74="","N/A",INDIRECT("MTR!"&amp;ADDRESS(MATCH(LEFT(AB74,9),MTR!C:C,0),COLUMN(J74)),TRUE) &amp; "")</f>
        <v>Complies</v>
      </c>
      <c r="AD74" s="157" t="str">
        <f t="shared" si="5"/>
        <v/>
      </c>
      <c r="AE74" s="152"/>
      <c r="AF74" s="152"/>
      <c r="AG74" s="152"/>
      <c r="AH74" s="152"/>
      <c r="AI74" s="152"/>
      <c r="AJ74" s="152"/>
      <c r="AK74" s="152"/>
      <c r="AL74" s="152"/>
      <c r="AM74" s="152"/>
      <c r="AN74" s="152"/>
      <c r="AO74" s="152"/>
    </row>
    <row r="75" ht="12.75" customHeight="1">
      <c r="A75" s="244" t="s">
        <v>5158</v>
      </c>
      <c r="B75" s="244" t="s">
        <v>163</v>
      </c>
      <c r="C75" s="244" t="s">
        <v>5371</v>
      </c>
      <c r="D75" s="154" t="s">
        <v>739</v>
      </c>
      <c r="E75" s="154"/>
      <c r="F75" s="154" t="str">
        <f t="array" ref="F75">XLOOKUP(Cover!$D$12,$M$1:$AD$1,$M75:$AD75)</f>
        <v>Mandatory</v>
      </c>
      <c r="G75" s="154" t="s">
        <v>5372</v>
      </c>
      <c r="H75" s="154" t="s">
        <v>5268</v>
      </c>
      <c r="I75" s="154" t="s">
        <v>486</v>
      </c>
      <c r="J75" s="247" t="s">
        <v>445</v>
      </c>
      <c r="K75" s="247" t="s">
        <v>5373</v>
      </c>
      <c r="L75" s="154" t="str">
        <f t="shared" si="1"/>
        <v/>
      </c>
      <c r="M75" s="154" t="s">
        <v>60</v>
      </c>
      <c r="N75" s="154" t="s">
        <v>60</v>
      </c>
      <c r="O75" s="154" t="s">
        <v>60</v>
      </c>
      <c r="P75" s="154" t="s">
        <v>60</v>
      </c>
      <c r="Q75" s="154" t="s">
        <v>60</v>
      </c>
      <c r="R75" s="154" t="s">
        <v>60</v>
      </c>
      <c r="S75" s="154" t="s">
        <v>60</v>
      </c>
      <c r="T75" s="154" t="s">
        <v>60</v>
      </c>
      <c r="U75" s="154" t="s">
        <v>60</v>
      </c>
      <c r="V75" s="154"/>
      <c r="W75" s="242" t="b">
        <f t="shared" si="2"/>
        <v>1</v>
      </c>
      <c r="X75" s="154" t="s">
        <v>400</v>
      </c>
      <c r="Y75" s="242" t="b">
        <f t="shared" si="3"/>
        <v>0</v>
      </c>
      <c r="Z75" s="154" t="s">
        <v>5374</v>
      </c>
      <c r="AA75" s="242" t="b">
        <f t="shared" si="4"/>
        <v>0</v>
      </c>
      <c r="AB75" s="154" t="s">
        <v>637</v>
      </c>
      <c r="AC75" s="242" t="str">
        <f>IF(AB75="","N/A",INDIRECT("MTR!"&amp;ADDRESS(MATCH(LEFT(AB75,9),MTR!C:C,0),COLUMN(J75)),TRUE) &amp; "")</f>
        <v>Complies</v>
      </c>
      <c r="AD75" s="157" t="str">
        <f t="shared" si="5"/>
        <v/>
      </c>
      <c r="AE75" s="152"/>
      <c r="AF75" s="152"/>
      <c r="AG75" s="152"/>
      <c r="AH75" s="152"/>
      <c r="AI75" s="152"/>
      <c r="AJ75" s="152"/>
      <c r="AK75" s="152"/>
      <c r="AL75" s="152"/>
      <c r="AM75" s="152"/>
      <c r="AN75" s="152"/>
      <c r="AO75" s="152"/>
    </row>
    <row r="76" ht="12.75" customHeight="1">
      <c r="A76" s="244" t="s">
        <v>5158</v>
      </c>
      <c r="B76" s="244" t="s">
        <v>163</v>
      </c>
      <c r="C76" s="244" t="s">
        <v>5375</v>
      </c>
      <c r="D76" s="154" t="s">
        <v>739</v>
      </c>
      <c r="E76" s="154"/>
      <c r="F76" s="154" t="str">
        <f t="array" ref="F76">XLOOKUP(Cover!$D$12,$M$1:$AD$1,$M76:$AD76)</f>
        <v>Mandatory</v>
      </c>
      <c r="G76" s="154" t="s">
        <v>5376</v>
      </c>
      <c r="H76" s="154" t="s">
        <v>5268</v>
      </c>
      <c r="I76" s="154" t="s">
        <v>486</v>
      </c>
      <c r="J76" s="247" t="s">
        <v>445</v>
      </c>
      <c r="K76" s="247" t="s">
        <v>5377</v>
      </c>
      <c r="L76" s="154" t="str">
        <f t="shared" si="1"/>
        <v/>
      </c>
      <c r="M76" s="154" t="s">
        <v>60</v>
      </c>
      <c r="N76" s="154" t="s">
        <v>60</v>
      </c>
      <c r="O76" s="154" t="s">
        <v>60</v>
      </c>
      <c r="P76" s="154" t="s">
        <v>60</v>
      </c>
      <c r="Q76" s="154" t="s">
        <v>60</v>
      </c>
      <c r="R76" s="154" t="s">
        <v>60</v>
      </c>
      <c r="S76" s="154" t="s">
        <v>60</v>
      </c>
      <c r="T76" s="154" t="s">
        <v>60</v>
      </c>
      <c r="U76" s="154" t="s">
        <v>60</v>
      </c>
      <c r="V76" s="154"/>
      <c r="W76" s="242" t="b">
        <f t="shared" si="2"/>
        <v>1</v>
      </c>
      <c r="X76" s="154" t="s">
        <v>400</v>
      </c>
      <c r="Y76" s="242" t="b">
        <f t="shared" si="3"/>
        <v>0</v>
      </c>
      <c r="Z76" s="154" t="s">
        <v>5378</v>
      </c>
      <c r="AA76" s="242" t="b">
        <f t="shared" si="4"/>
        <v>0</v>
      </c>
      <c r="AB76" s="154" t="s">
        <v>637</v>
      </c>
      <c r="AC76" s="242" t="str">
        <f>IF(AB76="","N/A",INDIRECT("MTR!"&amp;ADDRESS(MATCH(LEFT(AB76,9),MTR!C:C,0),COLUMN(J76)),TRUE) &amp; "")</f>
        <v>Complies</v>
      </c>
      <c r="AD76" s="157" t="str">
        <f t="shared" si="5"/>
        <v/>
      </c>
      <c r="AE76" s="152"/>
      <c r="AF76" s="152"/>
      <c r="AG76" s="152"/>
      <c r="AH76" s="152"/>
      <c r="AI76" s="152"/>
      <c r="AJ76" s="152"/>
      <c r="AK76" s="152"/>
      <c r="AL76" s="152"/>
      <c r="AM76" s="152"/>
      <c r="AN76" s="152"/>
      <c r="AO76" s="152"/>
    </row>
    <row r="77" ht="12.75" customHeight="1">
      <c r="A77" s="244" t="s">
        <v>5158</v>
      </c>
      <c r="B77" s="244" t="s">
        <v>163</v>
      </c>
      <c r="C77" s="244" t="s">
        <v>5379</v>
      </c>
      <c r="D77" s="154" t="s">
        <v>739</v>
      </c>
      <c r="E77" s="154"/>
      <c r="F77" s="154" t="str">
        <f t="array" ref="F77">XLOOKUP(Cover!$D$12,$M$1:$AD$1,$M77:$AD77)</f>
        <v>Mandatory</v>
      </c>
      <c r="G77" s="154" t="s">
        <v>5380</v>
      </c>
      <c r="H77" s="154" t="s">
        <v>5268</v>
      </c>
      <c r="I77" s="154" t="s">
        <v>486</v>
      </c>
      <c r="J77" s="247" t="s">
        <v>445</v>
      </c>
      <c r="K77" s="247" t="s">
        <v>5381</v>
      </c>
      <c r="L77" s="154" t="str">
        <f t="shared" si="1"/>
        <v/>
      </c>
      <c r="M77" s="154" t="s">
        <v>60</v>
      </c>
      <c r="N77" s="154" t="s">
        <v>60</v>
      </c>
      <c r="O77" s="154" t="s">
        <v>60</v>
      </c>
      <c r="P77" s="154" t="s">
        <v>60</v>
      </c>
      <c r="Q77" s="154" t="s">
        <v>60</v>
      </c>
      <c r="R77" s="154" t="s">
        <v>60</v>
      </c>
      <c r="S77" s="154" t="s">
        <v>60</v>
      </c>
      <c r="T77" s="154" t="s">
        <v>60</v>
      </c>
      <c r="U77" s="154" t="s">
        <v>60</v>
      </c>
      <c r="V77" s="154"/>
      <c r="W77" s="242" t="b">
        <f t="shared" si="2"/>
        <v>1</v>
      </c>
      <c r="X77" s="154" t="s">
        <v>400</v>
      </c>
      <c r="Y77" s="242" t="b">
        <f t="shared" si="3"/>
        <v>0</v>
      </c>
      <c r="Z77" s="154" t="s">
        <v>5382</v>
      </c>
      <c r="AA77" s="242" t="b">
        <f t="shared" si="4"/>
        <v>0</v>
      </c>
      <c r="AB77" s="154" t="s">
        <v>637</v>
      </c>
      <c r="AC77" s="242" t="str">
        <f>IF(AB77="","N/A",INDIRECT("MTR!"&amp;ADDRESS(MATCH(LEFT(AB77,9),MTR!C:C,0),COLUMN(J77)),TRUE) &amp; "")</f>
        <v>Complies</v>
      </c>
      <c r="AD77" s="157" t="str">
        <f t="shared" si="5"/>
        <v/>
      </c>
      <c r="AE77" s="152"/>
      <c r="AF77" s="152"/>
      <c r="AG77" s="152"/>
      <c r="AH77" s="152"/>
      <c r="AI77" s="152"/>
      <c r="AJ77" s="152"/>
      <c r="AK77" s="152"/>
      <c r="AL77" s="152"/>
      <c r="AM77" s="152"/>
      <c r="AN77" s="152"/>
      <c r="AO77" s="152"/>
    </row>
    <row r="78" ht="12.75" customHeight="1">
      <c r="A78" s="244" t="s">
        <v>5158</v>
      </c>
      <c r="B78" s="244" t="s">
        <v>163</v>
      </c>
      <c r="C78" s="244" t="s">
        <v>5383</v>
      </c>
      <c r="D78" s="154" t="s">
        <v>542</v>
      </c>
      <c r="E78" s="154"/>
      <c r="F78" s="154" t="str">
        <f t="array" ref="F78">XLOOKUP(Cover!$D$12,$M$1:$AD$1,$M78:$AD78)</f>
        <v>Mandatory</v>
      </c>
      <c r="G78" s="154" t="s">
        <v>5384</v>
      </c>
      <c r="H78" s="154" t="s">
        <v>5268</v>
      </c>
      <c r="I78" s="154" t="s">
        <v>486</v>
      </c>
      <c r="J78" s="247" t="s">
        <v>445</v>
      </c>
      <c r="K78" s="247" t="s">
        <v>5385</v>
      </c>
      <c r="L78" s="154" t="str">
        <f t="shared" si="1"/>
        <v/>
      </c>
      <c r="M78" s="154" t="s">
        <v>66</v>
      </c>
      <c r="N78" s="154" t="s">
        <v>66</v>
      </c>
      <c r="O78" s="154" t="s">
        <v>60</v>
      </c>
      <c r="P78" s="154" t="s">
        <v>60</v>
      </c>
      <c r="Q78" s="154" t="s">
        <v>60</v>
      </c>
      <c r="R78" s="154" t="s">
        <v>60</v>
      </c>
      <c r="S78" s="154" t="s">
        <v>66</v>
      </c>
      <c r="T78" s="154" t="s">
        <v>60</v>
      </c>
      <c r="U78" s="154" t="s">
        <v>60</v>
      </c>
      <c r="V78" s="154"/>
      <c r="W78" s="242" t="b">
        <f t="shared" si="2"/>
        <v>1</v>
      </c>
      <c r="X78" s="154" t="s">
        <v>400</v>
      </c>
      <c r="Y78" s="242" t="b">
        <f t="shared" si="3"/>
        <v>0</v>
      </c>
      <c r="Z78" s="154" t="s">
        <v>5386</v>
      </c>
      <c r="AA78" s="242" t="b">
        <f t="shared" si="4"/>
        <v>0</v>
      </c>
      <c r="AB78" s="154" t="s">
        <v>713</v>
      </c>
      <c r="AC78" s="242" t="str">
        <f>IF(AB78="","N/A",INDIRECT("MTR!"&amp;ADDRESS(MATCH(LEFT(AB78,9),MTR!C:C,0),COLUMN(J78)),TRUE) &amp; "")</f>
        <v>Complies</v>
      </c>
      <c r="AD78" s="157" t="str">
        <f t="shared" si="5"/>
        <v/>
      </c>
      <c r="AE78" s="152"/>
      <c r="AF78" s="152"/>
      <c r="AG78" s="152"/>
      <c r="AH78" s="152"/>
      <c r="AI78" s="152"/>
      <c r="AJ78" s="152"/>
      <c r="AK78" s="152"/>
      <c r="AL78" s="152"/>
      <c r="AM78" s="152"/>
      <c r="AN78" s="152"/>
      <c r="AO78" s="152"/>
    </row>
    <row r="79" ht="12.75" customHeight="1">
      <c r="A79" s="244" t="s">
        <v>5158</v>
      </c>
      <c r="B79" s="244" t="s">
        <v>163</v>
      </c>
      <c r="C79" s="244" t="s">
        <v>5387</v>
      </c>
      <c r="D79" s="154" t="s">
        <v>602</v>
      </c>
      <c r="E79" s="154"/>
      <c r="F79" s="154" t="str">
        <f t="array" ref="F79">XLOOKUP(Cover!$D$12,$M$1:$AD$1,$M79:$AD79)</f>
        <v>Mandatory</v>
      </c>
      <c r="G79" s="154" t="s">
        <v>5388</v>
      </c>
      <c r="H79" s="154" t="s">
        <v>232</v>
      </c>
      <c r="I79" s="154" t="s">
        <v>486</v>
      </c>
      <c r="J79" s="247" t="s">
        <v>445</v>
      </c>
      <c r="K79" s="247" t="s">
        <v>5385</v>
      </c>
      <c r="L79" s="154" t="str">
        <f t="shared" si="1"/>
        <v/>
      </c>
      <c r="M79" s="154" t="s">
        <v>66</v>
      </c>
      <c r="N79" s="154" t="s">
        <v>66</v>
      </c>
      <c r="O79" s="154" t="s">
        <v>60</v>
      </c>
      <c r="P79" s="154" t="s">
        <v>60</v>
      </c>
      <c r="Q79" s="154" t="s">
        <v>60</v>
      </c>
      <c r="R79" s="154" t="s">
        <v>60</v>
      </c>
      <c r="S79" s="154" t="s">
        <v>66</v>
      </c>
      <c r="T79" s="154" t="s">
        <v>60</v>
      </c>
      <c r="U79" s="154" t="s">
        <v>60</v>
      </c>
      <c r="V79" s="154"/>
      <c r="W79" s="242" t="b">
        <f t="shared" si="2"/>
        <v>1</v>
      </c>
      <c r="X79" s="154" t="s">
        <v>400</v>
      </c>
      <c r="Y79" s="242" t="b">
        <f t="shared" si="3"/>
        <v>0</v>
      </c>
      <c r="Z79" s="154" t="s">
        <v>5389</v>
      </c>
      <c r="AA79" s="242" t="b">
        <f t="shared" si="4"/>
        <v>0</v>
      </c>
      <c r="AB79" s="154" t="s">
        <v>652</v>
      </c>
      <c r="AC79" s="242" t="str">
        <f>IF(AB79="","N/A",INDIRECT("MTR!"&amp;ADDRESS(MATCH(LEFT(AB79,9),MTR!C:C,0),COLUMN(J79)),TRUE) &amp; "")</f>
        <v>Complies</v>
      </c>
      <c r="AD79" s="157" t="str">
        <f t="shared" si="5"/>
        <v/>
      </c>
      <c r="AE79" s="152"/>
      <c r="AF79" s="152"/>
      <c r="AG79" s="152"/>
      <c r="AH79" s="152"/>
      <c r="AI79" s="152"/>
      <c r="AJ79" s="152"/>
      <c r="AK79" s="152"/>
      <c r="AL79" s="152"/>
      <c r="AM79" s="152"/>
      <c r="AN79" s="152"/>
      <c r="AO79" s="152"/>
    </row>
    <row r="80" ht="12.75" customHeight="1">
      <c r="A80" s="244" t="s">
        <v>5158</v>
      </c>
      <c r="B80" s="244" t="s">
        <v>163</v>
      </c>
      <c r="C80" s="244" t="s">
        <v>5390</v>
      </c>
      <c r="D80" s="154" t="s">
        <v>602</v>
      </c>
      <c r="E80" s="154"/>
      <c r="F80" s="154" t="str">
        <f t="array" ref="F80">XLOOKUP(Cover!$D$12,$M$1:$AD$1,$M80:$AD80)</f>
        <v>Mandatory</v>
      </c>
      <c r="G80" s="154" t="s">
        <v>5391</v>
      </c>
      <c r="H80" s="154" t="s">
        <v>232</v>
      </c>
      <c r="I80" s="154" t="s">
        <v>486</v>
      </c>
      <c r="J80" s="247" t="s">
        <v>445</v>
      </c>
      <c r="K80" s="247" t="s">
        <v>5392</v>
      </c>
      <c r="L80" s="154" t="str">
        <f t="shared" si="1"/>
        <v/>
      </c>
      <c r="M80" s="154" t="s">
        <v>66</v>
      </c>
      <c r="N80" s="154" t="s">
        <v>66</v>
      </c>
      <c r="O80" s="154" t="s">
        <v>60</v>
      </c>
      <c r="P80" s="154" t="s">
        <v>60</v>
      </c>
      <c r="Q80" s="154" t="s">
        <v>60</v>
      </c>
      <c r="R80" s="154" t="s">
        <v>60</v>
      </c>
      <c r="S80" s="154" t="s">
        <v>66</v>
      </c>
      <c r="T80" s="154" t="s">
        <v>60</v>
      </c>
      <c r="U80" s="154" t="s">
        <v>60</v>
      </c>
      <c r="V80" s="154"/>
      <c r="W80" s="242" t="b">
        <f t="shared" si="2"/>
        <v>1</v>
      </c>
      <c r="X80" s="154" t="s">
        <v>400</v>
      </c>
      <c r="Y80" s="242" t="b">
        <f t="shared" si="3"/>
        <v>0</v>
      </c>
      <c r="Z80" s="154" t="s">
        <v>5393</v>
      </c>
      <c r="AA80" s="242" t="b">
        <f t="shared" si="4"/>
        <v>0</v>
      </c>
      <c r="AB80" s="154" t="s">
        <v>652</v>
      </c>
      <c r="AC80" s="242" t="str">
        <f>IF(AB80="","N/A",INDIRECT("MTR!"&amp;ADDRESS(MATCH(LEFT(AB80,9),MTR!C:C,0),COLUMN(J80)),TRUE) &amp; "")</f>
        <v>Complies</v>
      </c>
      <c r="AD80" s="157" t="str">
        <f t="shared" si="5"/>
        <v/>
      </c>
      <c r="AE80" s="152"/>
      <c r="AF80" s="152"/>
      <c r="AG80" s="152"/>
      <c r="AH80" s="152"/>
      <c r="AI80" s="152"/>
      <c r="AJ80" s="152"/>
      <c r="AK80" s="152"/>
      <c r="AL80" s="152"/>
      <c r="AM80" s="152"/>
      <c r="AN80" s="152"/>
      <c r="AO80" s="152"/>
    </row>
    <row r="81" ht="12.75" customHeight="1">
      <c r="A81" s="244" t="s">
        <v>5158</v>
      </c>
      <c r="B81" s="244" t="s">
        <v>163</v>
      </c>
      <c r="C81" s="244" t="s">
        <v>5394</v>
      </c>
      <c r="D81" s="154" t="s">
        <v>602</v>
      </c>
      <c r="E81" s="154"/>
      <c r="F81" s="154" t="str">
        <f t="array" ref="F81">XLOOKUP(Cover!$D$12,$M$1:$AD$1,$M81:$AD81)</f>
        <v>Mandatory</v>
      </c>
      <c r="G81" s="154" t="s">
        <v>5395</v>
      </c>
      <c r="H81" s="154" t="s">
        <v>232</v>
      </c>
      <c r="I81" s="154" t="s">
        <v>486</v>
      </c>
      <c r="J81" s="247" t="s">
        <v>445</v>
      </c>
      <c r="K81" s="247" t="s">
        <v>5396</v>
      </c>
      <c r="L81" s="154" t="str">
        <f t="shared" si="1"/>
        <v/>
      </c>
      <c r="M81" s="154" t="s">
        <v>66</v>
      </c>
      <c r="N81" s="154" t="s">
        <v>66</v>
      </c>
      <c r="O81" s="154" t="s">
        <v>60</v>
      </c>
      <c r="P81" s="154" t="s">
        <v>60</v>
      </c>
      <c r="Q81" s="154" t="s">
        <v>60</v>
      </c>
      <c r="R81" s="154" t="s">
        <v>60</v>
      </c>
      <c r="S81" s="154" t="s">
        <v>66</v>
      </c>
      <c r="T81" s="154" t="s">
        <v>60</v>
      </c>
      <c r="U81" s="154" t="s">
        <v>60</v>
      </c>
      <c r="V81" s="154"/>
      <c r="W81" s="242" t="b">
        <f t="shared" si="2"/>
        <v>1</v>
      </c>
      <c r="X81" s="154" t="s">
        <v>400</v>
      </c>
      <c r="Y81" s="242" t="b">
        <f t="shared" si="3"/>
        <v>0</v>
      </c>
      <c r="Z81" s="154" t="s">
        <v>5397</v>
      </c>
      <c r="AA81" s="242" t="b">
        <f t="shared" si="4"/>
        <v>0</v>
      </c>
      <c r="AB81" s="154" t="s">
        <v>652</v>
      </c>
      <c r="AC81" s="242" t="str">
        <f>IF(AB81="","N/A",INDIRECT("MTR!"&amp;ADDRESS(MATCH(LEFT(AB81,9),MTR!C:C,0),COLUMN(J81)),TRUE) &amp; "")</f>
        <v>Complies</v>
      </c>
      <c r="AD81" s="157" t="str">
        <f t="shared" si="5"/>
        <v/>
      </c>
      <c r="AE81" s="152"/>
      <c r="AF81" s="152"/>
      <c r="AG81" s="152"/>
      <c r="AH81" s="152"/>
      <c r="AI81" s="152"/>
      <c r="AJ81" s="152"/>
      <c r="AK81" s="152"/>
      <c r="AL81" s="152"/>
      <c r="AM81" s="152"/>
      <c r="AN81" s="152"/>
      <c r="AO81" s="152"/>
    </row>
    <row r="82" ht="12.75" customHeight="1">
      <c r="A82" s="244" t="s">
        <v>5158</v>
      </c>
      <c r="B82" s="244" t="s">
        <v>163</v>
      </c>
      <c r="C82" s="244" t="s">
        <v>5398</v>
      </c>
      <c r="D82" s="154" t="s">
        <v>1773</v>
      </c>
      <c r="E82" s="154"/>
      <c r="F82" s="154" t="str">
        <f t="array" ref="F82">XLOOKUP(Cover!$D$12,$M$1:$AD$1,$M82:$AD82)</f>
        <v>Mandatory</v>
      </c>
      <c r="G82" s="154" t="s">
        <v>5399</v>
      </c>
      <c r="H82" s="154" t="s">
        <v>232</v>
      </c>
      <c r="I82" s="154" t="s">
        <v>486</v>
      </c>
      <c r="J82" s="247" t="s">
        <v>445</v>
      </c>
      <c r="K82" s="247" t="s">
        <v>5400</v>
      </c>
      <c r="L82" s="154" t="str">
        <f t="shared" si="1"/>
        <v/>
      </c>
      <c r="M82" s="154" t="s">
        <v>66</v>
      </c>
      <c r="N82" s="154" t="s">
        <v>66</v>
      </c>
      <c r="O82" s="154" t="s">
        <v>60</v>
      </c>
      <c r="P82" s="154" t="s">
        <v>60</v>
      </c>
      <c r="Q82" s="154" t="s">
        <v>60</v>
      </c>
      <c r="R82" s="154" t="s">
        <v>60</v>
      </c>
      <c r="S82" s="154" t="s">
        <v>66</v>
      </c>
      <c r="T82" s="154" t="s">
        <v>60</v>
      </c>
      <c r="U82" s="154" t="s">
        <v>60</v>
      </c>
      <c r="V82" s="154"/>
      <c r="W82" s="242" t="b">
        <f t="shared" si="2"/>
        <v>1</v>
      </c>
      <c r="X82" s="154" t="s">
        <v>400</v>
      </c>
      <c r="Y82" s="242" t="b">
        <f t="shared" si="3"/>
        <v>0</v>
      </c>
      <c r="Z82" s="154" t="s">
        <v>5401</v>
      </c>
      <c r="AA82" s="242" t="b">
        <f t="shared" si="4"/>
        <v>0</v>
      </c>
      <c r="AB82" s="154" t="s">
        <v>652</v>
      </c>
      <c r="AC82" s="242" t="str">
        <f>IF(AB82="","N/A",INDIRECT("MTR!"&amp;ADDRESS(MATCH(LEFT(AB82,9),MTR!C:C,0),COLUMN(J82)),TRUE) &amp; "")</f>
        <v>Complies</v>
      </c>
      <c r="AD82" s="157" t="str">
        <f t="shared" si="5"/>
        <v/>
      </c>
      <c r="AE82" s="152"/>
      <c r="AF82" s="152"/>
      <c r="AG82" s="152"/>
      <c r="AH82" s="152"/>
      <c r="AI82" s="152"/>
      <c r="AJ82" s="152"/>
      <c r="AK82" s="152"/>
      <c r="AL82" s="152"/>
      <c r="AM82" s="152"/>
      <c r="AN82" s="152"/>
      <c r="AO82" s="152"/>
    </row>
    <row r="83" ht="12.75" customHeight="1">
      <c r="A83" s="244" t="s">
        <v>5158</v>
      </c>
      <c r="B83" s="244" t="s">
        <v>163</v>
      </c>
      <c r="C83" s="244" t="s">
        <v>5402</v>
      </c>
      <c r="D83" s="154" t="s">
        <v>1773</v>
      </c>
      <c r="E83" s="154"/>
      <c r="F83" s="154" t="str">
        <f t="array" ref="F83">XLOOKUP(Cover!$D$12,$M$1:$AD$1,$M83:$AD83)</f>
        <v>Mandatory</v>
      </c>
      <c r="G83" s="154" t="s">
        <v>5403</v>
      </c>
      <c r="H83" s="154" t="s">
        <v>232</v>
      </c>
      <c r="I83" s="154" t="s">
        <v>486</v>
      </c>
      <c r="J83" s="247" t="s">
        <v>445</v>
      </c>
      <c r="K83" s="247" t="s">
        <v>5404</v>
      </c>
      <c r="L83" s="154" t="str">
        <f t="shared" si="1"/>
        <v/>
      </c>
      <c r="M83" s="154" t="s">
        <v>66</v>
      </c>
      <c r="N83" s="154" t="s">
        <v>66</v>
      </c>
      <c r="O83" s="154" t="s">
        <v>60</v>
      </c>
      <c r="P83" s="154" t="s">
        <v>60</v>
      </c>
      <c r="Q83" s="154" t="s">
        <v>60</v>
      </c>
      <c r="R83" s="154" t="s">
        <v>60</v>
      </c>
      <c r="S83" s="154" t="s">
        <v>66</v>
      </c>
      <c r="T83" s="154" t="s">
        <v>60</v>
      </c>
      <c r="U83" s="154" t="s">
        <v>60</v>
      </c>
      <c r="V83" s="154"/>
      <c r="W83" s="242" t="b">
        <f t="shared" si="2"/>
        <v>1</v>
      </c>
      <c r="X83" s="154" t="s">
        <v>400</v>
      </c>
      <c r="Y83" s="242" t="b">
        <f t="shared" si="3"/>
        <v>0</v>
      </c>
      <c r="Z83" s="154" t="s">
        <v>5405</v>
      </c>
      <c r="AA83" s="242" t="b">
        <f t="shared" si="4"/>
        <v>0</v>
      </c>
      <c r="AB83" s="154" t="s">
        <v>652</v>
      </c>
      <c r="AC83" s="242" t="str">
        <f>IF(AB83="","N/A",INDIRECT("MTR!"&amp;ADDRESS(MATCH(LEFT(AB83,9),MTR!C:C,0),COLUMN(J83)),TRUE) &amp; "")</f>
        <v>Complies</v>
      </c>
      <c r="AD83" s="157" t="str">
        <f t="shared" si="5"/>
        <v/>
      </c>
      <c r="AE83" s="152"/>
      <c r="AF83" s="152"/>
      <c r="AG83" s="152"/>
      <c r="AH83" s="152"/>
      <c r="AI83" s="152"/>
      <c r="AJ83" s="152"/>
      <c r="AK83" s="152"/>
      <c r="AL83" s="152"/>
      <c r="AM83" s="152"/>
      <c r="AN83" s="152"/>
      <c r="AO83" s="152"/>
    </row>
    <row r="84" ht="12.75" customHeight="1">
      <c r="A84" s="244" t="s">
        <v>5158</v>
      </c>
      <c r="B84" s="244" t="s">
        <v>163</v>
      </c>
      <c r="C84" s="244" t="s">
        <v>5406</v>
      </c>
      <c r="D84" s="154" t="s">
        <v>602</v>
      </c>
      <c r="E84" s="154"/>
      <c r="F84" s="154" t="str">
        <f t="array" ref="F84">XLOOKUP(Cover!$D$12,$M$1:$AD$1,$M84:$AD84)</f>
        <v>Mandatory</v>
      </c>
      <c r="G84" s="154" t="s">
        <v>5407</v>
      </c>
      <c r="H84" s="154" t="s">
        <v>232</v>
      </c>
      <c r="I84" s="154" t="s">
        <v>486</v>
      </c>
      <c r="J84" s="247" t="s">
        <v>445</v>
      </c>
      <c r="K84" s="247" t="s">
        <v>5408</v>
      </c>
      <c r="L84" s="154" t="str">
        <f t="shared" si="1"/>
        <v/>
      </c>
      <c r="M84" s="154" t="s">
        <v>66</v>
      </c>
      <c r="N84" s="154" t="s">
        <v>66</v>
      </c>
      <c r="O84" s="154" t="s">
        <v>60</v>
      </c>
      <c r="P84" s="154" t="s">
        <v>60</v>
      </c>
      <c r="Q84" s="154" t="s">
        <v>60</v>
      </c>
      <c r="R84" s="154" t="s">
        <v>60</v>
      </c>
      <c r="S84" s="154" t="s">
        <v>66</v>
      </c>
      <c r="T84" s="154" t="s">
        <v>60</v>
      </c>
      <c r="U84" s="154" t="s">
        <v>60</v>
      </c>
      <c r="V84" s="154"/>
      <c r="W84" s="242" t="b">
        <f t="shared" si="2"/>
        <v>1</v>
      </c>
      <c r="X84" s="154" t="s">
        <v>400</v>
      </c>
      <c r="Y84" s="242" t="b">
        <f t="shared" si="3"/>
        <v>0</v>
      </c>
      <c r="Z84" s="154" t="s">
        <v>5409</v>
      </c>
      <c r="AA84" s="242" t="b">
        <f t="shared" si="4"/>
        <v>0</v>
      </c>
      <c r="AB84" s="154" t="s">
        <v>652</v>
      </c>
      <c r="AC84" s="242" t="str">
        <f>IF(AB84="","N/A",INDIRECT("MTR!"&amp;ADDRESS(MATCH(LEFT(AB84,9),MTR!C:C,0),COLUMN(J84)),TRUE) &amp; "")</f>
        <v>Complies</v>
      </c>
      <c r="AD84" s="157" t="str">
        <f t="shared" si="5"/>
        <v/>
      </c>
      <c r="AE84" s="152"/>
      <c r="AF84" s="152"/>
      <c r="AG84" s="152"/>
      <c r="AH84" s="152"/>
      <c r="AI84" s="152"/>
      <c r="AJ84" s="152"/>
      <c r="AK84" s="152"/>
      <c r="AL84" s="152"/>
      <c r="AM84" s="152"/>
      <c r="AN84" s="152"/>
      <c r="AO84" s="152"/>
    </row>
    <row r="85" ht="12.75" customHeight="1">
      <c r="A85" s="244" t="s">
        <v>5158</v>
      </c>
      <c r="B85" s="244" t="s">
        <v>163</v>
      </c>
      <c r="C85" s="244" t="s">
        <v>5410</v>
      </c>
      <c r="D85" s="154" t="s">
        <v>1069</v>
      </c>
      <c r="E85" s="154"/>
      <c r="F85" s="154" t="str">
        <f t="array" ref="F85">XLOOKUP(Cover!$D$12,$M$1:$AD$1,$M85:$AD85)</f>
        <v>Mandatory</v>
      </c>
      <c r="G85" s="154" t="s">
        <v>5411</v>
      </c>
      <c r="H85" s="154" t="s">
        <v>232</v>
      </c>
      <c r="I85" s="154" t="s">
        <v>486</v>
      </c>
      <c r="J85" s="154"/>
      <c r="K85" s="247" t="s">
        <v>5361</v>
      </c>
      <c r="L85" s="154" t="str">
        <f t="shared" si="1"/>
        <v>Compliance Statement missing!</v>
      </c>
      <c r="M85" s="154" t="s">
        <v>66</v>
      </c>
      <c r="N85" s="154" t="s">
        <v>66</v>
      </c>
      <c r="O85" s="154" t="s">
        <v>66</v>
      </c>
      <c r="P85" s="154" t="s">
        <v>66</v>
      </c>
      <c r="Q85" s="154" t="s">
        <v>60</v>
      </c>
      <c r="R85" s="154" t="s">
        <v>60</v>
      </c>
      <c r="S85" s="154" t="s">
        <v>66</v>
      </c>
      <c r="T85" s="154" t="s">
        <v>66</v>
      </c>
      <c r="U85" s="154" t="s">
        <v>60</v>
      </c>
      <c r="V85" s="154"/>
      <c r="W85" s="242" t="b">
        <f t="shared" si="2"/>
        <v>0</v>
      </c>
      <c r="X85" s="154" t="s">
        <v>400</v>
      </c>
      <c r="Y85" s="242" t="b">
        <f t="shared" si="3"/>
        <v>0</v>
      </c>
      <c r="Z85" s="154" t="s">
        <v>5412</v>
      </c>
      <c r="AA85" s="242" t="b">
        <f t="shared" si="4"/>
        <v>1</v>
      </c>
      <c r="AB85" s="154" t="s">
        <v>652</v>
      </c>
      <c r="AC85" s="242" t="str">
        <f>IF(AB85="","N/A",INDIRECT("MTR!"&amp;ADDRESS(MATCH(LEFT(AB85,9),MTR!C:C,0),COLUMN(J85)),TRUE) &amp; "")</f>
        <v>Complies</v>
      </c>
      <c r="AD85" s="157" t="str">
        <f t="shared" si="5"/>
        <v>Compliance Statement missing!</v>
      </c>
      <c r="AE85" s="152"/>
      <c r="AF85" s="152"/>
      <c r="AG85" s="152"/>
      <c r="AH85" s="152"/>
      <c r="AI85" s="152"/>
      <c r="AJ85" s="152"/>
      <c r="AK85" s="152"/>
      <c r="AL85" s="152"/>
      <c r="AM85" s="152"/>
      <c r="AN85" s="152"/>
      <c r="AO85" s="152"/>
    </row>
    <row r="86" ht="12.75" customHeight="1">
      <c r="A86" s="244" t="s">
        <v>5158</v>
      </c>
      <c r="B86" s="244" t="s">
        <v>163</v>
      </c>
      <c r="C86" s="244" t="s">
        <v>5413</v>
      </c>
      <c r="D86" s="154" t="s">
        <v>602</v>
      </c>
      <c r="E86" s="154"/>
      <c r="F86" s="154" t="str">
        <f t="array" ref="F86">XLOOKUP(Cover!$D$12,$M$1:$AD$1,$M86:$AD86)</f>
        <v>Mandatory</v>
      </c>
      <c r="G86" s="154" t="s">
        <v>5414</v>
      </c>
      <c r="H86" s="154" t="s">
        <v>232</v>
      </c>
      <c r="I86" s="154" t="s">
        <v>486</v>
      </c>
      <c r="J86" s="247" t="s">
        <v>445</v>
      </c>
      <c r="K86" s="247" t="s">
        <v>5415</v>
      </c>
      <c r="L86" s="154" t="str">
        <f t="shared" si="1"/>
        <v/>
      </c>
      <c r="M86" s="154" t="s">
        <v>66</v>
      </c>
      <c r="N86" s="154" t="s">
        <v>66</v>
      </c>
      <c r="O86" s="154" t="s">
        <v>60</v>
      </c>
      <c r="P86" s="154" t="s">
        <v>60</v>
      </c>
      <c r="Q86" s="154" t="s">
        <v>60</v>
      </c>
      <c r="R86" s="154" t="s">
        <v>60</v>
      </c>
      <c r="S86" s="154" t="s">
        <v>66</v>
      </c>
      <c r="T86" s="154" t="s">
        <v>60</v>
      </c>
      <c r="U86" s="154" t="s">
        <v>60</v>
      </c>
      <c r="V86" s="154"/>
      <c r="W86" s="242" t="b">
        <f t="shared" si="2"/>
        <v>1</v>
      </c>
      <c r="X86" s="154" t="s">
        <v>400</v>
      </c>
      <c r="Y86" s="242" t="b">
        <f t="shared" si="3"/>
        <v>0</v>
      </c>
      <c r="Z86" s="154" t="s">
        <v>5416</v>
      </c>
      <c r="AA86" s="242" t="b">
        <f t="shared" si="4"/>
        <v>0</v>
      </c>
      <c r="AB86" s="154" t="s">
        <v>652</v>
      </c>
      <c r="AC86" s="242" t="str">
        <f>IF(AB86="","N/A",INDIRECT("MTR!"&amp;ADDRESS(MATCH(LEFT(AB86,9),MTR!C:C,0),COLUMN(J86)),TRUE) &amp; "")</f>
        <v>Complies</v>
      </c>
      <c r="AD86" s="157" t="str">
        <f t="shared" si="5"/>
        <v/>
      </c>
      <c r="AE86" s="152"/>
      <c r="AF86" s="152"/>
      <c r="AG86" s="152"/>
      <c r="AH86" s="152"/>
      <c r="AI86" s="152"/>
      <c r="AJ86" s="152"/>
      <c r="AK86" s="152"/>
      <c r="AL86" s="152"/>
      <c r="AM86" s="152"/>
      <c r="AN86" s="152"/>
      <c r="AO86" s="152"/>
    </row>
    <row r="87" ht="12.75" customHeight="1">
      <c r="A87" s="244" t="s">
        <v>5158</v>
      </c>
      <c r="B87" s="244" t="s">
        <v>163</v>
      </c>
      <c r="C87" s="244" t="s">
        <v>5417</v>
      </c>
      <c r="D87" s="154" t="s">
        <v>602</v>
      </c>
      <c r="E87" s="154"/>
      <c r="F87" s="154" t="str">
        <f t="array" ref="F87">XLOOKUP(Cover!$D$12,$M$1:$AD$1,$M87:$AD87)</f>
        <v>Mandatory</v>
      </c>
      <c r="G87" s="154" t="s">
        <v>5418</v>
      </c>
      <c r="H87" s="154" t="s">
        <v>232</v>
      </c>
      <c r="I87" s="154" t="s">
        <v>486</v>
      </c>
      <c r="J87" s="247" t="s">
        <v>445</v>
      </c>
      <c r="K87" s="247" t="s">
        <v>5419</v>
      </c>
      <c r="L87" s="154" t="str">
        <f t="shared" si="1"/>
        <v/>
      </c>
      <c r="M87" s="154" t="s">
        <v>66</v>
      </c>
      <c r="N87" s="154" t="s">
        <v>66</v>
      </c>
      <c r="O87" s="154" t="s">
        <v>60</v>
      </c>
      <c r="P87" s="154" t="s">
        <v>60</v>
      </c>
      <c r="Q87" s="154" t="s">
        <v>60</v>
      </c>
      <c r="R87" s="154" t="s">
        <v>60</v>
      </c>
      <c r="S87" s="154" t="s">
        <v>66</v>
      </c>
      <c r="T87" s="154" t="s">
        <v>60</v>
      </c>
      <c r="U87" s="154" t="s">
        <v>60</v>
      </c>
      <c r="V87" s="154"/>
      <c r="W87" s="242" t="b">
        <f t="shared" si="2"/>
        <v>1</v>
      </c>
      <c r="X87" s="154" t="s">
        <v>400</v>
      </c>
      <c r="Y87" s="242" t="b">
        <f t="shared" si="3"/>
        <v>0</v>
      </c>
      <c r="Z87" s="154" t="s">
        <v>5420</v>
      </c>
      <c r="AA87" s="242" t="b">
        <f t="shared" si="4"/>
        <v>0</v>
      </c>
      <c r="AB87" s="154" t="s">
        <v>652</v>
      </c>
      <c r="AC87" s="242" t="str">
        <f>IF(AB87="","N/A",INDIRECT("MTR!"&amp;ADDRESS(MATCH(LEFT(AB87,9),MTR!C:C,0),COLUMN(J87)),TRUE) &amp; "")</f>
        <v>Complies</v>
      </c>
      <c r="AD87" s="157" t="str">
        <f t="shared" si="5"/>
        <v/>
      </c>
      <c r="AE87" s="152"/>
      <c r="AF87" s="152"/>
      <c r="AG87" s="152"/>
      <c r="AH87" s="152"/>
      <c r="AI87" s="152"/>
      <c r="AJ87" s="152"/>
      <c r="AK87" s="152"/>
      <c r="AL87" s="152"/>
      <c r="AM87" s="152"/>
      <c r="AN87" s="152"/>
      <c r="AO87" s="152"/>
    </row>
    <row r="88" ht="12.75" customHeight="1">
      <c r="A88" s="244" t="s">
        <v>5158</v>
      </c>
      <c r="B88" s="244" t="s">
        <v>163</v>
      </c>
      <c r="C88" s="244" t="s">
        <v>5421</v>
      </c>
      <c r="D88" s="154" t="s">
        <v>1211</v>
      </c>
      <c r="E88" s="154"/>
      <c r="F88" s="154" t="str">
        <f t="array" ref="F88">XLOOKUP(Cover!$D$12,$M$1:$AD$1,$M88:$AD88)</f>
        <v>Mandatory</v>
      </c>
      <c r="G88" s="154" t="s">
        <v>5422</v>
      </c>
      <c r="H88" s="154" t="s">
        <v>5268</v>
      </c>
      <c r="I88" s="154" t="s">
        <v>486</v>
      </c>
      <c r="J88" s="247" t="s">
        <v>445</v>
      </c>
      <c r="K88" s="247" t="s">
        <v>5423</v>
      </c>
      <c r="L88" s="154" t="str">
        <f t="shared" si="1"/>
        <v/>
      </c>
      <c r="M88" s="154" t="s">
        <v>66</v>
      </c>
      <c r="N88" s="154" t="s">
        <v>66</v>
      </c>
      <c r="O88" s="154" t="s">
        <v>60</v>
      </c>
      <c r="P88" s="154" t="s">
        <v>60</v>
      </c>
      <c r="Q88" s="154" t="s">
        <v>60</v>
      </c>
      <c r="R88" s="154" t="s">
        <v>60</v>
      </c>
      <c r="S88" s="154" t="s">
        <v>66</v>
      </c>
      <c r="T88" s="154" t="s">
        <v>60</v>
      </c>
      <c r="U88" s="154" t="s">
        <v>60</v>
      </c>
      <c r="V88" s="154"/>
      <c r="W88" s="242" t="b">
        <f t="shared" si="2"/>
        <v>1</v>
      </c>
      <c r="X88" s="154" t="s">
        <v>400</v>
      </c>
      <c r="Y88" s="242" t="b">
        <f t="shared" si="3"/>
        <v>0</v>
      </c>
      <c r="Z88" s="154" t="s">
        <v>5424</v>
      </c>
      <c r="AA88" s="242" t="b">
        <f t="shared" si="4"/>
        <v>0</v>
      </c>
      <c r="AB88" s="154" t="s">
        <v>637</v>
      </c>
      <c r="AC88" s="242" t="str">
        <f>IF(AB88="","N/A",INDIRECT("MTR!"&amp;ADDRESS(MATCH(LEFT(AB88,9),MTR!C:C,0),COLUMN(J88)),TRUE) &amp; "")</f>
        <v>Complies</v>
      </c>
      <c r="AD88" s="157" t="str">
        <f t="shared" si="5"/>
        <v/>
      </c>
      <c r="AE88" s="152"/>
      <c r="AF88" s="152"/>
      <c r="AG88" s="152"/>
      <c r="AH88" s="152"/>
      <c r="AI88" s="152"/>
      <c r="AJ88" s="152"/>
      <c r="AK88" s="152"/>
      <c r="AL88" s="152"/>
      <c r="AM88" s="152"/>
      <c r="AN88" s="152"/>
      <c r="AO88" s="152"/>
    </row>
    <row r="89" ht="12.75" customHeight="1">
      <c r="A89" s="238" t="s">
        <v>5158</v>
      </c>
      <c r="B89" s="238" t="s">
        <v>163</v>
      </c>
      <c r="C89" s="238" t="s">
        <v>5425</v>
      </c>
      <c r="D89" s="240"/>
      <c r="E89" s="240" t="s">
        <v>92</v>
      </c>
      <c r="F89" s="240" t="str">
        <f t="array" ref="F89">XLOOKUP(Cover!$D$12,$M$1:$AD$1,$M89:$AD89)</f>
        <v>Heading</v>
      </c>
      <c r="G89" s="239" t="s">
        <v>5426</v>
      </c>
      <c r="H89" s="240"/>
      <c r="I89" s="240" t="s">
        <v>479</v>
      </c>
      <c r="J89" s="240"/>
      <c r="K89" s="240"/>
      <c r="L89" s="240" t="str">
        <f t="shared" si="1"/>
        <v/>
      </c>
      <c r="M89" s="240" t="s">
        <v>390</v>
      </c>
      <c r="N89" s="240" t="s">
        <v>390</v>
      </c>
      <c r="O89" s="240" t="s">
        <v>390</v>
      </c>
      <c r="P89" s="240" t="s">
        <v>390</v>
      </c>
      <c r="Q89" s="240" t="s">
        <v>390</v>
      </c>
      <c r="R89" s="240" t="s">
        <v>390</v>
      </c>
      <c r="S89" s="240" t="s">
        <v>390</v>
      </c>
      <c r="T89" s="240" t="s">
        <v>390</v>
      </c>
      <c r="U89" s="240" t="s">
        <v>390</v>
      </c>
      <c r="V89" s="240"/>
      <c r="W89" s="242" t="b">
        <f t="shared" si="2"/>
        <v>0</v>
      </c>
      <c r="X89" s="240" t="s">
        <v>391</v>
      </c>
      <c r="Y89" s="242" t="b">
        <f t="shared" si="3"/>
        <v>0</v>
      </c>
      <c r="Z89" s="240"/>
      <c r="AA89" s="242" t="b">
        <f t="shared" si="4"/>
        <v>0</v>
      </c>
      <c r="AB89" s="240"/>
      <c r="AC89" s="242" t="str">
        <f>IF(AB89="","N/A",INDIRECT("MTR!"&amp;ADDRESS(MATCH(LEFT(AB89,9),MTR!C:C,0),COLUMN(J89)),TRUE) &amp; "")</f>
        <v>N/A</v>
      </c>
      <c r="AD89" s="157" t="str">
        <f t="shared" si="5"/>
        <v/>
      </c>
      <c r="AE89" s="152"/>
      <c r="AF89" s="152"/>
      <c r="AG89" s="152"/>
      <c r="AH89" s="152"/>
      <c r="AI89" s="152"/>
      <c r="AJ89" s="152"/>
      <c r="AK89" s="152"/>
      <c r="AL89" s="152"/>
      <c r="AM89" s="152"/>
      <c r="AN89" s="152"/>
      <c r="AO89" s="152"/>
    </row>
    <row r="90" ht="12.75" customHeight="1">
      <c r="A90" s="244" t="s">
        <v>5158</v>
      </c>
      <c r="B90" s="244" t="s">
        <v>163</v>
      </c>
      <c r="C90" s="245" t="s">
        <v>5427</v>
      </c>
      <c r="D90" s="155" t="s">
        <v>739</v>
      </c>
      <c r="E90" s="154" t="s">
        <v>92</v>
      </c>
      <c r="F90" s="154" t="str">
        <f t="array" ref="F90">XLOOKUP(Cover!$D$12,$M$1:$AD$1,$M90:$AD90)</f>
        <v>Comment</v>
      </c>
      <c r="G90" s="154" t="s">
        <v>5428</v>
      </c>
      <c r="H90" s="154"/>
      <c r="I90" s="154" t="s">
        <v>479</v>
      </c>
      <c r="J90" s="154"/>
      <c r="K90" s="154"/>
      <c r="L90" s="154" t="str">
        <f t="shared" si="1"/>
        <v/>
      </c>
      <c r="M90" s="154" t="s">
        <v>35</v>
      </c>
      <c r="N90" s="154" t="s">
        <v>35</v>
      </c>
      <c r="O90" s="154" t="s">
        <v>35</v>
      </c>
      <c r="P90" s="154" t="s">
        <v>35</v>
      </c>
      <c r="Q90" s="154" t="s">
        <v>35</v>
      </c>
      <c r="R90" s="154" t="s">
        <v>35</v>
      </c>
      <c r="S90" s="154" t="s">
        <v>35</v>
      </c>
      <c r="T90" s="154" t="s">
        <v>35</v>
      </c>
      <c r="U90" s="154" t="s">
        <v>35</v>
      </c>
      <c r="V90" s="154"/>
      <c r="W90" s="242" t="b">
        <f t="shared" si="2"/>
        <v>0</v>
      </c>
      <c r="X90" s="154" t="s">
        <v>391</v>
      </c>
      <c r="Y90" s="242" t="b">
        <f t="shared" si="3"/>
        <v>0</v>
      </c>
      <c r="Z90" s="154"/>
      <c r="AA90" s="242" t="b">
        <f t="shared" si="4"/>
        <v>0</v>
      </c>
      <c r="AB90" s="154"/>
      <c r="AC90" s="242" t="str">
        <f>IF(AB90="","N/A",INDIRECT("MTR!"&amp;ADDRESS(MATCH(LEFT(AB90,9),MTR!C:C,0),COLUMN(J90)),TRUE) &amp; "")</f>
        <v>N/A</v>
      </c>
      <c r="AD90" s="157" t="str">
        <f t="shared" si="5"/>
        <v/>
      </c>
      <c r="AE90" s="152"/>
      <c r="AF90" s="152"/>
      <c r="AG90" s="152"/>
      <c r="AH90" s="152"/>
      <c r="AI90" s="152"/>
      <c r="AJ90" s="152"/>
      <c r="AK90" s="152"/>
      <c r="AL90" s="152"/>
      <c r="AM90" s="152"/>
      <c r="AN90" s="152"/>
      <c r="AO90" s="152"/>
    </row>
    <row r="91" ht="12.75" customHeight="1">
      <c r="A91" s="244" t="s">
        <v>5158</v>
      </c>
      <c r="B91" s="244" t="s">
        <v>163</v>
      </c>
      <c r="C91" s="245" t="s">
        <v>5429</v>
      </c>
      <c r="D91" s="155" t="s">
        <v>739</v>
      </c>
      <c r="E91" s="154" t="s">
        <v>92</v>
      </c>
      <c r="F91" s="154" t="str">
        <f t="array" ref="F91">XLOOKUP(Cover!$D$12,$M$1:$AD$1,$M91:$AD91)</f>
        <v>Comment</v>
      </c>
      <c r="G91" s="154" t="s">
        <v>5430</v>
      </c>
      <c r="H91" s="154"/>
      <c r="I91" s="154" t="s">
        <v>479</v>
      </c>
      <c r="J91" s="154"/>
      <c r="K91" s="154"/>
      <c r="L91" s="154" t="str">
        <f t="shared" si="1"/>
        <v/>
      </c>
      <c r="M91" s="154" t="s">
        <v>35</v>
      </c>
      <c r="N91" s="154" t="s">
        <v>35</v>
      </c>
      <c r="O91" s="154" t="s">
        <v>35</v>
      </c>
      <c r="P91" s="154" t="s">
        <v>35</v>
      </c>
      <c r="Q91" s="154" t="s">
        <v>35</v>
      </c>
      <c r="R91" s="154" t="s">
        <v>35</v>
      </c>
      <c r="S91" s="154" t="s">
        <v>35</v>
      </c>
      <c r="T91" s="154" t="s">
        <v>35</v>
      </c>
      <c r="U91" s="154" t="s">
        <v>35</v>
      </c>
      <c r="V91" s="154"/>
      <c r="W91" s="242" t="b">
        <f t="shared" si="2"/>
        <v>0</v>
      </c>
      <c r="X91" s="154" t="s">
        <v>391</v>
      </c>
      <c r="Y91" s="242" t="b">
        <f t="shared" si="3"/>
        <v>0</v>
      </c>
      <c r="Z91" s="154"/>
      <c r="AA91" s="242" t="b">
        <f t="shared" si="4"/>
        <v>0</v>
      </c>
      <c r="AB91" s="154"/>
      <c r="AC91" s="242" t="str">
        <f>IF(AB91="","N/A",INDIRECT("MTR!"&amp;ADDRESS(MATCH(LEFT(AB91,9),MTR!C:C,0),COLUMN(J91)),TRUE) &amp; "")</f>
        <v>N/A</v>
      </c>
      <c r="AD91" s="157" t="str">
        <f t="shared" si="5"/>
        <v/>
      </c>
      <c r="AE91" s="152"/>
      <c r="AF91" s="152"/>
      <c r="AG91" s="152"/>
      <c r="AH91" s="152"/>
      <c r="AI91" s="152"/>
      <c r="AJ91" s="152"/>
      <c r="AK91" s="152"/>
      <c r="AL91" s="152"/>
      <c r="AM91" s="152"/>
      <c r="AN91" s="152"/>
      <c r="AO91" s="152"/>
    </row>
    <row r="92" ht="12.75" customHeight="1">
      <c r="A92" s="238" t="s">
        <v>5158</v>
      </c>
      <c r="B92" s="238" t="s">
        <v>163</v>
      </c>
      <c r="C92" s="238" t="s">
        <v>5431</v>
      </c>
      <c r="D92" s="240"/>
      <c r="E92" s="240" t="s">
        <v>92</v>
      </c>
      <c r="F92" s="240" t="str">
        <f t="array" ref="F92">XLOOKUP(Cover!$D$12,$M$1:$AD$1,$M92:$AD92)</f>
        <v>Heading</v>
      </c>
      <c r="G92" s="239" t="s">
        <v>5432</v>
      </c>
      <c r="H92" s="240"/>
      <c r="I92" s="240" t="s">
        <v>479</v>
      </c>
      <c r="J92" s="240"/>
      <c r="K92" s="240"/>
      <c r="L92" s="240" t="str">
        <f t="shared" si="1"/>
        <v/>
      </c>
      <c r="M92" s="240" t="s">
        <v>390</v>
      </c>
      <c r="N92" s="240" t="s">
        <v>390</v>
      </c>
      <c r="O92" s="240" t="s">
        <v>390</v>
      </c>
      <c r="P92" s="240" t="s">
        <v>390</v>
      </c>
      <c r="Q92" s="240" t="s">
        <v>390</v>
      </c>
      <c r="R92" s="240" t="s">
        <v>390</v>
      </c>
      <c r="S92" s="240" t="s">
        <v>390</v>
      </c>
      <c r="T92" s="240" t="s">
        <v>390</v>
      </c>
      <c r="U92" s="240" t="s">
        <v>390</v>
      </c>
      <c r="V92" s="240"/>
      <c r="W92" s="242" t="b">
        <f t="shared" si="2"/>
        <v>0</v>
      </c>
      <c r="X92" s="240" t="s">
        <v>391</v>
      </c>
      <c r="Y92" s="242" t="b">
        <f t="shared" si="3"/>
        <v>0</v>
      </c>
      <c r="Z92" s="240"/>
      <c r="AA92" s="242" t="b">
        <f t="shared" si="4"/>
        <v>0</v>
      </c>
      <c r="AB92" s="240"/>
      <c r="AC92" s="242" t="str">
        <f>IF(AB92="","N/A",INDIRECT("MTR!"&amp;ADDRESS(MATCH(LEFT(AB92,9),MTR!C:C,0),COLUMN(J92)),TRUE) &amp; "")</f>
        <v>N/A</v>
      </c>
      <c r="AD92" s="157" t="str">
        <f t="shared" si="5"/>
        <v/>
      </c>
      <c r="AE92" s="152"/>
      <c r="AF92" s="152"/>
      <c r="AG92" s="152"/>
      <c r="AH92" s="152"/>
      <c r="AI92" s="152"/>
      <c r="AJ92" s="152"/>
      <c r="AK92" s="152"/>
      <c r="AL92" s="152"/>
      <c r="AM92" s="152"/>
      <c r="AN92" s="152"/>
      <c r="AO92" s="152"/>
    </row>
    <row r="93" ht="12.75" customHeight="1">
      <c r="A93" s="244" t="s">
        <v>5158</v>
      </c>
      <c r="B93" s="244" t="s">
        <v>163</v>
      </c>
      <c r="C93" s="244" t="s">
        <v>5433</v>
      </c>
      <c r="D93" s="154" t="s">
        <v>1211</v>
      </c>
      <c r="E93" s="154"/>
      <c r="F93" s="154" t="str">
        <f t="array" ref="F93">XLOOKUP(Cover!$D$12,$M$1:$AD$1,$M93:$AD93)</f>
        <v>Mandatory</v>
      </c>
      <c r="G93" s="154" t="s">
        <v>5434</v>
      </c>
      <c r="H93" s="154" t="s">
        <v>5435</v>
      </c>
      <c r="I93" s="154" t="s">
        <v>479</v>
      </c>
      <c r="J93" s="247" t="s">
        <v>445</v>
      </c>
      <c r="K93" s="247" t="s">
        <v>5436</v>
      </c>
      <c r="L93" s="154" t="str">
        <f t="shared" si="1"/>
        <v/>
      </c>
      <c r="M93" s="154" t="s">
        <v>60</v>
      </c>
      <c r="N93" s="154" t="s">
        <v>60</v>
      </c>
      <c r="O93" s="154" t="s">
        <v>60</v>
      </c>
      <c r="P93" s="154" t="s">
        <v>60</v>
      </c>
      <c r="Q93" s="154" t="s">
        <v>60</v>
      </c>
      <c r="R93" s="154" t="s">
        <v>60</v>
      </c>
      <c r="S93" s="154" t="s">
        <v>68</v>
      </c>
      <c r="T93" s="154" t="s">
        <v>68</v>
      </c>
      <c r="U93" s="154" t="s">
        <v>68</v>
      </c>
      <c r="V93" s="154"/>
      <c r="W93" s="242" t="b">
        <f t="shared" si="2"/>
        <v>1</v>
      </c>
      <c r="X93" s="154" t="s">
        <v>400</v>
      </c>
      <c r="Y93" s="242" t="b">
        <f t="shared" si="3"/>
        <v>0</v>
      </c>
      <c r="Z93" s="154" t="s">
        <v>5437</v>
      </c>
      <c r="AA93" s="242" t="b">
        <f t="shared" si="4"/>
        <v>0</v>
      </c>
      <c r="AB93" s="154" t="s">
        <v>629</v>
      </c>
      <c r="AC93" s="242" t="str">
        <f>IF(AB93="","N/A",INDIRECT("MTR!"&amp;ADDRESS(MATCH(LEFT(AB93,9),MTR!C:C,0),COLUMN(J93)),TRUE) &amp; "")</f>
        <v>Complies</v>
      </c>
      <c r="AD93" s="157" t="str">
        <f t="shared" si="5"/>
        <v/>
      </c>
      <c r="AE93" s="152"/>
      <c r="AF93" s="152"/>
      <c r="AG93" s="152"/>
      <c r="AH93" s="152"/>
      <c r="AI93" s="152"/>
      <c r="AJ93" s="152"/>
      <c r="AK93" s="152"/>
      <c r="AL93" s="152"/>
      <c r="AM93" s="152"/>
      <c r="AN93" s="152"/>
      <c r="AO93" s="152"/>
    </row>
    <row r="94" ht="12.75" customHeight="1">
      <c r="A94" s="244" t="s">
        <v>5158</v>
      </c>
      <c r="B94" s="244" t="s">
        <v>163</v>
      </c>
      <c r="C94" s="244" t="s">
        <v>5438</v>
      </c>
      <c r="D94" s="154" t="s">
        <v>1211</v>
      </c>
      <c r="E94" s="154"/>
      <c r="F94" s="154" t="str">
        <f t="array" ref="F94">XLOOKUP(Cover!$D$12,$M$1:$AD$1,$M94:$AD94)</f>
        <v>Mandatory</v>
      </c>
      <c r="G94" s="154" t="s">
        <v>5439</v>
      </c>
      <c r="H94" s="154" t="s">
        <v>5435</v>
      </c>
      <c r="I94" s="154" t="s">
        <v>479</v>
      </c>
      <c r="J94" s="247" t="s">
        <v>445</v>
      </c>
      <c r="K94" s="247" t="s">
        <v>5440</v>
      </c>
      <c r="L94" s="154" t="str">
        <f t="shared" si="1"/>
        <v/>
      </c>
      <c r="M94" s="154" t="s">
        <v>60</v>
      </c>
      <c r="N94" s="154" t="s">
        <v>60</v>
      </c>
      <c r="O94" s="154" t="s">
        <v>60</v>
      </c>
      <c r="P94" s="154" t="s">
        <v>60</v>
      </c>
      <c r="Q94" s="154" t="s">
        <v>60</v>
      </c>
      <c r="R94" s="154" t="s">
        <v>60</v>
      </c>
      <c r="S94" s="154" t="s">
        <v>68</v>
      </c>
      <c r="T94" s="154" t="s">
        <v>68</v>
      </c>
      <c r="U94" s="154" t="s">
        <v>68</v>
      </c>
      <c r="V94" s="154"/>
      <c r="W94" s="242" t="b">
        <f t="shared" si="2"/>
        <v>1</v>
      </c>
      <c r="X94" s="154" t="s">
        <v>400</v>
      </c>
      <c r="Y94" s="242" t="b">
        <f t="shared" si="3"/>
        <v>0</v>
      </c>
      <c r="Z94" s="154" t="s">
        <v>5441</v>
      </c>
      <c r="AA94" s="242" t="b">
        <f t="shared" si="4"/>
        <v>0</v>
      </c>
      <c r="AB94" s="154" t="s">
        <v>629</v>
      </c>
      <c r="AC94" s="242" t="str">
        <f>IF(AB94="","N/A",INDIRECT("MTR!"&amp;ADDRESS(MATCH(LEFT(AB94,9),MTR!C:C,0),COLUMN(J94)),TRUE) &amp; "")</f>
        <v>Complies</v>
      </c>
      <c r="AD94" s="157" t="str">
        <f t="shared" si="5"/>
        <v/>
      </c>
      <c r="AE94" s="152"/>
      <c r="AF94" s="152"/>
      <c r="AG94" s="152"/>
      <c r="AH94" s="152"/>
      <c r="AI94" s="152"/>
      <c r="AJ94" s="152"/>
      <c r="AK94" s="152"/>
      <c r="AL94" s="152"/>
      <c r="AM94" s="152"/>
      <c r="AN94" s="152"/>
      <c r="AO94" s="152"/>
    </row>
    <row r="95" ht="12.75" customHeight="1">
      <c r="A95" s="244" t="s">
        <v>5158</v>
      </c>
      <c r="B95" s="244" t="s">
        <v>163</v>
      </c>
      <c r="C95" s="244" t="s">
        <v>5442</v>
      </c>
      <c r="D95" s="154" t="s">
        <v>739</v>
      </c>
      <c r="E95" s="154"/>
      <c r="F95" s="154" t="str">
        <f t="array" ref="F95">XLOOKUP(Cover!$D$12,$M$1:$AD$1,$M95:$AD95)</f>
        <v>Mandatory</v>
      </c>
      <c r="G95" s="154" t="s">
        <v>5443</v>
      </c>
      <c r="H95" s="154" t="s">
        <v>5435</v>
      </c>
      <c r="I95" s="154" t="s">
        <v>479</v>
      </c>
      <c r="J95" s="247" t="s">
        <v>445</v>
      </c>
      <c r="K95" s="247" t="s">
        <v>5444</v>
      </c>
      <c r="L95" s="154" t="str">
        <f t="shared" si="1"/>
        <v/>
      </c>
      <c r="M95" s="154" t="s">
        <v>60</v>
      </c>
      <c r="N95" s="154" t="s">
        <v>60</v>
      </c>
      <c r="O95" s="154" t="s">
        <v>60</v>
      </c>
      <c r="P95" s="154" t="s">
        <v>60</v>
      </c>
      <c r="Q95" s="154" t="s">
        <v>60</v>
      </c>
      <c r="R95" s="154" t="s">
        <v>60</v>
      </c>
      <c r="S95" s="154" t="s">
        <v>68</v>
      </c>
      <c r="T95" s="154" t="s">
        <v>68</v>
      </c>
      <c r="U95" s="154" t="s">
        <v>68</v>
      </c>
      <c r="V95" s="154"/>
      <c r="W95" s="242" t="b">
        <f t="shared" si="2"/>
        <v>1</v>
      </c>
      <c r="X95" s="154" t="s">
        <v>400</v>
      </c>
      <c r="Y95" s="242" t="b">
        <f t="shared" si="3"/>
        <v>0</v>
      </c>
      <c r="Z95" s="154" t="s">
        <v>5445</v>
      </c>
      <c r="AA95" s="242" t="b">
        <f t="shared" si="4"/>
        <v>0</v>
      </c>
      <c r="AB95" s="154" t="s">
        <v>637</v>
      </c>
      <c r="AC95" s="242" t="str">
        <f>IF(AB95="","N/A",INDIRECT("MTR!"&amp;ADDRESS(MATCH(LEFT(AB95,9),MTR!C:C,0),COLUMN(J95)),TRUE) &amp; "")</f>
        <v>Complies</v>
      </c>
      <c r="AD95" s="157" t="str">
        <f t="shared" si="5"/>
        <v/>
      </c>
      <c r="AE95" s="152"/>
      <c r="AF95" s="152"/>
      <c r="AG95" s="152"/>
      <c r="AH95" s="152"/>
      <c r="AI95" s="152"/>
      <c r="AJ95" s="152"/>
      <c r="AK95" s="152"/>
      <c r="AL95" s="152"/>
      <c r="AM95" s="152"/>
      <c r="AN95" s="152"/>
      <c r="AO95" s="152"/>
    </row>
    <row r="96" ht="12.75" customHeight="1">
      <c r="A96" s="244" t="s">
        <v>5158</v>
      </c>
      <c r="B96" s="244" t="s">
        <v>163</v>
      </c>
      <c r="C96" s="244" t="s">
        <v>5446</v>
      </c>
      <c r="D96" s="154" t="s">
        <v>739</v>
      </c>
      <c r="E96" s="154"/>
      <c r="F96" s="154" t="str">
        <f t="array" ref="F96">XLOOKUP(Cover!$D$12,$M$1:$AD$1,$M96:$AD96)</f>
        <v>Mandatory</v>
      </c>
      <c r="G96" s="154" t="s">
        <v>5447</v>
      </c>
      <c r="H96" s="154" t="s">
        <v>5435</v>
      </c>
      <c r="I96" s="154" t="s">
        <v>479</v>
      </c>
      <c r="J96" s="247" t="s">
        <v>445</v>
      </c>
      <c r="K96" s="247" t="s">
        <v>5448</v>
      </c>
      <c r="L96" s="154" t="str">
        <f t="shared" si="1"/>
        <v/>
      </c>
      <c r="M96" s="154" t="s">
        <v>60</v>
      </c>
      <c r="N96" s="154" t="s">
        <v>60</v>
      </c>
      <c r="O96" s="154" t="s">
        <v>60</v>
      </c>
      <c r="P96" s="154" t="s">
        <v>60</v>
      </c>
      <c r="Q96" s="154" t="s">
        <v>60</v>
      </c>
      <c r="R96" s="154" t="s">
        <v>60</v>
      </c>
      <c r="S96" s="154" t="s">
        <v>68</v>
      </c>
      <c r="T96" s="154" t="s">
        <v>68</v>
      </c>
      <c r="U96" s="154" t="s">
        <v>68</v>
      </c>
      <c r="V96" s="154"/>
      <c r="W96" s="242" t="b">
        <f t="shared" si="2"/>
        <v>1</v>
      </c>
      <c r="X96" s="154" t="s">
        <v>400</v>
      </c>
      <c r="Y96" s="242" t="b">
        <f t="shared" si="3"/>
        <v>0</v>
      </c>
      <c r="Z96" s="154" t="s">
        <v>5449</v>
      </c>
      <c r="AA96" s="242" t="b">
        <f t="shared" si="4"/>
        <v>0</v>
      </c>
      <c r="AB96" s="154" t="s">
        <v>637</v>
      </c>
      <c r="AC96" s="242" t="str">
        <f>IF(AB96="","N/A",INDIRECT("MTR!"&amp;ADDRESS(MATCH(LEFT(AB96,9),MTR!C:C,0),COLUMN(J96)),TRUE) &amp; "")</f>
        <v>Complies</v>
      </c>
      <c r="AD96" s="157" t="str">
        <f t="shared" si="5"/>
        <v/>
      </c>
      <c r="AE96" s="152"/>
      <c r="AF96" s="152"/>
      <c r="AG96" s="152"/>
      <c r="AH96" s="152"/>
      <c r="AI96" s="152"/>
      <c r="AJ96" s="152"/>
      <c r="AK96" s="152"/>
      <c r="AL96" s="152"/>
      <c r="AM96" s="152"/>
      <c r="AN96" s="152"/>
      <c r="AO96" s="152"/>
    </row>
    <row r="97" ht="12.75" customHeight="1">
      <c r="A97" s="244" t="s">
        <v>5158</v>
      </c>
      <c r="B97" s="244" t="s">
        <v>163</v>
      </c>
      <c r="C97" s="244" t="s">
        <v>5450</v>
      </c>
      <c r="D97" s="154" t="s">
        <v>739</v>
      </c>
      <c r="E97" s="154"/>
      <c r="F97" s="154" t="str">
        <f t="array" ref="F97">XLOOKUP(Cover!$D$12,$M$1:$AD$1,$M97:$AD97)</f>
        <v>Mandatory</v>
      </c>
      <c r="G97" s="154" t="s">
        <v>5451</v>
      </c>
      <c r="H97" s="154" t="s">
        <v>5435</v>
      </c>
      <c r="I97" s="154" t="s">
        <v>479</v>
      </c>
      <c r="J97" s="247" t="s">
        <v>445</v>
      </c>
      <c r="K97" s="247" t="s">
        <v>5452</v>
      </c>
      <c r="L97" s="154" t="str">
        <f t="shared" si="1"/>
        <v/>
      </c>
      <c r="M97" s="154" t="s">
        <v>60</v>
      </c>
      <c r="N97" s="154" t="s">
        <v>60</v>
      </c>
      <c r="O97" s="154" t="s">
        <v>60</v>
      </c>
      <c r="P97" s="154" t="s">
        <v>60</v>
      </c>
      <c r="Q97" s="154" t="s">
        <v>60</v>
      </c>
      <c r="R97" s="154" t="s">
        <v>60</v>
      </c>
      <c r="S97" s="154" t="s">
        <v>68</v>
      </c>
      <c r="T97" s="154" t="s">
        <v>68</v>
      </c>
      <c r="U97" s="154" t="s">
        <v>68</v>
      </c>
      <c r="V97" s="154"/>
      <c r="W97" s="242" t="b">
        <f t="shared" si="2"/>
        <v>1</v>
      </c>
      <c r="X97" s="154" t="s">
        <v>400</v>
      </c>
      <c r="Y97" s="242" t="b">
        <f t="shared" si="3"/>
        <v>0</v>
      </c>
      <c r="Z97" s="154" t="s">
        <v>5453</v>
      </c>
      <c r="AA97" s="242" t="b">
        <f t="shared" si="4"/>
        <v>0</v>
      </c>
      <c r="AB97" s="154" t="s">
        <v>637</v>
      </c>
      <c r="AC97" s="242" t="str">
        <f>IF(AB97="","N/A",INDIRECT("MTR!"&amp;ADDRESS(MATCH(LEFT(AB97,9),MTR!C:C,0),COLUMN(J97)),TRUE) &amp; "")</f>
        <v>Complies</v>
      </c>
      <c r="AD97" s="157" t="str">
        <f t="shared" si="5"/>
        <v/>
      </c>
      <c r="AE97" s="152"/>
      <c r="AF97" s="152"/>
      <c r="AG97" s="152"/>
      <c r="AH97" s="152"/>
      <c r="AI97" s="152"/>
      <c r="AJ97" s="152"/>
      <c r="AK97" s="152"/>
      <c r="AL97" s="152"/>
      <c r="AM97" s="152"/>
      <c r="AN97" s="152"/>
      <c r="AO97" s="152"/>
    </row>
    <row r="98" ht="12.75" customHeight="1">
      <c r="A98" s="244" t="s">
        <v>5158</v>
      </c>
      <c r="B98" s="244" t="s">
        <v>163</v>
      </c>
      <c r="C98" s="244" t="s">
        <v>5454</v>
      </c>
      <c r="D98" s="154" t="s">
        <v>739</v>
      </c>
      <c r="E98" s="154"/>
      <c r="F98" s="154" t="str">
        <f t="array" ref="F98">XLOOKUP(Cover!$D$12,$M$1:$AD$1,$M98:$AD98)</f>
        <v>Mandatory</v>
      </c>
      <c r="G98" s="154" t="s">
        <v>5455</v>
      </c>
      <c r="H98" s="154" t="s">
        <v>5435</v>
      </c>
      <c r="I98" s="154" t="s">
        <v>479</v>
      </c>
      <c r="J98" s="247" t="s">
        <v>445</v>
      </c>
      <c r="K98" s="247" t="s">
        <v>5456</v>
      </c>
      <c r="L98" s="154" t="str">
        <f t="shared" si="1"/>
        <v/>
      </c>
      <c r="M98" s="154" t="s">
        <v>60</v>
      </c>
      <c r="N98" s="154" t="s">
        <v>60</v>
      </c>
      <c r="O98" s="154" t="s">
        <v>60</v>
      </c>
      <c r="P98" s="154" t="s">
        <v>60</v>
      </c>
      <c r="Q98" s="154" t="s">
        <v>60</v>
      </c>
      <c r="R98" s="154" t="s">
        <v>60</v>
      </c>
      <c r="S98" s="154" t="s">
        <v>68</v>
      </c>
      <c r="T98" s="154" t="s">
        <v>68</v>
      </c>
      <c r="U98" s="154" t="s">
        <v>68</v>
      </c>
      <c r="V98" s="154"/>
      <c r="W98" s="242" t="b">
        <f t="shared" si="2"/>
        <v>1</v>
      </c>
      <c r="X98" s="154" t="s">
        <v>400</v>
      </c>
      <c r="Y98" s="242" t="b">
        <f t="shared" si="3"/>
        <v>0</v>
      </c>
      <c r="Z98" s="154" t="s">
        <v>5457</v>
      </c>
      <c r="AA98" s="242" t="b">
        <f t="shared" si="4"/>
        <v>0</v>
      </c>
      <c r="AB98" s="154" t="s">
        <v>637</v>
      </c>
      <c r="AC98" s="242" t="str">
        <f>IF(AB98="","N/A",INDIRECT("MTR!"&amp;ADDRESS(MATCH(LEFT(AB98,9),MTR!C:C,0),COLUMN(J98)),TRUE) &amp; "")</f>
        <v>Complies</v>
      </c>
      <c r="AD98" s="157" t="str">
        <f t="shared" si="5"/>
        <v/>
      </c>
      <c r="AE98" s="152"/>
      <c r="AF98" s="152"/>
      <c r="AG98" s="152"/>
      <c r="AH98" s="152"/>
      <c r="AI98" s="152"/>
      <c r="AJ98" s="152"/>
      <c r="AK98" s="152"/>
      <c r="AL98" s="152"/>
      <c r="AM98" s="152"/>
      <c r="AN98" s="152"/>
      <c r="AO98" s="152"/>
    </row>
    <row r="99" ht="12.75" customHeight="1">
      <c r="A99" s="244" t="s">
        <v>5158</v>
      </c>
      <c r="B99" s="244" t="s">
        <v>163</v>
      </c>
      <c r="C99" s="244" t="s">
        <v>5458</v>
      </c>
      <c r="D99" s="154" t="s">
        <v>739</v>
      </c>
      <c r="E99" s="154"/>
      <c r="F99" s="154" t="str">
        <f t="array" ref="F99">XLOOKUP(Cover!$D$12,$M$1:$AD$1,$M99:$AD99)</f>
        <v>Mandatory</v>
      </c>
      <c r="G99" s="154" t="s">
        <v>5459</v>
      </c>
      <c r="H99" s="154" t="s">
        <v>5435</v>
      </c>
      <c r="I99" s="154" t="s">
        <v>479</v>
      </c>
      <c r="J99" s="247" t="s">
        <v>445</v>
      </c>
      <c r="K99" s="247" t="s">
        <v>5460</v>
      </c>
      <c r="L99" s="154" t="str">
        <f t="shared" si="1"/>
        <v/>
      </c>
      <c r="M99" s="154" t="s">
        <v>60</v>
      </c>
      <c r="N99" s="154" t="s">
        <v>60</v>
      </c>
      <c r="O99" s="154" t="s">
        <v>60</v>
      </c>
      <c r="P99" s="154" t="s">
        <v>60</v>
      </c>
      <c r="Q99" s="154" t="s">
        <v>60</v>
      </c>
      <c r="R99" s="154" t="s">
        <v>60</v>
      </c>
      <c r="S99" s="154" t="s">
        <v>68</v>
      </c>
      <c r="T99" s="154" t="s">
        <v>68</v>
      </c>
      <c r="U99" s="154" t="s">
        <v>68</v>
      </c>
      <c r="V99" s="154"/>
      <c r="W99" s="242" t="b">
        <f t="shared" si="2"/>
        <v>1</v>
      </c>
      <c r="X99" s="154" t="s">
        <v>400</v>
      </c>
      <c r="Y99" s="242" t="b">
        <f t="shared" si="3"/>
        <v>0</v>
      </c>
      <c r="Z99" s="154" t="s">
        <v>5461</v>
      </c>
      <c r="AA99" s="242" t="b">
        <f t="shared" si="4"/>
        <v>0</v>
      </c>
      <c r="AB99" s="154" t="s">
        <v>637</v>
      </c>
      <c r="AC99" s="242" t="str">
        <f>IF(AB99="","N/A",INDIRECT("MTR!"&amp;ADDRESS(MATCH(LEFT(AB99,9),MTR!C:C,0),COLUMN(J99)),TRUE) &amp; "")</f>
        <v>Complies</v>
      </c>
      <c r="AD99" s="157" t="str">
        <f t="shared" si="5"/>
        <v/>
      </c>
      <c r="AE99" s="152"/>
      <c r="AF99" s="152"/>
      <c r="AG99" s="152"/>
      <c r="AH99" s="152"/>
      <c r="AI99" s="152"/>
      <c r="AJ99" s="152"/>
      <c r="AK99" s="152"/>
      <c r="AL99" s="152"/>
      <c r="AM99" s="152"/>
      <c r="AN99" s="152"/>
      <c r="AO99" s="152"/>
    </row>
    <row r="100" ht="12.75" customHeight="1">
      <c r="A100" s="244" t="s">
        <v>5158</v>
      </c>
      <c r="B100" s="244" t="s">
        <v>163</v>
      </c>
      <c r="C100" s="244" t="s">
        <v>5462</v>
      </c>
      <c r="D100" s="154" t="s">
        <v>739</v>
      </c>
      <c r="E100" s="154"/>
      <c r="F100" s="154" t="str">
        <f t="array" ref="F100">XLOOKUP(Cover!$D$12,$M$1:$AD$1,$M100:$AD100)</f>
        <v>Mandatory</v>
      </c>
      <c r="G100" s="154" t="s">
        <v>5463</v>
      </c>
      <c r="H100" s="154" t="s">
        <v>5435</v>
      </c>
      <c r="I100" s="154" t="s">
        <v>479</v>
      </c>
      <c r="J100" s="247" t="s">
        <v>445</v>
      </c>
      <c r="K100" s="247" t="s">
        <v>5464</v>
      </c>
      <c r="L100" s="154" t="str">
        <f t="shared" si="1"/>
        <v/>
      </c>
      <c r="M100" s="154" t="s">
        <v>60</v>
      </c>
      <c r="N100" s="154" t="s">
        <v>60</v>
      </c>
      <c r="O100" s="154" t="s">
        <v>60</v>
      </c>
      <c r="P100" s="154" t="s">
        <v>60</v>
      </c>
      <c r="Q100" s="154" t="s">
        <v>60</v>
      </c>
      <c r="R100" s="154" t="s">
        <v>60</v>
      </c>
      <c r="S100" s="154" t="s">
        <v>68</v>
      </c>
      <c r="T100" s="154" t="s">
        <v>68</v>
      </c>
      <c r="U100" s="154" t="s">
        <v>68</v>
      </c>
      <c r="V100" s="154"/>
      <c r="W100" s="242" t="b">
        <f t="shared" si="2"/>
        <v>1</v>
      </c>
      <c r="X100" s="154" t="s">
        <v>400</v>
      </c>
      <c r="Y100" s="242" t="b">
        <f t="shared" si="3"/>
        <v>0</v>
      </c>
      <c r="Z100" s="154" t="s">
        <v>5465</v>
      </c>
      <c r="AA100" s="242" t="b">
        <f t="shared" si="4"/>
        <v>0</v>
      </c>
      <c r="AB100" s="154" t="s">
        <v>637</v>
      </c>
      <c r="AC100" s="242" t="str">
        <f>IF(AB100="","N/A",INDIRECT("MTR!"&amp;ADDRESS(MATCH(LEFT(AB100,9),MTR!C:C,0),COLUMN(J100)),TRUE) &amp; "")</f>
        <v>Complies</v>
      </c>
      <c r="AD100" s="157" t="str">
        <f t="shared" si="5"/>
        <v/>
      </c>
      <c r="AE100" s="152"/>
      <c r="AF100" s="152"/>
      <c r="AG100" s="152"/>
      <c r="AH100" s="152"/>
      <c r="AI100" s="152"/>
      <c r="AJ100" s="152"/>
      <c r="AK100" s="152"/>
      <c r="AL100" s="152"/>
      <c r="AM100" s="152"/>
      <c r="AN100" s="152"/>
      <c r="AO100" s="152"/>
    </row>
    <row r="101" ht="12.75" customHeight="1">
      <c r="A101" s="244" t="s">
        <v>5158</v>
      </c>
      <c r="B101" s="244" t="s">
        <v>163</v>
      </c>
      <c r="C101" s="244" t="s">
        <v>5466</v>
      </c>
      <c r="D101" s="154" t="s">
        <v>1069</v>
      </c>
      <c r="E101" s="154"/>
      <c r="F101" s="154" t="str">
        <f t="array" ref="F101">XLOOKUP(Cover!$D$12,$M$1:$AD$1,$M101:$AD101)</f>
        <v>Mandatory</v>
      </c>
      <c r="G101" s="154" t="s">
        <v>5467</v>
      </c>
      <c r="H101" s="154" t="s">
        <v>5468</v>
      </c>
      <c r="I101" s="154" t="s">
        <v>479</v>
      </c>
      <c r="J101" s="247" t="s">
        <v>445</v>
      </c>
      <c r="K101" s="247" t="s">
        <v>5469</v>
      </c>
      <c r="L101" s="154" t="str">
        <f t="shared" si="1"/>
        <v/>
      </c>
      <c r="M101" s="154" t="s">
        <v>66</v>
      </c>
      <c r="N101" s="154" t="s">
        <v>66</v>
      </c>
      <c r="O101" s="154" t="s">
        <v>60</v>
      </c>
      <c r="P101" s="154" t="s">
        <v>60</v>
      </c>
      <c r="Q101" s="154" t="s">
        <v>60</v>
      </c>
      <c r="R101" s="154" t="s">
        <v>60</v>
      </c>
      <c r="S101" s="154" t="s">
        <v>68</v>
      </c>
      <c r="T101" s="154" t="s">
        <v>68</v>
      </c>
      <c r="U101" s="154" t="s">
        <v>68</v>
      </c>
      <c r="V101" s="154"/>
      <c r="W101" s="242" t="b">
        <f t="shared" si="2"/>
        <v>1</v>
      </c>
      <c r="X101" s="154" t="s">
        <v>400</v>
      </c>
      <c r="Y101" s="242" t="b">
        <f t="shared" si="3"/>
        <v>0</v>
      </c>
      <c r="Z101" s="154" t="s">
        <v>5470</v>
      </c>
      <c r="AA101" s="242" t="b">
        <f t="shared" si="4"/>
        <v>0</v>
      </c>
      <c r="AB101" s="154" t="s">
        <v>637</v>
      </c>
      <c r="AC101" s="242" t="str">
        <f>IF(AB101="","N/A",INDIRECT("MTR!"&amp;ADDRESS(MATCH(LEFT(AB101,9),MTR!C:C,0),COLUMN(J101)),TRUE) &amp; "")</f>
        <v>Complies</v>
      </c>
      <c r="AD101" s="157" t="str">
        <f t="shared" si="5"/>
        <v/>
      </c>
      <c r="AE101" s="152"/>
      <c r="AF101" s="152"/>
      <c r="AG101" s="152"/>
      <c r="AH101" s="152"/>
      <c r="AI101" s="152"/>
      <c r="AJ101" s="152"/>
      <c r="AK101" s="152"/>
      <c r="AL101" s="152"/>
      <c r="AM101" s="152"/>
      <c r="AN101" s="152"/>
      <c r="AO101" s="152"/>
    </row>
    <row r="102" ht="12.75" customHeight="1">
      <c r="A102" s="244" t="s">
        <v>5158</v>
      </c>
      <c r="B102" s="244" t="s">
        <v>163</v>
      </c>
      <c r="C102" s="244" t="s">
        <v>5471</v>
      </c>
      <c r="D102" s="154" t="s">
        <v>1069</v>
      </c>
      <c r="E102" s="154"/>
      <c r="F102" s="154" t="str">
        <f t="array" ref="F102">XLOOKUP(Cover!$D$12,$M$1:$AD$1,$M102:$AD102)</f>
        <v>Mandatory</v>
      </c>
      <c r="G102" s="154" t="s">
        <v>5472</v>
      </c>
      <c r="H102" s="154" t="s">
        <v>5468</v>
      </c>
      <c r="I102" s="154" t="s">
        <v>479</v>
      </c>
      <c r="J102" s="247" t="s">
        <v>445</v>
      </c>
      <c r="K102" s="247" t="s">
        <v>5473</v>
      </c>
      <c r="L102" s="154" t="str">
        <f t="shared" si="1"/>
        <v/>
      </c>
      <c r="M102" s="154" t="s">
        <v>66</v>
      </c>
      <c r="N102" s="154" t="s">
        <v>66</v>
      </c>
      <c r="O102" s="154" t="s">
        <v>60</v>
      </c>
      <c r="P102" s="154" t="s">
        <v>60</v>
      </c>
      <c r="Q102" s="154" t="s">
        <v>60</v>
      </c>
      <c r="R102" s="154" t="s">
        <v>60</v>
      </c>
      <c r="S102" s="154" t="s">
        <v>68</v>
      </c>
      <c r="T102" s="154" t="s">
        <v>68</v>
      </c>
      <c r="U102" s="154" t="s">
        <v>68</v>
      </c>
      <c r="V102" s="154"/>
      <c r="W102" s="242" t="b">
        <f t="shared" si="2"/>
        <v>1</v>
      </c>
      <c r="X102" s="154" t="s">
        <v>400</v>
      </c>
      <c r="Y102" s="242" t="b">
        <f t="shared" si="3"/>
        <v>0</v>
      </c>
      <c r="Z102" s="154" t="s">
        <v>5474</v>
      </c>
      <c r="AA102" s="242" t="b">
        <f t="shared" si="4"/>
        <v>0</v>
      </c>
      <c r="AB102" s="154" t="s">
        <v>637</v>
      </c>
      <c r="AC102" s="242" t="str">
        <f>IF(AB102="","N/A",INDIRECT("MTR!"&amp;ADDRESS(MATCH(LEFT(AB102,9),MTR!C:C,0),COLUMN(J102)),TRUE) &amp; "")</f>
        <v>Complies</v>
      </c>
      <c r="AD102" s="157" t="str">
        <f t="shared" si="5"/>
        <v/>
      </c>
      <c r="AE102" s="152"/>
      <c r="AF102" s="152"/>
      <c r="AG102" s="152"/>
      <c r="AH102" s="152"/>
      <c r="AI102" s="152"/>
      <c r="AJ102" s="152"/>
      <c r="AK102" s="152"/>
      <c r="AL102" s="152"/>
      <c r="AM102" s="152"/>
      <c r="AN102" s="152"/>
      <c r="AO102" s="152"/>
    </row>
    <row r="103" ht="12.75" customHeight="1">
      <c r="A103" s="244" t="s">
        <v>5158</v>
      </c>
      <c r="B103" s="244" t="s">
        <v>163</v>
      </c>
      <c r="C103" s="244" t="s">
        <v>5475</v>
      </c>
      <c r="D103" s="154" t="s">
        <v>1069</v>
      </c>
      <c r="E103" s="154"/>
      <c r="F103" s="154" t="str">
        <f t="array" ref="F103">XLOOKUP(Cover!$D$12,$M$1:$AD$1,$M103:$AD103)</f>
        <v>Mandatory</v>
      </c>
      <c r="G103" s="154" t="s">
        <v>5476</v>
      </c>
      <c r="H103" s="154" t="s">
        <v>5468</v>
      </c>
      <c r="I103" s="154" t="s">
        <v>479</v>
      </c>
      <c r="J103" s="247" t="s">
        <v>445</v>
      </c>
      <c r="K103" s="247" t="s">
        <v>5477</v>
      </c>
      <c r="L103" s="154" t="str">
        <f t="shared" si="1"/>
        <v/>
      </c>
      <c r="M103" s="154" t="s">
        <v>66</v>
      </c>
      <c r="N103" s="154" t="s">
        <v>66</v>
      </c>
      <c r="O103" s="154" t="s">
        <v>60</v>
      </c>
      <c r="P103" s="154" t="s">
        <v>60</v>
      </c>
      <c r="Q103" s="154" t="s">
        <v>60</v>
      </c>
      <c r="R103" s="154" t="s">
        <v>60</v>
      </c>
      <c r="S103" s="154" t="s">
        <v>68</v>
      </c>
      <c r="T103" s="154" t="s">
        <v>68</v>
      </c>
      <c r="U103" s="154" t="s">
        <v>68</v>
      </c>
      <c r="V103" s="154"/>
      <c r="W103" s="242" t="b">
        <f t="shared" si="2"/>
        <v>1</v>
      </c>
      <c r="X103" s="154" t="s">
        <v>400</v>
      </c>
      <c r="Y103" s="242" t="b">
        <f t="shared" si="3"/>
        <v>0</v>
      </c>
      <c r="Z103" s="154" t="s">
        <v>5478</v>
      </c>
      <c r="AA103" s="242" t="b">
        <f t="shared" si="4"/>
        <v>0</v>
      </c>
      <c r="AB103" s="154" t="s">
        <v>637</v>
      </c>
      <c r="AC103" s="242" t="str">
        <f>IF(AB103="","N/A",INDIRECT("MTR!"&amp;ADDRESS(MATCH(LEFT(AB103,9),MTR!C:C,0),COLUMN(J103)),TRUE) &amp; "")</f>
        <v>Complies</v>
      </c>
      <c r="AD103" s="157" t="str">
        <f t="shared" si="5"/>
        <v/>
      </c>
      <c r="AE103" s="152"/>
      <c r="AF103" s="152"/>
      <c r="AG103" s="152"/>
      <c r="AH103" s="152"/>
      <c r="AI103" s="152"/>
      <c r="AJ103" s="152"/>
      <c r="AK103" s="152"/>
      <c r="AL103" s="152"/>
      <c r="AM103" s="152"/>
      <c r="AN103" s="152"/>
      <c r="AO103" s="152"/>
    </row>
    <row r="104" ht="12.75" customHeight="1">
      <c r="A104" s="244" t="s">
        <v>5158</v>
      </c>
      <c r="B104" s="244" t="s">
        <v>163</v>
      </c>
      <c r="C104" s="244" t="s">
        <v>5479</v>
      </c>
      <c r="D104" s="154" t="s">
        <v>1069</v>
      </c>
      <c r="E104" s="154"/>
      <c r="F104" s="154" t="str">
        <f t="array" ref="F104">XLOOKUP(Cover!$D$12,$M$1:$AD$1,$M104:$AD104)</f>
        <v>Mandatory</v>
      </c>
      <c r="G104" s="154" t="s">
        <v>5480</v>
      </c>
      <c r="H104" s="154" t="s">
        <v>5468</v>
      </c>
      <c r="I104" s="154" t="s">
        <v>479</v>
      </c>
      <c r="J104" s="247" t="s">
        <v>445</v>
      </c>
      <c r="K104" s="247" t="s">
        <v>5481</v>
      </c>
      <c r="L104" s="154" t="str">
        <f t="shared" si="1"/>
        <v/>
      </c>
      <c r="M104" s="154" t="s">
        <v>66</v>
      </c>
      <c r="N104" s="154" t="s">
        <v>66</v>
      </c>
      <c r="O104" s="154" t="s">
        <v>60</v>
      </c>
      <c r="P104" s="154" t="s">
        <v>60</v>
      </c>
      <c r="Q104" s="154" t="s">
        <v>60</v>
      </c>
      <c r="R104" s="154" t="s">
        <v>60</v>
      </c>
      <c r="S104" s="154" t="s">
        <v>68</v>
      </c>
      <c r="T104" s="154" t="s">
        <v>68</v>
      </c>
      <c r="U104" s="154" t="s">
        <v>68</v>
      </c>
      <c r="V104" s="154"/>
      <c r="W104" s="242" t="b">
        <f t="shared" si="2"/>
        <v>1</v>
      </c>
      <c r="X104" s="154" t="s">
        <v>400</v>
      </c>
      <c r="Y104" s="242" t="b">
        <f t="shared" si="3"/>
        <v>0</v>
      </c>
      <c r="Z104" s="154" t="s">
        <v>5482</v>
      </c>
      <c r="AA104" s="242" t="b">
        <f t="shared" si="4"/>
        <v>0</v>
      </c>
      <c r="AB104" s="154" t="s">
        <v>637</v>
      </c>
      <c r="AC104" s="242" t="str">
        <f>IF(AB104="","N/A",INDIRECT("MTR!"&amp;ADDRESS(MATCH(LEFT(AB104,9),MTR!C:C,0),COLUMN(J104)),TRUE) &amp; "")</f>
        <v>Complies</v>
      </c>
      <c r="AD104" s="157" t="str">
        <f t="shared" si="5"/>
        <v/>
      </c>
      <c r="AE104" s="152"/>
      <c r="AF104" s="152"/>
      <c r="AG104" s="152"/>
      <c r="AH104" s="152"/>
      <c r="AI104" s="152"/>
      <c r="AJ104" s="152"/>
      <c r="AK104" s="152"/>
      <c r="AL104" s="152"/>
      <c r="AM104" s="152"/>
      <c r="AN104" s="152"/>
      <c r="AO104" s="152"/>
    </row>
    <row r="105" ht="12.75" customHeight="1">
      <c r="A105" s="244" t="s">
        <v>5158</v>
      </c>
      <c r="B105" s="244" t="s">
        <v>163</v>
      </c>
      <c r="C105" s="244" t="s">
        <v>5483</v>
      </c>
      <c r="D105" s="154" t="s">
        <v>1069</v>
      </c>
      <c r="E105" s="154"/>
      <c r="F105" s="154" t="str">
        <f t="array" ref="F105">XLOOKUP(Cover!$D$12,$M$1:$AD$1,$M105:$AD105)</f>
        <v>Mandatory</v>
      </c>
      <c r="G105" s="154" t="s">
        <v>5484</v>
      </c>
      <c r="H105" s="154" t="s">
        <v>5468</v>
      </c>
      <c r="I105" s="154" t="s">
        <v>479</v>
      </c>
      <c r="J105" s="247" t="s">
        <v>445</v>
      </c>
      <c r="K105" s="247" t="s">
        <v>5485</v>
      </c>
      <c r="L105" s="154" t="str">
        <f t="shared" si="1"/>
        <v/>
      </c>
      <c r="M105" s="154" t="s">
        <v>66</v>
      </c>
      <c r="N105" s="154" t="s">
        <v>66</v>
      </c>
      <c r="O105" s="154" t="s">
        <v>60</v>
      </c>
      <c r="P105" s="154" t="s">
        <v>60</v>
      </c>
      <c r="Q105" s="154" t="s">
        <v>60</v>
      </c>
      <c r="R105" s="154" t="s">
        <v>60</v>
      </c>
      <c r="S105" s="154" t="s">
        <v>68</v>
      </c>
      <c r="T105" s="154" t="s">
        <v>68</v>
      </c>
      <c r="U105" s="154" t="s">
        <v>68</v>
      </c>
      <c r="V105" s="154"/>
      <c r="W105" s="242" t="b">
        <f t="shared" si="2"/>
        <v>1</v>
      </c>
      <c r="X105" s="154" t="s">
        <v>400</v>
      </c>
      <c r="Y105" s="242" t="b">
        <f t="shared" si="3"/>
        <v>0</v>
      </c>
      <c r="Z105" s="154" t="s">
        <v>5486</v>
      </c>
      <c r="AA105" s="242" t="b">
        <f t="shared" si="4"/>
        <v>0</v>
      </c>
      <c r="AB105" s="154" t="s">
        <v>637</v>
      </c>
      <c r="AC105" s="242" t="str">
        <f>IF(AB105="","N/A",INDIRECT("MTR!"&amp;ADDRESS(MATCH(LEFT(AB105,9),MTR!C:C,0),COLUMN(J105)),TRUE) &amp; "")</f>
        <v>Complies</v>
      </c>
      <c r="AD105" s="157" t="str">
        <f t="shared" si="5"/>
        <v/>
      </c>
      <c r="AE105" s="152"/>
      <c r="AF105" s="152"/>
      <c r="AG105" s="152"/>
      <c r="AH105" s="152"/>
      <c r="AI105" s="152"/>
      <c r="AJ105" s="152"/>
      <c r="AK105" s="152"/>
      <c r="AL105" s="152"/>
      <c r="AM105" s="152"/>
      <c r="AN105" s="152"/>
      <c r="AO105" s="152"/>
    </row>
    <row r="106" ht="12.75" customHeight="1">
      <c r="A106" s="244" t="s">
        <v>5158</v>
      </c>
      <c r="B106" s="244" t="s">
        <v>163</v>
      </c>
      <c r="C106" s="244" t="s">
        <v>5487</v>
      </c>
      <c r="D106" s="154" t="s">
        <v>1069</v>
      </c>
      <c r="E106" s="154"/>
      <c r="F106" s="154" t="str">
        <f t="array" ref="F106">XLOOKUP(Cover!$D$12,$M$1:$AD$1,$M106:$AD106)</f>
        <v>Mandatory</v>
      </c>
      <c r="G106" s="154" t="s">
        <v>5488</v>
      </c>
      <c r="H106" s="154" t="s">
        <v>5468</v>
      </c>
      <c r="I106" s="154" t="s">
        <v>479</v>
      </c>
      <c r="J106" s="247" t="s">
        <v>445</v>
      </c>
      <c r="K106" s="247" t="s">
        <v>5489</v>
      </c>
      <c r="L106" s="154" t="str">
        <f t="shared" si="1"/>
        <v/>
      </c>
      <c r="M106" s="154" t="s">
        <v>66</v>
      </c>
      <c r="N106" s="154" t="s">
        <v>66</v>
      </c>
      <c r="O106" s="154" t="s">
        <v>60</v>
      </c>
      <c r="P106" s="154" t="s">
        <v>60</v>
      </c>
      <c r="Q106" s="154" t="s">
        <v>60</v>
      </c>
      <c r="R106" s="154" t="s">
        <v>60</v>
      </c>
      <c r="S106" s="154" t="s">
        <v>68</v>
      </c>
      <c r="T106" s="154" t="s">
        <v>68</v>
      </c>
      <c r="U106" s="154" t="s">
        <v>68</v>
      </c>
      <c r="V106" s="154"/>
      <c r="W106" s="242" t="b">
        <f t="shared" si="2"/>
        <v>1</v>
      </c>
      <c r="X106" s="154" t="s">
        <v>400</v>
      </c>
      <c r="Y106" s="242" t="b">
        <f t="shared" si="3"/>
        <v>0</v>
      </c>
      <c r="Z106" s="154" t="s">
        <v>5490</v>
      </c>
      <c r="AA106" s="242" t="b">
        <f t="shared" si="4"/>
        <v>0</v>
      </c>
      <c r="AB106" s="154" t="s">
        <v>637</v>
      </c>
      <c r="AC106" s="242" t="str">
        <f>IF(AB106="","N/A",INDIRECT("MTR!"&amp;ADDRESS(MATCH(LEFT(AB106,9),MTR!C:C,0),COLUMN(J106)),TRUE) &amp; "")</f>
        <v>Complies</v>
      </c>
      <c r="AD106" s="157" t="str">
        <f t="shared" si="5"/>
        <v/>
      </c>
      <c r="AE106" s="152"/>
      <c r="AF106" s="152"/>
      <c r="AG106" s="152"/>
      <c r="AH106" s="152"/>
      <c r="AI106" s="152"/>
      <c r="AJ106" s="152"/>
      <c r="AK106" s="152"/>
      <c r="AL106" s="152"/>
      <c r="AM106" s="152"/>
      <c r="AN106" s="152"/>
      <c r="AO106" s="152"/>
    </row>
    <row r="107" ht="12.75" customHeight="1">
      <c r="A107" s="244" t="s">
        <v>5158</v>
      </c>
      <c r="B107" s="244" t="s">
        <v>163</v>
      </c>
      <c r="C107" s="244" t="s">
        <v>5491</v>
      </c>
      <c r="D107" s="154" t="s">
        <v>1069</v>
      </c>
      <c r="E107" s="154"/>
      <c r="F107" s="154" t="str">
        <f t="array" ref="F107">XLOOKUP(Cover!$D$12,$M$1:$AD$1,$M107:$AD107)</f>
        <v>Mandatory</v>
      </c>
      <c r="G107" s="154" t="s">
        <v>5492</v>
      </c>
      <c r="H107" s="154" t="s">
        <v>5468</v>
      </c>
      <c r="I107" s="154" t="s">
        <v>479</v>
      </c>
      <c r="J107" s="247" t="s">
        <v>445</v>
      </c>
      <c r="K107" s="247" t="s">
        <v>5493</v>
      </c>
      <c r="L107" s="154" t="str">
        <f t="shared" si="1"/>
        <v/>
      </c>
      <c r="M107" s="154" t="s">
        <v>66</v>
      </c>
      <c r="N107" s="154" t="s">
        <v>66</v>
      </c>
      <c r="O107" s="154" t="s">
        <v>60</v>
      </c>
      <c r="P107" s="154" t="s">
        <v>60</v>
      </c>
      <c r="Q107" s="154" t="s">
        <v>60</v>
      </c>
      <c r="R107" s="154" t="s">
        <v>60</v>
      </c>
      <c r="S107" s="154" t="s">
        <v>68</v>
      </c>
      <c r="T107" s="154" t="s">
        <v>68</v>
      </c>
      <c r="U107" s="154" t="s">
        <v>68</v>
      </c>
      <c r="V107" s="154"/>
      <c r="W107" s="242" t="b">
        <f t="shared" si="2"/>
        <v>1</v>
      </c>
      <c r="X107" s="154" t="s">
        <v>400</v>
      </c>
      <c r="Y107" s="242" t="b">
        <f t="shared" si="3"/>
        <v>0</v>
      </c>
      <c r="Z107" s="154" t="s">
        <v>5494</v>
      </c>
      <c r="AA107" s="242" t="b">
        <f t="shared" si="4"/>
        <v>0</v>
      </c>
      <c r="AB107" s="154" t="s">
        <v>728</v>
      </c>
      <c r="AC107" s="242" t="str">
        <f>IF(AB107="","N/A",INDIRECT("MTR!"&amp;ADDRESS(MATCH(LEFT(AB107,9),MTR!C:C,0),COLUMN(J107)),TRUE) &amp; "")</f>
        <v>Complies</v>
      </c>
      <c r="AD107" s="157" t="str">
        <f t="shared" si="5"/>
        <v/>
      </c>
      <c r="AE107" s="152"/>
      <c r="AF107" s="152"/>
      <c r="AG107" s="152"/>
      <c r="AH107" s="152"/>
      <c r="AI107" s="152"/>
      <c r="AJ107" s="152"/>
      <c r="AK107" s="152"/>
      <c r="AL107" s="152"/>
      <c r="AM107" s="152"/>
      <c r="AN107" s="152"/>
      <c r="AO107" s="152"/>
    </row>
    <row r="108" ht="12.75" customHeight="1">
      <c r="A108" s="244" t="s">
        <v>5158</v>
      </c>
      <c r="B108" s="244" t="s">
        <v>163</v>
      </c>
      <c r="C108" s="244" t="s">
        <v>5495</v>
      </c>
      <c r="D108" s="154" t="s">
        <v>1069</v>
      </c>
      <c r="E108" s="154"/>
      <c r="F108" s="154" t="str">
        <f t="array" ref="F108">XLOOKUP(Cover!$D$12,$M$1:$AD$1,$M108:$AD108)</f>
        <v>Mandatory</v>
      </c>
      <c r="G108" s="154" t="s">
        <v>5496</v>
      </c>
      <c r="H108" s="154" t="s">
        <v>5468</v>
      </c>
      <c r="I108" s="154" t="s">
        <v>479</v>
      </c>
      <c r="J108" s="247" t="s">
        <v>445</v>
      </c>
      <c r="K108" s="247" t="s">
        <v>5497</v>
      </c>
      <c r="L108" s="154" t="str">
        <f t="shared" si="1"/>
        <v/>
      </c>
      <c r="M108" s="154" t="s">
        <v>66</v>
      </c>
      <c r="N108" s="154" t="s">
        <v>66</v>
      </c>
      <c r="O108" s="154" t="s">
        <v>60</v>
      </c>
      <c r="P108" s="154" t="s">
        <v>60</v>
      </c>
      <c r="Q108" s="154" t="s">
        <v>60</v>
      </c>
      <c r="R108" s="154" t="s">
        <v>60</v>
      </c>
      <c r="S108" s="154" t="s">
        <v>68</v>
      </c>
      <c r="T108" s="154" t="s">
        <v>68</v>
      </c>
      <c r="U108" s="154" t="s">
        <v>68</v>
      </c>
      <c r="V108" s="154"/>
      <c r="W108" s="242" t="b">
        <f t="shared" si="2"/>
        <v>1</v>
      </c>
      <c r="X108" s="154" t="s">
        <v>400</v>
      </c>
      <c r="Y108" s="242" t="b">
        <f t="shared" si="3"/>
        <v>0</v>
      </c>
      <c r="Z108" s="154" t="s">
        <v>5498</v>
      </c>
      <c r="AA108" s="242" t="b">
        <f t="shared" si="4"/>
        <v>0</v>
      </c>
      <c r="AB108" s="154" t="s">
        <v>728</v>
      </c>
      <c r="AC108" s="242" t="str">
        <f>IF(AB108="","N/A",INDIRECT("MTR!"&amp;ADDRESS(MATCH(LEFT(AB108,9),MTR!C:C,0),COLUMN(J108)),TRUE) &amp; "")</f>
        <v>Complies</v>
      </c>
      <c r="AD108" s="157" t="str">
        <f t="shared" si="5"/>
        <v/>
      </c>
      <c r="AE108" s="152"/>
      <c r="AF108" s="152"/>
      <c r="AG108" s="152"/>
      <c r="AH108" s="152"/>
      <c r="AI108" s="152"/>
      <c r="AJ108" s="152"/>
      <c r="AK108" s="152"/>
      <c r="AL108" s="152"/>
      <c r="AM108" s="152"/>
      <c r="AN108" s="152"/>
      <c r="AO108" s="152"/>
    </row>
    <row r="109" ht="12.75" customHeight="1">
      <c r="A109" s="238" t="s">
        <v>5158</v>
      </c>
      <c r="B109" s="238" t="s">
        <v>163</v>
      </c>
      <c r="C109" s="238" t="s">
        <v>5499</v>
      </c>
      <c r="D109" s="240"/>
      <c r="E109" s="240" t="s">
        <v>92</v>
      </c>
      <c r="F109" s="240" t="str">
        <f t="array" ref="F109">XLOOKUP(Cover!$D$12,$M$1:$AD$1,$M109:$AD109)</f>
        <v>Heading</v>
      </c>
      <c r="G109" s="239" t="s">
        <v>5500</v>
      </c>
      <c r="H109" s="240"/>
      <c r="I109" s="240" t="s">
        <v>479</v>
      </c>
      <c r="J109" s="240"/>
      <c r="K109" s="240"/>
      <c r="L109" s="240" t="str">
        <f t="shared" si="1"/>
        <v/>
      </c>
      <c r="M109" s="240" t="s">
        <v>390</v>
      </c>
      <c r="N109" s="240" t="s">
        <v>390</v>
      </c>
      <c r="O109" s="240" t="s">
        <v>390</v>
      </c>
      <c r="P109" s="240" t="s">
        <v>390</v>
      </c>
      <c r="Q109" s="240" t="s">
        <v>390</v>
      </c>
      <c r="R109" s="240" t="s">
        <v>390</v>
      </c>
      <c r="S109" s="240" t="s">
        <v>390</v>
      </c>
      <c r="T109" s="240" t="s">
        <v>390</v>
      </c>
      <c r="U109" s="240" t="s">
        <v>390</v>
      </c>
      <c r="V109" s="240"/>
      <c r="W109" s="242" t="b">
        <f t="shared" si="2"/>
        <v>0</v>
      </c>
      <c r="X109" s="240" t="s">
        <v>391</v>
      </c>
      <c r="Y109" s="242" t="b">
        <f t="shared" si="3"/>
        <v>0</v>
      </c>
      <c r="Z109" s="240"/>
      <c r="AA109" s="242" t="b">
        <f t="shared" si="4"/>
        <v>0</v>
      </c>
      <c r="AB109" s="240"/>
      <c r="AC109" s="242" t="str">
        <f>IF(AB109="","N/A",INDIRECT("MTR!"&amp;ADDRESS(MATCH(LEFT(AB109,9),MTR!C:C,0),COLUMN(J109)),TRUE) &amp; "")</f>
        <v>N/A</v>
      </c>
      <c r="AD109" s="157" t="str">
        <f t="shared" si="5"/>
        <v/>
      </c>
      <c r="AE109" s="152"/>
      <c r="AF109" s="152"/>
      <c r="AG109" s="152"/>
      <c r="AH109" s="152"/>
      <c r="AI109" s="152"/>
      <c r="AJ109" s="152"/>
      <c r="AK109" s="152"/>
      <c r="AL109" s="152"/>
      <c r="AM109" s="152"/>
      <c r="AN109" s="152"/>
      <c r="AO109" s="152"/>
    </row>
    <row r="110" ht="12.75" customHeight="1">
      <c r="A110" s="244" t="s">
        <v>5158</v>
      </c>
      <c r="B110" s="244" t="s">
        <v>163</v>
      </c>
      <c r="C110" s="244" t="s">
        <v>5501</v>
      </c>
      <c r="D110" s="154" t="s">
        <v>1211</v>
      </c>
      <c r="E110" s="154"/>
      <c r="F110" s="154" t="str">
        <f t="array" ref="F110">XLOOKUP(Cover!$D$12,$M$1:$AD$1,$M110:$AD110)</f>
        <v>Mandatory</v>
      </c>
      <c r="G110" s="154" t="s">
        <v>5502</v>
      </c>
      <c r="H110" s="154" t="s">
        <v>5435</v>
      </c>
      <c r="I110" s="154" t="s">
        <v>479</v>
      </c>
      <c r="J110" s="247" t="s">
        <v>445</v>
      </c>
      <c r="K110" s="247" t="s">
        <v>5503</v>
      </c>
      <c r="L110" s="154" t="str">
        <f t="shared" si="1"/>
        <v/>
      </c>
      <c r="M110" s="154" t="s">
        <v>60</v>
      </c>
      <c r="N110" s="154" t="s">
        <v>60</v>
      </c>
      <c r="O110" s="154" t="s">
        <v>60</v>
      </c>
      <c r="P110" s="154" t="s">
        <v>60</v>
      </c>
      <c r="Q110" s="154" t="s">
        <v>60</v>
      </c>
      <c r="R110" s="154" t="s">
        <v>60</v>
      </c>
      <c r="S110" s="154" t="s">
        <v>68</v>
      </c>
      <c r="T110" s="154" t="s">
        <v>68</v>
      </c>
      <c r="U110" s="154" t="s">
        <v>68</v>
      </c>
      <c r="V110" s="154"/>
      <c r="W110" s="242" t="b">
        <f t="shared" si="2"/>
        <v>1</v>
      </c>
      <c r="X110" s="154" t="s">
        <v>400</v>
      </c>
      <c r="Y110" s="242" t="b">
        <f t="shared" si="3"/>
        <v>0</v>
      </c>
      <c r="Z110" s="154" t="s">
        <v>5504</v>
      </c>
      <c r="AA110" s="242" t="b">
        <f t="shared" si="4"/>
        <v>0</v>
      </c>
      <c r="AB110" s="154" t="s">
        <v>629</v>
      </c>
      <c r="AC110" s="242" t="str">
        <f>IF(AB110="","N/A",INDIRECT("MTR!"&amp;ADDRESS(MATCH(LEFT(AB110,9),MTR!C:C,0),COLUMN(J110)),TRUE) &amp; "")</f>
        <v>Complies</v>
      </c>
      <c r="AD110" s="157" t="str">
        <f t="shared" si="5"/>
        <v/>
      </c>
      <c r="AE110" s="152"/>
      <c r="AF110" s="152"/>
      <c r="AG110" s="152"/>
      <c r="AH110" s="152"/>
      <c r="AI110" s="152"/>
      <c r="AJ110" s="152"/>
      <c r="AK110" s="152"/>
      <c r="AL110" s="152"/>
      <c r="AM110" s="152"/>
      <c r="AN110" s="152"/>
      <c r="AO110" s="152"/>
    </row>
    <row r="111" ht="12.75" customHeight="1">
      <c r="A111" s="244" t="s">
        <v>5158</v>
      </c>
      <c r="B111" s="244" t="s">
        <v>163</v>
      </c>
      <c r="C111" s="244" t="s">
        <v>5505</v>
      </c>
      <c r="D111" s="154" t="s">
        <v>1211</v>
      </c>
      <c r="E111" s="154"/>
      <c r="F111" s="154" t="str">
        <f t="array" ref="F111">XLOOKUP(Cover!$D$12,$M$1:$AD$1,$M111:$AD111)</f>
        <v>Mandatory</v>
      </c>
      <c r="G111" s="154" t="s">
        <v>5506</v>
      </c>
      <c r="H111" s="154" t="s">
        <v>5435</v>
      </c>
      <c r="I111" s="154" t="s">
        <v>479</v>
      </c>
      <c r="J111" s="247" t="s">
        <v>445</v>
      </c>
      <c r="K111" s="247" t="s">
        <v>5507</v>
      </c>
      <c r="L111" s="154" t="str">
        <f t="shared" si="1"/>
        <v/>
      </c>
      <c r="M111" s="154" t="s">
        <v>60</v>
      </c>
      <c r="N111" s="154" t="s">
        <v>60</v>
      </c>
      <c r="O111" s="154" t="s">
        <v>60</v>
      </c>
      <c r="P111" s="154" t="s">
        <v>60</v>
      </c>
      <c r="Q111" s="154" t="s">
        <v>60</v>
      </c>
      <c r="R111" s="154" t="s">
        <v>60</v>
      </c>
      <c r="S111" s="154" t="s">
        <v>68</v>
      </c>
      <c r="T111" s="154" t="s">
        <v>68</v>
      </c>
      <c r="U111" s="154" t="s">
        <v>68</v>
      </c>
      <c r="V111" s="154"/>
      <c r="W111" s="242" t="b">
        <f t="shared" si="2"/>
        <v>1</v>
      </c>
      <c r="X111" s="154" t="s">
        <v>400</v>
      </c>
      <c r="Y111" s="242" t="b">
        <f t="shared" si="3"/>
        <v>0</v>
      </c>
      <c r="Z111" s="154" t="s">
        <v>5508</v>
      </c>
      <c r="AA111" s="242" t="b">
        <f t="shared" si="4"/>
        <v>0</v>
      </c>
      <c r="AB111" s="154" t="s">
        <v>629</v>
      </c>
      <c r="AC111" s="242" t="str">
        <f>IF(AB111="","N/A",INDIRECT("MTR!"&amp;ADDRESS(MATCH(LEFT(AB111,9),MTR!C:C,0),COLUMN(J111)),TRUE) &amp; "")</f>
        <v>Complies</v>
      </c>
      <c r="AD111" s="157" t="str">
        <f t="shared" si="5"/>
        <v/>
      </c>
      <c r="AE111" s="152"/>
      <c r="AF111" s="152"/>
      <c r="AG111" s="152"/>
      <c r="AH111" s="152"/>
      <c r="AI111" s="152"/>
      <c r="AJ111" s="152"/>
      <c r="AK111" s="152"/>
      <c r="AL111" s="152"/>
      <c r="AM111" s="152"/>
      <c r="AN111" s="152"/>
      <c r="AO111" s="152"/>
    </row>
    <row r="112" ht="12.75" customHeight="1">
      <c r="A112" s="244" t="s">
        <v>5158</v>
      </c>
      <c r="B112" s="244" t="s">
        <v>163</v>
      </c>
      <c r="C112" s="244" t="s">
        <v>5509</v>
      </c>
      <c r="D112" s="154" t="s">
        <v>739</v>
      </c>
      <c r="E112" s="154"/>
      <c r="F112" s="154" t="str">
        <f t="array" ref="F112">XLOOKUP(Cover!$D$12,$M$1:$AD$1,$M112:$AD112)</f>
        <v>Mandatory</v>
      </c>
      <c r="G112" s="154" t="s">
        <v>5510</v>
      </c>
      <c r="H112" s="154" t="s">
        <v>5435</v>
      </c>
      <c r="I112" s="154" t="s">
        <v>479</v>
      </c>
      <c r="J112" s="247" t="s">
        <v>445</v>
      </c>
      <c r="K112" s="247" t="s">
        <v>5511</v>
      </c>
      <c r="L112" s="154" t="str">
        <f t="shared" si="1"/>
        <v/>
      </c>
      <c r="M112" s="154" t="s">
        <v>60</v>
      </c>
      <c r="N112" s="154" t="s">
        <v>60</v>
      </c>
      <c r="O112" s="154" t="s">
        <v>60</v>
      </c>
      <c r="P112" s="154" t="s">
        <v>60</v>
      </c>
      <c r="Q112" s="154" t="s">
        <v>60</v>
      </c>
      <c r="R112" s="154" t="s">
        <v>60</v>
      </c>
      <c r="S112" s="154" t="s">
        <v>68</v>
      </c>
      <c r="T112" s="154" t="s">
        <v>68</v>
      </c>
      <c r="U112" s="154" t="s">
        <v>68</v>
      </c>
      <c r="V112" s="154"/>
      <c r="W112" s="242" t="b">
        <f t="shared" si="2"/>
        <v>1</v>
      </c>
      <c r="X112" s="154" t="s">
        <v>400</v>
      </c>
      <c r="Y112" s="242" t="b">
        <f t="shared" si="3"/>
        <v>0</v>
      </c>
      <c r="Z112" s="154" t="s">
        <v>5512</v>
      </c>
      <c r="AA112" s="242" t="b">
        <f t="shared" si="4"/>
        <v>0</v>
      </c>
      <c r="AB112" s="154" t="s">
        <v>637</v>
      </c>
      <c r="AC112" s="242" t="str">
        <f>IF(AB112="","N/A",INDIRECT("MTR!"&amp;ADDRESS(MATCH(LEFT(AB112,9),MTR!C:C,0),COLUMN(J112)),TRUE) &amp; "")</f>
        <v>Complies</v>
      </c>
      <c r="AD112" s="157" t="str">
        <f t="shared" si="5"/>
        <v/>
      </c>
      <c r="AE112" s="152"/>
      <c r="AF112" s="152"/>
      <c r="AG112" s="152"/>
      <c r="AH112" s="152"/>
      <c r="AI112" s="152"/>
      <c r="AJ112" s="152"/>
      <c r="AK112" s="152"/>
      <c r="AL112" s="152"/>
      <c r="AM112" s="152"/>
      <c r="AN112" s="152"/>
      <c r="AO112" s="152"/>
    </row>
    <row r="113" ht="12.75" customHeight="1">
      <c r="A113" s="244" t="s">
        <v>5158</v>
      </c>
      <c r="B113" s="244" t="s">
        <v>163</v>
      </c>
      <c r="C113" s="244" t="s">
        <v>5513</v>
      </c>
      <c r="D113" s="154" t="s">
        <v>739</v>
      </c>
      <c r="E113" s="154"/>
      <c r="F113" s="154" t="str">
        <f t="array" ref="F113">XLOOKUP(Cover!$D$12,$M$1:$AD$1,$M113:$AD113)</f>
        <v>Mandatory</v>
      </c>
      <c r="G113" s="154" t="s">
        <v>5514</v>
      </c>
      <c r="H113" s="154" t="s">
        <v>5435</v>
      </c>
      <c r="I113" s="154" t="s">
        <v>479</v>
      </c>
      <c r="J113" s="247" t="s">
        <v>445</v>
      </c>
      <c r="K113" s="247" t="s">
        <v>5515</v>
      </c>
      <c r="L113" s="154" t="str">
        <f t="shared" si="1"/>
        <v/>
      </c>
      <c r="M113" s="154" t="s">
        <v>60</v>
      </c>
      <c r="N113" s="154" t="s">
        <v>60</v>
      </c>
      <c r="O113" s="154" t="s">
        <v>60</v>
      </c>
      <c r="P113" s="154" t="s">
        <v>60</v>
      </c>
      <c r="Q113" s="154" t="s">
        <v>60</v>
      </c>
      <c r="R113" s="154" t="s">
        <v>60</v>
      </c>
      <c r="S113" s="154" t="s">
        <v>68</v>
      </c>
      <c r="T113" s="154" t="s">
        <v>68</v>
      </c>
      <c r="U113" s="154" t="s">
        <v>68</v>
      </c>
      <c r="V113" s="154"/>
      <c r="W113" s="242" t="b">
        <f t="shared" si="2"/>
        <v>1</v>
      </c>
      <c r="X113" s="154" t="s">
        <v>400</v>
      </c>
      <c r="Y113" s="242" t="b">
        <f t="shared" si="3"/>
        <v>0</v>
      </c>
      <c r="Z113" s="154" t="s">
        <v>5516</v>
      </c>
      <c r="AA113" s="242" t="b">
        <f t="shared" si="4"/>
        <v>0</v>
      </c>
      <c r="AB113" s="154" t="s">
        <v>637</v>
      </c>
      <c r="AC113" s="242" t="str">
        <f>IF(AB113="","N/A",INDIRECT("MTR!"&amp;ADDRESS(MATCH(LEFT(AB113,9),MTR!C:C,0),COLUMN(J113)),TRUE) &amp; "")</f>
        <v>Complies</v>
      </c>
      <c r="AD113" s="157" t="str">
        <f t="shared" si="5"/>
        <v/>
      </c>
      <c r="AE113" s="152"/>
      <c r="AF113" s="152"/>
      <c r="AG113" s="152"/>
      <c r="AH113" s="152"/>
      <c r="AI113" s="152"/>
      <c r="AJ113" s="152"/>
      <c r="AK113" s="152"/>
      <c r="AL113" s="152"/>
      <c r="AM113" s="152"/>
      <c r="AN113" s="152"/>
      <c r="AO113" s="152"/>
    </row>
    <row r="114" ht="12.75" customHeight="1">
      <c r="A114" s="244" t="s">
        <v>5158</v>
      </c>
      <c r="B114" s="244" t="s">
        <v>163</v>
      </c>
      <c r="C114" s="244" t="s">
        <v>5517</v>
      </c>
      <c r="D114" s="154" t="s">
        <v>739</v>
      </c>
      <c r="E114" s="154"/>
      <c r="F114" s="154" t="str">
        <f t="array" ref="F114">XLOOKUP(Cover!$D$12,$M$1:$AD$1,$M114:$AD114)</f>
        <v>Mandatory</v>
      </c>
      <c r="G114" s="154" t="s">
        <v>5518</v>
      </c>
      <c r="H114" s="154" t="s">
        <v>5435</v>
      </c>
      <c r="I114" s="154" t="s">
        <v>479</v>
      </c>
      <c r="J114" s="247" t="s">
        <v>445</v>
      </c>
      <c r="K114" s="247" t="s">
        <v>5519</v>
      </c>
      <c r="L114" s="154" t="str">
        <f t="shared" si="1"/>
        <v/>
      </c>
      <c r="M114" s="154" t="s">
        <v>60</v>
      </c>
      <c r="N114" s="154" t="s">
        <v>60</v>
      </c>
      <c r="O114" s="154" t="s">
        <v>60</v>
      </c>
      <c r="P114" s="154" t="s">
        <v>60</v>
      </c>
      <c r="Q114" s="154" t="s">
        <v>60</v>
      </c>
      <c r="R114" s="154" t="s">
        <v>60</v>
      </c>
      <c r="S114" s="154" t="s">
        <v>68</v>
      </c>
      <c r="T114" s="154" t="s">
        <v>68</v>
      </c>
      <c r="U114" s="154" t="s">
        <v>68</v>
      </c>
      <c r="V114" s="154"/>
      <c r="W114" s="242" t="b">
        <f t="shared" si="2"/>
        <v>1</v>
      </c>
      <c r="X114" s="154" t="s">
        <v>400</v>
      </c>
      <c r="Y114" s="242" t="b">
        <f t="shared" si="3"/>
        <v>0</v>
      </c>
      <c r="Z114" s="154" t="s">
        <v>5520</v>
      </c>
      <c r="AA114" s="242" t="b">
        <f t="shared" si="4"/>
        <v>0</v>
      </c>
      <c r="AB114" s="154" t="s">
        <v>637</v>
      </c>
      <c r="AC114" s="242" t="str">
        <f>IF(AB114="","N/A",INDIRECT("MTR!"&amp;ADDRESS(MATCH(LEFT(AB114,9),MTR!C:C,0),COLUMN(J114)),TRUE) &amp; "")</f>
        <v>Complies</v>
      </c>
      <c r="AD114" s="157" t="str">
        <f t="shared" si="5"/>
        <v/>
      </c>
      <c r="AE114" s="152"/>
      <c r="AF114" s="152"/>
      <c r="AG114" s="152"/>
      <c r="AH114" s="152"/>
      <c r="AI114" s="152"/>
      <c r="AJ114" s="152"/>
      <c r="AK114" s="152"/>
      <c r="AL114" s="152"/>
      <c r="AM114" s="152"/>
      <c r="AN114" s="152"/>
      <c r="AO114" s="152"/>
    </row>
    <row r="115" ht="12.75" customHeight="1">
      <c r="A115" s="244" t="s">
        <v>5158</v>
      </c>
      <c r="B115" s="244" t="s">
        <v>163</v>
      </c>
      <c r="C115" s="244" t="s">
        <v>5521</v>
      </c>
      <c r="D115" s="154" t="s">
        <v>739</v>
      </c>
      <c r="E115" s="154"/>
      <c r="F115" s="154" t="str">
        <f t="array" ref="F115">XLOOKUP(Cover!$D$12,$M$1:$AD$1,$M115:$AD115)</f>
        <v>Mandatory</v>
      </c>
      <c r="G115" s="154" t="s">
        <v>5522</v>
      </c>
      <c r="H115" s="154" t="s">
        <v>5435</v>
      </c>
      <c r="I115" s="154" t="s">
        <v>479</v>
      </c>
      <c r="J115" s="247" t="s">
        <v>445</v>
      </c>
      <c r="K115" s="247" t="s">
        <v>5523</v>
      </c>
      <c r="L115" s="154" t="str">
        <f t="shared" si="1"/>
        <v/>
      </c>
      <c r="M115" s="154" t="s">
        <v>60</v>
      </c>
      <c r="N115" s="154" t="s">
        <v>60</v>
      </c>
      <c r="O115" s="154" t="s">
        <v>60</v>
      </c>
      <c r="P115" s="154" t="s">
        <v>60</v>
      </c>
      <c r="Q115" s="154" t="s">
        <v>60</v>
      </c>
      <c r="R115" s="154" t="s">
        <v>60</v>
      </c>
      <c r="S115" s="154" t="s">
        <v>68</v>
      </c>
      <c r="T115" s="154" t="s">
        <v>68</v>
      </c>
      <c r="U115" s="154" t="s">
        <v>68</v>
      </c>
      <c r="V115" s="154"/>
      <c r="W115" s="242" t="b">
        <f t="shared" si="2"/>
        <v>1</v>
      </c>
      <c r="X115" s="154" t="s">
        <v>400</v>
      </c>
      <c r="Y115" s="242" t="b">
        <f t="shared" si="3"/>
        <v>0</v>
      </c>
      <c r="Z115" s="154" t="s">
        <v>5524</v>
      </c>
      <c r="AA115" s="242" t="b">
        <f t="shared" si="4"/>
        <v>0</v>
      </c>
      <c r="AB115" s="154" t="s">
        <v>637</v>
      </c>
      <c r="AC115" s="242" t="str">
        <f>IF(AB115="","N/A",INDIRECT("MTR!"&amp;ADDRESS(MATCH(LEFT(AB115,9),MTR!C:C,0),COLUMN(J115)),TRUE) &amp; "")</f>
        <v>Complies</v>
      </c>
      <c r="AD115" s="157" t="str">
        <f t="shared" si="5"/>
        <v/>
      </c>
      <c r="AE115" s="152"/>
      <c r="AF115" s="152"/>
      <c r="AG115" s="152"/>
      <c r="AH115" s="152"/>
      <c r="AI115" s="152"/>
      <c r="AJ115" s="152"/>
      <c r="AK115" s="152"/>
      <c r="AL115" s="152"/>
      <c r="AM115" s="152"/>
      <c r="AN115" s="152"/>
      <c r="AO115" s="152"/>
    </row>
    <row r="116" ht="12.75" customHeight="1">
      <c r="A116" s="244" t="s">
        <v>5158</v>
      </c>
      <c r="B116" s="244" t="s">
        <v>163</v>
      </c>
      <c r="C116" s="244" t="s">
        <v>5525</v>
      </c>
      <c r="D116" s="154" t="s">
        <v>739</v>
      </c>
      <c r="E116" s="154"/>
      <c r="F116" s="154" t="str">
        <f t="array" ref="F116">XLOOKUP(Cover!$D$12,$M$1:$AD$1,$M116:$AD116)</f>
        <v>Mandatory</v>
      </c>
      <c r="G116" s="154" t="s">
        <v>5526</v>
      </c>
      <c r="H116" s="154" t="s">
        <v>5435</v>
      </c>
      <c r="I116" s="154" t="s">
        <v>479</v>
      </c>
      <c r="J116" s="247" t="s">
        <v>445</v>
      </c>
      <c r="K116" s="247" t="s">
        <v>5527</v>
      </c>
      <c r="L116" s="154" t="str">
        <f t="shared" si="1"/>
        <v/>
      </c>
      <c r="M116" s="154" t="s">
        <v>60</v>
      </c>
      <c r="N116" s="154" t="s">
        <v>60</v>
      </c>
      <c r="O116" s="154" t="s">
        <v>60</v>
      </c>
      <c r="P116" s="154" t="s">
        <v>60</v>
      </c>
      <c r="Q116" s="154" t="s">
        <v>60</v>
      </c>
      <c r="R116" s="154" t="s">
        <v>60</v>
      </c>
      <c r="S116" s="154" t="s">
        <v>68</v>
      </c>
      <c r="T116" s="154" t="s">
        <v>68</v>
      </c>
      <c r="U116" s="154" t="s">
        <v>68</v>
      </c>
      <c r="V116" s="154"/>
      <c r="W116" s="242" t="b">
        <f t="shared" si="2"/>
        <v>1</v>
      </c>
      <c r="X116" s="154" t="s">
        <v>400</v>
      </c>
      <c r="Y116" s="242" t="b">
        <f t="shared" si="3"/>
        <v>0</v>
      </c>
      <c r="Z116" s="154" t="s">
        <v>5528</v>
      </c>
      <c r="AA116" s="242" t="b">
        <f t="shared" si="4"/>
        <v>0</v>
      </c>
      <c r="AB116" s="154" t="s">
        <v>637</v>
      </c>
      <c r="AC116" s="242" t="str">
        <f>IF(AB116="","N/A",INDIRECT("MTR!"&amp;ADDRESS(MATCH(LEFT(AB116,9),MTR!C:C,0),COLUMN(J116)),TRUE) &amp; "")</f>
        <v>Complies</v>
      </c>
      <c r="AD116" s="157" t="str">
        <f t="shared" si="5"/>
        <v/>
      </c>
      <c r="AE116" s="152"/>
      <c r="AF116" s="152"/>
      <c r="AG116" s="152"/>
      <c r="AH116" s="152"/>
      <c r="AI116" s="152"/>
      <c r="AJ116" s="152"/>
      <c r="AK116" s="152"/>
      <c r="AL116" s="152"/>
      <c r="AM116" s="152"/>
      <c r="AN116" s="152"/>
      <c r="AO116" s="152"/>
    </row>
    <row r="117" ht="12.75" customHeight="1">
      <c r="A117" s="244" t="s">
        <v>5158</v>
      </c>
      <c r="B117" s="244" t="s">
        <v>163</v>
      </c>
      <c r="C117" s="244" t="s">
        <v>5529</v>
      </c>
      <c r="D117" s="154" t="s">
        <v>739</v>
      </c>
      <c r="E117" s="154"/>
      <c r="F117" s="154" t="str">
        <f t="array" ref="F117">XLOOKUP(Cover!$D$12,$M$1:$AD$1,$M117:$AD117)</f>
        <v>Mandatory</v>
      </c>
      <c r="G117" s="154" t="s">
        <v>5530</v>
      </c>
      <c r="H117" s="154" t="s">
        <v>5435</v>
      </c>
      <c r="I117" s="154" t="s">
        <v>479</v>
      </c>
      <c r="J117" s="247" t="s">
        <v>445</v>
      </c>
      <c r="K117" s="247" t="s">
        <v>5531</v>
      </c>
      <c r="L117" s="154" t="str">
        <f t="shared" si="1"/>
        <v/>
      </c>
      <c r="M117" s="154" t="s">
        <v>60</v>
      </c>
      <c r="N117" s="154" t="s">
        <v>60</v>
      </c>
      <c r="O117" s="154" t="s">
        <v>60</v>
      </c>
      <c r="P117" s="154" t="s">
        <v>60</v>
      </c>
      <c r="Q117" s="154" t="s">
        <v>60</v>
      </c>
      <c r="R117" s="154" t="s">
        <v>60</v>
      </c>
      <c r="S117" s="154" t="s">
        <v>68</v>
      </c>
      <c r="T117" s="154" t="s">
        <v>68</v>
      </c>
      <c r="U117" s="154" t="s">
        <v>68</v>
      </c>
      <c r="V117" s="154"/>
      <c r="W117" s="242" t="b">
        <f t="shared" si="2"/>
        <v>1</v>
      </c>
      <c r="X117" s="154" t="s">
        <v>400</v>
      </c>
      <c r="Y117" s="242" t="b">
        <f t="shared" si="3"/>
        <v>0</v>
      </c>
      <c r="Z117" s="154" t="s">
        <v>5532</v>
      </c>
      <c r="AA117" s="242" t="b">
        <f t="shared" si="4"/>
        <v>0</v>
      </c>
      <c r="AB117" s="154" t="s">
        <v>637</v>
      </c>
      <c r="AC117" s="242" t="str">
        <f>IF(AB117="","N/A",INDIRECT("MTR!"&amp;ADDRESS(MATCH(LEFT(AB117,9),MTR!C:C,0),COLUMN(J117)),TRUE) &amp; "")</f>
        <v>Complies</v>
      </c>
      <c r="AD117" s="157" t="str">
        <f t="shared" si="5"/>
        <v/>
      </c>
      <c r="AE117" s="152"/>
      <c r="AF117" s="152"/>
      <c r="AG117" s="152"/>
      <c r="AH117" s="152"/>
      <c r="AI117" s="152"/>
      <c r="AJ117" s="152"/>
      <c r="AK117" s="152"/>
      <c r="AL117" s="152"/>
      <c r="AM117" s="152"/>
      <c r="AN117" s="152"/>
      <c r="AO117" s="152"/>
    </row>
    <row r="118" ht="12.75" customHeight="1">
      <c r="A118" s="244" t="s">
        <v>5158</v>
      </c>
      <c r="B118" s="244" t="s">
        <v>163</v>
      </c>
      <c r="C118" s="244" t="s">
        <v>5533</v>
      </c>
      <c r="D118" s="154" t="s">
        <v>1069</v>
      </c>
      <c r="E118" s="154"/>
      <c r="F118" s="154" t="str">
        <f t="array" ref="F118">XLOOKUP(Cover!$D$12,$M$1:$AD$1,$M118:$AD118)</f>
        <v>Mandatory</v>
      </c>
      <c r="G118" s="154" t="s">
        <v>5534</v>
      </c>
      <c r="H118" s="154" t="s">
        <v>5468</v>
      </c>
      <c r="I118" s="154" t="s">
        <v>479</v>
      </c>
      <c r="J118" s="247" t="s">
        <v>445</v>
      </c>
      <c r="K118" s="247" t="s">
        <v>5535</v>
      </c>
      <c r="L118" s="154" t="str">
        <f t="shared" si="1"/>
        <v/>
      </c>
      <c r="M118" s="154" t="s">
        <v>66</v>
      </c>
      <c r="N118" s="154" t="s">
        <v>66</v>
      </c>
      <c r="O118" s="154" t="s">
        <v>60</v>
      </c>
      <c r="P118" s="154" t="s">
        <v>60</v>
      </c>
      <c r="Q118" s="154" t="s">
        <v>60</v>
      </c>
      <c r="R118" s="154" t="s">
        <v>60</v>
      </c>
      <c r="S118" s="154" t="s">
        <v>68</v>
      </c>
      <c r="T118" s="154" t="s">
        <v>68</v>
      </c>
      <c r="U118" s="154" t="s">
        <v>68</v>
      </c>
      <c r="V118" s="154"/>
      <c r="W118" s="242" t="b">
        <f t="shared" si="2"/>
        <v>1</v>
      </c>
      <c r="X118" s="154" t="s">
        <v>400</v>
      </c>
      <c r="Y118" s="242" t="b">
        <f t="shared" si="3"/>
        <v>0</v>
      </c>
      <c r="Z118" s="154" t="s">
        <v>5536</v>
      </c>
      <c r="AA118" s="242" t="b">
        <f t="shared" si="4"/>
        <v>0</v>
      </c>
      <c r="AB118" s="154" t="s">
        <v>637</v>
      </c>
      <c r="AC118" s="242" t="str">
        <f>IF(AB118="","N/A",INDIRECT("MTR!"&amp;ADDRESS(MATCH(LEFT(AB118,9),MTR!C:C,0),COLUMN(J118)),TRUE) &amp; "")</f>
        <v>Complies</v>
      </c>
      <c r="AD118" s="157" t="str">
        <f t="shared" si="5"/>
        <v/>
      </c>
      <c r="AE118" s="152"/>
      <c r="AF118" s="152"/>
      <c r="AG118" s="152"/>
      <c r="AH118" s="152"/>
      <c r="AI118" s="152"/>
      <c r="AJ118" s="152"/>
      <c r="AK118" s="152"/>
      <c r="AL118" s="152"/>
      <c r="AM118" s="152"/>
      <c r="AN118" s="152"/>
      <c r="AO118" s="152"/>
    </row>
    <row r="119" ht="12.75" customHeight="1">
      <c r="A119" s="244" t="s">
        <v>5158</v>
      </c>
      <c r="B119" s="244" t="s">
        <v>163</v>
      </c>
      <c r="C119" s="244" t="s">
        <v>5537</v>
      </c>
      <c r="D119" s="154" t="s">
        <v>1069</v>
      </c>
      <c r="E119" s="154"/>
      <c r="F119" s="154" t="str">
        <f t="array" ref="F119">XLOOKUP(Cover!$D$12,$M$1:$AD$1,$M119:$AD119)</f>
        <v>Mandatory</v>
      </c>
      <c r="G119" s="154" t="s">
        <v>5538</v>
      </c>
      <c r="H119" s="154" t="s">
        <v>5468</v>
      </c>
      <c r="I119" s="154" t="s">
        <v>479</v>
      </c>
      <c r="J119" s="247" t="s">
        <v>445</v>
      </c>
      <c r="K119" s="247" t="s">
        <v>5539</v>
      </c>
      <c r="L119" s="154" t="str">
        <f t="shared" si="1"/>
        <v/>
      </c>
      <c r="M119" s="154" t="s">
        <v>66</v>
      </c>
      <c r="N119" s="154" t="s">
        <v>66</v>
      </c>
      <c r="O119" s="154" t="s">
        <v>60</v>
      </c>
      <c r="P119" s="154" t="s">
        <v>60</v>
      </c>
      <c r="Q119" s="154" t="s">
        <v>60</v>
      </c>
      <c r="R119" s="154" t="s">
        <v>60</v>
      </c>
      <c r="S119" s="154" t="s">
        <v>68</v>
      </c>
      <c r="T119" s="154" t="s">
        <v>68</v>
      </c>
      <c r="U119" s="154" t="s">
        <v>68</v>
      </c>
      <c r="V119" s="154"/>
      <c r="W119" s="242" t="b">
        <f t="shared" si="2"/>
        <v>1</v>
      </c>
      <c r="X119" s="154" t="s">
        <v>400</v>
      </c>
      <c r="Y119" s="242" t="b">
        <f t="shared" si="3"/>
        <v>0</v>
      </c>
      <c r="Z119" s="154" t="s">
        <v>5540</v>
      </c>
      <c r="AA119" s="242" t="b">
        <f t="shared" si="4"/>
        <v>0</v>
      </c>
      <c r="AB119" s="154" t="s">
        <v>637</v>
      </c>
      <c r="AC119" s="242" t="str">
        <f>IF(AB119="","N/A",INDIRECT("MTR!"&amp;ADDRESS(MATCH(LEFT(AB119,9),MTR!C:C,0),COLUMN(J119)),TRUE) &amp; "")</f>
        <v>Complies</v>
      </c>
      <c r="AD119" s="157" t="str">
        <f t="shared" si="5"/>
        <v/>
      </c>
      <c r="AE119" s="152"/>
      <c r="AF119" s="152"/>
      <c r="AG119" s="152"/>
      <c r="AH119" s="152"/>
      <c r="AI119" s="152"/>
      <c r="AJ119" s="152"/>
      <c r="AK119" s="152"/>
      <c r="AL119" s="152"/>
      <c r="AM119" s="152"/>
      <c r="AN119" s="152"/>
      <c r="AO119" s="152"/>
    </row>
    <row r="120" ht="12.75" customHeight="1">
      <c r="A120" s="244" t="s">
        <v>5158</v>
      </c>
      <c r="B120" s="244" t="s">
        <v>163</v>
      </c>
      <c r="C120" s="244" t="s">
        <v>5541</v>
      </c>
      <c r="D120" s="154" t="s">
        <v>1069</v>
      </c>
      <c r="E120" s="154"/>
      <c r="F120" s="154" t="str">
        <f t="array" ref="F120">XLOOKUP(Cover!$D$12,$M$1:$AD$1,$M120:$AD120)</f>
        <v>Mandatory</v>
      </c>
      <c r="G120" s="154" t="s">
        <v>5542</v>
      </c>
      <c r="H120" s="154" t="s">
        <v>5468</v>
      </c>
      <c r="I120" s="154" t="s">
        <v>479</v>
      </c>
      <c r="J120" s="247" t="s">
        <v>445</v>
      </c>
      <c r="K120" s="247" t="s">
        <v>5543</v>
      </c>
      <c r="L120" s="154" t="str">
        <f t="shared" si="1"/>
        <v/>
      </c>
      <c r="M120" s="154" t="s">
        <v>66</v>
      </c>
      <c r="N120" s="154" t="s">
        <v>66</v>
      </c>
      <c r="O120" s="154" t="s">
        <v>60</v>
      </c>
      <c r="P120" s="154" t="s">
        <v>60</v>
      </c>
      <c r="Q120" s="154" t="s">
        <v>60</v>
      </c>
      <c r="R120" s="154" t="s">
        <v>60</v>
      </c>
      <c r="S120" s="154" t="s">
        <v>68</v>
      </c>
      <c r="T120" s="154" t="s">
        <v>68</v>
      </c>
      <c r="U120" s="154" t="s">
        <v>68</v>
      </c>
      <c r="V120" s="154"/>
      <c r="W120" s="242" t="b">
        <f t="shared" si="2"/>
        <v>1</v>
      </c>
      <c r="X120" s="154" t="s">
        <v>400</v>
      </c>
      <c r="Y120" s="242" t="b">
        <f t="shared" si="3"/>
        <v>0</v>
      </c>
      <c r="Z120" s="154" t="s">
        <v>5544</v>
      </c>
      <c r="AA120" s="242" t="b">
        <f t="shared" si="4"/>
        <v>0</v>
      </c>
      <c r="AB120" s="154" t="s">
        <v>637</v>
      </c>
      <c r="AC120" s="242" t="str">
        <f>IF(AB120="","N/A",INDIRECT("MTR!"&amp;ADDRESS(MATCH(LEFT(AB120,9),MTR!C:C,0),COLUMN(J120)),TRUE) &amp; "")</f>
        <v>Complies</v>
      </c>
      <c r="AD120" s="157" t="str">
        <f t="shared" si="5"/>
        <v/>
      </c>
      <c r="AE120" s="152"/>
      <c r="AF120" s="152"/>
      <c r="AG120" s="152"/>
      <c r="AH120" s="152"/>
      <c r="AI120" s="152"/>
      <c r="AJ120" s="152"/>
      <c r="AK120" s="152"/>
      <c r="AL120" s="152"/>
      <c r="AM120" s="152"/>
      <c r="AN120" s="152"/>
      <c r="AO120" s="152"/>
    </row>
    <row r="121" ht="12.75" customHeight="1">
      <c r="A121" s="244" t="s">
        <v>5158</v>
      </c>
      <c r="B121" s="244" t="s">
        <v>163</v>
      </c>
      <c r="C121" s="244" t="s">
        <v>5545</v>
      </c>
      <c r="D121" s="154" t="s">
        <v>1069</v>
      </c>
      <c r="E121" s="154"/>
      <c r="F121" s="154" t="str">
        <f t="array" ref="F121">XLOOKUP(Cover!$D$12,$M$1:$AD$1,$M121:$AD121)</f>
        <v>Mandatory</v>
      </c>
      <c r="G121" s="154" t="s">
        <v>5546</v>
      </c>
      <c r="H121" s="154" t="s">
        <v>5468</v>
      </c>
      <c r="I121" s="154" t="s">
        <v>479</v>
      </c>
      <c r="J121" s="247" t="s">
        <v>445</v>
      </c>
      <c r="K121" s="247" t="s">
        <v>5547</v>
      </c>
      <c r="L121" s="154" t="str">
        <f t="shared" si="1"/>
        <v/>
      </c>
      <c r="M121" s="154" t="s">
        <v>66</v>
      </c>
      <c r="N121" s="154" t="s">
        <v>66</v>
      </c>
      <c r="O121" s="154" t="s">
        <v>60</v>
      </c>
      <c r="P121" s="154" t="s">
        <v>60</v>
      </c>
      <c r="Q121" s="154" t="s">
        <v>60</v>
      </c>
      <c r="R121" s="154" t="s">
        <v>60</v>
      </c>
      <c r="S121" s="154" t="s">
        <v>68</v>
      </c>
      <c r="T121" s="154" t="s">
        <v>68</v>
      </c>
      <c r="U121" s="154" t="s">
        <v>68</v>
      </c>
      <c r="V121" s="154"/>
      <c r="W121" s="242" t="b">
        <f t="shared" si="2"/>
        <v>1</v>
      </c>
      <c r="X121" s="154" t="s">
        <v>400</v>
      </c>
      <c r="Y121" s="242" t="b">
        <f t="shared" si="3"/>
        <v>0</v>
      </c>
      <c r="Z121" s="154" t="s">
        <v>5548</v>
      </c>
      <c r="AA121" s="242" t="b">
        <f t="shared" si="4"/>
        <v>0</v>
      </c>
      <c r="AB121" s="154" t="s">
        <v>637</v>
      </c>
      <c r="AC121" s="242" t="str">
        <f>IF(AB121="","N/A",INDIRECT("MTR!"&amp;ADDRESS(MATCH(LEFT(AB121,9),MTR!C:C,0),COLUMN(J121)),TRUE) &amp; "")</f>
        <v>Complies</v>
      </c>
      <c r="AD121" s="157" t="str">
        <f t="shared" si="5"/>
        <v/>
      </c>
      <c r="AE121" s="152"/>
      <c r="AF121" s="152"/>
      <c r="AG121" s="152"/>
      <c r="AH121" s="152"/>
      <c r="AI121" s="152"/>
      <c r="AJ121" s="152"/>
      <c r="AK121" s="152"/>
      <c r="AL121" s="152"/>
      <c r="AM121" s="152"/>
      <c r="AN121" s="152"/>
      <c r="AO121" s="152"/>
    </row>
    <row r="122" ht="12.75" customHeight="1">
      <c r="A122" s="244" t="s">
        <v>5158</v>
      </c>
      <c r="B122" s="244" t="s">
        <v>163</v>
      </c>
      <c r="C122" s="244" t="s">
        <v>5549</v>
      </c>
      <c r="D122" s="154" t="s">
        <v>1069</v>
      </c>
      <c r="E122" s="154"/>
      <c r="F122" s="154" t="str">
        <f t="array" ref="F122">XLOOKUP(Cover!$D$12,$M$1:$AD$1,$M122:$AD122)</f>
        <v>Mandatory</v>
      </c>
      <c r="G122" s="154" t="s">
        <v>5550</v>
      </c>
      <c r="H122" s="154" t="s">
        <v>5468</v>
      </c>
      <c r="I122" s="154" t="s">
        <v>479</v>
      </c>
      <c r="J122" s="247" t="s">
        <v>445</v>
      </c>
      <c r="K122" s="247" t="s">
        <v>5551</v>
      </c>
      <c r="L122" s="154" t="str">
        <f t="shared" si="1"/>
        <v/>
      </c>
      <c r="M122" s="154" t="s">
        <v>66</v>
      </c>
      <c r="N122" s="154" t="s">
        <v>66</v>
      </c>
      <c r="O122" s="154" t="s">
        <v>60</v>
      </c>
      <c r="P122" s="154" t="s">
        <v>60</v>
      </c>
      <c r="Q122" s="154" t="s">
        <v>60</v>
      </c>
      <c r="R122" s="154" t="s">
        <v>60</v>
      </c>
      <c r="S122" s="154" t="s">
        <v>68</v>
      </c>
      <c r="T122" s="154" t="s">
        <v>68</v>
      </c>
      <c r="U122" s="154" t="s">
        <v>68</v>
      </c>
      <c r="V122" s="154"/>
      <c r="W122" s="242" t="b">
        <f t="shared" si="2"/>
        <v>1</v>
      </c>
      <c r="X122" s="154" t="s">
        <v>400</v>
      </c>
      <c r="Y122" s="242" t="b">
        <f t="shared" si="3"/>
        <v>0</v>
      </c>
      <c r="Z122" s="154" t="s">
        <v>5552</v>
      </c>
      <c r="AA122" s="242" t="b">
        <f t="shared" si="4"/>
        <v>0</v>
      </c>
      <c r="AB122" s="154" t="s">
        <v>637</v>
      </c>
      <c r="AC122" s="242" t="str">
        <f>IF(AB122="","N/A",INDIRECT("MTR!"&amp;ADDRESS(MATCH(LEFT(AB122,9),MTR!C:C,0),COLUMN(J122)),TRUE) &amp; "")</f>
        <v>Complies</v>
      </c>
      <c r="AD122" s="157" t="str">
        <f t="shared" si="5"/>
        <v/>
      </c>
      <c r="AE122" s="152"/>
      <c r="AF122" s="152"/>
      <c r="AG122" s="152"/>
      <c r="AH122" s="152"/>
      <c r="AI122" s="152"/>
      <c r="AJ122" s="152"/>
      <c r="AK122" s="152"/>
      <c r="AL122" s="152"/>
      <c r="AM122" s="152"/>
      <c r="AN122" s="152"/>
      <c r="AO122" s="152"/>
    </row>
    <row r="123" ht="12.75" customHeight="1">
      <c r="A123" s="244" t="s">
        <v>5158</v>
      </c>
      <c r="B123" s="244" t="s">
        <v>163</v>
      </c>
      <c r="C123" s="244" t="s">
        <v>5553</v>
      </c>
      <c r="D123" s="154" t="s">
        <v>1069</v>
      </c>
      <c r="E123" s="154"/>
      <c r="F123" s="154" t="str">
        <f t="array" ref="F123">XLOOKUP(Cover!$D$12,$M$1:$AD$1,$M123:$AD123)</f>
        <v>Mandatory</v>
      </c>
      <c r="G123" s="154" t="s">
        <v>5554</v>
      </c>
      <c r="H123" s="154" t="s">
        <v>5468</v>
      </c>
      <c r="I123" s="154" t="s">
        <v>479</v>
      </c>
      <c r="J123" s="247" t="s">
        <v>445</v>
      </c>
      <c r="K123" s="247" t="s">
        <v>5555</v>
      </c>
      <c r="L123" s="154" t="str">
        <f t="shared" si="1"/>
        <v/>
      </c>
      <c r="M123" s="154" t="s">
        <v>66</v>
      </c>
      <c r="N123" s="154" t="s">
        <v>66</v>
      </c>
      <c r="O123" s="154" t="s">
        <v>60</v>
      </c>
      <c r="P123" s="154" t="s">
        <v>60</v>
      </c>
      <c r="Q123" s="154" t="s">
        <v>60</v>
      </c>
      <c r="R123" s="154" t="s">
        <v>60</v>
      </c>
      <c r="S123" s="154" t="s">
        <v>68</v>
      </c>
      <c r="T123" s="154" t="s">
        <v>68</v>
      </c>
      <c r="U123" s="154" t="s">
        <v>68</v>
      </c>
      <c r="V123" s="154"/>
      <c r="W123" s="242" t="b">
        <f t="shared" si="2"/>
        <v>1</v>
      </c>
      <c r="X123" s="154" t="s">
        <v>400</v>
      </c>
      <c r="Y123" s="242" t="b">
        <f t="shared" si="3"/>
        <v>0</v>
      </c>
      <c r="Z123" s="154" t="s">
        <v>5556</v>
      </c>
      <c r="AA123" s="242" t="b">
        <f t="shared" si="4"/>
        <v>0</v>
      </c>
      <c r="AB123" s="154" t="s">
        <v>637</v>
      </c>
      <c r="AC123" s="242" t="str">
        <f>IF(AB123="","N/A",INDIRECT("MTR!"&amp;ADDRESS(MATCH(LEFT(AB123,9),MTR!C:C,0),COLUMN(J123)),TRUE) &amp; "")</f>
        <v>Complies</v>
      </c>
      <c r="AD123" s="157" t="str">
        <f t="shared" si="5"/>
        <v/>
      </c>
      <c r="AE123" s="152"/>
      <c r="AF123" s="152"/>
      <c r="AG123" s="152"/>
      <c r="AH123" s="152"/>
      <c r="AI123" s="152"/>
      <c r="AJ123" s="152"/>
      <c r="AK123" s="152"/>
      <c r="AL123" s="152"/>
      <c r="AM123" s="152"/>
      <c r="AN123" s="152"/>
      <c r="AO123" s="152"/>
    </row>
    <row r="124" ht="12.75" customHeight="1">
      <c r="A124" s="244" t="s">
        <v>5158</v>
      </c>
      <c r="B124" s="244" t="s">
        <v>163</v>
      </c>
      <c r="C124" s="244" t="s">
        <v>5557</v>
      </c>
      <c r="D124" s="154" t="s">
        <v>1069</v>
      </c>
      <c r="E124" s="154"/>
      <c r="F124" s="154" t="str">
        <f t="array" ref="F124">XLOOKUP(Cover!$D$12,$M$1:$AD$1,$M124:$AD124)</f>
        <v>Mandatory</v>
      </c>
      <c r="G124" s="154" t="s">
        <v>5558</v>
      </c>
      <c r="H124" s="154" t="s">
        <v>5468</v>
      </c>
      <c r="I124" s="154" t="s">
        <v>479</v>
      </c>
      <c r="J124" s="247" t="s">
        <v>445</v>
      </c>
      <c r="K124" s="247" t="s">
        <v>5559</v>
      </c>
      <c r="L124" s="154" t="str">
        <f t="shared" si="1"/>
        <v/>
      </c>
      <c r="M124" s="154" t="s">
        <v>66</v>
      </c>
      <c r="N124" s="154" t="s">
        <v>66</v>
      </c>
      <c r="O124" s="154" t="s">
        <v>60</v>
      </c>
      <c r="P124" s="154" t="s">
        <v>60</v>
      </c>
      <c r="Q124" s="154" t="s">
        <v>60</v>
      </c>
      <c r="R124" s="154" t="s">
        <v>60</v>
      </c>
      <c r="S124" s="154" t="s">
        <v>68</v>
      </c>
      <c r="T124" s="154" t="s">
        <v>68</v>
      </c>
      <c r="U124" s="154" t="s">
        <v>68</v>
      </c>
      <c r="V124" s="154"/>
      <c r="W124" s="242" t="b">
        <f t="shared" si="2"/>
        <v>1</v>
      </c>
      <c r="X124" s="154" t="s">
        <v>400</v>
      </c>
      <c r="Y124" s="242" t="b">
        <f t="shared" si="3"/>
        <v>0</v>
      </c>
      <c r="Z124" s="154" t="s">
        <v>5560</v>
      </c>
      <c r="AA124" s="242" t="b">
        <f t="shared" si="4"/>
        <v>0</v>
      </c>
      <c r="AB124" s="154" t="s">
        <v>637</v>
      </c>
      <c r="AC124" s="242" t="str">
        <f>IF(AB124="","N/A",INDIRECT("MTR!"&amp;ADDRESS(MATCH(LEFT(AB124,9),MTR!C:C,0),COLUMN(J124)),TRUE) &amp; "")</f>
        <v>Complies</v>
      </c>
      <c r="AD124" s="157" t="str">
        <f t="shared" si="5"/>
        <v/>
      </c>
      <c r="AE124" s="152"/>
      <c r="AF124" s="152"/>
      <c r="AG124" s="152"/>
      <c r="AH124" s="152"/>
      <c r="AI124" s="152"/>
      <c r="AJ124" s="152"/>
      <c r="AK124" s="152"/>
      <c r="AL124" s="152"/>
      <c r="AM124" s="152"/>
      <c r="AN124" s="152"/>
      <c r="AO124" s="152"/>
    </row>
    <row r="125" ht="12.75" customHeight="1">
      <c r="A125" s="244" t="s">
        <v>5158</v>
      </c>
      <c r="B125" s="244" t="s">
        <v>163</v>
      </c>
      <c r="C125" s="244" t="s">
        <v>5561</v>
      </c>
      <c r="D125" s="154" t="s">
        <v>1069</v>
      </c>
      <c r="E125" s="154"/>
      <c r="F125" s="154" t="str">
        <f t="array" ref="F125">XLOOKUP(Cover!$D$12,$M$1:$AD$1,$M125:$AD125)</f>
        <v>Mandatory</v>
      </c>
      <c r="G125" s="154" t="s">
        <v>5562</v>
      </c>
      <c r="H125" s="154" t="s">
        <v>5468</v>
      </c>
      <c r="I125" s="154" t="s">
        <v>479</v>
      </c>
      <c r="J125" s="247" t="s">
        <v>445</v>
      </c>
      <c r="K125" s="247" t="s">
        <v>5563</v>
      </c>
      <c r="L125" s="154" t="str">
        <f t="shared" si="1"/>
        <v/>
      </c>
      <c r="M125" s="154" t="s">
        <v>66</v>
      </c>
      <c r="N125" s="154" t="s">
        <v>66</v>
      </c>
      <c r="O125" s="154" t="s">
        <v>60</v>
      </c>
      <c r="P125" s="154" t="s">
        <v>60</v>
      </c>
      <c r="Q125" s="154" t="s">
        <v>60</v>
      </c>
      <c r="R125" s="154" t="s">
        <v>60</v>
      </c>
      <c r="S125" s="154" t="s">
        <v>68</v>
      </c>
      <c r="T125" s="154" t="s">
        <v>68</v>
      </c>
      <c r="U125" s="154" t="s">
        <v>68</v>
      </c>
      <c r="V125" s="154"/>
      <c r="W125" s="242" t="b">
        <f t="shared" si="2"/>
        <v>1</v>
      </c>
      <c r="X125" s="154" t="s">
        <v>400</v>
      </c>
      <c r="Y125" s="242" t="b">
        <f t="shared" si="3"/>
        <v>0</v>
      </c>
      <c r="Z125" s="154" t="s">
        <v>5564</v>
      </c>
      <c r="AA125" s="242" t="b">
        <f t="shared" si="4"/>
        <v>0</v>
      </c>
      <c r="AB125" s="154" t="s">
        <v>637</v>
      </c>
      <c r="AC125" s="242" t="str">
        <f>IF(AB125="","N/A",INDIRECT("MTR!"&amp;ADDRESS(MATCH(LEFT(AB125,9),MTR!C:C,0),COLUMN(J125)),TRUE) &amp; "")</f>
        <v>Complies</v>
      </c>
      <c r="AD125" s="157" t="str">
        <f t="shared" si="5"/>
        <v/>
      </c>
      <c r="AE125" s="152"/>
      <c r="AF125" s="152"/>
      <c r="AG125" s="152"/>
      <c r="AH125" s="152"/>
      <c r="AI125" s="152"/>
      <c r="AJ125" s="152"/>
      <c r="AK125" s="152"/>
      <c r="AL125" s="152"/>
      <c r="AM125" s="152"/>
      <c r="AN125" s="152"/>
      <c r="AO125" s="152"/>
    </row>
    <row r="126" ht="12.75" customHeight="1">
      <c r="A126" s="238" t="s">
        <v>5158</v>
      </c>
      <c r="B126" s="238" t="s">
        <v>163</v>
      </c>
      <c r="C126" s="238" t="s">
        <v>5565</v>
      </c>
      <c r="D126" s="240"/>
      <c r="E126" s="240" t="s">
        <v>92</v>
      </c>
      <c r="F126" s="240" t="str">
        <f t="array" ref="F126">XLOOKUP(Cover!$D$12,$M$1:$AD$1,$M126:$AD126)</f>
        <v>Heading</v>
      </c>
      <c r="G126" s="239" t="s">
        <v>5566</v>
      </c>
      <c r="H126" s="240"/>
      <c r="I126" s="240" t="s">
        <v>479</v>
      </c>
      <c r="J126" s="240"/>
      <c r="K126" s="240"/>
      <c r="L126" s="240" t="str">
        <f t="shared" si="1"/>
        <v/>
      </c>
      <c r="M126" s="240" t="s">
        <v>390</v>
      </c>
      <c r="N126" s="240" t="s">
        <v>390</v>
      </c>
      <c r="O126" s="240" t="s">
        <v>390</v>
      </c>
      <c r="P126" s="240" t="s">
        <v>390</v>
      </c>
      <c r="Q126" s="240" t="s">
        <v>390</v>
      </c>
      <c r="R126" s="240" t="s">
        <v>390</v>
      </c>
      <c r="S126" s="240" t="s">
        <v>390</v>
      </c>
      <c r="T126" s="240" t="s">
        <v>390</v>
      </c>
      <c r="U126" s="240" t="s">
        <v>390</v>
      </c>
      <c r="V126" s="240"/>
      <c r="W126" s="242" t="b">
        <f t="shared" si="2"/>
        <v>0</v>
      </c>
      <c r="X126" s="240" t="s">
        <v>391</v>
      </c>
      <c r="Y126" s="242" t="b">
        <f t="shared" si="3"/>
        <v>0</v>
      </c>
      <c r="Z126" s="240"/>
      <c r="AA126" s="242" t="b">
        <f t="shared" si="4"/>
        <v>0</v>
      </c>
      <c r="AB126" s="240"/>
      <c r="AC126" s="242" t="str">
        <f>IF(AB126="","N/A",INDIRECT("MTR!"&amp;ADDRESS(MATCH(LEFT(AB126,9),MTR!C:C,0),COLUMN(J126)),TRUE) &amp; "")</f>
        <v>N/A</v>
      </c>
      <c r="AD126" s="157" t="str">
        <f t="shared" si="5"/>
        <v/>
      </c>
      <c r="AE126" s="152"/>
      <c r="AF126" s="152"/>
      <c r="AG126" s="152"/>
      <c r="AH126" s="152"/>
      <c r="AI126" s="152"/>
      <c r="AJ126" s="152"/>
      <c r="AK126" s="152"/>
      <c r="AL126" s="152"/>
      <c r="AM126" s="152"/>
      <c r="AN126" s="152"/>
      <c r="AO126" s="152"/>
    </row>
    <row r="127" ht="12.75" customHeight="1">
      <c r="A127" s="244" t="s">
        <v>5158</v>
      </c>
      <c r="B127" s="244" t="s">
        <v>163</v>
      </c>
      <c r="C127" s="245" t="s">
        <v>5567</v>
      </c>
      <c r="D127" s="155" t="s">
        <v>739</v>
      </c>
      <c r="E127" s="154" t="s">
        <v>92</v>
      </c>
      <c r="F127" s="154" t="str">
        <f t="array" ref="F127">XLOOKUP(Cover!$D$12,$M$1:$AD$1,$M127:$AD127)</f>
        <v>Comment</v>
      </c>
      <c r="G127" s="154" t="s">
        <v>5568</v>
      </c>
      <c r="H127" s="154"/>
      <c r="I127" s="154" t="s">
        <v>479</v>
      </c>
      <c r="J127" s="154"/>
      <c r="K127" s="154"/>
      <c r="L127" s="154" t="str">
        <f t="shared" si="1"/>
        <v/>
      </c>
      <c r="M127" s="154" t="s">
        <v>35</v>
      </c>
      <c r="N127" s="154" t="s">
        <v>35</v>
      </c>
      <c r="O127" s="154" t="s">
        <v>35</v>
      </c>
      <c r="P127" s="154" t="s">
        <v>35</v>
      </c>
      <c r="Q127" s="154" t="s">
        <v>35</v>
      </c>
      <c r="R127" s="154" t="s">
        <v>35</v>
      </c>
      <c r="S127" s="154" t="s">
        <v>35</v>
      </c>
      <c r="T127" s="154" t="s">
        <v>35</v>
      </c>
      <c r="U127" s="154" t="s">
        <v>35</v>
      </c>
      <c r="V127" s="154"/>
      <c r="W127" s="242" t="b">
        <f t="shared" si="2"/>
        <v>0</v>
      </c>
      <c r="X127" s="154" t="s">
        <v>391</v>
      </c>
      <c r="Y127" s="242" t="b">
        <f t="shared" si="3"/>
        <v>0</v>
      </c>
      <c r="Z127" s="154"/>
      <c r="AA127" s="242" t="b">
        <f t="shared" si="4"/>
        <v>0</v>
      </c>
      <c r="AB127" s="154"/>
      <c r="AC127" s="242" t="str">
        <f>IF(AB127="","N/A",INDIRECT("MTR!"&amp;ADDRESS(MATCH(LEFT(AB127,9),MTR!C:C,0),COLUMN(J127)),TRUE) &amp; "")</f>
        <v>N/A</v>
      </c>
      <c r="AD127" s="157" t="str">
        <f t="shared" si="5"/>
        <v/>
      </c>
      <c r="AE127" s="152"/>
      <c r="AF127" s="152"/>
      <c r="AG127" s="152"/>
      <c r="AH127" s="152"/>
      <c r="AI127" s="152"/>
      <c r="AJ127" s="152"/>
      <c r="AK127" s="152"/>
      <c r="AL127" s="152"/>
      <c r="AM127" s="152"/>
      <c r="AN127" s="152"/>
      <c r="AO127" s="152"/>
    </row>
    <row r="128" ht="12.75" customHeight="1">
      <c r="A128" s="244" t="s">
        <v>5158</v>
      </c>
      <c r="B128" s="244" t="s">
        <v>163</v>
      </c>
      <c r="C128" s="245" t="s">
        <v>5569</v>
      </c>
      <c r="D128" s="155" t="s">
        <v>739</v>
      </c>
      <c r="E128" s="154" t="s">
        <v>92</v>
      </c>
      <c r="F128" s="154" t="str">
        <f t="array" ref="F128">XLOOKUP(Cover!$D$12,$M$1:$AD$1,$M128:$AD128)</f>
        <v>Comment</v>
      </c>
      <c r="G128" s="154" t="s">
        <v>5570</v>
      </c>
      <c r="H128" s="154"/>
      <c r="I128" s="154" t="s">
        <v>479</v>
      </c>
      <c r="J128" s="154"/>
      <c r="K128" s="154"/>
      <c r="L128" s="154" t="str">
        <f t="shared" si="1"/>
        <v/>
      </c>
      <c r="M128" s="154" t="s">
        <v>35</v>
      </c>
      <c r="N128" s="154" t="s">
        <v>35</v>
      </c>
      <c r="O128" s="154" t="s">
        <v>35</v>
      </c>
      <c r="P128" s="154" t="s">
        <v>35</v>
      </c>
      <c r="Q128" s="154" t="s">
        <v>35</v>
      </c>
      <c r="R128" s="154" t="s">
        <v>35</v>
      </c>
      <c r="S128" s="154" t="s">
        <v>35</v>
      </c>
      <c r="T128" s="154" t="s">
        <v>35</v>
      </c>
      <c r="U128" s="154" t="s">
        <v>35</v>
      </c>
      <c r="V128" s="154"/>
      <c r="W128" s="242" t="b">
        <f t="shared" si="2"/>
        <v>0</v>
      </c>
      <c r="X128" s="154" t="s">
        <v>391</v>
      </c>
      <c r="Y128" s="242" t="b">
        <f t="shared" si="3"/>
        <v>0</v>
      </c>
      <c r="Z128" s="154"/>
      <c r="AA128" s="242" t="b">
        <f t="shared" si="4"/>
        <v>0</v>
      </c>
      <c r="AB128" s="154"/>
      <c r="AC128" s="242" t="str">
        <f>IF(AB128="","N/A",INDIRECT("MTR!"&amp;ADDRESS(MATCH(LEFT(AB128,9),MTR!C:C,0),COLUMN(J128)),TRUE) &amp; "")</f>
        <v>N/A</v>
      </c>
      <c r="AD128" s="157" t="str">
        <f t="shared" si="5"/>
        <v/>
      </c>
      <c r="AE128" s="152"/>
      <c r="AF128" s="152"/>
      <c r="AG128" s="152"/>
      <c r="AH128" s="152"/>
      <c r="AI128" s="152"/>
      <c r="AJ128" s="152"/>
      <c r="AK128" s="152"/>
      <c r="AL128" s="152"/>
      <c r="AM128" s="152"/>
      <c r="AN128" s="152"/>
      <c r="AO128" s="152"/>
    </row>
    <row r="129" ht="12.75" customHeight="1">
      <c r="A129" s="238" t="s">
        <v>5158</v>
      </c>
      <c r="B129" s="238" t="s">
        <v>163</v>
      </c>
      <c r="C129" s="238" t="s">
        <v>5571</v>
      </c>
      <c r="D129" s="240"/>
      <c r="E129" s="240" t="s">
        <v>92</v>
      </c>
      <c r="F129" s="240" t="str">
        <f t="array" ref="F129">XLOOKUP(Cover!$D$12,$M$1:$AD$1,$M129:$AD129)</f>
        <v>Heading</v>
      </c>
      <c r="G129" s="239" t="s">
        <v>5572</v>
      </c>
      <c r="H129" s="240"/>
      <c r="I129" s="240" t="s">
        <v>479</v>
      </c>
      <c r="J129" s="240"/>
      <c r="K129" s="240"/>
      <c r="L129" s="240" t="str">
        <f t="shared" si="1"/>
        <v/>
      </c>
      <c r="M129" s="240" t="s">
        <v>390</v>
      </c>
      <c r="N129" s="240" t="s">
        <v>390</v>
      </c>
      <c r="O129" s="240" t="s">
        <v>390</v>
      </c>
      <c r="P129" s="240" t="s">
        <v>390</v>
      </c>
      <c r="Q129" s="240" t="s">
        <v>390</v>
      </c>
      <c r="R129" s="240" t="s">
        <v>390</v>
      </c>
      <c r="S129" s="240" t="s">
        <v>390</v>
      </c>
      <c r="T129" s="240" t="s">
        <v>390</v>
      </c>
      <c r="U129" s="240" t="s">
        <v>390</v>
      </c>
      <c r="V129" s="240"/>
      <c r="W129" s="242" t="b">
        <f t="shared" si="2"/>
        <v>0</v>
      </c>
      <c r="X129" s="240" t="s">
        <v>391</v>
      </c>
      <c r="Y129" s="242" t="b">
        <f t="shared" si="3"/>
        <v>0</v>
      </c>
      <c r="Z129" s="240"/>
      <c r="AA129" s="242" t="b">
        <f t="shared" si="4"/>
        <v>0</v>
      </c>
      <c r="AB129" s="240"/>
      <c r="AC129" s="242" t="str">
        <f>IF(AB129="","N/A",INDIRECT("MTR!"&amp;ADDRESS(MATCH(LEFT(AB129,9),MTR!C:C,0),COLUMN(J129)),TRUE) &amp; "")</f>
        <v>N/A</v>
      </c>
      <c r="AD129" s="157" t="str">
        <f t="shared" si="5"/>
        <v/>
      </c>
      <c r="AE129" s="152"/>
      <c r="AF129" s="152"/>
      <c r="AG129" s="152"/>
      <c r="AH129" s="152"/>
      <c r="AI129" s="152"/>
      <c r="AJ129" s="152"/>
      <c r="AK129" s="152"/>
      <c r="AL129" s="152"/>
      <c r="AM129" s="152"/>
      <c r="AN129" s="152"/>
      <c r="AO129" s="152"/>
    </row>
    <row r="130" ht="12.75" customHeight="1">
      <c r="A130" s="244" t="s">
        <v>5158</v>
      </c>
      <c r="B130" s="244" t="s">
        <v>163</v>
      </c>
      <c r="C130" s="244" t="s">
        <v>5573</v>
      </c>
      <c r="D130" s="154" t="s">
        <v>739</v>
      </c>
      <c r="E130" s="154"/>
      <c r="F130" s="154" t="str">
        <f t="array" ref="F130">XLOOKUP(Cover!$D$12,$M$1:$AD$1,$M130:$AD130)</f>
        <v>Mandatory</v>
      </c>
      <c r="G130" s="154" t="s">
        <v>5574</v>
      </c>
      <c r="H130" s="154" t="s">
        <v>165</v>
      </c>
      <c r="I130" s="154" t="s">
        <v>479</v>
      </c>
      <c r="J130" s="247" t="s">
        <v>445</v>
      </c>
      <c r="K130" s="247" t="s">
        <v>5575</v>
      </c>
      <c r="L130" s="154" t="str">
        <f t="shared" si="1"/>
        <v/>
      </c>
      <c r="M130" s="154" t="s">
        <v>60</v>
      </c>
      <c r="N130" s="154" t="s">
        <v>60</v>
      </c>
      <c r="O130" s="154" t="s">
        <v>60</v>
      </c>
      <c r="P130" s="154" t="s">
        <v>60</v>
      </c>
      <c r="Q130" s="154" t="s">
        <v>60</v>
      </c>
      <c r="R130" s="154" t="s">
        <v>60</v>
      </c>
      <c r="S130" s="154" t="s">
        <v>68</v>
      </c>
      <c r="T130" s="154" t="s">
        <v>68</v>
      </c>
      <c r="U130" s="154" t="s">
        <v>68</v>
      </c>
      <c r="V130" s="154"/>
      <c r="W130" s="242" t="b">
        <f t="shared" si="2"/>
        <v>1</v>
      </c>
      <c r="X130" s="154" t="s">
        <v>400</v>
      </c>
      <c r="Y130" s="242" t="b">
        <f t="shared" si="3"/>
        <v>0</v>
      </c>
      <c r="Z130" s="154" t="s">
        <v>5576</v>
      </c>
      <c r="AA130" s="242" t="b">
        <f t="shared" si="4"/>
        <v>0</v>
      </c>
      <c r="AB130" s="154" t="s">
        <v>629</v>
      </c>
      <c r="AC130" s="242" t="str">
        <f>IF(AB130="","N/A",INDIRECT("MTR!"&amp;ADDRESS(MATCH(LEFT(AB130,9),MTR!C:C,0),COLUMN(J130)),TRUE) &amp; "")</f>
        <v>Complies</v>
      </c>
      <c r="AD130" s="157" t="str">
        <f t="shared" si="5"/>
        <v/>
      </c>
      <c r="AE130" s="152"/>
      <c r="AF130" s="152"/>
      <c r="AG130" s="152"/>
      <c r="AH130" s="152"/>
      <c r="AI130" s="152"/>
      <c r="AJ130" s="152"/>
      <c r="AK130" s="152"/>
      <c r="AL130" s="152"/>
      <c r="AM130" s="152"/>
      <c r="AN130" s="152"/>
      <c r="AO130" s="152"/>
    </row>
    <row r="131" ht="12.75" customHeight="1">
      <c r="A131" s="244" t="s">
        <v>5158</v>
      </c>
      <c r="B131" s="244" t="s">
        <v>163</v>
      </c>
      <c r="C131" s="244" t="s">
        <v>5577</v>
      </c>
      <c r="D131" s="154" t="s">
        <v>739</v>
      </c>
      <c r="E131" s="154"/>
      <c r="F131" s="154" t="str">
        <f t="array" ref="F131">XLOOKUP(Cover!$D$12,$M$1:$AD$1,$M131:$AD131)</f>
        <v>Mandatory</v>
      </c>
      <c r="G131" s="154" t="s">
        <v>5578</v>
      </c>
      <c r="H131" s="154" t="s">
        <v>165</v>
      </c>
      <c r="I131" s="154" t="s">
        <v>479</v>
      </c>
      <c r="J131" s="247" t="s">
        <v>506</v>
      </c>
      <c r="K131" s="247" t="s">
        <v>5579</v>
      </c>
      <c r="L131" s="154" t="str">
        <f t="shared" si="1"/>
        <v/>
      </c>
      <c r="M131" s="154" t="s">
        <v>60</v>
      </c>
      <c r="N131" s="154" t="s">
        <v>60</v>
      </c>
      <c r="O131" s="154" t="s">
        <v>60</v>
      </c>
      <c r="P131" s="154" t="s">
        <v>60</v>
      </c>
      <c r="Q131" s="154" t="s">
        <v>60</v>
      </c>
      <c r="R131" s="154" t="s">
        <v>60</v>
      </c>
      <c r="S131" s="154" t="s">
        <v>68</v>
      </c>
      <c r="T131" s="154" t="s">
        <v>68</v>
      </c>
      <c r="U131" s="154" t="s">
        <v>68</v>
      </c>
      <c r="V131" s="154"/>
      <c r="W131" s="242" t="b">
        <f t="shared" si="2"/>
        <v>1</v>
      </c>
      <c r="X131" s="154" t="s">
        <v>400</v>
      </c>
      <c r="Y131" s="242" t="b">
        <f t="shared" si="3"/>
        <v>0</v>
      </c>
      <c r="Z131" s="154" t="s">
        <v>5580</v>
      </c>
      <c r="AA131" s="242" t="b">
        <f t="shared" si="4"/>
        <v>0</v>
      </c>
      <c r="AB131" s="154" t="s">
        <v>629</v>
      </c>
      <c r="AC131" s="242" t="str">
        <f>IF(AB131="","N/A",INDIRECT("MTR!"&amp;ADDRESS(MATCH(LEFT(AB131,9),MTR!C:C,0),COLUMN(J131)),TRUE) &amp; "")</f>
        <v>Complies</v>
      </c>
      <c r="AD131" s="157" t="str">
        <f t="shared" si="5"/>
        <v/>
      </c>
      <c r="AE131" s="152"/>
      <c r="AF131" s="152"/>
      <c r="AG131" s="152"/>
      <c r="AH131" s="152"/>
      <c r="AI131" s="152"/>
      <c r="AJ131" s="152"/>
      <c r="AK131" s="152"/>
      <c r="AL131" s="152"/>
      <c r="AM131" s="152"/>
      <c r="AN131" s="152"/>
      <c r="AO131" s="152"/>
    </row>
    <row r="132" ht="12.75" customHeight="1">
      <c r="A132" s="244" t="s">
        <v>5158</v>
      </c>
      <c r="B132" s="244" t="s">
        <v>163</v>
      </c>
      <c r="C132" s="244" t="s">
        <v>5581</v>
      </c>
      <c r="D132" s="154" t="s">
        <v>739</v>
      </c>
      <c r="E132" s="154"/>
      <c r="F132" s="154" t="str">
        <f t="array" ref="F132">XLOOKUP(Cover!$D$12,$M$1:$AD$1,$M132:$AD132)</f>
        <v>Mandatory</v>
      </c>
      <c r="G132" s="154" t="s">
        <v>5582</v>
      </c>
      <c r="H132" s="154" t="s">
        <v>165</v>
      </c>
      <c r="I132" s="154" t="s">
        <v>479</v>
      </c>
      <c r="J132" s="247" t="s">
        <v>445</v>
      </c>
      <c r="K132" s="247" t="s">
        <v>5583</v>
      </c>
      <c r="L132" s="154" t="str">
        <f t="shared" si="1"/>
        <v/>
      </c>
      <c r="M132" s="154" t="s">
        <v>60</v>
      </c>
      <c r="N132" s="154" t="s">
        <v>60</v>
      </c>
      <c r="O132" s="154" t="s">
        <v>60</v>
      </c>
      <c r="P132" s="154" t="s">
        <v>60</v>
      </c>
      <c r="Q132" s="154" t="s">
        <v>60</v>
      </c>
      <c r="R132" s="154" t="s">
        <v>60</v>
      </c>
      <c r="S132" s="154" t="s">
        <v>68</v>
      </c>
      <c r="T132" s="154" t="s">
        <v>68</v>
      </c>
      <c r="U132" s="154" t="s">
        <v>68</v>
      </c>
      <c r="V132" s="154"/>
      <c r="W132" s="242" t="b">
        <f t="shared" si="2"/>
        <v>1</v>
      </c>
      <c r="X132" s="154" t="s">
        <v>400</v>
      </c>
      <c r="Y132" s="242" t="b">
        <f t="shared" si="3"/>
        <v>0</v>
      </c>
      <c r="Z132" s="154" t="s">
        <v>5584</v>
      </c>
      <c r="AA132" s="242" t="b">
        <f t="shared" si="4"/>
        <v>0</v>
      </c>
      <c r="AB132" s="154" t="s">
        <v>637</v>
      </c>
      <c r="AC132" s="242" t="str">
        <f>IF(AB132="","N/A",INDIRECT("MTR!"&amp;ADDRESS(MATCH(LEFT(AB132,9),MTR!C:C,0),COLUMN(J132)),TRUE) &amp; "")</f>
        <v>Complies</v>
      </c>
      <c r="AD132" s="157" t="str">
        <f t="shared" si="5"/>
        <v/>
      </c>
      <c r="AE132" s="152"/>
      <c r="AF132" s="152"/>
      <c r="AG132" s="152"/>
      <c r="AH132" s="152"/>
      <c r="AI132" s="152"/>
      <c r="AJ132" s="152"/>
      <c r="AK132" s="152"/>
      <c r="AL132" s="152"/>
      <c r="AM132" s="152"/>
      <c r="AN132" s="152"/>
      <c r="AO132" s="152"/>
    </row>
    <row r="133" ht="12.75" customHeight="1">
      <c r="A133" s="244" t="s">
        <v>5158</v>
      </c>
      <c r="B133" s="244" t="s">
        <v>163</v>
      </c>
      <c r="C133" s="244" t="s">
        <v>5585</v>
      </c>
      <c r="D133" s="154" t="s">
        <v>739</v>
      </c>
      <c r="E133" s="154"/>
      <c r="F133" s="154" t="str">
        <f t="array" ref="F133">XLOOKUP(Cover!$D$12,$M$1:$AD$1,$M133:$AD133)</f>
        <v>Mandatory</v>
      </c>
      <c r="G133" s="154" t="s">
        <v>5586</v>
      </c>
      <c r="H133" s="154" t="s">
        <v>165</v>
      </c>
      <c r="I133" s="154" t="s">
        <v>479</v>
      </c>
      <c r="J133" s="247" t="s">
        <v>445</v>
      </c>
      <c r="K133" s="247" t="s">
        <v>5587</v>
      </c>
      <c r="L133" s="154" t="str">
        <f t="shared" si="1"/>
        <v/>
      </c>
      <c r="M133" s="154" t="s">
        <v>60</v>
      </c>
      <c r="N133" s="154" t="s">
        <v>60</v>
      </c>
      <c r="O133" s="154" t="s">
        <v>60</v>
      </c>
      <c r="P133" s="154" t="s">
        <v>60</v>
      </c>
      <c r="Q133" s="154" t="s">
        <v>60</v>
      </c>
      <c r="R133" s="154" t="s">
        <v>60</v>
      </c>
      <c r="S133" s="154" t="s">
        <v>68</v>
      </c>
      <c r="T133" s="154" t="s">
        <v>68</v>
      </c>
      <c r="U133" s="154" t="s">
        <v>68</v>
      </c>
      <c r="V133" s="154"/>
      <c r="W133" s="242" t="b">
        <f t="shared" si="2"/>
        <v>1</v>
      </c>
      <c r="X133" s="154" t="s">
        <v>400</v>
      </c>
      <c r="Y133" s="242" t="b">
        <f t="shared" si="3"/>
        <v>0</v>
      </c>
      <c r="Z133" s="154" t="s">
        <v>5588</v>
      </c>
      <c r="AA133" s="242" t="b">
        <f t="shared" si="4"/>
        <v>0</v>
      </c>
      <c r="AB133" s="154" t="s">
        <v>637</v>
      </c>
      <c r="AC133" s="242" t="str">
        <f>IF(AB133="","N/A",INDIRECT("MTR!"&amp;ADDRESS(MATCH(LEFT(AB133,9),MTR!C:C,0),COLUMN(J133)),TRUE) &amp; "")</f>
        <v>Complies</v>
      </c>
      <c r="AD133" s="157" t="str">
        <f t="shared" si="5"/>
        <v/>
      </c>
      <c r="AE133" s="152"/>
      <c r="AF133" s="152"/>
      <c r="AG133" s="152"/>
      <c r="AH133" s="152"/>
      <c r="AI133" s="152"/>
      <c r="AJ133" s="152"/>
      <c r="AK133" s="152"/>
      <c r="AL133" s="152"/>
      <c r="AM133" s="152"/>
      <c r="AN133" s="152"/>
      <c r="AO133" s="152"/>
    </row>
    <row r="134" ht="12.75" customHeight="1">
      <c r="A134" s="244" t="s">
        <v>5158</v>
      </c>
      <c r="B134" s="244" t="s">
        <v>163</v>
      </c>
      <c r="C134" s="244" t="s">
        <v>5589</v>
      </c>
      <c r="D134" s="154" t="s">
        <v>739</v>
      </c>
      <c r="E134" s="154"/>
      <c r="F134" s="154" t="str">
        <f t="array" ref="F134">XLOOKUP(Cover!$D$12,$M$1:$AD$1,$M134:$AD134)</f>
        <v>Mandatory</v>
      </c>
      <c r="G134" s="154" t="s">
        <v>5590</v>
      </c>
      <c r="H134" s="154" t="s">
        <v>165</v>
      </c>
      <c r="I134" s="154" t="s">
        <v>479</v>
      </c>
      <c r="J134" s="247" t="s">
        <v>445</v>
      </c>
      <c r="K134" s="247" t="s">
        <v>5591</v>
      </c>
      <c r="L134" s="154" t="str">
        <f t="shared" si="1"/>
        <v/>
      </c>
      <c r="M134" s="154" t="s">
        <v>60</v>
      </c>
      <c r="N134" s="154" t="s">
        <v>60</v>
      </c>
      <c r="O134" s="154" t="s">
        <v>60</v>
      </c>
      <c r="P134" s="154" t="s">
        <v>60</v>
      </c>
      <c r="Q134" s="154" t="s">
        <v>60</v>
      </c>
      <c r="R134" s="154" t="s">
        <v>60</v>
      </c>
      <c r="S134" s="154" t="s">
        <v>68</v>
      </c>
      <c r="T134" s="154" t="s">
        <v>68</v>
      </c>
      <c r="U134" s="154" t="s">
        <v>68</v>
      </c>
      <c r="V134" s="154"/>
      <c r="W134" s="242" t="b">
        <f t="shared" si="2"/>
        <v>1</v>
      </c>
      <c r="X134" s="154" t="s">
        <v>400</v>
      </c>
      <c r="Y134" s="242" t="b">
        <f t="shared" si="3"/>
        <v>0</v>
      </c>
      <c r="Z134" s="154" t="s">
        <v>5592</v>
      </c>
      <c r="AA134" s="242" t="b">
        <f t="shared" si="4"/>
        <v>0</v>
      </c>
      <c r="AB134" s="154" t="s">
        <v>637</v>
      </c>
      <c r="AC134" s="242" t="str">
        <f>IF(AB134="","N/A",INDIRECT("MTR!"&amp;ADDRESS(MATCH(LEFT(AB134,9),MTR!C:C,0),COLUMN(J134)),TRUE) &amp; "")</f>
        <v>Complies</v>
      </c>
      <c r="AD134" s="157" t="str">
        <f t="shared" si="5"/>
        <v/>
      </c>
      <c r="AE134" s="152"/>
      <c r="AF134" s="152"/>
      <c r="AG134" s="152"/>
      <c r="AH134" s="152"/>
      <c r="AI134" s="152"/>
      <c r="AJ134" s="152"/>
      <c r="AK134" s="152"/>
      <c r="AL134" s="152"/>
      <c r="AM134" s="152"/>
      <c r="AN134" s="152"/>
      <c r="AO134" s="152"/>
    </row>
    <row r="135" ht="12.75" customHeight="1">
      <c r="A135" s="244" t="s">
        <v>5158</v>
      </c>
      <c r="B135" s="244" t="s">
        <v>163</v>
      </c>
      <c r="C135" s="244" t="s">
        <v>5593</v>
      </c>
      <c r="D135" s="154" t="s">
        <v>739</v>
      </c>
      <c r="E135" s="154"/>
      <c r="F135" s="154" t="str">
        <f t="array" ref="F135">XLOOKUP(Cover!$D$12,$M$1:$AD$1,$M135:$AD135)</f>
        <v>Mandatory</v>
      </c>
      <c r="G135" s="154" t="s">
        <v>5594</v>
      </c>
      <c r="H135" s="154" t="s">
        <v>165</v>
      </c>
      <c r="I135" s="154" t="s">
        <v>479</v>
      </c>
      <c r="J135" s="247" t="s">
        <v>445</v>
      </c>
      <c r="K135" s="247" t="s">
        <v>5595</v>
      </c>
      <c r="L135" s="154" t="str">
        <f t="shared" si="1"/>
        <v/>
      </c>
      <c r="M135" s="154" t="s">
        <v>60</v>
      </c>
      <c r="N135" s="154" t="s">
        <v>60</v>
      </c>
      <c r="O135" s="154" t="s">
        <v>60</v>
      </c>
      <c r="P135" s="154" t="s">
        <v>60</v>
      </c>
      <c r="Q135" s="154" t="s">
        <v>60</v>
      </c>
      <c r="R135" s="154" t="s">
        <v>60</v>
      </c>
      <c r="S135" s="154" t="s">
        <v>68</v>
      </c>
      <c r="T135" s="154" t="s">
        <v>68</v>
      </c>
      <c r="U135" s="154" t="s">
        <v>68</v>
      </c>
      <c r="V135" s="154"/>
      <c r="W135" s="242" t="b">
        <f t="shared" si="2"/>
        <v>1</v>
      </c>
      <c r="X135" s="154" t="s">
        <v>400</v>
      </c>
      <c r="Y135" s="242" t="b">
        <f t="shared" si="3"/>
        <v>0</v>
      </c>
      <c r="Z135" s="154" t="s">
        <v>5596</v>
      </c>
      <c r="AA135" s="242" t="b">
        <f t="shared" si="4"/>
        <v>0</v>
      </c>
      <c r="AB135" s="154" t="s">
        <v>637</v>
      </c>
      <c r="AC135" s="242" t="str">
        <f>IF(AB135="","N/A",INDIRECT("MTR!"&amp;ADDRESS(MATCH(LEFT(AB135,9),MTR!C:C,0),COLUMN(J135)),TRUE) &amp; "")</f>
        <v>Complies</v>
      </c>
      <c r="AD135" s="157" t="str">
        <f t="shared" si="5"/>
        <v/>
      </c>
      <c r="AE135" s="152"/>
      <c r="AF135" s="152"/>
      <c r="AG135" s="152"/>
      <c r="AH135" s="152"/>
      <c r="AI135" s="152"/>
      <c r="AJ135" s="152"/>
      <c r="AK135" s="152"/>
      <c r="AL135" s="152"/>
      <c r="AM135" s="152"/>
      <c r="AN135" s="152"/>
      <c r="AO135" s="152"/>
    </row>
    <row r="136" ht="12.75" customHeight="1">
      <c r="A136" s="244" t="s">
        <v>5158</v>
      </c>
      <c r="B136" s="244" t="s">
        <v>163</v>
      </c>
      <c r="C136" s="244" t="s">
        <v>5597</v>
      </c>
      <c r="D136" s="154" t="s">
        <v>739</v>
      </c>
      <c r="E136" s="154"/>
      <c r="F136" s="154" t="str">
        <f t="array" ref="F136">XLOOKUP(Cover!$D$12,$M$1:$AD$1,$M136:$AD136)</f>
        <v>Mandatory</v>
      </c>
      <c r="G136" s="154" t="s">
        <v>5598</v>
      </c>
      <c r="H136" s="154" t="s">
        <v>165</v>
      </c>
      <c r="I136" s="154" t="s">
        <v>479</v>
      </c>
      <c r="J136" s="247" t="s">
        <v>445</v>
      </c>
      <c r="K136" s="247" t="s">
        <v>5599</v>
      </c>
      <c r="L136" s="154" t="str">
        <f t="shared" si="1"/>
        <v/>
      </c>
      <c r="M136" s="154" t="s">
        <v>60</v>
      </c>
      <c r="N136" s="154" t="s">
        <v>60</v>
      </c>
      <c r="O136" s="154" t="s">
        <v>60</v>
      </c>
      <c r="P136" s="154" t="s">
        <v>60</v>
      </c>
      <c r="Q136" s="154" t="s">
        <v>60</v>
      </c>
      <c r="R136" s="154" t="s">
        <v>60</v>
      </c>
      <c r="S136" s="154" t="s">
        <v>68</v>
      </c>
      <c r="T136" s="154" t="s">
        <v>68</v>
      </c>
      <c r="U136" s="154" t="s">
        <v>68</v>
      </c>
      <c r="V136" s="154"/>
      <c r="W136" s="242" t="b">
        <f t="shared" si="2"/>
        <v>1</v>
      </c>
      <c r="X136" s="154" t="s">
        <v>400</v>
      </c>
      <c r="Y136" s="242" t="b">
        <f t="shared" si="3"/>
        <v>0</v>
      </c>
      <c r="Z136" s="154" t="s">
        <v>5600</v>
      </c>
      <c r="AA136" s="242" t="b">
        <f t="shared" si="4"/>
        <v>0</v>
      </c>
      <c r="AB136" s="154" t="s">
        <v>637</v>
      </c>
      <c r="AC136" s="242" t="str">
        <f>IF(AB136="","N/A",INDIRECT("MTR!"&amp;ADDRESS(MATCH(LEFT(AB136,9),MTR!C:C,0),COLUMN(J136)),TRUE) &amp; "")</f>
        <v>Complies</v>
      </c>
      <c r="AD136" s="157" t="str">
        <f t="shared" si="5"/>
        <v/>
      </c>
      <c r="AE136" s="152"/>
      <c r="AF136" s="152"/>
      <c r="AG136" s="152"/>
      <c r="AH136" s="152"/>
      <c r="AI136" s="152"/>
      <c r="AJ136" s="152"/>
      <c r="AK136" s="152"/>
      <c r="AL136" s="152"/>
      <c r="AM136" s="152"/>
      <c r="AN136" s="152"/>
      <c r="AO136" s="152"/>
    </row>
    <row r="137" ht="12.75" customHeight="1">
      <c r="A137" s="244" t="s">
        <v>5158</v>
      </c>
      <c r="B137" s="244" t="s">
        <v>163</v>
      </c>
      <c r="C137" s="244" t="s">
        <v>5601</v>
      </c>
      <c r="D137" s="154" t="s">
        <v>739</v>
      </c>
      <c r="E137" s="154"/>
      <c r="F137" s="154" t="str">
        <f t="array" ref="F137">XLOOKUP(Cover!$D$12,$M$1:$AD$1,$M137:$AD137)</f>
        <v>Mandatory</v>
      </c>
      <c r="G137" s="154" t="s">
        <v>5602</v>
      </c>
      <c r="H137" s="154" t="s">
        <v>165</v>
      </c>
      <c r="I137" s="154" t="s">
        <v>479</v>
      </c>
      <c r="J137" s="247" t="s">
        <v>445</v>
      </c>
      <c r="K137" s="247" t="s">
        <v>5603</v>
      </c>
      <c r="L137" s="154" t="str">
        <f t="shared" si="1"/>
        <v/>
      </c>
      <c r="M137" s="154" t="s">
        <v>60</v>
      </c>
      <c r="N137" s="154" t="s">
        <v>60</v>
      </c>
      <c r="O137" s="154" t="s">
        <v>60</v>
      </c>
      <c r="P137" s="154" t="s">
        <v>60</v>
      </c>
      <c r="Q137" s="154" t="s">
        <v>60</v>
      </c>
      <c r="R137" s="154" t="s">
        <v>60</v>
      </c>
      <c r="S137" s="154" t="s">
        <v>68</v>
      </c>
      <c r="T137" s="154" t="s">
        <v>68</v>
      </c>
      <c r="U137" s="154" t="s">
        <v>68</v>
      </c>
      <c r="V137" s="154"/>
      <c r="W137" s="242" t="b">
        <f t="shared" si="2"/>
        <v>1</v>
      </c>
      <c r="X137" s="154" t="s">
        <v>400</v>
      </c>
      <c r="Y137" s="242" t="b">
        <f t="shared" si="3"/>
        <v>0</v>
      </c>
      <c r="Z137" s="154" t="s">
        <v>5604</v>
      </c>
      <c r="AA137" s="242" t="b">
        <f t="shared" si="4"/>
        <v>0</v>
      </c>
      <c r="AB137" s="154" t="s">
        <v>637</v>
      </c>
      <c r="AC137" s="242" t="str">
        <f>IF(AB137="","N/A",INDIRECT("MTR!"&amp;ADDRESS(MATCH(LEFT(AB137,9),MTR!C:C,0),COLUMN(J137)),TRUE) &amp; "")</f>
        <v>Complies</v>
      </c>
      <c r="AD137" s="157" t="str">
        <f t="shared" si="5"/>
        <v/>
      </c>
      <c r="AE137" s="152"/>
      <c r="AF137" s="152"/>
      <c r="AG137" s="152"/>
      <c r="AH137" s="152"/>
      <c r="AI137" s="152"/>
      <c r="AJ137" s="152"/>
      <c r="AK137" s="152"/>
      <c r="AL137" s="152"/>
      <c r="AM137" s="152"/>
      <c r="AN137" s="152"/>
      <c r="AO137" s="152"/>
    </row>
    <row r="138" ht="12.75" customHeight="1">
      <c r="A138" s="244" t="s">
        <v>5158</v>
      </c>
      <c r="B138" s="244" t="s">
        <v>163</v>
      </c>
      <c r="C138" s="244" t="s">
        <v>5605</v>
      </c>
      <c r="D138" s="154" t="s">
        <v>739</v>
      </c>
      <c r="E138" s="154"/>
      <c r="F138" s="154" t="str">
        <f t="array" ref="F138">XLOOKUP(Cover!$D$12,$M$1:$AD$1,$M138:$AD138)</f>
        <v>Mandatory</v>
      </c>
      <c r="G138" s="154" t="s">
        <v>5606</v>
      </c>
      <c r="H138" s="154" t="s">
        <v>5468</v>
      </c>
      <c r="I138" s="154" t="s">
        <v>479</v>
      </c>
      <c r="J138" s="247" t="s">
        <v>445</v>
      </c>
      <c r="K138" s="247" t="s">
        <v>5607</v>
      </c>
      <c r="L138" s="154" t="str">
        <f t="shared" si="1"/>
        <v/>
      </c>
      <c r="M138" s="154" t="s">
        <v>66</v>
      </c>
      <c r="N138" s="154" t="s">
        <v>66</v>
      </c>
      <c r="O138" s="154" t="s">
        <v>60</v>
      </c>
      <c r="P138" s="154" t="s">
        <v>60</v>
      </c>
      <c r="Q138" s="154" t="s">
        <v>60</v>
      </c>
      <c r="R138" s="154" t="s">
        <v>60</v>
      </c>
      <c r="S138" s="154" t="s">
        <v>68</v>
      </c>
      <c r="T138" s="154" t="s">
        <v>68</v>
      </c>
      <c r="U138" s="154" t="s">
        <v>68</v>
      </c>
      <c r="V138" s="154"/>
      <c r="W138" s="242" t="b">
        <f t="shared" si="2"/>
        <v>1</v>
      </c>
      <c r="X138" s="154" t="s">
        <v>400</v>
      </c>
      <c r="Y138" s="242" t="b">
        <f t="shared" si="3"/>
        <v>0</v>
      </c>
      <c r="Z138" s="154" t="s">
        <v>5608</v>
      </c>
      <c r="AA138" s="242" t="b">
        <f t="shared" si="4"/>
        <v>0</v>
      </c>
      <c r="AB138" s="154" t="s">
        <v>637</v>
      </c>
      <c r="AC138" s="242" t="str">
        <f>IF(AB138="","N/A",INDIRECT("MTR!"&amp;ADDRESS(MATCH(LEFT(AB138,9),MTR!C:C,0),COLUMN(J138)),TRUE) &amp; "")</f>
        <v>Complies</v>
      </c>
      <c r="AD138" s="157" t="str">
        <f t="shared" si="5"/>
        <v/>
      </c>
      <c r="AE138" s="152"/>
      <c r="AF138" s="152"/>
      <c r="AG138" s="152"/>
      <c r="AH138" s="152"/>
      <c r="AI138" s="152"/>
      <c r="AJ138" s="152"/>
      <c r="AK138" s="152"/>
      <c r="AL138" s="152"/>
      <c r="AM138" s="152"/>
      <c r="AN138" s="152"/>
      <c r="AO138" s="152"/>
    </row>
    <row r="139" ht="12.75" customHeight="1">
      <c r="A139" s="244" t="s">
        <v>5158</v>
      </c>
      <c r="B139" s="244" t="s">
        <v>163</v>
      </c>
      <c r="C139" s="244" t="s">
        <v>5609</v>
      </c>
      <c r="D139" s="154" t="s">
        <v>739</v>
      </c>
      <c r="E139" s="154"/>
      <c r="F139" s="154" t="str">
        <f t="array" ref="F139">XLOOKUP(Cover!$D$12,$M$1:$AD$1,$M139:$AD139)</f>
        <v>Mandatory</v>
      </c>
      <c r="G139" s="154" t="s">
        <v>5610</v>
      </c>
      <c r="H139" s="154" t="s">
        <v>5468</v>
      </c>
      <c r="I139" s="154" t="s">
        <v>479</v>
      </c>
      <c r="J139" s="247" t="s">
        <v>445</v>
      </c>
      <c r="K139" s="247" t="s">
        <v>5611</v>
      </c>
      <c r="L139" s="154" t="str">
        <f t="shared" si="1"/>
        <v/>
      </c>
      <c r="M139" s="154" t="s">
        <v>66</v>
      </c>
      <c r="N139" s="154" t="s">
        <v>66</v>
      </c>
      <c r="O139" s="154" t="s">
        <v>60</v>
      </c>
      <c r="P139" s="154" t="s">
        <v>60</v>
      </c>
      <c r="Q139" s="154" t="s">
        <v>60</v>
      </c>
      <c r="R139" s="154" t="s">
        <v>60</v>
      </c>
      <c r="S139" s="154" t="s">
        <v>68</v>
      </c>
      <c r="T139" s="154" t="s">
        <v>68</v>
      </c>
      <c r="U139" s="154" t="s">
        <v>68</v>
      </c>
      <c r="V139" s="154"/>
      <c r="W139" s="242" t="b">
        <f t="shared" si="2"/>
        <v>1</v>
      </c>
      <c r="X139" s="154" t="s">
        <v>400</v>
      </c>
      <c r="Y139" s="242" t="b">
        <f t="shared" si="3"/>
        <v>0</v>
      </c>
      <c r="Z139" s="154" t="s">
        <v>5612</v>
      </c>
      <c r="AA139" s="242" t="b">
        <f t="shared" si="4"/>
        <v>0</v>
      </c>
      <c r="AB139" s="154" t="s">
        <v>637</v>
      </c>
      <c r="AC139" s="242" t="str">
        <f>IF(AB139="","N/A",INDIRECT("MTR!"&amp;ADDRESS(MATCH(LEFT(AB139,9),MTR!C:C,0),COLUMN(J139)),TRUE) &amp; "")</f>
        <v>Complies</v>
      </c>
      <c r="AD139" s="157" t="str">
        <f t="shared" si="5"/>
        <v/>
      </c>
      <c r="AE139" s="152"/>
      <c r="AF139" s="152"/>
      <c r="AG139" s="152"/>
      <c r="AH139" s="152"/>
      <c r="AI139" s="152"/>
      <c r="AJ139" s="152"/>
      <c r="AK139" s="152"/>
      <c r="AL139" s="152"/>
      <c r="AM139" s="152"/>
      <c r="AN139" s="152"/>
      <c r="AO139" s="152"/>
    </row>
    <row r="140" ht="12.75" customHeight="1">
      <c r="A140" s="244" t="s">
        <v>5158</v>
      </c>
      <c r="B140" s="244" t="s">
        <v>163</v>
      </c>
      <c r="C140" s="244" t="s">
        <v>5613</v>
      </c>
      <c r="D140" s="154" t="s">
        <v>739</v>
      </c>
      <c r="E140" s="154"/>
      <c r="F140" s="154" t="str">
        <f t="array" ref="F140">XLOOKUP(Cover!$D$12,$M$1:$AD$1,$M140:$AD140)</f>
        <v>Mandatory</v>
      </c>
      <c r="G140" s="154" t="s">
        <v>5614</v>
      </c>
      <c r="H140" s="154" t="s">
        <v>5468</v>
      </c>
      <c r="I140" s="154" t="s">
        <v>479</v>
      </c>
      <c r="J140" s="247" t="s">
        <v>445</v>
      </c>
      <c r="K140" s="247" t="s">
        <v>5615</v>
      </c>
      <c r="L140" s="154" t="str">
        <f t="shared" si="1"/>
        <v/>
      </c>
      <c r="M140" s="154" t="s">
        <v>66</v>
      </c>
      <c r="N140" s="154" t="s">
        <v>66</v>
      </c>
      <c r="O140" s="154" t="s">
        <v>60</v>
      </c>
      <c r="P140" s="154" t="s">
        <v>60</v>
      </c>
      <c r="Q140" s="154" t="s">
        <v>60</v>
      </c>
      <c r="R140" s="154" t="s">
        <v>60</v>
      </c>
      <c r="S140" s="154" t="s">
        <v>68</v>
      </c>
      <c r="T140" s="154" t="s">
        <v>68</v>
      </c>
      <c r="U140" s="154" t="s">
        <v>68</v>
      </c>
      <c r="V140" s="154"/>
      <c r="W140" s="242" t="b">
        <f t="shared" si="2"/>
        <v>1</v>
      </c>
      <c r="X140" s="154" t="s">
        <v>400</v>
      </c>
      <c r="Y140" s="242" t="b">
        <f t="shared" si="3"/>
        <v>0</v>
      </c>
      <c r="Z140" s="154" t="s">
        <v>5616</v>
      </c>
      <c r="AA140" s="242" t="b">
        <f t="shared" si="4"/>
        <v>0</v>
      </c>
      <c r="AB140" s="154" t="s">
        <v>637</v>
      </c>
      <c r="AC140" s="242" t="str">
        <f>IF(AB140="","N/A",INDIRECT("MTR!"&amp;ADDRESS(MATCH(LEFT(AB140,9),MTR!C:C,0),COLUMN(J140)),TRUE) &amp; "")</f>
        <v>Complies</v>
      </c>
      <c r="AD140" s="157" t="str">
        <f t="shared" si="5"/>
        <v/>
      </c>
      <c r="AE140" s="152"/>
      <c r="AF140" s="152"/>
      <c r="AG140" s="152"/>
      <c r="AH140" s="152"/>
      <c r="AI140" s="152"/>
      <c r="AJ140" s="152"/>
      <c r="AK140" s="152"/>
      <c r="AL140" s="152"/>
      <c r="AM140" s="152"/>
      <c r="AN140" s="152"/>
      <c r="AO140" s="152"/>
    </row>
    <row r="141" ht="12.75" customHeight="1">
      <c r="A141" s="244" t="s">
        <v>5158</v>
      </c>
      <c r="B141" s="244" t="s">
        <v>163</v>
      </c>
      <c r="C141" s="244" t="s">
        <v>5617</v>
      </c>
      <c r="D141" s="154" t="s">
        <v>1773</v>
      </c>
      <c r="E141" s="154"/>
      <c r="F141" s="154" t="str">
        <f t="array" ref="F141">XLOOKUP(Cover!$D$12,$M$1:$AD$1,$M141:$AD141)</f>
        <v>Mandatory</v>
      </c>
      <c r="G141" s="154" t="s">
        <v>5618</v>
      </c>
      <c r="H141" s="154" t="s">
        <v>5468</v>
      </c>
      <c r="I141" s="154" t="s">
        <v>479</v>
      </c>
      <c r="J141" s="247" t="s">
        <v>445</v>
      </c>
      <c r="K141" s="247" t="s">
        <v>5619</v>
      </c>
      <c r="L141" s="154" t="str">
        <f t="shared" si="1"/>
        <v/>
      </c>
      <c r="M141" s="154" t="s">
        <v>66</v>
      </c>
      <c r="N141" s="154" t="s">
        <v>66</v>
      </c>
      <c r="O141" s="154" t="s">
        <v>60</v>
      </c>
      <c r="P141" s="154" t="s">
        <v>60</v>
      </c>
      <c r="Q141" s="154" t="s">
        <v>60</v>
      </c>
      <c r="R141" s="154" t="s">
        <v>60</v>
      </c>
      <c r="S141" s="154" t="s">
        <v>68</v>
      </c>
      <c r="T141" s="154" t="s">
        <v>68</v>
      </c>
      <c r="U141" s="154" t="s">
        <v>68</v>
      </c>
      <c r="V141" s="154"/>
      <c r="W141" s="242" t="b">
        <f t="shared" si="2"/>
        <v>1</v>
      </c>
      <c r="X141" s="154" t="s">
        <v>400</v>
      </c>
      <c r="Y141" s="242" t="b">
        <f t="shared" si="3"/>
        <v>0</v>
      </c>
      <c r="Z141" s="154" t="s">
        <v>5620</v>
      </c>
      <c r="AA141" s="242" t="b">
        <f t="shared" si="4"/>
        <v>0</v>
      </c>
      <c r="AB141" s="154" t="s">
        <v>637</v>
      </c>
      <c r="AC141" s="242" t="str">
        <f>IF(AB141="","N/A",INDIRECT("MTR!"&amp;ADDRESS(MATCH(LEFT(AB141,9),MTR!C:C,0),COLUMN(J141)),TRUE) &amp; "")</f>
        <v>Complies</v>
      </c>
      <c r="AD141" s="157" t="str">
        <f t="shared" si="5"/>
        <v/>
      </c>
      <c r="AE141" s="152"/>
      <c r="AF141" s="152"/>
      <c r="AG141" s="152"/>
      <c r="AH141" s="152"/>
      <c r="AI141" s="152"/>
      <c r="AJ141" s="152"/>
      <c r="AK141" s="152"/>
      <c r="AL141" s="152"/>
      <c r="AM141" s="152"/>
      <c r="AN141" s="152"/>
      <c r="AO141" s="152"/>
    </row>
    <row r="142" ht="12.75" customHeight="1">
      <c r="A142" s="244" t="s">
        <v>5158</v>
      </c>
      <c r="B142" s="244" t="s">
        <v>163</v>
      </c>
      <c r="C142" s="244" t="s">
        <v>5621</v>
      </c>
      <c r="D142" s="154" t="s">
        <v>1773</v>
      </c>
      <c r="E142" s="154"/>
      <c r="F142" s="154" t="str">
        <f t="array" ref="F142">XLOOKUP(Cover!$D$12,$M$1:$AD$1,$M142:$AD142)</f>
        <v>Mandatory</v>
      </c>
      <c r="G142" s="154" t="s">
        <v>5622</v>
      </c>
      <c r="H142" s="154" t="s">
        <v>5468</v>
      </c>
      <c r="I142" s="154" t="s">
        <v>479</v>
      </c>
      <c r="J142" s="247" t="s">
        <v>445</v>
      </c>
      <c r="K142" s="247" t="s">
        <v>5623</v>
      </c>
      <c r="L142" s="154" t="str">
        <f t="shared" si="1"/>
        <v/>
      </c>
      <c r="M142" s="154" t="s">
        <v>66</v>
      </c>
      <c r="N142" s="154" t="s">
        <v>66</v>
      </c>
      <c r="O142" s="154" t="s">
        <v>60</v>
      </c>
      <c r="P142" s="154" t="s">
        <v>60</v>
      </c>
      <c r="Q142" s="154" t="s">
        <v>60</v>
      </c>
      <c r="R142" s="154" t="s">
        <v>60</v>
      </c>
      <c r="S142" s="154" t="s">
        <v>68</v>
      </c>
      <c r="T142" s="154" t="s">
        <v>68</v>
      </c>
      <c r="U142" s="154" t="s">
        <v>68</v>
      </c>
      <c r="V142" s="154"/>
      <c r="W142" s="242" t="b">
        <f t="shared" si="2"/>
        <v>1</v>
      </c>
      <c r="X142" s="154" t="s">
        <v>400</v>
      </c>
      <c r="Y142" s="242" t="b">
        <f t="shared" si="3"/>
        <v>0</v>
      </c>
      <c r="Z142" s="154" t="s">
        <v>5624</v>
      </c>
      <c r="AA142" s="242" t="b">
        <f t="shared" si="4"/>
        <v>0</v>
      </c>
      <c r="AB142" s="154" t="s">
        <v>637</v>
      </c>
      <c r="AC142" s="242" t="str">
        <f>IF(AB142="","N/A",INDIRECT("MTR!"&amp;ADDRESS(MATCH(LEFT(AB142,9),MTR!C:C,0),COLUMN(J142)),TRUE) &amp; "")</f>
        <v>Complies</v>
      </c>
      <c r="AD142" s="157" t="str">
        <f t="shared" si="5"/>
        <v/>
      </c>
      <c r="AE142" s="152"/>
      <c r="AF142" s="152"/>
      <c r="AG142" s="152"/>
      <c r="AH142" s="152"/>
      <c r="AI142" s="152"/>
      <c r="AJ142" s="152"/>
      <c r="AK142" s="152"/>
      <c r="AL142" s="152"/>
      <c r="AM142" s="152"/>
      <c r="AN142" s="152"/>
      <c r="AO142" s="152"/>
    </row>
    <row r="143" ht="12.75" customHeight="1">
      <c r="A143" s="244" t="s">
        <v>5158</v>
      </c>
      <c r="B143" s="244" t="s">
        <v>163</v>
      </c>
      <c r="C143" s="244" t="s">
        <v>5625</v>
      </c>
      <c r="D143" s="154" t="s">
        <v>739</v>
      </c>
      <c r="E143" s="154"/>
      <c r="F143" s="154" t="str">
        <f t="array" ref="F143">XLOOKUP(Cover!$D$12,$M$1:$AD$1,$M143:$AD143)</f>
        <v>Mandatory</v>
      </c>
      <c r="G143" s="154" t="s">
        <v>5626</v>
      </c>
      <c r="H143" s="154" t="s">
        <v>5468</v>
      </c>
      <c r="I143" s="154" t="s">
        <v>479</v>
      </c>
      <c r="J143" s="247" t="s">
        <v>506</v>
      </c>
      <c r="K143" s="247" t="s">
        <v>5627</v>
      </c>
      <c r="L143" s="154" t="str">
        <f t="shared" si="1"/>
        <v/>
      </c>
      <c r="M143" s="154" t="s">
        <v>66</v>
      </c>
      <c r="N143" s="154" t="s">
        <v>66</v>
      </c>
      <c r="O143" s="154" t="s">
        <v>60</v>
      </c>
      <c r="P143" s="154" t="s">
        <v>60</v>
      </c>
      <c r="Q143" s="154" t="s">
        <v>60</v>
      </c>
      <c r="R143" s="154" t="s">
        <v>60</v>
      </c>
      <c r="S143" s="154" t="s">
        <v>68</v>
      </c>
      <c r="T143" s="154" t="s">
        <v>68</v>
      </c>
      <c r="U143" s="154" t="s">
        <v>68</v>
      </c>
      <c r="V143" s="154"/>
      <c r="W143" s="242" t="b">
        <f t="shared" si="2"/>
        <v>1</v>
      </c>
      <c r="X143" s="154" t="s">
        <v>400</v>
      </c>
      <c r="Y143" s="242" t="b">
        <f t="shared" si="3"/>
        <v>0</v>
      </c>
      <c r="Z143" s="154" t="s">
        <v>5628</v>
      </c>
      <c r="AA143" s="242" t="b">
        <f t="shared" si="4"/>
        <v>0</v>
      </c>
      <c r="AB143" s="154" t="s">
        <v>637</v>
      </c>
      <c r="AC143" s="242" t="str">
        <f>IF(AB143="","N/A",INDIRECT("MTR!"&amp;ADDRESS(MATCH(LEFT(AB143,9),MTR!C:C,0),COLUMN(J143)),TRUE) &amp; "")</f>
        <v>Complies</v>
      </c>
      <c r="AD143" s="157" t="str">
        <f t="shared" si="5"/>
        <v/>
      </c>
      <c r="AE143" s="152"/>
      <c r="AF143" s="152"/>
      <c r="AG143" s="152"/>
      <c r="AH143" s="152"/>
      <c r="AI143" s="152"/>
      <c r="AJ143" s="152"/>
      <c r="AK143" s="152"/>
      <c r="AL143" s="152"/>
      <c r="AM143" s="152"/>
      <c r="AN143" s="152"/>
      <c r="AO143" s="152"/>
    </row>
    <row r="144" ht="12.75" customHeight="1">
      <c r="A144" s="244" t="s">
        <v>5158</v>
      </c>
      <c r="B144" s="244" t="s">
        <v>163</v>
      </c>
      <c r="C144" s="244" t="s">
        <v>5629</v>
      </c>
      <c r="D144" s="154" t="s">
        <v>433</v>
      </c>
      <c r="E144" s="154"/>
      <c r="F144" s="154" t="str">
        <f t="array" ref="F144">XLOOKUP(Cover!$D$12,$M$1:$AD$1,$M144:$AD144)</f>
        <v>Mandatory</v>
      </c>
      <c r="G144" s="154" t="s">
        <v>5630</v>
      </c>
      <c r="H144" s="154" t="s">
        <v>5468</v>
      </c>
      <c r="I144" s="154" t="s">
        <v>479</v>
      </c>
      <c r="J144" s="247" t="s">
        <v>445</v>
      </c>
      <c r="K144" s="247" t="s">
        <v>5631</v>
      </c>
      <c r="L144" s="154" t="str">
        <f t="shared" si="1"/>
        <v/>
      </c>
      <c r="M144" s="154" t="s">
        <v>66</v>
      </c>
      <c r="N144" s="154" t="s">
        <v>66</v>
      </c>
      <c r="O144" s="154" t="s">
        <v>60</v>
      </c>
      <c r="P144" s="154" t="s">
        <v>60</v>
      </c>
      <c r="Q144" s="154" t="s">
        <v>60</v>
      </c>
      <c r="R144" s="154" t="s">
        <v>60</v>
      </c>
      <c r="S144" s="154" t="s">
        <v>68</v>
      </c>
      <c r="T144" s="154" t="s">
        <v>68</v>
      </c>
      <c r="U144" s="154" t="s">
        <v>68</v>
      </c>
      <c r="V144" s="154"/>
      <c r="W144" s="242" t="b">
        <f t="shared" si="2"/>
        <v>1</v>
      </c>
      <c r="X144" s="154" t="s">
        <v>400</v>
      </c>
      <c r="Y144" s="242" t="b">
        <f t="shared" si="3"/>
        <v>0</v>
      </c>
      <c r="Z144" s="154" t="s">
        <v>5632</v>
      </c>
      <c r="AA144" s="242" t="b">
        <f t="shared" si="4"/>
        <v>0</v>
      </c>
      <c r="AB144" s="154" t="s">
        <v>728</v>
      </c>
      <c r="AC144" s="242" t="str">
        <f>IF(AB144="","N/A",INDIRECT("MTR!"&amp;ADDRESS(MATCH(LEFT(AB144,9),MTR!C:C,0),COLUMN(J144)),TRUE) &amp; "")</f>
        <v>Complies</v>
      </c>
      <c r="AD144" s="157" t="str">
        <f t="shared" si="5"/>
        <v/>
      </c>
      <c r="AE144" s="152"/>
      <c r="AF144" s="152"/>
      <c r="AG144" s="152"/>
      <c r="AH144" s="152"/>
      <c r="AI144" s="152"/>
      <c r="AJ144" s="152"/>
      <c r="AK144" s="152"/>
      <c r="AL144" s="152"/>
      <c r="AM144" s="152"/>
      <c r="AN144" s="152"/>
      <c r="AO144" s="152"/>
    </row>
    <row r="145" ht="12.75" customHeight="1">
      <c r="A145" s="244" t="s">
        <v>5158</v>
      </c>
      <c r="B145" s="244" t="s">
        <v>163</v>
      </c>
      <c r="C145" s="244" t="s">
        <v>5633</v>
      </c>
      <c r="D145" s="154" t="s">
        <v>1069</v>
      </c>
      <c r="E145" s="154"/>
      <c r="F145" s="154" t="str">
        <f t="array" ref="F145">XLOOKUP(Cover!$D$12,$M$1:$AD$1,$M145:$AD145)</f>
        <v>Mandatory</v>
      </c>
      <c r="G145" s="154" t="s">
        <v>5634</v>
      </c>
      <c r="H145" s="154" t="s">
        <v>5468</v>
      </c>
      <c r="I145" s="154" t="s">
        <v>479</v>
      </c>
      <c r="J145" s="247" t="s">
        <v>445</v>
      </c>
      <c r="K145" s="247" t="s">
        <v>5635</v>
      </c>
      <c r="L145" s="154" t="str">
        <f t="shared" si="1"/>
        <v/>
      </c>
      <c r="M145" s="154" t="s">
        <v>66</v>
      </c>
      <c r="N145" s="154" t="s">
        <v>66</v>
      </c>
      <c r="O145" s="154" t="s">
        <v>60</v>
      </c>
      <c r="P145" s="154" t="s">
        <v>60</v>
      </c>
      <c r="Q145" s="154" t="s">
        <v>60</v>
      </c>
      <c r="R145" s="154" t="s">
        <v>60</v>
      </c>
      <c r="S145" s="154" t="s">
        <v>68</v>
      </c>
      <c r="T145" s="154" t="s">
        <v>68</v>
      </c>
      <c r="U145" s="154" t="s">
        <v>68</v>
      </c>
      <c r="V145" s="154"/>
      <c r="W145" s="242" t="b">
        <f t="shared" si="2"/>
        <v>1</v>
      </c>
      <c r="X145" s="154" t="s">
        <v>400</v>
      </c>
      <c r="Y145" s="242" t="b">
        <f t="shared" si="3"/>
        <v>0</v>
      </c>
      <c r="Z145" s="154" t="s">
        <v>5636</v>
      </c>
      <c r="AA145" s="242" t="b">
        <f t="shared" si="4"/>
        <v>0</v>
      </c>
      <c r="AB145" s="154" t="s">
        <v>728</v>
      </c>
      <c r="AC145" s="242" t="str">
        <f>IF(AB145="","N/A",INDIRECT("MTR!"&amp;ADDRESS(MATCH(LEFT(AB145,9),MTR!C:C,0),COLUMN(J145)),TRUE) &amp; "")</f>
        <v>Complies</v>
      </c>
      <c r="AD145" s="157" t="str">
        <f t="shared" si="5"/>
        <v/>
      </c>
      <c r="AE145" s="152"/>
      <c r="AF145" s="152"/>
      <c r="AG145" s="152"/>
      <c r="AH145" s="152"/>
      <c r="AI145" s="152"/>
      <c r="AJ145" s="152"/>
      <c r="AK145" s="152"/>
      <c r="AL145" s="152"/>
      <c r="AM145" s="152"/>
      <c r="AN145" s="152"/>
      <c r="AO145" s="152"/>
    </row>
    <row r="146" ht="12.75" customHeight="1">
      <c r="A146" s="238" t="s">
        <v>5158</v>
      </c>
      <c r="B146" s="238" t="s">
        <v>163</v>
      </c>
      <c r="C146" s="238" t="s">
        <v>5637</v>
      </c>
      <c r="D146" s="240"/>
      <c r="E146" s="240" t="s">
        <v>92</v>
      </c>
      <c r="F146" s="240" t="str">
        <f t="array" ref="F146">XLOOKUP(Cover!$D$12,$M$1:$AD$1,$M146:$AD146)</f>
        <v>Heading</v>
      </c>
      <c r="G146" s="239" t="s">
        <v>5638</v>
      </c>
      <c r="H146" s="240"/>
      <c r="I146" s="240" t="s">
        <v>479</v>
      </c>
      <c r="J146" s="240"/>
      <c r="K146" s="240"/>
      <c r="L146" s="240" t="str">
        <f t="shared" si="1"/>
        <v/>
      </c>
      <c r="M146" s="240" t="s">
        <v>390</v>
      </c>
      <c r="N146" s="240" t="s">
        <v>390</v>
      </c>
      <c r="O146" s="240" t="s">
        <v>390</v>
      </c>
      <c r="P146" s="240" t="s">
        <v>390</v>
      </c>
      <c r="Q146" s="240" t="s">
        <v>390</v>
      </c>
      <c r="R146" s="240" t="s">
        <v>390</v>
      </c>
      <c r="S146" s="240" t="s">
        <v>390</v>
      </c>
      <c r="T146" s="240" t="s">
        <v>390</v>
      </c>
      <c r="U146" s="240" t="s">
        <v>390</v>
      </c>
      <c r="V146" s="240"/>
      <c r="W146" s="242" t="b">
        <f t="shared" si="2"/>
        <v>0</v>
      </c>
      <c r="X146" s="240" t="s">
        <v>391</v>
      </c>
      <c r="Y146" s="242" t="b">
        <f t="shared" si="3"/>
        <v>0</v>
      </c>
      <c r="Z146" s="240"/>
      <c r="AA146" s="242" t="b">
        <f t="shared" si="4"/>
        <v>0</v>
      </c>
      <c r="AB146" s="240"/>
      <c r="AC146" s="242" t="str">
        <f>IF(AB146="","N/A",INDIRECT("MTR!"&amp;ADDRESS(MATCH(LEFT(AB146,9),MTR!C:C,0),COLUMN(J146)),TRUE) &amp; "")</f>
        <v>N/A</v>
      </c>
      <c r="AD146" s="157" t="str">
        <f t="shared" si="5"/>
        <v/>
      </c>
      <c r="AE146" s="152"/>
      <c r="AF146" s="152"/>
      <c r="AG146" s="152"/>
      <c r="AH146" s="152"/>
      <c r="AI146" s="152"/>
      <c r="AJ146" s="152"/>
      <c r="AK146" s="152"/>
      <c r="AL146" s="152"/>
      <c r="AM146" s="152"/>
      <c r="AN146" s="152"/>
      <c r="AO146" s="152"/>
    </row>
    <row r="147" ht="12.75" customHeight="1">
      <c r="A147" s="244" t="s">
        <v>5158</v>
      </c>
      <c r="B147" s="244" t="s">
        <v>163</v>
      </c>
      <c r="C147" s="244" t="s">
        <v>5639</v>
      </c>
      <c r="D147" s="154" t="s">
        <v>739</v>
      </c>
      <c r="E147" s="154"/>
      <c r="F147" s="154" t="str">
        <f t="array" ref="F147">XLOOKUP(Cover!$D$12,$M$1:$AD$1,$M147:$AD147)</f>
        <v>Mandatory</v>
      </c>
      <c r="G147" s="154" t="s">
        <v>5640</v>
      </c>
      <c r="H147" s="154" t="s">
        <v>165</v>
      </c>
      <c r="I147" s="154" t="s">
        <v>479</v>
      </c>
      <c r="J147" s="247" t="s">
        <v>445</v>
      </c>
      <c r="K147" s="247" t="s">
        <v>5641</v>
      </c>
      <c r="L147" s="154" t="str">
        <f t="shared" si="1"/>
        <v/>
      </c>
      <c r="M147" s="154" t="s">
        <v>60</v>
      </c>
      <c r="N147" s="154" t="s">
        <v>60</v>
      </c>
      <c r="O147" s="154" t="s">
        <v>60</v>
      </c>
      <c r="P147" s="154" t="s">
        <v>60</v>
      </c>
      <c r="Q147" s="154" t="s">
        <v>60</v>
      </c>
      <c r="R147" s="154" t="s">
        <v>60</v>
      </c>
      <c r="S147" s="154" t="s">
        <v>68</v>
      </c>
      <c r="T147" s="154" t="s">
        <v>68</v>
      </c>
      <c r="U147" s="154" t="s">
        <v>68</v>
      </c>
      <c r="V147" s="154"/>
      <c r="W147" s="242" t="b">
        <f t="shared" si="2"/>
        <v>1</v>
      </c>
      <c r="X147" s="154" t="s">
        <v>400</v>
      </c>
      <c r="Y147" s="242" t="b">
        <f t="shared" si="3"/>
        <v>0</v>
      </c>
      <c r="Z147" s="154" t="s">
        <v>5642</v>
      </c>
      <c r="AA147" s="242" t="b">
        <f t="shared" si="4"/>
        <v>0</v>
      </c>
      <c r="AB147" s="154" t="s">
        <v>629</v>
      </c>
      <c r="AC147" s="242" t="str">
        <f>IF(AB147="","N/A",INDIRECT("MTR!"&amp;ADDRESS(MATCH(LEFT(AB147,9),MTR!C:C,0),COLUMN(J147)),TRUE) &amp; "")</f>
        <v>Complies</v>
      </c>
      <c r="AD147" s="157" t="str">
        <f t="shared" si="5"/>
        <v/>
      </c>
      <c r="AE147" s="152"/>
      <c r="AF147" s="152"/>
      <c r="AG147" s="152"/>
      <c r="AH147" s="152"/>
      <c r="AI147" s="152"/>
      <c r="AJ147" s="152"/>
      <c r="AK147" s="152"/>
      <c r="AL147" s="152"/>
      <c r="AM147" s="152"/>
      <c r="AN147" s="152"/>
      <c r="AO147" s="152"/>
    </row>
    <row r="148" ht="12.75" customHeight="1">
      <c r="A148" s="244" t="s">
        <v>5158</v>
      </c>
      <c r="B148" s="244" t="s">
        <v>163</v>
      </c>
      <c r="C148" s="244" t="s">
        <v>5643</v>
      </c>
      <c r="D148" s="154" t="s">
        <v>739</v>
      </c>
      <c r="E148" s="154"/>
      <c r="F148" s="154" t="str">
        <f t="array" ref="F148">XLOOKUP(Cover!$D$12,$M$1:$AD$1,$M148:$AD148)</f>
        <v>Mandatory</v>
      </c>
      <c r="G148" s="154" t="s">
        <v>5644</v>
      </c>
      <c r="H148" s="154" t="s">
        <v>165</v>
      </c>
      <c r="I148" s="154" t="s">
        <v>479</v>
      </c>
      <c r="J148" s="247" t="s">
        <v>445</v>
      </c>
      <c r="K148" s="247" t="s">
        <v>5645</v>
      </c>
      <c r="L148" s="154" t="str">
        <f t="shared" si="1"/>
        <v/>
      </c>
      <c r="M148" s="154" t="s">
        <v>60</v>
      </c>
      <c r="N148" s="154" t="s">
        <v>60</v>
      </c>
      <c r="O148" s="154" t="s">
        <v>60</v>
      </c>
      <c r="P148" s="154" t="s">
        <v>60</v>
      </c>
      <c r="Q148" s="154" t="s">
        <v>60</v>
      </c>
      <c r="R148" s="154" t="s">
        <v>60</v>
      </c>
      <c r="S148" s="154" t="s">
        <v>68</v>
      </c>
      <c r="T148" s="154" t="s">
        <v>68</v>
      </c>
      <c r="U148" s="154" t="s">
        <v>68</v>
      </c>
      <c r="V148" s="154"/>
      <c r="W148" s="242" t="b">
        <f t="shared" si="2"/>
        <v>1</v>
      </c>
      <c r="X148" s="154" t="s">
        <v>400</v>
      </c>
      <c r="Y148" s="242" t="b">
        <f t="shared" si="3"/>
        <v>0</v>
      </c>
      <c r="Z148" s="154" t="s">
        <v>5646</v>
      </c>
      <c r="AA148" s="242" t="b">
        <f t="shared" si="4"/>
        <v>0</v>
      </c>
      <c r="AB148" s="154" t="s">
        <v>629</v>
      </c>
      <c r="AC148" s="242" t="str">
        <f>IF(AB148="","N/A",INDIRECT("MTR!"&amp;ADDRESS(MATCH(LEFT(AB148,9),MTR!C:C,0),COLUMN(J148)),TRUE) &amp; "")</f>
        <v>Complies</v>
      </c>
      <c r="AD148" s="157" t="str">
        <f t="shared" si="5"/>
        <v/>
      </c>
      <c r="AE148" s="152"/>
      <c r="AF148" s="152"/>
      <c r="AG148" s="152"/>
      <c r="AH148" s="152"/>
      <c r="AI148" s="152"/>
      <c r="AJ148" s="152"/>
      <c r="AK148" s="152"/>
      <c r="AL148" s="152"/>
      <c r="AM148" s="152"/>
      <c r="AN148" s="152"/>
      <c r="AO148" s="152"/>
    </row>
    <row r="149" ht="12.75" customHeight="1">
      <c r="A149" s="244" t="s">
        <v>5158</v>
      </c>
      <c r="B149" s="244" t="s">
        <v>163</v>
      </c>
      <c r="C149" s="244" t="s">
        <v>5647</v>
      </c>
      <c r="D149" s="154" t="s">
        <v>739</v>
      </c>
      <c r="E149" s="154"/>
      <c r="F149" s="154" t="str">
        <f t="array" ref="F149">XLOOKUP(Cover!$D$12,$M$1:$AD$1,$M149:$AD149)</f>
        <v>Mandatory</v>
      </c>
      <c r="G149" s="154" t="s">
        <v>5648</v>
      </c>
      <c r="H149" s="154" t="s">
        <v>165</v>
      </c>
      <c r="I149" s="154" t="s">
        <v>479</v>
      </c>
      <c r="J149" s="247" t="s">
        <v>445</v>
      </c>
      <c r="K149" s="247" t="s">
        <v>5649</v>
      </c>
      <c r="L149" s="154" t="str">
        <f t="shared" si="1"/>
        <v/>
      </c>
      <c r="M149" s="154" t="s">
        <v>60</v>
      </c>
      <c r="N149" s="154" t="s">
        <v>60</v>
      </c>
      <c r="O149" s="154" t="s">
        <v>60</v>
      </c>
      <c r="P149" s="154" t="s">
        <v>60</v>
      </c>
      <c r="Q149" s="154" t="s">
        <v>60</v>
      </c>
      <c r="R149" s="154" t="s">
        <v>60</v>
      </c>
      <c r="S149" s="154" t="s">
        <v>68</v>
      </c>
      <c r="T149" s="154" t="s">
        <v>68</v>
      </c>
      <c r="U149" s="154" t="s">
        <v>68</v>
      </c>
      <c r="V149" s="154"/>
      <c r="W149" s="242" t="b">
        <f t="shared" si="2"/>
        <v>1</v>
      </c>
      <c r="X149" s="154" t="s">
        <v>400</v>
      </c>
      <c r="Y149" s="242" t="b">
        <f t="shared" si="3"/>
        <v>0</v>
      </c>
      <c r="Z149" s="154" t="s">
        <v>5650</v>
      </c>
      <c r="AA149" s="242" t="b">
        <f t="shared" si="4"/>
        <v>0</v>
      </c>
      <c r="AB149" s="154" t="s">
        <v>637</v>
      </c>
      <c r="AC149" s="242" t="str">
        <f>IF(AB149="","N/A",INDIRECT("MTR!"&amp;ADDRESS(MATCH(LEFT(AB149,9),MTR!C:C,0),COLUMN(J149)),TRUE) &amp; "")</f>
        <v>Complies</v>
      </c>
      <c r="AD149" s="157" t="str">
        <f t="shared" si="5"/>
        <v/>
      </c>
      <c r="AE149" s="152"/>
      <c r="AF149" s="152"/>
      <c r="AG149" s="152"/>
      <c r="AH149" s="152"/>
      <c r="AI149" s="152"/>
      <c r="AJ149" s="152"/>
      <c r="AK149" s="152"/>
      <c r="AL149" s="152"/>
      <c r="AM149" s="152"/>
      <c r="AN149" s="152"/>
      <c r="AO149" s="152"/>
    </row>
    <row r="150" ht="12.75" customHeight="1">
      <c r="A150" s="244" t="s">
        <v>5158</v>
      </c>
      <c r="B150" s="244" t="s">
        <v>163</v>
      </c>
      <c r="C150" s="244" t="s">
        <v>5651</v>
      </c>
      <c r="D150" s="154" t="s">
        <v>739</v>
      </c>
      <c r="E150" s="154"/>
      <c r="F150" s="154" t="str">
        <f t="array" ref="F150">XLOOKUP(Cover!$D$12,$M$1:$AD$1,$M150:$AD150)</f>
        <v>Mandatory</v>
      </c>
      <c r="G150" s="154" t="s">
        <v>5652</v>
      </c>
      <c r="H150" s="154" t="s">
        <v>165</v>
      </c>
      <c r="I150" s="154" t="s">
        <v>479</v>
      </c>
      <c r="J150" s="247" t="s">
        <v>445</v>
      </c>
      <c r="K150" s="247" t="s">
        <v>5653</v>
      </c>
      <c r="L150" s="154" t="str">
        <f t="shared" si="1"/>
        <v/>
      </c>
      <c r="M150" s="154" t="s">
        <v>60</v>
      </c>
      <c r="N150" s="154" t="s">
        <v>60</v>
      </c>
      <c r="O150" s="154" t="s">
        <v>60</v>
      </c>
      <c r="P150" s="154" t="s">
        <v>60</v>
      </c>
      <c r="Q150" s="154" t="s">
        <v>60</v>
      </c>
      <c r="R150" s="154" t="s">
        <v>60</v>
      </c>
      <c r="S150" s="154" t="s">
        <v>68</v>
      </c>
      <c r="T150" s="154" t="s">
        <v>68</v>
      </c>
      <c r="U150" s="154" t="s">
        <v>68</v>
      </c>
      <c r="V150" s="154"/>
      <c r="W150" s="242" t="b">
        <f t="shared" si="2"/>
        <v>1</v>
      </c>
      <c r="X150" s="154" t="s">
        <v>400</v>
      </c>
      <c r="Y150" s="242" t="b">
        <f t="shared" si="3"/>
        <v>0</v>
      </c>
      <c r="Z150" s="154" t="s">
        <v>5654</v>
      </c>
      <c r="AA150" s="242" t="b">
        <f t="shared" si="4"/>
        <v>0</v>
      </c>
      <c r="AB150" s="154" t="s">
        <v>637</v>
      </c>
      <c r="AC150" s="242" t="str">
        <f>IF(AB150="","N/A",INDIRECT("MTR!"&amp;ADDRESS(MATCH(LEFT(AB150,9),MTR!C:C,0),COLUMN(J150)),TRUE) &amp; "")</f>
        <v>Complies</v>
      </c>
      <c r="AD150" s="157" t="str">
        <f t="shared" si="5"/>
        <v/>
      </c>
      <c r="AE150" s="152"/>
      <c r="AF150" s="152"/>
      <c r="AG150" s="152"/>
      <c r="AH150" s="152"/>
      <c r="AI150" s="152"/>
      <c r="AJ150" s="152"/>
      <c r="AK150" s="152"/>
      <c r="AL150" s="152"/>
      <c r="AM150" s="152"/>
      <c r="AN150" s="152"/>
      <c r="AO150" s="152"/>
    </row>
    <row r="151" ht="12.75" customHeight="1">
      <c r="A151" s="244" t="s">
        <v>5158</v>
      </c>
      <c r="B151" s="244" t="s">
        <v>163</v>
      </c>
      <c r="C151" s="244" t="s">
        <v>5655</v>
      </c>
      <c r="D151" s="154" t="s">
        <v>739</v>
      </c>
      <c r="E151" s="154"/>
      <c r="F151" s="154" t="str">
        <f t="array" ref="F151">XLOOKUP(Cover!$D$12,$M$1:$AD$1,$M151:$AD151)</f>
        <v>Mandatory</v>
      </c>
      <c r="G151" s="154" t="s">
        <v>5656</v>
      </c>
      <c r="H151" s="154" t="s">
        <v>165</v>
      </c>
      <c r="I151" s="154" t="s">
        <v>479</v>
      </c>
      <c r="J151" s="247" t="s">
        <v>445</v>
      </c>
      <c r="K151" s="247" t="s">
        <v>5657</v>
      </c>
      <c r="L151" s="154" t="str">
        <f t="shared" si="1"/>
        <v/>
      </c>
      <c r="M151" s="154" t="s">
        <v>60</v>
      </c>
      <c r="N151" s="154" t="s">
        <v>60</v>
      </c>
      <c r="O151" s="154" t="s">
        <v>60</v>
      </c>
      <c r="P151" s="154" t="s">
        <v>60</v>
      </c>
      <c r="Q151" s="154" t="s">
        <v>60</v>
      </c>
      <c r="R151" s="154" t="s">
        <v>60</v>
      </c>
      <c r="S151" s="154" t="s">
        <v>68</v>
      </c>
      <c r="T151" s="154" t="s">
        <v>68</v>
      </c>
      <c r="U151" s="154" t="s">
        <v>68</v>
      </c>
      <c r="V151" s="154"/>
      <c r="W151" s="242" t="b">
        <f t="shared" si="2"/>
        <v>1</v>
      </c>
      <c r="X151" s="154" t="s">
        <v>400</v>
      </c>
      <c r="Y151" s="242" t="b">
        <f t="shared" si="3"/>
        <v>0</v>
      </c>
      <c r="Z151" s="154" t="s">
        <v>5658</v>
      </c>
      <c r="AA151" s="242" t="b">
        <f t="shared" si="4"/>
        <v>0</v>
      </c>
      <c r="AB151" s="154" t="s">
        <v>637</v>
      </c>
      <c r="AC151" s="242" t="str">
        <f>IF(AB151="","N/A",INDIRECT("MTR!"&amp;ADDRESS(MATCH(LEFT(AB151,9),MTR!C:C,0),COLUMN(J151)),TRUE) &amp; "")</f>
        <v>Complies</v>
      </c>
      <c r="AD151" s="157" t="str">
        <f t="shared" si="5"/>
        <v/>
      </c>
      <c r="AE151" s="152"/>
      <c r="AF151" s="152"/>
      <c r="AG151" s="152"/>
      <c r="AH151" s="152"/>
      <c r="AI151" s="152"/>
      <c r="AJ151" s="152"/>
      <c r="AK151" s="152"/>
      <c r="AL151" s="152"/>
      <c r="AM151" s="152"/>
      <c r="AN151" s="152"/>
      <c r="AO151" s="152"/>
    </row>
    <row r="152" ht="12.75" customHeight="1">
      <c r="A152" s="244" t="s">
        <v>5158</v>
      </c>
      <c r="B152" s="244" t="s">
        <v>163</v>
      </c>
      <c r="C152" s="244" t="s">
        <v>5659</v>
      </c>
      <c r="D152" s="154" t="s">
        <v>739</v>
      </c>
      <c r="E152" s="154"/>
      <c r="F152" s="154" t="str">
        <f t="array" ref="F152">XLOOKUP(Cover!$D$12,$M$1:$AD$1,$M152:$AD152)</f>
        <v>Mandatory</v>
      </c>
      <c r="G152" s="154" t="s">
        <v>5660</v>
      </c>
      <c r="H152" s="154" t="s">
        <v>165</v>
      </c>
      <c r="I152" s="154" t="s">
        <v>479</v>
      </c>
      <c r="J152" s="247" t="s">
        <v>445</v>
      </c>
      <c r="K152" s="247" t="s">
        <v>5661</v>
      </c>
      <c r="L152" s="154" t="str">
        <f t="shared" si="1"/>
        <v/>
      </c>
      <c r="M152" s="154" t="s">
        <v>60</v>
      </c>
      <c r="N152" s="154" t="s">
        <v>60</v>
      </c>
      <c r="O152" s="154" t="s">
        <v>60</v>
      </c>
      <c r="P152" s="154" t="s">
        <v>60</v>
      </c>
      <c r="Q152" s="154" t="s">
        <v>60</v>
      </c>
      <c r="R152" s="154" t="s">
        <v>60</v>
      </c>
      <c r="S152" s="154" t="s">
        <v>68</v>
      </c>
      <c r="T152" s="154" t="s">
        <v>68</v>
      </c>
      <c r="U152" s="154" t="s">
        <v>68</v>
      </c>
      <c r="V152" s="154"/>
      <c r="W152" s="242" t="b">
        <f t="shared" si="2"/>
        <v>1</v>
      </c>
      <c r="X152" s="154" t="s">
        <v>400</v>
      </c>
      <c r="Y152" s="242" t="b">
        <f t="shared" si="3"/>
        <v>0</v>
      </c>
      <c r="Z152" s="154" t="s">
        <v>5662</v>
      </c>
      <c r="AA152" s="242" t="b">
        <f t="shared" si="4"/>
        <v>0</v>
      </c>
      <c r="AB152" s="154" t="s">
        <v>637</v>
      </c>
      <c r="AC152" s="242" t="str">
        <f>IF(AB152="","N/A",INDIRECT("MTR!"&amp;ADDRESS(MATCH(LEFT(AB152,9),MTR!C:C,0),COLUMN(J152)),TRUE) &amp; "")</f>
        <v>Complies</v>
      </c>
      <c r="AD152" s="157" t="str">
        <f t="shared" si="5"/>
        <v/>
      </c>
      <c r="AE152" s="152"/>
      <c r="AF152" s="152"/>
      <c r="AG152" s="152"/>
      <c r="AH152" s="152"/>
      <c r="AI152" s="152"/>
      <c r="AJ152" s="152"/>
      <c r="AK152" s="152"/>
      <c r="AL152" s="152"/>
      <c r="AM152" s="152"/>
      <c r="AN152" s="152"/>
      <c r="AO152" s="152"/>
    </row>
    <row r="153" ht="12.75" customHeight="1">
      <c r="A153" s="244" t="s">
        <v>5158</v>
      </c>
      <c r="B153" s="244" t="s">
        <v>163</v>
      </c>
      <c r="C153" s="244" t="s">
        <v>5663</v>
      </c>
      <c r="D153" s="154" t="s">
        <v>739</v>
      </c>
      <c r="E153" s="154"/>
      <c r="F153" s="154" t="str">
        <f t="array" ref="F153">XLOOKUP(Cover!$D$12,$M$1:$AD$1,$M153:$AD153)</f>
        <v>Mandatory</v>
      </c>
      <c r="G153" s="154" t="s">
        <v>5664</v>
      </c>
      <c r="H153" s="154" t="s">
        <v>165</v>
      </c>
      <c r="I153" s="154" t="s">
        <v>479</v>
      </c>
      <c r="J153" s="247" t="s">
        <v>445</v>
      </c>
      <c r="K153" s="247" t="s">
        <v>5665</v>
      </c>
      <c r="L153" s="154" t="str">
        <f t="shared" si="1"/>
        <v/>
      </c>
      <c r="M153" s="154" t="s">
        <v>60</v>
      </c>
      <c r="N153" s="154" t="s">
        <v>60</v>
      </c>
      <c r="O153" s="154" t="s">
        <v>60</v>
      </c>
      <c r="P153" s="154" t="s">
        <v>60</v>
      </c>
      <c r="Q153" s="154" t="s">
        <v>60</v>
      </c>
      <c r="R153" s="154" t="s">
        <v>60</v>
      </c>
      <c r="S153" s="154" t="s">
        <v>68</v>
      </c>
      <c r="T153" s="154" t="s">
        <v>68</v>
      </c>
      <c r="U153" s="154" t="s">
        <v>68</v>
      </c>
      <c r="V153" s="154"/>
      <c r="W153" s="242" t="b">
        <f t="shared" si="2"/>
        <v>1</v>
      </c>
      <c r="X153" s="154" t="s">
        <v>400</v>
      </c>
      <c r="Y153" s="242" t="b">
        <f t="shared" si="3"/>
        <v>0</v>
      </c>
      <c r="Z153" s="154" t="s">
        <v>5666</v>
      </c>
      <c r="AA153" s="242" t="b">
        <f t="shared" si="4"/>
        <v>0</v>
      </c>
      <c r="AB153" s="154" t="s">
        <v>637</v>
      </c>
      <c r="AC153" s="242" t="str">
        <f>IF(AB153="","N/A",INDIRECT("MTR!"&amp;ADDRESS(MATCH(LEFT(AB153,9),MTR!C:C,0),COLUMN(J153)),TRUE) &amp; "")</f>
        <v>Complies</v>
      </c>
      <c r="AD153" s="157" t="str">
        <f t="shared" si="5"/>
        <v/>
      </c>
      <c r="AE153" s="152"/>
      <c r="AF153" s="152"/>
      <c r="AG153" s="152"/>
      <c r="AH153" s="152"/>
      <c r="AI153" s="152"/>
      <c r="AJ153" s="152"/>
      <c r="AK153" s="152"/>
      <c r="AL153" s="152"/>
      <c r="AM153" s="152"/>
      <c r="AN153" s="152"/>
      <c r="AO153" s="152"/>
    </row>
    <row r="154" ht="12.75" customHeight="1">
      <c r="A154" s="244" t="s">
        <v>5158</v>
      </c>
      <c r="B154" s="244" t="s">
        <v>163</v>
      </c>
      <c r="C154" s="244" t="s">
        <v>5667</v>
      </c>
      <c r="D154" s="154" t="s">
        <v>739</v>
      </c>
      <c r="E154" s="154"/>
      <c r="F154" s="154" t="str">
        <f t="array" ref="F154">XLOOKUP(Cover!$D$12,$M$1:$AD$1,$M154:$AD154)</f>
        <v>Mandatory</v>
      </c>
      <c r="G154" s="154" t="s">
        <v>5668</v>
      </c>
      <c r="H154" s="154" t="s">
        <v>165</v>
      </c>
      <c r="I154" s="154" t="s">
        <v>479</v>
      </c>
      <c r="J154" s="247" t="s">
        <v>445</v>
      </c>
      <c r="K154" s="247" t="s">
        <v>5669</v>
      </c>
      <c r="L154" s="154" t="str">
        <f t="shared" si="1"/>
        <v/>
      </c>
      <c r="M154" s="154" t="s">
        <v>60</v>
      </c>
      <c r="N154" s="154" t="s">
        <v>60</v>
      </c>
      <c r="O154" s="154" t="s">
        <v>60</v>
      </c>
      <c r="P154" s="154" t="s">
        <v>60</v>
      </c>
      <c r="Q154" s="154" t="s">
        <v>60</v>
      </c>
      <c r="R154" s="154" t="s">
        <v>60</v>
      </c>
      <c r="S154" s="154" t="s">
        <v>68</v>
      </c>
      <c r="T154" s="154" t="s">
        <v>68</v>
      </c>
      <c r="U154" s="154" t="s">
        <v>68</v>
      </c>
      <c r="V154" s="154"/>
      <c r="W154" s="242" t="b">
        <f t="shared" si="2"/>
        <v>1</v>
      </c>
      <c r="X154" s="154" t="s">
        <v>400</v>
      </c>
      <c r="Y154" s="242" t="b">
        <f t="shared" si="3"/>
        <v>0</v>
      </c>
      <c r="Z154" s="154" t="s">
        <v>5670</v>
      </c>
      <c r="AA154" s="242" t="b">
        <f t="shared" si="4"/>
        <v>0</v>
      </c>
      <c r="AB154" s="154" t="s">
        <v>637</v>
      </c>
      <c r="AC154" s="242" t="str">
        <f>IF(AB154="","N/A",INDIRECT("MTR!"&amp;ADDRESS(MATCH(LEFT(AB154,9),MTR!C:C,0),COLUMN(J154)),TRUE) &amp; "")</f>
        <v>Complies</v>
      </c>
      <c r="AD154" s="157" t="str">
        <f t="shared" si="5"/>
        <v/>
      </c>
      <c r="AE154" s="152"/>
      <c r="AF154" s="152"/>
      <c r="AG154" s="152"/>
      <c r="AH154" s="152"/>
      <c r="AI154" s="152"/>
      <c r="AJ154" s="152"/>
      <c r="AK154" s="152"/>
      <c r="AL154" s="152"/>
      <c r="AM154" s="152"/>
      <c r="AN154" s="152"/>
      <c r="AO154" s="152"/>
    </row>
    <row r="155" ht="12.75" customHeight="1">
      <c r="A155" s="244" t="s">
        <v>5158</v>
      </c>
      <c r="B155" s="244" t="s">
        <v>163</v>
      </c>
      <c r="C155" s="244" t="s">
        <v>5671</v>
      </c>
      <c r="D155" s="154" t="s">
        <v>542</v>
      </c>
      <c r="E155" s="154"/>
      <c r="F155" s="154" t="str">
        <f t="array" ref="F155">XLOOKUP(Cover!$D$12,$M$1:$AD$1,$M155:$AD155)</f>
        <v>Mandatory</v>
      </c>
      <c r="G155" s="154" t="s">
        <v>5672</v>
      </c>
      <c r="H155" s="154" t="s">
        <v>165</v>
      </c>
      <c r="I155" s="154" t="s">
        <v>479</v>
      </c>
      <c r="J155" s="247" t="s">
        <v>506</v>
      </c>
      <c r="K155" s="247" t="s">
        <v>5673</v>
      </c>
      <c r="L155" s="154" t="str">
        <f t="shared" si="1"/>
        <v/>
      </c>
      <c r="M155" s="154" t="s">
        <v>66</v>
      </c>
      <c r="N155" s="154" t="s">
        <v>66</v>
      </c>
      <c r="O155" s="154" t="s">
        <v>60</v>
      </c>
      <c r="P155" s="154" t="s">
        <v>60</v>
      </c>
      <c r="Q155" s="154" t="s">
        <v>60</v>
      </c>
      <c r="R155" s="154" t="s">
        <v>60</v>
      </c>
      <c r="S155" s="154" t="s">
        <v>68</v>
      </c>
      <c r="T155" s="154" t="s">
        <v>68</v>
      </c>
      <c r="U155" s="154" t="s">
        <v>68</v>
      </c>
      <c r="V155" s="154"/>
      <c r="W155" s="242" t="b">
        <f t="shared" si="2"/>
        <v>1</v>
      </c>
      <c r="X155" s="154" t="s">
        <v>400</v>
      </c>
      <c r="Y155" s="242" t="b">
        <f t="shared" si="3"/>
        <v>0</v>
      </c>
      <c r="Z155" s="154" t="s">
        <v>5674</v>
      </c>
      <c r="AA155" s="242" t="b">
        <f t="shared" si="4"/>
        <v>0</v>
      </c>
      <c r="AB155" s="154"/>
      <c r="AC155" s="242" t="str">
        <f>IF(AB155="","N/A",INDIRECT("MTR!"&amp;ADDRESS(MATCH(LEFT(AB155,9),MTR!C:C,0),COLUMN(J155)),TRUE) &amp; "")</f>
        <v>N/A</v>
      </c>
      <c r="AD155" s="157" t="str">
        <f t="shared" si="5"/>
        <v/>
      </c>
      <c r="AE155" s="152"/>
      <c r="AF155" s="152"/>
      <c r="AG155" s="152"/>
      <c r="AH155" s="152"/>
      <c r="AI155" s="152"/>
      <c r="AJ155" s="152"/>
      <c r="AK155" s="152"/>
      <c r="AL155" s="152"/>
      <c r="AM155" s="152"/>
      <c r="AN155" s="152"/>
      <c r="AO155" s="152"/>
    </row>
    <row r="156" ht="12.75" customHeight="1">
      <c r="A156" s="244" t="s">
        <v>5158</v>
      </c>
      <c r="B156" s="244" t="s">
        <v>163</v>
      </c>
      <c r="C156" s="244" t="s">
        <v>5675</v>
      </c>
      <c r="D156" s="154" t="s">
        <v>739</v>
      </c>
      <c r="E156" s="154"/>
      <c r="F156" s="154" t="str">
        <f t="array" ref="F156">XLOOKUP(Cover!$D$12,$M$1:$AD$1,$M156:$AD156)</f>
        <v>Mandatory</v>
      </c>
      <c r="G156" s="154" t="s">
        <v>5676</v>
      </c>
      <c r="H156" s="154" t="s">
        <v>5468</v>
      </c>
      <c r="I156" s="154" t="s">
        <v>479</v>
      </c>
      <c r="J156" s="247" t="s">
        <v>445</v>
      </c>
      <c r="K156" s="247" t="s">
        <v>5677</v>
      </c>
      <c r="L156" s="154" t="str">
        <f t="shared" si="1"/>
        <v/>
      </c>
      <c r="M156" s="154" t="s">
        <v>66</v>
      </c>
      <c r="N156" s="154" t="s">
        <v>66</v>
      </c>
      <c r="O156" s="154" t="s">
        <v>60</v>
      </c>
      <c r="P156" s="154" t="s">
        <v>60</v>
      </c>
      <c r="Q156" s="154" t="s">
        <v>60</v>
      </c>
      <c r="R156" s="154" t="s">
        <v>60</v>
      </c>
      <c r="S156" s="154" t="s">
        <v>68</v>
      </c>
      <c r="T156" s="154" t="s">
        <v>68</v>
      </c>
      <c r="U156" s="154" t="s">
        <v>68</v>
      </c>
      <c r="V156" s="154"/>
      <c r="W156" s="242" t="b">
        <f t="shared" si="2"/>
        <v>1</v>
      </c>
      <c r="X156" s="154" t="s">
        <v>400</v>
      </c>
      <c r="Y156" s="242" t="b">
        <f t="shared" si="3"/>
        <v>0</v>
      </c>
      <c r="Z156" s="154" t="s">
        <v>5678</v>
      </c>
      <c r="AA156" s="242" t="b">
        <f t="shared" si="4"/>
        <v>0</v>
      </c>
      <c r="AB156" s="154" t="s">
        <v>637</v>
      </c>
      <c r="AC156" s="242" t="str">
        <f>IF(AB156="","N/A",INDIRECT("MTR!"&amp;ADDRESS(MATCH(LEFT(AB156,9),MTR!C:C,0),COLUMN(J156)),TRUE) &amp; "")</f>
        <v>Complies</v>
      </c>
      <c r="AD156" s="157" t="str">
        <f t="shared" si="5"/>
        <v/>
      </c>
      <c r="AE156" s="152"/>
      <c r="AF156" s="152"/>
      <c r="AG156" s="152"/>
      <c r="AH156" s="152"/>
      <c r="AI156" s="152"/>
      <c r="AJ156" s="152"/>
      <c r="AK156" s="152"/>
      <c r="AL156" s="152"/>
      <c r="AM156" s="152"/>
      <c r="AN156" s="152"/>
      <c r="AO156" s="152"/>
    </row>
    <row r="157" ht="12.75" customHeight="1">
      <c r="A157" s="244" t="s">
        <v>5158</v>
      </c>
      <c r="B157" s="244" t="s">
        <v>163</v>
      </c>
      <c r="C157" s="244" t="s">
        <v>5679</v>
      </c>
      <c r="D157" s="154" t="s">
        <v>739</v>
      </c>
      <c r="E157" s="154"/>
      <c r="F157" s="154" t="str">
        <f t="array" ref="F157">XLOOKUP(Cover!$D$12,$M$1:$AD$1,$M157:$AD157)</f>
        <v>Mandatory</v>
      </c>
      <c r="G157" s="154" t="s">
        <v>5680</v>
      </c>
      <c r="H157" s="154" t="s">
        <v>5468</v>
      </c>
      <c r="I157" s="154" t="s">
        <v>479</v>
      </c>
      <c r="J157" s="247" t="s">
        <v>445</v>
      </c>
      <c r="K157" s="247" t="s">
        <v>5681</v>
      </c>
      <c r="L157" s="154" t="str">
        <f t="shared" si="1"/>
        <v/>
      </c>
      <c r="M157" s="154" t="s">
        <v>66</v>
      </c>
      <c r="N157" s="154" t="s">
        <v>66</v>
      </c>
      <c r="O157" s="154" t="s">
        <v>60</v>
      </c>
      <c r="P157" s="154" t="s">
        <v>60</v>
      </c>
      <c r="Q157" s="154" t="s">
        <v>60</v>
      </c>
      <c r="R157" s="154" t="s">
        <v>60</v>
      </c>
      <c r="S157" s="154" t="s">
        <v>68</v>
      </c>
      <c r="T157" s="154" t="s">
        <v>68</v>
      </c>
      <c r="U157" s="154" t="s">
        <v>68</v>
      </c>
      <c r="V157" s="154"/>
      <c r="W157" s="242" t="b">
        <f t="shared" si="2"/>
        <v>1</v>
      </c>
      <c r="X157" s="154" t="s">
        <v>400</v>
      </c>
      <c r="Y157" s="242" t="b">
        <f t="shared" si="3"/>
        <v>0</v>
      </c>
      <c r="Z157" s="154" t="s">
        <v>5682</v>
      </c>
      <c r="AA157" s="242" t="b">
        <f t="shared" si="4"/>
        <v>0</v>
      </c>
      <c r="AB157" s="154" t="s">
        <v>637</v>
      </c>
      <c r="AC157" s="242" t="str">
        <f>IF(AB157="","N/A",INDIRECT("MTR!"&amp;ADDRESS(MATCH(LEFT(AB157,9),MTR!C:C,0),COLUMN(J157)),TRUE) &amp; "")</f>
        <v>Complies</v>
      </c>
      <c r="AD157" s="157" t="str">
        <f t="shared" si="5"/>
        <v/>
      </c>
      <c r="AE157" s="152"/>
      <c r="AF157" s="152"/>
      <c r="AG157" s="152"/>
      <c r="AH157" s="152"/>
      <c r="AI157" s="152"/>
      <c r="AJ157" s="152"/>
      <c r="AK157" s="152"/>
      <c r="AL157" s="152"/>
      <c r="AM157" s="152"/>
      <c r="AN157" s="152"/>
      <c r="AO157" s="152"/>
    </row>
    <row r="158" ht="12.75" customHeight="1">
      <c r="A158" s="244" t="s">
        <v>5158</v>
      </c>
      <c r="B158" s="244" t="s">
        <v>163</v>
      </c>
      <c r="C158" s="244" t="s">
        <v>5683</v>
      </c>
      <c r="D158" s="154" t="s">
        <v>739</v>
      </c>
      <c r="E158" s="154"/>
      <c r="F158" s="154" t="str">
        <f t="array" ref="F158">XLOOKUP(Cover!$D$12,$M$1:$AD$1,$M158:$AD158)</f>
        <v>Mandatory</v>
      </c>
      <c r="G158" s="154" t="s">
        <v>5684</v>
      </c>
      <c r="H158" s="154" t="s">
        <v>5468</v>
      </c>
      <c r="I158" s="154" t="s">
        <v>479</v>
      </c>
      <c r="J158" s="247" t="s">
        <v>445</v>
      </c>
      <c r="K158" s="247" t="s">
        <v>5685</v>
      </c>
      <c r="L158" s="154" t="str">
        <f t="shared" si="1"/>
        <v/>
      </c>
      <c r="M158" s="154" t="s">
        <v>66</v>
      </c>
      <c r="N158" s="154" t="s">
        <v>66</v>
      </c>
      <c r="O158" s="154" t="s">
        <v>60</v>
      </c>
      <c r="P158" s="154" t="s">
        <v>60</v>
      </c>
      <c r="Q158" s="154" t="s">
        <v>60</v>
      </c>
      <c r="R158" s="154" t="s">
        <v>60</v>
      </c>
      <c r="S158" s="154" t="s">
        <v>68</v>
      </c>
      <c r="T158" s="154" t="s">
        <v>68</v>
      </c>
      <c r="U158" s="154" t="s">
        <v>68</v>
      </c>
      <c r="V158" s="154"/>
      <c r="W158" s="242" t="b">
        <f t="shared" si="2"/>
        <v>1</v>
      </c>
      <c r="X158" s="154" t="s">
        <v>400</v>
      </c>
      <c r="Y158" s="242" t="b">
        <f t="shared" si="3"/>
        <v>0</v>
      </c>
      <c r="Z158" s="154" t="s">
        <v>5686</v>
      </c>
      <c r="AA158" s="242" t="b">
        <f t="shared" si="4"/>
        <v>0</v>
      </c>
      <c r="AB158" s="154" t="s">
        <v>637</v>
      </c>
      <c r="AC158" s="242" t="str">
        <f>IF(AB158="","N/A",INDIRECT("MTR!"&amp;ADDRESS(MATCH(LEFT(AB158,9),MTR!C:C,0),COLUMN(J158)),TRUE) &amp; "")</f>
        <v>Complies</v>
      </c>
      <c r="AD158" s="157" t="str">
        <f t="shared" si="5"/>
        <v/>
      </c>
      <c r="AE158" s="152"/>
      <c r="AF158" s="152"/>
      <c r="AG158" s="152"/>
      <c r="AH158" s="152"/>
      <c r="AI158" s="152"/>
      <c r="AJ158" s="152"/>
      <c r="AK158" s="152"/>
      <c r="AL158" s="152"/>
      <c r="AM158" s="152"/>
      <c r="AN158" s="152"/>
      <c r="AO158" s="152"/>
    </row>
    <row r="159" ht="12.75" customHeight="1">
      <c r="A159" s="244" t="s">
        <v>5158</v>
      </c>
      <c r="B159" s="244" t="s">
        <v>163</v>
      </c>
      <c r="C159" s="244" t="s">
        <v>5687</v>
      </c>
      <c r="D159" s="154" t="s">
        <v>1773</v>
      </c>
      <c r="E159" s="154"/>
      <c r="F159" s="154" t="str">
        <f t="array" ref="F159">XLOOKUP(Cover!$D$12,$M$1:$AD$1,$M159:$AD159)</f>
        <v>Mandatory</v>
      </c>
      <c r="G159" s="154" t="s">
        <v>5688</v>
      </c>
      <c r="H159" s="154" t="s">
        <v>5468</v>
      </c>
      <c r="I159" s="154" t="s">
        <v>479</v>
      </c>
      <c r="J159" s="247" t="s">
        <v>445</v>
      </c>
      <c r="K159" s="247" t="s">
        <v>5689</v>
      </c>
      <c r="L159" s="154" t="str">
        <f t="shared" si="1"/>
        <v/>
      </c>
      <c r="M159" s="154" t="s">
        <v>66</v>
      </c>
      <c r="N159" s="154" t="s">
        <v>66</v>
      </c>
      <c r="O159" s="154" t="s">
        <v>60</v>
      </c>
      <c r="P159" s="154" t="s">
        <v>60</v>
      </c>
      <c r="Q159" s="154" t="s">
        <v>60</v>
      </c>
      <c r="R159" s="154" t="s">
        <v>60</v>
      </c>
      <c r="S159" s="154" t="s">
        <v>68</v>
      </c>
      <c r="T159" s="154" t="s">
        <v>68</v>
      </c>
      <c r="U159" s="154" t="s">
        <v>68</v>
      </c>
      <c r="V159" s="154"/>
      <c r="W159" s="242" t="b">
        <f t="shared" si="2"/>
        <v>1</v>
      </c>
      <c r="X159" s="154" t="s">
        <v>400</v>
      </c>
      <c r="Y159" s="242" t="b">
        <f t="shared" si="3"/>
        <v>0</v>
      </c>
      <c r="Z159" s="154" t="s">
        <v>5690</v>
      </c>
      <c r="AA159" s="242" t="b">
        <f t="shared" si="4"/>
        <v>0</v>
      </c>
      <c r="AB159" s="154" t="s">
        <v>637</v>
      </c>
      <c r="AC159" s="242" t="str">
        <f>IF(AB159="","N/A",INDIRECT("MTR!"&amp;ADDRESS(MATCH(LEFT(AB159,9),MTR!C:C,0),COLUMN(J159)),TRUE) &amp; "")</f>
        <v>Complies</v>
      </c>
      <c r="AD159" s="157" t="str">
        <f t="shared" si="5"/>
        <v/>
      </c>
      <c r="AE159" s="152"/>
      <c r="AF159" s="152"/>
      <c r="AG159" s="152"/>
      <c r="AH159" s="152"/>
      <c r="AI159" s="152"/>
      <c r="AJ159" s="152"/>
      <c r="AK159" s="152"/>
      <c r="AL159" s="152"/>
      <c r="AM159" s="152"/>
      <c r="AN159" s="152"/>
      <c r="AO159" s="152"/>
    </row>
    <row r="160" ht="12.75" customHeight="1">
      <c r="A160" s="244" t="s">
        <v>5158</v>
      </c>
      <c r="B160" s="244" t="s">
        <v>163</v>
      </c>
      <c r="C160" s="244" t="s">
        <v>5691</v>
      </c>
      <c r="D160" s="154" t="s">
        <v>1773</v>
      </c>
      <c r="E160" s="154"/>
      <c r="F160" s="154" t="str">
        <f t="array" ref="F160">XLOOKUP(Cover!$D$12,$M$1:$AD$1,$M160:$AD160)</f>
        <v>Mandatory</v>
      </c>
      <c r="G160" s="154" t="s">
        <v>5692</v>
      </c>
      <c r="H160" s="154" t="s">
        <v>5468</v>
      </c>
      <c r="I160" s="154" t="s">
        <v>479</v>
      </c>
      <c r="J160" s="247" t="s">
        <v>445</v>
      </c>
      <c r="K160" s="247" t="s">
        <v>5693</v>
      </c>
      <c r="L160" s="154" t="str">
        <f t="shared" si="1"/>
        <v/>
      </c>
      <c r="M160" s="154" t="s">
        <v>66</v>
      </c>
      <c r="N160" s="154" t="s">
        <v>66</v>
      </c>
      <c r="O160" s="154" t="s">
        <v>60</v>
      </c>
      <c r="P160" s="154" t="s">
        <v>60</v>
      </c>
      <c r="Q160" s="154" t="s">
        <v>60</v>
      </c>
      <c r="R160" s="154" t="s">
        <v>60</v>
      </c>
      <c r="S160" s="154" t="s">
        <v>68</v>
      </c>
      <c r="T160" s="154" t="s">
        <v>68</v>
      </c>
      <c r="U160" s="154" t="s">
        <v>68</v>
      </c>
      <c r="V160" s="154"/>
      <c r="W160" s="242" t="b">
        <f t="shared" si="2"/>
        <v>1</v>
      </c>
      <c r="X160" s="154" t="s">
        <v>400</v>
      </c>
      <c r="Y160" s="242" t="b">
        <f t="shared" si="3"/>
        <v>0</v>
      </c>
      <c r="Z160" s="154" t="s">
        <v>5694</v>
      </c>
      <c r="AA160" s="242" t="b">
        <f t="shared" si="4"/>
        <v>0</v>
      </c>
      <c r="AB160" s="154" t="s">
        <v>637</v>
      </c>
      <c r="AC160" s="242" t="str">
        <f>IF(AB160="","N/A",INDIRECT("MTR!"&amp;ADDRESS(MATCH(LEFT(AB160,9),MTR!C:C,0),COLUMN(J160)),TRUE) &amp; "")</f>
        <v>Complies</v>
      </c>
      <c r="AD160" s="157" t="str">
        <f t="shared" si="5"/>
        <v/>
      </c>
      <c r="AE160" s="152"/>
      <c r="AF160" s="152"/>
      <c r="AG160" s="152"/>
      <c r="AH160" s="152"/>
      <c r="AI160" s="152"/>
      <c r="AJ160" s="152"/>
      <c r="AK160" s="152"/>
      <c r="AL160" s="152"/>
      <c r="AM160" s="152"/>
      <c r="AN160" s="152"/>
      <c r="AO160" s="152"/>
    </row>
    <row r="161" ht="12.75" customHeight="1">
      <c r="A161" s="244" t="s">
        <v>5158</v>
      </c>
      <c r="B161" s="244" t="s">
        <v>163</v>
      </c>
      <c r="C161" s="244" t="s">
        <v>5695</v>
      </c>
      <c r="D161" s="154" t="s">
        <v>739</v>
      </c>
      <c r="E161" s="154"/>
      <c r="F161" s="154" t="str">
        <f t="array" ref="F161">XLOOKUP(Cover!$D$12,$M$1:$AD$1,$M161:$AD161)</f>
        <v>Mandatory</v>
      </c>
      <c r="G161" s="154" t="s">
        <v>5696</v>
      </c>
      <c r="H161" s="154" t="s">
        <v>5468</v>
      </c>
      <c r="I161" s="154" t="s">
        <v>479</v>
      </c>
      <c r="J161" s="247" t="s">
        <v>445</v>
      </c>
      <c r="K161" s="247" t="s">
        <v>5697</v>
      </c>
      <c r="L161" s="154" t="str">
        <f t="shared" si="1"/>
        <v/>
      </c>
      <c r="M161" s="154" t="s">
        <v>66</v>
      </c>
      <c r="N161" s="154" t="s">
        <v>66</v>
      </c>
      <c r="O161" s="154" t="s">
        <v>60</v>
      </c>
      <c r="P161" s="154" t="s">
        <v>60</v>
      </c>
      <c r="Q161" s="154" t="s">
        <v>60</v>
      </c>
      <c r="R161" s="154" t="s">
        <v>60</v>
      </c>
      <c r="S161" s="154" t="s">
        <v>68</v>
      </c>
      <c r="T161" s="154" t="s">
        <v>68</v>
      </c>
      <c r="U161" s="154" t="s">
        <v>68</v>
      </c>
      <c r="V161" s="154"/>
      <c r="W161" s="242" t="b">
        <f t="shared" si="2"/>
        <v>1</v>
      </c>
      <c r="X161" s="154" t="s">
        <v>400</v>
      </c>
      <c r="Y161" s="242" t="b">
        <f t="shared" si="3"/>
        <v>0</v>
      </c>
      <c r="Z161" s="154" t="s">
        <v>5698</v>
      </c>
      <c r="AA161" s="242" t="b">
        <f t="shared" si="4"/>
        <v>0</v>
      </c>
      <c r="AB161" s="154" t="s">
        <v>637</v>
      </c>
      <c r="AC161" s="242" t="str">
        <f>IF(AB161="","N/A",INDIRECT("MTR!"&amp;ADDRESS(MATCH(LEFT(AB161,9),MTR!C:C,0),COLUMN(J161)),TRUE) &amp; "")</f>
        <v>Complies</v>
      </c>
      <c r="AD161" s="157" t="str">
        <f t="shared" si="5"/>
        <v/>
      </c>
      <c r="AE161" s="152"/>
      <c r="AF161" s="152"/>
      <c r="AG161" s="152"/>
      <c r="AH161" s="152"/>
      <c r="AI161" s="152"/>
      <c r="AJ161" s="152"/>
      <c r="AK161" s="152"/>
      <c r="AL161" s="152"/>
      <c r="AM161" s="152"/>
      <c r="AN161" s="152"/>
      <c r="AO161" s="152"/>
    </row>
    <row r="162" ht="12.75" customHeight="1">
      <c r="A162" s="244" t="s">
        <v>5158</v>
      </c>
      <c r="B162" s="244" t="s">
        <v>163</v>
      </c>
      <c r="C162" s="244" t="s">
        <v>5699</v>
      </c>
      <c r="D162" s="154" t="s">
        <v>1069</v>
      </c>
      <c r="E162" s="154"/>
      <c r="F162" s="154" t="str">
        <f t="array" ref="F162">XLOOKUP(Cover!$D$12,$M$1:$AD$1,$M162:$AD162)</f>
        <v>Mandatory</v>
      </c>
      <c r="G162" s="154" t="s">
        <v>5700</v>
      </c>
      <c r="H162" s="154" t="s">
        <v>5468</v>
      </c>
      <c r="I162" s="154" t="s">
        <v>479</v>
      </c>
      <c r="J162" s="154"/>
      <c r="K162" s="247" t="s">
        <v>5701</v>
      </c>
      <c r="L162" s="154" t="str">
        <f t="shared" si="1"/>
        <v>Compliance Statement missing!</v>
      </c>
      <c r="M162" s="154" t="s">
        <v>66</v>
      </c>
      <c r="N162" s="154" t="s">
        <v>66</v>
      </c>
      <c r="O162" s="154" t="s">
        <v>66</v>
      </c>
      <c r="P162" s="154" t="s">
        <v>66</v>
      </c>
      <c r="Q162" s="154" t="s">
        <v>60</v>
      </c>
      <c r="R162" s="154" t="s">
        <v>60</v>
      </c>
      <c r="S162" s="154" t="s">
        <v>68</v>
      </c>
      <c r="T162" s="154" t="s">
        <v>68</v>
      </c>
      <c r="U162" s="154" t="s">
        <v>68</v>
      </c>
      <c r="V162" s="154"/>
      <c r="W162" s="242" t="b">
        <f t="shared" si="2"/>
        <v>0</v>
      </c>
      <c r="X162" s="154" t="s">
        <v>400</v>
      </c>
      <c r="Y162" s="242" t="b">
        <f t="shared" si="3"/>
        <v>0</v>
      </c>
      <c r="Z162" s="154" t="s">
        <v>5702</v>
      </c>
      <c r="AA162" s="242" t="b">
        <f t="shared" si="4"/>
        <v>1</v>
      </c>
      <c r="AB162" s="154" t="s">
        <v>637</v>
      </c>
      <c r="AC162" s="242" t="str">
        <f>IF(AB162="","N/A",INDIRECT("MTR!"&amp;ADDRESS(MATCH(LEFT(AB162,9),MTR!C:C,0),COLUMN(J162)),TRUE) &amp; "")</f>
        <v>Complies</v>
      </c>
      <c r="AD162" s="157" t="str">
        <f t="shared" si="5"/>
        <v>Compliance Statement missing!</v>
      </c>
      <c r="AE162" s="152"/>
      <c r="AF162" s="152"/>
      <c r="AG162" s="152"/>
      <c r="AH162" s="152"/>
      <c r="AI162" s="152"/>
      <c r="AJ162" s="152"/>
      <c r="AK162" s="152"/>
      <c r="AL162" s="152"/>
      <c r="AM162" s="152"/>
      <c r="AN162" s="152"/>
      <c r="AO162" s="152"/>
    </row>
    <row r="163" ht="12.75" customHeight="1">
      <c r="A163" s="244" t="s">
        <v>5158</v>
      </c>
      <c r="B163" s="244" t="s">
        <v>163</v>
      </c>
      <c r="C163" s="244" t="s">
        <v>5703</v>
      </c>
      <c r="D163" s="154" t="s">
        <v>739</v>
      </c>
      <c r="E163" s="154"/>
      <c r="F163" s="154" t="str">
        <f t="array" ref="F163">XLOOKUP(Cover!$D$12,$M$1:$AD$1,$M163:$AD163)</f>
        <v>Mandatory</v>
      </c>
      <c r="G163" s="154" t="s">
        <v>5704</v>
      </c>
      <c r="H163" s="154" t="s">
        <v>5468</v>
      </c>
      <c r="I163" s="154" t="s">
        <v>479</v>
      </c>
      <c r="J163" s="247" t="s">
        <v>445</v>
      </c>
      <c r="K163" s="247" t="s">
        <v>5705</v>
      </c>
      <c r="L163" s="154" t="str">
        <f t="shared" si="1"/>
        <v/>
      </c>
      <c r="M163" s="154" t="s">
        <v>66</v>
      </c>
      <c r="N163" s="154" t="s">
        <v>66</v>
      </c>
      <c r="O163" s="154" t="s">
        <v>60</v>
      </c>
      <c r="P163" s="154" t="s">
        <v>60</v>
      </c>
      <c r="Q163" s="154" t="s">
        <v>60</v>
      </c>
      <c r="R163" s="154" t="s">
        <v>60</v>
      </c>
      <c r="S163" s="154" t="s">
        <v>68</v>
      </c>
      <c r="T163" s="154" t="s">
        <v>68</v>
      </c>
      <c r="U163" s="154" t="s">
        <v>68</v>
      </c>
      <c r="V163" s="154"/>
      <c r="W163" s="242" t="b">
        <f t="shared" si="2"/>
        <v>1</v>
      </c>
      <c r="X163" s="154" t="s">
        <v>400</v>
      </c>
      <c r="Y163" s="242" t="b">
        <f t="shared" si="3"/>
        <v>0</v>
      </c>
      <c r="Z163" s="154" t="s">
        <v>5706</v>
      </c>
      <c r="AA163" s="242" t="b">
        <f t="shared" si="4"/>
        <v>0</v>
      </c>
      <c r="AB163" s="154" t="s">
        <v>637</v>
      </c>
      <c r="AC163" s="242" t="str">
        <f>IF(AB163="","N/A",INDIRECT("MTR!"&amp;ADDRESS(MATCH(LEFT(AB163,9),MTR!C:C,0),COLUMN(J163)),TRUE) &amp; "")</f>
        <v>Complies</v>
      </c>
      <c r="AD163" s="157" t="str">
        <f t="shared" si="5"/>
        <v/>
      </c>
      <c r="AE163" s="152"/>
      <c r="AF163" s="152"/>
      <c r="AG163" s="152"/>
      <c r="AH163" s="152"/>
      <c r="AI163" s="152"/>
      <c r="AJ163" s="152"/>
      <c r="AK163" s="152"/>
      <c r="AL163" s="152"/>
      <c r="AM163" s="152"/>
      <c r="AN163" s="152"/>
      <c r="AO163" s="152"/>
    </row>
    <row r="164" ht="12.75" customHeight="1">
      <c r="A164" s="244" t="s">
        <v>5158</v>
      </c>
      <c r="B164" s="244" t="s">
        <v>163</v>
      </c>
      <c r="C164" s="244" t="s">
        <v>5707</v>
      </c>
      <c r="D164" s="154" t="s">
        <v>739</v>
      </c>
      <c r="E164" s="154"/>
      <c r="F164" s="154" t="str">
        <f t="array" ref="F164">XLOOKUP(Cover!$D$12,$M$1:$AD$1,$M164:$AD164)</f>
        <v>Mandatory</v>
      </c>
      <c r="G164" s="154" t="s">
        <v>5708</v>
      </c>
      <c r="H164" s="154" t="s">
        <v>5468</v>
      </c>
      <c r="I164" s="154" t="s">
        <v>479</v>
      </c>
      <c r="J164" s="247" t="s">
        <v>445</v>
      </c>
      <c r="K164" s="247" t="s">
        <v>5709</v>
      </c>
      <c r="L164" s="154" t="str">
        <f t="shared" si="1"/>
        <v/>
      </c>
      <c r="M164" s="154" t="s">
        <v>66</v>
      </c>
      <c r="N164" s="154" t="s">
        <v>66</v>
      </c>
      <c r="O164" s="154" t="s">
        <v>60</v>
      </c>
      <c r="P164" s="154" t="s">
        <v>60</v>
      </c>
      <c r="Q164" s="154" t="s">
        <v>60</v>
      </c>
      <c r="R164" s="154" t="s">
        <v>60</v>
      </c>
      <c r="S164" s="154" t="s">
        <v>68</v>
      </c>
      <c r="T164" s="154" t="s">
        <v>68</v>
      </c>
      <c r="U164" s="154" t="s">
        <v>68</v>
      </c>
      <c r="V164" s="154"/>
      <c r="W164" s="242" t="b">
        <f t="shared" si="2"/>
        <v>1</v>
      </c>
      <c r="X164" s="154" t="s">
        <v>400</v>
      </c>
      <c r="Y164" s="242" t="b">
        <f t="shared" si="3"/>
        <v>0</v>
      </c>
      <c r="Z164" s="154" t="s">
        <v>5710</v>
      </c>
      <c r="AA164" s="242" t="b">
        <f t="shared" si="4"/>
        <v>0</v>
      </c>
      <c r="AB164" s="154" t="s">
        <v>637</v>
      </c>
      <c r="AC164" s="242" t="str">
        <f>IF(AB164="","N/A",INDIRECT("MTR!"&amp;ADDRESS(MATCH(LEFT(AB164,9),MTR!C:C,0),COLUMN(J164)),TRUE) &amp; "")</f>
        <v>Complies</v>
      </c>
      <c r="AD164" s="157" t="str">
        <f t="shared" si="5"/>
        <v/>
      </c>
      <c r="AE164" s="152"/>
      <c r="AF164" s="152"/>
      <c r="AG164" s="152"/>
      <c r="AH164" s="152"/>
      <c r="AI164" s="152"/>
      <c r="AJ164" s="152"/>
      <c r="AK164" s="152"/>
      <c r="AL164" s="152"/>
      <c r="AM164" s="152"/>
      <c r="AN164" s="152"/>
      <c r="AO164" s="152"/>
    </row>
    <row r="165" ht="12.75" customHeight="1">
      <c r="A165" s="238" t="s">
        <v>5158</v>
      </c>
      <c r="B165" s="238" t="s">
        <v>163</v>
      </c>
      <c r="C165" s="238" t="s">
        <v>5711</v>
      </c>
      <c r="D165" s="240"/>
      <c r="E165" s="240" t="s">
        <v>92</v>
      </c>
      <c r="F165" s="240" t="str">
        <f t="array" ref="F165">XLOOKUP(Cover!$D$12,$M$1:$AD$1,$M165:$AD165)</f>
        <v>Heading</v>
      </c>
      <c r="G165" s="239" t="s">
        <v>5712</v>
      </c>
      <c r="H165" s="240"/>
      <c r="I165" s="240" t="s">
        <v>414</v>
      </c>
      <c r="J165" s="240"/>
      <c r="K165" s="240"/>
      <c r="L165" s="240" t="str">
        <f t="shared" si="1"/>
        <v/>
      </c>
      <c r="M165" s="240" t="s">
        <v>390</v>
      </c>
      <c r="N165" s="240" t="s">
        <v>390</v>
      </c>
      <c r="O165" s="240" t="s">
        <v>390</v>
      </c>
      <c r="P165" s="240" t="s">
        <v>390</v>
      </c>
      <c r="Q165" s="240" t="s">
        <v>390</v>
      </c>
      <c r="R165" s="240" t="s">
        <v>390</v>
      </c>
      <c r="S165" s="240" t="s">
        <v>390</v>
      </c>
      <c r="T165" s="240" t="s">
        <v>390</v>
      </c>
      <c r="U165" s="240" t="s">
        <v>390</v>
      </c>
      <c r="V165" s="240"/>
      <c r="W165" s="242" t="b">
        <f t="shared" si="2"/>
        <v>0</v>
      </c>
      <c r="X165" s="240" t="s">
        <v>391</v>
      </c>
      <c r="Y165" s="242" t="b">
        <f t="shared" si="3"/>
        <v>0</v>
      </c>
      <c r="Z165" s="240"/>
      <c r="AA165" s="242" t="b">
        <f t="shared" si="4"/>
        <v>0</v>
      </c>
      <c r="AB165" s="240"/>
      <c r="AC165" s="242" t="str">
        <f>IF(AB165="","N/A",INDIRECT("MTR!"&amp;ADDRESS(MATCH(LEFT(AB165,9),MTR!C:C,0),COLUMN(J165)),TRUE) &amp; "")</f>
        <v>N/A</v>
      </c>
      <c r="AD165" s="157" t="str">
        <f t="shared" si="5"/>
        <v/>
      </c>
      <c r="AE165" s="152"/>
      <c r="AF165" s="152"/>
      <c r="AG165" s="152"/>
      <c r="AH165" s="152"/>
      <c r="AI165" s="152"/>
      <c r="AJ165" s="152"/>
      <c r="AK165" s="152"/>
      <c r="AL165" s="152"/>
      <c r="AM165" s="152"/>
      <c r="AN165" s="152"/>
      <c r="AO165" s="152"/>
    </row>
    <row r="166" ht="12.75" customHeight="1">
      <c r="A166" s="244" t="s">
        <v>5158</v>
      </c>
      <c r="B166" s="244" t="s">
        <v>163</v>
      </c>
      <c r="C166" s="244" t="s">
        <v>5713</v>
      </c>
      <c r="D166" s="154" t="s">
        <v>739</v>
      </c>
      <c r="E166" s="154"/>
      <c r="F166" s="154" t="str">
        <f t="array" ref="F166">XLOOKUP(Cover!$D$12,$M$1:$AD$1,$M166:$AD166)</f>
        <v>Mandatory</v>
      </c>
      <c r="G166" s="154" t="s">
        <v>5714</v>
      </c>
      <c r="H166" s="154" t="s">
        <v>232</v>
      </c>
      <c r="I166" s="154" t="s">
        <v>486</v>
      </c>
      <c r="J166" s="154"/>
      <c r="K166" s="154"/>
      <c r="L166" s="154" t="str">
        <f t="shared" si="1"/>
        <v>Compliance Statement missing!</v>
      </c>
      <c r="M166" s="154" t="s">
        <v>66</v>
      </c>
      <c r="N166" s="154" t="s">
        <v>66</v>
      </c>
      <c r="O166" s="154" t="s">
        <v>60</v>
      </c>
      <c r="P166" s="154" t="s">
        <v>60</v>
      </c>
      <c r="Q166" s="154" t="s">
        <v>60</v>
      </c>
      <c r="R166" s="154" t="s">
        <v>60</v>
      </c>
      <c r="S166" s="154" t="s">
        <v>66</v>
      </c>
      <c r="T166" s="154" t="s">
        <v>60</v>
      </c>
      <c r="U166" s="154" t="s">
        <v>60</v>
      </c>
      <c r="V166" s="154"/>
      <c r="W166" s="242" t="b">
        <f t="shared" si="2"/>
        <v>0</v>
      </c>
      <c r="X166" s="154" t="s">
        <v>391</v>
      </c>
      <c r="Y166" s="242" t="b">
        <f t="shared" si="3"/>
        <v>0</v>
      </c>
      <c r="Z166" s="154"/>
      <c r="AA166" s="242" t="b">
        <f t="shared" si="4"/>
        <v>0</v>
      </c>
      <c r="AB166" s="154"/>
      <c r="AC166" s="242" t="str">
        <f>IF(AB166="","N/A",INDIRECT("MTR!"&amp;ADDRESS(MATCH(LEFT(AB166,9),MTR!C:C,0),COLUMN(J166)),TRUE) &amp; "")</f>
        <v>N/A</v>
      </c>
      <c r="AD166" s="157" t="str">
        <f t="shared" si="5"/>
        <v>Compliance Statement missing!</v>
      </c>
      <c r="AE166" s="152"/>
      <c r="AF166" s="152"/>
      <c r="AG166" s="152"/>
      <c r="AH166" s="152"/>
      <c r="AI166" s="152"/>
      <c r="AJ166" s="152"/>
      <c r="AK166" s="152"/>
      <c r="AL166" s="152"/>
      <c r="AM166" s="152"/>
      <c r="AN166" s="152"/>
      <c r="AO166" s="152"/>
    </row>
    <row r="167" ht="12.75" customHeight="1">
      <c r="A167" s="244" t="s">
        <v>5158</v>
      </c>
      <c r="B167" s="244" t="s">
        <v>163</v>
      </c>
      <c r="C167" s="244" t="s">
        <v>5715</v>
      </c>
      <c r="D167" s="154" t="s">
        <v>2337</v>
      </c>
      <c r="E167" s="154"/>
      <c r="F167" s="154" t="str">
        <f t="array" ref="F167">XLOOKUP(Cover!$D$12,$M$1:$AD$1,$M167:$AD167)</f>
        <v>Mandatory</v>
      </c>
      <c r="G167" s="154" t="s">
        <v>5716</v>
      </c>
      <c r="H167" s="154" t="s">
        <v>5268</v>
      </c>
      <c r="I167" s="154" t="s">
        <v>414</v>
      </c>
      <c r="J167" s="154"/>
      <c r="K167" s="154"/>
      <c r="L167" s="154" t="str">
        <f t="shared" si="1"/>
        <v>Compliance Statement missing!</v>
      </c>
      <c r="M167" s="154" t="s">
        <v>60</v>
      </c>
      <c r="N167" s="154" t="s">
        <v>60</v>
      </c>
      <c r="O167" s="154" t="s">
        <v>60</v>
      </c>
      <c r="P167" s="154" t="s">
        <v>60</v>
      </c>
      <c r="Q167" s="154" t="s">
        <v>60</v>
      </c>
      <c r="R167" s="154" t="s">
        <v>60</v>
      </c>
      <c r="S167" s="154" t="s">
        <v>60</v>
      </c>
      <c r="T167" s="154" t="s">
        <v>60</v>
      </c>
      <c r="U167" s="154" t="s">
        <v>60</v>
      </c>
      <c r="V167" s="154"/>
      <c r="W167" s="242" t="b">
        <f t="shared" si="2"/>
        <v>0</v>
      </c>
      <c r="X167" s="154" t="s">
        <v>391</v>
      </c>
      <c r="Y167" s="242" t="b">
        <f t="shared" si="3"/>
        <v>0</v>
      </c>
      <c r="Z167" s="154"/>
      <c r="AA167" s="242" t="b">
        <f t="shared" si="4"/>
        <v>0</v>
      </c>
      <c r="AB167" s="154"/>
      <c r="AC167" s="242" t="str">
        <f>IF(AB167="","N/A",INDIRECT("MTR!"&amp;ADDRESS(MATCH(LEFT(AB167,9),MTR!C:C,0),COLUMN(J167)),TRUE) &amp; "")</f>
        <v>N/A</v>
      </c>
      <c r="AD167" s="157" t="str">
        <f t="shared" si="5"/>
        <v>Compliance Statement missing!</v>
      </c>
      <c r="AE167" s="152"/>
      <c r="AF167" s="152"/>
      <c r="AG167" s="152"/>
      <c r="AH167" s="152"/>
      <c r="AI167" s="152"/>
      <c r="AJ167" s="152"/>
      <c r="AK167" s="152"/>
      <c r="AL167" s="152"/>
      <c r="AM167" s="152"/>
      <c r="AN167" s="152"/>
      <c r="AO167" s="152"/>
    </row>
    <row r="168" ht="12.75" customHeight="1">
      <c r="A168" s="244" t="s">
        <v>5158</v>
      </c>
      <c r="B168" s="244" t="s">
        <v>163</v>
      </c>
      <c r="C168" s="244" t="s">
        <v>5717</v>
      </c>
      <c r="D168" s="154" t="s">
        <v>477</v>
      </c>
      <c r="E168" s="154"/>
      <c r="F168" s="154" t="str">
        <f t="array" ref="F168">XLOOKUP(Cover!$D$12,$M$1:$AD$1,$M168:$AD168)</f>
        <v>Mandatory</v>
      </c>
      <c r="G168" s="154" t="s">
        <v>5718</v>
      </c>
      <c r="H168" s="154" t="s">
        <v>5435</v>
      </c>
      <c r="I168" s="154" t="s">
        <v>479</v>
      </c>
      <c r="J168" s="154"/>
      <c r="K168" s="154"/>
      <c r="L168" s="154" t="str">
        <f t="shared" si="1"/>
        <v>Compliance Statement missing!</v>
      </c>
      <c r="M168" s="154" t="s">
        <v>60</v>
      </c>
      <c r="N168" s="154" t="s">
        <v>60</v>
      </c>
      <c r="O168" s="154" t="s">
        <v>60</v>
      </c>
      <c r="P168" s="154" t="s">
        <v>60</v>
      </c>
      <c r="Q168" s="154" t="s">
        <v>60</v>
      </c>
      <c r="R168" s="154" t="s">
        <v>60</v>
      </c>
      <c r="S168" s="154" t="s">
        <v>68</v>
      </c>
      <c r="T168" s="154" t="s">
        <v>68</v>
      </c>
      <c r="U168" s="154" t="s">
        <v>68</v>
      </c>
      <c r="V168" s="154"/>
      <c r="W168" s="242" t="b">
        <f t="shared" si="2"/>
        <v>0</v>
      </c>
      <c r="X168" s="154" t="s">
        <v>391</v>
      </c>
      <c r="Y168" s="242" t="b">
        <f t="shared" si="3"/>
        <v>0</v>
      </c>
      <c r="Z168" s="154"/>
      <c r="AA168" s="242" t="b">
        <f t="shared" si="4"/>
        <v>0</v>
      </c>
      <c r="AB168" s="154"/>
      <c r="AC168" s="242" t="str">
        <f>IF(AB168="","N/A",INDIRECT("MTR!"&amp;ADDRESS(MATCH(LEFT(AB168,9),MTR!C:C,0),COLUMN(J168)),TRUE) &amp; "")</f>
        <v>N/A</v>
      </c>
      <c r="AD168" s="157" t="str">
        <f t="shared" si="5"/>
        <v>Compliance Statement missing!</v>
      </c>
      <c r="AE168" s="152"/>
      <c r="AF168" s="152"/>
      <c r="AG168" s="152"/>
      <c r="AH168" s="152"/>
      <c r="AI168" s="152"/>
      <c r="AJ168" s="152"/>
      <c r="AK168" s="152"/>
      <c r="AL168" s="152"/>
      <c r="AM168" s="152"/>
      <c r="AN168" s="152"/>
      <c r="AO168" s="152"/>
    </row>
    <row r="169" ht="12.75" customHeight="1">
      <c r="A169" s="244" t="s">
        <v>5158</v>
      </c>
      <c r="B169" s="244" t="s">
        <v>163</v>
      </c>
      <c r="C169" s="244" t="s">
        <v>5719</v>
      </c>
      <c r="D169" s="154" t="s">
        <v>739</v>
      </c>
      <c r="E169" s="154"/>
      <c r="F169" s="154" t="str">
        <f t="array" ref="F169">XLOOKUP(Cover!$D$12,$M$1:$AD$1,$M169:$AD169)</f>
        <v>Mandatory</v>
      </c>
      <c r="G169" s="154" t="s">
        <v>5720</v>
      </c>
      <c r="H169" s="154" t="s">
        <v>5435</v>
      </c>
      <c r="I169" s="154" t="s">
        <v>479</v>
      </c>
      <c r="J169" s="154"/>
      <c r="K169" s="154"/>
      <c r="L169" s="154" t="str">
        <f t="shared" si="1"/>
        <v>Compliance Statement missing!</v>
      </c>
      <c r="M169" s="154" t="s">
        <v>66</v>
      </c>
      <c r="N169" s="154" t="s">
        <v>66</v>
      </c>
      <c r="O169" s="154" t="s">
        <v>60</v>
      </c>
      <c r="P169" s="154" t="s">
        <v>60</v>
      </c>
      <c r="Q169" s="154" t="s">
        <v>60</v>
      </c>
      <c r="R169" s="154" t="s">
        <v>60</v>
      </c>
      <c r="S169" s="154" t="s">
        <v>68</v>
      </c>
      <c r="T169" s="154" t="s">
        <v>68</v>
      </c>
      <c r="U169" s="154" t="s">
        <v>68</v>
      </c>
      <c r="V169" s="154"/>
      <c r="W169" s="242" t="b">
        <f t="shared" si="2"/>
        <v>0</v>
      </c>
      <c r="X169" s="154" t="s">
        <v>391</v>
      </c>
      <c r="Y169" s="242" t="b">
        <f t="shared" si="3"/>
        <v>0</v>
      </c>
      <c r="Z169" s="154"/>
      <c r="AA169" s="242" t="b">
        <f t="shared" si="4"/>
        <v>0</v>
      </c>
      <c r="AB169" s="154"/>
      <c r="AC169" s="242" t="str">
        <f>IF(AB169="","N/A",INDIRECT("MTR!"&amp;ADDRESS(MATCH(LEFT(AB169,9),MTR!C:C,0),COLUMN(J169)),TRUE) &amp; "")</f>
        <v>N/A</v>
      </c>
      <c r="AD169" s="157" t="str">
        <f t="shared" si="5"/>
        <v>Compliance Statement missing!</v>
      </c>
      <c r="AE169" s="152"/>
      <c r="AF169" s="152"/>
      <c r="AG169" s="152"/>
      <c r="AH169" s="152"/>
      <c r="AI169" s="152"/>
      <c r="AJ169" s="152"/>
      <c r="AK169" s="152"/>
      <c r="AL169" s="152"/>
      <c r="AM169" s="152"/>
      <c r="AN169" s="152"/>
      <c r="AO169" s="152"/>
    </row>
    <row r="170" ht="12.75" customHeight="1">
      <c r="A170" s="288"/>
      <c r="B170" s="288"/>
      <c r="C170" s="288"/>
      <c r="D170" s="152"/>
      <c r="E170" s="289"/>
      <c r="F170" s="288"/>
      <c r="G170" s="152"/>
      <c r="H170" s="289"/>
      <c r="I170" s="289"/>
      <c r="J170" s="152"/>
      <c r="K170" s="152"/>
      <c r="L170" s="156"/>
      <c r="M170" s="152"/>
      <c r="N170" s="152"/>
      <c r="O170" s="152"/>
      <c r="P170" s="152"/>
      <c r="Q170" s="152"/>
      <c r="R170" s="152"/>
      <c r="S170" s="152"/>
      <c r="T170" s="152"/>
      <c r="U170" s="152"/>
      <c r="V170" s="152"/>
      <c r="W170" s="281"/>
      <c r="X170" s="281"/>
      <c r="Y170" s="281"/>
      <c r="Z170" s="281"/>
      <c r="AA170" s="281"/>
      <c r="AB170" s="281"/>
      <c r="AC170" s="281"/>
      <c r="AD170" s="170"/>
      <c r="AE170" s="152"/>
      <c r="AF170" s="152"/>
      <c r="AG170" s="152"/>
      <c r="AH170" s="152"/>
      <c r="AI170" s="152"/>
      <c r="AJ170" s="152"/>
      <c r="AK170" s="152"/>
      <c r="AL170" s="152"/>
      <c r="AM170" s="152"/>
      <c r="AN170" s="152"/>
      <c r="AO170" s="152"/>
    </row>
    <row r="171" ht="12.75" customHeight="1">
      <c r="A171" s="288"/>
      <c r="B171" s="288"/>
      <c r="C171" s="288"/>
      <c r="D171" s="152"/>
      <c r="E171" s="289"/>
      <c r="F171" s="288"/>
      <c r="G171" s="152"/>
      <c r="H171" s="289"/>
      <c r="I171" s="289"/>
      <c r="J171" s="152"/>
      <c r="K171" s="152"/>
      <c r="L171" s="156"/>
      <c r="M171" s="152"/>
      <c r="N171" s="152"/>
      <c r="O171" s="152"/>
      <c r="P171" s="152"/>
      <c r="Q171" s="152"/>
      <c r="R171" s="152"/>
      <c r="S171" s="152"/>
      <c r="T171" s="152"/>
      <c r="U171" s="152"/>
      <c r="V171" s="152"/>
      <c r="W171" s="281"/>
      <c r="X171" s="281"/>
      <c r="Y171" s="281"/>
      <c r="Z171" s="281"/>
      <c r="AA171" s="281"/>
      <c r="AB171" s="281"/>
      <c r="AC171" s="281"/>
      <c r="AD171" s="170"/>
      <c r="AE171" s="152"/>
      <c r="AF171" s="152"/>
      <c r="AG171" s="152"/>
      <c r="AH171" s="152"/>
      <c r="AI171" s="152"/>
      <c r="AJ171" s="152"/>
      <c r="AK171" s="152"/>
      <c r="AL171" s="152"/>
      <c r="AM171" s="152"/>
      <c r="AN171" s="152"/>
      <c r="AO171" s="152"/>
    </row>
    <row r="172" ht="12.75" customHeight="1">
      <c r="A172" s="288"/>
      <c r="B172" s="288"/>
      <c r="C172" s="288"/>
      <c r="D172" s="152"/>
      <c r="E172" s="289"/>
      <c r="F172" s="288"/>
      <c r="G172" s="152"/>
      <c r="H172" s="289"/>
      <c r="I172" s="289"/>
      <c r="J172" s="152"/>
      <c r="K172" s="152"/>
      <c r="L172" s="156"/>
      <c r="M172" s="152"/>
      <c r="N172" s="152"/>
      <c r="O172" s="152"/>
      <c r="P172" s="152"/>
      <c r="Q172" s="152"/>
      <c r="R172" s="152"/>
      <c r="S172" s="152"/>
      <c r="T172" s="152"/>
      <c r="U172" s="152"/>
      <c r="V172" s="152"/>
      <c r="W172" s="281"/>
      <c r="X172" s="281"/>
      <c r="Y172" s="281"/>
      <c r="Z172" s="281"/>
      <c r="AA172" s="281"/>
      <c r="AB172" s="281"/>
      <c r="AC172" s="281"/>
      <c r="AD172" s="170"/>
      <c r="AE172" s="152"/>
      <c r="AF172" s="152"/>
      <c r="AG172" s="152"/>
      <c r="AH172" s="152"/>
      <c r="AI172" s="152"/>
      <c r="AJ172" s="152"/>
      <c r="AK172" s="152"/>
      <c r="AL172" s="152"/>
      <c r="AM172" s="152"/>
      <c r="AN172" s="152"/>
      <c r="AO172" s="152"/>
    </row>
    <row r="173" ht="12.75" customHeight="1">
      <c r="A173" s="288"/>
      <c r="B173" s="288"/>
      <c r="C173" s="288"/>
      <c r="D173" s="152"/>
      <c r="E173" s="289"/>
      <c r="F173" s="288"/>
      <c r="G173" s="152"/>
      <c r="H173" s="289"/>
      <c r="I173" s="289"/>
      <c r="J173" s="152"/>
      <c r="K173" s="152"/>
      <c r="L173" s="156"/>
      <c r="M173" s="152"/>
      <c r="N173" s="152"/>
      <c r="O173" s="152"/>
      <c r="P173" s="152"/>
      <c r="Q173" s="152"/>
      <c r="R173" s="152"/>
      <c r="S173" s="152"/>
      <c r="T173" s="152"/>
      <c r="U173" s="152"/>
      <c r="V173" s="152"/>
      <c r="W173" s="281"/>
      <c r="X173" s="281"/>
      <c r="Y173" s="281"/>
      <c r="Z173" s="281"/>
      <c r="AA173" s="281"/>
      <c r="AB173" s="281"/>
      <c r="AC173" s="281"/>
      <c r="AD173" s="170"/>
      <c r="AE173" s="152"/>
      <c r="AF173" s="152"/>
      <c r="AG173" s="152"/>
      <c r="AH173" s="152"/>
      <c r="AI173" s="152"/>
      <c r="AJ173" s="152"/>
      <c r="AK173" s="152"/>
      <c r="AL173" s="152"/>
      <c r="AM173" s="152"/>
      <c r="AN173" s="152"/>
      <c r="AO173" s="152"/>
    </row>
    <row r="174" ht="12.75" customHeight="1">
      <c r="A174" s="288"/>
      <c r="B174" s="288"/>
      <c r="C174" s="288"/>
      <c r="D174" s="152"/>
      <c r="E174" s="289"/>
      <c r="F174" s="288"/>
      <c r="G174" s="152"/>
      <c r="H174" s="289"/>
      <c r="I174" s="289"/>
      <c r="J174" s="152"/>
      <c r="K174" s="152"/>
      <c r="L174" s="156"/>
      <c r="M174" s="152"/>
      <c r="N174" s="152"/>
      <c r="O174" s="152"/>
      <c r="P174" s="152"/>
      <c r="Q174" s="152"/>
      <c r="R174" s="152"/>
      <c r="S174" s="152"/>
      <c r="T174" s="152"/>
      <c r="U174" s="152"/>
      <c r="V174" s="152"/>
      <c r="W174" s="281"/>
      <c r="X174" s="281"/>
      <c r="Y174" s="281"/>
      <c r="Z174" s="281"/>
      <c r="AA174" s="281"/>
      <c r="AB174" s="281"/>
      <c r="AC174" s="281"/>
      <c r="AD174" s="170"/>
      <c r="AE174" s="152"/>
      <c r="AF174" s="152"/>
      <c r="AG174" s="152"/>
      <c r="AH174" s="152"/>
      <c r="AI174" s="152"/>
      <c r="AJ174" s="152"/>
      <c r="AK174" s="152"/>
      <c r="AL174" s="152"/>
      <c r="AM174" s="152"/>
      <c r="AN174" s="152"/>
      <c r="AO174" s="152"/>
    </row>
    <row r="175" ht="12.75" customHeight="1">
      <c r="A175" s="288"/>
      <c r="B175" s="288"/>
      <c r="C175" s="288"/>
      <c r="D175" s="152"/>
      <c r="E175" s="289"/>
      <c r="F175" s="288"/>
      <c r="G175" s="152"/>
      <c r="H175" s="289"/>
      <c r="I175" s="289"/>
      <c r="J175" s="152"/>
      <c r="K175" s="152"/>
      <c r="L175" s="156"/>
      <c r="M175" s="152"/>
      <c r="N175" s="152"/>
      <c r="O175" s="152"/>
      <c r="P175" s="152"/>
      <c r="Q175" s="152"/>
      <c r="R175" s="152"/>
      <c r="S175" s="152"/>
      <c r="T175" s="152"/>
      <c r="U175" s="152"/>
      <c r="V175" s="152"/>
      <c r="W175" s="281"/>
      <c r="X175" s="281"/>
      <c r="Y175" s="281"/>
      <c r="Z175" s="281"/>
      <c r="AA175" s="281"/>
      <c r="AB175" s="281"/>
      <c r="AC175" s="281"/>
      <c r="AD175" s="170"/>
      <c r="AE175" s="152"/>
      <c r="AF175" s="152"/>
      <c r="AG175" s="152"/>
      <c r="AH175" s="152"/>
      <c r="AI175" s="152"/>
      <c r="AJ175" s="152"/>
      <c r="AK175" s="152"/>
      <c r="AL175" s="152"/>
      <c r="AM175" s="152"/>
      <c r="AN175" s="152"/>
      <c r="AO175" s="152"/>
    </row>
    <row r="176" ht="12.75" customHeight="1">
      <c r="A176" s="288"/>
      <c r="B176" s="288"/>
      <c r="C176" s="288"/>
      <c r="D176" s="152"/>
      <c r="E176" s="289"/>
      <c r="F176" s="288"/>
      <c r="G176" s="152"/>
      <c r="H176" s="289"/>
      <c r="I176" s="289"/>
      <c r="J176" s="152"/>
      <c r="K176" s="152"/>
      <c r="L176" s="156"/>
      <c r="M176" s="152"/>
      <c r="N176" s="152"/>
      <c r="O176" s="152"/>
      <c r="P176" s="152"/>
      <c r="Q176" s="152"/>
      <c r="R176" s="152"/>
      <c r="S176" s="152"/>
      <c r="T176" s="152"/>
      <c r="U176" s="152"/>
      <c r="V176" s="152"/>
      <c r="W176" s="281"/>
      <c r="X176" s="281"/>
      <c r="Y176" s="281"/>
      <c r="Z176" s="281"/>
      <c r="AA176" s="281"/>
      <c r="AB176" s="281"/>
      <c r="AC176" s="281"/>
      <c r="AD176" s="170"/>
      <c r="AE176" s="152"/>
      <c r="AF176" s="152"/>
      <c r="AG176" s="152"/>
      <c r="AH176" s="152"/>
      <c r="AI176" s="152"/>
      <c r="AJ176" s="152"/>
      <c r="AK176" s="152"/>
      <c r="AL176" s="152"/>
      <c r="AM176" s="152"/>
      <c r="AN176" s="152"/>
      <c r="AO176" s="152"/>
    </row>
    <row r="177" ht="12.75" customHeight="1">
      <c r="A177" s="288"/>
      <c r="B177" s="288"/>
      <c r="C177" s="288"/>
      <c r="D177" s="152"/>
      <c r="E177" s="289"/>
      <c r="F177" s="288"/>
      <c r="G177" s="152"/>
      <c r="H177" s="289"/>
      <c r="I177" s="289"/>
      <c r="J177" s="152"/>
      <c r="K177" s="152"/>
      <c r="L177" s="156"/>
      <c r="M177" s="152"/>
      <c r="N177" s="152"/>
      <c r="O177" s="152"/>
      <c r="P177" s="152"/>
      <c r="Q177" s="152"/>
      <c r="R177" s="152"/>
      <c r="S177" s="152"/>
      <c r="T177" s="152"/>
      <c r="U177" s="152"/>
      <c r="V177" s="152"/>
      <c r="W177" s="281"/>
      <c r="X177" s="281"/>
      <c r="Y177" s="281"/>
      <c r="Z177" s="281"/>
      <c r="AA177" s="281"/>
      <c r="AB177" s="281"/>
      <c r="AC177" s="281"/>
      <c r="AD177" s="170"/>
      <c r="AE177" s="152"/>
      <c r="AF177" s="152"/>
      <c r="AG177" s="152"/>
      <c r="AH177" s="152"/>
      <c r="AI177" s="152"/>
      <c r="AJ177" s="152"/>
      <c r="AK177" s="152"/>
      <c r="AL177" s="152"/>
      <c r="AM177" s="152"/>
      <c r="AN177" s="152"/>
      <c r="AO177" s="152"/>
    </row>
    <row r="178" ht="12.75" customHeight="1">
      <c r="A178" s="288"/>
      <c r="B178" s="288"/>
      <c r="C178" s="288"/>
      <c r="D178" s="152"/>
      <c r="E178" s="289"/>
      <c r="F178" s="288"/>
      <c r="G178" s="152"/>
      <c r="H178" s="289"/>
      <c r="I178" s="289"/>
      <c r="J178" s="152"/>
      <c r="K178" s="152"/>
      <c r="L178" s="156"/>
      <c r="M178" s="152"/>
      <c r="N178" s="152"/>
      <c r="O178" s="152"/>
      <c r="P178" s="152"/>
      <c r="Q178" s="152"/>
      <c r="R178" s="152"/>
      <c r="S178" s="152"/>
      <c r="T178" s="152"/>
      <c r="U178" s="152"/>
      <c r="V178" s="152"/>
      <c r="W178" s="281"/>
      <c r="X178" s="281"/>
      <c r="Y178" s="281"/>
      <c r="Z178" s="281"/>
      <c r="AA178" s="281"/>
      <c r="AB178" s="281"/>
      <c r="AC178" s="281"/>
      <c r="AD178" s="170"/>
      <c r="AE178" s="152"/>
      <c r="AF178" s="152"/>
      <c r="AG178" s="152"/>
      <c r="AH178" s="152"/>
      <c r="AI178" s="152"/>
      <c r="AJ178" s="152"/>
      <c r="AK178" s="152"/>
      <c r="AL178" s="152"/>
      <c r="AM178" s="152"/>
      <c r="AN178" s="152"/>
      <c r="AO178" s="152"/>
    </row>
    <row r="179" ht="12.75" customHeight="1">
      <c r="A179" s="288"/>
      <c r="B179" s="288"/>
      <c r="C179" s="288"/>
      <c r="D179" s="152"/>
      <c r="E179" s="289"/>
      <c r="F179" s="288"/>
      <c r="G179" s="152"/>
      <c r="H179" s="289"/>
      <c r="I179" s="289"/>
      <c r="J179" s="152"/>
      <c r="K179" s="152"/>
      <c r="L179" s="156"/>
      <c r="M179" s="152"/>
      <c r="N179" s="152"/>
      <c r="O179" s="152"/>
      <c r="P179" s="152"/>
      <c r="Q179" s="152"/>
      <c r="R179" s="152"/>
      <c r="S179" s="152"/>
      <c r="T179" s="152"/>
      <c r="U179" s="152"/>
      <c r="V179" s="152"/>
      <c r="W179" s="281"/>
      <c r="X179" s="281"/>
      <c r="Y179" s="281"/>
      <c r="Z179" s="281"/>
      <c r="AA179" s="281"/>
      <c r="AB179" s="281"/>
      <c r="AC179" s="281"/>
      <c r="AD179" s="170"/>
      <c r="AE179" s="152"/>
      <c r="AF179" s="152"/>
      <c r="AG179" s="152"/>
      <c r="AH179" s="152"/>
      <c r="AI179" s="152"/>
      <c r="AJ179" s="152"/>
      <c r="AK179" s="152"/>
      <c r="AL179" s="152"/>
      <c r="AM179" s="152"/>
      <c r="AN179" s="152"/>
      <c r="AO179" s="152"/>
    </row>
    <row r="180" ht="12.75" customHeight="1">
      <c r="A180" s="288"/>
      <c r="B180" s="288"/>
      <c r="C180" s="288"/>
      <c r="D180" s="152"/>
      <c r="E180" s="289"/>
      <c r="F180" s="288"/>
      <c r="G180" s="152"/>
      <c r="H180" s="289"/>
      <c r="I180" s="289"/>
      <c r="J180" s="152"/>
      <c r="K180" s="152"/>
      <c r="L180" s="156"/>
      <c r="M180" s="152"/>
      <c r="N180" s="152"/>
      <c r="O180" s="152"/>
      <c r="P180" s="152"/>
      <c r="Q180" s="152"/>
      <c r="R180" s="152"/>
      <c r="S180" s="152"/>
      <c r="T180" s="152"/>
      <c r="U180" s="152"/>
      <c r="V180" s="152"/>
      <c r="W180" s="281"/>
      <c r="X180" s="281"/>
      <c r="Y180" s="281"/>
      <c r="Z180" s="281"/>
      <c r="AA180" s="281"/>
      <c r="AB180" s="281"/>
      <c r="AC180" s="281"/>
      <c r="AD180" s="170"/>
      <c r="AE180" s="152"/>
      <c r="AF180" s="152"/>
      <c r="AG180" s="152"/>
      <c r="AH180" s="152"/>
      <c r="AI180" s="152"/>
      <c r="AJ180" s="152"/>
      <c r="AK180" s="152"/>
      <c r="AL180" s="152"/>
      <c r="AM180" s="152"/>
      <c r="AN180" s="152"/>
      <c r="AO180" s="152"/>
    </row>
    <row r="181" ht="12.75" customHeight="1">
      <c r="A181" s="288"/>
      <c r="B181" s="288"/>
      <c r="C181" s="288"/>
      <c r="D181" s="152"/>
      <c r="E181" s="289"/>
      <c r="F181" s="288"/>
      <c r="G181" s="152"/>
      <c r="H181" s="289"/>
      <c r="I181" s="289"/>
      <c r="J181" s="152"/>
      <c r="K181" s="152"/>
      <c r="L181" s="156"/>
      <c r="M181" s="152"/>
      <c r="N181" s="152"/>
      <c r="O181" s="152"/>
      <c r="P181" s="152"/>
      <c r="Q181" s="152"/>
      <c r="R181" s="152"/>
      <c r="S181" s="152"/>
      <c r="T181" s="152"/>
      <c r="U181" s="152"/>
      <c r="V181" s="152"/>
      <c r="W181" s="281"/>
      <c r="X181" s="281"/>
      <c r="Y181" s="281"/>
      <c r="Z181" s="281"/>
      <c r="AA181" s="281"/>
      <c r="AB181" s="281"/>
      <c r="AC181" s="281"/>
      <c r="AD181" s="170"/>
      <c r="AE181" s="152"/>
      <c r="AF181" s="152"/>
      <c r="AG181" s="152"/>
      <c r="AH181" s="152"/>
      <c r="AI181" s="152"/>
      <c r="AJ181" s="152"/>
      <c r="AK181" s="152"/>
      <c r="AL181" s="152"/>
      <c r="AM181" s="152"/>
      <c r="AN181" s="152"/>
      <c r="AO181" s="152"/>
    </row>
    <row r="182" ht="12.75" customHeight="1">
      <c r="A182" s="288"/>
      <c r="B182" s="288"/>
      <c r="C182" s="288"/>
      <c r="D182" s="152"/>
      <c r="E182" s="289"/>
      <c r="F182" s="288"/>
      <c r="G182" s="152"/>
      <c r="H182" s="289"/>
      <c r="I182" s="289"/>
      <c r="J182" s="152"/>
      <c r="K182" s="152"/>
      <c r="L182" s="156"/>
      <c r="M182" s="152"/>
      <c r="N182" s="152"/>
      <c r="O182" s="152"/>
      <c r="P182" s="152"/>
      <c r="Q182" s="152"/>
      <c r="R182" s="152"/>
      <c r="S182" s="152"/>
      <c r="T182" s="152"/>
      <c r="U182" s="152"/>
      <c r="V182" s="152"/>
      <c r="W182" s="281"/>
      <c r="X182" s="281"/>
      <c r="Y182" s="281"/>
      <c r="Z182" s="281"/>
      <c r="AA182" s="281"/>
      <c r="AB182" s="281"/>
      <c r="AC182" s="281"/>
      <c r="AD182" s="170"/>
      <c r="AE182" s="152"/>
      <c r="AF182" s="152"/>
      <c r="AG182" s="152"/>
      <c r="AH182" s="152"/>
      <c r="AI182" s="152"/>
      <c r="AJ182" s="152"/>
      <c r="AK182" s="152"/>
      <c r="AL182" s="152"/>
      <c r="AM182" s="152"/>
      <c r="AN182" s="152"/>
      <c r="AO182" s="152"/>
    </row>
    <row r="183" ht="12.75" customHeight="1">
      <c r="A183" s="288"/>
      <c r="B183" s="288"/>
      <c r="C183" s="288"/>
      <c r="D183" s="152"/>
      <c r="E183" s="289"/>
      <c r="F183" s="288"/>
      <c r="G183" s="152"/>
      <c r="H183" s="289"/>
      <c r="I183" s="289"/>
      <c r="J183" s="152"/>
      <c r="K183" s="152"/>
      <c r="L183" s="156"/>
      <c r="M183" s="152"/>
      <c r="N183" s="152"/>
      <c r="O183" s="152"/>
      <c r="P183" s="152"/>
      <c r="Q183" s="152"/>
      <c r="R183" s="152"/>
      <c r="S183" s="152"/>
      <c r="T183" s="152"/>
      <c r="U183" s="152"/>
      <c r="V183" s="152"/>
      <c r="W183" s="281"/>
      <c r="X183" s="281"/>
      <c r="Y183" s="281"/>
      <c r="Z183" s="281"/>
      <c r="AA183" s="281"/>
      <c r="AB183" s="281"/>
      <c r="AC183" s="281"/>
      <c r="AD183" s="170"/>
      <c r="AE183" s="152"/>
      <c r="AF183" s="152"/>
      <c r="AG183" s="152"/>
      <c r="AH183" s="152"/>
      <c r="AI183" s="152"/>
      <c r="AJ183" s="152"/>
      <c r="AK183" s="152"/>
      <c r="AL183" s="152"/>
      <c r="AM183" s="152"/>
      <c r="AN183" s="152"/>
      <c r="AO183" s="152"/>
    </row>
    <row r="184" ht="12.75" customHeight="1">
      <c r="A184" s="288"/>
      <c r="B184" s="288"/>
      <c r="C184" s="288"/>
      <c r="D184" s="152"/>
      <c r="E184" s="289"/>
      <c r="F184" s="288"/>
      <c r="G184" s="152"/>
      <c r="H184" s="289"/>
      <c r="I184" s="289"/>
      <c r="J184" s="152"/>
      <c r="K184" s="152"/>
      <c r="L184" s="156"/>
      <c r="M184" s="152"/>
      <c r="N184" s="152"/>
      <c r="O184" s="152"/>
      <c r="P184" s="152"/>
      <c r="Q184" s="152"/>
      <c r="R184" s="152"/>
      <c r="S184" s="152"/>
      <c r="T184" s="152"/>
      <c r="U184" s="152"/>
      <c r="V184" s="152"/>
      <c r="W184" s="281"/>
      <c r="X184" s="281"/>
      <c r="Y184" s="281"/>
      <c r="Z184" s="281"/>
      <c r="AA184" s="281"/>
      <c r="AB184" s="281"/>
      <c r="AC184" s="281"/>
      <c r="AD184" s="170"/>
      <c r="AE184" s="152"/>
      <c r="AF184" s="152"/>
      <c r="AG184" s="152"/>
      <c r="AH184" s="152"/>
      <c r="AI184" s="152"/>
      <c r="AJ184" s="152"/>
      <c r="AK184" s="152"/>
      <c r="AL184" s="152"/>
      <c r="AM184" s="152"/>
      <c r="AN184" s="152"/>
      <c r="AO184" s="152"/>
    </row>
    <row r="185" ht="12.75" customHeight="1">
      <c r="A185" s="288"/>
      <c r="B185" s="288"/>
      <c r="C185" s="288"/>
      <c r="D185" s="152"/>
      <c r="E185" s="289"/>
      <c r="F185" s="288"/>
      <c r="G185" s="152"/>
      <c r="H185" s="289"/>
      <c r="I185" s="289"/>
      <c r="J185" s="152"/>
      <c r="K185" s="152"/>
      <c r="L185" s="156"/>
      <c r="M185" s="152"/>
      <c r="N185" s="152"/>
      <c r="O185" s="152"/>
      <c r="P185" s="152"/>
      <c r="Q185" s="152"/>
      <c r="R185" s="152"/>
      <c r="S185" s="152"/>
      <c r="T185" s="152"/>
      <c r="U185" s="152"/>
      <c r="V185" s="152"/>
      <c r="W185" s="281"/>
      <c r="X185" s="281"/>
      <c r="Y185" s="281"/>
      <c r="Z185" s="281"/>
      <c r="AA185" s="281"/>
      <c r="AB185" s="281"/>
      <c r="AC185" s="281"/>
      <c r="AD185" s="170"/>
      <c r="AE185" s="152"/>
      <c r="AF185" s="152"/>
      <c r="AG185" s="152"/>
      <c r="AH185" s="152"/>
      <c r="AI185" s="152"/>
      <c r="AJ185" s="152"/>
      <c r="AK185" s="152"/>
      <c r="AL185" s="152"/>
      <c r="AM185" s="152"/>
      <c r="AN185" s="152"/>
      <c r="AO185" s="152"/>
    </row>
    <row r="186" ht="12.75" customHeight="1">
      <c r="A186" s="288"/>
      <c r="B186" s="288"/>
      <c r="C186" s="288"/>
      <c r="D186" s="152"/>
      <c r="E186" s="289"/>
      <c r="F186" s="288"/>
      <c r="G186" s="152"/>
      <c r="H186" s="289"/>
      <c r="I186" s="289"/>
      <c r="J186" s="152"/>
      <c r="K186" s="152"/>
      <c r="L186" s="156"/>
      <c r="M186" s="152"/>
      <c r="N186" s="152"/>
      <c r="O186" s="152"/>
      <c r="P186" s="152"/>
      <c r="Q186" s="152"/>
      <c r="R186" s="152"/>
      <c r="S186" s="152"/>
      <c r="T186" s="152"/>
      <c r="U186" s="152"/>
      <c r="V186" s="152"/>
      <c r="W186" s="281"/>
      <c r="X186" s="281"/>
      <c r="Y186" s="281"/>
      <c r="Z186" s="281"/>
      <c r="AA186" s="281"/>
      <c r="AB186" s="281"/>
      <c r="AC186" s="281"/>
      <c r="AD186" s="170"/>
      <c r="AE186" s="152"/>
      <c r="AF186" s="152"/>
      <c r="AG186" s="152"/>
      <c r="AH186" s="152"/>
      <c r="AI186" s="152"/>
      <c r="AJ186" s="152"/>
      <c r="AK186" s="152"/>
      <c r="AL186" s="152"/>
      <c r="AM186" s="152"/>
      <c r="AN186" s="152"/>
      <c r="AO186" s="152"/>
    </row>
    <row r="187" ht="12.75" customHeight="1">
      <c r="A187" s="288"/>
      <c r="B187" s="288"/>
      <c r="C187" s="288"/>
      <c r="D187" s="152"/>
      <c r="E187" s="289"/>
      <c r="F187" s="288"/>
      <c r="G187" s="152"/>
      <c r="H187" s="289"/>
      <c r="I187" s="289"/>
      <c r="J187" s="152"/>
      <c r="K187" s="152"/>
      <c r="L187" s="156"/>
      <c r="M187" s="152"/>
      <c r="N187" s="152"/>
      <c r="O187" s="152"/>
      <c r="P187" s="152"/>
      <c r="Q187" s="152"/>
      <c r="R187" s="152"/>
      <c r="S187" s="152"/>
      <c r="T187" s="152"/>
      <c r="U187" s="152"/>
      <c r="V187" s="152"/>
      <c r="W187" s="281"/>
      <c r="X187" s="281"/>
      <c r="Y187" s="281"/>
      <c r="Z187" s="281"/>
      <c r="AA187" s="281"/>
      <c r="AB187" s="281"/>
      <c r="AC187" s="281"/>
      <c r="AD187" s="170"/>
      <c r="AE187" s="152"/>
      <c r="AF187" s="152"/>
      <c r="AG187" s="152"/>
      <c r="AH187" s="152"/>
      <c r="AI187" s="152"/>
      <c r="AJ187" s="152"/>
      <c r="AK187" s="152"/>
      <c r="AL187" s="152"/>
      <c r="AM187" s="152"/>
      <c r="AN187" s="152"/>
      <c r="AO187" s="152"/>
    </row>
    <row r="188" ht="12.75" customHeight="1">
      <c r="A188" s="288"/>
      <c r="B188" s="288"/>
      <c r="C188" s="288"/>
      <c r="D188" s="152"/>
      <c r="E188" s="289"/>
      <c r="F188" s="288"/>
      <c r="G188" s="152"/>
      <c r="H188" s="289"/>
      <c r="I188" s="289"/>
      <c r="J188" s="152"/>
      <c r="K188" s="152"/>
      <c r="L188" s="156"/>
      <c r="M188" s="152"/>
      <c r="N188" s="152"/>
      <c r="O188" s="152"/>
      <c r="P188" s="152"/>
      <c r="Q188" s="152"/>
      <c r="R188" s="152"/>
      <c r="S188" s="152"/>
      <c r="T188" s="152"/>
      <c r="U188" s="152"/>
      <c r="V188" s="152"/>
      <c r="W188" s="281"/>
      <c r="X188" s="281"/>
      <c r="Y188" s="281"/>
      <c r="Z188" s="281"/>
      <c r="AA188" s="281"/>
      <c r="AB188" s="281"/>
      <c r="AC188" s="281"/>
      <c r="AD188" s="170"/>
      <c r="AE188" s="152"/>
      <c r="AF188" s="152"/>
      <c r="AG188" s="152"/>
      <c r="AH188" s="152"/>
      <c r="AI188" s="152"/>
      <c r="AJ188" s="152"/>
      <c r="AK188" s="152"/>
      <c r="AL188" s="152"/>
      <c r="AM188" s="152"/>
      <c r="AN188" s="152"/>
      <c r="AO188" s="152"/>
    </row>
    <row r="189" ht="12.75" customHeight="1">
      <c r="A189" s="288"/>
      <c r="B189" s="288"/>
      <c r="C189" s="288"/>
      <c r="D189" s="152"/>
      <c r="E189" s="289"/>
      <c r="F189" s="288"/>
      <c r="G189" s="152"/>
      <c r="H189" s="289"/>
      <c r="I189" s="289"/>
      <c r="J189" s="152"/>
      <c r="K189" s="152"/>
      <c r="L189" s="156"/>
      <c r="M189" s="152"/>
      <c r="N189" s="152"/>
      <c r="O189" s="152"/>
      <c r="P189" s="152"/>
      <c r="Q189" s="152"/>
      <c r="R189" s="152"/>
      <c r="S189" s="152"/>
      <c r="T189" s="152"/>
      <c r="U189" s="152"/>
      <c r="V189" s="152"/>
      <c r="W189" s="281"/>
      <c r="X189" s="281"/>
      <c r="Y189" s="281"/>
      <c r="Z189" s="281"/>
      <c r="AA189" s="281"/>
      <c r="AB189" s="281"/>
      <c r="AC189" s="281"/>
      <c r="AD189" s="170"/>
      <c r="AE189" s="152"/>
      <c r="AF189" s="152"/>
      <c r="AG189" s="152"/>
      <c r="AH189" s="152"/>
      <c r="AI189" s="152"/>
      <c r="AJ189" s="152"/>
      <c r="AK189" s="152"/>
      <c r="AL189" s="152"/>
      <c r="AM189" s="152"/>
      <c r="AN189" s="152"/>
      <c r="AO189" s="152"/>
    </row>
    <row r="190" ht="12.75" customHeight="1">
      <c r="A190" s="288"/>
      <c r="B190" s="288"/>
      <c r="C190" s="288"/>
      <c r="D190" s="152"/>
      <c r="E190" s="289"/>
      <c r="F190" s="288"/>
      <c r="G190" s="152"/>
      <c r="H190" s="289"/>
      <c r="I190" s="289"/>
      <c r="J190" s="152"/>
      <c r="K190" s="152"/>
      <c r="L190" s="156"/>
      <c r="M190" s="152"/>
      <c r="N190" s="152"/>
      <c r="O190" s="152"/>
      <c r="P190" s="152"/>
      <c r="Q190" s="152"/>
      <c r="R190" s="152"/>
      <c r="S190" s="152"/>
      <c r="T190" s="152"/>
      <c r="U190" s="152"/>
      <c r="V190" s="152"/>
      <c r="W190" s="281"/>
      <c r="X190" s="281"/>
      <c r="Y190" s="281"/>
      <c r="Z190" s="281"/>
      <c r="AA190" s="281"/>
      <c r="AB190" s="281"/>
      <c r="AC190" s="281"/>
      <c r="AD190" s="170"/>
      <c r="AE190" s="152"/>
      <c r="AF190" s="152"/>
      <c r="AG190" s="152"/>
      <c r="AH190" s="152"/>
      <c r="AI190" s="152"/>
      <c r="AJ190" s="152"/>
      <c r="AK190" s="152"/>
      <c r="AL190" s="152"/>
      <c r="AM190" s="152"/>
      <c r="AN190" s="152"/>
      <c r="AO190" s="152"/>
    </row>
    <row r="191" ht="12.75" customHeight="1">
      <c r="A191" s="288"/>
      <c r="B191" s="288"/>
      <c r="C191" s="288"/>
      <c r="D191" s="152"/>
      <c r="E191" s="289"/>
      <c r="F191" s="288"/>
      <c r="G191" s="152"/>
      <c r="H191" s="289"/>
      <c r="I191" s="289"/>
      <c r="J191" s="152"/>
      <c r="K191" s="152"/>
      <c r="L191" s="156"/>
      <c r="M191" s="152"/>
      <c r="N191" s="152"/>
      <c r="O191" s="152"/>
      <c r="P191" s="152"/>
      <c r="Q191" s="152"/>
      <c r="R191" s="152"/>
      <c r="S191" s="152"/>
      <c r="T191" s="152"/>
      <c r="U191" s="152"/>
      <c r="V191" s="152"/>
      <c r="W191" s="281"/>
      <c r="X191" s="281"/>
      <c r="Y191" s="281"/>
      <c r="Z191" s="281"/>
      <c r="AA191" s="281"/>
      <c r="AB191" s="281"/>
      <c r="AC191" s="281"/>
      <c r="AD191" s="170"/>
      <c r="AE191" s="152"/>
      <c r="AF191" s="152"/>
      <c r="AG191" s="152"/>
      <c r="AH191" s="152"/>
      <c r="AI191" s="152"/>
      <c r="AJ191" s="152"/>
      <c r="AK191" s="152"/>
      <c r="AL191" s="152"/>
      <c r="AM191" s="152"/>
      <c r="AN191" s="152"/>
      <c r="AO191" s="152"/>
    </row>
    <row r="192" ht="12.75" customHeight="1">
      <c r="A192" s="288"/>
      <c r="B192" s="288"/>
      <c r="C192" s="288"/>
      <c r="D192" s="152"/>
      <c r="E192" s="289"/>
      <c r="F192" s="288"/>
      <c r="G192" s="152"/>
      <c r="H192" s="289"/>
      <c r="I192" s="289"/>
      <c r="J192" s="152"/>
      <c r="K192" s="152"/>
      <c r="L192" s="156"/>
      <c r="M192" s="152"/>
      <c r="N192" s="152"/>
      <c r="O192" s="152"/>
      <c r="P192" s="152"/>
      <c r="Q192" s="152"/>
      <c r="R192" s="152"/>
      <c r="S192" s="152"/>
      <c r="T192" s="152"/>
      <c r="U192" s="152"/>
      <c r="V192" s="152"/>
      <c r="W192" s="281"/>
      <c r="X192" s="281"/>
      <c r="Y192" s="281"/>
      <c r="Z192" s="281"/>
      <c r="AA192" s="281"/>
      <c r="AB192" s="281"/>
      <c r="AC192" s="281"/>
      <c r="AD192" s="170"/>
      <c r="AE192" s="152"/>
      <c r="AF192" s="152"/>
      <c r="AG192" s="152"/>
      <c r="AH192" s="152"/>
      <c r="AI192" s="152"/>
      <c r="AJ192" s="152"/>
      <c r="AK192" s="152"/>
      <c r="AL192" s="152"/>
      <c r="AM192" s="152"/>
      <c r="AN192" s="152"/>
      <c r="AO192" s="152"/>
    </row>
    <row r="193" ht="12.75" customHeight="1">
      <c r="A193" s="288"/>
      <c r="B193" s="288"/>
      <c r="C193" s="288"/>
      <c r="D193" s="152"/>
      <c r="E193" s="289"/>
      <c r="F193" s="288"/>
      <c r="G193" s="152"/>
      <c r="H193" s="289"/>
      <c r="I193" s="289"/>
      <c r="J193" s="152"/>
      <c r="K193" s="152"/>
      <c r="L193" s="156"/>
      <c r="M193" s="152"/>
      <c r="N193" s="152"/>
      <c r="O193" s="152"/>
      <c r="P193" s="152"/>
      <c r="Q193" s="152"/>
      <c r="R193" s="152"/>
      <c r="S193" s="152"/>
      <c r="T193" s="152"/>
      <c r="U193" s="152"/>
      <c r="V193" s="152"/>
      <c r="W193" s="281"/>
      <c r="X193" s="281"/>
      <c r="Y193" s="281"/>
      <c r="Z193" s="281"/>
      <c r="AA193" s="281"/>
      <c r="AB193" s="281"/>
      <c r="AC193" s="281"/>
      <c r="AD193" s="170"/>
      <c r="AE193" s="152"/>
      <c r="AF193" s="152"/>
      <c r="AG193" s="152"/>
      <c r="AH193" s="152"/>
      <c r="AI193" s="152"/>
      <c r="AJ193" s="152"/>
      <c r="AK193" s="152"/>
      <c r="AL193" s="152"/>
      <c r="AM193" s="152"/>
      <c r="AN193" s="152"/>
      <c r="AO193" s="152"/>
    </row>
    <row r="194" ht="12.75" customHeight="1">
      <c r="A194" s="288"/>
      <c r="B194" s="288"/>
      <c r="C194" s="288"/>
      <c r="D194" s="152"/>
      <c r="E194" s="289"/>
      <c r="F194" s="288"/>
      <c r="G194" s="152"/>
      <c r="H194" s="289"/>
      <c r="I194" s="289"/>
      <c r="J194" s="152"/>
      <c r="K194" s="152"/>
      <c r="L194" s="156"/>
      <c r="M194" s="152"/>
      <c r="N194" s="152"/>
      <c r="O194" s="152"/>
      <c r="P194" s="152"/>
      <c r="Q194" s="152"/>
      <c r="R194" s="152"/>
      <c r="S194" s="152"/>
      <c r="T194" s="152"/>
      <c r="U194" s="152"/>
      <c r="V194" s="152"/>
      <c r="W194" s="281"/>
      <c r="X194" s="281"/>
      <c r="Y194" s="281"/>
      <c r="Z194" s="281"/>
      <c r="AA194" s="281"/>
      <c r="AB194" s="281"/>
      <c r="AC194" s="281"/>
      <c r="AD194" s="170"/>
      <c r="AE194" s="152"/>
      <c r="AF194" s="152"/>
      <c r="AG194" s="152"/>
      <c r="AH194" s="152"/>
      <c r="AI194" s="152"/>
      <c r="AJ194" s="152"/>
      <c r="AK194" s="152"/>
      <c r="AL194" s="152"/>
      <c r="AM194" s="152"/>
      <c r="AN194" s="152"/>
      <c r="AO194" s="152"/>
    </row>
    <row r="195" ht="12.75" customHeight="1">
      <c r="A195" s="288"/>
      <c r="B195" s="288"/>
      <c r="C195" s="288"/>
      <c r="D195" s="152"/>
      <c r="E195" s="289"/>
      <c r="F195" s="288"/>
      <c r="G195" s="152"/>
      <c r="H195" s="289"/>
      <c r="I195" s="289"/>
      <c r="J195" s="152"/>
      <c r="K195" s="152"/>
      <c r="L195" s="156"/>
      <c r="M195" s="152"/>
      <c r="N195" s="152"/>
      <c r="O195" s="152"/>
      <c r="P195" s="152"/>
      <c r="Q195" s="152"/>
      <c r="R195" s="152"/>
      <c r="S195" s="152"/>
      <c r="T195" s="152"/>
      <c r="U195" s="152"/>
      <c r="V195" s="152"/>
      <c r="W195" s="281"/>
      <c r="X195" s="281"/>
      <c r="Y195" s="281"/>
      <c r="Z195" s="281"/>
      <c r="AA195" s="281"/>
      <c r="AB195" s="281"/>
      <c r="AC195" s="281"/>
      <c r="AD195" s="170"/>
      <c r="AE195" s="152"/>
      <c r="AF195" s="152"/>
      <c r="AG195" s="152"/>
      <c r="AH195" s="152"/>
      <c r="AI195" s="152"/>
      <c r="AJ195" s="152"/>
      <c r="AK195" s="152"/>
      <c r="AL195" s="152"/>
      <c r="AM195" s="152"/>
      <c r="AN195" s="152"/>
      <c r="AO195" s="152"/>
    </row>
    <row r="196" ht="12.75" customHeight="1">
      <c r="A196" s="288"/>
      <c r="B196" s="288"/>
      <c r="C196" s="288"/>
      <c r="D196" s="152"/>
      <c r="E196" s="289"/>
      <c r="F196" s="288"/>
      <c r="G196" s="152"/>
      <c r="H196" s="289"/>
      <c r="I196" s="289"/>
      <c r="J196" s="152"/>
      <c r="K196" s="152"/>
      <c r="L196" s="156"/>
      <c r="M196" s="152"/>
      <c r="N196" s="152"/>
      <c r="O196" s="152"/>
      <c r="P196" s="152"/>
      <c r="Q196" s="152"/>
      <c r="R196" s="152"/>
      <c r="S196" s="152"/>
      <c r="T196" s="152"/>
      <c r="U196" s="152"/>
      <c r="V196" s="152"/>
      <c r="W196" s="281"/>
      <c r="X196" s="281"/>
      <c r="Y196" s="281"/>
      <c r="Z196" s="281"/>
      <c r="AA196" s="281"/>
      <c r="AB196" s="281"/>
      <c r="AC196" s="281"/>
      <c r="AD196" s="170"/>
      <c r="AE196" s="152"/>
      <c r="AF196" s="152"/>
      <c r="AG196" s="152"/>
      <c r="AH196" s="152"/>
      <c r="AI196" s="152"/>
      <c r="AJ196" s="152"/>
      <c r="AK196" s="152"/>
      <c r="AL196" s="152"/>
      <c r="AM196" s="152"/>
      <c r="AN196" s="152"/>
      <c r="AO196" s="152"/>
    </row>
    <row r="197" ht="12.75" customHeight="1">
      <c r="A197" s="288"/>
      <c r="B197" s="288"/>
      <c r="C197" s="288"/>
      <c r="D197" s="152"/>
      <c r="E197" s="289"/>
      <c r="F197" s="288"/>
      <c r="G197" s="152"/>
      <c r="H197" s="289"/>
      <c r="I197" s="289"/>
      <c r="J197" s="152"/>
      <c r="K197" s="152"/>
      <c r="L197" s="156"/>
      <c r="M197" s="152"/>
      <c r="N197" s="152"/>
      <c r="O197" s="152"/>
      <c r="P197" s="152"/>
      <c r="Q197" s="152"/>
      <c r="R197" s="152"/>
      <c r="S197" s="152"/>
      <c r="T197" s="152"/>
      <c r="U197" s="152"/>
      <c r="V197" s="152"/>
      <c r="W197" s="281"/>
      <c r="X197" s="281"/>
      <c r="Y197" s="281"/>
      <c r="Z197" s="281"/>
      <c r="AA197" s="281"/>
      <c r="AB197" s="281"/>
      <c r="AC197" s="281"/>
      <c r="AD197" s="170"/>
      <c r="AE197" s="152"/>
      <c r="AF197" s="152"/>
      <c r="AG197" s="152"/>
      <c r="AH197" s="152"/>
      <c r="AI197" s="152"/>
      <c r="AJ197" s="152"/>
      <c r="AK197" s="152"/>
      <c r="AL197" s="152"/>
      <c r="AM197" s="152"/>
      <c r="AN197" s="152"/>
      <c r="AO197" s="152"/>
    </row>
    <row r="198" ht="12.75" customHeight="1">
      <c r="A198" s="288"/>
      <c r="B198" s="288"/>
      <c r="C198" s="288"/>
      <c r="D198" s="152"/>
      <c r="E198" s="289"/>
      <c r="F198" s="288"/>
      <c r="G198" s="152"/>
      <c r="H198" s="289"/>
      <c r="I198" s="289"/>
      <c r="J198" s="152"/>
      <c r="K198" s="152"/>
      <c r="L198" s="156"/>
      <c r="M198" s="152"/>
      <c r="N198" s="152"/>
      <c r="O198" s="152"/>
      <c r="P198" s="152"/>
      <c r="Q198" s="152"/>
      <c r="R198" s="152"/>
      <c r="S198" s="152"/>
      <c r="T198" s="152"/>
      <c r="U198" s="152"/>
      <c r="V198" s="152"/>
      <c r="W198" s="281"/>
      <c r="X198" s="281"/>
      <c r="Y198" s="281"/>
      <c r="Z198" s="281"/>
      <c r="AA198" s="281"/>
      <c r="AB198" s="281"/>
      <c r="AC198" s="281"/>
      <c r="AD198" s="170"/>
      <c r="AE198" s="152"/>
      <c r="AF198" s="152"/>
      <c r="AG198" s="152"/>
      <c r="AH198" s="152"/>
      <c r="AI198" s="152"/>
      <c r="AJ198" s="152"/>
      <c r="AK198" s="152"/>
      <c r="AL198" s="152"/>
      <c r="AM198" s="152"/>
      <c r="AN198" s="152"/>
      <c r="AO198" s="152"/>
    </row>
    <row r="199" ht="12.75" customHeight="1">
      <c r="A199" s="288"/>
      <c r="B199" s="288"/>
      <c r="C199" s="288"/>
      <c r="D199" s="152"/>
      <c r="E199" s="289"/>
      <c r="F199" s="288"/>
      <c r="G199" s="152"/>
      <c r="H199" s="289"/>
      <c r="I199" s="289"/>
      <c r="J199" s="152"/>
      <c r="K199" s="152"/>
      <c r="L199" s="156"/>
      <c r="M199" s="152"/>
      <c r="N199" s="152"/>
      <c r="O199" s="152"/>
      <c r="P199" s="152"/>
      <c r="Q199" s="152"/>
      <c r="R199" s="152"/>
      <c r="S199" s="152"/>
      <c r="T199" s="152"/>
      <c r="U199" s="152"/>
      <c r="V199" s="152"/>
      <c r="W199" s="281"/>
      <c r="X199" s="281"/>
      <c r="Y199" s="281"/>
      <c r="Z199" s="281"/>
      <c r="AA199" s="281"/>
      <c r="AB199" s="281"/>
      <c r="AC199" s="281"/>
      <c r="AD199" s="170"/>
      <c r="AE199" s="152"/>
      <c r="AF199" s="152"/>
      <c r="AG199" s="152"/>
      <c r="AH199" s="152"/>
      <c r="AI199" s="152"/>
      <c r="AJ199" s="152"/>
      <c r="AK199" s="152"/>
      <c r="AL199" s="152"/>
      <c r="AM199" s="152"/>
      <c r="AN199" s="152"/>
      <c r="AO199" s="152"/>
    </row>
    <row r="200" ht="12.75" customHeight="1">
      <c r="A200" s="288"/>
      <c r="B200" s="288"/>
      <c r="C200" s="288"/>
      <c r="D200" s="152"/>
      <c r="E200" s="289"/>
      <c r="F200" s="288"/>
      <c r="G200" s="152"/>
      <c r="H200" s="289"/>
      <c r="I200" s="289"/>
      <c r="J200" s="152"/>
      <c r="K200" s="152"/>
      <c r="L200" s="156"/>
      <c r="M200" s="152"/>
      <c r="N200" s="152"/>
      <c r="O200" s="152"/>
      <c r="P200" s="152"/>
      <c r="Q200" s="152"/>
      <c r="R200" s="152"/>
      <c r="S200" s="152"/>
      <c r="T200" s="152"/>
      <c r="U200" s="152"/>
      <c r="V200" s="152"/>
      <c r="W200" s="281"/>
      <c r="X200" s="281"/>
      <c r="Y200" s="281"/>
      <c r="Z200" s="281"/>
      <c r="AA200" s="281"/>
      <c r="AB200" s="281"/>
      <c r="AC200" s="281"/>
      <c r="AD200" s="170"/>
      <c r="AE200" s="152"/>
      <c r="AF200" s="152"/>
      <c r="AG200" s="152"/>
      <c r="AH200" s="152"/>
      <c r="AI200" s="152"/>
      <c r="AJ200" s="152"/>
      <c r="AK200" s="152"/>
      <c r="AL200" s="152"/>
      <c r="AM200" s="152"/>
      <c r="AN200" s="152"/>
      <c r="AO200" s="152"/>
    </row>
    <row r="201" ht="12.75" customHeight="1">
      <c r="A201" s="288"/>
      <c r="B201" s="288"/>
      <c r="C201" s="288"/>
      <c r="D201" s="152"/>
      <c r="E201" s="289"/>
      <c r="F201" s="288"/>
      <c r="G201" s="152"/>
      <c r="H201" s="289"/>
      <c r="I201" s="289"/>
      <c r="J201" s="152"/>
      <c r="K201" s="152"/>
      <c r="L201" s="156"/>
      <c r="M201" s="152"/>
      <c r="N201" s="152"/>
      <c r="O201" s="152"/>
      <c r="P201" s="152"/>
      <c r="Q201" s="152"/>
      <c r="R201" s="152"/>
      <c r="S201" s="152"/>
      <c r="T201" s="152"/>
      <c r="U201" s="152"/>
      <c r="V201" s="152"/>
      <c r="W201" s="281"/>
      <c r="X201" s="281"/>
      <c r="Y201" s="281"/>
      <c r="Z201" s="281"/>
      <c r="AA201" s="281"/>
      <c r="AB201" s="281"/>
      <c r="AC201" s="281"/>
      <c r="AD201" s="170"/>
      <c r="AE201" s="152"/>
      <c r="AF201" s="152"/>
      <c r="AG201" s="152"/>
      <c r="AH201" s="152"/>
      <c r="AI201" s="152"/>
      <c r="AJ201" s="152"/>
      <c r="AK201" s="152"/>
      <c r="AL201" s="152"/>
      <c r="AM201" s="152"/>
      <c r="AN201" s="152"/>
      <c r="AO201" s="152"/>
    </row>
    <row r="202" ht="12.75" customHeight="1">
      <c r="A202" s="288"/>
      <c r="B202" s="288"/>
      <c r="C202" s="288"/>
      <c r="D202" s="152"/>
      <c r="E202" s="289"/>
      <c r="F202" s="288"/>
      <c r="G202" s="152"/>
      <c r="H202" s="289"/>
      <c r="I202" s="289"/>
      <c r="J202" s="152"/>
      <c r="K202" s="152"/>
      <c r="L202" s="156"/>
      <c r="M202" s="152"/>
      <c r="N202" s="152"/>
      <c r="O202" s="152"/>
      <c r="P202" s="152"/>
      <c r="Q202" s="152"/>
      <c r="R202" s="152"/>
      <c r="S202" s="152"/>
      <c r="T202" s="152"/>
      <c r="U202" s="152"/>
      <c r="V202" s="152"/>
      <c r="W202" s="281"/>
      <c r="X202" s="281"/>
      <c r="Y202" s="281"/>
      <c r="Z202" s="281"/>
      <c r="AA202" s="281"/>
      <c r="AB202" s="281"/>
      <c r="AC202" s="281"/>
      <c r="AD202" s="170"/>
      <c r="AE202" s="152"/>
      <c r="AF202" s="152"/>
      <c r="AG202" s="152"/>
      <c r="AH202" s="152"/>
      <c r="AI202" s="152"/>
      <c r="AJ202" s="152"/>
      <c r="AK202" s="152"/>
      <c r="AL202" s="152"/>
      <c r="AM202" s="152"/>
      <c r="AN202" s="152"/>
      <c r="AO202" s="152"/>
    </row>
    <row r="203" ht="12.75" customHeight="1">
      <c r="A203" s="288"/>
      <c r="B203" s="288"/>
      <c r="C203" s="288"/>
      <c r="D203" s="152"/>
      <c r="E203" s="289"/>
      <c r="F203" s="288"/>
      <c r="G203" s="152"/>
      <c r="H203" s="289"/>
      <c r="I203" s="289"/>
      <c r="J203" s="152"/>
      <c r="K203" s="152"/>
      <c r="L203" s="156"/>
      <c r="M203" s="152"/>
      <c r="N203" s="152"/>
      <c r="O203" s="152"/>
      <c r="P203" s="152"/>
      <c r="Q203" s="152"/>
      <c r="R203" s="152"/>
      <c r="S203" s="152"/>
      <c r="T203" s="152"/>
      <c r="U203" s="152"/>
      <c r="V203" s="152"/>
      <c r="W203" s="281"/>
      <c r="X203" s="281"/>
      <c r="Y203" s="281"/>
      <c r="Z203" s="281"/>
      <c r="AA203" s="281"/>
      <c r="AB203" s="281"/>
      <c r="AC203" s="281"/>
      <c r="AD203" s="170"/>
      <c r="AE203" s="152"/>
      <c r="AF203" s="152"/>
      <c r="AG203" s="152"/>
      <c r="AH203" s="152"/>
      <c r="AI203" s="152"/>
      <c r="AJ203" s="152"/>
      <c r="AK203" s="152"/>
      <c r="AL203" s="152"/>
      <c r="AM203" s="152"/>
      <c r="AN203" s="152"/>
      <c r="AO203" s="152"/>
    </row>
    <row r="204" ht="12.75" customHeight="1">
      <c r="A204" s="288"/>
      <c r="B204" s="288"/>
      <c r="C204" s="288"/>
      <c r="D204" s="152"/>
      <c r="E204" s="289"/>
      <c r="F204" s="288"/>
      <c r="G204" s="152"/>
      <c r="H204" s="289"/>
      <c r="I204" s="289"/>
      <c r="J204" s="152"/>
      <c r="K204" s="152"/>
      <c r="L204" s="156"/>
      <c r="M204" s="152"/>
      <c r="N204" s="152"/>
      <c r="O204" s="152"/>
      <c r="P204" s="152"/>
      <c r="Q204" s="152"/>
      <c r="R204" s="152"/>
      <c r="S204" s="152"/>
      <c r="T204" s="152"/>
      <c r="U204" s="152"/>
      <c r="V204" s="152"/>
      <c r="W204" s="281"/>
      <c r="X204" s="281"/>
      <c r="Y204" s="281"/>
      <c r="Z204" s="281"/>
      <c r="AA204" s="281"/>
      <c r="AB204" s="281"/>
      <c r="AC204" s="281"/>
      <c r="AD204" s="170"/>
      <c r="AE204" s="152"/>
      <c r="AF204" s="152"/>
      <c r="AG204" s="152"/>
      <c r="AH204" s="152"/>
      <c r="AI204" s="152"/>
      <c r="AJ204" s="152"/>
      <c r="AK204" s="152"/>
      <c r="AL204" s="152"/>
      <c r="AM204" s="152"/>
      <c r="AN204" s="152"/>
      <c r="AO204" s="152"/>
    </row>
    <row r="205" ht="12.75" customHeight="1">
      <c r="A205" s="288"/>
      <c r="B205" s="288"/>
      <c r="C205" s="288"/>
      <c r="D205" s="152"/>
      <c r="E205" s="289"/>
      <c r="F205" s="288"/>
      <c r="G205" s="152"/>
      <c r="H205" s="289"/>
      <c r="I205" s="289"/>
      <c r="J205" s="152"/>
      <c r="K205" s="152"/>
      <c r="L205" s="156"/>
      <c r="M205" s="152"/>
      <c r="N205" s="152"/>
      <c r="O205" s="152"/>
      <c r="P205" s="152"/>
      <c r="Q205" s="152"/>
      <c r="R205" s="152"/>
      <c r="S205" s="152"/>
      <c r="T205" s="152"/>
      <c r="U205" s="152"/>
      <c r="V205" s="152"/>
      <c r="W205" s="281"/>
      <c r="X205" s="281"/>
      <c r="Y205" s="281"/>
      <c r="Z205" s="281"/>
      <c r="AA205" s="281"/>
      <c r="AB205" s="281"/>
      <c r="AC205" s="281"/>
      <c r="AD205" s="170"/>
      <c r="AE205" s="152"/>
      <c r="AF205" s="152"/>
      <c r="AG205" s="152"/>
      <c r="AH205" s="152"/>
      <c r="AI205" s="152"/>
      <c r="AJ205" s="152"/>
      <c r="AK205" s="152"/>
      <c r="AL205" s="152"/>
      <c r="AM205" s="152"/>
      <c r="AN205" s="152"/>
      <c r="AO205" s="152"/>
    </row>
    <row r="206" ht="12.75" customHeight="1">
      <c r="A206" s="288"/>
      <c r="B206" s="288"/>
      <c r="C206" s="288"/>
      <c r="D206" s="152"/>
      <c r="E206" s="289"/>
      <c r="F206" s="288"/>
      <c r="G206" s="152"/>
      <c r="H206" s="289"/>
      <c r="I206" s="289"/>
      <c r="J206" s="152"/>
      <c r="K206" s="152"/>
      <c r="L206" s="156"/>
      <c r="M206" s="152"/>
      <c r="N206" s="152"/>
      <c r="O206" s="152"/>
      <c r="P206" s="152"/>
      <c r="Q206" s="152"/>
      <c r="R206" s="152"/>
      <c r="S206" s="152"/>
      <c r="T206" s="152"/>
      <c r="U206" s="152"/>
      <c r="V206" s="152"/>
      <c r="W206" s="281"/>
      <c r="X206" s="281"/>
      <c r="Y206" s="281"/>
      <c r="Z206" s="281"/>
      <c r="AA206" s="281"/>
      <c r="AB206" s="281"/>
      <c r="AC206" s="281"/>
      <c r="AD206" s="170"/>
      <c r="AE206" s="152"/>
      <c r="AF206" s="152"/>
      <c r="AG206" s="152"/>
      <c r="AH206" s="152"/>
      <c r="AI206" s="152"/>
      <c r="AJ206" s="152"/>
      <c r="AK206" s="152"/>
      <c r="AL206" s="152"/>
      <c r="AM206" s="152"/>
      <c r="AN206" s="152"/>
      <c r="AO206" s="152"/>
    </row>
    <row r="207" ht="12.75" customHeight="1">
      <c r="A207" s="288"/>
      <c r="B207" s="288"/>
      <c r="C207" s="288"/>
      <c r="D207" s="152"/>
      <c r="E207" s="289"/>
      <c r="F207" s="288"/>
      <c r="G207" s="152"/>
      <c r="H207" s="289"/>
      <c r="I207" s="289"/>
      <c r="J207" s="152"/>
      <c r="K207" s="152"/>
      <c r="L207" s="156"/>
      <c r="M207" s="152"/>
      <c r="N207" s="152"/>
      <c r="O207" s="152"/>
      <c r="P207" s="152"/>
      <c r="Q207" s="152"/>
      <c r="R207" s="152"/>
      <c r="S207" s="152"/>
      <c r="T207" s="152"/>
      <c r="U207" s="152"/>
      <c r="V207" s="152"/>
      <c r="W207" s="281"/>
      <c r="X207" s="281"/>
      <c r="Y207" s="281"/>
      <c r="Z207" s="281"/>
      <c r="AA207" s="281"/>
      <c r="AB207" s="281"/>
      <c r="AC207" s="281"/>
      <c r="AD207" s="170"/>
      <c r="AE207" s="152"/>
      <c r="AF207" s="152"/>
      <c r="AG207" s="152"/>
      <c r="AH207" s="152"/>
      <c r="AI207" s="152"/>
      <c r="AJ207" s="152"/>
      <c r="AK207" s="152"/>
      <c r="AL207" s="152"/>
      <c r="AM207" s="152"/>
      <c r="AN207" s="152"/>
      <c r="AO207" s="152"/>
    </row>
    <row r="208" ht="12.75" customHeight="1">
      <c r="A208" s="288"/>
      <c r="B208" s="288"/>
      <c r="C208" s="288"/>
      <c r="D208" s="152"/>
      <c r="E208" s="289"/>
      <c r="F208" s="288"/>
      <c r="G208" s="152"/>
      <c r="H208" s="289"/>
      <c r="I208" s="289"/>
      <c r="J208" s="152"/>
      <c r="K208" s="152"/>
      <c r="L208" s="156"/>
      <c r="M208" s="152"/>
      <c r="N208" s="152"/>
      <c r="O208" s="152"/>
      <c r="P208" s="152"/>
      <c r="Q208" s="152"/>
      <c r="R208" s="152"/>
      <c r="S208" s="152"/>
      <c r="T208" s="152"/>
      <c r="U208" s="152"/>
      <c r="V208" s="152"/>
      <c r="W208" s="281"/>
      <c r="X208" s="281"/>
      <c r="Y208" s="281"/>
      <c r="Z208" s="281"/>
      <c r="AA208" s="281"/>
      <c r="AB208" s="281"/>
      <c r="AC208" s="281"/>
      <c r="AD208" s="170"/>
      <c r="AE208" s="152"/>
      <c r="AF208" s="152"/>
      <c r="AG208" s="152"/>
      <c r="AH208" s="152"/>
      <c r="AI208" s="152"/>
      <c r="AJ208" s="152"/>
      <c r="AK208" s="152"/>
      <c r="AL208" s="152"/>
      <c r="AM208" s="152"/>
      <c r="AN208" s="152"/>
      <c r="AO208" s="152"/>
    </row>
    <row r="209" ht="12.75" customHeight="1">
      <c r="A209" s="288"/>
      <c r="B209" s="288"/>
      <c r="C209" s="288"/>
      <c r="D209" s="152"/>
      <c r="E209" s="289"/>
      <c r="F209" s="288"/>
      <c r="G209" s="152"/>
      <c r="H209" s="289"/>
      <c r="I209" s="289"/>
      <c r="J209" s="152"/>
      <c r="K209" s="152"/>
      <c r="L209" s="156"/>
      <c r="M209" s="152"/>
      <c r="N209" s="152"/>
      <c r="O209" s="152"/>
      <c r="P209" s="152"/>
      <c r="Q209" s="152"/>
      <c r="R209" s="152"/>
      <c r="S209" s="152"/>
      <c r="T209" s="152"/>
      <c r="U209" s="152"/>
      <c r="V209" s="152"/>
      <c r="W209" s="281"/>
      <c r="X209" s="281"/>
      <c r="Y209" s="281"/>
      <c r="Z209" s="281"/>
      <c r="AA209" s="281"/>
      <c r="AB209" s="281"/>
      <c r="AC209" s="281"/>
      <c r="AD209" s="170"/>
      <c r="AE209" s="152"/>
      <c r="AF209" s="152"/>
      <c r="AG209" s="152"/>
      <c r="AH209" s="152"/>
      <c r="AI209" s="152"/>
      <c r="AJ209" s="152"/>
      <c r="AK209" s="152"/>
      <c r="AL209" s="152"/>
      <c r="AM209" s="152"/>
      <c r="AN209" s="152"/>
      <c r="AO209" s="152"/>
    </row>
    <row r="210" ht="12.75" customHeight="1">
      <c r="A210" s="288"/>
      <c r="B210" s="288"/>
      <c r="C210" s="288"/>
      <c r="D210" s="152"/>
      <c r="E210" s="289"/>
      <c r="F210" s="288"/>
      <c r="G210" s="152"/>
      <c r="H210" s="289"/>
      <c r="I210" s="289"/>
      <c r="J210" s="152"/>
      <c r="K210" s="152"/>
      <c r="L210" s="156"/>
      <c r="M210" s="152"/>
      <c r="N210" s="152"/>
      <c r="O210" s="152"/>
      <c r="P210" s="152"/>
      <c r="Q210" s="152"/>
      <c r="R210" s="152"/>
      <c r="S210" s="152"/>
      <c r="T210" s="152"/>
      <c r="U210" s="152"/>
      <c r="V210" s="152"/>
      <c r="W210" s="281"/>
      <c r="X210" s="281"/>
      <c r="Y210" s="281"/>
      <c r="Z210" s="281"/>
      <c r="AA210" s="281"/>
      <c r="AB210" s="281"/>
      <c r="AC210" s="281"/>
      <c r="AD210" s="170"/>
      <c r="AE210" s="152"/>
      <c r="AF210" s="152"/>
      <c r="AG210" s="152"/>
      <c r="AH210" s="152"/>
      <c r="AI210" s="152"/>
      <c r="AJ210" s="152"/>
      <c r="AK210" s="152"/>
      <c r="AL210" s="152"/>
      <c r="AM210" s="152"/>
      <c r="AN210" s="152"/>
      <c r="AO210" s="152"/>
    </row>
    <row r="211" ht="12.75" customHeight="1">
      <c r="A211" s="288"/>
      <c r="B211" s="288"/>
      <c r="C211" s="288"/>
      <c r="D211" s="152"/>
      <c r="E211" s="289"/>
      <c r="F211" s="288"/>
      <c r="G211" s="152"/>
      <c r="H211" s="289"/>
      <c r="I211" s="289"/>
      <c r="J211" s="152"/>
      <c r="K211" s="152"/>
      <c r="L211" s="156"/>
      <c r="M211" s="152"/>
      <c r="N211" s="152"/>
      <c r="O211" s="152"/>
      <c r="P211" s="152"/>
      <c r="Q211" s="152"/>
      <c r="R211" s="152"/>
      <c r="S211" s="152"/>
      <c r="T211" s="152"/>
      <c r="U211" s="152"/>
      <c r="V211" s="152"/>
      <c r="W211" s="281"/>
      <c r="X211" s="281"/>
      <c r="Y211" s="281"/>
      <c r="Z211" s="281"/>
      <c r="AA211" s="281"/>
      <c r="AB211" s="281"/>
      <c r="AC211" s="281"/>
      <c r="AD211" s="170"/>
      <c r="AE211" s="152"/>
      <c r="AF211" s="152"/>
      <c r="AG211" s="152"/>
      <c r="AH211" s="152"/>
      <c r="AI211" s="152"/>
      <c r="AJ211" s="152"/>
      <c r="AK211" s="152"/>
      <c r="AL211" s="152"/>
      <c r="AM211" s="152"/>
      <c r="AN211" s="152"/>
      <c r="AO211" s="152"/>
    </row>
    <row r="212" ht="12.75" customHeight="1">
      <c r="A212" s="288"/>
      <c r="B212" s="288"/>
      <c r="C212" s="288"/>
      <c r="D212" s="152"/>
      <c r="E212" s="289"/>
      <c r="F212" s="288"/>
      <c r="G212" s="152"/>
      <c r="H212" s="289"/>
      <c r="I212" s="289"/>
      <c r="J212" s="152"/>
      <c r="K212" s="152"/>
      <c r="L212" s="156"/>
      <c r="M212" s="152"/>
      <c r="N212" s="152"/>
      <c r="O212" s="152"/>
      <c r="P212" s="152"/>
      <c r="Q212" s="152"/>
      <c r="R212" s="152"/>
      <c r="S212" s="152"/>
      <c r="T212" s="152"/>
      <c r="U212" s="152"/>
      <c r="V212" s="152"/>
      <c r="W212" s="281"/>
      <c r="X212" s="281"/>
      <c r="Y212" s="281"/>
      <c r="Z212" s="281"/>
      <c r="AA212" s="281"/>
      <c r="AB212" s="281"/>
      <c r="AC212" s="281"/>
      <c r="AD212" s="170"/>
      <c r="AE212" s="152"/>
      <c r="AF212" s="152"/>
      <c r="AG212" s="152"/>
      <c r="AH212" s="152"/>
      <c r="AI212" s="152"/>
      <c r="AJ212" s="152"/>
      <c r="AK212" s="152"/>
      <c r="AL212" s="152"/>
      <c r="AM212" s="152"/>
      <c r="AN212" s="152"/>
      <c r="AO212" s="152"/>
    </row>
    <row r="213" ht="12.75" customHeight="1">
      <c r="A213" s="288"/>
      <c r="B213" s="288"/>
      <c r="C213" s="288"/>
      <c r="D213" s="152"/>
      <c r="E213" s="289"/>
      <c r="F213" s="288"/>
      <c r="G213" s="152"/>
      <c r="H213" s="289"/>
      <c r="I213" s="289"/>
      <c r="J213" s="152"/>
      <c r="K213" s="152"/>
      <c r="L213" s="156"/>
      <c r="M213" s="152"/>
      <c r="N213" s="152"/>
      <c r="O213" s="152"/>
      <c r="P213" s="152"/>
      <c r="Q213" s="152"/>
      <c r="R213" s="152"/>
      <c r="S213" s="152"/>
      <c r="T213" s="152"/>
      <c r="U213" s="152"/>
      <c r="V213" s="152"/>
      <c r="W213" s="281"/>
      <c r="X213" s="281"/>
      <c r="Y213" s="281"/>
      <c r="Z213" s="281"/>
      <c r="AA213" s="281"/>
      <c r="AB213" s="281"/>
      <c r="AC213" s="281"/>
      <c r="AD213" s="170"/>
      <c r="AE213" s="152"/>
      <c r="AF213" s="152"/>
      <c r="AG213" s="152"/>
      <c r="AH213" s="152"/>
      <c r="AI213" s="152"/>
      <c r="AJ213" s="152"/>
      <c r="AK213" s="152"/>
      <c r="AL213" s="152"/>
      <c r="AM213" s="152"/>
      <c r="AN213" s="152"/>
      <c r="AO213" s="152"/>
    </row>
    <row r="214" ht="12.75" customHeight="1">
      <c r="A214" s="288"/>
      <c r="B214" s="288"/>
      <c r="C214" s="288"/>
      <c r="D214" s="152"/>
      <c r="E214" s="289"/>
      <c r="F214" s="288"/>
      <c r="G214" s="152"/>
      <c r="H214" s="289"/>
      <c r="I214" s="289"/>
      <c r="J214" s="152"/>
      <c r="K214" s="152"/>
      <c r="L214" s="156"/>
      <c r="M214" s="152"/>
      <c r="N214" s="152"/>
      <c r="O214" s="152"/>
      <c r="P214" s="152"/>
      <c r="Q214" s="152"/>
      <c r="R214" s="152"/>
      <c r="S214" s="152"/>
      <c r="T214" s="152"/>
      <c r="U214" s="152"/>
      <c r="V214" s="152"/>
      <c r="W214" s="281"/>
      <c r="X214" s="281"/>
      <c r="Y214" s="281"/>
      <c r="Z214" s="281"/>
      <c r="AA214" s="281"/>
      <c r="AB214" s="281"/>
      <c r="AC214" s="281"/>
      <c r="AD214" s="170"/>
      <c r="AE214" s="152"/>
      <c r="AF214" s="152"/>
      <c r="AG214" s="152"/>
      <c r="AH214" s="152"/>
      <c r="AI214" s="152"/>
      <c r="AJ214" s="152"/>
      <c r="AK214" s="152"/>
      <c r="AL214" s="152"/>
      <c r="AM214" s="152"/>
      <c r="AN214" s="152"/>
      <c r="AO214" s="152"/>
    </row>
    <row r="215" ht="12.75" customHeight="1">
      <c r="A215" s="288"/>
      <c r="B215" s="288"/>
      <c r="C215" s="288"/>
      <c r="D215" s="152"/>
      <c r="E215" s="289"/>
      <c r="F215" s="288"/>
      <c r="G215" s="152"/>
      <c r="H215" s="289"/>
      <c r="I215" s="289"/>
      <c r="J215" s="152"/>
      <c r="K215" s="152"/>
      <c r="L215" s="156"/>
      <c r="M215" s="152"/>
      <c r="N215" s="152"/>
      <c r="O215" s="152"/>
      <c r="P215" s="152"/>
      <c r="Q215" s="152"/>
      <c r="R215" s="152"/>
      <c r="S215" s="152"/>
      <c r="T215" s="152"/>
      <c r="U215" s="152"/>
      <c r="V215" s="152"/>
      <c r="W215" s="281"/>
      <c r="X215" s="281"/>
      <c r="Y215" s="281"/>
      <c r="Z215" s="281"/>
      <c r="AA215" s="281"/>
      <c r="AB215" s="281"/>
      <c r="AC215" s="281"/>
      <c r="AD215" s="170"/>
      <c r="AE215" s="152"/>
      <c r="AF215" s="152"/>
      <c r="AG215" s="152"/>
      <c r="AH215" s="152"/>
      <c r="AI215" s="152"/>
      <c r="AJ215" s="152"/>
      <c r="AK215" s="152"/>
      <c r="AL215" s="152"/>
      <c r="AM215" s="152"/>
      <c r="AN215" s="152"/>
      <c r="AO215" s="152"/>
    </row>
    <row r="216" ht="12.75" customHeight="1">
      <c r="A216" s="288"/>
      <c r="B216" s="288"/>
      <c r="C216" s="288"/>
      <c r="D216" s="152"/>
      <c r="E216" s="289"/>
      <c r="F216" s="288"/>
      <c r="G216" s="152"/>
      <c r="H216" s="289"/>
      <c r="I216" s="289"/>
      <c r="J216" s="152"/>
      <c r="K216" s="152"/>
      <c r="L216" s="156"/>
      <c r="M216" s="152"/>
      <c r="N216" s="152"/>
      <c r="O216" s="152"/>
      <c r="P216" s="152"/>
      <c r="Q216" s="152"/>
      <c r="R216" s="152"/>
      <c r="S216" s="152"/>
      <c r="T216" s="152"/>
      <c r="U216" s="152"/>
      <c r="V216" s="152"/>
      <c r="W216" s="281"/>
      <c r="X216" s="281"/>
      <c r="Y216" s="281"/>
      <c r="Z216" s="281"/>
      <c r="AA216" s="281"/>
      <c r="AB216" s="281"/>
      <c r="AC216" s="281"/>
      <c r="AD216" s="170"/>
      <c r="AE216" s="152"/>
      <c r="AF216" s="152"/>
      <c r="AG216" s="152"/>
      <c r="AH216" s="152"/>
      <c r="AI216" s="152"/>
      <c r="AJ216" s="152"/>
      <c r="AK216" s="152"/>
      <c r="AL216" s="152"/>
      <c r="AM216" s="152"/>
      <c r="AN216" s="152"/>
      <c r="AO216" s="152"/>
    </row>
    <row r="217" ht="12.75" customHeight="1">
      <c r="A217" s="288"/>
      <c r="B217" s="288"/>
      <c r="C217" s="288"/>
      <c r="D217" s="152"/>
      <c r="E217" s="289"/>
      <c r="F217" s="288"/>
      <c r="G217" s="152"/>
      <c r="H217" s="289"/>
      <c r="I217" s="289"/>
      <c r="J217" s="152"/>
      <c r="K217" s="152"/>
      <c r="L217" s="156"/>
      <c r="M217" s="152"/>
      <c r="N217" s="152"/>
      <c r="O217" s="152"/>
      <c r="P217" s="152"/>
      <c r="Q217" s="152"/>
      <c r="R217" s="152"/>
      <c r="S217" s="152"/>
      <c r="T217" s="152"/>
      <c r="U217" s="152"/>
      <c r="V217" s="152"/>
      <c r="W217" s="281"/>
      <c r="X217" s="281"/>
      <c r="Y217" s="281"/>
      <c r="Z217" s="281"/>
      <c r="AA217" s="281"/>
      <c r="AB217" s="281"/>
      <c r="AC217" s="281"/>
      <c r="AD217" s="170"/>
      <c r="AE217" s="152"/>
      <c r="AF217" s="152"/>
      <c r="AG217" s="152"/>
      <c r="AH217" s="152"/>
      <c r="AI217" s="152"/>
      <c r="AJ217" s="152"/>
      <c r="AK217" s="152"/>
      <c r="AL217" s="152"/>
      <c r="AM217" s="152"/>
      <c r="AN217" s="152"/>
      <c r="AO217" s="152"/>
    </row>
    <row r="218" ht="12.75" customHeight="1">
      <c r="A218" s="288"/>
      <c r="B218" s="288"/>
      <c r="C218" s="288"/>
      <c r="D218" s="152"/>
      <c r="E218" s="289"/>
      <c r="F218" s="288"/>
      <c r="G218" s="152"/>
      <c r="H218" s="289"/>
      <c r="I218" s="289"/>
      <c r="J218" s="152"/>
      <c r="K218" s="152"/>
      <c r="L218" s="156"/>
      <c r="M218" s="152"/>
      <c r="N218" s="152"/>
      <c r="O218" s="152"/>
      <c r="P218" s="152"/>
      <c r="Q218" s="152"/>
      <c r="R218" s="152"/>
      <c r="S218" s="152"/>
      <c r="T218" s="152"/>
      <c r="U218" s="152"/>
      <c r="V218" s="152"/>
      <c r="W218" s="281"/>
      <c r="X218" s="281"/>
      <c r="Y218" s="281"/>
      <c r="Z218" s="281"/>
      <c r="AA218" s="281"/>
      <c r="AB218" s="281"/>
      <c r="AC218" s="281"/>
      <c r="AD218" s="170"/>
      <c r="AE218" s="152"/>
      <c r="AF218" s="152"/>
      <c r="AG218" s="152"/>
      <c r="AH218" s="152"/>
      <c r="AI218" s="152"/>
      <c r="AJ218" s="152"/>
      <c r="AK218" s="152"/>
      <c r="AL218" s="152"/>
      <c r="AM218" s="152"/>
      <c r="AN218" s="152"/>
      <c r="AO218" s="152"/>
    </row>
    <row r="219" ht="12.75" customHeight="1">
      <c r="A219" s="288"/>
      <c r="B219" s="288"/>
      <c r="C219" s="288"/>
      <c r="D219" s="152"/>
      <c r="E219" s="289"/>
      <c r="F219" s="288"/>
      <c r="G219" s="152"/>
      <c r="H219" s="289"/>
      <c r="I219" s="289"/>
      <c r="J219" s="152"/>
      <c r="K219" s="152"/>
      <c r="L219" s="156"/>
      <c r="M219" s="152"/>
      <c r="N219" s="152"/>
      <c r="O219" s="152"/>
      <c r="P219" s="152"/>
      <c r="Q219" s="152"/>
      <c r="R219" s="152"/>
      <c r="S219" s="152"/>
      <c r="T219" s="152"/>
      <c r="U219" s="152"/>
      <c r="V219" s="152"/>
      <c r="W219" s="281"/>
      <c r="X219" s="281"/>
      <c r="Y219" s="281"/>
      <c r="Z219" s="281"/>
      <c r="AA219" s="281"/>
      <c r="AB219" s="281"/>
      <c r="AC219" s="281"/>
      <c r="AD219" s="170"/>
      <c r="AE219" s="152"/>
      <c r="AF219" s="152"/>
      <c r="AG219" s="152"/>
      <c r="AH219" s="152"/>
      <c r="AI219" s="152"/>
      <c r="AJ219" s="152"/>
      <c r="AK219" s="152"/>
      <c r="AL219" s="152"/>
      <c r="AM219" s="152"/>
      <c r="AN219" s="152"/>
      <c r="AO219" s="152"/>
    </row>
    <row r="220" ht="12.75" customHeight="1">
      <c r="A220" s="288"/>
      <c r="B220" s="288"/>
      <c r="C220" s="288"/>
      <c r="D220" s="152"/>
      <c r="E220" s="289"/>
      <c r="F220" s="288"/>
      <c r="G220" s="152"/>
      <c r="H220" s="289"/>
      <c r="I220" s="289"/>
      <c r="J220" s="152"/>
      <c r="K220" s="152"/>
      <c r="L220" s="156"/>
      <c r="M220" s="152"/>
      <c r="N220" s="152"/>
      <c r="O220" s="152"/>
      <c r="P220" s="152"/>
      <c r="Q220" s="152"/>
      <c r="R220" s="152"/>
      <c r="S220" s="152"/>
      <c r="T220" s="152"/>
      <c r="U220" s="152"/>
      <c r="V220" s="152"/>
      <c r="W220" s="281"/>
      <c r="X220" s="281"/>
      <c r="Y220" s="281"/>
      <c r="Z220" s="281"/>
      <c r="AA220" s="281"/>
      <c r="AB220" s="281"/>
      <c r="AC220" s="281"/>
      <c r="AD220" s="170"/>
      <c r="AE220" s="152"/>
      <c r="AF220" s="152"/>
      <c r="AG220" s="152"/>
      <c r="AH220" s="152"/>
      <c r="AI220" s="152"/>
      <c r="AJ220" s="152"/>
      <c r="AK220" s="152"/>
      <c r="AL220" s="152"/>
      <c r="AM220" s="152"/>
      <c r="AN220" s="152"/>
      <c r="AO220" s="152"/>
    </row>
    <row r="221" ht="12.75" customHeight="1">
      <c r="A221" s="288"/>
      <c r="B221" s="288"/>
      <c r="C221" s="288"/>
      <c r="D221" s="152"/>
      <c r="E221" s="289"/>
      <c r="F221" s="288"/>
      <c r="G221" s="152"/>
      <c r="H221" s="289"/>
      <c r="I221" s="289"/>
      <c r="J221" s="152"/>
      <c r="K221" s="152"/>
      <c r="L221" s="156"/>
      <c r="M221" s="152"/>
      <c r="N221" s="152"/>
      <c r="O221" s="152"/>
      <c r="P221" s="152"/>
      <c r="Q221" s="152"/>
      <c r="R221" s="152"/>
      <c r="S221" s="152"/>
      <c r="T221" s="152"/>
      <c r="U221" s="152"/>
      <c r="V221" s="152"/>
      <c r="W221" s="281"/>
      <c r="X221" s="281"/>
      <c r="Y221" s="281"/>
      <c r="Z221" s="281"/>
      <c r="AA221" s="281"/>
      <c r="AB221" s="281"/>
      <c r="AC221" s="281"/>
      <c r="AD221" s="170"/>
      <c r="AE221" s="152"/>
      <c r="AF221" s="152"/>
      <c r="AG221" s="152"/>
      <c r="AH221" s="152"/>
      <c r="AI221" s="152"/>
      <c r="AJ221" s="152"/>
      <c r="AK221" s="152"/>
      <c r="AL221" s="152"/>
      <c r="AM221" s="152"/>
      <c r="AN221" s="152"/>
      <c r="AO221" s="152"/>
    </row>
    <row r="222" ht="12.75" customHeight="1">
      <c r="A222" s="288"/>
      <c r="B222" s="288"/>
      <c r="C222" s="288"/>
      <c r="D222" s="152"/>
      <c r="E222" s="289"/>
      <c r="F222" s="288"/>
      <c r="G222" s="152"/>
      <c r="H222" s="289"/>
      <c r="I222" s="289"/>
      <c r="J222" s="152"/>
      <c r="K222" s="152"/>
      <c r="L222" s="156"/>
      <c r="M222" s="152"/>
      <c r="N222" s="152"/>
      <c r="O222" s="152"/>
      <c r="P222" s="152"/>
      <c r="Q222" s="152"/>
      <c r="R222" s="152"/>
      <c r="S222" s="152"/>
      <c r="T222" s="152"/>
      <c r="U222" s="152"/>
      <c r="V222" s="152"/>
      <c r="W222" s="281"/>
      <c r="X222" s="281"/>
      <c r="Y222" s="281"/>
      <c r="Z222" s="281"/>
      <c r="AA222" s="281"/>
      <c r="AB222" s="281"/>
      <c r="AC222" s="281"/>
      <c r="AD222" s="170"/>
      <c r="AE222" s="152"/>
      <c r="AF222" s="152"/>
      <c r="AG222" s="152"/>
      <c r="AH222" s="152"/>
      <c r="AI222" s="152"/>
      <c r="AJ222" s="152"/>
      <c r="AK222" s="152"/>
      <c r="AL222" s="152"/>
      <c r="AM222" s="152"/>
      <c r="AN222" s="152"/>
      <c r="AO222" s="152"/>
    </row>
    <row r="223" ht="12.75" customHeight="1">
      <c r="A223" s="288"/>
      <c r="B223" s="288"/>
      <c r="C223" s="288"/>
      <c r="D223" s="152"/>
      <c r="E223" s="289"/>
      <c r="F223" s="288"/>
      <c r="G223" s="152"/>
      <c r="H223" s="289"/>
      <c r="I223" s="289"/>
      <c r="J223" s="152"/>
      <c r="K223" s="152"/>
      <c r="L223" s="156"/>
      <c r="M223" s="152"/>
      <c r="N223" s="152"/>
      <c r="O223" s="152"/>
      <c r="P223" s="152"/>
      <c r="Q223" s="152"/>
      <c r="R223" s="152"/>
      <c r="S223" s="152"/>
      <c r="T223" s="152"/>
      <c r="U223" s="152"/>
      <c r="V223" s="152"/>
      <c r="W223" s="281"/>
      <c r="X223" s="281"/>
      <c r="Y223" s="281"/>
      <c r="Z223" s="281"/>
      <c r="AA223" s="281"/>
      <c r="AB223" s="281"/>
      <c r="AC223" s="281"/>
      <c r="AD223" s="170"/>
      <c r="AE223" s="152"/>
      <c r="AF223" s="152"/>
      <c r="AG223" s="152"/>
      <c r="AH223" s="152"/>
      <c r="AI223" s="152"/>
      <c r="AJ223" s="152"/>
      <c r="AK223" s="152"/>
      <c r="AL223" s="152"/>
      <c r="AM223" s="152"/>
      <c r="AN223" s="152"/>
      <c r="AO223" s="152"/>
    </row>
    <row r="224" ht="12.75" customHeight="1">
      <c r="A224" s="288"/>
      <c r="B224" s="288"/>
      <c r="C224" s="288"/>
      <c r="D224" s="152"/>
      <c r="E224" s="289"/>
      <c r="F224" s="288"/>
      <c r="G224" s="152"/>
      <c r="H224" s="289"/>
      <c r="I224" s="289"/>
      <c r="J224" s="152"/>
      <c r="K224" s="152"/>
      <c r="L224" s="156"/>
      <c r="M224" s="152"/>
      <c r="N224" s="152"/>
      <c r="O224" s="152"/>
      <c r="P224" s="152"/>
      <c r="Q224" s="152"/>
      <c r="R224" s="152"/>
      <c r="S224" s="152"/>
      <c r="T224" s="152"/>
      <c r="U224" s="152"/>
      <c r="V224" s="152"/>
      <c r="W224" s="281"/>
      <c r="X224" s="281"/>
      <c r="Y224" s="281"/>
      <c r="Z224" s="281"/>
      <c r="AA224" s="281"/>
      <c r="AB224" s="281"/>
      <c r="AC224" s="281"/>
      <c r="AD224" s="170"/>
      <c r="AE224" s="152"/>
      <c r="AF224" s="152"/>
      <c r="AG224" s="152"/>
      <c r="AH224" s="152"/>
      <c r="AI224" s="152"/>
      <c r="AJ224" s="152"/>
      <c r="AK224" s="152"/>
      <c r="AL224" s="152"/>
      <c r="AM224" s="152"/>
      <c r="AN224" s="152"/>
      <c r="AO224" s="152"/>
    </row>
    <row r="225" ht="12.75" customHeight="1">
      <c r="A225" s="288"/>
      <c r="B225" s="288"/>
      <c r="C225" s="288"/>
      <c r="D225" s="152"/>
      <c r="E225" s="289"/>
      <c r="F225" s="288"/>
      <c r="G225" s="152"/>
      <c r="H225" s="289"/>
      <c r="I225" s="289"/>
      <c r="J225" s="152"/>
      <c r="K225" s="152"/>
      <c r="L225" s="156"/>
      <c r="M225" s="152"/>
      <c r="N225" s="152"/>
      <c r="O225" s="152"/>
      <c r="P225" s="152"/>
      <c r="Q225" s="152"/>
      <c r="R225" s="152"/>
      <c r="S225" s="152"/>
      <c r="T225" s="152"/>
      <c r="U225" s="152"/>
      <c r="V225" s="152"/>
      <c r="W225" s="281"/>
      <c r="X225" s="281"/>
      <c r="Y225" s="281"/>
      <c r="Z225" s="281"/>
      <c r="AA225" s="281"/>
      <c r="AB225" s="281"/>
      <c r="AC225" s="281"/>
      <c r="AD225" s="170"/>
      <c r="AE225" s="152"/>
      <c r="AF225" s="152"/>
      <c r="AG225" s="152"/>
      <c r="AH225" s="152"/>
      <c r="AI225" s="152"/>
      <c r="AJ225" s="152"/>
      <c r="AK225" s="152"/>
      <c r="AL225" s="152"/>
      <c r="AM225" s="152"/>
      <c r="AN225" s="152"/>
      <c r="AO225" s="152"/>
    </row>
    <row r="226" ht="12.75" customHeight="1">
      <c r="A226" s="288"/>
      <c r="B226" s="288"/>
      <c r="C226" s="288"/>
      <c r="D226" s="152"/>
      <c r="E226" s="289"/>
      <c r="F226" s="288"/>
      <c r="G226" s="152"/>
      <c r="H226" s="289"/>
      <c r="I226" s="289"/>
      <c r="J226" s="152"/>
      <c r="K226" s="152"/>
      <c r="L226" s="156"/>
      <c r="M226" s="152"/>
      <c r="N226" s="152"/>
      <c r="O226" s="152"/>
      <c r="P226" s="152"/>
      <c r="Q226" s="152"/>
      <c r="R226" s="152"/>
      <c r="S226" s="152"/>
      <c r="T226" s="152"/>
      <c r="U226" s="152"/>
      <c r="V226" s="152"/>
      <c r="W226" s="281"/>
      <c r="X226" s="281"/>
      <c r="Y226" s="281"/>
      <c r="Z226" s="281"/>
      <c r="AA226" s="281"/>
      <c r="AB226" s="281"/>
      <c r="AC226" s="281"/>
      <c r="AD226" s="170"/>
      <c r="AE226" s="152"/>
      <c r="AF226" s="152"/>
      <c r="AG226" s="152"/>
      <c r="AH226" s="152"/>
      <c r="AI226" s="152"/>
      <c r="AJ226" s="152"/>
      <c r="AK226" s="152"/>
      <c r="AL226" s="152"/>
      <c r="AM226" s="152"/>
      <c r="AN226" s="152"/>
      <c r="AO226" s="152"/>
    </row>
    <row r="227" ht="12.75" customHeight="1">
      <c r="A227" s="288"/>
      <c r="B227" s="288"/>
      <c r="C227" s="288"/>
      <c r="D227" s="152"/>
      <c r="E227" s="289"/>
      <c r="F227" s="288"/>
      <c r="G227" s="152"/>
      <c r="H227" s="289"/>
      <c r="I227" s="289"/>
      <c r="J227" s="152"/>
      <c r="K227" s="152"/>
      <c r="L227" s="156"/>
      <c r="M227" s="152"/>
      <c r="N227" s="152"/>
      <c r="O227" s="152"/>
      <c r="P227" s="152"/>
      <c r="Q227" s="152"/>
      <c r="R227" s="152"/>
      <c r="S227" s="152"/>
      <c r="T227" s="152"/>
      <c r="U227" s="152"/>
      <c r="V227" s="152"/>
      <c r="W227" s="281"/>
      <c r="X227" s="281"/>
      <c r="Y227" s="281"/>
      <c r="Z227" s="281"/>
      <c r="AA227" s="281"/>
      <c r="AB227" s="281"/>
      <c r="AC227" s="281"/>
      <c r="AD227" s="170"/>
      <c r="AE227" s="152"/>
      <c r="AF227" s="152"/>
      <c r="AG227" s="152"/>
      <c r="AH227" s="152"/>
      <c r="AI227" s="152"/>
      <c r="AJ227" s="152"/>
      <c r="AK227" s="152"/>
      <c r="AL227" s="152"/>
      <c r="AM227" s="152"/>
      <c r="AN227" s="152"/>
      <c r="AO227" s="152"/>
    </row>
    <row r="228" ht="12.75" customHeight="1">
      <c r="A228" s="288"/>
      <c r="B228" s="288"/>
      <c r="C228" s="288"/>
      <c r="D228" s="152"/>
      <c r="E228" s="289"/>
      <c r="F228" s="288"/>
      <c r="G228" s="152"/>
      <c r="H228" s="289"/>
      <c r="I228" s="289"/>
      <c r="J228" s="152"/>
      <c r="K228" s="152"/>
      <c r="L228" s="156"/>
      <c r="M228" s="152"/>
      <c r="N228" s="152"/>
      <c r="O228" s="152"/>
      <c r="P228" s="152"/>
      <c r="Q228" s="152"/>
      <c r="R228" s="152"/>
      <c r="S228" s="152"/>
      <c r="T228" s="152"/>
      <c r="U228" s="152"/>
      <c r="V228" s="152"/>
      <c r="W228" s="281"/>
      <c r="X228" s="281"/>
      <c r="Y228" s="281"/>
      <c r="Z228" s="281"/>
      <c r="AA228" s="281"/>
      <c r="AB228" s="281"/>
      <c r="AC228" s="281"/>
      <c r="AD228" s="170"/>
      <c r="AE228" s="152"/>
      <c r="AF228" s="152"/>
      <c r="AG228" s="152"/>
      <c r="AH228" s="152"/>
      <c r="AI228" s="152"/>
      <c r="AJ228" s="152"/>
      <c r="AK228" s="152"/>
      <c r="AL228" s="152"/>
      <c r="AM228" s="152"/>
      <c r="AN228" s="152"/>
      <c r="AO228" s="152"/>
    </row>
    <row r="229" ht="12.75" customHeight="1">
      <c r="A229" s="288"/>
      <c r="B229" s="288"/>
      <c r="C229" s="288"/>
      <c r="D229" s="152"/>
      <c r="E229" s="289"/>
      <c r="F229" s="288"/>
      <c r="G229" s="152"/>
      <c r="H229" s="289"/>
      <c r="I229" s="289"/>
      <c r="J229" s="152"/>
      <c r="K229" s="152"/>
      <c r="L229" s="156"/>
      <c r="M229" s="152"/>
      <c r="N229" s="152"/>
      <c r="O229" s="152"/>
      <c r="P229" s="152"/>
      <c r="Q229" s="152"/>
      <c r="R229" s="152"/>
      <c r="S229" s="152"/>
      <c r="T229" s="152"/>
      <c r="U229" s="152"/>
      <c r="V229" s="152"/>
      <c r="W229" s="281"/>
      <c r="X229" s="281"/>
      <c r="Y229" s="281"/>
      <c r="Z229" s="281"/>
      <c r="AA229" s="281"/>
      <c r="AB229" s="281"/>
      <c r="AC229" s="281"/>
      <c r="AD229" s="170"/>
      <c r="AE229" s="152"/>
      <c r="AF229" s="152"/>
      <c r="AG229" s="152"/>
      <c r="AH229" s="152"/>
      <c r="AI229" s="152"/>
      <c r="AJ229" s="152"/>
      <c r="AK229" s="152"/>
      <c r="AL229" s="152"/>
      <c r="AM229" s="152"/>
      <c r="AN229" s="152"/>
      <c r="AO229" s="152"/>
    </row>
    <row r="230" ht="12.75" customHeight="1">
      <c r="A230" s="288"/>
      <c r="B230" s="288"/>
      <c r="C230" s="288"/>
      <c r="D230" s="152"/>
      <c r="E230" s="289"/>
      <c r="F230" s="288"/>
      <c r="G230" s="152"/>
      <c r="H230" s="289"/>
      <c r="I230" s="289"/>
      <c r="J230" s="152"/>
      <c r="K230" s="152"/>
      <c r="L230" s="156"/>
      <c r="M230" s="152"/>
      <c r="N230" s="152"/>
      <c r="O230" s="152"/>
      <c r="P230" s="152"/>
      <c r="Q230" s="152"/>
      <c r="R230" s="152"/>
      <c r="S230" s="152"/>
      <c r="T230" s="152"/>
      <c r="U230" s="152"/>
      <c r="V230" s="152"/>
      <c r="W230" s="281"/>
      <c r="X230" s="281"/>
      <c r="Y230" s="281"/>
      <c r="Z230" s="281"/>
      <c r="AA230" s="281"/>
      <c r="AB230" s="281"/>
      <c r="AC230" s="281"/>
      <c r="AD230" s="170"/>
      <c r="AE230" s="152"/>
      <c r="AF230" s="152"/>
      <c r="AG230" s="152"/>
      <c r="AH230" s="152"/>
      <c r="AI230" s="152"/>
      <c r="AJ230" s="152"/>
      <c r="AK230" s="152"/>
      <c r="AL230" s="152"/>
      <c r="AM230" s="152"/>
      <c r="AN230" s="152"/>
      <c r="AO230" s="152"/>
    </row>
    <row r="231" ht="12.75" customHeight="1">
      <c r="A231" s="288"/>
      <c r="B231" s="288"/>
      <c r="C231" s="288"/>
      <c r="D231" s="152"/>
      <c r="E231" s="289"/>
      <c r="F231" s="288"/>
      <c r="G231" s="152"/>
      <c r="H231" s="289"/>
      <c r="I231" s="289"/>
      <c r="J231" s="152"/>
      <c r="K231" s="152"/>
      <c r="L231" s="156"/>
      <c r="M231" s="152"/>
      <c r="N231" s="152"/>
      <c r="O231" s="152"/>
      <c r="P231" s="152"/>
      <c r="Q231" s="152"/>
      <c r="R231" s="152"/>
      <c r="S231" s="152"/>
      <c r="T231" s="152"/>
      <c r="U231" s="152"/>
      <c r="V231" s="152"/>
      <c r="W231" s="281"/>
      <c r="X231" s="281"/>
      <c r="Y231" s="281"/>
      <c r="Z231" s="281"/>
      <c r="AA231" s="281"/>
      <c r="AB231" s="281"/>
      <c r="AC231" s="281"/>
      <c r="AD231" s="170"/>
      <c r="AE231" s="152"/>
      <c r="AF231" s="152"/>
      <c r="AG231" s="152"/>
      <c r="AH231" s="152"/>
      <c r="AI231" s="152"/>
      <c r="AJ231" s="152"/>
      <c r="AK231" s="152"/>
      <c r="AL231" s="152"/>
      <c r="AM231" s="152"/>
      <c r="AN231" s="152"/>
      <c r="AO231" s="152"/>
    </row>
    <row r="232" ht="12.75" customHeight="1">
      <c r="A232" s="288"/>
      <c r="B232" s="288"/>
      <c r="C232" s="288"/>
      <c r="D232" s="152"/>
      <c r="E232" s="289"/>
      <c r="F232" s="288"/>
      <c r="G232" s="152"/>
      <c r="H232" s="289"/>
      <c r="I232" s="289"/>
      <c r="J232" s="152"/>
      <c r="K232" s="152"/>
      <c r="L232" s="156"/>
      <c r="M232" s="152"/>
      <c r="N232" s="152"/>
      <c r="O232" s="152"/>
      <c r="P232" s="152"/>
      <c r="Q232" s="152"/>
      <c r="R232" s="152"/>
      <c r="S232" s="152"/>
      <c r="T232" s="152"/>
      <c r="U232" s="152"/>
      <c r="V232" s="152"/>
      <c r="W232" s="281"/>
      <c r="X232" s="281"/>
      <c r="Y232" s="281"/>
      <c r="Z232" s="281"/>
      <c r="AA232" s="281"/>
      <c r="AB232" s="281"/>
      <c r="AC232" s="281"/>
      <c r="AD232" s="170"/>
      <c r="AE232" s="152"/>
      <c r="AF232" s="152"/>
      <c r="AG232" s="152"/>
      <c r="AH232" s="152"/>
      <c r="AI232" s="152"/>
      <c r="AJ232" s="152"/>
      <c r="AK232" s="152"/>
      <c r="AL232" s="152"/>
      <c r="AM232" s="152"/>
      <c r="AN232" s="152"/>
      <c r="AO232" s="152"/>
    </row>
    <row r="233" ht="12.75" customHeight="1">
      <c r="A233" s="288"/>
      <c r="B233" s="288"/>
      <c r="C233" s="288"/>
      <c r="D233" s="152"/>
      <c r="E233" s="289"/>
      <c r="F233" s="288"/>
      <c r="G233" s="152"/>
      <c r="H233" s="289"/>
      <c r="I233" s="289"/>
      <c r="J233" s="152"/>
      <c r="K233" s="152"/>
      <c r="L233" s="156"/>
      <c r="M233" s="152"/>
      <c r="N233" s="152"/>
      <c r="O233" s="152"/>
      <c r="P233" s="152"/>
      <c r="Q233" s="152"/>
      <c r="R233" s="152"/>
      <c r="S233" s="152"/>
      <c r="T233" s="152"/>
      <c r="U233" s="152"/>
      <c r="V233" s="152"/>
      <c r="W233" s="281"/>
      <c r="X233" s="281"/>
      <c r="Y233" s="281"/>
      <c r="Z233" s="281"/>
      <c r="AA233" s="281"/>
      <c r="AB233" s="281"/>
      <c r="AC233" s="281"/>
      <c r="AD233" s="170"/>
      <c r="AE233" s="152"/>
      <c r="AF233" s="152"/>
      <c r="AG233" s="152"/>
      <c r="AH233" s="152"/>
      <c r="AI233" s="152"/>
      <c r="AJ233" s="152"/>
      <c r="AK233" s="152"/>
      <c r="AL233" s="152"/>
      <c r="AM233" s="152"/>
      <c r="AN233" s="152"/>
      <c r="AO233" s="152"/>
    </row>
    <row r="234" ht="12.75" customHeight="1">
      <c r="A234" s="288"/>
      <c r="B234" s="288"/>
      <c r="C234" s="288"/>
      <c r="D234" s="152"/>
      <c r="E234" s="289"/>
      <c r="F234" s="288"/>
      <c r="G234" s="152"/>
      <c r="H234" s="289"/>
      <c r="I234" s="289"/>
      <c r="J234" s="152"/>
      <c r="K234" s="152"/>
      <c r="L234" s="156"/>
      <c r="M234" s="152"/>
      <c r="N234" s="152"/>
      <c r="O234" s="152"/>
      <c r="P234" s="152"/>
      <c r="Q234" s="152"/>
      <c r="R234" s="152"/>
      <c r="S234" s="152"/>
      <c r="T234" s="152"/>
      <c r="U234" s="152"/>
      <c r="V234" s="152"/>
      <c r="W234" s="281"/>
      <c r="X234" s="281"/>
      <c r="Y234" s="281"/>
      <c r="Z234" s="281"/>
      <c r="AA234" s="281"/>
      <c r="AB234" s="281"/>
      <c r="AC234" s="281"/>
      <c r="AD234" s="170"/>
      <c r="AE234" s="152"/>
      <c r="AF234" s="152"/>
      <c r="AG234" s="152"/>
      <c r="AH234" s="152"/>
      <c r="AI234" s="152"/>
      <c r="AJ234" s="152"/>
      <c r="AK234" s="152"/>
      <c r="AL234" s="152"/>
      <c r="AM234" s="152"/>
      <c r="AN234" s="152"/>
      <c r="AO234" s="152"/>
    </row>
    <row r="235" ht="12.75" customHeight="1">
      <c r="A235" s="288"/>
      <c r="B235" s="288"/>
      <c r="C235" s="288"/>
      <c r="D235" s="152"/>
      <c r="E235" s="289"/>
      <c r="F235" s="288"/>
      <c r="G235" s="152"/>
      <c r="H235" s="289"/>
      <c r="I235" s="289"/>
      <c r="J235" s="152"/>
      <c r="K235" s="152"/>
      <c r="L235" s="156"/>
      <c r="M235" s="152"/>
      <c r="N235" s="152"/>
      <c r="O235" s="152"/>
      <c r="P235" s="152"/>
      <c r="Q235" s="152"/>
      <c r="R235" s="152"/>
      <c r="S235" s="152"/>
      <c r="T235" s="152"/>
      <c r="U235" s="152"/>
      <c r="V235" s="152"/>
      <c r="W235" s="281"/>
      <c r="X235" s="281"/>
      <c r="Y235" s="281"/>
      <c r="Z235" s="281"/>
      <c r="AA235" s="281"/>
      <c r="AB235" s="281"/>
      <c r="AC235" s="281"/>
      <c r="AD235" s="170"/>
      <c r="AE235" s="152"/>
      <c r="AF235" s="152"/>
      <c r="AG235" s="152"/>
      <c r="AH235" s="152"/>
      <c r="AI235" s="152"/>
      <c r="AJ235" s="152"/>
      <c r="AK235" s="152"/>
      <c r="AL235" s="152"/>
      <c r="AM235" s="152"/>
      <c r="AN235" s="152"/>
      <c r="AO235" s="152"/>
    </row>
    <row r="236" ht="12.75" customHeight="1">
      <c r="A236" s="288"/>
      <c r="B236" s="288"/>
      <c r="C236" s="288"/>
      <c r="D236" s="152"/>
      <c r="E236" s="289"/>
      <c r="F236" s="288"/>
      <c r="G236" s="152"/>
      <c r="H236" s="289"/>
      <c r="I236" s="289"/>
      <c r="J236" s="152"/>
      <c r="K236" s="152"/>
      <c r="L236" s="156"/>
      <c r="M236" s="152"/>
      <c r="N236" s="152"/>
      <c r="O236" s="152"/>
      <c r="P236" s="152"/>
      <c r="Q236" s="152"/>
      <c r="R236" s="152"/>
      <c r="S236" s="152"/>
      <c r="T236" s="152"/>
      <c r="U236" s="152"/>
      <c r="V236" s="152"/>
      <c r="W236" s="281"/>
      <c r="X236" s="281"/>
      <c r="Y236" s="281"/>
      <c r="Z236" s="281"/>
      <c r="AA236" s="281"/>
      <c r="AB236" s="281"/>
      <c r="AC236" s="281"/>
      <c r="AD236" s="170"/>
      <c r="AE236" s="152"/>
      <c r="AF236" s="152"/>
      <c r="AG236" s="152"/>
      <c r="AH236" s="152"/>
      <c r="AI236" s="152"/>
      <c r="AJ236" s="152"/>
      <c r="AK236" s="152"/>
      <c r="AL236" s="152"/>
      <c r="AM236" s="152"/>
      <c r="AN236" s="152"/>
      <c r="AO236" s="152"/>
    </row>
    <row r="237" ht="12.75" customHeight="1">
      <c r="A237" s="288"/>
      <c r="B237" s="288"/>
      <c r="C237" s="288"/>
      <c r="D237" s="152"/>
      <c r="E237" s="289"/>
      <c r="F237" s="288"/>
      <c r="G237" s="152"/>
      <c r="H237" s="289"/>
      <c r="I237" s="289"/>
      <c r="J237" s="152"/>
      <c r="K237" s="152"/>
      <c r="L237" s="156"/>
      <c r="M237" s="152"/>
      <c r="N237" s="152"/>
      <c r="O237" s="152"/>
      <c r="P237" s="152"/>
      <c r="Q237" s="152"/>
      <c r="R237" s="152"/>
      <c r="S237" s="152"/>
      <c r="T237" s="152"/>
      <c r="U237" s="152"/>
      <c r="V237" s="152"/>
      <c r="W237" s="281"/>
      <c r="X237" s="281"/>
      <c r="Y237" s="281"/>
      <c r="Z237" s="281"/>
      <c r="AA237" s="281"/>
      <c r="AB237" s="281"/>
      <c r="AC237" s="281"/>
      <c r="AD237" s="170"/>
      <c r="AE237" s="152"/>
      <c r="AF237" s="152"/>
      <c r="AG237" s="152"/>
      <c r="AH237" s="152"/>
      <c r="AI237" s="152"/>
      <c r="AJ237" s="152"/>
      <c r="AK237" s="152"/>
      <c r="AL237" s="152"/>
      <c r="AM237" s="152"/>
      <c r="AN237" s="152"/>
      <c r="AO237" s="152"/>
    </row>
    <row r="238" ht="12.75" customHeight="1">
      <c r="A238" s="288"/>
      <c r="B238" s="288"/>
      <c r="C238" s="288"/>
      <c r="D238" s="152"/>
      <c r="E238" s="289"/>
      <c r="F238" s="288"/>
      <c r="G238" s="152"/>
      <c r="H238" s="289"/>
      <c r="I238" s="289"/>
      <c r="J238" s="152"/>
      <c r="K238" s="152"/>
      <c r="L238" s="156"/>
      <c r="M238" s="152"/>
      <c r="N238" s="152"/>
      <c r="O238" s="152"/>
      <c r="P238" s="152"/>
      <c r="Q238" s="152"/>
      <c r="R238" s="152"/>
      <c r="S238" s="152"/>
      <c r="T238" s="152"/>
      <c r="U238" s="152"/>
      <c r="V238" s="152"/>
      <c r="W238" s="281"/>
      <c r="X238" s="281"/>
      <c r="Y238" s="281"/>
      <c r="Z238" s="281"/>
      <c r="AA238" s="281"/>
      <c r="AB238" s="281"/>
      <c r="AC238" s="281"/>
      <c r="AD238" s="170"/>
      <c r="AE238" s="152"/>
      <c r="AF238" s="152"/>
      <c r="AG238" s="152"/>
      <c r="AH238" s="152"/>
      <c r="AI238" s="152"/>
      <c r="AJ238" s="152"/>
      <c r="AK238" s="152"/>
      <c r="AL238" s="152"/>
      <c r="AM238" s="152"/>
      <c r="AN238" s="152"/>
      <c r="AO238" s="152"/>
    </row>
    <row r="239" ht="12.75" customHeight="1">
      <c r="A239" s="288"/>
      <c r="B239" s="288"/>
      <c r="C239" s="288"/>
      <c r="D239" s="152"/>
      <c r="E239" s="289"/>
      <c r="F239" s="288"/>
      <c r="G239" s="152"/>
      <c r="H239" s="289"/>
      <c r="I239" s="289"/>
      <c r="J239" s="152"/>
      <c r="K239" s="152"/>
      <c r="L239" s="156"/>
      <c r="M239" s="152"/>
      <c r="N239" s="152"/>
      <c r="O239" s="152"/>
      <c r="P239" s="152"/>
      <c r="Q239" s="152"/>
      <c r="R239" s="152"/>
      <c r="S239" s="152"/>
      <c r="T239" s="152"/>
      <c r="U239" s="152"/>
      <c r="V239" s="152"/>
      <c r="W239" s="281"/>
      <c r="X239" s="281"/>
      <c r="Y239" s="281"/>
      <c r="Z239" s="281"/>
      <c r="AA239" s="281"/>
      <c r="AB239" s="281"/>
      <c r="AC239" s="281"/>
      <c r="AD239" s="170"/>
      <c r="AE239" s="152"/>
      <c r="AF239" s="152"/>
      <c r="AG239" s="152"/>
      <c r="AH239" s="152"/>
      <c r="AI239" s="152"/>
      <c r="AJ239" s="152"/>
      <c r="AK239" s="152"/>
      <c r="AL239" s="152"/>
      <c r="AM239" s="152"/>
      <c r="AN239" s="152"/>
      <c r="AO239" s="152"/>
    </row>
    <row r="240" ht="12.75" customHeight="1">
      <c r="A240" s="288"/>
      <c r="B240" s="288"/>
      <c r="C240" s="288"/>
      <c r="D240" s="152"/>
      <c r="E240" s="289"/>
      <c r="F240" s="288"/>
      <c r="G240" s="152"/>
      <c r="H240" s="289"/>
      <c r="I240" s="289"/>
      <c r="J240" s="152"/>
      <c r="K240" s="152"/>
      <c r="L240" s="156"/>
      <c r="M240" s="152"/>
      <c r="N240" s="152"/>
      <c r="O240" s="152"/>
      <c r="P240" s="152"/>
      <c r="Q240" s="152"/>
      <c r="R240" s="152"/>
      <c r="S240" s="152"/>
      <c r="T240" s="152"/>
      <c r="U240" s="152"/>
      <c r="V240" s="152"/>
      <c r="W240" s="281"/>
      <c r="X240" s="281"/>
      <c r="Y240" s="281"/>
      <c r="Z240" s="281"/>
      <c r="AA240" s="281"/>
      <c r="AB240" s="281"/>
      <c r="AC240" s="281"/>
      <c r="AD240" s="170"/>
      <c r="AE240" s="152"/>
      <c r="AF240" s="152"/>
      <c r="AG240" s="152"/>
      <c r="AH240" s="152"/>
      <c r="AI240" s="152"/>
      <c r="AJ240" s="152"/>
      <c r="AK240" s="152"/>
      <c r="AL240" s="152"/>
      <c r="AM240" s="152"/>
      <c r="AN240" s="152"/>
      <c r="AO240" s="152"/>
    </row>
    <row r="241" ht="12.75" customHeight="1">
      <c r="A241" s="288"/>
      <c r="B241" s="288"/>
      <c r="C241" s="288"/>
      <c r="D241" s="152"/>
      <c r="E241" s="289"/>
      <c r="F241" s="288"/>
      <c r="G241" s="152"/>
      <c r="H241" s="289"/>
      <c r="I241" s="289"/>
      <c r="J241" s="152"/>
      <c r="K241" s="152"/>
      <c r="L241" s="156"/>
      <c r="M241" s="152"/>
      <c r="N241" s="152"/>
      <c r="O241" s="152"/>
      <c r="P241" s="152"/>
      <c r="Q241" s="152"/>
      <c r="R241" s="152"/>
      <c r="S241" s="152"/>
      <c r="T241" s="152"/>
      <c r="U241" s="152"/>
      <c r="V241" s="152"/>
      <c r="W241" s="281"/>
      <c r="X241" s="281"/>
      <c r="Y241" s="281"/>
      <c r="Z241" s="281"/>
      <c r="AA241" s="281"/>
      <c r="AB241" s="281"/>
      <c r="AC241" s="281"/>
      <c r="AD241" s="170"/>
      <c r="AE241" s="152"/>
      <c r="AF241" s="152"/>
      <c r="AG241" s="152"/>
      <c r="AH241" s="152"/>
      <c r="AI241" s="152"/>
      <c r="AJ241" s="152"/>
      <c r="AK241" s="152"/>
      <c r="AL241" s="152"/>
      <c r="AM241" s="152"/>
      <c r="AN241" s="152"/>
      <c r="AO241" s="152"/>
    </row>
    <row r="242" ht="12.75" customHeight="1">
      <c r="A242" s="288"/>
      <c r="B242" s="288"/>
      <c r="C242" s="288"/>
      <c r="D242" s="152"/>
      <c r="E242" s="289"/>
      <c r="F242" s="288"/>
      <c r="G242" s="152"/>
      <c r="H242" s="289"/>
      <c r="I242" s="289"/>
      <c r="J242" s="152"/>
      <c r="K242" s="152"/>
      <c r="L242" s="156"/>
      <c r="M242" s="152"/>
      <c r="N242" s="152"/>
      <c r="O242" s="152"/>
      <c r="P242" s="152"/>
      <c r="Q242" s="152"/>
      <c r="R242" s="152"/>
      <c r="S242" s="152"/>
      <c r="T242" s="152"/>
      <c r="U242" s="152"/>
      <c r="V242" s="152"/>
      <c r="W242" s="281"/>
      <c r="X242" s="281"/>
      <c r="Y242" s="281"/>
      <c r="Z242" s="281"/>
      <c r="AA242" s="281"/>
      <c r="AB242" s="281"/>
      <c r="AC242" s="281"/>
      <c r="AD242" s="170"/>
      <c r="AE242" s="152"/>
      <c r="AF242" s="152"/>
      <c r="AG242" s="152"/>
      <c r="AH242" s="152"/>
      <c r="AI242" s="152"/>
      <c r="AJ242" s="152"/>
      <c r="AK242" s="152"/>
      <c r="AL242" s="152"/>
      <c r="AM242" s="152"/>
      <c r="AN242" s="152"/>
      <c r="AO242" s="152"/>
    </row>
    <row r="243" ht="12.75" customHeight="1">
      <c r="A243" s="288"/>
      <c r="B243" s="288"/>
      <c r="C243" s="288"/>
      <c r="D243" s="152"/>
      <c r="E243" s="289"/>
      <c r="F243" s="288"/>
      <c r="G243" s="152"/>
      <c r="H243" s="289"/>
      <c r="I243" s="289"/>
      <c r="J243" s="152"/>
      <c r="K243" s="152"/>
      <c r="L243" s="156"/>
      <c r="M243" s="152"/>
      <c r="N243" s="152"/>
      <c r="O243" s="152"/>
      <c r="P243" s="152"/>
      <c r="Q243" s="152"/>
      <c r="R243" s="152"/>
      <c r="S243" s="152"/>
      <c r="T243" s="152"/>
      <c r="U243" s="152"/>
      <c r="V243" s="152"/>
      <c r="W243" s="281"/>
      <c r="X243" s="281"/>
      <c r="Y243" s="281"/>
      <c r="Z243" s="281"/>
      <c r="AA243" s="281"/>
      <c r="AB243" s="281"/>
      <c r="AC243" s="281"/>
      <c r="AD243" s="170"/>
      <c r="AE243" s="152"/>
      <c r="AF243" s="152"/>
      <c r="AG243" s="152"/>
      <c r="AH243" s="152"/>
      <c r="AI243" s="152"/>
      <c r="AJ243" s="152"/>
      <c r="AK243" s="152"/>
      <c r="AL243" s="152"/>
      <c r="AM243" s="152"/>
      <c r="AN243" s="152"/>
      <c r="AO243" s="152"/>
    </row>
    <row r="244" ht="12.75" customHeight="1">
      <c r="A244" s="288"/>
      <c r="B244" s="288"/>
      <c r="C244" s="288"/>
      <c r="D244" s="152"/>
      <c r="E244" s="289"/>
      <c r="F244" s="288"/>
      <c r="G244" s="152"/>
      <c r="H244" s="289"/>
      <c r="I244" s="289"/>
      <c r="J244" s="152"/>
      <c r="K244" s="152"/>
      <c r="L244" s="156"/>
      <c r="M244" s="152"/>
      <c r="N244" s="152"/>
      <c r="O244" s="152"/>
      <c r="P244" s="152"/>
      <c r="Q244" s="152"/>
      <c r="R244" s="152"/>
      <c r="S244" s="152"/>
      <c r="T244" s="152"/>
      <c r="U244" s="152"/>
      <c r="V244" s="152"/>
      <c r="W244" s="281"/>
      <c r="X244" s="281"/>
      <c r="Y244" s="281"/>
      <c r="Z244" s="281"/>
      <c r="AA244" s="281"/>
      <c r="AB244" s="281"/>
      <c r="AC244" s="281"/>
      <c r="AD244" s="170"/>
      <c r="AE244" s="152"/>
      <c r="AF244" s="152"/>
      <c r="AG244" s="152"/>
      <c r="AH244" s="152"/>
      <c r="AI244" s="152"/>
      <c r="AJ244" s="152"/>
      <c r="AK244" s="152"/>
      <c r="AL244" s="152"/>
      <c r="AM244" s="152"/>
      <c r="AN244" s="152"/>
      <c r="AO244" s="152"/>
    </row>
    <row r="245" ht="12.75" customHeight="1">
      <c r="A245" s="288"/>
      <c r="B245" s="288"/>
      <c r="C245" s="288"/>
      <c r="D245" s="152"/>
      <c r="E245" s="289"/>
      <c r="F245" s="288"/>
      <c r="G245" s="152"/>
      <c r="H245" s="289"/>
      <c r="I245" s="289"/>
      <c r="J245" s="152"/>
      <c r="K245" s="152"/>
      <c r="L245" s="156"/>
      <c r="M245" s="152"/>
      <c r="N245" s="152"/>
      <c r="O245" s="152"/>
      <c r="P245" s="152"/>
      <c r="Q245" s="152"/>
      <c r="R245" s="152"/>
      <c r="S245" s="152"/>
      <c r="T245" s="152"/>
      <c r="U245" s="152"/>
      <c r="V245" s="152"/>
      <c r="W245" s="281"/>
      <c r="X245" s="281"/>
      <c r="Y245" s="281"/>
      <c r="Z245" s="281"/>
      <c r="AA245" s="281"/>
      <c r="AB245" s="281"/>
      <c r="AC245" s="281"/>
      <c r="AD245" s="170"/>
      <c r="AE245" s="152"/>
      <c r="AF245" s="152"/>
      <c r="AG245" s="152"/>
      <c r="AH245" s="152"/>
      <c r="AI245" s="152"/>
      <c r="AJ245" s="152"/>
      <c r="AK245" s="152"/>
      <c r="AL245" s="152"/>
      <c r="AM245" s="152"/>
      <c r="AN245" s="152"/>
      <c r="AO245" s="152"/>
    </row>
    <row r="246" ht="12.75" customHeight="1">
      <c r="A246" s="288"/>
      <c r="B246" s="288"/>
      <c r="C246" s="288"/>
      <c r="D246" s="152"/>
      <c r="E246" s="289"/>
      <c r="F246" s="288"/>
      <c r="G246" s="152"/>
      <c r="H246" s="289"/>
      <c r="I246" s="289"/>
      <c r="J246" s="152"/>
      <c r="K246" s="152"/>
      <c r="L246" s="156"/>
      <c r="M246" s="152"/>
      <c r="N246" s="152"/>
      <c r="O246" s="152"/>
      <c r="P246" s="152"/>
      <c r="Q246" s="152"/>
      <c r="R246" s="152"/>
      <c r="S246" s="152"/>
      <c r="T246" s="152"/>
      <c r="U246" s="152"/>
      <c r="V246" s="152"/>
      <c r="W246" s="281"/>
      <c r="X246" s="281"/>
      <c r="Y246" s="281"/>
      <c r="Z246" s="281"/>
      <c r="AA246" s="281"/>
      <c r="AB246" s="281"/>
      <c r="AC246" s="281"/>
      <c r="AD246" s="170"/>
      <c r="AE246" s="152"/>
      <c r="AF246" s="152"/>
      <c r="AG246" s="152"/>
      <c r="AH246" s="152"/>
      <c r="AI246" s="152"/>
      <c r="AJ246" s="152"/>
      <c r="AK246" s="152"/>
      <c r="AL246" s="152"/>
      <c r="AM246" s="152"/>
      <c r="AN246" s="152"/>
      <c r="AO246" s="152"/>
    </row>
    <row r="247" ht="12.75" customHeight="1">
      <c r="A247" s="288"/>
      <c r="B247" s="288"/>
      <c r="C247" s="288"/>
      <c r="D247" s="152"/>
      <c r="E247" s="289"/>
      <c r="F247" s="288"/>
      <c r="G247" s="152"/>
      <c r="H247" s="289"/>
      <c r="I247" s="289"/>
      <c r="J247" s="152"/>
      <c r="K247" s="152"/>
      <c r="L247" s="156"/>
      <c r="M247" s="152"/>
      <c r="N247" s="152"/>
      <c r="O247" s="152"/>
      <c r="P247" s="152"/>
      <c r="Q247" s="152"/>
      <c r="R247" s="152"/>
      <c r="S247" s="152"/>
      <c r="T247" s="152"/>
      <c r="U247" s="152"/>
      <c r="V247" s="152"/>
      <c r="W247" s="281"/>
      <c r="X247" s="281"/>
      <c r="Y247" s="281"/>
      <c r="Z247" s="281"/>
      <c r="AA247" s="281"/>
      <c r="AB247" s="281"/>
      <c r="AC247" s="281"/>
      <c r="AD247" s="170"/>
      <c r="AE247" s="152"/>
      <c r="AF247" s="152"/>
      <c r="AG247" s="152"/>
      <c r="AH247" s="152"/>
      <c r="AI247" s="152"/>
      <c r="AJ247" s="152"/>
      <c r="AK247" s="152"/>
      <c r="AL247" s="152"/>
      <c r="AM247" s="152"/>
      <c r="AN247" s="152"/>
      <c r="AO247" s="152"/>
    </row>
    <row r="248" ht="12.75" customHeight="1">
      <c r="A248" s="288"/>
      <c r="B248" s="288"/>
      <c r="C248" s="288"/>
      <c r="D248" s="152"/>
      <c r="E248" s="289"/>
      <c r="F248" s="288"/>
      <c r="G248" s="152"/>
      <c r="H248" s="289"/>
      <c r="I248" s="289"/>
      <c r="J248" s="152"/>
      <c r="K248" s="152"/>
      <c r="L248" s="156"/>
      <c r="M248" s="152"/>
      <c r="N248" s="152"/>
      <c r="O248" s="152"/>
      <c r="P248" s="152"/>
      <c r="Q248" s="152"/>
      <c r="R248" s="152"/>
      <c r="S248" s="152"/>
      <c r="T248" s="152"/>
      <c r="U248" s="152"/>
      <c r="V248" s="152"/>
      <c r="W248" s="281"/>
      <c r="X248" s="281"/>
      <c r="Y248" s="281"/>
      <c r="Z248" s="281"/>
      <c r="AA248" s="281"/>
      <c r="AB248" s="281"/>
      <c r="AC248" s="281"/>
      <c r="AD248" s="170"/>
      <c r="AE248" s="152"/>
      <c r="AF248" s="152"/>
      <c r="AG248" s="152"/>
      <c r="AH248" s="152"/>
      <c r="AI248" s="152"/>
      <c r="AJ248" s="152"/>
      <c r="AK248" s="152"/>
      <c r="AL248" s="152"/>
      <c r="AM248" s="152"/>
      <c r="AN248" s="152"/>
      <c r="AO248" s="152"/>
    </row>
    <row r="249" ht="12.75" customHeight="1">
      <c r="A249" s="288"/>
      <c r="B249" s="288"/>
      <c r="C249" s="288"/>
      <c r="D249" s="152"/>
      <c r="E249" s="289"/>
      <c r="F249" s="288"/>
      <c r="G249" s="152"/>
      <c r="H249" s="289"/>
      <c r="I249" s="289"/>
      <c r="J249" s="152"/>
      <c r="K249" s="152"/>
      <c r="L249" s="156"/>
      <c r="M249" s="152"/>
      <c r="N249" s="152"/>
      <c r="O249" s="152"/>
      <c r="P249" s="152"/>
      <c r="Q249" s="152"/>
      <c r="R249" s="152"/>
      <c r="S249" s="152"/>
      <c r="T249" s="152"/>
      <c r="U249" s="152"/>
      <c r="V249" s="152"/>
      <c r="W249" s="281"/>
      <c r="X249" s="281"/>
      <c r="Y249" s="281"/>
      <c r="Z249" s="281"/>
      <c r="AA249" s="281"/>
      <c r="AB249" s="281"/>
      <c r="AC249" s="281"/>
      <c r="AD249" s="170"/>
      <c r="AE249" s="152"/>
      <c r="AF249" s="152"/>
      <c r="AG249" s="152"/>
      <c r="AH249" s="152"/>
      <c r="AI249" s="152"/>
      <c r="AJ249" s="152"/>
      <c r="AK249" s="152"/>
      <c r="AL249" s="152"/>
      <c r="AM249" s="152"/>
      <c r="AN249" s="152"/>
      <c r="AO249" s="152"/>
    </row>
    <row r="250" ht="12.75" customHeight="1">
      <c r="A250" s="288"/>
      <c r="B250" s="288"/>
      <c r="C250" s="288"/>
      <c r="D250" s="152"/>
      <c r="E250" s="289"/>
      <c r="F250" s="288"/>
      <c r="G250" s="152"/>
      <c r="H250" s="289"/>
      <c r="I250" s="289"/>
      <c r="J250" s="152"/>
      <c r="K250" s="152"/>
      <c r="L250" s="156"/>
      <c r="M250" s="152"/>
      <c r="N250" s="152"/>
      <c r="O250" s="152"/>
      <c r="P250" s="152"/>
      <c r="Q250" s="152"/>
      <c r="R250" s="152"/>
      <c r="S250" s="152"/>
      <c r="T250" s="152"/>
      <c r="U250" s="152"/>
      <c r="V250" s="152"/>
      <c r="W250" s="281"/>
      <c r="X250" s="281"/>
      <c r="Y250" s="281"/>
      <c r="Z250" s="281"/>
      <c r="AA250" s="281"/>
      <c r="AB250" s="281"/>
      <c r="AC250" s="281"/>
      <c r="AD250" s="170"/>
      <c r="AE250" s="152"/>
      <c r="AF250" s="152"/>
      <c r="AG250" s="152"/>
      <c r="AH250" s="152"/>
      <c r="AI250" s="152"/>
      <c r="AJ250" s="152"/>
      <c r="AK250" s="152"/>
      <c r="AL250" s="152"/>
      <c r="AM250" s="152"/>
      <c r="AN250" s="152"/>
      <c r="AO250" s="152"/>
    </row>
    <row r="251" ht="12.75" customHeight="1">
      <c r="A251" s="288"/>
      <c r="B251" s="288"/>
      <c r="C251" s="288"/>
      <c r="D251" s="152"/>
      <c r="E251" s="289"/>
      <c r="F251" s="288"/>
      <c r="G251" s="152"/>
      <c r="H251" s="289"/>
      <c r="I251" s="289"/>
      <c r="J251" s="152"/>
      <c r="K251" s="152"/>
      <c r="L251" s="156"/>
      <c r="M251" s="152"/>
      <c r="N251" s="152"/>
      <c r="O251" s="152"/>
      <c r="P251" s="152"/>
      <c r="Q251" s="152"/>
      <c r="R251" s="152"/>
      <c r="S251" s="152"/>
      <c r="T251" s="152"/>
      <c r="U251" s="152"/>
      <c r="V251" s="152"/>
      <c r="W251" s="281"/>
      <c r="X251" s="281"/>
      <c r="Y251" s="281"/>
      <c r="Z251" s="281"/>
      <c r="AA251" s="281"/>
      <c r="AB251" s="281"/>
      <c r="AC251" s="281"/>
      <c r="AD251" s="170"/>
      <c r="AE251" s="152"/>
      <c r="AF251" s="152"/>
      <c r="AG251" s="152"/>
      <c r="AH251" s="152"/>
      <c r="AI251" s="152"/>
      <c r="AJ251" s="152"/>
      <c r="AK251" s="152"/>
      <c r="AL251" s="152"/>
      <c r="AM251" s="152"/>
      <c r="AN251" s="152"/>
      <c r="AO251" s="152"/>
    </row>
    <row r="252" ht="12.75" customHeight="1">
      <c r="A252" s="288"/>
      <c r="B252" s="288"/>
      <c r="C252" s="288"/>
      <c r="D252" s="152"/>
      <c r="E252" s="289"/>
      <c r="F252" s="288"/>
      <c r="G252" s="152"/>
      <c r="H252" s="289"/>
      <c r="I252" s="289"/>
      <c r="J252" s="152"/>
      <c r="K252" s="152"/>
      <c r="L252" s="156"/>
      <c r="M252" s="152"/>
      <c r="N252" s="152"/>
      <c r="O252" s="152"/>
      <c r="P252" s="152"/>
      <c r="Q252" s="152"/>
      <c r="R252" s="152"/>
      <c r="S252" s="152"/>
      <c r="T252" s="152"/>
      <c r="U252" s="152"/>
      <c r="V252" s="152"/>
      <c r="W252" s="281"/>
      <c r="X252" s="281"/>
      <c r="Y252" s="281"/>
      <c r="Z252" s="281"/>
      <c r="AA252" s="281"/>
      <c r="AB252" s="281"/>
      <c r="AC252" s="281"/>
      <c r="AD252" s="170"/>
      <c r="AE252" s="152"/>
      <c r="AF252" s="152"/>
      <c r="AG252" s="152"/>
      <c r="AH252" s="152"/>
      <c r="AI252" s="152"/>
      <c r="AJ252" s="152"/>
      <c r="AK252" s="152"/>
      <c r="AL252" s="152"/>
      <c r="AM252" s="152"/>
      <c r="AN252" s="152"/>
      <c r="AO252" s="152"/>
    </row>
    <row r="253" ht="12.75" customHeight="1">
      <c r="A253" s="288"/>
      <c r="B253" s="288"/>
      <c r="C253" s="288"/>
      <c r="D253" s="152"/>
      <c r="E253" s="289"/>
      <c r="F253" s="288"/>
      <c r="G253" s="152"/>
      <c r="H253" s="289"/>
      <c r="I253" s="289"/>
      <c r="J253" s="152"/>
      <c r="K253" s="152"/>
      <c r="L253" s="156"/>
      <c r="M253" s="152"/>
      <c r="N253" s="152"/>
      <c r="O253" s="152"/>
      <c r="P253" s="152"/>
      <c r="Q253" s="152"/>
      <c r="R253" s="152"/>
      <c r="S253" s="152"/>
      <c r="T253" s="152"/>
      <c r="U253" s="152"/>
      <c r="V253" s="152"/>
      <c r="W253" s="281"/>
      <c r="X253" s="281"/>
      <c r="Y253" s="281"/>
      <c r="Z253" s="281"/>
      <c r="AA253" s="281"/>
      <c r="AB253" s="281"/>
      <c r="AC253" s="281"/>
      <c r="AD253" s="170"/>
      <c r="AE253" s="152"/>
      <c r="AF253" s="152"/>
      <c r="AG253" s="152"/>
      <c r="AH253" s="152"/>
      <c r="AI253" s="152"/>
      <c r="AJ253" s="152"/>
      <c r="AK253" s="152"/>
      <c r="AL253" s="152"/>
      <c r="AM253" s="152"/>
      <c r="AN253" s="152"/>
      <c r="AO253" s="152"/>
    </row>
    <row r="254" ht="12.75" customHeight="1">
      <c r="A254" s="288"/>
      <c r="B254" s="288"/>
      <c r="C254" s="288"/>
      <c r="D254" s="152"/>
      <c r="E254" s="289"/>
      <c r="F254" s="288"/>
      <c r="G254" s="152"/>
      <c r="H254" s="289"/>
      <c r="I254" s="289"/>
      <c r="J254" s="152"/>
      <c r="K254" s="152"/>
      <c r="L254" s="156"/>
      <c r="M254" s="152"/>
      <c r="N254" s="152"/>
      <c r="O254" s="152"/>
      <c r="P254" s="152"/>
      <c r="Q254" s="152"/>
      <c r="R254" s="152"/>
      <c r="S254" s="152"/>
      <c r="T254" s="152"/>
      <c r="U254" s="152"/>
      <c r="V254" s="152"/>
      <c r="W254" s="281"/>
      <c r="X254" s="281"/>
      <c r="Y254" s="281"/>
      <c r="Z254" s="281"/>
      <c r="AA254" s="281"/>
      <c r="AB254" s="281"/>
      <c r="AC254" s="281"/>
      <c r="AD254" s="170"/>
      <c r="AE254" s="152"/>
      <c r="AF254" s="152"/>
      <c r="AG254" s="152"/>
      <c r="AH254" s="152"/>
      <c r="AI254" s="152"/>
      <c r="AJ254" s="152"/>
      <c r="AK254" s="152"/>
      <c r="AL254" s="152"/>
      <c r="AM254" s="152"/>
      <c r="AN254" s="152"/>
      <c r="AO254" s="152"/>
    </row>
    <row r="255" ht="12.75" customHeight="1">
      <c r="A255" s="288"/>
      <c r="B255" s="288"/>
      <c r="C255" s="288"/>
      <c r="D255" s="152"/>
      <c r="E255" s="289"/>
      <c r="F255" s="288"/>
      <c r="G255" s="152"/>
      <c r="H255" s="289"/>
      <c r="I255" s="289"/>
      <c r="J255" s="152"/>
      <c r="K255" s="152"/>
      <c r="L255" s="156"/>
      <c r="M255" s="152"/>
      <c r="N255" s="152"/>
      <c r="O255" s="152"/>
      <c r="P255" s="152"/>
      <c r="Q255" s="152"/>
      <c r="R255" s="152"/>
      <c r="S255" s="152"/>
      <c r="T255" s="152"/>
      <c r="U255" s="152"/>
      <c r="V255" s="152"/>
      <c r="W255" s="281"/>
      <c r="X255" s="281"/>
      <c r="Y255" s="281"/>
      <c r="Z255" s="281"/>
      <c r="AA255" s="281"/>
      <c r="AB255" s="281"/>
      <c r="AC255" s="281"/>
      <c r="AD255" s="170"/>
      <c r="AE255" s="152"/>
      <c r="AF255" s="152"/>
      <c r="AG255" s="152"/>
      <c r="AH255" s="152"/>
      <c r="AI255" s="152"/>
      <c r="AJ255" s="152"/>
      <c r="AK255" s="152"/>
      <c r="AL255" s="152"/>
      <c r="AM255" s="152"/>
      <c r="AN255" s="152"/>
      <c r="AO255" s="152"/>
    </row>
    <row r="256" ht="12.75" customHeight="1">
      <c r="A256" s="288"/>
      <c r="B256" s="288"/>
      <c r="C256" s="288"/>
      <c r="D256" s="152"/>
      <c r="E256" s="289"/>
      <c r="F256" s="288"/>
      <c r="G256" s="152"/>
      <c r="H256" s="289"/>
      <c r="I256" s="289"/>
      <c r="J256" s="152"/>
      <c r="K256" s="152"/>
      <c r="L256" s="156"/>
      <c r="M256" s="152"/>
      <c r="N256" s="152"/>
      <c r="O256" s="152"/>
      <c r="P256" s="152"/>
      <c r="Q256" s="152"/>
      <c r="R256" s="152"/>
      <c r="S256" s="152"/>
      <c r="T256" s="152"/>
      <c r="U256" s="152"/>
      <c r="V256" s="152"/>
      <c r="W256" s="281"/>
      <c r="X256" s="281"/>
      <c r="Y256" s="281"/>
      <c r="Z256" s="281"/>
      <c r="AA256" s="281"/>
      <c r="AB256" s="281"/>
      <c r="AC256" s="281"/>
      <c r="AD256" s="170"/>
      <c r="AE256" s="152"/>
      <c r="AF256" s="152"/>
      <c r="AG256" s="152"/>
      <c r="AH256" s="152"/>
      <c r="AI256" s="152"/>
      <c r="AJ256" s="152"/>
      <c r="AK256" s="152"/>
      <c r="AL256" s="152"/>
      <c r="AM256" s="152"/>
      <c r="AN256" s="152"/>
      <c r="AO256" s="152"/>
    </row>
    <row r="257" ht="12.75" customHeight="1">
      <c r="A257" s="288"/>
      <c r="B257" s="288"/>
      <c r="C257" s="288"/>
      <c r="D257" s="152"/>
      <c r="E257" s="289"/>
      <c r="F257" s="288"/>
      <c r="G257" s="152"/>
      <c r="H257" s="289"/>
      <c r="I257" s="289"/>
      <c r="J257" s="152"/>
      <c r="K257" s="152"/>
      <c r="L257" s="156"/>
      <c r="M257" s="152"/>
      <c r="N257" s="152"/>
      <c r="O257" s="152"/>
      <c r="P257" s="152"/>
      <c r="Q257" s="152"/>
      <c r="R257" s="152"/>
      <c r="S257" s="152"/>
      <c r="T257" s="152"/>
      <c r="U257" s="152"/>
      <c r="V257" s="152"/>
      <c r="W257" s="281"/>
      <c r="X257" s="281"/>
      <c r="Y257" s="281"/>
      <c r="Z257" s="281"/>
      <c r="AA257" s="281"/>
      <c r="AB257" s="281"/>
      <c r="AC257" s="281"/>
      <c r="AD257" s="170"/>
      <c r="AE257" s="152"/>
      <c r="AF257" s="152"/>
      <c r="AG257" s="152"/>
      <c r="AH257" s="152"/>
      <c r="AI257" s="152"/>
      <c r="AJ257" s="152"/>
      <c r="AK257" s="152"/>
      <c r="AL257" s="152"/>
      <c r="AM257" s="152"/>
      <c r="AN257" s="152"/>
      <c r="AO257" s="152"/>
    </row>
    <row r="258" ht="12.75" customHeight="1">
      <c r="A258" s="288"/>
      <c r="B258" s="288"/>
      <c r="C258" s="288"/>
      <c r="D258" s="152"/>
      <c r="E258" s="289"/>
      <c r="F258" s="288"/>
      <c r="G258" s="152"/>
      <c r="H258" s="289"/>
      <c r="I258" s="289"/>
      <c r="J258" s="152"/>
      <c r="K258" s="152"/>
      <c r="L258" s="156"/>
      <c r="M258" s="152"/>
      <c r="N258" s="152"/>
      <c r="O258" s="152"/>
      <c r="P258" s="152"/>
      <c r="Q258" s="152"/>
      <c r="R258" s="152"/>
      <c r="S258" s="152"/>
      <c r="T258" s="152"/>
      <c r="U258" s="152"/>
      <c r="V258" s="152"/>
      <c r="W258" s="281"/>
      <c r="X258" s="281"/>
      <c r="Y258" s="281"/>
      <c r="Z258" s="281"/>
      <c r="AA258" s="281"/>
      <c r="AB258" s="281"/>
      <c r="AC258" s="281"/>
      <c r="AD258" s="170"/>
      <c r="AE258" s="152"/>
      <c r="AF258" s="152"/>
      <c r="AG258" s="152"/>
      <c r="AH258" s="152"/>
      <c r="AI258" s="152"/>
      <c r="AJ258" s="152"/>
      <c r="AK258" s="152"/>
      <c r="AL258" s="152"/>
      <c r="AM258" s="152"/>
      <c r="AN258" s="152"/>
      <c r="AO258" s="152"/>
    </row>
    <row r="259" ht="12.75" customHeight="1">
      <c r="A259" s="288"/>
      <c r="B259" s="288"/>
      <c r="C259" s="288"/>
      <c r="D259" s="152"/>
      <c r="E259" s="289"/>
      <c r="F259" s="288"/>
      <c r="G259" s="152"/>
      <c r="H259" s="289"/>
      <c r="I259" s="289"/>
      <c r="J259" s="152"/>
      <c r="K259" s="152"/>
      <c r="L259" s="156"/>
      <c r="M259" s="152"/>
      <c r="N259" s="152"/>
      <c r="O259" s="152"/>
      <c r="P259" s="152"/>
      <c r="Q259" s="152"/>
      <c r="R259" s="152"/>
      <c r="S259" s="152"/>
      <c r="T259" s="152"/>
      <c r="U259" s="152"/>
      <c r="V259" s="152"/>
      <c r="W259" s="281"/>
      <c r="X259" s="281"/>
      <c r="Y259" s="281"/>
      <c r="Z259" s="281"/>
      <c r="AA259" s="281"/>
      <c r="AB259" s="281"/>
      <c r="AC259" s="281"/>
      <c r="AD259" s="170"/>
      <c r="AE259" s="152"/>
      <c r="AF259" s="152"/>
      <c r="AG259" s="152"/>
      <c r="AH259" s="152"/>
      <c r="AI259" s="152"/>
      <c r="AJ259" s="152"/>
      <c r="AK259" s="152"/>
      <c r="AL259" s="152"/>
      <c r="AM259" s="152"/>
      <c r="AN259" s="152"/>
      <c r="AO259" s="152"/>
    </row>
    <row r="260" ht="12.75" customHeight="1">
      <c r="A260" s="288"/>
      <c r="B260" s="288"/>
      <c r="C260" s="288"/>
      <c r="D260" s="152"/>
      <c r="E260" s="289"/>
      <c r="F260" s="288"/>
      <c r="G260" s="152"/>
      <c r="H260" s="289"/>
      <c r="I260" s="289"/>
      <c r="J260" s="152"/>
      <c r="K260" s="152"/>
      <c r="L260" s="156"/>
      <c r="M260" s="152"/>
      <c r="N260" s="152"/>
      <c r="O260" s="152"/>
      <c r="P260" s="152"/>
      <c r="Q260" s="152"/>
      <c r="R260" s="152"/>
      <c r="S260" s="152"/>
      <c r="T260" s="152"/>
      <c r="U260" s="152"/>
      <c r="V260" s="152"/>
      <c r="W260" s="281"/>
      <c r="X260" s="281"/>
      <c r="Y260" s="281"/>
      <c r="Z260" s="281"/>
      <c r="AA260" s="281"/>
      <c r="AB260" s="281"/>
      <c r="AC260" s="281"/>
      <c r="AD260" s="170"/>
      <c r="AE260" s="152"/>
      <c r="AF260" s="152"/>
      <c r="AG260" s="152"/>
      <c r="AH260" s="152"/>
      <c r="AI260" s="152"/>
      <c r="AJ260" s="152"/>
      <c r="AK260" s="152"/>
      <c r="AL260" s="152"/>
      <c r="AM260" s="152"/>
      <c r="AN260" s="152"/>
      <c r="AO260" s="152"/>
    </row>
    <row r="261" ht="12.75" customHeight="1">
      <c r="A261" s="288"/>
      <c r="B261" s="288"/>
      <c r="C261" s="288"/>
      <c r="D261" s="152"/>
      <c r="E261" s="289"/>
      <c r="F261" s="288"/>
      <c r="G261" s="152"/>
      <c r="H261" s="289"/>
      <c r="I261" s="289"/>
      <c r="J261" s="152"/>
      <c r="K261" s="152"/>
      <c r="L261" s="156"/>
      <c r="M261" s="152"/>
      <c r="N261" s="152"/>
      <c r="O261" s="152"/>
      <c r="P261" s="152"/>
      <c r="Q261" s="152"/>
      <c r="R261" s="152"/>
      <c r="S261" s="152"/>
      <c r="T261" s="152"/>
      <c r="U261" s="152"/>
      <c r="V261" s="152"/>
      <c r="W261" s="281"/>
      <c r="X261" s="281"/>
      <c r="Y261" s="281"/>
      <c r="Z261" s="281"/>
      <c r="AA261" s="281"/>
      <c r="AB261" s="281"/>
      <c r="AC261" s="281"/>
      <c r="AD261" s="170"/>
      <c r="AE261" s="152"/>
      <c r="AF261" s="152"/>
      <c r="AG261" s="152"/>
      <c r="AH261" s="152"/>
      <c r="AI261" s="152"/>
      <c r="AJ261" s="152"/>
      <c r="AK261" s="152"/>
      <c r="AL261" s="152"/>
      <c r="AM261" s="152"/>
      <c r="AN261" s="152"/>
      <c r="AO261" s="152"/>
    </row>
    <row r="262" ht="12.75" customHeight="1">
      <c r="A262" s="288"/>
      <c r="B262" s="288"/>
      <c r="C262" s="288"/>
      <c r="D262" s="152"/>
      <c r="E262" s="289"/>
      <c r="F262" s="288"/>
      <c r="G262" s="152"/>
      <c r="H262" s="289"/>
      <c r="I262" s="289"/>
      <c r="J262" s="152"/>
      <c r="K262" s="152"/>
      <c r="L262" s="156"/>
      <c r="M262" s="152"/>
      <c r="N262" s="152"/>
      <c r="O262" s="152"/>
      <c r="P262" s="152"/>
      <c r="Q262" s="152"/>
      <c r="R262" s="152"/>
      <c r="S262" s="152"/>
      <c r="T262" s="152"/>
      <c r="U262" s="152"/>
      <c r="V262" s="152"/>
      <c r="W262" s="281"/>
      <c r="X262" s="281"/>
      <c r="Y262" s="281"/>
      <c r="Z262" s="281"/>
      <c r="AA262" s="281"/>
      <c r="AB262" s="281"/>
      <c r="AC262" s="281"/>
      <c r="AD262" s="170"/>
      <c r="AE262" s="152"/>
      <c r="AF262" s="152"/>
      <c r="AG262" s="152"/>
      <c r="AH262" s="152"/>
      <c r="AI262" s="152"/>
      <c r="AJ262" s="152"/>
      <c r="AK262" s="152"/>
      <c r="AL262" s="152"/>
      <c r="AM262" s="152"/>
      <c r="AN262" s="152"/>
      <c r="AO262" s="152"/>
    </row>
    <row r="263" ht="12.75" customHeight="1">
      <c r="A263" s="288"/>
      <c r="B263" s="288"/>
      <c r="C263" s="288"/>
      <c r="D263" s="152"/>
      <c r="E263" s="289"/>
      <c r="F263" s="288"/>
      <c r="G263" s="152"/>
      <c r="H263" s="289"/>
      <c r="I263" s="289"/>
      <c r="J263" s="152"/>
      <c r="K263" s="152"/>
      <c r="L263" s="156"/>
      <c r="M263" s="152"/>
      <c r="N263" s="152"/>
      <c r="O263" s="152"/>
      <c r="P263" s="152"/>
      <c r="Q263" s="152"/>
      <c r="R263" s="152"/>
      <c r="S263" s="152"/>
      <c r="T263" s="152"/>
      <c r="U263" s="152"/>
      <c r="V263" s="152"/>
      <c r="W263" s="281"/>
      <c r="X263" s="281"/>
      <c r="Y263" s="281"/>
      <c r="Z263" s="281"/>
      <c r="AA263" s="281"/>
      <c r="AB263" s="281"/>
      <c r="AC263" s="281"/>
      <c r="AD263" s="170"/>
      <c r="AE263" s="152"/>
      <c r="AF263" s="152"/>
      <c r="AG263" s="152"/>
      <c r="AH263" s="152"/>
      <c r="AI263" s="152"/>
      <c r="AJ263" s="152"/>
      <c r="AK263" s="152"/>
      <c r="AL263" s="152"/>
      <c r="AM263" s="152"/>
      <c r="AN263" s="152"/>
      <c r="AO263" s="152"/>
    </row>
    <row r="264" ht="12.75" customHeight="1">
      <c r="A264" s="288"/>
      <c r="B264" s="288"/>
      <c r="C264" s="288"/>
      <c r="D264" s="152"/>
      <c r="E264" s="289"/>
      <c r="F264" s="288"/>
      <c r="G264" s="152"/>
      <c r="H264" s="289"/>
      <c r="I264" s="289"/>
      <c r="J264" s="152"/>
      <c r="K264" s="152"/>
      <c r="L264" s="156"/>
      <c r="M264" s="152"/>
      <c r="N264" s="152"/>
      <c r="O264" s="152"/>
      <c r="P264" s="152"/>
      <c r="Q264" s="152"/>
      <c r="R264" s="152"/>
      <c r="S264" s="152"/>
      <c r="T264" s="152"/>
      <c r="U264" s="152"/>
      <c r="V264" s="152"/>
      <c r="W264" s="281"/>
      <c r="X264" s="281"/>
      <c r="Y264" s="281"/>
      <c r="Z264" s="281"/>
      <c r="AA264" s="281"/>
      <c r="AB264" s="281"/>
      <c r="AC264" s="281"/>
      <c r="AD264" s="170"/>
      <c r="AE264" s="152"/>
      <c r="AF264" s="152"/>
      <c r="AG264" s="152"/>
      <c r="AH264" s="152"/>
      <c r="AI264" s="152"/>
      <c r="AJ264" s="152"/>
      <c r="AK264" s="152"/>
      <c r="AL264" s="152"/>
      <c r="AM264" s="152"/>
      <c r="AN264" s="152"/>
      <c r="AO264" s="152"/>
    </row>
    <row r="265" ht="12.75" customHeight="1">
      <c r="A265" s="288"/>
      <c r="B265" s="288"/>
      <c r="C265" s="288"/>
      <c r="D265" s="152"/>
      <c r="E265" s="289"/>
      <c r="F265" s="288"/>
      <c r="G265" s="152"/>
      <c r="H265" s="289"/>
      <c r="I265" s="289"/>
      <c r="J265" s="152"/>
      <c r="K265" s="152"/>
      <c r="L265" s="156"/>
      <c r="M265" s="152"/>
      <c r="N265" s="152"/>
      <c r="O265" s="152"/>
      <c r="P265" s="152"/>
      <c r="Q265" s="152"/>
      <c r="R265" s="152"/>
      <c r="S265" s="152"/>
      <c r="T265" s="152"/>
      <c r="U265" s="152"/>
      <c r="V265" s="152"/>
      <c r="W265" s="281"/>
      <c r="X265" s="281"/>
      <c r="Y265" s="281"/>
      <c r="Z265" s="281"/>
      <c r="AA265" s="281"/>
      <c r="AB265" s="281"/>
      <c r="AC265" s="281"/>
      <c r="AD265" s="170"/>
      <c r="AE265" s="152"/>
      <c r="AF265" s="152"/>
      <c r="AG265" s="152"/>
      <c r="AH265" s="152"/>
      <c r="AI265" s="152"/>
      <c r="AJ265" s="152"/>
      <c r="AK265" s="152"/>
      <c r="AL265" s="152"/>
      <c r="AM265" s="152"/>
      <c r="AN265" s="152"/>
      <c r="AO265" s="152"/>
    </row>
    <row r="266" ht="12.75" customHeight="1">
      <c r="A266" s="288"/>
      <c r="B266" s="288"/>
      <c r="C266" s="288"/>
      <c r="D266" s="152"/>
      <c r="E266" s="289"/>
      <c r="F266" s="288"/>
      <c r="G266" s="152"/>
      <c r="H266" s="289"/>
      <c r="I266" s="289"/>
      <c r="J266" s="152"/>
      <c r="K266" s="152"/>
      <c r="L266" s="156"/>
      <c r="M266" s="152"/>
      <c r="N266" s="152"/>
      <c r="O266" s="152"/>
      <c r="P266" s="152"/>
      <c r="Q266" s="152"/>
      <c r="R266" s="152"/>
      <c r="S266" s="152"/>
      <c r="T266" s="152"/>
      <c r="U266" s="152"/>
      <c r="V266" s="152"/>
      <c r="W266" s="281"/>
      <c r="X266" s="281"/>
      <c r="Y266" s="281"/>
      <c r="Z266" s="281"/>
      <c r="AA266" s="281"/>
      <c r="AB266" s="281"/>
      <c r="AC266" s="281"/>
      <c r="AD266" s="170"/>
      <c r="AE266" s="152"/>
      <c r="AF266" s="152"/>
      <c r="AG266" s="152"/>
      <c r="AH266" s="152"/>
      <c r="AI266" s="152"/>
      <c r="AJ266" s="152"/>
      <c r="AK266" s="152"/>
      <c r="AL266" s="152"/>
      <c r="AM266" s="152"/>
      <c r="AN266" s="152"/>
      <c r="AO266" s="152"/>
    </row>
    <row r="267" ht="12.75" customHeight="1">
      <c r="A267" s="288"/>
      <c r="B267" s="288"/>
      <c r="C267" s="288"/>
      <c r="D267" s="152"/>
      <c r="E267" s="289"/>
      <c r="F267" s="288"/>
      <c r="G267" s="152"/>
      <c r="H267" s="289"/>
      <c r="I267" s="289"/>
      <c r="J267" s="152"/>
      <c r="K267" s="152"/>
      <c r="L267" s="156"/>
      <c r="M267" s="152"/>
      <c r="N267" s="152"/>
      <c r="O267" s="152"/>
      <c r="P267" s="152"/>
      <c r="Q267" s="152"/>
      <c r="R267" s="152"/>
      <c r="S267" s="152"/>
      <c r="T267" s="152"/>
      <c r="U267" s="152"/>
      <c r="V267" s="152"/>
      <c r="W267" s="281"/>
      <c r="X267" s="281"/>
      <c r="Y267" s="281"/>
      <c r="Z267" s="281"/>
      <c r="AA267" s="281"/>
      <c r="AB267" s="281"/>
      <c r="AC267" s="281"/>
      <c r="AD267" s="170"/>
      <c r="AE267" s="152"/>
      <c r="AF267" s="152"/>
      <c r="AG267" s="152"/>
      <c r="AH267" s="152"/>
      <c r="AI267" s="152"/>
      <c r="AJ267" s="152"/>
      <c r="AK267" s="152"/>
      <c r="AL267" s="152"/>
      <c r="AM267" s="152"/>
      <c r="AN267" s="152"/>
      <c r="AO267" s="152"/>
    </row>
    <row r="268" ht="12.75" customHeight="1">
      <c r="A268" s="288"/>
      <c r="B268" s="288"/>
      <c r="C268" s="288"/>
      <c r="D268" s="152"/>
      <c r="E268" s="289"/>
      <c r="F268" s="288"/>
      <c r="G268" s="152"/>
      <c r="H268" s="289"/>
      <c r="I268" s="289"/>
      <c r="J268" s="152"/>
      <c r="K268" s="152"/>
      <c r="L268" s="156"/>
      <c r="M268" s="152"/>
      <c r="N268" s="152"/>
      <c r="O268" s="152"/>
      <c r="P268" s="152"/>
      <c r="Q268" s="152"/>
      <c r="R268" s="152"/>
      <c r="S268" s="152"/>
      <c r="T268" s="152"/>
      <c r="U268" s="152"/>
      <c r="V268" s="152"/>
      <c r="W268" s="281"/>
      <c r="X268" s="281"/>
      <c r="Y268" s="281"/>
      <c r="Z268" s="281"/>
      <c r="AA268" s="281"/>
      <c r="AB268" s="281"/>
      <c r="AC268" s="281"/>
      <c r="AD268" s="170"/>
      <c r="AE268" s="152"/>
      <c r="AF268" s="152"/>
      <c r="AG268" s="152"/>
      <c r="AH268" s="152"/>
      <c r="AI268" s="152"/>
      <c r="AJ268" s="152"/>
      <c r="AK268" s="152"/>
      <c r="AL268" s="152"/>
      <c r="AM268" s="152"/>
      <c r="AN268" s="152"/>
      <c r="AO268" s="152"/>
    </row>
    <row r="269" ht="12.75" customHeight="1">
      <c r="A269" s="288"/>
      <c r="B269" s="288"/>
      <c r="C269" s="288"/>
      <c r="D269" s="152"/>
      <c r="E269" s="289"/>
      <c r="F269" s="288"/>
      <c r="G269" s="152"/>
      <c r="H269" s="289"/>
      <c r="I269" s="289"/>
      <c r="J269" s="152"/>
      <c r="K269" s="152"/>
      <c r="L269" s="156"/>
      <c r="M269" s="152"/>
      <c r="N269" s="152"/>
      <c r="O269" s="152"/>
      <c r="P269" s="152"/>
      <c r="Q269" s="152"/>
      <c r="R269" s="152"/>
      <c r="S269" s="152"/>
      <c r="T269" s="152"/>
      <c r="U269" s="152"/>
      <c r="V269" s="152"/>
      <c r="W269" s="281"/>
      <c r="X269" s="281"/>
      <c r="Y269" s="281"/>
      <c r="Z269" s="281"/>
      <c r="AA269" s="281"/>
      <c r="AB269" s="281"/>
      <c r="AC269" s="281"/>
      <c r="AD269" s="170"/>
      <c r="AE269" s="152"/>
      <c r="AF269" s="152"/>
      <c r="AG269" s="152"/>
      <c r="AH269" s="152"/>
      <c r="AI269" s="152"/>
      <c r="AJ269" s="152"/>
      <c r="AK269" s="152"/>
      <c r="AL269" s="152"/>
      <c r="AM269" s="152"/>
      <c r="AN269" s="152"/>
      <c r="AO269" s="152"/>
    </row>
    <row r="270" ht="12.75" customHeight="1">
      <c r="A270" s="288"/>
      <c r="B270" s="288"/>
      <c r="C270" s="288"/>
      <c r="D270" s="152"/>
      <c r="E270" s="289"/>
      <c r="F270" s="288"/>
      <c r="G270" s="152"/>
      <c r="H270" s="289"/>
      <c r="I270" s="289"/>
      <c r="J270" s="152"/>
      <c r="K270" s="152"/>
      <c r="L270" s="156"/>
      <c r="M270" s="152"/>
      <c r="N270" s="152"/>
      <c r="O270" s="152"/>
      <c r="P270" s="152"/>
      <c r="Q270" s="152"/>
      <c r="R270" s="152"/>
      <c r="S270" s="152"/>
      <c r="T270" s="152"/>
      <c r="U270" s="152"/>
      <c r="V270" s="152"/>
      <c r="W270" s="281"/>
      <c r="X270" s="281"/>
      <c r="Y270" s="281"/>
      <c r="Z270" s="281"/>
      <c r="AA270" s="281"/>
      <c r="AB270" s="281"/>
      <c r="AC270" s="281"/>
      <c r="AD270" s="170"/>
      <c r="AE270" s="152"/>
      <c r="AF270" s="152"/>
      <c r="AG270" s="152"/>
      <c r="AH270" s="152"/>
      <c r="AI270" s="152"/>
      <c r="AJ270" s="152"/>
      <c r="AK270" s="152"/>
      <c r="AL270" s="152"/>
      <c r="AM270" s="152"/>
      <c r="AN270" s="152"/>
      <c r="AO270" s="152"/>
    </row>
    <row r="271" ht="12.75" customHeight="1">
      <c r="A271" s="288"/>
      <c r="B271" s="288"/>
      <c r="C271" s="288"/>
      <c r="D271" s="152"/>
      <c r="E271" s="289"/>
      <c r="F271" s="288"/>
      <c r="G271" s="152"/>
      <c r="H271" s="289"/>
      <c r="I271" s="289"/>
      <c r="J271" s="152"/>
      <c r="K271" s="152"/>
      <c r="L271" s="156"/>
      <c r="M271" s="152"/>
      <c r="N271" s="152"/>
      <c r="O271" s="152"/>
      <c r="P271" s="152"/>
      <c r="Q271" s="152"/>
      <c r="R271" s="152"/>
      <c r="S271" s="152"/>
      <c r="T271" s="152"/>
      <c r="U271" s="152"/>
      <c r="V271" s="152"/>
      <c r="W271" s="281"/>
      <c r="X271" s="281"/>
      <c r="Y271" s="281"/>
      <c r="Z271" s="281"/>
      <c r="AA271" s="281"/>
      <c r="AB271" s="281"/>
      <c r="AC271" s="281"/>
      <c r="AD271" s="170"/>
      <c r="AE271" s="152"/>
      <c r="AF271" s="152"/>
      <c r="AG271" s="152"/>
      <c r="AH271" s="152"/>
      <c r="AI271" s="152"/>
      <c r="AJ271" s="152"/>
      <c r="AK271" s="152"/>
      <c r="AL271" s="152"/>
      <c r="AM271" s="152"/>
      <c r="AN271" s="152"/>
      <c r="AO271" s="152"/>
    </row>
    <row r="272" ht="12.75" customHeight="1">
      <c r="A272" s="288"/>
      <c r="B272" s="288"/>
      <c r="C272" s="288"/>
      <c r="D272" s="152"/>
      <c r="E272" s="289"/>
      <c r="F272" s="288"/>
      <c r="G272" s="152"/>
      <c r="H272" s="289"/>
      <c r="I272" s="289"/>
      <c r="J272" s="152"/>
      <c r="K272" s="152"/>
      <c r="L272" s="156"/>
      <c r="M272" s="152"/>
      <c r="N272" s="152"/>
      <c r="O272" s="152"/>
      <c r="P272" s="152"/>
      <c r="Q272" s="152"/>
      <c r="R272" s="152"/>
      <c r="S272" s="152"/>
      <c r="T272" s="152"/>
      <c r="U272" s="152"/>
      <c r="V272" s="152"/>
      <c r="W272" s="281"/>
      <c r="X272" s="281"/>
      <c r="Y272" s="281"/>
      <c r="Z272" s="281"/>
      <c r="AA272" s="281"/>
      <c r="AB272" s="281"/>
      <c r="AC272" s="281"/>
      <c r="AD272" s="170"/>
      <c r="AE272" s="152"/>
      <c r="AF272" s="152"/>
      <c r="AG272" s="152"/>
      <c r="AH272" s="152"/>
      <c r="AI272" s="152"/>
      <c r="AJ272" s="152"/>
      <c r="AK272" s="152"/>
      <c r="AL272" s="152"/>
      <c r="AM272" s="152"/>
      <c r="AN272" s="152"/>
      <c r="AO272" s="152"/>
    </row>
    <row r="273" ht="12.75" customHeight="1">
      <c r="A273" s="288"/>
      <c r="B273" s="288"/>
      <c r="C273" s="288"/>
      <c r="D273" s="152"/>
      <c r="E273" s="289"/>
      <c r="F273" s="288"/>
      <c r="G273" s="152"/>
      <c r="H273" s="289"/>
      <c r="I273" s="289"/>
      <c r="J273" s="152"/>
      <c r="K273" s="152"/>
      <c r="L273" s="156"/>
      <c r="M273" s="152"/>
      <c r="N273" s="152"/>
      <c r="O273" s="152"/>
      <c r="P273" s="152"/>
      <c r="Q273" s="152"/>
      <c r="R273" s="152"/>
      <c r="S273" s="152"/>
      <c r="T273" s="152"/>
      <c r="U273" s="152"/>
      <c r="V273" s="152"/>
      <c r="W273" s="281"/>
      <c r="X273" s="281"/>
      <c r="Y273" s="281"/>
      <c r="Z273" s="281"/>
      <c r="AA273" s="281"/>
      <c r="AB273" s="281"/>
      <c r="AC273" s="281"/>
      <c r="AD273" s="170"/>
      <c r="AE273" s="152"/>
      <c r="AF273" s="152"/>
      <c r="AG273" s="152"/>
      <c r="AH273" s="152"/>
      <c r="AI273" s="152"/>
      <c r="AJ273" s="152"/>
      <c r="AK273" s="152"/>
      <c r="AL273" s="152"/>
      <c r="AM273" s="152"/>
      <c r="AN273" s="152"/>
      <c r="AO273" s="152"/>
    </row>
    <row r="274" ht="12.75" customHeight="1">
      <c r="A274" s="288"/>
      <c r="B274" s="288"/>
      <c r="C274" s="288"/>
      <c r="D274" s="152"/>
      <c r="E274" s="289"/>
      <c r="F274" s="288"/>
      <c r="G274" s="152"/>
      <c r="H274" s="289"/>
      <c r="I274" s="289"/>
      <c r="J274" s="152"/>
      <c r="K274" s="152"/>
      <c r="L274" s="156"/>
      <c r="M274" s="152"/>
      <c r="N274" s="152"/>
      <c r="O274" s="152"/>
      <c r="P274" s="152"/>
      <c r="Q274" s="152"/>
      <c r="R274" s="152"/>
      <c r="S274" s="152"/>
      <c r="T274" s="152"/>
      <c r="U274" s="152"/>
      <c r="V274" s="152"/>
      <c r="W274" s="281"/>
      <c r="X274" s="281"/>
      <c r="Y274" s="281"/>
      <c r="Z274" s="281"/>
      <c r="AA274" s="281"/>
      <c r="AB274" s="281"/>
      <c r="AC274" s="281"/>
      <c r="AD274" s="170"/>
      <c r="AE274" s="152"/>
      <c r="AF274" s="152"/>
      <c r="AG274" s="152"/>
      <c r="AH274" s="152"/>
      <c r="AI274" s="152"/>
      <c r="AJ274" s="152"/>
      <c r="AK274" s="152"/>
      <c r="AL274" s="152"/>
      <c r="AM274" s="152"/>
      <c r="AN274" s="152"/>
      <c r="AO274" s="152"/>
    </row>
    <row r="275" ht="12.75" customHeight="1">
      <c r="A275" s="288"/>
      <c r="B275" s="288"/>
      <c r="C275" s="288"/>
      <c r="D275" s="152"/>
      <c r="E275" s="289"/>
      <c r="F275" s="288"/>
      <c r="G275" s="152"/>
      <c r="H275" s="289"/>
      <c r="I275" s="289"/>
      <c r="J275" s="152"/>
      <c r="K275" s="152"/>
      <c r="L275" s="156"/>
      <c r="M275" s="152"/>
      <c r="N275" s="152"/>
      <c r="O275" s="152"/>
      <c r="P275" s="152"/>
      <c r="Q275" s="152"/>
      <c r="R275" s="152"/>
      <c r="S275" s="152"/>
      <c r="T275" s="152"/>
      <c r="U275" s="152"/>
      <c r="V275" s="152"/>
      <c r="W275" s="281"/>
      <c r="X275" s="281"/>
      <c r="Y275" s="281"/>
      <c r="Z275" s="281"/>
      <c r="AA275" s="281"/>
      <c r="AB275" s="281"/>
      <c r="AC275" s="281"/>
      <c r="AD275" s="170"/>
      <c r="AE275" s="152"/>
      <c r="AF275" s="152"/>
      <c r="AG275" s="152"/>
      <c r="AH275" s="152"/>
      <c r="AI275" s="152"/>
      <c r="AJ275" s="152"/>
      <c r="AK275" s="152"/>
      <c r="AL275" s="152"/>
      <c r="AM275" s="152"/>
      <c r="AN275" s="152"/>
      <c r="AO275" s="152"/>
    </row>
    <row r="276" ht="12.75" customHeight="1">
      <c r="A276" s="288"/>
      <c r="B276" s="288"/>
      <c r="C276" s="288"/>
      <c r="D276" s="152"/>
      <c r="E276" s="289"/>
      <c r="F276" s="288"/>
      <c r="G276" s="152"/>
      <c r="H276" s="289"/>
      <c r="I276" s="289"/>
      <c r="J276" s="152"/>
      <c r="K276" s="152"/>
      <c r="L276" s="156"/>
      <c r="M276" s="152"/>
      <c r="N276" s="152"/>
      <c r="O276" s="152"/>
      <c r="P276" s="152"/>
      <c r="Q276" s="152"/>
      <c r="R276" s="152"/>
      <c r="S276" s="152"/>
      <c r="T276" s="152"/>
      <c r="U276" s="152"/>
      <c r="V276" s="152"/>
      <c r="W276" s="281"/>
      <c r="X276" s="281"/>
      <c r="Y276" s="281"/>
      <c r="Z276" s="281"/>
      <c r="AA276" s="281"/>
      <c r="AB276" s="281"/>
      <c r="AC276" s="281"/>
      <c r="AD276" s="170"/>
      <c r="AE276" s="152"/>
      <c r="AF276" s="152"/>
      <c r="AG276" s="152"/>
      <c r="AH276" s="152"/>
      <c r="AI276" s="152"/>
      <c r="AJ276" s="152"/>
      <c r="AK276" s="152"/>
      <c r="AL276" s="152"/>
      <c r="AM276" s="152"/>
      <c r="AN276" s="152"/>
      <c r="AO276" s="152"/>
    </row>
    <row r="277" ht="12.75" customHeight="1">
      <c r="A277" s="288"/>
      <c r="B277" s="288"/>
      <c r="C277" s="288"/>
      <c r="D277" s="152"/>
      <c r="E277" s="289"/>
      <c r="F277" s="288"/>
      <c r="G277" s="152"/>
      <c r="H277" s="289"/>
      <c r="I277" s="289"/>
      <c r="J277" s="152"/>
      <c r="K277" s="152"/>
      <c r="L277" s="156"/>
      <c r="M277" s="152"/>
      <c r="N277" s="152"/>
      <c r="O277" s="152"/>
      <c r="P277" s="152"/>
      <c r="Q277" s="152"/>
      <c r="R277" s="152"/>
      <c r="S277" s="152"/>
      <c r="T277" s="152"/>
      <c r="U277" s="152"/>
      <c r="V277" s="152"/>
      <c r="W277" s="281"/>
      <c r="X277" s="281"/>
      <c r="Y277" s="281"/>
      <c r="Z277" s="281"/>
      <c r="AA277" s="281"/>
      <c r="AB277" s="281"/>
      <c r="AC277" s="281"/>
      <c r="AD277" s="170"/>
      <c r="AE277" s="152"/>
      <c r="AF277" s="152"/>
      <c r="AG277" s="152"/>
      <c r="AH277" s="152"/>
      <c r="AI277" s="152"/>
      <c r="AJ277" s="152"/>
      <c r="AK277" s="152"/>
      <c r="AL277" s="152"/>
      <c r="AM277" s="152"/>
      <c r="AN277" s="152"/>
      <c r="AO277" s="152"/>
    </row>
    <row r="278" ht="12.75" customHeight="1">
      <c r="A278" s="288"/>
      <c r="B278" s="288"/>
      <c r="C278" s="288"/>
      <c r="D278" s="152"/>
      <c r="E278" s="289"/>
      <c r="F278" s="288"/>
      <c r="G278" s="152"/>
      <c r="H278" s="289"/>
      <c r="I278" s="289"/>
      <c r="J278" s="152"/>
      <c r="K278" s="152"/>
      <c r="L278" s="156"/>
      <c r="M278" s="152"/>
      <c r="N278" s="152"/>
      <c r="O278" s="152"/>
      <c r="P278" s="152"/>
      <c r="Q278" s="152"/>
      <c r="R278" s="152"/>
      <c r="S278" s="152"/>
      <c r="T278" s="152"/>
      <c r="U278" s="152"/>
      <c r="V278" s="152"/>
      <c r="W278" s="281"/>
      <c r="X278" s="281"/>
      <c r="Y278" s="281"/>
      <c r="Z278" s="281"/>
      <c r="AA278" s="281"/>
      <c r="AB278" s="281"/>
      <c r="AC278" s="281"/>
      <c r="AD278" s="170"/>
      <c r="AE278" s="152"/>
      <c r="AF278" s="152"/>
      <c r="AG278" s="152"/>
      <c r="AH278" s="152"/>
      <c r="AI278" s="152"/>
      <c r="AJ278" s="152"/>
      <c r="AK278" s="152"/>
      <c r="AL278" s="152"/>
      <c r="AM278" s="152"/>
      <c r="AN278" s="152"/>
      <c r="AO278" s="152"/>
    </row>
    <row r="279" ht="12.75" customHeight="1">
      <c r="A279" s="288"/>
      <c r="B279" s="288"/>
      <c r="C279" s="288"/>
      <c r="D279" s="152"/>
      <c r="E279" s="289"/>
      <c r="F279" s="288"/>
      <c r="G279" s="152"/>
      <c r="H279" s="289"/>
      <c r="I279" s="289"/>
      <c r="J279" s="152"/>
      <c r="K279" s="152"/>
      <c r="L279" s="156"/>
      <c r="M279" s="152"/>
      <c r="N279" s="152"/>
      <c r="O279" s="152"/>
      <c r="P279" s="152"/>
      <c r="Q279" s="152"/>
      <c r="R279" s="152"/>
      <c r="S279" s="152"/>
      <c r="T279" s="152"/>
      <c r="U279" s="152"/>
      <c r="V279" s="152"/>
      <c r="W279" s="281"/>
      <c r="X279" s="281"/>
      <c r="Y279" s="281"/>
      <c r="Z279" s="281"/>
      <c r="AA279" s="281"/>
      <c r="AB279" s="281"/>
      <c r="AC279" s="281"/>
      <c r="AD279" s="170"/>
      <c r="AE279" s="152"/>
      <c r="AF279" s="152"/>
      <c r="AG279" s="152"/>
      <c r="AH279" s="152"/>
      <c r="AI279" s="152"/>
      <c r="AJ279" s="152"/>
      <c r="AK279" s="152"/>
      <c r="AL279" s="152"/>
      <c r="AM279" s="152"/>
      <c r="AN279" s="152"/>
      <c r="AO279" s="152"/>
    </row>
    <row r="280" ht="12.75" customHeight="1">
      <c r="A280" s="288"/>
      <c r="B280" s="288"/>
      <c r="C280" s="288"/>
      <c r="D280" s="152"/>
      <c r="E280" s="289"/>
      <c r="F280" s="288"/>
      <c r="G280" s="152"/>
      <c r="H280" s="289"/>
      <c r="I280" s="289"/>
      <c r="J280" s="152"/>
      <c r="K280" s="152"/>
      <c r="L280" s="156"/>
      <c r="M280" s="152"/>
      <c r="N280" s="152"/>
      <c r="O280" s="152"/>
      <c r="P280" s="152"/>
      <c r="Q280" s="152"/>
      <c r="R280" s="152"/>
      <c r="S280" s="152"/>
      <c r="T280" s="152"/>
      <c r="U280" s="152"/>
      <c r="V280" s="152"/>
      <c r="W280" s="281"/>
      <c r="X280" s="281"/>
      <c r="Y280" s="281"/>
      <c r="Z280" s="281"/>
      <c r="AA280" s="281"/>
      <c r="AB280" s="281"/>
      <c r="AC280" s="281"/>
      <c r="AD280" s="170"/>
      <c r="AE280" s="152"/>
      <c r="AF280" s="152"/>
      <c r="AG280" s="152"/>
      <c r="AH280" s="152"/>
      <c r="AI280" s="152"/>
      <c r="AJ280" s="152"/>
      <c r="AK280" s="152"/>
      <c r="AL280" s="152"/>
      <c r="AM280" s="152"/>
      <c r="AN280" s="152"/>
      <c r="AO280" s="152"/>
    </row>
    <row r="281" ht="12.75" customHeight="1">
      <c r="A281" s="288"/>
      <c r="B281" s="288"/>
      <c r="C281" s="288"/>
      <c r="D281" s="152"/>
      <c r="E281" s="289"/>
      <c r="F281" s="288"/>
      <c r="G281" s="152"/>
      <c r="H281" s="289"/>
      <c r="I281" s="289"/>
      <c r="J281" s="152"/>
      <c r="K281" s="152"/>
      <c r="L281" s="156"/>
      <c r="M281" s="152"/>
      <c r="N281" s="152"/>
      <c r="O281" s="152"/>
      <c r="P281" s="152"/>
      <c r="Q281" s="152"/>
      <c r="R281" s="152"/>
      <c r="S281" s="152"/>
      <c r="T281" s="152"/>
      <c r="U281" s="152"/>
      <c r="V281" s="152"/>
      <c r="W281" s="281"/>
      <c r="X281" s="281"/>
      <c r="Y281" s="281"/>
      <c r="Z281" s="281"/>
      <c r="AA281" s="281"/>
      <c r="AB281" s="281"/>
      <c r="AC281" s="281"/>
      <c r="AD281" s="170"/>
      <c r="AE281" s="152"/>
      <c r="AF281" s="152"/>
      <c r="AG281" s="152"/>
      <c r="AH281" s="152"/>
      <c r="AI281" s="152"/>
      <c r="AJ281" s="152"/>
      <c r="AK281" s="152"/>
      <c r="AL281" s="152"/>
      <c r="AM281" s="152"/>
      <c r="AN281" s="152"/>
      <c r="AO281" s="152"/>
    </row>
    <row r="282" ht="12.75" customHeight="1">
      <c r="A282" s="288"/>
      <c r="B282" s="288"/>
      <c r="C282" s="288"/>
      <c r="D282" s="152"/>
      <c r="E282" s="289"/>
      <c r="F282" s="288"/>
      <c r="G282" s="152"/>
      <c r="H282" s="289"/>
      <c r="I282" s="289"/>
      <c r="J282" s="152"/>
      <c r="K282" s="152"/>
      <c r="L282" s="156"/>
      <c r="M282" s="152"/>
      <c r="N282" s="152"/>
      <c r="O282" s="152"/>
      <c r="P282" s="152"/>
      <c r="Q282" s="152"/>
      <c r="R282" s="152"/>
      <c r="S282" s="152"/>
      <c r="T282" s="152"/>
      <c r="U282" s="152"/>
      <c r="V282" s="152"/>
      <c r="W282" s="281"/>
      <c r="X282" s="281"/>
      <c r="Y282" s="281"/>
      <c r="Z282" s="281"/>
      <c r="AA282" s="281"/>
      <c r="AB282" s="281"/>
      <c r="AC282" s="281"/>
      <c r="AD282" s="170"/>
      <c r="AE282" s="152"/>
      <c r="AF282" s="152"/>
      <c r="AG282" s="152"/>
      <c r="AH282" s="152"/>
      <c r="AI282" s="152"/>
      <c r="AJ282" s="152"/>
      <c r="AK282" s="152"/>
      <c r="AL282" s="152"/>
      <c r="AM282" s="152"/>
      <c r="AN282" s="152"/>
      <c r="AO282" s="152"/>
    </row>
    <row r="283" ht="12.75" customHeight="1">
      <c r="A283" s="288"/>
      <c r="B283" s="288"/>
      <c r="C283" s="288"/>
      <c r="D283" s="152"/>
      <c r="E283" s="289"/>
      <c r="F283" s="288"/>
      <c r="G283" s="152"/>
      <c r="H283" s="289"/>
      <c r="I283" s="289"/>
      <c r="J283" s="152"/>
      <c r="K283" s="152"/>
      <c r="L283" s="156"/>
      <c r="M283" s="152"/>
      <c r="N283" s="152"/>
      <c r="O283" s="152"/>
      <c r="P283" s="152"/>
      <c r="Q283" s="152"/>
      <c r="R283" s="152"/>
      <c r="S283" s="152"/>
      <c r="T283" s="152"/>
      <c r="U283" s="152"/>
      <c r="V283" s="152"/>
      <c r="W283" s="281"/>
      <c r="X283" s="281"/>
      <c r="Y283" s="281"/>
      <c r="Z283" s="281"/>
      <c r="AA283" s="281"/>
      <c r="AB283" s="281"/>
      <c r="AC283" s="281"/>
      <c r="AD283" s="170"/>
      <c r="AE283" s="152"/>
      <c r="AF283" s="152"/>
      <c r="AG283" s="152"/>
      <c r="AH283" s="152"/>
      <c r="AI283" s="152"/>
      <c r="AJ283" s="152"/>
      <c r="AK283" s="152"/>
      <c r="AL283" s="152"/>
      <c r="AM283" s="152"/>
      <c r="AN283" s="152"/>
      <c r="AO283" s="152"/>
    </row>
    <row r="284" ht="12.75" customHeight="1">
      <c r="A284" s="288"/>
      <c r="B284" s="288"/>
      <c r="C284" s="288"/>
      <c r="D284" s="152"/>
      <c r="E284" s="289"/>
      <c r="F284" s="288"/>
      <c r="G284" s="152"/>
      <c r="H284" s="289"/>
      <c r="I284" s="289"/>
      <c r="J284" s="152"/>
      <c r="K284" s="152"/>
      <c r="L284" s="156"/>
      <c r="M284" s="152"/>
      <c r="N284" s="152"/>
      <c r="O284" s="152"/>
      <c r="P284" s="152"/>
      <c r="Q284" s="152"/>
      <c r="R284" s="152"/>
      <c r="S284" s="152"/>
      <c r="T284" s="152"/>
      <c r="U284" s="152"/>
      <c r="V284" s="152"/>
      <c r="W284" s="281"/>
      <c r="X284" s="281"/>
      <c r="Y284" s="281"/>
      <c r="Z284" s="281"/>
      <c r="AA284" s="281"/>
      <c r="AB284" s="281"/>
      <c r="AC284" s="281"/>
      <c r="AD284" s="170"/>
      <c r="AE284" s="152"/>
      <c r="AF284" s="152"/>
      <c r="AG284" s="152"/>
      <c r="AH284" s="152"/>
      <c r="AI284" s="152"/>
      <c r="AJ284" s="152"/>
      <c r="AK284" s="152"/>
      <c r="AL284" s="152"/>
      <c r="AM284" s="152"/>
      <c r="AN284" s="152"/>
      <c r="AO284" s="152"/>
    </row>
    <row r="285" ht="12.75" customHeight="1">
      <c r="A285" s="288"/>
      <c r="B285" s="288"/>
      <c r="C285" s="288"/>
      <c r="D285" s="152"/>
      <c r="E285" s="289"/>
      <c r="F285" s="288"/>
      <c r="G285" s="152"/>
      <c r="H285" s="289"/>
      <c r="I285" s="289"/>
      <c r="J285" s="152"/>
      <c r="K285" s="152"/>
      <c r="L285" s="156"/>
      <c r="M285" s="152"/>
      <c r="N285" s="152"/>
      <c r="O285" s="152"/>
      <c r="P285" s="152"/>
      <c r="Q285" s="152"/>
      <c r="R285" s="152"/>
      <c r="S285" s="152"/>
      <c r="T285" s="152"/>
      <c r="U285" s="152"/>
      <c r="V285" s="152"/>
      <c r="W285" s="281"/>
      <c r="X285" s="281"/>
      <c r="Y285" s="281"/>
      <c r="Z285" s="281"/>
      <c r="AA285" s="281"/>
      <c r="AB285" s="281"/>
      <c r="AC285" s="281"/>
      <c r="AD285" s="170"/>
      <c r="AE285" s="152"/>
      <c r="AF285" s="152"/>
      <c r="AG285" s="152"/>
      <c r="AH285" s="152"/>
      <c r="AI285" s="152"/>
      <c r="AJ285" s="152"/>
      <c r="AK285" s="152"/>
      <c r="AL285" s="152"/>
      <c r="AM285" s="152"/>
      <c r="AN285" s="152"/>
      <c r="AO285" s="152"/>
    </row>
    <row r="286" ht="12.75" customHeight="1">
      <c r="A286" s="288"/>
      <c r="B286" s="288"/>
      <c r="C286" s="288"/>
      <c r="D286" s="152"/>
      <c r="E286" s="289"/>
      <c r="F286" s="288"/>
      <c r="G286" s="152"/>
      <c r="H286" s="289"/>
      <c r="I286" s="289"/>
      <c r="J286" s="152"/>
      <c r="K286" s="152"/>
      <c r="L286" s="156"/>
      <c r="M286" s="152"/>
      <c r="N286" s="152"/>
      <c r="O286" s="152"/>
      <c r="P286" s="152"/>
      <c r="Q286" s="152"/>
      <c r="R286" s="152"/>
      <c r="S286" s="152"/>
      <c r="T286" s="152"/>
      <c r="U286" s="152"/>
      <c r="V286" s="152"/>
      <c r="W286" s="281"/>
      <c r="X286" s="281"/>
      <c r="Y286" s="281"/>
      <c r="Z286" s="281"/>
      <c r="AA286" s="281"/>
      <c r="AB286" s="281"/>
      <c r="AC286" s="281"/>
      <c r="AD286" s="170"/>
      <c r="AE286" s="152"/>
      <c r="AF286" s="152"/>
      <c r="AG286" s="152"/>
      <c r="AH286" s="152"/>
      <c r="AI286" s="152"/>
      <c r="AJ286" s="152"/>
      <c r="AK286" s="152"/>
      <c r="AL286" s="152"/>
      <c r="AM286" s="152"/>
      <c r="AN286" s="152"/>
      <c r="AO286" s="152"/>
    </row>
    <row r="287" ht="12.75" customHeight="1">
      <c r="A287" s="288"/>
      <c r="B287" s="288"/>
      <c r="C287" s="288"/>
      <c r="D287" s="152"/>
      <c r="E287" s="289"/>
      <c r="F287" s="288"/>
      <c r="G287" s="152"/>
      <c r="H287" s="289"/>
      <c r="I287" s="289"/>
      <c r="J287" s="152"/>
      <c r="K287" s="152"/>
      <c r="L287" s="156"/>
      <c r="M287" s="152"/>
      <c r="N287" s="152"/>
      <c r="O287" s="152"/>
      <c r="P287" s="152"/>
      <c r="Q287" s="152"/>
      <c r="R287" s="152"/>
      <c r="S287" s="152"/>
      <c r="T287" s="152"/>
      <c r="U287" s="152"/>
      <c r="V287" s="152"/>
      <c r="W287" s="281"/>
      <c r="X287" s="281"/>
      <c r="Y287" s="281"/>
      <c r="Z287" s="281"/>
      <c r="AA287" s="281"/>
      <c r="AB287" s="281"/>
      <c r="AC287" s="281"/>
      <c r="AD287" s="170"/>
      <c r="AE287" s="152"/>
      <c r="AF287" s="152"/>
      <c r="AG287" s="152"/>
      <c r="AH287" s="152"/>
      <c r="AI287" s="152"/>
      <c r="AJ287" s="152"/>
      <c r="AK287" s="152"/>
      <c r="AL287" s="152"/>
      <c r="AM287" s="152"/>
      <c r="AN287" s="152"/>
      <c r="AO287" s="152"/>
    </row>
    <row r="288" ht="12.75" customHeight="1">
      <c r="A288" s="288"/>
      <c r="B288" s="288"/>
      <c r="C288" s="288"/>
      <c r="D288" s="152"/>
      <c r="E288" s="289"/>
      <c r="F288" s="288"/>
      <c r="G288" s="152"/>
      <c r="H288" s="289"/>
      <c r="I288" s="289"/>
      <c r="J288" s="152"/>
      <c r="K288" s="152"/>
      <c r="L288" s="156"/>
      <c r="M288" s="152"/>
      <c r="N288" s="152"/>
      <c r="O288" s="152"/>
      <c r="P288" s="152"/>
      <c r="Q288" s="152"/>
      <c r="R288" s="152"/>
      <c r="S288" s="152"/>
      <c r="T288" s="152"/>
      <c r="U288" s="152"/>
      <c r="V288" s="152"/>
      <c r="W288" s="281"/>
      <c r="X288" s="281"/>
      <c r="Y288" s="281"/>
      <c r="Z288" s="281"/>
      <c r="AA288" s="281"/>
      <c r="AB288" s="281"/>
      <c r="AC288" s="281"/>
      <c r="AD288" s="170"/>
      <c r="AE288" s="152"/>
      <c r="AF288" s="152"/>
      <c r="AG288" s="152"/>
      <c r="AH288" s="152"/>
      <c r="AI288" s="152"/>
      <c r="AJ288" s="152"/>
      <c r="AK288" s="152"/>
      <c r="AL288" s="152"/>
      <c r="AM288" s="152"/>
      <c r="AN288" s="152"/>
      <c r="AO288" s="152"/>
    </row>
    <row r="289" ht="12.75" customHeight="1">
      <c r="A289" s="288"/>
      <c r="B289" s="288"/>
      <c r="C289" s="288"/>
      <c r="D289" s="152"/>
      <c r="E289" s="289"/>
      <c r="F289" s="288"/>
      <c r="G289" s="152"/>
      <c r="H289" s="289"/>
      <c r="I289" s="289"/>
      <c r="J289" s="152"/>
      <c r="K289" s="152"/>
      <c r="L289" s="156"/>
      <c r="M289" s="152"/>
      <c r="N289" s="152"/>
      <c r="O289" s="152"/>
      <c r="P289" s="152"/>
      <c r="Q289" s="152"/>
      <c r="R289" s="152"/>
      <c r="S289" s="152"/>
      <c r="T289" s="152"/>
      <c r="U289" s="152"/>
      <c r="V289" s="152"/>
      <c r="W289" s="281"/>
      <c r="X289" s="281"/>
      <c r="Y289" s="281"/>
      <c r="Z289" s="281"/>
      <c r="AA289" s="281"/>
      <c r="AB289" s="281"/>
      <c r="AC289" s="281"/>
      <c r="AD289" s="170"/>
      <c r="AE289" s="152"/>
      <c r="AF289" s="152"/>
      <c r="AG289" s="152"/>
      <c r="AH289" s="152"/>
      <c r="AI289" s="152"/>
      <c r="AJ289" s="152"/>
      <c r="AK289" s="152"/>
      <c r="AL289" s="152"/>
      <c r="AM289" s="152"/>
      <c r="AN289" s="152"/>
      <c r="AO289" s="152"/>
    </row>
    <row r="290" ht="12.75" customHeight="1">
      <c r="A290" s="288"/>
      <c r="B290" s="288"/>
      <c r="C290" s="288"/>
      <c r="D290" s="152"/>
      <c r="E290" s="289"/>
      <c r="F290" s="288"/>
      <c r="G290" s="152"/>
      <c r="H290" s="289"/>
      <c r="I290" s="289"/>
      <c r="J290" s="152"/>
      <c r="K290" s="152"/>
      <c r="L290" s="156"/>
      <c r="M290" s="152"/>
      <c r="N290" s="152"/>
      <c r="O290" s="152"/>
      <c r="P290" s="152"/>
      <c r="Q290" s="152"/>
      <c r="R290" s="152"/>
      <c r="S290" s="152"/>
      <c r="T290" s="152"/>
      <c r="U290" s="152"/>
      <c r="V290" s="152"/>
      <c r="W290" s="281"/>
      <c r="X290" s="281"/>
      <c r="Y290" s="281"/>
      <c r="Z290" s="281"/>
      <c r="AA290" s="281"/>
      <c r="AB290" s="281"/>
      <c r="AC290" s="281"/>
      <c r="AD290" s="170"/>
      <c r="AE290" s="152"/>
      <c r="AF290" s="152"/>
      <c r="AG290" s="152"/>
      <c r="AH290" s="152"/>
      <c r="AI290" s="152"/>
      <c r="AJ290" s="152"/>
      <c r="AK290" s="152"/>
      <c r="AL290" s="152"/>
      <c r="AM290" s="152"/>
      <c r="AN290" s="152"/>
      <c r="AO290" s="152"/>
    </row>
    <row r="291" ht="12.75" customHeight="1">
      <c r="A291" s="288"/>
      <c r="B291" s="288"/>
      <c r="C291" s="288"/>
      <c r="D291" s="152"/>
      <c r="E291" s="289"/>
      <c r="F291" s="288"/>
      <c r="G291" s="152"/>
      <c r="H291" s="289"/>
      <c r="I291" s="289"/>
      <c r="J291" s="152"/>
      <c r="K291" s="152"/>
      <c r="L291" s="156"/>
      <c r="M291" s="152"/>
      <c r="N291" s="152"/>
      <c r="O291" s="152"/>
      <c r="P291" s="152"/>
      <c r="Q291" s="152"/>
      <c r="R291" s="152"/>
      <c r="S291" s="152"/>
      <c r="T291" s="152"/>
      <c r="U291" s="152"/>
      <c r="V291" s="152"/>
      <c r="W291" s="281"/>
      <c r="X291" s="281"/>
      <c r="Y291" s="281"/>
      <c r="Z291" s="281"/>
      <c r="AA291" s="281"/>
      <c r="AB291" s="281"/>
      <c r="AC291" s="281"/>
      <c r="AD291" s="170"/>
      <c r="AE291" s="152"/>
      <c r="AF291" s="152"/>
      <c r="AG291" s="152"/>
      <c r="AH291" s="152"/>
      <c r="AI291" s="152"/>
      <c r="AJ291" s="152"/>
      <c r="AK291" s="152"/>
      <c r="AL291" s="152"/>
      <c r="AM291" s="152"/>
      <c r="AN291" s="152"/>
      <c r="AO291" s="152"/>
    </row>
    <row r="292" ht="12.75" customHeight="1">
      <c r="A292" s="288"/>
      <c r="B292" s="288"/>
      <c r="C292" s="288"/>
      <c r="D292" s="152"/>
      <c r="E292" s="289"/>
      <c r="F292" s="288"/>
      <c r="G292" s="152"/>
      <c r="H292" s="289"/>
      <c r="I292" s="289"/>
      <c r="J292" s="152"/>
      <c r="K292" s="152"/>
      <c r="L292" s="156"/>
      <c r="M292" s="152"/>
      <c r="N292" s="152"/>
      <c r="O292" s="152"/>
      <c r="P292" s="152"/>
      <c r="Q292" s="152"/>
      <c r="R292" s="152"/>
      <c r="S292" s="152"/>
      <c r="T292" s="152"/>
      <c r="U292" s="152"/>
      <c r="V292" s="152"/>
      <c r="W292" s="281"/>
      <c r="X292" s="281"/>
      <c r="Y292" s="281"/>
      <c r="Z292" s="281"/>
      <c r="AA292" s="281"/>
      <c r="AB292" s="281"/>
      <c r="AC292" s="281"/>
      <c r="AD292" s="170"/>
      <c r="AE292" s="152"/>
      <c r="AF292" s="152"/>
      <c r="AG292" s="152"/>
      <c r="AH292" s="152"/>
      <c r="AI292" s="152"/>
      <c r="AJ292" s="152"/>
      <c r="AK292" s="152"/>
      <c r="AL292" s="152"/>
      <c r="AM292" s="152"/>
      <c r="AN292" s="152"/>
      <c r="AO292" s="152"/>
    </row>
    <row r="293" ht="12.75" customHeight="1">
      <c r="A293" s="288"/>
      <c r="B293" s="288"/>
      <c r="C293" s="288"/>
      <c r="D293" s="152"/>
      <c r="E293" s="289"/>
      <c r="F293" s="288"/>
      <c r="G293" s="152"/>
      <c r="H293" s="289"/>
      <c r="I293" s="289"/>
      <c r="J293" s="152"/>
      <c r="K293" s="152"/>
      <c r="L293" s="156"/>
      <c r="M293" s="152"/>
      <c r="N293" s="152"/>
      <c r="O293" s="152"/>
      <c r="P293" s="152"/>
      <c r="Q293" s="152"/>
      <c r="R293" s="152"/>
      <c r="S293" s="152"/>
      <c r="T293" s="152"/>
      <c r="U293" s="152"/>
      <c r="V293" s="152"/>
      <c r="W293" s="281"/>
      <c r="X293" s="281"/>
      <c r="Y293" s="281"/>
      <c r="Z293" s="281"/>
      <c r="AA293" s="281"/>
      <c r="AB293" s="281"/>
      <c r="AC293" s="281"/>
      <c r="AD293" s="170"/>
      <c r="AE293" s="152"/>
      <c r="AF293" s="152"/>
      <c r="AG293" s="152"/>
      <c r="AH293" s="152"/>
      <c r="AI293" s="152"/>
      <c r="AJ293" s="152"/>
      <c r="AK293" s="152"/>
      <c r="AL293" s="152"/>
      <c r="AM293" s="152"/>
      <c r="AN293" s="152"/>
      <c r="AO293" s="152"/>
    </row>
    <row r="294" ht="12.75" customHeight="1">
      <c r="A294" s="288"/>
      <c r="B294" s="288"/>
      <c r="C294" s="288"/>
      <c r="D294" s="152"/>
      <c r="E294" s="289"/>
      <c r="F294" s="288"/>
      <c r="G294" s="152"/>
      <c r="H294" s="289"/>
      <c r="I294" s="289"/>
      <c r="J294" s="152"/>
      <c r="K294" s="152"/>
      <c r="L294" s="156"/>
      <c r="M294" s="152"/>
      <c r="N294" s="152"/>
      <c r="O294" s="152"/>
      <c r="P294" s="152"/>
      <c r="Q294" s="152"/>
      <c r="R294" s="152"/>
      <c r="S294" s="152"/>
      <c r="T294" s="152"/>
      <c r="U294" s="152"/>
      <c r="V294" s="152"/>
      <c r="W294" s="281"/>
      <c r="X294" s="281"/>
      <c r="Y294" s="281"/>
      <c r="Z294" s="281"/>
      <c r="AA294" s="281"/>
      <c r="AB294" s="281"/>
      <c r="AC294" s="281"/>
      <c r="AD294" s="170"/>
      <c r="AE294" s="152"/>
      <c r="AF294" s="152"/>
      <c r="AG294" s="152"/>
      <c r="AH294" s="152"/>
      <c r="AI294" s="152"/>
      <c r="AJ294" s="152"/>
      <c r="AK294" s="152"/>
      <c r="AL294" s="152"/>
      <c r="AM294" s="152"/>
      <c r="AN294" s="152"/>
      <c r="AO294" s="152"/>
    </row>
    <row r="295" ht="12.75" customHeight="1">
      <c r="A295" s="288"/>
      <c r="B295" s="288"/>
      <c r="C295" s="288"/>
      <c r="D295" s="152"/>
      <c r="E295" s="289"/>
      <c r="F295" s="288"/>
      <c r="G295" s="152"/>
      <c r="H295" s="289"/>
      <c r="I295" s="289"/>
      <c r="J295" s="152"/>
      <c r="K295" s="152"/>
      <c r="L295" s="156"/>
      <c r="M295" s="152"/>
      <c r="N295" s="152"/>
      <c r="O295" s="152"/>
      <c r="P295" s="152"/>
      <c r="Q295" s="152"/>
      <c r="R295" s="152"/>
      <c r="S295" s="152"/>
      <c r="T295" s="152"/>
      <c r="U295" s="152"/>
      <c r="V295" s="152"/>
      <c r="W295" s="281"/>
      <c r="X295" s="281"/>
      <c r="Y295" s="281"/>
      <c r="Z295" s="281"/>
      <c r="AA295" s="281"/>
      <c r="AB295" s="281"/>
      <c r="AC295" s="281"/>
      <c r="AD295" s="170"/>
      <c r="AE295" s="152"/>
      <c r="AF295" s="152"/>
      <c r="AG295" s="152"/>
      <c r="AH295" s="152"/>
      <c r="AI295" s="152"/>
      <c r="AJ295" s="152"/>
      <c r="AK295" s="152"/>
      <c r="AL295" s="152"/>
      <c r="AM295" s="152"/>
      <c r="AN295" s="152"/>
      <c r="AO295" s="152"/>
    </row>
    <row r="296" ht="12.75" customHeight="1">
      <c r="A296" s="288"/>
      <c r="B296" s="288"/>
      <c r="C296" s="288"/>
      <c r="D296" s="152"/>
      <c r="E296" s="289"/>
      <c r="F296" s="288"/>
      <c r="G296" s="152"/>
      <c r="H296" s="289"/>
      <c r="I296" s="289"/>
      <c r="J296" s="152"/>
      <c r="K296" s="152"/>
      <c r="L296" s="156"/>
      <c r="M296" s="152"/>
      <c r="N296" s="152"/>
      <c r="O296" s="152"/>
      <c r="P296" s="152"/>
      <c r="Q296" s="152"/>
      <c r="R296" s="152"/>
      <c r="S296" s="152"/>
      <c r="T296" s="152"/>
      <c r="U296" s="152"/>
      <c r="V296" s="152"/>
      <c r="W296" s="281"/>
      <c r="X296" s="281"/>
      <c r="Y296" s="281"/>
      <c r="Z296" s="281"/>
      <c r="AA296" s="281"/>
      <c r="AB296" s="281"/>
      <c r="AC296" s="281"/>
      <c r="AD296" s="170"/>
      <c r="AE296" s="152"/>
      <c r="AF296" s="152"/>
      <c r="AG296" s="152"/>
      <c r="AH296" s="152"/>
      <c r="AI296" s="152"/>
      <c r="AJ296" s="152"/>
      <c r="AK296" s="152"/>
      <c r="AL296" s="152"/>
      <c r="AM296" s="152"/>
      <c r="AN296" s="152"/>
      <c r="AO296" s="152"/>
    </row>
    <row r="297" ht="12.75" customHeight="1">
      <c r="A297" s="288"/>
      <c r="B297" s="288"/>
      <c r="C297" s="288"/>
      <c r="D297" s="152"/>
      <c r="E297" s="289"/>
      <c r="F297" s="288"/>
      <c r="G297" s="152"/>
      <c r="H297" s="289"/>
      <c r="I297" s="289"/>
      <c r="J297" s="152"/>
      <c r="K297" s="152"/>
      <c r="L297" s="156"/>
      <c r="M297" s="152"/>
      <c r="N297" s="152"/>
      <c r="O297" s="152"/>
      <c r="P297" s="152"/>
      <c r="Q297" s="152"/>
      <c r="R297" s="152"/>
      <c r="S297" s="152"/>
      <c r="T297" s="152"/>
      <c r="U297" s="152"/>
      <c r="V297" s="152"/>
      <c r="W297" s="281"/>
      <c r="X297" s="281"/>
      <c r="Y297" s="281"/>
      <c r="Z297" s="281"/>
      <c r="AA297" s="281"/>
      <c r="AB297" s="281"/>
      <c r="AC297" s="281"/>
      <c r="AD297" s="170"/>
      <c r="AE297" s="152"/>
      <c r="AF297" s="152"/>
      <c r="AG297" s="152"/>
      <c r="AH297" s="152"/>
      <c r="AI297" s="152"/>
      <c r="AJ297" s="152"/>
      <c r="AK297" s="152"/>
      <c r="AL297" s="152"/>
      <c r="AM297" s="152"/>
      <c r="AN297" s="152"/>
      <c r="AO297" s="152"/>
    </row>
    <row r="298" ht="12.75" customHeight="1">
      <c r="A298" s="288"/>
      <c r="B298" s="288"/>
      <c r="C298" s="288"/>
      <c r="D298" s="152"/>
      <c r="E298" s="289"/>
      <c r="F298" s="288"/>
      <c r="G298" s="152"/>
      <c r="H298" s="289"/>
      <c r="I298" s="289"/>
      <c r="J298" s="152"/>
      <c r="K298" s="152"/>
      <c r="L298" s="156"/>
      <c r="M298" s="152"/>
      <c r="N298" s="152"/>
      <c r="O298" s="152"/>
      <c r="P298" s="152"/>
      <c r="Q298" s="152"/>
      <c r="R298" s="152"/>
      <c r="S298" s="152"/>
      <c r="T298" s="152"/>
      <c r="U298" s="152"/>
      <c r="V298" s="152"/>
      <c r="W298" s="281"/>
      <c r="X298" s="281"/>
      <c r="Y298" s="281"/>
      <c r="Z298" s="281"/>
      <c r="AA298" s="281"/>
      <c r="AB298" s="281"/>
      <c r="AC298" s="281"/>
      <c r="AD298" s="170"/>
      <c r="AE298" s="152"/>
      <c r="AF298" s="152"/>
      <c r="AG298" s="152"/>
      <c r="AH298" s="152"/>
      <c r="AI298" s="152"/>
      <c r="AJ298" s="152"/>
      <c r="AK298" s="152"/>
      <c r="AL298" s="152"/>
      <c r="AM298" s="152"/>
      <c r="AN298" s="152"/>
      <c r="AO298" s="152"/>
    </row>
    <row r="299" ht="12.75" customHeight="1">
      <c r="A299" s="288"/>
      <c r="B299" s="288"/>
      <c r="C299" s="288"/>
      <c r="D299" s="152"/>
      <c r="E299" s="289"/>
      <c r="F299" s="288"/>
      <c r="G299" s="152"/>
      <c r="H299" s="289"/>
      <c r="I299" s="289"/>
      <c r="J299" s="152"/>
      <c r="K299" s="152"/>
      <c r="L299" s="156"/>
      <c r="M299" s="152"/>
      <c r="N299" s="152"/>
      <c r="O299" s="152"/>
      <c r="P299" s="152"/>
      <c r="Q299" s="152"/>
      <c r="R299" s="152"/>
      <c r="S299" s="152"/>
      <c r="T299" s="152"/>
      <c r="U299" s="152"/>
      <c r="V299" s="152"/>
      <c r="W299" s="281"/>
      <c r="X299" s="281"/>
      <c r="Y299" s="281"/>
      <c r="Z299" s="281"/>
      <c r="AA299" s="281"/>
      <c r="AB299" s="281"/>
      <c r="AC299" s="281"/>
      <c r="AD299" s="170"/>
      <c r="AE299" s="152"/>
      <c r="AF299" s="152"/>
      <c r="AG299" s="152"/>
      <c r="AH299" s="152"/>
      <c r="AI299" s="152"/>
      <c r="AJ299" s="152"/>
      <c r="AK299" s="152"/>
      <c r="AL299" s="152"/>
      <c r="AM299" s="152"/>
      <c r="AN299" s="152"/>
      <c r="AO299" s="152"/>
    </row>
    <row r="300" ht="12.75" customHeight="1">
      <c r="A300" s="288"/>
      <c r="B300" s="288"/>
      <c r="C300" s="288"/>
      <c r="D300" s="152"/>
      <c r="E300" s="289"/>
      <c r="F300" s="288"/>
      <c r="G300" s="152"/>
      <c r="H300" s="289"/>
      <c r="I300" s="289"/>
      <c r="J300" s="152"/>
      <c r="K300" s="152"/>
      <c r="L300" s="156"/>
      <c r="M300" s="152"/>
      <c r="N300" s="152"/>
      <c r="O300" s="152"/>
      <c r="P300" s="152"/>
      <c r="Q300" s="152"/>
      <c r="R300" s="152"/>
      <c r="S300" s="152"/>
      <c r="T300" s="152"/>
      <c r="U300" s="152"/>
      <c r="V300" s="152"/>
      <c r="W300" s="281"/>
      <c r="X300" s="281"/>
      <c r="Y300" s="281"/>
      <c r="Z300" s="281"/>
      <c r="AA300" s="281"/>
      <c r="AB300" s="281"/>
      <c r="AC300" s="281"/>
      <c r="AD300" s="170"/>
      <c r="AE300" s="152"/>
      <c r="AF300" s="152"/>
      <c r="AG300" s="152"/>
      <c r="AH300" s="152"/>
      <c r="AI300" s="152"/>
      <c r="AJ300" s="152"/>
      <c r="AK300" s="152"/>
      <c r="AL300" s="152"/>
      <c r="AM300" s="152"/>
      <c r="AN300" s="152"/>
      <c r="AO300" s="152"/>
    </row>
    <row r="301" ht="12.75" customHeight="1">
      <c r="A301" s="288"/>
      <c r="B301" s="288"/>
      <c r="C301" s="288"/>
      <c r="D301" s="152"/>
      <c r="E301" s="289"/>
      <c r="F301" s="288"/>
      <c r="G301" s="152"/>
      <c r="H301" s="289"/>
      <c r="I301" s="289"/>
      <c r="J301" s="152"/>
      <c r="K301" s="152"/>
      <c r="L301" s="156"/>
      <c r="M301" s="152"/>
      <c r="N301" s="152"/>
      <c r="O301" s="152"/>
      <c r="P301" s="152"/>
      <c r="Q301" s="152"/>
      <c r="R301" s="152"/>
      <c r="S301" s="152"/>
      <c r="T301" s="152"/>
      <c r="U301" s="152"/>
      <c r="V301" s="152"/>
      <c r="W301" s="281"/>
      <c r="X301" s="281"/>
      <c r="Y301" s="281"/>
      <c r="Z301" s="281"/>
      <c r="AA301" s="281"/>
      <c r="AB301" s="281"/>
      <c r="AC301" s="281"/>
      <c r="AD301" s="170"/>
      <c r="AE301" s="152"/>
      <c r="AF301" s="152"/>
      <c r="AG301" s="152"/>
      <c r="AH301" s="152"/>
      <c r="AI301" s="152"/>
      <c r="AJ301" s="152"/>
      <c r="AK301" s="152"/>
      <c r="AL301" s="152"/>
      <c r="AM301" s="152"/>
      <c r="AN301" s="152"/>
      <c r="AO301" s="152"/>
    </row>
    <row r="302" ht="12.75" customHeight="1">
      <c r="A302" s="288"/>
      <c r="B302" s="288"/>
      <c r="C302" s="288"/>
      <c r="D302" s="152"/>
      <c r="E302" s="289"/>
      <c r="F302" s="288"/>
      <c r="G302" s="152"/>
      <c r="H302" s="289"/>
      <c r="I302" s="289"/>
      <c r="J302" s="152"/>
      <c r="K302" s="152"/>
      <c r="L302" s="156"/>
      <c r="M302" s="152"/>
      <c r="N302" s="152"/>
      <c r="O302" s="152"/>
      <c r="P302" s="152"/>
      <c r="Q302" s="152"/>
      <c r="R302" s="152"/>
      <c r="S302" s="152"/>
      <c r="T302" s="152"/>
      <c r="U302" s="152"/>
      <c r="V302" s="152"/>
      <c r="W302" s="281"/>
      <c r="X302" s="281"/>
      <c r="Y302" s="281"/>
      <c r="Z302" s="281"/>
      <c r="AA302" s="281"/>
      <c r="AB302" s="281"/>
      <c r="AC302" s="281"/>
      <c r="AD302" s="170"/>
      <c r="AE302" s="152"/>
      <c r="AF302" s="152"/>
      <c r="AG302" s="152"/>
      <c r="AH302" s="152"/>
      <c r="AI302" s="152"/>
      <c r="AJ302" s="152"/>
      <c r="AK302" s="152"/>
      <c r="AL302" s="152"/>
      <c r="AM302" s="152"/>
      <c r="AN302" s="152"/>
      <c r="AO302" s="152"/>
    </row>
    <row r="303" ht="12.75" customHeight="1">
      <c r="A303" s="288"/>
      <c r="B303" s="288"/>
      <c r="C303" s="288"/>
      <c r="D303" s="152"/>
      <c r="E303" s="289"/>
      <c r="F303" s="288"/>
      <c r="G303" s="152"/>
      <c r="H303" s="289"/>
      <c r="I303" s="289"/>
      <c r="J303" s="152"/>
      <c r="K303" s="152"/>
      <c r="L303" s="156"/>
      <c r="M303" s="152"/>
      <c r="N303" s="152"/>
      <c r="O303" s="152"/>
      <c r="P303" s="152"/>
      <c r="Q303" s="152"/>
      <c r="R303" s="152"/>
      <c r="S303" s="152"/>
      <c r="T303" s="152"/>
      <c r="U303" s="152"/>
      <c r="V303" s="152"/>
      <c r="W303" s="281"/>
      <c r="X303" s="281"/>
      <c r="Y303" s="281"/>
      <c r="Z303" s="281"/>
      <c r="AA303" s="281"/>
      <c r="AB303" s="281"/>
      <c r="AC303" s="281"/>
      <c r="AD303" s="170"/>
      <c r="AE303" s="152"/>
      <c r="AF303" s="152"/>
      <c r="AG303" s="152"/>
      <c r="AH303" s="152"/>
      <c r="AI303" s="152"/>
      <c r="AJ303" s="152"/>
      <c r="AK303" s="152"/>
      <c r="AL303" s="152"/>
      <c r="AM303" s="152"/>
      <c r="AN303" s="152"/>
      <c r="AO303" s="152"/>
    </row>
    <row r="304" ht="12.75" customHeight="1">
      <c r="A304" s="288"/>
      <c r="B304" s="288"/>
      <c r="C304" s="288"/>
      <c r="D304" s="152"/>
      <c r="E304" s="289"/>
      <c r="F304" s="288"/>
      <c r="G304" s="152"/>
      <c r="H304" s="289"/>
      <c r="I304" s="289"/>
      <c r="J304" s="152"/>
      <c r="K304" s="152"/>
      <c r="L304" s="156"/>
      <c r="M304" s="152"/>
      <c r="N304" s="152"/>
      <c r="O304" s="152"/>
      <c r="P304" s="152"/>
      <c r="Q304" s="152"/>
      <c r="R304" s="152"/>
      <c r="S304" s="152"/>
      <c r="T304" s="152"/>
      <c r="U304" s="152"/>
      <c r="V304" s="152"/>
      <c r="W304" s="281"/>
      <c r="X304" s="281"/>
      <c r="Y304" s="281"/>
      <c r="Z304" s="281"/>
      <c r="AA304" s="281"/>
      <c r="AB304" s="281"/>
      <c r="AC304" s="281"/>
      <c r="AD304" s="170"/>
      <c r="AE304" s="152"/>
      <c r="AF304" s="152"/>
      <c r="AG304" s="152"/>
      <c r="AH304" s="152"/>
      <c r="AI304" s="152"/>
      <c r="AJ304" s="152"/>
      <c r="AK304" s="152"/>
      <c r="AL304" s="152"/>
      <c r="AM304" s="152"/>
      <c r="AN304" s="152"/>
      <c r="AO304" s="152"/>
    </row>
    <row r="305" ht="12.75" customHeight="1">
      <c r="A305" s="288"/>
      <c r="B305" s="288"/>
      <c r="C305" s="288"/>
      <c r="D305" s="152"/>
      <c r="E305" s="289"/>
      <c r="F305" s="288"/>
      <c r="G305" s="152"/>
      <c r="H305" s="289"/>
      <c r="I305" s="289"/>
      <c r="J305" s="152"/>
      <c r="K305" s="152"/>
      <c r="L305" s="156"/>
      <c r="M305" s="152"/>
      <c r="N305" s="152"/>
      <c r="O305" s="152"/>
      <c r="P305" s="152"/>
      <c r="Q305" s="152"/>
      <c r="R305" s="152"/>
      <c r="S305" s="152"/>
      <c r="T305" s="152"/>
      <c r="U305" s="152"/>
      <c r="V305" s="152"/>
      <c r="W305" s="281"/>
      <c r="X305" s="281"/>
      <c r="Y305" s="281"/>
      <c r="Z305" s="281"/>
      <c r="AA305" s="281"/>
      <c r="AB305" s="281"/>
      <c r="AC305" s="281"/>
      <c r="AD305" s="170"/>
      <c r="AE305" s="152"/>
      <c r="AF305" s="152"/>
      <c r="AG305" s="152"/>
      <c r="AH305" s="152"/>
      <c r="AI305" s="152"/>
      <c r="AJ305" s="152"/>
      <c r="AK305" s="152"/>
      <c r="AL305" s="152"/>
      <c r="AM305" s="152"/>
      <c r="AN305" s="152"/>
      <c r="AO305" s="152"/>
    </row>
    <row r="306" ht="12.75" customHeight="1">
      <c r="A306" s="288"/>
      <c r="B306" s="288"/>
      <c r="C306" s="288"/>
      <c r="D306" s="152"/>
      <c r="E306" s="289"/>
      <c r="F306" s="288"/>
      <c r="G306" s="152"/>
      <c r="H306" s="289"/>
      <c r="I306" s="289"/>
      <c r="J306" s="152"/>
      <c r="K306" s="152"/>
      <c r="L306" s="156"/>
      <c r="M306" s="152"/>
      <c r="N306" s="152"/>
      <c r="O306" s="152"/>
      <c r="P306" s="152"/>
      <c r="Q306" s="152"/>
      <c r="R306" s="152"/>
      <c r="S306" s="152"/>
      <c r="T306" s="152"/>
      <c r="U306" s="152"/>
      <c r="V306" s="152"/>
      <c r="W306" s="281"/>
      <c r="X306" s="281"/>
      <c r="Y306" s="281"/>
      <c r="Z306" s="281"/>
      <c r="AA306" s="281"/>
      <c r="AB306" s="281"/>
      <c r="AC306" s="281"/>
      <c r="AD306" s="170"/>
      <c r="AE306" s="152"/>
      <c r="AF306" s="152"/>
      <c r="AG306" s="152"/>
      <c r="AH306" s="152"/>
      <c r="AI306" s="152"/>
      <c r="AJ306" s="152"/>
      <c r="AK306" s="152"/>
      <c r="AL306" s="152"/>
      <c r="AM306" s="152"/>
      <c r="AN306" s="152"/>
      <c r="AO306" s="152"/>
    </row>
    <row r="307" ht="12.75" customHeight="1">
      <c r="A307" s="288"/>
      <c r="B307" s="288"/>
      <c r="C307" s="288"/>
      <c r="D307" s="152"/>
      <c r="E307" s="289"/>
      <c r="F307" s="288"/>
      <c r="G307" s="152"/>
      <c r="H307" s="289"/>
      <c r="I307" s="289"/>
      <c r="J307" s="152"/>
      <c r="K307" s="152"/>
      <c r="L307" s="156"/>
      <c r="M307" s="152"/>
      <c r="N307" s="152"/>
      <c r="O307" s="152"/>
      <c r="P307" s="152"/>
      <c r="Q307" s="152"/>
      <c r="R307" s="152"/>
      <c r="S307" s="152"/>
      <c r="T307" s="152"/>
      <c r="U307" s="152"/>
      <c r="V307" s="152"/>
      <c r="W307" s="281"/>
      <c r="X307" s="281"/>
      <c r="Y307" s="281"/>
      <c r="Z307" s="281"/>
      <c r="AA307" s="281"/>
      <c r="AB307" s="281"/>
      <c r="AC307" s="281"/>
      <c r="AD307" s="170"/>
      <c r="AE307" s="152"/>
      <c r="AF307" s="152"/>
      <c r="AG307" s="152"/>
      <c r="AH307" s="152"/>
      <c r="AI307" s="152"/>
      <c r="AJ307" s="152"/>
      <c r="AK307" s="152"/>
      <c r="AL307" s="152"/>
      <c r="AM307" s="152"/>
      <c r="AN307" s="152"/>
      <c r="AO307" s="152"/>
    </row>
    <row r="308" ht="12.75" customHeight="1">
      <c r="A308" s="288"/>
      <c r="B308" s="288"/>
      <c r="C308" s="288"/>
      <c r="D308" s="152"/>
      <c r="E308" s="289"/>
      <c r="F308" s="288"/>
      <c r="G308" s="152"/>
      <c r="H308" s="289"/>
      <c r="I308" s="289"/>
      <c r="J308" s="152"/>
      <c r="K308" s="152"/>
      <c r="L308" s="156"/>
      <c r="M308" s="152"/>
      <c r="N308" s="152"/>
      <c r="O308" s="152"/>
      <c r="P308" s="152"/>
      <c r="Q308" s="152"/>
      <c r="R308" s="152"/>
      <c r="S308" s="152"/>
      <c r="T308" s="152"/>
      <c r="U308" s="152"/>
      <c r="V308" s="152"/>
      <c r="W308" s="281"/>
      <c r="X308" s="281"/>
      <c r="Y308" s="281"/>
      <c r="Z308" s="281"/>
      <c r="AA308" s="281"/>
      <c r="AB308" s="281"/>
      <c r="AC308" s="281"/>
      <c r="AD308" s="170"/>
      <c r="AE308" s="152"/>
      <c r="AF308" s="152"/>
      <c r="AG308" s="152"/>
      <c r="AH308" s="152"/>
      <c r="AI308" s="152"/>
      <c r="AJ308" s="152"/>
      <c r="AK308" s="152"/>
      <c r="AL308" s="152"/>
      <c r="AM308" s="152"/>
      <c r="AN308" s="152"/>
      <c r="AO308" s="152"/>
    </row>
    <row r="309" ht="12.75" customHeight="1">
      <c r="A309" s="288"/>
      <c r="B309" s="288"/>
      <c r="C309" s="288"/>
      <c r="D309" s="152"/>
      <c r="E309" s="289"/>
      <c r="F309" s="288"/>
      <c r="G309" s="152"/>
      <c r="H309" s="289"/>
      <c r="I309" s="289"/>
      <c r="J309" s="152"/>
      <c r="K309" s="152"/>
      <c r="L309" s="156"/>
      <c r="M309" s="152"/>
      <c r="N309" s="152"/>
      <c r="O309" s="152"/>
      <c r="P309" s="152"/>
      <c r="Q309" s="152"/>
      <c r="R309" s="152"/>
      <c r="S309" s="152"/>
      <c r="T309" s="152"/>
      <c r="U309" s="152"/>
      <c r="V309" s="152"/>
      <c r="W309" s="281"/>
      <c r="X309" s="281"/>
      <c r="Y309" s="281"/>
      <c r="Z309" s="281"/>
      <c r="AA309" s="281"/>
      <c r="AB309" s="281"/>
      <c r="AC309" s="281"/>
      <c r="AD309" s="170"/>
      <c r="AE309" s="152"/>
      <c r="AF309" s="152"/>
      <c r="AG309" s="152"/>
      <c r="AH309" s="152"/>
      <c r="AI309" s="152"/>
      <c r="AJ309" s="152"/>
      <c r="AK309" s="152"/>
      <c r="AL309" s="152"/>
      <c r="AM309" s="152"/>
      <c r="AN309" s="152"/>
      <c r="AO309" s="152"/>
    </row>
    <row r="310" ht="12.75" customHeight="1">
      <c r="A310" s="288"/>
      <c r="B310" s="288"/>
      <c r="C310" s="288"/>
      <c r="D310" s="152"/>
      <c r="E310" s="289"/>
      <c r="F310" s="288"/>
      <c r="G310" s="152"/>
      <c r="H310" s="289"/>
      <c r="I310" s="289"/>
      <c r="J310" s="152"/>
      <c r="K310" s="152"/>
      <c r="L310" s="156"/>
      <c r="M310" s="152"/>
      <c r="N310" s="152"/>
      <c r="O310" s="152"/>
      <c r="P310" s="152"/>
      <c r="Q310" s="152"/>
      <c r="R310" s="152"/>
      <c r="S310" s="152"/>
      <c r="T310" s="152"/>
      <c r="U310" s="152"/>
      <c r="V310" s="152"/>
      <c r="W310" s="281"/>
      <c r="X310" s="281"/>
      <c r="Y310" s="281"/>
      <c r="Z310" s="281"/>
      <c r="AA310" s="281"/>
      <c r="AB310" s="281"/>
      <c r="AC310" s="281"/>
      <c r="AD310" s="170"/>
      <c r="AE310" s="152"/>
      <c r="AF310" s="152"/>
      <c r="AG310" s="152"/>
      <c r="AH310" s="152"/>
      <c r="AI310" s="152"/>
      <c r="AJ310" s="152"/>
      <c r="AK310" s="152"/>
      <c r="AL310" s="152"/>
      <c r="AM310" s="152"/>
      <c r="AN310" s="152"/>
      <c r="AO310" s="152"/>
    </row>
    <row r="311" ht="12.75" customHeight="1">
      <c r="A311" s="288"/>
      <c r="B311" s="288"/>
      <c r="C311" s="288"/>
      <c r="D311" s="152"/>
      <c r="E311" s="289"/>
      <c r="F311" s="288"/>
      <c r="G311" s="152"/>
      <c r="H311" s="289"/>
      <c r="I311" s="289"/>
      <c r="J311" s="152"/>
      <c r="K311" s="152"/>
      <c r="L311" s="156"/>
      <c r="M311" s="152"/>
      <c r="N311" s="152"/>
      <c r="O311" s="152"/>
      <c r="P311" s="152"/>
      <c r="Q311" s="152"/>
      <c r="R311" s="152"/>
      <c r="S311" s="152"/>
      <c r="T311" s="152"/>
      <c r="U311" s="152"/>
      <c r="V311" s="152"/>
      <c r="W311" s="281"/>
      <c r="X311" s="281"/>
      <c r="Y311" s="281"/>
      <c r="Z311" s="281"/>
      <c r="AA311" s="281"/>
      <c r="AB311" s="281"/>
      <c r="AC311" s="281"/>
      <c r="AD311" s="170"/>
      <c r="AE311" s="152"/>
      <c r="AF311" s="152"/>
      <c r="AG311" s="152"/>
      <c r="AH311" s="152"/>
      <c r="AI311" s="152"/>
      <c r="AJ311" s="152"/>
      <c r="AK311" s="152"/>
      <c r="AL311" s="152"/>
      <c r="AM311" s="152"/>
      <c r="AN311" s="152"/>
      <c r="AO311" s="152"/>
    </row>
    <row r="312" ht="12.75" customHeight="1">
      <c r="A312" s="288"/>
      <c r="B312" s="288"/>
      <c r="C312" s="288"/>
      <c r="D312" s="152"/>
      <c r="E312" s="289"/>
      <c r="F312" s="288"/>
      <c r="G312" s="152"/>
      <c r="H312" s="289"/>
      <c r="I312" s="289"/>
      <c r="J312" s="152"/>
      <c r="K312" s="152"/>
      <c r="L312" s="156"/>
      <c r="M312" s="152"/>
      <c r="N312" s="152"/>
      <c r="O312" s="152"/>
      <c r="P312" s="152"/>
      <c r="Q312" s="152"/>
      <c r="R312" s="152"/>
      <c r="S312" s="152"/>
      <c r="T312" s="152"/>
      <c r="U312" s="152"/>
      <c r="V312" s="152"/>
      <c r="W312" s="281"/>
      <c r="X312" s="281"/>
      <c r="Y312" s="281"/>
      <c r="Z312" s="281"/>
      <c r="AA312" s="281"/>
      <c r="AB312" s="281"/>
      <c r="AC312" s="281"/>
      <c r="AD312" s="170"/>
      <c r="AE312" s="152"/>
      <c r="AF312" s="152"/>
      <c r="AG312" s="152"/>
      <c r="AH312" s="152"/>
      <c r="AI312" s="152"/>
      <c r="AJ312" s="152"/>
      <c r="AK312" s="152"/>
      <c r="AL312" s="152"/>
      <c r="AM312" s="152"/>
      <c r="AN312" s="152"/>
      <c r="AO312" s="152"/>
    </row>
    <row r="313" ht="12.75" customHeight="1">
      <c r="A313" s="288"/>
      <c r="B313" s="288"/>
      <c r="C313" s="288"/>
      <c r="D313" s="152"/>
      <c r="E313" s="289"/>
      <c r="F313" s="288"/>
      <c r="G313" s="152"/>
      <c r="H313" s="289"/>
      <c r="I313" s="289"/>
      <c r="J313" s="152"/>
      <c r="K313" s="152"/>
      <c r="L313" s="156"/>
      <c r="M313" s="152"/>
      <c r="N313" s="152"/>
      <c r="O313" s="152"/>
      <c r="P313" s="152"/>
      <c r="Q313" s="152"/>
      <c r="R313" s="152"/>
      <c r="S313" s="152"/>
      <c r="T313" s="152"/>
      <c r="U313" s="152"/>
      <c r="V313" s="152"/>
      <c r="W313" s="281"/>
      <c r="X313" s="281"/>
      <c r="Y313" s="281"/>
      <c r="Z313" s="281"/>
      <c r="AA313" s="281"/>
      <c r="AB313" s="281"/>
      <c r="AC313" s="281"/>
      <c r="AD313" s="170"/>
      <c r="AE313" s="152"/>
      <c r="AF313" s="152"/>
      <c r="AG313" s="152"/>
      <c r="AH313" s="152"/>
      <c r="AI313" s="152"/>
      <c r="AJ313" s="152"/>
      <c r="AK313" s="152"/>
      <c r="AL313" s="152"/>
      <c r="AM313" s="152"/>
      <c r="AN313" s="152"/>
      <c r="AO313" s="152"/>
    </row>
    <row r="314" ht="12.75" customHeight="1">
      <c r="A314" s="288"/>
      <c r="B314" s="288"/>
      <c r="C314" s="288"/>
      <c r="D314" s="152"/>
      <c r="E314" s="289"/>
      <c r="F314" s="288"/>
      <c r="G314" s="152"/>
      <c r="H314" s="289"/>
      <c r="I314" s="289"/>
      <c r="J314" s="152"/>
      <c r="K314" s="152"/>
      <c r="L314" s="156"/>
      <c r="M314" s="152"/>
      <c r="N314" s="152"/>
      <c r="O314" s="152"/>
      <c r="P314" s="152"/>
      <c r="Q314" s="152"/>
      <c r="R314" s="152"/>
      <c r="S314" s="152"/>
      <c r="T314" s="152"/>
      <c r="U314" s="152"/>
      <c r="V314" s="152"/>
      <c r="W314" s="281"/>
      <c r="X314" s="281"/>
      <c r="Y314" s="281"/>
      <c r="Z314" s="281"/>
      <c r="AA314" s="281"/>
      <c r="AB314" s="281"/>
      <c r="AC314" s="281"/>
      <c r="AD314" s="170"/>
      <c r="AE314" s="152"/>
      <c r="AF314" s="152"/>
      <c r="AG314" s="152"/>
      <c r="AH314" s="152"/>
      <c r="AI314" s="152"/>
      <c r="AJ314" s="152"/>
      <c r="AK314" s="152"/>
      <c r="AL314" s="152"/>
      <c r="AM314" s="152"/>
      <c r="AN314" s="152"/>
      <c r="AO314" s="152"/>
    </row>
    <row r="315" ht="12.75" customHeight="1">
      <c r="A315" s="288"/>
      <c r="B315" s="288"/>
      <c r="C315" s="288"/>
      <c r="D315" s="152"/>
      <c r="E315" s="289"/>
      <c r="F315" s="288"/>
      <c r="G315" s="152"/>
      <c r="H315" s="289"/>
      <c r="I315" s="289"/>
      <c r="J315" s="152"/>
      <c r="K315" s="152"/>
      <c r="L315" s="156"/>
      <c r="M315" s="152"/>
      <c r="N315" s="152"/>
      <c r="O315" s="152"/>
      <c r="P315" s="152"/>
      <c r="Q315" s="152"/>
      <c r="R315" s="152"/>
      <c r="S315" s="152"/>
      <c r="T315" s="152"/>
      <c r="U315" s="152"/>
      <c r="V315" s="152"/>
      <c r="W315" s="281"/>
      <c r="X315" s="281"/>
      <c r="Y315" s="281"/>
      <c r="Z315" s="281"/>
      <c r="AA315" s="281"/>
      <c r="AB315" s="281"/>
      <c r="AC315" s="281"/>
      <c r="AD315" s="170"/>
      <c r="AE315" s="152"/>
      <c r="AF315" s="152"/>
      <c r="AG315" s="152"/>
      <c r="AH315" s="152"/>
      <c r="AI315" s="152"/>
      <c r="AJ315" s="152"/>
      <c r="AK315" s="152"/>
      <c r="AL315" s="152"/>
      <c r="AM315" s="152"/>
      <c r="AN315" s="152"/>
      <c r="AO315" s="152"/>
    </row>
    <row r="316" ht="12.75" customHeight="1">
      <c r="A316" s="288"/>
      <c r="B316" s="288"/>
      <c r="C316" s="288"/>
      <c r="D316" s="152"/>
      <c r="E316" s="289"/>
      <c r="F316" s="288"/>
      <c r="G316" s="152"/>
      <c r="H316" s="289"/>
      <c r="I316" s="289"/>
      <c r="J316" s="152"/>
      <c r="K316" s="152"/>
      <c r="L316" s="156"/>
      <c r="M316" s="152"/>
      <c r="N316" s="152"/>
      <c r="O316" s="152"/>
      <c r="P316" s="152"/>
      <c r="Q316" s="152"/>
      <c r="R316" s="152"/>
      <c r="S316" s="152"/>
      <c r="T316" s="152"/>
      <c r="U316" s="152"/>
      <c r="V316" s="152"/>
      <c r="W316" s="281"/>
      <c r="X316" s="281"/>
      <c r="Y316" s="281"/>
      <c r="Z316" s="281"/>
      <c r="AA316" s="281"/>
      <c r="AB316" s="281"/>
      <c r="AC316" s="281"/>
      <c r="AD316" s="170"/>
      <c r="AE316" s="152"/>
      <c r="AF316" s="152"/>
      <c r="AG316" s="152"/>
      <c r="AH316" s="152"/>
      <c r="AI316" s="152"/>
      <c r="AJ316" s="152"/>
      <c r="AK316" s="152"/>
      <c r="AL316" s="152"/>
      <c r="AM316" s="152"/>
      <c r="AN316" s="152"/>
      <c r="AO316" s="152"/>
    </row>
    <row r="317" ht="12.75" customHeight="1">
      <c r="A317" s="288"/>
      <c r="B317" s="288"/>
      <c r="C317" s="288"/>
      <c r="D317" s="152"/>
      <c r="E317" s="289"/>
      <c r="F317" s="288"/>
      <c r="G317" s="152"/>
      <c r="H317" s="289"/>
      <c r="I317" s="289"/>
      <c r="J317" s="152"/>
      <c r="K317" s="152"/>
      <c r="L317" s="156"/>
      <c r="M317" s="152"/>
      <c r="N317" s="152"/>
      <c r="O317" s="152"/>
      <c r="P317" s="152"/>
      <c r="Q317" s="152"/>
      <c r="R317" s="152"/>
      <c r="S317" s="152"/>
      <c r="T317" s="152"/>
      <c r="U317" s="152"/>
      <c r="V317" s="152"/>
      <c r="W317" s="281"/>
      <c r="X317" s="281"/>
      <c r="Y317" s="281"/>
      <c r="Z317" s="281"/>
      <c r="AA317" s="281"/>
      <c r="AB317" s="281"/>
      <c r="AC317" s="281"/>
      <c r="AD317" s="170"/>
      <c r="AE317" s="152"/>
      <c r="AF317" s="152"/>
      <c r="AG317" s="152"/>
      <c r="AH317" s="152"/>
      <c r="AI317" s="152"/>
      <c r="AJ317" s="152"/>
      <c r="AK317" s="152"/>
      <c r="AL317" s="152"/>
      <c r="AM317" s="152"/>
      <c r="AN317" s="152"/>
      <c r="AO317" s="152"/>
    </row>
    <row r="318" ht="12.75" customHeight="1">
      <c r="A318" s="288"/>
      <c r="B318" s="288"/>
      <c r="C318" s="288"/>
      <c r="D318" s="152"/>
      <c r="E318" s="289"/>
      <c r="F318" s="288"/>
      <c r="G318" s="152"/>
      <c r="H318" s="289"/>
      <c r="I318" s="289"/>
      <c r="J318" s="152"/>
      <c r="K318" s="152"/>
      <c r="L318" s="156"/>
      <c r="M318" s="152"/>
      <c r="N318" s="152"/>
      <c r="O318" s="152"/>
      <c r="P318" s="152"/>
      <c r="Q318" s="152"/>
      <c r="R318" s="152"/>
      <c r="S318" s="152"/>
      <c r="T318" s="152"/>
      <c r="U318" s="152"/>
      <c r="V318" s="152"/>
      <c r="W318" s="281"/>
      <c r="X318" s="281"/>
      <c r="Y318" s="281"/>
      <c r="Z318" s="281"/>
      <c r="AA318" s="281"/>
      <c r="AB318" s="281"/>
      <c r="AC318" s="281"/>
      <c r="AD318" s="170"/>
      <c r="AE318" s="152"/>
      <c r="AF318" s="152"/>
      <c r="AG318" s="152"/>
      <c r="AH318" s="152"/>
      <c r="AI318" s="152"/>
      <c r="AJ318" s="152"/>
      <c r="AK318" s="152"/>
      <c r="AL318" s="152"/>
      <c r="AM318" s="152"/>
      <c r="AN318" s="152"/>
      <c r="AO318" s="152"/>
    </row>
    <row r="319" ht="12.75" customHeight="1">
      <c r="A319" s="288"/>
      <c r="B319" s="288"/>
      <c r="C319" s="288"/>
      <c r="D319" s="152"/>
      <c r="E319" s="289"/>
      <c r="F319" s="288"/>
      <c r="G319" s="152"/>
      <c r="H319" s="289"/>
      <c r="I319" s="289"/>
      <c r="J319" s="152"/>
      <c r="K319" s="152"/>
      <c r="L319" s="156"/>
      <c r="M319" s="152"/>
      <c r="N319" s="152"/>
      <c r="O319" s="152"/>
      <c r="P319" s="152"/>
      <c r="Q319" s="152"/>
      <c r="R319" s="152"/>
      <c r="S319" s="152"/>
      <c r="T319" s="152"/>
      <c r="U319" s="152"/>
      <c r="V319" s="152"/>
      <c r="W319" s="281"/>
      <c r="X319" s="281"/>
      <c r="Y319" s="281"/>
      <c r="Z319" s="281"/>
      <c r="AA319" s="281"/>
      <c r="AB319" s="281"/>
      <c r="AC319" s="281"/>
      <c r="AD319" s="170"/>
      <c r="AE319" s="152"/>
      <c r="AF319" s="152"/>
      <c r="AG319" s="152"/>
      <c r="AH319" s="152"/>
      <c r="AI319" s="152"/>
      <c r="AJ319" s="152"/>
      <c r="AK319" s="152"/>
      <c r="AL319" s="152"/>
      <c r="AM319" s="152"/>
      <c r="AN319" s="152"/>
      <c r="AO319" s="152"/>
    </row>
    <row r="320" ht="12.75" customHeight="1">
      <c r="A320" s="288"/>
      <c r="B320" s="288"/>
      <c r="C320" s="288"/>
      <c r="D320" s="152"/>
      <c r="E320" s="289"/>
      <c r="F320" s="288"/>
      <c r="G320" s="152"/>
      <c r="H320" s="289"/>
      <c r="I320" s="289"/>
      <c r="J320" s="152"/>
      <c r="K320" s="152"/>
      <c r="L320" s="156"/>
      <c r="M320" s="152"/>
      <c r="N320" s="152"/>
      <c r="O320" s="152"/>
      <c r="P320" s="152"/>
      <c r="Q320" s="152"/>
      <c r="R320" s="152"/>
      <c r="S320" s="152"/>
      <c r="T320" s="152"/>
      <c r="U320" s="152"/>
      <c r="V320" s="152"/>
      <c r="W320" s="281"/>
      <c r="X320" s="281"/>
      <c r="Y320" s="281"/>
      <c r="Z320" s="281"/>
      <c r="AA320" s="281"/>
      <c r="AB320" s="281"/>
      <c r="AC320" s="281"/>
      <c r="AD320" s="170"/>
      <c r="AE320" s="152"/>
      <c r="AF320" s="152"/>
      <c r="AG320" s="152"/>
      <c r="AH320" s="152"/>
      <c r="AI320" s="152"/>
      <c r="AJ320" s="152"/>
      <c r="AK320" s="152"/>
      <c r="AL320" s="152"/>
      <c r="AM320" s="152"/>
      <c r="AN320" s="152"/>
      <c r="AO320" s="152"/>
    </row>
    <row r="321" ht="12.75" customHeight="1">
      <c r="A321" s="288"/>
      <c r="B321" s="288"/>
      <c r="C321" s="288"/>
      <c r="D321" s="152"/>
      <c r="E321" s="289"/>
      <c r="F321" s="288"/>
      <c r="G321" s="152"/>
      <c r="H321" s="289"/>
      <c r="I321" s="289"/>
      <c r="J321" s="152"/>
      <c r="K321" s="152"/>
      <c r="L321" s="156"/>
      <c r="M321" s="152"/>
      <c r="N321" s="152"/>
      <c r="O321" s="152"/>
      <c r="P321" s="152"/>
      <c r="Q321" s="152"/>
      <c r="R321" s="152"/>
      <c r="S321" s="152"/>
      <c r="T321" s="152"/>
      <c r="U321" s="152"/>
      <c r="V321" s="152"/>
      <c r="W321" s="281"/>
      <c r="X321" s="281"/>
      <c r="Y321" s="281"/>
      <c r="Z321" s="281"/>
      <c r="AA321" s="281"/>
      <c r="AB321" s="281"/>
      <c r="AC321" s="281"/>
      <c r="AD321" s="170"/>
      <c r="AE321" s="152"/>
      <c r="AF321" s="152"/>
      <c r="AG321" s="152"/>
      <c r="AH321" s="152"/>
      <c r="AI321" s="152"/>
      <c r="AJ321" s="152"/>
      <c r="AK321" s="152"/>
      <c r="AL321" s="152"/>
      <c r="AM321" s="152"/>
      <c r="AN321" s="152"/>
      <c r="AO321" s="152"/>
    </row>
    <row r="322" ht="12.75" customHeight="1">
      <c r="A322" s="288"/>
      <c r="B322" s="288"/>
      <c r="C322" s="288"/>
      <c r="D322" s="152"/>
      <c r="E322" s="289"/>
      <c r="F322" s="288"/>
      <c r="G322" s="152"/>
      <c r="H322" s="289"/>
      <c r="I322" s="289"/>
      <c r="J322" s="152"/>
      <c r="K322" s="152"/>
      <c r="L322" s="156"/>
      <c r="M322" s="152"/>
      <c r="N322" s="152"/>
      <c r="O322" s="152"/>
      <c r="P322" s="152"/>
      <c r="Q322" s="152"/>
      <c r="R322" s="152"/>
      <c r="S322" s="152"/>
      <c r="T322" s="152"/>
      <c r="U322" s="152"/>
      <c r="V322" s="152"/>
      <c r="W322" s="281"/>
      <c r="X322" s="281"/>
      <c r="Y322" s="281"/>
      <c r="Z322" s="281"/>
      <c r="AA322" s="281"/>
      <c r="AB322" s="281"/>
      <c r="AC322" s="281"/>
      <c r="AD322" s="170"/>
      <c r="AE322" s="152"/>
      <c r="AF322" s="152"/>
      <c r="AG322" s="152"/>
      <c r="AH322" s="152"/>
      <c r="AI322" s="152"/>
      <c r="AJ322" s="152"/>
      <c r="AK322" s="152"/>
      <c r="AL322" s="152"/>
      <c r="AM322" s="152"/>
      <c r="AN322" s="152"/>
      <c r="AO322" s="152"/>
    </row>
    <row r="323" ht="12.75" customHeight="1">
      <c r="A323" s="288"/>
      <c r="B323" s="288"/>
      <c r="C323" s="288"/>
      <c r="D323" s="152"/>
      <c r="E323" s="289"/>
      <c r="F323" s="288"/>
      <c r="G323" s="152"/>
      <c r="H323" s="289"/>
      <c r="I323" s="289"/>
      <c r="J323" s="152"/>
      <c r="K323" s="152"/>
      <c r="L323" s="156"/>
      <c r="M323" s="152"/>
      <c r="N323" s="152"/>
      <c r="O323" s="152"/>
      <c r="P323" s="152"/>
      <c r="Q323" s="152"/>
      <c r="R323" s="152"/>
      <c r="S323" s="152"/>
      <c r="T323" s="152"/>
      <c r="U323" s="152"/>
      <c r="V323" s="152"/>
      <c r="W323" s="281"/>
      <c r="X323" s="281"/>
      <c r="Y323" s="281"/>
      <c r="Z323" s="281"/>
      <c r="AA323" s="281"/>
      <c r="AB323" s="281"/>
      <c r="AC323" s="281"/>
      <c r="AD323" s="170"/>
      <c r="AE323" s="152"/>
      <c r="AF323" s="152"/>
      <c r="AG323" s="152"/>
      <c r="AH323" s="152"/>
      <c r="AI323" s="152"/>
      <c r="AJ323" s="152"/>
      <c r="AK323" s="152"/>
      <c r="AL323" s="152"/>
      <c r="AM323" s="152"/>
      <c r="AN323" s="152"/>
      <c r="AO323" s="152"/>
    </row>
    <row r="324" ht="12.75" customHeight="1">
      <c r="A324" s="288"/>
      <c r="B324" s="288"/>
      <c r="C324" s="288"/>
      <c r="D324" s="152"/>
      <c r="E324" s="289"/>
      <c r="F324" s="288"/>
      <c r="G324" s="152"/>
      <c r="H324" s="289"/>
      <c r="I324" s="289"/>
      <c r="J324" s="152"/>
      <c r="K324" s="152"/>
      <c r="L324" s="156"/>
      <c r="M324" s="152"/>
      <c r="N324" s="152"/>
      <c r="O324" s="152"/>
      <c r="P324" s="152"/>
      <c r="Q324" s="152"/>
      <c r="R324" s="152"/>
      <c r="S324" s="152"/>
      <c r="T324" s="152"/>
      <c r="U324" s="152"/>
      <c r="V324" s="152"/>
      <c r="W324" s="281"/>
      <c r="X324" s="281"/>
      <c r="Y324" s="281"/>
      <c r="Z324" s="281"/>
      <c r="AA324" s="281"/>
      <c r="AB324" s="281"/>
      <c r="AC324" s="281"/>
      <c r="AD324" s="170"/>
      <c r="AE324" s="152"/>
      <c r="AF324" s="152"/>
      <c r="AG324" s="152"/>
      <c r="AH324" s="152"/>
      <c r="AI324" s="152"/>
      <c r="AJ324" s="152"/>
      <c r="AK324" s="152"/>
      <c r="AL324" s="152"/>
      <c r="AM324" s="152"/>
      <c r="AN324" s="152"/>
      <c r="AO324" s="152"/>
    </row>
    <row r="325" ht="12.75" customHeight="1">
      <c r="A325" s="288"/>
      <c r="B325" s="288"/>
      <c r="C325" s="288"/>
      <c r="D325" s="152"/>
      <c r="E325" s="289"/>
      <c r="F325" s="288"/>
      <c r="G325" s="152"/>
      <c r="H325" s="289"/>
      <c r="I325" s="289"/>
      <c r="J325" s="152"/>
      <c r="K325" s="152"/>
      <c r="L325" s="156"/>
      <c r="M325" s="152"/>
      <c r="N325" s="152"/>
      <c r="O325" s="152"/>
      <c r="P325" s="152"/>
      <c r="Q325" s="152"/>
      <c r="R325" s="152"/>
      <c r="S325" s="152"/>
      <c r="T325" s="152"/>
      <c r="U325" s="152"/>
      <c r="V325" s="152"/>
      <c r="W325" s="281"/>
      <c r="X325" s="281"/>
      <c r="Y325" s="281"/>
      <c r="Z325" s="281"/>
      <c r="AA325" s="281"/>
      <c r="AB325" s="281"/>
      <c r="AC325" s="281"/>
      <c r="AD325" s="170"/>
      <c r="AE325" s="152"/>
      <c r="AF325" s="152"/>
      <c r="AG325" s="152"/>
      <c r="AH325" s="152"/>
      <c r="AI325" s="152"/>
      <c r="AJ325" s="152"/>
      <c r="AK325" s="152"/>
      <c r="AL325" s="152"/>
      <c r="AM325" s="152"/>
      <c r="AN325" s="152"/>
      <c r="AO325" s="152"/>
    </row>
    <row r="326" ht="12.75" customHeight="1">
      <c r="A326" s="288"/>
      <c r="B326" s="288"/>
      <c r="C326" s="288"/>
      <c r="D326" s="152"/>
      <c r="E326" s="289"/>
      <c r="F326" s="288"/>
      <c r="G326" s="152"/>
      <c r="H326" s="289"/>
      <c r="I326" s="289"/>
      <c r="J326" s="152"/>
      <c r="K326" s="152"/>
      <c r="L326" s="156"/>
      <c r="M326" s="152"/>
      <c r="N326" s="152"/>
      <c r="O326" s="152"/>
      <c r="P326" s="152"/>
      <c r="Q326" s="152"/>
      <c r="R326" s="152"/>
      <c r="S326" s="152"/>
      <c r="T326" s="152"/>
      <c r="U326" s="152"/>
      <c r="V326" s="152"/>
      <c r="W326" s="281"/>
      <c r="X326" s="281"/>
      <c r="Y326" s="281"/>
      <c r="Z326" s="281"/>
      <c r="AA326" s="281"/>
      <c r="AB326" s="281"/>
      <c r="AC326" s="281"/>
      <c r="AD326" s="170"/>
      <c r="AE326" s="152"/>
      <c r="AF326" s="152"/>
      <c r="AG326" s="152"/>
      <c r="AH326" s="152"/>
      <c r="AI326" s="152"/>
      <c r="AJ326" s="152"/>
      <c r="AK326" s="152"/>
      <c r="AL326" s="152"/>
      <c r="AM326" s="152"/>
      <c r="AN326" s="152"/>
      <c r="AO326" s="152"/>
    </row>
    <row r="327" ht="12.75" customHeight="1">
      <c r="A327" s="288"/>
      <c r="B327" s="288"/>
      <c r="C327" s="288"/>
      <c r="D327" s="152"/>
      <c r="E327" s="289"/>
      <c r="F327" s="288"/>
      <c r="G327" s="152"/>
      <c r="H327" s="289"/>
      <c r="I327" s="289"/>
      <c r="J327" s="152"/>
      <c r="K327" s="152"/>
      <c r="L327" s="156"/>
      <c r="M327" s="152"/>
      <c r="N327" s="152"/>
      <c r="O327" s="152"/>
      <c r="P327" s="152"/>
      <c r="Q327" s="152"/>
      <c r="R327" s="152"/>
      <c r="S327" s="152"/>
      <c r="T327" s="152"/>
      <c r="U327" s="152"/>
      <c r="V327" s="152"/>
      <c r="W327" s="281"/>
      <c r="X327" s="281"/>
      <c r="Y327" s="281"/>
      <c r="Z327" s="281"/>
      <c r="AA327" s="281"/>
      <c r="AB327" s="281"/>
      <c r="AC327" s="281"/>
      <c r="AD327" s="170"/>
      <c r="AE327" s="152"/>
      <c r="AF327" s="152"/>
      <c r="AG327" s="152"/>
      <c r="AH327" s="152"/>
      <c r="AI327" s="152"/>
      <c r="AJ327" s="152"/>
      <c r="AK327" s="152"/>
      <c r="AL327" s="152"/>
      <c r="AM327" s="152"/>
      <c r="AN327" s="152"/>
      <c r="AO327" s="152"/>
    </row>
    <row r="328" ht="12.75" customHeight="1">
      <c r="A328" s="288"/>
      <c r="B328" s="288"/>
      <c r="C328" s="288"/>
      <c r="D328" s="152"/>
      <c r="E328" s="289"/>
      <c r="F328" s="288"/>
      <c r="G328" s="152"/>
      <c r="H328" s="289"/>
      <c r="I328" s="289"/>
      <c r="J328" s="152"/>
      <c r="K328" s="152"/>
      <c r="L328" s="156"/>
      <c r="M328" s="152"/>
      <c r="N328" s="152"/>
      <c r="O328" s="152"/>
      <c r="P328" s="152"/>
      <c r="Q328" s="152"/>
      <c r="R328" s="152"/>
      <c r="S328" s="152"/>
      <c r="T328" s="152"/>
      <c r="U328" s="152"/>
      <c r="V328" s="152"/>
      <c r="W328" s="281"/>
      <c r="X328" s="281"/>
      <c r="Y328" s="281"/>
      <c r="Z328" s="281"/>
      <c r="AA328" s="281"/>
      <c r="AB328" s="281"/>
      <c r="AC328" s="281"/>
      <c r="AD328" s="170"/>
      <c r="AE328" s="152"/>
      <c r="AF328" s="152"/>
      <c r="AG328" s="152"/>
      <c r="AH328" s="152"/>
      <c r="AI328" s="152"/>
      <c r="AJ328" s="152"/>
      <c r="AK328" s="152"/>
      <c r="AL328" s="152"/>
      <c r="AM328" s="152"/>
      <c r="AN328" s="152"/>
      <c r="AO328" s="152"/>
    </row>
    <row r="329" ht="12.75" customHeight="1">
      <c r="A329" s="288"/>
      <c r="B329" s="288"/>
      <c r="C329" s="288"/>
      <c r="D329" s="152"/>
      <c r="E329" s="289"/>
      <c r="F329" s="288"/>
      <c r="G329" s="152"/>
      <c r="H329" s="289"/>
      <c r="I329" s="289"/>
      <c r="J329" s="152"/>
      <c r="K329" s="152"/>
      <c r="L329" s="156"/>
      <c r="M329" s="152"/>
      <c r="N329" s="152"/>
      <c r="O329" s="152"/>
      <c r="P329" s="152"/>
      <c r="Q329" s="152"/>
      <c r="R329" s="152"/>
      <c r="S329" s="152"/>
      <c r="T329" s="152"/>
      <c r="U329" s="152"/>
      <c r="V329" s="152"/>
      <c r="W329" s="281"/>
      <c r="X329" s="281"/>
      <c r="Y329" s="281"/>
      <c r="Z329" s="281"/>
      <c r="AA329" s="281"/>
      <c r="AB329" s="281"/>
      <c r="AC329" s="281"/>
      <c r="AD329" s="170"/>
      <c r="AE329" s="152"/>
      <c r="AF329" s="152"/>
      <c r="AG329" s="152"/>
      <c r="AH329" s="152"/>
      <c r="AI329" s="152"/>
      <c r="AJ329" s="152"/>
      <c r="AK329" s="152"/>
      <c r="AL329" s="152"/>
      <c r="AM329" s="152"/>
      <c r="AN329" s="152"/>
      <c r="AO329" s="152"/>
    </row>
    <row r="330" ht="12.75" customHeight="1">
      <c r="A330" s="288"/>
      <c r="B330" s="288"/>
      <c r="C330" s="288"/>
      <c r="D330" s="152"/>
      <c r="E330" s="289"/>
      <c r="F330" s="288"/>
      <c r="G330" s="152"/>
      <c r="H330" s="289"/>
      <c r="I330" s="289"/>
      <c r="J330" s="152"/>
      <c r="K330" s="152"/>
      <c r="L330" s="156"/>
      <c r="M330" s="152"/>
      <c r="N330" s="152"/>
      <c r="O330" s="152"/>
      <c r="P330" s="152"/>
      <c r="Q330" s="152"/>
      <c r="R330" s="152"/>
      <c r="S330" s="152"/>
      <c r="T330" s="152"/>
      <c r="U330" s="152"/>
      <c r="V330" s="152"/>
      <c r="W330" s="281"/>
      <c r="X330" s="281"/>
      <c r="Y330" s="281"/>
      <c r="Z330" s="281"/>
      <c r="AA330" s="281"/>
      <c r="AB330" s="281"/>
      <c r="AC330" s="281"/>
      <c r="AD330" s="170"/>
      <c r="AE330" s="152"/>
      <c r="AF330" s="152"/>
      <c r="AG330" s="152"/>
      <c r="AH330" s="152"/>
      <c r="AI330" s="152"/>
      <c r="AJ330" s="152"/>
      <c r="AK330" s="152"/>
      <c r="AL330" s="152"/>
      <c r="AM330" s="152"/>
      <c r="AN330" s="152"/>
      <c r="AO330" s="152"/>
    </row>
    <row r="331" ht="12.75" customHeight="1">
      <c r="A331" s="288"/>
      <c r="B331" s="288"/>
      <c r="C331" s="288"/>
      <c r="D331" s="152"/>
      <c r="E331" s="289"/>
      <c r="F331" s="288"/>
      <c r="G331" s="152"/>
      <c r="H331" s="289"/>
      <c r="I331" s="289"/>
      <c r="J331" s="152"/>
      <c r="K331" s="152"/>
      <c r="L331" s="156"/>
      <c r="M331" s="152"/>
      <c r="N331" s="152"/>
      <c r="O331" s="152"/>
      <c r="P331" s="152"/>
      <c r="Q331" s="152"/>
      <c r="R331" s="152"/>
      <c r="S331" s="152"/>
      <c r="T331" s="152"/>
      <c r="U331" s="152"/>
      <c r="V331" s="152"/>
      <c r="W331" s="281"/>
      <c r="X331" s="281"/>
      <c r="Y331" s="281"/>
      <c r="Z331" s="281"/>
      <c r="AA331" s="281"/>
      <c r="AB331" s="281"/>
      <c r="AC331" s="281"/>
      <c r="AD331" s="170"/>
      <c r="AE331" s="152"/>
      <c r="AF331" s="152"/>
      <c r="AG331" s="152"/>
      <c r="AH331" s="152"/>
      <c r="AI331" s="152"/>
      <c r="AJ331" s="152"/>
      <c r="AK331" s="152"/>
      <c r="AL331" s="152"/>
      <c r="AM331" s="152"/>
      <c r="AN331" s="152"/>
      <c r="AO331" s="152"/>
    </row>
    <row r="332" ht="12.75" customHeight="1">
      <c r="A332" s="288"/>
      <c r="B332" s="288"/>
      <c r="C332" s="288"/>
      <c r="D332" s="152"/>
      <c r="E332" s="289"/>
      <c r="F332" s="288"/>
      <c r="G332" s="152"/>
      <c r="H332" s="289"/>
      <c r="I332" s="289"/>
      <c r="J332" s="152"/>
      <c r="K332" s="152"/>
      <c r="L332" s="156"/>
      <c r="M332" s="152"/>
      <c r="N332" s="152"/>
      <c r="O332" s="152"/>
      <c r="P332" s="152"/>
      <c r="Q332" s="152"/>
      <c r="R332" s="152"/>
      <c r="S332" s="152"/>
      <c r="T332" s="152"/>
      <c r="U332" s="152"/>
      <c r="V332" s="152"/>
      <c r="W332" s="281"/>
      <c r="X332" s="281"/>
      <c r="Y332" s="281"/>
      <c r="Z332" s="281"/>
      <c r="AA332" s="281"/>
      <c r="AB332" s="281"/>
      <c r="AC332" s="281"/>
      <c r="AD332" s="170"/>
      <c r="AE332" s="152"/>
      <c r="AF332" s="152"/>
      <c r="AG332" s="152"/>
      <c r="AH332" s="152"/>
      <c r="AI332" s="152"/>
      <c r="AJ332" s="152"/>
      <c r="AK332" s="152"/>
      <c r="AL332" s="152"/>
      <c r="AM332" s="152"/>
      <c r="AN332" s="152"/>
      <c r="AO332" s="152"/>
    </row>
    <row r="333" ht="12.75" customHeight="1">
      <c r="A333" s="288"/>
      <c r="B333" s="288"/>
      <c r="C333" s="288"/>
      <c r="D333" s="152"/>
      <c r="E333" s="289"/>
      <c r="F333" s="288"/>
      <c r="G333" s="152"/>
      <c r="H333" s="289"/>
      <c r="I333" s="289"/>
      <c r="J333" s="152"/>
      <c r="K333" s="152"/>
      <c r="L333" s="156"/>
      <c r="M333" s="152"/>
      <c r="N333" s="152"/>
      <c r="O333" s="152"/>
      <c r="P333" s="152"/>
      <c r="Q333" s="152"/>
      <c r="R333" s="152"/>
      <c r="S333" s="152"/>
      <c r="T333" s="152"/>
      <c r="U333" s="152"/>
      <c r="V333" s="152"/>
      <c r="W333" s="281"/>
      <c r="X333" s="281"/>
      <c r="Y333" s="281"/>
      <c r="Z333" s="281"/>
      <c r="AA333" s="281"/>
      <c r="AB333" s="281"/>
      <c r="AC333" s="281"/>
      <c r="AD333" s="170"/>
      <c r="AE333" s="152"/>
      <c r="AF333" s="152"/>
      <c r="AG333" s="152"/>
      <c r="AH333" s="152"/>
      <c r="AI333" s="152"/>
      <c r="AJ333" s="152"/>
      <c r="AK333" s="152"/>
      <c r="AL333" s="152"/>
      <c r="AM333" s="152"/>
      <c r="AN333" s="152"/>
      <c r="AO333" s="152"/>
    </row>
    <row r="334" ht="12.75" customHeight="1">
      <c r="A334" s="288"/>
      <c r="B334" s="288"/>
      <c r="C334" s="288"/>
      <c r="D334" s="152"/>
      <c r="E334" s="289"/>
      <c r="F334" s="288"/>
      <c r="G334" s="152"/>
      <c r="H334" s="289"/>
      <c r="I334" s="289"/>
      <c r="J334" s="152"/>
      <c r="K334" s="152"/>
      <c r="L334" s="156"/>
      <c r="M334" s="152"/>
      <c r="N334" s="152"/>
      <c r="O334" s="152"/>
      <c r="P334" s="152"/>
      <c r="Q334" s="152"/>
      <c r="R334" s="152"/>
      <c r="S334" s="152"/>
      <c r="T334" s="152"/>
      <c r="U334" s="152"/>
      <c r="V334" s="152"/>
      <c r="W334" s="281"/>
      <c r="X334" s="281"/>
      <c r="Y334" s="281"/>
      <c r="Z334" s="281"/>
      <c r="AA334" s="281"/>
      <c r="AB334" s="281"/>
      <c r="AC334" s="281"/>
      <c r="AD334" s="170"/>
      <c r="AE334" s="152"/>
      <c r="AF334" s="152"/>
      <c r="AG334" s="152"/>
      <c r="AH334" s="152"/>
      <c r="AI334" s="152"/>
      <c r="AJ334" s="152"/>
      <c r="AK334" s="152"/>
      <c r="AL334" s="152"/>
      <c r="AM334" s="152"/>
      <c r="AN334" s="152"/>
      <c r="AO334" s="152"/>
    </row>
    <row r="335" ht="12.75" customHeight="1">
      <c r="A335" s="288"/>
      <c r="B335" s="288"/>
      <c r="C335" s="288"/>
      <c r="D335" s="152"/>
      <c r="E335" s="289"/>
      <c r="F335" s="288"/>
      <c r="G335" s="152"/>
      <c r="H335" s="289"/>
      <c r="I335" s="289"/>
      <c r="J335" s="152"/>
      <c r="K335" s="152"/>
      <c r="L335" s="156"/>
      <c r="M335" s="152"/>
      <c r="N335" s="152"/>
      <c r="O335" s="152"/>
      <c r="P335" s="152"/>
      <c r="Q335" s="152"/>
      <c r="R335" s="152"/>
      <c r="S335" s="152"/>
      <c r="T335" s="152"/>
      <c r="U335" s="152"/>
      <c r="V335" s="152"/>
      <c r="W335" s="281"/>
      <c r="X335" s="281"/>
      <c r="Y335" s="281"/>
      <c r="Z335" s="281"/>
      <c r="AA335" s="281"/>
      <c r="AB335" s="281"/>
      <c r="AC335" s="281"/>
      <c r="AD335" s="170"/>
      <c r="AE335" s="152"/>
      <c r="AF335" s="152"/>
      <c r="AG335" s="152"/>
      <c r="AH335" s="152"/>
      <c r="AI335" s="152"/>
      <c r="AJ335" s="152"/>
      <c r="AK335" s="152"/>
      <c r="AL335" s="152"/>
      <c r="AM335" s="152"/>
      <c r="AN335" s="152"/>
      <c r="AO335" s="152"/>
    </row>
    <row r="336" ht="12.75" customHeight="1">
      <c r="A336" s="288"/>
      <c r="B336" s="288"/>
      <c r="C336" s="288"/>
      <c r="D336" s="152"/>
      <c r="E336" s="289"/>
      <c r="F336" s="288"/>
      <c r="G336" s="152"/>
      <c r="H336" s="289"/>
      <c r="I336" s="289"/>
      <c r="J336" s="152"/>
      <c r="K336" s="152"/>
      <c r="L336" s="156"/>
      <c r="M336" s="152"/>
      <c r="N336" s="152"/>
      <c r="O336" s="152"/>
      <c r="P336" s="152"/>
      <c r="Q336" s="152"/>
      <c r="R336" s="152"/>
      <c r="S336" s="152"/>
      <c r="T336" s="152"/>
      <c r="U336" s="152"/>
      <c r="V336" s="152"/>
      <c r="W336" s="281"/>
      <c r="X336" s="281"/>
      <c r="Y336" s="281"/>
      <c r="Z336" s="281"/>
      <c r="AA336" s="281"/>
      <c r="AB336" s="281"/>
      <c r="AC336" s="281"/>
      <c r="AD336" s="170"/>
      <c r="AE336" s="152"/>
      <c r="AF336" s="152"/>
      <c r="AG336" s="152"/>
      <c r="AH336" s="152"/>
      <c r="AI336" s="152"/>
      <c r="AJ336" s="152"/>
      <c r="AK336" s="152"/>
      <c r="AL336" s="152"/>
      <c r="AM336" s="152"/>
      <c r="AN336" s="152"/>
      <c r="AO336" s="152"/>
    </row>
    <row r="337" ht="12.75" customHeight="1">
      <c r="A337" s="288"/>
      <c r="B337" s="288"/>
      <c r="C337" s="288"/>
      <c r="D337" s="152"/>
      <c r="E337" s="289"/>
      <c r="F337" s="288"/>
      <c r="G337" s="152"/>
      <c r="H337" s="289"/>
      <c r="I337" s="289"/>
      <c r="J337" s="152"/>
      <c r="K337" s="152"/>
      <c r="L337" s="156"/>
      <c r="M337" s="152"/>
      <c r="N337" s="152"/>
      <c r="O337" s="152"/>
      <c r="P337" s="152"/>
      <c r="Q337" s="152"/>
      <c r="R337" s="152"/>
      <c r="S337" s="152"/>
      <c r="T337" s="152"/>
      <c r="U337" s="152"/>
      <c r="V337" s="152"/>
      <c r="W337" s="281"/>
      <c r="X337" s="281"/>
      <c r="Y337" s="281"/>
      <c r="Z337" s="281"/>
      <c r="AA337" s="281"/>
      <c r="AB337" s="281"/>
      <c r="AC337" s="281"/>
      <c r="AD337" s="170"/>
      <c r="AE337" s="152"/>
      <c r="AF337" s="152"/>
      <c r="AG337" s="152"/>
      <c r="AH337" s="152"/>
      <c r="AI337" s="152"/>
      <c r="AJ337" s="152"/>
      <c r="AK337" s="152"/>
      <c r="AL337" s="152"/>
      <c r="AM337" s="152"/>
      <c r="AN337" s="152"/>
      <c r="AO337" s="152"/>
    </row>
    <row r="338" ht="12.75" customHeight="1">
      <c r="A338" s="288"/>
      <c r="B338" s="288"/>
      <c r="C338" s="288"/>
      <c r="D338" s="152"/>
      <c r="E338" s="289"/>
      <c r="F338" s="288"/>
      <c r="G338" s="152"/>
      <c r="H338" s="289"/>
      <c r="I338" s="289"/>
      <c r="J338" s="152"/>
      <c r="K338" s="152"/>
      <c r="L338" s="156"/>
      <c r="M338" s="152"/>
      <c r="N338" s="152"/>
      <c r="O338" s="152"/>
      <c r="P338" s="152"/>
      <c r="Q338" s="152"/>
      <c r="R338" s="152"/>
      <c r="S338" s="152"/>
      <c r="T338" s="152"/>
      <c r="U338" s="152"/>
      <c r="V338" s="152"/>
      <c r="W338" s="281"/>
      <c r="X338" s="281"/>
      <c r="Y338" s="281"/>
      <c r="Z338" s="281"/>
      <c r="AA338" s="281"/>
      <c r="AB338" s="281"/>
      <c r="AC338" s="281"/>
      <c r="AD338" s="170"/>
      <c r="AE338" s="152"/>
      <c r="AF338" s="152"/>
      <c r="AG338" s="152"/>
      <c r="AH338" s="152"/>
      <c r="AI338" s="152"/>
      <c r="AJ338" s="152"/>
      <c r="AK338" s="152"/>
      <c r="AL338" s="152"/>
      <c r="AM338" s="152"/>
      <c r="AN338" s="152"/>
      <c r="AO338" s="152"/>
    </row>
    <row r="339" ht="12.75" customHeight="1">
      <c r="A339" s="288"/>
      <c r="B339" s="288"/>
      <c r="C339" s="288"/>
      <c r="D339" s="152"/>
      <c r="E339" s="289"/>
      <c r="F339" s="288"/>
      <c r="G339" s="152"/>
      <c r="H339" s="289"/>
      <c r="I339" s="289"/>
      <c r="J339" s="152"/>
      <c r="K339" s="152"/>
      <c r="L339" s="156"/>
      <c r="M339" s="152"/>
      <c r="N339" s="152"/>
      <c r="O339" s="152"/>
      <c r="P339" s="152"/>
      <c r="Q339" s="152"/>
      <c r="R339" s="152"/>
      <c r="S339" s="152"/>
      <c r="T339" s="152"/>
      <c r="U339" s="152"/>
      <c r="V339" s="152"/>
      <c r="W339" s="281"/>
      <c r="X339" s="281"/>
      <c r="Y339" s="281"/>
      <c r="Z339" s="281"/>
      <c r="AA339" s="281"/>
      <c r="AB339" s="281"/>
      <c r="AC339" s="281"/>
      <c r="AD339" s="170"/>
      <c r="AE339" s="152"/>
      <c r="AF339" s="152"/>
      <c r="AG339" s="152"/>
      <c r="AH339" s="152"/>
      <c r="AI339" s="152"/>
      <c r="AJ339" s="152"/>
      <c r="AK339" s="152"/>
      <c r="AL339" s="152"/>
      <c r="AM339" s="152"/>
      <c r="AN339" s="152"/>
      <c r="AO339" s="152"/>
    </row>
    <row r="340" ht="12.75" customHeight="1">
      <c r="A340" s="288"/>
      <c r="B340" s="288"/>
      <c r="C340" s="288"/>
      <c r="D340" s="152"/>
      <c r="E340" s="289"/>
      <c r="F340" s="288"/>
      <c r="G340" s="152"/>
      <c r="H340" s="289"/>
      <c r="I340" s="289"/>
      <c r="J340" s="152"/>
      <c r="K340" s="152"/>
      <c r="L340" s="156"/>
      <c r="M340" s="152"/>
      <c r="N340" s="152"/>
      <c r="O340" s="152"/>
      <c r="P340" s="152"/>
      <c r="Q340" s="152"/>
      <c r="R340" s="152"/>
      <c r="S340" s="152"/>
      <c r="T340" s="152"/>
      <c r="U340" s="152"/>
      <c r="V340" s="152"/>
      <c r="W340" s="281"/>
      <c r="X340" s="281"/>
      <c r="Y340" s="281"/>
      <c r="Z340" s="281"/>
      <c r="AA340" s="281"/>
      <c r="AB340" s="281"/>
      <c r="AC340" s="281"/>
      <c r="AD340" s="170"/>
      <c r="AE340" s="152"/>
      <c r="AF340" s="152"/>
      <c r="AG340" s="152"/>
      <c r="AH340" s="152"/>
      <c r="AI340" s="152"/>
      <c r="AJ340" s="152"/>
      <c r="AK340" s="152"/>
      <c r="AL340" s="152"/>
      <c r="AM340" s="152"/>
      <c r="AN340" s="152"/>
      <c r="AO340" s="152"/>
    </row>
    <row r="341" ht="12.75" customHeight="1">
      <c r="A341" s="288"/>
      <c r="B341" s="288"/>
      <c r="C341" s="288"/>
      <c r="D341" s="152"/>
      <c r="E341" s="289"/>
      <c r="F341" s="288"/>
      <c r="G341" s="152"/>
      <c r="H341" s="289"/>
      <c r="I341" s="289"/>
      <c r="J341" s="152"/>
      <c r="K341" s="152"/>
      <c r="L341" s="156"/>
      <c r="M341" s="152"/>
      <c r="N341" s="152"/>
      <c r="O341" s="152"/>
      <c r="P341" s="152"/>
      <c r="Q341" s="152"/>
      <c r="R341" s="152"/>
      <c r="S341" s="152"/>
      <c r="T341" s="152"/>
      <c r="U341" s="152"/>
      <c r="V341" s="152"/>
      <c r="W341" s="281"/>
      <c r="X341" s="281"/>
      <c r="Y341" s="281"/>
      <c r="Z341" s="281"/>
      <c r="AA341" s="281"/>
      <c r="AB341" s="281"/>
      <c r="AC341" s="281"/>
      <c r="AD341" s="170"/>
      <c r="AE341" s="152"/>
      <c r="AF341" s="152"/>
      <c r="AG341" s="152"/>
      <c r="AH341" s="152"/>
      <c r="AI341" s="152"/>
      <c r="AJ341" s="152"/>
      <c r="AK341" s="152"/>
      <c r="AL341" s="152"/>
      <c r="AM341" s="152"/>
      <c r="AN341" s="152"/>
      <c r="AO341" s="152"/>
    </row>
    <row r="342" ht="12.75" customHeight="1">
      <c r="A342" s="288"/>
      <c r="B342" s="288"/>
      <c r="C342" s="288"/>
      <c r="D342" s="152"/>
      <c r="E342" s="289"/>
      <c r="F342" s="288"/>
      <c r="G342" s="152"/>
      <c r="H342" s="289"/>
      <c r="I342" s="289"/>
      <c r="J342" s="152"/>
      <c r="K342" s="152"/>
      <c r="L342" s="156"/>
      <c r="M342" s="152"/>
      <c r="N342" s="152"/>
      <c r="O342" s="152"/>
      <c r="P342" s="152"/>
      <c r="Q342" s="152"/>
      <c r="R342" s="152"/>
      <c r="S342" s="152"/>
      <c r="T342" s="152"/>
      <c r="U342" s="152"/>
      <c r="V342" s="152"/>
      <c r="W342" s="281"/>
      <c r="X342" s="281"/>
      <c r="Y342" s="281"/>
      <c r="Z342" s="281"/>
      <c r="AA342" s="281"/>
      <c r="AB342" s="281"/>
      <c r="AC342" s="281"/>
      <c r="AD342" s="170"/>
      <c r="AE342" s="152"/>
      <c r="AF342" s="152"/>
      <c r="AG342" s="152"/>
      <c r="AH342" s="152"/>
      <c r="AI342" s="152"/>
      <c r="AJ342" s="152"/>
      <c r="AK342" s="152"/>
      <c r="AL342" s="152"/>
      <c r="AM342" s="152"/>
      <c r="AN342" s="152"/>
      <c r="AO342" s="152"/>
    </row>
    <row r="343" ht="12.75" customHeight="1">
      <c r="A343" s="288"/>
      <c r="B343" s="288"/>
      <c r="C343" s="288"/>
      <c r="D343" s="152"/>
      <c r="E343" s="289"/>
      <c r="F343" s="288"/>
      <c r="G343" s="152"/>
      <c r="H343" s="289"/>
      <c r="I343" s="289"/>
      <c r="J343" s="152"/>
      <c r="K343" s="152"/>
      <c r="L343" s="156"/>
      <c r="M343" s="152"/>
      <c r="N343" s="152"/>
      <c r="O343" s="152"/>
      <c r="P343" s="152"/>
      <c r="Q343" s="152"/>
      <c r="R343" s="152"/>
      <c r="S343" s="152"/>
      <c r="T343" s="152"/>
      <c r="U343" s="152"/>
      <c r="V343" s="152"/>
      <c r="W343" s="281"/>
      <c r="X343" s="281"/>
      <c r="Y343" s="281"/>
      <c r="Z343" s="281"/>
      <c r="AA343" s="281"/>
      <c r="AB343" s="281"/>
      <c r="AC343" s="281"/>
      <c r="AD343" s="170"/>
      <c r="AE343" s="152"/>
      <c r="AF343" s="152"/>
      <c r="AG343" s="152"/>
      <c r="AH343" s="152"/>
      <c r="AI343" s="152"/>
      <c r="AJ343" s="152"/>
      <c r="AK343" s="152"/>
      <c r="AL343" s="152"/>
      <c r="AM343" s="152"/>
      <c r="AN343" s="152"/>
      <c r="AO343" s="152"/>
    </row>
    <row r="344" ht="12.75" customHeight="1">
      <c r="A344" s="288"/>
      <c r="B344" s="288"/>
      <c r="C344" s="288"/>
      <c r="D344" s="152"/>
      <c r="E344" s="289"/>
      <c r="F344" s="288"/>
      <c r="G344" s="152"/>
      <c r="H344" s="289"/>
      <c r="I344" s="289"/>
      <c r="J344" s="152"/>
      <c r="K344" s="152"/>
      <c r="L344" s="156"/>
      <c r="M344" s="152"/>
      <c r="N344" s="152"/>
      <c r="O344" s="152"/>
      <c r="P344" s="152"/>
      <c r="Q344" s="152"/>
      <c r="R344" s="152"/>
      <c r="S344" s="152"/>
      <c r="T344" s="152"/>
      <c r="U344" s="152"/>
      <c r="V344" s="152"/>
      <c r="W344" s="281"/>
      <c r="X344" s="281"/>
      <c r="Y344" s="281"/>
      <c r="Z344" s="281"/>
      <c r="AA344" s="281"/>
      <c r="AB344" s="281"/>
      <c r="AC344" s="281"/>
      <c r="AD344" s="170"/>
      <c r="AE344" s="152"/>
      <c r="AF344" s="152"/>
      <c r="AG344" s="152"/>
      <c r="AH344" s="152"/>
      <c r="AI344" s="152"/>
      <c r="AJ344" s="152"/>
      <c r="AK344" s="152"/>
      <c r="AL344" s="152"/>
      <c r="AM344" s="152"/>
      <c r="AN344" s="152"/>
      <c r="AO344" s="152"/>
    </row>
    <row r="345" ht="12.75" customHeight="1">
      <c r="A345" s="288"/>
      <c r="B345" s="288"/>
      <c r="C345" s="288"/>
      <c r="D345" s="152"/>
      <c r="E345" s="289"/>
      <c r="F345" s="288"/>
      <c r="G345" s="152"/>
      <c r="H345" s="289"/>
      <c r="I345" s="289"/>
      <c r="J345" s="152"/>
      <c r="K345" s="152"/>
      <c r="L345" s="156"/>
      <c r="M345" s="152"/>
      <c r="N345" s="152"/>
      <c r="O345" s="152"/>
      <c r="P345" s="152"/>
      <c r="Q345" s="152"/>
      <c r="R345" s="152"/>
      <c r="S345" s="152"/>
      <c r="T345" s="152"/>
      <c r="U345" s="152"/>
      <c r="V345" s="152"/>
      <c r="W345" s="281"/>
      <c r="X345" s="281"/>
      <c r="Y345" s="281"/>
      <c r="Z345" s="281"/>
      <c r="AA345" s="281"/>
      <c r="AB345" s="281"/>
      <c r="AC345" s="281"/>
      <c r="AD345" s="170"/>
      <c r="AE345" s="152"/>
      <c r="AF345" s="152"/>
      <c r="AG345" s="152"/>
      <c r="AH345" s="152"/>
      <c r="AI345" s="152"/>
      <c r="AJ345" s="152"/>
      <c r="AK345" s="152"/>
      <c r="AL345" s="152"/>
      <c r="AM345" s="152"/>
      <c r="AN345" s="152"/>
      <c r="AO345" s="152"/>
    </row>
    <row r="346" ht="12.75" customHeight="1">
      <c r="A346" s="288"/>
      <c r="B346" s="288"/>
      <c r="C346" s="288"/>
      <c r="D346" s="152"/>
      <c r="E346" s="289"/>
      <c r="F346" s="288"/>
      <c r="G346" s="152"/>
      <c r="H346" s="289"/>
      <c r="I346" s="289"/>
      <c r="J346" s="152"/>
      <c r="K346" s="152"/>
      <c r="L346" s="156"/>
      <c r="M346" s="152"/>
      <c r="N346" s="152"/>
      <c r="O346" s="152"/>
      <c r="P346" s="152"/>
      <c r="Q346" s="152"/>
      <c r="R346" s="152"/>
      <c r="S346" s="152"/>
      <c r="T346" s="152"/>
      <c r="U346" s="152"/>
      <c r="V346" s="152"/>
      <c r="W346" s="281"/>
      <c r="X346" s="281"/>
      <c r="Y346" s="281"/>
      <c r="Z346" s="281"/>
      <c r="AA346" s="281"/>
      <c r="AB346" s="281"/>
      <c r="AC346" s="281"/>
      <c r="AD346" s="170"/>
      <c r="AE346" s="152"/>
      <c r="AF346" s="152"/>
      <c r="AG346" s="152"/>
      <c r="AH346" s="152"/>
      <c r="AI346" s="152"/>
      <c r="AJ346" s="152"/>
      <c r="AK346" s="152"/>
      <c r="AL346" s="152"/>
      <c r="AM346" s="152"/>
      <c r="AN346" s="152"/>
      <c r="AO346" s="152"/>
    </row>
    <row r="347" ht="12.75" customHeight="1">
      <c r="A347" s="288"/>
      <c r="B347" s="288"/>
      <c r="C347" s="288"/>
      <c r="D347" s="152"/>
      <c r="E347" s="289"/>
      <c r="F347" s="288"/>
      <c r="G347" s="152"/>
      <c r="H347" s="289"/>
      <c r="I347" s="289"/>
      <c r="J347" s="152"/>
      <c r="K347" s="152"/>
      <c r="L347" s="156"/>
      <c r="M347" s="152"/>
      <c r="N347" s="152"/>
      <c r="O347" s="152"/>
      <c r="P347" s="152"/>
      <c r="Q347" s="152"/>
      <c r="R347" s="152"/>
      <c r="S347" s="152"/>
      <c r="T347" s="152"/>
      <c r="U347" s="152"/>
      <c r="V347" s="152"/>
      <c r="W347" s="281"/>
      <c r="X347" s="281"/>
      <c r="Y347" s="281"/>
      <c r="Z347" s="281"/>
      <c r="AA347" s="281"/>
      <c r="AB347" s="281"/>
      <c r="AC347" s="281"/>
      <c r="AD347" s="170"/>
      <c r="AE347" s="152"/>
      <c r="AF347" s="152"/>
      <c r="AG347" s="152"/>
      <c r="AH347" s="152"/>
      <c r="AI347" s="152"/>
      <c r="AJ347" s="152"/>
      <c r="AK347" s="152"/>
      <c r="AL347" s="152"/>
      <c r="AM347" s="152"/>
      <c r="AN347" s="152"/>
      <c r="AO347" s="152"/>
    </row>
    <row r="348" ht="12.75" customHeight="1">
      <c r="A348" s="288"/>
      <c r="B348" s="288"/>
      <c r="C348" s="288"/>
      <c r="D348" s="152"/>
      <c r="E348" s="289"/>
      <c r="F348" s="288"/>
      <c r="G348" s="152"/>
      <c r="H348" s="289"/>
      <c r="I348" s="289"/>
      <c r="J348" s="152"/>
      <c r="K348" s="152"/>
      <c r="L348" s="156"/>
      <c r="M348" s="152"/>
      <c r="N348" s="152"/>
      <c r="O348" s="152"/>
      <c r="P348" s="152"/>
      <c r="Q348" s="152"/>
      <c r="R348" s="152"/>
      <c r="S348" s="152"/>
      <c r="T348" s="152"/>
      <c r="U348" s="152"/>
      <c r="V348" s="152"/>
      <c r="W348" s="281"/>
      <c r="X348" s="281"/>
      <c r="Y348" s="281"/>
      <c r="Z348" s="281"/>
      <c r="AA348" s="281"/>
      <c r="AB348" s="281"/>
      <c r="AC348" s="281"/>
      <c r="AD348" s="170"/>
      <c r="AE348" s="152"/>
      <c r="AF348" s="152"/>
      <c r="AG348" s="152"/>
      <c r="AH348" s="152"/>
      <c r="AI348" s="152"/>
      <c r="AJ348" s="152"/>
      <c r="AK348" s="152"/>
      <c r="AL348" s="152"/>
      <c r="AM348" s="152"/>
      <c r="AN348" s="152"/>
      <c r="AO348" s="152"/>
    </row>
    <row r="349" ht="12.75" customHeight="1">
      <c r="A349" s="288"/>
      <c r="B349" s="288"/>
      <c r="C349" s="288"/>
      <c r="D349" s="152"/>
      <c r="E349" s="289"/>
      <c r="F349" s="288"/>
      <c r="G349" s="152"/>
      <c r="H349" s="289"/>
      <c r="I349" s="289"/>
      <c r="J349" s="152"/>
      <c r="K349" s="152"/>
      <c r="L349" s="156"/>
      <c r="M349" s="152"/>
      <c r="N349" s="152"/>
      <c r="O349" s="152"/>
      <c r="P349" s="152"/>
      <c r="Q349" s="152"/>
      <c r="R349" s="152"/>
      <c r="S349" s="152"/>
      <c r="T349" s="152"/>
      <c r="U349" s="152"/>
      <c r="V349" s="152"/>
      <c r="W349" s="281"/>
      <c r="X349" s="281"/>
      <c r="Y349" s="281"/>
      <c r="Z349" s="281"/>
      <c r="AA349" s="281"/>
      <c r="AB349" s="281"/>
      <c r="AC349" s="281"/>
      <c r="AD349" s="170"/>
      <c r="AE349" s="152"/>
      <c r="AF349" s="152"/>
      <c r="AG349" s="152"/>
      <c r="AH349" s="152"/>
      <c r="AI349" s="152"/>
      <c r="AJ349" s="152"/>
      <c r="AK349" s="152"/>
      <c r="AL349" s="152"/>
      <c r="AM349" s="152"/>
      <c r="AN349" s="152"/>
      <c r="AO349" s="152"/>
    </row>
    <row r="350" ht="12.75" customHeight="1">
      <c r="A350" s="288"/>
      <c r="B350" s="288"/>
      <c r="C350" s="288"/>
      <c r="D350" s="152"/>
      <c r="E350" s="289"/>
      <c r="F350" s="288"/>
      <c r="G350" s="152"/>
      <c r="H350" s="289"/>
      <c r="I350" s="289"/>
      <c r="J350" s="152"/>
      <c r="K350" s="152"/>
      <c r="L350" s="156"/>
      <c r="M350" s="152"/>
      <c r="N350" s="152"/>
      <c r="O350" s="152"/>
      <c r="P350" s="152"/>
      <c r="Q350" s="152"/>
      <c r="R350" s="152"/>
      <c r="S350" s="152"/>
      <c r="T350" s="152"/>
      <c r="U350" s="152"/>
      <c r="V350" s="152"/>
      <c r="W350" s="281"/>
      <c r="X350" s="281"/>
      <c r="Y350" s="281"/>
      <c r="Z350" s="281"/>
      <c r="AA350" s="281"/>
      <c r="AB350" s="281"/>
      <c r="AC350" s="281"/>
      <c r="AD350" s="170"/>
      <c r="AE350" s="152"/>
      <c r="AF350" s="152"/>
      <c r="AG350" s="152"/>
      <c r="AH350" s="152"/>
      <c r="AI350" s="152"/>
      <c r="AJ350" s="152"/>
      <c r="AK350" s="152"/>
      <c r="AL350" s="152"/>
      <c r="AM350" s="152"/>
      <c r="AN350" s="152"/>
      <c r="AO350" s="152"/>
    </row>
    <row r="351" ht="12.75" customHeight="1">
      <c r="A351" s="288"/>
      <c r="B351" s="288"/>
      <c r="C351" s="288"/>
      <c r="D351" s="152"/>
      <c r="E351" s="289"/>
      <c r="F351" s="288"/>
      <c r="G351" s="152"/>
      <c r="H351" s="289"/>
      <c r="I351" s="289"/>
      <c r="J351" s="152"/>
      <c r="K351" s="152"/>
      <c r="L351" s="156"/>
      <c r="M351" s="152"/>
      <c r="N351" s="152"/>
      <c r="O351" s="152"/>
      <c r="P351" s="152"/>
      <c r="Q351" s="152"/>
      <c r="R351" s="152"/>
      <c r="S351" s="152"/>
      <c r="T351" s="152"/>
      <c r="U351" s="152"/>
      <c r="V351" s="152"/>
      <c r="W351" s="281"/>
      <c r="X351" s="281"/>
      <c r="Y351" s="281"/>
      <c r="Z351" s="281"/>
      <c r="AA351" s="281"/>
      <c r="AB351" s="281"/>
      <c r="AC351" s="281"/>
      <c r="AD351" s="170"/>
      <c r="AE351" s="152"/>
      <c r="AF351" s="152"/>
      <c r="AG351" s="152"/>
      <c r="AH351" s="152"/>
      <c r="AI351" s="152"/>
      <c r="AJ351" s="152"/>
      <c r="AK351" s="152"/>
      <c r="AL351" s="152"/>
      <c r="AM351" s="152"/>
      <c r="AN351" s="152"/>
      <c r="AO351" s="152"/>
    </row>
    <row r="352" ht="12.75" customHeight="1">
      <c r="A352" s="288"/>
      <c r="B352" s="288"/>
      <c r="C352" s="288"/>
      <c r="D352" s="152"/>
      <c r="E352" s="289"/>
      <c r="F352" s="288"/>
      <c r="G352" s="152"/>
      <c r="H352" s="289"/>
      <c r="I352" s="289"/>
      <c r="J352" s="152"/>
      <c r="K352" s="152"/>
      <c r="L352" s="156"/>
      <c r="M352" s="152"/>
      <c r="N352" s="152"/>
      <c r="O352" s="152"/>
      <c r="P352" s="152"/>
      <c r="Q352" s="152"/>
      <c r="R352" s="152"/>
      <c r="S352" s="152"/>
      <c r="T352" s="152"/>
      <c r="U352" s="152"/>
      <c r="V352" s="152"/>
      <c r="W352" s="281"/>
      <c r="X352" s="281"/>
      <c r="Y352" s="281"/>
      <c r="Z352" s="281"/>
      <c r="AA352" s="281"/>
      <c r="AB352" s="281"/>
      <c r="AC352" s="281"/>
      <c r="AD352" s="170"/>
      <c r="AE352" s="152"/>
      <c r="AF352" s="152"/>
      <c r="AG352" s="152"/>
      <c r="AH352" s="152"/>
      <c r="AI352" s="152"/>
      <c r="AJ352" s="152"/>
      <c r="AK352" s="152"/>
      <c r="AL352" s="152"/>
      <c r="AM352" s="152"/>
      <c r="AN352" s="152"/>
      <c r="AO352" s="152"/>
    </row>
    <row r="353" ht="12.75" customHeight="1">
      <c r="A353" s="288"/>
      <c r="B353" s="288"/>
      <c r="C353" s="288"/>
      <c r="D353" s="152"/>
      <c r="E353" s="289"/>
      <c r="F353" s="288"/>
      <c r="G353" s="152"/>
      <c r="H353" s="289"/>
      <c r="I353" s="289"/>
      <c r="J353" s="152"/>
      <c r="K353" s="152"/>
      <c r="L353" s="156"/>
      <c r="M353" s="152"/>
      <c r="N353" s="152"/>
      <c r="O353" s="152"/>
      <c r="P353" s="152"/>
      <c r="Q353" s="152"/>
      <c r="R353" s="152"/>
      <c r="S353" s="152"/>
      <c r="T353" s="152"/>
      <c r="U353" s="152"/>
      <c r="V353" s="152"/>
      <c r="W353" s="281"/>
      <c r="X353" s="281"/>
      <c r="Y353" s="281"/>
      <c r="Z353" s="281"/>
      <c r="AA353" s="281"/>
      <c r="AB353" s="281"/>
      <c r="AC353" s="281"/>
      <c r="AD353" s="170"/>
      <c r="AE353" s="152"/>
      <c r="AF353" s="152"/>
      <c r="AG353" s="152"/>
      <c r="AH353" s="152"/>
      <c r="AI353" s="152"/>
      <c r="AJ353" s="152"/>
      <c r="AK353" s="152"/>
      <c r="AL353" s="152"/>
      <c r="AM353" s="152"/>
      <c r="AN353" s="152"/>
      <c r="AO353" s="152"/>
    </row>
    <row r="354" ht="12.75" customHeight="1">
      <c r="A354" s="288"/>
      <c r="B354" s="288"/>
      <c r="C354" s="288"/>
      <c r="D354" s="152"/>
      <c r="E354" s="289"/>
      <c r="F354" s="288"/>
      <c r="G354" s="152"/>
      <c r="H354" s="289"/>
      <c r="I354" s="289"/>
      <c r="J354" s="152"/>
      <c r="K354" s="152"/>
      <c r="L354" s="156"/>
      <c r="M354" s="152"/>
      <c r="N354" s="152"/>
      <c r="O354" s="152"/>
      <c r="P354" s="152"/>
      <c r="Q354" s="152"/>
      <c r="R354" s="152"/>
      <c r="S354" s="152"/>
      <c r="T354" s="152"/>
      <c r="U354" s="152"/>
      <c r="V354" s="152"/>
      <c r="W354" s="281"/>
      <c r="X354" s="281"/>
      <c r="Y354" s="281"/>
      <c r="Z354" s="281"/>
      <c r="AA354" s="281"/>
      <c r="AB354" s="281"/>
      <c r="AC354" s="281"/>
      <c r="AD354" s="170"/>
      <c r="AE354" s="152"/>
      <c r="AF354" s="152"/>
      <c r="AG354" s="152"/>
      <c r="AH354" s="152"/>
      <c r="AI354" s="152"/>
      <c r="AJ354" s="152"/>
      <c r="AK354" s="152"/>
      <c r="AL354" s="152"/>
      <c r="AM354" s="152"/>
      <c r="AN354" s="152"/>
      <c r="AO354" s="152"/>
    </row>
    <row r="355" ht="12.75" customHeight="1">
      <c r="A355" s="288"/>
      <c r="B355" s="288"/>
      <c r="C355" s="288"/>
      <c r="D355" s="152"/>
      <c r="E355" s="289"/>
      <c r="F355" s="288"/>
      <c r="G355" s="152"/>
      <c r="H355" s="289"/>
      <c r="I355" s="289"/>
      <c r="J355" s="152"/>
      <c r="K355" s="152"/>
      <c r="L355" s="156"/>
      <c r="M355" s="152"/>
      <c r="N355" s="152"/>
      <c r="O355" s="152"/>
      <c r="P355" s="152"/>
      <c r="Q355" s="152"/>
      <c r="R355" s="152"/>
      <c r="S355" s="152"/>
      <c r="T355" s="152"/>
      <c r="U355" s="152"/>
      <c r="V355" s="152"/>
      <c r="W355" s="281"/>
      <c r="X355" s="281"/>
      <c r="Y355" s="281"/>
      <c r="Z355" s="281"/>
      <c r="AA355" s="281"/>
      <c r="AB355" s="281"/>
      <c r="AC355" s="281"/>
      <c r="AD355" s="170"/>
      <c r="AE355" s="152"/>
      <c r="AF355" s="152"/>
      <c r="AG355" s="152"/>
      <c r="AH355" s="152"/>
      <c r="AI355" s="152"/>
      <c r="AJ355" s="152"/>
      <c r="AK355" s="152"/>
      <c r="AL355" s="152"/>
      <c r="AM355" s="152"/>
      <c r="AN355" s="152"/>
      <c r="AO355" s="152"/>
    </row>
    <row r="356" ht="12.75" customHeight="1">
      <c r="A356" s="288"/>
      <c r="B356" s="288"/>
      <c r="C356" s="288"/>
      <c r="D356" s="152"/>
      <c r="E356" s="289"/>
      <c r="F356" s="288"/>
      <c r="G356" s="152"/>
      <c r="H356" s="289"/>
      <c r="I356" s="289"/>
      <c r="J356" s="152"/>
      <c r="K356" s="152"/>
      <c r="L356" s="156"/>
      <c r="M356" s="152"/>
      <c r="N356" s="152"/>
      <c r="O356" s="152"/>
      <c r="P356" s="152"/>
      <c r="Q356" s="152"/>
      <c r="R356" s="152"/>
      <c r="S356" s="152"/>
      <c r="T356" s="152"/>
      <c r="U356" s="152"/>
      <c r="V356" s="152"/>
      <c r="W356" s="281"/>
      <c r="X356" s="281"/>
      <c r="Y356" s="281"/>
      <c r="Z356" s="281"/>
      <c r="AA356" s="281"/>
      <c r="AB356" s="281"/>
      <c r="AC356" s="281"/>
      <c r="AD356" s="170"/>
      <c r="AE356" s="152"/>
      <c r="AF356" s="152"/>
      <c r="AG356" s="152"/>
      <c r="AH356" s="152"/>
      <c r="AI356" s="152"/>
      <c r="AJ356" s="152"/>
      <c r="AK356" s="152"/>
      <c r="AL356" s="152"/>
      <c r="AM356" s="152"/>
      <c r="AN356" s="152"/>
      <c r="AO356" s="152"/>
    </row>
    <row r="357" ht="12.75" customHeight="1">
      <c r="A357" s="288"/>
      <c r="B357" s="288"/>
      <c r="C357" s="288"/>
      <c r="D357" s="152"/>
      <c r="E357" s="289"/>
      <c r="F357" s="288"/>
      <c r="G357" s="152"/>
      <c r="H357" s="289"/>
      <c r="I357" s="289"/>
      <c r="J357" s="152"/>
      <c r="K357" s="152"/>
      <c r="L357" s="156"/>
      <c r="M357" s="152"/>
      <c r="N357" s="152"/>
      <c r="O357" s="152"/>
      <c r="P357" s="152"/>
      <c r="Q357" s="152"/>
      <c r="R357" s="152"/>
      <c r="S357" s="152"/>
      <c r="T357" s="152"/>
      <c r="U357" s="152"/>
      <c r="V357" s="152"/>
      <c r="W357" s="281"/>
      <c r="X357" s="281"/>
      <c r="Y357" s="281"/>
      <c r="Z357" s="281"/>
      <c r="AA357" s="281"/>
      <c r="AB357" s="281"/>
      <c r="AC357" s="281"/>
      <c r="AD357" s="170"/>
      <c r="AE357" s="152"/>
      <c r="AF357" s="152"/>
      <c r="AG357" s="152"/>
      <c r="AH357" s="152"/>
      <c r="AI357" s="152"/>
      <c r="AJ357" s="152"/>
      <c r="AK357" s="152"/>
      <c r="AL357" s="152"/>
      <c r="AM357" s="152"/>
      <c r="AN357" s="152"/>
      <c r="AO357" s="152"/>
    </row>
    <row r="358" ht="12.75" customHeight="1">
      <c r="A358" s="288"/>
      <c r="B358" s="288"/>
      <c r="C358" s="288"/>
      <c r="D358" s="152"/>
      <c r="E358" s="289"/>
      <c r="F358" s="288"/>
      <c r="G358" s="152"/>
      <c r="H358" s="289"/>
      <c r="I358" s="289"/>
      <c r="J358" s="152"/>
      <c r="K358" s="152"/>
      <c r="L358" s="156"/>
      <c r="M358" s="152"/>
      <c r="N358" s="152"/>
      <c r="O358" s="152"/>
      <c r="P358" s="152"/>
      <c r="Q358" s="152"/>
      <c r="R358" s="152"/>
      <c r="S358" s="152"/>
      <c r="T358" s="152"/>
      <c r="U358" s="152"/>
      <c r="V358" s="152"/>
      <c r="W358" s="281"/>
      <c r="X358" s="281"/>
      <c r="Y358" s="281"/>
      <c r="Z358" s="281"/>
      <c r="AA358" s="281"/>
      <c r="AB358" s="281"/>
      <c r="AC358" s="281"/>
      <c r="AD358" s="170"/>
      <c r="AE358" s="152"/>
      <c r="AF358" s="152"/>
      <c r="AG358" s="152"/>
      <c r="AH358" s="152"/>
      <c r="AI358" s="152"/>
      <c r="AJ358" s="152"/>
      <c r="AK358" s="152"/>
      <c r="AL358" s="152"/>
      <c r="AM358" s="152"/>
      <c r="AN358" s="152"/>
      <c r="AO358" s="152"/>
    </row>
    <row r="359" ht="12.75" customHeight="1">
      <c r="A359" s="288"/>
      <c r="B359" s="288"/>
      <c r="C359" s="288"/>
      <c r="D359" s="152"/>
      <c r="E359" s="289"/>
      <c r="F359" s="288"/>
      <c r="G359" s="152"/>
      <c r="H359" s="289"/>
      <c r="I359" s="289"/>
      <c r="J359" s="152"/>
      <c r="K359" s="152"/>
      <c r="L359" s="156"/>
      <c r="M359" s="152"/>
      <c r="N359" s="152"/>
      <c r="O359" s="152"/>
      <c r="P359" s="152"/>
      <c r="Q359" s="152"/>
      <c r="R359" s="152"/>
      <c r="S359" s="152"/>
      <c r="T359" s="152"/>
      <c r="U359" s="152"/>
      <c r="V359" s="152"/>
      <c r="W359" s="281"/>
      <c r="X359" s="281"/>
      <c r="Y359" s="281"/>
      <c r="Z359" s="281"/>
      <c r="AA359" s="281"/>
      <c r="AB359" s="281"/>
      <c r="AC359" s="281"/>
      <c r="AD359" s="170"/>
      <c r="AE359" s="152"/>
      <c r="AF359" s="152"/>
      <c r="AG359" s="152"/>
      <c r="AH359" s="152"/>
      <c r="AI359" s="152"/>
      <c r="AJ359" s="152"/>
      <c r="AK359" s="152"/>
      <c r="AL359" s="152"/>
      <c r="AM359" s="152"/>
      <c r="AN359" s="152"/>
      <c r="AO359" s="152"/>
    </row>
    <row r="360" ht="12.75" customHeight="1">
      <c r="A360" s="288"/>
      <c r="B360" s="288"/>
      <c r="C360" s="288"/>
      <c r="D360" s="152"/>
      <c r="E360" s="289"/>
      <c r="F360" s="288"/>
      <c r="G360" s="152"/>
      <c r="H360" s="289"/>
      <c r="I360" s="289"/>
      <c r="J360" s="152"/>
      <c r="K360" s="152"/>
      <c r="L360" s="156"/>
      <c r="M360" s="152"/>
      <c r="N360" s="152"/>
      <c r="O360" s="152"/>
      <c r="P360" s="152"/>
      <c r="Q360" s="152"/>
      <c r="R360" s="152"/>
      <c r="S360" s="152"/>
      <c r="T360" s="152"/>
      <c r="U360" s="152"/>
      <c r="V360" s="152"/>
      <c r="W360" s="281"/>
      <c r="X360" s="281"/>
      <c r="Y360" s="281"/>
      <c r="Z360" s="281"/>
      <c r="AA360" s="281"/>
      <c r="AB360" s="281"/>
      <c r="AC360" s="281"/>
      <c r="AD360" s="170"/>
      <c r="AE360" s="152"/>
      <c r="AF360" s="152"/>
      <c r="AG360" s="152"/>
      <c r="AH360" s="152"/>
      <c r="AI360" s="152"/>
      <c r="AJ360" s="152"/>
      <c r="AK360" s="152"/>
      <c r="AL360" s="152"/>
      <c r="AM360" s="152"/>
      <c r="AN360" s="152"/>
      <c r="AO360" s="152"/>
    </row>
    <row r="361" ht="12.75" customHeight="1">
      <c r="A361" s="288"/>
      <c r="B361" s="288"/>
      <c r="C361" s="288"/>
      <c r="D361" s="152"/>
      <c r="E361" s="289"/>
      <c r="F361" s="288"/>
      <c r="G361" s="152"/>
      <c r="H361" s="289"/>
      <c r="I361" s="289"/>
      <c r="J361" s="152"/>
      <c r="K361" s="152"/>
      <c r="L361" s="156"/>
      <c r="M361" s="152"/>
      <c r="N361" s="152"/>
      <c r="O361" s="152"/>
      <c r="P361" s="152"/>
      <c r="Q361" s="152"/>
      <c r="R361" s="152"/>
      <c r="S361" s="152"/>
      <c r="T361" s="152"/>
      <c r="U361" s="152"/>
      <c r="V361" s="152"/>
      <c r="W361" s="281"/>
      <c r="X361" s="281"/>
      <c r="Y361" s="281"/>
      <c r="Z361" s="281"/>
      <c r="AA361" s="281"/>
      <c r="AB361" s="281"/>
      <c r="AC361" s="281"/>
      <c r="AD361" s="170"/>
      <c r="AE361" s="152"/>
      <c r="AF361" s="152"/>
      <c r="AG361" s="152"/>
      <c r="AH361" s="152"/>
      <c r="AI361" s="152"/>
      <c r="AJ361" s="152"/>
      <c r="AK361" s="152"/>
      <c r="AL361" s="152"/>
      <c r="AM361" s="152"/>
      <c r="AN361" s="152"/>
      <c r="AO361" s="152"/>
    </row>
    <row r="362" ht="12.75" customHeight="1">
      <c r="A362" s="288"/>
      <c r="B362" s="288"/>
      <c r="C362" s="288"/>
      <c r="D362" s="152"/>
      <c r="E362" s="289"/>
      <c r="F362" s="288"/>
      <c r="G362" s="152"/>
      <c r="H362" s="289"/>
      <c r="I362" s="289"/>
      <c r="J362" s="152"/>
      <c r="K362" s="152"/>
      <c r="L362" s="156"/>
      <c r="M362" s="152"/>
      <c r="N362" s="152"/>
      <c r="O362" s="152"/>
      <c r="P362" s="152"/>
      <c r="Q362" s="152"/>
      <c r="R362" s="152"/>
      <c r="S362" s="152"/>
      <c r="T362" s="152"/>
      <c r="U362" s="152"/>
      <c r="V362" s="152"/>
      <c r="W362" s="281"/>
      <c r="X362" s="281"/>
      <c r="Y362" s="281"/>
      <c r="Z362" s="281"/>
      <c r="AA362" s="281"/>
      <c r="AB362" s="281"/>
      <c r="AC362" s="281"/>
      <c r="AD362" s="170"/>
      <c r="AE362" s="152"/>
      <c r="AF362" s="152"/>
      <c r="AG362" s="152"/>
      <c r="AH362" s="152"/>
      <c r="AI362" s="152"/>
      <c r="AJ362" s="152"/>
      <c r="AK362" s="152"/>
      <c r="AL362" s="152"/>
      <c r="AM362" s="152"/>
      <c r="AN362" s="152"/>
      <c r="AO362" s="152"/>
    </row>
    <row r="363" ht="12.75" customHeight="1">
      <c r="A363" s="288"/>
      <c r="B363" s="288"/>
      <c r="C363" s="288"/>
      <c r="D363" s="152"/>
      <c r="E363" s="289"/>
      <c r="F363" s="288"/>
      <c r="G363" s="152"/>
      <c r="H363" s="289"/>
      <c r="I363" s="289"/>
      <c r="J363" s="152"/>
      <c r="K363" s="152"/>
      <c r="L363" s="156"/>
      <c r="M363" s="152"/>
      <c r="N363" s="152"/>
      <c r="O363" s="152"/>
      <c r="P363" s="152"/>
      <c r="Q363" s="152"/>
      <c r="R363" s="152"/>
      <c r="S363" s="152"/>
      <c r="T363" s="152"/>
      <c r="U363" s="152"/>
      <c r="V363" s="152"/>
      <c r="W363" s="281"/>
      <c r="X363" s="281"/>
      <c r="Y363" s="281"/>
      <c r="Z363" s="281"/>
      <c r="AA363" s="281"/>
      <c r="AB363" s="281"/>
      <c r="AC363" s="281"/>
      <c r="AD363" s="170"/>
      <c r="AE363" s="152"/>
      <c r="AF363" s="152"/>
      <c r="AG363" s="152"/>
      <c r="AH363" s="152"/>
      <c r="AI363" s="152"/>
      <c r="AJ363" s="152"/>
      <c r="AK363" s="152"/>
      <c r="AL363" s="152"/>
      <c r="AM363" s="152"/>
      <c r="AN363" s="152"/>
      <c r="AO363" s="152"/>
    </row>
    <row r="364" ht="12.75" customHeight="1">
      <c r="A364" s="288"/>
      <c r="B364" s="288"/>
      <c r="C364" s="288"/>
      <c r="D364" s="152"/>
      <c r="E364" s="289"/>
      <c r="F364" s="288"/>
      <c r="G364" s="152"/>
      <c r="H364" s="289"/>
      <c r="I364" s="289"/>
      <c r="J364" s="152"/>
      <c r="K364" s="152"/>
      <c r="L364" s="156"/>
      <c r="M364" s="152"/>
      <c r="N364" s="152"/>
      <c r="O364" s="152"/>
      <c r="P364" s="152"/>
      <c r="Q364" s="152"/>
      <c r="R364" s="152"/>
      <c r="S364" s="152"/>
      <c r="T364" s="152"/>
      <c r="U364" s="152"/>
      <c r="V364" s="152"/>
      <c r="W364" s="281"/>
      <c r="X364" s="281"/>
      <c r="Y364" s="281"/>
      <c r="Z364" s="281"/>
      <c r="AA364" s="281"/>
      <c r="AB364" s="281"/>
      <c r="AC364" s="281"/>
      <c r="AD364" s="170"/>
      <c r="AE364" s="152"/>
      <c r="AF364" s="152"/>
      <c r="AG364" s="152"/>
      <c r="AH364" s="152"/>
      <c r="AI364" s="152"/>
      <c r="AJ364" s="152"/>
      <c r="AK364" s="152"/>
      <c r="AL364" s="152"/>
      <c r="AM364" s="152"/>
      <c r="AN364" s="152"/>
      <c r="AO364" s="152"/>
    </row>
    <row r="365" ht="12.75" customHeight="1">
      <c r="A365" s="288"/>
      <c r="B365" s="288"/>
      <c r="C365" s="288"/>
      <c r="D365" s="152"/>
      <c r="E365" s="289"/>
      <c r="F365" s="288"/>
      <c r="G365" s="152"/>
      <c r="H365" s="289"/>
      <c r="I365" s="289"/>
      <c r="J365" s="152"/>
      <c r="K365" s="152"/>
      <c r="L365" s="156"/>
      <c r="M365" s="152"/>
      <c r="N365" s="152"/>
      <c r="O365" s="152"/>
      <c r="P365" s="152"/>
      <c r="Q365" s="152"/>
      <c r="R365" s="152"/>
      <c r="S365" s="152"/>
      <c r="T365" s="152"/>
      <c r="U365" s="152"/>
      <c r="V365" s="152"/>
      <c r="W365" s="281"/>
      <c r="X365" s="281"/>
      <c r="Y365" s="281"/>
      <c r="Z365" s="281"/>
      <c r="AA365" s="281"/>
      <c r="AB365" s="281"/>
      <c r="AC365" s="281"/>
      <c r="AD365" s="170"/>
      <c r="AE365" s="152"/>
      <c r="AF365" s="152"/>
      <c r="AG365" s="152"/>
      <c r="AH365" s="152"/>
      <c r="AI365" s="152"/>
      <c r="AJ365" s="152"/>
      <c r="AK365" s="152"/>
      <c r="AL365" s="152"/>
      <c r="AM365" s="152"/>
      <c r="AN365" s="152"/>
      <c r="AO365" s="152"/>
    </row>
    <row r="366" ht="12.75" customHeight="1">
      <c r="A366" s="288"/>
      <c r="B366" s="288"/>
      <c r="C366" s="288"/>
      <c r="D366" s="152"/>
      <c r="E366" s="289"/>
      <c r="F366" s="288"/>
      <c r="G366" s="152"/>
      <c r="H366" s="289"/>
      <c r="I366" s="289"/>
      <c r="J366" s="152"/>
      <c r="K366" s="152"/>
      <c r="L366" s="156"/>
      <c r="M366" s="152"/>
      <c r="N366" s="152"/>
      <c r="O366" s="152"/>
      <c r="P366" s="152"/>
      <c r="Q366" s="152"/>
      <c r="R366" s="152"/>
      <c r="S366" s="152"/>
      <c r="T366" s="152"/>
      <c r="U366" s="152"/>
      <c r="V366" s="152"/>
      <c r="W366" s="281"/>
      <c r="X366" s="281"/>
      <c r="Y366" s="281"/>
      <c r="Z366" s="281"/>
      <c r="AA366" s="281"/>
      <c r="AB366" s="281"/>
      <c r="AC366" s="281"/>
      <c r="AD366" s="170"/>
      <c r="AE366" s="152"/>
      <c r="AF366" s="152"/>
      <c r="AG366" s="152"/>
      <c r="AH366" s="152"/>
      <c r="AI366" s="152"/>
      <c r="AJ366" s="152"/>
      <c r="AK366" s="152"/>
      <c r="AL366" s="152"/>
      <c r="AM366" s="152"/>
      <c r="AN366" s="152"/>
      <c r="AO366" s="152"/>
    </row>
    <row r="367" ht="12.75" customHeight="1">
      <c r="A367" s="288"/>
      <c r="B367" s="288"/>
      <c r="C367" s="288"/>
      <c r="D367" s="152"/>
      <c r="E367" s="289"/>
      <c r="F367" s="288"/>
      <c r="G367" s="152"/>
      <c r="H367" s="289"/>
      <c r="I367" s="289"/>
      <c r="J367" s="152"/>
      <c r="K367" s="152"/>
      <c r="L367" s="156"/>
      <c r="M367" s="152"/>
      <c r="N367" s="152"/>
      <c r="O367" s="152"/>
      <c r="P367" s="152"/>
      <c r="Q367" s="152"/>
      <c r="R367" s="152"/>
      <c r="S367" s="152"/>
      <c r="T367" s="152"/>
      <c r="U367" s="152"/>
      <c r="V367" s="152"/>
      <c r="W367" s="281"/>
      <c r="X367" s="281"/>
      <c r="Y367" s="281"/>
      <c r="Z367" s="281"/>
      <c r="AA367" s="281"/>
      <c r="AB367" s="281"/>
      <c r="AC367" s="281"/>
      <c r="AD367" s="170"/>
      <c r="AE367" s="152"/>
      <c r="AF367" s="152"/>
      <c r="AG367" s="152"/>
      <c r="AH367" s="152"/>
      <c r="AI367" s="152"/>
      <c r="AJ367" s="152"/>
      <c r="AK367" s="152"/>
      <c r="AL367" s="152"/>
      <c r="AM367" s="152"/>
      <c r="AN367" s="152"/>
      <c r="AO367" s="152"/>
    </row>
    <row r="368" ht="12.75" customHeight="1">
      <c r="A368" s="288"/>
      <c r="B368" s="288"/>
      <c r="C368" s="288"/>
      <c r="D368" s="152"/>
      <c r="E368" s="289"/>
      <c r="F368" s="288"/>
      <c r="G368" s="152"/>
      <c r="H368" s="289"/>
      <c r="I368" s="289"/>
      <c r="J368" s="152"/>
      <c r="K368" s="152"/>
      <c r="L368" s="156"/>
      <c r="M368" s="152"/>
      <c r="N368" s="152"/>
      <c r="O368" s="152"/>
      <c r="P368" s="152"/>
      <c r="Q368" s="152"/>
      <c r="R368" s="152"/>
      <c r="S368" s="152"/>
      <c r="T368" s="152"/>
      <c r="U368" s="152"/>
      <c r="V368" s="152"/>
      <c r="W368" s="281"/>
      <c r="X368" s="281"/>
      <c r="Y368" s="281"/>
      <c r="Z368" s="281"/>
      <c r="AA368" s="281"/>
      <c r="AB368" s="281"/>
      <c r="AC368" s="281"/>
      <c r="AD368" s="170"/>
      <c r="AE368" s="152"/>
      <c r="AF368" s="152"/>
      <c r="AG368" s="152"/>
      <c r="AH368" s="152"/>
      <c r="AI368" s="152"/>
      <c r="AJ368" s="152"/>
      <c r="AK368" s="152"/>
      <c r="AL368" s="152"/>
      <c r="AM368" s="152"/>
      <c r="AN368" s="152"/>
      <c r="AO368" s="152"/>
    </row>
    <row r="369" ht="12.75" customHeight="1">
      <c r="A369" s="288"/>
      <c r="B369" s="288"/>
      <c r="C369" s="288"/>
      <c r="D369" s="152"/>
      <c r="E369" s="289"/>
      <c r="F369" s="288"/>
      <c r="G369" s="152"/>
      <c r="H369" s="289"/>
      <c r="I369" s="289"/>
      <c r="J369" s="152"/>
      <c r="K369" s="152"/>
      <c r="L369" s="156"/>
      <c r="M369" s="152"/>
      <c r="N369" s="152"/>
      <c r="O369" s="152"/>
      <c r="P369" s="152"/>
      <c r="Q369" s="152"/>
      <c r="R369" s="152"/>
      <c r="S369" s="152"/>
      <c r="T369" s="152"/>
      <c r="U369" s="152"/>
      <c r="V369" s="152"/>
      <c r="W369" s="281"/>
      <c r="X369" s="281"/>
      <c r="Y369" s="281"/>
      <c r="Z369" s="281"/>
      <c r="AA369" s="281"/>
      <c r="AB369" s="281"/>
      <c r="AC369" s="281"/>
      <c r="AD369" s="170"/>
      <c r="AE369" s="152"/>
      <c r="AF369" s="152"/>
      <c r="AG369" s="152"/>
      <c r="AH369" s="152"/>
      <c r="AI369" s="152"/>
      <c r="AJ369" s="152"/>
      <c r="AK369" s="152"/>
      <c r="AL369" s="152"/>
      <c r="AM369" s="152"/>
      <c r="AN369" s="152"/>
      <c r="AO369" s="152"/>
    </row>
    <row r="370" ht="12.75" customHeight="1">
      <c r="A370" s="288"/>
      <c r="B370" s="288"/>
      <c r="C370" s="288"/>
      <c r="D370" s="152"/>
      <c r="E370" s="289"/>
      <c r="F370" s="288"/>
      <c r="G370" s="152"/>
      <c r="H370" s="289"/>
      <c r="I370" s="289"/>
      <c r="J370" s="152"/>
      <c r="K370" s="152"/>
      <c r="L370" s="156"/>
      <c r="M370" s="152"/>
      <c r="N370" s="152"/>
      <c r="O370" s="152"/>
      <c r="P370" s="152"/>
      <c r="Q370" s="152"/>
      <c r="R370" s="152"/>
      <c r="S370" s="152"/>
      <c r="T370" s="152"/>
      <c r="U370" s="152"/>
      <c r="V370" s="152"/>
      <c r="W370" s="281"/>
      <c r="X370" s="281"/>
      <c r="Y370" s="281"/>
      <c r="Z370" s="281"/>
      <c r="AA370" s="281"/>
      <c r="AB370" s="281"/>
      <c r="AC370" s="281"/>
      <c r="AD370" s="170"/>
      <c r="AE370" s="152"/>
      <c r="AF370" s="152"/>
      <c r="AG370" s="152"/>
      <c r="AH370" s="152"/>
      <c r="AI370" s="152"/>
      <c r="AJ370" s="152"/>
      <c r="AK370" s="152"/>
      <c r="AL370" s="152"/>
      <c r="AM370" s="152"/>
      <c r="AN370" s="152"/>
      <c r="AO370" s="152"/>
    </row>
    <row r="371" ht="12.75" customHeight="1">
      <c r="A371" s="288"/>
      <c r="B371" s="288"/>
      <c r="C371" s="288"/>
      <c r="D371" s="152"/>
      <c r="E371" s="289"/>
      <c r="F371" s="288"/>
      <c r="G371" s="152"/>
      <c r="H371" s="289"/>
      <c r="I371" s="289"/>
      <c r="J371" s="152"/>
      <c r="K371" s="152"/>
      <c r="L371" s="156"/>
      <c r="M371" s="152"/>
      <c r="N371" s="152"/>
      <c r="O371" s="152"/>
      <c r="P371" s="152"/>
      <c r="Q371" s="152"/>
      <c r="R371" s="152"/>
      <c r="S371" s="152"/>
      <c r="T371" s="152"/>
      <c r="U371" s="152"/>
      <c r="V371" s="152"/>
      <c r="W371" s="281"/>
      <c r="X371" s="281"/>
      <c r="Y371" s="281"/>
      <c r="Z371" s="281"/>
      <c r="AA371" s="281"/>
      <c r="AB371" s="281"/>
      <c r="AC371" s="281"/>
      <c r="AD371" s="170"/>
      <c r="AE371" s="152"/>
      <c r="AF371" s="152"/>
      <c r="AG371" s="152"/>
      <c r="AH371" s="152"/>
      <c r="AI371" s="152"/>
      <c r="AJ371" s="152"/>
      <c r="AK371" s="152"/>
      <c r="AL371" s="152"/>
      <c r="AM371" s="152"/>
      <c r="AN371" s="152"/>
      <c r="AO371" s="152"/>
    </row>
    <row r="372" ht="12.75" customHeight="1">
      <c r="A372" s="288"/>
      <c r="B372" s="288"/>
      <c r="C372" s="288"/>
      <c r="D372" s="152"/>
      <c r="E372" s="289"/>
      <c r="F372" s="288"/>
      <c r="G372" s="152"/>
      <c r="H372" s="289"/>
      <c r="I372" s="289"/>
      <c r="J372" s="152"/>
      <c r="K372" s="152"/>
      <c r="L372" s="156"/>
      <c r="M372" s="152"/>
      <c r="N372" s="152"/>
      <c r="O372" s="152"/>
      <c r="P372" s="152"/>
      <c r="Q372" s="152"/>
      <c r="R372" s="152"/>
      <c r="S372" s="152"/>
      <c r="T372" s="152"/>
      <c r="U372" s="152"/>
      <c r="V372" s="152"/>
      <c r="W372" s="281"/>
      <c r="X372" s="281"/>
      <c r="Y372" s="281"/>
      <c r="Z372" s="281"/>
      <c r="AA372" s="281"/>
      <c r="AB372" s="281"/>
      <c r="AC372" s="281"/>
      <c r="AD372" s="170"/>
      <c r="AE372" s="152"/>
      <c r="AF372" s="152"/>
      <c r="AG372" s="152"/>
      <c r="AH372" s="152"/>
      <c r="AI372" s="152"/>
      <c r="AJ372" s="152"/>
      <c r="AK372" s="152"/>
      <c r="AL372" s="152"/>
      <c r="AM372" s="152"/>
      <c r="AN372" s="152"/>
      <c r="AO372" s="152"/>
    </row>
    <row r="373" ht="12.75" customHeight="1">
      <c r="A373" s="288"/>
      <c r="B373" s="288"/>
      <c r="C373" s="288"/>
      <c r="D373" s="152"/>
      <c r="E373" s="289"/>
      <c r="F373" s="288"/>
      <c r="G373" s="152"/>
      <c r="H373" s="289"/>
      <c r="I373" s="289"/>
      <c r="J373" s="152"/>
      <c r="K373" s="152"/>
      <c r="L373" s="156"/>
      <c r="M373" s="152"/>
      <c r="N373" s="152"/>
      <c r="O373" s="152"/>
      <c r="P373" s="152"/>
      <c r="Q373" s="152"/>
      <c r="R373" s="152"/>
      <c r="S373" s="152"/>
      <c r="T373" s="152"/>
      <c r="U373" s="152"/>
      <c r="V373" s="152"/>
      <c r="W373" s="281"/>
      <c r="X373" s="281"/>
      <c r="Y373" s="281"/>
      <c r="Z373" s="281"/>
      <c r="AA373" s="281"/>
      <c r="AB373" s="281"/>
      <c r="AC373" s="281"/>
      <c r="AD373" s="170"/>
      <c r="AE373" s="152"/>
      <c r="AF373" s="152"/>
      <c r="AG373" s="152"/>
      <c r="AH373" s="152"/>
      <c r="AI373" s="152"/>
      <c r="AJ373" s="152"/>
      <c r="AK373" s="152"/>
      <c r="AL373" s="152"/>
      <c r="AM373" s="152"/>
      <c r="AN373" s="152"/>
      <c r="AO373" s="152"/>
    </row>
    <row r="374" ht="12.75" customHeight="1">
      <c r="A374" s="288"/>
      <c r="B374" s="288"/>
      <c r="C374" s="288"/>
      <c r="D374" s="152"/>
      <c r="E374" s="289"/>
      <c r="F374" s="288"/>
      <c r="G374" s="152"/>
      <c r="H374" s="289"/>
      <c r="I374" s="289"/>
      <c r="J374" s="152"/>
      <c r="K374" s="152"/>
      <c r="L374" s="156"/>
      <c r="M374" s="152"/>
      <c r="N374" s="152"/>
      <c r="O374" s="152"/>
      <c r="P374" s="152"/>
      <c r="Q374" s="152"/>
      <c r="R374" s="152"/>
      <c r="S374" s="152"/>
      <c r="T374" s="152"/>
      <c r="U374" s="152"/>
      <c r="V374" s="152"/>
      <c r="W374" s="281"/>
      <c r="X374" s="281"/>
      <c r="Y374" s="281"/>
      <c r="Z374" s="281"/>
      <c r="AA374" s="281"/>
      <c r="AB374" s="281"/>
      <c r="AC374" s="281"/>
      <c r="AD374" s="170"/>
      <c r="AE374" s="152"/>
      <c r="AF374" s="152"/>
      <c r="AG374" s="152"/>
      <c r="AH374" s="152"/>
      <c r="AI374" s="152"/>
      <c r="AJ374" s="152"/>
      <c r="AK374" s="152"/>
      <c r="AL374" s="152"/>
      <c r="AM374" s="152"/>
      <c r="AN374" s="152"/>
      <c r="AO374" s="152"/>
    </row>
    <row r="375" ht="12.75" customHeight="1">
      <c r="A375" s="288"/>
      <c r="B375" s="288"/>
      <c r="C375" s="288"/>
      <c r="D375" s="152"/>
      <c r="E375" s="289"/>
      <c r="F375" s="288"/>
      <c r="G375" s="152"/>
      <c r="H375" s="289"/>
      <c r="I375" s="289"/>
      <c r="J375" s="152"/>
      <c r="K375" s="152"/>
      <c r="L375" s="156"/>
      <c r="M375" s="152"/>
      <c r="N375" s="152"/>
      <c r="O375" s="152"/>
      <c r="P375" s="152"/>
      <c r="Q375" s="152"/>
      <c r="R375" s="152"/>
      <c r="S375" s="152"/>
      <c r="T375" s="152"/>
      <c r="U375" s="152"/>
      <c r="V375" s="152"/>
      <c r="W375" s="281"/>
      <c r="X375" s="281"/>
      <c r="Y375" s="281"/>
      <c r="Z375" s="281"/>
      <c r="AA375" s="281"/>
      <c r="AB375" s="281"/>
      <c r="AC375" s="281"/>
      <c r="AD375" s="170"/>
      <c r="AE375" s="152"/>
      <c r="AF375" s="152"/>
      <c r="AG375" s="152"/>
      <c r="AH375" s="152"/>
      <c r="AI375" s="152"/>
      <c r="AJ375" s="152"/>
      <c r="AK375" s="152"/>
      <c r="AL375" s="152"/>
      <c r="AM375" s="152"/>
      <c r="AN375" s="152"/>
      <c r="AO375" s="152"/>
    </row>
    <row r="376" ht="12.75" customHeight="1">
      <c r="A376" s="288"/>
      <c r="B376" s="288"/>
      <c r="C376" s="288"/>
      <c r="D376" s="152"/>
      <c r="E376" s="289"/>
      <c r="F376" s="288"/>
      <c r="G376" s="152"/>
      <c r="H376" s="289"/>
      <c r="I376" s="289"/>
      <c r="J376" s="152"/>
      <c r="K376" s="152"/>
      <c r="L376" s="156"/>
      <c r="M376" s="152"/>
      <c r="N376" s="152"/>
      <c r="O376" s="152"/>
      <c r="P376" s="152"/>
      <c r="Q376" s="152"/>
      <c r="R376" s="152"/>
      <c r="S376" s="152"/>
      <c r="T376" s="152"/>
      <c r="U376" s="152"/>
      <c r="V376" s="152"/>
      <c r="W376" s="281"/>
      <c r="X376" s="281"/>
      <c r="Y376" s="281"/>
      <c r="Z376" s="281"/>
      <c r="AA376" s="281"/>
      <c r="AB376" s="281"/>
      <c r="AC376" s="281"/>
      <c r="AD376" s="170"/>
      <c r="AE376" s="152"/>
      <c r="AF376" s="152"/>
      <c r="AG376" s="152"/>
      <c r="AH376" s="152"/>
      <c r="AI376" s="152"/>
      <c r="AJ376" s="152"/>
      <c r="AK376" s="152"/>
      <c r="AL376" s="152"/>
      <c r="AM376" s="152"/>
      <c r="AN376" s="152"/>
      <c r="AO376" s="152"/>
    </row>
    <row r="377" ht="12.75" customHeight="1">
      <c r="A377" s="288"/>
      <c r="B377" s="288"/>
      <c r="C377" s="288"/>
      <c r="D377" s="152"/>
      <c r="E377" s="289"/>
      <c r="F377" s="288"/>
      <c r="G377" s="152"/>
      <c r="H377" s="289"/>
      <c r="I377" s="289"/>
      <c r="J377" s="152"/>
      <c r="K377" s="152"/>
      <c r="L377" s="156"/>
      <c r="M377" s="152"/>
      <c r="N377" s="152"/>
      <c r="O377" s="152"/>
      <c r="P377" s="152"/>
      <c r="Q377" s="152"/>
      <c r="R377" s="152"/>
      <c r="S377" s="152"/>
      <c r="T377" s="152"/>
      <c r="U377" s="152"/>
      <c r="V377" s="152"/>
      <c r="W377" s="281"/>
      <c r="X377" s="281"/>
      <c r="Y377" s="281"/>
      <c r="Z377" s="281"/>
      <c r="AA377" s="281"/>
      <c r="AB377" s="281"/>
      <c r="AC377" s="281"/>
      <c r="AD377" s="170"/>
      <c r="AE377" s="152"/>
      <c r="AF377" s="152"/>
      <c r="AG377" s="152"/>
      <c r="AH377" s="152"/>
      <c r="AI377" s="152"/>
      <c r="AJ377" s="152"/>
      <c r="AK377" s="152"/>
      <c r="AL377" s="152"/>
      <c r="AM377" s="152"/>
      <c r="AN377" s="152"/>
      <c r="AO377" s="152"/>
    </row>
    <row r="378" ht="12.75" customHeight="1">
      <c r="A378" s="288"/>
      <c r="B378" s="288"/>
      <c r="C378" s="288"/>
      <c r="D378" s="152"/>
      <c r="E378" s="289"/>
      <c r="F378" s="288"/>
      <c r="G378" s="152"/>
      <c r="H378" s="289"/>
      <c r="I378" s="289"/>
      <c r="J378" s="152"/>
      <c r="K378" s="152"/>
      <c r="L378" s="156"/>
      <c r="M378" s="152"/>
      <c r="N378" s="152"/>
      <c r="O378" s="152"/>
      <c r="P378" s="152"/>
      <c r="Q378" s="152"/>
      <c r="R378" s="152"/>
      <c r="S378" s="152"/>
      <c r="T378" s="152"/>
      <c r="U378" s="152"/>
      <c r="V378" s="152"/>
      <c r="W378" s="281"/>
      <c r="X378" s="281"/>
      <c r="Y378" s="281"/>
      <c r="Z378" s="281"/>
      <c r="AA378" s="281"/>
      <c r="AB378" s="281"/>
      <c r="AC378" s="281"/>
      <c r="AD378" s="170"/>
      <c r="AE378" s="152"/>
      <c r="AF378" s="152"/>
      <c r="AG378" s="152"/>
      <c r="AH378" s="152"/>
      <c r="AI378" s="152"/>
      <c r="AJ378" s="152"/>
      <c r="AK378" s="152"/>
      <c r="AL378" s="152"/>
      <c r="AM378" s="152"/>
      <c r="AN378" s="152"/>
      <c r="AO378" s="152"/>
    </row>
    <row r="379" ht="12.75" customHeight="1">
      <c r="A379" s="288"/>
      <c r="B379" s="288"/>
      <c r="C379" s="288"/>
      <c r="D379" s="152"/>
      <c r="E379" s="289"/>
      <c r="F379" s="288"/>
      <c r="G379" s="152"/>
      <c r="H379" s="289"/>
      <c r="I379" s="289"/>
      <c r="J379" s="152"/>
      <c r="K379" s="152"/>
      <c r="L379" s="156"/>
      <c r="M379" s="152"/>
      <c r="N379" s="152"/>
      <c r="O379" s="152"/>
      <c r="P379" s="152"/>
      <c r="Q379" s="152"/>
      <c r="R379" s="152"/>
      <c r="S379" s="152"/>
      <c r="T379" s="152"/>
      <c r="U379" s="152"/>
      <c r="V379" s="152"/>
      <c r="W379" s="281"/>
      <c r="X379" s="281"/>
      <c r="Y379" s="281"/>
      <c r="Z379" s="281"/>
      <c r="AA379" s="281"/>
      <c r="AB379" s="281"/>
      <c r="AC379" s="281"/>
      <c r="AD379" s="170"/>
      <c r="AE379" s="152"/>
      <c r="AF379" s="152"/>
      <c r="AG379" s="152"/>
      <c r="AH379" s="152"/>
      <c r="AI379" s="152"/>
      <c r="AJ379" s="152"/>
      <c r="AK379" s="152"/>
      <c r="AL379" s="152"/>
      <c r="AM379" s="152"/>
      <c r="AN379" s="152"/>
      <c r="AO379" s="152"/>
    </row>
    <row r="380" ht="12.75" customHeight="1">
      <c r="A380" s="288"/>
      <c r="B380" s="288"/>
      <c r="C380" s="288"/>
      <c r="D380" s="152"/>
      <c r="E380" s="289"/>
      <c r="F380" s="288"/>
      <c r="G380" s="152"/>
      <c r="H380" s="289"/>
      <c r="I380" s="289"/>
      <c r="J380" s="152"/>
      <c r="K380" s="152"/>
      <c r="L380" s="156"/>
      <c r="M380" s="152"/>
      <c r="N380" s="152"/>
      <c r="O380" s="152"/>
      <c r="P380" s="152"/>
      <c r="Q380" s="152"/>
      <c r="R380" s="152"/>
      <c r="S380" s="152"/>
      <c r="T380" s="152"/>
      <c r="U380" s="152"/>
      <c r="V380" s="152"/>
      <c r="W380" s="281"/>
      <c r="X380" s="281"/>
      <c r="Y380" s="281"/>
      <c r="Z380" s="281"/>
      <c r="AA380" s="281"/>
      <c r="AB380" s="281"/>
      <c r="AC380" s="281"/>
      <c r="AD380" s="170"/>
      <c r="AE380" s="152"/>
      <c r="AF380" s="152"/>
      <c r="AG380" s="152"/>
      <c r="AH380" s="152"/>
      <c r="AI380" s="152"/>
      <c r="AJ380" s="152"/>
      <c r="AK380" s="152"/>
      <c r="AL380" s="152"/>
      <c r="AM380" s="152"/>
      <c r="AN380" s="152"/>
      <c r="AO380" s="152"/>
    </row>
    <row r="381" ht="12.75" customHeight="1">
      <c r="A381" s="288"/>
      <c r="B381" s="288"/>
      <c r="C381" s="288"/>
      <c r="D381" s="152"/>
      <c r="E381" s="289"/>
      <c r="F381" s="288"/>
      <c r="G381" s="152"/>
      <c r="H381" s="289"/>
      <c r="I381" s="289"/>
      <c r="J381" s="152"/>
      <c r="K381" s="152"/>
      <c r="L381" s="156"/>
      <c r="M381" s="152"/>
      <c r="N381" s="152"/>
      <c r="O381" s="152"/>
      <c r="P381" s="152"/>
      <c r="Q381" s="152"/>
      <c r="R381" s="152"/>
      <c r="S381" s="152"/>
      <c r="T381" s="152"/>
      <c r="U381" s="152"/>
      <c r="V381" s="152"/>
      <c r="W381" s="281"/>
      <c r="X381" s="281"/>
      <c r="Y381" s="281"/>
      <c r="Z381" s="281"/>
      <c r="AA381" s="281"/>
      <c r="AB381" s="281"/>
      <c r="AC381" s="281"/>
      <c r="AD381" s="170"/>
      <c r="AE381" s="152"/>
      <c r="AF381" s="152"/>
      <c r="AG381" s="152"/>
      <c r="AH381" s="152"/>
      <c r="AI381" s="152"/>
      <c r="AJ381" s="152"/>
      <c r="AK381" s="152"/>
      <c r="AL381" s="152"/>
      <c r="AM381" s="152"/>
      <c r="AN381" s="152"/>
      <c r="AO381" s="152"/>
    </row>
    <row r="382" ht="12.75" customHeight="1">
      <c r="A382" s="288"/>
      <c r="B382" s="288"/>
      <c r="C382" s="288"/>
      <c r="D382" s="152"/>
      <c r="E382" s="289"/>
      <c r="F382" s="288"/>
      <c r="G382" s="152"/>
      <c r="H382" s="289"/>
      <c r="I382" s="289"/>
      <c r="J382" s="152"/>
      <c r="K382" s="152"/>
      <c r="L382" s="156"/>
      <c r="M382" s="152"/>
      <c r="N382" s="152"/>
      <c r="O382" s="152"/>
      <c r="P382" s="152"/>
      <c r="Q382" s="152"/>
      <c r="R382" s="152"/>
      <c r="S382" s="152"/>
      <c r="T382" s="152"/>
      <c r="U382" s="152"/>
      <c r="V382" s="152"/>
      <c r="W382" s="281"/>
      <c r="X382" s="281"/>
      <c r="Y382" s="281"/>
      <c r="Z382" s="281"/>
      <c r="AA382" s="281"/>
      <c r="AB382" s="281"/>
      <c r="AC382" s="281"/>
      <c r="AD382" s="170"/>
      <c r="AE382" s="152"/>
      <c r="AF382" s="152"/>
      <c r="AG382" s="152"/>
      <c r="AH382" s="152"/>
      <c r="AI382" s="152"/>
      <c r="AJ382" s="152"/>
      <c r="AK382" s="152"/>
      <c r="AL382" s="152"/>
      <c r="AM382" s="152"/>
      <c r="AN382" s="152"/>
      <c r="AO382" s="152"/>
    </row>
    <row r="383" ht="12.75" customHeight="1">
      <c r="A383" s="288"/>
      <c r="B383" s="288"/>
      <c r="C383" s="288"/>
      <c r="D383" s="152"/>
      <c r="E383" s="289"/>
      <c r="F383" s="288"/>
      <c r="G383" s="152"/>
      <c r="H383" s="289"/>
      <c r="I383" s="289"/>
      <c r="J383" s="152"/>
      <c r="K383" s="152"/>
      <c r="L383" s="156"/>
      <c r="M383" s="152"/>
      <c r="N383" s="152"/>
      <c r="O383" s="152"/>
      <c r="P383" s="152"/>
      <c r="Q383" s="152"/>
      <c r="R383" s="152"/>
      <c r="S383" s="152"/>
      <c r="T383" s="152"/>
      <c r="U383" s="152"/>
      <c r="V383" s="152"/>
      <c r="W383" s="281"/>
      <c r="X383" s="281"/>
      <c r="Y383" s="281"/>
      <c r="Z383" s="281"/>
      <c r="AA383" s="281"/>
      <c r="AB383" s="281"/>
      <c r="AC383" s="281"/>
      <c r="AD383" s="170"/>
      <c r="AE383" s="152"/>
      <c r="AF383" s="152"/>
      <c r="AG383" s="152"/>
      <c r="AH383" s="152"/>
      <c r="AI383" s="152"/>
      <c r="AJ383" s="152"/>
      <c r="AK383" s="152"/>
      <c r="AL383" s="152"/>
      <c r="AM383" s="152"/>
      <c r="AN383" s="152"/>
      <c r="AO383" s="152"/>
    </row>
    <row r="384" ht="12.75" customHeight="1">
      <c r="A384" s="288"/>
      <c r="B384" s="288"/>
      <c r="C384" s="288"/>
      <c r="D384" s="152"/>
      <c r="E384" s="289"/>
      <c r="F384" s="288"/>
      <c r="G384" s="152"/>
      <c r="H384" s="289"/>
      <c r="I384" s="289"/>
      <c r="J384" s="152"/>
      <c r="K384" s="152"/>
      <c r="L384" s="156"/>
      <c r="M384" s="152"/>
      <c r="N384" s="152"/>
      <c r="O384" s="152"/>
      <c r="P384" s="152"/>
      <c r="Q384" s="152"/>
      <c r="R384" s="152"/>
      <c r="S384" s="152"/>
      <c r="T384" s="152"/>
      <c r="U384" s="152"/>
      <c r="V384" s="152"/>
      <c r="W384" s="281"/>
      <c r="X384" s="281"/>
      <c r="Y384" s="281"/>
      <c r="Z384" s="281"/>
      <c r="AA384" s="281"/>
      <c r="AB384" s="281"/>
      <c r="AC384" s="281"/>
      <c r="AD384" s="170"/>
      <c r="AE384" s="152"/>
      <c r="AF384" s="152"/>
      <c r="AG384" s="152"/>
      <c r="AH384" s="152"/>
      <c r="AI384" s="152"/>
      <c r="AJ384" s="152"/>
      <c r="AK384" s="152"/>
      <c r="AL384" s="152"/>
      <c r="AM384" s="152"/>
      <c r="AN384" s="152"/>
      <c r="AO384" s="152"/>
    </row>
    <row r="385" ht="12.75" customHeight="1">
      <c r="A385" s="288"/>
      <c r="B385" s="288"/>
      <c r="C385" s="288"/>
      <c r="D385" s="152"/>
      <c r="E385" s="289"/>
      <c r="F385" s="288"/>
      <c r="G385" s="152"/>
      <c r="H385" s="289"/>
      <c r="I385" s="289"/>
      <c r="J385" s="152"/>
      <c r="K385" s="152"/>
      <c r="L385" s="156"/>
      <c r="M385" s="152"/>
      <c r="N385" s="152"/>
      <c r="O385" s="152"/>
      <c r="P385" s="152"/>
      <c r="Q385" s="152"/>
      <c r="R385" s="152"/>
      <c r="S385" s="152"/>
      <c r="T385" s="152"/>
      <c r="U385" s="152"/>
      <c r="V385" s="152"/>
      <c r="W385" s="281"/>
      <c r="X385" s="281"/>
      <c r="Y385" s="281"/>
      <c r="Z385" s="281"/>
      <c r="AA385" s="281"/>
      <c r="AB385" s="281"/>
      <c r="AC385" s="281"/>
      <c r="AD385" s="170"/>
      <c r="AE385" s="152"/>
      <c r="AF385" s="152"/>
      <c r="AG385" s="152"/>
      <c r="AH385" s="152"/>
      <c r="AI385" s="152"/>
      <c r="AJ385" s="152"/>
      <c r="AK385" s="152"/>
      <c r="AL385" s="152"/>
      <c r="AM385" s="152"/>
      <c r="AN385" s="152"/>
      <c r="AO385" s="152"/>
    </row>
    <row r="386" ht="12.75" customHeight="1">
      <c r="A386" s="288"/>
      <c r="B386" s="288"/>
      <c r="C386" s="288"/>
      <c r="D386" s="152"/>
      <c r="E386" s="289"/>
      <c r="F386" s="288"/>
      <c r="G386" s="152"/>
      <c r="H386" s="289"/>
      <c r="I386" s="289"/>
      <c r="J386" s="152"/>
      <c r="K386" s="152"/>
      <c r="L386" s="156"/>
      <c r="M386" s="152"/>
      <c r="N386" s="152"/>
      <c r="O386" s="152"/>
      <c r="P386" s="152"/>
      <c r="Q386" s="152"/>
      <c r="R386" s="152"/>
      <c r="S386" s="152"/>
      <c r="T386" s="152"/>
      <c r="U386" s="152"/>
      <c r="V386" s="152"/>
      <c r="W386" s="281"/>
      <c r="X386" s="281"/>
      <c r="Y386" s="281"/>
      <c r="Z386" s="281"/>
      <c r="AA386" s="281"/>
      <c r="AB386" s="281"/>
      <c r="AC386" s="281"/>
      <c r="AD386" s="170"/>
      <c r="AE386" s="152"/>
      <c r="AF386" s="152"/>
      <c r="AG386" s="152"/>
      <c r="AH386" s="152"/>
      <c r="AI386" s="152"/>
      <c r="AJ386" s="152"/>
      <c r="AK386" s="152"/>
      <c r="AL386" s="152"/>
      <c r="AM386" s="152"/>
      <c r="AN386" s="152"/>
      <c r="AO386" s="152"/>
    </row>
    <row r="387" ht="12.75" customHeight="1">
      <c r="A387" s="288"/>
      <c r="B387" s="288"/>
      <c r="C387" s="288"/>
      <c r="D387" s="152"/>
      <c r="E387" s="289"/>
      <c r="F387" s="288"/>
      <c r="G387" s="152"/>
      <c r="H387" s="289"/>
      <c r="I387" s="289"/>
      <c r="J387" s="152"/>
      <c r="K387" s="152"/>
      <c r="L387" s="156"/>
      <c r="M387" s="152"/>
      <c r="N387" s="152"/>
      <c r="O387" s="152"/>
      <c r="P387" s="152"/>
      <c r="Q387" s="152"/>
      <c r="R387" s="152"/>
      <c r="S387" s="152"/>
      <c r="T387" s="152"/>
      <c r="U387" s="152"/>
      <c r="V387" s="152"/>
      <c r="W387" s="281"/>
      <c r="X387" s="281"/>
      <c r="Y387" s="281"/>
      <c r="Z387" s="281"/>
      <c r="AA387" s="281"/>
      <c r="AB387" s="281"/>
      <c r="AC387" s="281"/>
      <c r="AD387" s="170"/>
      <c r="AE387" s="152"/>
      <c r="AF387" s="152"/>
      <c r="AG387" s="152"/>
      <c r="AH387" s="152"/>
      <c r="AI387" s="152"/>
      <c r="AJ387" s="152"/>
      <c r="AK387" s="152"/>
      <c r="AL387" s="152"/>
      <c r="AM387" s="152"/>
      <c r="AN387" s="152"/>
      <c r="AO387" s="152"/>
    </row>
    <row r="388" ht="12.75" customHeight="1">
      <c r="A388" s="288"/>
      <c r="B388" s="288"/>
      <c r="C388" s="288"/>
      <c r="D388" s="152"/>
      <c r="E388" s="289"/>
      <c r="F388" s="288"/>
      <c r="G388" s="152"/>
      <c r="H388" s="289"/>
      <c r="I388" s="289"/>
      <c r="J388" s="152"/>
      <c r="K388" s="152"/>
      <c r="L388" s="156"/>
      <c r="M388" s="152"/>
      <c r="N388" s="152"/>
      <c r="O388" s="152"/>
      <c r="P388" s="152"/>
      <c r="Q388" s="152"/>
      <c r="R388" s="152"/>
      <c r="S388" s="152"/>
      <c r="T388" s="152"/>
      <c r="U388" s="152"/>
      <c r="V388" s="152"/>
      <c r="W388" s="281"/>
      <c r="X388" s="281"/>
      <c r="Y388" s="281"/>
      <c r="Z388" s="281"/>
      <c r="AA388" s="281"/>
      <c r="AB388" s="281"/>
      <c r="AC388" s="281"/>
      <c r="AD388" s="170"/>
      <c r="AE388" s="152"/>
      <c r="AF388" s="152"/>
      <c r="AG388" s="152"/>
      <c r="AH388" s="152"/>
      <c r="AI388" s="152"/>
      <c r="AJ388" s="152"/>
      <c r="AK388" s="152"/>
      <c r="AL388" s="152"/>
      <c r="AM388" s="152"/>
      <c r="AN388" s="152"/>
      <c r="AO388" s="152"/>
    </row>
    <row r="389" ht="12.75" customHeight="1">
      <c r="A389" s="288"/>
      <c r="B389" s="288"/>
      <c r="C389" s="288"/>
      <c r="D389" s="152"/>
      <c r="E389" s="289"/>
      <c r="F389" s="288"/>
      <c r="G389" s="152"/>
      <c r="H389" s="289"/>
      <c r="I389" s="289"/>
      <c r="J389" s="152"/>
      <c r="K389" s="152"/>
      <c r="L389" s="156"/>
      <c r="M389" s="152"/>
      <c r="N389" s="152"/>
      <c r="O389" s="152"/>
      <c r="P389" s="152"/>
      <c r="Q389" s="152"/>
      <c r="R389" s="152"/>
      <c r="S389" s="152"/>
      <c r="T389" s="152"/>
      <c r="U389" s="152"/>
      <c r="V389" s="152"/>
      <c r="W389" s="281"/>
      <c r="X389" s="281"/>
      <c r="Y389" s="281"/>
      <c r="Z389" s="281"/>
      <c r="AA389" s="281"/>
      <c r="AB389" s="281"/>
      <c r="AC389" s="281"/>
      <c r="AD389" s="170"/>
      <c r="AE389" s="152"/>
      <c r="AF389" s="152"/>
      <c r="AG389" s="152"/>
      <c r="AH389" s="152"/>
      <c r="AI389" s="152"/>
      <c r="AJ389" s="152"/>
      <c r="AK389" s="152"/>
      <c r="AL389" s="152"/>
      <c r="AM389" s="152"/>
      <c r="AN389" s="152"/>
      <c r="AO389" s="152"/>
    </row>
    <row r="390" ht="12.75" customHeight="1">
      <c r="A390" s="288"/>
      <c r="B390" s="288"/>
      <c r="C390" s="288"/>
      <c r="D390" s="152"/>
      <c r="E390" s="289"/>
      <c r="F390" s="288"/>
      <c r="G390" s="152"/>
      <c r="H390" s="289"/>
      <c r="I390" s="289"/>
      <c r="J390" s="152"/>
      <c r="K390" s="152"/>
      <c r="L390" s="156"/>
      <c r="M390" s="152"/>
      <c r="N390" s="152"/>
      <c r="O390" s="152"/>
      <c r="P390" s="152"/>
      <c r="Q390" s="152"/>
      <c r="R390" s="152"/>
      <c r="S390" s="152"/>
      <c r="T390" s="152"/>
      <c r="U390" s="152"/>
      <c r="V390" s="152"/>
      <c r="W390" s="281"/>
      <c r="X390" s="281"/>
      <c r="Y390" s="281"/>
      <c r="Z390" s="281"/>
      <c r="AA390" s="281"/>
      <c r="AB390" s="281"/>
      <c r="AC390" s="281"/>
      <c r="AD390" s="170"/>
      <c r="AE390" s="152"/>
      <c r="AF390" s="152"/>
      <c r="AG390" s="152"/>
      <c r="AH390" s="152"/>
      <c r="AI390" s="152"/>
      <c r="AJ390" s="152"/>
      <c r="AK390" s="152"/>
      <c r="AL390" s="152"/>
      <c r="AM390" s="152"/>
      <c r="AN390" s="152"/>
      <c r="AO390" s="152"/>
    </row>
    <row r="391" ht="12.75" customHeight="1">
      <c r="A391" s="288"/>
      <c r="B391" s="288"/>
      <c r="C391" s="288"/>
      <c r="D391" s="152"/>
      <c r="E391" s="289"/>
      <c r="F391" s="288"/>
      <c r="G391" s="152"/>
      <c r="H391" s="289"/>
      <c r="I391" s="289"/>
      <c r="J391" s="152"/>
      <c r="K391" s="152"/>
      <c r="L391" s="156"/>
      <c r="M391" s="152"/>
      <c r="N391" s="152"/>
      <c r="O391" s="152"/>
      <c r="P391" s="152"/>
      <c r="Q391" s="152"/>
      <c r="R391" s="152"/>
      <c r="S391" s="152"/>
      <c r="T391" s="152"/>
      <c r="U391" s="152"/>
      <c r="V391" s="152"/>
      <c r="W391" s="281"/>
      <c r="X391" s="281"/>
      <c r="Y391" s="281"/>
      <c r="Z391" s="281"/>
      <c r="AA391" s="281"/>
      <c r="AB391" s="281"/>
      <c r="AC391" s="281"/>
      <c r="AD391" s="170"/>
      <c r="AE391" s="152"/>
      <c r="AF391" s="152"/>
      <c r="AG391" s="152"/>
      <c r="AH391" s="152"/>
      <c r="AI391" s="152"/>
      <c r="AJ391" s="152"/>
      <c r="AK391" s="152"/>
      <c r="AL391" s="152"/>
      <c r="AM391" s="152"/>
      <c r="AN391" s="152"/>
      <c r="AO391" s="152"/>
    </row>
    <row r="392" ht="12.75" customHeight="1">
      <c r="A392" s="288"/>
      <c r="B392" s="288"/>
      <c r="C392" s="288"/>
      <c r="D392" s="152"/>
      <c r="E392" s="289"/>
      <c r="F392" s="288"/>
      <c r="G392" s="152"/>
      <c r="H392" s="289"/>
      <c r="I392" s="289"/>
      <c r="J392" s="152"/>
      <c r="K392" s="152"/>
      <c r="L392" s="156"/>
      <c r="M392" s="152"/>
      <c r="N392" s="152"/>
      <c r="O392" s="152"/>
      <c r="P392" s="152"/>
      <c r="Q392" s="152"/>
      <c r="R392" s="152"/>
      <c r="S392" s="152"/>
      <c r="T392" s="152"/>
      <c r="U392" s="152"/>
      <c r="V392" s="152"/>
      <c r="W392" s="281"/>
      <c r="X392" s="281"/>
      <c r="Y392" s="281"/>
      <c r="Z392" s="281"/>
      <c r="AA392" s="281"/>
      <c r="AB392" s="281"/>
      <c r="AC392" s="281"/>
      <c r="AD392" s="170"/>
      <c r="AE392" s="152"/>
      <c r="AF392" s="152"/>
      <c r="AG392" s="152"/>
      <c r="AH392" s="152"/>
      <c r="AI392" s="152"/>
      <c r="AJ392" s="152"/>
      <c r="AK392" s="152"/>
      <c r="AL392" s="152"/>
      <c r="AM392" s="152"/>
      <c r="AN392" s="152"/>
      <c r="AO392" s="152"/>
    </row>
    <row r="393" ht="12.75" customHeight="1">
      <c r="A393" s="288"/>
      <c r="B393" s="288"/>
      <c r="C393" s="288"/>
      <c r="D393" s="152"/>
      <c r="E393" s="289"/>
      <c r="F393" s="288"/>
      <c r="G393" s="152"/>
      <c r="H393" s="289"/>
      <c r="I393" s="289"/>
      <c r="J393" s="152"/>
      <c r="K393" s="152"/>
      <c r="L393" s="156"/>
      <c r="M393" s="152"/>
      <c r="N393" s="152"/>
      <c r="O393" s="152"/>
      <c r="P393" s="152"/>
      <c r="Q393" s="152"/>
      <c r="R393" s="152"/>
      <c r="S393" s="152"/>
      <c r="T393" s="152"/>
      <c r="U393" s="152"/>
      <c r="V393" s="152"/>
      <c r="W393" s="281"/>
      <c r="X393" s="281"/>
      <c r="Y393" s="281"/>
      <c r="Z393" s="281"/>
      <c r="AA393" s="281"/>
      <c r="AB393" s="281"/>
      <c r="AC393" s="281"/>
      <c r="AD393" s="170"/>
      <c r="AE393" s="152"/>
      <c r="AF393" s="152"/>
      <c r="AG393" s="152"/>
      <c r="AH393" s="152"/>
      <c r="AI393" s="152"/>
      <c r="AJ393" s="152"/>
      <c r="AK393" s="152"/>
      <c r="AL393" s="152"/>
      <c r="AM393" s="152"/>
      <c r="AN393" s="152"/>
      <c r="AO393" s="152"/>
    </row>
    <row r="394" ht="12.75" customHeight="1">
      <c r="A394" s="288"/>
      <c r="B394" s="288"/>
      <c r="C394" s="288"/>
      <c r="D394" s="152"/>
      <c r="E394" s="289"/>
      <c r="F394" s="288"/>
      <c r="G394" s="152"/>
      <c r="H394" s="289"/>
      <c r="I394" s="289"/>
      <c r="J394" s="152"/>
      <c r="K394" s="152"/>
      <c r="L394" s="156"/>
      <c r="M394" s="152"/>
      <c r="N394" s="152"/>
      <c r="O394" s="152"/>
      <c r="P394" s="152"/>
      <c r="Q394" s="152"/>
      <c r="R394" s="152"/>
      <c r="S394" s="152"/>
      <c r="T394" s="152"/>
      <c r="U394" s="152"/>
      <c r="V394" s="152"/>
      <c r="W394" s="281"/>
      <c r="X394" s="281"/>
      <c r="Y394" s="281"/>
      <c r="Z394" s="281"/>
      <c r="AA394" s="281"/>
      <c r="AB394" s="281"/>
      <c r="AC394" s="281"/>
      <c r="AD394" s="170"/>
      <c r="AE394" s="152"/>
      <c r="AF394" s="152"/>
      <c r="AG394" s="152"/>
      <c r="AH394" s="152"/>
      <c r="AI394" s="152"/>
      <c r="AJ394" s="152"/>
      <c r="AK394" s="152"/>
      <c r="AL394" s="152"/>
      <c r="AM394" s="152"/>
      <c r="AN394" s="152"/>
      <c r="AO394" s="152"/>
    </row>
    <row r="395" ht="12.75" customHeight="1">
      <c r="A395" s="288"/>
      <c r="B395" s="288"/>
      <c r="C395" s="288"/>
      <c r="D395" s="152"/>
      <c r="E395" s="289"/>
      <c r="F395" s="288"/>
      <c r="G395" s="152"/>
      <c r="H395" s="289"/>
      <c r="I395" s="289"/>
      <c r="J395" s="152"/>
      <c r="K395" s="152"/>
      <c r="L395" s="156"/>
      <c r="M395" s="152"/>
      <c r="N395" s="152"/>
      <c r="O395" s="152"/>
      <c r="P395" s="152"/>
      <c r="Q395" s="152"/>
      <c r="R395" s="152"/>
      <c r="S395" s="152"/>
      <c r="T395" s="152"/>
      <c r="U395" s="152"/>
      <c r="V395" s="152"/>
      <c r="W395" s="281"/>
      <c r="X395" s="281"/>
      <c r="Y395" s="281"/>
      <c r="Z395" s="281"/>
      <c r="AA395" s="281"/>
      <c r="AB395" s="281"/>
      <c r="AC395" s="281"/>
      <c r="AD395" s="170"/>
      <c r="AE395" s="152"/>
      <c r="AF395" s="152"/>
      <c r="AG395" s="152"/>
      <c r="AH395" s="152"/>
      <c r="AI395" s="152"/>
      <c r="AJ395" s="152"/>
      <c r="AK395" s="152"/>
      <c r="AL395" s="152"/>
      <c r="AM395" s="152"/>
      <c r="AN395" s="152"/>
      <c r="AO395" s="152"/>
    </row>
    <row r="396" ht="12.75" customHeight="1">
      <c r="A396" s="288"/>
      <c r="B396" s="288"/>
      <c r="C396" s="288"/>
      <c r="D396" s="152"/>
      <c r="E396" s="289"/>
      <c r="F396" s="288"/>
      <c r="G396" s="152"/>
      <c r="H396" s="289"/>
      <c r="I396" s="289"/>
      <c r="J396" s="152"/>
      <c r="K396" s="152"/>
      <c r="L396" s="156"/>
      <c r="M396" s="152"/>
      <c r="N396" s="152"/>
      <c r="O396" s="152"/>
      <c r="P396" s="152"/>
      <c r="Q396" s="152"/>
      <c r="R396" s="152"/>
      <c r="S396" s="152"/>
      <c r="T396" s="152"/>
      <c r="U396" s="152"/>
      <c r="V396" s="152"/>
      <c r="W396" s="281"/>
      <c r="X396" s="281"/>
      <c r="Y396" s="281"/>
      <c r="Z396" s="281"/>
      <c r="AA396" s="281"/>
      <c r="AB396" s="281"/>
      <c r="AC396" s="281"/>
      <c r="AD396" s="170"/>
      <c r="AE396" s="152"/>
      <c r="AF396" s="152"/>
      <c r="AG396" s="152"/>
      <c r="AH396" s="152"/>
      <c r="AI396" s="152"/>
      <c r="AJ396" s="152"/>
      <c r="AK396" s="152"/>
      <c r="AL396" s="152"/>
      <c r="AM396" s="152"/>
      <c r="AN396" s="152"/>
      <c r="AO396" s="152"/>
    </row>
    <row r="397" ht="12.75" customHeight="1">
      <c r="A397" s="288"/>
      <c r="B397" s="288"/>
      <c r="C397" s="288"/>
      <c r="D397" s="152"/>
      <c r="E397" s="289"/>
      <c r="F397" s="288"/>
      <c r="G397" s="152"/>
      <c r="H397" s="289"/>
      <c r="I397" s="289"/>
      <c r="J397" s="152"/>
      <c r="K397" s="152"/>
      <c r="L397" s="156"/>
      <c r="M397" s="152"/>
      <c r="N397" s="152"/>
      <c r="O397" s="152"/>
      <c r="P397" s="152"/>
      <c r="Q397" s="152"/>
      <c r="R397" s="152"/>
      <c r="S397" s="152"/>
      <c r="T397" s="152"/>
      <c r="U397" s="152"/>
      <c r="V397" s="152"/>
      <c r="W397" s="281"/>
      <c r="X397" s="281"/>
      <c r="Y397" s="281"/>
      <c r="Z397" s="281"/>
      <c r="AA397" s="281"/>
      <c r="AB397" s="281"/>
      <c r="AC397" s="281"/>
      <c r="AD397" s="170"/>
      <c r="AE397" s="152"/>
      <c r="AF397" s="152"/>
      <c r="AG397" s="152"/>
      <c r="AH397" s="152"/>
      <c r="AI397" s="152"/>
      <c r="AJ397" s="152"/>
      <c r="AK397" s="152"/>
      <c r="AL397" s="152"/>
      <c r="AM397" s="152"/>
      <c r="AN397" s="152"/>
      <c r="AO397" s="152"/>
    </row>
    <row r="398" ht="12.75" customHeight="1">
      <c r="A398" s="288"/>
      <c r="B398" s="288"/>
      <c r="C398" s="288"/>
      <c r="D398" s="152"/>
      <c r="E398" s="289"/>
      <c r="F398" s="288"/>
      <c r="G398" s="152"/>
      <c r="H398" s="289"/>
      <c r="I398" s="289"/>
      <c r="J398" s="152"/>
      <c r="K398" s="152"/>
      <c r="L398" s="156"/>
      <c r="M398" s="152"/>
      <c r="N398" s="152"/>
      <c r="O398" s="152"/>
      <c r="P398" s="152"/>
      <c r="Q398" s="152"/>
      <c r="R398" s="152"/>
      <c r="S398" s="152"/>
      <c r="T398" s="152"/>
      <c r="U398" s="152"/>
      <c r="V398" s="152"/>
      <c r="W398" s="281"/>
      <c r="X398" s="281"/>
      <c r="Y398" s="281"/>
      <c r="Z398" s="281"/>
      <c r="AA398" s="281"/>
      <c r="AB398" s="281"/>
      <c r="AC398" s="281"/>
      <c r="AD398" s="170"/>
      <c r="AE398" s="152"/>
      <c r="AF398" s="152"/>
      <c r="AG398" s="152"/>
      <c r="AH398" s="152"/>
      <c r="AI398" s="152"/>
      <c r="AJ398" s="152"/>
      <c r="AK398" s="152"/>
      <c r="AL398" s="152"/>
      <c r="AM398" s="152"/>
      <c r="AN398" s="152"/>
      <c r="AO398" s="152"/>
    </row>
    <row r="399" ht="12.75" customHeight="1">
      <c r="A399" s="288"/>
      <c r="B399" s="288"/>
      <c r="C399" s="288"/>
      <c r="D399" s="152"/>
      <c r="E399" s="289"/>
      <c r="F399" s="288"/>
      <c r="G399" s="152"/>
      <c r="H399" s="289"/>
      <c r="I399" s="289"/>
      <c r="J399" s="152"/>
      <c r="K399" s="152"/>
      <c r="L399" s="156"/>
      <c r="M399" s="152"/>
      <c r="N399" s="152"/>
      <c r="O399" s="152"/>
      <c r="P399" s="152"/>
      <c r="Q399" s="152"/>
      <c r="R399" s="152"/>
      <c r="S399" s="152"/>
      <c r="T399" s="152"/>
      <c r="U399" s="152"/>
      <c r="V399" s="152"/>
      <c r="W399" s="281"/>
      <c r="X399" s="281"/>
      <c r="Y399" s="281"/>
      <c r="Z399" s="281"/>
      <c r="AA399" s="281"/>
      <c r="AB399" s="281"/>
      <c r="AC399" s="281"/>
      <c r="AD399" s="170"/>
      <c r="AE399" s="152"/>
      <c r="AF399" s="152"/>
      <c r="AG399" s="152"/>
      <c r="AH399" s="152"/>
      <c r="AI399" s="152"/>
      <c r="AJ399" s="152"/>
      <c r="AK399" s="152"/>
      <c r="AL399" s="152"/>
      <c r="AM399" s="152"/>
      <c r="AN399" s="152"/>
      <c r="AO399" s="152"/>
    </row>
    <row r="400" ht="12.75" customHeight="1">
      <c r="A400" s="288"/>
      <c r="B400" s="288"/>
      <c r="C400" s="288"/>
      <c r="D400" s="152"/>
      <c r="E400" s="289"/>
      <c r="F400" s="288"/>
      <c r="G400" s="152"/>
      <c r="H400" s="289"/>
      <c r="I400" s="289"/>
      <c r="J400" s="152"/>
      <c r="K400" s="152"/>
      <c r="L400" s="156"/>
      <c r="M400" s="152"/>
      <c r="N400" s="152"/>
      <c r="O400" s="152"/>
      <c r="P400" s="152"/>
      <c r="Q400" s="152"/>
      <c r="R400" s="152"/>
      <c r="S400" s="152"/>
      <c r="T400" s="152"/>
      <c r="U400" s="152"/>
      <c r="V400" s="152"/>
      <c r="W400" s="281"/>
      <c r="X400" s="281"/>
      <c r="Y400" s="281"/>
      <c r="Z400" s="281"/>
      <c r="AA400" s="281"/>
      <c r="AB400" s="281"/>
      <c r="AC400" s="281"/>
      <c r="AD400" s="170"/>
      <c r="AE400" s="152"/>
      <c r="AF400" s="152"/>
      <c r="AG400" s="152"/>
      <c r="AH400" s="152"/>
      <c r="AI400" s="152"/>
      <c r="AJ400" s="152"/>
      <c r="AK400" s="152"/>
      <c r="AL400" s="152"/>
      <c r="AM400" s="152"/>
      <c r="AN400" s="152"/>
      <c r="AO400" s="152"/>
    </row>
    <row r="401" ht="12.75" customHeight="1">
      <c r="A401" s="288"/>
      <c r="B401" s="288"/>
      <c r="C401" s="288"/>
      <c r="D401" s="152"/>
      <c r="E401" s="289"/>
      <c r="F401" s="288"/>
      <c r="G401" s="152"/>
      <c r="H401" s="289"/>
      <c r="I401" s="289"/>
      <c r="J401" s="152"/>
      <c r="K401" s="152"/>
      <c r="L401" s="156"/>
      <c r="M401" s="152"/>
      <c r="N401" s="152"/>
      <c r="O401" s="152"/>
      <c r="P401" s="152"/>
      <c r="Q401" s="152"/>
      <c r="R401" s="152"/>
      <c r="S401" s="152"/>
      <c r="T401" s="152"/>
      <c r="U401" s="152"/>
      <c r="V401" s="152"/>
      <c r="W401" s="281"/>
      <c r="X401" s="281"/>
      <c r="Y401" s="281"/>
      <c r="Z401" s="281"/>
      <c r="AA401" s="281"/>
      <c r="AB401" s="281"/>
      <c r="AC401" s="281"/>
      <c r="AD401" s="170"/>
      <c r="AE401" s="152"/>
      <c r="AF401" s="152"/>
      <c r="AG401" s="152"/>
      <c r="AH401" s="152"/>
      <c r="AI401" s="152"/>
      <c r="AJ401" s="152"/>
      <c r="AK401" s="152"/>
      <c r="AL401" s="152"/>
      <c r="AM401" s="152"/>
      <c r="AN401" s="152"/>
      <c r="AO401" s="152"/>
    </row>
    <row r="402" ht="12.75" customHeight="1">
      <c r="A402" s="288"/>
      <c r="B402" s="288"/>
      <c r="C402" s="288"/>
      <c r="D402" s="152"/>
      <c r="E402" s="289"/>
      <c r="F402" s="288"/>
      <c r="G402" s="152"/>
      <c r="H402" s="289"/>
      <c r="I402" s="289"/>
      <c r="J402" s="152"/>
      <c r="K402" s="152"/>
      <c r="L402" s="156"/>
      <c r="M402" s="152"/>
      <c r="N402" s="152"/>
      <c r="O402" s="152"/>
      <c r="P402" s="152"/>
      <c r="Q402" s="152"/>
      <c r="R402" s="152"/>
      <c r="S402" s="152"/>
      <c r="T402" s="152"/>
      <c r="U402" s="152"/>
      <c r="V402" s="152"/>
      <c r="W402" s="281"/>
      <c r="X402" s="281"/>
      <c r="Y402" s="281"/>
      <c r="Z402" s="281"/>
      <c r="AA402" s="281"/>
      <c r="AB402" s="281"/>
      <c r="AC402" s="281"/>
      <c r="AD402" s="170"/>
      <c r="AE402" s="152"/>
      <c r="AF402" s="152"/>
      <c r="AG402" s="152"/>
      <c r="AH402" s="152"/>
      <c r="AI402" s="152"/>
      <c r="AJ402" s="152"/>
      <c r="AK402" s="152"/>
      <c r="AL402" s="152"/>
      <c r="AM402" s="152"/>
      <c r="AN402" s="152"/>
      <c r="AO402" s="152"/>
    </row>
    <row r="403" ht="12.75" customHeight="1">
      <c r="A403" s="288"/>
      <c r="B403" s="288"/>
      <c r="C403" s="288"/>
      <c r="D403" s="152"/>
      <c r="E403" s="289"/>
      <c r="F403" s="288"/>
      <c r="G403" s="152"/>
      <c r="H403" s="289"/>
      <c r="I403" s="289"/>
      <c r="J403" s="152"/>
      <c r="K403" s="152"/>
      <c r="L403" s="156"/>
      <c r="M403" s="152"/>
      <c r="N403" s="152"/>
      <c r="O403" s="152"/>
      <c r="P403" s="152"/>
      <c r="Q403" s="152"/>
      <c r="R403" s="152"/>
      <c r="S403" s="152"/>
      <c r="T403" s="152"/>
      <c r="U403" s="152"/>
      <c r="V403" s="152"/>
      <c r="W403" s="281"/>
      <c r="X403" s="281"/>
      <c r="Y403" s="281"/>
      <c r="Z403" s="281"/>
      <c r="AA403" s="281"/>
      <c r="AB403" s="281"/>
      <c r="AC403" s="281"/>
      <c r="AD403" s="170"/>
      <c r="AE403" s="152"/>
      <c r="AF403" s="152"/>
      <c r="AG403" s="152"/>
      <c r="AH403" s="152"/>
      <c r="AI403" s="152"/>
      <c r="AJ403" s="152"/>
      <c r="AK403" s="152"/>
      <c r="AL403" s="152"/>
      <c r="AM403" s="152"/>
      <c r="AN403" s="152"/>
      <c r="AO403" s="152"/>
    </row>
    <row r="404" ht="12.75" customHeight="1">
      <c r="A404" s="288"/>
      <c r="B404" s="288"/>
      <c r="C404" s="288"/>
      <c r="D404" s="152"/>
      <c r="E404" s="289"/>
      <c r="F404" s="288"/>
      <c r="G404" s="152"/>
      <c r="H404" s="289"/>
      <c r="I404" s="289"/>
      <c r="J404" s="152"/>
      <c r="K404" s="152"/>
      <c r="L404" s="156"/>
      <c r="M404" s="152"/>
      <c r="N404" s="152"/>
      <c r="O404" s="152"/>
      <c r="P404" s="152"/>
      <c r="Q404" s="152"/>
      <c r="R404" s="152"/>
      <c r="S404" s="152"/>
      <c r="T404" s="152"/>
      <c r="U404" s="152"/>
      <c r="V404" s="152"/>
      <c r="W404" s="281"/>
      <c r="X404" s="281"/>
      <c r="Y404" s="281"/>
      <c r="Z404" s="281"/>
      <c r="AA404" s="281"/>
      <c r="AB404" s="281"/>
      <c r="AC404" s="281"/>
      <c r="AD404" s="170"/>
      <c r="AE404" s="152"/>
      <c r="AF404" s="152"/>
      <c r="AG404" s="152"/>
      <c r="AH404" s="152"/>
      <c r="AI404" s="152"/>
      <c r="AJ404" s="152"/>
      <c r="AK404" s="152"/>
      <c r="AL404" s="152"/>
      <c r="AM404" s="152"/>
      <c r="AN404" s="152"/>
      <c r="AO404" s="152"/>
    </row>
    <row r="405" ht="12.75" customHeight="1">
      <c r="A405" s="288"/>
      <c r="B405" s="288"/>
      <c r="C405" s="288"/>
      <c r="D405" s="152"/>
      <c r="E405" s="289"/>
      <c r="F405" s="288"/>
      <c r="G405" s="152"/>
      <c r="H405" s="289"/>
      <c r="I405" s="289"/>
      <c r="J405" s="152"/>
      <c r="K405" s="152"/>
      <c r="L405" s="156"/>
      <c r="M405" s="152"/>
      <c r="N405" s="152"/>
      <c r="O405" s="152"/>
      <c r="P405" s="152"/>
      <c r="Q405" s="152"/>
      <c r="R405" s="152"/>
      <c r="S405" s="152"/>
      <c r="T405" s="152"/>
      <c r="U405" s="152"/>
      <c r="V405" s="152"/>
      <c r="W405" s="281"/>
      <c r="X405" s="281"/>
      <c r="Y405" s="281"/>
      <c r="Z405" s="281"/>
      <c r="AA405" s="281"/>
      <c r="AB405" s="281"/>
      <c r="AC405" s="281"/>
      <c r="AD405" s="170"/>
      <c r="AE405" s="152"/>
      <c r="AF405" s="152"/>
      <c r="AG405" s="152"/>
      <c r="AH405" s="152"/>
      <c r="AI405" s="152"/>
      <c r="AJ405" s="152"/>
      <c r="AK405" s="152"/>
      <c r="AL405" s="152"/>
      <c r="AM405" s="152"/>
      <c r="AN405" s="152"/>
      <c r="AO405" s="152"/>
    </row>
    <row r="406" ht="12.75" customHeight="1">
      <c r="A406" s="288"/>
      <c r="B406" s="288"/>
      <c r="C406" s="288"/>
      <c r="D406" s="152"/>
      <c r="E406" s="289"/>
      <c r="F406" s="288"/>
      <c r="G406" s="152"/>
      <c r="H406" s="289"/>
      <c r="I406" s="289"/>
      <c r="J406" s="152"/>
      <c r="K406" s="152"/>
      <c r="L406" s="156"/>
      <c r="M406" s="152"/>
      <c r="N406" s="152"/>
      <c r="O406" s="152"/>
      <c r="P406" s="152"/>
      <c r="Q406" s="152"/>
      <c r="R406" s="152"/>
      <c r="S406" s="152"/>
      <c r="T406" s="152"/>
      <c r="U406" s="152"/>
      <c r="V406" s="152"/>
      <c r="W406" s="281"/>
      <c r="X406" s="281"/>
      <c r="Y406" s="281"/>
      <c r="Z406" s="281"/>
      <c r="AA406" s="281"/>
      <c r="AB406" s="281"/>
      <c r="AC406" s="281"/>
      <c r="AD406" s="170"/>
      <c r="AE406" s="152"/>
      <c r="AF406" s="152"/>
      <c r="AG406" s="152"/>
      <c r="AH406" s="152"/>
      <c r="AI406" s="152"/>
      <c r="AJ406" s="152"/>
      <c r="AK406" s="152"/>
      <c r="AL406" s="152"/>
      <c r="AM406" s="152"/>
      <c r="AN406" s="152"/>
      <c r="AO406" s="152"/>
    </row>
    <row r="407" ht="12.75" customHeight="1">
      <c r="A407" s="288"/>
      <c r="B407" s="288"/>
      <c r="C407" s="288"/>
      <c r="D407" s="152"/>
      <c r="E407" s="289"/>
      <c r="F407" s="288"/>
      <c r="G407" s="152"/>
      <c r="H407" s="289"/>
      <c r="I407" s="289"/>
      <c r="J407" s="152"/>
      <c r="K407" s="152"/>
      <c r="L407" s="156"/>
      <c r="M407" s="152"/>
      <c r="N407" s="152"/>
      <c r="O407" s="152"/>
      <c r="P407" s="152"/>
      <c r="Q407" s="152"/>
      <c r="R407" s="152"/>
      <c r="S407" s="152"/>
      <c r="T407" s="152"/>
      <c r="U407" s="152"/>
      <c r="V407" s="152"/>
      <c r="W407" s="281"/>
      <c r="X407" s="281"/>
      <c r="Y407" s="281"/>
      <c r="Z407" s="281"/>
      <c r="AA407" s="281"/>
      <c r="AB407" s="281"/>
      <c r="AC407" s="281"/>
      <c r="AD407" s="170"/>
      <c r="AE407" s="152"/>
      <c r="AF407" s="152"/>
      <c r="AG407" s="152"/>
      <c r="AH407" s="152"/>
      <c r="AI407" s="152"/>
      <c r="AJ407" s="152"/>
      <c r="AK407" s="152"/>
      <c r="AL407" s="152"/>
      <c r="AM407" s="152"/>
      <c r="AN407" s="152"/>
      <c r="AO407" s="152"/>
    </row>
    <row r="408" ht="12.75" customHeight="1">
      <c r="A408" s="288"/>
      <c r="B408" s="288"/>
      <c r="C408" s="288"/>
      <c r="D408" s="152"/>
      <c r="E408" s="289"/>
      <c r="F408" s="288"/>
      <c r="G408" s="152"/>
      <c r="H408" s="289"/>
      <c r="I408" s="289"/>
      <c r="J408" s="152"/>
      <c r="K408" s="152"/>
      <c r="L408" s="156"/>
      <c r="M408" s="152"/>
      <c r="N408" s="152"/>
      <c r="O408" s="152"/>
      <c r="P408" s="152"/>
      <c r="Q408" s="152"/>
      <c r="R408" s="152"/>
      <c r="S408" s="152"/>
      <c r="T408" s="152"/>
      <c r="U408" s="152"/>
      <c r="V408" s="152"/>
      <c r="W408" s="281"/>
      <c r="X408" s="281"/>
      <c r="Y408" s="281"/>
      <c r="Z408" s="281"/>
      <c r="AA408" s="281"/>
      <c r="AB408" s="281"/>
      <c r="AC408" s="281"/>
      <c r="AD408" s="170"/>
      <c r="AE408" s="152"/>
      <c r="AF408" s="152"/>
      <c r="AG408" s="152"/>
      <c r="AH408" s="152"/>
      <c r="AI408" s="152"/>
      <c r="AJ408" s="152"/>
      <c r="AK408" s="152"/>
      <c r="AL408" s="152"/>
      <c r="AM408" s="152"/>
      <c r="AN408" s="152"/>
      <c r="AO408" s="152"/>
    </row>
    <row r="409" ht="12.75" customHeight="1">
      <c r="A409" s="288"/>
      <c r="B409" s="288"/>
      <c r="C409" s="288"/>
      <c r="D409" s="152"/>
      <c r="E409" s="289"/>
      <c r="F409" s="288"/>
      <c r="G409" s="152"/>
      <c r="H409" s="289"/>
      <c r="I409" s="289"/>
      <c r="J409" s="152"/>
      <c r="K409" s="152"/>
      <c r="L409" s="156"/>
      <c r="M409" s="152"/>
      <c r="N409" s="152"/>
      <c r="O409" s="152"/>
      <c r="P409" s="152"/>
      <c r="Q409" s="152"/>
      <c r="R409" s="152"/>
      <c r="S409" s="152"/>
      <c r="T409" s="152"/>
      <c r="U409" s="152"/>
      <c r="V409" s="152"/>
      <c r="W409" s="281"/>
      <c r="X409" s="281"/>
      <c r="Y409" s="281"/>
      <c r="Z409" s="281"/>
      <c r="AA409" s="281"/>
      <c r="AB409" s="281"/>
      <c r="AC409" s="281"/>
      <c r="AD409" s="170"/>
      <c r="AE409" s="152"/>
      <c r="AF409" s="152"/>
      <c r="AG409" s="152"/>
      <c r="AH409" s="152"/>
      <c r="AI409" s="152"/>
      <c r="AJ409" s="152"/>
      <c r="AK409" s="152"/>
      <c r="AL409" s="152"/>
      <c r="AM409" s="152"/>
      <c r="AN409" s="152"/>
      <c r="AO409" s="152"/>
    </row>
    <row r="410" ht="12.75" customHeight="1">
      <c r="A410" s="288"/>
      <c r="B410" s="288"/>
      <c r="C410" s="288"/>
      <c r="D410" s="152"/>
      <c r="E410" s="289"/>
      <c r="F410" s="288"/>
      <c r="G410" s="152"/>
      <c r="H410" s="289"/>
      <c r="I410" s="289"/>
      <c r="J410" s="152"/>
      <c r="K410" s="152"/>
      <c r="L410" s="156"/>
      <c r="M410" s="152"/>
      <c r="N410" s="152"/>
      <c r="O410" s="152"/>
      <c r="P410" s="152"/>
      <c r="Q410" s="152"/>
      <c r="R410" s="152"/>
      <c r="S410" s="152"/>
      <c r="T410" s="152"/>
      <c r="U410" s="152"/>
      <c r="V410" s="152"/>
      <c r="W410" s="281"/>
      <c r="X410" s="281"/>
      <c r="Y410" s="281"/>
      <c r="Z410" s="281"/>
      <c r="AA410" s="281"/>
      <c r="AB410" s="281"/>
      <c r="AC410" s="281"/>
      <c r="AD410" s="170"/>
      <c r="AE410" s="152"/>
      <c r="AF410" s="152"/>
      <c r="AG410" s="152"/>
      <c r="AH410" s="152"/>
      <c r="AI410" s="152"/>
      <c r="AJ410" s="152"/>
      <c r="AK410" s="152"/>
      <c r="AL410" s="152"/>
      <c r="AM410" s="152"/>
      <c r="AN410" s="152"/>
      <c r="AO410" s="152"/>
    </row>
    <row r="411" ht="12.75" customHeight="1">
      <c r="A411" s="288"/>
      <c r="B411" s="288"/>
      <c r="C411" s="288"/>
      <c r="D411" s="152"/>
      <c r="E411" s="289"/>
      <c r="F411" s="288"/>
      <c r="G411" s="152"/>
      <c r="H411" s="289"/>
      <c r="I411" s="289"/>
      <c r="J411" s="152"/>
      <c r="K411" s="152"/>
      <c r="L411" s="156"/>
      <c r="M411" s="152"/>
      <c r="N411" s="152"/>
      <c r="O411" s="152"/>
      <c r="P411" s="152"/>
      <c r="Q411" s="152"/>
      <c r="R411" s="152"/>
      <c r="S411" s="152"/>
      <c r="T411" s="152"/>
      <c r="U411" s="152"/>
      <c r="V411" s="152"/>
      <c r="W411" s="281"/>
      <c r="X411" s="281"/>
      <c r="Y411" s="281"/>
      <c r="Z411" s="281"/>
      <c r="AA411" s="281"/>
      <c r="AB411" s="281"/>
      <c r="AC411" s="281"/>
      <c r="AD411" s="170"/>
      <c r="AE411" s="152"/>
      <c r="AF411" s="152"/>
      <c r="AG411" s="152"/>
      <c r="AH411" s="152"/>
      <c r="AI411" s="152"/>
      <c r="AJ411" s="152"/>
      <c r="AK411" s="152"/>
      <c r="AL411" s="152"/>
      <c r="AM411" s="152"/>
      <c r="AN411" s="152"/>
      <c r="AO411" s="152"/>
    </row>
    <row r="412" ht="12.75" customHeight="1">
      <c r="A412" s="288"/>
      <c r="B412" s="288"/>
      <c r="C412" s="288"/>
      <c r="D412" s="152"/>
      <c r="E412" s="289"/>
      <c r="F412" s="288"/>
      <c r="G412" s="152"/>
      <c r="H412" s="289"/>
      <c r="I412" s="289"/>
      <c r="J412" s="152"/>
      <c r="K412" s="152"/>
      <c r="L412" s="156"/>
      <c r="M412" s="152"/>
      <c r="N412" s="152"/>
      <c r="O412" s="152"/>
      <c r="P412" s="152"/>
      <c r="Q412" s="152"/>
      <c r="R412" s="152"/>
      <c r="S412" s="152"/>
      <c r="T412" s="152"/>
      <c r="U412" s="152"/>
      <c r="V412" s="152"/>
      <c r="W412" s="281"/>
      <c r="X412" s="281"/>
      <c r="Y412" s="281"/>
      <c r="Z412" s="281"/>
      <c r="AA412" s="281"/>
      <c r="AB412" s="281"/>
      <c r="AC412" s="281"/>
      <c r="AD412" s="170"/>
      <c r="AE412" s="152"/>
      <c r="AF412" s="152"/>
      <c r="AG412" s="152"/>
      <c r="AH412" s="152"/>
      <c r="AI412" s="152"/>
      <c r="AJ412" s="152"/>
      <c r="AK412" s="152"/>
      <c r="AL412" s="152"/>
      <c r="AM412" s="152"/>
      <c r="AN412" s="152"/>
      <c r="AO412" s="152"/>
    </row>
    <row r="413" ht="12.75" customHeight="1">
      <c r="A413" s="288"/>
      <c r="B413" s="288"/>
      <c r="C413" s="288"/>
      <c r="D413" s="152"/>
      <c r="E413" s="289"/>
      <c r="F413" s="288"/>
      <c r="G413" s="152"/>
      <c r="H413" s="289"/>
      <c r="I413" s="289"/>
      <c r="J413" s="152"/>
      <c r="K413" s="152"/>
      <c r="L413" s="156"/>
      <c r="M413" s="152"/>
      <c r="N413" s="152"/>
      <c r="O413" s="152"/>
      <c r="P413" s="152"/>
      <c r="Q413" s="152"/>
      <c r="R413" s="152"/>
      <c r="S413" s="152"/>
      <c r="T413" s="152"/>
      <c r="U413" s="152"/>
      <c r="V413" s="152"/>
      <c r="W413" s="281"/>
      <c r="X413" s="281"/>
      <c r="Y413" s="281"/>
      <c r="Z413" s="281"/>
      <c r="AA413" s="281"/>
      <c r="AB413" s="281"/>
      <c r="AC413" s="281"/>
      <c r="AD413" s="170"/>
      <c r="AE413" s="152"/>
      <c r="AF413" s="152"/>
      <c r="AG413" s="152"/>
      <c r="AH413" s="152"/>
      <c r="AI413" s="152"/>
      <c r="AJ413" s="152"/>
      <c r="AK413" s="152"/>
      <c r="AL413" s="152"/>
      <c r="AM413" s="152"/>
      <c r="AN413" s="152"/>
      <c r="AO413" s="152"/>
    </row>
    <row r="414" ht="12.75" customHeight="1">
      <c r="A414" s="288"/>
      <c r="B414" s="288"/>
      <c r="C414" s="288"/>
      <c r="D414" s="152"/>
      <c r="E414" s="289"/>
      <c r="F414" s="288"/>
      <c r="G414" s="152"/>
      <c r="H414" s="289"/>
      <c r="I414" s="289"/>
      <c r="J414" s="152"/>
      <c r="K414" s="152"/>
      <c r="L414" s="156"/>
      <c r="M414" s="152"/>
      <c r="N414" s="152"/>
      <c r="O414" s="152"/>
      <c r="P414" s="152"/>
      <c r="Q414" s="152"/>
      <c r="R414" s="152"/>
      <c r="S414" s="152"/>
      <c r="T414" s="152"/>
      <c r="U414" s="152"/>
      <c r="V414" s="152"/>
      <c r="W414" s="281"/>
      <c r="X414" s="281"/>
      <c r="Y414" s="281"/>
      <c r="Z414" s="281"/>
      <c r="AA414" s="281"/>
      <c r="AB414" s="281"/>
      <c r="AC414" s="281"/>
      <c r="AD414" s="170"/>
      <c r="AE414" s="152"/>
      <c r="AF414" s="152"/>
      <c r="AG414" s="152"/>
      <c r="AH414" s="152"/>
      <c r="AI414" s="152"/>
      <c r="AJ414" s="152"/>
      <c r="AK414" s="152"/>
      <c r="AL414" s="152"/>
      <c r="AM414" s="152"/>
      <c r="AN414" s="152"/>
      <c r="AO414" s="152"/>
    </row>
    <row r="415" ht="12.75" customHeight="1">
      <c r="A415" s="288"/>
      <c r="B415" s="288"/>
      <c r="C415" s="288"/>
      <c r="D415" s="152"/>
      <c r="E415" s="289"/>
      <c r="F415" s="288"/>
      <c r="G415" s="152"/>
      <c r="H415" s="289"/>
      <c r="I415" s="289"/>
      <c r="J415" s="152"/>
      <c r="K415" s="152"/>
      <c r="L415" s="156"/>
      <c r="M415" s="152"/>
      <c r="N415" s="152"/>
      <c r="O415" s="152"/>
      <c r="P415" s="152"/>
      <c r="Q415" s="152"/>
      <c r="R415" s="152"/>
      <c r="S415" s="152"/>
      <c r="T415" s="152"/>
      <c r="U415" s="152"/>
      <c r="V415" s="152"/>
      <c r="W415" s="281"/>
      <c r="X415" s="281"/>
      <c r="Y415" s="281"/>
      <c r="Z415" s="281"/>
      <c r="AA415" s="281"/>
      <c r="AB415" s="281"/>
      <c r="AC415" s="281"/>
      <c r="AD415" s="170"/>
      <c r="AE415" s="152"/>
      <c r="AF415" s="152"/>
      <c r="AG415" s="152"/>
      <c r="AH415" s="152"/>
      <c r="AI415" s="152"/>
      <c r="AJ415" s="152"/>
      <c r="AK415" s="152"/>
      <c r="AL415" s="152"/>
      <c r="AM415" s="152"/>
      <c r="AN415" s="152"/>
      <c r="AO415" s="152"/>
    </row>
    <row r="416" ht="12.75" customHeight="1">
      <c r="A416" s="288"/>
      <c r="B416" s="288"/>
      <c r="C416" s="288"/>
      <c r="D416" s="152"/>
      <c r="E416" s="289"/>
      <c r="F416" s="288"/>
      <c r="G416" s="152"/>
      <c r="H416" s="289"/>
      <c r="I416" s="289"/>
      <c r="J416" s="152"/>
      <c r="K416" s="152"/>
      <c r="L416" s="156"/>
      <c r="M416" s="152"/>
      <c r="N416" s="152"/>
      <c r="O416" s="152"/>
      <c r="P416" s="152"/>
      <c r="Q416" s="152"/>
      <c r="R416" s="152"/>
      <c r="S416" s="152"/>
      <c r="T416" s="152"/>
      <c r="U416" s="152"/>
      <c r="V416" s="152"/>
      <c r="W416" s="281"/>
      <c r="X416" s="281"/>
      <c r="Y416" s="281"/>
      <c r="Z416" s="281"/>
      <c r="AA416" s="281"/>
      <c r="AB416" s="281"/>
      <c r="AC416" s="281"/>
      <c r="AD416" s="170"/>
      <c r="AE416" s="152"/>
      <c r="AF416" s="152"/>
      <c r="AG416" s="152"/>
      <c r="AH416" s="152"/>
      <c r="AI416" s="152"/>
      <c r="AJ416" s="152"/>
      <c r="AK416" s="152"/>
      <c r="AL416" s="152"/>
      <c r="AM416" s="152"/>
      <c r="AN416" s="152"/>
      <c r="AO416" s="152"/>
    </row>
    <row r="417" ht="12.75" customHeight="1">
      <c r="A417" s="288"/>
      <c r="B417" s="288"/>
      <c r="C417" s="288"/>
      <c r="D417" s="152"/>
      <c r="E417" s="289"/>
      <c r="F417" s="288"/>
      <c r="G417" s="152"/>
      <c r="H417" s="289"/>
      <c r="I417" s="289"/>
      <c r="J417" s="152"/>
      <c r="K417" s="152"/>
      <c r="L417" s="156"/>
      <c r="M417" s="152"/>
      <c r="N417" s="152"/>
      <c r="O417" s="152"/>
      <c r="P417" s="152"/>
      <c r="Q417" s="152"/>
      <c r="R417" s="152"/>
      <c r="S417" s="152"/>
      <c r="T417" s="152"/>
      <c r="U417" s="152"/>
      <c r="V417" s="152"/>
      <c r="W417" s="281"/>
      <c r="X417" s="281"/>
      <c r="Y417" s="281"/>
      <c r="Z417" s="281"/>
      <c r="AA417" s="281"/>
      <c r="AB417" s="281"/>
      <c r="AC417" s="281"/>
      <c r="AD417" s="170"/>
      <c r="AE417" s="152"/>
      <c r="AF417" s="152"/>
      <c r="AG417" s="152"/>
      <c r="AH417" s="152"/>
      <c r="AI417" s="152"/>
      <c r="AJ417" s="152"/>
      <c r="AK417" s="152"/>
      <c r="AL417" s="152"/>
      <c r="AM417" s="152"/>
      <c r="AN417" s="152"/>
      <c r="AO417" s="152"/>
    </row>
    <row r="418" ht="12.75" customHeight="1">
      <c r="A418" s="288"/>
      <c r="B418" s="288"/>
      <c r="C418" s="288"/>
      <c r="D418" s="152"/>
      <c r="E418" s="289"/>
      <c r="F418" s="288"/>
      <c r="G418" s="152"/>
      <c r="H418" s="289"/>
      <c r="I418" s="289"/>
      <c r="J418" s="152"/>
      <c r="K418" s="152"/>
      <c r="L418" s="156"/>
      <c r="M418" s="152"/>
      <c r="N418" s="152"/>
      <c r="O418" s="152"/>
      <c r="P418" s="152"/>
      <c r="Q418" s="152"/>
      <c r="R418" s="152"/>
      <c r="S418" s="152"/>
      <c r="T418" s="152"/>
      <c r="U418" s="152"/>
      <c r="V418" s="152"/>
      <c r="W418" s="281"/>
      <c r="X418" s="281"/>
      <c r="Y418" s="281"/>
      <c r="Z418" s="281"/>
      <c r="AA418" s="281"/>
      <c r="AB418" s="281"/>
      <c r="AC418" s="281"/>
      <c r="AD418" s="170"/>
      <c r="AE418" s="152"/>
      <c r="AF418" s="152"/>
      <c r="AG418" s="152"/>
      <c r="AH418" s="152"/>
      <c r="AI418" s="152"/>
      <c r="AJ418" s="152"/>
      <c r="AK418" s="152"/>
      <c r="AL418" s="152"/>
      <c r="AM418" s="152"/>
      <c r="AN418" s="152"/>
      <c r="AO418" s="152"/>
    </row>
    <row r="419" ht="12.75" customHeight="1">
      <c r="A419" s="288"/>
      <c r="B419" s="288"/>
      <c r="C419" s="288"/>
      <c r="D419" s="152"/>
      <c r="E419" s="289"/>
      <c r="F419" s="288"/>
      <c r="G419" s="152"/>
      <c r="H419" s="289"/>
      <c r="I419" s="289"/>
      <c r="J419" s="152"/>
      <c r="K419" s="152"/>
      <c r="L419" s="156"/>
      <c r="M419" s="152"/>
      <c r="N419" s="152"/>
      <c r="O419" s="152"/>
      <c r="P419" s="152"/>
      <c r="Q419" s="152"/>
      <c r="R419" s="152"/>
      <c r="S419" s="152"/>
      <c r="T419" s="152"/>
      <c r="U419" s="152"/>
      <c r="V419" s="152"/>
      <c r="W419" s="281"/>
      <c r="X419" s="281"/>
      <c r="Y419" s="281"/>
      <c r="Z419" s="281"/>
      <c r="AA419" s="281"/>
      <c r="AB419" s="281"/>
      <c r="AC419" s="281"/>
      <c r="AD419" s="170"/>
      <c r="AE419" s="152"/>
      <c r="AF419" s="152"/>
      <c r="AG419" s="152"/>
      <c r="AH419" s="152"/>
      <c r="AI419" s="152"/>
      <c r="AJ419" s="152"/>
      <c r="AK419" s="152"/>
      <c r="AL419" s="152"/>
      <c r="AM419" s="152"/>
      <c r="AN419" s="152"/>
      <c r="AO419" s="152"/>
    </row>
    <row r="420" ht="12.75" customHeight="1">
      <c r="A420" s="288"/>
      <c r="B420" s="288"/>
      <c r="C420" s="288"/>
      <c r="D420" s="152"/>
      <c r="E420" s="289"/>
      <c r="F420" s="288"/>
      <c r="G420" s="152"/>
      <c r="H420" s="289"/>
      <c r="I420" s="289"/>
      <c r="J420" s="152"/>
      <c r="K420" s="152"/>
      <c r="L420" s="156"/>
      <c r="M420" s="152"/>
      <c r="N420" s="152"/>
      <c r="O420" s="152"/>
      <c r="P420" s="152"/>
      <c r="Q420" s="152"/>
      <c r="R420" s="152"/>
      <c r="S420" s="152"/>
      <c r="T420" s="152"/>
      <c r="U420" s="152"/>
      <c r="V420" s="152"/>
      <c r="W420" s="281"/>
      <c r="X420" s="281"/>
      <c r="Y420" s="281"/>
      <c r="Z420" s="281"/>
      <c r="AA420" s="281"/>
      <c r="AB420" s="281"/>
      <c r="AC420" s="281"/>
      <c r="AD420" s="170"/>
      <c r="AE420" s="152"/>
      <c r="AF420" s="152"/>
      <c r="AG420" s="152"/>
      <c r="AH420" s="152"/>
      <c r="AI420" s="152"/>
      <c r="AJ420" s="152"/>
      <c r="AK420" s="152"/>
      <c r="AL420" s="152"/>
      <c r="AM420" s="152"/>
      <c r="AN420" s="152"/>
      <c r="AO420" s="152"/>
    </row>
    <row r="421" ht="12.75" customHeight="1">
      <c r="A421" s="288"/>
      <c r="B421" s="288"/>
      <c r="C421" s="288"/>
      <c r="D421" s="152"/>
      <c r="E421" s="289"/>
      <c r="F421" s="288"/>
      <c r="G421" s="152"/>
      <c r="H421" s="289"/>
      <c r="I421" s="289"/>
      <c r="J421" s="152"/>
      <c r="K421" s="152"/>
      <c r="L421" s="156"/>
      <c r="M421" s="152"/>
      <c r="N421" s="152"/>
      <c r="O421" s="152"/>
      <c r="P421" s="152"/>
      <c r="Q421" s="152"/>
      <c r="R421" s="152"/>
      <c r="S421" s="152"/>
      <c r="T421" s="152"/>
      <c r="U421" s="152"/>
      <c r="V421" s="152"/>
      <c r="W421" s="281"/>
      <c r="X421" s="281"/>
      <c r="Y421" s="281"/>
      <c r="Z421" s="281"/>
      <c r="AA421" s="281"/>
      <c r="AB421" s="281"/>
      <c r="AC421" s="281"/>
      <c r="AD421" s="170"/>
      <c r="AE421" s="152"/>
      <c r="AF421" s="152"/>
      <c r="AG421" s="152"/>
      <c r="AH421" s="152"/>
      <c r="AI421" s="152"/>
      <c r="AJ421" s="152"/>
      <c r="AK421" s="152"/>
      <c r="AL421" s="152"/>
      <c r="AM421" s="152"/>
      <c r="AN421" s="152"/>
      <c r="AO421" s="152"/>
    </row>
    <row r="422" ht="12.75" customHeight="1">
      <c r="A422" s="288"/>
      <c r="B422" s="288"/>
      <c r="C422" s="288"/>
      <c r="D422" s="152"/>
      <c r="E422" s="289"/>
      <c r="F422" s="288"/>
      <c r="G422" s="152"/>
      <c r="H422" s="289"/>
      <c r="I422" s="289"/>
      <c r="J422" s="152"/>
      <c r="K422" s="152"/>
      <c r="L422" s="156"/>
      <c r="M422" s="152"/>
      <c r="N422" s="152"/>
      <c r="O422" s="152"/>
      <c r="P422" s="152"/>
      <c r="Q422" s="152"/>
      <c r="R422" s="152"/>
      <c r="S422" s="152"/>
      <c r="T422" s="152"/>
      <c r="U422" s="152"/>
      <c r="V422" s="152"/>
      <c r="W422" s="281"/>
      <c r="X422" s="281"/>
      <c r="Y422" s="281"/>
      <c r="Z422" s="281"/>
      <c r="AA422" s="281"/>
      <c r="AB422" s="281"/>
      <c r="AC422" s="281"/>
      <c r="AD422" s="170"/>
      <c r="AE422" s="152"/>
      <c r="AF422" s="152"/>
      <c r="AG422" s="152"/>
      <c r="AH422" s="152"/>
      <c r="AI422" s="152"/>
      <c r="AJ422" s="152"/>
      <c r="AK422" s="152"/>
      <c r="AL422" s="152"/>
      <c r="AM422" s="152"/>
      <c r="AN422" s="152"/>
      <c r="AO422" s="152"/>
    </row>
    <row r="423" ht="12.75" customHeight="1">
      <c r="A423" s="288"/>
      <c r="B423" s="288"/>
      <c r="C423" s="288"/>
      <c r="D423" s="152"/>
      <c r="E423" s="289"/>
      <c r="F423" s="288"/>
      <c r="G423" s="152"/>
      <c r="H423" s="289"/>
      <c r="I423" s="289"/>
      <c r="J423" s="152"/>
      <c r="K423" s="152"/>
      <c r="L423" s="156"/>
      <c r="M423" s="152"/>
      <c r="N423" s="152"/>
      <c r="O423" s="152"/>
      <c r="P423" s="152"/>
      <c r="Q423" s="152"/>
      <c r="R423" s="152"/>
      <c r="S423" s="152"/>
      <c r="T423" s="152"/>
      <c r="U423" s="152"/>
      <c r="V423" s="152"/>
      <c r="W423" s="281"/>
      <c r="X423" s="281"/>
      <c r="Y423" s="281"/>
      <c r="Z423" s="281"/>
      <c r="AA423" s="281"/>
      <c r="AB423" s="281"/>
      <c r="AC423" s="281"/>
      <c r="AD423" s="170"/>
      <c r="AE423" s="152"/>
      <c r="AF423" s="152"/>
      <c r="AG423" s="152"/>
      <c r="AH423" s="152"/>
      <c r="AI423" s="152"/>
      <c r="AJ423" s="152"/>
      <c r="AK423" s="152"/>
      <c r="AL423" s="152"/>
      <c r="AM423" s="152"/>
      <c r="AN423" s="152"/>
      <c r="AO423" s="152"/>
    </row>
    <row r="424" ht="12.75" customHeight="1">
      <c r="A424" s="288"/>
      <c r="B424" s="288"/>
      <c r="C424" s="288"/>
      <c r="D424" s="152"/>
      <c r="E424" s="289"/>
      <c r="F424" s="288"/>
      <c r="G424" s="152"/>
      <c r="H424" s="289"/>
      <c r="I424" s="289"/>
      <c r="J424" s="152"/>
      <c r="K424" s="152"/>
      <c r="L424" s="156"/>
      <c r="M424" s="152"/>
      <c r="N424" s="152"/>
      <c r="O424" s="152"/>
      <c r="P424" s="152"/>
      <c r="Q424" s="152"/>
      <c r="R424" s="152"/>
      <c r="S424" s="152"/>
      <c r="T424" s="152"/>
      <c r="U424" s="152"/>
      <c r="V424" s="152"/>
      <c r="W424" s="281"/>
      <c r="X424" s="281"/>
      <c r="Y424" s="281"/>
      <c r="Z424" s="281"/>
      <c r="AA424" s="281"/>
      <c r="AB424" s="281"/>
      <c r="AC424" s="281"/>
      <c r="AD424" s="170"/>
      <c r="AE424" s="152"/>
      <c r="AF424" s="152"/>
      <c r="AG424" s="152"/>
      <c r="AH424" s="152"/>
      <c r="AI424" s="152"/>
      <c r="AJ424" s="152"/>
      <c r="AK424" s="152"/>
      <c r="AL424" s="152"/>
      <c r="AM424" s="152"/>
      <c r="AN424" s="152"/>
      <c r="AO424" s="152"/>
    </row>
    <row r="425" ht="12.75" customHeight="1">
      <c r="A425" s="288"/>
      <c r="B425" s="288"/>
      <c r="C425" s="288"/>
      <c r="D425" s="152"/>
      <c r="E425" s="289"/>
      <c r="F425" s="288"/>
      <c r="G425" s="152"/>
      <c r="H425" s="289"/>
      <c r="I425" s="289"/>
      <c r="J425" s="152"/>
      <c r="K425" s="152"/>
      <c r="L425" s="156"/>
      <c r="M425" s="152"/>
      <c r="N425" s="152"/>
      <c r="O425" s="152"/>
      <c r="P425" s="152"/>
      <c r="Q425" s="152"/>
      <c r="R425" s="152"/>
      <c r="S425" s="152"/>
      <c r="T425" s="152"/>
      <c r="U425" s="152"/>
      <c r="V425" s="152"/>
      <c r="W425" s="281"/>
      <c r="X425" s="281"/>
      <c r="Y425" s="281"/>
      <c r="Z425" s="281"/>
      <c r="AA425" s="281"/>
      <c r="AB425" s="281"/>
      <c r="AC425" s="281"/>
      <c r="AD425" s="170"/>
      <c r="AE425" s="152"/>
      <c r="AF425" s="152"/>
      <c r="AG425" s="152"/>
      <c r="AH425" s="152"/>
      <c r="AI425" s="152"/>
      <c r="AJ425" s="152"/>
      <c r="AK425" s="152"/>
      <c r="AL425" s="152"/>
      <c r="AM425" s="152"/>
      <c r="AN425" s="152"/>
      <c r="AO425" s="152"/>
    </row>
    <row r="426" ht="12.75" customHeight="1">
      <c r="A426" s="288"/>
      <c r="B426" s="288"/>
      <c r="C426" s="288"/>
      <c r="D426" s="152"/>
      <c r="E426" s="289"/>
      <c r="F426" s="288"/>
      <c r="G426" s="152"/>
      <c r="H426" s="289"/>
      <c r="I426" s="289"/>
      <c r="J426" s="152"/>
      <c r="K426" s="152"/>
      <c r="L426" s="156"/>
      <c r="M426" s="152"/>
      <c r="N426" s="152"/>
      <c r="O426" s="152"/>
      <c r="P426" s="152"/>
      <c r="Q426" s="152"/>
      <c r="R426" s="152"/>
      <c r="S426" s="152"/>
      <c r="T426" s="152"/>
      <c r="U426" s="152"/>
      <c r="V426" s="152"/>
      <c r="W426" s="281"/>
      <c r="X426" s="281"/>
      <c r="Y426" s="281"/>
      <c r="Z426" s="281"/>
      <c r="AA426" s="281"/>
      <c r="AB426" s="281"/>
      <c r="AC426" s="281"/>
      <c r="AD426" s="170"/>
      <c r="AE426" s="152"/>
      <c r="AF426" s="152"/>
      <c r="AG426" s="152"/>
      <c r="AH426" s="152"/>
      <c r="AI426" s="152"/>
      <c r="AJ426" s="152"/>
      <c r="AK426" s="152"/>
      <c r="AL426" s="152"/>
      <c r="AM426" s="152"/>
      <c r="AN426" s="152"/>
      <c r="AO426" s="152"/>
    </row>
    <row r="427" ht="12.75" customHeight="1">
      <c r="A427" s="288"/>
      <c r="B427" s="288"/>
      <c r="C427" s="288"/>
      <c r="D427" s="152"/>
      <c r="E427" s="289"/>
      <c r="F427" s="288"/>
      <c r="G427" s="152"/>
      <c r="H427" s="289"/>
      <c r="I427" s="289"/>
      <c r="J427" s="152"/>
      <c r="K427" s="152"/>
      <c r="L427" s="156"/>
      <c r="M427" s="152"/>
      <c r="N427" s="152"/>
      <c r="O427" s="152"/>
      <c r="P427" s="152"/>
      <c r="Q427" s="152"/>
      <c r="R427" s="152"/>
      <c r="S427" s="152"/>
      <c r="T427" s="152"/>
      <c r="U427" s="152"/>
      <c r="V427" s="152"/>
      <c r="W427" s="281"/>
      <c r="X427" s="281"/>
      <c r="Y427" s="281"/>
      <c r="Z427" s="281"/>
      <c r="AA427" s="281"/>
      <c r="AB427" s="281"/>
      <c r="AC427" s="281"/>
      <c r="AD427" s="170"/>
      <c r="AE427" s="152"/>
      <c r="AF427" s="152"/>
      <c r="AG427" s="152"/>
      <c r="AH427" s="152"/>
      <c r="AI427" s="152"/>
      <c r="AJ427" s="152"/>
      <c r="AK427" s="152"/>
      <c r="AL427" s="152"/>
      <c r="AM427" s="152"/>
      <c r="AN427" s="152"/>
      <c r="AO427" s="152"/>
    </row>
    <row r="428" ht="12.75" customHeight="1">
      <c r="A428" s="288"/>
      <c r="B428" s="288"/>
      <c r="C428" s="288"/>
      <c r="D428" s="152"/>
      <c r="E428" s="289"/>
      <c r="F428" s="288"/>
      <c r="G428" s="152"/>
      <c r="H428" s="289"/>
      <c r="I428" s="289"/>
      <c r="J428" s="152"/>
      <c r="K428" s="152"/>
      <c r="L428" s="156"/>
      <c r="M428" s="152"/>
      <c r="N428" s="152"/>
      <c r="O428" s="152"/>
      <c r="P428" s="152"/>
      <c r="Q428" s="152"/>
      <c r="R428" s="152"/>
      <c r="S428" s="152"/>
      <c r="T428" s="152"/>
      <c r="U428" s="152"/>
      <c r="V428" s="152"/>
      <c r="W428" s="281"/>
      <c r="X428" s="281"/>
      <c r="Y428" s="281"/>
      <c r="Z428" s="281"/>
      <c r="AA428" s="281"/>
      <c r="AB428" s="281"/>
      <c r="AC428" s="281"/>
      <c r="AD428" s="170"/>
      <c r="AE428" s="152"/>
      <c r="AF428" s="152"/>
      <c r="AG428" s="152"/>
      <c r="AH428" s="152"/>
      <c r="AI428" s="152"/>
      <c r="AJ428" s="152"/>
      <c r="AK428" s="152"/>
      <c r="AL428" s="152"/>
      <c r="AM428" s="152"/>
      <c r="AN428" s="152"/>
      <c r="AO428" s="152"/>
    </row>
    <row r="429" ht="12.75" customHeight="1">
      <c r="A429" s="288"/>
      <c r="B429" s="288"/>
      <c r="C429" s="288"/>
      <c r="D429" s="152"/>
      <c r="E429" s="289"/>
      <c r="F429" s="288"/>
      <c r="G429" s="152"/>
      <c r="H429" s="289"/>
      <c r="I429" s="289"/>
      <c r="J429" s="152"/>
      <c r="K429" s="152"/>
      <c r="L429" s="156"/>
      <c r="M429" s="152"/>
      <c r="N429" s="152"/>
      <c r="O429" s="152"/>
      <c r="P429" s="152"/>
      <c r="Q429" s="152"/>
      <c r="R429" s="152"/>
      <c r="S429" s="152"/>
      <c r="T429" s="152"/>
      <c r="U429" s="152"/>
      <c r="V429" s="152"/>
      <c r="W429" s="281"/>
      <c r="X429" s="281"/>
      <c r="Y429" s="281"/>
      <c r="Z429" s="281"/>
      <c r="AA429" s="281"/>
      <c r="AB429" s="281"/>
      <c r="AC429" s="281"/>
      <c r="AD429" s="170"/>
      <c r="AE429" s="152"/>
      <c r="AF429" s="152"/>
      <c r="AG429" s="152"/>
      <c r="AH429" s="152"/>
      <c r="AI429" s="152"/>
      <c r="AJ429" s="152"/>
      <c r="AK429" s="152"/>
      <c r="AL429" s="152"/>
      <c r="AM429" s="152"/>
      <c r="AN429" s="152"/>
      <c r="AO429" s="152"/>
    </row>
    <row r="430" ht="12.75" customHeight="1">
      <c r="A430" s="288"/>
      <c r="B430" s="288"/>
      <c r="C430" s="288"/>
      <c r="D430" s="152"/>
      <c r="E430" s="289"/>
      <c r="F430" s="288"/>
      <c r="G430" s="152"/>
      <c r="H430" s="289"/>
      <c r="I430" s="289"/>
      <c r="J430" s="152"/>
      <c r="K430" s="152"/>
      <c r="L430" s="156"/>
      <c r="M430" s="152"/>
      <c r="N430" s="152"/>
      <c r="O430" s="152"/>
      <c r="P430" s="152"/>
      <c r="Q430" s="152"/>
      <c r="R430" s="152"/>
      <c r="S430" s="152"/>
      <c r="T430" s="152"/>
      <c r="U430" s="152"/>
      <c r="V430" s="152"/>
      <c r="W430" s="281"/>
      <c r="X430" s="281"/>
      <c r="Y430" s="281"/>
      <c r="Z430" s="281"/>
      <c r="AA430" s="281"/>
      <c r="AB430" s="281"/>
      <c r="AC430" s="281"/>
      <c r="AD430" s="170"/>
      <c r="AE430" s="152"/>
      <c r="AF430" s="152"/>
      <c r="AG430" s="152"/>
      <c r="AH430" s="152"/>
      <c r="AI430" s="152"/>
      <c r="AJ430" s="152"/>
      <c r="AK430" s="152"/>
      <c r="AL430" s="152"/>
      <c r="AM430" s="152"/>
      <c r="AN430" s="152"/>
      <c r="AO430" s="152"/>
    </row>
    <row r="431" ht="12.75" customHeight="1">
      <c r="A431" s="288"/>
      <c r="B431" s="288"/>
      <c r="C431" s="288"/>
      <c r="D431" s="152"/>
      <c r="E431" s="289"/>
      <c r="F431" s="288"/>
      <c r="G431" s="152"/>
      <c r="H431" s="289"/>
      <c r="I431" s="289"/>
      <c r="J431" s="152"/>
      <c r="K431" s="152"/>
      <c r="L431" s="156"/>
      <c r="M431" s="152"/>
      <c r="N431" s="152"/>
      <c r="O431" s="152"/>
      <c r="P431" s="152"/>
      <c r="Q431" s="152"/>
      <c r="R431" s="152"/>
      <c r="S431" s="152"/>
      <c r="T431" s="152"/>
      <c r="U431" s="152"/>
      <c r="V431" s="152"/>
      <c r="W431" s="281"/>
      <c r="X431" s="281"/>
      <c r="Y431" s="281"/>
      <c r="Z431" s="281"/>
      <c r="AA431" s="281"/>
      <c r="AB431" s="281"/>
      <c r="AC431" s="281"/>
      <c r="AD431" s="170"/>
      <c r="AE431" s="152"/>
      <c r="AF431" s="152"/>
      <c r="AG431" s="152"/>
      <c r="AH431" s="152"/>
      <c r="AI431" s="152"/>
      <c r="AJ431" s="152"/>
      <c r="AK431" s="152"/>
      <c r="AL431" s="152"/>
      <c r="AM431" s="152"/>
      <c r="AN431" s="152"/>
      <c r="AO431" s="152"/>
    </row>
    <row r="432" ht="12.75" customHeight="1">
      <c r="A432" s="288"/>
      <c r="B432" s="288"/>
      <c r="C432" s="288"/>
      <c r="D432" s="152"/>
      <c r="E432" s="289"/>
      <c r="F432" s="288"/>
      <c r="G432" s="152"/>
      <c r="H432" s="289"/>
      <c r="I432" s="289"/>
      <c r="J432" s="152"/>
      <c r="K432" s="152"/>
      <c r="L432" s="156"/>
      <c r="M432" s="152"/>
      <c r="N432" s="152"/>
      <c r="O432" s="152"/>
      <c r="P432" s="152"/>
      <c r="Q432" s="152"/>
      <c r="R432" s="152"/>
      <c r="S432" s="152"/>
      <c r="T432" s="152"/>
      <c r="U432" s="152"/>
      <c r="V432" s="152"/>
      <c r="W432" s="281"/>
      <c r="X432" s="281"/>
      <c r="Y432" s="281"/>
      <c r="Z432" s="281"/>
      <c r="AA432" s="281"/>
      <c r="AB432" s="281"/>
      <c r="AC432" s="281"/>
      <c r="AD432" s="170"/>
      <c r="AE432" s="152"/>
      <c r="AF432" s="152"/>
      <c r="AG432" s="152"/>
      <c r="AH432" s="152"/>
      <c r="AI432" s="152"/>
      <c r="AJ432" s="152"/>
      <c r="AK432" s="152"/>
      <c r="AL432" s="152"/>
      <c r="AM432" s="152"/>
      <c r="AN432" s="152"/>
      <c r="AO432" s="152"/>
    </row>
    <row r="433" ht="12.75" customHeight="1">
      <c r="A433" s="288"/>
      <c r="B433" s="288"/>
      <c r="C433" s="288"/>
      <c r="D433" s="152"/>
      <c r="E433" s="289"/>
      <c r="F433" s="288"/>
      <c r="G433" s="152"/>
      <c r="H433" s="289"/>
      <c r="I433" s="289"/>
      <c r="J433" s="152"/>
      <c r="K433" s="152"/>
      <c r="L433" s="156"/>
      <c r="M433" s="152"/>
      <c r="N433" s="152"/>
      <c r="O433" s="152"/>
      <c r="P433" s="152"/>
      <c r="Q433" s="152"/>
      <c r="R433" s="152"/>
      <c r="S433" s="152"/>
      <c r="T433" s="152"/>
      <c r="U433" s="152"/>
      <c r="V433" s="152"/>
      <c r="W433" s="281"/>
      <c r="X433" s="281"/>
      <c r="Y433" s="281"/>
      <c r="Z433" s="281"/>
      <c r="AA433" s="281"/>
      <c r="AB433" s="281"/>
      <c r="AC433" s="281"/>
      <c r="AD433" s="170"/>
      <c r="AE433" s="152"/>
      <c r="AF433" s="152"/>
      <c r="AG433" s="152"/>
      <c r="AH433" s="152"/>
      <c r="AI433" s="152"/>
      <c r="AJ433" s="152"/>
      <c r="AK433" s="152"/>
      <c r="AL433" s="152"/>
      <c r="AM433" s="152"/>
      <c r="AN433" s="152"/>
      <c r="AO433" s="152"/>
    </row>
    <row r="434" ht="12.75" customHeight="1">
      <c r="A434" s="288"/>
      <c r="B434" s="288"/>
      <c r="C434" s="288"/>
      <c r="D434" s="152"/>
      <c r="E434" s="289"/>
      <c r="F434" s="288"/>
      <c r="G434" s="152"/>
      <c r="H434" s="289"/>
      <c r="I434" s="289"/>
      <c r="J434" s="152"/>
      <c r="K434" s="152"/>
      <c r="L434" s="156"/>
      <c r="M434" s="152"/>
      <c r="N434" s="152"/>
      <c r="O434" s="152"/>
      <c r="P434" s="152"/>
      <c r="Q434" s="152"/>
      <c r="R434" s="152"/>
      <c r="S434" s="152"/>
      <c r="T434" s="152"/>
      <c r="U434" s="152"/>
      <c r="V434" s="152"/>
      <c r="W434" s="281"/>
      <c r="X434" s="281"/>
      <c r="Y434" s="281"/>
      <c r="Z434" s="281"/>
      <c r="AA434" s="281"/>
      <c r="AB434" s="281"/>
      <c r="AC434" s="281"/>
      <c r="AD434" s="170"/>
      <c r="AE434" s="152"/>
      <c r="AF434" s="152"/>
      <c r="AG434" s="152"/>
      <c r="AH434" s="152"/>
      <c r="AI434" s="152"/>
      <c r="AJ434" s="152"/>
      <c r="AK434" s="152"/>
      <c r="AL434" s="152"/>
      <c r="AM434" s="152"/>
      <c r="AN434" s="152"/>
      <c r="AO434" s="152"/>
    </row>
    <row r="435" ht="12.75" customHeight="1">
      <c r="A435" s="288"/>
      <c r="B435" s="288"/>
      <c r="C435" s="288"/>
      <c r="D435" s="152"/>
      <c r="E435" s="289"/>
      <c r="F435" s="288"/>
      <c r="G435" s="152"/>
      <c r="H435" s="289"/>
      <c r="I435" s="289"/>
      <c r="J435" s="152"/>
      <c r="K435" s="152"/>
      <c r="L435" s="156"/>
      <c r="M435" s="152"/>
      <c r="N435" s="152"/>
      <c r="O435" s="152"/>
      <c r="P435" s="152"/>
      <c r="Q435" s="152"/>
      <c r="R435" s="152"/>
      <c r="S435" s="152"/>
      <c r="T435" s="152"/>
      <c r="U435" s="152"/>
      <c r="V435" s="152"/>
      <c r="W435" s="281"/>
      <c r="X435" s="281"/>
      <c r="Y435" s="281"/>
      <c r="Z435" s="281"/>
      <c r="AA435" s="281"/>
      <c r="AB435" s="281"/>
      <c r="AC435" s="281"/>
      <c r="AD435" s="170"/>
      <c r="AE435" s="152"/>
      <c r="AF435" s="152"/>
      <c r="AG435" s="152"/>
      <c r="AH435" s="152"/>
      <c r="AI435" s="152"/>
      <c r="AJ435" s="152"/>
      <c r="AK435" s="152"/>
      <c r="AL435" s="152"/>
      <c r="AM435" s="152"/>
      <c r="AN435" s="152"/>
      <c r="AO435" s="152"/>
    </row>
    <row r="436" ht="12.75" customHeight="1">
      <c r="A436" s="288"/>
      <c r="B436" s="288"/>
      <c r="C436" s="288"/>
      <c r="D436" s="152"/>
      <c r="E436" s="289"/>
      <c r="F436" s="288"/>
      <c r="G436" s="152"/>
      <c r="H436" s="289"/>
      <c r="I436" s="289"/>
      <c r="J436" s="152"/>
      <c r="K436" s="152"/>
      <c r="L436" s="156"/>
      <c r="M436" s="152"/>
      <c r="N436" s="152"/>
      <c r="O436" s="152"/>
      <c r="P436" s="152"/>
      <c r="Q436" s="152"/>
      <c r="R436" s="152"/>
      <c r="S436" s="152"/>
      <c r="T436" s="152"/>
      <c r="U436" s="152"/>
      <c r="V436" s="152"/>
      <c r="W436" s="281"/>
      <c r="X436" s="281"/>
      <c r="Y436" s="281"/>
      <c r="Z436" s="281"/>
      <c r="AA436" s="281"/>
      <c r="AB436" s="281"/>
      <c r="AC436" s="281"/>
      <c r="AD436" s="170"/>
      <c r="AE436" s="152"/>
      <c r="AF436" s="152"/>
      <c r="AG436" s="152"/>
      <c r="AH436" s="152"/>
      <c r="AI436" s="152"/>
      <c r="AJ436" s="152"/>
      <c r="AK436" s="152"/>
      <c r="AL436" s="152"/>
      <c r="AM436" s="152"/>
      <c r="AN436" s="152"/>
      <c r="AO436" s="152"/>
    </row>
    <row r="437" ht="12.75" customHeight="1">
      <c r="A437" s="288"/>
      <c r="B437" s="288"/>
      <c r="C437" s="288"/>
      <c r="D437" s="152"/>
      <c r="E437" s="289"/>
      <c r="F437" s="288"/>
      <c r="G437" s="152"/>
      <c r="H437" s="289"/>
      <c r="I437" s="289"/>
      <c r="J437" s="152"/>
      <c r="K437" s="152"/>
      <c r="L437" s="156"/>
      <c r="M437" s="152"/>
      <c r="N437" s="152"/>
      <c r="O437" s="152"/>
      <c r="P437" s="152"/>
      <c r="Q437" s="152"/>
      <c r="R437" s="152"/>
      <c r="S437" s="152"/>
      <c r="T437" s="152"/>
      <c r="U437" s="152"/>
      <c r="V437" s="152"/>
      <c r="W437" s="281"/>
      <c r="X437" s="281"/>
      <c r="Y437" s="281"/>
      <c r="Z437" s="281"/>
      <c r="AA437" s="281"/>
      <c r="AB437" s="281"/>
      <c r="AC437" s="281"/>
      <c r="AD437" s="170"/>
      <c r="AE437" s="152"/>
      <c r="AF437" s="152"/>
      <c r="AG437" s="152"/>
      <c r="AH437" s="152"/>
      <c r="AI437" s="152"/>
      <c r="AJ437" s="152"/>
      <c r="AK437" s="152"/>
      <c r="AL437" s="152"/>
      <c r="AM437" s="152"/>
      <c r="AN437" s="152"/>
      <c r="AO437" s="152"/>
    </row>
    <row r="438" ht="12.75" customHeight="1">
      <c r="A438" s="288"/>
      <c r="B438" s="288"/>
      <c r="C438" s="288"/>
      <c r="D438" s="152"/>
      <c r="E438" s="289"/>
      <c r="F438" s="288"/>
      <c r="G438" s="152"/>
      <c r="H438" s="289"/>
      <c r="I438" s="289"/>
      <c r="J438" s="152"/>
      <c r="K438" s="152"/>
      <c r="L438" s="156"/>
      <c r="M438" s="152"/>
      <c r="N438" s="152"/>
      <c r="O438" s="152"/>
      <c r="P438" s="152"/>
      <c r="Q438" s="152"/>
      <c r="R438" s="152"/>
      <c r="S438" s="152"/>
      <c r="T438" s="152"/>
      <c r="U438" s="152"/>
      <c r="V438" s="152"/>
      <c r="W438" s="281"/>
      <c r="X438" s="281"/>
      <c r="Y438" s="281"/>
      <c r="Z438" s="281"/>
      <c r="AA438" s="281"/>
      <c r="AB438" s="281"/>
      <c r="AC438" s="281"/>
      <c r="AD438" s="170"/>
      <c r="AE438" s="152"/>
      <c r="AF438" s="152"/>
      <c r="AG438" s="152"/>
      <c r="AH438" s="152"/>
      <c r="AI438" s="152"/>
      <c r="AJ438" s="152"/>
      <c r="AK438" s="152"/>
      <c r="AL438" s="152"/>
      <c r="AM438" s="152"/>
      <c r="AN438" s="152"/>
      <c r="AO438" s="152"/>
    </row>
    <row r="439" ht="12.75" customHeight="1">
      <c r="A439" s="288"/>
      <c r="B439" s="288"/>
      <c r="C439" s="288"/>
      <c r="D439" s="152"/>
      <c r="E439" s="289"/>
      <c r="F439" s="288"/>
      <c r="G439" s="152"/>
      <c r="H439" s="289"/>
      <c r="I439" s="289"/>
      <c r="J439" s="152"/>
      <c r="K439" s="152"/>
      <c r="L439" s="156"/>
      <c r="M439" s="152"/>
      <c r="N439" s="152"/>
      <c r="O439" s="152"/>
      <c r="P439" s="152"/>
      <c r="Q439" s="152"/>
      <c r="R439" s="152"/>
      <c r="S439" s="152"/>
      <c r="T439" s="152"/>
      <c r="U439" s="152"/>
      <c r="V439" s="152"/>
      <c r="W439" s="281"/>
      <c r="X439" s="281"/>
      <c r="Y439" s="281"/>
      <c r="Z439" s="281"/>
      <c r="AA439" s="281"/>
      <c r="AB439" s="281"/>
      <c r="AC439" s="281"/>
      <c r="AD439" s="170"/>
      <c r="AE439" s="152"/>
      <c r="AF439" s="152"/>
      <c r="AG439" s="152"/>
      <c r="AH439" s="152"/>
      <c r="AI439" s="152"/>
      <c r="AJ439" s="152"/>
      <c r="AK439" s="152"/>
      <c r="AL439" s="152"/>
      <c r="AM439" s="152"/>
      <c r="AN439" s="152"/>
      <c r="AO439" s="152"/>
    </row>
    <row r="440" ht="12.75" customHeight="1">
      <c r="A440" s="288"/>
      <c r="B440" s="288"/>
      <c r="C440" s="288"/>
      <c r="D440" s="152"/>
      <c r="E440" s="289"/>
      <c r="F440" s="288"/>
      <c r="G440" s="152"/>
      <c r="H440" s="289"/>
      <c r="I440" s="289"/>
      <c r="J440" s="152"/>
      <c r="K440" s="152"/>
      <c r="L440" s="156"/>
      <c r="M440" s="152"/>
      <c r="N440" s="152"/>
      <c r="O440" s="152"/>
      <c r="P440" s="152"/>
      <c r="Q440" s="152"/>
      <c r="R440" s="152"/>
      <c r="S440" s="152"/>
      <c r="T440" s="152"/>
      <c r="U440" s="152"/>
      <c r="V440" s="152"/>
      <c r="W440" s="281"/>
      <c r="X440" s="281"/>
      <c r="Y440" s="281"/>
      <c r="Z440" s="281"/>
      <c r="AA440" s="281"/>
      <c r="AB440" s="281"/>
      <c r="AC440" s="281"/>
      <c r="AD440" s="170"/>
      <c r="AE440" s="152"/>
      <c r="AF440" s="152"/>
      <c r="AG440" s="152"/>
      <c r="AH440" s="152"/>
      <c r="AI440" s="152"/>
      <c r="AJ440" s="152"/>
      <c r="AK440" s="152"/>
      <c r="AL440" s="152"/>
      <c r="AM440" s="152"/>
      <c r="AN440" s="152"/>
      <c r="AO440" s="152"/>
    </row>
    <row r="441" ht="12.75" customHeight="1">
      <c r="A441" s="288"/>
      <c r="B441" s="288"/>
      <c r="C441" s="288"/>
      <c r="D441" s="152"/>
      <c r="E441" s="289"/>
      <c r="F441" s="288"/>
      <c r="G441" s="152"/>
      <c r="H441" s="289"/>
      <c r="I441" s="289"/>
      <c r="J441" s="152"/>
      <c r="K441" s="152"/>
      <c r="L441" s="156"/>
      <c r="M441" s="152"/>
      <c r="N441" s="152"/>
      <c r="O441" s="152"/>
      <c r="P441" s="152"/>
      <c r="Q441" s="152"/>
      <c r="R441" s="152"/>
      <c r="S441" s="152"/>
      <c r="T441" s="152"/>
      <c r="U441" s="152"/>
      <c r="V441" s="152"/>
      <c r="W441" s="281"/>
      <c r="X441" s="281"/>
      <c r="Y441" s="281"/>
      <c r="Z441" s="281"/>
      <c r="AA441" s="281"/>
      <c r="AB441" s="281"/>
      <c r="AC441" s="281"/>
      <c r="AD441" s="170"/>
      <c r="AE441" s="152"/>
      <c r="AF441" s="152"/>
      <c r="AG441" s="152"/>
      <c r="AH441" s="152"/>
      <c r="AI441" s="152"/>
      <c r="AJ441" s="152"/>
      <c r="AK441" s="152"/>
      <c r="AL441" s="152"/>
      <c r="AM441" s="152"/>
      <c r="AN441" s="152"/>
      <c r="AO441" s="152"/>
    </row>
    <row r="442" ht="12.75" customHeight="1">
      <c r="A442" s="288"/>
      <c r="B442" s="288"/>
      <c r="C442" s="288"/>
      <c r="D442" s="152"/>
      <c r="E442" s="289"/>
      <c r="F442" s="288"/>
      <c r="G442" s="152"/>
      <c r="H442" s="289"/>
      <c r="I442" s="289"/>
      <c r="J442" s="152"/>
      <c r="K442" s="152"/>
      <c r="L442" s="156"/>
      <c r="M442" s="152"/>
      <c r="N442" s="152"/>
      <c r="O442" s="152"/>
      <c r="P442" s="152"/>
      <c r="Q442" s="152"/>
      <c r="R442" s="152"/>
      <c r="S442" s="152"/>
      <c r="T442" s="152"/>
      <c r="U442" s="152"/>
      <c r="V442" s="152"/>
      <c r="W442" s="281"/>
      <c r="X442" s="281"/>
      <c r="Y442" s="281"/>
      <c r="Z442" s="281"/>
      <c r="AA442" s="281"/>
      <c r="AB442" s="281"/>
      <c r="AC442" s="281"/>
      <c r="AD442" s="170"/>
      <c r="AE442" s="152"/>
      <c r="AF442" s="152"/>
      <c r="AG442" s="152"/>
      <c r="AH442" s="152"/>
      <c r="AI442" s="152"/>
      <c r="AJ442" s="152"/>
      <c r="AK442" s="152"/>
      <c r="AL442" s="152"/>
      <c r="AM442" s="152"/>
      <c r="AN442" s="152"/>
      <c r="AO442" s="152"/>
    </row>
    <row r="443" ht="12.75" customHeight="1">
      <c r="A443" s="288"/>
      <c r="B443" s="288"/>
      <c r="C443" s="288"/>
      <c r="D443" s="152"/>
      <c r="E443" s="289"/>
      <c r="F443" s="288"/>
      <c r="G443" s="152"/>
      <c r="H443" s="289"/>
      <c r="I443" s="289"/>
      <c r="J443" s="152"/>
      <c r="K443" s="152"/>
      <c r="L443" s="156"/>
      <c r="M443" s="152"/>
      <c r="N443" s="152"/>
      <c r="O443" s="152"/>
      <c r="P443" s="152"/>
      <c r="Q443" s="152"/>
      <c r="R443" s="152"/>
      <c r="S443" s="152"/>
      <c r="T443" s="152"/>
      <c r="U443" s="152"/>
      <c r="V443" s="152"/>
      <c r="W443" s="281"/>
      <c r="X443" s="281"/>
      <c r="Y443" s="281"/>
      <c r="Z443" s="281"/>
      <c r="AA443" s="281"/>
      <c r="AB443" s="281"/>
      <c r="AC443" s="281"/>
      <c r="AD443" s="170"/>
      <c r="AE443" s="152"/>
      <c r="AF443" s="152"/>
      <c r="AG443" s="152"/>
      <c r="AH443" s="152"/>
      <c r="AI443" s="152"/>
      <c r="AJ443" s="152"/>
      <c r="AK443" s="152"/>
      <c r="AL443" s="152"/>
      <c r="AM443" s="152"/>
      <c r="AN443" s="152"/>
      <c r="AO443" s="152"/>
    </row>
    <row r="444" ht="12.75" customHeight="1">
      <c r="A444" s="288"/>
      <c r="B444" s="288"/>
      <c r="C444" s="288"/>
      <c r="D444" s="152"/>
      <c r="E444" s="289"/>
      <c r="F444" s="288"/>
      <c r="G444" s="152"/>
      <c r="H444" s="289"/>
      <c r="I444" s="289"/>
      <c r="J444" s="152"/>
      <c r="K444" s="152"/>
      <c r="L444" s="156"/>
      <c r="M444" s="152"/>
      <c r="N444" s="152"/>
      <c r="O444" s="152"/>
      <c r="P444" s="152"/>
      <c r="Q444" s="152"/>
      <c r="R444" s="152"/>
      <c r="S444" s="152"/>
      <c r="T444" s="152"/>
      <c r="U444" s="152"/>
      <c r="V444" s="152"/>
      <c r="W444" s="281"/>
      <c r="X444" s="281"/>
      <c r="Y444" s="281"/>
      <c r="Z444" s="281"/>
      <c r="AA444" s="281"/>
      <c r="AB444" s="281"/>
      <c r="AC444" s="281"/>
      <c r="AD444" s="170"/>
      <c r="AE444" s="152"/>
      <c r="AF444" s="152"/>
      <c r="AG444" s="152"/>
      <c r="AH444" s="152"/>
      <c r="AI444" s="152"/>
      <c r="AJ444" s="152"/>
      <c r="AK444" s="152"/>
      <c r="AL444" s="152"/>
      <c r="AM444" s="152"/>
      <c r="AN444" s="152"/>
      <c r="AO444" s="152"/>
    </row>
    <row r="445" ht="12.75" customHeight="1">
      <c r="A445" s="288"/>
      <c r="B445" s="288"/>
      <c r="C445" s="288"/>
      <c r="D445" s="152"/>
      <c r="E445" s="289"/>
      <c r="F445" s="288"/>
      <c r="G445" s="152"/>
      <c r="H445" s="289"/>
      <c r="I445" s="289"/>
      <c r="J445" s="152"/>
      <c r="K445" s="152"/>
      <c r="L445" s="156"/>
      <c r="M445" s="152"/>
      <c r="N445" s="152"/>
      <c r="O445" s="152"/>
      <c r="P445" s="152"/>
      <c r="Q445" s="152"/>
      <c r="R445" s="152"/>
      <c r="S445" s="152"/>
      <c r="T445" s="152"/>
      <c r="U445" s="152"/>
      <c r="V445" s="152"/>
      <c r="W445" s="281"/>
      <c r="X445" s="281"/>
      <c r="Y445" s="281"/>
      <c r="Z445" s="281"/>
      <c r="AA445" s="281"/>
      <c r="AB445" s="281"/>
      <c r="AC445" s="281"/>
      <c r="AD445" s="170"/>
      <c r="AE445" s="152"/>
      <c r="AF445" s="152"/>
      <c r="AG445" s="152"/>
      <c r="AH445" s="152"/>
      <c r="AI445" s="152"/>
      <c r="AJ445" s="152"/>
      <c r="AK445" s="152"/>
      <c r="AL445" s="152"/>
      <c r="AM445" s="152"/>
      <c r="AN445" s="152"/>
      <c r="AO445" s="152"/>
    </row>
    <row r="446" ht="12.75" customHeight="1">
      <c r="A446" s="288"/>
      <c r="B446" s="288"/>
      <c r="C446" s="288"/>
      <c r="D446" s="152"/>
      <c r="E446" s="289"/>
      <c r="F446" s="288"/>
      <c r="G446" s="152"/>
      <c r="H446" s="289"/>
      <c r="I446" s="289"/>
      <c r="J446" s="152"/>
      <c r="K446" s="152"/>
      <c r="L446" s="156"/>
      <c r="M446" s="152"/>
      <c r="N446" s="152"/>
      <c r="O446" s="152"/>
      <c r="P446" s="152"/>
      <c r="Q446" s="152"/>
      <c r="R446" s="152"/>
      <c r="S446" s="152"/>
      <c r="T446" s="152"/>
      <c r="U446" s="152"/>
      <c r="V446" s="152"/>
      <c r="W446" s="281"/>
      <c r="X446" s="281"/>
      <c r="Y446" s="281"/>
      <c r="Z446" s="281"/>
      <c r="AA446" s="281"/>
      <c r="AB446" s="281"/>
      <c r="AC446" s="281"/>
      <c r="AD446" s="170"/>
      <c r="AE446" s="152"/>
      <c r="AF446" s="152"/>
      <c r="AG446" s="152"/>
      <c r="AH446" s="152"/>
      <c r="AI446" s="152"/>
      <c r="AJ446" s="152"/>
      <c r="AK446" s="152"/>
      <c r="AL446" s="152"/>
      <c r="AM446" s="152"/>
      <c r="AN446" s="152"/>
      <c r="AO446" s="152"/>
    </row>
    <row r="447" ht="12.75" customHeight="1">
      <c r="A447" s="288"/>
      <c r="B447" s="288"/>
      <c r="C447" s="288"/>
      <c r="D447" s="152"/>
      <c r="E447" s="289"/>
      <c r="F447" s="288"/>
      <c r="G447" s="152"/>
      <c r="H447" s="289"/>
      <c r="I447" s="289"/>
      <c r="J447" s="152"/>
      <c r="K447" s="152"/>
      <c r="L447" s="156"/>
      <c r="M447" s="152"/>
      <c r="N447" s="152"/>
      <c r="O447" s="152"/>
      <c r="P447" s="152"/>
      <c r="Q447" s="152"/>
      <c r="R447" s="152"/>
      <c r="S447" s="152"/>
      <c r="T447" s="152"/>
      <c r="U447" s="152"/>
      <c r="V447" s="152"/>
      <c r="W447" s="281"/>
      <c r="X447" s="281"/>
      <c r="Y447" s="281"/>
      <c r="Z447" s="281"/>
      <c r="AA447" s="281"/>
      <c r="AB447" s="281"/>
      <c r="AC447" s="281"/>
      <c r="AD447" s="170"/>
      <c r="AE447" s="152"/>
      <c r="AF447" s="152"/>
      <c r="AG447" s="152"/>
      <c r="AH447" s="152"/>
      <c r="AI447" s="152"/>
      <c r="AJ447" s="152"/>
      <c r="AK447" s="152"/>
      <c r="AL447" s="152"/>
      <c r="AM447" s="152"/>
      <c r="AN447" s="152"/>
      <c r="AO447" s="152"/>
    </row>
    <row r="448" ht="12.75" customHeight="1">
      <c r="A448" s="288"/>
      <c r="B448" s="288"/>
      <c r="C448" s="288"/>
      <c r="D448" s="152"/>
      <c r="E448" s="289"/>
      <c r="F448" s="288"/>
      <c r="G448" s="152"/>
      <c r="H448" s="289"/>
      <c r="I448" s="289"/>
      <c r="J448" s="152"/>
      <c r="K448" s="152"/>
      <c r="L448" s="156"/>
      <c r="M448" s="152"/>
      <c r="N448" s="152"/>
      <c r="O448" s="152"/>
      <c r="P448" s="152"/>
      <c r="Q448" s="152"/>
      <c r="R448" s="152"/>
      <c r="S448" s="152"/>
      <c r="T448" s="152"/>
      <c r="U448" s="152"/>
      <c r="V448" s="152"/>
      <c r="W448" s="281"/>
      <c r="X448" s="281"/>
      <c r="Y448" s="281"/>
      <c r="Z448" s="281"/>
      <c r="AA448" s="281"/>
      <c r="AB448" s="281"/>
      <c r="AC448" s="281"/>
      <c r="AD448" s="170"/>
      <c r="AE448" s="152"/>
      <c r="AF448" s="152"/>
      <c r="AG448" s="152"/>
      <c r="AH448" s="152"/>
      <c r="AI448" s="152"/>
      <c r="AJ448" s="152"/>
      <c r="AK448" s="152"/>
      <c r="AL448" s="152"/>
      <c r="AM448" s="152"/>
      <c r="AN448" s="152"/>
      <c r="AO448" s="152"/>
    </row>
    <row r="449" ht="12.75" customHeight="1">
      <c r="A449" s="288"/>
      <c r="B449" s="288"/>
      <c r="C449" s="288"/>
      <c r="D449" s="152"/>
      <c r="E449" s="289"/>
      <c r="F449" s="288"/>
      <c r="G449" s="152"/>
      <c r="H449" s="289"/>
      <c r="I449" s="289"/>
      <c r="J449" s="152"/>
      <c r="K449" s="152"/>
      <c r="L449" s="156"/>
      <c r="M449" s="152"/>
      <c r="N449" s="152"/>
      <c r="O449" s="152"/>
      <c r="P449" s="152"/>
      <c r="Q449" s="152"/>
      <c r="R449" s="152"/>
      <c r="S449" s="152"/>
      <c r="T449" s="152"/>
      <c r="U449" s="152"/>
      <c r="V449" s="152"/>
      <c r="W449" s="281"/>
      <c r="X449" s="281"/>
      <c r="Y449" s="281"/>
      <c r="Z449" s="281"/>
      <c r="AA449" s="281"/>
      <c r="AB449" s="281"/>
      <c r="AC449" s="281"/>
      <c r="AD449" s="170"/>
      <c r="AE449" s="152"/>
      <c r="AF449" s="152"/>
      <c r="AG449" s="152"/>
      <c r="AH449" s="152"/>
      <c r="AI449" s="152"/>
      <c r="AJ449" s="152"/>
      <c r="AK449" s="152"/>
      <c r="AL449" s="152"/>
      <c r="AM449" s="152"/>
      <c r="AN449" s="152"/>
      <c r="AO449" s="152"/>
    </row>
    <row r="450" ht="12.75" customHeight="1">
      <c r="A450" s="288"/>
      <c r="B450" s="288"/>
      <c r="C450" s="288"/>
      <c r="D450" s="152"/>
      <c r="E450" s="289"/>
      <c r="F450" s="288"/>
      <c r="G450" s="152"/>
      <c r="H450" s="289"/>
      <c r="I450" s="289"/>
      <c r="J450" s="152"/>
      <c r="K450" s="152"/>
      <c r="L450" s="156"/>
      <c r="M450" s="152"/>
      <c r="N450" s="152"/>
      <c r="O450" s="152"/>
      <c r="P450" s="152"/>
      <c r="Q450" s="152"/>
      <c r="R450" s="152"/>
      <c r="S450" s="152"/>
      <c r="T450" s="152"/>
      <c r="U450" s="152"/>
      <c r="V450" s="152"/>
      <c r="W450" s="281"/>
      <c r="X450" s="281"/>
      <c r="Y450" s="281"/>
      <c r="Z450" s="281"/>
      <c r="AA450" s="281"/>
      <c r="AB450" s="281"/>
      <c r="AC450" s="281"/>
      <c r="AD450" s="170"/>
      <c r="AE450" s="152"/>
      <c r="AF450" s="152"/>
      <c r="AG450" s="152"/>
      <c r="AH450" s="152"/>
      <c r="AI450" s="152"/>
      <c r="AJ450" s="152"/>
      <c r="AK450" s="152"/>
      <c r="AL450" s="152"/>
      <c r="AM450" s="152"/>
      <c r="AN450" s="152"/>
      <c r="AO450" s="152"/>
    </row>
    <row r="451" ht="12.75" customHeight="1">
      <c r="A451" s="288"/>
      <c r="B451" s="288"/>
      <c r="C451" s="288"/>
      <c r="D451" s="152"/>
      <c r="E451" s="289"/>
      <c r="F451" s="288"/>
      <c r="G451" s="152"/>
      <c r="H451" s="289"/>
      <c r="I451" s="289"/>
      <c r="J451" s="152"/>
      <c r="K451" s="152"/>
      <c r="L451" s="156"/>
      <c r="M451" s="152"/>
      <c r="N451" s="152"/>
      <c r="O451" s="152"/>
      <c r="P451" s="152"/>
      <c r="Q451" s="152"/>
      <c r="R451" s="152"/>
      <c r="S451" s="152"/>
      <c r="T451" s="152"/>
      <c r="U451" s="152"/>
      <c r="V451" s="152"/>
      <c r="W451" s="281"/>
      <c r="X451" s="281"/>
      <c r="Y451" s="281"/>
      <c r="Z451" s="281"/>
      <c r="AA451" s="281"/>
      <c r="AB451" s="281"/>
      <c r="AC451" s="281"/>
      <c r="AD451" s="170"/>
      <c r="AE451" s="152"/>
      <c r="AF451" s="152"/>
      <c r="AG451" s="152"/>
      <c r="AH451" s="152"/>
      <c r="AI451" s="152"/>
      <c r="AJ451" s="152"/>
      <c r="AK451" s="152"/>
      <c r="AL451" s="152"/>
      <c r="AM451" s="152"/>
      <c r="AN451" s="152"/>
      <c r="AO451" s="152"/>
    </row>
    <row r="452" ht="12.75" customHeight="1">
      <c r="A452" s="288"/>
      <c r="B452" s="288"/>
      <c r="C452" s="288"/>
      <c r="D452" s="152"/>
      <c r="E452" s="289"/>
      <c r="F452" s="288"/>
      <c r="G452" s="152"/>
      <c r="H452" s="289"/>
      <c r="I452" s="289"/>
      <c r="J452" s="152"/>
      <c r="K452" s="152"/>
      <c r="L452" s="156"/>
      <c r="M452" s="152"/>
      <c r="N452" s="152"/>
      <c r="O452" s="152"/>
      <c r="P452" s="152"/>
      <c r="Q452" s="152"/>
      <c r="R452" s="152"/>
      <c r="S452" s="152"/>
      <c r="T452" s="152"/>
      <c r="U452" s="152"/>
      <c r="V452" s="152"/>
      <c r="W452" s="281"/>
      <c r="X452" s="281"/>
      <c r="Y452" s="281"/>
      <c r="Z452" s="281"/>
      <c r="AA452" s="281"/>
      <c r="AB452" s="281"/>
      <c r="AC452" s="281"/>
      <c r="AD452" s="170"/>
      <c r="AE452" s="152"/>
      <c r="AF452" s="152"/>
      <c r="AG452" s="152"/>
      <c r="AH452" s="152"/>
      <c r="AI452" s="152"/>
      <c r="AJ452" s="152"/>
      <c r="AK452" s="152"/>
      <c r="AL452" s="152"/>
      <c r="AM452" s="152"/>
      <c r="AN452" s="152"/>
      <c r="AO452" s="152"/>
    </row>
    <row r="453" ht="12.75" customHeight="1">
      <c r="A453" s="288"/>
      <c r="B453" s="288"/>
      <c r="C453" s="288"/>
      <c r="D453" s="152"/>
      <c r="E453" s="289"/>
      <c r="F453" s="288"/>
      <c r="G453" s="152"/>
      <c r="H453" s="289"/>
      <c r="I453" s="289"/>
      <c r="J453" s="152"/>
      <c r="K453" s="152"/>
      <c r="L453" s="156"/>
      <c r="M453" s="152"/>
      <c r="N453" s="152"/>
      <c r="O453" s="152"/>
      <c r="P453" s="152"/>
      <c r="Q453" s="152"/>
      <c r="R453" s="152"/>
      <c r="S453" s="152"/>
      <c r="T453" s="152"/>
      <c r="U453" s="152"/>
      <c r="V453" s="152"/>
      <c r="W453" s="281"/>
      <c r="X453" s="281"/>
      <c r="Y453" s="281"/>
      <c r="Z453" s="281"/>
      <c r="AA453" s="281"/>
      <c r="AB453" s="281"/>
      <c r="AC453" s="281"/>
      <c r="AD453" s="170"/>
      <c r="AE453" s="152"/>
      <c r="AF453" s="152"/>
      <c r="AG453" s="152"/>
      <c r="AH453" s="152"/>
      <c r="AI453" s="152"/>
      <c r="AJ453" s="152"/>
      <c r="AK453" s="152"/>
      <c r="AL453" s="152"/>
      <c r="AM453" s="152"/>
      <c r="AN453" s="152"/>
      <c r="AO453" s="152"/>
    </row>
    <row r="454" ht="12.75" customHeight="1">
      <c r="A454" s="288"/>
      <c r="B454" s="288"/>
      <c r="C454" s="288"/>
      <c r="D454" s="152"/>
      <c r="E454" s="289"/>
      <c r="F454" s="288"/>
      <c r="G454" s="152"/>
      <c r="H454" s="289"/>
      <c r="I454" s="289"/>
      <c r="J454" s="152"/>
      <c r="K454" s="152"/>
      <c r="L454" s="156"/>
      <c r="M454" s="152"/>
      <c r="N454" s="152"/>
      <c r="O454" s="152"/>
      <c r="P454" s="152"/>
      <c r="Q454" s="152"/>
      <c r="R454" s="152"/>
      <c r="S454" s="152"/>
      <c r="T454" s="152"/>
      <c r="U454" s="152"/>
      <c r="V454" s="152"/>
      <c r="W454" s="281"/>
      <c r="X454" s="281"/>
      <c r="Y454" s="281"/>
      <c r="Z454" s="281"/>
      <c r="AA454" s="281"/>
      <c r="AB454" s="281"/>
      <c r="AC454" s="281"/>
      <c r="AD454" s="170"/>
      <c r="AE454" s="152"/>
      <c r="AF454" s="152"/>
      <c r="AG454" s="152"/>
      <c r="AH454" s="152"/>
      <c r="AI454" s="152"/>
      <c r="AJ454" s="152"/>
      <c r="AK454" s="152"/>
      <c r="AL454" s="152"/>
      <c r="AM454" s="152"/>
      <c r="AN454" s="152"/>
      <c r="AO454" s="152"/>
    </row>
    <row r="455" ht="12.75" customHeight="1">
      <c r="A455" s="288"/>
      <c r="B455" s="288"/>
      <c r="C455" s="288"/>
      <c r="D455" s="152"/>
      <c r="E455" s="289"/>
      <c r="F455" s="288"/>
      <c r="G455" s="152"/>
      <c r="H455" s="289"/>
      <c r="I455" s="289"/>
      <c r="J455" s="152"/>
      <c r="K455" s="152"/>
      <c r="L455" s="156"/>
      <c r="M455" s="152"/>
      <c r="N455" s="152"/>
      <c r="O455" s="152"/>
      <c r="P455" s="152"/>
      <c r="Q455" s="152"/>
      <c r="R455" s="152"/>
      <c r="S455" s="152"/>
      <c r="T455" s="152"/>
      <c r="U455" s="152"/>
      <c r="V455" s="152"/>
      <c r="W455" s="281"/>
      <c r="X455" s="281"/>
      <c r="Y455" s="281"/>
      <c r="Z455" s="281"/>
      <c r="AA455" s="281"/>
      <c r="AB455" s="281"/>
      <c r="AC455" s="281"/>
      <c r="AD455" s="170"/>
      <c r="AE455" s="152"/>
      <c r="AF455" s="152"/>
      <c r="AG455" s="152"/>
      <c r="AH455" s="152"/>
      <c r="AI455" s="152"/>
      <c r="AJ455" s="152"/>
      <c r="AK455" s="152"/>
      <c r="AL455" s="152"/>
      <c r="AM455" s="152"/>
      <c r="AN455" s="152"/>
      <c r="AO455" s="152"/>
    </row>
    <row r="456" ht="12.75" customHeight="1">
      <c r="A456" s="288"/>
      <c r="B456" s="288"/>
      <c r="C456" s="288"/>
      <c r="D456" s="152"/>
      <c r="E456" s="289"/>
      <c r="F456" s="288"/>
      <c r="G456" s="152"/>
      <c r="H456" s="289"/>
      <c r="I456" s="289"/>
      <c r="J456" s="152"/>
      <c r="K456" s="152"/>
      <c r="L456" s="156"/>
      <c r="M456" s="152"/>
      <c r="N456" s="152"/>
      <c r="O456" s="152"/>
      <c r="P456" s="152"/>
      <c r="Q456" s="152"/>
      <c r="R456" s="152"/>
      <c r="S456" s="152"/>
      <c r="T456" s="152"/>
      <c r="U456" s="152"/>
      <c r="V456" s="152"/>
      <c r="W456" s="281"/>
      <c r="X456" s="281"/>
      <c r="Y456" s="281"/>
      <c r="Z456" s="281"/>
      <c r="AA456" s="281"/>
      <c r="AB456" s="281"/>
      <c r="AC456" s="281"/>
      <c r="AD456" s="170"/>
      <c r="AE456" s="152"/>
      <c r="AF456" s="152"/>
      <c r="AG456" s="152"/>
      <c r="AH456" s="152"/>
      <c r="AI456" s="152"/>
      <c r="AJ456" s="152"/>
      <c r="AK456" s="152"/>
      <c r="AL456" s="152"/>
      <c r="AM456" s="152"/>
      <c r="AN456" s="152"/>
      <c r="AO456" s="152"/>
    </row>
    <row r="457" ht="12.75" customHeight="1">
      <c r="A457" s="288"/>
      <c r="B457" s="288"/>
      <c r="C457" s="288"/>
      <c r="D457" s="152"/>
      <c r="E457" s="289"/>
      <c r="F457" s="288"/>
      <c r="G457" s="152"/>
      <c r="H457" s="289"/>
      <c r="I457" s="289"/>
      <c r="J457" s="152"/>
      <c r="K457" s="152"/>
      <c r="L457" s="156"/>
      <c r="M457" s="152"/>
      <c r="N457" s="152"/>
      <c r="O457" s="152"/>
      <c r="P457" s="152"/>
      <c r="Q457" s="152"/>
      <c r="R457" s="152"/>
      <c r="S457" s="152"/>
      <c r="T457" s="152"/>
      <c r="U457" s="152"/>
      <c r="V457" s="152"/>
      <c r="W457" s="281"/>
      <c r="X457" s="281"/>
      <c r="Y457" s="281"/>
      <c r="Z457" s="281"/>
      <c r="AA457" s="281"/>
      <c r="AB457" s="281"/>
      <c r="AC457" s="281"/>
      <c r="AD457" s="170"/>
      <c r="AE457" s="152"/>
      <c r="AF457" s="152"/>
      <c r="AG457" s="152"/>
      <c r="AH457" s="152"/>
      <c r="AI457" s="152"/>
      <c r="AJ457" s="152"/>
      <c r="AK457" s="152"/>
      <c r="AL457" s="152"/>
      <c r="AM457" s="152"/>
      <c r="AN457" s="152"/>
      <c r="AO457" s="152"/>
    </row>
    <row r="458" ht="12.75" customHeight="1">
      <c r="A458" s="288"/>
      <c r="B458" s="288"/>
      <c r="C458" s="288"/>
      <c r="D458" s="152"/>
      <c r="E458" s="289"/>
      <c r="F458" s="288"/>
      <c r="G458" s="152"/>
      <c r="H458" s="289"/>
      <c r="I458" s="289"/>
      <c r="J458" s="152"/>
      <c r="K458" s="152"/>
      <c r="L458" s="156"/>
      <c r="M458" s="152"/>
      <c r="N458" s="152"/>
      <c r="O458" s="152"/>
      <c r="P458" s="152"/>
      <c r="Q458" s="152"/>
      <c r="R458" s="152"/>
      <c r="S458" s="152"/>
      <c r="T458" s="152"/>
      <c r="U458" s="152"/>
      <c r="V458" s="152"/>
      <c r="W458" s="281"/>
      <c r="X458" s="281"/>
      <c r="Y458" s="281"/>
      <c r="Z458" s="281"/>
      <c r="AA458" s="281"/>
      <c r="AB458" s="281"/>
      <c r="AC458" s="281"/>
      <c r="AD458" s="170"/>
      <c r="AE458" s="152"/>
      <c r="AF458" s="152"/>
      <c r="AG458" s="152"/>
      <c r="AH458" s="152"/>
      <c r="AI458" s="152"/>
      <c r="AJ458" s="152"/>
      <c r="AK458" s="152"/>
      <c r="AL458" s="152"/>
      <c r="AM458" s="152"/>
      <c r="AN458" s="152"/>
      <c r="AO458" s="152"/>
    </row>
    <row r="459" ht="12.75" customHeight="1">
      <c r="A459" s="288"/>
      <c r="B459" s="288"/>
      <c r="C459" s="288"/>
      <c r="D459" s="152"/>
      <c r="E459" s="289"/>
      <c r="F459" s="288"/>
      <c r="G459" s="152"/>
      <c r="H459" s="289"/>
      <c r="I459" s="289"/>
      <c r="J459" s="152"/>
      <c r="K459" s="152"/>
      <c r="L459" s="156"/>
      <c r="M459" s="152"/>
      <c r="N459" s="152"/>
      <c r="O459" s="152"/>
      <c r="P459" s="152"/>
      <c r="Q459" s="152"/>
      <c r="R459" s="152"/>
      <c r="S459" s="152"/>
      <c r="T459" s="152"/>
      <c r="U459" s="152"/>
      <c r="V459" s="152"/>
      <c r="W459" s="281"/>
      <c r="X459" s="281"/>
      <c r="Y459" s="281"/>
      <c r="Z459" s="281"/>
      <c r="AA459" s="281"/>
      <c r="AB459" s="281"/>
      <c r="AC459" s="281"/>
      <c r="AD459" s="170"/>
      <c r="AE459" s="152"/>
      <c r="AF459" s="152"/>
      <c r="AG459" s="152"/>
      <c r="AH459" s="152"/>
      <c r="AI459" s="152"/>
      <c r="AJ459" s="152"/>
      <c r="AK459" s="152"/>
      <c r="AL459" s="152"/>
      <c r="AM459" s="152"/>
      <c r="AN459" s="152"/>
      <c r="AO459" s="152"/>
    </row>
    <row r="460" ht="12.75" customHeight="1">
      <c r="A460" s="288"/>
      <c r="B460" s="288"/>
      <c r="C460" s="288"/>
      <c r="D460" s="152"/>
      <c r="E460" s="289"/>
      <c r="F460" s="288"/>
      <c r="G460" s="152"/>
      <c r="H460" s="289"/>
      <c r="I460" s="289"/>
      <c r="J460" s="152"/>
      <c r="K460" s="152"/>
      <c r="L460" s="156"/>
      <c r="M460" s="152"/>
      <c r="N460" s="152"/>
      <c r="O460" s="152"/>
      <c r="P460" s="152"/>
      <c r="Q460" s="152"/>
      <c r="R460" s="152"/>
      <c r="S460" s="152"/>
      <c r="T460" s="152"/>
      <c r="U460" s="152"/>
      <c r="V460" s="152"/>
      <c r="W460" s="281"/>
      <c r="X460" s="281"/>
      <c r="Y460" s="281"/>
      <c r="Z460" s="281"/>
      <c r="AA460" s="281"/>
      <c r="AB460" s="281"/>
      <c r="AC460" s="281"/>
      <c r="AD460" s="170"/>
      <c r="AE460" s="152"/>
      <c r="AF460" s="152"/>
      <c r="AG460" s="152"/>
      <c r="AH460" s="152"/>
      <c r="AI460" s="152"/>
      <c r="AJ460" s="152"/>
      <c r="AK460" s="152"/>
      <c r="AL460" s="152"/>
      <c r="AM460" s="152"/>
      <c r="AN460" s="152"/>
      <c r="AO460" s="152"/>
    </row>
    <row r="461" ht="12.75" customHeight="1">
      <c r="A461" s="288"/>
      <c r="B461" s="288"/>
      <c r="C461" s="288"/>
      <c r="D461" s="152"/>
      <c r="E461" s="289"/>
      <c r="F461" s="288"/>
      <c r="G461" s="152"/>
      <c r="H461" s="289"/>
      <c r="I461" s="289"/>
      <c r="J461" s="152"/>
      <c r="K461" s="152"/>
      <c r="L461" s="156"/>
      <c r="M461" s="152"/>
      <c r="N461" s="152"/>
      <c r="O461" s="152"/>
      <c r="P461" s="152"/>
      <c r="Q461" s="152"/>
      <c r="R461" s="152"/>
      <c r="S461" s="152"/>
      <c r="T461" s="152"/>
      <c r="U461" s="152"/>
      <c r="V461" s="152"/>
      <c r="W461" s="281"/>
      <c r="X461" s="281"/>
      <c r="Y461" s="281"/>
      <c r="Z461" s="281"/>
      <c r="AA461" s="281"/>
      <c r="AB461" s="281"/>
      <c r="AC461" s="281"/>
      <c r="AD461" s="170"/>
      <c r="AE461" s="152"/>
      <c r="AF461" s="152"/>
      <c r="AG461" s="152"/>
      <c r="AH461" s="152"/>
      <c r="AI461" s="152"/>
      <c r="AJ461" s="152"/>
      <c r="AK461" s="152"/>
      <c r="AL461" s="152"/>
      <c r="AM461" s="152"/>
      <c r="AN461" s="152"/>
      <c r="AO461" s="152"/>
    </row>
    <row r="462" ht="12.75" customHeight="1">
      <c r="A462" s="288"/>
      <c r="B462" s="288"/>
      <c r="C462" s="288"/>
      <c r="D462" s="152"/>
      <c r="E462" s="289"/>
      <c r="F462" s="288"/>
      <c r="G462" s="152"/>
      <c r="H462" s="289"/>
      <c r="I462" s="289"/>
      <c r="J462" s="152"/>
      <c r="K462" s="152"/>
      <c r="L462" s="156"/>
      <c r="M462" s="152"/>
      <c r="N462" s="152"/>
      <c r="O462" s="152"/>
      <c r="P462" s="152"/>
      <c r="Q462" s="152"/>
      <c r="R462" s="152"/>
      <c r="S462" s="152"/>
      <c r="T462" s="152"/>
      <c r="U462" s="152"/>
      <c r="V462" s="152"/>
      <c r="W462" s="281"/>
      <c r="X462" s="281"/>
      <c r="Y462" s="281"/>
      <c r="Z462" s="281"/>
      <c r="AA462" s="281"/>
      <c r="AB462" s="281"/>
      <c r="AC462" s="281"/>
      <c r="AD462" s="170"/>
      <c r="AE462" s="152"/>
      <c r="AF462" s="152"/>
      <c r="AG462" s="152"/>
      <c r="AH462" s="152"/>
      <c r="AI462" s="152"/>
      <c r="AJ462" s="152"/>
      <c r="AK462" s="152"/>
      <c r="AL462" s="152"/>
      <c r="AM462" s="152"/>
      <c r="AN462" s="152"/>
      <c r="AO462" s="152"/>
    </row>
    <row r="463" ht="12.75" customHeight="1">
      <c r="A463" s="288"/>
      <c r="B463" s="288"/>
      <c r="C463" s="288"/>
      <c r="D463" s="152"/>
      <c r="E463" s="289"/>
      <c r="F463" s="288"/>
      <c r="G463" s="152"/>
      <c r="H463" s="289"/>
      <c r="I463" s="289"/>
      <c r="J463" s="152"/>
      <c r="K463" s="152"/>
      <c r="L463" s="156"/>
      <c r="M463" s="152"/>
      <c r="N463" s="152"/>
      <c r="O463" s="152"/>
      <c r="P463" s="152"/>
      <c r="Q463" s="152"/>
      <c r="R463" s="152"/>
      <c r="S463" s="152"/>
      <c r="T463" s="152"/>
      <c r="U463" s="152"/>
      <c r="V463" s="152"/>
      <c r="W463" s="281"/>
      <c r="X463" s="281"/>
      <c r="Y463" s="281"/>
      <c r="Z463" s="281"/>
      <c r="AA463" s="281"/>
      <c r="AB463" s="281"/>
      <c r="AC463" s="281"/>
      <c r="AD463" s="170"/>
      <c r="AE463" s="152"/>
      <c r="AF463" s="152"/>
      <c r="AG463" s="152"/>
      <c r="AH463" s="152"/>
      <c r="AI463" s="152"/>
      <c r="AJ463" s="152"/>
      <c r="AK463" s="152"/>
      <c r="AL463" s="152"/>
      <c r="AM463" s="152"/>
      <c r="AN463" s="152"/>
      <c r="AO463" s="152"/>
    </row>
    <row r="464" ht="12.75" customHeight="1">
      <c r="A464" s="288"/>
      <c r="B464" s="288"/>
      <c r="C464" s="288"/>
      <c r="D464" s="152"/>
      <c r="E464" s="289"/>
      <c r="F464" s="288"/>
      <c r="G464" s="152"/>
      <c r="H464" s="289"/>
      <c r="I464" s="289"/>
      <c r="J464" s="152"/>
      <c r="K464" s="152"/>
      <c r="L464" s="156"/>
      <c r="M464" s="152"/>
      <c r="N464" s="152"/>
      <c r="O464" s="152"/>
      <c r="P464" s="152"/>
      <c r="Q464" s="152"/>
      <c r="R464" s="152"/>
      <c r="S464" s="152"/>
      <c r="T464" s="152"/>
      <c r="U464" s="152"/>
      <c r="V464" s="152"/>
      <c r="W464" s="281"/>
      <c r="X464" s="281"/>
      <c r="Y464" s="281"/>
      <c r="Z464" s="281"/>
      <c r="AA464" s="281"/>
      <c r="AB464" s="281"/>
      <c r="AC464" s="281"/>
      <c r="AD464" s="170"/>
      <c r="AE464" s="152"/>
      <c r="AF464" s="152"/>
      <c r="AG464" s="152"/>
      <c r="AH464" s="152"/>
      <c r="AI464" s="152"/>
      <c r="AJ464" s="152"/>
      <c r="AK464" s="152"/>
      <c r="AL464" s="152"/>
      <c r="AM464" s="152"/>
      <c r="AN464" s="152"/>
      <c r="AO464" s="152"/>
    </row>
    <row r="465" ht="12.75" customHeight="1">
      <c r="A465" s="288"/>
      <c r="B465" s="288"/>
      <c r="C465" s="288"/>
      <c r="D465" s="152"/>
      <c r="E465" s="289"/>
      <c r="F465" s="288"/>
      <c r="G465" s="152"/>
      <c r="H465" s="289"/>
      <c r="I465" s="289"/>
      <c r="J465" s="152"/>
      <c r="K465" s="152"/>
      <c r="L465" s="156"/>
      <c r="M465" s="152"/>
      <c r="N465" s="152"/>
      <c r="O465" s="152"/>
      <c r="P465" s="152"/>
      <c r="Q465" s="152"/>
      <c r="R465" s="152"/>
      <c r="S465" s="152"/>
      <c r="T465" s="152"/>
      <c r="U465" s="152"/>
      <c r="V465" s="152"/>
      <c r="W465" s="281"/>
      <c r="X465" s="281"/>
      <c r="Y465" s="281"/>
      <c r="Z465" s="281"/>
      <c r="AA465" s="281"/>
      <c r="AB465" s="281"/>
      <c r="AC465" s="281"/>
      <c r="AD465" s="170"/>
      <c r="AE465" s="152"/>
      <c r="AF465" s="152"/>
      <c r="AG465" s="152"/>
      <c r="AH465" s="152"/>
      <c r="AI465" s="152"/>
      <c r="AJ465" s="152"/>
      <c r="AK465" s="152"/>
      <c r="AL465" s="152"/>
      <c r="AM465" s="152"/>
      <c r="AN465" s="152"/>
      <c r="AO465" s="152"/>
    </row>
    <row r="466" ht="12.75" customHeight="1">
      <c r="A466" s="288"/>
      <c r="B466" s="288"/>
      <c r="C466" s="288"/>
      <c r="D466" s="152"/>
      <c r="E466" s="289"/>
      <c r="F466" s="288"/>
      <c r="G466" s="152"/>
      <c r="H466" s="289"/>
      <c r="I466" s="289"/>
      <c r="J466" s="152"/>
      <c r="K466" s="152"/>
      <c r="L466" s="156"/>
      <c r="M466" s="152"/>
      <c r="N466" s="152"/>
      <c r="O466" s="152"/>
      <c r="P466" s="152"/>
      <c r="Q466" s="152"/>
      <c r="R466" s="152"/>
      <c r="S466" s="152"/>
      <c r="T466" s="152"/>
      <c r="U466" s="152"/>
      <c r="V466" s="152"/>
      <c r="W466" s="281"/>
      <c r="X466" s="281"/>
      <c r="Y466" s="281"/>
      <c r="Z466" s="281"/>
      <c r="AA466" s="281"/>
      <c r="AB466" s="281"/>
      <c r="AC466" s="281"/>
      <c r="AD466" s="170"/>
      <c r="AE466" s="152"/>
      <c r="AF466" s="152"/>
      <c r="AG466" s="152"/>
      <c r="AH466" s="152"/>
      <c r="AI466" s="152"/>
      <c r="AJ466" s="152"/>
      <c r="AK466" s="152"/>
      <c r="AL466" s="152"/>
      <c r="AM466" s="152"/>
      <c r="AN466" s="152"/>
      <c r="AO466" s="152"/>
    </row>
    <row r="467" ht="12.75" customHeight="1">
      <c r="A467" s="288"/>
      <c r="B467" s="288"/>
      <c r="C467" s="288"/>
      <c r="D467" s="152"/>
      <c r="E467" s="289"/>
      <c r="F467" s="288"/>
      <c r="G467" s="152"/>
      <c r="H467" s="289"/>
      <c r="I467" s="289"/>
      <c r="J467" s="152"/>
      <c r="K467" s="152"/>
      <c r="L467" s="156"/>
      <c r="M467" s="152"/>
      <c r="N467" s="152"/>
      <c r="O467" s="152"/>
      <c r="P467" s="152"/>
      <c r="Q467" s="152"/>
      <c r="R467" s="152"/>
      <c r="S467" s="152"/>
      <c r="T467" s="152"/>
      <c r="U467" s="152"/>
      <c r="V467" s="152"/>
      <c r="W467" s="281"/>
      <c r="X467" s="281"/>
      <c r="Y467" s="281"/>
      <c r="Z467" s="281"/>
      <c r="AA467" s="281"/>
      <c r="AB467" s="281"/>
      <c r="AC467" s="281"/>
      <c r="AD467" s="170"/>
      <c r="AE467" s="152"/>
      <c r="AF467" s="152"/>
      <c r="AG467" s="152"/>
      <c r="AH467" s="152"/>
      <c r="AI467" s="152"/>
      <c r="AJ467" s="152"/>
      <c r="AK467" s="152"/>
      <c r="AL467" s="152"/>
      <c r="AM467" s="152"/>
      <c r="AN467" s="152"/>
      <c r="AO467" s="152"/>
    </row>
    <row r="468" ht="12.75" customHeight="1">
      <c r="A468" s="288"/>
      <c r="B468" s="288"/>
      <c r="C468" s="288"/>
      <c r="D468" s="152"/>
      <c r="E468" s="289"/>
      <c r="F468" s="288"/>
      <c r="G468" s="152"/>
      <c r="H468" s="289"/>
      <c r="I468" s="289"/>
      <c r="J468" s="152"/>
      <c r="K468" s="152"/>
      <c r="L468" s="156"/>
      <c r="M468" s="152"/>
      <c r="N468" s="152"/>
      <c r="O468" s="152"/>
      <c r="P468" s="152"/>
      <c r="Q468" s="152"/>
      <c r="R468" s="152"/>
      <c r="S468" s="152"/>
      <c r="T468" s="152"/>
      <c r="U468" s="152"/>
      <c r="V468" s="152"/>
      <c r="W468" s="281"/>
      <c r="X468" s="281"/>
      <c r="Y468" s="281"/>
      <c r="Z468" s="281"/>
      <c r="AA468" s="281"/>
      <c r="AB468" s="281"/>
      <c r="AC468" s="281"/>
      <c r="AD468" s="170"/>
      <c r="AE468" s="152"/>
      <c r="AF468" s="152"/>
      <c r="AG468" s="152"/>
      <c r="AH468" s="152"/>
      <c r="AI468" s="152"/>
      <c r="AJ468" s="152"/>
      <c r="AK468" s="152"/>
      <c r="AL468" s="152"/>
      <c r="AM468" s="152"/>
      <c r="AN468" s="152"/>
      <c r="AO468" s="152"/>
    </row>
    <row r="469" ht="12.75" customHeight="1">
      <c r="A469" s="288"/>
      <c r="B469" s="288"/>
      <c r="C469" s="288"/>
      <c r="D469" s="152"/>
      <c r="E469" s="289"/>
      <c r="F469" s="288"/>
      <c r="G469" s="152"/>
      <c r="H469" s="289"/>
      <c r="I469" s="289"/>
      <c r="J469" s="152"/>
      <c r="K469" s="152"/>
      <c r="L469" s="156"/>
      <c r="M469" s="152"/>
      <c r="N469" s="152"/>
      <c r="O469" s="152"/>
      <c r="P469" s="152"/>
      <c r="Q469" s="152"/>
      <c r="R469" s="152"/>
      <c r="S469" s="152"/>
      <c r="T469" s="152"/>
      <c r="U469" s="152"/>
      <c r="V469" s="152"/>
      <c r="W469" s="281"/>
      <c r="X469" s="281"/>
      <c r="Y469" s="281"/>
      <c r="Z469" s="281"/>
      <c r="AA469" s="281"/>
      <c r="AB469" s="281"/>
      <c r="AC469" s="281"/>
      <c r="AD469" s="170"/>
      <c r="AE469" s="152"/>
      <c r="AF469" s="152"/>
      <c r="AG469" s="152"/>
      <c r="AH469" s="152"/>
      <c r="AI469" s="152"/>
      <c r="AJ469" s="152"/>
      <c r="AK469" s="152"/>
      <c r="AL469" s="152"/>
      <c r="AM469" s="152"/>
      <c r="AN469" s="152"/>
      <c r="AO469" s="152"/>
    </row>
    <row r="470" ht="12.75" customHeight="1">
      <c r="A470" s="288"/>
      <c r="B470" s="288"/>
      <c r="C470" s="288"/>
      <c r="D470" s="152"/>
      <c r="E470" s="289"/>
      <c r="F470" s="288"/>
      <c r="G470" s="152"/>
      <c r="H470" s="289"/>
      <c r="I470" s="289"/>
      <c r="J470" s="152"/>
      <c r="K470" s="152"/>
      <c r="L470" s="156"/>
      <c r="M470" s="152"/>
      <c r="N470" s="152"/>
      <c r="O470" s="152"/>
      <c r="P470" s="152"/>
      <c r="Q470" s="152"/>
      <c r="R470" s="152"/>
      <c r="S470" s="152"/>
      <c r="T470" s="152"/>
      <c r="U470" s="152"/>
      <c r="V470" s="152"/>
      <c r="W470" s="281"/>
      <c r="X470" s="281"/>
      <c r="Y470" s="281"/>
      <c r="Z470" s="281"/>
      <c r="AA470" s="281"/>
      <c r="AB470" s="281"/>
      <c r="AC470" s="281"/>
      <c r="AD470" s="170"/>
      <c r="AE470" s="152"/>
      <c r="AF470" s="152"/>
      <c r="AG470" s="152"/>
      <c r="AH470" s="152"/>
      <c r="AI470" s="152"/>
      <c r="AJ470" s="152"/>
      <c r="AK470" s="152"/>
      <c r="AL470" s="152"/>
      <c r="AM470" s="152"/>
      <c r="AN470" s="152"/>
      <c r="AO470" s="152"/>
    </row>
    <row r="471" ht="12.75" customHeight="1">
      <c r="A471" s="288"/>
      <c r="B471" s="288"/>
      <c r="C471" s="288"/>
      <c r="D471" s="152"/>
      <c r="E471" s="289"/>
      <c r="F471" s="288"/>
      <c r="G471" s="152"/>
      <c r="H471" s="289"/>
      <c r="I471" s="289"/>
      <c r="J471" s="152"/>
      <c r="K471" s="152"/>
      <c r="L471" s="156"/>
      <c r="M471" s="152"/>
      <c r="N471" s="152"/>
      <c r="O471" s="152"/>
      <c r="P471" s="152"/>
      <c r="Q471" s="152"/>
      <c r="R471" s="152"/>
      <c r="S471" s="152"/>
      <c r="T471" s="152"/>
      <c r="U471" s="152"/>
      <c r="V471" s="152"/>
      <c r="W471" s="281"/>
      <c r="X471" s="281"/>
      <c r="Y471" s="281"/>
      <c r="Z471" s="281"/>
      <c r="AA471" s="281"/>
      <c r="AB471" s="281"/>
      <c r="AC471" s="281"/>
      <c r="AD471" s="170"/>
      <c r="AE471" s="152"/>
      <c r="AF471" s="152"/>
      <c r="AG471" s="152"/>
      <c r="AH471" s="152"/>
      <c r="AI471" s="152"/>
      <c r="AJ471" s="152"/>
      <c r="AK471" s="152"/>
      <c r="AL471" s="152"/>
      <c r="AM471" s="152"/>
      <c r="AN471" s="152"/>
      <c r="AO471" s="152"/>
    </row>
    <row r="472" ht="12.75" customHeight="1">
      <c r="A472" s="288"/>
      <c r="B472" s="288"/>
      <c r="C472" s="288"/>
      <c r="D472" s="152"/>
      <c r="E472" s="289"/>
      <c r="F472" s="288"/>
      <c r="G472" s="152"/>
      <c r="H472" s="289"/>
      <c r="I472" s="289"/>
      <c r="J472" s="152"/>
      <c r="K472" s="152"/>
      <c r="L472" s="156"/>
      <c r="M472" s="152"/>
      <c r="N472" s="152"/>
      <c r="O472" s="152"/>
      <c r="P472" s="152"/>
      <c r="Q472" s="152"/>
      <c r="R472" s="152"/>
      <c r="S472" s="152"/>
      <c r="T472" s="152"/>
      <c r="U472" s="152"/>
      <c r="V472" s="152"/>
      <c r="W472" s="281"/>
      <c r="X472" s="281"/>
      <c r="Y472" s="281"/>
      <c r="Z472" s="281"/>
      <c r="AA472" s="281"/>
      <c r="AB472" s="281"/>
      <c r="AC472" s="281"/>
      <c r="AD472" s="170"/>
      <c r="AE472" s="152"/>
      <c r="AF472" s="152"/>
      <c r="AG472" s="152"/>
      <c r="AH472" s="152"/>
      <c r="AI472" s="152"/>
      <c r="AJ472" s="152"/>
      <c r="AK472" s="152"/>
      <c r="AL472" s="152"/>
      <c r="AM472" s="152"/>
      <c r="AN472" s="152"/>
      <c r="AO472" s="152"/>
    </row>
    <row r="473" ht="12.75" customHeight="1">
      <c r="A473" s="288"/>
      <c r="B473" s="288"/>
      <c r="C473" s="288"/>
      <c r="D473" s="152"/>
      <c r="E473" s="289"/>
      <c r="F473" s="288"/>
      <c r="G473" s="152"/>
      <c r="H473" s="289"/>
      <c r="I473" s="289"/>
      <c r="J473" s="152"/>
      <c r="K473" s="152"/>
      <c r="L473" s="156"/>
      <c r="M473" s="152"/>
      <c r="N473" s="152"/>
      <c r="O473" s="152"/>
      <c r="P473" s="152"/>
      <c r="Q473" s="152"/>
      <c r="R473" s="152"/>
      <c r="S473" s="152"/>
      <c r="T473" s="152"/>
      <c r="U473" s="152"/>
      <c r="V473" s="152"/>
      <c r="W473" s="281"/>
      <c r="X473" s="281"/>
      <c r="Y473" s="281"/>
      <c r="Z473" s="281"/>
      <c r="AA473" s="281"/>
      <c r="AB473" s="281"/>
      <c r="AC473" s="281"/>
      <c r="AD473" s="170"/>
      <c r="AE473" s="152"/>
      <c r="AF473" s="152"/>
      <c r="AG473" s="152"/>
      <c r="AH473" s="152"/>
      <c r="AI473" s="152"/>
      <c r="AJ473" s="152"/>
      <c r="AK473" s="152"/>
      <c r="AL473" s="152"/>
      <c r="AM473" s="152"/>
      <c r="AN473" s="152"/>
      <c r="AO473" s="152"/>
    </row>
    <row r="474" ht="12.75" customHeight="1">
      <c r="A474" s="288"/>
      <c r="B474" s="288"/>
      <c r="C474" s="288"/>
      <c r="D474" s="152"/>
      <c r="E474" s="289"/>
      <c r="F474" s="288"/>
      <c r="G474" s="152"/>
      <c r="H474" s="289"/>
      <c r="I474" s="289"/>
      <c r="J474" s="152"/>
      <c r="K474" s="152"/>
      <c r="L474" s="156"/>
      <c r="M474" s="152"/>
      <c r="N474" s="152"/>
      <c r="O474" s="152"/>
      <c r="P474" s="152"/>
      <c r="Q474" s="152"/>
      <c r="R474" s="152"/>
      <c r="S474" s="152"/>
      <c r="T474" s="152"/>
      <c r="U474" s="152"/>
      <c r="V474" s="152"/>
      <c r="W474" s="281"/>
      <c r="X474" s="281"/>
      <c r="Y474" s="281"/>
      <c r="Z474" s="281"/>
      <c r="AA474" s="281"/>
      <c r="AB474" s="281"/>
      <c r="AC474" s="281"/>
      <c r="AD474" s="170"/>
      <c r="AE474" s="152"/>
      <c r="AF474" s="152"/>
      <c r="AG474" s="152"/>
      <c r="AH474" s="152"/>
      <c r="AI474" s="152"/>
      <c r="AJ474" s="152"/>
      <c r="AK474" s="152"/>
      <c r="AL474" s="152"/>
      <c r="AM474" s="152"/>
      <c r="AN474" s="152"/>
      <c r="AO474" s="152"/>
    </row>
    <row r="475" ht="12.75" customHeight="1">
      <c r="A475" s="288"/>
      <c r="B475" s="288"/>
      <c r="C475" s="288"/>
      <c r="D475" s="152"/>
      <c r="E475" s="289"/>
      <c r="F475" s="288"/>
      <c r="G475" s="152"/>
      <c r="H475" s="289"/>
      <c r="I475" s="289"/>
      <c r="J475" s="152"/>
      <c r="K475" s="152"/>
      <c r="L475" s="156"/>
      <c r="M475" s="152"/>
      <c r="N475" s="152"/>
      <c r="O475" s="152"/>
      <c r="P475" s="152"/>
      <c r="Q475" s="152"/>
      <c r="R475" s="152"/>
      <c r="S475" s="152"/>
      <c r="T475" s="152"/>
      <c r="U475" s="152"/>
      <c r="V475" s="152"/>
      <c r="W475" s="281"/>
      <c r="X475" s="281"/>
      <c r="Y475" s="281"/>
      <c r="Z475" s="281"/>
      <c r="AA475" s="281"/>
      <c r="AB475" s="281"/>
      <c r="AC475" s="281"/>
      <c r="AD475" s="170"/>
      <c r="AE475" s="152"/>
      <c r="AF475" s="152"/>
      <c r="AG475" s="152"/>
      <c r="AH475" s="152"/>
      <c r="AI475" s="152"/>
      <c r="AJ475" s="152"/>
      <c r="AK475" s="152"/>
      <c r="AL475" s="152"/>
      <c r="AM475" s="152"/>
      <c r="AN475" s="152"/>
      <c r="AO475" s="152"/>
    </row>
    <row r="476" ht="12.75" customHeight="1">
      <c r="A476" s="288"/>
      <c r="B476" s="288"/>
      <c r="C476" s="288"/>
      <c r="D476" s="152"/>
      <c r="E476" s="289"/>
      <c r="F476" s="288"/>
      <c r="G476" s="152"/>
      <c r="H476" s="289"/>
      <c r="I476" s="289"/>
      <c r="J476" s="152"/>
      <c r="K476" s="152"/>
      <c r="L476" s="156"/>
      <c r="M476" s="152"/>
      <c r="N476" s="152"/>
      <c r="O476" s="152"/>
      <c r="P476" s="152"/>
      <c r="Q476" s="152"/>
      <c r="R476" s="152"/>
      <c r="S476" s="152"/>
      <c r="T476" s="152"/>
      <c r="U476" s="152"/>
      <c r="V476" s="152"/>
      <c r="W476" s="281"/>
      <c r="X476" s="281"/>
      <c r="Y476" s="281"/>
      <c r="Z476" s="281"/>
      <c r="AA476" s="281"/>
      <c r="AB476" s="281"/>
      <c r="AC476" s="281"/>
      <c r="AD476" s="170"/>
      <c r="AE476" s="152"/>
      <c r="AF476" s="152"/>
      <c r="AG476" s="152"/>
      <c r="AH476" s="152"/>
      <c r="AI476" s="152"/>
      <c r="AJ476" s="152"/>
      <c r="AK476" s="152"/>
      <c r="AL476" s="152"/>
      <c r="AM476" s="152"/>
      <c r="AN476" s="152"/>
      <c r="AO476" s="152"/>
    </row>
    <row r="477" ht="12.75" customHeight="1">
      <c r="A477" s="288"/>
      <c r="B477" s="288"/>
      <c r="C477" s="288"/>
      <c r="D477" s="152"/>
      <c r="E477" s="289"/>
      <c r="F477" s="288"/>
      <c r="G477" s="152"/>
      <c r="H477" s="289"/>
      <c r="I477" s="289"/>
      <c r="J477" s="152"/>
      <c r="K477" s="152"/>
      <c r="L477" s="156"/>
      <c r="M477" s="152"/>
      <c r="N477" s="152"/>
      <c r="O477" s="152"/>
      <c r="P477" s="152"/>
      <c r="Q477" s="152"/>
      <c r="R477" s="152"/>
      <c r="S477" s="152"/>
      <c r="T477" s="152"/>
      <c r="U477" s="152"/>
      <c r="V477" s="152"/>
      <c r="W477" s="281"/>
      <c r="X477" s="281"/>
      <c r="Y477" s="281"/>
      <c r="Z477" s="281"/>
      <c r="AA477" s="281"/>
      <c r="AB477" s="281"/>
      <c r="AC477" s="281"/>
      <c r="AD477" s="170"/>
      <c r="AE477" s="152"/>
      <c r="AF477" s="152"/>
      <c r="AG477" s="152"/>
      <c r="AH477" s="152"/>
      <c r="AI477" s="152"/>
      <c r="AJ477" s="152"/>
      <c r="AK477" s="152"/>
      <c r="AL477" s="152"/>
      <c r="AM477" s="152"/>
      <c r="AN477" s="152"/>
      <c r="AO477" s="152"/>
    </row>
    <row r="478" ht="12.75" customHeight="1">
      <c r="A478" s="288"/>
      <c r="B478" s="288"/>
      <c r="C478" s="288"/>
      <c r="D478" s="152"/>
      <c r="E478" s="289"/>
      <c r="F478" s="288"/>
      <c r="G478" s="152"/>
      <c r="H478" s="289"/>
      <c r="I478" s="289"/>
      <c r="J478" s="152"/>
      <c r="K478" s="152"/>
      <c r="L478" s="156"/>
      <c r="M478" s="152"/>
      <c r="N478" s="152"/>
      <c r="O478" s="152"/>
      <c r="P478" s="152"/>
      <c r="Q478" s="152"/>
      <c r="R478" s="152"/>
      <c r="S478" s="152"/>
      <c r="T478" s="152"/>
      <c r="U478" s="152"/>
      <c r="V478" s="152"/>
      <c r="W478" s="281"/>
      <c r="X478" s="281"/>
      <c r="Y478" s="281"/>
      <c r="Z478" s="281"/>
      <c r="AA478" s="281"/>
      <c r="AB478" s="281"/>
      <c r="AC478" s="281"/>
      <c r="AD478" s="170"/>
      <c r="AE478" s="152"/>
      <c r="AF478" s="152"/>
      <c r="AG478" s="152"/>
      <c r="AH478" s="152"/>
      <c r="AI478" s="152"/>
      <c r="AJ478" s="152"/>
      <c r="AK478" s="152"/>
      <c r="AL478" s="152"/>
      <c r="AM478" s="152"/>
      <c r="AN478" s="152"/>
      <c r="AO478" s="152"/>
    </row>
    <row r="479" ht="12.75" customHeight="1">
      <c r="A479" s="288"/>
      <c r="B479" s="288"/>
      <c r="C479" s="288"/>
      <c r="D479" s="152"/>
      <c r="E479" s="289"/>
      <c r="F479" s="288"/>
      <c r="G479" s="152"/>
      <c r="H479" s="289"/>
      <c r="I479" s="289"/>
      <c r="J479" s="152"/>
      <c r="K479" s="152"/>
      <c r="L479" s="156"/>
      <c r="M479" s="152"/>
      <c r="N479" s="152"/>
      <c r="O479" s="152"/>
      <c r="P479" s="152"/>
      <c r="Q479" s="152"/>
      <c r="R479" s="152"/>
      <c r="S479" s="152"/>
      <c r="T479" s="152"/>
      <c r="U479" s="152"/>
      <c r="V479" s="152"/>
      <c r="W479" s="281"/>
      <c r="X479" s="281"/>
      <c r="Y479" s="281"/>
      <c r="Z479" s="281"/>
      <c r="AA479" s="281"/>
      <c r="AB479" s="281"/>
      <c r="AC479" s="281"/>
      <c r="AD479" s="170"/>
      <c r="AE479" s="152"/>
      <c r="AF479" s="152"/>
      <c r="AG479" s="152"/>
      <c r="AH479" s="152"/>
      <c r="AI479" s="152"/>
      <c r="AJ479" s="152"/>
      <c r="AK479" s="152"/>
      <c r="AL479" s="152"/>
      <c r="AM479" s="152"/>
      <c r="AN479" s="152"/>
      <c r="AO479" s="152"/>
    </row>
    <row r="480" ht="12.75" customHeight="1">
      <c r="A480" s="288"/>
      <c r="B480" s="288"/>
      <c r="C480" s="288"/>
      <c r="D480" s="152"/>
      <c r="E480" s="289"/>
      <c r="F480" s="288"/>
      <c r="G480" s="152"/>
      <c r="H480" s="289"/>
      <c r="I480" s="289"/>
      <c r="J480" s="152"/>
      <c r="K480" s="152"/>
      <c r="L480" s="156"/>
      <c r="M480" s="152"/>
      <c r="N480" s="152"/>
      <c r="O480" s="152"/>
      <c r="P480" s="152"/>
      <c r="Q480" s="152"/>
      <c r="R480" s="152"/>
      <c r="S480" s="152"/>
      <c r="T480" s="152"/>
      <c r="U480" s="152"/>
      <c r="V480" s="152"/>
      <c r="W480" s="281"/>
      <c r="X480" s="281"/>
      <c r="Y480" s="281"/>
      <c r="Z480" s="281"/>
      <c r="AA480" s="281"/>
      <c r="AB480" s="281"/>
      <c r="AC480" s="281"/>
      <c r="AD480" s="170"/>
      <c r="AE480" s="152"/>
      <c r="AF480" s="152"/>
      <c r="AG480" s="152"/>
      <c r="AH480" s="152"/>
      <c r="AI480" s="152"/>
      <c r="AJ480" s="152"/>
      <c r="AK480" s="152"/>
      <c r="AL480" s="152"/>
      <c r="AM480" s="152"/>
      <c r="AN480" s="152"/>
      <c r="AO480" s="152"/>
    </row>
    <row r="481" ht="12.75" customHeight="1">
      <c r="A481" s="288"/>
      <c r="B481" s="288"/>
      <c r="C481" s="288"/>
      <c r="D481" s="152"/>
      <c r="E481" s="289"/>
      <c r="F481" s="288"/>
      <c r="G481" s="152"/>
      <c r="H481" s="289"/>
      <c r="I481" s="289"/>
      <c r="J481" s="152"/>
      <c r="K481" s="152"/>
      <c r="L481" s="156"/>
      <c r="M481" s="152"/>
      <c r="N481" s="152"/>
      <c r="O481" s="152"/>
      <c r="P481" s="152"/>
      <c r="Q481" s="152"/>
      <c r="R481" s="152"/>
      <c r="S481" s="152"/>
      <c r="T481" s="152"/>
      <c r="U481" s="152"/>
      <c r="V481" s="152"/>
      <c r="W481" s="281"/>
      <c r="X481" s="281"/>
      <c r="Y481" s="281"/>
      <c r="Z481" s="281"/>
      <c r="AA481" s="281"/>
      <c r="AB481" s="281"/>
      <c r="AC481" s="281"/>
      <c r="AD481" s="170"/>
      <c r="AE481" s="152"/>
      <c r="AF481" s="152"/>
      <c r="AG481" s="152"/>
      <c r="AH481" s="152"/>
      <c r="AI481" s="152"/>
      <c r="AJ481" s="152"/>
      <c r="AK481" s="152"/>
      <c r="AL481" s="152"/>
      <c r="AM481" s="152"/>
      <c r="AN481" s="152"/>
      <c r="AO481" s="152"/>
    </row>
    <row r="482" ht="12.75" customHeight="1">
      <c r="A482" s="288"/>
      <c r="B482" s="288"/>
      <c r="C482" s="288"/>
      <c r="D482" s="152"/>
      <c r="E482" s="289"/>
      <c r="F482" s="288"/>
      <c r="G482" s="152"/>
      <c r="H482" s="289"/>
      <c r="I482" s="289"/>
      <c r="J482" s="152"/>
      <c r="K482" s="152"/>
      <c r="L482" s="156"/>
      <c r="M482" s="152"/>
      <c r="N482" s="152"/>
      <c r="O482" s="152"/>
      <c r="P482" s="152"/>
      <c r="Q482" s="152"/>
      <c r="R482" s="152"/>
      <c r="S482" s="152"/>
      <c r="T482" s="152"/>
      <c r="U482" s="152"/>
      <c r="V482" s="152"/>
      <c r="W482" s="281"/>
      <c r="X482" s="281"/>
      <c r="Y482" s="281"/>
      <c r="Z482" s="281"/>
      <c r="AA482" s="281"/>
      <c r="AB482" s="281"/>
      <c r="AC482" s="281"/>
      <c r="AD482" s="170"/>
      <c r="AE482" s="152"/>
      <c r="AF482" s="152"/>
      <c r="AG482" s="152"/>
      <c r="AH482" s="152"/>
      <c r="AI482" s="152"/>
      <c r="AJ482" s="152"/>
      <c r="AK482" s="152"/>
      <c r="AL482" s="152"/>
      <c r="AM482" s="152"/>
      <c r="AN482" s="152"/>
      <c r="AO482" s="152"/>
    </row>
    <row r="483" ht="12.75" customHeight="1">
      <c r="A483" s="288"/>
      <c r="B483" s="288"/>
      <c r="C483" s="288"/>
      <c r="D483" s="152"/>
      <c r="E483" s="289"/>
      <c r="F483" s="288"/>
      <c r="G483" s="152"/>
      <c r="H483" s="289"/>
      <c r="I483" s="289"/>
      <c r="J483" s="152"/>
      <c r="K483" s="152"/>
      <c r="L483" s="156"/>
      <c r="M483" s="152"/>
      <c r="N483" s="152"/>
      <c r="O483" s="152"/>
      <c r="P483" s="152"/>
      <c r="Q483" s="152"/>
      <c r="R483" s="152"/>
      <c r="S483" s="152"/>
      <c r="T483" s="152"/>
      <c r="U483" s="152"/>
      <c r="V483" s="152"/>
      <c r="W483" s="281"/>
      <c r="X483" s="281"/>
      <c r="Y483" s="281"/>
      <c r="Z483" s="281"/>
      <c r="AA483" s="281"/>
      <c r="AB483" s="281"/>
      <c r="AC483" s="281"/>
      <c r="AD483" s="170"/>
      <c r="AE483" s="152"/>
      <c r="AF483" s="152"/>
      <c r="AG483" s="152"/>
      <c r="AH483" s="152"/>
      <c r="AI483" s="152"/>
      <c r="AJ483" s="152"/>
      <c r="AK483" s="152"/>
      <c r="AL483" s="152"/>
      <c r="AM483" s="152"/>
      <c r="AN483" s="152"/>
      <c r="AO483" s="152"/>
    </row>
    <row r="484" ht="12.75" customHeight="1">
      <c r="A484" s="288"/>
      <c r="B484" s="288"/>
      <c r="C484" s="288"/>
      <c r="D484" s="152"/>
      <c r="E484" s="289"/>
      <c r="F484" s="288"/>
      <c r="G484" s="152"/>
      <c r="H484" s="289"/>
      <c r="I484" s="289"/>
      <c r="J484" s="152"/>
      <c r="K484" s="152"/>
      <c r="L484" s="156"/>
      <c r="M484" s="152"/>
      <c r="N484" s="152"/>
      <c r="O484" s="152"/>
      <c r="P484" s="152"/>
      <c r="Q484" s="152"/>
      <c r="R484" s="152"/>
      <c r="S484" s="152"/>
      <c r="T484" s="152"/>
      <c r="U484" s="152"/>
      <c r="V484" s="152"/>
      <c r="W484" s="281"/>
      <c r="X484" s="281"/>
      <c r="Y484" s="281"/>
      <c r="Z484" s="281"/>
      <c r="AA484" s="281"/>
      <c r="AB484" s="281"/>
      <c r="AC484" s="281"/>
      <c r="AD484" s="170"/>
      <c r="AE484" s="152"/>
      <c r="AF484" s="152"/>
      <c r="AG484" s="152"/>
      <c r="AH484" s="152"/>
      <c r="AI484" s="152"/>
      <c r="AJ484" s="152"/>
      <c r="AK484" s="152"/>
      <c r="AL484" s="152"/>
      <c r="AM484" s="152"/>
      <c r="AN484" s="152"/>
      <c r="AO484" s="152"/>
    </row>
    <row r="485" ht="12.75" customHeight="1">
      <c r="A485" s="288"/>
      <c r="B485" s="288"/>
      <c r="C485" s="288"/>
      <c r="D485" s="152"/>
      <c r="E485" s="289"/>
      <c r="F485" s="288"/>
      <c r="G485" s="152"/>
      <c r="H485" s="289"/>
      <c r="I485" s="289"/>
      <c r="J485" s="152"/>
      <c r="K485" s="152"/>
      <c r="L485" s="156"/>
      <c r="M485" s="152"/>
      <c r="N485" s="152"/>
      <c r="O485" s="152"/>
      <c r="P485" s="152"/>
      <c r="Q485" s="152"/>
      <c r="R485" s="152"/>
      <c r="S485" s="152"/>
      <c r="T485" s="152"/>
      <c r="U485" s="152"/>
      <c r="V485" s="152"/>
      <c r="W485" s="281"/>
      <c r="X485" s="281"/>
      <c r="Y485" s="281"/>
      <c r="Z485" s="281"/>
      <c r="AA485" s="281"/>
      <c r="AB485" s="281"/>
      <c r="AC485" s="281"/>
      <c r="AD485" s="170"/>
      <c r="AE485" s="152"/>
      <c r="AF485" s="152"/>
      <c r="AG485" s="152"/>
      <c r="AH485" s="152"/>
      <c r="AI485" s="152"/>
      <c r="AJ485" s="152"/>
      <c r="AK485" s="152"/>
      <c r="AL485" s="152"/>
      <c r="AM485" s="152"/>
      <c r="AN485" s="152"/>
      <c r="AO485" s="152"/>
    </row>
    <row r="486" ht="12.75" customHeight="1">
      <c r="A486" s="288"/>
      <c r="B486" s="288"/>
      <c r="C486" s="288"/>
      <c r="D486" s="152"/>
      <c r="E486" s="289"/>
      <c r="F486" s="288"/>
      <c r="G486" s="152"/>
      <c r="H486" s="289"/>
      <c r="I486" s="289"/>
      <c r="J486" s="152"/>
      <c r="K486" s="152"/>
      <c r="L486" s="156"/>
      <c r="M486" s="152"/>
      <c r="N486" s="152"/>
      <c r="O486" s="152"/>
      <c r="P486" s="152"/>
      <c r="Q486" s="152"/>
      <c r="R486" s="152"/>
      <c r="S486" s="152"/>
      <c r="T486" s="152"/>
      <c r="U486" s="152"/>
      <c r="V486" s="152"/>
      <c r="W486" s="281"/>
      <c r="X486" s="281"/>
      <c r="Y486" s="281"/>
      <c r="Z486" s="281"/>
      <c r="AA486" s="281"/>
      <c r="AB486" s="281"/>
      <c r="AC486" s="281"/>
      <c r="AD486" s="170"/>
      <c r="AE486" s="152"/>
      <c r="AF486" s="152"/>
      <c r="AG486" s="152"/>
      <c r="AH486" s="152"/>
      <c r="AI486" s="152"/>
      <c r="AJ486" s="152"/>
      <c r="AK486" s="152"/>
      <c r="AL486" s="152"/>
      <c r="AM486" s="152"/>
      <c r="AN486" s="152"/>
      <c r="AO486" s="152"/>
    </row>
    <row r="487" ht="12.75" customHeight="1">
      <c r="A487" s="288"/>
      <c r="B487" s="288"/>
      <c r="C487" s="288"/>
      <c r="D487" s="152"/>
      <c r="E487" s="289"/>
      <c r="F487" s="288"/>
      <c r="G487" s="152"/>
      <c r="H487" s="289"/>
      <c r="I487" s="289"/>
      <c r="J487" s="152"/>
      <c r="K487" s="152"/>
      <c r="L487" s="156"/>
      <c r="M487" s="152"/>
      <c r="N487" s="152"/>
      <c r="O487" s="152"/>
      <c r="P487" s="152"/>
      <c r="Q487" s="152"/>
      <c r="R487" s="152"/>
      <c r="S487" s="152"/>
      <c r="T487" s="152"/>
      <c r="U487" s="152"/>
      <c r="V487" s="152"/>
      <c r="W487" s="281"/>
      <c r="X487" s="281"/>
      <c r="Y487" s="281"/>
      <c r="Z487" s="281"/>
      <c r="AA487" s="281"/>
      <c r="AB487" s="281"/>
      <c r="AC487" s="281"/>
      <c r="AD487" s="170"/>
      <c r="AE487" s="152"/>
      <c r="AF487" s="152"/>
      <c r="AG487" s="152"/>
      <c r="AH487" s="152"/>
      <c r="AI487" s="152"/>
      <c r="AJ487" s="152"/>
      <c r="AK487" s="152"/>
      <c r="AL487" s="152"/>
      <c r="AM487" s="152"/>
      <c r="AN487" s="152"/>
      <c r="AO487" s="152"/>
    </row>
    <row r="488" ht="12.75" customHeight="1">
      <c r="A488" s="288"/>
      <c r="B488" s="288"/>
      <c r="C488" s="288"/>
      <c r="D488" s="152"/>
      <c r="E488" s="289"/>
      <c r="F488" s="288"/>
      <c r="G488" s="152"/>
      <c r="H488" s="289"/>
      <c r="I488" s="289"/>
      <c r="J488" s="152"/>
      <c r="K488" s="152"/>
      <c r="L488" s="156"/>
      <c r="M488" s="152"/>
      <c r="N488" s="152"/>
      <c r="O488" s="152"/>
      <c r="P488" s="152"/>
      <c r="Q488" s="152"/>
      <c r="R488" s="152"/>
      <c r="S488" s="152"/>
      <c r="T488" s="152"/>
      <c r="U488" s="152"/>
      <c r="V488" s="152"/>
      <c r="W488" s="281"/>
      <c r="X488" s="281"/>
      <c r="Y488" s="281"/>
      <c r="Z488" s="281"/>
      <c r="AA488" s="281"/>
      <c r="AB488" s="281"/>
      <c r="AC488" s="281"/>
      <c r="AD488" s="170"/>
      <c r="AE488" s="152"/>
      <c r="AF488" s="152"/>
      <c r="AG488" s="152"/>
      <c r="AH488" s="152"/>
      <c r="AI488" s="152"/>
      <c r="AJ488" s="152"/>
      <c r="AK488" s="152"/>
      <c r="AL488" s="152"/>
      <c r="AM488" s="152"/>
      <c r="AN488" s="152"/>
      <c r="AO488" s="152"/>
    </row>
    <row r="489" ht="12.75" customHeight="1">
      <c r="A489" s="288"/>
      <c r="B489" s="288"/>
      <c r="C489" s="288"/>
      <c r="D489" s="152"/>
      <c r="E489" s="289"/>
      <c r="F489" s="288"/>
      <c r="G489" s="152"/>
      <c r="H489" s="289"/>
      <c r="I489" s="289"/>
      <c r="J489" s="152"/>
      <c r="K489" s="152"/>
      <c r="L489" s="156"/>
      <c r="M489" s="152"/>
      <c r="N489" s="152"/>
      <c r="O489" s="152"/>
      <c r="P489" s="152"/>
      <c r="Q489" s="152"/>
      <c r="R489" s="152"/>
      <c r="S489" s="152"/>
      <c r="T489" s="152"/>
      <c r="U489" s="152"/>
      <c r="V489" s="152"/>
      <c r="W489" s="281"/>
      <c r="X489" s="281"/>
      <c r="Y489" s="281"/>
      <c r="Z489" s="281"/>
      <c r="AA489" s="281"/>
      <c r="AB489" s="281"/>
      <c r="AC489" s="281"/>
      <c r="AD489" s="170"/>
      <c r="AE489" s="152"/>
      <c r="AF489" s="152"/>
      <c r="AG489" s="152"/>
      <c r="AH489" s="152"/>
      <c r="AI489" s="152"/>
      <c r="AJ489" s="152"/>
      <c r="AK489" s="152"/>
      <c r="AL489" s="152"/>
      <c r="AM489" s="152"/>
      <c r="AN489" s="152"/>
      <c r="AO489" s="152"/>
    </row>
    <row r="490" ht="12.75" customHeight="1">
      <c r="A490" s="288"/>
      <c r="B490" s="288"/>
      <c r="C490" s="288"/>
      <c r="D490" s="152"/>
      <c r="E490" s="289"/>
      <c r="F490" s="288"/>
      <c r="G490" s="152"/>
      <c r="H490" s="289"/>
      <c r="I490" s="289"/>
      <c r="J490" s="152"/>
      <c r="K490" s="152"/>
      <c r="L490" s="156"/>
      <c r="M490" s="152"/>
      <c r="N490" s="152"/>
      <c r="O490" s="152"/>
      <c r="P490" s="152"/>
      <c r="Q490" s="152"/>
      <c r="R490" s="152"/>
      <c r="S490" s="152"/>
      <c r="T490" s="152"/>
      <c r="U490" s="152"/>
      <c r="V490" s="152"/>
      <c r="W490" s="281"/>
      <c r="X490" s="281"/>
      <c r="Y490" s="281"/>
      <c r="Z490" s="281"/>
      <c r="AA490" s="281"/>
      <c r="AB490" s="281"/>
      <c r="AC490" s="281"/>
      <c r="AD490" s="170"/>
      <c r="AE490" s="152"/>
      <c r="AF490" s="152"/>
      <c r="AG490" s="152"/>
      <c r="AH490" s="152"/>
      <c r="AI490" s="152"/>
      <c r="AJ490" s="152"/>
      <c r="AK490" s="152"/>
      <c r="AL490" s="152"/>
      <c r="AM490" s="152"/>
      <c r="AN490" s="152"/>
      <c r="AO490" s="152"/>
    </row>
    <row r="491" ht="12.75" customHeight="1">
      <c r="A491" s="288"/>
      <c r="B491" s="288"/>
      <c r="C491" s="288"/>
      <c r="D491" s="152"/>
      <c r="E491" s="289"/>
      <c r="F491" s="288"/>
      <c r="G491" s="152"/>
      <c r="H491" s="289"/>
      <c r="I491" s="289"/>
      <c r="J491" s="152"/>
      <c r="K491" s="152"/>
      <c r="L491" s="156"/>
      <c r="M491" s="152"/>
      <c r="N491" s="152"/>
      <c r="O491" s="152"/>
      <c r="P491" s="152"/>
      <c r="Q491" s="152"/>
      <c r="R491" s="152"/>
      <c r="S491" s="152"/>
      <c r="T491" s="152"/>
      <c r="U491" s="152"/>
      <c r="V491" s="152"/>
      <c r="W491" s="281"/>
      <c r="X491" s="281"/>
      <c r="Y491" s="281"/>
      <c r="Z491" s="281"/>
      <c r="AA491" s="281"/>
      <c r="AB491" s="281"/>
      <c r="AC491" s="281"/>
      <c r="AD491" s="170"/>
      <c r="AE491" s="152"/>
      <c r="AF491" s="152"/>
      <c r="AG491" s="152"/>
      <c r="AH491" s="152"/>
      <c r="AI491" s="152"/>
      <c r="AJ491" s="152"/>
      <c r="AK491" s="152"/>
      <c r="AL491" s="152"/>
      <c r="AM491" s="152"/>
      <c r="AN491" s="152"/>
      <c r="AO491" s="152"/>
    </row>
    <row r="492" ht="12.75" customHeight="1">
      <c r="A492" s="288"/>
      <c r="B492" s="288"/>
      <c r="C492" s="288"/>
      <c r="D492" s="152"/>
      <c r="E492" s="289"/>
      <c r="F492" s="288"/>
      <c r="G492" s="152"/>
      <c r="H492" s="289"/>
      <c r="I492" s="289"/>
      <c r="J492" s="152"/>
      <c r="K492" s="152"/>
      <c r="L492" s="156"/>
      <c r="M492" s="152"/>
      <c r="N492" s="152"/>
      <c r="O492" s="152"/>
      <c r="P492" s="152"/>
      <c r="Q492" s="152"/>
      <c r="R492" s="152"/>
      <c r="S492" s="152"/>
      <c r="T492" s="152"/>
      <c r="U492" s="152"/>
      <c r="V492" s="152"/>
      <c r="W492" s="281"/>
      <c r="X492" s="281"/>
      <c r="Y492" s="281"/>
      <c r="Z492" s="281"/>
      <c r="AA492" s="281"/>
      <c r="AB492" s="281"/>
      <c r="AC492" s="281"/>
      <c r="AD492" s="170"/>
      <c r="AE492" s="152"/>
      <c r="AF492" s="152"/>
      <c r="AG492" s="152"/>
      <c r="AH492" s="152"/>
      <c r="AI492" s="152"/>
      <c r="AJ492" s="152"/>
      <c r="AK492" s="152"/>
      <c r="AL492" s="152"/>
      <c r="AM492" s="152"/>
      <c r="AN492" s="152"/>
      <c r="AO492" s="152"/>
    </row>
    <row r="493" ht="12.75" customHeight="1">
      <c r="A493" s="288"/>
      <c r="B493" s="288"/>
      <c r="C493" s="288"/>
      <c r="D493" s="152"/>
      <c r="E493" s="289"/>
      <c r="F493" s="288"/>
      <c r="G493" s="152"/>
      <c r="H493" s="289"/>
      <c r="I493" s="289"/>
      <c r="J493" s="152"/>
      <c r="K493" s="152"/>
      <c r="L493" s="156"/>
      <c r="M493" s="152"/>
      <c r="N493" s="152"/>
      <c r="O493" s="152"/>
      <c r="P493" s="152"/>
      <c r="Q493" s="152"/>
      <c r="R493" s="152"/>
      <c r="S493" s="152"/>
      <c r="T493" s="152"/>
      <c r="U493" s="152"/>
      <c r="V493" s="152"/>
      <c r="W493" s="281"/>
      <c r="X493" s="281"/>
      <c r="Y493" s="281"/>
      <c r="Z493" s="281"/>
      <c r="AA493" s="281"/>
      <c r="AB493" s="281"/>
      <c r="AC493" s="281"/>
      <c r="AD493" s="170"/>
      <c r="AE493" s="152"/>
      <c r="AF493" s="152"/>
      <c r="AG493" s="152"/>
      <c r="AH493" s="152"/>
      <c r="AI493" s="152"/>
      <c r="AJ493" s="152"/>
      <c r="AK493" s="152"/>
      <c r="AL493" s="152"/>
      <c r="AM493" s="152"/>
      <c r="AN493" s="152"/>
      <c r="AO493" s="152"/>
    </row>
    <row r="494" ht="12.75" customHeight="1">
      <c r="A494" s="288"/>
      <c r="B494" s="288"/>
      <c r="C494" s="288"/>
      <c r="D494" s="152"/>
      <c r="E494" s="289"/>
      <c r="F494" s="288"/>
      <c r="G494" s="152"/>
      <c r="H494" s="289"/>
      <c r="I494" s="289"/>
      <c r="J494" s="152"/>
      <c r="K494" s="152"/>
      <c r="L494" s="156"/>
      <c r="M494" s="152"/>
      <c r="N494" s="152"/>
      <c r="O494" s="152"/>
      <c r="P494" s="152"/>
      <c r="Q494" s="152"/>
      <c r="R494" s="152"/>
      <c r="S494" s="152"/>
      <c r="T494" s="152"/>
      <c r="U494" s="152"/>
      <c r="V494" s="152"/>
      <c r="W494" s="281"/>
      <c r="X494" s="281"/>
      <c r="Y494" s="281"/>
      <c r="Z494" s="281"/>
      <c r="AA494" s="281"/>
      <c r="AB494" s="281"/>
      <c r="AC494" s="281"/>
      <c r="AD494" s="170"/>
      <c r="AE494" s="152"/>
      <c r="AF494" s="152"/>
      <c r="AG494" s="152"/>
      <c r="AH494" s="152"/>
      <c r="AI494" s="152"/>
      <c r="AJ494" s="152"/>
      <c r="AK494" s="152"/>
      <c r="AL494" s="152"/>
      <c r="AM494" s="152"/>
      <c r="AN494" s="152"/>
      <c r="AO494" s="152"/>
    </row>
    <row r="495" ht="12.75" customHeight="1">
      <c r="A495" s="288"/>
      <c r="B495" s="288"/>
      <c r="C495" s="288"/>
      <c r="D495" s="152"/>
      <c r="E495" s="289"/>
      <c r="F495" s="288"/>
      <c r="G495" s="152"/>
      <c r="H495" s="289"/>
      <c r="I495" s="289"/>
      <c r="J495" s="152"/>
      <c r="K495" s="152"/>
      <c r="L495" s="156"/>
      <c r="M495" s="152"/>
      <c r="N495" s="152"/>
      <c r="O495" s="152"/>
      <c r="P495" s="152"/>
      <c r="Q495" s="152"/>
      <c r="R495" s="152"/>
      <c r="S495" s="152"/>
      <c r="T495" s="152"/>
      <c r="U495" s="152"/>
      <c r="V495" s="152"/>
      <c r="W495" s="281"/>
      <c r="X495" s="281"/>
      <c r="Y495" s="281"/>
      <c r="Z495" s="281"/>
      <c r="AA495" s="281"/>
      <c r="AB495" s="281"/>
      <c r="AC495" s="281"/>
      <c r="AD495" s="170"/>
      <c r="AE495" s="152"/>
      <c r="AF495" s="152"/>
      <c r="AG495" s="152"/>
      <c r="AH495" s="152"/>
      <c r="AI495" s="152"/>
      <c r="AJ495" s="152"/>
      <c r="AK495" s="152"/>
      <c r="AL495" s="152"/>
      <c r="AM495" s="152"/>
      <c r="AN495" s="152"/>
      <c r="AO495" s="152"/>
    </row>
    <row r="496" ht="12.75" customHeight="1">
      <c r="A496" s="288"/>
      <c r="B496" s="288"/>
      <c r="C496" s="288"/>
      <c r="D496" s="152"/>
      <c r="E496" s="289"/>
      <c r="F496" s="288"/>
      <c r="G496" s="152"/>
      <c r="H496" s="289"/>
      <c r="I496" s="289"/>
      <c r="J496" s="152"/>
      <c r="K496" s="152"/>
      <c r="L496" s="156"/>
      <c r="M496" s="152"/>
      <c r="N496" s="152"/>
      <c r="O496" s="152"/>
      <c r="P496" s="152"/>
      <c r="Q496" s="152"/>
      <c r="R496" s="152"/>
      <c r="S496" s="152"/>
      <c r="T496" s="152"/>
      <c r="U496" s="152"/>
      <c r="V496" s="152"/>
      <c r="W496" s="281"/>
      <c r="X496" s="281"/>
      <c r="Y496" s="281"/>
      <c r="Z496" s="281"/>
      <c r="AA496" s="281"/>
      <c r="AB496" s="281"/>
      <c r="AC496" s="281"/>
      <c r="AD496" s="170"/>
      <c r="AE496" s="152"/>
      <c r="AF496" s="152"/>
      <c r="AG496" s="152"/>
      <c r="AH496" s="152"/>
      <c r="AI496" s="152"/>
      <c r="AJ496" s="152"/>
      <c r="AK496" s="152"/>
      <c r="AL496" s="152"/>
      <c r="AM496" s="152"/>
      <c r="AN496" s="152"/>
      <c r="AO496" s="152"/>
    </row>
    <row r="497" ht="12.75" customHeight="1">
      <c r="A497" s="288"/>
      <c r="B497" s="288"/>
      <c r="C497" s="288"/>
      <c r="D497" s="152"/>
      <c r="E497" s="289"/>
      <c r="F497" s="288"/>
      <c r="G497" s="152"/>
      <c r="H497" s="289"/>
      <c r="I497" s="289"/>
      <c r="J497" s="152"/>
      <c r="K497" s="152"/>
      <c r="L497" s="156"/>
      <c r="M497" s="152"/>
      <c r="N497" s="152"/>
      <c r="O497" s="152"/>
      <c r="P497" s="152"/>
      <c r="Q497" s="152"/>
      <c r="R497" s="152"/>
      <c r="S497" s="152"/>
      <c r="T497" s="152"/>
      <c r="U497" s="152"/>
      <c r="V497" s="152"/>
      <c r="W497" s="281"/>
      <c r="X497" s="281"/>
      <c r="Y497" s="281"/>
      <c r="Z497" s="281"/>
      <c r="AA497" s="281"/>
      <c r="AB497" s="281"/>
      <c r="AC497" s="281"/>
      <c r="AD497" s="170"/>
      <c r="AE497" s="152"/>
      <c r="AF497" s="152"/>
      <c r="AG497" s="152"/>
      <c r="AH497" s="152"/>
      <c r="AI497" s="152"/>
      <c r="AJ497" s="152"/>
      <c r="AK497" s="152"/>
      <c r="AL497" s="152"/>
      <c r="AM497" s="152"/>
      <c r="AN497" s="152"/>
      <c r="AO497" s="152"/>
    </row>
    <row r="498" ht="12.75" customHeight="1">
      <c r="A498" s="288"/>
      <c r="B498" s="288"/>
      <c r="C498" s="288"/>
      <c r="D498" s="152"/>
      <c r="E498" s="289"/>
      <c r="F498" s="288"/>
      <c r="G498" s="152"/>
      <c r="H498" s="289"/>
      <c r="I498" s="289"/>
      <c r="J498" s="152"/>
      <c r="K498" s="152"/>
      <c r="L498" s="156"/>
      <c r="M498" s="152"/>
      <c r="N498" s="152"/>
      <c r="O498" s="152"/>
      <c r="P498" s="152"/>
      <c r="Q498" s="152"/>
      <c r="R498" s="152"/>
      <c r="S498" s="152"/>
      <c r="T498" s="152"/>
      <c r="U498" s="152"/>
      <c r="V498" s="152"/>
      <c r="W498" s="281"/>
      <c r="X498" s="281"/>
      <c r="Y498" s="281"/>
      <c r="Z498" s="281"/>
      <c r="AA498" s="281"/>
      <c r="AB498" s="281"/>
      <c r="AC498" s="281"/>
      <c r="AD498" s="170"/>
      <c r="AE498" s="152"/>
      <c r="AF498" s="152"/>
      <c r="AG498" s="152"/>
      <c r="AH498" s="152"/>
      <c r="AI498" s="152"/>
      <c r="AJ498" s="152"/>
      <c r="AK498" s="152"/>
      <c r="AL498" s="152"/>
      <c r="AM498" s="152"/>
      <c r="AN498" s="152"/>
      <c r="AO498" s="152"/>
    </row>
    <row r="499" ht="12.75" customHeight="1">
      <c r="A499" s="288"/>
      <c r="B499" s="288"/>
      <c r="C499" s="288"/>
      <c r="D499" s="152"/>
      <c r="E499" s="289"/>
      <c r="F499" s="288"/>
      <c r="G499" s="152"/>
      <c r="H499" s="289"/>
      <c r="I499" s="289"/>
      <c r="J499" s="152"/>
      <c r="K499" s="152"/>
      <c r="L499" s="156"/>
      <c r="M499" s="152"/>
      <c r="N499" s="152"/>
      <c r="O499" s="152"/>
      <c r="P499" s="152"/>
      <c r="Q499" s="152"/>
      <c r="R499" s="152"/>
      <c r="S499" s="152"/>
      <c r="T499" s="152"/>
      <c r="U499" s="152"/>
      <c r="V499" s="152"/>
      <c r="W499" s="281"/>
      <c r="X499" s="281"/>
      <c r="Y499" s="281"/>
      <c r="Z499" s="281"/>
      <c r="AA499" s="281"/>
      <c r="AB499" s="281"/>
      <c r="AC499" s="281"/>
      <c r="AD499" s="170"/>
      <c r="AE499" s="152"/>
      <c r="AF499" s="152"/>
      <c r="AG499" s="152"/>
      <c r="AH499" s="152"/>
      <c r="AI499" s="152"/>
      <c r="AJ499" s="152"/>
      <c r="AK499" s="152"/>
      <c r="AL499" s="152"/>
      <c r="AM499" s="152"/>
      <c r="AN499" s="152"/>
      <c r="AO499" s="152"/>
    </row>
    <row r="500" ht="12.75" customHeight="1">
      <c r="A500" s="288"/>
      <c r="B500" s="288"/>
      <c r="C500" s="288"/>
      <c r="D500" s="152"/>
      <c r="E500" s="289"/>
      <c r="F500" s="288"/>
      <c r="G500" s="152"/>
      <c r="H500" s="289"/>
      <c r="I500" s="289"/>
      <c r="J500" s="152"/>
      <c r="K500" s="152"/>
      <c r="L500" s="156"/>
      <c r="M500" s="152"/>
      <c r="N500" s="152"/>
      <c r="O500" s="152"/>
      <c r="P500" s="152"/>
      <c r="Q500" s="152"/>
      <c r="R500" s="152"/>
      <c r="S500" s="152"/>
      <c r="T500" s="152"/>
      <c r="U500" s="152"/>
      <c r="V500" s="152"/>
      <c r="W500" s="281"/>
      <c r="X500" s="281"/>
      <c r="Y500" s="281"/>
      <c r="Z500" s="281"/>
      <c r="AA500" s="281"/>
      <c r="AB500" s="281"/>
      <c r="AC500" s="281"/>
      <c r="AD500" s="170"/>
      <c r="AE500" s="152"/>
      <c r="AF500" s="152"/>
      <c r="AG500" s="152"/>
      <c r="AH500" s="152"/>
      <c r="AI500" s="152"/>
      <c r="AJ500" s="152"/>
      <c r="AK500" s="152"/>
      <c r="AL500" s="152"/>
      <c r="AM500" s="152"/>
      <c r="AN500" s="152"/>
      <c r="AO500" s="152"/>
    </row>
    <row r="501" ht="12.75" customHeight="1">
      <c r="A501" s="288"/>
      <c r="B501" s="288"/>
      <c r="C501" s="288"/>
      <c r="D501" s="152"/>
      <c r="E501" s="289"/>
      <c r="F501" s="288"/>
      <c r="G501" s="152"/>
      <c r="H501" s="289"/>
      <c r="I501" s="289"/>
      <c r="J501" s="152"/>
      <c r="K501" s="152"/>
      <c r="L501" s="156"/>
      <c r="M501" s="152"/>
      <c r="N501" s="152"/>
      <c r="O501" s="152"/>
      <c r="P501" s="152"/>
      <c r="Q501" s="152"/>
      <c r="R501" s="152"/>
      <c r="S501" s="152"/>
      <c r="T501" s="152"/>
      <c r="U501" s="152"/>
      <c r="V501" s="152"/>
      <c r="W501" s="281"/>
      <c r="X501" s="281"/>
      <c r="Y501" s="281"/>
      <c r="Z501" s="281"/>
      <c r="AA501" s="281"/>
      <c r="AB501" s="281"/>
      <c r="AC501" s="281"/>
      <c r="AD501" s="170"/>
      <c r="AE501" s="152"/>
      <c r="AF501" s="152"/>
      <c r="AG501" s="152"/>
      <c r="AH501" s="152"/>
      <c r="AI501" s="152"/>
      <c r="AJ501" s="152"/>
      <c r="AK501" s="152"/>
      <c r="AL501" s="152"/>
      <c r="AM501" s="152"/>
      <c r="AN501" s="152"/>
      <c r="AO501" s="152"/>
    </row>
    <row r="502" ht="12.75" customHeight="1">
      <c r="A502" s="288"/>
      <c r="B502" s="288"/>
      <c r="C502" s="288"/>
      <c r="D502" s="152"/>
      <c r="E502" s="289"/>
      <c r="F502" s="288"/>
      <c r="G502" s="152"/>
      <c r="H502" s="289"/>
      <c r="I502" s="289"/>
      <c r="J502" s="152"/>
      <c r="K502" s="152"/>
      <c r="L502" s="156"/>
      <c r="M502" s="152"/>
      <c r="N502" s="152"/>
      <c r="O502" s="152"/>
      <c r="P502" s="152"/>
      <c r="Q502" s="152"/>
      <c r="R502" s="152"/>
      <c r="S502" s="152"/>
      <c r="T502" s="152"/>
      <c r="U502" s="152"/>
      <c r="V502" s="152"/>
      <c r="W502" s="281"/>
      <c r="X502" s="281"/>
      <c r="Y502" s="281"/>
      <c r="Z502" s="281"/>
      <c r="AA502" s="281"/>
      <c r="AB502" s="281"/>
      <c r="AC502" s="281"/>
      <c r="AD502" s="170"/>
      <c r="AE502" s="152"/>
      <c r="AF502" s="152"/>
      <c r="AG502" s="152"/>
      <c r="AH502" s="152"/>
      <c r="AI502" s="152"/>
      <c r="AJ502" s="152"/>
      <c r="AK502" s="152"/>
      <c r="AL502" s="152"/>
      <c r="AM502" s="152"/>
      <c r="AN502" s="152"/>
      <c r="AO502" s="152"/>
    </row>
    <row r="503" ht="12.75" customHeight="1">
      <c r="A503" s="288"/>
      <c r="B503" s="288"/>
      <c r="C503" s="288"/>
      <c r="D503" s="152"/>
      <c r="E503" s="289"/>
      <c r="F503" s="288"/>
      <c r="G503" s="152"/>
      <c r="H503" s="289"/>
      <c r="I503" s="289"/>
      <c r="J503" s="152"/>
      <c r="K503" s="152"/>
      <c r="L503" s="156"/>
      <c r="M503" s="152"/>
      <c r="N503" s="152"/>
      <c r="O503" s="152"/>
      <c r="P503" s="152"/>
      <c r="Q503" s="152"/>
      <c r="R503" s="152"/>
      <c r="S503" s="152"/>
      <c r="T503" s="152"/>
      <c r="U503" s="152"/>
      <c r="V503" s="152"/>
      <c r="W503" s="281"/>
      <c r="X503" s="281"/>
      <c r="Y503" s="281"/>
      <c r="Z503" s="281"/>
      <c r="AA503" s="281"/>
      <c r="AB503" s="281"/>
      <c r="AC503" s="281"/>
      <c r="AD503" s="170"/>
      <c r="AE503" s="152"/>
      <c r="AF503" s="152"/>
      <c r="AG503" s="152"/>
      <c r="AH503" s="152"/>
      <c r="AI503" s="152"/>
      <c r="AJ503" s="152"/>
      <c r="AK503" s="152"/>
      <c r="AL503" s="152"/>
      <c r="AM503" s="152"/>
      <c r="AN503" s="152"/>
      <c r="AO503" s="152"/>
    </row>
    <row r="504" ht="12.75" customHeight="1">
      <c r="A504" s="288"/>
      <c r="B504" s="288"/>
      <c r="C504" s="288"/>
      <c r="D504" s="152"/>
      <c r="E504" s="289"/>
      <c r="F504" s="288"/>
      <c r="G504" s="152"/>
      <c r="H504" s="289"/>
      <c r="I504" s="289"/>
      <c r="J504" s="152"/>
      <c r="K504" s="152"/>
      <c r="L504" s="156"/>
      <c r="M504" s="152"/>
      <c r="N504" s="152"/>
      <c r="O504" s="152"/>
      <c r="P504" s="152"/>
      <c r="Q504" s="152"/>
      <c r="R504" s="152"/>
      <c r="S504" s="152"/>
      <c r="T504" s="152"/>
      <c r="U504" s="152"/>
      <c r="V504" s="152"/>
      <c r="W504" s="281"/>
      <c r="X504" s="281"/>
      <c r="Y504" s="281"/>
      <c r="Z504" s="281"/>
      <c r="AA504" s="281"/>
      <c r="AB504" s="281"/>
      <c r="AC504" s="281"/>
      <c r="AD504" s="170"/>
      <c r="AE504" s="152"/>
      <c r="AF504" s="152"/>
      <c r="AG504" s="152"/>
      <c r="AH504" s="152"/>
      <c r="AI504" s="152"/>
      <c r="AJ504" s="152"/>
      <c r="AK504" s="152"/>
      <c r="AL504" s="152"/>
      <c r="AM504" s="152"/>
      <c r="AN504" s="152"/>
      <c r="AO504" s="152"/>
    </row>
    <row r="505" ht="12.75" customHeight="1">
      <c r="A505" s="288"/>
      <c r="B505" s="288"/>
      <c r="C505" s="288"/>
      <c r="D505" s="152"/>
      <c r="E505" s="289"/>
      <c r="F505" s="288"/>
      <c r="G505" s="152"/>
      <c r="H505" s="289"/>
      <c r="I505" s="289"/>
      <c r="J505" s="152"/>
      <c r="K505" s="152"/>
      <c r="L505" s="156"/>
      <c r="M505" s="152"/>
      <c r="N505" s="152"/>
      <c r="O505" s="152"/>
      <c r="P505" s="152"/>
      <c r="Q505" s="152"/>
      <c r="R505" s="152"/>
      <c r="S505" s="152"/>
      <c r="T505" s="152"/>
      <c r="U505" s="152"/>
      <c r="V505" s="152"/>
      <c r="W505" s="281"/>
      <c r="X505" s="281"/>
      <c r="Y505" s="281"/>
      <c r="Z505" s="281"/>
      <c r="AA505" s="281"/>
      <c r="AB505" s="281"/>
      <c r="AC505" s="281"/>
      <c r="AD505" s="170"/>
      <c r="AE505" s="152"/>
      <c r="AF505" s="152"/>
      <c r="AG505" s="152"/>
      <c r="AH505" s="152"/>
      <c r="AI505" s="152"/>
      <c r="AJ505" s="152"/>
      <c r="AK505" s="152"/>
      <c r="AL505" s="152"/>
      <c r="AM505" s="152"/>
      <c r="AN505" s="152"/>
      <c r="AO505" s="152"/>
    </row>
    <row r="506" ht="12.75" customHeight="1">
      <c r="A506" s="288"/>
      <c r="B506" s="288"/>
      <c r="C506" s="288"/>
      <c r="D506" s="152"/>
      <c r="E506" s="289"/>
      <c r="F506" s="288"/>
      <c r="G506" s="152"/>
      <c r="H506" s="289"/>
      <c r="I506" s="289"/>
      <c r="J506" s="152"/>
      <c r="K506" s="152"/>
      <c r="L506" s="156"/>
      <c r="M506" s="152"/>
      <c r="N506" s="152"/>
      <c r="O506" s="152"/>
      <c r="P506" s="152"/>
      <c r="Q506" s="152"/>
      <c r="R506" s="152"/>
      <c r="S506" s="152"/>
      <c r="T506" s="152"/>
      <c r="U506" s="152"/>
      <c r="V506" s="152"/>
      <c r="W506" s="281"/>
      <c r="X506" s="281"/>
      <c r="Y506" s="281"/>
      <c r="Z506" s="281"/>
      <c r="AA506" s="281"/>
      <c r="AB506" s="281"/>
      <c r="AC506" s="281"/>
      <c r="AD506" s="170"/>
      <c r="AE506" s="152"/>
      <c r="AF506" s="152"/>
      <c r="AG506" s="152"/>
      <c r="AH506" s="152"/>
      <c r="AI506" s="152"/>
      <c r="AJ506" s="152"/>
      <c r="AK506" s="152"/>
      <c r="AL506" s="152"/>
      <c r="AM506" s="152"/>
      <c r="AN506" s="152"/>
      <c r="AO506" s="152"/>
    </row>
    <row r="507" ht="12.75" customHeight="1">
      <c r="A507" s="288"/>
      <c r="B507" s="288"/>
      <c r="C507" s="288"/>
      <c r="D507" s="152"/>
      <c r="E507" s="289"/>
      <c r="F507" s="288"/>
      <c r="G507" s="152"/>
      <c r="H507" s="289"/>
      <c r="I507" s="289"/>
      <c r="J507" s="152"/>
      <c r="K507" s="152"/>
      <c r="L507" s="156"/>
      <c r="M507" s="152"/>
      <c r="N507" s="152"/>
      <c r="O507" s="152"/>
      <c r="P507" s="152"/>
      <c r="Q507" s="152"/>
      <c r="R507" s="152"/>
      <c r="S507" s="152"/>
      <c r="T507" s="152"/>
      <c r="U507" s="152"/>
      <c r="V507" s="152"/>
      <c r="W507" s="281"/>
      <c r="X507" s="281"/>
      <c r="Y507" s="281"/>
      <c r="Z507" s="281"/>
      <c r="AA507" s="281"/>
      <c r="AB507" s="281"/>
      <c r="AC507" s="281"/>
      <c r="AD507" s="170"/>
      <c r="AE507" s="152"/>
      <c r="AF507" s="152"/>
      <c r="AG507" s="152"/>
      <c r="AH507" s="152"/>
      <c r="AI507" s="152"/>
      <c r="AJ507" s="152"/>
      <c r="AK507" s="152"/>
      <c r="AL507" s="152"/>
      <c r="AM507" s="152"/>
      <c r="AN507" s="152"/>
      <c r="AO507" s="152"/>
    </row>
    <row r="508" ht="12.75" customHeight="1">
      <c r="A508" s="288"/>
      <c r="B508" s="288"/>
      <c r="C508" s="288"/>
      <c r="D508" s="152"/>
      <c r="E508" s="289"/>
      <c r="F508" s="288"/>
      <c r="G508" s="152"/>
      <c r="H508" s="289"/>
      <c r="I508" s="289"/>
      <c r="J508" s="152"/>
      <c r="K508" s="152"/>
      <c r="L508" s="156"/>
      <c r="M508" s="152"/>
      <c r="N508" s="152"/>
      <c r="O508" s="152"/>
      <c r="P508" s="152"/>
      <c r="Q508" s="152"/>
      <c r="R508" s="152"/>
      <c r="S508" s="152"/>
      <c r="T508" s="152"/>
      <c r="U508" s="152"/>
      <c r="V508" s="152"/>
      <c r="W508" s="281"/>
      <c r="X508" s="281"/>
      <c r="Y508" s="281"/>
      <c r="Z508" s="281"/>
      <c r="AA508" s="281"/>
      <c r="AB508" s="281"/>
      <c r="AC508" s="281"/>
      <c r="AD508" s="170"/>
      <c r="AE508" s="152"/>
      <c r="AF508" s="152"/>
      <c r="AG508" s="152"/>
      <c r="AH508" s="152"/>
      <c r="AI508" s="152"/>
      <c r="AJ508" s="152"/>
      <c r="AK508" s="152"/>
      <c r="AL508" s="152"/>
      <c r="AM508" s="152"/>
      <c r="AN508" s="152"/>
      <c r="AO508" s="152"/>
    </row>
    <row r="509" ht="12.75" customHeight="1">
      <c r="A509" s="288"/>
      <c r="B509" s="288"/>
      <c r="C509" s="288"/>
      <c r="D509" s="152"/>
      <c r="E509" s="289"/>
      <c r="F509" s="288"/>
      <c r="G509" s="152"/>
      <c r="H509" s="289"/>
      <c r="I509" s="289"/>
      <c r="J509" s="152"/>
      <c r="K509" s="152"/>
      <c r="L509" s="156"/>
      <c r="M509" s="152"/>
      <c r="N509" s="152"/>
      <c r="O509" s="152"/>
      <c r="P509" s="152"/>
      <c r="Q509" s="152"/>
      <c r="R509" s="152"/>
      <c r="S509" s="152"/>
      <c r="T509" s="152"/>
      <c r="U509" s="152"/>
      <c r="V509" s="152"/>
      <c r="W509" s="281"/>
      <c r="X509" s="281"/>
      <c r="Y509" s="281"/>
      <c r="Z509" s="281"/>
      <c r="AA509" s="281"/>
      <c r="AB509" s="281"/>
      <c r="AC509" s="281"/>
      <c r="AD509" s="170"/>
      <c r="AE509" s="152"/>
      <c r="AF509" s="152"/>
      <c r="AG509" s="152"/>
      <c r="AH509" s="152"/>
      <c r="AI509" s="152"/>
      <c r="AJ509" s="152"/>
      <c r="AK509" s="152"/>
      <c r="AL509" s="152"/>
      <c r="AM509" s="152"/>
      <c r="AN509" s="152"/>
      <c r="AO509" s="152"/>
    </row>
    <row r="510" ht="12.75" customHeight="1">
      <c r="A510" s="288"/>
      <c r="B510" s="288"/>
      <c r="C510" s="288"/>
      <c r="D510" s="152"/>
      <c r="E510" s="289"/>
      <c r="F510" s="288"/>
      <c r="G510" s="152"/>
      <c r="H510" s="289"/>
      <c r="I510" s="289"/>
      <c r="J510" s="152"/>
      <c r="K510" s="152"/>
      <c r="L510" s="156"/>
      <c r="M510" s="152"/>
      <c r="N510" s="152"/>
      <c r="O510" s="152"/>
      <c r="P510" s="152"/>
      <c r="Q510" s="152"/>
      <c r="R510" s="152"/>
      <c r="S510" s="152"/>
      <c r="T510" s="152"/>
      <c r="U510" s="152"/>
      <c r="V510" s="152"/>
      <c r="W510" s="281"/>
      <c r="X510" s="281"/>
      <c r="Y510" s="281"/>
      <c r="Z510" s="281"/>
      <c r="AA510" s="281"/>
      <c r="AB510" s="281"/>
      <c r="AC510" s="281"/>
      <c r="AD510" s="170"/>
      <c r="AE510" s="152"/>
      <c r="AF510" s="152"/>
      <c r="AG510" s="152"/>
      <c r="AH510" s="152"/>
      <c r="AI510" s="152"/>
      <c r="AJ510" s="152"/>
      <c r="AK510" s="152"/>
      <c r="AL510" s="152"/>
      <c r="AM510" s="152"/>
      <c r="AN510" s="152"/>
      <c r="AO510" s="152"/>
    </row>
    <row r="511" ht="12.75" customHeight="1">
      <c r="A511" s="288"/>
      <c r="B511" s="288"/>
      <c r="C511" s="288"/>
      <c r="D511" s="152"/>
      <c r="E511" s="289"/>
      <c r="F511" s="288"/>
      <c r="G511" s="152"/>
      <c r="H511" s="289"/>
      <c r="I511" s="289"/>
      <c r="J511" s="152"/>
      <c r="K511" s="152"/>
      <c r="L511" s="156"/>
      <c r="M511" s="152"/>
      <c r="N511" s="152"/>
      <c r="O511" s="152"/>
      <c r="P511" s="152"/>
      <c r="Q511" s="152"/>
      <c r="R511" s="152"/>
      <c r="S511" s="152"/>
      <c r="T511" s="152"/>
      <c r="U511" s="152"/>
      <c r="V511" s="152"/>
      <c r="W511" s="281"/>
      <c r="X511" s="281"/>
      <c r="Y511" s="281"/>
      <c r="Z511" s="281"/>
      <c r="AA511" s="281"/>
      <c r="AB511" s="281"/>
      <c r="AC511" s="281"/>
      <c r="AD511" s="170"/>
      <c r="AE511" s="152"/>
      <c r="AF511" s="152"/>
      <c r="AG511" s="152"/>
      <c r="AH511" s="152"/>
      <c r="AI511" s="152"/>
      <c r="AJ511" s="152"/>
      <c r="AK511" s="152"/>
      <c r="AL511" s="152"/>
      <c r="AM511" s="152"/>
      <c r="AN511" s="152"/>
      <c r="AO511" s="152"/>
    </row>
    <row r="512" ht="12.75" customHeight="1">
      <c r="A512" s="288"/>
      <c r="B512" s="288"/>
      <c r="C512" s="288"/>
      <c r="D512" s="152"/>
      <c r="E512" s="289"/>
      <c r="F512" s="288"/>
      <c r="G512" s="152"/>
      <c r="H512" s="289"/>
      <c r="I512" s="289"/>
      <c r="J512" s="152"/>
      <c r="K512" s="152"/>
      <c r="L512" s="156"/>
      <c r="M512" s="152"/>
      <c r="N512" s="152"/>
      <c r="O512" s="152"/>
      <c r="P512" s="152"/>
      <c r="Q512" s="152"/>
      <c r="R512" s="152"/>
      <c r="S512" s="152"/>
      <c r="T512" s="152"/>
      <c r="U512" s="152"/>
      <c r="V512" s="152"/>
      <c r="W512" s="281"/>
      <c r="X512" s="281"/>
      <c r="Y512" s="281"/>
      <c r="Z512" s="281"/>
      <c r="AA512" s="281"/>
      <c r="AB512" s="281"/>
      <c r="AC512" s="281"/>
      <c r="AD512" s="170"/>
      <c r="AE512" s="152"/>
      <c r="AF512" s="152"/>
      <c r="AG512" s="152"/>
      <c r="AH512" s="152"/>
      <c r="AI512" s="152"/>
      <c r="AJ512" s="152"/>
      <c r="AK512" s="152"/>
      <c r="AL512" s="152"/>
      <c r="AM512" s="152"/>
      <c r="AN512" s="152"/>
      <c r="AO512" s="152"/>
    </row>
    <row r="513" ht="12.75" customHeight="1">
      <c r="A513" s="288"/>
      <c r="B513" s="288"/>
      <c r="C513" s="288"/>
      <c r="D513" s="152"/>
      <c r="E513" s="289"/>
      <c r="F513" s="288"/>
      <c r="G513" s="152"/>
      <c r="H513" s="289"/>
      <c r="I513" s="289"/>
      <c r="J513" s="152"/>
      <c r="K513" s="152"/>
      <c r="L513" s="156"/>
      <c r="M513" s="152"/>
      <c r="N513" s="152"/>
      <c r="O513" s="152"/>
      <c r="P513" s="152"/>
      <c r="Q513" s="152"/>
      <c r="R513" s="152"/>
      <c r="S513" s="152"/>
      <c r="T513" s="152"/>
      <c r="U513" s="152"/>
      <c r="V513" s="152"/>
      <c r="W513" s="281"/>
      <c r="X513" s="281"/>
      <c r="Y513" s="281"/>
      <c r="Z513" s="281"/>
      <c r="AA513" s="281"/>
      <c r="AB513" s="281"/>
      <c r="AC513" s="281"/>
      <c r="AD513" s="170"/>
      <c r="AE513" s="152"/>
      <c r="AF513" s="152"/>
      <c r="AG513" s="152"/>
      <c r="AH513" s="152"/>
      <c r="AI513" s="152"/>
      <c r="AJ513" s="152"/>
      <c r="AK513" s="152"/>
      <c r="AL513" s="152"/>
      <c r="AM513" s="152"/>
      <c r="AN513" s="152"/>
      <c r="AO513" s="152"/>
    </row>
    <row r="514" ht="12.75" customHeight="1">
      <c r="A514" s="288"/>
      <c r="B514" s="288"/>
      <c r="C514" s="288"/>
      <c r="D514" s="152"/>
      <c r="E514" s="289"/>
      <c r="F514" s="288"/>
      <c r="G514" s="152"/>
      <c r="H514" s="289"/>
      <c r="I514" s="289"/>
      <c r="J514" s="152"/>
      <c r="K514" s="152"/>
      <c r="L514" s="156"/>
      <c r="M514" s="152"/>
      <c r="N514" s="152"/>
      <c r="O514" s="152"/>
      <c r="P514" s="152"/>
      <c r="Q514" s="152"/>
      <c r="R514" s="152"/>
      <c r="S514" s="152"/>
      <c r="T514" s="152"/>
      <c r="U514" s="152"/>
      <c r="V514" s="152"/>
      <c r="W514" s="281"/>
      <c r="X514" s="281"/>
      <c r="Y514" s="281"/>
      <c r="Z514" s="281"/>
      <c r="AA514" s="281"/>
      <c r="AB514" s="281"/>
      <c r="AC514" s="281"/>
      <c r="AD514" s="170"/>
      <c r="AE514" s="152"/>
      <c r="AF514" s="152"/>
      <c r="AG514" s="152"/>
      <c r="AH514" s="152"/>
      <c r="AI514" s="152"/>
      <c r="AJ514" s="152"/>
      <c r="AK514" s="152"/>
      <c r="AL514" s="152"/>
      <c r="AM514" s="152"/>
      <c r="AN514" s="152"/>
      <c r="AO514" s="152"/>
    </row>
    <row r="515" ht="12.75" customHeight="1">
      <c r="A515" s="288"/>
      <c r="B515" s="288"/>
      <c r="C515" s="288"/>
      <c r="D515" s="152"/>
      <c r="E515" s="289"/>
      <c r="F515" s="288"/>
      <c r="G515" s="152"/>
      <c r="H515" s="289"/>
      <c r="I515" s="289"/>
      <c r="J515" s="152"/>
      <c r="K515" s="152"/>
      <c r="L515" s="156"/>
      <c r="M515" s="152"/>
      <c r="N515" s="152"/>
      <c r="O515" s="152"/>
      <c r="P515" s="152"/>
      <c r="Q515" s="152"/>
      <c r="R515" s="152"/>
      <c r="S515" s="152"/>
      <c r="T515" s="152"/>
      <c r="U515" s="152"/>
      <c r="V515" s="152"/>
      <c r="W515" s="281"/>
      <c r="X515" s="281"/>
      <c r="Y515" s="281"/>
      <c r="Z515" s="281"/>
      <c r="AA515" s="281"/>
      <c r="AB515" s="281"/>
      <c r="AC515" s="281"/>
      <c r="AD515" s="170"/>
      <c r="AE515" s="152"/>
      <c r="AF515" s="152"/>
      <c r="AG515" s="152"/>
      <c r="AH515" s="152"/>
      <c r="AI515" s="152"/>
      <c r="AJ515" s="152"/>
      <c r="AK515" s="152"/>
      <c r="AL515" s="152"/>
      <c r="AM515" s="152"/>
      <c r="AN515" s="152"/>
      <c r="AO515" s="152"/>
    </row>
    <row r="516" ht="12.75" customHeight="1">
      <c r="A516" s="288"/>
      <c r="B516" s="288"/>
      <c r="C516" s="288"/>
      <c r="D516" s="152"/>
      <c r="E516" s="289"/>
      <c r="F516" s="288"/>
      <c r="G516" s="152"/>
      <c r="H516" s="289"/>
      <c r="I516" s="289"/>
      <c r="J516" s="152"/>
      <c r="K516" s="152"/>
      <c r="L516" s="156"/>
      <c r="M516" s="152"/>
      <c r="N516" s="152"/>
      <c r="O516" s="152"/>
      <c r="P516" s="152"/>
      <c r="Q516" s="152"/>
      <c r="R516" s="152"/>
      <c r="S516" s="152"/>
      <c r="T516" s="152"/>
      <c r="U516" s="152"/>
      <c r="V516" s="152"/>
      <c r="W516" s="281"/>
      <c r="X516" s="281"/>
      <c r="Y516" s="281"/>
      <c r="Z516" s="281"/>
      <c r="AA516" s="281"/>
      <c r="AB516" s="281"/>
      <c r="AC516" s="281"/>
      <c r="AD516" s="170"/>
      <c r="AE516" s="152"/>
      <c r="AF516" s="152"/>
      <c r="AG516" s="152"/>
      <c r="AH516" s="152"/>
      <c r="AI516" s="152"/>
      <c r="AJ516" s="152"/>
      <c r="AK516" s="152"/>
      <c r="AL516" s="152"/>
      <c r="AM516" s="152"/>
      <c r="AN516" s="152"/>
      <c r="AO516" s="152"/>
    </row>
    <row r="517" ht="12.75" customHeight="1">
      <c r="A517" s="288"/>
      <c r="B517" s="288"/>
      <c r="C517" s="288"/>
      <c r="D517" s="152"/>
      <c r="E517" s="289"/>
      <c r="F517" s="288"/>
      <c r="G517" s="152"/>
      <c r="H517" s="289"/>
      <c r="I517" s="289"/>
      <c r="J517" s="152"/>
      <c r="K517" s="152"/>
      <c r="L517" s="156"/>
      <c r="M517" s="152"/>
      <c r="N517" s="152"/>
      <c r="O517" s="152"/>
      <c r="P517" s="152"/>
      <c r="Q517" s="152"/>
      <c r="R517" s="152"/>
      <c r="S517" s="152"/>
      <c r="T517" s="152"/>
      <c r="U517" s="152"/>
      <c r="V517" s="152"/>
      <c r="W517" s="281"/>
      <c r="X517" s="281"/>
      <c r="Y517" s="281"/>
      <c r="Z517" s="281"/>
      <c r="AA517" s="281"/>
      <c r="AB517" s="281"/>
      <c r="AC517" s="281"/>
      <c r="AD517" s="170"/>
      <c r="AE517" s="152"/>
      <c r="AF517" s="152"/>
      <c r="AG517" s="152"/>
      <c r="AH517" s="152"/>
      <c r="AI517" s="152"/>
      <c r="AJ517" s="152"/>
      <c r="AK517" s="152"/>
      <c r="AL517" s="152"/>
      <c r="AM517" s="152"/>
      <c r="AN517" s="152"/>
      <c r="AO517" s="152"/>
    </row>
    <row r="518" ht="12.75" customHeight="1">
      <c r="A518" s="288"/>
      <c r="B518" s="288"/>
      <c r="C518" s="288"/>
      <c r="D518" s="152"/>
      <c r="E518" s="289"/>
      <c r="F518" s="288"/>
      <c r="G518" s="152"/>
      <c r="H518" s="289"/>
      <c r="I518" s="289"/>
      <c r="J518" s="152"/>
      <c r="K518" s="152"/>
      <c r="L518" s="156"/>
      <c r="M518" s="152"/>
      <c r="N518" s="152"/>
      <c r="O518" s="152"/>
      <c r="P518" s="152"/>
      <c r="Q518" s="152"/>
      <c r="R518" s="152"/>
      <c r="S518" s="152"/>
      <c r="T518" s="152"/>
      <c r="U518" s="152"/>
      <c r="V518" s="152"/>
      <c r="W518" s="281"/>
      <c r="X518" s="281"/>
      <c r="Y518" s="281"/>
      <c r="Z518" s="281"/>
      <c r="AA518" s="281"/>
      <c r="AB518" s="281"/>
      <c r="AC518" s="281"/>
      <c r="AD518" s="170"/>
      <c r="AE518" s="152"/>
      <c r="AF518" s="152"/>
      <c r="AG518" s="152"/>
      <c r="AH518" s="152"/>
      <c r="AI518" s="152"/>
      <c r="AJ518" s="152"/>
      <c r="AK518" s="152"/>
      <c r="AL518" s="152"/>
      <c r="AM518" s="152"/>
      <c r="AN518" s="152"/>
      <c r="AO518" s="152"/>
    </row>
    <row r="519" ht="12.75" customHeight="1">
      <c r="A519" s="288"/>
      <c r="B519" s="288"/>
      <c r="C519" s="288"/>
      <c r="D519" s="152"/>
      <c r="E519" s="289"/>
      <c r="F519" s="288"/>
      <c r="G519" s="152"/>
      <c r="H519" s="289"/>
      <c r="I519" s="289"/>
      <c r="J519" s="152"/>
      <c r="K519" s="152"/>
      <c r="L519" s="156"/>
      <c r="M519" s="152"/>
      <c r="N519" s="152"/>
      <c r="O519" s="152"/>
      <c r="P519" s="152"/>
      <c r="Q519" s="152"/>
      <c r="R519" s="152"/>
      <c r="S519" s="152"/>
      <c r="T519" s="152"/>
      <c r="U519" s="152"/>
      <c r="V519" s="152"/>
      <c r="W519" s="281"/>
      <c r="X519" s="281"/>
      <c r="Y519" s="281"/>
      <c r="Z519" s="281"/>
      <c r="AA519" s="281"/>
      <c r="AB519" s="281"/>
      <c r="AC519" s="281"/>
      <c r="AD519" s="170"/>
      <c r="AE519" s="152"/>
      <c r="AF519" s="152"/>
      <c r="AG519" s="152"/>
      <c r="AH519" s="152"/>
      <c r="AI519" s="152"/>
      <c r="AJ519" s="152"/>
      <c r="AK519" s="152"/>
      <c r="AL519" s="152"/>
      <c r="AM519" s="152"/>
      <c r="AN519" s="152"/>
      <c r="AO519" s="152"/>
    </row>
    <row r="520" ht="12.75" customHeight="1">
      <c r="A520" s="288"/>
      <c r="B520" s="288"/>
      <c r="C520" s="288"/>
      <c r="D520" s="152"/>
      <c r="E520" s="289"/>
      <c r="F520" s="288"/>
      <c r="G520" s="152"/>
      <c r="H520" s="289"/>
      <c r="I520" s="289"/>
      <c r="J520" s="152"/>
      <c r="K520" s="152"/>
      <c r="L520" s="156"/>
      <c r="M520" s="152"/>
      <c r="N520" s="152"/>
      <c r="O520" s="152"/>
      <c r="P520" s="152"/>
      <c r="Q520" s="152"/>
      <c r="R520" s="152"/>
      <c r="S520" s="152"/>
      <c r="T520" s="152"/>
      <c r="U520" s="152"/>
      <c r="V520" s="152"/>
      <c r="W520" s="281"/>
      <c r="X520" s="281"/>
      <c r="Y520" s="281"/>
      <c r="Z520" s="281"/>
      <c r="AA520" s="281"/>
      <c r="AB520" s="281"/>
      <c r="AC520" s="281"/>
      <c r="AD520" s="170"/>
      <c r="AE520" s="152"/>
      <c r="AF520" s="152"/>
      <c r="AG520" s="152"/>
      <c r="AH520" s="152"/>
      <c r="AI520" s="152"/>
      <c r="AJ520" s="152"/>
      <c r="AK520" s="152"/>
      <c r="AL520" s="152"/>
      <c r="AM520" s="152"/>
      <c r="AN520" s="152"/>
      <c r="AO520" s="152"/>
    </row>
    <row r="521" ht="12.75" customHeight="1">
      <c r="A521" s="288"/>
      <c r="B521" s="288"/>
      <c r="C521" s="288"/>
      <c r="D521" s="152"/>
      <c r="E521" s="289"/>
      <c r="F521" s="288"/>
      <c r="G521" s="152"/>
      <c r="H521" s="289"/>
      <c r="I521" s="289"/>
      <c r="J521" s="152"/>
      <c r="K521" s="152"/>
      <c r="L521" s="156"/>
      <c r="M521" s="152"/>
      <c r="N521" s="152"/>
      <c r="O521" s="152"/>
      <c r="P521" s="152"/>
      <c r="Q521" s="152"/>
      <c r="R521" s="152"/>
      <c r="S521" s="152"/>
      <c r="T521" s="152"/>
      <c r="U521" s="152"/>
      <c r="V521" s="152"/>
      <c r="W521" s="281"/>
      <c r="X521" s="281"/>
      <c r="Y521" s="281"/>
      <c r="Z521" s="281"/>
      <c r="AA521" s="281"/>
      <c r="AB521" s="281"/>
      <c r="AC521" s="281"/>
      <c r="AD521" s="170"/>
      <c r="AE521" s="152"/>
      <c r="AF521" s="152"/>
      <c r="AG521" s="152"/>
      <c r="AH521" s="152"/>
      <c r="AI521" s="152"/>
      <c r="AJ521" s="152"/>
      <c r="AK521" s="152"/>
      <c r="AL521" s="152"/>
      <c r="AM521" s="152"/>
      <c r="AN521" s="152"/>
      <c r="AO521" s="152"/>
    </row>
    <row r="522" ht="12.75" customHeight="1">
      <c r="A522" s="288"/>
      <c r="B522" s="288"/>
      <c r="C522" s="288"/>
      <c r="D522" s="152"/>
      <c r="E522" s="289"/>
      <c r="F522" s="288"/>
      <c r="G522" s="152"/>
      <c r="H522" s="289"/>
      <c r="I522" s="289"/>
      <c r="J522" s="152"/>
      <c r="K522" s="152"/>
      <c r="L522" s="156"/>
      <c r="M522" s="152"/>
      <c r="N522" s="152"/>
      <c r="O522" s="152"/>
      <c r="P522" s="152"/>
      <c r="Q522" s="152"/>
      <c r="R522" s="152"/>
      <c r="S522" s="152"/>
      <c r="T522" s="152"/>
      <c r="U522" s="152"/>
      <c r="V522" s="152"/>
      <c r="W522" s="281"/>
      <c r="X522" s="281"/>
      <c r="Y522" s="281"/>
      <c r="Z522" s="281"/>
      <c r="AA522" s="281"/>
      <c r="AB522" s="281"/>
      <c r="AC522" s="281"/>
      <c r="AD522" s="170"/>
      <c r="AE522" s="152"/>
      <c r="AF522" s="152"/>
      <c r="AG522" s="152"/>
      <c r="AH522" s="152"/>
      <c r="AI522" s="152"/>
      <c r="AJ522" s="152"/>
      <c r="AK522" s="152"/>
      <c r="AL522" s="152"/>
      <c r="AM522" s="152"/>
      <c r="AN522" s="152"/>
      <c r="AO522" s="152"/>
    </row>
    <row r="523" ht="12.75" customHeight="1">
      <c r="A523" s="288"/>
      <c r="B523" s="288"/>
      <c r="C523" s="288"/>
      <c r="D523" s="152"/>
      <c r="E523" s="289"/>
      <c r="F523" s="288"/>
      <c r="G523" s="152"/>
      <c r="H523" s="289"/>
      <c r="I523" s="289"/>
      <c r="J523" s="152"/>
      <c r="K523" s="152"/>
      <c r="L523" s="156"/>
      <c r="M523" s="152"/>
      <c r="N523" s="152"/>
      <c r="O523" s="152"/>
      <c r="P523" s="152"/>
      <c r="Q523" s="152"/>
      <c r="R523" s="152"/>
      <c r="S523" s="152"/>
      <c r="T523" s="152"/>
      <c r="U523" s="152"/>
      <c r="V523" s="152"/>
      <c r="W523" s="281"/>
      <c r="X523" s="281"/>
      <c r="Y523" s="281"/>
      <c r="Z523" s="281"/>
      <c r="AA523" s="281"/>
      <c r="AB523" s="281"/>
      <c r="AC523" s="281"/>
      <c r="AD523" s="170"/>
      <c r="AE523" s="152"/>
      <c r="AF523" s="152"/>
      <c r="AG523" s="152"/>
      <c r="AH523" s="152"/>
      <c r="AI523" s="152"/>
      <c r="AJ523" s="152"/>
      <c r="AK523" s="152"/>
      <c r="AL523" s="152"/>
      <c r="AM523" s="152"/>
      <c r="AN523" s="152"/>
      <c r="AO523" s="152"/>
    </row>
    <row r="524" ht="12.75" customHeight="1">
      <c r="A524" s="288"/>
      <c r="B524" s="288"/>
      <c r="C524" s="288"/>
      <c r="D524" s="152"/>
      <c r="E524" s="289"/>
      <c r="F524" s="288"/>
      <c r="G524" s="152"/>
      <c r="H524" s="289"/>
      <c r="I524" s="289"/>
      <c r="J524" s="152"/>
      <c r="K524" s="152"/>
      <c r="L524" s="156"/>
      <c r="M524" s="152"/>
      <c r="N524" s="152"/>
      <c r="O524" s="152"/>
      <c r="P524" s="152"/>
      <c r="Q524" s="152"/>
      <c r="R524" s="152"/>
      <c r="S524" s="152"/>
      <c r="T524" s="152"/>
      <c r="U524" s="152"/>
      <c r="V524" s="152"/>
      <c r="W524" s="281"/>
      <c r="X524" s="281"/>
      <c r="Y524" s="281"/>
      <c r="Z524" s="281"/>
      <c r="AA524" s="281"/>
      <c r="AB524" s="281"/>
      <c r="AC524" s="281"/>
      <c r="AD524" s="170"/>
      <c r="AE524" s="152"/>
      <c r="AF524" s="152"/>
      <c r="AG524" s="152"/>
      <c r="AH524" s="152"/>
      <c r="AI524" s="152"/>
      <c r="AJ524" s="152"/>
      <c r="AK524" s="152"/>
      <c r="AL524" s="152"/>
      <c r="AM524" s="152"/>
      <c r="AN524" s="152"/>
      <c r="AO524" s="152"/>
    </row>
    <row r="525" ht="12.75" customHeight="1">
      <c r="A525" s="288"/>
      <c r="B525" s="288"/>
      <c r="C525" s="288"/>
      <c r="D525" s="152"/>
      <c r="E525" s="289"/>
      <c r="F525" s="288"/>
      <c r="G525" s="152"/>
      <c r="H525" s="289"/>
      <c r="I525" s="289"/>
      <c r="J525" s="152"/>
      <c r="K525" s="152"/>
      <c r="L525" s="156"/>
      <c r="M525" s="152"/>
      <c r="N525" s="152"/>
      <c r="O525" s="152"/>
      <c r="P525" s="152"/>
      <c r="Q525" s="152"/>
      <c r="R525" s="152"/>
      <c r="S525" s="152"/>
      <c r="T525" s="152"/>
      <c r="U525" s="152"/>
      <c r="V525" s="152"/>
      <c r="W525" s="281"/>
      <c r="X525" s="281"/>
      <c r="Y525" s="281"/>
      <c r="Z525" s="281"/>
      <c r="AA525" s="281"/>
      <c r="AB525" s="281"/>
      <c r="AC525" s="281"/>
      <c r="AD525" s="170"/>
      <c r="AE525" s="152"/>
      <c r="AF525" s="152"/>
      <c r="AG525" s="152"/>
      <c r="AH525" s="152"/>
      <c r="AI525" s="152"/>
      <c r="AJ525" s="152"/>
      <c r="AK525" s="152"/>
      <c r="AL525" s="152"/>
      <c r="AM525" s="152"/>
      <c r="AN525" s="152"/>
      <c r="AO525" s="152"/>
    </row>
    <row r="526" ht="12.75" customHeight="1">
      <c r="A526" s="288"/>
      <c r="B526" s="288"/>
      <c r="C526" s="288"/>
      <c r="D526" s="152"/>
      <c r="E526" s="289"/>
      <c r="F526" s="288"/>
      <c r="G526" s="152"/>
      <c r="H526" s="289"/>
      <c r="I526" s="289"/>
      <c r="J526" s="152"/>
      <c r="K526" s="152"/>
      <c r="L526" s="156"/>
      <c r="M526" s="152"/>
      <c r="N526" s="152"/>
      <c r="O526" s="152"/>
      <c r="P526" s="152"/>
      <c r="Q526" s="152"/>
      <c r="R526" s="152"/>
      <c r="S526" s="152"/>
      <c r="T526" s="152"/>
      <c r="U526" s="152"/>
      <c r="V526" s="152"/>
      <c r="W526" s="281"/>
      <c r="X526" s="281"/>
      <c r="Y526" s="281"/>
      <c r="Z526" s="281"/>
      <c r="AA526" s="281"/>
      <c r="AB526" s="281"/>
      <c r="AC526" s="281"/>
      <c r="AD526" s="170"/>
      <c r="AE526" s="152"/>
      <c r="AF526" s="152"/>
      <c r="AG526" s="152"/>
      <c r="AH526" s="152"/>
      <c r="AI526" s="152"/>
      <c r="AJ526" s="152"/>
      <c r="AK526" s="152"/>
      <c r="AL526" s="152"/>
      <c r="AM526" s="152"/>
      <c r="AN526" s="152"/>
      <c r="AO526" s="152"/>
    </row>
    <row r="527" ht="12.75" customHeight="1">
      <c r="A527" s="288"/>
      <c r="B527" s="288"/>
      <c r="C527" s="288"/>
      <c r="D527" s="152"/>
      <c r="E527" s="289"/>
      <c r="F527" s="288"/>
      <c r="G527" s="152"/>
      <c r="H527" s="289"/>
      <c r="I527" s="289"/>
      <c r="J527" s="152"/>
      <c r="K527" s="152"/>
      <c r="L527" s="156"/>
      <c r="M527" s="152"/>
      <c r="N527" s="152"/>
      <c r="O527" s="152"/>
      <c r="P527" s="152"/>
      <c r="Q527" s="152"/>
      <c r="R527" s="152"/>
      <c r="S527" s="152"/>
      <c r="T527" s="152"/>
      <c r="U527" s="152"/>
      <c r="V527" s="152"/>
      <c r="W527" s="281"/>
      <c r="X527" s="281"/>
      <c r="Y527" s="281"/>
      <c r="Z527" s="281"/>
      <c r="AA527" s="281"/>
      <c r="AB527" s="281"/>
      <c r="AC527" s="281"/>
      <c r="AD527" s="170"/>
      <c r="AE527" s="152"/>
      <c r="AF527" s="152"/>
      <c r="AG527" s="152"/>
      <c r="AH527" s="152"/>
      <c r="AI527" s="152"/>
      <c r="AJ527" s="152"/>
      <c r="AK527" s="152"/>
      <c r="AL527" s="152"/>
      <c r="AM527" s="152"/>
      <c r="AN527" s="152"/>
      <c r="AO527" s="152"/>
    </row>
    <row r="528" ht="12.75" customHeight="1">
      <c r="A528" s="288"/>
      <c r="B528" s="288"/>
      <c r="C528" s="288"/>
      <c r="D528" s="152"/>
      <c r="E528" s="289"/>
      <c r="F528" s="288"/>
      <c r="G528" s="152"/>
      <c r="H528" s="289"/>
      <c r="I528" s="289"/>
      <c r="J528" s="152"/>
      <c r="K528" s="152"/>
      <c r="L528" s="156"/>
      <c r="M528" s="152"/>
      <c r="N528" s="152"/>
      <c r="O528" s="152"/>
      <c r="P528" s="152"/>
      <c r="Q528" s="152"/>
      <c r="R528" s="152"/>
      <c r="S528" s="152"/>
      <c r="T528" s="152"/>
      <c r="U528" s="152"/>
      <c r="V528" s="152"/>
      <c r="W528" s="281"/>
      <c r="X528" s="281"/>
      <c r="Y528" s="281"/>
      <c r="Z528" s="281"/>
      <c r="AA528" s="281"/>
      <c r="AB528" s="281"/>
      <c r="AC528" s="281"/>
      <c r="AD528" s="170"/>
      <c r="AE528" s="152"/>
      <c r="AF528" s="152"/>
      <c r="AG528" s="152"/>
      <c r="AH528" s="152"/>
      <c r="AI528" s="152"/>
      <c r="AJ528" s="152"/>
      <c r="AK528" s="152"/>
      <c r="AL528" s="152"/>
      <c r="AM528" s="152"/>
      <c r="AN528" s="152"/>
      <c r="AO528" s="152"/>
    </row>
    <row r="529" ht="12.75" customHeight="1">
      <c r="A529" s="288"/>
      <c r="B529" s="288"/>
      <c r="C529" s="288"/>
      <c r="D529" s="152"/>
      <c r="E529" s="289"/>
      <c r="F529" s="288"/>
      <c r="G529" s="152"/>
      <c r="H529" s="289"/>
      <c r="I529" s="289"/>
      <c r="J529" s="152"/>
      <c r="K529" s="152"/>
      <c r="L529" s="156"/>
      <c r="M529" s="152"/>
      <c r="N529" s="152"/>
      <c r="O529" s="152"/>
      <c r="P529" s="152"/>
      <c r="Q529" s="152"/>
      <c r="R529" s="152"/>
      <c r="S529" s="152"/>
      <c r="T529" s="152"/>
      <c r="U529" s="152"/>
      <c r="V529" s="152"/>
      <c r="W529" s="281"/>
      <c r="X529" s="281"/>
      <c r="Y529" s="281"/>
      <c r="Z529" s="281"/>
      <c r="AA529" s="281"/>
      <c r="AB529" s="281"/>
      <c r="AC529" s="281"/>
      <c r="AD529" s="170"/>
      <c r="AE529" s="152"/>
      <c r="AF529" s="152"/>
      <c r="AG529" s="152"/>
      <c r="AH529" s="152"/>
      <c r="AI529" s="152"/>
      <c r="AJ529" s="152"/>
      <c r="AK529" s="152"/>
      <c r="AL529" s="152"/>
      <c r="AM529" s="152"/>
      <c r="AN529" s="152"/>
      <c r="AO529" s="152"/>
    </row>
    <row r="530" ht="12.75" customHeight="1">
      <c r="A530" s="288"/>
      <c r="B530" s="288"/>
      <c r="C530" s="288"/>
      <c r="D530" s="152"/>
      <c r="E530" s="289"/>
      <c r="F530" s="288"/>
      <c r="G530" s="152"/>
      <c r="H530" s="289"/>
      <c r="I530" s="289"/>
      <c r="J530" s="152"/>
      <c r="K530" s="152"/>
      <c r="L530" s="156"/>
      <c r="M530" s="152"/>
      <c r="N530" s="152"/>
      <c r="O530" s="152"/>
      <c r="P530" s="152"/>
      <c r="Q530" s="152"/>
      <c r="R530" s="152"/>
      <c r="S530" s="152"/>
      <c r="T530" s="152"/>
      <c r="U530" s="152"/>
      <c r="V530" s="152"/>
      <c r="W530" s="281"/>
      <c r="X530" s="281"/>
      <c r="Y530" s="281"/>
      <c r="Z530" s="281"/>
      <c r="AA530" s="281"/>
      <c r="AB530" s="281"/>
      <c r="AC530" s="281"/>
      <c r="AD530" s="170"/>
      <c r="AE530" s="152"/>
      <c r="AF530" s="152"/>
      <c r="AG530" s="152"/>
      <c r="AH530" s="152"/>
      <c r="AI530" s="152"/>
      <c r="AJ530" s="152"/>
      <c r="AK530" s="152"/>
      <c r="AL530" s="152"/>
      <c r="AM530" s="152"/>
      <c r="AN530" s="152"/>
      <c r="AO530" s="152"/>
    </row>
    <row r="531" ht="12.75" customHeight="1">
      <c r="A531" s="288"/>
      <c r="B531" s="288"/>
      <c r="C531" s="288"/>
      <c r="D531" s="152"/>
      <c r="E531" s="289"/>
      <c r="F531" s="288"/>
      <c r="G531" s="152"/>
      <c r="H531" s="289"/>
      <c r="I531" s="289"/>
      <c r="J531" s="152"/>
      <c r="K531" s="152"/>
      <c r="L531" s="156"/>
      <c r="M531" s="152"/>
      <c r="N531" s="152"/>
      <c r="O531" s="152"/>
      <c r="P531" s="152"/>
      <c r="Q531" s="152"/>
      <c r="R531" s="152"/>
      <c r="S531" s="152"/>
      <c r="T531" s="152"/>
      <c r="U531" s="152"/>
      <c r="V531" s="152"/>
      <c r="W531" s="281"/>
      <c r="X531" s="281"/>
      <c r="Y531" s="281"/>
      <c r="Z531" s="281"/>
      <c r="AA531" s="281"/>
      <c r="AB531" s="281"/>
      <c r="AC531" s="281"/>
      <c r="AD531" s="170"/>
      <c r="AE531" s="152"/>
      <c r="AF531" s="152"/>
      <c r="AG531" s="152"/>
      <c r="AH531" s="152"/>
      <c r="AI531" s="152"/>
      <c r="AJ531" s="152"/>
      <c r="AK531" s="152"/>
      <c r="AL531" s="152"/>
      <c r="AM531" s="152"/>
      <c r="AN531" s="152"/>
      <c r="AO531" s="152"/>
    </row>
    <row r="532" ht="12.75" customHeight="1">
      <c r="A532" s="288"/>
      <c r="B532" s="288"/>
      <c r="C532" s="288"/>
      <c r="D532" s="152"/>
      <c r="E532" s="289"/>
      <c r="F532" s="288"/>
      <c r="G532" s="152"/>
      <c r="H532" s="289"/>
      <c r="I532" s="289"/>
      <c r="J532" s="152"/>
      <c r="K532" s="152"/>
      <c r="L532" s="156"/>
      <c r="M532" s="152"/>
      <c r="N532" s="152"/>
      <c r="O532" s="152"/>
      <c r="P532" s="152"/>
      <c r="Q532" s="152"/>
      <c r="R532" s="152"/>
      <c r="S532" s="152"/>
      <c r="T532" s="152"/>
      <c r="U532" s="152"/>
      <c r="V532" s="152"/>
      <c r="W532" s="281"/>
      <c r="X532" s="281"/>
      <c r="Y532" s="281"/>
      <c r="Z532" s="281"/>
      <c r="AA532" s="281"/>
      <c r="AB532" s="281"/>
      <c r="AC532" s="281"/>
      <c r="AD532" s="170"/>
      <c r="AE532" s="152"/>
      <c r="AF532" s="152"/>
      <c r="AG532" s="152"/>
      <c r="AH532" s="152"/>
      <c r="AI532" s="152"/>
      <c r="AJ532" s="152"/>
      <c r="AK532" s="152"/>
      <c r="AL532" s="152"/>
      <c r="AM532" s="152"/>
      <c r="AN532" s="152"/>
      <c r="AO532" s="152"/>
    </row>
    <row r="533" ht="12.75" customHeight="1">
      <c r="A533" s="288"/>
      <c r="B533" s="288"/>
      <c r="C533" s="288"/>
      <c r="D533" s="152"/>
      <c r="E533" s="289"/>
      <c r="F533" s="288"/>
      <c r="G533" s="152"/>
      <c r="H533" s="289"/>
      <c r="I533" s="289"/>
      <c r="J533" s="152"/>
      <c r="K533" s="152"/>
      <c r="L533" s="156"/>
      <c r="M533" s="152"/>
      <c r="N533" s="152"/>
      <c r="O533" s="152"/>
      <c r="P533" s="152"/>
      <c r="Q533" s="152"/>
      <c r="R533" s="152"/>
      <c r="S533" s="152"/>
      <c r="T533" s="152"/>
      <c r="U533" s="152"/>
      <c r="V533" s="152"/>
      <c r="W533" s="281"/>
      <c r="X533" s="281"/>
      <c r="Y533" s="281"/>
      <c r="Z533" s="281"/>
      <c r="AA533" s="281"/>
      <c r="AB533" s="281"/>
      <c r="AC533" s="281"/>
      <c r="AD533" s="170"/>
      <c r="AE533" s="152"/>
      <c r="AF533" s="152"/>
      <c r="AG533" s="152"/>
      <c r="AH533" s="152"/>
      <c r="AI533" s="152"/>
      <c r="AJ533" s="152"/>
      <c r="AK533" s="152"/>
      <c r="AL533" s="152"/>
      <c r="AM533" s="152"/>
      <c r="AN533" s="152"/>
      <c r="AO533" s="152"/>
    </row>
    <row r="534" ht="12.75" customHeight="1">
      <c r="A534" s="288"/>
      <c r="B534" s="288"/>
      <c r="C534" s="288"/>
      <c r="D534" s="152"/>
      <c r="E534" s="289"/>
      <c r="F534" s="288"/>
      <c r="G534" s="152"/>
      <c r="H534" s="289"/>
      <c r="I534" s="289"/>
      <c r="J534" s="152"/>
      <c r="K534" s="152"/>
      <c r="L534" s="156"/>
      <c r="M534" s="152"/>
      <c r="N534" s="152"/>
      <c r="O534" s="152"/>
      <c r="P534" s="152"/>
      <c r="Q534" s="152"/>
      <c r="R534" s="152"/>
      <c r="S534" s="152"/>
      <c r="T534" s="152"/>
      <c r="U534" s="152"/>
      <c r="V534" s="152"/>
      <c r="W534" s="281"/>
      <c r="X534" s="281"/>
      <c r="Y534" s="281"/>
      <c r="Z534" s="281"/>
      <c r="AA534" s="281"/>
      <c r="AB534" s="281"/>
      <c r="AC534" s="281"/>
      <c r="AD534" s="170"/>
      <c r="AE534" s="152"/>
      <c r="AF534" s="152"/>
      <c r="AG534" s="152"/>
      <c r="AH534" s="152"/>
      <c r="AI534" s="152"/>
      <c r="AJ534" s="152"/>
      <c r="AK534" s="152"/>
      <c r="AL534" s="152"/>
      <c r="AM534" s="152"/>
      <c r="AN534" s="152"/>
      <c r="AO534" s="152"/>
    </row>
    <row r="535" ht="12.75" customHeight="1">
      <c r="A535" s="288"/>
      <c r="B535" s="288"/>
      <c r="C535" s="288"/>
      <c r="D535" s="152"/>
      <c r="E535" s="289"/>
      <c r="F535" s="288"/>
      <c r="G535" s="152"/>
      <c r="H535" s="289"/>
      <c r="I535" s="289"/>
      <c r="J535" s="152"/>
      <c r="K535" s="152"/>
      <c r="L535" s="156"/>
      <c r="M535" s="152"/>
      <c r="N535" s="152"/>
      <c r="O535" s="152"/>
      <c r="P535" s="152"/>
      <c r="Q535" s="152"/>
      <c r="R535" s="152"/>
      <c r="S535" s="152"/>
      <c r="T535" s="152"/>
      <c r="U535" s="152"/>
      <c r="V535" s="152"/>
      <c r="W535" s="281"/>
      <c r="X535" s="281"/>
      <c r="Y535" s="281"/>
      <c r="Z535" s="281"/>
      <c r="AA535" s="281"/>
      <c r="AB535" s="281"/>
      <c r="AC535" s="281"/>
      <c r="AD535" s="170"/>
      <c r="AE535" s="152"/>
      <c r="AF535" s="152"/>
      <c r="AG535" s="152"/>
      <c r="AH535" s="152"/>
      <c r="AI535" s="152"/>
      <c r="AJ535" s="152"/>
      <c r="AK535" s="152"/>
      <c r="AL535" s="152"/>
      <c r="AM535" s="152"/>
      <c r="AN535" s="152"/>
      <c r="AO535" s="152"/>
    </row>
    <row r="536" ht="12.75" customHeight="1">
      <c r="A536" s="288"/>
      <c r="B536" s="288"/>
      <c r="C536" s="288"/>
      <c r="D536" s="152"/>
      <c r="E536" s="289"/>
      <c r="F536" s="288"/>
      <c r="G536" s="152"/>
      <c r="H536" s="289"/>
      <c r="I536" s="289"/>
      <c r="J536" s="152"/>
      <c r="K536" s="152"/>
      <c r="L536" s="156"/>
      <c r="M536" s="152"/>
      <c r="N536" s="152"/>
      <c r="O536" s="152"/>
      <c r="P536" s="152"/>
      <c r="Q536" s="152"/>
      <c r="R536" s="152"/>
      <c r="S536" s="152"/>
      <c r="T536" s="152"/>
      <c r="U536" s="152"/>
      <c r="V536" s="152"/>
      <c r="W536" s="281"/>
      <c r="X536" s="281"/>
      <c r="Y536" s="281"/>
      <c r="Z536" s="281"/>
      <c r="AA536" s="281"/>
      <c r="AB536" s="281"/>
      <c r="AC536" s="281"/>
      <c r="AD536" s="170"/>
      <c r="AE536" s="152"/>
      <c r="AF536" s="152"/>
      <c r="AG536" s="152"/>
      <c r="AH536" s="152"/>
      <c r="AI536" s="152"/>
      <c r="AJ536" s="152"/>
      <c r="AK536" s="152"/>
      <c r="AL536" s="152"/>
      <c r="AM536" s="152"/>
      <c r="AN536" s="152"/>
      <c r="AO536" s="152"/>
    </row>
    <row r="537" ht="12.75" customHeight="1">
      <c r="A537" s="288"/>
      <c r="B537" s="288"/>
      <c r="C537" s="288"/>
      <c r="D537" s="152"/>
      <c r="E537" s="289"/>
      <c r="F537" s="288"/>
      <c r="G537" s="152"/>
      <c r="H537" s="289"/>
      <c r="I537" s="289"/>
      <c r="J537" s="152"/>
      <c r="K537" s="152"/>
      <c r="L537" s="156"/>
      <c r="M537" s="152"/>
      <c r="N537" s="152"/>
      <c r="O537" s="152"/>
      <c r="P537" s="152"/>
      <c r="Q537" s="152"/>
      <c r="R537" s="152"/>
      <c r="S537" s="152"/>
      <c r="T537" s="152"/>
      <c r="U537" s="152"/>
      <c r="V537" s="152"/>
      <c r="W537" s="281"/>
      <c r="X537" s="281"/>
      <c r="Y537" s="281"/>
      <c r="Z537" s="281"/>
      <c r="AA537" s="281"/>
      <c r="AB537" s="281"/>
      <c r="AC537" s="281"/>
      <c r="AD537" s="170"/>
      <c r="AE537" s="152"/>
      <c r="AF537" s="152"/>
      <c r="AG537" s="152"/>
      <c r="AH537" s="152"/>
      <c r="AI537" s="152"/>
      <c r="AJ537" s="152"/>
      <c r="AK537" s="152"/>
      <c r="AL537" s="152"/>
      <c r="AM537" s="152"/>
      <c r="AN537" s="152"/>
      <c r="AO537" s="152"/>
    </row>
    <row r="538" ht="12.75" customHeight="1">
      <c r="A538" s="288"/>
      <c r="B538" s="288"/>
      <c r="C538" s="288"/>
      <c r="D538" s="152"/>
      <c r="E538" s="289"/>
      <c r="F538" s="288"/>
      <c r="G538" s="152"/>
      <c r="H538" s="289"/>
      <c r="I538" s="289"/>
      <c r="J538" s="152"/>
      <c r="K538" s="152"/>
      <c r="L538" s="156"/>
      <c r="M538" s="152"/>
      <c r="N538" s="152"/>
      <c r="O538" s="152"/>
      <c r="P538" s="152"/>
      <c r="Q538" s="152"/>
      <c r="R538" s="152"/>
      <c r="S538" s="152"/>
      <c r="T538" s="152"/>
      <c r="U538" s="152"/>
      <c r="V538" s="152"/>
      <c r="W538" s="281"/>
      <c r="X538" s="281"/>
      <c r="Y538" s="281"/>
      <c r="Z538" s="281"/>
      <c r="AA538" s="281"/>
      <c r="AB538" s="281"/>
      <c r="AC538" s="281"/>
      <c r="AD538" s="170"/>
      <c r="AE538" s="152"/>
      <c r="AF538" s="152"/>
      <c r="AG538" s="152"/>
      <c r="AH538" s="152"/>
      <c r="AI538" s="152"/>
      <c r="AJ538" s="152"/>
      <c r="AK538" s="152"/>
      <c r="AL538" s="152"/>
      <c r="AM538" s="152"/>
      <c r="AN538" s="152"/>
      <c r="AO538" s="152"/>
    </row>
    <row r="539" ht="12.75" customHeight="1">
      <c r="A539" s="288"/>
      <c r="B539" s="288"/>
      <c r="C539" s="288"/>
      <c r="D539" s="152"/>
      <c r="E539" s="289"/>
      <c r="F539" s="288"/>
      <c r="G539" s="152"/>
      <c r="H539" s="289"/>
      <c r="I539" s="289"/>
      <c r="J539" s="152"/>
      <c r="K539" s="152"/>
      <c r="L539" s="156"/>
      <c r="M539" s="152"/>
      <c r="N539" s="152"/>
      <c r="O539" s="152"/>
      <c r="P539" s="152"/>
      <c r="Q539" s="152"/>
      <c r="R539" s="152"/>
      <c r="S539" s="152"/>
      <c r="T539" s="152"/>
      <c r="U539" s="152"/>
      <c r="V539" s="152"/>
      <c r="W539" s="281"/>
      <c r="X539" s="281"/>
      <c r="Y539" s="281"/>
      <c r="Z539" s="281"/>
      <c r="AA539" s="281"/>
      <c r="AB539" s="281"/>
      <c r="AC539" s="281"/>
      <c r="AD539" s="170"/>
      <c r="AE539" s="152"/>
      <c r="AF539" s="152"/>
      <c r="AG539" s="152"/>
      <c r="AH539" s="152"/>
      <c r="AI539" s="152"/>
      <c r="AJ539" s="152"/>
      <c r="AK539" s="152"/>
      <c r="AL539" s="152"/>
      <c r="AM539" s="152"/>
      <c r="AN539" s="152"/>
      <c r="AO539" s="152"/>
    </row>
    <row r="540" ht="12.75" customHeight="1">
      <c r="A540" s="288"/>
      <c r="B540" s="288"/>
      <c r="C540" s="288"/>
      <c r="D540" s="152"/>
      <c r="E540" s="289"/>
      <c r="F540" s="288"/>
      <c r="G540" s="152"/>
      <c r="H540" s="289"/>
      <c r="I540" s="289"/>
      <c r="J540" s="152"/>
      <c r="K540" s="152"/>
      <c r="L540" s="156"/>
      <c r="M540" s="152"/>
      <c r="N540" s="152"/>
      <c r="O540" s="152"/>
      <c r="P540" s="152"/>
      <c r="Q540" s="152"/>
      <c r="R540" s="152"/>
      <c r="S540" s="152"/>
      <c r="T540" s="152"/>
      <c r="U540" s="152"/>
      <c r="V540" s="152"/>
      <c r="W540" s="281"/>
      <c r="X540" s="281"/>
      <c r="Y540" s="281"/>
      <c r="Z540" s="281"/>
      <c r="AA540" s="281"/>
      <c r="AB540" s="281"/>
      <c r="AC540" s="281"/>
      <c r="AD540" s="170"/>
      <c r="AE540" s="152"/>
      <c r="AF540" s="152"/>
      <c r="AG540" s="152"/>
      <c r="AH540" s="152"/>
      <c r="AI540" s="152"/>
      <c r="AJ540" s="152"/>
      <c r="AK540" s="152"/>
      <c r="AL540" s="152"/>
      <c r="AM540" s="152"/>
      <c r="AN540" s="152"/>
      <c r="AO540" s="152"/>
    </row>
    <row r="541" ht="12.75" customHeight="1">
      <c r="A541" s="288"/>
      <c r="B541" s="288"/>
      <c r="C541" s="288"/>
      <c r="D541" s="152"/>
      <c r="E541" s="289"/>
      <c r="F541" s="288"/>
      <c r="G541" s="152"/>
      <c r="H541" s="289"/>
      <c r="I541" s="289"/>
      <c r="J541" s="152"/>
      <c r="K541" s="152"/>
      <c r="L541" s="156"/>
      <c r="M541" s="152"/>
      <c r="N541" s="152"/>
      <c r="O541" s="152"/>
      <c r="P541" s="152"/>
      <c r="Q541" s="152"/>
      <c r="R541" s="152"/>
      <c r="S541" s="152"/>
      <c r="T541" s="152"/>
      <c r="U541" s="152"/>
      <c r="V541" s="152"/>
      <c r="W541" s="281"/>
      <c r="X541" s="281"/>
      <c r="Y541" s="281"/>
      <c r="Z541" s="281"/>
      <c r="AA541" s="281"/>
      <c r="AB541" s="281"/>
      <c r="AC541" s="281"/>
      <c r="AD541" s="170"/>
      <c r="AE541" s="152"/>
      <c r="AF541" s="152"/>
      <c r="AG541" s="152"/>
      <c r="AH541" s="152"/>
      <c r="AI541" s="152"/>
      <c r="AJ541" s="152"/>
      <c r="AK541" s="152"/>
      <c r="AL541" s="152"/>
      <c r="AM541" s="152"/>
      <c r="AN541" s="152"/>
      <c r="AO541" s="152"/>
    </row>
    <row r="542" ht="12.75" customHeight="1">
      <c r="A542" s="288"/>
      <c r="B542" s="288"/>
      <c r="C542" s="288"/>
      <c r="D542" s="152"/>
      <c r="E542" s="289"/>
      <c r="F542" s="288"/>
      <c r="G542" s="152"/>
      <c r="H542" s="289"/>
      <c r="I542" s="289"/>
      <c r="J542" s="152"/>
      <c r="K542" s="152"/>
      <c r="L542" s="156"/>
      <c r="M542" s="152"/>
      <c r="N542" s="152"/>
      <c r="O542" s="152"/>
      <c r="P542" s="152"/>
      <c r="Q542" s="152"/>
      <c r="R542" s="152"/>
      <c r="S542" s="152"/>
      <c r="T542" s="152"/>
      <c r="U542" s="152"/>
      <c r="V542" s="152"/>
      <c r="W542" s="281"/>
      <c r="X542" s="281"/>
      <c r="Y542" s="281"/>
      <c r="Z542" s="281"/>
      <c r="AA542" s="281"/>
      <c r="AB542" s="281"/>
      <c r="AC542" s="281"/>
      <c r="AD542" s="170"/>
      <c r="AE542" s="152"/>
      <c r="AF542" s="152"/>
      <c r="AG542" s="152"/>
      <c r="AH542" s="152"/>
      <c r="AI542" s="152"/>
      <c r="AJ542" s="152"/>
      <c r="AK542" s="152"/>
      <c r="AL542" s="152"/>
      <c r="AM542" s="152"/>
      <c r="AN542" s="152"/>
      <c r="AO542" s="152"/>
    </row>
    <row r="543" ht="12.75" customHeight="1">
      <c r="A543" s="288"/>
      <c r="B543" s="288"/>
      <c r="C543" s="288"/>
      <c r="D543" s="152"/>
      <c r="E543" s="289"/>
      <c r="F543" s="288"/>
      <c r="G543" s="152"/>
      <c r="H543" s="289"/>
      <c r="I543" s="289"/>
      <c r="J543" s="152"/>
      <c r="K543" s="152"/>
      <c r="L543" s="156"/>
      <c r="M543" s="152"/>
      <c r="N543" s="152"/>
      <c r="O543" s="152"/>
      <c r="P543" s="152"/>
      <c r="Q543" s="152"/>
      <c r="R543" s="152"/>
      <c r="S543" s="152"/>
      <c r="T543" s="152"/>
      <c r="U543" s="152"/>
      <c r="V543" s="152"/>
      <c r="W543" s="281"/>
      <c r="X543" s="281"/>
      <c r="Y543" s="281"/>
      <c r="Z543" s="281"/>
      <c r="AA543" s="281"/>
      <c r="AB543" s="281"/>
      <c r="AC543" s="281"/>
      <c r="AD543" s="170"/>
      <c r="AE543" s="152"/>
      <c r="AF543" s="152"/>
      <c r="AG543" s="152"/>
      <c r="AH543" s="152"/>
      <c r="AI543" s="152"/>
      <c r="AJ543" s="152"/>
      <c r="AK543" s="152"/>
      <c r="AL543" s="152"/>
      <c r="AM543" s="152"/>
      <c r="AN543" s="152"/>
      <c r="AO543" s="152"/>
    </row>
    <row r="544" ht="12.75" customHeight="1">
      <c r="A544" s="288"/>
      <c r="B544" s="288"/>
      <c r="C544" s="288"/>
      <c r="D544" s="152"/>
      <c r="E544" s="289"/>
      <c r="F544" s="288"/>
      <c r="G544" s="152"/>
      <c r="H544" s="289"/>
      <c r="I544" s="289"/>
      <c r="J544" s="152"/>
      <c r="K544" s="152"/>
      <c r="L544" s="156"/>
      <c r="M544" s="152"/>
      <c r="N544" s="152"/>
      <c r="O544" s="152"/>
      <c r="P544" s="152"/>
      <c r="Q544" s="152"/>
      <c r="R544" s="152"/>
      <c r="S544" s="152"/>
      <c r="T544" s="152"/>
      <c r="U544" s="152"/>
      <c r="V544" s="152"/>
      <c r="W544" s="281"/>
      <c r="X544" s="281"/>
      <c r="Y544" s="281"/>
      <c r="Z544" s="281"/>
      <c r="AA544" s="281"/>
      <c r="AB544" s="281"/>
      <c r="AC544" s="281"/>
      <c r="AD544" s="170"/>
      <c r="AE544" s="152"/>
      <c r="AF544" s="152"/>
      <c r="AG544" s="152"/>
      <c r="AH544" s="152"/>
      <c r="AI544" s="152"/>
      <c r="AJ544" s="152"/>
      <c r="AK544" s="152"/>
      <c r="AL544" s="152"/>
      <c r="AM544" s="152"/>
      <c r="AN544" s="152"/>
      <c r="AO544" s="152"/>
    </row>
    <row r="545" ht="12.75" customHeight="1">
      <c r="A545" s="288"/>
      <c r="B545" s="288"/>
      <c r="C545" s="288"/>
      <c r="D545" s="152"/>
      <c r="E545" s="289"/>
      <c r="F545" s="288"/>
      <c r="G545" s="152"/>
      <c r="H545" s="289"/>
      <c r="I545" s="289"/>
      <c r="J545" s="152"/>
      <c r="K545" s="152"/>
      <c r="L545" s="156"/>
      <c r="M545" s="152"/>
      <c r="N545" s="152"/>
      <c r="O545" s="152"/>
      <c r="P545" s="152"/>
      <c r="Q545" s="152"/>
      <c r="R545" s="152"/>
      <c r="S545" s="152"/>
      <c r="T545" s="152"/>
      <c r="U545" s="152"/>
      <c r="V545" s="152"/>
      <c r="W545" s="281"/>
      <c r="X545" s="281"/>
      <c r="Y545" s="281"/>
      <c r="Z545" s="281"/>
      <c r="AA545" s="281"/>
      <c r="AB545" s="281"/>
      <c r="AC545" s="281"/>
      <c r="AD545" s="170"/>
      <c r="AE545" s="152"/>
      <c r="AF545" s="152"/>
      <c r="AG545" s="152"/>
      <c r="AH545" s="152"/>
      <c r="AI545" s="152"/>
      <c r="AJ545" s="152"/>
      <c r="AK545" s="152"/>
      <c r="AL545" s="152"/>
      <c r="AM545" s="152"/>
      <c r="AN545" s="152"/>
      <c r="AO545" s="152"/>
    </row>
    <row r="546" ht="12.75" customHeight="1">
      <c r="A546" s="288"/>
      <c r="B546" s="288"/>
      <c r="C546" s="288"/>
      <c r="D546" s="152"/>
      <c r="E546" s="289"/>
      <c r="F546" s="288"/>
      <c r="G546" s="152"/>
      <c r="H546" s="289"/>
      <c r="I546" s="289"/>
      <c r="J546" s="152"/>
      <c r="K546" s="152"/>
      <c r="L546" s="156"/>
      <c r="M546" s="152"/>
      <c r="N546" s="152"/>
      <c r="O546" s="152"/>
      <c r="P546" s="152"/>
      <c r="Q546" s="152"/>
      <c r="R546" s="152"/>
      <c r="S546" s="152"/>
      <c r="T546" s="152"/>
      <c r="U546" s="152"/>
      <c r="V546" s="152"/>
      <c r="W546" s="281"/>
      <c r="X546" s="281"/>
      <c r="Y546" s="281"/>
      <c r="Z546" s="281"/>
      <c r="AA546" s="281"/>
      <c r="AB546" s="281"/>
      <c r="AC546" s="281"/>
      <c r="AD546" s="170"/>
      <c r="AE546" s="152"/>
      <c r="AF546" s="152"/>
      <c r="AG546" s="152"/>
      <c r="AH546" s="152"/>
      <c r="AI546" s="152"/>
      <c r="AJ546" s="152"/>
      <c r="AK546" s="152"/>
      <c r="AL546" s="152"/>
      <c r="AM546" s="152"/>
      <c r="AN546" s="152"/>
      <c r="AO546" s="152"/>
    </row>
    <row r="547" ht="12.75" customHeight="1">
      <c r="A547" s="288"/>
      <c r="B547" s="288"/>
      <c r="C547" s="288"/>
      <c r="D547" s="152"/>
      <c r="E547" s="289"/>
      <c r="F547" s="288"/>
      <c r="G547" s="152"/>
      <c r="H547" s="289"/>
      <c r="I547" s="289"/>
      <c r="J547" s="152"/>
      <c r="K547" s="152"/>
      <c r="L547" s="156"/>
      <c r="M547" s="152"/>
      <c r="N547" s="152"/>
      <c r="O547" s="152"/>
      <c r="P547" s="152"/>
      <c r="Q547" s="152"/>
      <c r="R547" s="152"/>
      <c r="S547" s="152"/>
      <c r="T547" s="152"/>
      <c r="U547" s="152"/>
      <c r="V547" s="152"/>
      <c r="W547" s="281"/>
      <c r="X547" s="281"/>
      <c r="Y547" s="281"/>
      <c r="Z547" s="281"/>
      <c r="AA547" s="281"/>
      <c r="AB547" s="281"/>
      <c r="AC547" s="281"/>
      <c r="AD547" s="170"/>
      <c r="AE547" s="152"/>
      <c r="AF547" s="152"/>
      <c r="AG547" s="152"/>
      <c r="AH547" s="152"/>
      <c r="AI547" s="152"/>
      <c r="AJ547" s="152"/>
      <c r="AK547" s="152"/>
      <c r="AL547" s="152"/>
      <c r="AM547" s="152"/>
      <c r="AN547" s="152"/>
      <c r="AO547" s="152"/>
    </row>
    <row r="548" ht="12.75" customHeight="1">
      <c r="A548" s="288"/>
      <c r="B548" s="288"/>
      <c r="C548" s="288"/>
      <c r="D548" s="152"/>
      <c r="E548" s="289"/>
      <c r="F548" s="288"/>
      <c r="G548" s="152"/>
      <c r="H548" s="289"/>
      <c r="I548" s="289"/>
      <c r="J548" s="152"/>
      <c r="K548" s="152"/>
      <c r="L548" s="156"/>
      <c r="M548" s="152"/>
      <c r="N548" s="152"/>
      <c r="O548" s="152"/>
      <c r="P548" s="152"/>
      <c r="Q548" s="152"/>
      <c r="R548" s="152"/>
      <c r="S548" s="152"/>
      <c r="T548" s="152"/>
      <c r="U548" s="152"/>
      <c r="V548" s="152"/>
      <c r="W548" s="281"/>
      <c r="X548" s="281"/>
      <c r="Y548" s="281"/>
      <c r="Z548" s="281"/>
      <c r="AA548" s="281"/>
      <c r="AB548" s="281"/>
      <c r="AC548" s="281"/>
      <c r="AD548" s="170"/>
      <c r="AE548" s="152"/>
      <c r="AF548" s="152"/>
      <c r="AG548" s="152"/>
      <c r="AH548" s="152"/>
      <c r="AI548" s="152"/>
      <c r="AJ548" s="152"/>
      <c r="AK548" s="152"/>
      <c r="AL548" s="152"/>
      <c r="AM548" s="152"/>
      <c r="AN548" s="152"/>
      <c r="AO548" s="152"/>
    </row>
    <row r="549" ht="12.75" customHeight="1">
      <c r="A549" s="288"/>
      <c r="B549" s="288"/>
      <c r="C549" s="288"/>
      <c r="D549" s="152"/>
      <c r="E549" s="289"/>
      <c r="F549" s="288"/>
      <c r="G549" s="152"/>
      <c r="H549" s="289"/>
      <c r="I549" s="289"/>
      <c r="J549" s="152"/>
      <c r="K549" s="152"/>
      <c r="L549" s="156"/>
      <c r="M549" s="152"/>
      <c r="N549" s="152"/>
      <c r="O549" s="152"/>
      <c r="P549" s="152"/>
      <c r="Q549" s="152"/>
      <c r="R549" s="152"/>
      <c r="S549" s="152"/>
      <c r="T549" s="152"/>
      <c r="U549" s="152"/>
      <c r="V549" s="152"/>
      <c r="W549" s="281"/>
      <c r="X549" s="281"/>
      <c r="Y549" s="281"/>
      <c r="Z549" s="281"/>
      <c r="AA549" s="281"/>
      <c r="AB549" s="281"/>
      <c r="AC549" s="281"/>
      <c r="AD549" s="170"/>
      <c r="AE549" s="152"/>
      <c r="AF549" s="152"/>
      <c r="AG549" s="152"/>
      <c r="AH549" s="152"/>
      <c r="AI549" s="152"/>
      <c r="AJ549" s="152"/>
      <c r="AK549" s="152"/>
      <c r="AL549" s="152"/>
      <c r="AM549" s="152"/>
      <c r="AN549" s="152"/>
      <c r="AO549" s="152"/>
    </row>
    <row r="550" ht="12.75" customHeight="1">
      <c r="A550" s="288"/>
      <c r="B550" s="288"/>
      <c r="C550" s="288"/>
      <c r="D550" s="152"/>
      <c r="E550" s="289"/>
      <c r="F550" s="288"/>
      <c r="G550" s="152"/>
      <c r="H550" s="289"/>
      <c r="I550" s="289"/>
      <c r="J550" s="152"/>
      <c r="K550" s="152"/>
      <c r="L550" s="156"/>
      <c r="M550" s="152"/>
      <c r="N550" s="152"/>
      <c r="O550" s="152"/>
      <c r="P550" s="152"/>
      <c r="Q550" s="152"/>
      <c r="R550" s="152"/>
      <c r="S550" s="152"/>
      <c r="T550" s="152"/>
      <c r="U550" s="152"/>
      <c r="V550" s="152"/>
      <c r="W550" s="281"/>
      <c r="X550" s="281"/>
      <c r="Y550" s="281"/>
      <c r="Z550" s="281"/>
      <c r="AA550" s="281"/>
      <c r="AB550" s="281"/>
      <c r="AC550" s="281"/>
      <c r="AD550" s="170"/>
      <c r="AE550" s="152"/>
      <c r="AF550" s="152"/>
      <c r="AG550" s="152"/>
      <c r="AH550" s="152"/>
      <c r="AI550" s="152"/>
      <c r="AJ550" s="152"/>
      <c r="AK550" s="152"/>
      <c r="AL550" s="152"/>
      <c r="AM550" s="152"/>
      <c r="AN550" s="152"/>
      <c r="AO550" s="152"/>
    </row>
    <row r="551" ht="12.75" customHeight="1">
      <c r="A551" s="288"/>
      <c r="B551" s="288"/>
      <c r="C551" s="288"/>
      <c r="D551" s="152"/>
      <c r="E551" s="289"/>
      <c r="F551" s="288"/>
      <c r="G551" s="152"/>
      <c r="H551" s="289"/>
      <c r="I551" s="289"/>
      <c r="J551" s="152"/>
      <c r="K551" s="152"/>
      <c r="L551" s="156"/>
      <c r="M551" s="152"/>
      <c r="N551" s="152"/>
      <c r="O551" s="152"/>
      <c r="P551" s="152"/>
      <c r="Q551" s="152"/>
      <c r="R551" s="152"/>
      <c r="S551" s="152"/>
      <c r="T551" s="152"/>
      <c r="U551" s="152"/>
      <c r="V551" s="152"/>
      <c r="W551" s="281"/>
      <c r="X551" s="281"/>
      <c r="Y551" s="281"/>
      <c r="Z551" s="281"/>
      <c r="AA551" s="281"/>
      <c r="AB551" s="281"/>
      <c r="AC551" s="281"/>
      <c r="AD551" s="170"/>
      <c r="AE551" s="152"/>
      <c r="AF551" s="152"/>
      <c r="AG551" s="152"/>
      <c r="AH551" s="152"/>
      <c r="AI551" s="152"/>
      <c r="AJ551" s="152"/>
      <c r="AK551" s="152"/>
      <c r="AL551" s="152"/>
      <c r="AM551" s="152"/>
      <c r="AN551" s="152"/>
      <c r="AO551" s="152"/>
    </row>
    <row r="552" ht="12.75" customHeight="1">
      <c r="A552" s="288"/>
      <c r="B552" s="288"/>
      <c r="C552" s="288"/>
      <c r="D552" s="152"/>
      <c r="E552" s="289"/>
      <c r="F552" s="288"/>
      <c r="G552" s="152"/>
      <c r="H552" s="289"/>
      <c r="I552" s="289"/>
      <c r="J552" s="152"/>
      <c r="K552" s="152"/>
      <c r="L552" s="156"/>
      <c r="M552" s="152"/>
      <c r="N552" s="152"/>
      <c r="O552" s="152"/>
      <c r="P552" s="152"/>
      <c r="Q552" s="152"/>
      <c r="R552" s="152"/>
      <c r="S552" s="152"/>
      <c r="T552" s="152"/>
      <c r="U552" s="152"/>
      <c r="V552" s="152"/>
      <c r="W552" s="281"/>
      <c r="X552" s="281"/>
      <c r="Y552" s="281"/>
      <c r="Z552" s="281"/>
      <c r="AA552" s="281"/>
      <c r="AB552" s="281"/>
      <c r="AC552" s="281"/>
      <c r="AD552" s="170"/>
      <c r="AE552" s="152"/>
      <c r="AF552" s="152"/>
      <c r="AG552" s="152"/>
      <c r="AH552" s="152"/>
      <c r="AI552" s="152"/>
      <c r="AJ552" s="152"/>
      <c r="AK552" s="152"/>
      <c r="AL552" s="152"/>
      <c r="AM552" s="152"/>
      <c r="AN552" s="152"/>
      <c r="AO552" s="152"/>
    </row>
    <row r="553" ht="12.75" customHeight="1">
      <c r="A553" s="288"/>
      <c r="B553" s="288"/>
      <c r="C553" s="288"/>
      <c r="D553" s="152"/>
      <c r="E553" s="289"/>
      <c r="F553" s="288"/>
      <c r="G553" s="152"/>
      <c r="H553" s="289"/>
      <c r="I553" s="289"/>
      <c r="J553" s="152"/>
      <c r="K553" s="152"/>
      <c r="L553" s="156"/>
      <c r="M553" s="152"/>
      <c r="N553" s="152"/>
      <c r="O553" s="152"/>
      <c r="P553" s="152"/>
      <c r="Q553" s="152"/>
      <c r="R553" s="152"/>
      <c r="S553" s="152"/>
      <c r="T553" s="152"/>
      <c r="U553" s="152"/>
      <c r="V553" s="152"/>
      <c r="W553" s="281"/>
      <c r="X553" s="281"/>
      <c r="Y553" s="281"/>
      <c r="Z553" s="281"/>
      <c r="AA553" s="281"/>
      <c r="AB553" s="281"/>
      <c r="AC553" s="281"/>
      <c r="AD553" s="170"/>
      <c r="AE553" s="152"/>
      <c r="AF553" s="152"/>
      <c r="AG553" s="152"/>
      <c r="AH553" s="152"/>
      <c r="AI553" s="152"/>
      <c r="AJ553" s="152"/>
      <c r="AK553" s="152"/>
      <c r="AL553" s="152"/>
      <c r="AM553" s="152"/>
      <c r="AN553" s="152"/>
      <c r="AO553" s="152"/>
    </row>
    <row r="554" ht="12.75" customHeight="1">
      <c r="A554" s="288"/>
      <c r="B554" s="288"/>
      <c r="C554" s="288"/>
      <c r="D554" s="152"/>
      <c r="E554" s="289"/>
      <c r="F554" s="288"/>
      <c r="G554" s="152"/>
      <c r="H554" s="289"/>
      <c r="I554" s="289"/>
      <c r="J554" s="152"/>
      <c r="K554" s="152"/>
      <c r="L554" s="156"/>
      <c r="M554" s="152"/>
      <c r="N554" s="152"/>
      <c r="O554" s="152"/>
      <c r="P554" s="152"/>
      <c r="Q554" s="152"/>
      <c r="R554" s="152"/>
      <c r="S554" s="152"/>
      <c r="T554" s="152"/>
      <c r="U554" s="152"/>
      <c r="V554" s="152"/>
      <c r="W554" s="281"/>
      <c r="X554" s="281"/>
      <c r="Y554" s="281"/>
      <c r="Z554" s="281"/>
      <c r="AA554" s="281"/>
      <c r="AB554" s="281"/>
      <c r="AC554" s="281"/>
      <c r="AD554" s="170"/>
      <c r="AE554" s="152"/>
      <c r="AF554" s="152"/>
      <c r="AG554" s="152"/>
      <c r="AH554" s="152"/>
      <c r="AI554" s="152"/>
      <c r="AJ554" s="152"/>
      <c r="AK554" s="152"/>
      <c r="AL554" s="152"/>
      <c r="AM554" s="152"/>
      <c r="AN554" s="152"/>
      <c r="AO554" s="152"/>
    </row>
    <row r="555" ht="12.75" customHeight="1">
      <c r="A555" s="288"/>
      <c r="B555" s="288"/>
      <c r="C555" s="288"/>
      <c r="D555" s="152"/>
      <c r="E555" s="289"/>
      <c r="F555" s="288"/>
      <c r="G555" s="152"/>
      <c r="H555" s="289"/>
      <c r="I555" s="289"/>
      <c r="J555" s="152"/>
      <c r="K555" s="152"/>
      <c r="L555" s="156"/>
      <c r="M555" s="152"/>
      <c r="N555" s="152"/>
      <c r="O555" s="152"/>
      <c r="P555" s="152"/>
      <c r="Q555" s="152"/>
      <c r="R555" s="152"/>
      <c r="S555" s="152"/>
      <c r="T555" s="152"/>
      <c r="U555" s="152"/>
      <c r="V555" s="152"/>
      <c r="W555" s="281"/>
      <c r="X555" s="281"/>
      <c r="Y555" s="281"/>
      <c r="Z555" s="281"/>
      <c r="AA555" s="281"/>
      <c r="AB555" s="281"/>
      <c r="AC555" s="281"/>
      <c r="AD555" s="170"/>
      <c r="AE555" s="152"/>
      <c r="AF555" s="152"/>
      <c r="AG555" s="152"/>
      <c r="AH555" s="152"/>
      <c r="AI555" s="152"/>
      <c r="AJ555" s="152"/>
      <c r="AK555" s="152"/>
      <c r="AL555" s="152"/>
      <c r="AM555" s="152"/>
      <c r="AN555" s="152"/>
      <c r="AO555" s="152"/>
    </row>
    <row r="556" ht="12.75" customHeight="1">
      <c r="A556" s="288"/>
      <c r="B556" s="288"/>
      <c r="C556" s="288"/>
      <c r="D556" s="152"/>
      <c r="E556" s="289"/>
      <c r="F556" s="288"/>
      <c r="G556" s="152"/>
      <c r="H556" s="289"/>
      <c r="I556" s="289"/>
      <c r="J556" s="152"/>
      <c r="K556" s="152"/>
      <c r="L556" s="156"/>
      <c r="M556" s="152"/>
      <c r="N556" s="152"/>
      <c r="O556" s="152"/>
      <c r="P556" s="152"/>
      <c r="Q556" s="152"/>
      <c r="R556" s="152"/>
      <c r="S556" s="152"/>
      <c r="T556" s="152"/>
      <c r="U556" s="152"/>
      <c r="V556" s="152"/>
      <c r="W556" s="281"/>
      <c r="X556" s="281"/>
      <c r="Y556" s="281"/>
      <c r="Z556" s="281"/>
      <c r="AA556" s="281"/>
      <c r="AB556" s="281"/>
      <c r="AC556" s="281"/>
      <c r="AD556" s="170"/>
      <c r="AE556" s="152"/>
      <c r="AF556" s="152"/>
      <c r="AG556" s="152"/>
      <c r="AH556" s="152"/>
      <c r="AI556" s="152"/>
      <c r="AJ556" s="152"/>
      <c r="AK556" s="152"/>
      <c r="AL556" s="152"/>
      <c r="AM556" s="152"/>
      <c r="AN556" s="152"/>
      <c r="AO556" s="152"/>
    </row>
    <row r="557" ht="12.75" customHeight="1">
      <c r="A557" s="288"/>
      <c r="B557" s="288"/>
      <c r="C557" s="288"/>
      <c r="D557" s="152"/>
      <c r="E557" s="289"/>
      <c r="F557" s="288"/>
      <c r="G557" s="152"/>
      <c r="H557" s="289"/>
      <c r="I557" s="289"/>
      <c r="J557" s="152"/>
      <c r="K557" s="152"/>
      <c r="L557" s="156"/>
      <c r="M557" s="152"/>
      <c r="N557" s="152"/>
      <c r="O557" s="152"/>
      <c r="P557" s="152"/>
      <c r="Q557" s="152"/>
      <c r="R557" s="152"/>
      <c r="S557" s="152"/>
      <c r="T557" s="152"/>
      <c r="U557" s="152"/>
      <c r="V557" s="152"/>
      <c r="W557" s="281"/>
      <c r="X557" s="281"/>
      <c r="Y557" s="281"/>
      <c r="Z557" s="281"/>
      <c r="AA557" s="281"/>
      <c r="AB557" s="281"/>
      <c r="AC557" s="281"/>
      <c r="AD557" s="170"/>
      <c r="AE557" s="152"/>
      <c r="AF557" s="152"/>
      <c r="AG557" s="152"/>
      <c r="AH557" s="152"/>
      <c r="AI557" s="152"/>
      <c r="AJ557" s="152"/>
      <c r="AK557" s="152"/>
      <c r="AL557" s="152"/>
      <c r="AM557" s="152"/>
      <c r="AN557" s="152"/>
      <c r="AO557" s="152"/>
    </row>
    <row r="558" ht="12.75" customHeight="1">
      <c r="A558" s="288"/>
      <c r="B558" s="288"/>
      <c r="C558" s="288"/>
      <c r="D558" s="152"/>
      <c r="E558" s="289"/>
      <c r="F558" s="288"/>
      <c r="G558" s="152"/>
      <c r="H558" s="289"/>
      <c r="I558" s="289"/>
      <c r="J558" s="152"/>
      <c r="K558" s="152"/>
      <c r="L558" s="156"/>
      <c r="M558" s="152"/>
      <c r="N558" s="152"/>
      <c r="O558" s="152"/>
      <c r="P558" s="152"/>
      <c r="Q558" s="152"/>
      <c r="R558" s="152"/>
      <c r="S558" s="152"/>
      <c r="T558" s="152"/>
      <c r="U558" s="152"/>
      <c r="V558" s="152"/>
      <c r="W558" s="281"/>
      <c r="X558" s="281"/>
      <c r="Y558" s="281"/>
      <c r="Z558" s="281"/>
      <c r="AA558" s="281"/>
      <c r="AB558" s="281"/>
      <c r="AC558" s="281"/>
      <c r="AD558" s="170"/>
      <c r="AE558" s="152"/>
      <c r="AF558" s="152"/>
      <c r="AG558" s="152"/>
      <c r="AH558" s="152"/>
      <c r="AI558" s="152"/>
      <c r="AJ558" s="152"/>
      <c r="AK558" s="152"/>
      <c r="AL558" s="152"/>
      <c r="AM558" s="152"/>
      <c r="AN558" s="152"/>
      <c r="AO558" s="152"/>
    </row>
    <row r="559" ht="12.75" customHeight="1">
      <c r="A559" s="288"/>
      <c r="B559" s="288"/>
      <c r="C559" s="288"/>
      <c r="D559" s="152"/>
      <c r="E559" s="289"/>
      <c r="F559" s="288"/>
      <c r="G559" s="152"/>
      <c r="H559" s="289"/>
      <c r="I559" s="289"/>
      <c r="J559" s="152"/>
      <c r="K559" s="152"/>
      <c r="L559" s="156"/>
      <c r="M559" s="152"/>
      <c r="N559" s="152"/>
      <c r="O559" s="152"/>
      <c r="P559" s="152"/>
      <c r="Q559" s="152"/>
      <c r="R559" s="152"/>
      <c r="S559" s="152"/>
      <c r="T559" s="152"/>
      <c r="U559" s="152"/>
      <c r="V559" s="152"/>
      <c r="W559" s="281"/>
      <c r="X559" s="281"/>
      <c r="Y559" s="281"/>
      <c r="Z559" s="281"/>
      <c r="AA559" s="281"/>
      <c r="AB559" s="281"/>
      <c r="AC559" s="281"/>
      <c r="AD559" s="170"/>
      <c r="AE559" s="152"/>
      <c r="AF559" s="152"/>
      <c r="AG559" s="152"/>
      <c r="AH559" s="152"/>
      <c r="AI559" s="152"/>
      <c r="AJ559" s="152"/>
      <c r="AK559" s="152"/>
      <c r="AL559" s="152"/>
      <c r="AM559" s="152"/>
      <c r="AN559" s="152"/>
      <c r="AO559" s="152"/>
    </row>
    <row r="560" ht="12.75" customHeight="1">
      <c r="A560" s="288"/>
      <c r="B560" s="288"/>
      <c r="C560" s="288"/>
      <c r="D560" s="152"/>
      <c r="E560" s="289"/>
      <c r="F560" s="288"/>
      <c r="G560" s="152"/>
      <c r="H560" s="289"/>
      <c r="I560" s="289"/>
      <c r="J560" s="152"/>
      <c r="K560" s="152"/>
      <c r="L560" s="156"/>
      <c r="M560" s="152"/>
      <c r="N560" s="152"/>
      <c r="O560" s="152"/>
      <c r="P560" s="152"/>
      <c r="Q560" s="152"/>
      <c r="R560" s="152"/>
      <c r="S560" s="152"/>
      <c r="T560" s="152"/>
      <c r="U560" s="152"/>
      <c r="V560" s="152"/>
      <c r="W560" s="281"/>
      <c r="X560" s="281"/>
      <c r="Y560" s="281"/>
      <c r="Z560" s="281"/>
      <c r="AA560" s="281"/>
      <c r="AB560" s="281"/>
      <c r="AC560" s="281"/>
      <c r="AD560" s="170"/>
      <c r="AE560" s="152"/>
      <c r="AF560" s="152"/>
      <c r="AG560" s="152"/>
      <c r="AH560" s="152"/>
      <c r="AI560" s="152"/>
      <c r="AJ560" s="152"/>
      <c r="AK560" s="152"/>
      <c r="AL560" s="152"/>
      <c r="AM560" s="152"/>
      <c r="AN560" s="152"/>
      <c r="AO560" s="152"/>
    </row>
    <row r="561" ht="12.75" customHeight="1">
      <c r="A561" s="288"/>
      <c r="B561" s="288"/>
      <c r="C561" s="288"/>
      <c r="D561" s="152"/>
      <c r="E561" s="289"/>
      <c r="F561" s="288"/>
      <c r="G561" s="152"/>
      <c r="H561" s="289"/>
      <c r="I561" s="289"/>
      <c r="J561" s="152"/>
      <c r="K561" s="152"/>
      <c r="L561" s="156"/>
      <c r="M561" s="152"/>
      <c r="N561" s="152"/>
      <c r="O561" s="152"/>
      <c r="P561" s="152"/>
      <c r="Q561" s="152"/>
      <c r="R561" s="152"/>
      <c r="S561" s="152"/>
      <c r="T561" s="152"/>
      <c r="U561" s="152"/>
      <c r="V561" s="152"/>
      <c r="W561" s="281"/>
      <c r="X561" s="281"/>
      <c r="Y561" s="281"/>
      <c r="Z561" s="281"/>
      <c r="AA561" s="281"/>
      <c r="AB561" s="281"/>
      <c r="AC561" s="281"/>
      <c r="AD561" s="170"/>
      <c r="AE561" s="152"/>
      <c r="AF561" s="152"/>
      <c r="AG561" s="152"/>
      <c r="AH561" s="152"/>
      <c r="AI561" s="152"/>
      <c r="AJ561" s="152"/>
      <c r="AK561" s="152"/>
      <c r="AL561" s="152"/>
      <c r="AM561" s="152"/>
      <c r="AN561" s="152"/>
      <c r="AO561" s="152"/>
    </row>
    <row r="562" ht="12.75" customHeight="1">
      <c r="A562" s="288"/>
      <c r="B562" s="288"/>
      <c r="C562" s="288"/>
      <c r="D562" s="152"/>
      <c r="E562" s="289"/>
      <c r="F562" s="288"/>
      <c r="G562" s="152"/>
      <c r="H562" s="289"/>
      <c r="I562" s="289"/>
      <c r="J562" s="152"/>
      <c r="K562" s="152"/>
      <c r="L562" s="156"/>
      <c r="M562" s="152"/>
      <c r="N562" s="152"/>
      <c r="O562" s="152"/>
      <c r="P562" s="152"/>
      <c r="Q562" s="152"/>
      <c r="R562" s="152"/>
      <c r="S562" s="152"/>
      <c r="T562" s="152"/>
      <c r="U562" s="152"/>
      <c r="V562" s="152"/>
      <c r="W562" s="281"/>
      <c r="X562" s="281"/>
      <c r="Y562" s="281"/>
      <c r="Z562" s="281"/>
      <c r="AA562" s="281"/>
      <c r="AB562" s="281"/>
      <c r="AC562" s="281"/>
      <c r="AD562" s="170"/>
      <c r="AE562" s="152"/>
      <c r="AF562" s="152"/>
      <c r="AG562" s="152"/>
      <c r="AH562" s="152"/>
      <c r="AI562" s="152"/>
      <c r="AJ562" s="152"/>
      <c r="AK562" s="152"/>
      <c r="AL562" s="152"/>
      <c r="AM562" s="152"/>
      <c r="AN562" s="152"/>
      <c r="AO562" s="152"/>
    </row>
    <row r="563" ht="12.75" customHeight="1">
      <c r="A563" s="288"/>
      <c r="B563" s="288"/>
      <c r="C563" s="288"/>
      <c r="D563" s="152"/>
      <c r="E563" s="289"/>
      <c r="F563" s="288"/>
      <c r="G563" s="152"/>
      <c r="H563" s="289"/>
      <c r="I563" s="289"/>
      <c r="J563" s="152"/>
      <c r="K563" s="152"/>
      <c r="L563" s="156"/>
      <c r="M563" s="152"/>
      <c r="N563" s="152"/>
      <c r="O563" s="152"/>
      <c r="P563" s="152"/>
      <c r="Q563" s="152"/>
      <c r="R563" s="152"/>
      <c r="S563" s="152"/>
      <c r="T563" s="152"/>
      <c r="U563" s="152"/>
      <c r="V563" s="152"/>
      <c r="W563" s="281"/>
      <c r="X563" s="281"/>
      <c r="Y563" s="281"/>
      <c r="Z563" s="281"/>
      <c r="AA563" s="281"/>
      <c r="AB563" s="281"/>
      <c r="AC563" s="281"/>
      <c r="AD563" s="170"/>
      <c r="AE563" s="152"/>
      <c r="AF563" s="152"/>
      <c r="AG563" s="152"/>
      <c r="AH563" s="152"/>
      <c r="AI563" s="152"/>
      <c r="AJ563" s="152"/>
      <c r="AK563" s="152"/>
      <c r="AL563" s="152"/>
      <c r="AM563" s="152"/>
      <c r="AN563" s="152"/>
      <c r="AO563" s="152"/>
    </row>
    <row r="564" ht="12.75" customHeight="1">
      <c r="A564" s="288"/>
      <c r="B564" s="288"/>
      <c r="C564" s="288"/>
      <c r="D564" s="152"/>
      <c r="E564" s="289"/>
      <c r="F564" s="288"/>
      <c r="G564" s="152"/>
      <c r="H564" s="289"/>
      <c r="I564" s="289"/>
      <c r="J564" s="152"/>
      <c r="K564" s="152"/>
      <c r="L564" s="156"/>
      <c r="M564" s="152"/>
      <c r="N564" s="152"/>
      <c r="O564" s="152"/>
      <c r="P564" s="152"/>
      <c r="Q564" s="152"/>
      <c r="R564" s="152"/>
      <c r="S564" s="152"/>
      <c r="T564" s="152"/>
      <c r="U564" s="152"/>
      <c r="V564" s="152"/>
      <c r="W564" s="281"/>
      <c r="X564" s="281"/>
      <c r="Y564" s="281"/>
      <c r="Z564" s="281"/>
      <c r="AA564" s="281"/>
      <c r="AB564" s="281"/>
      <c r="AC564" s="281"/>
      <c r="AD564" s="170"/>
      <c r="AE564" s="152"/>
      <c r="AF564" s="152"/>
      <c r="AG564" s="152"/>
      <c r="AH564" s="152"/>
      <c r="AI564" s="152"/>
      <c r="AJ564" s="152"/>
      <c r="AK564" s="152"/>
      <c r="AL564" s="152"/>
      <c r="AM564" s="152"/>
      <c r="AN564" s="152"/>
      <c r="AO564" s="152"/>
    </row>
    <row r="565" ht="12.75" customHeight="1">
      <c r="A565" s="288"/>
      <c r="B565" s="288"/>
      <c r="C565" s="288"/>
      <c r="D565" s="152"/>
      <c r="E565" s="289"/>
      <c r="F565" s="288"/>
      <c r="G565" s="152"/>
      <c r="H565" s="289"/>
      <c r="I565" s="289"/>
      <c r="J565" s="152"/>
      <c r="K565" s="152"/>
      <c r="L565" s="156"/>
      <c r="M565" s="152"/>
      <c r="N565" s="152"/>
      <c r="O565" s="152"/>
      <c r="P565" s="152"/>
      <c r="Q565" s="152"/>
      <c r="R565" s="152"/>
      <c r="S565" s="152"/>
      <c r="T565" s="152"/>
      <c r="U565" s="152"/>
      <c r="V565" s="152"/>
      <c r="W565" s="281"/>
      <c r="X565" s="281"/>
      <c r="Y565" s="281"/>
      <c r="Z565" s="281"/>
      <c r="AA565" s="281"/>
      <c r="AB565" s="281"/>
      <c r="AC565" s="281"/>
      <c r="AD565" s="170"/>
      <c r="AE565" s="152"/>
      <c r="AF565" s="152"/>
      <c r="AG565" s="152"/>
      <c r="AH565" s="152"/>
      <c r="AI565" s="152"/>
      <c r="AJ565" s="152"/>
      <c r="AK565" s="152"/>
      <c r="AL565" s="152"/>
      <c r="AM565" s="152"/>
      <c r="AN565" s="152"/>
      <c r="AO565" s="152"/>
    </row>
    <row r="566" ht="12.75" customHeight="1">
      <c r="A566" s="288"/>
      <c r="B566" s="288"/>
      <c r="C566" s="288"/>
      <c r="D566" s="152"/>
      <c r="E566" s="289"/>
      <c r="F566" s="288"/>
      <c r="G566" s="152"/>
      <c r="H566" s="289"/>
      <c r="I566" s="289"/>
      <c r="J566" s="152"/>
      <c r="K566" s="152"/>
      <c r="L566" s="156"/>
      <c r="M566" s="152"/>
      <c r="N566" s="152"/>
      <c r="O566" s="152"/>
      <c r="P566" s="152"/>
      <c r="Q566" s="152"/>
      <c r="R566" s="152"/>
      <c r="S566" s="152"/>
      <c r="T566" s="152"/>
      <c r="U566" s="152"/>
      <c r="V566" s="152"/>
      <c r="W566" s="281"/>
      <c r="X566" s="281"/>
      <c r="Y566" s="281"/>
      <c r="Z566" s="281"/>
      <c r="AA566" s="281"/>
      <c r="AB566" s="281"/>
      <c r="AC566" s="281"/>
      <c r="AD566" s="170"/>
      <c r="AE566" s="152"/>
      <c r="AF566" s="152"/>
      <c r="AG566" s="152"/>
      <c r="AH566" s="152"/>
      <c r="AI566" s="152"/>
      <c r="AJ566" s="152"/>
      <c r="AK566" s="152"/>
      <c r="AL566" s="152"/>
      <c r="AM566" s="152"/>
      <c r="AN566" s="152"/>
      <c r="AO566" s="152"/>
    </row>
    <row r="567" ht="12.75" customHeight="1">
      <c r="A567" s="288"/>
      <c r="B567" s="288"/>
      <c r="C567" s="288"/>
      <c r="D567" s="152"/>
      <c r="E567" s="289"/>
      <c r="F567" s="288"/>
      <c r="G567" s="152"/>
      <c r="H567" s="289"/>
      <c r="I567" s="289"/>
      <c r="J567" s="152"/>
      <c r="K567" s="152"/>
      <c r="L567" s="156"/>
      <c r="M567" s="152"/>
      <c r="N567" s="152"/>
      <c r="O567" s="152"/>
      <c r="P567" s="152"/>
      <c r="Q567" s="152"/>
      <c r="R567" s="152"/>
      <c r="S567" s="152"/>
      <c r="T567" s="152"/>
      <c r="U567" s="152"/>
      <c r="V567" s="152"/>
      <c r="W567" s="281"/>
      <c r="X567" s="281"/>
      <c r="Y567" s="281"/>
      <c r="Z567" s="281"/>
      <c r="AA567" s="281"/>
      <c r="AB567" s="281"/>
      <c r="AC567" s="281"/>
      <c r="AD567" s="170"/>
      <c r="AE567" s="152"/>
      <c r="AF567" s="152"/>
      <c r="AG567" s="152"/>
      <c r="AH567" s="152"/>
      <c r="AI567" s="152"/>
      <c r="AJ567" s="152"/>
      <c r="AK567" s="152"/>
      <c r="AL567" s="152"/>
      <c r="AM567" s="152"/>
      <c r="AN567" s="152"/>
      <c r="AO567" s="152"/>
    </row>
    <row r="568" ht="12.75" customHeight="1">
      <c r="A568" s="288"/>
      <c r="B568" s="288"/>
      <c r="C568" s="288"/>
      <c r="D568" s="152"/>
      <c r="E568" s="289"/>
      <c r="F568" s="288"/>
      <c r="G568" s="152"/>
      <c r="H568" s="289"/>
      <c r="I568" s="289"/>
      <c r="J568" s="152"/>
      <c r="K568" s="152"/>
      <c r="L568" s="156"/>
      <c r="M568" s="152"/>
      <c r="N568" s="152"/>
      <c r="O568" s="152"/>
      <c r="P568" s="152"/>
      <c r="Q568" s="152"/>
      <c r="R568" s="152"/>
      <c r="S568" s="152"/>
      <c r="T568" s="152"/>
      <c r="U568" s="152"/>
      <c r="V568" s="152"/>
      <c r="W568" s="281"/>
      <c r="X568" s="281"/>
      <c r="Y568" s="281"/>
      <c r="Z568" s="281"/>
      <c r="AA568" s="281"/>
      <c r="AB568" s="281"/>
      <c r="AC568" s="281"/>
      <c r="AD568" s="170"/>
      <c r="AE568" s="152"/>
      <c r="AF568" s="152"/>
      <c r="AG568" s="152"/>
      <c r="AH568" s="152"/>
      <c r="AI568" s="152"/>
      <c r="AJ568" s="152"/>
      <c r="AK568" s="152"/>
      <c r="AL568" s="152"/>
      <c r="AM568" s="152"/>
      <c r="AN568" s="152"/>
      <c r="AO568" s="152"/>
    </row>
    <row r="569" ht="12.75" customHeight="1">
      <c r="A569" s="288"/>
      <c r="B569" s="288"/>
      <c r="C569" s="288"/>
      <c r="D569" s="152"/>
      <c r="E569" s="289"/>
      <c r="F569" s="288"/>
      <c r="G569" s="152"/>
      <c r="H569" s="289"/>
      <c r="I569" s="289"/>
      <c r="J569" s="152"/>
      <c r="K569" s="152"/>
      <c r="L569" s="156"/>
      <c r="M569" s="152"/>
      <c r="N569" s="152"/>
      <c r="O569" s="152"/>
      <c r="P569" s="152"/>
      <c r="Q569" s="152"/>
      <c r="R569" s="152"/>
      <c r="S569" s="152"/>
      <c r="T569" s="152"/>
      <c r="U569" s="152"/>
      <c r="V569" s="152"/>
      <c r="W569" s="281"/>
      <c r="X569" s="281"/>
      <c r="Y569" s="281"/>
      <c r="Z569" s="281"/>
      <c r="AA569" s="281"/>
      <c r="AB569" s="281"/>
      <c r="AC569" s="281"/>
      <c r="AD569" s="170"/>
      <c r="AE569" s="152"/>
      <c r="AF569" s="152"/>
      <c r="AG569" s="152"/>
      <c r="AH569" s="152"/>
      <c r="AI569" s="152"/>
      <c r="AJ569" s="152"/>
      <c r="AK569" s="152"/>
      <c r="AL569" s="152"/>
      <c r="AM569" s="152"/>
      <c r="AN569" s="152"/>
      <c r="AO569" s="152"/>
    </row>
    <row r="570" ht="12.75" customHeight="1">
      <c r="A570" s="288"/>
      <c r="B570" s="288"/>
      <c r="C570" s="288"/>
      <c r="D570" s="152"/>
      <c r="E570" s="289"/>
      <c r="F570" s="288"/>
      <c r="G570" s="152"/>
      <c r="H570" s="289"/>
      <c r="I570" s="289"/>
      <c r="J570" s="152"/>
      <c r="K570" s="152"/>
      <c r="L570" s="156"/>
      <c r="M570" s="152"/>
      <c r="N570" s="152"/>
      <c r="O570" s="152"/>
      <c r="P570" s="152"/>
      <c r="Q570" s="152"/>
      <c r="R570" s="152"/>
      <c r="S570" s="152"/>
      <c r="T570" s="152"/>
      <c r="U570" s="152"/>
      <c r="V570" s="152"/>
      <c r="W570" s="281"/>
      <c r="X570" s="281"/>
      <c r="Y570" s="281"/>
      <c r="Z570" s="281"/>
      <c r="AA570" s="281"/>
      <c r="AB570" s="281"/>
      <c r="AC570" s="281"/>
      <c r="AD570" s="170"/>
      <c r="AE570" s="152"/>
      <c r="AF570" s="152"/>
      <c r="AG570" s="152"/>
      <c r="AH570" s="152"/>
      <c r="AI570" s="152"/>
      <c r="AJ570" s="152"/>
      <c r="AK570" s="152"/>
      <c r="AL570" s="152"/>
      <c r="AM570" s="152"/>
      <c r="AN570" s="152"/>
      <c r="AO570" s="152"/>
    </row>
    <row r="571" ht="12.75" customHeight="1">
      <c r="A571" s="288"/>
      <c r="B571" s="288"/>
      <c r="C571" s="288"/>
      <c r="D571" s="152"/>
      <c r="E571" s="289"/>
      <c r="F571" s="288"/>
      <c r="G571" s="152"/>
      <c r="H571" s="289"/>
      <c r="I571" s="289"/>
      <c r="J571" s="152"/>
      <c r="K571" s="152"/>
      <c r="L571" s="156"/>
      <c r="M571" s="152"/>
      <c r="N571" s="152"/>
      <c r="O571" s="152"/>
      <c r="P571" s="152"/>
      <c r="Q571" s="152"/>
      <c r="R571" s="152"/>
      <c r="S571" s="152"/>
      <c r="T571" s="152"/>
      <c r="U571" s="152"/>
      <c r="V571" s="152"/>
      <c r="W571" s="281"/>
      <c r="X571" s="281"/>
      <c r="Y571" s="281"/>
      <c r="Z571" s="281"/>
      <c r="AA571" s="281"/>
      <c r="AB571" s="281"/>
      <c r="AC571" s="281"/>
      <c r="AD571" s="170"/>
      <c r="AE571" s="152"/>
      <c r="AF571" s="152"/>
      <c r="AG571" s="152"/>
      <c r="AH571" s="152"/>
      <c r="AI571" s="152"/>
      <c r="AJ571" s="152"/>
      <c r="AK571" s="152"/>
      <c r="AL571" s="152"/>
      <c r="AM571" s="152"/>
      <c r="AN571" s="152"/>
      <c r="AO571" s="152"/>
    </row>
    <row r="572" ht="12.75" customHeight="1">
      <c r="A572" s="288"/>
      <c r="B572" s="288"/>
      <c r="C572" s="288"/>
      <c r="D572" s="152"/>
      <c r="E572" s="289"/>
      <c r="F572" s="288"/>
      <c r="G572" s="152"/>
      <c r="H572" s="289"/>
      <c r="I572" s="289"/>
      <c r="J572" s="152"/>
      <c r="K572" s="152"/>
      <c r="L572" s="156"/>
      <c r="M572" s="152"/>
      <c r="N572" s="152"/>
      <c r="O572" s="152"/>
      <c r="P572" s="152"/>
      <c r="Q572" s="152"/>
      <c r="R572" s="152"/>
      <c r="S572" s="152"/>
      <c r="T572" s="152"/>
      <c r="U572" s="152"/>
      <c r="V572" s="152"/>
      <c r="W572" s="281"/>
      <c r="X572" s="281"/>
      <c r="Y572" s="281"/>
      <c r="Z572" s="281"/>
      <c r="AA572" s="281"/>
      <c r="AB572" s="281"/>
      <c r="AC572" s="281"/>
      <c r="AD572" s="170"/>
      <c r="AE572" s="152"/>
      <c r="AF572" s="152"/>
      <c r="AG572" s="152"/>
      <c r="AH572" s="152"/>
      <c r="AI572" s="152"/>
      <c r="AJ572" s="152"/>
      <c r="AK572" s="152"/>
      <c r="AL572" s="152"/>
      <c r="AM572" s="152"/>
      <c r="AN572" s="152"/>
      <c r="AO572" s="152"/>
    </row>
    <row r="573" ht="12.75" customHeight="1">
      <c r="A573" s="288"/>
      <c r="B573" s="288"/>
      <c r="C573" s="288"/>
      <c r="D573" s="152"/>
      <c r="E573" s="289"/>
      <c r="F573" s="288"/>
      <c r="G573" s="152"/>
      <c r="H573" s="289"/>
      <c r="I573" s="289"/>
      <c r="J573" s="152"/>
      <c r="K573" s="152"/>
      <c r="L573" s="156"/>
      <c r="M573" s="152"/>
      <c r="N573" s="152"/>
      <c r="O573" s="152"/>
      <c r="P573" s="152"/>
      <c r="Q573" s="152"/>
      <c r="R573" s="152"/>
      <c r="S573" s="152"/>
      <c r="T573" s="152"/>
      <c r="U573" s="152"/>
      <c r="V573" s="152"/>
      <c r="W573" s="281"/>
      <c r="X573" s="281"/>
      <c r="Y573" s="281"/>
      <c r="Z573" s="281"/>
      <c r="AA573" s="281"/>
      <c r="AB573" s="281"/>
      <c r="AC573" s="281"/>
      <c r="AD573" s="170"/>
      <c r="AE573" s="152"/>
      <c r="AF573" s="152"/>
      <c r="AG573" s="152"/>
      <c r="AH573" s="152"/>
      <c r="AI573" s="152"/>
      <c r="AJ573" s="152"/>
      <c r="AK573" s="152"/>
      <c r="AL573" s="152"/>
      <c r="AM573" s="152"/>
      <c r="AN573" s="152"/>
      <c r="AO573" s="152"/>
    </row>
    <row r="574" ht="12.75" customHeight="1">
      <c r="A574" s="288"/>
      <c r="B574" s="288"/>
      <c r="C574" s="288"/>
      <c r="D574" s="152"/>
      <c r="E574" s="289"/>
      <c r="F574" s="288"/>
      <c r="G574" s="152"/>
      <c r="H574" s="289"/>
      <c r="I574" s="289"/>
      <c r="J574" s="152"/>
      <c r="K574" s="152"/>
      <c r="L574" s="156"/>
      <c r="M574" s="152"/>
      <c r="N574" s="152"/>
      <c r="O574" s="152"/>
      <c r="P574" s="152"/>
      <c r="Q574" s="152"/>
      <c r="R574" s="152"/>
      <c r="S574" s="152"/>
      <c r="T574" s="152"/>
      <c r="U574" s="152"/>
      <c r="V574" s="152"/>
      <c r="W574" s="281"/>
      <c r="X574" s="281"/>
      <c r="Y574" s="281"/>
      <c r="Z574" s="281"/>
      <c r="AA574" s="281"/>
      <c r="AB574" s="281"/>
      <c r="AC574" s="281"/>
      <c r="AD574" s="170"/>
      <c r="AE574" s="152"/>
      <c r="AF574" s="152"/>
      <c r="AG574" s="152"/>
      <c r="AH574" s="152"/>
      <c r="AI574" s="152"/>
      <c r="AJ574" s="152"/>
      <c r="AK574" s="152"/>
      <c r="AL574" s="152"/>
      <c r="AM574" s="152"/>
      <c r="AN574" s="152"/>
      <c r="AO574" s="152"/>
    </row>
    <row r="575" ht="12.75" customHeight="1">
      <c r="A575" s="288"/>
      <c r="B575" s="288"/>
      <c r="C575" s="288"/>
      <c r="D575" s="152"/>
      <c r="E575" s="289"/>
      <c r="F575" s="288"/>
      <c r="G575" s="152"/>
      <c r="H575" s="289"/>
      <c r="I575" s="289"/>
      <c r="J575" s="152"/>
      <c r="K575" s="152"/>
      <c r="L575" s="156"/>
      <c r="M575" s="152"/>
      <c r="N575" s="152"/>
      <c r="O575" s="152"/>
      <c r="P575" s="152"/>
      <c r="Q575" s="152"/>
      <c r="R575" s="152"/>
      <c r="S575" s="152"/>
      <c r="T575" s="152"/>
      <c r="U575" s="152"/>
      <c r="V575" s="152"/>
      <c r="W575" s="281"/>
      <c r="X575" s="281"/>
      <c r="Y575" s="281"/>
      <c r="Z575" s="281"/>
      <c r="AA575" s="281"/>
      <c r="AB575" s="281"/>
      <c r="AC575" s="281"/>
      <c r="AD575" s="170"/>
      <c r="AE575" s="152"/>
      <c r="AF575" s="152"/>
      <c r="AG575" s="152"/>
      <c r="AH575" s="152"/>
      <c r="AI575" s="152"/>
      <c r="AJ575" s="152"/>
      <c r="AK575" s="152"/>
      <c r="AL575" s="152"/>
      <c r="AM575" s="152"/>
      <c r="AN575" s="152"/>
      <c r="AO575" s="152"/>
    </row>
    <row r="576" ht="12.75" customHeight="1">
      <c r="A576" s="288"/>
      <c r="B576" s="288"/>
      <c r="C576" s="288"/>
      <c r="D576" s="152"/>
      <c r="E576" s="289"/>
      <c r="F576" s="288"/>
      <c r="G576" s="152"/>
      <c r="H576" s="289"/>
      <c r="I576" s="289"/>
      <c r="J576" s="152"/>
      <c r="K576" s="152"/>
      <c r="L576" s="156"/>
      <c r="M576" s="152"/>
      <c r="N576" s="152"/>
      <c r="O576" s="152"/>
      <c r="P576" s="152"/>
      <c r="Q576" s="152"/>
      <c r="R576" s="152"/>
      <c r="S576" s="152"/>
      <c r="T576" s="152"/>
      <c r="U576" s="152"/>
      <c r="V576" s="152"/>
      <c r="W576" s="281"/>
      <c r="X576" s="281"/>
      <c r="Y576" s="281"/>
      <c r="Z576" s="281"/>
      <c r="AA576" s="281"/>
      <c r="AB576" s="281"/>
      <c r="AC576" s="281"/>
      <c r="AD576" s="170"/>
      <c r="AE576" s="152"/>
      <c r="AF576" s="152"/>
      <c r="AG576" s="152"/>
      <c r="AH576" s="152"/>
      <c r="AI576" s="152"/>
      <c r="AJ576" s="152"/>
      <c r="AK576" s="152"/>
      <c r="AL576" s="152"/>
      <c r="AM576" s="152"/>
      <c r="AN576" s="152"/>
      <c r="AO576" s="152"/>
    </row>
    <row r="577" ht="12.75" customHeight="1">
      <c r="A577" s="288"/>
      <c r="B577" s="288"/>
      <c r="C577" s="288"/>
      <c r="D577" s="152"/>
      <c r="E577" s="289"/>
      <c r="F577" s="288"/>
      <c r="G577" s="152"/>
      <c r="H577" s="289"/>
      <c r="I577" s="289"/>
      <c r="J577" s="152"/>
      <c r="K577" s="152"/>
      <c r="L577" s="156"/>
      <c r="M577" s="152"/>
      <c r="N577" s="152"/>
      <c r="O577" s="152"/>
      <c r="P577" s="152"/>
      <c r="Q577" s="152"/>
      <c r="R577" s="152"/>
      <c r="S577" s="152"/>
      <c r="T577" s="152"/>
      <c r="U577" s="152"/>
      <c r="V577" s="152"/>
      <c r="W577" s="281"/>
      <c r="X577" s="281"/>
      <c r="Y577" s="281"/>
      <c r="Z577" s="281"/>
      <c r="AA577" s="281"/>
      <c r="AB577" s="281"/>
      <c r="AC577" s="281"/>
      <c r="AD577" s="170"/>
      <c r="AE577" s="152"/>
      <c r="AF577" s="152"/>
      <c r="AG577" s="152"/>
      <c r="AH577" s="152"/>
      <c r="AI577" s="152"/>
      <c r="AJ577" s="152"/>
      <c r="AK577" s="152"/>
      <c r="AL577" s="152"/>
      <c r="AM577" s="152"/>
      <c r="AN577" s="152"/>
      <c r="AO577" s="152"/>
    </row>
    <row r="578" ht="12.75" customHeight="1">
      <c r="A578" s="288"/>
      <c r="B578" s="288"/>
      <c r="C578" s="288"/>
      <c r="D578" s="152"/>
      <c r="E578" s="289"/>
      <c r="F578" s="288"/>
      <c r="G578" s="152"/>
      <c r="H578" s="289"/>
      <c r="I578" s="289"/>
      <c r="J578" s="152"/>
      <c r="K578" s="152"/>
      <c r="L578" s="156"/>
      <c r="M578" s="152"/>
      <c r="N578" s="152"/>
      <c r="O578" s="152"/>
      <c r="P578" s="152"/>
      <c r="Q578" s="152"/>
      <c r="R578" s="152"/>
      <c r="S578" s="152"/>
      <c r="T578" s="152"/>
      <c r="U578" s="152"/>
      <c r="V578" s="152"/>
      <c r="W578" s="281"/>
      <c r="X578" s="281"/>
      <c r="Y578" s="281"/>
      <c r="Z578" s="281"/>
      <c r="AA578" s="281"/>
      <c r="AB578" s="281"/>
      <c r="AC578" s="281"/>
      <c r="AD578" s="170"/>
      <c r="AE578" s="152"/>
      <c r="AF578" s="152"/>
      <c r="AG578" s="152"/>
      <c r="AH578" s="152"/>
      <c r="AI578" s="152"/>
      <c r="AJ578" s="152"/>
      <c r="AK578" s="152"/>
      <c r="AL578" s="152"/>
      <c r="AM578" s="152"/>
      <c r="AN578" s="152"/>
      <c r="AO578" s="152"/>
    </row>
    <row r="579" ht="12.75" customHeight="1">
      <c r="A579" s="288"/>
      <c r="B579" s="288"/>
      <c r="C579" s="288"/>
      <c r="D579" s="152"/>
      <c r="E579" s="289"/>
      <c r="F579" s="288"/>
      <c r="G579" s="152"/>
      <c r="H579" s="289"/>
      <c r="I579" s="289"/>
      <c r="J579" s="152"/>
      <c r="K579" s="152"/>
      <c r="L579" s="156"/>
      <c r="M579" s="152"/>
      <c r="N579" s="152"/>
      <c r="O579" s="152"/>
      <c r="P579" s="152"/>
      <c r="Q579" s="152"/>
      <c r="R579" s="152"/>
      <c r="S579" s="152"/>
      <c r="T579" s="152"/>
      <c r="U579" s="152"/>
      <c r="V579" s="152"/>
      <c r="W579" s="281"/>
      <c r="X579" s="281"/>
      <c r="Y579" s="281"/>
      <c r="Z579" s="281"/>
      <c r="AA579" s="281"/>
      <c r="AB579" s="281"/>
      <c r="AC579" s="281"/>
      <c r="AD579" s="170"/>
      <c r="AE579" s="152"/>
      <c r="AF579" s="152"/>
      <c r="AG579" s="152"/>
      <c r="AH579" s="152"/>
      <c r="AI579" s="152"/>
      <c r="AJ579" s="152"/>
      <c r="AK579" s="152"/>
      <c r="AL579" s="152"/>
      <c r="AM579" s="152"/>
      <c r="AN579" s="152"/>
      <c r="AO579" s="152"/>
    </row>
    <row r="580" ht="12.75" customHeight="1">
      <c r="A580" s="288"/>
      <c r="B580" s="288"/>
      <c r="C580" s="288"/>
      <c r="D580" s="152"/>
      <c r="E580" s="289"/>
      <c r="F580" s="288"/>
      <c r="G580" s="152"/>
      <c r="H580" s="289"/>
      <c r="I580" s="289"/>
      <c r="J580" s="152"/>
      <c r="K580" s="152"/>
      <c r="L580" s="156"/>
      <c r="M580" s="152"/>
      <c r="N580" s="152"/>
      <c r="O580" s="152"/>
      <c r="P580" s="152"/>
      <c r="Q580" s="152"/>
      <c r="R580" s="152"/>
      <c r="S580" s="152"/>
      <c r="T580" s="152"/>
      <c r="U580" s="152"/>
      <c r="V580" s="152"/>
      <c r="W580" s="281"/>
      <c r="X580" s="281"/>
      <c r="Y580" s="281"/>
      <c r="Z580" s="281"/>
      <c r="AA580" s="281"/>
      <c r="AB580" s="281"/>
      <c r="AC580" s="281"/>
      <c r="AD580" s="170"/>
      <c r="AE580" s="152"/>
      <c r="AF580" s="152"/>
      <c r="AG580" s="152"/>
      <c r="AH580" s="152"/>
      <c r="AI580" s="152"/>
      <c r="AJ580" s="152"/>
      <c r="AK580" s="152"/>
      <c r="AL580" s="152"/>
      <c r="AM580" s="152"/>
      <c r="AN580" s="152"/>
      <c r="AO580" s="152"/>
    </row>
    <row r="581" ht="12.75" customHeight="1">
      <c r="A581" s="288"/>
      <c r="B581" s="288"/>
      <c r="C581" s="288"/>
      <c r="D581" s="152"/>
      <c r="E581" s="289"/>
      <c r="F581" s="288"/>
      <c r="G581" s="152"/>
      <c r="H581" s="289"/>
      <c r="I581" s="289"/>
      <c r="J581" s="152"/>
      <c r="K581" s="152"/>
      <c r="L581" s="156"/>
      <c r="M581" s="152"/>
      <c r="N581" s="152"/>
      <c r="O581" s="152"/>
      <c r="P581" s="152"/>
      <c r="Q581" s="152"/>
      <c r="R581" s="152"/>
      <c r="S581" s="152"/>
      <c r="T581" s="152"/>
      <c r="U581" s="152"/>
      <c r="V581" s="152"/>
      <c r="W581" s="281"/>
      <c r="X581" s="281"/>
      <c r="Y581" s="281"/>
      <c r="Z581" s="281"/>
      <c r="AA581" s="281"/>
      <c r="AB581" s="281"/>
      <c r="AC581" s="281"/>
      <c r="AD581" s="170"/>
      <c r="AE581" s="152"/>
      <c r="AF581" s="152"/>
      <c r="AG581" s="152"/>
      <c r="AH581" s="152"/>
      <c r="AI581" s="152"/>
      <c r="AJ581" s="152"/>
      <c r="AK581" s="152"/>
      <c r="AL581" s="152"/>
      <c r="AM581" s="152"/>
      <c r="AN581" s="152"/>
      <c r="AO581" s="152"/>
    </row>
    <row r="582" ht="12.75" customHeight="1">
      <c r="A582" s="288"/>
      <c r="B582" s="288"/>
      <c r="C582" s="288"/>
      <c r="D582" s="152"/>
      <c r="E582" s="289"/>
      <c r="F582" s="288"/>
      <c r="G582" s="152"/>
      <c r="H582" s="289"/>
      <c r="I582" s="289"/>
      <c r="J582" s="152"/>
      <c r="K582" s="152"/>
      <c r="L582" s="156"/>
      <c r="M582" s="152"/>
      <c r="N582" s="152"/>
      <c r="O582" s="152"/>
      <c r="P582" s="152"/>
      <c r="Q582" s="152"/>
      <c r="R582" s="152"/>
      <c r="S582" s="152"/>
      <c r="T582" s="152"/>
      <c r="U582" s="152"/>
      <c r="V582" s="152"/>
      <c r="W582" s="281"/>
      <c r="X582" s="281"/>
      <c r="Y582" s="281"/>
      <c r="Z582" s="281"/>
      <c r="AA582" s="281"/>
      <c r="AB582" s="281"/>
      <c r="AC582" s="281"/>
      <c r="AD582" s="170"/>
      <c r="AE582" s="152"/>
      <c r="AF582" s="152"/>
      <c r="AG582" s="152"/>
      <c r="AH582" s="152"/>
      <c r="AI582" s="152"/>
      <c r="AJ582" s="152"/>
      <c r="AK582" s="152"/>
      <c r="AL582" s="152"/>
      <c r="AM582" s="152"/>
      <c r="AN582" s="152"/>
      <c r="AO582" s="152"/>
    </row>
    <row r="583" ht="12.75" customHeight="1">
      <c r="A583" s="288"/>
      <c r="B583" s="288"/>
      <c r="C583" s="288"/>
      <c r="D583" s="152"/>
      <c r="E583" s="289"/>
      <c r="F583" s="288"/>
      <c r="G583" s="152"/>
      <c r="H583" s="289"/>
      <c r="I583" s="289"/>
      <c r="J583" s="152"/>
      <c r="K583" s="152"/>
      <c r="L583" s="156"/>
      <c r="M583" s="152"/>
      <c r="N583" s="152"/>
      <c r="O583" s="152"/>
      <c r="P583" s="152"/>
      <c r="Q583" s="152"/>
      <c r="R583" s="152"/>
      <c r="S583" s="152"/>
      <c r="T583" s="152"/>
      <c r="U583" s="152"/>
      <c r="V583" s="152"/>
      <c r="W583" s="281"/>
      <c r="X583" s="281"/>
      <c r="Y583" s="281"/>
      <c r="Z583" s="281"/>
      <c r="AA583" s="281"/>
      <c r="AB583" s="281"/>
      <c r="AC583" s="281"/>
      <c r="AD583" s="170"/>
      <c r="AE583" s="152"/>
      <c r="AF583" s="152"/>
      <c r="AG583" s="152"/>
      <c r="AH583" s="152"/>
      <c r="AI583" s="152"/>
      <c r="AJ583" s="152"/>
      <c r="AK583" s="152"/>
      <c r="AL583" s="152"/>
      <c r="AM583" s="152"/>
      <c r="AN583" s="152"/>
      <c r="AO583" s="152"/>
    </row>
    <row r="584" ht="12.75" customHeight="1">
      <c r="A584" s="288"/>
      <c r="B584" s="288"/>
      <c r="C584" s="288"/>
      <c r="D584" s="152"/>
      <c r="E584" s="289"/>
      <c r="F584" s="288"/>
      <c r="G584" s="152"/>
      <c r="H584" s="289"/>
      <c r="I584" s="289"/>
      <c r="J584" s="152"/>
      <c r="K584" s="152"/>
      <c r="L584" s="156"/>
      <c r="M584" s="152"/>
      <c r="N584" s="152"/>
      <c r="O584" s="152"/>
      <c r="P584" s="152"/>
      <c r="Q584" s="152"/>
      <c r="R584" s="152"/>
      <c r="S584" s="152"/>
      <c r="T584" s="152"/>
      <c r="U584" s="152"/>
      <c r="V584" s="152"/>
      <c r="W584" s="281"/>
      <c r="X584" s="281"/>
      <c r="Y584" s="281"/>
      <c r="Z584" s="281"/>
      <c r="AA584" s="281"/>
      <c r="AB584" s="281"/>
      <c r="AC584" s="281"/>
      <c r="AD584" s="170"/>
      <c r="AE584" s="152"/>
      <c r="AF584" s="152"/>
      <c r="AG584" s="152"/>
      <c r="AH584" s="152"/>
      <c r="AI584" s="152"/>
      <c r="AJ584" s="152"/>
      <c r="AK584" s="152"/>
      <c r="AL584" s="152"/>
      <c r="AM584" s="152"/>
      <c r="AN584" s="152"/>
      <c r="AO584" s="152"/>
    </row>
    <row r="585" ht="12.75" customHeight="1">
      <c r="A585" s="288"/>
      <c r="B585" s="288"/>
      <c r="C585" s="288"/>
      <c r="D585" s="152"/>
      <c r="E585" s="289"/>
      <c r="F585" s="288"/>
      <c r="G585" s="152"/>
      <c r="H585" s="289"/>
      <c r="I585" s="289"/>
      <c r="J585" s="152"/>
      <c r="K585" s="152"/>
      <c r="L585" s="156"/>
      <c r="M585" s="152"/>
      <c r="N585" s="152"/>
      <c r="O585" s="152"/>
      <c r="P585" s="152"/>
      <c r="Q585" s="152"/>
      <c r="R585" s="152"/>
      <c r="S585" s="152"/>
      <c r="T585" s="152"/>
      <c r="U585" s="152"/>
      <c r="V585" s="152"/>
      <c r="W585" s="281"/>
      <c r="X585" s="281"/>
      <c r="Y585" s="281"/>
      <c r="Z585" s="281"/>
      <c r="AA585" s="281"/>
      <c r="AB585" s="281"/>
      <c r="AC585" s="281"/>
      <c r="AD585" s="170"/>
      <c r="AE585" s="152"/>
      <c r="AF585" s="152"/>
      <c r="AG585" s="152"/>
      <c r="AH585" s="152"/>
      <c r="AI585" s="152"/>
      <c r="AJ585" s="152"/>
      <c r="AK585" s="152"/>
      <c r="AL585" s="152"/>
      <c r="AM585" s="152"/>
      <c r="AN585" s="152"/>
      <c r="AO585" s="152"/>
    </row>
    <row r="586" ht="12.75" customHeight="1">
      <c r="A586" s="288"/>
      <c r="B586" s="288"/>
      <c r="C586" s="288"/>
      <c r="D586" s="152"/>
      <c r="E586" s="289"/>
      <c r="F586" s="288"/>
      <c r="G586" s="152"/>
      <c r="H586" s="289"/>
      <c r="I586" s="289"/>
      <c r="J586" s="152"/>
      <c r="K586" s="152"/>
      <c r="L586" s="156"/>
      <c r="M586" s="152"/>
      <c r="N586" s="152"/>
      <c r="O586" s="152"/>
      <c r="P586" s="152"/>
      <c r="Q586" s="152"/>
      <c r="R586" s="152"/>
      <c r="S586" s="152"/>
      <c r="T586" s="152"/>
      <c r="U586" s="152"/>
      <c r="V586" s="152"/>
      <c r="W586" s="281"/>
      <c r="X586" s="281"/>
      <c r="Y586" s="281"/>
      <c r="Z586" s="281"/>
      <c r="AA586" s="281"/>
      <c r="AB586" s="281"/>
      <c r="AC586" s="281"/>
      <c r="AD586" s="170"/>
      <c r="AE586" s="152"/>
      <c r="AF586" s="152"/>
      <c r="AG586" s="152"/>
      <c r="AH586" s="152"/>
      <c r="AI586" s="152"/>
      <c r="AJ586" s="152"/>
      <c r="AK586" s="152"/>
      <c r="AL586" s="152"/>
      <c r="AM586" s="152"/>
      <c r="AN586" s="152"/>
      <c r="AO586" s="152"/>
    </row>
    <row r="587" ht="12.75" customHeight="1">
      <c r="A587" s="288"/>
      <c r="B587" s="288"/>
      <c r="C587" s="288"/>
      <c r="D587" s="152"/>
      <c r="E587" s="289"/>
      <c r="F587" s="288"/>
      <c r="G587" s="152"/>
      <c r="H587" s="289"/>
      <c r="I587" s="289"/>
      <c r="J587" s="152"/>
      <c r="K587" s="152"/>
      <c r="L587" s="156"/>
      <c r="M587" s="152"/>
      <c r="N587" s="152"/>
      <c r="O587" s="152"/>
      <c r="P587" s="152"/>
      <c r="Q587" s="152"/>
      <c r="R587" s="152"/>
      <c r="S587" s="152"/>
      <c r="T587" s="152"/>
      <c r="U587" s="152"/>
      <c r="V587" s="152"/>
      <c r="W587" s="281"/>
      <c r="X587" s="281"/>
      <c r="Y587" s="281"/>
      <c r="Z587" s="281"/>
      <c r="AA587" s="281"/>
      <c r="AB587" s="281"/>
      <c r="AC587" s="281"/>
      <c r="AD587" s="170"/>
      <c r="AE587" s="152"/>
      <c r="AF587" s="152"/>
      <c r="AG587" s="152"/>
      <c r="AH587" s="152"/>
      <c r="AI587" s="152"/>
      <c r="AJ587" s="152"/>
      <c r="AK587" s="152"/>
      <c r="AL587" s="152"/>
      <c r="AM587" s="152"/>
      <c r="AN587" s="152"/>
      <c r="AO587" s="152"/>
    </row>
    <row r="588" ht="12.75" customHeight="1">
      <c r="A588" s="288"/>
      <c r="B588" s="288"/>
      <c r="C588" s="288"/>
      <c r="D588" s="152"/>
      <c r="E588" s="289"/>
      <c r="F588" s="288"/>
      <c r="G588" s="152"/>
      <c r="H588" s="289"/>
      <c r="I588" s="289"/>
      <c r="J588" s="152"/>
      <c r="K588" s="152"/>
      <c r="L588" s="156"/>
      <c r="M588" s="152"/>
      <c r="N588" s="152"/>
      <c r="O588" s="152"/>
      <c r="P588" s="152"/>
      <c r="Q588" s="152"/>
      <c r="R588" s="152"/>
      <c r="S588" s="152"/>
      <c r="T588" s="152"/>
      <c r="U588" s="152"/>
      <c r="V588" s="152"/>
      <c r="W588" s="281"/>
      <c r="X588" s="281"/>
      <c r="Y588" s="281"/>
      <c r="Z588" s="281"/>
      <c r="AA588" s="281"/>
      <c r="AB588" s="281"/>
      <c r="AC588" s="281"/>
      <c r="AD588" s="170"/>
      <c r="AE588" s="152"/>
      <c r="AF588" s="152"/>
      <c r="AG588" s="152"/>
      <c r="AH588" s="152"/>
      <c r="AI588" s="152"/>
      <c r="AJ588" s="152"/>
      <c r="AK588" s="152"/>
      <c r="AL588" s="152"/>
      <c r="AM588" s="152"/>
      <c r="AN588" s="152"/>
      <c r="AO588" s="152"/>
    </row>
    <row r="589" ht="12.75" customHeight="1">
      <c r="A589" s="288"/>
      <c r="B589" s="288"/>
      <c r="C589" s="288"/>
      <c r="D589" s="152"/>
      <c r="E589" s="289"/>
      <c r="F589" s="288"/>
      <c r="G589" s="152"/>
      <c r="H589" s="289"/>
      <c r="I589" s="289"/>
      <c r="J589" s="152"/>
      <c r="K589" s="152"/>
      <c r="L589" s="156"/>
      <c r="M589" s="152"/>
      <c r="N589" s="152"/>
      <c r="O589" s="152"/>
      <c r="P589" s="152"/>
      <c r="Q589" s="152"/>
      <c r="R589" s="152"/>
      <c r="S589" s="152"/>
      <c r="T589" s="152"/>
      <c r="U589" s="152"/>
      <c r="V589" s="152"/>
      <c r="W589" s="281"/>
      <c r="X589" s="281"/>
      <c r="Y589" s="281"/>
      <c r="Z589" s="281"/>
      <c r="AA589" s="281"/>
      <c r="AB589" s="281"/>
      <c r="AC589" s="281"/>
      <c r="AD589" s="170"/>
      <c r="AE589" s="152"/>
      <c r="AF589" s="152"/>
      <c r="AG589" s="152"/>
      <c r="AH589" s="152"/>
      <c r="AI589" s="152"/>
      <c r="AJ589" s="152"/>
      <c r="AK589" s="152"/>
      <c r="AL589" s="152"/>
      <c r="AM589" s="152"/>
      <c r="AN589" s="152"/>
      <c r="AO589" s="152"/>
    </row>
    <row r="590" ht="12.75" customHeight="1">
      <c r="A590" s="288"/>
      <c r="B590" s="288"/>
      <c r="C590" s="288"/>
      <c r="D590" s="152"/>
      <c r="E590" s="289"/>
      <c r="F590" s="288"/>
      <c r="G590" s="152"/>
      <c r="H590" s="289"/>
      <c r="I590" s="289"/>
      <c r="J590" s="152"/>
      <c r="K590" s="152"/>
      <c r="L590" s="156"/>
      <c r="M590" s="152"/>
      <c r="N590" s="152"/>
      <c r="O590" s="152"/>
      <c r="P590" s="152"/>
      <c r="Q590" s="152"/>
      <c r="R590" s="152"/>
      <c r="S590" s="152"/>
      <c r="T590" s="152"/>
      <c r="U590" s="152"/>
      <c r="V590" s="152"/>
      <c r="W590" s="281"/>
      <c r="X590" s="281"/>
      <c r="Y590" s="281"/>
      <c r="Z590" s="281"/>
      <c r="AA590" s="281"/>
      <c r="AB590" s="281"/>
      <c r="AC590" s="281"/>
      <c r="AD590" s="170"/>
      <c r="AE590" s="152"/>
      <c r="AF590" s="152"/>
      <c r="AG590" s="152"/>
      <c r="AH590" s="152"/>
      <c r="AI590" s="152"/>
      <c r="AJ590" s="152"/>
      <c r="AK590" s="152"/>
      <c r="AL590" s="152"/>
      <c r="AM590" s="152"/>
      <c r="AN590" s="152"/>
      <c r="AO590" s="152"/>
    </row>
    <row r="591" ht="12.75" customHeight="1">
      <c r="A591" s="288"/>
      <c r="B591" s="288"/>
      <c r="C591" s="288"/>
      <c r="D591" s="152"/>
      <c r="E591" s="289"/>
      <c r="F591" s="288"/>
      <c r="G591" s="152"/>
      <c r="H591" s="289"/>
      <c r="I591" s="289"/>
      <c r="J591" s="152"/>
      <c r="K591" s="152"/>
      <c r="L591" s="156"/>
      <c r="M591" s="152"/>
      <c r="N591" s="152"/>
      <c r="O591" s="152"/>
      <c r="P591" s="152"/>
      <c r="Q591" s="152"/>
      <c r="R591" s="152"/>
      <c r="S591" s="152"/>
      <c r="T591" s="152"/>
      <c r="U591" s="152"/>
      <c r="V591" s="152"/>
      <c r="W591" s="281"/>
      <c r="X591" s="281"/>
      <c r="Y591" s="281"/>
      <c r="Z591" s="281"/>
      <c r="AA591" s="281"/>
      <c r="AB591" s="281"/>
      <c r="AC591" s="281"/>
      <c r="AD591" s="170"/>
      <c r="AE591" s="152"/>
      <c r="AF591" s="152"/>
      <c r="AG591" s="152"/>
      <c r="AH591" s="152"/>
      <c r="AI591" s="152"/>
      <c r="AJ591" s="152"/>
      <c r="AK591" s="152"/>
      <c r="AL591" s="152"/>
      <c r="AM591" s="152"/>
      <c r="AN591" s="152"/>
      <c r="AO591" s="152"/>
    </row>
    <row r="592" ht="12.75" customHeight="1">
      <c r="A592" s="288"/>
      <c r="B592" s="288"/>
      <c r="C592" s="288"/>
      <c r="D592" s="152"/>
      <c r="E592" s="289"/>
      <c r="F592" s="288"/>
      <c r="G592" s="152"/>
      <c r="H592" s="289"/>
      <c r="I592" s="289"/>
      <c r="J592" s="152"/>
      <c r="K592" s="152"/>
      <c r="L592" s="156"/>
      <c r="M592" s="152"/>
      <c r="N592" s="152"/>
      <c r="O592" s="152"/>
      <c r="P592" s="152"/>
      <c r="Q592" s="152"/>
      <c r="R592" s="152"/>
      <c r="S592" s="152"/>
      <c r="T592" s="152"/>
      <c r="U592" s="152"/>
      <c r="V592" s="152"/>
      <c r="W592" s="281"/>
      <c r="X592" s="281"/>
      <c r="Y592" s="281"/>
      <c r="Z592" s="281"/>
      <c r="AA592" s="281"/>
      <c r="AB592" s="281"/>
      <c r="AC592" s="281"/>
      <c r="AD592" s="170"/>
      <c r="AE592" s="152"/>
      <c r="AF592" s="152"/>
      <c r="AG592" s="152"/>
      <c r="AH592" s="152"/>
      <c r="AI592" s="152"/>
      <c r="AJ592" s="152"/>
      <c r="AK592" s="152"/>
      <c r="AL592" s="152"/>
      <c r="AM592" s="152"/>
      <c r="AN592" s="152"/>
      <c r="AO592" s="152"/>
    </row>
    <row r="593" ht="12.75" customHeight="1">
      <c r="A593" s="288"/>
      <c r="B593" s="288"/>
      <c r="C593" s="288"/>
      <c r="D593" s="152"/>
      <c r="E593" s="289"/>
      <c r="F593" s="288"/>
      <c r="G593" s="152"/>
      <c r="H593" s="289"/>
      <c r="I593" s="289"/>
      <c r="J593" s="152"/>
      <c r="K593" s="152"/>
      <c r="L593" s="156"/>
      <c r="M593" s="152"/>
      <c r="N593" s="152"/>
      <c r="O593" s="152"/>
      <c r="P593" s="152"/>
      <c r="Q593" s="152"/>
      <c r="R593" s="152"/>
      <c r="S593" s="152"/>
      <c r="T593" s="152"/>
      <c r="U593" s="152"/>
      <c r="V593" s="152"/>
      <c r="W593" s="281"/>
      <c r="X593" s="281"/>
      <c r="Y593" s="281"/>
      <c r="Z593" s="281"/>
      <c r="AA593" s="281"/>
      <c r="AB593" s="281"/>
      <c r="AC593" s="281"/>
      <c r="AD593" s="170"/>
      <c r="AE593" s="152"/>
      <c r="AF593" s="152"/>
      <c r="AG593" s="152"/>
      <c r="AH593" s="152"/>
      <c r="AI593" s="152"/>
      <c r="AJ593" s="152"/>
      <c r="AK593" s="152"/>
      <c r="AL593" s="152"/>
      <c r="AM593" s="152"/>
      <c r="AN593" s="152"/>
      <c r="AO593" s="152"/>
    </row>
    <row r="594" ht="12.75" customHeight="1">
      <c r="A594" s="288"/>
      <c r="B594" s="288"/>
      <c r="C594" s="288"/>
      <c r="D594" s="152"/>
      <c r="E594" s="289"/>
      <c r="F594" s="288"/>
      <c r="G594" s="152"/>
      <c r="H594" s="289"/>
      <c r="I594" s="289"/>
      <c r="J594" s="152"/>
      <c r="K594" s="152"/>
      <c r="L594" s="156"/>
      <c r="M594" s="152"/>
      <c r="N594" s="152"/>
      <c r="O594" s="152"/>
      <c r="P594" s="152"/>
      <c r="Q594" s="152"/>
      <c r="R594" s="152"/>
      <c r="S594" s="152"/>
      <c r="T594" s="152"/>
      <c r="U594" s="152"/>
      <c r="V594" s="152"/>
      <c r="W594" s="281"/>
      <c r="X594" s="281"/>
      <c r="Y594" s="281"/>
      <c r="Z594" s="281"/>
      <c r="AA594" s="281"/>
      <c r="AB594" s="281"/>
      <c r="AC594" s="281"/>
      <c r="AD594" s="170"/>
      <c r="AE594" s="152"/>
      <c r="AF594" s="152"/>
      <c r="AG594" s="152"/>
      <c r="AH594" s="152"/>
      <c r="AI594" s="152"/>
      <c r="AJ594" s="152"/>
      <c r="AK594" s="152"/>
      <c r="AL594" s="152"/>
      <c r="AM594" s="152"/>
      <c r="AN594" s="152"/>
      <c r="AO594" s="152"/>
    </row>
    <row r="595" ht="12.75" customHeight="1">
      <c r="A595" s="288"/>
      <c r="B595" s="288"/>
      <c r="C595" s="288"/>
      <c r="D595" s="152"/>
      <c r="E595" s="289"/>
      <c r="F595" s="288"/>
      <c r="G595" s="152"/>
      <c r="H595" s="289"/>
      <c r="I595" s="289"/>
      <c r="J595" s="152"/>
      <c r="K595" s="152"/>
      <c r="L595" s="156"/>
      <c r="M595" s="152"/>
      <c r="N595" s="152"/>
      <c r="O595" s="152"/>
      <c r="P595" s="152"/>
      <c r="Q595" s="152"/>
      <c r="R595" s="152"/>
      <c r="S595" s="152"/>
      <c r="T595" s="152"/>
      <c r="U595" s="152"/>
      <c r="V595" s="152"/>
      <c r="W595" s="281"/>
      <c r="X595" s="281"/>
      <c r="Y595" s="281"/>
      <c r="Z595" s="281"/>
      <c r="AA595" s="281"/>
      <c r="AB595" s="281"/>
      <c r="AC595" s="281"/>
      <c r="AD595" s="170"/>
      <c r="AE595" s="152"/>
      <c r="AF595" s="152"/>
      <c r="AG595" s="152"/>
      <c r="AH595" s="152"/>
      <c r="AI595" s="152"/>
      <c r="AJ595" s="152"/>
      <c r="AK595" s="152"/>
      <c r="AL595" s="152"/>
      <c r="AM595" s="152"/>
      <c r="AN595" s="152"/>
      <c r="AO595" s="152"/>
    </row>
    <row r="596" ht="12.75" customHeight="1">
      <c r="A596" s="288"/>
      <c r="B596" s="288"/>
      <c r="C596" s="288"/>
      <c r="D596" s="152"/>
      <c r="E596" s="289"/>
      <c r="F596" s="288"/>
      <c r="G596" s="152"/>
      <c r="H596" s="289"/>
      <c r="I596" s="289"/>
      <c r="J596" s="152"/>
      <c r="K596" s="152"/>
      <c r="L596" s="156"/>
      <c r="M596" s="152"/>
      <c r="N596" s="152"/>
      <c r="O596" s="152"/>
      <c r="P596" s="152"/>
      <c r="Q596" s="152"/>
      <c r="R596" s="152"/>
      <c r="S596" s="152"/>
      <c r="T596" s="152"/>
      <c r="U596" s="152"/>
      <c r="V596" s="152"/>
      <c r="W596" s="281"/>
      <c r="X596" s="281"/>
      <c r="Y596" s="281"/>
      <c r="Z596" s="281"/>
      <c r="AA596" s="281"/>
      <c r="AB596" s="281"/>
      <c r="AC596" s="281"/>
      <c r="AD596" s="170"/>
      <c r="AE596" s="152"/>
      <c r="AF596" s="152"/>
      <c r="AG596" s="152"/>
      <c r="AH596" s="152"/>
      <c r="AI596" s="152"/>
      <c r="AJ596" s="152"/>
      <c r="AK596" s="152"/>
      <c r="AL596" s="152"/>
      <c r="AM596" s="152"/>
      <c r="AN596" s="152"/>
      <c r="AO596" s="152"/>
    </row>
    <row r="597" ht="12.75" customHeight="1">
      <c r="A597" s="288"/>
      <c r="B597" s="288"/>
      <c r="C597" s="288"/>
      <c r="D597" s="152"/>
      <c r="E597" s="289"/>
      <c r="F597" s="288"/>
      <c r="G597" s="152"/>
      <c r="H597" s="289"/>
      <c r="I597" s="289"/>
      <c r="J597" s="152"/>
      <c r="K597" s="152"/>
      <c r="L597" s="156"/>
      <c r="M597" s="152"/>
      <c r="N597" s="152"/>
      <c r="O597" s="152"/>
      <c r="P597" s="152"/>
      <c r="Q597" s="152"/>
      <c r="R597" s="152"/>
      <c r="S597" s="152"/>
      <c r="T597" s="152"/>
      <c r="U597" s="152"/>
      <c r="V597" s="152"/>
      <c r="W597" s="281"/>
      <c r="X597" s="281"/>
      <c r="Y597" s="281"/>
      <c r="Z597" s="281"/>
      <c r="AA597" s="281"/>
      <c r="AB597" s="281"/>
      <c r="AC597" s="281"/>
      <c r="AD597" s="170"/>
      <c r="AE597" s="152"/>
      <c r="AF597" s="152"/>
      <c r="AG597" s="152"/>
      <c r="AH597" s="152"/>
      <c r="AI597" s="152"/>
      <c r="AJ597" s="152"/>
      <c r="AK597" s="152"/>
      <c r="AL597" s="152"/>
      <c r="AM597" s="152"/>
      <c r="AN597" s="152"/>
      <c r="AO597" s="152"/>
    </row>
    <row r="598" ht="12.75" customHeight="1">
      <c r="A598" s="288"/>
      <c r="B598" s="288"/>
      <c r="C598" s="288"/>
      <c r="D598" s="152"/>
      <c r="E598" s="289"/>
      <c r="F598" s="288"/>
      <c r="G598" s="152"/>
      <c r="H598" s="289"/>
      <c r="I598" s="289"/>
      <c r="J598" s="152"/>
      <c r="K598" s="152"/>
      <c r="L598" s="156"/>
      <c r="M598" s="152"/>
      <c r="N598" s="152"/>
      <c r="O598" s="152"/>
      <c r="P598" s="152"/>
      <c r="Q598" s="152"/>
      <c r="R598" s="152"/>
      <c r="S598" s="152"/>
      <c r="T598" s="152"/>
      <c r="U598" s="152"/>
      <c r="V598" s="152"/>
      <c r="W598" s="281"/>
      <c r="X598" s="281"/>
      <c r="Y598" s="281"/>
      <c r="Z598" s="281"/>
      <c r="AA598" s="281"/>
      <c r="AB598" s="281"/>
      <c r="AC598" s="281"/>
      <c r="AD598" s="170"/>
      <c r="AE598" s="152"/>
      <c r="AF598" s="152"/>
      <c r="AG598" s="152"/>
      <c r="AH598" s="152"/>
      <c r="AI598" s="152"/>
      <c r="AJ598" s="152"/>
      <c r="AK598" s="152"/>
      <c r="AL598" s="152"/>
      <c r="AM598" s="152"/>
      <c r="AN598" s="152"/>
      <c r="AO598" s="152"/>
    </row>
    <row r="599" ht="12.75" customHeight="1">
      <c r="A599" s="288"/>
      <c r="B599" s="288"/>
      <c r="C599" s="288"/>
      <c r="D599" s="152"/>
      <c r="E599" s="289"/>
      <c r="F599" s="288"/>
      <c r="G599" s="152"/>
      <c r="H599" s="289"/>
      <c r="I599" s="289"/>
      <c r="J599" s="152"/>
      <c r="K599" s="152"/>
      <c r="L599" s="156"/>
      <c r="M599" s="152"/>
      <c r="N599" s="152"/>
      <c r="O599" s="152"/>
      <c r="P599" s="152"/>
      <c r="Q599" s="152"/>
      <c r="R599" s="152"/>
      <c r="S599" s="152"/>
      <c r="T599" s="152"/>
      <c r="U599" s="152"/>
      <c r="V599" s="152"/>
      <c r="W599" s="281"/>
      <c r="X599" s="281"/>
      <c r="Y599" s="281"/>
      <c r="Z599" s="281"/>
      <c r="AA599" s="281"/>
      <c r="AB599" s="281"/>
      <c r="AC599" s="281"/>
      <c r="AD599" s="170"/>
      <c r="AE599" s="152"/>
      <c r="AF599" s="152"/>
      <c r="AG599" s="152"/>
      <c r="AH599" s="152"/>
      <c r="AI599" s="152"/>
      <c r="AJ599" s="152"/>
      <c r="AK599" s="152"/>
      <c r="AL599" s="152"/>
      <c r="AM599" s="152"/>
      <c r="AN599" s="152"/>
      <c r="AO599" s="152"/>
    </row>
    <row r="600" ht="12.75" customHeight="1">
      <c r="A600" s="288"/>
      <c r="B600" s="288"/>
      <c r="C600" s="288"/>
      <c r="D600" s="152"/>
      <c r="E600" s="289"/>
      <c r="F600" s="288"/>
      <c r="G600" s="152"/>
      <c r="H600" s="289"/>
      <c r="I600" s="289"/>
      <c r="J600" s="152"/>
      <c r="K600" s="152"/>
      <c r="L600" s="156"/>
      <c r="M600" s="152"/>
      <c r="N600" s="152"/>
      <c r="O600" s="152"/>
      <c r="P600" s="152"/>
      <c r="Q600" s="152"/>
      <c r="R600" s="152"/>
      <c r="S600" s="152"/>
      <c r="T600" s="152"/>
      <c r="U600" s="152"/>
      <c r="V600" s="152"/>
      <c r="W600" s="281"/>
      <c r="X600" s="281"/>
      <c r="Y600" s="281"/>
      <c r="Z600" s="281"/>
      <c r="AA600" s="281"/>
      <c r="AB600" s="281"/>
      <c r="AC600" s="281"/>
      <c r="AD600" s="170"/>
      <c r="AE600" s="152"/>
      <c r="AF600" s="152"/>
      <c r="AG600" s="152"/>
      <c r="AH600" s="152"/>
      <c r="AI600" s="152"/>
      <c r="AJ600" s="152"/>
      <c r="AK600" s="152"/>
      <c r="AL600" s="152"/>
      <c r="AM600" s="152"/>
      <c r="AN600" s="152"/>
      <c r="AO600" s="152"/>
    </row>
    <row r="601" ht="12.75" customHeight="1">
      <c r="A601" s="288"/>
      <c r="B601" s="288"/>
      <c r="C601" s="288"/>
      <c r="D601" s="152"/>
      <c r="E601" s="289"/>
      <c r="F601" s="288"/>
      <c r="G601" s="152"/>
      <c r="H601" s="289"/>
      <c r="I601" s="289"/>
      <c r="J601" s="152"/>
      <c r="K601" s="152"/>
      <c r="L601" s="156"/>
      <c r="M601" s="152"/>
      <c r="N601" s="152"/>
      <c r="O601" s="152"/>
      <c r="P601" s="152"/>
      <c r="Q601" s="152"/>
      <c r="R601" s="152"/>
      <c r="S601" s="152"/>
      <c r="T601" s="152"/>
      <c r="U601" s="152"/>
      <c r="V601" s="152"/>
      <c r="W601" s="281"/>
      <c r="X601" s="281"/>
      <c r="Y601" s="281"/>
      <c r="Z601" s="281"/>
      <c r="AA601" s="281"/>
      <c r="AB601" s="281"/>
      <c r="AC601" s="281"/>
      <c r="AD601" s="170"/>
      <c r="AE601" s="152"/>
      <c r="AF601" s="152"/>
      <c r="AG601" s="152"/>
      <c r="AH601" s="152"/>
      <c r="AI601" s="152"/>
      <c r="AJ601" s="152"/>
      <c r="AK601" s="152"/>
      <c r="AL601" s="152"/>
      <c r="AM601" s="152"/>
      <c r="AN601" s="152"/>
      <c r="AO601" s="152"/>
    </row>
    <row r="602" ht="12.75" customHeight="1">
      <c r="A602" s="288"/>
      <c r="B602" s="288"/>
      <c r="C602" s="288"/>
      <c r="D602" s="152"/>
      <c r="E602" s="289"/>
      <c r="F602" s="288"/>
      <c r="G602" s="152"/>
      <c r="H602" s="289"/>
      <c r="I602" s="289"/>
      <c r="J602" s="152"/>
      <c r="K602" s="152"/>
      <c r="L602" s="156"/>
      <c r="M602" s="152"/>
      <c r="N602" s="152"/>
      <c r="O602" s="152"/>
      <c r="P602" s="152"/>
      <c r="Q602" s="152"/>
      <c r="R602" s="152"/>
      <c r="S602" s="152"/>
      <c r="T602" s="152"/>
      <c r="U602" s="152"/>
      <c r="V602" s="152"/>
      <c r="W602" s="281"/>
      <c r="X602" s="281"/>
      <c r="Y602" s="281"/>
      <c r="Z602" s="281"/>
      <c r="AA602" s="281"/>
      <c r="AB602" s="281"/>
      <c r="AC602" s="281"/>
      <c r="AD602" s="170"/>
      <c r="AE602" s="152"/>
      <c r="AF602" s="152"/>
      <c r="AG602" s="152"/>
      <c r="AH602" s="152"/>
      <c r="AI602" s="152"/>
      <c r="AJ602" s="152"/>
      <c r="AK602" s="152"/>
      <c r="AL602" s="152"/>
      <c r="AM602" s="152"/>
      <c r="AN602" s="152"/>
      <c r="AO602" s="152"/>
    </row>
    <row r="603" ht="12.75" customHeight="1">
      <c r="A603" s="288"/>
      <c r="B603" s="288"/>
      <c r="C603" s="288"/>
      <c r="D603" s="152"/>
      <c r="E603" s="289"/>
      <c r="F603" s="288"/>
      <c r="G603" s="152"/>
      <c r="H603" s="289"/>
      <c r="I603" s="289"/>
      <c r="J603" s="152"/>
      <c r="K603" s="152"/>
      <c r="L603" s="156"/>
      <c r="M603" s="152"/>
      <c r="N603" s="152"/>
      <c r="O603" s="152"/>
      <c r="P603" s="152"/>
      <c r="Q603" s="152"/>
      <c r="R603" s="152"/>
      <c r="S603" s="152"/>
      <c r="T603" s="152"/>
      <c r="U603" s="152"/>
      <c r="V603" s="152"/>
      <c r="W603" s="281"/>
      <c r="X603" s="281"/>
      <c r="Y603" s="281"/>
      <c r="Z603" s="281"/>
      <c r="AA603" s="281"/>
      <c r="AB603" s="281"/>
      <c r="AC603" s="281"/>
      <c r="AD603" s="170"/>
      <c r="AE603" s="152"/>
      <c r="AF603" s="152"/>
      <c r="AG603" s="152"/>
      <c r="AH603" s="152"/>
      <c r="AI603" s="152"/>
      <c r="AJ603" s="152"/>
      <c r="AK603" s="152"/>
      <c r="AL603" s="152"/>
      <c r="AM603" s="152"/>
      <c r="AN603" s="152"/>
      <c r="AO603" s="152"/>
    </row>
    <row r="604" ht="12.75" customHeight="1">
      <c r="A604" s="288"/>
      <c r="B604" s="288"/>
      <c r="C604" s="288"/>
      <c r="D604" s="152"/>
      <c r="E604" s="289"/>
      <c r="F604" s="288"/>
      <c r="G604" s="152"/>
      <c r="H604" s="289"/>
      <c r="I604" s="289"/>
      <c r="J604" s="152"/>
      <c r="K604" s="152"/>
      <c r="L604" s="156"/>
      <c r="M604" s="152"/>
      <c r="N604" s="152"/>
      <c r="O604" s="152"/>
      <c r="P604" s="152"/>
      <c r="Q604" s="152"/>
      <c r="R604" s="152"/>
      <c r="S604" s="152"/>
      <c r="T604" s="152"/>
      <c r="U604" s="152"/>
      <c r="V604" s="152"/>
      <c r="W604" s="281"/>
      <c r="X604" s="281"/>
      <c r="Y604" s="281"/>
      <c r="Z604" s="281"/>
      <c r="AA604" s="281"/>
      <c r="AB604" s="281"/>
      <c r="AC604" s="281"/>
      <c r="AD604" s="170"/>
      <c r="AE604" s="152"/>
      <c r="AF604" s="152"/>
      <c r="AG604" s="152"/>
      <c r="AH604" s="152"/>
      <c r="AI604" s="152"/>
      <c r="AJ604" s="152"/>
      <c r="AK604" s="152"/>
      <c r="AL604" s="152"/>
      <c r="AM604" s="152"/>
      <c r="AN604" s="152"/>
      <c r="AO604" s="152"/>
    </row>
    <row r="605" ht="12.75" customHeight="1">
      <c r="A605" s="288"/>
      <c r="B605" s="288"/>
      <c r="C605" s="288"/>
      <c r="D605" s="152"/>
      <c r="E605" s="289"/>
      <c r="F605" s="288"/>
      <c r="G605" s="152"/>
      <c r="H605" s="289"/>
      <c r="I605" s="289"/>
      <c r="J605" s="152"/>
      <c r="K605" s="152"/>
      <c r="L605" s="156"/>
      <c r="M605" s="152"/>
      <c r="N605" s="152"/>
      <c r="O605" s="152"/>
      <c r="P605" s="152"/>
      <c r="Q605" s="152"/>
      <c r="R605" s="152"/>
      <c r="S605" s="152"/>
      <c r="T605" s="152"/>
      <c r="U605" s="152"/>
      <c r="V605" s="152"/>
      <c r="W605" s="281"/>
      <c r="X605" s="281"/>
      <c r="Y605" s="281"/>
      <c r="Z605" s="281"/>
      <c r="AA605" s="281"/>
      <c r="AB605" s="281"/>
      <c r="AC605" s="281"/>
      <c r="AD605" s="170"/>
      <c r="AE605" s="152"/>
      <c r="AF605" s="152"/>
      <c r="AG605" s="152"/>
      <c r="AH605" s="152"/>
      <c r="AI605" s="152"/>
      <c r="AJ605" s="152"/>
      <c r="AK605" s="152"/>
      <c r="AL605" s="152"/>
      <c r="AM605" s="152"/>
      <c r="AN605" s="152"/>
      <c r="AO605" s="152"/>
    </row>
    <row r="606" ht="12.75" customHeight="1">
      <c r="A606" s="288"/>
      <c r="B606" s="288"/>
      <c r="C606" s="288"/>
      <c r="D606" s="152"/>
      <c r="E606" s="289"/>
      <c r="F606" s="288"/>
      <c r="G606" s="152"/>
      <c r="H606" s="289"/>
      <c r="I606" s="289"/>
      <c r="J606" s="152"/>
      <c r="K606" s="152"/>
      <c r="L606" s="156"/>
      <c r="M606" s="152"/>
      <c r="N606" s="152"/>
      <c r="O606" s="152"/>
      <c r="P606" s="152"/>
      <c r="Q606" s="152"/>
      <c r="R606" s="152"/>
      <c r="S606" s="152"/>
      <c r="T606" s="152"/>
      <c r="U606" s="152"/>
      <c r="V606" s="152"/>
      <c r="W606" s="281"/>
      <c r="X606" s="281"/>
      <c r="Y606" s="281"/>
      <c r="Z606" s="281"/>
      <c r="AA606" s="281"/>
      <c r="AB606" s="281"/>
      <c r="AC606" s="281"/>
      <c r="AD606" s="170"/>
      <c r="AE606" s="152"/>
      <c r="AF606" s="152"/>
      <c r="AG606" s="152"/>
      <c r="AH606" s="152"/>
      <c r="AI606" s="152"/>
      <c r="AJ606" s="152"/>
      <c r="AK606" s="152"/>
      <c r="AL606" s="152"/>
      <c r="AM606" s="152"/>
      <c r="AN606" s="152"/>
      <c r="AO606" s="152"/>
    </row>
    <row r="607" ht="12.75" customHeight="1">
      <c r="A607" s="288"/>
      <c r="B607" s="288"/>
      <c r="C607" s="288"/>
      <c r="D607" s="152"/>
      <c r="E607" s="289"/>
      <c r="F607" s="288"/>
      <c r="G607" s="152"/>
      <c r="H607" s="289"/>
      <c r="I607" s="289"/>
      <c r="J607" s="152"/>
      <c r="K607" s="152"/>
      <c r="L607" s="156"/>
      <c r="M607" s="152"/>
      <c r="N607" s="152"/>
      <c r="O607" s="152"/>
      <c r="P607" s="152"/>
      <c r="Q607" s="152"/>
      <c r="R607" s="152"/>
      <c r="S607" s="152"/>
      <c r="T607" s="152"/>
      <c r="U607" s="152"/>
      <c r="V607" s="152"/>
      <c r="W607" s="281"/>
      <c r="X607" s="281"/>
      <c r="Y607" s="281"/>
      <c r="Z607" s="281"/>
      <c r="AA607" s="281"/>
      <c r="AB607" s="281"/>
      <c r="AC607" s="281"/>
      <c r="AD607" s="170"/>
      <c r="AE607" s="152"/>
      <c r="AF607" s="152"/>
      <c r="AG607" s="152"/>
      <c r="AH607" s="152"/>
      <c r="AI607" s="152"/>
      <c r="AJ607" s="152"/>
      <c r="AK607" s="152"/>
      <c r="AL607" s="152"/>
      <c r="AM607" s="152"/>
      <c r="AN607" s="152"/>
      <c r="AO607" s="152"/>
    </row>
    <row r="608" ht="12.75" customHeight="1">
      <c r="A608" s="288"/>
      <c r="B608" s="288"/>
      <c r="C608" s="288"/>
      <c r="D608" s="152"/>
      <c r="E608" s="289"/>
      <c r="F608" s="288"/>
      <c r="G608" s="152"/>
      <c r="H608" s="289"/>
      <c r="I608" s="289"/>
      <c r="J608" s="152"/>
      <c r="K608" s="152"/>
      <c r="L608" s="156"/>
      <c r="M608" s="152"/>
      <c r="N608" s="152"/>
      <c r="O608" s="152"/>
      <c r="P608" s="152"/>
      <c r="Q608" s="152"/>
      <c r="R608" s="152"/>
      <c r="S608" s="152"/>
      <c r="T608" s="152"/>
      <c r="U608" s="152"/>
      <c r="V608" s="152"/>
      <c r="W608" s="281"/>
      <c r="X608" s="281"/>
      <c r="Y608" s="281"/>
      <c r="Z608" s="281"/>
      <c r="AA608" s="281"/>
      <c r="AB608" s="281"/>
      <c r="AC608" s="281"/>
      <c r="AD608" s="170"/>
      <c r="AE608" s="152"/>
      <c r="AF608" s="152"/>
      <c r="AG608" s="152"/>
      <c r="AH608" s="152"/>
      <c r="AI608" s="152"/>
      <c r="AJ608" s="152"/>
      <c r="AK608" s="152"/>
      <c r="AL608" s="152"/>
      <c r="AM608" s="152"/>
      <c r="AN608" s="152"/>
      <c r="AO608" s="152"/>
    </row>
    <row r="609" ht="12.75" customHeight="1">
      <c r="A609" s="288"/>
      <c r="B609" s="288"/>
      <c r="C609" s="288"/>
      <c r="D609" s="152"/>
      <c r="E609" s="289"/>
      <c r="F609" s="288"/>
      <c r="G609" s="152"/>
      <c r="H609" s="289"/>
      <c r="I609" s="289"/>
      <c r="J609" s="152"/>
      <c r="K609" s="152"/>
      <c r="L609" s="156"/>
      <c r="M609" s="152"/>
      <c r="N609" s="152"/>
      <c r="O609" s="152"/>
      <c r="P609" s="152"/>
      <c r="Q609" s="152"/>
      <c r="R609" s="152"/>
      <c r="S609" s="152"/>
      <c r="T609" s="152"/>
      <c r="U609" s="152"/>
      <c r="V609" s="152"/>
      <c r="W609" s="281"/>
      <c r="X609" s="281"/>
      <c r="Y609" s="281"/>
      <c r="Z609" s="281"/>
      <c r="AA609" s="281"/>
      <c r="AB609" s="281"/>
      <c r="AC609" s="281"/>
      <c r="AD609" s="170"/>
      <c r="AE609" s="152"/>
      <c r="AF609" s="152"/>
      <c r="AG609" s="152"/>
      <c r="AH609" s="152"/>
      <c r="AI609" s="152"/>
      <c r="AJ609" s="152"/>
      <c r="AK609" s="152"/>
      <c r="AL609" s="152"/>
      <c r="AM609" s="152"/>
      <c r="AN609" s="152"/>
      <c r="AO609" s="152"/>
    </row>
    <row r="610" ht="12.75" customHeight="1">
      <c r="A610" s="288"/>
      <c r="B610" s="288"/>
      <c r="C610" s="288"/>
      <c r="D610" s="152"/>
      <c r="E610" s="289"/>
      <c r="F610" s="288"/>
      <c r="G610" s="152"/>
      <c r="H610" s="289"/>
      <c r="I610" s="289"/>
      <c r="J610" s="152"/>
      <c r="K610" s="152"/>
      <c r="L610" s="156"/>
      <c r="M610" s="152"/>
      <c r="N610" s="152"/>
      <c r="O610" s="152"/>
      <c r="P610" s="152"/>
      <c r="Q610" s="152"/>
      <c r="R610" s="152"/>
      <c r="S610" s="152"/>
      <c r="T610" s="152"/>
      <c r="U610" s="152"/>
      <c r="V610" s="152"/>
      <c r="W610" s="281"/>
      <c r="X610" s="281"/>
      <c r="Y610" s="281"/>
      <c r="Z610" s="281"/>
      <c r="AA610" s="281"/>
      <c r="AB610" s="281"/>
      <c r="AC610" s="281"/>
      <c r="AD610" s="170"/>
      <c r="AE610" s="152"/>
      <c r="AF610" s="152"/>
      <c r="AG610" s="152"/>
      <c r="AH610" s="152"/>
      <c r="AI610" s="152"/>
      <c r="AJ610" s="152"/>
      <c r="AK610" s="152"/>
      <c r="AL610" s="152"/>
      <c r="AM610" s="152"/>
      <c r="AN610" s="152"/>
      <c r="AO610" s="152"/>
    </row>
    <row r="611" ht="12.75" customHeight="1">
      <c r="A611" s="288"/>
      <c r="B611" s="288"/>
      <c r="C611" s="288"/>
      <c r="D611" s="152"/>
      <c r="E611" s="289"/>
      <c r="F611" s="288"/>
      <c r="G611" s="152"/>
      <c r="H611" s="289"/>
      <c r="I611" s="289"/>
      <c r="J611" s="152"/>
      <c r="K611" s="152"/>
      <c r="L611" s="156"/>
      <c r="M611" s="152"/>
      <c r="N611" s="152"/>
      <c r="O611" s="152"/>
      <c r="P611" s="152"/>
      <c r="Q611" s="152"/>
      <c r="R611" s="152"/>
      <c r="S611" s="152"/>
      <c r="T611" s="152"/>
      <c r="U611" s="152"/>
      <c r="V611" s="152"/>
      <c r="W611" s="281"/>
      <c r="X611" s="281"/>
      <c r="Y611" s="281"/>
      <c r="Z611" s="281"/>
      <c r="AA611" s="281"/>
      <c r="AB611" s="281"/>
      <c r="AC611" s="281"/>
      <c r="AD611" s="170"/>
      <c r="AE611" s="152"/>
      <c r="AF611" s="152"/>
      <c r="AG611" s="152"/>
      <c r="AH611" s="152"/>
      <c r="AI611" s="152"/>
      <c r="AJ611" s="152"/>
      <c r="AK611" s="152"/>
      <c r="AL611" s="152"/>
      <c r="AM611" s="152"/>
      <c r="AN611" s="152"/>
      <c r="AO611" s="152"/>
    </row>
    <row r="612" ht="12.75" customHeight="1">
      <c r="A612" s="288"/>
      <c r="B612" s="288"/>
      <c r="C612" s="288"/>
      <c r="D612" s="152"/>
      <c r="E612" s="289"/>
      <c r="F612" s="288"/>
      <c r="G612" s="152"/>
      <c r="H612" s="289"/>
      <c r="I612" s="289"/>
      <c r="J612" s="152"/>
      <c r="K612" s="152"/>
      <c r="L612" s="156"/>
      <c r="M612" s="152"/>
      <c r="N612" s="152"/>
      <c r="O612" s="152"/>
      <c r="P612" s="152"/>
      <c r="Q612" s="152"/>
      <c r="R612" s="152"/>
      <c r="S612" s="152"/>
      <c r="T612" s="152"/>
      <c r="U612" s="152"/>
      <c r="V612" s="152"/>
      <c r="W612" s="281"/>
      <c r="X612" s="281"/>
      <c r="Y612" s="281"/>
      <c r="Z612" s="281"/>
      <c r="AA612" s="281"/>
      <c r="AB612" s="281"/>
      <c r="AC612" s="281"/>
      <c r="AD612" s="170"/>
      <c r="AE612" s="152"/>
      <c r="AF612" s="152"/>
      <c r="AG612" s="152"/>
      <c r="AH612" s="152"/>
      <c r="AI612" s="152"/>
      <c r="AJ612" s="152"/>
      <c r="AK612" s="152"/>
      <c r="AL612" s="152"/>
      <c r="AM612" s="152"/>
      <c r="AN612" s="152"/>
      <c r="AO612" s="152"/>
    </row>
    <row r="613" ht="12.75" customHeight="1">
      <c r="A613" s="288"/>
      <c r="B613" s="288"/>
      <c r="C613" s="288"/>
      <c r="D613" s="152"/>
      <c r="E613" s="289"/>
      <c r="F613" s="288"/>
      <c r="G613" s="152"/>
      <c r="H613" s="289"/>
      <c r="I613" s="289"/>
      <c r="J613" s="152"/>
      <c r="K613" s="152"/>
      <c r="L613" s="156"/>
      <c r="M613" s="152"/>
      <c r="N613" s="152"/>
      <c r="O613" s="152"/>
      <c r="P613" s="152"/>
      <c r="Q613" s="152"/>
      <c r="R613" s="152"/>
      <c r="S613" s="152"/>
      <c r="T613" s="152"/>
      <c r="U613" s="152"/>
      <c r="V613" s="152"/>
      <c r="W613" s="281"/>
      <c r="X613" s="281"/>
      <c r="Y613" s="281"/>
      <c r="Z613" s="281"/>
      <c r="AA613" s="281"/>
      <c r="AB613" s="281"/>
      <c r="AC613" s="281"/>
      <c r="AD613" s="170"/>
      <c r="AE613" s="152"/>
      <c r="AF613" s="152"/>
      <c r="AG613" s="152"/>
      <c r="AH613" s="152"/>
      <c r="AI613" s="152"/>
      <c r="AJ613" s="152"/>
      <c r="AK613" s="152"/>
      <c r="AL613" s="152"/>
      <c r="AM613" s="152"/>
      <c r="AN613" s="152"/>
      <c r="AO613" s="152"/>
    </row>
    <row r="614" ht="12.75" customHeight="1">
      <c r="A614" s="288"/>
      <c r="B614" s="288"/>
      <c r="C614" s="288"/>
      <c r="D614" s="152"/>
      <c r="E614" s="289"/>
      <c r="F614" s="288"/>
      <c r="G614" s="152"/>
      <c r="H614" s="289"/>
      <c r="I614" s="289"/>
      <c r="J614" s="152"/>
      <c r="K614" s="152"/>
      <c r="L614" s="156"/>
      <c r="M614" s="152"/>
      <c r="N614" s="152"/>
      <c r="O614" s="152"/>
      <c r="P614" s="152"/>
      <c r="Q614" s="152"/>
      <c r="R614" s="152"/>
      <c r="S614" s="152"/>
      <c r="T614" s="152"/>
      <c r="U614" s="152"/>
      <c r="V614" s="152"/>
      <c r="W614" s="281"/>
      <c r="X614" s="281"/>
      <c r="Y614" s="281"/>
      <c r="Z614" s="281"/>
      <c r="AA614" s="281"/>
      <c r="AB614" s="281"/>
      <c r="AC614" s="281"/>
      <c r="AD614" s="170"/>
      <c r="AE614" s="152"/>
      <c r="AF614" s="152"/>
      <c r="AG614" s="152"/>
      <c r="AH614" s="152"/>
      <c r="AI614" s="152"/>
      <c r="AJ614" s="152"/>
      <c r="AK614" s="152"/>
      <c r="AL614" s="152"/>
      <c r="AM614" s="152"/>
      <c r="AN614" s="152"/>
      <c r="AO614" s="152"/>
    </row>
    <row r="615" ht="12.75" customHeight="1">
      <c r="A615" s="288"/>
      <c r="B615" s="288"/>
      <c r="C615" s="288"/>
      <c r="D615" s="152"/>
      <c r="E615" s="289"/>
      <c r="F615" s="288"/>
      <c r="G615" s="152"/>
      <c r="H615" s="289"/>
      <c r="I615" s="289"/>
      <c r="J615" s="152"/>
      <c r="K615" s="152"/>
      <c r="L615" s="156"/>
      <c r="M615" s="152"/>
      <c r="N615" s="152"/>
      <c r="O615" s="152"/>
      <c r="P615" s="152"/>
      <c r="Q615" s="152"/>
      <c r="R615" s="152"/>
      <c r="S615" s="152"/>
      <c r="T615" s="152"/>
      <c r="U615" s="152"/>
      <c r="V615" s="152"/>
      <c r="W615" s="281"/>
      <c r="X615" s="281"/>
      <c r="Y615" s="281"/>
      <c r="Z615" s="281"/>
      <c r="AA615" s="281"/>
      <c r="AB615" s="281"/>
      <c r="AC615" s="281"/>
      <c r="AD615" s="170"/>
      <c r="AE615" s="152"/>
      <c r="AF615" s="152"/>
      <c r="AG615" s="152"/>
      <c r="AH615" s="152"/>
      <c r="AI615" s="152"/>
      <c r="AJ615" s="152"/>
      <c r="AK615" s="152"/>
      <c r="AL615" s="152"/>
      <c r="AM615" s="152"/>
      <c r="AN615" s="152"/>
      <c r="AO615" s="152"/>
    </row>
    <row r="616" ht="12.75" customHeight="1">
      <c r="A616" s="288"/>
      <c r="B616" s="288"/>
      <c r="C616" s="288"/>
      <c r="D616" s="152"/>
      <c r="E616" s="289"/>
      <c r="F616" s="288"/>
      <c r="G616" s="152"/>
      <c r="H616" s="289"/>
      <c r="I616" s="289"/>
      <c r="J616" s="152"/>
      <c r="K616" s="152"/>
      <c r="L616" s="156"/>
      <c r="M616" s="152"/>
      <c r="N616" s="152"/>
      <c r="O616" s="152"/>
      <c r="P616" s="152"/>
      <c r="Q616" s="152"/>
      <c r="R616" s="152"/>
      <c r="S616" s="152"/>
      <c r="T616" s="152"/>
      <c r="U616" s="152"/>
      <c r="V616" s="152"/>
      <c r="W616" s="281"/>
      <c r="X616" s="281"/>
      <c r="Y616" s="281"/>
      <c r="Z616" s="281"/>
      <c r="AA616" s="281"/>
      <c r="AB616" s="281"/>
      <c r="AC616" s="281"/>
      <c r="AD616" s="170"/>
      <c r="AE616" s="152"/>
      <c r="AF616" s="152"/>
      <c r="AG616" s="152"/>
      <c r="AH616" s="152"/>
      <c r="AI616" s="152"/>
      <c r="AJ616" s="152"/>
      <c r="AK616" s="152"/>
      <c r="AL616" s="152"/>
      <c r="AM616" s="152"/>
      <c r="AN616" s="152"/>
      <c r="AO616" s="152"/>
    </row>
    <row r="617" ht="12.75" customHeight="1">
      <c r="A617" s="288"/>
      <c r="B617" s="288"/>
      <c r="C617" s="288"/>
      <c r="D617" s="152"/>
      <c r="E617" s="289"/>
      <c r="F617" s="288"/>
      <c r="G617" s="152"/>
      <c r="H617" s="289"/>
      <c r="I617" s="289"/>
      <c r="J617" s="152"/>
      <c r="K617" s="152"/>
      <c r="L617" s="156"/>
      <c r="M617" s="152"/>
      <c r="N617" s="152"/>
      <c r="O617" s="152"/>
      <c r="P617" s="152"/>
      <c r="Q617" s="152"/>
      <c r="R617" s="152"/>
      <c r="S617" s="152"/>
      <c r="T617" s="152"/>
      <c r="U617" s="152"/>
      <c r="V617" s="152"/>
      <c r="W617" s="281"/>
      <c r="X617" s="281"/>
      <c r="Y617" s="281"/>
      <c r="Z617" s="281"/>
      <c r="AA617" s="281"/>
      <c r="AB617" s="281"/>
      <c r="AC617" s="281"/>
      <c r="AD617" s="170"/>
      <c r="AE617" s="152"/>
      <c r="AF617" s="152"/>
      <c r="AG617" s="152"/>
      <c r="AH617" s="152"/>
      <c r="AI617" s="152"/>
      <c r="AJ617" s="152"/>
      <c r="AK617" s="152"/>
      <c r="AL617" s="152"/>
      <c r="AM617" s="152"/>
      <c r="AN617" s="152"/>
      <c r="AO617" s="152"/>
    </row>
    <row r="618" ht="12.75" customHeight="1">
      <c r="A618" s="288"/>
      <c r="B618" s="288"/>
      <c r="C618" s="288"/>
      <c r="D618" s="152"/>
      <c r="E618" s="289"/>
      <c r="F618" s="288"/>
      <c r="G618" s="152"/>
      <c r="H618" s="289"/>
      <c r="I618" s="289"/>
      <c r="J618" s="152"/>
      <c r="K618" s="152"/>
      <c r="L618" s="156"/>
      <c r="M618" s="152"/>
      <c r="N618" s="152"/>
      <c r="O618" s="152"/>
      <c r="P618" s="152"/>
      <c r="Q618" s="152"/>
      <c r="R618" s="152"/>
      <c r="S618" s="152"/>
      <c r="T618" s="152"/>
      <c r="U618" s="152"/>
      <c r="V618" s="152"/>
      <c r="W618" s="281"/>
      <c r="X618" s="281"/>
      <c r="Y618" s="281"/>
      <c r="Z618" s="281"/>
      <c r="AA618" s="281"/>
      <c r="AB618" s="281"/>
      <c r="AC618" s="281"/>
      <c r="AD618" s="170"/>
      <c r="AE618" s="152"/>
      <c r="AF618" s="152"/>
      <c r="AG618" s="152"/>
      <c r="AH618" s="152"/>
      <c r="AI618" s="152"/>
      <c r="AJ618" s="152"/>
      <c r="AK618" s="152"/>
      <c r="AL618" s="152"/>
      <c r="AM618" s="152"/>
      <c r="AN618" s="152"/>
      <c r="AO618" s="152"/>
    </row>
    <row r="619" ht="12.75" customHeight="1">
      <c r="A619" s="288"/>
      <c r="B619" s="288"/>
      <c r="C619" s="288"/>
      <c r="D619" s="152"/>
      <c r="E619" s="289"/>
      <c r="F619" s="288"/>
      <c r="G619" s="152"/>
      <c r="H619" s="289"/>
      <c r="I619" s="289"/>
      <c r="J619" s="152"/>
      <c r="K619" s="152"/>
      <c r="L619" s="156"/>
      <c r="M619" s="152"/>
      <c r="N619" s="152"/>
      <c r="O619" s="152"/>
      <c r="P619" s="152"/>
      <c r="Q619" s="152"/>
      <c r="R619" s="152"/>
      <c r="S619" s="152"/>
      <c r="T619" s="152"/>
      <c r="U619" s="152"/>
      <c r="V619" s="152"/>
      <c r="W619" s="281"/>
      <c r="X619" s="281"/>
      <c r="Y619" s="281"/>
      <c r="Z619" s="281"/>
      <c r="AA619" s="281"/>
      <c r="AB619" s="281"/>
      <c r="AC619" s="281"/>
      <c r="AD619" s="170"/>
      <c r="AE619" s="152"/>
      <c r="AF619" s="152"/>
      <c r="AG619" s="152"/>
      <c r="AH619" s="152"/>
      <c r="AI619" s="152"/>
      <c r="AJ619" s="152"/>
      <c r="AK619" s="152"/>
      <c r="AL619" s="152"/>
      <c r="AM619" s="152"/>
      <c r="AN619" s="152"/>
      <c r="AO619" s="152"/>
    </row>
    <row r="620" ht="12.75" customHeight="1">
      <c r="A620" s="288"/>
      <c r="B620" s="288"/>
      <c r="C620" s="288"/>
      <c r="D620" s="152"/>
      <c r="E620" s="289"/>
      <c r="F620" s="288"/>
      <c r="G620" s="152"/>
      <c r="H620" s="289"/>
      <c r="I620" s="289"/>
      <c r="J620" s="152"/>
      <c r="K620" s="152"/>
      <c r="L620" s="156"/>
      <c r="M620" s="152"/>
      <c r="N620" s="152"/>
      <c r="O620" s="152"/>
      <c r="P620" s="152"/>
      <c r="Q620" s="152"/>
      <c r="R620" s="152"/>
      <c r="S620" s="152"/>
      <c r="T620" s="152"/>
      <c r="U620" s="152"/>
      <c r="V620" s="152"/>
      <c r="W620" s="281"/>
      <c r="X620" s="281"/>
      <c r="Y620" s="281"/>
      <c r="Z620" s="281"/>
      <c r="AA620" s="281"/>
      <c r="AB620" s="281"/>
      <c r="AC620" s="281"/>
      <c r="AD620" s="170"/>
      <c r="AE620" s="152"/>
      <c r="AF620" s="152"/>
      <c r="AG620" s="152"/>
      <c r="AH620" s="152"/>
      <c r="AI620" s="152"/>
      <c r="AJ620" s="152"/>
      <c r="AK620" s="152"/>
      <c r="AL620" s="152"/>
      <c r="AM620" s="152"/>
      <c r="AN620" s="152"/>
      <c r="AO620" s="152"/>
    </row>
    <row r="621" ht="12.75" customHeight="1">
      <c r="A621" s="288"/>
      <c r="B621" s="288"/>
      <c r="C621" s="288"/>
      <c r="D621" s="152"/>
      <c r="E621" s="289"/>
      <c r="F621" s="288"/>
      <c r="G621" s="152"/>
      <c r="H621" s="289"/>
      <c r="I621" s="289"/>
      <c r="J621" s="152"/>
      <c r="K621" s="152"/>
      <c r="L621" s="156"/>
      <c r="M621" s="152"/>
      <c r="N621" s="152"/>
      <c r="O621" s="152"/>
      <c r="P621" s="152"/>
      <c r="Q621" s="152"/>
      <c r="R621" s="152"/>
      <c r="S621" s="152"/>
      <c r="T621" s="152"/>
      <c r="U621" s="152"/>
      <c r="V621" s="152"/>
      <c r="W621" s="281"/>
      <c r="X621" s="281"/>
      <c r="Y621" s="281"/>
      <c r="Z621" s="281"/>
      <c r="AA621" s="281"/>
      <c r="AB621" s="281"/>
      <c r="AC621" s="281"/>
      <c r="AD621" s="170"/>
      <c r="AE621" s="152"/>
      <c r="AF621" s="152"/>
      <c r="AG621" s="152"/>
      <c r="AH621" s="152"/>
      <c r="AI621" s="152"/>
      <c r="AJ621" s="152"/>
      <c r="AK621" s="152"/>
      <c r="AL621" s="152"/>
      <c r="AM621" s="152"/>
      <c r="AN621" s="152"/>
      <c r="AO621" s="152"/>
    </row>
    <row r="622" ht="12.75" customHeight="1">
      <c r="A622" s="288"/>
      <c r="B622" s="288"/>
      <c r="C622" s="288"/>
      <c r="D622" s="152"/>
      <c r="E622" s="289"/>
      <c r="F622" s="288"/>
      <c r="G622" s="152"/>
      <c r="H622" s="289"/>
      <c r="I622" s="289"/>
      <c r="J622" s="152"/>
      <c r="K622" s="152"/>
      <c r="L622" s="156"/>
      <c r="M622" s="152"/>
      <c r="N622" s="152"/>
      <c r="O622" s="152"/>
      <c r="P622" s="152"/>
      <c r="Q622" s="152"/>
      <c r="R622" s="152"/>
      <c r="S622" s="152"/>
      <c r="T622" s="152"/>
      <c r="U622" s="152"/>
      <c r="V622" s="152"/>
      <c r="W622" s="281"/>
      <c r="X622" s="281"/>
      <c r="Y622" s="281"/>
      <c r="Z622" s="281"/>
      <c r="AA622" s="281"/>
      <c r="AB622" s="281"/>
      <c r="AC622" s="281"/>
      <c r="AD622" s="170"/>
      <c r="AE622" s="152"/>
      <c r="AF622" s="152"/>
      <c r="AG622" s="152"/>
      <c r="AH622" s="152"/>
      <c r="AI622" s="152"/>
      <c r="AJ622" s="152"/>
      <c r="AK622" s="152"/>
      <c r="AL622" s="152"/>
      <c r="AM622" s="152"/>
      <c r="AN622" s="152"/>
      <c r="AO622" s="152"/>
    </row>
    <row r="623" ht="12.75" customHeight="1">
      <c r="A623" s="288"/>
      <c r="B623" s="288"/>
      <c r="C623" s="288"/>
      <c r="D623" s="152"/>
      <c r="E623" s="289"/>
      <c r="F623" s="288"/>
      <c r="G623" s="152"/>
      <c r="H623" s="289"/>
      <c r="I623" s="289"/>
      <c r="J623" s="152"/>
      <c r="K623" s="152"/>
      <c r="L623" s="156"/>
      <c r="M623" s="152"/>
      <c r="N623" s="152"/>
      <c r="O623" s="152"/>
      <c r="P623" s="152"/>
      <c r="Q623" s="152"/>
      <c r="R623" s="152"/>
      <c r="S623" s="152"/>
      <c r="T623" s="152"/>
      <c r="U623" s="152"/>
      <c r="V623" s="152"/>
      <c r="W623" s="281"/>
      <c r="X623" s="281"/>
      <c r="Y623" s="281"/>
      <c r="Z623" s="281"/>
      <c r="AA623" s="281"/>
      <c r="AB623" s="281"/>
      <c r="AC623" s="281"/>
      <c r="AD623" s="170"/>
      <c r="AE623" s="152"/>
      <c r="AF623" s="152"/>
      <c r="AG623" s="152"/>
      <c r="AH623" s="152"/>
      <c r="AI623" s="152"/>
      <c r="AJ623" s="152"/>
      <c r="AK623" s="152"/>
      <c r="AL623" s="152"/>
      <c r="AM623" s="152"/>
      <c r="AN623" s="152"/>
      <c r="AO623" s="152"/>
    </row>
    <row r="624" ht="12.75" customHeight="1">
      <c r="A624" s="288"/>
      <c r="B624" s="288"/>
      <c r="C624" s="288"/>
      <c r="D624" s="152"/>
      <c r="E624" s="289"/>
      <c r="F624" s="288"/>
      <c r="G624" s="152"/>
      <c r="H624" s="289"/>
      <c r="I624" s="289"/>
      <c r="J624" s="152"/>
      <c r="K624" s="152"/>
      <c r="L624" s="156"/>
      <c r="M624" s="152"/>
      <c r="N624" s="152"/>
      <c r="O624" s="152"/>
      <c r="P624" s="152"/>
      <c r="Q624" s="152"/>
      <c r="R624" s="152"/>
      <c r="S624" s="152"/>
      <c r="T624" s="152"/>
      <c r="U624" s="152"/>
      <c r="V624" s="152"/>
      <c r="W624" s="281"/>
      <c r="X624" s="281"/>
      <c r="Y624" s="281"/>
      <c r="Z624" s="281"/>
      <c r="AA624" s="281"/>
      <c r="AB624" s="281"/>
      <c r="AC624" s="281"/>
      <c r="AD624" s="170"/>
      <c r="AE624" s="152"/>
      <c r="AF624" s="152"/>
      <c r="AG624" s="152"/>
      <c r="AH624" s="152"/>
      <c r="AI624" s="152"/>
      <c r="AJ624" s="152"/>
      <c r="AK624" s="152"/>
      <c r="AL624" s="152"/>
      <c r="AM624" s="152"/>
      <c r="AN624" s="152"/>
      <c r="AO624" s="152"/>
    </row>
    <row r="625" ht="12.75" customHeight="1">
      <c r="A625" s="288"/>
      <c r="B625" s="288"/>
      <c r="C625" s="288"/>
      <c r="D625" s="152"/>
      <c r="E625" s="289"/>
      <c r="F625" s="288"/>
      <c r="G625" s="152"/>
      <c r="H625" s="289"/>
      <c r="I625" s="289"/>
      <c r="J625" s="152"/>
      <c r="K625" s="152"/>
      <c r="L625" s="156"/>
      <c r="M625" s="152"/>
      <c r="N625" s="152"/>
      <c r="O625" s="152"/>
      <c r="P625" s="152"/>
      <c r="Q625" s="152"/>
      <c r="R625" s="152"/>
      <c r="S625" s="152"/>
      <c r="T625" s="152"/>
      <c r="U625" s="152"/>
      <c r="V625" s="152"/>
      <c r="W625" s="281"/>
      <c r="X625" s="281"/>
      <c r="Y625" s="281"/>
      <c r="Z625" s="281"/>
      <c r="AA625" s="281"/>
      <c r="AB625" s="281"/>
      <c r="AC625" s="281"/>
      <c r="AD625" s="170"/>
      <c r="AE625" s="152"/>
      <c r="AF625" s="152"/>
      <c r="AG625" s="152"/>
      <c r="AH625" s="152"/>
      <c r="AI625" s="152"/>
      <c r="AJ625" s="152"/>
      <c r="AK625" s="152"/>
      <c r="AL625" s="152"/>
      <c r="AM625" s="152"/>
      <c r="AN625" s="152"/>
      <c r="AO625" s="152"/>
    </row>
    <row r="626" ht="12.75" customHeight="1">
      <c r="A626" s="288"/>
      <c r="B626" s="288"/>
      <c r="C626" s="288"/>
      <c r="D626" s="152"/>
      <c r="E626" s="289"/>
      <c r="F626" s="288"/>
      <c r="G626" s="152"/>
      <c r="H626" s="289"/>
      <c r="I626" s="289"/>
      <c r="J626" s="152"/>
      <c r="K626" s="152"/>
      <c r="L626" s="156"/>
      <c r="M626" s="152"/>
      <c r="N626" s="152"/>
      <c r="O626" s="152"/>
      <c r="P626" s="152"/>
      <c r="Q626" s="152"/>
      <c r="R626" s="152"/>
      <c r="S626" s="152"/>
      <c r="T626" s="152"/>
      <c r="U626" s="152"/>
      <c r="V626" s="152"/>
      <c r="W626" s="281"/>
      <c r="X626" s="281"/>
      <c r="Y626" s="281"/>
      <c r="Z626" s="281"/>
      <c r="AA626" s="281"/>
      <c r="AB626" s="281"/>
      <c r="AC626" s="281"/>
      <c r="AD626" s="170"/>
      <c r="AE626" s="152"/>
      <c r="AF626" s="152"/>
      <c r="AG626" s="152"/>
      <c r="AH626" s="152"/>
      <c r="AI626" s="152"/>
      <c r="AJ626" s="152"/>
      <c r="AK626" s="152"/>
      <c r="AL626" s="152"/>
      <c r="AM626" s="152"/>
      <c r="AN626" s="152"/>
      <c r="AO626" s="152"/>
    </row>
    <row r="627" ht="12.75" customHeight="1">
      <c r="A627" s="288"/>
      <c r="B627" s="288"/>
      <c r="C627" s="288"/>
      <c r="D627" s="152"/>
      <c r="E627" s="289"/>
      <c r="F627" s="288"/>
      <c r="G627" s="152"/>
      <c r="H627" s="289"/>
      <c r="I627" s="289"/>
      <c r="J627" s="152"/>
      <c r="K627" s="152"/>
      <c r="L627" s="156"/>
      <c r="M627" s="152"/>
      <c r="N627" s="152"/>
      <c r="O627" s="152"/>
      <c r="P627" s="152"/>
      <c r="Q627" s="152"/>
      <c r="R627" s="152"/>
      <c r="S627" s="152"/>
      <c r="T627" s="152"/>
      <c r="U627" s="152"/>
      <c r="V627" s="152"/>
      <c r="W627" s="281"/>
      <c r="X627" s="281"/>
      <c r="Y627" s="281"/>
      <c r="Z627" s="281"/>
      <c r="AA627" s="281"/>
      <c r="AB627" s="281"/>
      <c r="AC627" s="281"/>
      <c r="AD627" s="170"/>
      <c r="AE627" s="152"/>
      <c r="AF627" s="152"/>
      <c r="AG627" s="152"/>
      <c r="AH627" s="152"/>
      <c r="AI627" s="152"/>
      <c r="AJ627" s="152"/>
      <c r="AK627" s="152"/>
      <c r="AL627" s="152"/>
      <c r="AM627" s="152"/>
      <c r="AN627" s="152"/>
      <c r="AO627" s="152"/>
    </row>
    <row r="628" ht="12.75" customHeight="1">
      <c r="A628" s="288"/>
      <c r="B628" s="288"/>
      <c r="C628" s="288"/>
      <c r="D628" s="152"/>
      <c r="E628" s="289"/>
      <c r="F628" s="288"/>
      <c r="G628" s="152"/>
      <c r="H628" s="289"/>
      <c r="I628" s="289"/>
      <c r="J628" s="152"/>
      <c r="K628" s="152"/>
      <c r="L628" s="156"/>
      <c r="M628" s="152"/>
      <c r="N628" s="152"/>
      <c r="O628" s="152"/>
      <c r="P628" s="152"/>
      <c r="Q628" s="152"/>
      <c r="R628" s="152"/>
      <c r="S628" s="152"/>
      <c r="T628" s="152"/>
      <c r="U628" s="152"/>
      <c r="V628" s="152"/>
      <c r="W628" s="281"/>
      <c r="X628" s="281"/>
      <c r="Y628" s="281"/>
      <c r="Z628" s="281"/>
      <c r="AA628" s="281"/>
      <c r="AB628" s="281"/>
      <c r="AC628" s="281"/>
      <c r="AD628" s="170"/>
      <c r="AE628" s="152"/>
      <c r="AF628" s="152"/>
      <c r="AG628" s="152"/>
      <c r="AH628" s="152"/>
      <c r="AI628" s="152"/>
      <c r="AJ628" s="152"/>
      <c r="AK628" s="152"/>
      <c r="AL628" s="152"/>
      <c r="AM628" s="152"/>
      <c r="AN628" s="152"/>
      <c r="AO628" s="152"/>
    </row>
    <row r="629" ht="12.75" customHeight="1">
      <c r="A629" s="288"/>
      <c r="B629" s="288"/>
      <c r="C629" s="288"/>
      <c r="D629" s="152"/>
      <c r="E629" s="289"/>
      <c r="F629" s="288"/>
      <c r="G629" s="152"/>
      <c r="H629" s="289"/>
      <c r="I629" s="289"/>
      <c r="J629" s="152"/>
      <c r="K629" s="152"/>
      <c r="L629" s="156"/>
      <c r="M629" s="152"/>
      <c r="N629" s="152"/>
      <c r="O629" s="152"/>
      <c r="P629" s="152"/>
      <c r="Q629" s="152"/>
      <c r="R629" s="152"/>
      <c r="S629" s="152"/>
      <c r="T629" s="152"/>
      <c r="U629" s="152"/>
      <c r="V629" s="152"/>
      <c r="W629" s="281"/>
      <c r="X629" s="281"/>
      <c r="Y629" s="281"/>
      <c r="Z629" s="281"/>
      <c r="AA629" s="281"/>
      <c r="AB629" s="281"/>
      <c r="AC629" s="281"/>
      <c r="AD629" s="170"/>
      <c r="AE629" s="152"/>
      <c r="AF629" s="152"/>
      <c r="AG629" s="152"/>
      <c r="AH629" s="152"/>
      <c r="AI629" s="152"/>
      <c r="AJ629" s="152"/>
      <c r="AK629" s="152"/>
      <c r="AL629" s="152"/>
      <c r="AM629" s="152"/>
      <c r="AN629" s="152"/>
      <c r="AO629" s="152"/>
    </row>
    <row r="630" ht="12.75" customHeight="1">
      <c r="A630" s="288"/>
      <c r="B630" s="288"/>
      <c r="C630" s="288"/>
      <c r="D630" s="152"/>
      <c r="E630" s="289"/>
      <c r="F630" s="288"/>
      <c r="G630" s="152"/>
      <c r="H630" s="289"/>
      <c r="I630" s="289"/>
      <c r="J630" s="152"/>
      <c r="K630" s="152"/>
      <c r="L630" s="156"/>
      <c r="M630" s="152"/>
      <c r="N630" s="152"/>
      <c r="O630" s="152"/>
      <c r="P630" s="152"/>
      <c r="Q630" s="152"/>
      <c r="R630" s="152"/>
      <c r="S630" s="152"/>
      <c r="T630" s="152"/>
      <c r="U630" s="152"/>
      <c r="V630" s="152"/>
      <c r="W630" s="281"/>
      <c r="X630" s="281"/>
      <c r="Y630" s="281"/>
      <c r="Z630" s="281"/>
      <c r="AA630" s="281"/>
      <c r="AB630" s="281"/>
      <c r="AC630" s="281"/>
      <c r="AD630" s="170"/>
      <c r="AE630" s="152"/>
      <c r="AF630" s="152"/>
      <c r="AG630" s="152"/>
      <c r="AH630" s="152"/>
      <c r="AI630" s="152"/>
      <c r="AJ630" s="152"/>
      <c r="AK630" s="152"/>
      <c r="AL630" s="152"/>
      <c r="AM630" s="152"/>
      <c r="AN630" s="152"/>
      <c r="AO630" s="152"/>
    </row>
    <row r="631" ht="12.75" customHeight="1">
      <c r="A631" s="288"/>
      <c r="B631" s="288"/>
      <c r="C631" s="288"/>
      <c r="D631" s="152"/>
      <c r="E631" s="289"/>
      <c r="F631" s="288"/>
      <c r="G631" s="152"/>
      <c r="H631" s="289"/>
      <c r="I631" s="289"/>
      <c r="J631" s="152"/>
      <c r="K631" s="152"/>
      <c r="L631" s="156"/>
      <c r="M631" s="152"/>
      <c r="N631" s="152"/>
      <c r="O631" s="152"/>
      <c r="P631" s="152"/>
      <c r="Q631" s="152"/>
      <c r="R631" s="152"/>
      <c r="S631" s="152"/>
      <c r="T631" s="152"/>
      <c r="U631" s="152"/>
      <c r="V631" s="152"/>
      <c r="W631" s="281"/>
      <c r="X631" s="281"/>
      <c r="Y631" s="281"/>
      <c r="Z631" s="281"/>
      <c r="AA631" s="281"/>
      <c r="AB631" s="281"/>
      <c r="AC631" s="281"/>
      <c r="AD631" s="170"/>
      <c r="AE631" s="152"/>
      <c r="AF631" s="152"/>
      <c r="AG631" s="152"/>
      <c r="AH631" s="152"/>
      <c r="AI631" s="152"/>
      <c r="AJ631" s="152"/>
      <c r="AK631" s="152"/>
      <c r="AL631" s="152"/>
      <c r="AM631" s="152"/>
      <c r="AN631" s="152"/>
      <c r="AO631" s="152"/>
    </row>
    <row r="632" ht="12.75" customHeight="1">
      <c r="A632" s="288"/>
      <c r="B632" s="288"/>
      <c r="C632" s="288"/>
      <c r="D632" s="152"/>
      <c r="E632" s="289"/>
      <c r="F632" s="288"/>
      <c r="G632" s="152"/>
      <c r="H632" s="289"/>
      <c r="I632" s="289"/>
      <c r="J632" s="152"/>
      <c r="K632" s="152"/>
      <c r="L632" s="156"/>
      <c r="M632" s="152"/>
      <c r="N632" s="152"/>
      <c r="O632" s="152"/>
      <c r="P632" s="152"/>
      <c r="Q632" s="152"/>
      <c r="R632" s="152"/>
      <c r="S632" s="152"/>
      <c r="T632" s="152"/>
      <c r="U632" s="152"/>
      <c r="V632" s="152"/>
      <c r="W632" s="281"/>
      <c r="X632" s="281"/>
      <c r="Y632" s="281"/>
      <c r="Z632" s="281"/>
      <c r="AA632" s="281"/>
      <c r="AB632" s="281"/>
      <c r="AC632" s="281"/>
      <c r="AD632" s="170"/>
      <c r="AE632" s="152"/>
      <c r="AF632" s="152"/>
      <c r="AG632" s="152"/>
      <c r="AH632" s="152"/>
      <c r="AI632" s="152"/>
      <c r="AJ632" s="152"/>
      <c r="AK632" s="152"/>
      <c r="AL632" s="152"/>
      <c r="AM632" s="152"/>
      <c r="AN632" s="152"/>
      <c r="AO632" s="152"/>
    </row>
    <row r="633" ht="12.75" customHeight="1">
      <c r="A633" s="288"/>
      <c r="B633" s="288"/>
      <c r="C633" s="288"/>
      <c r="D633" s="152"/>
      <c r="E633" s="289"/>
      <c r="F633" s="288"/>
      <c r="G633" s="152"/>
      <c r="H633" s="289"/>
      <c r="I633" s="289"/>
      <c r="J633" s="152"/>
      <c r="K633" s="152"/>
      <c r="L633" s="156"/>
      <c r="M633" s="152"/>
      <c r="N633" s="152"/>
      <c r="O633" s="152"/>
      <c r="P633" s="152"/>
      <c r="Q633" s="152"/>
      <c r="R633" s="152"/>
      <c r="S633" s="152"/>
      <c r="T633" s="152"/>
      <c r="U633" s="152"/>
      <c r="V633" s="152"/>
      <c r="W633" s="281"/>
      <c r="X633" s="281"/>
      <c r="Y633" s="281"/>
      <c r="Z633" s="281"/>
      <c r="AA633" s="281"/>
      <c r="AB633" s="281"/>
      <c r="AC633" s="281"/>
      <c r="AD633" s="170"/>
      <c r="AE633" s="152"/>
      <c r="AF633" s="152"/>
      <c r="AG633" s="152"/>
      <c r="AH633" s="152"/>
      <c r="AI633" s="152"/>
      <c r="AJ633" s="152"/>
      <c r="AK633" s="152"/>
      <c r="AL633" s="152"/>
      <c r="AM633" s="152"/>
      <c r="AN633" s="152"/>
      <c r="AO633" s="152"/>
    </row>
    <row r="634" ht="12.75" customHeight="1">
      <c r="A634" s="288"/>
      <c r="B634" s="288"/>
      <c r="C634" s="288"/>
      <c r="D634" s="152"/>
      <c r="E634" s="289"/>
      <c r="F634" s="288"/>
      <c r="G634" s="152"/>
      <c r="H634" s="289"/>
      <c r="I634" s="289"/>
      <c r="J634" s="152"/>
      <c r="K634" s="152"/>
      <c r="L634" s="156"/>
      <c r="M634" s="152"/>
      <c r="N634" s="152"/>
      <c r="O634" s="152"/>
      <c r="P634" s="152"/>
      <c r="Q634" s="152"/>
      <c r="R634" s="152"/>
      <c r="S634" s="152"/>
      <c r="T634" s="152"/>
      <c r="U634" s="152"/>
      <c r="V634" s="152"/>
      <c r="W634" s="281"/>
      <c r="X634" s="281"/>
      <c r="Y634" s="281"/>
      <c r="Z634" s="281"/>
      <c r="AA634" s="281"/>
      <c r="AB634" s="281"/>
      <c r="AC634" s="281"/>
      <c r="AD634" s="170"/>
      <c r="AE634" s="152"/>
      <c r="AF634" s="152"/>
      <c r="AG634" s="152"/>
      <c r="AH634" s="152"/>
      <c r="AI634" s="152"/>
      <c r="AJ634" s="152"/>
      <c r="AK634" s="152"/>
      <c r="AL634" s="152"/>
      <c r="AM634" s="152"/>
      <c r="AN634" s="152"/>
      <c r="AO634" s="152"/>
    </row>
    <row r="635" ht="12.75" customHeight="1">
      <c r="A635" s="288"/>
      <c r="B635" s="288"/>
      <c r="C635" s="288"/>
      <c r="D635" s="152"/>
      <c r="E635" s="289"/>
      <c r="F635" s="288"/>
      <c r="G635" s="152"/>
      <c r="H635" s="289"/>
      <c r="I635" s="289"/>
      <c r="J635" s="152"/>
      <c r="K635" s="152"/>
      <c r="L635" s="156"/>
      <c r="M635" s="152"/>
      <c r="N635" s="152"/>
      <c r="O635" s="152"/>
      <c r="P635" s="152"/>
      <c r="Q635" s="152"/>
      <c r="R635" s="152"/>
      <c r="S635" s="152"/>
      <c r="T635" s="152"/>
      <c r="U635" s="152"/>
      <c r="V635" s="152"/>
      <c r="W635" s="281"/>
      <c r="X635" s="281"/>
      <c r="Y635" s="281"/>
      <c r="Z635" s="281"/>
      <c r="AA635" s="281"/>
      <c r="AB635" s="281"/>
      <c r="AC635" s="281"/>
      <c r="AD635" s="170"/>
      <c r="AE635" s="152"/>
      <c r="AF635" s="152"/>
      <c r="AG635" s="152"/>
      <c r="AH635" s="152"/>
      <c r="AI635" s="152"/>
      <c r="AJ635" s="152"/>
      <c r="AK635" s="152"/>
      <c r="AL635" s="152"/>
      <c r="AM635" s="152"/>
      <c r="AN635" s="152"/>
      <c r="AO635" s="152"/>
    </row>
    <row r="636" ht="12.75" customHeight="1">
      <c r="A636" s="288"/>
      <c r="B636" s="288"/>
      <c r="C636" s="288"/>
      <c r="D636" s="152"/>
      <c r="E636" s="289"/>
      <c r="F636" s="288"/>
      <c r="G636" s="152"/>
      <c r="H636" s="289"/>
      <c r="I636" s="289"/>
      <c r="J636" s="152"/>
      <c r="K636" s="152"/>
      <c r="L636" s="156"/>
      <c r="M636" s="152"/>
      <c r="N636" s="152"/>
      <c r="O636" s="152"/>
      <c r="P636" s="152"/>
      <c r="Q636" s="152"/>
      <c r="R636" s="152"/>
      <c r="S636" s="152"/>
      <c r="T636" s="152"/>
      <c r="U636" s="152"/>
      <c r="V636" s="152"/>
      <c r="W636" s="281"/>
      <c r="X636" s="281"/>
      <c r="Y636" s="281"/>
      <c r="Z636" s="281"/>
      <c r="AA636" s="281"/>
      <c r="AB636" s="281"/>
      <c r="AC636" s="281"/>
      <c r="AD636" s="170"/>
      <c r="AE636" s="152"/>
      <c r="AF636" s="152"/>
      <c r="AG636" s="152"/>
      <c r="AH636" s="152"/>
      <c r="AI636" s="152"/>
      <c r="AJ636" s="152"/>
      <c r="AK636" s="152"/>
      <c r="AL636" s="152"/>
      <c r="AM636" s="152"/>
      <c r="AN636" s="152"/>
      <c r="AO636" s="152"/>
    </row>
    <row r="637" ht="12.75" customHeight="1">
      <c r="A637" s="288"/>
      <c r="B637" s="288"/>
      <c r="C637" s="288"/>
      <c r="D637" s="152"/>
      <c r="E637" s="289"/>
      <c r="F637" s="288"/>
      <c r="G637" s="152"/>
      <c r="H637" s="289"/>
      <c r="I637" s="289"/>
      <c r="J637" s="152"/>
      <c r="K637" s="152"/>
      <c r="L637" s="156"/>
      <c r="M637" s="152"/>
      <c r="N637" s="152"/>
      <c r="O637" s="152"/>
      <c r="P637" s="152"/>
      <c r="Q637" s="152"/>
      <c r="R637" s="152"/>
      <c r="S637" s="152"/>
      <c r="T637" s="152"/>
      <c r="U637" s="152"/>
      <c r="V637" s="152"/>
      <c r="W637" s="281"/>
      <c r="X637" s="281"/>
      <c r="Y637" s="281"/>
      <c r="Z637" s="281"/>
      <c r="AA637" s="281"/>
      <c r="AB637" s="281"/>
      <c r="AC637" s="281"/>
      <c r="AD637" s="170"/>
      <c r="AE637" s="152"/>
      <c r="AF637" s="152"/>
      <c r="AG637" s="152"/>
      <c r="AH637" s="152"/>
      <c r="AI637" s="152"/>
      <c r="AJ637" s="152"/>
      <c r="AK637" s="152"/>
      <c r="AL637" s="152"/>
      <c r="AM637" s="152"/>
      <c r="AN637" s="152"/>
      <c r="AO637" s="152"/>
    </row>
    <row r="638" ht="12.75" customHeight="1">
      <c r="A638" s="288"/>
      <c r="B638" s="288"/>
      <c r="C638" s="288"/>
      <c r="D638" s="152"/>
      <c r="E638" s="289"/>
      <c r="F638" s="288"/>
      <c r="G638" s="152"/>
      <c r="H638" s="289"/>
      <c r="I638" s="289"/>
      <c r="J638" s="152"/>
      <c r="K638" s="152"/>
      <c r="L638" s="156"/>
      <c r="M638" s="152"/>
      <c r="N638" s="152"/>
      <c r="O638" s="152"/>
      <c r="P638" s="152"/>
      <c r="Q638" s="152"/>
      <c r="R638" s="152"/>
      <c r="S638" s="152"/>
      <c r="T638" s="152"/>
      <c r="U638" s="152"/>
      <c r="V638" s="152"/>
      <c r="W638" s="281"/>
      <c r="X638" s="281"/>
      <c r="Y638" s="281"/>
      <c r="Z638" s="281"/>
      <c r="AA638" s="281"/>
      <c r="AB638" s="281"/>
      <c r="AC638" s="281"/>
      <c r="AD638" s="170"/>
      <c r="AE638" s="152"/>
      <c r="AF638" s="152"/>
      <c r="AG638" s="152"/>
      <c r="AH638" s="152"/>
      <c r="AI638" s="152"/>
      <c r="AJ638" s="152"/>
      <c r="AK638" s="152"/>
      <c r="AL638" s="152"/>
      <c r="AM638" s="152"/>
      <c r="AN638" s="152"/>
      <c r="AO638" s="152"/>
    </row>
    <row r="639" ht="12.75" customHeight="1">
      <c r="A639" s="288"/>
      <c r="B639" s="288"/>
      <c r="C639" s="288"/>
      <c r="D639" s="152"/>
      <c r="E639" s="289"/>
      <c r="F639" s="288"/>
      <c r="G639" s="152"/>
      <c r="H639" s="289"/>
      <c r="I639" s="289"/>
      <c r="J639" s="152"/>
      <c r="K639" s="152"/>
      <c r="L639" s="156"/>
      <c r="M639" s="152"/>
      <c r="N639" s="152"/>
      <c r="O639" s="152"/>
      <c r="P639" s="152"/>
      <c r="Q639" s="152"/>
      <c r="R639" s="152"/>
      <c r="S639" s="152"/>
      <c r="T639" s="152"/>
      <c r="U639" s="152"/>
      <c r="V639" s="152"/>
      <c r="W639" s="281"/>
      <c r="X639" s="281"/>
      <c r="Y639" s="281"/>
      <c r="Z639" s="281"/>
      <c r="AA639" s="281"/>
      <c r="AB639" s="281"/>
      <c r="AC639" s="281"/>
      <c r="AD639" s="170"/>
      <c r="AE639" s="152"/>
      <c r="AF639" s="152"/>
      <c r="AG639" s="152"/>
      <c r="AH639" s="152"/>
      <c r="AI639" s="152"/>
      <c r="AJ639" s="152"/>
      <c r="AK639" s="152"/>
      <c r="AL639" s="152"/>
      <c r="AM639" s="152"/>
      <c r="AN639" s="152"/>
      <c r="AO639" s="152"/>
    </row>
    <row r="640" ht="12.75" customHeight="1">
      <c r="A640" s="288"/>
      <c r="B640" s="288"/>
      <c r="C640" s="288"/>
      <c r="D640" s="152"/>
      <c r="E640" s="289"/>
      <c r="F640" s="288"/>
      <c r="G640" s="152"/>
      <c r="H640" s="289"/>
      <c r="I640" s="289"/>
      <c r="J640" s="152"/>
      <c r="K640" s="152"/>
      <c r="L640" s="156"/>
      <c r="M640" s="152"/>
      <c r="N640" s="152"/>
      <c r="O640" s="152"/>
      <c r="P640" s="152"/>
      <c r="Q640" s="152"/>
      <c r="R640" s="152"/>
      <c r="S640" s="152"/>
      <c r="T640" s="152"/>
      <c r="U640" s="152"/>
      <c r="V640" s="152"/>
      <c r="W640" s="281"/>
      <c r="X640" s="281"/>
      <c r="Y640" s="281"/>
      <c r="Z640" s="281"/>
      <c r="AA640" s="281"/>
      <c r="AB640" s="281"/>
      <c r="AC640" s="281"/>
      <c r="AD640" s="170"/>
      <c r="AE640" s="152"/>
      <c r="AF640" s="152"/>
      <c r="AG640" s="152"/>
      <c r="AH640" s="152"/>
      <c r="AI640" s="152"/>
      <c r="AJ640" s="152"/>
      <c r="AK640" s="152"/>
      <c r="AL640" s="152"/>
      <c r="AM640" s="152"/>
      <c r="AN640" s="152"/>
      <c r="AO640" s="152"/>
    </row>
    <row r="641" ht="12.75" customHeight="1">
      <c r="A641" s="288"/>
      <c r="B641" s="288"/>
      <c r="C641" s="288"/>
      <c r="D641" s="152"/>
      <c r="E641" s="289"/>
      <c r="F641" s="288"/>
      <c r="G641" s="152"/>
      <c r="H641" s="289"/>
      <c r="I641" s="289"/>
      <c r="J641" s="152"/>
      <c r="K641" s="152"/>
      <c r="L641" s="156"/>
      <c r="M641" s="152"/>
      <c r="N641" s="152"/>
      <c r="O641" s="152"/>
      <c r="P641" s="152"/>
      <c r="Q641" s="152"/>
      <c r="R641" s="152"/>
      <c r="S641" s="152"/>
      <c r="T641" s="152"/>
      <c r="U641" s="152"/>
      <c r="V641" s="152"/>
      <c r="W641" s="281"/>
      <c r="X641" s="281"/>
      <c r="Y641" s="281"/>
      <c r="Z641" s="281"/>
      <c r="AA641" s="281"/>
      <c r="AB641" s="281"/>
      <c r="AC641" s="281"/>
      <c r="AD641" s="170"/>
      <c r="AE641" s="152"/>
      <c r="AF641" s="152"/>
      <c r="AG641" s="152"/>
      <c r="AH641" s="152"/>
      <c r="AI641" s="152"/>
      <c r="AJ641" s="152"/>
      <c r="AK641" s="152"/>
      <c r="AL641" s="152"/>
      <c r="AM641" s="152"/>
      <c r="AN641" s="152"/>
      <c r="AO641" s="152"/>
    </row>
    <row r="642" ht="12.75" customHeight="1">
      <c r="A642" s="288"/>
      <c r="B642" s="288"/>
      <c r="C642" s="288"/>
      <c r="D642" s="152"/>
      <c r="E642" s="289"/>
      <c r="F642" s="288"/>
      <c r="G642" s="152"/>
      <c r="H642" s="289"/>
      <c r="I642" s="289"/>
      <c r="J642" s="152"/>
      <c r="K642" s="152"/>
      <c r="L642" s="156"/>
      <c r="M642" s="152"/>
      <c r="N642" s="152"/>
      <c r="O642" s="152"/>
      <c r="P642" s="152"/>
      <c r="Q642" s="152"/>
      <c r="R642" s="152"/>
      <c r="S642" s="152"/>
      <c r="T642" s="152"/>
      <c r="U642" s="152"/>
      <c r="V642" s="152"/>
      <c r="W642" s="281"/>
      <c r="X642" s="281"/>
      <c r="Y642" s="281"/>
      <c r="Z642" s="281"/>
      <c r="AA642" s="281"/>
      <c r="AB642" s="281"/>
      <c r="AC642" s="281"/>
      <c r="AD642" s="170"/>
      <c r="AE642" s="152"/>
      <c r="AF642" s="152"/>
      <c r="AG642" s="152"/>
      <c r="AH642" s="152"/>
      <c r="AI642" s="152"/>
      <c r="AJ642" s="152"/>
      <c r="AK642" s="152"/>
      <c r="AL642" s="152"/>
      <c r="AM642" s="152"/>
      <c r="AN642" s="152"/>
      <c r="AO642" s="152"/>
    </row>
    <row r="643" ht="12.75" customHeight="1">
      <c r="A643" s="288"/>
      <c r="B643" s="288"/>
      <c r="C643" s="288"/>
      <c r="D643" s="152"/>
      <c r="E643" s="289"/>
      <c r="F643" s="288"/>
      <c r="G643" s="152"/>
      <c r="H643" s="289"/>
      <c r="I643" s="289"/>
      <c r="J643" s="152"/>
      <c r="K643" s="152"/>
      <c r="L643" s="156"/>
      <c r="M643" s="152"/>
      <c r="N643" s="152"/>
      <c r="O643" s="152"/>
      <c r="P643" s="152"/>
      <c r="Q643" s="152"/>
      <c r="R643" s="152"/>
      <c r="S643" s="152"/>
      <c r="T643" s="152"/>
      <c r="U643" s="152"/>
      <c r="V643" s="152"/>
      <c r="W643" s="281"/>
      <c r="X643" s="281"/>
      <c r="Y643" s="281"/>
      <c r="Z643" s="281"/>
      <c r="AA643" s="281"/>
      <c r="AB643" s="281"/>
      <c r="AC643" s="281"/>
      <c r="AD643" s="170"/>
      <c r="AE643" s="152"/>
      <c r="AF643" s="152"/>
      <c r="AG643" s="152"/>
      <c r="AH643" s="152"/>
      <c r="AI643" s="152"/>
      <c r="AJ643" s="152"/>
      <c r="AK643" s="152"/>
      <c r="AL643" s="152"/>
      <c r="AM643" s="152"/>
      <c r="AN643" s="152"/>
      <c r="AO643" s="152"/>
    </row>
    <row r="644" ht="12.75" customHeight="1">
      <c r="A644" s="288"/>
      <c r="B644" s="288"/>
      <c r="C644" s="288"/>
      <c r="D644" s="152"/>
      <c r="E644" s="289"/>
      <c r="F644" s="288"/>
      <c r="G644" s="152"/>
      <c r="H644" s="289"/>
      <c r="I644" s="289"/>
      <c r="J644" s="152"/>
      <c r="K644" s="152"/>
      <c r="L644" s="156"/>
      <c r="M644" s="152"/>
      <c r="N644" s="152"/>
      <c r="O644" s="152"/>
      <c r="P644" s="152"/>
      <c r="Q644" s="152"/>
      <c r="R644" s="152"/>
      <c r="S644" s="152"/>
      <c r="T644" s="152"/>
      <c r="U644" s="152"/>
      <c r="V644" s="152"/>
      <c r="W644" s="281"/>
      <c r="X644" s="281"/>
      <c r="Y644" s="281"/>
      <c r="Z644" s="281"/>
      <c r="AA644" s="281"/>
      <c r="AB644" s="281"/>
      <c r="AC644" s="281"/>
      <c r="AD644" s="170"/>
      <c r="AE644" s="152"/>
      <c r="AF644" s="152"/>
      <c r="AG644" s="152"/>
      <c r="AH644" s="152"/>
      <c r="AI644" s="152"/>
      <c r="AJ644" s="152"/>
      <c r="AK644" s="152"/>
      <c r="AL644" s="152"/>
      <c r="AM644" s="152"/>
      <c r="AN644" s="152"/>
      <c r="AO644" s="152"/>
    </row>
    <row r="645" ht="12.75" customHeight="1">
      <c r="A645" s="288"/>
      <c r="B645" s="288"/>
      <c r="C645" s="288"/>
      <c r="D645" s="152"/>
      <c r="E645" s="289"/>
      <c r="F645" s="288"/>
      <c r="G645" s="152"/>
      <c r="H645" s="289"/>
      <c r="I645" s="289"/>
      <c r="J645" s="152"/>
      <c r="K645" s="152"/>
      <c r="L645" s="156"/>
      <c r="M645" s="152"/>
      <c r="N645" s="152"/>
      <c r="O645" s="152"/>
      <c r="P645" s="152"/>
      <c r="Q645" s="152"/>
      <c r="R645" s="152"/>
      <c r="S645" s="152"/>
      <c r="T645" s="152"/>
      <c r="U645" s="152"/>
      <c r="V645" s="152"/>
      <c r="W645" s="281"/>
      <c r="X645" s="281"/>
      <c r="Y645" s="281"/>
      <c r="Z645" s="281"/>
      <c r="AA645" s="281"/>
      <c r="AB645" s="281"/>
      <c r="AC645" s="281"/>
      <c r="AD645" s="170"/>
      <c r="AE645" s="152"/>
      <c r="AF645" s="152"/>
      <c r="AG645" s="152"/>
      <c r="AH645" s="152"/>
      <c r="AI645" s="152"/>
      <c r="AJ645" s="152"/>
      <c r="AK645" s="152"/>
      <c r="AL645" s="152"/>
      <c r="AM645" s="152"/>
      <c r="AN645" s="152"/>
      <c r="AO645" s="152"/>
    </row>
    <row r="646" ht="12.75" customHeight="1">
      <c r="A646" s="288"/>
      <c r="B646" s="288"/>
      <c r="C646" s="288"/>
      <c r="D646" s="152"/>
      <c r="E646" s="289"/>
      <c r="F646" s="288"/>
      <c r="G646" s="152"/>
      <c r="H646" s="289"/>
      <c r="I646" s="289"/>
      <c r="J646" s="152"/>
      <c r="K646" s="152"/>
      <c r="L646" s="156"/>
      <c r="M646" s="152"/>
      <c r="N646" s="152"/>
      <c r="O646" s="152"/>
      <c r="P646" s="152"/>
      <c r="Q646" s="152"/>
      <c r="R646" s="152"/>
      <c r="S646" s="152"/>
      <c r="T646" s="152"/>
      <c r="U646" s="152"/>
      <c r="V646" s="152"/>
      <c r="W646" s="281"/>
      <c r="X646" s="281"/>
      <c r="Y646" s="281"/>
      <c r="Z646" s="281"/>
      <c r="AA646" s="281"/>
      <c r="AB646" s="281"/>
      <c r="AC646" s="281"/>
      <c r="AD646" s="170"/>
      <c r="AE646" s="152"/>
      <c r="AF646" s="152"/>
      <c r="AG646" s="152"/>
      <c r="AH646" s="152"/>
      <c r="AI646" s="152"/>
      <c r="AJ646" s="152"/>
      <c r="AK646" s="152"/>
      <c r="AL646" s="152"/>
      <c r="AM646" s="152"/>
      <c r="AN646" s="152"/>
      <c r="AO646" s="152"/>
    </row>
    <row r="647" ht="12.75" customHeight="1">
      <c r="A647" s="288"/>
      <c r="B647" s="288"/>
      <c r="C647" s="288"/>
      <c r="D647" s="152"/>
      <c r="E647" s="289"/>
      <c r="F647" s="288"/>
      <c r="G647" s="152"/>
      <c r="H647" s="289"/>
      <c r="I647" s="289"/>
      <c r="J647" s="152"/>
      <c r="K647" s="152"/>
      <c r="L647" s="156"/>
      <c r="M647" s="152"/>
      <c r="N647" s="152"/>
      <c r="O647" s="152"/>
      <c r="P647" s="152"/>
      <c r="Q647" s="152"/>
      <c r="R647" s="152"/>
      <c r="S647" s="152"/>
      <c r="T647" s="152"/>
      <c r="U647" s="152"/>
      <c r="V647" s="152"/>
      <c r="W647" s="281"/>
      <c r="X647" s="281"/>
      <c r="Y647" s="281"/>
      <c r="Z647" s="281"/>
      <c r="AA647" s="281"/>
      <c r="AB647" s="281"/>
      <c r="AC647" s="281"/>
      <c r="AD647" s="170"/>
      <c r="AE647" s="152"/>
      <c r="AF647" s="152"/>
      <c r="AG647" s="152"/>
      <c r="AH647" s="152"/>
      <c r="AI647" s="152"/>
      <c r="AJ647" s="152"/>
      <c r="AK647" s="152"/>
      <c r="AL647" s="152"/>
      <c r="AM647" s="152"/>
      <c r="AN647" s="152"/>
      <c r="AO647" s="152"/>
    </row>
    <row r="648" ht="12.75" customHeight="1">
      <c r="A648" s="288"/>
      <c r="B648" s="288"/>
      <c r="C648" s="288"/>
      <c r="D648" s="152"/>
      <c r="E648" s="289"/>
      <c r="F648" s="288"/>
      <c r="G648" s="152"/>
      <c r="H648" s="289"/>
      <c r="I648" s="289"/>
      <c r="J648" s="152"/>
      <c r="K648" s="152"/>
      <c r="L648" s="156"/>
      <c r="M648" s="152"/>
      <c r="N648" s="152"/>
      <c r="O648" s="152"/>
      <c r="P648" s="152"/>
      <c r="Q648" s="152"/>
      <c r="R648" s="152"/>
      <c r="S648" s="152"/>
      <c r="T648" s="152"/>
      <c r="U648" s="152"/>
      <c r="V648" s="152"/>
      <c r="W648" s="281"/>
      <c r="X648" s="281"/>
      <c r="Y648" s="281"/>
      <c r="Z648" s="281"/>
      <c r="AA648" s="281"/>
      <c r="AB648" s="281"/>
      <c r="AC648" s="281"/>
      <c r="AD648" s="170"/>
      <c r="AE648" s="152"/>
      <c r="AF648" s="152"/>
      <c r="AG648" s="152"/>
      <c r="AH648" s="152"/>
      <c r="AI648" s="152"/>
      <c r="AJ648" s="152"/>
      <c r="AK648" s="152"/>
      <c r="AL648" s="152"/>
      <c r="AM648" s="152"/>
      <c r="AN648" s="152"/>
      <c r="AO648" s="152"/>
    </row>
    <row r="649" ht="12.75" customHeight="1">
      <c r="A649" s="288"/>
      <c r="B649" s="288"/>
      <c r="C649" s="288"/>
      <c r="D649" s="152"/>
      <c r="E649" s="289"/>
      <c r="F649" s="288"/>
      <c r="G649" s="152"/>
      <c r="H649" s="289"/>
      <c r="I649" s="289"/>
      <c r="J649" s="152"/>
      <c r="K649" s="152"/>
      <c r="L649" s="156"/>
      <c r="M649" s="152"/>
      <c r="N649" s="152"/>
      <c r="O649" s="152"/>
      <c r="P649" s="152"/>
      <c r="Q649" s="152"/>
      <c r="R649" s="152"/>
      <c r="S649" s="152"/>
      <c r="T649" s="152"/>
      <c r="U649" s="152"/>
      <c r="V649" s="152"/>
      <c r="W649" s="281"/>
      <c r="X649" s="281"/>
      <c r="Y649" s="281"/>
      <c r="Z649" s="281"/>
      <c r="AA649" s="281"/>
      <c r="AB649" s="281"/>
      <c r="AC649" s="281"/>
      <c r="AD649" s="170"/>
      <c r="AE649" s="152"/>
      <c r="AF649" s="152"/>
      <c r="AG649" s="152"/>
      <c r="AH649" s="152"/>
      <c r="AI649" s="152"/>
      <c r="AJ649" s="152"/>
      <c r="AK649" s="152"/>
      <c r="AL649" s="152"/>
      <c r="AM649" s="152"/>
      <c r="AN649" s="152"/>
      <c r="AO649" s="152"/>
    </row>
    <row r="650" ht="12.75" customHeight="1">
      <c r="A650" s="288"/>
      <c r="B650" s="288"/>
      <c r="C650" s="288"/>
      <c r="D650" s="152"/>
      <c r="E650" s="289"/>
      <c r="F650" s="288"/>
      <c r="G650" s="152"/>
      <c r="H650" s="289"/>
      <c r="I650" s="289"/>
      <c r="J650" s="152"/>
      <c r="K650" s="152"/>
      <c r="L650" s="156"/>
      <c r="M650" s="152"/>
      <c r="N650" s="152"/>
      <c r="O650" s="152"/>
      <c r="P650" s="152"/>
      <c r="Q650" s="152"/>
      <c r="R650" s="152"/>
      <c r="S650" s="152"/>
      <c r="T650" s="152"/>
      <c r="U650" s="152"/>
      <c r="V650" s="152"/>
      <c r="W650" s="281"/>
      <c r="X650" s="281"/>
      <c r="Y650" s="281"/>
      <c r="Z650" s="281"/>
      <c r="AA650" s="281"/>
      <c r="AB650" s="281"/>
      <c r="AC650" s="281"/>
      <c r="AD650" s="170"/>
      <c r="AE650" s="152"/>
      <c r="AF650" s="152"/>
      <c r="AG650" s="152"/>
      <c r="AH650" s="152"/>
      <c r="AI650" s="152"/>
      <c r="AJ650" s="152"/>
      <c r="AK650" s="152"/>
      <c r="AL650" s="152"/>
      <c r="AM650" s="152"/>
      <c r="AN650" s="152"/>
      <c r="AO650" s="152"/>
    </row>
    <row r="651" ht="12.75" customHeight="1">
      <c r="A651" s="288"/>
      <c r="B651" s="288"/>
      <c r="C651" s="288"/>
      <c r="D651" s="152"/>
      <c r="E651" s="289"/>
      <c r="F651" s="288"/>
      <c r="G651" s="152"/>
      <c r="H651" s="289"/>
      <c r="I651" s="289"/>
      <c r="J651" s="152"/>
      <c r="K651" s="152"/>
      <c r="L651" s="156"/>
      <c r="M651" s="152"/>
      <c r="N651" s="152"/>
      <c r="O651" s="152"/>
      <c r="P651" s="152"/>
      <c r="Q651" s="152"/>
      <c r="R651" s="152"/>
      <c r="S651" s="152"/>
      <c r="T651" s="152"/>
      <c r="U651" s="152"/>
      <c r="V651" s="152"/>
      <c r="W651" s="281"/>
      <c r="X651" s="281"/>
      <c r="Y651" s="281"/>
      <c r="Z651" s="281"/>
      <c r="AA651" s="281"/>
      <c r="AB651" s="281"/>
      <c r="AC651" s="281"/>
      <c r="AD651" s="170"/>
      <c r="AE651" s="152"/>
      <c r="AF651" s="152"/>
      <c r="AG651" s="152"/>
      <c r="AH651" s="152"/>
      <c r="AI651" s="152"/>
      <c r="AJ651" s="152"/>
      <c r="AK651" s="152"/>
      <c r="AL651" s="152"/>
      <c r="AM651" s="152"/>
      <c r="AN651" s="152"/>
      <c r="AO651" s="152"/>
    </row>
    <row r="652" ht="12.75" customHeight="1">
      <c r="A652" s="288"/>
      <c r="B652" s="288"/>
      <c r="C652" s="288"/>
      <c r="D652" s="152"/>
      <c r="E652" s="289"/>
      <c r="F652" s="288"/>
      <c r="G652" s="152"/>
      <c r="H652" s="289"/>
      <c r="I652" s="289"/>
      <c r="J652" s="152"/>
      <c r="K652" s="152"/>
      <c r="L652" s="156"/>
      <c r="M652" s="152"/>
      <c r="N652" s="152"/>
      <c r="O652" s="152"/>
      <c r="P652" s="152"/>
      <c r="Q652" s="152"/>
      <c r="R652" s="152"/>
      <c r="S652" s="152"/>
      <c r="T652" s="152"/>
      <c r="U652" s="152"/>
      <c r="V652" s="152"/>
      <c r="W652" s="281"/>
      <c r="X652" s="281"/>
      <c r="Y652" s="281"/>
      <c r="Z652" s="281"/>
      <c r="AA652" s="281"/>
      <c r="AB652" s="281"/>
      <c r="AC652" s="281"/>
      <c r="AD652" s="170"/>
      <c r="AE652" s="152"/>
      <c r="AF652" s="152"/>
      <c r="AG652" s="152"/>
      <c r="AH652" s="152"/>
      <c r="AI652" s="152"/>
      <c r="AJ652" s="152"/>
      <c r="AK652" s="152"/>
      <c r="AL652" s="152"/>
      <c r="AM652" s="152"/>
      <c r="AN652" s="152"/>
      <c r="AO652" s="152"/>
    </row>
    <row r="653" ht="12.75" customHeight="1">
      <c r="A653" s="288"/>
      <c r="B653" s="288"/>
      <c r="C653" s="288"/>
      <c r="D653" s="152"/>
      <c r="E653" s="289"/>
      <c r="F653" s="288"/>
      <c r="G653" s="152"/>
      <c r="H653" s="289"/>
      <c r="I653" s="289"/>
      <c r="J653" s="152"/>
      <c r="K653" s="152"/>
      <c r="L653" s="156"/>
      <c r="M653" s="152"/>
      <c r="N653" s="152"/>
      <c r="O653" s="152"/>
      <c r="P653" s="152"/>
      <c r="Q653" s="152"/>
      <c r="R653" s="152"/>
      <c r="S653" s="152"/>
      <c r="T653" s="152"/>
      <c r="U653" s="152"/>
      <c r="V653" s="152"/>
      <c r="W653" s="281"/>
      <c r="X653" s="281"/>
      <c r="Y653" s="281"/>
      <c r="Z653" s="281"/>
      <c r="AA653" s="281"/>
      <c r="AB653" s="281"/>
      <c r="AC653" s="281"/>
      <c r="AD653" s="170"/>
      <c r="AE653" s="152"/>
      <c r="AF653" s="152"/>
      <c r="AG653" s="152"/>
      <c r="AH653" s="152"/>
      <c r="AI653" s="152"/>
      <c r="AJ653" s="152"/>
      <c r="AK653" s="152"/>
      <c r="AL653" s="152"/>
      <c r="AM653" s="152"/>
      <c r="AN653" s="152"/>
      <c r="AO653" s="152"/>
    </row>
    <row r="654" ht="12.75" customHeight="1">
      <c r="A654" s="288"/>
      <c r="B654" s="288"/>
      <c r="C654" s="288"/>
      <c r="D654" s="152"/>
      <c r="E654" s="289"/>
      <c r="F654" s="288"/>
      <c r="G654" s="152"/>
      <c r="H654" s="289"/>
      <c r="I654" s="289"/>
      <c r="J654" s="152"/>
      <c r="K654" s="152"/>
      <c r="L654" s="156"/>
      <c r="M654" s="152"/>
      <c r="N654" s="152"/>
      <c r="O654" s="152"/>
      <c r="P654" s="152"/>
      <c r="Q654" s="152"/>
      <c r="R654" s="152"/>
      <c r="S654" s="152"/>
      <c r="T654" s="152"/>
      <c r="U654" s="152"/>
      <c r="V654" s="152"/>
      <c r="W654" s="281"/>
      <c r="X654" s="281"/>
      <c r="Y654" s="281"/>
      <c r="Z654" s="281"/>
      <c r="AA654" s="281"/>
      <c r="AB654" s="281"/>
      <c r="AC654" s="281"/>
      <c r="AD654" s="170"/>
      <c r="AE654" s="152"/>
      <c r="AF654" s="152"/>
      <c r="AG654" s="152"/>
      <c r="AH654" s="152"/>
      <c r="AI654" s="152"/>
      <c r="AJ654" s="152"/>
      <c r="AK654" s="152"/>
      <c r="AL654" s="152"/>
      <c r="AM654" s="152"/>
      <c r="AN654" s="152"/>
      <c r="AO654" s="152"/>
    </row>
    <row r="655" ht="12.75" customHeight="1">
      <c r="A655" s="288"/>
      <c r="B655" s="288"/>
      <c r="C655" s="288"/>
      <c r="D655" s="152"/>
      <c r="E655" s="289"/>
      <c r="F655" s="288"/>
      <c r="G655" s="152"/>
      <c r="H655" s="289"/>
      <c r="I655" s="289"/>
      <c r="J655" s="152"/>
      <c r="K655" s="152"/>
      <c r="L655" s="156"/>
      <c r="M655" s="152"/>
      <c r="N655" s="152"/>
      <c r="O655" s="152"/>
      <c r="P655" s="152"/>
      <c r="Q655" s="152"/>
      <c r="R655" s="152"/>
      <c r="S655" s="152"/>
      <c r="T655" s="152"/>
      <c r="U655" s="152"/>
      <c r="V655" s="152"/>
      <c r="W655" s="281"/>
      <c r="X655" s="281"/>
      <c r="Y655" s="281"/>
      <c r="Z655" s="281"/>
      <c r="AA655" s="281"/>
      <c r="AB655" s="281"/>
      <c r="AC655" s="281"/>
      <c r="AD655" s="170"/>
      <c r="AE655" s="152"/>
      <c r="AF655" s="152"/>
      <c r="AG655" s="152"/>
      <c r="AH655" s="152"/>
      <c r="AI655" s="152"/>
      <c r="AJ655" s="152"/>
      <c r="AK655" s="152"/>
      <c r="AL655" s="152"/>
      <c r="AM655" s="152"/>
      <c r="AN655" s="152"/>
      <c r="AO655" s="152"/>
    </row>
    <row r="656" ht="12.75" customHeight="1">
      <c r="A656" s="288"/>
      <c r="B656" s="288"/>
      <c r="C656" s="288"/>
      <c r="D656" s="152"/>
      <c r="E656" s="289"/>
      <c r="F656" s="288"/>
      <c r="G656" s="152"/>
      <c r="H656" s="289"/>
      <c r="I656" s="289"/>
      <c r="J656" s="152"/>
      <c r="K656" s="152"/>
      <c r="L656" s="156"/>
      <c r="M656" s="152"/>
      <c r="N656" s="152"/>
      <c r="O656" s="152"/>
      <c r="P656" s="152"/>
      <c r="Q656" s="152"/>
      <c r="R656" s="152"/>
      <c r="S656" s="152"/>
      <c r="T656" s="152"/>
      <c r="U656" s="152"/>
      <c r="V656" s="152"/>
      <c r="W656" s="281"/>
      <c r="X656" s="281"/>
      <c r="Y656" s="281"/>
      <c r="Z656" s="281"/>
      <c r="AA656" s="281"/>
      <c r="AB656" s="281"/>
      <c r="AC656" s="281"/>
      <c r="AD656" s="170"/>
      <c r="AE656" s="152"/>
      <c r="AF656" s="152"/>
      <c r="AG656" s="152"/>
      <c r="AH656" s="152"/>
      <c r="AI656" s="152"/>
      <c r="AJ656" s="152"/>
      <c r="AK656" s="152"/>
      <c r="AL656" s="152"/>
      <c r="AM656" s="152"/>
      <c r="AN656" s="152"/>
      <c r="AO656" s="152"/>
    </row>
    <row r="657" ht="12.75" customHeight="1">
      <c r="A657" s="288"/>
      <c r="B657" s="288"/>
      <c r="C657" s="288"/>
      <c r="D657" s="152"/>
      <c r="E657" s="289"/>
      <c r="F657" s="288"/>
      <c r="G657" s="152"/>
      <c r="H657" s="289"/>
      <c r="I657" s="289"/>
      <c r="J657" s="152"/>
      <c r="K657" s="152"/>
      <c r="L657" s="156"/>
      <c r="M657" s="152"/>
      <c r="N657" s="152"/>
      <c r="O657" s="152"/>
      <c r="P657" s="152"/>
      <c r="Q657" s="152"/>
      <c r="R657" s="152"/>
      <c r="S657" s="152"/>
      <c r="T657" s="152"/>
      <c r="U657" s="152"/>
      <c r="V657" s="152"/>
      <c r="W657" s="281"/>
      <c r="X657" s="281"/>
      <c r="Y657" s="281"/>
      <c r="Z657" s="281"/>
      <c r="AA657" s="281"/>
      <c r="AB657" s="281"/>
      <c r="AC657" s="281"/>
      <c r="AD657" s="170"/>
      <c r="AE657" s="152"/>
      <c r="AF657" s="152"/>
      <c r="AG657" s="152"/>
      <c r="AH657" s="152"/>
      <c r="AI657" s="152"/>
      <c r="AJ657" s="152"/>
      <c r="AK657" s="152"/>
      <c r="AL657" s="152"/>
      <c r="AM657" s="152"/>
      <c r="AN657" s="152"/>
      <c r="AO657" s="152"/>
    </row>
    <row r="658" ht="12.75" customHeight="1">
      <c r="A658" s="288"/>
      <c r="B658" s="288"/>
      <c r="C658" s="288"/>
      <c r="D658" s="152"/>
      <c r="E658" s="289"/>
      <c r="F658" s="288"/>
      <c r="G658" s="152"/>
      <c r="H658" s="289"/>
      <c r="I658" s="289"/>
      <c r="J658" s="152"/>
      <c r="K658" s="152"/>
      <c r="L658" s="156"/>
      <c r="M658" s="152"/>
      <c r="N658" s="152"/>
      <c r="O658" s="152"/>
      <c r="P658" s="152"/>
      <c r="Q658" s="152"/>
      <c r="R658" s="152"/>
      <c r="S658" s="152"/>
      <c r="T658" s="152"/>
      <c r="U658" s="152"/>
      <c r="V658" s="152"/>
      <c r="W658" s="281"/>
      <c r="X658" s="281"/>
      <c r="Y658" s="281"/>
      <c r="Z658" s="281"/>
      <c r="AA658" s="281"/>
      <c r="AB658" s="281"/>
      <c r="AC658" s="281"/>
      <c r="AD658" s="170"/>
      <c r="AE658" s="152"/>
      <c r="AF658" s="152"/>
      <c r="AG658" s="152"/>
      <c r="AH658" s="152"/>
      <c r="AI658" s="152"/>
      <c r="AJ658" s="152"/>
      <c r="AK658" s="152"/>
      <c r="AL658" s="152"/>
      <c r="AM658" s="152"/>
      <c r="AN658" s="152"/>
      <c r="AO658" s="152"/>
    </row>
    <row r="659" ht="12.75" customHeight="1">
      <c r="A659" s="288"/>
      <c r="B659" s="288"/>
      <c r="C659" s="288"/>
      <c r="D659" s="152"/>
      <c r="E659" s="289"/>
      <c r="F659" s="288"/>
      <c r="G659" s="152"/>
      <c r="H659" s="289"/>
      <c r="I659" s="289"/>
      <c r="J659" s="152"/>
      <c r="K659" s="152"/>
      <c r="L659" s="156"/>
      <c r="M659" s="152"/>
      <c r="N659" s="152"/>
      <c r="O659" s="152"/>
      <c r="P659" s="152"/>
      <c r="Q659" s="152"/>
      <c r="R659" s="152"/>
      <c r="S659" s="152"/>
      <c r="T659" s="152"/>
      <c r="U659" s="152"/>
      <c r="V659" s="152"/>
      <c r="W659" s="281"/>
      <c r="X659" s="281"/>
      <c r="Y659" s="281"/>
      <c r="Z659" s="281"/>
      <c r="AA659" s="281"/>
      <c r="AB659" s="281"/>
      <c r="AC659" s="281"/>
      <c r="AD659" s="170"/>
      <c r="AE659" s="152"/>
      <c r="AF659" s="152"/>
      <c r="AG659" s="152"/>
      <c r="AH659" s="152"/>
      <c r="AI659" s="152"/>
      <c r="AJ659" s="152"/>
      <c r="AK659" s="152"/>
      <c r="AL659" s="152"/>
      <c r="AM659" s="152"/>
      <c r="AN659" s="152"/>
      <c r="AO659" s="152"/>
    </row>
    <row r="660" ht="12.75" customHeight="1">
      <c r="A660" s="288"/>
      <c r="B660" s="288"/>
      <c r="C660" s="288"/>
      <c r="D660" s="152"/>
      <c r="E660" s="289"/>
      <c r="F660" s="288"/>
      <c r="G660" s="152"/>
      <c r="H660" s="289"/>
      <c r="I660" s="289"/>
      <c r="J660" s="152"/>
      <c r="K660" s="152"/>
      <c r="L660" s="156"/>
      <c r="M660" s="152"/>
      <c r="N660" s="152"/>
      <c r="O660" s="152"/>
      <c r="P660" s="152"/>
      <c r="Q660" s="152"/>
      <c r="R660" s="152"/>
      <c r="S660" s="152"/>
      <c r="T660" s="152"/>
      <c r="U660" s="152"/>
      <c r="V660" s="152"/>
      <c r="W660" s="281"/>
      <c r="X660" s="281"/>
      <c r="Y660" s="281"/>
      <c r="Z660" s="281"/>
      <c r="AA660" s="281"/>
      <c r="AB660" s="281"/>
      <c r="AC660" s="281"/>
      <c r="AD660" s="170"/>
      <c r="AE660" s="152"/>
      <c r="AF660" s="152"/>
      <c r="AG660" s="152"/>
      <c r="AH660" s="152"/>
      <c r="AI660" s="152"/>
      <c r="AJ660" s="152"/>
      <c r="AK660" s="152"/>
      <c r="AL660" s="152"/>
      <c r="AM660" s="152"/>
      <c r="AN660" s="152"/>
      <c r="AO660" s="152"/>
    </row>
    <row r="661" ht="12.75" customHeight="1">
      <c r="A661" s="288"/>
      <c r="B661" s="288"/>
      <c r="C661" s="288"/>
      <c r="D661" s="152"/>
      <c r="E661" s="289"/>
      <c r="F661" s="288"/>
      <c r="G661" s="152"/>
      <c r="H661" s="289"/>
      <c r="I661" s="289"/>
      <c r="J661" s="152"/>
      <c r="K661" s="152"/>
      <c r="L661" s="156"/>
      <c r="M661" s="152"/>
      <c r="N661" s="152"/>
      <c r="O661" s="152"/>
      <c r="P661" s="152"/>
      <c r="Q661" s="152"/>
      <c r="R661" s="152"/>
      <c r="S661" s="152"/>
      <c r="T661" s="152"/>
      <c r="U661" s="152"/>
      <c r="V661" s="152"/>
      <c r="W661" s="281"/>
      <c r="X661" s="281"/>
      <c r="Y661" s="281"/>
      <c r="Z661" s="281"/>
      <c r="AA661" s="281"/>
      <c r="AB661" s="281"/>
      <c r="AC661" s="281"/>
      <c r="AD661" s="170"/>
      <c r="AE661" s="152"/>
      <c r="AF661" s="152"/>
      <c r="AG661" s="152"/>
      <c r="AH661" s="152"/>
      <c r="AI661" s="152"/>
      <c r="AJ661" s="152"/>
      <c r="AK661" s="152"/>
      <c r="AL661" s="152"/>
      <c r="AM661" s="152"/>
      <c r="AN661" s="152"/>
      <c r="AO661" s="152"/>
    </row>
    <row r="662" ht="12.75" customHeight="1">
      <c r="A662" s="288"/>
      <c r="B662" s="288"/>
      <c r="C662" s="288"/>
      <c r="D662" s="152"/>
      <c r="E662" s="289"/>
      <c r="F662" s="288"/>
      <c r="G662" s="152"/>
      <c r="H662" s="289"/>
      <c r="I662" s="289"/>
      <c r="J662" s="152"/>
      <c r="K662" s="152"/>
      <c r="L662" s="156"/>
      <c r="M662" s="152"/>
      <c r="N662" s="152"/>
      <c r="O662" s="152"/>
      <c r="P662" s="152"/>
      <c r="Q662" s="152"/>
      <c r="R662" s="152"/>
      <c r="S662" s="152"/>
      <c r="T662" s="152"/>
      <c r="U662" s="152"/>
      <c r="V662" s="152"/>
      <c r="W662" s="281"/>
      <c r="X662" s="281"/>
      <c r="Y662" s="281"/>
      <c r="Z662" s="281"/>
      <c r="AA662" s="281"/>
      <c r="AB662" s="281"/>
      <c r="AC662" s="281"/>
      <c r="AD662" s="170"/>
      <c r="AE662" s="152"/>
      <c r="AF662" s="152"/>
      <c r="AG662" s="152"/>
      <c r="AH662" s="152"/>
      <c r="AI662" s="152"/>
      <c r="AJ662" s="152"/>
      <c r="AK662" s="152"/>
      <c r="AL662" s="152"/>
      <c r="AM662" s="152"/>
      <c r="AN662" s="152"/>
      <c r="AO662" s="152"/>
    </row>
    <row r="663" ht="12.75" customHeight="1">
      <c r="A663" s="288"/>
      <c r="B663" s="288"/>
      <c r="C663" s="288"/>
      <c r="D663" s="152"/>
      <c r="E663" s="289"/>
      <c r="F663" s="288"/>
      <c r="G663" s="152"/>
      <c r="H663" s="289"/>
      <c r="I663" s="289"/>
      <c r="J663" s="152"/>
      <c r="K663" s="152"/>
      <c r="L663" s="156"/>
      <c r="M663" s="152"/>
      <c r="N663" s="152"/>
      <c r="O663" s="152"/>
      <c r="P663" s="152"/>
      <c r="Q663" s="152"/>
      <c r="R663" s="152"/>
      <c r="S663" s="152"/>
      <c r="T663" s="152"/>
      <c r="U663" s="152"/>
      <c r="V663" s="152"/>
      <c r="W663" s="281"/>
      <c r="X663" s="281"/>
      <c r="Y663" s="281"/>
      <c r="Z663" s="281"/>
      <c r="AA663" s="281"/>
      <c r="AB663" s="281"/>
      <c r="AC663" s="281"/>
      <c r="AD663" s="170"/>
      <c r="AE663" s="152"/>
      <c r="AF663" s="152"/>
      <c r="AG663" s="152"/>
      <c r="AH663" s="152"/>
      <c r="AI663" s="152"/>
      <c r="AJ663" s="152"/>
      <c r="AK663" s="152"/>
      <c r="AL663" s="152"/>
      <c r="AM663" s="152"/>
      <c r="AN663" s="152"/>
      <c r="AO663" s="152"/>
    </row>
    <row r="664" ht="12.75" customHeight="1">
      <c r="A664" s="288"/>
      <c r="B664" s="288"/>
      <c r="C664" s="288"/>
      <c r="D664" s="152"/>
      <c r="E664" s="289"/>
      <c r="F664" s="288"/>
      <c r="G664" s="152"/>
      <c r="H664" s="289"/>
      <c r="I664" s="289"/>
      <c r="J664" s="152"/>
      <c r="K664" s="152"/>
      <c r="L664" s="156"/>
      <c r="M664" s="152"/>
      <c r="N664" s="152"/>
      <c r="O664" s="152"/>
      <c r="P664" s="152"/>
      <c r="Q664" s="152"/>
      <c r="R664" s="152"/>
      <c r="S664" s="152"/>
      <c r="T664" s="152"/>
      <c r="U664" s="152"/>
      <c r="V664" s="152"/>
      <c r="W664" s="281"/>
      <c r="X664" s="281"/>
      <c r="Y664" s="281"/>
      <c r="Z664" s="281"/>
      <c r="AA664" s="281"/>
      <c r="AB664" s="281"/>
      <c r="AC664" s="281"/>
      <c r="AD664" s="170"/>
      <c r="AE664" s="152"/>
      <c r="AF664" s="152"/>
      <c r="AG664" s="152"/>
      <c r="AH664" s="152"/>
      <c r="AI664" s="152"/>
      <c r="AJ664" s="152"/>
      <c r="AK664" s="152"/>
      <c r="AL664" s="152"/>
      <c r="AM664" s="152"/>
      <c r="AN664" s="152"/>
      <c r="AO664" s="152"/>
    </row>
    <row r="665" ht="12.75" customHeight="1">
      <c r="A665" s="288"/>
      <c r="B665" s="288"/>
      <c r="C665" s="288"/>
      <c r="D665" s="152"/>
      <c r="E665" s="289"/>
      <c r="F665" s="288"/>
      <c r="G665" s="152"/>
      <c r="H665" s="289"/>
      <c r="I665" s="289"/>
      <c r="J665" s="152"/>
      <c r="K665" s="152"/>
      <c r="L665" s="156"/>
      <c r="M665" s="152"/>
      <c r="N665" s="152"/>
      <c r="O665" s="152"/>
      <c r="P665" s="152"/>
      <c r="Q665" s="152"/>
      <c r="R665" s="152"/>
      <c r="S665" s="152"/>
      <c r="T665" s="152"/>
      <c r="U665" s="152"/>
      <c r="V665" s="152"/>
      <c r="W665" s="281"/>
      <c r="X665" s="281"/>
      <c r="Y665" s="281"/>
      <c r="Z665" s="281"/>
      <c r="AA665" s="281"/>
      <c r="AB665" s="281"/>
      <c r="AC665" s="281"/>
      <c r="AD665" s="170"/>
      <c r="AE665" s="152"/>
      <c r="AF665" s="152"/>
      <c r="AG665" s="152"/>
      <c r="AH665" s="152"/>
      <c r="AI665" s="152"/>
      <c r="AJ665" s="152"/>
      <c r="AK665" s="152"/>
      <c r="AL665" s="152"/>
      <c r="AM665" s="152"/>
      <c r="AN665" s="152"/>
      <c r="AO665" s="152"/>
    </row>
    <row r="666" ht="12.75" customHeight="1">
      <c r="A666" s="288"/>
      <c r="B666" s="288"/>
      <c r="C666" s="288"/>
      <c r="D666" s="152"/>
      <c r="E666" s="289"/>
      <c r="F666" s="288"/>
      <c r="G666" s="152"/>
      <c r="H666" s="289"/>
      <c r="I666" s="289"/>
      <c r="J666" s="152"/>
      <c r="K666" s="152"/>
      <c r="L666" s="156"/>
      <c r="M666" s="152"/>
      <c r="N666" s="152"/>
      <c r="O666" s="152"/>
      <c r="P666" s="152"/>
      <c r="Q666" s="152"/>
      <c r="R666" s="152"/>
      <c r="S666" s="152"/>
      <c r="T666" s="152"/>
      <c r="U666" s="152"/>
      <c r="V666" s="152"/>
      <c r="W666" s="281"/>
      <c r="X666" s="281"/>
      <c r="Y666" s="281"/>
      <c r="Z666" s="281"/>
      <c r="AA666" s="281"/>
      <c r="AB666" s="281"/>
      <c r="AC666" s="281"/>
      <c r="AD666" s="170"/>
      <c r="AE666" s="152"/>
      <c r="AF666" s="152"/>
      <c r="AG666" s="152"/>
      <c r="AH666" s="152"/>
      <c r="AI666" s="152"/>
      <c r="AJ666" s="152"/>
      <c r="AK666" s="152"/>
      <c r="AL666" s="152"/>
      <c r="AM666" s="152"/>
      <c r="AN666" s="152"/>
      <c r="AO666" s="152"/>
    </row>
    <row r="667" ht="12.75" customHeight="1">
      <c r="A667" s="288"/>
      <c r="B667" s="288"/>
      <c r="C667" s="288"/>
      <c r="D667" s="152"/>
      <c r="E667" s="289"/>
      <c r="F667" s="288"/>
      <c r="G667" s="152"/>
      <c r="H667" s="289"/>
      <c r="I667" s="289"/>
      <c r="J667" s="152"/>
      <c r="K667" s="152"/>
      <c r="L667" s="156"/>
      <c r="M667" s="152"/>
      <c r="N667" s="152"/>
      <c r="O667" s="152"/>
      <c r="P667" s="152"/>
      <c r="Q667" s="152"/>
      <c r="R667" s="152"/>
      <c r="S667" s="152"/>
      <c r="T667" s="152"/>
      <c r="U667" s="152"/>
      <c r="V667" s="152"/>
      <c r="W667" s="281"/>
      <c r="X667" s="281"/>
      <c r="Y667" s="281"/>
      <c r="Z667" s="281"/>
      <c r="AA667" s="281"/>
      <c r="AB667" s="281"/>
      <c r="AC667" s="281"/>
      <c r="AD667" s="170"/>
      <c r="AE667" s="152"/>
      <c r="AF667" s="152"/>
      <c r="AG667" s="152"/>
      <c r="AH667" s="152"/>
      <c r="AI667" s="152"/>
      <c r="AJ667" s="152"/>
      <c r="AK667" s="152"/>
      <c r="AL667" s="152"/>
      <c r="AM667" s="152"/>
      <c r="AN667" s="152"/>
      <c r="AO667" s="152"/>
    </row>
    <row r="668" ht="12.75" customHeight="1">
      <c r="A668" s="288"/>
      <c r="B668" s="288"/>
      <c r="C668" s="288"/>
      <c r="D668" s="152"/>
      <c r="E668" s="289"/>
      <c r="F668" s="288"/>
      <c r="G668" s="152"/>
      <c r="H668" s="289"/>
      <c r="I668" s="289"/>
      <c r="J668" s="152"/>
      <c r="K668" s="152"/>
      <c r="L668" s="156"/>
      <c r="M668" s="152"/>
      <c r="N668" s="152"/>
      <c r="O668" s="152"/>
      <c r="P668" s="152"/>
      <c r="Q668" s="152"/>
      <c r="R668" s="152"/>
      <c r="S668" s="152"/>
      <c r="T668" s="152"/>
      <c r="U668" s="152"/>
      <c r="V668" s="152"/>
      <c r="W668" s="281"/>
      <c r="X668" s="281"/>
      <c r="Y668" s="281"/>
      <c r="Z668" s="281"/>
      <c r="AA668" s="281"/>
      <c r="AB668" s="281"/>
      <c r="AC668" s="281"/>
      <c r="AD668" s="170"/>
      <c r="AE668" s="152"/>
      <c r="AF668" s="152"/>
      <c r="AG668" s="152"/>
      <c r="AH668" s="152"/>
      <c r="AI668" s="152"/>
      <c r="AJ668" s="152"/>
      <c r="AK668" s="152"/>
      <c r="AL668" s="152"/>
      <c r="AM668" s="152"/>
      <c r="AN668" s="152"/>
      <c r="AO668" s="152"/>
    </row>
    <row r="669" ht="12.75" customHeight="1">
      <c r="A669" s="288"/>
      <c r="B669" s="288"/>
      <c r="C669" s="288"/>
      <c r="D669" s="152"/>
      <c r="E669" s="289"/>
      <c r="F669" s="288"/>
      <c r="G669" s="152"/>
      <c r="H669" s="289"/>
      <c r="I669" s="289"/>
      <c r="J669" s="152"/>
      <c r="K669" s="152"/>
      <c r="L669" s="156"/>
      <c r="M669" s="152"/>
      <c r="N669" s="152"/>
      <c r="O669" s="152"/>
      <c r="P669" s="152"/>
      <c r="Q669" s="152"/>
      <c r="R669" s="152"/>
      <c r="S669" s="152"/>
      <c r="T669" s="152"/>
      <c r="U669" s="152"/>
      <c r="V669" s="152"/>
      <c r="W669" s="281"/>
      <c r="X669" s="281"/>
      <c r="Y669" s="281"/>
      <c r="Z669" s="281"/>
      <c r="AA669" s="281"/>
      <c r="AB669" s="281"/>
      <c r="AC669" s="281"/>
      <c r="AD669" s="170"/>
      <c r="AE669" s="152"/>
      <c r="AF669" s="152"/>
      <c r="AG669" s="152"/>
      <c r="AH669" s="152"/>
      <c r="AI669" s="152"/>
      <c r="AJ669" s="152"/>
      <c r="AK669" s="152"/>
      <c r="AL669" s="152"/>
      <c r="AM669" s="152"/>
      <c r="AN669" s="152"/>
      <c r="AO669" s="152"/>
    </row>
    <row r="670" ht="12.75" customHeight="1">
      <c r="A670" s="288"/>
      <c r="B670" s="288"/>
      <c r="C670" s="288"/>
      <c r="D670" s="152"/>
      <c r="E670" s="289"/>
      <c r="F670" s="288"/>
      <c r="G670" s="152"/>
      <c r="H670" s="289"/>
      <c r="I670" s="289"/>
      <c r="J670" s="152"/>
      <c r="K670" s="152"/>
      <c r="L670" s="156"/>
      <c r="M670" s="152"/>
      <c r="N670" s="152"/>
      <c r="O670" s="152"/>
      <c r="P670" s="152"/>
      <c r="Q670" s="152"/>
      <c r="R670" s="152"/>
      <c r="S670" s="152"/>
      <c r="T670" s="152"/>
      <c r="U670" s="152"/>
      <c r="V670" s="152"/>
      <c r="W670" s="281"/>
      <c r="X670" s="281"/>
      <c r="Y670" s="281"/>
      <c r="Z670" s="281"/>
      <c r="AA670" s="281"/>
      <c r="AB670" s="281"/>
      <c r="AC670" s="281"/>
      <c r="AD670" s="170"/>
      <c r="AE670" s="152"/>
      <c r="AF670" s="152"/>
      <c r="AG670" s="152"/>
      <c r="AH670" s="152"/>
      <c r="AI670" s="152"/>
      <c r="AJ670" s="152"/>
      <c r="AK670" s="152"/>
      <c r="AL670" s="152"/>
      <c r="AM670" s="152"/>
      <c r="AN670" s="152"/>
      <c r="AO670" s="152"/>
    </row>
    <row r="671" ht="12.75" customHeight="1">
      <c r="A671" s="288"/>
      <c r="B671" s="288"/>
      <c r="C671" s="288"/>
      <c r="D671" s="152"/>
      <c r="E671" s="289"/>
      <c r="F671" s="288"/>
      <c r="G671" s="152"/>
      <c r="H671" s="289"/>
      <c r="I671" s="289"/>
      <c r="J671" s="152"/>
      <c r="K671" s="152"/>
      <c r="L671" s="156"/>
      <c r="M671" s="152"/>
      <c r="N671" s="152"/>
      <c r="O671" s="152"/>
      <c r="P671" s="152"/>
      <c r="Q671" s="152"/>
      <c r="R671" s="152"/>
      <c r="S671" s="152"/>
      <c r="T671" s="152"/>
      <c r="U671" s="152"/>
      <c r="V671" s="152"/>
      <c r="W671" s="281"/>
      <c r="X671" s="281"/>
      <c r="Y671" s="281"/>
      <c r="Z671" s="281"/>
      <c r="AA671" s="281"/>
      <c r="AB671" s="281"/>
      <c r="AC671" s="281"/>
      <c r="AD671" s="170"/>
      <c r="AE671" s="152"/>
      <c r="AF671" s="152"/>
      <c r="AG671" s="152"/>
      <c r="AH671" s="152"/>
      <c r="AI671" s="152"/>
      <c r="AJ671" s="152"/>
      <c r="AK671" s="152"/>
      <c r="AL671" s="152"/>
      <c r="AM671" s="152"/>
      <c r="AN671" s="152"/>
      <c r="AO671" s="152"/>
    </row>
    <row r="672" ht="12.75" customHeight="1">
      <c r="A672" s="288"/>
      <c r="B672" s="288"/>
      <c r="C672" s="288"/>
      <c r="D672" s="152"/>
      <c r="E672" s="289"/>
      <c r="F672" s="288"/>
      <c r="G672" s="152"/>
      <c r="H672" s="289"/>
      <c r="I672" s="289"/>
      <c r="J672" s="152"/>
      <c r="K672" s="152"/>
      <c r="L672" s="156"/>
      <c r="M672" s="152"/>
      <c r="N672" s="152"/>
      <c r="O672" s="152"/>
      <c r="P672" s="152"/>
      <c r="Q672" s="152"/>
      <c r="R672" s="152"/>
      <c r="S672" s="152"/>
      <c r="T672" s="152"/>
      <c r="U672" s="152"/>
      <c r="V672" s="152"/>
      <c r="W672" s="281"/>
      <c r="X672" s="281"/>
      <c r="Y672" s="281"/>
      <c r="Z672" s="281"/>
      <c r="AA672" s="281"/>
      <c r="AB672" s="281"/>
      <c r="AC672" s="281"/>
      <c r="AD672" s="170"/>
      <c r="AE672" s="152"/>
      <c r="AF672" s="152"/>
      <c r="AG672" s="152"/>
      <c r="AH672" s="152"/>
      <c r="AI672" s="152"/>
      <c r="AJ672" s="152"/>
      <c r="AK672" s="152"/>
      <c r="AL672" s="152"/>
      <c r="AM672" s="152"/>
      <c r="AN672" s="152"/>
      <c r="AO672" s="152"/>
    </row>
    <row r="673" ht="12.75" customHeight="1">
      <c r="A673" s="288"/>
      <c r="B673" s="288"/>
      <c r="C673" s="288"/>
      <c r="D673" s="152"/>
      <c r="E673" s="289"/>
      <c r="F673" s="288"/>
      <c r="G673" s="152"/>
      <c r="H673" s="289"/>
      <c r="I673" s="289"/>
      <c r="J673" s="152"/>
      <c r="K673" s="152"/>
      <c r="L673" s="156"/>
      <c r="M673" s="152"/>
      <c r="N673" s="152"/>
      <c r="O673" s="152"/>
      <c r="P673" s="152"/>
      <c r="Q673" s="152"/>
      <c r="R673" s="152"/>
      <c r="S673" s="152"/>
      <c r="T673" s="152"/>
      <c r="U673" s="152"/>
      <c r="V673" s="152"/>
      <c r="W673" s="281"/>
      <c r="X673" s="281"/>
      <c r="Y673" s="281"/>
      <c r="Z673" s="281"/>
      <c r="AA673" s="281"/>
      <c r="AB673" s="281"/>
      <c r="AC673" s="281"/>
      <c r="AD673" s="170"/>
      <c r="AE673" s="152"/>
      <c r="AF673" s="152"/>
      <c r="AG673" s="152"/>
      <c r="AH673" s="152"/>
      <c r="AI673" s="152"/>
      <c r="AJ673" s="152"/>
      <c r="AK673" s="152"/>
      <c r="AL673" s="152"/>
      <c r="AM673" s="152"/>
      <c r="AN673" s="152"/>
      <c r="AO673" s="152"/>
    </row>
    <row r="674" ht="12.75" customHeight="1">
      <c r="A674" s="288"/>
      <c r="B674" s="288"/>
      <c r="C674" s="288"/>
      <c r="D674" s="152"/>
      <c r="E674" s="289"/>
      <c r="F674" s="288"/>
      <c r="G674" s="152"/>
      <c r="H674" s="289"/>
      <c r="I674" s="289"/>
      <c r="J674" s="152"/>
      <c r="K674" s="152"/>
      <c r="L674" s="156"/>
      <c r="M674" s="152"/>
      <c r="N674" s="152"/>
      <c r="O674" s="152"/>
      <c r="P674" s="152"/>
      <c r="Q674" s="152"/>
      <c r="R674" s="152"/>
      <c r="S674" s="152"/>
      <c r="T674" s="152"/>
      <c r="U674" s="152"/>
      <c r="V674" s="152"/>
      <c r="W674" s="281"/>
      <c r="X674" s="281"/>
      <c r="Y674" s="281"/>
      <c r="Z674" s="281"/>
      <c r="AA674" s="281"/>
      <c r="AB674" s="281"/>
      <c r="AC674" s="281"/>
      <c r="AD674" s="170"/>
      <c r="AE674" s="152"/>
      <c r="AF674" s="152"/>
      <c r="AG674" s="152"/>
      <c r="AH674" s="152"/>
      <c r="AI674" s="152"/>
      <c r="AJ674" s="152"/>
      <c r="AK674" s="152"/>
      <c r="AL674" s="152"/>
      <c r="AM674" s="152"/>
      <c r="AN674" s="152"/>
      <c r="AO674" s="152"/>
    </row>
    <row r="675" ht="12.75" customHeight="1">
      <c r="A675" s="288"/>
      <c r="B675" s="288"/>
      <c r="C675" s="288"/>
      <c r="D675" s="152"/>
      <c r="E675" s="289"/>
      <c r="F675" s="288"/>
      <c r="G675" s="152"/>
      <c r="H675" s="289"/>
      <c r="I675" s="289"/>
      <c r="J675" s="152"/>
      <c r="K675" s="152"/>
      <c r="L675" s="156"/>
      <c r="M675" s="152"/>
      <c r="N675" s="152"/>
      <c r="O675" s="152"/>
      <c r="P675" s="152"/>
      <c r="Q675" s="152"/>
      <c r="R675" s="152"/>
      <c r="S675" s="152"/>
      <c r="T675" s="152"/>
      <c r="U675" s="152"/>
      <c r="V675" s="152"/>
      <c r="W675" s="281"/>
      <c r="X675" s="281"/>
      <c r="Y675" s="281"/>
      <c r="Z675" s="281"/>
      <c r="AA675" s="281"/>
      <c r="AB675" s="281"/>
      <c r="AC675" s="281"/>
      <c r="AD675" s="170"/>
      <c r="AE675" s="152"/>
      <c r="AF675" s="152"/>
      <c r="AG675" s="152"/>
      <c r="AH675" s="152"/>
      <c r="AI675" s="152"/>
      <c r="AJ675" s="152"/>
      <c r="AK675" s="152"/>
      <c r="AL675" s="152"/>
      <c r="AM675" s="152"/>
      <c r="AN675" s="152"/>
      <c r="AO675" s="152"/>
    </row>
    <row r="676" ht="12.75" customHeight="1">
      <c r="A676" s="288"/>
      <c r="B676" s="288"/>
      <c r="C676" s="288"/>
      <c r="D676" s="152"/>
      <c r="E676" s="289"/>
      <c r="F676" s="288"/>
      <c r="G676" s="152"/>
      <c r="H676" s="289"/>
      <c r="I676" s="289"/>
      <c r="J676" s="152"/>
      <c r="K676" s="152"/>
      <c r="L676" s="156"/>
      <c r="M676" s="152"/>
      <c r="N676" s="152"/>
      <c r="O676" s="152"/>
      <c r="P676" s="152"/>
      <c r="Q676" s="152"/>
      <c r="R676" s="152"/>
      <c r="S676" s="152"/>
      <c r="T676" s="152"/>
      <c r="U676" s="152"/>
      <c r="V676" s="152"/>
      <c r="W676" s="281"/>
      <c r="X676" s="281"/>
      <c r="Y676" s="281"/>
      <c r="Z676" s="281"/>
      <c r="AA676" s="281"/>
      <c r="AB676" s="281"/>
      <c r="AC676" s="281"/>
      <c r="AD676" s="170"/>
      <c r="AE676" s="152"/>
      <c r="AF676" s="152"/>
      <c r="AG676" s="152"/>
      <c r="AH676" s="152"/>
      <c r="AI676" s="152"/>
      <c r="AJ676" s="152"/>
      <c r="AK676" s="152"/>
      <c r="AL676" s="152"/>
      <c r="AM676" s="152"/>
      <c r="AN676" s="152"/>
      <c r="AO676" s="152"/>
    </row>
    <row r="677" ht="12.75" customHeight="1">
      <c r="A677" s="288"/>
      <c r="B677" s="288"/>
      <c r="C677" s="288"/>
      <c r="D677" s="152"/>
      <c r="E677" s="289"/>
      <c r="F677" s="288"/>
      <c r="G677" s="152"/>
      <c r="H677" s="289"/>
      <c r="I677" s="289"/>
      <c r="J677" s="152"/>
      <c r="K677" s="152"/>
      <c r="L677" s="156"/>
      <c r="M677" s="152"/>
      <c r="N677" s="152"/>
      <c r="O677" s="152"/>
      <c r="P677" s="152"/>
      <c r="Q677" s="152"/>
      <c r="R677" s="152"/>
      <c r="S677" s="152"/>
      <c r="T677" s="152"/>
      <c r="U677" s="152"/>
      <c r="V677" s="152"/>
      <c r="W677" s="281"/>
      <c r="X677" s="281"/>
      <c r="Y677" s="281"/>
      <c r="Z677" s="281"/>
      <c r="AA677" s="281"/>
      <c r="AB677" s="281"/>
      <c r="AC677" s="281"/>
      <c r="AD677" s="170"/>
      <c r="AE677" s="152"/>
      <c r="AF677" s="152"/>
      <c r="AG677" s="152"/>
      <c r="AH677" s="152"/>
      <c r="AI677" s="152"/>
      <c r="AJ677" s="152"/>
      <c r="AK677" s="152"/>
      <c r="AL677" s="152"/>
      <c r="AM677" s="152"/>
      <c r="AN677" s="152"/>
      <c r="AO677" s="152"/>
    </row>
    <row r="678" ht="12.75" customHeight="1">
      <c r="A678" s="288"/>
      <c r="B678" s="288"/>
      <c r="C678" s="288"/>
      <c r="D678" s="152"/>
      <c r="E678" s="289"/>
      <c r="F678" s="288"/>
      <c r="G678" s="152"/>
      <c r="H678" s="289"/>
      <c r="I678" s="289"/>
      <c r="J678" s="152"/>
      <c r="K678" s="152"/>
      <c r="L678" s="156"/>
      <c r="M678" s="152"/>
      <c r="N678" s="152"/>
      <c r="O678" s="152"/>
      <c r="P678" s="152"/>
      <c r="Q678" s="152"/>
      <c r="R678" s="152"/>
      <c r="S678" s="152"/>
      <c r="T678" s="152"/>
      <c r="U678" s="152"/>
      <c r="V678" s="152"/>
      <c r="W678" s="281"/>
      <c r="X678" s="281"/>
      <c r="Y678" s="281"/>
      <c r="Z678" s="281"/>
      <c r="AA678" s="281"/>
      <c r="AB678" s="281"/>
      <c r="AC678" s="281"/>
      <c r="AD678" s="170"/>
      <c r="AE678" s="152"/>
      <c r="AF678" s="152"/>
      <c r="AG678" s="152"/>
      <c r="AH678" s="152"/>
      <c r="AI678" s="152"/>
      <c r="AJ678" s="152"/>
      <c r="AK678" s="152"/>
      <c r="AL678" s="152"/>
      <c r="AM678" s="152"/>
      <c r="AN678" s="152"/>
      <c r="AO678" s="152"/>
    </row>
    <row r="679" ht="12.75" customHeight="1">
      <c r="A679" s="288"/>
      <c r="B679" s="288"/>
      <c r="C679" s="288"/>
      <c r="D679" s="152"/>
      <c r="E679" s="289"/>
      <c r="F679" s="288"/>
      <c r="G679" s="152"/>
      <c r="H679" s="289"/>
      <c r="I679" s="289"/>
      <c r="J679" s="152"/>
      <c r="K679" s="152"/>
      <c r="L679" s="156"/>
      <c r="M679" s="152"/>
      <c r="N679" s="152"/>
      <c r="O679" s="152"/>
      <c r="P679" s="152"/>
      <c r="Q679" s="152"/>
      <c r="R679" s="152"/>
      <c r="S679" s="152"/>
      <c r="T679" s="152"/>
      <c r="U679" s="152"/>
      <c r="V679" s="152"/>
      <c r="W679" s="281"/>
      <c r="X679" s="281"/>
      <c r="Y679" s="281"/>
      <c r="Z679" s="281"/>
      <c r="AA679" s="281"/>
      <c r="AB679" s="281"/>
      <c r="AC679" s="281"/>
      <c r="AD679" s="170"/>
      <c r="AE679" s="152"/>
      <c r="AF679" s="152"/>
      <c r="AG679" s="152"/>
      <c r="AH679" s="152"/>
      <c r="AI679" s="152"/>
      <c r="AJ679" s="152"/>
      <c r="AK679" s="152"/>
      <c r="AL679" s="152"/>
      <c r="AM679" s="152"/>
      <c r="AN679" s="152"/>
      <c r="AO679" s="152"/>
    </row>
    <row r="680" ht="12.75" customHeight="1">
      <c r="A680" s="288"/>
      <c r="B680" s="288"/>
      <c r="C680" s="288"/>
      <c r="D680" s="152"/>
      <c r="E680" s="289"/>
      <c r="F680" s="288"/>
      <c r="G680" s="152"/>
      <c r="H680" s="289"/>
      <c r="I680" s="289"/>
      <c r="J680" s="152"/>
      <c r="K680" s="152"/>
      <c r="L680" s="156"/>
      <c r="M680" s="152"/>
      <c r="N680" s="152"/>
      <c r="O680" s="152"/>
      <c r="P680" s="152"/>
      <c r="Q680" s="152"/>
      <c r="R680" s="152"/>
      <c r="S680" s="152"/>
      <c r="T680" s="152"/>
      <c r="U680" s="152"/>
      <c r="V680" s="152"/>
      <c r="W680" s="281"/>
      <c r="X680" s="281"/>
      <c r="Y680" s="281"/>
      <c r="Z680" s="281"/>
      <c r="AA680" s="281"/>
      <c r="AB680" s="281"/>
      <c r="AC680" s="281"/>
      <c r="AD680" s="170"/>
      <c r="AE680" s="152"/>
      <c r="AF680" s="152"/>
      <c r="AG680" s="152"/>
      <c r="AH680" s="152"/>
      <c r="AI680" s="152"/>
      <c r="AJ680" s="152"/>
      <c r="AK680" s="152"/>
      <c r="AL680" s="152"/>
      <c r="AM680" s="152"/>
      <c r="AN680" s="152"/>
      <c r="AO680" s="152"/>
    </row>
    <row r="681" ht="12.75" customHeight="1">
      <c r="A681" s="288"/>
      <c r="B681" s="288"/>
      <c r="C681" s="288"/>
      <c r="D681" s="152"/>
      <c r="E681" s="289"/>
      <c r="F681" s="288"/>
      <c r="G681" s="152"/>
      <c r="H681" s="289"/>
      <c r="I681" s="289"/>
      <c r="J681" s="152"/>
      <c r="K681" s="152"/>
      <c r="L681" s="156"/>
      <c r="M681" s="152"/>
      <c r="N681" s="152"/>
      <c r="O681" s="152"/>
      <c r="P681" s="152"/>
      <c r="Q681" s="152"/>
      <c r="R681" s="152"/>
      <c r="S681" s="152"/>
      <c r="T681" s="152"/>
      <c r="U681" s="152"/>
      <c r="V681" s="152"/>
      <c r="W681" s="281"/>
      <c r="X681" s="281"/>
      <c r="Y681" s="281"/>
      <c r="Z681" s="281"/>
      <c r="AA681" s="281"/>
      <c r="AB681" s="281"/>
      <c r="AC681" s="281"/>
      <c r="AD681" s="170"/>
      <c r="AE681" s="152"/>
      <c r="AF681" s="152"/>
      <c r="AG681" s="152"/>
      <c r="AH681" s="152"/>
      <c r="AI681" s="152"/>
      <c r="AJ681" s="152"/>
      <c r="AK681" s="152"/>
      <c r="AL681" s="152"/>
      <c r="AM681" s="152"/>
      <c r="AN681" s="152"/>
      <c r="AO681" s="152"/>
    </row>
    <row r="682" ht="12.75" customHeight="1">
      <c r="A682" s="288"/>
      <c r="B682" s="288"/>
      <c r="C682" s="288"/>
      <c r="D682" s="152"/>
      <c r="E682" s="289"/>
      <c r="F682" s="288"/>
      <c r="G682" s="152"/>
      <c r="H682" s="289"/>
      <c r="I682" s="289"/>
      <c r="J682" s="152"/>
      <c r="K682" s="152"/>
      <c r="L682" s="156"/>
      <c r="M682" s="152"/>
      <c r="N682" s="152"/>
      <c r="O682" s="152"/>
      <c r="P682" s="152"/>
      <c r="Q682" s="152"/>
      <c r="R682" s="152"/>
      <c r="S682" s="152"/>
      <c r="T682" s="152"/>
      <c r="U682" s="152"/>
      <c r="V682" s="152"/>
      <c r="W682" s="281"/>
      <c r="X682" s="281"/>
      <c r="Y682" s="281"/>
      <c r="Z682" s="281"/>
      <c r="AA682" s="281"/>
      <c r="AB682" s="281"/>
      <c r="AC682" s="281"/>
      <c r="AD682" s="170"/>
      <c r="AE682" s="152"/>
      <c r="AF682" s="152"/>
      <c r="AG682" s="152"/>
      <c r="AH682" s="152"/>
      <c r="AI682" s="152"/>
      <c r="AJ682" s="152"/>
      <c r="AK682" s="152"/>
      <c r="AL682" s="152"/>
      <c r="AM682" s="152"/>
      <c r="AN682" s="152"/>
      <c r="AO682" s="152"/>
    </row>
    <row r="683" ht="12.75" customHeight="1">
      <c r="A683" s="288"/>
      <c r="B683" s="288"/>
      <c r="C683" s="288"/>
      <c r="D683" s="152"/>
      <c r="E683" s="289"/>
      <c r="F683" s="288"/>
      <c r="G683" s="152"/>
      <c r="H683" s="289"/>
      <c r="I683" s="289"/>
      <c r="J683" s="152"/>
      <c r="K683" s="152"/>
      <c r="L683" s="156"/>
      <c r="M683" s="152"/>
      <c r="N683" s="152"/>
      <c r="O683" s="152"/>
      <c r="P683" s="152"/>
      <c r="Q683" s="152"/>
      <c r="R683" s="152"/>
      <c r="S683" s="152"/>
      <c r="T683" s="152"/>
      <c r="U683" s="152"/>
      <c r="V683" s="152"/>
      <c r="W683" s="281"/>
      <c r="X683" s="281"/>
      <c r="Y683" s="281"/>
      <c r="Z683" s="281"/>
      <c r="AA683" s="281"/>
      <c r="AB683" s="281"/>
      <c r="AC683" s="281"/>
      <c r="AD683" s="170"/>
      <c r="AE683" s="152"/>
      <c r="AF683" s="152"/>
      <c r="AG683" s="152"/>
      <c r="AH683" s="152"/>
      <c r="AI683" s="152"/>
      <c r="AJ683" s="152"/>
      <c r="AK683" s="152"/>
      <c r="AL683" s="152"/>
      <c r="AM683" s="152"/>
      <c r="AN683" s="152"/>
      <c r="AO683" s="152"/>
    </row>
    <row r="684" ht="12.75" customHeight="1">
      <c r="A684" s="288"/>
      <c r="B684" s="288"/>
      <c r="C684" s="288"/>
      <c r="D684" s="152"/>
      <c r="E684" s="289"/>
      <c r="F684" s="288"/>
      <c r="G684" s="152"/>
      <c r="H684" s="289"/>
      <c r="I684" s="289"/>
      <c r="J684" s="152"/>
      <c r="K684" s="152"/>
      <c r="L684" s="156"/>
      <c r="M684" s="152"/>
      <c r="N684" s="152"/>
      <c r="O684" s="152"/>
      <c r="P684" s="152"/>
      <c r="Q684" s="152"/>
      <c r="R684" s="152"/>
      <c r="S684" s="152"/>
      <c r="T684" s="152"/>
      <c r="U684" s="152"/>
      <c r="V684" s="152"/>
      <c r="W684" s="281"/>
      <c r="X684" s="281"/>
      <c r="Y684" s="281"/>
      <c r="Z684" s="281"/>
      <c r="AA684" s="281"/>
      <c r="AB684" s="281"/>
      <c r="AC684" s="281"/>
      <c r="AD684" s="170"/>
      <c r="AE684" s="152"/>
      <c r="AF684" s="152"/>
      <c r="AG684" s="152"/>
      <c r="AH684" s="152"/>
      <c r="AI684" s="152"/>
      <c r="AJ684" s="152"/>
      <c r="AK684" s="152"/>
      <c r="AL684" s="152"/>
      <c r="AM684" s="152"/>
      <c r="AN684" s="152"/>
      <c r="AO684" s="152"/>
    </row>
    <row r="685" ht="12.75" customHeight="1">
      <c r="A685" s="288"/>
      <c r="B685" s="288"/>
      <c r="C685" s="288"/>
      <c r="D685" s="152"/>
      <c r="E685" s="289"/>
      <c r="F685" s="288"/>
      <c r="G685" s="152"/>
      <c r="H685" s="289"/>
      <c r="I685" s="289"/>
      <c r="J685" s="152"/>
      <c r="K685" s="152"/>
      <c r="L685" s="156"/>
      <c r="M685" s="152"/>
      <c r="N685" s="152"/>
      <c r="O685" s="152"/>
      <c r="P685" s="152"/>
      <c r="Q685" s="152"/>
      <c r="R685" s="152"/>
      <c r="S685" s="152"/>
      <c r="T685" s="152"/>
      <c r="U685" s="152"/>
      <c r="V685" s="152"/>
      <c r="W685" s="281"/>
      <c r="X685" s="281"/>
      <c r="Y685" s="281"/>
      <c r="Z685" s="281"/>
      <c r="AA685" s="281"/>
      <c r="AB685" s="281"/>
      <c r="AC685" s="281"/>
      <c r="AD685" s="170"/>
      <c r="AE685" s="152"/>
      <c r="AF685" s="152"/>
      <c r="AG685" s="152"/>
      <c r="AH685" s="152"/>
      <c r="AI685" s="152"/>
      <c r="AJ685" s="152"/>
      <c r="AK685" s="152"/>
      <c r="AL685" s="152"/>
      <c r="AM685" s="152"/>
      <c r="AN685" s="152"/>
      <c r="AO685" s="152"/>
    </row>
    <row r="686" ht="12.75" customHeight="1">
      <c r="A686" s="288"/>
      <c r="B686" s="288"/>
      <c r="C686" s="288"/>
      <c r="D686" s="152"/>
      <c r="E686" s="289"/>
      <c r="F686" s="288"/>
      <c r="G686" s="152"/>
      <c r="H686" s="289"/>
      <c r="I686" s="289"/>
      <c r="J686" s="152"/>
      <c r="K686" s="152"/>
      <c r="L686" s="156"/>
      <c r="M686" s="152"/>
      <c r="N686" s="152"/>
      <c r="O686" s="152"/>
      <c r="P686" s="152"/>
      <c r="Q686" s="152"/>
      <c r="R686" s="152"/>
      <c r="S686" s="152"/>
      <c r="T686" s="152"/>
      <c r="U686" s="152"/>
      <c r="V686" s="152"/>
      <c r="W686" s="281"/>
      <c r="X686" s="281"/>
      <c r="Y686" s="281"/>
      <c r="Z686" s="281"/>
      <c r="AA686" s="281"/>
      <c r="AB686" s="281"/>
      <c r="AC686" s="281"/>
      <c r="AD686" s="170"/>
      <c r="AE686" s="152"/>
      <c r="AF686" s="152"/>
      <c r="AG686" s="152"/>
      <c r="AH686" s="152"/>
      <c r="AI686" s="152"/>
      <c r="AJ686" s="152"/>
      <c r="AK686" s="152"/>
      <c r="AL686" s="152"/>
      <c r="AM686" s="152"/>
      <c r="AN686" s="152"/>
      <c r="AO686" s="152"/>
    </row>
    <row r="687" ht="12.75" customHeight="1">
      <c r="A687" s="288"/>
      <c r="B687" s="288"/>
      <c r="C687" s="288"/>
      <c r="D687" s="152"/>
      <c r="E687" s="289"/>
      <c r="F687" s="288"/>
      <c r="G687" s="152"/>
      <c r="H687" s="289"/>
      <c r="I687" s="289"/>
      <c r="J687" s="152"/>
      <c r="K687" s="152"/>
      <c r="L687" s="156"/>
      <c r="M687" s="152"/>
      <c r="N687" s="152"/>
      <c r="O687" s="152"/>
      <c r="P687" s="152"/>
      <c r="Q687" s="152"/>
      <c r="R687" s="152"/>
      <c r="S687" s="152"/>
      <c r="T687" s="152"/>
      <c r="U687" s="152"/>
      <c r="V687" s="152"/>
      <c r="W687" s="281"/>
      <c r="X687" s="281"/>
      <c r="Y687" s="281"/>
      <c r="Z687" s="281"/>
      <c r="AA687" s="281"/>
      <c r="AB687" s="281"/>
      <c r="AC687" s="281"/>
      <c r="AD687" s="170"/>
      <c r="AE687" s="152"/>
      <c r="AF687" s="152"/>
      <c r="AG687" s="152"/>
      <c r="AH687" s="152"/>
      <c r="AI687" s="152"/>
      <c r="AJ687" s="152"/>
      <c r="AK687" s="152"/>
      <c r="AL687" s="152"/>
      <c r="AM687" s="152"/>
      <c r="AN687" s="152"/>
      <c r="AO687" s="152"/>
    </row>
    <row r="688" ht="12.75" customHeight="1">
      <c r="A688" s="288"/>
      <c r="B688" s="288"/>
      <c r="C688" s="288"/>
      <c r="D688" s="152"/>
      <c r="E688" s="289"/>
      <c r="F688" s="288"/>
      <c r="G688" s="152"/>
      <c r="H688" s="289"/>
      <c r="I688" s="289"/>
      <c r="J688" s="152"/>
      <c r="K688" s="152"/>
      <c r="L688" s="156"/>
      <c r="M688" s="152"/>
      <c r="N688" s="152"/>
      <c r="O688" s="152"/>
      <c r="P688" s="152"/>
      <c r="Q688" s="152"/>
      <c r="R688" s="152"/>
      <c r="S688" s="152"/>
      <c r="T688" s="152"/>
      <c r="U688" s="152"/>
      <c r="V688" s="152"/>
      <c r="W688" s="281"/>
      <c r="X688" s="281"/>
      <c r="Y688" s="281"/>
      <c r="Z688" s="281"/>
      <c r="AA688" s="281"/>
      <c r="AB688" s="281"/>
      <c r="AC688" s="281"/>
      <c r="AD688" s="170"/>
      <c r="AE688" s="152"/>
      <c r="AF688" s="152"/>
      <c r="AG688" s="152"/>
      <c r="AH688" s="152"/>
      <c r="AI688" s="152"/>
      <c r="AJ688" s="152"/>
      <c r="AK688" s="152"/>
      <c r="AL688" s="152"/>
      <c r="AM688" s="152"/>
      <c r="AN688" s="152"/>
      <c r="AO688" s="152"/>
    </row>
    <row r="689" ht="12.75" customHeight="1">
      <c r="A689" s="288"/>
      <c r="B689" s="288"/>
      <c r="C689" s="288"/>
      <c r="D689" s="152"/>
      <c r="E689" s="289"/>
      <c r="F689" s="288"/>
      <c r="G689" s="152"/>
      <c r="H689" s="289"/>
      <c r="I689" s="289"/>
      <c r="J689" s="152"/>
      <c r="K689" s="152"/>
      <c r="L689" s="156"/>
      <c r="M689" s="152"/>
      <c r="N689" s="152"/>
      <c r="O689" s="152"/>
      <c r="P689" s="152"/>
      <c r="Q689" s="152"/>
      <c r="R689" s="152"/>
      <c r="S689" s="152"/>
      <c r="T689" s="152"/>
      <c r="U689" s="152"/>
      <c r="V689" s="152"/>
      <c r="W689" s="281"/>
      <c r="X689" s="281"/>
      <c r="Y689" s="281"/>
      <c r="Z689" s="281"/>
      <c r="AA689" s="281"/>
      <c r="AB689" s="281"/>
      <c r="AC689" s="281"/>
      <c r="AD689" s="170"/>
      <c r="AE689" s="152"/>
      <c r="AF689" s="152"/>
      <c r="AG689" s="152"/>
      <c r="AH689" s="152"/>
      <c r="AI689" s="152"/>
      <c r="AJ689" s="152"/>
      <c r="AK689" s="152"/>
      <c r="AL689" s="152"/>
      <c r="AM689" s="152"/>
      <c r="AN689" s="152"/>
      <c r="AO689" s="152"/>
    </row>
    <row r="690" ht="12.75" customHeight="1">
      <c r="A690" s="288"/>
      <c r="B690" s="288"/>
      <c r="C690" s="288"/>
      <c r="D690" s="152"/>
      <c r="E690" s="289"/>
      <c r="F690" s="288"/>
      <c r="G690" s="152"/>
      <c r="H690" s="289"/>
      <c r="I690" s="289"/>
      <c r="J690" s="152"/>
      <c r="K690" s="152"/>
      <c r="L690" s="156"/>
      <c r="M690" s="152"/>
      <c r="N690" s="152"/>
      <c r="O690" s="152"/>
      <c r="P690" s="152"/>
      <c r="Q690" s="152"/>
      <c r="R690" s="152"/>
      <c r="S690" s="152"/>
      <c r="T690" s="152"/>
      <c r="U690" s="152"/>
      <c r="V690" s="152"/>
      <c r="W690" s="281"/>
      <c r="X690" s="281"/>
      <c r="Y690" s="281"/>
      <c r="Z690" s="281"/>
      <c r="AA690" s="281"/>
      <c r="AB690" s="281"/>
      <c r="AC690" s="281"/>
      <c r="AD690" s="170"/>
      <c r="AE690" s="152"/>
      <c r="AF690" s="152"/>
      <c r="AG690" s="152"/>
      <c r="AH690" s="152"/>
      <c r="AI690" s="152"/>
      <c r="AJ690" s="152"/>
      <c r="AK690" s="152"/>
      <c r="AL690" s="152"/>
      <c r="AM690" s="152"/>
      <c r="AN690" s="152"/>
      <c r="AO690" s="152"/>
    </row>
    <row r="691" ht="12.75" customHeight="1">
      <c r="A691" s="288"/>
      <c r="B691" s="288"/>
      <c r="C691" s="288"/>
      <c r="D691" s="152"/>
      <c r="E691" s="289"/>
      <c r="F691" s="288"/>
      <c r="G691" s="152"/>
      <c r="H691" s="289"/>
      <c r="I691" s="289"/>
      <c r="J691" s="152"/>
      <c r="K691" s="152"/>
      <c r="L691" s="156"/>
      <c r="M691" s="152"/>
      <c r="N691" s="152"/>
      <c r="O691" s="152"/>
      <c r="P691" s="152"/>
      <c r="Q691" s="152"/>
      <c r="R691" s="152"/>
      <c r="S691" s="152"/>
      <c r="T691" s="152"/>
      <c r="U691" s="152"/>
      <c r="V691" s="152"/>
      <c r="W691" s="281"/>
      <c r="X691" s="281"/>
      <c r="Y691" s="281"/>
      <c r="Z691" s="281"/>
      <c r="AA691" s="281"/>
      <c r="AB691" s="281"/>
      <c r="AC691" s="281"/>
      <c r="AD691" s="170"/>
      <c r="AE691" s="152"/>
      <c r="AF691" s="152"/>
      <c r="AG691" s="152"/>
      <c r="AH691" s="152"/>
      <c r="AI691" s="152"/>
      <c r="AJ691" s="152"/>
      <c r="AK691" s="152"/>
      <c r="AL691" s="152"/>
      <c r="AM691" s="152"/>
      <c r="AN691" s="152"/>
      <c r="AO691" s="152"/>
    </row>
    <row r="692" ht="12.75" customHeight="1">
      <c r="A692" s="288"/>
      <c r="B692" s="288"/>
      <c r="C692" s="288"/>
      <c r="D692" s="152"/>
      <c r="E692" s="289"/>
      <c r="F692" s="288"/>
      <c r="G692" s="152"/>
      <c r="H692" s="289"/>
      <c r="I692" s="289"/>
      <c r="J692" s="152"/>
      <c r="K692" s="152"/>
      <c r="L692" s="156"/>
      <c r="M692" s="152"/>
      <c r="N692" s="152"/>
      <c r="O692" s="152"/>
      <c r="P692" s="152"/>
      <c r="Q692" s="152"/>
      <c r="R692" s="152"/>
      <c r="S692" s="152"/>
      <c r="T692" s="152"/>
      <c r="U692" s="152"/>
      <c r="V692" s="152"/>
      <c r="W692" s="281"/>
      <c r="X692" s="281"/>
      <c r="Y692" s="281"/>
      <c r="Z692" s="281"/>
      <c r="AA692" s="281"/>
      <c r="AB692" s="281"/>
      <c r="AC692" s="281"/>
      <c r="AD692" s="170"/>
      <c r="AE692" s="152"/>
      <c r="AF692" s="152"/>
      <c r="AG692" s="152"/>
      <c r="AH692" s="152"/>
      <c r="AI692" s="152"/>
      <c r="AJ692" s="152"/>
      <c r="AK692" s="152"/>
      <c r="AL692" s="152"/>
      <c r="AM692" s="152"/>
      <c r="AN692" s="152"/>
      <c r="AO692" s="152"/>
    </row>
    <row r="693" ht="12.75" customHeight="1">
      <c r="A693" s="288"/>
      <c r="B693" s="288"/>
      <c r="C693" s="288"/>
      <c r="D693" s="152"/>
      <c r="E693" s="289"/>
      <c r="F693" s="288"/>
      <c r="G693" s="152"/>
      <c r="H693" s="289"/>
      <c r="I693" s="289"/>
      <c r="J693" s="152"/>
      <c r="K693" s="152"/>
      <c r="L693" s="156"/>
      <c r="M693" s="152"/>
      <c r="N693" s="152"/>
      <c r="O693" s="152"/>
      <c r="P693" s="152"/>
      <c r="Q693" s="152"/>
      <c r="R693" s="152"/>
      <c r="S693" s="152"/>
      <c r="T693" s="152"/>
      <c r="U693" s="152"/>
      <c r="V693" s="152"/>
      <c r="W693" s="281"/>
      <c r="X693" s="281"/>
      <c r="Y693" s="281"/>
      <c r="Z693" s="281"/>
      <c r="AA693" s="281"/>
      <c r="AB693" s="281"/>
      <c r="AC693" s="281"/>
      <c r="AD693" s="170"/>
      <c r="AE693" s="152"/>
      <c r="AF693" s="152"/>
      <c r="AG693" s="152"/>
      <c r="AH693" s="152"/>
      <c r="AI693" s="152"/>
      <c r="AJ693" s="152"/>
      <c r="AK693" s="152"/>
      <c r="AL693" s="152"/>
      <c r="AM693" s="152"/>
      <c r="AN693" s="152"/>
      <c r="AO693" s="152"/>
    </row>
    <row r="694" ht="12.75" customHeight="1">
      <c r="A694" s="288"/>
      <c r="B694" s="288"/>
      <c r="C694" s="288"/>
      <c r="D694" s="152"/>
      <c r="E694" s="289"/>
      <c r="F694" s="288"/>
      <c r="G694" s="152"/>
      <c r="H694" s="289"/>
      <c r="I694" s="289"/>
      <c r="J694" s="152"/>
      <c r="K694" s="152"/>
      <c r="L694" s="156"/>
      <c r="M694" s="152"/>
      <c r="N694" s="152"/>
      <c r="O694" s="152"/>
      <c r="P694" s="152"/>
      <c r="Q694" s="152"/>
      <c r="R694" s="152"/>
      <c r="S694" s="152"/>
      <c r="T694" s="152"/>
      <c r="U694" s="152"/>
      <c r="V694" s="152"/>
      <c r="W694" s="281"/>
      <c r="X694" s="281"/>
      <c r="Y694" s="281"/>
      <c r="Z694" s="281"/>
      <c r="AA694" s="281"/>
      <c r="AB694" s="281"/>
      <c r="AC694" s="281"/>
      <c r="AD694" s="170"/>
      <c r="AE694" s="152"/>
      <c r="AF694" s="152"/>
      <c r="AG694" s="152"/>
      <c r="AH694" s="152"/>
      <c r="AI694" s="152"/>
      <c r="AJ694" s="152"/>
      <c r="AK694" s="152"/>
      <c r="AL694" s="152"/>
      <c r="AM694" s="152"/>
      <c r="AN694" s="152"/>
      <c r="AO694" s="152"/>
    </row>
    <row r="695" ht="12.75" customHeight="1">
      <c r="A695" s="288"/>
      <c r="B695" s="288"/>
      <c r="C695" s="288"/>
      <c r="D695" s="152"/>
      <c r="E695" s="289"/>
      <c r="F695" s="288"/>
      <c r="G695" s="152"/>
      <c r="H695" s="289"/>
      <c r="I695" s="289"/>
      <c r="J695" s="152"/>
      <c r="K695" s="152"/>
      <c r="L695" s="156"/>
      <c r="M695" s="152"/>
      <c r="N695" s="152"/>
      <c r="O695" s="152"/>
      <c r="P695" s="152"/>
      <c r="Q695" s="152"/>
      <c r="R695" s="152"/>
      <c r="S695" s="152"/>
      <c r="T695" s="152"/>
      <c r="U695" s="152"/>
      <c r="V695" s="152"/>
      <c r="W695" s="281"/>
      <c r="X695" s="281"/>
      <c r="Y695" s="281"/>
      <c r="Z695" s="281"/>
      <c r="AA695" s="281"/>
      <c r="AB695" s="281"/>
      <c r="AC695" s="281"/>
      <c r="AD695" s="170"/>
      <c r="AE695" s="152"/>
      <c r="AF695" s="152"/>
      <c r="AG695" s="152"/>
      <c r="AH695" s="152"/>
      <c r="AI695" s="152"/>
      <c r="AJ695" s="152"/>
      <c r="AK695" s="152"/>
      <c r="AL695" s="152"/>
      <c r="AM695" s="152"/>
      <c r="AN695" s="152"/>
      <c r="AO695" s="152"/>
    </row>
    <row r="696" ht="12.75" customHeight="1">
      <c r="A696" s="288"/>
      <c r="B696" s="288"/>
      <c r="C696" s="288"/>
      <c r="D696" s="152"/>
      <c r="E696" s="289"/>
      <c r="F696" s="288"/>
      <c r="G696" s="152"/>
      <c r="H696" s="289"/>
      <c r="I696" s="289"/>
      <c r="J696" s="152"/>
      <c r="K696" s="152"/>
      <c r="L696" s="156"/>
      <c r="M696" s="152"/>
      <c r="N696" s="152"/>
      <c r="O696" s="152"/>
      <c r="P696" s="152"/>
      <c r="Q696" s="152"/>
      <c r="R696" s="152"/>
      <c r="S696" s="152"/>
      <c r="T696" s="152"/>
      <c r="U696" s="152"/>
      <c r="V696" s="152"/>
      <c r="W696" s="281"/>
      <c r="X696" s="281"/>
      <c r="Y696" s="281"/>
      <c r="Z696" s="281"/>
      <c r="AA696" s="281"/>
      <c r="AB696" s="281"/>
      <c r="AC696" s="281"/>
      <c r="AD696" s="170"/>
      <c r="AE696" s="152"/>
      <c r="AF696" s="152"/>
      <c r="AG696" s="152"/>
      <c r="AH696" s="152"/>
      <c r="AI696" s="152"/>
      <c r="AJ696" s="152"/>
      <c r="AK696" s="152"/>
      <c r="AL696" s="152"/>
      <c r="AM696" s="152"/>
      <c r="AN696" s="152"/>
      <c r="AO696" s="152"/>
    </row>
    <row r="697" ht="12.75" customHeight="1">
      <c r="A697" s="288"/>
      <c r="B697" s="288"/>
      <c r="C697" s="288"/>
      <c r="D697" s="152"/>
      <c r="E697" s="289"/>
      <c r="F697" s="288"/>
      <c r="G697" s="152"/>
      <c r="H697" s="289"/>
      <c r="I697" s="289"/>
      <c r="J697" s="152"/>
      <c r="K697" s="152"/>
      <c r="L697" s="156"/>
      <c r="M697" s="152"/>
      <c r="N697" s="152"/>
      <c r="O697" s="152"/>
      <c r="P697" s="152"/>
      <c r="Q697" s="152"/>
      <c r="R697" s="152"/>
      <c r="S697" s="152"/>
      <c r="T697" s="152"/>
      <c r="U697" s="152"/>
      <c r="V697" s="152"/>
      <c r="W697" s="281"/>
      <c r="X697" s="281"/>
      <c r="Y697" s="281"/>
      <c r="Z697" s="281"/>
      <c r="AA697" s="281"/>
      <c r="AB697" s="281"/>
      <c r="AC697" s="281"/>
      <c r="AD697" s="170"/>
      <c r="AE697" s="152"/>
      <c r="AF697" s="152"/>
      <c r="AG697" s="152"/>
      <c r="AH697" s="152"/>
      <c r="AI697" s="152"/>
      <c r="AJ697" s="152"/>
      <c r="AK697" s="152"/>
      <c r="AL697" s="152"/>
      <c r="AM697" s="152"/>
      <c r="AN697" s="152"/>
      <c r="AO697" s="152"/>
    </row>
    <row r="698" ht="12.75" customHeight="1">
      <c r="A698" s="288"/>
      <c r="B698" s="288"/>
      <c r="C698" s="288"/>
      <c r="D698" s="152"/>
      <c r="E698" s="289"/>
      <c r="F698" s="288"/>
      <c r="G698" s="152"/>
      <c r="H698" s="289"/>
      <c r="I698" s="289"/>
      <c r="J698" s="152"/>
      <c r="K698" s="152"/>
      <c r="L698" s="156"/>
      <c r="M698" s="152"/>
      <c r="N698" s="152"/>
      <c r="O698" s="152"/>
      <c r="P698" s="152"/>
      <c r="Q698" s="152"/>
      <c r="R698" s="152"/>
      <c r="S698" s="152"/>
      <c r="T698" s="152"/>
      <c r="U698" s="152"/>
      <c r="V698" s="152"/>
      <c r="W698" s="281"/>
      <c r="X698" s="281"/>
      <c r="Y698" s="281"/>
      <c r="Z698" s="281"/>
      <c r="AA698" s="281"/>
      <c r="AB698" s="281"/>
      <c r="AC698" s="281"/>
      <c r="AD698" s="170"/>
      <c r="AE698" s="152"/>
      <c r="AF698" s="152"/>
      <c r="AG698" s="152"/>
      <c r="AH698" s="152"/>
      <c r="AI698" s="152"/>
      <c r="AJ698" s="152"/>
      <c r="AK698" s="152"/>
      <c r="AL698" s="152"/>
      <c r="AM698" s="152"/>
      <c r="AN698" s="152"/>
      <c r="AO698" s="152"/>
    </row>
    <row r="699" ht="12.75" customHeight="1">
      <c r="A699" s="288"/>
      <c r="B699" s="288"/>
      <c r="C699" s="288"/>
      <c r="D699" s="152"/>
      <c r="E699" s="289"/>
      <c r="F699" s="288"/>
      <c r="G699" s="152"/>
      <c r="H699" s="289"/>
      <c r="I699" s="289"/>
      <c r="J699" s="152"/>
      <c r="K699" s="152"/>
      <c r="L699" s="156"/>
      <c r="M699" s="152"/>
      <c r="N699" s="152"/>
      <c r="O699" s="152"/>
      <c r="P699" s="152"/>
      <c r="Q699" s="152"/>
      <c r="R699" s="152"/>
      <c r="S699" s="152"/>
      <c r="T699" s="152"/>
      <c r="U699" s="152"/>
      <c r="V699" s="152"/>
      <c r="W699" s="281"/>
      <c r="X699" s="281"/>
      <c r="Y699" s="281"/>
      <c r="Z699" s="281"/>
      <c r="AA699" s="281"/>
      <c r="AB699" s="281"/>
      <c r="AC699" s="281"/>
      <c r="AD699" s="170"/>
      <c r="AE699" s="152"/>
      <c r="AF699" s="152"/>
      <c r="AG699" s="152"/>
      <c r="AH699" s="152"/>
      <c r="AI699" s="152"/>
      <c r="AJ699" s="152"/>
      <c r="AK699" s="152"/>
      <c r="AL699" s="152"/>
      <c r="AM699" s="152"/>
      <c r="AN699" s="152"/>
      <c r="AO699" s="152"/>
    </row>
    <row r="700" ht="12.75" customHeight="1">
      <c r="A700" s="288"/>
      <c r="B700" s="288"/>
      <c r="C700" s="288"/>
      <c r="D700" s="152"/>
      <c r="E700" s="289"/>
      <c r="F700" s="288"/>
      <c r="G700" s="152"/>
      <c r="H700" s="289"/>
      <c r="I700" s="289"/>
      <c r="J700" s="152"/>
      <c r="K700" s="152"/>
      <c r="L700" s="156"/>
      <c r="M700" s="152"/>
      <c r="N700" s="152"/>
      <c r="O700" s="152"/>
      <c r="P700" s="152"/>
      <c r="Q700" s="152"/>
      <c r="R700" s="152"/>
      <c r="S700" s="152"/>
      <c r="T700" s="152"/>
      <c r="U700" s="152"/>
      <c r="V700" s="152"/>
      <c r="W700" s="281"/>
      <c r="X700" s="281"/>
      <c r="Y700" s="281"/>
      <c r="Z700" s="281"/>
      <c r="AA700" s="281"/>
      <c r="AB700" s="281"/>
      <c r="AC700" s="281"/>
      <c r="AD700" s="170"/>
      <c r="AE700" s="152"/>
      <c r="AF700" s="152"/>
      <c r="AG700" s="152"/>
      <c r="AH700" s="152"/>
      <c r="AI700" s="152"/>
      <c r="AJ700" s="152"/>
      <c r="AK700" s="152"/>
      <c r="AL700" s="152"/>
      <c r="AM700" s="152"/>
      <c r="AN700" s="152"/>
      <c r="AO700" s="152"/>
    </row>
    <row r="701" ht="12.75" customHeight="1">
      <c r="A701" s="288"/>
      <c r="B701" s="288"/>
      <c r="C701" s="288"/>
      <c r="D701" s="152"/>
      <c r="E701" s="289"/>
      <c r="F701" s="288"/>
      <c r="G701" s="152"/>
      <c r="H701" s="289"/>
      <c r="I701" s="289"/>
      <c r="J701" s="152"/>
      <c r="K701" s="152"/>
      <c r="L701" s="156"/>
      <c r="M701" s="152"/>
      <c r="N701" s="152"/>
      <c r="O701" s="152"/>
      <c r="P701" s="152"/>
      <c r="Q701" s="152"/>
      <c r="R701" s="152"/>
      <c r="S701" s="152"/>
      <c r="T701" s="152"/>
      <c r="U701" s="152"/>
      <c r="V701" s="152"/>
      <c r="W701" s="281"/>
      <c r="X701" s="281"/>
      <c r="Y701" s="281"/>
      <c r="Z701" s="281"/>
      <c r="AA701" s="281"/>
      <c r="AB701" s="281"/>
      <c r="AC701" s="281"/>
      <c r="AD701" s="170"/>
      <c r="AE701" s="152"/>
      <c r="AF701" s="152"/>
      <c r="AG701" s="152"/>
      <c r="AH701" s="152"/>
      <c r="AI701" s="152"/>
      <c r="AJ701" s="152"/>
      <c r="AK701" s="152"/>
      <c r="AL701" s="152"/>
      <c r="AM701" s="152"/>
      <c r="AN701" s="152"/>
      <c r="AO701" s="152"/>
    </row>
    <row r="702" ht="12.75" customHeight="1">
      <c r="A702" s="288"/>
      <c r="B702" s="288"/>
      <c r="C702" s="288"/>
      <c r="D702" s="152"/>
      <c r="E702" s="289"/>
      <c r="F702" s="288"/>
      <c r="G702" s="152"/>
      <c r="H702" s="289"/>
      <c r="I702" s="289"/>
      <c r="J702" s="152"/>
      <c r="K702" s="152"/>
      <c r="L702" s="156"/>
      <c r="M702" s="152"/>
      <c r="N702" s="152"/>
      <c r="O702" s="152"/>
      <c r="P702" s="152"/>
      <c r="Q702" s="152"/>
      <c r="R702" s="152"/>
      <c r="S702" s="152"/>
      <c r="T702" s="152"/>
      <c r="U702" s="152"/>
      <c r="V702" s="152"/>
      <c r="W702" s="281"/>
      <c r="X702" s="281"/>
      <c r="Y702" s="281"/>
      <c r="Z702" s="281"/>
      <c r="AA702" s="281"/>
      <c r="AB702" s="281"/>
      <c r="AC702" s="281"/>
      <c r="AD702" s="170"/>
      <c r="AE702" s="152"/>
      <c r="AF702" s="152"/>
      <c r="AG702" s="152"/>
      <c r="AH702" s="152"/>
      <c r="AI702" s="152"/>
      <c r="AJ702" s="152"/>
      <c r="AK702" s="152"/>
      <c r="AL702" s="152"/>
      <c r="AM702" s="152"/>
      <c r="AN702" s="152"/>
      <c r="AO702" s="152"/>
    </row>
    <row r="703" ht="12.75" customHeight="1">
      <c r="A703" s="288"/>
      <c r="B703" s="288"/>
      <c r="C703" s="288"/>
      <c r="D703" s="152"/>
      <c r="E703" s="289"/>
      <c r="F703" s="288"/>
      <c r="G703" s="152"/>
      <c r="H703" s="289"/>
      <c r="I703" s="289"/>
      <c r="J703" s="152"/>
      <c r="K703" s="152"/>
      <c r="L703" s="156"/>
      <c r="M703" s="152"/>
      <c r="N703" s="152"/>
      <c r="O703" s="152"/>
      <c r="P703" s="152"/>
      <c r="Q703" s="152"/>
      <c r="R703" s="152"/>
      <c r="S703" s="152"/>
      <c r="T703" s="152"/>
      <c r="U703" s="152"/>
      <c r="V703" s="152"/>
      <c r="W703" s="281"/>
      <c r="X703" s="281"/>
      <c r="Y703" s="281"/>
      <c r="Z703" s="281"/>
      <c r="AA703" s="281"/>
      <c r="AB703" s="281"/>
      <c r="AC703" s="281"/>
      <c r="AD703" s="170"/>
      <c r="AE703" s="152"/>
      <c r="AF703" s="152"/>
      <c r="AG703" s="152"/>
      <c r="AH703" s="152"/>
      <c r="AI703" s="152"/>
      <c r="AJ703" s="152"/>
      <c r="AK703" s="152"/>
      <c r="AL703" s="152"/>
      <c r="AM703" s="152"/>
      <c r="AN703" s="152"/>
      <c r="AO703" s="152"/>
    </row>
    <row r="704" ht="12.75" customHeight="1">
      <c r="A704" s="288"/>
      <c r="B704" s="288"/>
      <c r="C704" s="288"/>
      <c r="D704" s="152"/>
      <c r="E704" s="289"/>
      <c r="F704" s="288"/>
      <c r="G704" s="152"/>
      <c r="H704" s="289"/>
      <c r="I704" s="289"/>
      <c r="J704" s="152"/>
      <c r="K704" s="152"/>
      <c r="L704" s="156"/>
      <c r="M704" s="152"/>
      <c r="N704" s="152"/>
      <c r="O704" s="152"/>
      <c r="P704" s="152"/>
      <c r="Q704" s="152"/>
      <c r="R704" s="152"/>
      <c r="S704" s="152"/>
      <c r="T704" s="152"/>
      <c r="U704" s="152"/>
      <c r="V704" s="152"/>
      <c r="W704" s="281"/>
      <c r="X704" s="281"/>
      <c r="Y704" s="281"/>
      <c r="Z704" s="281"/>
      <c r="AA704" s="281"/>
      <c r="AB704" s="281"/>
      <c r="AC704" s="281"/>
      <c r="AD704" s="170"/>
      <c r="AE704" s="152"/>
      <c r="AF704" s="152"/>
      <c r="AG704" s="152"/>
      <c r="AH704" s="152"/>
      <c r="AI704" s="152"/>
      <c r="AJ704" s="152"/>
      <c r="AK704" s="152"/>
      <c r="AL704" s="152"/>
      <c r="AM704" s="152"/>
      <c r="AN704" s="152"/>
      <c r="AO704" s="152"/>
    </row>
    <row r="705" ht="12.75" customHeight="1">
      <c r="A705" s="288"/>
      <c r="B705" s="288"/>
      <c r="C705" s="288"/>
      <c r="D705" s="152"/>
      <c r="E705" s="289"/>
      <c r="F705" s="288"/>
      <c r="G705" s="152"/>
      <c r="H705" s="289"/>
      <c r="I705" s="289"/>
      <c r="J705" s="152"/>
      <c r="K705" s="152"/>
      <c r="L705" s="156"/>
      <c r="M705" s="152"/>
      <c r="N705" s="152"/>
      <c r="O705" s="152"/>
      <c r="P705" s="152"/>
      <c r="Q705" s="152"/>
      <c r="R705" s="152"/>
      <c r="S705" s="152"/>
      <c r="T705" s="152"/>
      <c r="U705" s="152"/>
      <c r="V705" s="152"/>
      <c r="W705" s="281"/>
      <c r="X705" s="281"/>
      <c r="Y705" s="281"/>
      <c r="Z705" s="281"/>
      <c r="AA705" s="281"/>
      <c r="AB705" s="281"/>
      <c r="AC705" s="281"/>
      <c r="AD705" s="170"/>
      <c r="AE705" s="152"/>
      <c r="AF705" s="152"/>
      <c r="AG705" s="152"/>
      <c r="AH705" s="152"/>
      <c r="AI705" s="152"/>
      <c r="AJ705" s="152"/>
      <c r="AK705" s="152"/>
      <c r="AL705" s="152"/>
      <c r="AM705" s="152"/>
      <c r="AN705" s="152"/>
      <c r="AO705" s="152"/>
    </row>
    <row r="706" ht="12.75" customHeight="1">
      <c r="A706" s="288"/>
      <c r="B706" s="288"/>
      <c r="C706" s="288"/>
      <c r="D706" s="152"/>
      <c r="E706" s="289"/>
      <c r="F706" s="288"/>
      <c r="G706" s="152"/>
      <c r="H706" s="289"/>
      <c r="I706" s="289"/>
      <c r="J706" s="152"/>
      <c r="K706" s="152"/>
      <c r="L706" s="156"/>
      <c r="M706" s="152"/>
      <c r="N706" s="152"/>
      <c r="O706" s="152"/>
      <c r="P706" s="152"/>
      <c r="Q706" s="152"/>
      <c r="R706" s="152"/>
      <c r="S706" s="152"/>
      <c r="T706" s="152"/>
      <c r="U706" s="152"/>
      <c r="V706" s="152"/>
      <c r="W706" s="281"/>
      <c r="X706" s="281"/>
      <c r="Y706" s="281"/>
      <c r="Z706" s="281"/>
      <c r="AA706" s="281"/>
      <c r="AB706" s="281"/>
      <c r="AC706" s="281"/>
      <c r="AD706" s="170"/>
      <c r="AE706" s="152"/>
      <c r="AF706" s="152"/>
      <c r="AG706" s="152"/>
      <c r="AH706" s="152"/>
      <c r="AI706" s="152"/>
      <c r="AJ706" s="152"/>
      <c r="AK706" s="152"/>
      <c r="AL706" s="152"/>
      <c r="AM706" s="152"/>
      <c r="AN706" s="152"/>
      <c r="AO706" s="152"/>
    </row>
    <row r="707" ht="12.75" customHeight="1">
      <c r="A707" s="288"/>
      <c r="B707" s="288"/>
      <c r="C707" s="288"/>
      <c r="D707" s="152"/>
      <c r="E707" s="289"/>
      <c r="F707" s="288"/>
      <c r="G707" s="152"/>
      <c r="H707" s="289"/>
      <c r="I707" s="289"/>
      <c r="J707" s="152"/>
      <c r="K707" s="152"/>
      <c r="L707" s="156"/>
      <c r="M707" s="152"/>
      <c r="N707" s="152"/>
      <c r="O707" s="152"/>
      <c r="P707" s="152"/>
      <c r="Q707" s="152"/>
      <c r="R707" s="152"/>
      <c r="S707" s="152"/>
      <c r="T707" s="152"/>
      <c r="U707" s="152"/>
      <c r="V707" s="152"/>
      <c r="W707" s="281"/>
      <c r="X707" s="281"/>
      <c r="Y707" s="281"/>
      <c r="Z707" s="281"/>
      <c r="AA707" s="281"/>
      <c r="AB707" s="281"/>
      <c r="AC707" s="281"/>
      <c r="AD707" s="170"/>
      <c r="AE707" s="152"/>
      <c r="AF707" s="152"/>
      <c r="AG707" s="152"/>
      <c r="AH707" s="152"/>
      <c r="AI707" s="152"/>
      <c r="AJ707" s="152"/>
      <c r="AK707" s="152"/>
      <c r="AL707" s="152"/>
      <c r="AM707" s="152"/>
      <c r="AN707" s="152"/>
      <c r="AO707" s="152"/>
    </row>
    <row r="708" ht="12.75" customHeight="1">
      <c r="A708" s="288"/>
      <c r="B708" s="288"/>
      <c r="C708" s="288"/>
      <c r="D708" s="152"/>
      <c r="E708" s="289"/>
      <c r="F708" s="288"/>
      <c r="G708" s="152"/>
      <c r="H708" s="289"/>
      <c r="I708" s="289"/>
      <c r="J708" s="152"/>
      <c r="K708" s="152"/>
      <c r="L708" s="156"/>
      <c r="M708" s="152"/>
      <c r="N708" s="152"/>
      <c r="O708" s="152"/>
      <c r="P708" s="152"/>
      <c r="Q708" s="152"/>
      <c r="R708" s="152"/>
      <c r="S708" s="152"/>
      <c r="T708" s="152"/>
      <c r="U708" s="152"/>
      <c r="V708" s="152"/>
      <c r="W708" s="281"/>
      <c r="X708" s="281"/>
      <c r="Y708" s="281"/>
      <c r="Z708" s="281"/>
      <c r="AA708" s="281"/>
      <c r="AB708" s="281"/>
      <c r="AC708" s="281"/>
      <c r="AD708" s="170"/>
      <c r="AE708" s="152"/>
      <c r="AF708" s="152"/>
      <c r="AG708" s="152"/>
      <c r="AH708" s="152"/>
      <c r="AI708" s="152"/>
      <c r="AJ708" s="152"/>
      <c r="AK708" s="152"/>
      <c r="AL708" s="152"/>
      <c r="AM708" s="152"/>
      <c r="AN708" s="152"/>
      <c r="AO708" s="152"/>
    </row>
    <row r="709" ht="12.75" customHeight="1">
      <c r="A709" s="288"/>
      <c r="B709" s="288"/>
      <c r="C709" s="288"/>
      <c r="D709" s="152"/>
      <c r="E709" s="289"/>
      <c r="F709" s="288"/>
      <c r="G709" s="152"/>
      <c r="H709" s="289"/>
      <c r="I709" s="289"/>
      <c r="J709" s="152"/>
      <c r="K709" s="152"/>
      <c r="L709" s="156"/>
      <c r="M709" s="152"/>
      <c r="N709" s="152"/>
      <c r="O709" s="152"/>
      <c r="P709" s="152"/>
      <c r="Q709" s="152"/>
      <c r="R709" s="152"/>
      <c r="S709" s="152"/>
      <c r="T709" s="152"/>
      <c r="U709" s="152"/>
      <c r="V709" s="152"/>
      <c r="W709" s="281"/>
      <c r="X709" s="281"/>
      <c r="Y709" s="281"/>
      <c r="Z709" s="281"/>
      <c r="AA709" s="281"/>
      <c r="AB709" s="281"/>
      <c r="AC709" s="281"/>
      <c r="AD709" s="170"/>
      <c r="AE709" s="152"/>
      <c r="AF709" s="152"/>
      <c r="AG709" s="152"/>
      <c r="AH709" s="152"/>
      <c r="AI709" s="152"/>
      <c r="AJ709" s="152"/>
      <c r="AK709" s="152"/>
      <c r="AL709" s="152"/>
      <c r="AM709" s="152"/>
      <c r="AN709" s="152"/>
      <c r="AO709" s="152"/>
    </row>
    <row r="710" ht="12.75" customHeight="1">
      <c r="A710" s="288"/>
      <c r="B710" s="288"/>
      <c r="C710" s="288"/>
      <c r="D710" s="152"/>
      <c r="E710" s="289"/>
      <c r="F710" s="288"/>
      <c r="G710" s="152"/>
      <c r="H710" s="289"/>
      <c r="I710" s="289"/>
      <c r="J710" s="152"/>
      <c r="K710" s="152"/>
      <c r="L710" s="156"/>
      <c r="M710" s="152"/>
      <c r="N710" s="152"/>
      <c r="O710" s="152"/>
      <c r="P710" s="152"/>
      <c r="Q710" s="152"/>
      <c r="R710" s="152"/>
      <c r="S710" s="152"/>
      <c r="T710" s="152"/>
      <c r="U710" s="152"/>
      <c r="V710" s="152"/>
      <c r="W710" s="281"/>
      <c r="X710" s="281"/>
      <c r="Y710" s="281"/>
      <c r="Z710" s="281"/>
      <c r="AA710" s="281"/>
      <c r="AB710" s="281"/>
      <c r="AC710" s="281"/>
      <c r="AD710" s="170"/>
      <c r="AE710" s="152"/>
      <c r="AF710" s="152"/>
      <c r="AG710" s="152"/>
      <c r="AH710" s="152"/>
      <c r="AI710" s="152"/>
      <c r="AJ710" s="152"/>
      <c r="AK710" s="152"/>
      <c r="AL710" s="152"/>
      <c r="AM710" s="152"/>
      <c r="AN710" s="152"/>
      <c r="AO710" s="152"/>
    </row>
    <row r="711" ht="12.75" customHeight="1">
      <c r="A711" s="288"/>
      <c r="B711" s="288"/>
      <c r="C711" s="288"/>
      <c r="D711" s="152"/>
      <c r="E711" s="289"/>
      <c r="F711" s="288"/>
      <c r="G711" s="152"/>
      <c r="H711" s="289"/>
      <c r="I711" s="289"/>
      <c r="J711" s="152"/>
      <c r="K711" s="152"/>
      <c r="L711" s="156"/>
      <c r="M711" s="152"/>
      <c r="N711" s="152"/>
      <c r="O711" s="152"/>
      <c r="P711" s="152"/>
      <c r="Q711" s="152"/>
      <c r="R711" s="152"/>
      <c r="S711" s="152"/>
      <c r="T711" s="152"/>
      <c r="U711" s="152"/>
      <c r="V711" s="152"/>
      <c r="W711" s="281"/>
      <c r="X711" s="281"/>
      <c r="Y711" s="281"/>
      <c r="Z711" s="281"/>
      <c r="AA711" s="281"/>
      <c r="AB711" s="281"/>
      <c r="AC711" s="281"/>
      <c r="AD711" s="170"/>
      <c r="AE711" s="152"/>
      <c r="AF711" s="152"/>
      <c r="AG711" s="152"/>
      <c r="AH711" s="152"/>
      <c r="AI711" s="152"/>
      <c r="AJ711" s="152"/>
      <c r="AK711" s="152"/>
      <c r="AL711" s="152"/>
      <c r="AM711" s="152"/>
      <c r="AN711" s="152"/>
      <c r="AO711" s="152"/>
    </row>
    <row r="712" ht="12.75" customHeight="1">
      <c r="A712" s="288"/>
      <c r="B712" s="288"/>
      <c r="C712" s="288"/>
      <c r="D712" s="152"/>
      <c r="E712" s="289"/>
      <c r="F712" s="288"/>
      <c r="G712" s="152"/>
      <c r="H712" s="289"/>
      <c r="I712" s="289"/>
      <c r="J712" s="152"/>
      <c r="K712" s="152"/>
      <c r="L712" s="156"/>
      <c r="M712" s="152"/>
      <c r="N712" s="152"/>
      <c r="O712" s="152"/>
      <c r="P712" s="152"/>
      <c r="Q712" s="152"/>
      <c r="R712" s="152"/>
      <c r="S712" s="152"/>
      <c r="T712" s="152"/>
      <c r="U712" s="152"/>
      <c r="V712" s="152"/>
      <c r="W712" s="281"/>
      <c r="X712" s="281"/>
      <c r="Y712" s="281"/>
      <c r="Z712" s="281"/>
      <c r="AA712" s="281"/>
      <c r="AB712" s="281"/>
      <c r="AC712" s="281"/>
      <c r="AD712" s="170"/>
      <c r="AE712" s="152"/>
      <c r="AF712" s="152"/>
      <c r="AG712" s="152"/>
      <c r="AH712" s="152"/>
      <c r="AI712" s="152"/>
      <c r="AJ712" s="152"/>
      <c r="AK712" s="152"/>
      <c r="AL712" s="152"/>
      <c r="AM712" s="152"/>
      <c r="AN712" s="152"/>
      <c r="AO712" s="152"/>
    </row>
    <row r="713" ht="12.75" customHeight="1">
      <c r="A713" s="288"/>
      <c r="B713" s="288"/>
      <c r="C713" s="288"/>
      <c r="D713" s="152"/>
      <c r="E713" s="289"/>
      <c r="F713" s="288"/>
      <c r="G713" s="152"/>
      <c r="H713" s="289"/>
      <c r="I713" s="289"/>
      <c r="J713" s="152"/>
      <c r="K713" s="152"/>
      <c r="L713" s="156"/>
      <c r="M713" s="152"/>
      <c r="N713" s="152"/>
      <c r="O713" s="152"/>
      <c r="P713" s="152"/>
      <c r="Q713" s="152"/>
      <c r="R713" s="152"/>
      <c r="S713" s="152"/>
      <c r="T713" s="152"/>
      <c r="U713" s="152"/>
      <c r="V713" s="152"/>
      <c r="W713" s="281"/>
      <c r="X713" s="281"/>
      <c r="Y713" s="281"/>
      <c r="Z713" s="281"/>
      <c r="AA713" s="281"/>
      <c r="AB713" s="281"/>
      <c r="AC713" s="281"/>
      <c r="AD713" s="170"/>
      <c r="AE713" s="152"/>
      <c r="AF713" s="152"/>
      <c r="AG713" s="152"/>
      <c r="AH713" s="152"/>
      <c r="AI713" s="152"/>
      <c r="AJ713" s="152"/>
      <c r="AK713" s="152"/>
      <c r="AL713" s="152"/>
      <c r="AM713" s="152"/>
      <c r="AN713" s="152"/>
      <c r="AO713" s="152"/>
    </row>
    <row r="714" ht="12.75" customHeight="1">
      <c r="A714" s="288"/>
      <c r="B714" s="288"/>
      <c r="C714" s="288"/>
      <c r="D714" s="152"/>
      <c r="E714" s="289"/>
      <c r="F714" s="288"/>
      <c r="G714" s="152"/>
      <c r="H714" s="289"/>
      <c r="I714" s="289"/>
      <c r="J714" s="152"/>
      <c r="K714" s="152"/>
      <c r="L714" s="156"/>
      <c r="M714" s="152"/>
      <c r="N714" s="152"/>
      <c r="O714" s="152"/>
      <c r="P714" s="152"/>
      <c r="Q714" s="152"/>
      <c r="R714" s="152"/>
      <c r="S714" s="152"/>
      <c r="T714" s="152"/>
      <c r="U714" s="152"/>
      <c r="V714" s="152"/>
      <c r="W714" s="281"/>
      <c r="X714" s="281"/>
      <c r="Y714" s="281"/>
      <c r="Z714" s="281"/>
      <c r="AA714" s="281"/>
      <c r="AB714" s="281"/>
      <c r="AC714" s="281"/>
      <c r="AD714" s="170"/>
      <c r="AE714" s="152"/>
      <c r="AF714" s="152"/>
      <c r="AG714" s="152"/>
      <c r="AH714" s="152"/>
      <c r="AI714" s="152"/>
      <c r="AJ714" s="152"/>
      <c r="AK714" s="152"/>
      <c r="AL714" s="152"/>
      <c r="AM714" s="152"/>
      <c r="AN714" s="152"/>
      <c r="AO714" s="152"/>
    </row>
    <row r="715" ht="12.75" customHeight="1">
      <c r="A715" s="288"/>
      <c r="B715" s="288"/>
      <c r="C715" s="288"/>
      <c r="D715" s="152"/>
      <c r="E715" s="289"/>
      <c r="F715" s="288"/>
      <c r="G715" s="152"/>
      <c r="H715" s="289"/>
      <c r="I715" s="289"/>
      <c r="J715" s="152"/>
      <c r="K715" s="152"/>
      <c r="L715" s="156"/>
      <c r="M715" s="152"/>
      <c r="N715" s="152"/>
      <c r="O715" s="152"/>
      <c r="P715" s="152"/>
      <c r="Q715" s="152"/>
      <c r="R715" s="152"/>
      <c r="S715" s="152"/>
      <c r="T715" s="152"/>
      <c r="U715" s="152"/>
      <c r="V715" s="152"/>
      <c r="W715" s="281"/>
      <c r="X715" s="281"/>
      <c r="Y715" s="281"/>
      <c r="Z715" s="281"/>
      <c r="AA715" s="281"/>
      <c r="AB715" s="281"/>
      <c r="AC715" s="281"/>
      <c r="AD715" s="170"/>
      <c r="AE715" s="152"/>
      <c r="AF715" s="152"/>
      <c r="AG715" s="152"/>
      <c r="AH715" s="152"/>
      <c r="AI715" s="152"/>
      <c r="AJ715" s="152"/>
      <c r="AK715" s="152"/>
      <c r="AL715" s="152"/>
      <c r="AM715" s="152"/>
      <c r="AN715" s="152"/>
      <c r="AO715" s="152"/>
    </row>
    <row r="716" ht="12.75" customHeight="1">
      <c r="A716" s="288"/>
      <c r="B716" s="288"/>
      <c r="C716" s="288"/>
      <c r="D716" s="152"/>
      <c r="E716" s="289"/>
      <c r="F716" s="288"/>
      <c r="G716" s="152"/>
      <c r="H716" s="289"/>
      <c r="I716" s="289"/>
      <c r="J716" s="152"/>
      <c r="K716" s="152"/>
      <c r="L716" s="156"/>
      <c r="M716" s="152"/>
      <c r="N716" s="152"/>
      <c r="O716" s="152"/>
      <c r="P716" s="152"/>
      <c r="Q716" s="152"/>
      <c r="R716" s="152"/>
      <c r="S716" s="152"/>
      <c r="T716" s="152"/>
      <c r="U716" s="152"/>
      <c r="V716" s="152"/>
      <c r="W716" s="281"/>
      <c r="X716" s="281"/>
      <c r="Y716" s="281"/>
      <c r="Z716" s="281"/>
      <c r="AA716" s="281"/>
      <c r="AB716" s="281"/>
      <c r="AC716" s="281"/>
      <c r="AD716" s="170"/>
      <c r="AE716" s="152"/>
      <c r="AF716" s="152"/>
      <c r="AG716" s="152"/>
      <c r="AH716" s="152"/>
      <c r="AI716" s="152"/>
      <c r="AJ716" s="152"/>
      <c r="AK716" s="152"/>
      <c r="AL716" s="152"/>
      <c r="AM716" s="152"/>
      <c r="AN716" s="152"/>
      <c r="AO716" s="152"/>
    </row>
    <row r="717" ht="12.75" customHeight="1">
      <c r="A717" s="288"/>
      <c r="B717" s="288"/>
      <c r="C717" s="288"/>
      <c r="D717" s="152"/>
      <c r="E717" s="289"/>
      <c r="F717" s="288"/>
      <c r="G717" s="152"/>
      <c r="H717" s="289"/>
      <c r="I717" s="289"/>
      <c r="J717" s="152"/>
      <c r="K717" s="152"/>
      <c r="L717" s="156"/>
      <c r="M717" s="152"/>
      <c r="N717" s="152"/>
      <c r="O717" s="152"/>
      <c r="P717" s="152"/>
      <c r="Q717" s="152"/>
      <c r="R717" s="152"/>
      <c r="S717" s="152"/>
      <c r="T717" s="152"/>
      <c r="U717" s="152"/>
      <c r="V717" s="152"/>
      <c r="W717" s="281"/>
      <c r="X717" s="281"/>
      <c r="Y717" s="281"/>
      <c r="Z717" s="281"/>
      <c r="AA717" s="281"/>
      <c r="AB717" s="281"/>
      <c r="AC717" s="281"/>
      <c r="AD717" s="170"/>
      <c r="AE717" s="152"/>
      <c r="AF717" s="152"/>
      <c r="AG717" s="152"/>
      <c r="AH717" s="152"/>
      <c r="AI717" s="152"/>
      <c r="AJ717" s="152"/>
      <c r="AK717" s="152"/>
      <c r="AL717" s="152"/>
      <c r="AM717" s="152"/>
      <c r="AN717" s="152"/>
      <c r="AO717" s="152"/>
    </row>
    <row r="718" ht="12.75" customHeight="1">
      <c r="A718" s="288"/>
      <c r="B718" s="288"/>
      <c r="C718" s="288"/>
      <c r="D718" s="152"/>
      <c r="E718" s="289"/>
      <c r="F718" s="288"/>
      <c r="G718" s="152"/>
      <c r="H718" s="289"/>
      <c r="I718" s="289"/>
      <c r="J718" s="152"/>
      <c r="K718" s="152"/>
      <c r="L718" s="156"/>
      <c r="M718" s="152"/>
      <c r="N718" s="152"/>
      <c r="O718" s="152"/>
      <c r="P718" s="152"/>
      <c r="Q718" s="152"/>
      <c r="R718" s="152"/>
      <c r="S718" s="152"/>
      <c r="T718" s="152"/>
      <c r="U718" s="152"/>
      <c r="V718" s="152"/>
      <c r="W718" s="281"/>
      <c r="X718" s="281"/>
      <c r="Y718" s="281"/>
      <c r="Z718" s="281"/>
      <c r="AA718" s="281"/>
      <c r="AB718" s="281"/>
      <c r="AC718" s="281"/>
      <c r="AD718" s="170"/>
      <c r="AE718" s="152"/>
      <c r="AF718" s="152"/>
      <c r="AG718" s="152"/>
      <c r="AH718" s="152"/>
      <c r="AI718" s="152"/>
      <c r="AJ718" s="152"/>
      <c r="AK718" s="152"/>
      <c r="AL718" s="152"/>
      <c r="AM718" s="152"/>
      <c r="AN718" s="152"/>
      <c r="AO718" s="152"/>
    </row>
    <row r="719" ht="12.75" customHeight="1">
      <c r="A719" s="288"/>
      <c r="B719" s="288"/>
      <c r="C719" s="288"/>
      <c r="D719" s="152"/>
      <c r="E719" s="289"/>
      <c r="F719" s="288"/>
      <c r="G719" s="152"/>
      <c r="H719" s="289"/>
      <c r="I719" s="289"/>
      <c r="J719" s="152"/>
      <c r="K719" s="152"/>
      <c r="L719" s="156"/>
      <c r="M719" s="152"/>
      <c r="N719" s="152"/>
      <c r="O719" s="152"/>
      <c r="P719" s="152"/>
      <c r="Q719" s="152"/>
      <c r="R719" s="152"/>
      <c r="S719" s="152"/>
      <c r="T719" s="152"/>
      <c r="U719" s="152"/>
      <c r="V719" s="152"/>
      <c r="W719" s="281"/>
      <c r="X719" s="281"/>
      <c r="Y719" s="281"/>
      <c r="Z719" s="281"/>
      <c r="AA719" s="281"/>
      <c r="AB719" s="281"/>
      <c r="AC719" s="281"/>
      <c r="AD719" s="170"/>
      <c r="AE719" s="152"/>
      <c r="AF719" s="152"/>
      <c r="AG719" s="152"/>
      <c r="AH719" s="152"/>
      <c r="AI719" s="152"/>
      <c r="AJ719" s="152"/>
      <c r="AK719" s="152"/>
      <c r="AL719" s="152"/>
      <c r="AM719" s="152"/>
      <c r="AN719" s="152"/>
      <c r="AO719" s="152"/>
    </row>
    <row r="720" ht="12.75" customHeight="1">
      <c r="A720" s="288"/>
      <c r="B720" s="288"/>
      <c r="C720" s="288"/>
      <c r="D720" s="152"/>
      <c r="E720" s="289"/>
      <c r="F720" s="288"/>
      <c r="G720" s="152"/>
      <c r="H720" s="289"/>
      <c r="I720" s="289"/>
      <c r="J720" s="152"/>
      <c r="K720" s="152"/>
      <c r="L720" s="156"/>
      <c r="M720" s="152"/>
      <c r="N720" s="152"/>
      <c r="O720" s="152"/>
      <c r="P720" s="152"/>
      <c r="Q720" s="152"/>
      <c r="R720" s="152"/>
      <c r="S720" s="152"/>
      <c r="T720" s="152"/>
      <c r="U720" s="152"/>
      <c r="V720" s="152"/>
      <c r="W720" s="281"/>
      <c r="X720" s="281"/>
      <c r="Y720" s="281"/>
      <c r="Z720" s="281"/>
      <c r="AA720" s="281"/>
      <c r="AB720" s="281"/>
      <c r="AC720" s="281"/>
      <c r="AD720" s="170"/>
      <c r="AE720" s="152"/>
      <c r="AF720" s="152"/>
      <c r="AG720" s="152"/>
      <c r="AH720" s="152"/>
      <c r="AI720" s="152"/>
      <c r="AJ720" s="152"/>
      <c r="AK720" s="152"/>
      <c r="AL720" s="152"/>
      <c r="AM720" s="152"/>
      <c r="AN720" s="152"/>
      <c r="AO720" s="152"/>
    </row>
    <row r="721" ht="12.75" customHeight="1">
      <c r="A721" s="288"/>
      <c r="B721" s="288"/>
      <c r="C721" s="288"/>
      <c r="D721" s="152"/>
      <c r="E721" s="289"/>
      <c r="F721" s="288"/>
      <c r="G721" s="152"/>
      <c r="H721" s="289"/>
      <c r="I721" s="289"/>
      <c r="J721" s="152"/>
      <c r="K721" s="152"/>
      <c r="L721" s="156"/>
      <c r="M721" s="152"/>
      <c r="N721" s="152"/>
      <c r="O721" s="152"/>
      <c r="P721" s="152"/>
      <c r="Q721" s="152"/>
      <c r="R721" s="152"/>
      <c r="S721" s="152"/>
      <c r="T721" s="152"/>
      <c r="U721" s="152"/>
      <c r="V721" s="152"/>
      <c r="W721" s="281"/>
      <c r="X721" s="281"/>
      <c r="Y721" s="281"/>
      <c r="Z721" s="281"/>
      <c r="AA721" s="281"/>
      <c r="AB721" s="281"/>
      <c r="AC721" s="281"/>
      <c r="AD721" s="170"/>
      <c r="AE721" s="152"/>
      <c r="AF721" s="152"/>
      <c r="AG721" s="152"/>
      <c r="AH721" s="152"/>
      <c r="AI721" s="152"/>
      <c r="AJ721" s="152"/>
      <c r="AK721" s="152"/>
      <c r="AL721" s="152"/>
      <c r="AM721" s="152"/>
      <c r="AN721" s="152"/>
      <c r="AO721" s="152"/>
    </row>
    <row r="722" ht="12.75" customHeight="1">
      <c r="A722" s="288"/>
      <c r="B722" s="288"/>
      <c r="C722" s="288"/>
      <c r="D722" s="152"/>
      <c r="E722" s="289"/>
      <c r="F722" s="288"/>
      <c r="G722" s="152"/>
      <c r="H722" s="289"/>
      <c r="I722" s="289"/>
      <c r="J722" s="152"/>
      <c r="K722" s="152"/>
      <c r="L722" s="156"/>
      <c r="M722" s="152"/>
      <c r="N722" s="152"/>
      <c r="O722" s="152"/>
      <c r="P722" s="152"/>
      <c r="Q722" s="152"/>
      <c r="R722" s="152"/>
      <c r="S722" s="152"/>
      <c r="T722" s="152"/>
      <c r="U722" s="152"/>
      <c r="V722" s="152"/>
      <c r="W722" s="281"/>
      <c r="X722" s="281"/>
      <c r="Y722" s="281"/>
      <c r="Z722" s="281"/>
      <c r="AA722" s="281"/>
      <c r="AB722" s="281"/>
      <c r="AC722" s="281"/>
      <c r="AD722" s="170"/>
      <c r="AE722" s="152"/>
      <c r="AF722" s="152"/>
      <c r="AG722" s="152"/>
      <c r="AH722" s="152"/>
      <c r="AI722" s="152"/>
      <c r="AJ722" s="152"/>
      <c r="AK722" s="152"/>
      <c r="AL722" s="152"/>
      <c r="AM722" s="152"/>
      <c r="AN722" s="152"/>
      <c r="AO722" s="152"/>
    </row>
    <row r="723" ht="12.75" customHeight="1">
      <c r="A723" s="288"/>
      <c r="B723" s="288"/>
      <c r="C723" s="288"/>
      <c r="D723" s="152"/>
      <c r="E723" s="289"/>
      <c r="F723" s="288"/>
      <c r="G723" s="152"/>
      <c r="H723" s="289"/>
      <c r="I723" s="289"/>
      <c r="J723" s="152"/>
      <c r="K723" s="152"/>
      <c r="L723" s="156"/>
      <c r="M723" s="152"/>
      <c r="N723" s="152"/>
      <c r="O723" s="152"/>
      <c r="P723" s="152"/>
      <c r="Q723" s="152"/>
      <c r="R723" s="152"/>
      <c r="S723" s="152"/>
      <c r="T723" s="152"/>
      <c r="U723" s="152"/>
      <c r="V723" s="152"/>
      <c r="W723" s="281"/>
      <c r="X723" s="281"/>
      <c r="Y723" s="281"/>
      <c r="Z723" s="281"/>
      <c r="AA723" s="281"/>
      <c r="AB723" s="281"/>
      <c r="AC723" s="281"/>
      <c r="AD723" s="170"/>
      <c r="AE723" s="152"/>
      <c r="AF723" s="152"/>
      <c r="AG723" s="152"/>
      <c r="AH723" s="152"/>
      <c r="AI723" s="152"/>
      <c r="AJ723" s="152"/>
      <c r="AK723" s="152"/>
      <c r="AL723" s="152"/>
      <c r="AM723" s="152"/>
      <c r="AN723" s="152"/>
      <c r="AO723" s="152"/>
    </row>
    <row r="724" ht="12.75" customHeight="1">
      <c r="A724" s="288"/>
      <c r="B724" s="288"/>
      <c r="C724" s="288"/>
      <c r="D724" s="152"/>
      <c r="E724" s="289"/>
      <c r="F724" s="288"/>
      <c r="G724" s="152"/>
      <c r="H724" s="289"/>
      <c r="I724" s="289"/>
      <c r="J724" s="152"/>
      <c r="K724" s="152"/>
      <c r="L724" s="156"/>
      <c r="M724" s="152"/>
      <c r="N724" s="152"/>
      <c r="O724" s="152"/>
      <c r="P724" s="152"/>
      <c r="Q724" s="152"/>
      <c r="R724" s="152"/>
      <c r="S724" s="152"/>
      <c r="T724" s="152"/>
      <c r="U724" s="152"/>
      <c r="V724" s="152"/>
      <c r="W724" s="281"/>
      <c r="X724" s="281"/>
      <c r="Y724" s="281"/>
      <c r="Z724" s="281"/>
      <c r="AA724" s="281"/>
      <c r="AB724" s="281"/>
      <c r="AC724" s="281"/>
      <c r="AD724" s="170"/>
      <c r="AE724" s="152"/>
      <c r="AF724" s="152"/>
      <c r="AG724" s="152"/>
      <c r="AH724" s="152"/>
      <c r="AI724" s="152"/>
      <c r="AJ724" s="152"/>
      <c r="AK724" s="152"/>
      <c r="AL724" s="152"/>
      <c r="AM724" s="152"/>
      <c r="AN724" s="152"/>
      <c r="AO724" s="152"/>
    </row>
    <row r="725" ht="12.75" customHeight="1">
      <c r="A725" s="288"/>
      <c r="B725" s="288"/>
      <c r="C725" s="288"/>
      <c r="D725" s="152"/>
      <c r="E725" s="289"/>
      <c r="F725" s="288"/>
      <c r="G725" s="152"/>
      <c r="H725" s="289"/>
      <c r="I725" s="289"/>
      <c r="J725" s="152"/>
      <c r="K725" s="152"/>
      <c r="L725" s="156"/>
      <c r="M725" s="152"/>
      <c r="N725" s="152"/>
      <c r="O725" s="152"/>
      <c r="P725" s="152"/>
      <c r="Q725" s="152"/>
      <c r="R725" s="152"/>
      <c r="S725" s="152"/>
      <c r="T725" s="152"/>
      <c r="U725" s="152"/>
      <c r="V725" s="152"/>
      <c r="W725" s="281"/>
      <c r="X725" s="281"/>
      <c r="Y725" s="281"/>
      <c r="Z725" s="281"/>
      <c r="AA725" s="281"/>
      <c r="AB725" s="281"/>
      <c r="AC725" s="281"/>
      <c r="AD725" s="170"/>
      <c r="AE725" s="152"/>
      <c r="AF725" s="152"/>
      <c r="AG725" s="152"/>
      <c r="AH725" s="152"/>
      <c r="AI725" s="152"/>
      <c r="AJ725" s="152"/>
      <c r="AK725" s="152"/>
      <c r="AL725" s="152"/>
      <c r="AM725" s="152"/>
      <c r="AN725" s="152"/>
      <c r="AO725" s="152"/>
    </row>
    <row r="726" ht="12.75" customHeight="1">
      <c r="A726" s="288"/>
      <c r="B726" s="288"/>
      <c r="C726" s="288"/>
      <c r="D726" s="152"/>
      <c r="E726" s="289"/>
      <c r="F726" s="288"/>
      <c r="G726" s="152"/>
      <c r="H726" s="289"/>
      <c r="I726" s="289"/>
      <c r="J726" s="152"/>
      <c r="K726" s="152"/>
      <c r="L726" s="156"/>
      <c r="M726" s="152"/>
      <c r="N726" s="152"/>
      <c r="O726" s="152"/>
      <c r="P726" s="152"/>
      <c r="Q726" s="152"/>
      <c r="R726" s="152"/>
      <c r="S726" s="152"/>
      <c r="T726" s="152"/>
      <c r="U726" s="152"/>
      <c r="V726" s="152"/>
      <c r="W726" s="281"/>
      <c r="X726" s="281"/>
      <c r="Y726" s="281"/>
      <c r="Z726" s="281"/>
      <c r="AA726" s="281"/>
      <c r="AB726" s="281"/>
      <c r="AC726" s="281"/>
      <c r="AD726" s="170"/>
      <c r="AE726" s="152"/>
      <c r="AF726" s="152"/>
      <c r="AG726" s="152"/>
      <c r="AH726" s="152"/>
      <c r="AI726" s="152"/>
      <c r="AJ726" s="152"/>
      <c r="AK726" s="152"/>
      <c r="AL726" s="152"/>
      <c r="AM726" s="152"/>
      <c r="AN726" s="152"/>
      <c r="AO726" s="152"/>
    </row>
    <row r="727" ht="12.75" customHeight="1">
      <c r="A727" s="288"/>
      <c r="B727" s="288"/>
      <c r="C727" s="288"/>
      <c r="D727" s="152"/>
      <c r="E727" s="289"/>
      <c r="F727" s="288"/>
      <c r="G727" s="152"/>
      <c r="H727" s="289"/>
      <c r="I727" s="289"/>
      <c r="J727" s="152"/>
      <c r="K727" s="152"/>
      <c r="L727" s="156"/>
      <c r="M727" s="152"/>
      <c r="N727" s="152"/>
      <c r="O727" s="152"/>
      <c r="P727" s="152"/>
      <c r="Q727" s="152"/>
      <c r="R727" s="152"/>
      <c r="S727" s="152"/>
      <c r="T727" s="152"/>
      <c r="U727" s="152"/>
      <c r="V727" s="152"/>
      <c r="W727" s="281"/>
      <c r="X727" s="281"/>
      <c r="Y727" s="281"/>
      <c r="Z727" s="281"/>
      <c r="AA727" s="281"/>
      <c r="AB727" s="281"/>
      <c r="AC727" s="281"/>
      <c r="AD727" s="170"/>
      <c r="AE727" s="152"/>
      <c r="AF727" s="152"/>
      <c r="AG727" s="152"/>
      <c r="AH727" s="152"/>
      <c r="AI727" s="152"/>
      <c r="AJ727" s="152"/>
      <c r="AK727" s="152"/>
      <c r="AL727" s="152"/>
      <c r="AM727" s="152"/>
      <c r="AN727" s="152"/>
      <c r="AO727" s="152"/>
    </row>
    <row r="728" ht="12.75" customHeight="1">
      <c r="A728" s="288"/>
      <c r="B728" s="288"/>
      <c r="C728" s="288"/>
      <c r="D728" s="152"/>
      <c r="E728" s="289"/>
      <c r="F728" s="288"/>
      <c r="G728" s="152"/>
      <c r="H728" s="289"/>
      <c r="I728" s="289"/>
      <c r="J728" s="152"/>
      <c r="K728" s="152"/>
      <c r="L728" s="156"/>
      <c r="M728" s="152"/>
      <c r="N728" s="152"/>
      <c r="O728" s="152"/>
      <c r="P728" s="152"/>
      <c r="Q728" s="152"/>
      <c r="R728" s="152"/>
      <c r="S728" s="152"/>
      <c r="T728" s="152"/>
      <c r="U728" s="152"/>
      <c r="V728" s="152"/>
      <c r="W728" s="281"/>
      <c r="X728" s="281"/>
      <c r="Y728" s="281"/>
      <c r="Z728" s="281"/>
      <c r="AA728" s="281"/>
      <c r="AB728" s="281"/>
      <c r="AC728" s="281"/>
      <c r="AD728" s="170"/>
      <c r="AE728" s="152"/>
      <c r="AF728" s="152"/>
      <c r="AG728" s="152"/>
      <c r="AH728" s="152"/>
      <c r="AI728" s="152"/>
      <c r="AJ728" s="152"/>
      <c r="AK728" s="152"/>
      <c r="AL728" s="152"/>
      <c r="AM728" s="152"/>
      <c r="AN728" s="152"/>
      <c r="AO728" s="152"/>
    </row>
    <row r="729" ht="12.75" customHeight="1">
      <c r="A729" s="288"/>
      <c r="B729" s="288"/>
      <c r="C729" s="288"/>
      <c r="D729" s="152"/>
      <c r="E729" s="289"/>
      <c r="F729" s="288"/>
      <c r="G729" s="152"/>
      <c r="H729" s="289"/>
      <c r="I729" s="289"/>
      <c r="J729" s="152"/>
      <c r="K729" s="152"/>
      <c r="L729" s="156"/>
      <c r="M729" s="152"/>
      <c r="N729" s="152"/>
      <c r="O729" s="152"/>
      <c r="P729" s="152"/>
      <c r="Q729" s="152"/>
      <c r="R729" s="152"/>
      <c r="S729" s="152"/>
      <c r="T729" s="152"/>
      <c r="U729" s="152"/>
      <c r="V729" s="152"/>
      <c r="W729" s="281"/>
      <c r="X729" s="281"/>
      <c r="Y729" s="281"/>
      <c r="Z729" s="281"/>
      <c r="AA729" s="281"/>
      <c r="AB729" s="281"/>
      <c r="AC729" s="281"/>
      <c r="AD729" s="170"/>
      <c r="AE729" s="152"/>
      <c r="AF729" s="152"/>
      <c r="AG729" s="152"/>
      <c r="AH729" s="152"/>
      <c r="AI729" s="152"/>
      <c r="AJ729" s="152"/>
      <c r="AK729" s="152"/>
      <c r="AL729" s="152"/>
      <c r="AM729" s="152"/>
      <c r="AN729" s="152"/>
      <c r="AO729" s="152"/>
    </row>
    <row r="730" ht="12.75" customHeight="1">
      <c r="A730" s="288"/>
      <c r="B730" s="288"/>
      <c r="C730" s="288"/>
      <c r="D730" s="152"/>
      <c r="E730" s="289"/>
      <c r="F730" s="288"/>
      <c r="G730" s="152"/>
      <c r="H730" s="289"/>
      <c r="I730" s="289"/>
      <c r="J730" s="152"/>
      <c r="K730" s="152"/>
      <c r="L730" s="156"/>
      <c r="M730" s="152"/>
      <c r="N730" s="152"/>
      <c r="O730" s="152"/>
      <c r="P730" s="152"/>
      <c r="Q730" s="152"/>
      <c r="R730" s="152"/>
      <c r="S730" s="152"/>
      <c r="T730" s="152"/>
      <c r="U730" s="152"/>
      <c r="V730" s="152"/>
      <c r="W730" s="281"/>
      <c r="X730" s="281"/>
      <c r="Y730" s="281"/>
      <c r="Z730" s="281"/>
      <c r="AA730" s="281"/>
      <c r="AB730" s="281"/>
      <c r="AC730" s="281"/>
      <c r="AD730" s="170"/>
      <c r="AE730" s="152"/>
      <c r="AF730" s="152"/>
      <c r="AG730" s="152"/>
      <c r="AH730" s="152"/>
      <c r="AI730" s="152"/>
      <c r="AJ730" s="152"/>
      <c r="AK730" s="152"/>
      <c r="AL730" s="152"/>
      <c r="AM730" s="152"/>
      <c r="AN730" s="152"/>
      <c r="AO730" s="152"/>
    </row>
    <row r="731" ht="12.75" customHeight="1">
      <c r="A731" s="288"/>
      <c r="B731" s="288"/>
      <c r="C731" s="288"/>
      <c r="D731" s="152"/>
      <c r="E731" s="289"/>
      <c r="F731" s="288"/>
      <c r="G731" s="152"/>
      <c r="H731" s="289"/>
      <c r="I731" s="289"/>
      <c r="J731" s="152"/>
      <c r="K731" s="152"/>
      <c r="L731" s="156"/>
      <c r="M731" s="152"/>
      <c r="N731" s="152"/>
      <c r="O731" s="152"/>
      <c r="P731" s="152"/>
      <c r="Q731" s="152"/>
      <c r="R731" s="152"/>
      <c r="S731" s="152"/>
      <c r="T731" s="152"/>
      <c r="U731" s="152"/>
      <c r="V731" s="152"/>
      <c r="W731" s="281"/>
      <c r="X731" s="281"/>
      <c r="Y731" s="281"/>
      <c r="Z731" s="281"/>
      <c r="AA731" s="281"/>
      <c r="AB731" s="281"/>
      <c r="AC731" s="281"/>
      <c r="AD731" s="170"/>
      <c r="AE731" s="152"/>
      <c r="AF731" s="152"/>
      <c r="AG731" s="152"/>
      <c r="AH731" s="152"/>
      <c r="AI731" s="152"/>
      <c r="AJ731" s="152"/>
      <c r="AK731" s="152"/>
      <c r="AL731" s="152"/>
      <c r="AM731" s="152"/>
      <c r="AN731" s="152"/>
      <c r="AO731" s="152"/>
    </row>
    <row r="732" ht="12.75" customHeight="1">
      <c r="A732" s="288"/>
      <c r="B732" s="288"/>
      <c r="C732" s="288"/>
      <c r="D732" s="152"/>
      <c r="E732" s="289"/>
      <c r="F732" s="288"/>
      <c r="G732" s="152"/>
      <c r="H732" s="289"/>
      <c r="I732" s="289"/>
      <c r="J732" s="152"/>
      <c r="K732" s="152"/>
      <c r="L732" s="156"/>
      <c r="M732" s="152"/>
      <c r="N732" s="152"/>
      <c r="O732" s="152"/>
      <c r="P732" s="152"/>
      <c r="Q732" s="152"/>
      <c r="R732" s="152"/>
      <c r="S732" s="152"/>
      <c r="T732" s="152"/>
      <c r="U732" s="152"/>
      <c r="V732" s="152"/>
      <c r="W732" s="281"/>
      <c r="X732" s="281"/>
      <c r="Y732" s="281"/>
      <c r="Z732" s="281"/>
      <c r="AA732" s="281"/>
      <c r="AB732" s="281"/>
      <c r="AC732" s="281"/>
      <c r="AD732" s="170"/>
      <c r="AE732" s="152"/>
      <c r="AF732" s="152"/>
      <c r="AG732" s="152"/>
      <c r="AH732" s="152"/>
      <c r="AI732" s="152"/>
      <c r="AJ732" s="152"/>
      <c r="AK732" s="152"/>
      <c r="AL732" s="152"/>
      <c r="AM732" s="152"/>
      <c r="AN732" s="152"/>
      <c r="AO732" s="152"/>
    </row>
    <row r="733" ht="12.75" customHeight="1">
      <c r="A733" s="288"/>
      <c r="B733" s="288"/>
      <c r="C733" s="288"/>
      <c r="D733" s="152"/>
      <c r="E733" s="289"/>
      <c r="F733" s="288"/>
      <c r="G733" s="152"/>
      <c r="H733" s="289"/>
      <c r="I733" s="289"/>
      <c r="J733" s="152"/>
      <c r="K733" s="152"/>
      <c r="L733" s="156"/>
      <c r="M733" s="152"/>
      <c r="N733" s="152"/>
      <c r="O733" s="152"/>
      <c r="P733" s="152"/>
      <c r="Q733" s="152"/>
      <c r="R733" s="152"/>
      <c r="S733" s="152"/>
      <c r="T733" s="152"/>
      <c r="U733" s="152"/>
      <c r="V733" s="152"/>
      <c r="W733" s="281"/>
      <c r="X733" s="281"/>
      <c r="Y733" s="281"/>
      <c r="Z733" s="281"/>
      <c r="AA733" s="281"/>
      <c r="AB733" s="281"/>
      <c r="AC733" s="281"/>
      <c r="AD733" s="170"/>
      <c r="AE733" s="152"/>
      <c r="AF733" s="152"/>
      <c r="AG733" s="152"/>
      <c r="AH733" s="152"/>
      <c r="AI733" s="152"/>
      <c r="AJ733" s="152"/>
      <c r="AK733" s="152"/>
      <c r="AL733" s="152"/>
      <c r="AM733" s="152"/>
      <c r="AN733" s="152"/>
      <c r="AO733" s="152"/>
    </row>
    <row r="734" ht="12.75" customHeight="1">
      <c r="A734" s="288"/>
      <c r="B734" s="288"/>
      <c r="C734" s="288"/>
      <c r="D734" s="152"/>
      <c r="E734" s="289"/>
      <c r="F734" s="288"/>
      <c r="G734" s="152"/>
      <c r="H734" s="289"/>
      <c r="I734" s="289"/>
      <c r="J734" s="152"/>
      <c r="K734" s="152"/>
      <c r="L734" s="156"/>
      <c r="M734" s="152"/>
      <c r="N734" s="152"/>
      <c r="O734" s="152"/>
      <c r="P734" s="152"/>
      <c r="Q734" s="152"/>
      <c r="R734" s="152"/>
      <c r="S734" s="152"/>
      <c r="T734" s="152"/>
      <c r="U734" s="152"/>
      <c r="V734" s="152"/>
      <c r="W734" s="281"/>
      <c r="X734" s="281"/>
      <c r="Y734" s="281"/>
      <c r="Z734" s="281"/>
      <c r="AA734" s="281"/>
      <c r="AB734" s="281"/>
      <c r="AC734" s="281"/>
      <c r="AD734" s="170"/>
      <c r="AE734" s="152"/>
      <c r="AF734" s="152"/>
      <c r="AG734" s="152"/>
      <c r="AH734" s="152"/>
      <c r="AI734" s="152"/>
      <c r="AJ734" s="152"/>
      <c r="AK734" s="152"/>
      <c r="AL734" s="152"/>
      <c r="AM734" s="152"/>
      <c r="AN734" s="152"/>
      <c r="AO734" s="152"/>
    </row>
    <row r="735" ht="12.75" customHeight="1">
      <c r="A735" s="288"/>
      <c r="B735" s="288"/>
      <c r="C735" s="288"/>
      <c r="D735" s="152"/>
      <c r="E735" s="289"/>
      <c r="F735" s="288"/>
      <c r="G735" s="152"/>
      <c r="H735" s="289"/>
      <c r="I735" s="289"/>
      <c r="J735" s="152"/>
      <c r="K735" s="152"/>
      <c r="L735" s="156"/>
      <c r="M735" s="152"/>
      <c r="N735" s="152"/>
      <c r="O735" s="152"/>
      <c r="P735" s="152"/>
      <c r="Q735" s="152"/>
      <c r="R735" s="152"/>
      <c r="S735" s="152"/>
      <c r="T735" s="152"/>
      <c r="U735" s="152"/>
      <c r="V735" s="152"/>
      <c r="W735" s="281"/>
      <c r="X735" s="281"/>
      <c r="Y735" s="281"/>
      <c r="Z735" s="281"/>
      <c r="AA735" s="281"/>
      <c r="AB735" s="281"/>
      <c r="AC735" s="281"/>
      <c r="AD735" s="170"/>
      <c r="AE735" s="152"/>
      <c r="AF735" s="152"/>
      <c r="AG735" s="152"/>
      <c r="AH735" s="152"/>
      <c r="AI735" s="152"/>
      <c r="AJ735" s="152"/>
      <c r="AK735" s="152"/>
      <c r="AL735" s="152"/>
      <c r="AM735" s="152"/>
      <c r="AN735" s="152"/>
      <c r="AO735" s="152"/>
    </row>
    <row r="736" ht="12.75" customHeight="1">
      <c r="A736" s="288"/>
      <c r="B736" s="288"/>
      <c r="C736" s="288"/>
      <c r="D736" s="152"/>
      <c r="E736" s="289"/>
      <c r="F736" s="288"/>
      <c r="G736" s="152"/>
      <c r="H736" s="289"/>
      <c r="I736" s="289"/>
      <c r="J736" s="152"/>
      <c r="K736" s="152"/>
      <c r="L736" s="156"/>
      <c r="M736" s="152"/>
      <c r="N736" s="152"/>
      <c r="O736" s="152"/>
      <c r="P736" s="152"/>
      <c r="Q736" s="152"/>
      <c r="R736" s="152"/>
      <c r="S736" s="152"/>
      <c r="T736" s="152"/>
      <c r="U736" s="152"/>
      <c r="V736" s="152"/>
      <c r="W736" s="281"/>
      <c r="X736" s="281"/>
      <c r="Y736" s="281"/>
      <c r="Z736" s="281"/>
      <c r="AA736" s="281"/>
      <c r="AB736" s="281"/>
      <c r="AC736" s="281"/>
      <c r="AD736" s="170"/>
      <c r="AE736" s="152"/>
      <c r="AF736" s="152"/>
      <c r="AG736" s="152"/>
      <c r="AH736" s="152"/>
      <c r="AI736" s="152"/>
      <c r="AJ736" s="152"/>
      <c r="AK736" s="152"/>
      <c r="AL736" s="152"/>
      <c r="AM736" s="152"/>
      <c r="AN736" s="152"/>
      <c r="AO736" s="152"/>
    </row>
    <row r="737" ht="12.75" customHeight="1">
      <c r="A737" s="288"/>
      <c r="B737" s="288"/>
      <c r="C737" s="288"/>
      <c r="D737" s="152"/>
      <c r="E737" s="289"/>
      <c r="F737" s="288"/>
      <c r="G737" s="152"/>
      <c r="H737" s="289"/>
      <c r="I737" s="289"/>
      <c r="J737" s="152"/>
      <c r="K737" s="152"/>
      <c r="L737" s="156"/>
      <c r="M737" s="152"/>
      <c r="N737" s="152"/>
      <c r="O737" s="152"/>
      <c r="P737" s="152"/>
      <c r="Q737" s="152"/>
      <c r="R737" s="152"/>
      <c r="S737" s="152"/>
      <c r="T737" s="152"/>
      <c r="U737" s="152"/>
      <c r="V737" s="152"/>
      <c r="W737" s="281"/>
      <c r="X737" s="281"/>
      <c r="Y737" s="281"/>
      <c r="Z737" s="281"/>
      <c r="AA737" s="281"/>
      <c r="AB737" s="281"/>
      <c r="AC737" s="281"/>
      <c r="AD737" s="170"/>
      <c r="AE737" s="152"/>
      <c r="AF737" s="152"/>
      <c r="AG737" s="152"/>
      <c r="AH737" s="152"/>
      <c r="AI737" s="152"/>
      <c r="AJ737" s="152"/>
      <c r="AK737" s="152"/>
      <c r="AL737" s="152"/>
      <c r="AM737" s="152"/>
      <c r="AN737" s="152"/>
      <c r="AO737" s="152"/>
    </row>
    <row r="738" ht="12.75" customHeight="1">
      <c r="A738" s="288"/>
      <c r="B738" s="288"/>
      <c r="C738" s="288"/>
      <c r="D738" s="152"/>
      <c r="E738" s="289"/>
      <c r="F738" s="288"/>
      <c r="G738" s="152"/>
      <c r="H738" s="289"/>
      <c r="I738" s="289"/>
      <c r="J738" s="152"/>
      <c r="K738" s="152"/>
      <c r="L738" s="156"/>
      <c r="M738" s="152"/>
      <c r="N738" s="152"/>
      <c r="O738" s="152"/>
      <c r="P738" s="152"/>
      <c r="Q738" s="152"/>
      <c r="R738" s="152"/>
      <c r="S738" s="152"/>
      <c r="T738" s="152"/>
      <c r="U738" s="152"/>
      <c r="V738" s="152"/>
      <c r="W738" s="281"/>
      <c r="X738" s="281"/>
      <c r="Y738" s="281"/>
      <c r="Z738" s="281"/>
      <c r="AA738" s="281"/>
      <c r="AB738" s="281"/>
      <c r="AC738" s="281"/>
      <c r="AD738" s="170"/>
      <c r="AE738" s="152"/>
      <c r="AF738" s="152"/>
      <c r="AG738" s="152"/>
      <c r="AH738" s="152"/>
      <c r="AI738" s="152"/>
      <c r="AJ738" s="152"/>
      <c r="AK738" s="152"/>
      <c r="AL738" s="152"/>
      <c r="AM738" s="152"/>
      <c r="AN738" s="152"/>
      <c r="AO738" s="152"/>
    </row>
    <row r="739" ht="12.75" customHeight="1">
      <c r="A739" s="288"/>
      <c r="B739" s="288"/>
      <c r="C739" s="288"/>
      <c r="D739" s="152"/>
      <c r="E739" s="289"/>
      <c r="F739" s="288"/>
      <c r="G739" s="152"/>
      <c r="H739" s="289"/>
      <c r="I739" s="289"/>
      <c r="J739" s="152"/>
      <c r="K739" s="152"/>
      <c r="L739" s="156"/>
      <c r="M739" s="152"/>
      <c r="N739" s="152"/>
      <c r="O739" s="152"/>
      <c r="P739" s="152"/>
      <c r="Q739" s="152"/>
      <c r="R739" s="152"/>
      <c r="S739" s="152"/>
      <c r="T739" s="152"/>
      <c r="U739" s="152"/>
      <c r="V739" s="152"/>
      <c r="W739" s="281"/>
      <c r="X739" s="281"/>
      <c r="Y739" s="281"/>
      <c r="Z739" s="281"/>
      <c r="AA739" s="281"/>
      <c r="AB739" s="281"/>
      <c r="AC739" s="281"/>
      <c r="AD739" s="170"/>
      <c r="AE739" s="152"/>
      <c r="AF739" s="152"/>
      <c r="AG739" s="152"/>
      <c r="AH739" s="152"/>
      <c r="AI739" s="152"/>
      <c r="AJ739" s="152"/>
      <c r="AK739" s="152"/>
      <c r="AL739" s="152"/>
      <c r="AM739" s="152"/>
      <c r="AN739" s="152"/>
      <c r="AO739" s="152"/>
    </row>
    <row r="740" ht="12.75" customHeight="1">
      <c r="A740" s="288"/>
      <c r="B740" s="288"/>
      <c r="C740" s="288"/>
      <c r="D740" s="152"/>
      <c r="E740" s="289"/>
      <c r="F740" s="288"/>
      <c r="G740" s="152"/>
      <c r="H740" s="289"/>
      <c r="I740" s="289"/>
      <c r="J740" s="152"/>
      <c r="K740" s="152"/>
      <c r="L740" s="156"/>
      <c r="M740" s="152"/>
      <c r="N740" s="152"/>
      <c r="O740" s="152"/>
      <c r="P740" s="152"/>
      <c r="Q740" s="152"/>
      <c r="R740" s="152"/>
      <c r="S740" s="152"/>
      <c r="T740" s="152"/>
      <c r="U740" s="152"/>
      <c r="V740" s="152"/>
      <c r="W740" s="281"/>
      <c r="X740" s="281"/>
      <c r="Y740" s="281"/>
      <c r="Z740" s="281"/>
      <c r="AA740" s="281"/>
      <c r="AB740" s="281"/>
      <c r="AC740" s="281"/>
      <c r="AD740" s="170"/>
      <c r="AE740" s="152"/>
      <c r="AF740" s="152"/>
      <c r="AG740" s="152"/>
      <c r="AH740" s="152"/>
      <c r="AI740" s="152"/>
      <c r="AJ740" s="152"/>
      <c r="AK740" s="152"/>
      <c r="AL740" s="152"/>
      <c r="AM740" s="152"/>
      <c r="AN740" s="152"/>
      <c r="AO740" s="152"/>
    </row>
    <row r="741" ht="12.75" customHeight="1">
      <c r="A741" s="288"/>
      <c r="B741" s="288"/>
      <c r="C741" s="288"/>
      <c r="D741" s="152"/>
      <c r="E741" s="289"/>
      <c r="F741" s="288"/>
      <c r="G741" s="152"/>
      <c r="H741" s="289"/>
      <c r="I741" s="289"/>
      <c r="J741" s="152"/>
      <c r="K741" s="152"/>
      <c r="L741" s="156"/>
      <c r="M741" s="152"/>
      <c r="N741" s="152"/>
      <c r="O741" s="152"/>
      <c r="P741" s="152"/>
      <c r="Q741" s="152"/>
      <c r="R741" s="152"/>
      <c r="S741" s="152"/>
      <c r="T741" s="152"/>
      <c r="U741" s="152"/>
      <c r="V741" s="152"/>
      <c r="W741" s="281"/>
      <c r="X741" s="281"/>
      <c r="Y741" s="281"/>
      <c r="Z741" s="281"/>
      <c r="AA741" s="281"/>
      <c r="AB741" s="281"/>
      <c r="AC741" s="281"/>
      <c r="AD741" s="170"/>
      <c r="AE741" s="152"/>
      <c r="AF741" s="152"/>
      <c r="AG741" s="152"/>
      <c r="AH741" s="152"/>
      <c r="AI741" s="152"/>
      <c r="AJ741" s="152"/>
      <c r="AK741" s="152"/>
      <c r="AL741" s="152"/>
      <c r="AM741" s="152"/>
      <c r="AN741" s="152"/>
      <c r="AO741" s="152"/>
    </row>
    <row r="742" ht="12.75" customHeight="1">
      <c r="A742" s="288"/>
      <c r="B742" s="288"/>
      <c r="C742" s="288"/>
      <c r="D742" s="152"/>
      <c r="E742" s="289"/>
      <c r="F742" s="288"/>
      <c r="G742" s="152"/>
      <c r="H742" s="289"/>
      <c r="I742" s="289"/>
      <c r="J742" s="152"/>
      <c r="K742" s="152"/>
      <c r="L742" s="156"/>
      <c r="M742" s="152"/>
      <c r="N742" s="152"/>
      <c r="O742" s="152"/>
      <c r="P742" s="152"/>
      <c r="Q742" s="152"/>
      <c r="R742" s="152"/>
      <c r="S742" s="152"/>
      <c r="T742" s="152"/>
      <c r="U742" s="152"/>
      <c r="V742" s="152"/>
      <c r="W742" s="281"/>
      <c r="X742" s="281"/>
      <c r="Y742" s="281"/>
      <c r="Z742" s="281"/>
      <c r="AA742" s="281"/>
      <c r="AB742" s="281"/>
      <c r="AC742" s="281"/>
      <c r="AD742" s="170"/>
      <c r="AE742" s="152"/>
      <c r="AF742" s="152"/>
      <c r="AG742" s="152"/>
      <c r="AH742" s="152"/>
      <c r="AI742" s="152"/>
      <c r="AJ742" s="152"/>
      <c r="AK742" s="152"/>
      <c r="AL742" s="152"/>
      <c r="AM742" s="152"/>
      <c r="AN742" s="152"/>
      <c r="AO742" s="152"/>
    </row>
    <row r="743" ht="12.75" customHeight="1">
      <c r="A743" s="288"/>
      <c r="B743" s="288"/>
      <c r="C743" s="288"/>
      <c r="D743" s="152"/>
      <c r="E743" s="289"/>
      <c r="F743" s="288"/>
      <c r="G743" s="152"/>
      <c r="H743" s="289"/>
      <c r="I743" s="289"/>
      <c r="J743" s="152"/>
      <c r="K743" s="152"/>
      <c r="L743" s="156"/>
      <c r="M743" s="152"/>
      <c r="N743" s="152"/>
      <c r="O743" s="152"/>
      <c r="P743" s="152"/>
      <c r="Q743" s="152"/>
      <c r="R743" s="152"/>
      <c r="S743" s="152"/>
      <c r="T743" s="152"/>
      <c r="U743" s="152"/>
      <c r="V743" s="152"/>
      <c r="W743" s="281"/>
      <c r="X743" s="281"/>
      <c r="Y743" s="281"/>
      <c r="Z743" s="281"/>
      <c r="AA743" s="281"/>
      <c r="AB743" s="281"/>
      <c r="AC743" s="281"/>
      <c r="AD743" s="170"/>
      <c r="AE743" s="152"/>
      <c r="AF743" s="152"/>
      <c r="AG743" s="152"/>
      <c r="AH743" s="152"/>
      <c r="AI743" s="152"/>
      <c r="AJ743" s="152"/>
      <c r="AK743" s="152"/>
      <c r="AL743" s="152"/>
      <c r="AM743" s="152"/>
      <c r="AN743" s="152"/>
      <c r="AO743" s="152"/>
    </row>
    <row r="744" ht="12.75" customHeight="1">
      <c r="A744" s="288"/>
      <c r="B744" s="288"/>
      <c r="C744" s="288"/>
      <c r="D744" s="152"/>
      <c r="E744" s="289"/>
      <c r="F744" s="288"/>
      <c r="G744" s="152"/>
      <c r="H744" s="289"/>
      <c r="I744" s="289"/>
      <c r="J744" s="152"/>
      <c r="K744" s="152"/>
      <c r="L744" s="156"/>
      <c r="M744" s="152"/>
      <c r="N744" s="152"/>
      <c r="O744" s="152"/>
      <c r="P744" s="152"/>
      <c r="Q744" s="152"/>
      <c r="R744" s="152"/>
      <c r="S744" s="152"/>
      <c r="T744" s="152"/>
      <c r="U744" s="152"/>
      <c r="V744" s="152"/>
      <c r="W744" s="281"/>
      <c r="X744" s="281"/>
      <c r="Y744" s="281"/>
      <c r="Z744" s="281"/>
      <c r="AA744" s="281"/>
      <c r="AB744" s="281"/>
      <c r="AC744" s="281"/>
      <c r="AD744" s="170"/>
      <c r="AE744" s="152"/>
      <c r="AF744" s="152"/>
      <c r="AG744" s="152"/>
      <c r="AH744" s="152"/>
      <c r="AI744" s="152"/>
      <c r="AJ744" s="152"/>
      <c r="AK744" s="152"/>
      <c r="AL744" s="152"/>
      <c r="AM744" s="152"/>
      <c r="AN744" s="152"/>
      <c r="AO744" s="152"/>
    </row>
    <row r="745" ht="12.75" customHeight="1">
      <c r="A745" s="288"/>
      <c r="B745" s="288"/>
      <c r="C745" s="288"/>
      <c r="D745" s="152"/>
      <c r="E745" s="289"/>
      <c r="F745" s="288"/>
      <c r="G745" s="152"/>
      <c r="H745" s="289"/>
      <c r="I745" s="289"/>
      <c r="J745" s="152"/>
      <c r="K745" s="152"/>
      <c r="L745" s="156"/>
      <c r="M745" s="152"/>
      <c r="N745" s="152"/>
      <c r="O745" s="152"/>
      <c r="P745" s="152"/>
      <c r="Q745" s="152"/>
      <c r="R745" s="152"/>
      <c r="S745" s="152"/>
      <c r="T745" s="152"/>
      <c r="U745" s="152"/>
      <c r="V745" s="152"/>
      <c r="W745" s="281"/>
      <c r="X745" s="281"/>
      <c r="Y745" s="281"/>
      <c r="Z745" s="281"/>
      <c r="AA745" s="281"/>
      <c r="AB745" s="281"/>
      <c r="AC745" s="281"/>
      <c r="AD745" s="170"/>
      <c r="AE745" s="152"/>
      <c r="AF745" s="152"/>
      <c r="AG745" s="152"/>
      <c r="AH745" s="152"/>
      <c r="AI745" s="152"/>
      <c r="AJ745" s="152"/>
      <c r="AK745" s="152"/>
      <c r="AL745" s="152"/>
      <c r="AM745" s="152"/>
      <c r="AN745" s="152"/>
      <c r="AO745" s="152"/>
    </row>
    <row r="746" ht="12.75" customHeight="1">
      <c r="A746" s="288"/>
      <c r="B746" s="288"/>
      <c r="C746" s="288"/>
      <c r="D746" s="152"/>
      <c r="E746" s="289"/>
      <c r="F746" s="288"/>
      <c r="G746" s="152"/>
      <c r="H746" s="289"/>
      <c r="I746" s="289"/>
      <c r="J746" s="152"/>
      <c r="K746" s="152"/>
      <c r="L746" s="156"/>
      <c r="M746" s="152"/>
      <c r="N746" s="152"/>
      <c r="O746" s="152"/>
      <c r="P746" s="152"/>
      <c r="Q746" s="152"/>
      <c r="R746" s="152"/>
      <c r="S746" s="152"/>
      <c r="T746" s="152"/>
      <c r="U746" s="152"/>
      <c r="V746" s="152"/>
      <c r="W746" s="281"/>
      <c r="X746" s="281"/>
      <c r="Y746" s="281"/>
      <c r="Z746" s="281"/>
      <c r="AA746" s="281"/>
      <c r="AB746" s="281"/>
      <c r="AC746" s="281"/>
      <c r="AD746" s="170"/>
      <c r="AE746" s="152"/>
      <c r="AF746" s="152"/>
      <c r="AG746" s="152"/>
      <c r="AH746" s="152"/>
      <c r="AI746" s="152"/>
      <c r="AJ746" s="152"/>
      <c r="AK746" s="152"/>
      <c r="AL746" s="152"/>
      <c r="AM746" s="152"/>
      <c r="AN746" s="152"/>
      <c r="AO746" s="152"/>
    </row>
    <row r="747" ht="12.75" customHeight="1">
      <c r="A747" s="288"/>
      <c r="B747" s="288"/>
      <c r="C747" s="288"/>
      <c r="D747" s="152"/>
      <c r="E747" s="289"/>
      <c r="F747" s="288"/>
      <c r="G747" s="152"/>
      <c r="H747" s="289"/>
      <c r="I747" s="289"/>
      <c r="J747" s="152"/>
      <c r="K747" s="152"/>
      <c r="L747" s="156"/>
      <c r="M747" s="152"/>
      <c r="N747" s="152"/>
      <c r="O747" s="152"/>
      <c r="P747" s="152"/>
      <c r="Q747" s="152"/>
      <c r="R747" s="152"/>
      <c r="S747" s="152"/>
      <c r="T747" s="152"/>
      <c r="U747" s="152"/>
      <c r="V747" s="152"/>
      <c r="W747" s="281"/>
      <c r="X747" s="281"/>
      <c r="Y747" s="281"/>
      <c r="Z747" s="281"/>
      <c r="AA747" s="281"/>
      <c r="AB747" s="281"/>
      <c r="AC747" s="281"/>
      <c r="AD747" s="170"/>
      <c r="AE747" s="152"/>
      <c r="AF747" s="152"/>
      <c r="AG747" s="152"/>
      <c r="AH747" s="152"/>
      <c r="AI747" s="152"/>
      <c r="AJ747" s="152"/>
      <c r="AK747" s="152"/>
      <c r="AL747" s="152"/>
      <c r="AM747" s="152"/>
      <c r="AN747" s="152"/>
      <c r="AO747" s="152"/>
    </row>
    <row r="748" ht="12.75" customHeight="1">
      <c r="A748" s="288"/>
      <c r="B748" s="288"/>
      <c r="C748" s="288"/>
      <c r="D748" s="152"/>
      <c r="E748" s="289"/>
      <c r="F748" s="288"/>
      <c r="G748" s="152"/>
      <c r="H748" s="289"/>
      <c r="I748" s="289"/>
      <c r="J748" s="152"/>
      <c r="K748" s="152"/>
      <c r="L748" s="156"/>
      <c r="M748" s="152"/>
      <c r="N748" s="152"/>
      <c r="O748" s="152"/>
      <c r="P748" s="152"/>
      <c r="Q748" s="152"/>
      <c r="R748" s="152"/>
      <c r="S748" s="152"/>
      <c r="T748" s="152"/>
      <c r="U748" s="152"/>
      <c r="V748" s="152"/>
      <c r="W748" s="281"/>
      <c r="X748" s="281"/>
      <c r="Y748" s="281"/>
      <c r="Z748" s="281"/>
      <c r="AA748" s="281"/>
      <c r="AB748" s="281"/>
      <c r="AC748" s="281"/>
      <c r="AD748" s="170"/>
      <c r="AE748" s="152"/>
      <c r="AF748" s="152"/>
      <c r="AG748" s="152"/>
      <c r="AH748" s="152"/>
      <c r="AI748" s="152"/>
      <c r="AJ748" s="152"/>
      <c r="AK748" s="152"/>
      <c r="AL748" s="152"/>
      <c r="AM748" s="152"/>
      <c r="AN748" s="152"/>
      <c r="AO748" s="152"/>
    </row>
    <row r="749" ht="12.75" customHeight="1">
      <c r="A749" s="288"/>
      <c r="B749" s="288"/>
      <c r="C749" s="288"/>
      <c r="D749" s="152"/>
      <c r="E749" s="289"/>
      <c r="F749" s="288"/>
      <c r="G749" s="152"/>
      <c r="H749" s="289"/>
      <c r="I749" s="289"/>
      <c r="J749" s="152"/>
      <c r="K749" s="152"/>
      <c r="L749" s="156"/>
      <c r="M749" s="152"/>
      <c r="N749" s="152"/>
      <c r="O749" s="152"/>
      <c r="P749" s="152"/>
      <c r="Q749" s="152"/>
      <c r="R749" s="152"/>
      <c r="S749" s="152"/>
      <c r="T749" s="152"/>
      <c r="U749" s="152"/>
      <c r="V749" s="152"/>
      <c r="W749" s="281"/>
      <c r="X749" s="281"/>
      <c r="Y749" s="281"/>
      <c r="Z749" s="281"/>
      <c r="AA749" s="281"/>
      <c r="AB749" s="281"/>
      <c r="AC749" s="281"/>
      <c r="AD749" s="170"/>
      <c r="AE749" s="152"/>
      <c r="AF749" s="152"/>
      <c r="AG749" s="152"/>
      <c r="AH749" s="152"/>
      <c r="AI749" s="152"/>
      <c r="AJ749" s="152"/>
      <c r="AK749" s="152"/>
      <c r="AL749" s="152"/>
      <c r="AM749" s="152"/>
      <c r="AN749" s="152"/>
      <c r="AO749" s="152"/>
    </row>
    <row r="750" ht="12.75" customHeight="1">
      <c r="A750" s="288"/>
      <c r="B750" s="288"/>
      <c r="C750" s="288"/>
      <c r="D750" s="152"/>
      <c r="E750" s="289"/>
      <c r="F750" s="288"/>
      <c r="G750" s="152"/>
      <c r="H750" s="289"/>
      <c r="I750" s="289"/>
      <c r="J750" s="152"/>
      <c r="K750" s="152"/>
      <c r="L750" s="156"/>
      <c r="M750" s="152"/>
      <c r="N750" s="152"/>
      <c r="O750" s="152"/>
      <c r="P750" s="152"/>
      <c r="Q750" s="152"/>
      <c r="R750" s="152"/>
      <c r="S750" s="152"/>
      <c r="T750" s="152"/>
      <c r="U750" s="152"/>
      <c r="V750" s="152"/>
      <c r="W750" s="281"/>
      <c r="X750" s="281"/>
      <c r="Y750" s="281"/>
      <c r="Z750" s="281"/>
      <c r="AA750" s="281"/>
      <c r="AB750" s="281"/>
      <c r="AC750" s="281"/>
      <c r="AD750" s="170"/>
      <c r="AE750" s="152"/>
      <c r="AF750" s="152"/>
      <c r="AG750" s="152"/>
      <c r="AH750" s="152"/>
      <c r="AI750" s="152"/>
      <c r="AJ750" s="152"/>
      <c r="AK750" s="152"/>
      <c r="AL750" s="152"/>
      <c r="AM750" s="152"/>
      <c r="AN750" s="152"/>
      <c r="AO750" s="152"/>
    </row>
    <row r="751" ht="12.75" customHeight="1">
      <c r="A751" s="288"/>
      <c r="B751" s="288"/>
      <c r="C751" s="288"/>
      <c r="D751" s="152"/>
      <c r="E751" s="289"/>
      <c r="F751" s="288"/>
      <c r="G751" s="152"/>
      <c r="H751" s="289"/>
      <c r="I751" s="289"/>
      <c r="J751" s="152"/>
      <c r="K751" s="152"/>
      <c r="L751" s="156"/>
      <c r="M751" s="152"/>
      <c r="N751" s="152"/>
      <c r="O751" s="152"/>
      <c r="P751" s="152"/>
      <c r="Q751" s="152"/>
      <c r="R751" s="152"/>
      <c r="S751" s="152"/>
      <c r="T751" s="152"/>
      <c r="U751" s="152"/>
      <c r="V751" s="152"/>
      <c r="W751" s="281"/>
      <c r="X751" s="281"/>
      <c r="Y751" s="281"/>
      <c r="Z751" s="281"/>
      <c r="AA751" s="281"/>
      <c r="AB751" s="281"/>
      <c r="AC751" s="281"/>
      <c r="AD751" s="170"/>
      <c r="AE751" s="152"/>
      <c r="AF751" s="152"/>
      <c r="AG751" s="152"/>
      <c r="AH751" s="152"/>
      <c r="AI751" s="152"/>
      <c r="AJ751" s="152"/>
      <c r="AK751" s="152"/>
      <c r="AL751" s="152"/>
      <c r="AM751" s="152"/>
      <c r="AN751" s="152"/>
      <c r="AO751" s="152"/>
    </row>
    <row r="752" ht="12.75" customHeight="1">
      <c r="A752" s="288"/>
      <c r="B752" s="288"/>
      <c r="C752" s="288"/>
      <c r="D752" s="152"/>
      <c r="E752" s="289"/>
      <c r="F752" s="288"/>
      <c r="G752" s="152"/>
      <c r="H752" s="289"/>
      <c r="I752" s="289"/>
      <c r="J752" s="152"/>
      <c r="K752" s="152"/>
      <c r="L752" s="156"/>
      <c r="M752" s="152"/>
      <c r="N752" s="152"/>
      <c r="O752" s="152"/>
      <c r="P752" s="152"/>
      <c r="Q752" s="152"/>
      <c r="R752" s="152"/>
      <c r="S752" s="152"/>
      <c r="T752" s="152"/>
      <c r="U752" s="152"/>
      <c r="V752" s="152"/>
      <c r="W752" s="281"/>
      <c r="X752" s="281"/>
      <c r="Y752" s="281"/>
      <c r="Z752" s="281"/>
      <c r="AA752" s="281"/>
      <c r="AB752" s="281"/>
      <c r="AC752" s="281"/>
      <c r="AD752" s="170"/>
      <c r="AE752" s="152"/>
      <c r="AF752" s="152"/>
      <c r="AG752" s="152"/>
      <c r="AH752" s="152"/>
      <c r="AI752" s="152"/>
      <c r="AJ752" s="152"/>
      <c r="AK752" s="152"/>
      <c r="AL752" s="152"/>
      <c r="AM752" s="152"/>
      <c r="AN752" s="152"/>
      <c r="AO752" s="152"/>
    </row>
    <row r="753" ht="12.75" customHeight="1">
      <c r="A753" s="288"/>
      <c r="B753" s="288"/>
      <c r="C753" s="288"/>
      <c r="D753" s="152"/>
      <c r="E753" s="289"/>
      <c r="F753" s="288"/>
      <c r="G753" s="152"/>
      <c r="H753" s="289"/>
      <c r="I753" s="289"/>
      <c r="J753" s="152"/>
      <c r="K753" s="152"/>
      <c r="L753" s="156"/>
      <c r="M753" s="152"/>
      <c r="N753" s="152"/>
      <c r="O753" s="152"/>
      <c r="P753" s="152"/>
      <c r="Q753" s="152"/>
      <c r="R753" s="152"/>
      <c r="S753" s="152"/>
      <c r="T753" s="152"/>
      <c r="U753" s="152"/>
      <c r="V753" s="152"/>
      <c r="W753" s="281"/>
      <c r="X753" s="281"/>
      <c r="Y753" s="281"/>
      <c r="Z753" s="281"/>
      <c r="AA753" s="281"/>
      <c r="AB753" s="281"/>
      <c r="AC753" s="281"/>
      <c r="AD753" s="170"/>
      <c r="AE753" s="152"/>
      <c r="AF753" s="152"/>
      <c r="AG753" s="152"/>
      <c r="AH753" s="152"/>
      <c r="AI753" s="152"/>
      <c r="AJ753" s="152"/>
      <c r="AK753" s="152"/>
      <c r="AL753" s="152"/>
      <c r="AM753" s="152"/>
      <c r="AN753" s="152"/>
      <c r="AO753" s="152"/>
    </row>
    <row r="754" ht="12.75" customHeight="1">
      <c r="A754" s="288"/>
      <c r="B754" s="288"/>
      <c r="C754" s="288"/>
      <c r="D754" s="152"/>
      <c r="E754" s="289"/>
      <c r="F754" s="288"/>
      <c r="G754" s="152"/>
      <c r="H754" s="289"/>
      <c r="I754" s="289"/>
      <c r="J754" s="152"/>
      <c r="K754" s="152"/>
      <c r="L754" s="156"/>
      <c r="M754" s="152"/>
      <c r="N754" s="152"/>
      <c r="O754" s="152"/>
      <c r="P754" s="152"/>
      <c r="Q754" s="152"/>
      <c r="R754" s="152"/>
      <c r="S754" s="152"/>
      <c r="T754" s="152"/>
      <c r="U754" s="152"/>
      <c r="V754" s="152"/>
      <c r="W754" s="281"/>
      <c r="X754" s="281"/>
      <c r="Y754" s="281"/>
      <c r="Z754" s="281"/>
      <c r="AA754" s="281"/>
      <c r="AB754" s="281"/>
      <c r="AC754" s="281"/>
      <c r="AD754" s="170"/>
      <c r="AE754" s="152"/>
      <c r="AF754" s="152"/>
      <c r="AG754" s="152"/>
      <c r="AH754" s="152"/>
      <c r="AI754" s="152"/>
      <c r="AJ754" s="152"/>
      <c r="AK754" s="152"/>
      <c r="AL754" s="152"/>
      <c r="AM754" s="152"/>
      <c r="AN754" s="152"/>
      <c r="AO754" s="152"/>
    </row>
    <row r="755" ht="12.75" customHeight="1">
      <c r="A755" s="288"/>
      <c r="B755" s="288"/>
      <c r="C755" s="288"/>
      <c r="D755" s="152"/>
      <c r="E755" s="289"/>
      <c r="F755" s="288"/>
      <c r="G755" s="152"/>
      <c r="H755" s="289"/>
      <c r="I755" s="289"/>
      <c r="J755" s="152"/>
      <c r="K755" s="152"/>
      <c r="L755" s="156"/>
      <c r="M755" s="152"/>
      <c r="N755" s="152"/>
      <c r="O755" s="152"/>
      <c r="P755" s="152"/>
      <c r="Q755" s="152"/>
      <c r="R755" s="152"/>
      <c r="S755" s="152"/>
      <c r="T755" s="152"/>
      <c r="U755" s="152"/>
      <c r="V755" s="152"/>
      <c r="W755" s="281"/>
      <c r="X755" s="281"/>
      <c r="Y755" s="281"/>
      <c r="Z755" s="281"/>
      <c r="AA755" s="281"/>
      <c r="AB755" s="281"/>
      <c r="AC755" s="281"/>
      <c r="AD755" s="170"/>
      <c r="AE755" s="152"/>
      <c r="AF755" s="152"/>
      <c r="AG755" s="152"/>
      <c r="AH755" s="152"/>
      <c r="AI755" s="152"/>
      <c r="AJ755" s="152"/>
      <c r="AK755" s="152"/>
      <c r="AL755" s="152"/>
      <c r="AM755" s="152"/>
      <c r="AN755" s="152"/>
      <c r="AO755" s="152"/>
    </row>
    <row r="756" ht="12.75" customHeight="1">
      <c r="A756" s="288"/>
      <c r="B756" s="288"/>
      <c r="C756" s="288"/>
      <c r="D756" s="152"/>
      <c r="E756" s="289"/>
      <c r="F756" s="288"/>
      <c r="G756" s="152"/>
      <c r="H756" s="289"/>
      <c r="I756" s="289"/>
      <c r="J756" s="152"/>
      <c r="K756" s="152"/>
      <c r="L756" s="156"/>
      <c r="M756" s="152"/>
      <c r="N756" s="152"/>
      <c r="O756" s="152"/>
      <c r="P756" s="152"/>
      <c r="Q756" s="152"/>
      <c r="R756" s="152"/>
      <c r="S756" s="152"/>
      <c r="T756" s="152"/>
      <c r="U756" s="152"/>
      <c r="V756" s="152"/>
      <c r="W756" s="281"/>
      <c r="X756" s="281"/>
      <c r="Y756" s="281"/>
      <c r="Z756" s="281"/>
      <c r="AA756" s="281"/>
      <c r="AB756" s="281"/>
      <c r="AC756" s="281"/>
      <c r="AD756" s="170"/>
      <c r="AE756" s="152"/>
      <c r="AF756" s="152"/>
      <c r="AG756" s="152"/>
      <c r="AH756" s="152"/>
      <c r="AI756" s="152"/>
      <c r="AJ756" s="152"/>
      <c r="AK756" s="152"/>
      <c r="AL756" s="152"/>
      <c r="AM756" s="152"/>
      <c r="AN756" s="152"/>
      <c r="AO756" s="152"/>
    </row>
    <row r="757" ht="12.75" customHeight="1">
      <c r="A757" s="288"/>
      <c r="B757" s="288"/>
      <c r="C757" s="288"/>
      <c r="D757" s="152"/>
      <c r="E757" s="289"/>
      <c r="F757" s="288"/>
      <c r="G757" s="152"/>
      <c r="H757" s="289"/>
      <c r="I757" s="289"/>
      <c r="J757" s="152"/>
      <c r="K757" s="152"/>
      <c r="L757" s="156"/>
      <c r="M757" s="152"/>
      <c r="N757" s="152"/>
      <c r="O757" s="152"/>
      <c r="P757" s="152"/>
      <c r="Q757" s="152"/>
      <c r="R757" s="152"/>
      <c r="S757" s="152"/>
      <c r="T757" s="152"/>
      <c r="U757" s="152"/>
      <c r="V757" s="152"/>
      <c r="W757" s="281"/>
      <c r="X757" s="281"/>
      <c r="Y757" s="281"/>
      <c r="Z757" s="281"/>
      <c r="AA757" s="281"/>
      <c r="AB757" s="281"/>
      <c r="AC757" s="281"/>
      <c r="AD757" s="170"/>
      <c r="AE757" s="152"/>
      <c r="AF757" s="152"/>
      <c r="AG757" s="152"/>
      <c r="AH757" s="152"/>
      <c r="AI757" s="152"/>
      <c r="AJ757" s="152"/>
      <c r="AK757" s="152"/>
      <c r="AL757" s="152"/>
      <c r="AM757" s="152"/>
      <c r="AN757" s="152"/>
      <c r="AO757" s="152"/>
    </row>
    <row r="758" ht="12.75" customHeight="1">
      <c r="A758" s="288"/>
      <c r="B758" s="288"/>
      <c r="C758" s="288"/>
      <c r="D758" s="152"/>
      <c r="E758" s="289"/>
      <c r="F758" s="288"/>
      <c r="G758" s="152"/>
      <c r="H758" s="289"/>
      <c r="I758" s="289"/>
      <c r="J758" s="152"/>
      <c r="K758" s="152"/>
      <c r="L758" s="156"/>
      <c r="M758" s="152"/>
      <c r="N758" s="152"/>
      <c r="O758" s="152"/>
      <c r="P758" s="152"/>
      <c r="Q758" s="152"/>
      <c r="R758" s="152"/>
      <c r="S758" s="152"/>
      <c r="T758" s="152"/>
      <c r="U758" s="152"/>
      <c r="V758" s="152"/>
      <c r="W758" s="281"/>
      <c r="X758" s="281"/>
      <c r="Y758" s="281"/>
      <c r="Z758" s="281"/>
      <c r="AA758" s="281"/>
      <c r="AB758" s="281"/>
      <c r="AC758" s="281"/>
      <c r="AD758" s="170"/>
      <c r="AE758" s="152"/>
      <c r="AF758" s="152"/>
      <c r="AG758" s="152"/>
      <c r="AH758" s="152"/>
      <c r="AI758" s="152"/>
      <c r="AJ758" s="152"/>
      <c r="AK758" s="152"/>
      <c r="AL758" s="152"/>
      <c r="AM758" s="152"/>
      <c r="AN758" s="152"/>
      <c r="AO758" s="152"/>
    </row>
    <row r="759" ht="12.75" customHeight="1">
      <c r="A759" s="288"/>
      <c r="B759" s="288"/>
      <c r="C759" s="288"/>
      <c r="D759" s="152"/>
      <c r="E759" s="289"/>
      <c r="F759" s="288"/>
      <c r="G759" s="152"/>
      <c r="H759" s="289"/>
      <c r="I759" s="289"/>
      <c r="J759" s="152"/>
      <c r="K759" s="152"/>
      <c r="L759" s="156"/>
      <c r="M759" s="152"/>
      <c r="N759" s="152"/>
      <c r="O759" s="152"/>
      <c r="P759" s="152"/>
      <c r="Q759" s="152"/>
      <c r="R759" s="152"/>
      <c r="S759" s="152"/>
      <c r="T759" s="152"/>
      <c r="U759" s="152"/>
      <c r="V759" s="152"/>
      <c r="W759" s="281"/>
      <c r="X759" s="281"/>
      <c r="Y759" s="281"/>
      <c r="Z759" s="281"/>
      <c r="AA759" s="281"/>
      <c r="AB759" s="281"/>
      <c r="AC759" s="281"/>
      <c r="AD759" s="170"/>
      <c r="AE759" s="152"/>
      <c r="AF759" s="152"/>
      <c r="AG759" s="152"/>
      <c r="AH759" s="152"/>
      <c r="AI759" s="152"/>
      <c r="AJ759" s="152"/>
      <c r="AK759" s="152"/>
      <c r="AL759" s="152"/>
      <c r="AM759" s="152"/>
      <c r="AN759" s="152"/>
      <c r="AO759" s="152"/>
    </row>
    <row r="760" ht="12.75" customHeight="1">
      <c r="A760" s="288"/>
      <c r="B760" s="288"/>
      <c r="C760" s="288"/>
      <c r="D760" s="152"/>
      <c r="E760" s="289"/>
      <c r="F760" s="288"/>
      <c r="G760" s="152"/>
      <c r="H760" s="289"/>
      <c r="I760" s="289"/>
      <c r="J760" s="152"/>
      <c r="K760" s="152"/>
      <c r="L760" s="156"/>
      <c r="M760" s="152"/>
      <c r="N760" s="152"/>
      <c r="O760" s="152"/>
      <c r="P760" s="152"/>
      <c r="Q760" s="152"/>
      <c r="R760" s="152"/>
      <c r="S760" s="152"/>
      <c r="T760" s="152"/>
      <c r="U760" s="152"/>
      <c r="V760" s="152"/>
      <c r="W760" s="281"/>
      <c r="X760" s="281"/>
      <c r="Y760" s="281"/>
      <c r="Z760" s="281"/>
      <c r="AA760" s="281"/>
      <c r="AB760" s="281"/>
      <c r="AC760" s="281"/>
      <c r="AD760" s="170"/>
      <c r="AE760" s="152"/>
      <c r="AF760" s="152"/>
      <c r="AG760" s="152"/>
      <c r="AH760" s="152"/>
      <c r="AI760" s="152"/>
      <c r="AJ760" s="152"/>
      <c r="AK760" s="152"/>
      <c r="AL760" s="152"/>
      <c r="AM760" s="152"/>
      <c r="AN760" s="152"/>
      <c r="AO760" s="152"/>
    </row>
    <row r="761" ht="12.75" customHeight="1">
      <c r="A761" s="288"/>
      <c r="B761" s="288"/>
      <c r="C761" s="288"/>
      <c r="D761" s="152"/>
      <c r="E761" s="289"/>
      <c r="F761" s="288"/>
      <c r="G761" s="152"/>
      <c r="H761" s="289"/>
      <c r="I761" s="289"/>
      <c r="J761" s="152"/>
      <c r="K761" s="152"/>
      <c r="L761" s="156"/>
      <c r="M761" s="152"/>
      <c r="N761" s="152"/>
      <c r="O761" s="152"/>
      <c r="P761" s="152"/>
      <c r="Q761" s="152"/>
      <c r="R761" s="152"/>
      <c r="S761" s="152"/>
      <c r="T761" s="152"/>
      <c r="U761" s="152"/>
      <c r="V761" s="152"/>
      <c r="W761" s="281"/>
      <c r="X761" s="281"/>
      <c r="Y761" s="281"/>
      <c r="Z761" s="281"/>
      <c r="AA761" s="281"/>
      <c r="AB761" s="281"/>
      <c r="AC761" s="281"/>
      <c r="AD761" s="170"/>
      <c r="AE761" s="152"/>
      <c r="AF761" s="152"/>
      <c r="AG761" s="152"/>
      <c r="AH761" s="152"/>
      <c r="AI761" s="152"/>
      <c r="AJ761" s="152"/>
      <c r="AK761" s="152"/>
      <c r="AL761" s="152"/>
      <c r="AM761" s="152"/>
      <c r="AN761" s="152"/>
      <c r="AO761" s="152"/>
    </row>
    <row r="762" ht="12.75" customHeight="1">
      <c r="A762" s="288"/>
      <c r="B762" s="288"/>
      <c r="C762" s="288"/>
      <c r="D762" s="152"/>
      <c r="E762" s="289"/>
      <c r="F762" s="288"/>
      <c r="G762" s="152"/>
      <c r="H762" s="289"/>
      <c r="I762" s="289"/>
      <c r="J762" s="152"/>
      <c r="K762" s="152"/>
      <c r="L762" s="156"/>
      <c r="M762" s="152"/>
      <c r="N762" s="152"/>
      <c r="O762" s="152"/>
      <c r="P762" s="152"/>
      <c r="Q762" s="152"/>
      <c r="R762" s="152"/>
      <c r="S762" s="152"/>
      <c r="T762" s="152"/>
      <c r="U762" s="152"/>
      <c r="V762" s="152"/>
      <c r="W762" s="281"/>
      <c r="X762" s="281"/>
      <c r="Y762" s="281"/>
      <c r="Z762" s="281"/>
      <c r="AA762" s="281"/>
      <c r="AB762" s="281"/>
      <c r="AC762" s="281"/>
      <c r="AD762" s="170"/>
      <c r="AE762" s="152"/>
      <c r="AF762" s="152"/>
      <c r="AG762" s="152"/>
      <c r="AH762" s="152"/>
      <c r="AI762" s="152"/>
      <c r="AJ762" s="152"/>
      <c r="AK762" s="152"/>
      <c r="AL762" s="152"/>
      <c r="AM762" s="152"/>
      <c r="AN762" s="152"/>
      <c r="AO762" s="152"/>
    </row>
    <row r="763" ht="12.75" customHeight="1">
      <c r="A763" s="288"/>
      <c r="B763" s="288"/>
      <c r="C763" s="288"/>
      <c r="D763" s="152"/>
      <c r="E763" s="289"/>
      <c r="F763" s="288"/>
      <c r="G763" s="152"/>
      <c r="H763" s="289"/>
      <c r="I763" s="289"/>
      <c r="J763" s="152"/>
      <c r="K763" s="152"/>
      <c r="L763" s="156"/>
      <c r="M763" s="152"/>
      <c r="N763" s="152"/>
      <c r="O763" s="152"/>
      <c r="P763" s="152"/>
      <c r="Q763" s="152"/>
      <c r="R763" s="152"/>
      <c r="S763" s="152"/>
      <c r="T763" s="152"/>
      <c r="U763" s="152"/>
      <c r="V763" s="152"/>
      <c r="W763" s="281"/>
      <c r="X763" s="281"/>
      <c r="Y763" s="281"/>
      <c r="Z763" s="281"/>
      <c r="AA763" s="281"/>
      <c r="AB763" s="281"/>
      <c r="AC763" s="281"/>
      <c r="AD763" s="170"/>
      <c r="AE763" s="152"/>
      <c r="AF763" s="152"/>
      <c r="AG763" s="152"/>
      <c r="AH763" s="152"/>
      <c r="AI763" s="152"/>
      <c r="AJ763" s="152"/>
      <c r="AK763" s="152"/>
      <c r="AL763" s="152"/>
      <c r="AM763" s="152"/>
      <c r="AN763" s="152"/>
      <c r="AO763" s="152"/>
    </row>
    <row r="764" ht="12.75" customHeight="1">
      <c r="A764" s="288"/>
      <c r="B764" s="288"/>
      <c r="C764" s="288"/>
      <c r="D764" s="152"/>
      <c r="E764" s="289"/>
      <c r="F764" s="288"/>
      <c r="G764" s="152"/>
      <c r="H764" s="289"/>
      <c r="I764" s="289"/>
      <c r="J764" s="152"/>
      <c r="K764" s="152"/>
      <c r="L764" s="156"/>
      <c r="M764" s="152"/>
      <c r="N764" s="152"/>
      <c r="O764" s="152"/>
      <c r="P764" s="152"/>
      <c r="Q764" s="152"/>
      <c r="R764" s="152"/>
      <c r="S764" s="152"/>
      <c r="T764" s="152"/>
      <c r="U764" s="152"/>
      <c r="V764" s="152"/>
      <c r="W764" s="281"/>
      <c r="X764" s="281"/>
      <c r="Y764" s="281"/>
      <c r="Z764" s="281"/>
      <c r="AA764" s="281"/>
      <c r="AB764" s="281"/>
      <c r="AC764" s="281"/>
      <c r="AD764" s="170"/>
      <c r="AE764" s="152"/>
      <c r="AF764" s="152"/>
      <c r="AG764" s="152"/>
      <c r="AH764" s="152"/>
      <c r="AI764" s="152"/>
      <c r="AJ764" s="152"/>
      <c r="AK764" s="152"/>
      <c r="AL764" s="152"/>
      <c r="AM764" s="152"/>
      <c r="AN764" s="152"/>
      <c r="AO764" s="152"/>
    </row>
    <row r="765" ht="12.75" customHeight="1">
      <c r="A765" s="288"/>
      <c r="B765" s="288"/>
      <c r="C765" s="288"/>
      <c r="D765" s="152"/>
      <c r="E765" s="289"/>
      <c r="F765" s="288"/>
      <c r="G765" s="152"/>
      <c r="H765" s="289"/>
      <c r="I765" s="289"/>
      <c r="J765" s="152"/>
      <c r="K765" s="152"/>
      <c r="L765" s="156"/>
      <c r="M765" s="152"/>
      <c r="N765" s="152"/>
      <c r="O765" s="152"/>
      <c r="P765" s="152"/>
      <c r="Q765" s="152"/>
      <c r="R765" s="152"/>
      <c r="S765" s="152"/>
      <c r="T765" s="152"/>
      <c r="U765" s="152"/>
      <c r="V765" s="152"/>
      <c r="W765" s="281"/>
      <c r="X765" s="281"/>
      <c r="Y765" s="281"/>
      <c r="Z765" s="281"/>
      <c r="AA765" s="281"/>
      <c r="AB765" s="281"/>
      <c r="AC765" s="281"/>
      <c r="AD765" s="170"/>
      <c r="AE765" s="152"/>
      <c r="AF765" s="152"/>
      <c r="AG765" s="152"/>
      <c r="AH765" s="152"/>
      <c r="AI765" s="152"/>
      <c r="AJ765" s="152"/>
      <c r="AK765" s="152"/>
      <c r="AL765" s="152"/>
      <c r="AM765" s="152"/>
      <c r="AN765" s="152"/>
      <c r="AO765" s="152"/>
    </row>
    <row r="766" ht="12.75" customHeight="1">
      <c r="A766" s="288"/>
      <c r="B766" s="288"/>
      <c r="C766" s="288"/>
      <c r="D766" s="152"/>
      <c r="E766" s="289"/>
      <c r="F766" s="288"/>
      <c r="G766" s="152"/>
      <c r="H766" s="289"/>
      <c r="I766" s="289"/>
      <c r="J766" s="152"/>
      <c r="K766" s="152"/>
      <c r="L766" s="156"/>
      <c r="M766" s="152"/>
      <c r="N766" s="152"/>
      <c r="O766" s="152"/>
      <c r="P766" s="152"/>
      <c r="Q766" s="152"/>
      <c r="R766" s="152"/>
      <c r="S766" s="152"/>
      <c r="T766" s="152"/>
      <c r="U766" s="152"/>
      <c r="V766" s="152"/>
      <c r="W766" s="281"/>
      <c r="X766" s="281"/>
      <c r="Y766" s="281"/>
      <c r="Z766" s="281"/>
      <c r="AA766" s="281"/>
      <c r="AB766" s="281"/>
      <c r="AC766" s="281"/>
      <c r="AD766" s="170"/>
      <c r="AE766" s="152"/>
      <c r="AF766" s="152"/>
      <c r="AG766" s="152"/>
      <c r="AH766" s="152"/>
      <c r="AI766" s="152"/>
      <c r="AJ766" s="152"/>
      <c r="AK766" s="152"/>
      <c r="AL766" s="152"/>
      <c r="AM766" s="152"/>
      <c r="AN766" s="152"/>
      <c r="AO766" s="152"/>
    </row>
    <row r="767" ht="12.75" customHeight="1">
      <c r="A767" s="288"/>
      <c r="B767" s="288"/>
      <c r="C767" s="288"/>
      <c r="D767" s="152"/>
      <c r="E767" s="289"/>
      <c r="F767" s="288"/>
      <c r="G767" s="152"/>
      <c r="H767" s="289"/>
      <c r="I767" s="289"/>
      <c r="J767" s="152"/>
      <c r="K767" s="152"/>
      <c r="L767" s="156"/>
      <c r="M767" s="152"/>
      <c r="N767" s="152"/>
      <c r="O767" s="152"/>
      <c r="P767" s="152"/>
      <c r="Q767" s="152"/>
      <c r="R767" s="152"/>
      <c r="S767" s="152"/>
      <c r="T767" s="152"/>
      <c r="U767" s="152"/>
      <c r="V767" s="152"/>
      <c r="W767" s="281"/>
      <c r="X767" s="281"/>
      <c r="Y767" s="281"/>
      <c r="Z767" s="281"/>
      <c r="AA767" s="281"/>
      <c r="AB767" s="281"/>
      <c r="AC767" s="281"/>
      <c r="AD767" s="170"/>
      <c r="AE767" s="152"/>
      <c r="AF767" s="152"/>
      <c r="AG767" s="152"/>
      <c r="AH767" s="152"/>
      <c r="AI767" s="152"/>
      <c r="AJ767" s="152"/>
      <c r="AK767" s="152"/>
      <c r="AL767" s="152"/>
      <c r="AM767" s="152"/>
      <c r="AN767" s="152"/>
      <c r="AO767" s="152"/>
    </row>
    <row r="768" ht="12.75" customHeight="1">
      <c r="A768" s="288"/>
      <c r="B768" s="288"/>
      <c r="C768" s="288"/>
      <c r="D768" s="152"/>
      <c r="E768" s="289"/>
      <c r="F768" s="288"/>
      <c r="G768" s="152"/>
      <c r="H768" s="289"/>
      <c r="I768" s="289"/>
      <c r="J768" s="152"/>
      <c r="K768" s="152"/>
      <c r="L768" s="156"/>
      <c r="M768" s="152"/>
      <c r="N768" s="152"/>
      <c r="O768" s="152"/>
      <c r="P768" s="152"/>
      <c r="Q768" s="152"/>
      <c r="R768" s="152"/>
      <c r="S768" s="152"/>
      <c r="T768" s="152"/>
      <c r="U768" s="152"/>
      <c r="V768" s="152"/>
      <c r="W768" s="281"/>
      <c r="X768" s="281"/>
      <c r="Y768" s="281"/>
      <c r="Z768" s="281"/>
      <c r="AA768" s="281"/>
      <c r="AB768" s="281"/>
      <c r="AC768" s="281"/>
      <c r="AD768" s="170"/>
      <c r="AE768" s="152"/>
      <c r="AF768" s="152"/>
      <c r="AG768" s="152"/>
      <c r="AH768" s="152"/>
      <c r="AI768" s="152"/>
      <c r="AJ768" s="152"/>
      <c r="AK768" s="152"/>
      <c r="AL768" s="152"/>
      <c r="AM768" s="152"/>
      <c r="AN768" s="152"/>
      <c r="AO768" s="152"/>
    </row>
    <row r="769" ht="12.75" customHeight="1">
      <c r="A769" s="288"/>
      <c r="B769" s="288"/>
      <c r="C769" s="288"/>
      <c r="D769" s="152"/>
      <c r="E769" s="289"/>
      <c r="F769" s="288"/>
      <c r="G769" s="152"/>
      <c r="H769" s="289"/>
      <c r="I769" s="289"/>
      <c r="J769" s="152"/>
      <c r="K769" s="152"/>
      <c r="L769" s="156"/>
      <c r="M769" s="152"/>
      <c r="N769" s="152"/>
      <c r="O769" s="152"/>
      <c r="P769" s="152"/>
      <c r="Q769" s="152"/>
      <c r="R769" s="152"/>
      <c r="S769" s="152"/>
      <c r="T769" s="152"/>
      <c r="U769" s="152"/>
      <c r="V769" s="152"/>
      <c r="W769" s="281"/>
      <c r="X769" s="281"/>
      <c r="Y769" s="281"/>
      <c r="Z769" s="281"/>
      <c r="AA769" s="281"/>
      <c r="AB769" s="281"/>
      <c r="AC769" s="281"/>
      <c r="AD769" s="170"/>
      <c r="AE769" s="152"/>
      <c r="AF769" s="152"/>
      <c r="AG769" s="152"/>
      <c r="AH769" s="152"/>
      <c r="AI769" s="152"/>
      <c r="AJ769" s="152"/>
      <c r="AK769" s="152"/>
      <c r="AL769" s="152"/>
      <c r="AM769" s="152"/>
      <c r="AN769" s="152"/>
      <c r="AO769" s="152"/>
    </row>
    <row r="770" ht="12.75" customHeight="1">
      <c r="A770" s="288"/>
      <c r="B770" s="288"/>
      <c r="C770" s="288"/>
      <c r="D770" s="152"/>
      <c r="E770" s="289"/>
      <c r="F770" s="288"/>
      <c r="G770" s="152"/>
      <c r="H770" s="289"/>
      <c r="I770" s="289"/>
      <c r="J770" s="152"/>
      <c r="K770" s="152"/>
      <c r="L770" s="156"/>
      <c r="M770" s="152"/>
      <c r="N770" s="152"/>
      <c r="O770" s="152"/>
      <c r="P770" s="152"/>
      <c r="Q770" s="152"/>
      <c r="R770" s="152"/>
      <c r="S770" s="152"/>
      <c r="T770" s="152"/>
      <c r="U770" s="152"/>
      <c r="V770" s="152"/>
      <c r="W770" s="281"/>
      <c r="X770" s="281"/>
      <c r="Y770" s="281"/>
      <c r="Z770" s="281"/>
      <c r="AA770" s="281"/>
      <c r="AB770" s="281"/>
      <c r="AC770" s="281"/>
      <c r="AD770" s="170"/>
      <c r="AE770" s="152"/>
      <c r="AF770" s="152"/>
      <c r="AG770" s="152"/>
      <c r="AH770" s="152"/>
      <c r="AI770" s="152"/>
      <c r="AJ770" s="152"/>
      <c r="AK770" s="152"/>
      <c r="AL770" s="152"/>
      <c r="AM770" s="152"/>
      <c r="AN770" s="152"/>
      <c r="AO770" s="152"/>
    </row>
    <row r="771" ht="12.75" customHeight="1">
      <c r="A771" s="288"/>
      <c r="B771" s="288"/>
      <c r="C771" s="288"/>
      <c r="D771" s="152"/>
      <c r="E771" s="289"/>
      <c r="F771" s="288"/>
      <c r="G771" s="152"/>
      <c r="H771" s="289"/>
      <c r="I771" s="289"/>
      <c r="J771" s="152"/>
      <c r="K771" s="152"/>
      <c r="L771" s="156"/>
      <c r="M771" s="152"/>
      <c r="N771" s="152"/>
      <c r="O771" s="152"/>
      <c r="P771" s="152"/>
      <c r="Q771" s="152"/>
      <c r="R771" s="152"/>
      <c r="S771" s="152"/>
      <c r="T771" s="152"/>
      <c r="U771" s="152"/>
      <c r="V771" s="152"/>
      <c r="W771" s="281"/>
      <c r="X771" s="281"/>
      <c r="Y771" s="281"/>
      <c r="Z771" s="281"/>
      <c r="AA771" s="281"/>
      <c r="AB771" s="281"/>
      <c r="AC771" s="281"/>
      <c r="AD771" s="170"/>
      <c r="AE771" s="152"/>
      <c r="AF771" s="152"/>
      <c r="AG771" s="152"/>
      <c r="AH771" s="152"/>
      <c r="AI771" s="152"/>
      <c r="AJ771" s="152"/>
      <c r="AK771" s="152"/>
      <c r="AL771" s="152"/>
      <c r="AM771" s="152"/>
      <c r="AN771" s="152"/>
      <c r="AO771" s="152"/>
    </row>
    <row r="772" ht="12.75" customHeight="1">
      <c r="A772" s="288"/>
      <c r="B772" s="288"/>
      <c r="C772" s="288"/>
      <c r="D772" s="152"/>
      <c r="E772" s="289"/>
      <c r="F772" s="288"/>
      <c r="G772" s="152"/>
      <c r="H772" s="289"/>
      <c r="I772" s="289"/>
      <c r="J772" s="152"/>
      <c r="K772" s="152"/>
      <c r="L772" s="156"/>
      <c r="M772" s="152"/>
      <c r="N772" s="152"/>
      <c r="O772" s="152"/>
      <c r="P772" s="152"/>
      <c r="Q772" s="152"/>
      <c r="R772" s="152"/>
      <c r="S772" s="152"/>
      <c r="T772" s="152"/>
      <c r="U772" s="152"/>
      <c r="V772" s="152"/>
      <c r="W772" s="281"/>
      <c r="X772" s="281"/>
      <c r="Y772" s="281"/>
      <c r="Z772" s="281"/>
      <c r="AA772" s="281"/>
      <c r="AB772" s="281"/>
      <c r="AC772" s="281"/>
      <c r="AD772" s="170"/>
      <c r="AE772" s="152"/>
      <c r="AF772" s="152"/>
      <c r="AG772" s="152"/>
      <c r="AH772" s="152"/>
      <c r="AI772" s="152"/>
      <c r="AJ772" s="152"/>
      <c r="AK772" s="152"/>
      <c r="AL772" s="152"/>
      <c r="AM772" s="152"/>
      <c r="AN772" s="152"/>
      <c r="AO772" s="152"/>
    </row>
    <row r="773" ht="12.75" customHeight="1">
      <c r="A773" s="288"/>
      <c r="B773" s="288"/>
      <c r="C773" s="288"/>
      <c r="D773" s="152"/>
      <c r="E773" s="289"/>
      <c r="F773" s="288"/>
      <c r="G773" s="152"/>
      <c r="H773" s="289"/>
      <c r="I773" s="289"/>
      <c r="J773" s="152"/>
      <c r="K773" s="152"/>
      <c r="L773" s="156"/>
      <c r="M773" s="152"/>
      <c r="N773" s="152"/>
      <c r="O773" s="152"/>
      <c r="P773" s="152"/>
      <c r="Q773" s="152"/>
      <c r="R773" s="152"/>
      <c r="S773" s="152"/>
      <c r="T773" s="152"/>
      <c r="U773" s="152"/>
      <c r="V773" s="152"/>
      <c r="W773" s="281"/>
      <c r="X773" s="281"/>
      <c r="Y773" s="281"/>
      <c r="Z773" s="281"/>
      <c r="AA773" s="281"/>
      <c r="AB773" s="281"/>
      <c r="AC773" s="281"/>
      <c r="AD773" s="170"/>
      <c r="AE773" s="152"/>
      <c r="AF773" s="152"/>
      <c r="AG773" s="152"/>
      <c r="AH773" s="152"/>
      <c r="AI773" s="152"/>
      <c r="AJ773" s="152"/>
      <c r="AK773" s="152"/>
      <c r="AL773" s="152"/>
      <c r="AM773" s="152"/>
      <c r="AN773" s="152"/>
      <c r="AO773" s="152"/>
    </row>
    <row r="774" ht="12.75" customHeight="1">
      <c r="A774" s="288"/>
      <c r="B774" s="288"/>
      <c r="C774" s="288"/>
      <c r="D774" s="152"/>
      <c r="E774" s="289"/>
      <c r="F774" s="288"/>
      <c r="G774" s="152"/>
      <c r="H774" s="289"/>
      <c r="I774" s="289"/>
      <c r="J774" s="152"/>
      <c r="K774" s="152"/>
      <c r="L774" s="156"/>
      <c r="M774" s="152"/>
      <c r="N774" s="152"/>
      <c r="O774" s="152"/>
      <c r="P774" s="152"/>
      <c r="Q774" s="152"/>
      <c r="R774" s="152"/>
      <c r="S774" s="152"/>
      <c r="T774" s="152"/>
      <c r="U774" s="152"/>
      <c r="V774" s="152"/>
      <c r="W774" s="281"/>
      <c r="X774" s="281"/>
      <c r="Y774" s="281"/>
      <c r="Z774" s="281"/>
      <c r="AA774" s="281"/>
      <c r="AB774" s="281"/>
      <c r="AC774" s="281"/>
      <c r="AD774" s="170"/>
      <c r="AE774" s="152"/>
      <c r="AF774" s="152"/>
      <c r="AG774" s="152"/>
      <c r="AH774" s="152"/>
      <c r="AI774" s="152"/>
      <c r="AJ774" s="152"/>
      <c r="AK774" s="152"/>
      <c r="AL774" s="152"/>
      <c r="AM774" s="152"/>
      <c r="AN774" s="152"/>
      <c r="AO774" s="152"/>
    </row>
    <row r="775" ht="12.75" customHeight="1">
      <c r="A775" s="288"/>
      <c r="B775" s="288"/>
      <c r="C775" s="288"/>
      <c r="D775" s="152"/>
      <c r="E775" s="289"/>
      <c r="F775" s="288"/>
      <c r="G775" s="152"/>
      <c r="H775" s="289"/>
      <c r="I775" s="289"/>
      <c r="J775" s="152"/>
      <c r="K775" s="152"/>
      <c r="L775" s="156"/>
      <c r="M775" s="152"/>
      <c r="N775" s="152"/>
      <c r="O775" s="152"/>
      <c r="P775" s="152"/>
      <c r="Q775" s="152"/>
      <c r="R775" s="152"/>
      <c r="S775" s="152"/>
      <c r="T775" s="152"/>
      <c r="U775" s="152"/>
      <c r="V775" s="152"/>
      <c r="W775" s="281"/>
      <c r="X775" s="281"/>
      <c r="Y775" s="281"/>
      <c r="Z775" s="281"/>
      <c r="AA775" s="281"/>
      <c r="AB775" s="281"/>
      <c r="AC775" s="281"/>
      <c r="AD775" s="170"/>
      <c r="AE775" s="152"/>
      <c r="AF775" s="152"/>
      <c r="AG775" s="152"/>
      <c r="AH775" s="152"/>
      <c r="AI775" s="152"/>
      <c r="AJ775" s="152"/>
      <c r="AK775" s="152"/>
      <c r="AL775" s="152"/>
      <c r="AM775" s="152"/>
      <c r="AN775" s="152"/>
      <c r="AO775" s="152"/>
    </row>
    <row r="776" ht="12.75" customHeight="1">
      <c r="A776" s="288"/>
      <c r="B776" s="288"/>
      <c r="C776" s="288"/>
      <c r="D776" s="152"/>
      <c r="E776" s="289"/>
      <c r="F776" s="288"/>
      <c r="G776" s="152"/>
      <c r="H776" s="289"/>
      <c r="I776" s="289"/>
      <c r="J776" s="152"/>
      <c r="K776" s="152"/>
      <c r="L776" s="156"/>
      <c r="M776" s="152"/>
      <c r="N776" s="152"/>
      <c r="O776" s="152"/>
      <c r="P776" s="152"/>
      <c r="Q776" s="152"/>
      <c r="R776" s="152"/>
      <c r="S776" s="152"/>
      <c r="T776" s="152"/>
      <c r="U776" s="152"/>
      <c r="V776" s="152"/>
      <c r="W776" s="281"/>
      <c r="X776" s="281"/>
      <c r="Y776" s="281"/>
      <c r="Z776" s="281"/>
      <c r="AA776" s="281"/>
      <c r="AB776" s="281"/>
      <c r="AC776" s="281"/>
      <c r="AD776" s="170"/>
      <c r="AE776" s="152"/>
      <c r="AF776" s="152"/>
      <c r="AG776" s="152"/>
      <c r="AH776" s="152"/>
      <c r="AI776" s="152"/>
      <c r="AJ776" s="152"/>
      <c r="AK776" s="152"/>
      <c r="AL776" s="152"/>
      <c r="AM776" s="152"/>
      <c r="AN776" s="152"/>
      <c r="AO776" s="152"/>
    </row>
    <row r="777" ht="12.75" customHeight="1">
      <c r="A777" s="288"/>
      <c r="B777" s="288"/>
      <c r="C777" s="288"/>
      <c r="D777" s="152"/>
      <c r="E777" s="289"/>
      <c r="F777" s="288"/>
      <c r="G777" s="152"/>
      <c r="H777" s="289"/>
      <c r="I777" s="289"/>
      <c r="J777" s="152"/>
      <c r="K777" s="152"/>
      <c r="L777" s="156"/>
      <c r="M777" s="152"/>
      <c r="N777" s="152"/>
      <c r="O777" s="152"/>
      <c r="P777" s="152"/>
      <c r="Q777" s="152"/>
      <c r="R777" s="152"/>
      <c r="S777" s="152"/>
      <c r="T777" s="152"/>
      <c r="U777" s="152"/>
      <c r="V777" s="152"/>
      <c r="W777" s="281"/>
      <c r="X777" s="281"/>
      <c r="Y777" s="281"/>
      <c r="Z777" s="281"/>
      <c r="AA777" s="281"/>
      <c r="AB777" s="281"/>
      <c r="AC777" s="281"/>
      <c r="AD777" s="170"/>
      <c r="AE777" s="152"/>
      <c r="AF777" s="152"/>
      <c r="AG777" s="152"/>
      <c r="AH777" s="152"/>
      <c r="AI777" s="152"/>
      <c r="AJ777" s="152"/>
      <c r="AK777" s="152"/>
      <c r="AL777" s="152"/>
      <c r="AM777" s="152"/>
      <c r="AN777" s="152"/>
      <c r="AO777" s="152"/>
    </row>
    <row r="778" ht="12.75" customHeight="1">
      <c r="A778" s="288"/>
      <c r="B778" s="288"/>
      <c r="C778" s="288"/>
      <c r="D778" s="152"/>
      <c r="E778" s="289"/>
      <c r="F778" s="288"/>
      <c r="G778" s="152"/>
      <c r="H778" s="289"/>
      <c r="I778" s="289"/>
      <c r="J778" s="152"/>
      <c r="K778" s="152"/>
      <c r="L778" s="156"/>
      <c r="M778" s="152"/>
      <c r="N778" s="152"/>
      <c r="O778" s="152"/>
      <c r="P778" s="152"/>
      <c r="Q778" s="152"/>
      <c r="R778" s="152"/>
      <c r="S778" s="152"/>
      <c r="T778" s="152"/>
      <c r="U778" s="152"/>
      <c r="V778" s="152"/>
      <c r="W778" s="281"/>
      <c r="X778" s="281"/>
      <c r="Y778" s="281"/>
      <c r="Z778" s="281"/>
      <c r="AA778" s="281"/>
      <c r="AB778" s="281"/>
      <c r="AC778" s="281"/>
      <c r="AD778" s="170"/>
      <c r="AE778" s="152"/>
      <c r="AF778" s="152"/>
      <c r="AG778" s="152"/>
      <c r="AH778" s="152"/>
      <c r="AI778" s="152"/>
      <c r="AJ778" s="152"/>
      <c r="AK778" s="152"/>
      <c r="AL778" s="152"/>
      <c r="AM778" s="152"/>
      <c r="AN778" s="152"/>
      <c r="AO778" s="152"/>
    </row>
    <row r="779" ht="12.75" customHeight="1">
      <c r="A779" s="288"/>
      <c r="B779" s="288"/>
      <c r="C779" s="288"/>
      <c r="D779" s="152"/>
      <c r="E779" s="289"/>
      <c r="F779" s="288"/>
      <c r="G779" s="152"/>
      <c r="H779" s="289"/>
      <c r="I779" s="289"/>
      <c r="J779" s="152"/>
      <c r="K779" s="152"/>
      <c r="L779" s="156"/>
      <c r="M779" s="152"/>
      <c r="N779" s="152"/>
      <c r="O779" s="152"/>
      <c r="P779" s="152"/>
      <c r="Q779" s="152"/>
      <c r="R779" s="152"/>
      <c r="S779" s="152"/>
      <c r="T779" s="152"/>
      <c r="U779" s="152"/>
      <c r="V779" s="152"/>
      <c r="W779" s="281"/>
      <c r="X779" s="281"/>
      <c r="Y779" s="281"/>
      <c r="Z779" s="281"/>
      <c r="AA779" s="281"/>
      <c r="AB779" s="281"/>
      <c r="AC779" s="281"/>
      <c r="AD779" s="170"/>
      <c r="AE779" s="152"/>
      <c r="AF779" s="152"/>
      <c r="AG779" s="152"/>
      <c r="AH779" s="152"/>
      <c r="AI779" s="152"/>
      <c r="AJ779" s="152"/>
      <c r="AK779" s="152"/>
      <c r="AL779" s="152"/>
      <c r="AM779" s="152"/>
      <c r="AN779" s="152"/>
      <c r="AO779" s="152"/>
    </row>
    <row r="780" ht="12.75" customHeight="1">
      <c r="A780" s="288"/>
      <c r="B780" s="288"/>
      <c r="C780" s="288"/>
      <c r="D780" s="152"/>
      <c r="E780" s="289"/>
      <c r="F780" s="288"/>
      <c r="G780" s="152"/>
      <c r="H780" s="289"/>
      <c r="I780" s="289"/>
      <c r="J780" s="152"/>
      <c r="K780" s="152"/>
      <c r="L780" s="156"/>
      <c r="M780" s="152"/>
      <c r="N780" s="152"/>
      <c r="O780" s="152"/>
      <c r="P780" s="152"/>
      <c r="Q780" s="152"/>
      <c r="R780" s="152"/>
      <c r="S780" s="152"/>
      <c r="T780" s="152"/>
      <c r="U780" s="152"/>
      <c r="V780" s="152"/>
      <c r="W780" s="281"/>
      <c r="X780" s="281"/>
      <c r="Y780" s="281"/>
      <c r="Z780" s="281"/>
      <c r="AA780" s="281"/>
      <c r="AB780" s="281"/>
      <c r="AC780" s="281"/>
      <c r="AD780" s="170"/>
      <c r="AE780" s="152"/>
      <c r="AF780" s="152"/>
      <c r="AG780" s="152"/>
      <c r="AH780" s="152"/>
      <c r="AI780" s="152"/>
      <c r="AJ780" s="152"/>
      <c r="AK780" s="152"/>
      <c r="AL780" s="152"/>
      <c r="AM780" s="152"/>
      <c r="AN780" s="152"/>
      <c r="AO780" s="152"/>
    </row>
    <row r="781" ht="12.75" customHeight="1">
      <c r="A781" s="288"/>
      <c r="B781" s="288"/>
      <c r="C781" s="288"/>
      <c r="D781" s="152"/>
      <c r="E781" s="289"/>
      <c r="F781" s="288"/>
      <c r="G781" s="152"/>
      <c r="H781" s="289"/>
      <c r="I781" s="289"/>
      <c r="J781" s="152"/>
      <c r="K781" s="152"/>
      <c r="L781" s="156"/>
      <c r="M781" s="152"/>
      <c r="N781" s="152"/>
      <c r="O781" s="152"/>
      <c r="P781" s="152"/>
      <c r="Q781" s="152"/>
      <c r="R781" s="152"/>
      <c r="S781" s="152"/>
      <c r="T781" s="152"/>
      <c r="U781" s="152"/>
      <c r="V781" s="152"/>
      <c r="W781" s="281"/>
      <c r="X781" s="281"/>
      <c r="Y781" s="281"/>
      <c r="Z781" s="281"/>
      <c r="AA781" s="281"/>
      <c r="AB781" s="281"/>
      <c r="AC781" s="281"/>
      <c r="AD781" s="170"/>
      <c r="AE781" s="152"/>
      <c r="AF781" s="152"/>
      <c r="AG781" s="152"/>
      <c r="AH781" s="152"/>
      <c r="AI781" s="152"/>
      <c r="AJ781" s="152"/>
      <c r="AK781" s="152"/>
      <c r="AL781" s="152"/>
      <c r="AM781" s="152"/>
      <c r="AN781" s="152"/>
      <c r="AO781" s="152"/>
    </row>
    <row r="782" ht="12.75" customHeight="1">
      <c r="A782" s="288"/>
      <c r="B782" s="288"/>
      <c r="C782" s="288"/>
      <c r="D782" s="152"/>
      <c r="E782" s="289"/>
      <c r="F782" s="288"/>
      <c r="G782" s="152"/>
      <c r="H782" s="289"/>
      <c r="I782" s="289"/>
      <c r="J782" s="152"/>
      <c r="K782" s="152"/>
      <c r="L782" s="156"/>
      <c r="M782" s="152"/>
      <c r="N782" s="152"/>
      <c r="O782" s="152"/>
      <c r="P782" s="152"/>
      <c r="Q782" s="152"/>
      <c r="R782" s="152"/>
      <c r="S782" s="152"/>
      <c r="T782" s="152"/>
      <c r="U782" s="152"/>
      <c r="V782" s="152"/>
      <c r="W782" s="281"/>
      <c r="X782" s="281"/>
      <c r="Y782" s="281"/>
      <c r="Z782" s="281"/>
      <c r="AA782" s="281"/>
      <c r="AB782" s="281"/>
      <c r="AC782" s="281"/>
      <c r="AD782" s="170"/>
      <c r="AE782" s="152"/>
      <c r="AF782" s="152"/>
      <c r="AG782" s="152"/>
      <c r="AH782" s="152"/>
      <c r="AI782" s="152"/>
      <c r="AJ782" s="152"/>
      <c r="AK782" s="152"/>
      <c r="AL782" s="152"/>
      <c r="AM782" s="152"/>
      <c r="AN782" s="152"/>
      <c r="AO782" s="152"/>
    </row>
    <row r="783" ht="12.75" customHeight="1">
      <c r="A783" s="288"/>
      <c r="B783" s="288"/>
      <c r="C783" s="288"/>
      <c r="D783" s="152"/>
      <c r="E783" s="289"/>
      <c r="F783" s="288"/>
      <c r="G783" s="152"/>
      <c r="H783" s="289"/>
      <c r="I783" s="289"/>
      <c r="J783" s="152"/>
      <c r="K783" s="152"/>
      <c r="L783" s="156"/>
      <c r="M783" s="152"/>
      <c r="N783" s="152"/>
      <c r="O783" s="152"/>
      <c r="P783" s="152"/>
      <c r="Q783" s="152"/>
      <c r="R783" s="152"/>
      <c r="S783" s="152"/>
      <c r="T783" s="152"/>
      <c r="U783" s="152"/>
      <c r="V783" s="152"/>
      <c r="W783" s="281"/>
      <c r="X783" s="281"/>
      <c r="Y783" s="281"/>
      <c r="Z783" s="281"/>
      <c r="AA783" s="281"/>
      <c r="AB783" s="281"/>
      <c r="AC783" s="281"/>
      <c r="AD783" s="170"/>
      <c r="AE783" s="152"/>
      <c r="AF783" s="152"/>
      <c r="AG783" s="152"/>
      <c r="AH783" s="152"/>
      <c r="AI783" s="152"/>
      <c r="AJ783" s="152"/>
      <c r="AK783" s="152"/>
      <c r="AL783" s="152"/>
      <c r="AM783" s="152"/>
      <c r="AN783" s="152"/>
      <c r="AO783" s="152"/>
    </row>
    <row r="784" ht="12.75" customHeight="1">
      <c r="A784" s="288"/>
      <c r="B784" s="288"/>
      <c r="C784" s="288"/>
      <c r="D784" s="152"/>
      <c r="E784" s="289"/>
      <c r="F784" s="288"/>
      <c r="G784" s="152"/>
      <c r="H784" s="289"/>
      <c r="I784" s="289"/>
      <c r="J784" s="152"/>
      <c r="K784" s="152"/>
      <c r="L784" s="156"/>
      <c r="M784" s="152"/>
      <c r="N784" s="152"/>
      <c r="O784" s="152"/>
      <c r="P784" s="152"/>
      <c r="Q784" s="152"/>
      <c r="R784" s="152"/>
      <c r="S784" s="152"/>
      <c r="T784" s="152"/>
      <c r="U784" s="152"/>
      <c r="V784" s="152"/>
      <c r="W784" s="281"/>
      <c r="X784" s="281"/>
      <c r="Y784" s="281"/>
      <c r="Z784" s="281"/>
      <c r="AA784" s="281"/>
      <c r="AB784" s="281"/>
      <c r="AC784" s="281"/>
      <c r="AD784" s="170"/>
      <c r="AE784" s="152"/>
      <c r="AF784" s="152"/>
      <c r="AG784" s="152"/>
      <c r="AH784" s="152"/>
      <c r="AI784" s="152"/>
      <c r="AJ784" s="152"/>
      <c r="AK784" s="152"/>
      <c r="AL784" s="152"/>
      <c r="AM784" s="152"/>
      <c r="AN784" s="152"/>
      <c r="AO784" s="152"/>
    </row>
    <row r="785" ht="12.75" customHeight="1">
      <c r="A785" s="288"/>
      <c r="B785" s="288"/>
      <c r="C785" s="288"/>
      <c r="D785" s="152"/>
      <c r="E785" s="289"/>
      <c r="F785" s="288"/>
      <c r="G785" s="152"/>
      <c r="H785" s="289"/>
      <c r="I785" s="289"/>
      <c r="J785" s="152"/>
      <c r="K785" s="152"/>
      <c r="L785" s="156"/>
      <c r="M785" s="152"/>
      <c r="N785" s="152"/>
      <c r="O785" s="152"/>
      <c r="P785" s="152"/>
      <c r="Q785" s="152"/>
      <c r="R785" s="152"/>
      <c r="S785" s="152"/>
      <c r="T785" s="152"/>
      <c r="U785" s="152"/>
      <c r="V785" s="152"/>
      <c r="W785" s="281"/>
      <c r="X785" s="281"/>
      <c r="Y785" s="281"/>
      <c r="Z785" s="281"/>
      <c r="AA785" s="281"/>
      <c r="AB785" s="281"/>
      <c r="AC785" s="281"/>
      <c r="AD785" s="170"/>
      <c r="AE785" s="152"/>
      <c r="AF785" s="152"/>
      <c r="AG785" s="152"/>
      <c r="AH785" s="152"/>
      <c r="AI785" s="152"/>
      <c r="AJ785" s="152"/>
      <c r="AK785" s="152"/>
      <c r="AL785" s="152"/>
      <c r="AM785" s="152"/>
      <c r="AN785" s="152"/>
      <c r="AO785" s="152"/>
    </row>
    <row r="786" ht="12.75" customHeight="1">
      <c r="A786" s="288"/>
      <c r="B786" s="288"/>
      <c r="C786" s="288"/>
      <c r="D786" s="152"/>
      <c r="E786" s="289"/>
      <c r="F786" s="288"/>
      <c r="G786" s="152"/>
      <c r="H786" s="289"/>
      <c r="I786" s="289"/>
      <c r="J786" s="152"/>
      <c r="K786" s="152"/>
      <c r="L786" s="156"/>
      <c r="M786" s="152"/>
      <c r="N786" s="152"/>
      <c r="O786" s="152"/>
      <c r="P786" s="152"/>
      <c r="Q786" s="152"/>
      <c r="R786" s="152"/>
      <c r="S786" s="152"/>
      <c r="T786" s="152"/>
      <c r="U786" s="152"/>
      <c r="V786" s="152"/>
      <c r="W786" s="281"/>
      <c r="X786" s="281"/>
      <c r="Y786" s="281"/>
      <c r="Z786" s="281"/>
      <c r="AA786" s="281"/>
      <c r="AB786" s="281"/>
      <c r="AC786" s="281"/>
      <c r="AD786" s="170"/>
      <c r="AE786" s="152"/>
      <c r="AF786" s="152"/>
      <c r="AG786" s="152"/>
      <c r="AH786" s="152"/>
      <c r="AI786" s="152"/>
      <c r="AJ786" s="152"/>
      <c r="AK786" s="152"/>
      <c r="AL786" s="152"/>
      <c r="AM786" s="152"/>
      <c r="AN786" s="152"/>
      <c r="AO786" s="152"/>
    </row>
    <row r="787" ht="12.75" customHeight="1">
      <c r="A787" s="288"/>
      <c r="B787" s="288"/>
      <c r="C787" s="288"/>
      <c r="D787" s="152"/>
      <c r="E787" s="289"/>
      <c r="F787" s="288"/>
      <c r="G787" s="152"/>
      <c r="H787" s="289"/>
      <c r="I787" s="289"/>
      <c r="J787" s="152"/>
      <c r="K787" s="152"/>
      <c r="L787" s="156"/>
      <c r="M787" s="152"/>
      <c r="N787" s="152"/>
      <c r="O787" s="152"/>
      <c r="P787" s="152"/>
      <c r="Q787" s="152"/>
      <c r="R787" s="152"/>
      <c r="S787" s="152"/>
      <c r="T787" s="152"/>
      <c r="U787" s="152"/>
      <c r="V787" s="152"/>
      <c r="W787" s="281"/>
      <c r="X787" s="281"/>
      <c r="Y787" s="281"/>
      <c r="Z787" s="281"/>
      <c r="AA787" s="281"/>
      <c r="AB787" s="281"/>
      <c r="AC787" s="281"/>
      <c r="AD787" s="170"/>
      <c r="AE787" s="152"/>
      <c r="AF787" s="152"/>
      <c r="AG787" s="152"/>
      <c r="AH787" s="152"/>
      <c r="AI787" s="152"/>
      <c r="AJ787" s="152"/>
      <c r="AK787" s="152"/>
      <c r="AL787" s="152"/>
      <c r="AM787" s="152"/>
      <c r="AN787" s="152"/>
      <c r="AO787" s="152"/>
    </row>
    <row r="788" ht="12.75" customHeight="1">
      <c r="A788" s="288"/>
      <c r="B788" s="288"/>
      <c r="C788" s="288"/>
      <c r="D788" s="152"/>
      <c r="E788" s="289"/>
      <c r="F788" s="288"/>
      <c r="G788" s="152"/>
      <c r="H788" s="289"/>
      <c r="I788" s="289"/>
      <c r="J788" s="152"/>
      <c r="K788" s="152"/>
      <c r="L788" s="156"/>
      <c r="M788" s="152"/>
      <c r="N788" s="152"/>
      <c r="O788" s="152"/>
      <c r="P788" s="152"/>
      <c r="Q788" s="152"/>
      <c r="R788" s="152"/>
      <c r="S788" s="152"/>
      <c r="T788" s="152"/>
      <c r="U788" s="152"/>
      <c r="V788" s="152"/>
      <c r="W788" s="281"/>
      <c r="X788" s="281"/>
      <c r="Y788" s="281"/>
      <c r="Z788" s="281"/>
      <c r="AA788" s="281"/>
      <c r="AB788" s="281"/>
      <c r="AC788" s="281"/>
      <c r="AD788" s="170"/>
      <c r="AE788" s="152"/>
      <c r="AF788" s="152"/>
      <c r="AG788" s="152"/>
      <c r="AH788" s="152"/>
      <c r="AI788" s="152"/>
      <c r="AJ788" s="152"/>
      <c r="AK788" s="152"/>
      <c r="AL788" s="152"/>
      <c r="AM788" s="152"/>
      <c r="AN788" s="152"/>
      <c r="AO788" s="152"/>
    </row>
    <row r="789" ht="12.75" customHeight="1">
      <c r="A789" s="288"/>
      <c r="B789" s="288"/>
      <c r="C789" s="288"/>
      <c r="D789" s="152"/>
      <c r="E789" s="289"/>
      <c r="F789" s="288"/>
      <c r="G789" s="152"/>
      <c r="H789" s="289"/>
      <c r="I789" s="289"/>
      <c r="J789" s="152"/>
      <c r="K789" s="152"/>
      <c r="L789" s="156"/>
      <c r="M789" s="152"/>
      <c r="N789" s="152"/>
      <c r="O789" s="152"/>
      <c r="P789" s="152"/>
      <c r="Q789" s="152"/>
      <c r="R789" s="152"/>
      <c r="S789" s="152"/>
      <c r="T789" s="152"/>
      <c r="U789" s="152"/>
      <c r="V789" s="152"/>
      <c r="W789" s="281"/>
      <c r="X789" s="281"/>
      <c r="Y789" s="281"/>
      <c r="Z789" s="281"/>
      <c r="AA789" s="281"/>
      <c r="AB789" s="281"/>
      <c r="AC789" s="281"/>
      <c r="AD789" s="170"/>
      <c r="AE789" s="152"/>
      <c r="AF789" s="152"/>
      <c r="AG789" s="152"/>
      <c r="AH789" s="152"/>
      <c r="AI789" s="152"/>
      <c r="AJ789" s="152"/>
      <c r="AK789" s="152"/>
      <c r="AL789" s="152"/>
      <c r="AM789" s="152"/>
      <c r="AN789" s="152"/>
      <c r="AO789" s="152"/>
    </row>
    <row r="790" ht="12.75" customHeight="1">
      <c r="A790" s="288"/>
      <c r="B790" s="288"/>
      <c r="C790" s="288"/>
      <c r="D790" s="152"/>
      <c r="E790" s="289"/>
      <c r="F790" s="288"/>
      <c r="G790" s="152"/>
      <c r="H790" s="289"/>
      <c r="I790" s="289"/>
      <c r="J790" s="152"/>
      <c r="K790" s="152"/>
      <c r="L790" s="156"/>
      <c r="M790" s="152"/>
      <c r="N790" s="152"/>
      <c r="O790" s="152"/>
      <c r="P790" s="152"/>
      <c r="Q790" s="152"/>
      <c r="R790" s="152"/>
      <c r="S790" s="152"/>
      <c r="T790" s="152"/>
      <c r="U790" s="152"/>
      <c r="V790" s="152"/>
      <c r="W790" s="281"/>
      <c r="X790" s="281"/>
      <c r="Y790" s="281"/>
      <c r="Z790" s="281"/>
      <c r="AA790" s="281"/>
      <c r="AB790" s="281"/>
      <c r="AC790" s="281"/>
      <c r="AD790" s="170"/>
      <c r="AE790" s="152"/>
      <c r="AF790" s="152"/>
      <c r="AG790" s="152"/>
      <c r="AH790" s="152"/>
      <c r="AI790" s="152"/>
      <c r="AJ790" s="152"/>
      <c r="AK790" s="152"/>
      <c r="AL790" s="152"/>
      <c r="AM790" s="152"/>
      <c r="AN790" s="152"/>
      <c r="AO790" s="152"/>
    </row>
    <row r="791" ht="12.75" customHeight="1">
      <c r="A791" s="288"/>
      <c r="B791" s="288"/>
      <c r="C791" s="288"/>
      <c r="D791" s="152"/>
      <c r="E791" s="289"/>
      <c r="F791" s="288"/>
      <c r="G791" s="152"/>
      <c r="H791" s="289"/>
      <c r="I791" s="289"/>
      <c r="J791" s="152"/>
      <c r="K791" s="152"/>
      <c r="L791" s="156"/>
      <c r="M791" s="152"/>
      <c r="N791" s="152"/>
      <c r="O791" s="152"/>
      <c r="P791" s="152"/>
      <c r="Q791" s="152"/>
      <c r="R791" s="152"/>
      <c r="S791" s="152"/>
      <c r="T791" s="152"/>
      <c r="U791" s="152"/>
      <c r="V791" s="152"/>
      <c r="W791" s="281"/>
      <c r="X791" s="281"/>
      <c r="Y791" s="281"/>
      <c r="Z791" s="281"/>
      <c r="AA791" s="281"/>
      <c r="AB791" s="281"/>
      <c r="AC791" s="281"/>
      <c r="AD791" s="170"/>
      <c r="AE791" s="152"/>
      <c r="AF791" s="152"/>
      <c r="AG791" s="152"/>
      <c r="AH791" s="152"/>
      <c r="AI791" s="152"/>
      <c r="AJ791" s="152"/>
      <c r="AK791" s="152"/>
      <c r="AL791" s="152"/>
      <c r="AM791" s="152"/>
      <c r="AN791" s="152"/>
      <c r="AO791" s="152"/>
    </row>
    <row r="792" ht="12.75" customHeight="1">
      <c r="A792" s="288"/>
      <c r="B792" s="288"/>
      <c r="C792" s="288"/>
      <c r="D792" s="152"/>
      <c r="E792" s="289"/>
      <c r="F792" s="288"/>
      <c r="G792" s="152"/>
      <c r="H792" s="289"/>
      <c r="I792" s="289"/>
      <c r="J792" s="152"/>
      <c r="K792" s="152"/>
      <c r="L792" s="156"/>
      <c r="M792" s="152"/>
      <c r="N792" s="152"/>
      <c r="O792" s="152"/>
      <c r="P792" s="152"/>
      <c r="Q792" s="152"/>
      <c r="R792" s="152"/>
      <c r="S792" s="152"/>
      <c r="T792" s="152"/>
      <c r="U792" s="152"/>
      <c r="V792" s="152"/>
      <c r="W792" s="281"/>
      <c r="X792" s="281"/>
      <c r="Y792" s="281"/>
      <c r="Z792" s="281"/>
      <c r="AA792" s="281"/>
      <c r="AB792" s="281"/>
      <c r="AC792" s="281"/>
      <c r="AD792" s="170"/>
      <c r="AE792" s="152"/>
      <c r="AF792" s="152"/>
      <c r="AG792" s="152"/>
      <c r="AH792" s="152"/>
      <c r="AI792" s="152"/>
      <c r="AJ792" s="152"/>
      <c r="AK792" s="152"/>
      <c r="AL792" s="152"/>
      <c r="AM792" s="152"/>
      <c r="AN792" s="152"/>
      <c r="AO792" s="152"/>
    </row>
    <row r="793" ht="12.75" customHeight="1">
      <c r="A793" s="288"/>
      <c r="B793" s="288"/>
      <c r="C793" s="288"/>
      <c r="D793" s="152"/>
      <c r="E793" s="289"/>
      <c r="F793" s="288"/>
      <c r="G793" s="152"/>
      <c r="H793" s="289"/>
      <c r="I793" s="289"/>
      <c r="J793" s="152"/>
      <c r="K793" s="152"/>
      <c r="L793" s="156"/>
      <c r="M793" s="152"/>
      <c r="N793" s="152"/>
      <c r="O793" s="152"/>
      <c r="P793" s="152"/>
      <c r="Q793" s="152"/>
      <c r="R793" s="152"/>
      <c r="S793" s="152"/>
      <c r="T793" s="152"/>
      <c r="U793" s="152"/>
      <c r="V793" s="152"/>
      <c r="W793" s="281"/>
      <c r="X793" s="281"/>
      <c r="Y793" s="281"/>
      <c r="Z793" s="281"/>
      <c r="AA793" s="281"/>
      <c r="AB793" s="281"/>
      <c r="AC793" s="281"/>
      <c r="AD793" s="170"/>
      <c r="AE793" s="152"/>
      <c r="AF793" s="152"/>
      <c r="AG793" s="152"/>
      <c r="AH793" s="152"/>
      <c r="AI793" s="152"/>
      <c r="AJ793" s="152"/>
      <c r="AK793" s="152"/>
      <c r="AL793" s="152"/>
      <c r="AM793" s="152"/>
      <c r="AN793" s="152"/>
      <c r="AO793" s="152"/>
    </row>
    <row r="794" ht="12.75" customHeight="1">
      <c r="A794" s="288"/>
      <c r="B794" s="288"/>
      <c r="C794" s="288"/>
      <c r="D794" s="152"/>
      <c r="E794" s="289"/>
      <c r="F794" s="288"/>
      <c r="G794" s="152"/>
      <c r="H794" s="289"/>
      <c r="I794" s="289"/>
      <c r="J794" s="152"/>
      <c r="K794" s="152"/>
      <c r="L794" s="156"/>
      <c r="M794" s="152"/>
      <c r="N794" s="152"/>
      <c r="O794" s="152"/>
      <c r="P794" s="152"/>
      <c r="Q794" s="152"/>
      <c r="R794" s="152"/>
      <c r="S794" s="152"/>
      <c r="T794" s="152"/>
      <c r="U794" s="152"/>
      <c r="V794" s="152"/>
      <c r="W794" s="281"/>
      <c r="X794" s="281"/>
      <c r="Y794" s="281"/>
      <c r="Z794" s="281"/>
      <c r="AA794" s="281"/>
      <c r="AB794" s="281"/>
      <c r="AC794" s="281"/>
      <c r="AD794" s="170"/>
      <c r="AE794" s="152"/>
      <c r="AF794" s="152"/>
      <c r="AG794" s="152"/>
      <c r="AH794" s="152"/>
      <c r="AI794" s="152"/>
      <c r="AJ794" s="152"/>
      <c r="AK794" s="152"/>
      <c r="AL794" s="152"/>
      <c r="AM794" s="152"/>
      <c r="AN794" s="152"/>
      <c r="AO794" s="152"/>
    </row>
    <row r="795" ht="12.75" customHeight="1">
      <c r="A795" s="288"/>
      <c r="B795" s="288"/>
      <c r="C795" s="288"/>
      <c r="D795" s="152"/>
      <c r="E795" s="289"/>
      <c r="F795" s="288"/>
      <c r="G795" s="152"/>
      <c r="H795" s="289"/>
      <c r="I795" s="289"/>
      <c r="J795" s="152"/>
      <c r="K795" s="152"/>
      <c r="L795" s="156"/>
      <c r="M795" s="152"/>
      <c r="N795" s="152"/>
      <c r="O795" s="152"/>
      <c r="P795" s="152"/>
      <c r="Q795" s="152"/>
      <c r="R795" s="152"/>
      <c r="S795" s="152"/>
      <c r="T795" s="152"/>
      <c r="U795" s="152"/>
      <c r="V795" s="152"/>
      <c r="W795" s="281"/>
      <c r="X795" s="281"/>
      <c r="Y795" s="281"/>
      <c r="Z795" s="281"/>
      <c r="AA795" s="281"/>
      <c r="AB795" s="281"/>
      <c r="AC795" s="281"/>
      <c r="AD795" s="170"/>
      <c r="AE795" s="152"/>
      <c r="AF795" s="152"/>
      <c r="AG795" s="152"/>
      <c r="AH795" s="152"/>
      <c r="AI795" s="152"/>
      <c r="AJ795" s="152"/>
      <c r="AK795" s="152"/>
      <c r="AL795" s="152"/>
      <c r="AM795" s="152"/>
      <c r="AN795" s="152"/>
      <c r="AO795" s="152"/>
    </row>
    <row r="796" ht="12.75" customHeight="1">
      <c r="A796" s="288"/>
      <c r="B796" s="288"/>
      <c r="C796" s="288"/>
      <c r="D796" s="152"/>
      <c r="E796" s="289"/>
      <c r="F796" s="288"/>
      <c r="G796" s="152"/>
      <c r="H796" s="289"/>
      <c r="I796" s="289"/>
      <c r="J796" s="152"/>
      <c r="K796" s="152"/>
      <c r="L796" s="156"/>
      <c r="M796" s="152"/>
      <c r="N796" s="152"/>
      <c r="O796" s="152"/>
      <c r="P796" s="152"/>
      <c r="Q796" s="152"/>
      <c r="R796" s="152"/>
      <c r="S796" s="152"/>
      <c r="T796" s="152"/>
      <c r="U796" s="152"/>
      <c r="V796" s="152"/>
      <c r="W796" s="281"/>
      <c r="X796" s="281"/>
      <c r="Y796" s="281"/>
      <c r="Z796" s="281"/>
      <c r="AA796" s="281"/>
      <c r="AB796" s="281"/>
      <c r="AC796" s="281"/>
      <c r="AD796" s="170"/>
      <c r="AE796" s="152"/>
      <c r="AF796" s="152"/>
      <c r="AG796" s="152"/>
      <c r="AH796" s="152"/>
      <c r="AI796" s="152"/>
      <c r="AJ796" s="152"/>
      <c r="AK796" s="152"/>
      <c r="AL796" s="152"/>
      <c r="AM796" s="152"/>
      <c r="AN796" s="152"/>
      <c r="AO796" s="152"/>
    </row>
    <row r="797" ht="12.75" customHeight="1">
      <c r="A797" s="288"/>
      <c r="B797" s="288"/>
      <c r="C797" s="288"/>
      <c r="D797" s="152"/>
      <c r="E797" s="289"/>
      <c r="F797" s="288"/>
      <c r="G797" s="152"/>
      <c r="H797" s="289"/>
      <c r="I797" s="289"/>
      <c r="J797" s="152"/>
      <c r="K797" s="152"/>
      <c r="L797" s="156"/>
      <c r="M797" s="152"/>
      <c r="N797" s="152"/>
      <c r="O797" s="152"/>
      <c r="P797" s="152"/>
      <c r="Q797" s="152"/>
      <c r="R797" s="152"/>
      <c r="S797" s="152"/>
      <c r="T797" s="152"/>
      <c r="U797" s="152"/>
      <c r="V797" s="152"/>
      <c r="W797" s="281"/>
      <c r="X797" s="281"/>
      <c r="Y797" s="281"/>
      <c r="Z797" s="281"/>
      <c r="AA797" s="281"/>
      <c r="AB797" s="281"/>
      <c r="AC797" s="281"/>
      <c r="AD797" s="170"/>
      <c r="AE797" s="152"/>
      <c r="AF797" s="152"/>
      <c r="AG797" s="152"/>
      <c r="AH797" s="152"/>
      <c r="AI797" s="152"/>
      <c r="AJ797" s="152"/>
      <c r="AK797" s="152"/>
      <c r="AL797" s="152"/>
      <c r="AM797" s="152"/>
      <c r="AN797" s="152"/>
      <c r="AO797" s="152"/>
    </row>
    <row r="798" ht="12.75" customHeight="1">
      <c r="A798" s="288"/>
      <c r="B798" s="288"/>
      <c r="C798" s="288"/>
      <c r="D798" s="152"/>
      <c r="E798" s="289"/>
      <c r="F798" s="288"/>
      <c r="G798" s="152"/>
      <c r="H798" s="289"/>
      <c r="I798" s="289"/>
      <c r="J798" s="152"/>
      <c r="K798" s="152"/>
      <c r="L798" s="156"/>
      <c r="M798" s="152"/>
      <c r="N798" s="152"/>
      <c r="O798" s="152"/>
      <c r="P798" s="152"/>
      <c r="Q798" s="152"/>
      <c r="R798" s="152"/>
      <c r="S798" s="152"/>
      <c r="T798" s="152"/>
      <c r="U798" s="152"/>
      <c r="V798" s="152"/>
      <c r="W798" s="281"/>
      <c r="X798" s="281"/>
      <c r="Y798" s="281"/>
      <c r="Z798" s="281"/>
      <c r="AA798" s="281"/>
      <c r="AB798" s="281"/>
      <c r="AC798" s="281"/>
      <c r="AD798" s="170"/>
      <c r="AE798" s="152"/>
      <c r="AF798" s="152"/>
      <c r="AG798" s="152"/>
      <c r="AH798" s="152"/>
      <c r="AI798" s="152"/>
      <c r="AJ798" s="152"/>
      <c r="AK798" s="152"/>
      <c r="AL798" s="152"/>
      <c r="AM798" s="152"/>
      <c r="AN798" s="152"/>
      <c r="AO798" s="152"/>
    </row>
    <row r="799" ht="12.75" customHeight="1">
      <c r="A799" s="288"/>
      <c r="B799" s="288"/>
      <c r="C799" s="288"/>
      <c r="D799" s="152"/>
      <c r="E799" s="289"/>
      <c r="F799" s="288"/>
      <c r="G799" s="152"/>
      <c r="H799" s="289"/>
      <c r="I799" s="289"/>
      <c r="J799" s="152"/>
      <c r="K799" s="152"/>
      <c r="L799" s="156"/>
      <c r="M799" s="152"/>
      <c r="N799" s="152"/>
      <c r="O799" s="152"/>
      <c r="P799" s="152"/>
      <c r="Q799" s="152"/>
      <c r="R799" s="152"/>
      <c r="S799" s="152"/>
      <c r="T799" s="152"/>
      <c r="U799" s="152"/>
      <c r="V799" s="152"/>
      <c r="W799" s="281"/>
      <c r="X799" s="281"/>
      <c r="Y799" s="281"/>
      <c r="Z799" s="281"/>
      <c r="AA799" s="281"/>
      <c r="AB799" s="281"/>
      <c r="AC799" s="281"/>
      <c r="AD799" s="170"/>
      <c r="AE799" s="152"/>
      <c r="AF799" s="152"/>
      <c r="AG799" s="152"/>
      <c r="AH799" s="152"/>
      <c r="AI799" s="152"/>
      <c r="AJ799" s="152"/>
      <c r="AK799" s="152"/>
      <c r="AL799" s="152"/>
      <c r="AM799" s="152"/>
      <c r="AN799" s="152"/>
      <c r="AO799" s="152"/>
    </row>
    <row r="800" ht="12.75" customHeight="1">
      <c r="A800" s="288"/>
      <c r="B800" s="288"/>
      <c r="C800" s="288"/>
      <c r="D800" s="152"/>
      <c r="E800" s="289"/>
      <c r="F800" s="288"/>
      <c r="G800" s="152"/>
      <c r="H800" s="289"/>
      <c r="I800" s="289"/>
      <c r="J800" s="152"/>
      <c r="K800" s="152"/>
      <c r="L800" s="156"/>
      <c r="M800" s="152"/>
      <c r="N800" s="152"/>
      <c r="O800" s="152"/>
      <c r="P800" s="152"/>
      <c r="Q800" s="152"/>
      <c r="R800" s="152"/>
      <c r="S800" s="152"/>
      <c r="T800" s="152"/>
      <c r="U800" s="152"/>
      <c r="V800" s="152"/>
      <c r="W800" s="281"/>
      <c r="X800" s="281"/>
      <c r="Y800" s="281"/>
      <c r="Z800" s="281"/>
      <c r="AA800" s="281"/>
      <c r="AB800" s="281"/>
      <c r="AC800" s="281"/>
      <c r="AD800" s="170"/>
      <c r="AE800" s="152"/>
      <c r="AF800" s="152"/>
      <c r="AG800" s="152"/>
      <c r="AH800" s="152"/>
      <c r="AI800" s="152"/>
      <c r="AJ800" s="152"/>
      <c r="AK800" s="152"/>
      <c r="AL800" s="152"/>
      <c r="AM800" s="152"/>
      <c r="AN800" s="152"/>
      <c r="AO800" s="152"/>
    </row>
    <row r="801" ht="12.75" customHeight="1">
      <c r="A801" s="288"/>
      <c r="B801" s="288"/>
      <c r="C801" s="288"/>
      <c r="D801" s="152"/>
      <c r="E801" s="289"/>
      <c r="F801" s="288"/>
      <c r="G801" s="152"/>
      <c r="H801" s="289"/>
      <c r="I801" s="289"/>
      <c r="J801" s="152"/>
      <c r="K801" s="152"/>
      <c r="L801" s="156"/>
      <c r="M801" s="152"/>
      <c r="N801" s="152"/>
      <c r="O801" s="152"/>
      <c r="P801" s="152"/>
      <c r="Q801" s="152"/>
      <c r="R801" s="152"/>
      <c r="S801" s="152"/>
      <c r="T801" s="152"/>
      <c r="U801" s="152"/>
      <c r="V801" s="152"/>
      <c r="W801" s="281"/>
      <c r="X801" s="281"/>
      <c r="Y801" s="281"/>
      <c r="Z801" s="281"/>
      <c r="AA801" s="281"/>
      <c r="AB801" s="281"/>
      <c r="AC801" s="281"/>
      <c r="AD801" s="170"/>
      <c r="AE801" s="152"/>
      <c r="AF801" s="152"/>
      <c r="AG801" s="152"/>
      <c r="AH801" s="152"/>
      <c r="AI801" s="152"/>
      <c r="AJ801" s="152"/>
      <c r="AK801" s="152"/>
      <c r="AL801" s="152"/>
      <c r="AM801" s="152"/>
      <c r="AN801" s="152"/>
      <c r="AO801" s="152"/>
    </row>
    <row r="802" ht="12.75" customHeight="1">
      <c r="A802" s="288"/>
      <c r="B802" s="288"/>
      <c r="C802" s="288"/>
      <c r="D802" s="152"/>
      <c r="E802" s="289"/>
      <c r="F802" s="288"/>
      <c r="G802" s="152"/>
      <c r="H802" s="289"/>
      <c r="I802" s="289"/>
      <c r="J802" s="152"/>
      <c r="K802" s="152"/>
      <c r="L802" s="156"/>
      <c r="M802" s="152"/>
      <c r="N802" s="152"/>
      <c r="O802" s="152"/>
      <c r="P802" s="152"/>
      <c r="Q802" s="152"/>
      <c r="R802" s="152"/>
      <c r="S802" s="152"/>
      <c r="T802" s="152"/>
      <c r="U802" s="152"/>
      <c r="V802" s="152"/>
      <c r="W802" s="281"/>
      <c r="X802" s="281"/>
      <c r="Y802" s="281"/>
      <c r="Z802" s="281"/>
      <c r="AA802" s="281"/>
      <c r="AB802" s="281"/>
      <c r="AC802" s="281"/>
      <c r="AD802" s="170"/>
      <c r="AE802" s="152"/>
      <c r="AF802" s="152"/>
      <c r="AG802" s="152"/>
      <c r="AH802" s="152"/>
      <c r="AI802" s="152"/>
      <c r="AJ802" s="152"/>
      <c r="AK802" s="152"/>
      <c r="AL802" s="152"/>
      <c r="AM802" s="152"/>
      <c r="AN802" s="152"/>
      <c r="AO802" s="152"/>
    </row>
    <row r="803" ht="12.75" customHeight="1">
      <c r="A803" s="288"/>
      <c r="B803" s="288"/>
      <c r="C803" s="288"/>
      <c r="D803" s="152"/>
      <c r="E803" s="289"/>
      <c r="F803" s="288"/>
      <c r="G803" s="152"/>
      <c r="H803" s="289"/>
      <c r="I803" s="289"/>
      <c r="J803" s="152"/>
      <c r="K803" s="152"/>
      <c r="L803" s="156"/>
      <c r="M803" s="152"/>
      <c r="N803" s="152"/>
      <c r="O803" s="152"/>
      <c r="P803" s="152"/>
      <c r="Q803" s="152"/>
      <c r="R803" s="152"/>
      <c r="S803" s="152"/>
      <c r="T803" s="152"/>
      <c r="U803" s="152"/>
      <c r="V803" s="152"/>
      <c r="W803" s="281"/>
      <c r="X803" s="281"/>
      <c r="Y803" s="281"/>
      <c r="Z803" s="281"/>
      <c r="AA803" s="281"/>
      <c r="AB803" s="281"/>
      <c r="AC803" s="281"/>
      <c r="AD803" s="170"/>
      <c r="AE803" s="152"/>
      <c r="AF803" s="152"/>
      <c r="AG803" s="152"/>
      <c r="AH803" s="152"/>
      <c r="AI803" s="152"/>
      <c r="AJ803" s="152"/>
      <c r="AK803" s="152"/>
      <c r="AL803" s="152"/>
      <c r="AM803" s="152"/>
      <c r="AN803" s="152"/>
      <c r="AO803" s="152"/>
    </row>
    <row r="804" ht="12.75" customHeight="1">
      <c r="A804" s="288"/>
      <c r="B804" s="288"/>
      <c r="C804" s="288"/>
      <c r="D804" s="152"/>
      <c r="E804" s="289"/>
      <c r="F804" s="288"/>
      <c r="G804" s="152"/>
      <c r="H804" s="289"/>
      <c r="I804" s="289"/>
      <c r="J804" s="152"/>
      <c r="K804" s="152"/>
      <c r="L804" s="156"/>
      <c r="M804" s="152"/>
      <c r="N804" s="152"/>
      <c r="O804" s="152"/>
      <c r="P804" s="152"/>
      <c r="Q804" s="152"/>
      <c r="R804" s="152"/>
      <c r="S804" s="152"/>
      <c r="T804" s="152"/>
      <c r="U804" s="152"/>
      <c r="V804" s="152"/>
      <c r="W804" s="281"/>
      <c r="X804" s="281"/>
      <c r="Y804" s="281"/>
      <c r="Z804" s="281"/>
      <c r="AA804" s="281"/>
      <c r="AB804" s="281"/>
      <c r="AC804" s="281"/>
      <c r="AD804" s="170"/>
      <c r="AE804" s="152"/>
      <c r="AF804" s="152"/>
      <c r="AG804" s="152"/>
      <c r="AH804" s="152"/>
      <c r="AI804" s="152"/>
      <c r="AJ804" s="152"/>
      <c r="AK804" s="152"/>
      <c r="AL804" s="152"/>
      <c r="AM804" s="152"/>
      <c r="AN804" s="152"/>
      <c r="AO804" s="152"/>
    </row>
    <row r="805" ht="12.75" customHeight="1">
      <c r="A805" s="288"/>
      <c r="B805" s="288"/>
      <c r="C805" s="288"/>
      <c r="D805" s="152"/>
      <c r="E805" s="289"/>
      <c r="F805" s="288"/>
      <c r="G805" s="152"/>
      <c r="H805" s="289"/>
      <c r="I805" s="289"/>
      <c r="J805" s="152"/>
      <c r="K805" s="152"/>
      <c r="L805" s="156"/>
      <c r="M805" s="152"/>
      <c r="N805" s="152"/>
      <c r="O805" s="152"/>
      <c r="P805" s="152"/>
      <c r="Q805" s="152"/>
      <c r="R805" s="152"/>
      <c r="S805" s="152"/>
      <c r="T805" s="152"/>
      <c r="U805" s="152"/>
      <c r="V805" s="152"/>
      <c r="W805" s="281"/>
      <c r="X805" s="281"/>
      <c r="Y805" s="281"/>
      <c r="Z805" s="281"/>
      <c r="AA805" s="281"/>
      <c r="AB805" s="281"/>
      <c r="AC805" s="281"/>
      <c r="AD805" s="170"/>
      <c r="AE805" s="152"/>
      <c r="AF805" s="152"/>
      <c r="AG805" s="152"/>
      <c r="AH805" s="152"/>
      <c r="AI805" s="152"/>
      <c r="AJ805" s="152"/>
      <c r="AK805" s="152"/>
      <c r="AL805" s="152"/>
      <c r="AM805" s="152"/>
      <c r="AN805" s="152"/>
      <c r="AO805" s="152"/>
    </row>
    <row r="806" ht="12.75" customHeight="1">
      <c r="A806" s="288"/>
      <c r="B806" s="288"/>
      <c r="C806" s="288"/>
      <c r="D806" s="152"/>
      <c r="E806" s="289"/>
      <c r="F806" s="288"/>
      <c r="G806" s="152"/>
      <c r="H806" s="289"/>
      <c r="I806" s="289"/>
      <c r="J806" s="152"/>
      <c r="K806" s="152"/>
      <c r="L806" s="156"/>
      <c r="M806" s="152"/>
      <c r="N806" s="152"/>
      <c r="O806" s="152"/>
      <c r="P806" s="152"/>
      <c r="Q806" s="152"/>
      <c r="R806" s="152"/>
      <c r="S806" s="152"/>
      <c r="T806" s="152"/>
      <c r="U806" s="152"/>
      <c r="V806" s="152"/>
      <c r="W806" s="281"/>
      <c r="X806" s="281"/>
      <c r="Y806" s="281"/>
      <c r="Z806" s="281"/>
      <c r="AA806" s="281"/>
      <c r="AB806" s="281"/>
      <c r="AC806" s="281"/>
      <c r="AD806" s="170"/>
      <c r="AE806" s="152"/>
      <c r="AF806" s="152"/>
      <c r="AG806" s="152"/>
      <c r="AH806" s="152"/>
      <c r="AI806" s="152"/>
      <c r="AJ806" s="152"/>
      <c r="AK806" s="152"/>
      <c r="AL806" s="152"/>
      <c r="AM806" s="152"/>
      <c r="AN806" s="152"/>
      <c r="AO806" s="152"/>
    </row>
    <row r="807" ht="12.75" customHeight="1">
      <c r="A807" s="288"/>
      <c r="B807" s="288"/>
      <c r="C807" s="288"/>
      <c r="D807" s="152"/>
      <c r="E807" s="289"/>
      <c r="F807" s="288"/>
      <c r="G807" s="152"/>
      <c r="H807" s="289"/>
      <c r="I807" s="289"/>
      <c r="J807" s="152"/>
      <c r="K807" s="152"/>
      <c r="L807" s="156"/>
      <c r="M807" s="152"/>
      <c r="N807" s="152"/>
      <c r="O807" s="152"/>
      <c r="P807" s="152"/>
      <c r="Q807" s="152"/>
      <c r="R807" s="152"/>
      <c r="S807" s="152"/>
      <c r="T807" s="152"/>
      <c r="U807" s="152"/>
      <c r="V807" s="152"/>
      <c r="W807" s="281"/>
      <c r="X807" s="281"/>
      <c r="Y807" s="281"/>
      <c r="Z807" s="281"/>
      <c r="AA807" s="281"/>
      <c r="AB807" s="281"/>
      <c r="AC807" s="281"/>
      <c r="AD807" s="170"/>
      <c r="AE807" s="152"/>
      <c r="AF807" s="152"/>
      <c r="AG807" s="152"/>
      <c r="AH807" s="152"/>
      <c r="AI807" s="152"/>
      <c r="AJ807" s="152"/>
      <c r="AK807" s="152"/>
      <c r="AL807" s="152"/>
      <c r="AM807" s="152"/>
      <c r="AN807" s="152"/>
      <c r="AO807" s="152"/>
    </row>
    <row r="808" ht="12.75" customHeight="1">
      <c r="A808" s="288"/>
      <c r="B808" s="288"/>
      <c r="C808" s="288"/>
      <c r="D808" s="152"/>
      <c r="E808" s="289"/>
      <c r="F808" s="288"/>
      <c r="G808" s="152"/>
      <c r="H808" s="289"/>
      <c r="I808" s="289"/>
      <c r="J808" s="152"/>
      <c r="K808" s="152"/>
      <c r="L808" s="156"/>
      <c r="M808" s="152"/>
      <c r="N808" s="152"/>
      <c r="O808" s="152"/>
      <c r="P808" s="152"/>
      <c r="Q808" s="152"/>
      <c r="R808" s="152"/>
      <c r="S808" s="152"/>
      <c r="T808" s="152"/>
      <c r="U808" s="152"/>
      <c r="V808" s="152"/>
      <c r="W808" s="281"/>
      <c r="X808" s="281"/>
      <c r="Y808" s="281"/>
      <c r="Z808" s="281"/>
      <c r="AA808" s="281"/>
      <c r="AB808" s="281"/>
      <c r="AC808" s="281"/>
      <c r="AD808" s="170"/>
      <c r="AE808" s="152"/>
      <c r="AF808" s="152"/>
      <c r="AG808" s="152"/>
      <c r="AH808" s="152"/>
      <c r="AI808" s="152"/>
      <c r="AJ808" s="152"/>
      <c r="AK808" s="152"/>
      <c r="AL808" s="152"/>
      <c r="AM808" s="152"/>
      <c r="AN808" s="152"/>
      <c r="AO808" s="152"/>
    </row>
    <row r="809" ht="12.75" customHeight="1">
      <c r="A809" s="288"/>
      <c r="B809" s="288"/>
      <c r="C809" s="288"/>
      <c r="D809" s="152"/>
      <c r="E809" s="289"/>
      <c r="F809" s="288"/>
      <c r="G809" s="152"/>
      <c r="H809" s="289"/>
      <c r="I809" s="289"/>
      <c r="J809" s="152"/>
      <c r="K809" s="152"/>
      <c r="L809" s="156"/>
      <c r="M809" s="152"/>
      <c r="N809" s="152"/>
      <c r="O809" s="152"/>
      <c r="P809" s="152"/>
      <c r="Q809" s="152"/>
      <c r="R809" s="152"/>
      <c r="S809" s="152"/>
      <c r="T809" s="152"/>
      <c r="U809" s="152"/>
      <c r="V809" s="152"/>
      <c r="W809" s="281"/>
      <c r="X809" s="281"/>
      <c r="Y809" s="281"/>
      <c r="Z809" s="281"/>
      <c r="AA809" s="281"/>
      <c r="AB809" s="281"/>
      <c r="AC809" s="281"/>
      <c r="AD809" s="170"/>
      <c r="AE809" s="152"/>
      <c r="AF809" s="152"/>
      <c r="AG809" s="152"/>
      <c r="AH809" s="152"/>
      <c r="AI809" s="152"/>
      <c r="AJ809" s="152"/>
      <c r="AK809" s="152"/>
      <c r="AL809" s="152"/>
      <c r="AM809" s="152"/>
      <c r="AN809" s="152"/>
      <c r="AO809" s="152"/>
    </row>
    <row r="810" ht="12.75" customHeight="1">
      <c r="A810" s="288"/>
      <c r="B810" s="288"/>
      <c r="C810" s="288"/>
      <c r="D810" s="152"/>
      <c r="E810" s="289"/>
      <c r="F810" s="288"/>
      <c r="G810" s="152"/>
      <c r="H810" s="289"/>
      <c r="I810" s="289"/>
      <c r="J810" s="152"/>
      <c r="K810" s="152"/>
      <c r="L810" s="156"/>
      <c r="M810" s="152"/>
      <c r="N810" s="152"/>
      <c r="O810" s="152"/>
      <c r="P810" s="152"/>
      <c r="Q810" s="152"/>
      <c r="R810" s="152"/>
      <c r="S810" s="152"/>
      <c r="T810" s="152"/>
      <c r="U810" s="152"/>
      <c r="V810" s="152"/>
      <c r="W810" s="281"/>
      <c r="X810" s="281"/>
      <c r="Y810" s="281"/>
      <c r="Z810" s="281"/>
      <c r="AA810" s="281"/>
      <c r="AB810" s="281"/>
      <c r="AC810" s="281"/>
      <c r="AD810" s="170"/>
      <c r="AE810" s="152"/>
      <c r="AF810" s="152"/>
      <c r="AG810" s="152"/>
      <c r="AH810" s="152"/>
      <c r="AI810" s="152"/>
      <c r="AJ810" s="152"/>
      <c r="AK810" s="152"/>
      <c r="AL810" s="152"/>
      <c r="AM810" s="152"/>
      <c r="AN810" s="152"/>
      <c r="AO810" s="152"/>
    </row>
    <row r="811" ht="12.75" customHeight="1">
      <c r="A811" s="288"/>
      <c r="B811" s="288"/>
      <c r="C811" s="288"/>
      <c r="D811" s="152"/>
      <c r="E811" s="289"/>
      <c r="F811" s="288"/>
      <c r="G811" s="152"/>
      <c r="H811" s="289"/>
      <c r="I811" s="289"/>
      <c r="J811" s="152"/>
      <c r="K811" s="152"/>
      <c r="L811" s="156"/>
      <c r="M811" s="152"/>
      <c r="N811" s="152"/>
      <c r="O811" s="152"/>
      <c r="P811" s="152"/>
      <c r="Q811" s="152"/>
      <c r="R811" s="152"/>
      <c r="S811" s="152"/>
      <c r="T811" s="152"/>
      <c r="U811" s="152"/>
      <c r="V811" s="152"/>
      <c r="W811" s="281"/>
      <c r="X811" s="281"/>
      <c r="Y811" s="281"/>
      <c r="Z811" s="281"/>
      <c r="AA811" s="281"/>
      <c r="AB811" s="281"/>
      <c r="AC811" s="281"/>
      <c r="AD811" s="170"/>
      <c r="AE811" s="152"/>
      <c r="AF811" s="152"/>
      <c r="AG811" s="152"/>
      <c r="AH811" s="152"/>
      <c r="AI811" s="152"/>
      <c r="AJ811" s="152"/>
      <c r="AK811" s="152"/>
      <c r="AL811" s="152"/>
      <c r="AM811" s="152"/>
      <c r="AN811" s="152"/>
      <c r="AO811" s="152"/>
    </row>
    <row r="812" ht="12.75" customHeight="1">
      <c r="A812" s="288"/>
      <c r="B812" s="288"/>
      <c r="C812" s="288"/>
      <c r="D812" s="152"/>
      <c r="E812" s="289"/>
      <c r="F812" s="288"/>
      <c r="G812" s="152"/>
      <c r="H812" s="289"/>
      <c r="I812" s="289"/>
      <c r="J812" s="152"/>
      <c r="K812" s="152"/>
      <c r="L812" s="156"/>
      <c r="M812" s="152"/>
      <c r="N812" s="152"/>
      <c r="O812" s="152"/>
      <c r="P812" s="152"/>
      <c r="Q812" s="152"/>
      <c r="R812" s="152"/>
      <c r="S812" s="152"/>
      <c r="T812" s="152"/>
      <c r="U812" s="152"/>
      <c r="V812" s="152"/>
      <c r="W812" s="281"/>
      <c r="X812" s="281"/>
      <c r="Y812" s="281"/>
      <c r="Z812" s="281"/>
      <c r="AA812" s="281"/>
      <c r="AB812" s="281"/>
      <c r="AC812" s="281"/>
      <c r="AD812" s="170"/>
      <c r="AE812" s="152"/>
      <c r="AF812" s="152"/>
      <c r="AG812" s="152"/>
      <c r="AH812" s="152"/>
      <c r="AI812" s="152"/>
      <c r="AJ812" s="152"/>
      <c r="AK812" s="152"/>
      <c r="AL812" s="152"/>
      <c r="AM812" s="152"/>
      <c r="AN812" s="152"/>
      <c r="AO812" s="152"/>
    </row>
    <row r="813" ht="12.75" customHeight="1">
      <c r="A813" s="288"/>
      <c r="B813" s="288"/>
      <c r="C813" s="288"/>
      <c r="D813" s="152"/>
      <c r="E813" s="289"/>
      <c r="F813" s="288"/>
      <c r="G813" s="152"/>
      <c r="H813" s="289"/>
      <c r="I813" s="289"/>
      <c r="J813" s="152"/>
      <c r="K813" s="152"/>
      <c r="L813" s="156"/>
      <c r="M813" s="152"/>
      <c r="N813" s="152"/>
      <c r="O813" s="152"/>
      <c r="P813" s="152"/>
      <c r="Q813" s="152"/>
      <c r="R813" s="152"/>
      <c r="S813" s="152"/>
      <c r="T813" s="152"/>
      <c r="U813" s="152"/>
      <c r="V813" s="152"/>
      <c r="W813" s="281"/>
      <c r="X813" s="281"/>
      <c r="Y813" s="281"/>
      <c r="Z813" s="281"/>
      <c r="AA813" s="281"/>
      <c r="AB813" s="281"/>
      <c r="AC813" s="281"/>
      <c r="AD813" s="170"/>
      <c r="AE813" s="152"/>
      <c r="AF813" s="152"/>
      <c r="AG813" s="152"/>
      <c r="AH813" s="152"/>
      <c r="AI813" s="152"/>
      <c r="AJ813" s="152"/>
      <c r="AK813" s="152"/>
      <c r="AL813" s="152"/>
      <c r="AM813" s="152"/>
      <c r="AN813" s="152"/>
      <c r="AO813" s="152"/>
    </row>
    <row r="814" ht="12.75" customHeight="1">
      <c r="A814" s="288"/>
      <c r="B814" s="288"/>
      <c r="C814" s="288"/>
      <c r="D814" s="152"/>
      <c r="E814" s="289"/>
      <c r="F814" s="288"/>
      <c r="G814" s="152"/>
      <c r="H814" s="289"/>
      <c r="I814" s="289"/>
      <c r="J814" s="152"/>
      <c r="K814" s="152"/>
      <c r="L814" s="156"/>
      <c r="M814" s="152"/>
      <c r="N814" s="152"/>
      <c r="O814" s="152"/>
      <c r="P814" s="152"/>
      <c r="Q814" s="152"/>
      <c r="R814" s="152"/>
      <c r="S814" s="152"/>
      <c r="T814" s="152"/>
      <c r="U814" s="152"/>
      <c r="V814" s="152"/>
      <c r="W814" s="281"/>
      <c r="X814" s="281"/>
      <c r="Y814" s="281"/>
      <c r="Z814" s="281"/>
      <c r="AA814" s="281"/>
      <c r="AB814" s="281"/>
      <c r="AC814" s="281"/>
      <c r="AD814" s="170"/>
      <c r="AE814" s="152"/>
      <c r="AF814" s="152"/>
      <c r="AG814" s="152"/>
      <c r="AH814" s="152"/>
      <c r="AI814" s="152"/>
      <c r="AJ814" s="152"/>
      <c r="AK814" s="152"/>
      <c r="AL814" s="152"/>
      <c r="AM814" s="152"/>
      <c r="AN814" s="152"/>
      <c r="AO814" s="152"/>
    </row>
    <row r="815" ht="12.75" customHeight="1">
      <c r="A815" s="288"/>
      <c r="B815" s="288"/>
      <c r="C815" s="288"/>
      <c r="D815" s="152"/>
      <c r="E815" s="289"/>
      <c r="F815" s="288"/>
      <c r="G815" s="152"/>
      <c r="H815" s="289"/>
      <c r="I815" s="289"/>
      <c r="J815" s="152"/>
      <c r="K815" s="152"/>
      <c r="L815" s="156"/>
      <c r="M815" s="152"/>
      <c r="N815" s="152"/>
      <c r="O815" s="152"/>
      <c r="P815" s="152"/>
      <c r="Q815" s="152"/>
      <c r="R815" s="152"/>
      <c r="S815" s="152"/>
      <c r="T815" s="152"/>
      <c r="U815" s="152"/>
      <c r="V815" s="152"/>
      <c r="W815" s="281"/>
      <c r="X815" s="281"/>
      <c r="Y815" s="281"/>
      <c r="Z815" s="281"/>
      <c r="AA815" s="281"/>
      <c r="AB815" s="281"/>
      <c r="AC815" s="281"/>
      <c r="AD815" s="170"/>
      <c r="AE815" s="152"/>
      <c r="AF815" s="152"/>
      <c r="AG815" s="152"/>
      <c r="AH815" s="152"/>
      <c r="AI815" s="152"/>
      <c r="AJ815" s="152"/>
      <c r="AK815" s="152"/>
      <c r="AL815" s="152"/>
      <c r="AM815" s="152"/>
      <c r="AN815" s="152"/>
      <c r="AO815" s="152"/>
    </row>
    <row r="816" ht="12.75" customHeight="1">
      <c r="A816" s="288"/>
      <c r="B816" s="288"/>
      <c r="C816" s="288"/>
      <c r="D816" s="152"/>
      <c r="E816" s="289"/>
      <c r="F816" s="288"/>
      <c r="G816" s="152"/>
      <c r="H816" s="289"/>
      <c r="I816" s="289"/>
      <c r="J816" s="152"/>
      <c r="K816" s="152"/>
      <c r="L816" s="156"/>
      <c r="M816" s="152"/>
      <c r="N816" s="152"/>
      <c r="O816" s="152"/>
      <c r="P816" s="152"/>
      <c r="Q816" s="152"/>
      <c r="R816" s="152"/>
      <c r="S816" s="152"/>
      <c r="T816" s="152"/>
      <c r="U816" s="152"/>
      <c r="V816" s="152"/>
      <c r="W816" s="281"/>
      <c r="X816" s="281"/>
      <c r="Y816" s="281"/>
      <c r="Z816" s="281"/>
      <c r="AA816" s="281"/>
      <c r="AB816" s="281"/>
      <c r="AC816" s="281"/>
      <c r="AD816" s="170"/>
      <c r="AE816" s="152"/>
      <c r="AF816" s="152"/>
      <c r="AG816" s="152"/>
      <c r="AH816" s="152"/>
      <c r="AI816" s="152"/>
      <c r="AJ816" s="152"/>
      <c r="AK816" s="152"/>
      <c r="AL816" s="152"/>
      <c r="AM816" s="152"/>
      <c r="AN816" s="152"/>
      <c r="AO816" s="152"/>
    </row>
    <row r="817" ht="12.75" customHeight="1">
      <c r="A817" s="288"/>
      <c r="B817" s="288"/>
      <c r="C817" s="288"/>
      <c r="D817" s="152"/>
      <c r="E817" s="289"/>
      <c r="F817" s="288"/>
      <c r="G817" s="152"/>
      <c r="H817" s="289"/>
      <c r="I817" s="289"/>
      <c r="J817" s="152"/>
      <c r="K817" s="152"/>
      <c r="L817" s="156"/>
      <c r="M817" s="152"/>
      <c r="N817" s="152"/>
      <c r="O817" s="152"/>
      <c r="P817" s="152"/>
      <c r="Q817" s="152"/>
      <c r="R817" s="152"/>
      <c r="S817" s="152"/>
      <c r="T817" s="152"/>
      <c r="U817" s="152"/>
      <c r="V817" s="152"/>
      <c r="W817" s="281"/>
      <c r="X817" s="281"/>
      <c r="Y817" s="281"/>
      <c r="Z817" s="281"/>
      <c r="AA817" s="281"/>
      <c r="AB817" s="281"/>
      <c r="AC817" s="281"/>
      <c r="AD817" s="170"/>
      <c r="AE817" s="152"/>
      <c r="AF817" s="152"/>
      <c r="AG817" s="152"/>
      <c r="AH817" s="152"/>
      <c r="AI817" s="152"/>
      <c r="AJ817" s="152"/>
      <c r="AK817" s="152"/>
      <c r="AL817" s="152"/>
      <c r="AM817" s="152"/>
      <c r="AN817" s="152"/>
      <c r="AO817" s="152"/>
    </row>
    <row r="818" ht="12.75" customHeight="1">
      <c r="A818" s="288"/>
      <c r="B818" s="288"/>
      <c r="C818" s="288"/>
      <c r="D818" s="152"/>
      <c r="E818" s="289"/>
      <c r="F818" s="288"/>
      <c r="G818" s="152"/>
      <c r="H818" s="289"/>
      <c r="I818" s="289"/>
      <c r="J818" s="152"/>
      <c r="K818" s="152"/>
      <c r="L818" s="156"/>
      <c r="M818" s="152"/>
      <c r="N818" s="152"/>
      <c r="O818" s="152"/>
      <c r="P818" s="152"/>
      <c r="Q818" s="152"/>
      <c r="R818" s="152"/>
      <c r="S818" s="152"/>
      <c r="T818" s="152"/>
      <c r="U818" s="152"/>
      <c r="V818" s="152"/>
      <c r="W818" s="281"/>
      <c r="X818" s="281"/>
      <c r="Y818" s="281"/>
      <c r="Z818" s="281"/>
      <c r="AA818" s="281"/>
      <c r="AB818" s="281"/>
      <c r="AC818" s="281"/>
      <c r="AD818" s="170"/>
      <c r="AE818" s="152"/>
      <c r="AF818" s="152"/>
      <c r="AG818" s="152"/>
      <c r="AH818" s="152"/>
      <c r="AI818" s="152"/>
      <c r="AJ818" s="152"/>
      <c r="AK818" s="152"/>
      <c r="AL818" s="152"/>
      <c r="AM818" s="152"/>
      <c r="AN818" s="152"/>
      <c r="AO818" s="152"/>
    </row>
    <row r="819" ht="12.75" customHeight="1">
      <c r="A819" s="288"/>
      <c r="B819" s="288"/>
      <c r="C819" s="288"/>
      <c r="D819" s="152"/>
      <c r="E819" s="289"/>
      <c r="F819" s="288"/>
      <c r="G819" s="152"/>
      <c r="H819" s="289"/>
      <c r="I819" s="289"/>
      <c r="J819" s="152"/>
      <c r="K819" s="152"/>
      <c r="L819" s="156"/>
      <c r="M819" s="152"/>
      <c r="N819" s="152"/>
      <c r="O819" s="152"/>
      <c r="P819" s="152"/>
      <c r="Q819" s="152"/>
      <c r="R819" s="152"/>
      <c r="S819" s="152"/>
      <c r="T819" s="152"/>
      <c r="U819" s="152"/>
      <c r="V819" s="152"/>
      <c r="W819" s="281"/>
      <c r="X819" s="281"/>
      <c r="Y819" s="281"/>
      <c r="Z819" s="281"/>
      <c r="AA819" s="281"/>
      <c r="AB819" s="281"/>
      <c r="AC819" s="281"/>
      <c r="AD819" s="170"/>
      <c r="AE819" s="152"/>
      <c r="AF819" s="152"/>
      <c r="AG819" s="152"/>
      <c r="AH819" s="152"/>
      <c r="AI819" s="152"/>
      <c r="AJ819" s="152"/>
      <c r="AK819" s="152"/>
      <c r="AL819" s="152"/>
      <c r="AM819" s="152"/>
      <c r="AN819" s="152"/>
      <c r="AO819" s="152"/>
    </row>
    <row r="820" ht="12.75" customHeight="1">
      <c r="A820" s="288"/>
      <c r="B820" s="288"/>
      <c r="C820" s="288"/>
      <c r="D820" s="152"/>
      <c r="E820" s="289"/>
      <c r="F820" s="288"/>
      <c r="G820" s="152"/>
      <c r="H820" s="289"/>
      <c r="I820" s="289"/>
      <c r="J820" s="152"/>
      <c r="K820" s="152"/>
      <c r="L820" s="156"/>
      <c r="M820" s="152"/>
      <c r="N820" s="152"/>
      <c r="O820" s="152"/>
      <c r="P820" s="152"/>
      <c r="Q820" s="152"/>
      <c r="R820" s="152"/>
      <c r="S820" s="152"/>
      <c r="T820" s="152"/>
      <c r="U820" s="152"/>
      <c r="V820" s="152"/>
      <c r="W820" s="281"/>
      <c r="X820" s="281"/>
      <c r="Y820" s="281"/>
      <c r="Z820" s="281"/>
      <c r="AA820" s="281"/>
      <c r="AB820" s="281"/>
      <c r="AC820" s="281"/>
      <c r="AD820" s="170"/>
      <c r="AE820" s="152"/>
      <c r="AF820" s="152"/>
      <c r="AG820" s="152"/>
      <c r="AH820" s="152"/>
      <c r="AI820" s="152"/>
      <c r="AJ820" s="152"/>
      <c r="AK820" s="152"/>
      <c r="AL820" s="152"/>
      <c r="AM820" s="152"/>
      <c r="AN820" s="152"/>
      <c r="AO820" s="152"/>
    </row>
    <row r="821" ht="12.75" customHeight="1">
      <c r="A821" s="288"/>
      <c r="B821" s="288"/>
      <c r="C821" s="288"/>
      <c r="D821" s="152"/>
      <c r="E821" s="289"/>
      <c r="F821" s="288"/>
      <c r="G821" s="152"/>
      <c r="H821" s="289"/>
      <c r="I821" s="289"/>
      <c r="J821" s="152"/>
      <c r="K821" s="152"/>
      <c r="L821" s="156"/>
      <c r="M821" s="152"/>
      <c r="N821" s="152"/>
      <c r="O821" s="152"/>
      <c r="P821" s="152"/>
      <c r="Q821" s="152"/>
      <c r="R821" s="152"/>
      <c r="S821" s="152"/>
      <c r="T821" s="152"/>
      <c r="U821" s="152"/>
      <c r="V821" s="152"/>
      <c r="W821" s="281"/>
      <c r="X821" s="281"/>
      <c r="Y821" s="281"/>
      <c r="Z821" s="281"/>
      <c r="AA821" s="281"/>
      <c r="AB821" s="281"/>
      <c r="AC821" s="281"/>
      <c r="AD821" s="170"/>
      <c r="AE821" s="152"/>
      <c r="AF821" s="152"/>
      <c r="AG821" s="152"/>
      <c r="AH821" s="152"/>
      <c r="AI821" s="152"/>
      <c r="AJ821" s="152"/>
      <c r="AK821" s="152"/>
      <c r="AL821" s="152"/>
      <c r="AM821" s="152"/>
      <c r="AN821" s="152"/>
      <c r="AO821" s="152"/>
    </row>
    <row r="822" ht="12.75" customHeight="1">
      <c r="A822" s="288"/>
      <c r="B822" s="288"/>
      <c r="C822" s="288"/>
      <c r="D822" s="152"/>
      <c r="E822" s="289"/>
      <c r="F822" s="288"/>
      <c r="G822" s="152"/>
      <c r="H822" s="289"/>
      <c r="I822" s="289"/>
      <c r="J822" s="152"/>
      <c r="K822" s="152"/>
      <c r="L822" s="156"/>
      <c r="M822" s="152"/>
      <c r="N822" s="152"/>
      <c r="O822" s="152"/>
      <c r="P822" s="152"/>
      <c r="Q822" s="152"/>
      <c r="R822" s="152"/>
      <c r="S822" s="152"/>
      <c r="T822" s="152"/>
      <c r="U822" s="152"/>
      <c r="V822" s="152"/>
      <c r="W822" s="281"/>
      <c r="X822" s="281"/>
      <c r="Y822" s="281"/>
      <c r="Z822" s="281"/>
      <c r="AA822" s="281"/>
      <c r="AB822" s="281"/>
      <c r="AC822" s="281"/>
      <c r="AD822" s="170"/>
      <c r="AE822" s="152"/>
      <c r="AF822" s="152"/>
      <c r="AG822" s="152"/>
      <c r="AH822" s="152"/>
      <c r="AI822" s="152"/>
      <c r="AJ822" s="152"/>
      <c r="AK822" s="152"/>
      <c r="AL822" s="152"/>
      <c r="AM822" s="152"/>
      <c r="AN822" s="152"/>
      <c r="AO822" s="152"/>
    </row>
    <row r="823" ht="12.75" customHeight="1">
      <c r="A823" s="288"/>
      <c r="B823" s="288"/>
      <c r="C823" s="288"/>
      <c r="D823" s="152"/>
      <c r="E823" s="289"/>
      <c r="F823" s="288"/>
      <c r="G823" s="152"/>
      <c r="H823" s="289"/>
      <c r="I823" s="289"/>
      <c r="J823" s="152"/>
      <c r="K823" s="152"/>
      <c r="L823" s="156"/>
      <c r="M823" s="152"/>
      <c r="N823" s="152"/>
      <c r="O823" s="152"/>
      <c r="P823" s="152"/>
      <c r="Q823" s="152"/>
      <c r="R823" s="152"/>
      <c r="S823" s="152"/>
      <c r="T823" s="152"/>
      <c r="U823" s="152"/>
      <c r="V823" s="152"/>
      <c r="W823" s="281"/>
      <c r="X823" s="281"/>
      <c r="Y823" s="281"/>
      <c r="Z823" s="281"/>
      <c r="AA823" s="281"/>
      <c r="AB823" s="281"/>
      <c r="AC823" s="281"/>
      <c r="AD823" s="170"/>
      <c r="AE823" s="152"/>
      <c r="AF823" s="152"/>
      <c r="AG823" s="152"/>
      <c r="AH823" s="152"/>
      <c r="AI823" s="152"/>
      <c r="AJ823" s="152"/>
      <c r="AK823" s="152"/>
      <c r="AL823" s="152"/>
      <c r="AM823" s="152"/>
      <c r="AN823" s="152"/>
      <c r="AO823" s="152"/>
    </row>
    <row r="824" ht="12.75" customHeight="1">
      <c r="A824" s="288"/>
      <c r="B824" s="288"/>
      <c r="C824" s="288"/>
      <c r="D824" s="152"/>
      <c r="E824" s="289"/>
      <c r="F824" s="288"/>
      <c r="G824" s="152"/>
      <c r="H824" s="289"/>
      <c r="I824" s="289"/>
      <c r="J824" s="152"/>
      <c r="K824" s="152"/>
      <c r="L824" s="156"/>
      <c r="M824" s="152"/>
      <c r="N824" s="152"/>
      <c r="O824" s="152"/>
      <c r="P824" s="152"/>
      <c r="Q824" s="152"/>
      <c r="R824" s="152"/>
      <c r="S824" s="152"/>
      <c r="T824" s="152"/>
      <c r="U824" s="152"/>
      <c r="V824" s="152"/>
      <c r="W824" s="281"/>
      <c r="X824" s="281"/>
      <c r="Y824" s="281"/>
      <c r="Z824" s="281"/>
      <c r="AA824" s="281"/>
      <c r="AB824" s="281"/>
      <c r="AC824" s="281"/>
      <c r="AD824" s="170"/>
      <c r="AE824" s="152"/>
      <c r="AF824" s="152"/>
      <c r="AG824" s="152"/>
      <c r="AH824" s="152"/>
      <c r="AI824" s="152"/>
      <c r="AJ824" s="152"/>
      <c r="AK824" s="152"/>
      <c r="AL824" s="152"/>
      <c r="AM824" s="152"/>
      <c r="AN824" s="152"/>
      <c r="AO824" s="152"/>
    </row>
    <row r="825" ht="12.75" customHeight="1">
      <c r="A825" s="288"/>
      <c r="B825" s="288"/>
      <c r="C825" s="288"/>
      <c r="D825" s="152"/>
      <c r="E825" s="289"/>
      <c r="F825" s="288"/>
      <c r="G825" s="152"/>
      <c r="H825" s="289"/>
      <c r="I825" s="289"/>
      <c r="J825" s="152"/>
      <c r="K825" s="152"/>
      <c r="L825" s="156"/>
      <c r="M825" s="152"/>
      <c r="N825" s="152"/>
      <c r="O825" s="152"/>
      <c r="P825" s="152"/>
      <c r="Q825" s="152"/>
      <c r="R825" s="152"/>
      <c r="S825" s="152"/>
      <c r="T825" s="152"/>
      <c r="U825" s="152"/>
      <c r="V825" s="152"/>
      <c r="W825" s="281"/>
      <c r="X825" s="281"/>
      <c r="Y825" s="281"/>
      <c r="Z825" s="281"/>
      <c r="AA825" s="281"/>
      <c r="AB825" s="281"/>
      <c r="AC825" s="281"/>
      <c r="AD825" s="170"/>
      <c r="AE825" s="152"/>
      <c r="AF825" s="152"/>
      <c r="AG825" s="152"/>
      <c r="AH825" s="152"/>
      <c r="AI825" s="152"/>
      <c r="AJ825" s="152"/>
      <c r="AK825" s="152"/>
      <c r="AL825" s="152"/>
      <c r="AM825" s="152"/>
      <c r="AN825" s="152"/>
      <c r="AO825" s="152"/>
    </row>
    <row r="826" ht="12.75" customHeight="1">
      <c r="A826" s="288"/>
      <c r="B826" s="288"/>
      <c r="C826" s="288"/>
      <c r="D826" s="152"/>
      <c r="E826" s="289"/>
      <c r="F826" s="288"/>
      <c r="G826" s="152"/>
      <c r="H826" s="289"/>
      <c r="I826" s="289"/>
      <c r="J826" s="152"/>
      <c r="K826" s="152"/>
      <c r="L826" s="156"/>
      <c r="M826" s="152"/>
      <c r="N826" s="152"/>
      <c r="O826" s="152"/>
      <c r="P826" s="152"/>
      <c r="Q826" s="152"/>
      <c r="R826" s="152"/>
      <c r="S826" s="152"/>
      <c r="T826" s="152"/>
      <c r="U826" s="152"/>
      <c r="V826" s="152"/>
      <c r="W826" s="281"/>
      <c r="X826" s="281"/>
      <c r="Y826" s="281"/>
      <c r="Z826" s="281"/>
      <c r="AA826" s="281"/>
      <c r="AB826" s="281"/>
      <c r="AC826" s="281"/>
      <c r="AD826" s="170"/>
      <c r="AE826" s="152"/>
      <c r="AF826" s="152"/>
      <c r="AG826" s="152"/>
      <c r="AH826" s="152"/>
      <c r="AI826" s="152"/>
      <c r="AJ826" s="152"/>
      <c r="AK826" s="152"/>
      <c r="AL826" s="152"/>
      <c r="AM826" s="152"/>
      <c r="AN826" s="152"/>
      <c r="AO826" s="152"/>
    </row>
    <row r="827" ht="12.75" customHeight="1">
      <c r="A827" s="288"/>
      <c r="B827" s="288"/>
      <c r="C827" s="288"/>
      <c r="D827" s="152"/>
      <c r="E827" s="289"/>
      <c r="F827" s="288"/>
      <c r="G827" s="152"/>
      <c r="H827" s="289"/>
      <c r="I827" s="289"/>
      <c r="J827" s="152"/>
      <c r="K827" s="152"/>
      <c r="L827" s="156"/>
      <c r="M827" s="152"/>
      <c r="N827" s="152"/>
      <c r="O827" s="152"/>
      <c r="P827" s="152"/>
      <c r="Q827" s="152"/>
      <c r="R827" s="152"/>
      <c r="S827" s="152"/>
      <c r="T827" s="152"/>
      <c r="U827" s="152"/>
      <c r="V827" s="152"/>
      <c r="W827" s="281"/>
      <c r="X827" s="281"/>
      <c r="Y827" s="281"/>
      <c r="Z827" s="281"/>
      <c r="AA827" s="281"/>
      <c r="AB827" s="281"/>
      <c r="AC827" s="281"/>
      <c r="AD827" s="170"/>
      <c r="AE827" s="152"/>
      <c r="AF827" s="152"/>
      <c r="AG827" s="152"/>
      <c r="AH827" s="152"/>
      <c r="AI827" s="152"/>
      <c r="AJ827" s="152"/>
      <c r="AK827" s="152"/>
      <c r="AL827" s="152"/>
      <c r="AM827" s="152"/>
      <c r="AN827" s="152"/>
      <c r="AO827" s="152"/>
    </row>
    <row r="828" ht="12.75" customHeight="1">
      <c r="A828" s="288"/>
      <c r="B828" s="288"/>
      <c r="C828" s="288"/>
      <c r="D828" s="152"/>
      <c r="E828" s="289"/>
      <c r="F828" s="288"/>
      <c r="G828" s="152"/>
      <c r="H828" s="289"/>
      <c r="I828" s="289"/>
      <c r="J828" s="152"/>
      <c r="K828" s="152"/>
      <c r="L828" s="156"/>
      <c r="M828" s="152"/>
      <c r="N828" s="152"/>
      <c r="O828" s="152"/>
      <c r="P828" s="152"/>
      <c r="Q828" s="152"/>
      <c r="R828" s="152"/>
      <c r="S828" s="152"/>
      <c r="T828" s="152"/>
      <c r="U828" s="152"/>
      <c r="V828" s="152"/>
      <c r="W828" s="281"/>
      <c r="X828" s="281"/>
      <c r="Y828" s="281"/>
      <c r="Z828" s="281"/>
      <c r="AA828" s="281"/>
      <c r="AB828" s="281"/>
      <c r="AC828" s="281"/>
      <c r="AD828" s="170"/>
      <c r="AE828" s="152"/>
      <c r="AF828" s="152"/>
      <c r="AG828" s="152"/>
      <c r="AH828" s="152"/>
      <c r="AI828" s="152"/>
      <c r="AJ828" s="152"/>
      <c r="AK828" s="152"/>
      <c r="AL828" s="152"/>
      <c r="AM828" s="152"/>
      <c r="AN828" s="152"/>
      <c r="AO828" s="152"/>
    </row>
    <row r="829" ht="12.75" customHeight="1">
      <c r="A829" s="288"/>
      <c r="B829" s="288"/>
      <c r="C829" s="288"/>
      <c r="D829" s="152"/>
      <c r="E829" s="289"/>
      <c r="F829" s="288"/>
      <c r="G829" s="152"/>
      <c r="H829" s="289"/>
      <c r="I829" s="289"/>
      <c r="J829" s="152"/>
      <c r="K829" s="152"/>
      <c r="L829" s="156"/>
      <c r="M829" s="152"/>
      <c r="N829" s="152"/>
      <c r="O829" s="152"/>
      <c r="P829" s="152"/>
      <c r="Q829" s="152"/>
      <c r="R829" s="152"/>
      <c r="S829" s="152"/>
      <c r="T829" s="152"/>
      <c r="U829" s="152"/>
      <c r="V829" s="152"/>
      <c r="W829" s="281"/>
      <c r="X829" s="281"/>
      <c r="Y829" s="281"/>
      <c r="Z829" s="281"/>
      <c r="AA829" s="281"/>
      <c r="AB829" s="281"/>
      <c r="AC829" s="281"/>
      <c r="AD829" s="170"/>
      <c r="AE829" s="152"/>
      <c r="AF829" s="152"/>
      <c r="AG829" s="152"/>
      <c r="AH829" s="152"/>
      <c r="AI829" s="152"/>
      <c r="AJ829" s="152"/>
      <c r="AK829" s="152"/>
      <c r="AL829" s="152"/>
      <c r="AM829" s="152"/>
      <c r="AN829" s="152"/>
      <c r="AO829" s="152"/>
    </row>
    <row r="830" ht="12.75" customHeight="1">
      <c r="A830" s="288"/>
      <c r="B830" s="288"/>
      <c r="C830" s="288"/>
      <c r="D830" s="152"/>
      <c r="E830" s="289"/>
      <c r="F830" s="288"/>
      <c r="G830" s="152"/>
      <c r="H830" s="289"/>
      <c r="I830" s="289"/>
      <c r="J830" s="152"/>
      <c r="K830" s="152"/>
      <c r="L830" s="156"/>
      <c r="M830" s="152"/>
      <c r="N830" s="152"/>
      <c r="O830" s="152"/>
      <c r="P830" s="152"/>
      <c r="Q830" s="152"/>
      <c r="R830" s="152"/>
      <c r="S830" s="152"/>
      <c r="T830" s="152"/>
      <c r="U830" s="152"/>
      <c r="V830" s="152"/>
      <c r="W830" s="281"/>
      <c r="X830" s="281"/>
      <c r="Y830" s="281"/>
      <c r="Z830" s="281"/>
      <c r="AA830" s="281"/>
      <c r="AB830" s="281"/>
      <c r="AC830" s="281"/>
      <c r="AD830" s="170"/>
      <c r="AE830" s="152"/>
      <c r="AF830" s="152"/>
      <c r="AG830" s="152"/>
      <c r="AH830" s="152"/>
      <c r="AI830" s="152"/>
      <c r="AJ830" s="152"/>
      <c r="AK830" s="152"/>
      <c r="AL830" s="152"/>
      <c r="AM830" s="152"/>
      <c r="AN830" s="152"/>
      <c r="AO830" s="152"/>
    </row>
    <row r="831" ht="12.75" customHeight="1">
      <c r="A831" s="288"/>
      <c r="B831" s="288"/>
      <c r="C831" s="288"/>
      <c r="D831" s="152"/>
      <c r="E831" s="289"/>
      <c r="F831" s="288"/>
      <c r="G831" s="152"/>
      <c r="H831" s="289"/>
      <c r="I831" s="289"/>
      <c r="J831" s="152"/>
      <c r="K831" s="152"/>
      <c r="L831" s="156"/>
      <c r="M831" s="152"/>
      <c r="N831" s="152"/>
      <c r="O831" s="152"/>
      <c r="P831" s="152"/>
      <c r="Q831" s="152"/>
      <c r="R831" s="152"/>
      <c r="S831" s="152"/>
      <c r="T831" s="152"/>
      <c r="U831" s="152"/>
      <c r="V831" s="152"/>
      <c r="W831" s="281"/>
      <c r="X831" s="281"/>
      <c r="Y831" s="281"/>
      <c r="Z831" s="281"/>
      <c r="AA831" s="281"/>
      <c r="AB831" s="281"/>
      <c r="AC831" s="281"/>
      <c r="AD831" s="170"/>
      <c r="AE831" s="152"/>
      <c r="AF831" s="152"/>
      <c r="AG831" s="152"/>
      <c r="AH831" s="152"/>
      <c r="AI831" s="152"/>
      <c r="AJ831" s="152"/>
      <c r="AK831" s="152"/>
      <c r="AL831" s="152"/>
      <c r="AM831" s="152"/>
      <c r="AN831" s="152"/>
      <c r="AO831" s="152"/>
    </row>
    <row r="832" ht="12.75" customHeight="1">
      <c r="A832" s="288"/>
      <c r="B832" s="288"/>
      <c r="C832" s="288"/>
      <c r="D832" s="152"/>
      <c r="E832" s="289"/>
      <c r="F832" s="288"/>
      <c r="G832" s="152"/>
      <c r="H832" s="289"/>
      <c r="I832" s="289"/>
      <c r="J832" s="152"/>
      <c r="K832" s="152"/>
      <c r="L832" s="156"/>
      <c r="M832" s="152"/>
      <c r="N832" s="152"/>
      <c r="O832" s="152"/>
      <c r="P832" s="152"/>
      <c r="Q832" s="152"/>
      <c r="R832" s="152"/>
      <c r="S832" s="152"/>
      <c r="T832" s="152"/>
      <c r="U832" s="152"/>
      <c r="V832" s="152"/>
      <c r="W832" s="281"/>
      <c r="X832" s="281"/>
      <c r="Y832" s="281"/>
      <c r="Z832" s="281"/>
      <c r="AA832" s="281"/>
      <c r="AB832" s="281"/>
      <c r="AC832" s="281"/>
      <c r="AD832" s="170"/>
      <c r="AE832" s="152"/>
      <c r="AF832" s="152"/>
      <c r="AG832" s="152"/>
      <c r="AH832" s="152"/>
      <c r="AI832" s="152"/>
      <c r="AJ832" s="152"/>
      <c r="AK832" s="152"/>
      <c r="AL832" s="152"/>
      <c r="AM832" s="152"/>
      <c r="AN832" s="152"/>
      <c r="AO832" s="152"/>
    </row>
    <row r="833" ht="12.75" customHeight="1">
      <c r="A833" s="288"/>
      <c r="B833" s="288"/>
      <c r="C833" s="288"/>
      <c r="D833" s="152"/>
      <c r="E833" s="289"/>
      <c r="F833" s="288"/>
      <c r="G833" s="152"/>
      <c r="H833" s="289"/>
      <c r="I833" s="289"/>
      <c r="J833" s="152"/>
      <c r="K833" s="152"/>
      <c r="L833" s="156"/>
      <c r="M833" s="152"/>
      <c r="N833" s="152"/>
      <c r="O833" s="152"/>
      <c r="P833" s="152"/>
      <c r="Q833" s="152"/>
      <c r="R833" s="152"/>
      <c r="S833" s="152"/>
      <c r="T833" s="152"/>
      <c r="U833" s="152"/>
      <c r="V833" s="152"/>
      <c r="W833" s="281"/>
      <c r="X833" s="281"/>
      <c r="Y833" s="281"/>
      <c r="Z833" s="281"/>
      <c r="AA833" s="281"/>
      <c r="AB833" s="281"/>
      <c r="AC833" s="281"/>
      <c r="AD833" s="170"/>
      <c r="AE833" s="152"/>
      <c r="AF833" s="152"/>
      <c r="AG833" s="152"/>
      <c r="AH833" s="152"/>
      <c r="AI833" s="152"/>
      <c r="AJ833" s="152"/>
      <c r="AK833" s="152"/>
      <c r="AL833" s="152"/>
      <c r="AM833" s="152"/>
      <c r="AN833" s="152"/>
      <c r="AO833" s="152"/>
    </row>
    <row r="834" ht="12.75" customHeight="1">
      <c r="A834" s="288"/>
      <c r="B834" s="288"/>
      <c r="C834" s="288"/>
      <c r="D834" s="152"/>
      <c r="E834" s="289"/>
      <c r="F834" s="288"/>
      <c r="G834" s="152"/>
      <c r="H834" s="289"/>
      <c r="I834" s="289"/>
      <c r="J834" s="152"/>
      <c r="K834" s="152"/>
      <c r="L834" s="156"/>
      <c r="M834" s="152"/>
      <c r="N834" s="152"/>
      <c r="O834" s="152"/>
      <c r="P834" s="152"/>
      <c r="Q834" s="152"/>
      <c r="R834" s="152"/>
      <c r="S834" s="152"/>
      <c r="T834" s="152"/>
      <c r="U834" s="152"/>
      <c r="V834" s="152"/>
      <c r="W834" s="281"/>
      <c r="X834" s="281"/>
      <c r="Y834" s="281"/>
      <c r="Z834" s="281"/>
      <c r="AA834" s="281"/>
      <c r="AB834" s="281"/>
      <c r="AC834" s="281"/>
      <c r="AD834" s="170"/>
      <c r="AE834" s="152"/>
      <c r="AF834" s="152"/>
      <c r="AG834" s="152"/>
      <c r="AH834" s="152"/>
      <c r="AI834" s="152"/>
      <c r="AJ834" s="152"/>
      <c r="AK834" s="152"/>
      <c r="AL834" s="152"/>
      <c r="AM834" s="152"/>
      <c r="AN834" s="152"/>
      <c r="AO834" s="152"/>
    </row>
    <row r="835" ht="12.75" customHeight="1">
      <c r="A835" s="288"/>
      <c r="B835" s="288"/>
      <c r="C835" s="288"/>
      <c r="D835" s="152"/>
      <c r="E835" s="289"/>
      <c r="F835" s="288"/>
      <c r="G835" s="152"/>
      <c r="H835" s="289"/>
      <c r="I835" s="289"/>
      <c r="J835" s="152"/>
      <c r="K835" s="152"/>
      <c r="L835" s="156"/>
      <c r="M835" s="152"/>
      <c r="N835" s="152"/>
      <c r="O835" s="152"/>
      <c r="P835" s="152"/>
      <c r="Q835" s="152"/>
      <c r="R835" s="152"/>
      <c r="S835" s="152"/>
      <c r="T835" s="152"/>
      <c r="U835" s="152"/>
      <c r="V835" s="152"/>
      <c r="W835" s="281"/>
      <c r="X835" s="281"/>
      <c r="Y835" s="281"/>
      <c r="Z835" s="281"/>
      <c r="AA835" s="281"/>
      <c r="AB835" s="281"/>
      <c r="AC835" s="281"/>
      <c r="AD835" s="170"/>
      <c r="AE835" s="152"/>
      <c r="AF835" s="152"/>
      <c r="AG835" s="152"/>
      <c r="AH835" s="152"/>
      <c r="AI835" s="152"/>
      <c r="AJ835" s="152"/>
      <c r="AK835" s="152"/>
      <c r="AL835" s="152"/>
      <c r="AM835" s="152"/>
      <c r="AN835" s="152"/>
      <c r="AO835" s="152"/>
    </row>
    <row r="836" ht="12.75" customHeight="1">
      <c r="A836" s="288"/>
      <c r="B836" s="288"/>
      <c r="C836" s="288"/>
      <c r="D836" s="152"/>
      <c r="E836" s="289"/>
      <c r="F836" s="288"/>
      <c r="G836" s="152"/>
      <c r="H836" s="289"/>
      <c r="I836" s="289"/>
      <c r="J836" s="152"/>
      <c r="K836" s="152"/>
      <c r="L836" s="156"/>
      <c r="M836" s="152"/>
      <c r="N836" s="152"/>
      <c r="O836" s="152"/>
      <c r="P836" s="152"/>
      <c r="Q836" s="152"/>
      <c r="R836" s="152"/>
      <c r="S836" s="152"/>
      <c r="T836" s="152"/>
      <c r="U836" s="152"/>
      <c r="V836" s="152"/>
      <c r="W836" s="281"/>
      <c r="X836" s="281"/>
      <c r="Y836" s="281"/>
      <c r="Z836" s="281"/>
      <c r="AA836" s="281"/>
      <c r="AB836" s="281"/>
      <c r="AC836" s="281"/>
      <c r="AD836" s="170"/>
      <c r="AE836" s="152"/>
      <c r="AF836" s="152"/>
      <c r="AG836" s="152"/>
      <c r="AH836" s="152"/>
      <c r="AI836" s="152"/>
      <c r="AJ836" s="152"/>
      <c r="AK836" s="152"/>
      <c r="AL836" s="152"/>
      <c r="AM836" s="152"/>
      <c r="AN836" s="152"/>
      <c r="AO836" s="152"/>
    </row>
    <row r="837" ht="12.75" customHeight="1">
      <c r="A837" s="288"/>
      <c r="B837" s="288"/>
      <c r="C837" s="288"/>
      <c r="D837" s="152"/>
      <c r="E837" s="289"/>
      <c r="F837" s="288"/>
      <c r="G837" s="152"/>
      <c r="H837" s="289"/>
      <c r="I837" s="289"/>
      <c r="J837" s="152"/>
      <c r="K837" s="152"/>
      <c r="L837" s="156"/>
      <c r="M837" s="152"/>
      <c r="N837" s="152"/>
      <c r="O837" s="152"/>
      <c r="P837" s="152"/>
      <c r="Q837" s="152"/>
      <c r="R837" s="152"/>
      <c r="S837" s="152"/>
      <c r="T837" s="152"/>
      <c r="U837" s="152"/>
      <c r="V837" s="152"/>
      <c r="W837" s="281"/>
      <c r="X837" s="281"/>
      <c r="Y837" s="281"/>
      <c r="Z837" s="281"/>
      <c r="AA837" s="281"/>
      <c r="AB837" s="281"/>
      <c r="AC837" s="281"/>
      <c r="AD837" s="170"/>
      <c r="AE837" s="152"/>
      <c r="AF837" s="152"/>
      <c r="AG837" s="152"/>
      <c r="AH837" s="152"/>
      <c r="AI837" s="152"/>
      <c r="AJ837" s="152"/>
      <c r="AK837" s="152"/>
      <c r="AL837" s="152"/>
      <c r="AM837" s="152"/>
      <c r="AN837" s="152"/>
      <c r="AO837" s="152"/>
    </row>
    <row r="838" ht="12.75" customHeight="1">
      <c r="A838" s="288"/>
      <c r="B838" s="288"/>
      <c r="C838" s="288"/>
      <c r="D838" s="152"/>
      <c r="E838" s="289"/>
      <c r="F838" s="288"/>
      <c r="G838" s="152"/>
      <c r="H838" s="289"/>
      <c r="I838" s="289"/>
      <c r="J838" s="152"/>
      <c r="K838" s="152"/>
      <c r="L838" s="156"/>
      <c r="M838" s="152"/>
      <c r="N838" s="152"/>
      <c r="O838" s="152"/>
      <c r="P838" s="152"/>
      <c r="Q838" s="152"/>
      <c r="R838" s="152"/>
      <c r="S838" s="152"/>
      <c r="T838" s="152"/>
      <c r="U838" s="152"/>
      <c r="V838" s="152"/>
      <c r="W838" s="281"/>
      <c r="X838" s="281"/>
      <c r="Y838" s="281"/>
      <c r="Z838" s="281"/>
      <c r="AA838" s="281"/>
      <c r="AB838" s="281"/>
      <c r="AC838" s="281"/>
      <c r="AD838" s="170"/>
      <c r="AE838" s="152"/>
      <c r="AF838" s="152"/>
      <c r="AG838" s="152"/>
      <c r="AH838" s="152"/>
      <c r="AI838" s="152"/>
      <c r="AJ838" s="152"/>
      <c r="AK838" s="152"/>
      <c r="AL838" s="152"/>
      <c r="AM838" s="152"/>
      <c r="AN838" s="152"/>
      <c r="AO838" s="152"/>
    </row>
    <row r="839" ht="12.75" customHeight="1">
      <c r="A839" s="288"/>
      <c r="B839" s="288"/>
      <c r="C839" s="288"/>
      <c r="D839" s="152"/>
      <c r="E839" s="289"/>
      <c r="F839" s="288"/>
      <c r="G839" s="152"/>
      <c r="H839" s="289"/>
      <c r="I839" s="289"/>
      <c r="J839" s="152"/>
      <c r="K839" s="152"/>
      <c r="L839" s="156"/>
      <c r="M839" s="152"/>
      <c r="N839" s="152"/>
      <c r="O839" s="152"/>
      <c r="P839" s="152"/>
      <c r="Q839" s="152"/>
      <c r="R839" s="152"/>
      <c r="S839" s="152"/>
      <c r="T839" s="152"/>
      <c r="U839" s="152"/>
      <c r="V839" s="152"/>
      <c r="W839" s="281"/>
      <c r="X839" s="281"/>
      <c r="Y839" s="281"/>
      <c r="Z839" s="281"/>
      <c r="AA839" s="281"/>
      <c r="AB839" s="281"/>
      <c r="AC839" s="281"/>
      <c r="AD839" s="170"/>
      <c r="AE839" s="152"/>
      <c r="AF839" s="152"/>
      <c r="AG839" s="152"/>
      <c r="AH839" s="152"/>
      <c r="AI839" s="152"/>
      <c r="AJ839" s="152"/>
      <c r="AK839" s="152"/>
      <c r="AL839" s="152"/>
      <c r="AM839" s="152"/>
      <c r="AN839" s="152"/>
      <c r="AO839" s="152"/>
    </row>
    <row r="840" ht="12.75" customHeight="1">
      <c r="A840" s="288"/>
      <c r="B840" s="288"/>
      <c r="C840" s="288"/>
      <c r="D840" s="152"/>
      <c r="E840" s="289"/>
      <c r="F840" s="288"/>
      <c r="G840" s="152"/>
      <c r="H840" s="289"/>
      <c r="I840" s="289"/>
      <c r="J840" s="152"/>
      <c r="K840" s="152"/>
      <c r="L840" s="156"/>
      <c r="M840" s="152"/>
      <c r="N840" s="152"/>
      <c r="O840" s="152"/>
      <c r="P840" s="152"/>
      <c r="Q840" s="152"/>
      <c r="R840" s="152"/>
      <c r="S840" s="152"/>
      <c r="T840" s="152"/>
      <c r="U840" s="152"/>
      <c r="V840" s="152"/>
      <c r="W840" s="281"/>
      <c r="X840" s="281"/>
      <c r="Y840" s="281"/>
      <c r="Z840" s="281"/>
      <c r="AA840" s="281"/>
      <c r="AB840" s="281"/>
      <c r="AC840" s="281"/>
      <c r="AD840" s="170"/>
      <c r="AE840" s="152"/>
      <c r="AF840" s="152"/>
      <c r="AG840" s="152"/>
      <c r="AH840" s="152"/>
      <c r="AI840" s="152"/>
      <c r="AJ840" s="152"/>
      <c r="AK840" s="152"/>
      <c r="AL840" s="152"/>
      <c r="AM840" s="152"/>
      <c r="AN840" s="152"/>
      <c r="AO840" s="152"/>
    </row>
    <row r="841" ht="12.75" customHeight="1">
      <c r="A841" s="288"/>
      <c r="B841" s="288"/>
      <c r="C841" s="288"/>
      <c r="D841" s="152"/>
      <c r="E841" s="289"/>
      <c r="F841" s="288"/>
      <c r="G841" s="152"/>
      <c r="H841" s="289"/>
      <c r="I841" s="289"/>
      <c r="J841" s="152"/>
      <c r="K841" s="152"/>
      <c r="L841" s="156"/>
      <c r="M841" s="152"/>
      <c r="N841" s="152"/>
      <c r="O841" s="152"/>
      <c r="P841" s="152"/>
      <c r="Q841" s="152"/>
      <c r="R841" s="152"/>
      <c r="S841" s="152"/>
      <c r="T841" s="152"/>
      <c r="U841" s="152"/>
      <c r="V841" s="152"/>
      <c r="W841" s="281"/>
      <c r="X841" s="281"/>
      <c r="Y841" s="281"/>
      <c r="Z841" s="281"/>
      <c r="AA841" s="281"/>
      <c r="AB841" s="281"/>
      <c r="AC841" s="281"/>
      <c r="AD841" s="170"/>
      <c r="AE841" s="152"/>
      <c r="AF841" s="152"/>
      <c r="AG841" s="152"/>
      <c r="AH841" s="152"/>
      <c r="AI841" s="152"/>
      <c r="AJ841" s="152"/>
      <c r="AK841" s="152"/>
      <c r="AL841" s="152"/>
      <c r="AM841" s="152"/>
      <c r="AN841" s="152"/>
      <c r="AO841" s="152"/>
    </row>
    <row r="842" ht="12.75" customHeight="1">
      <c r="A842" s="288"/>
      <c r="B842" s="288"/>
      <c r="C842" s="288"/>
      <c r="D842" s="152"/>
      <c r="E842" s="289"/>
      <c r="F842" s="288"/>
      <c r="G842" s="152"/>
      <c r="H842" s="289"/>
      <c r="I842" s="289"/>
      <c r="J842" s="152"/>
      <c r="K842" s="152"/>
      <c r="L842" s="156"/>
      <c r="M842" s="152"/>
      <c r="N842" s="152"/>
      <c r="O842" s="152"/>
      <c r="P842" s="152"/>
      <c r="Q842" s="152"/>
      <c r="R842" s="152"/>
      <c r="S842" s="152"/>
      <c r="T842" s="152"/>
      <c r="U842" s="152"/>
      <c r="V842" s="152"/>
      <c r="W842" s="281"/>
      <c r="X842" s="281"/>
      <c r="Y842" s="281"/>
      <c r="Z842" s="281"/>
      <c r="AA842" s="281"/>
      <c r="AB842" s="281"/>
      <c r="AC842" s="281"/>
      <c r="AD842" s="170"/>
      <c r="AE842" s="152"/>
      <c r="AF842" s="152"/>
      <c r="AG842" s="152"/>
      <c r="AH842" s="152"/>
      <c r="AI842" s="152"/>
      <c r="AJ842" s="152"/>
      <c r="AK842" s="152"/>
      <c r="AL842" s="152"/>
      <c r="AM842" s="152"/>
      <c r="AN842" s="152"/>
      <c r="AO842" s="152"/>
    </row>
    <row r="843" ht="12.75" customHeight="1">
      <c r="A843" s="288"/>
      <c r="B843" s="288"/>
      <c r="C843" s="288"/>
      <c r="D843" s="152"/>
      <c r="E843" s="289"/>
      <c r="F843" s="288"/>
      <c r="G843" s="152"/>
      <c r="H843" s="289"/>
      <c r="I843" s="289"/>
      <c r="J843" s="152"/>
      <c r="K843" s="152"/>
      <c r="L843" s="156"/>
      <c r="M843" s="152"/>
      <c r="N843" s="152"/>
      <c r="O843" s="152"/>
      <c r="P843" s="152"/>
      <c r="Q843" s="152"/>
      <c r="R843" s="152"/>
      <c r="S843" s="152"/>
      <c r="T843" s="152"/>
      <c r="U843" s="152"/>
      <c r="V843" s="152"/>
      <c r="W843" s="281"/>
      <c r="X843" s="281"/>
      <c r="Y843" s="281"/>
      <c r="Z843" s="281"/>
      <c r="AA843" s="281"/>
      <c r="AB843" s="281"/>
      <c r="AC843" s="281"/>
      <c r="AD843" s="170"/>
      <c r="AE843" s="152"/>
      <c r="AF843" s="152"/>
      <c r="AG843" s="152"/>
      <c r="AH843" s="152"/>
      <c r="AI843" s="152"/>
      <c r="AJ843" s="152"/>
      <c r="AK843" s="152"/>
      <c r="AL843" s="152"/>
      <c r="AM843" s="152"/>
      <c r="AN843" s="152"/>
      <c r="AO843" s="152"/>
    </row>
    <row r="844" ht="12.75" customHeight="1">
      <c r="A844" s="288"/>
      <c r="B844" s="288"/>
      <c r="C844" s="288"/>
      <c r="D844" s="152"/>
      <c r="E844" s="289"/>
      <c r="F844" s="288"/>
      <c r="G844" s="152"/>
      <c r="H844" s="289"/>
      <c r="I844" s="289"/>
      <c r="J844" s="152"/>
      <c r="K844" s="152"/>
      <c r="L844" s="156"/>
      <c r="M844" s="152"/>
      <c r="N844" s="152"/>
      <c r="O844" s="152"/>
      <c r="P844" s="152"/>
      <c r="Q844" s="152"/>
      <c r="R844" s="152"/>
      <c r="S844" s="152"/>
      <c r="T844" s="152"/>
      <c r="U844" s="152"/>
      <c r="V844" s="152"/>
      <c r="W844" s="281"/>
      <c r="X844" s="281"/>
      <c r="Y844" s="281"/>
      <c r="Z844" s="281"/>
      <c r="AA844" s="281"/>
      <c r="AB844" s="281"/>
      <c r="AC844" s="281"/>
      <c r="AD844" s="170"/>
      <c r="AE844" s="152"/>
      <c r="AF844" s="152"/>
      <c r="AG844" s="152"/>
      <c r="AH844" s="152"/>
      <c r="AI844" s="152"/>
      <c r="AJ844" s="152"/>
      <c r="AK844" s="152"/>
      <c r="AL844" s="152"/>
      <c r="AM844" s="152"/>
      <c r="AN844" s="152"/>
      <c r="AO844" s="152"/>
    </row>
    <row r="845" ht="12.75" customHeight="1">
      <c r="A845" s="288"/>
      <c r="B845" s="288"/>
      <c r="C845" s="288"/>
      <c r="D845" s="152"/>
      <c r="E845" s="289"/>
      <c r="F845" s="288"/>
      <c r="G845" s="152"/>
      <c r="H845" s="289"/>
      <c r="I845" s="289"/>
      <c r="J845" s="152"/>
      <c r="K845" s="152"/>
      <c r="L845" s="156"/>
      <c r="M845" s="152"/>
      <c r="N845" s="152"/>
      <c r="O845" s="152"/>
      <c r="P845" s="152"/>
      <c r="Q845" s="152"/>
      <c r="R845" s="152"/>
      <c r="S845" s="152"/>
      <c r="T845" s="152"/>
      <c r="U845" s="152"/>
      <c r="V845" s="152"/>
      <c r="W845" s="281"/>
      <c r="X845" s="281"/>
      <c r="Y845" s="281"/>
      <c r="Z845" s="281"/>
      <c r="AA845" s="281"/>
      <c r="AB845" s="281"/>
      <c r="AC845" s="281"/>
      <c r="AD845" s="170"/>
      <c r="AE845" s="152"/>
      <c r="AF845" s="152"/>
      <c r="AG845" s="152"/>
      <c r="AH845" s="152"/>
      <c r="AI845" s="152"/>
      <c r="AJ845" s="152"/>
      <c r="AK845" s="152"/>
      <c r="AL845" s="152"/>
      <c r="AM845" s="152"/>
      <c r="AN845" s="152"/>
      <c r="AO845" s="152"/>
    </row>
    <row r="846" ht="12.75" customHeight="1">
      <c r="A846" s="288"/>
      <c r="B846" s="288"/>
      <c r="C846" s="288"/>
      <c r="D846" s="152"/>
      <c r="E846" s="289"/>
      <c r="F846" s="288"/>
      <c r="G846" s="152"/>
      <c r="H846" s="289"/>
      <c r="I846" s="289"/>
      <c r="J846" s="152"/>
      <c r="K846" s="152"/>
      <c r="L846" s="156"/>
      <c r="M846" s="152"/>
      <c r="N846" s="152"/>
      <c r="O846" s="152"/>
      <c r="P846" s="152"/>
      <c r="Q846" s="152"/>
      <c r="R846" s="152"/>
      <c r="S846" s="152"/>
      <c r="T846" s="152"/>
      <c r="U846" s="152"/>
      <c r="V846" s="152"/>
      <c r="W846" s="281"/>
      <c r="X846" s="281"/>
      <c r="Y846" s="281"/>
      <c r="Z846" s="281"/>
      <c r="AA846" s="281"/>
      <c r="AB846" s="281"/>
      <c r="AC846" s="281"/>
      <c r="AD846" s="170"/>
      <c r="AE846" s="152"/>
      <c r="AF846" s="152"/>
      <c r="AG846" s="152"/>
      <c r="AH846" s="152"/>
      <c r="AI846" s="152"/>
      <c r="AJ846" s="152"/>
      <c r="AK846" s="152"/>
      <c r="AL846" s="152"/>
      <c r="AM846" s="152"/>
      <c r="AN846" s="152"/>
      <c r="AO846" s="152"/>
    </row>
    <row r="847" ht="12.75" customHeight="1">
      <c r="A847" s="288"/>
      <c r="B847" s="288"/>
      <c r="C847" s="288"/>
      <c r="D847" s="152"/>
      <c r="E847" s="289"/>
      <c r="F847" s="288"/>
      <c r="G847" s="152"/>
      <c r="H847" s="289"/>
      <c r="I847" s="289"/>
      <c r="J847" s="152"/>
      <c r="K847" s="152"/>
      <c r="L847" s="156"/>
      <c r="M847" s="152"/>
      <c r="N847" s="152"/>
      <c r="O847" s="152"/>
      <c r="P847" s="152"/>
      <c r="Q847" s="152"/>
      <c r="R847" s="152"/>
      <c r="S847" s="152"/>
      <c r="T847" s="152"/>
      <c r="U847" s="152"/>
      <c r="V847" s="152"/>
      <c r="W847" s="281"/>
      <c r="X847" s="281"/>
      <c r="Y847" s="281"/>
      <c r="Z847" s="281"/>
      <c r="AA847" s="281"/>
      <c r="AB847" s="281"/>
      <c r="AC847" s="281"/>
      <c r="AD847" s="170"/>
      <c r="AE847" s="152"/>
      <c r="AF847" s="152"/>
      <c r="AG847" s="152"/>
      <c r="AH847" s="152"/>
      <c r="AI847" s="152"/>
      <c r="AJ847" s="152"/>
      <c r="AK847" s="152"/>
      <c r="AL847" s="152"/>
      <c r="AM847" s="152"/>
      <c r="AN847" s="152"/>
      <c r="AO847" s="152"/>
    </row>
    <row r="848" ht="12.75" customHeight="1">
      <c r="A848" s="288"/>
      <c r="B848" s="288"/>
      <c r="C848" s="288"/>
      <c r="D848" s="152"/>
      <c r="E848" s="289"/>
      <c r="F848" s="288"/>
      <c r="G848" s="152"/>
      <c r="H848" s="289"/>
      <c r="I848" s="289"/>
      <c r="J848" s="152"/>
      <c r="K848" s="152"/>
      <c r="L848" s="156"/>
      <c r="M848" s="152"/>
      <c r="N848" s="152"/>
      <c r="O848" s="152"/>
      <c r="P848" s="152"/>
      <c r="Q848" s="152"/>
      <c r="R848" s="152"/>
      <c r="S848" s="152"/>
      <c r="T848" s="152"/>
      <c r="U848" s="152"/>
      <c r="V848" s="152"/>
      <c r="W848" s="281"/>
      <c r="X848" s="281"/>
      <c r="Y848" s="281"/>
      <c r="Z848" s="281"/>
      <c r="AA848" s="281"/>
      <c r="AB848" s="281"/>
      <c r="AC848" s="281"/>
      <c r="AD848" s="170"/>
      <c r="AE848" s="152"/>
      <c r="AF848" s="152"/>
      <c r="AG848" s="152"/>
      <c r="AH848" s="152"/>
      <c r="AI848" s="152"/>
      <c r="AJ848" s="152"/>
      <c r="AK848" s="152"/>
      <c r="AL848" s="152"/>
      <c r="AM848" s="152"/>
      <c r="AN848" s="152"/>
      <c r="AO848" s="152"/>
    </row>
    <row r="849" ht="12.75" customHeight="1">
      <c r="A849" s="288"/>
      <c r="B849" s="288"/>
      <c r="C849" s="288"/>
      <c r="D849" s="152"/>
      <c r="E849" s="289"/>
      <c r="F849" s="288"/>
      <c r="G849" s="152"/>
      <c r="H849" s="289"/>
      <c r="I849" s="289"/>
      <c r="J849" s="152"/>
      <c r="K849" s="152"/>
      <c r="L849" s="156"/>
      <c r="M849" s="152"/>
      <c r="N849" s="152"/>
      <c r="O849" s="152"/>
      <c r="P849" s="152"/>
      <c r="Q849" s="152"/>
      <c r="R849" s="152"/>
      <c r="S849" s="152"/>
      <c r="T849" s="152"/>
      <c r="U849" s="152"/>
      <c r="V849" s="152"/>
      <c r="W849" s="281"/>
      <c r="X849" s="281"/>
      <c r="Y849" s="281"/>
      <c r="Z849" s="281"/>
      <c r="AA849" s="281"/>
      <c r="AB849" s="281"/>
      <c r="AC849" s="281"/>
      <c r="AD849" s="170"/>
      <c r="AE849" s="152"/>
      <c r="AF849" s="152"/>
      <c r="AG849" s="152"/>
      <c r="AH849" s="152"/>
      <c r="AI849" s="152"/>
      <c r="AJ849" s="152"/>
      <c r="AK849" s="152"/>
      <c r="AL849" s="152"/>
      <c r="AM849" s="152"/>
      <c r="AN849" s="152"/>
      <c r="AO849" s="152"/>
    </row>
    <row r="850" ht="12.75" customHeight="1">
      <c r="A850" s="288"/>
      <c r="B850" s="288"/>
      <c r="C850" s="288"/>
      <c r="D850" s="152"/>
      <c r="E850" s="289"/>
      <c r="F850" s="288"/>
      <c r="G850" s="152"/>
      <c r="H850" s="289"/>
      <c r="I850" s="289"/>
      <c r="J850" s="152"/>
      <c r="K850" s="152"/>
      <c r="L850" s="156"/>
      <c r="M850" s="152"/>
      <c r="N850" s="152"/>
      <c r="O850" s="152"/>
      <c r="P850" s="152"/>
      <c r="Q850" s="152"/>
      <c r="R850" s="152"/>
      <c r="S850" s="152"/>
      <c r="T850" s="152"/>
      <c r="U850" s="152"/>
      <c r="V850" s="152"/>
      <c r="W850" s="281"/>
      <c r="X850" s="281"/>
      <c r="Y850" s="281"/>
      <c r="Z850" s="281"/>
      <c r="AA850" s="281"/>
      <c r="AB850" s="281"/>
      <c r="AC850" s="281"/>
      <c r="AD850" s="170"/>
      <c r="AE850" s="152"/>
      <c r="AF850" s="152"/>
      <c r="AG850" s="152"/>
      <c r="AH850" s="152"/>
      <c r="AI850" s="152"/>
      <c r="AJ850" s="152"/>
      <c r="AK850" s="152"/>
      <c r="AL850" s="152"/>
      <c r="AM850" s="152"/>
      <c r="AN850" s="152"/>
      <c r="AO850" s="152"/>
    </row>
    <row r="851" ht="12.75" customHeight="1">
      <c r="A851" s="288"/>
      <c r="B851" s="288"/>
      <c r="C851" s="288"/>
      <c r="D851" s="152"/>
      <c r="E851" s="289"/>
      <c r="F851" s="288"/>
      <c r="G851" s="152"/>
      <c r="H851" s="289"/>
      <c r="I851" s="289"/>
      <c r="J851" s="152"/>
      <c r="K851" s="152"/>
      <c r="L851" s="156"/>
      <c r="M851" s="152"/>
      <c r="N851" s="152"/>
      <c r="O851" s="152"/>
      <c r="P851" s="152"/>
      <c r="Q851" s="152"/>
      <c r="R851" s="152"/>
      <c r="S851" s="152"/>
      <c r="T851" s="152"/>
      <c r="U851" s="152"/>
      <c r="V851" s="152"/>
      <c r="W851" s="281"/>
      <c r="X851" s="281"/>
      <c r="Y851" s="281"/>
      <c r="Z851" s="281"/>
      <c r="AA851" s="281"/>
      <c r="AB851" s="281"/>
      <c r="AC851" s="281"/>
      <c r="AD851" s="170"/>
      <c r="AE851" s="152"/>
      <c r="AF851" s="152"/>
      <c r="AG851" s="152"/>
      <c r="AH851" s="152"/>
      <c r="AI851" s="152"/>
      <c r="AJ851" s="152"/>
      <c r="AK851" s="152"/>
      <c r="AL851" s="152"/>
      <c r="AM851" s="152"/>
      <c r="AN851" s="152"/>
      <c r="AO851" s="152"/>
    </row>
    <row r="852" ht="12.75" customHeight="1">
      <c r="A852" s="288"/>
      <c r="B852" s="288"/>
      <c r="C852" s="288"/>
      <c r="D852" s="152"/>
      <c r="E852" s="289"/>
      <c r="F852" s="288"/>
      <c r="G852" s="152"/>
      <c r="H852" s="289"/>
      <c r="I852" s="289"/>
      <c r="J852" s="152"/>
      <c r="K852" s="152"/>
      <c r="L852" s="156"/>
      <c r="M852" s="152"/>
      <c r="N852" s="152"/>
      <c r="O852" s="152"/>
      <c r="P852" s="152"/>
      <c r="Q852" s="152"/>
      <c r="R852" s="152"/>
      <c r="S852" s="152"/>
      <c r="T852" s="152"/>
      <c r="U852" s="152"/>
      <c r="V852" s="152"/>
      <c r="W852" s="281"/>
      <c r="X852" s="281"/>
      <c r="Y852" s="281"/>
      <c r="Z852" s="281"/>
      <c r="AA852" s="281"/>
      <c r="AB852" s="281"/>
      <c r="AC852" s="281"/>
      <c r="AD852" s="170"/>
      <c r="AE852" s="152"/>
      <c r="AF852" s="152"/>
      <c r="AG852" s="152"/>
      <c r="AH852" s="152"/>
      <c r="AI852" s="152"/>
      <c r="AJ852" s="152"/>
      <c r="AK852" s="152"/>
      <c r="AL852" s="152"/>
      <c r="AM852" s="152"/>
      <c r="AN852" s="152"/>
      <c r="AO852" s="152"/>
    </row>
    <row r="853" ht="12.75" customHeight="1">
      <c r="A853" s="288"/>
      <c r="B853" s="288"/>
      <c r="C853" s="288"/>
      <c r="D853" s="152"/>
      <c r="E853" s="289"/>
      <c r="F853" s="288"/>
      <c r="G853" s="152"/>
      <c r="H853" s="289"/>
      <c r="I853" s="289"/>
      <c r="J853" s="152"/>
      <c r="K853" s="152"/>
      <c r="L853" s="156"/>
      <c r="M853" s="152"/>
      <c r="N853" s="152"/>
      <c r="O853" s="152"/>
      <c r="P853" s="152"/>
      <c r="Q853" s="152"/>
      <c r="R853" s="152"/>
      <c r="S853" s="152"/>
      <c r="T853" s="152"/>
      <c r="U853" s="152"/>
      <c r="V853" s="152"/>
      <c r="W853" s="281"/>
      <c r="X853" s="281"/>
      <c r="Y853" s="281"/>
      <c r="Z853" s="281"/>
      <c r="AA853" s="281"/>
      <c r="AB853" s="281"/>
      <c r="AC853" s="281"/>
      <c r="AD853" s="170"/>
      <c r="AE853" s="152"/>
      <c r="AF853" s="152"/>
      <c r="AG853" s="152"/>
      <c r="AH853" s="152"/>
      <c r="AI853" s="152"/>
      <c r="AJ853" s="152"/>
      <c r="AK853" s="152"/>
      <c r="AL853" s="152"/>
      <c r="AM853" s="152"/>
      <c r="AN853" s="152"/>
      <c r="AO853" s="152"/>
    </row>
    <row r="854" ht="12.75" customHeight="1">
      <c r="A854" s="288"/>
      <c r="B854" s="288"/>
      <c r="C854" s="288"/>
      <c r="D854" s="152"/>
      <c r="E854" s="289"/>
      <c r="F854" s="288"/>
      <c r="G854" s="152"/>
      <c r="H854" s="289"/>
      <c r="I854" s="289"/>
      <c r="J854" s="152"/>
      <c r="K854" s="152"/>
      <c r="L854" s="156"/>
      <c r="M854" s="152"/>
      <c r="N854" s="152"/>
      <c r="O854" s="152"/>
      <c r="P854" s="152"/>
      <c r="Q854" s="152"/>
      <c r="R854" s="152"/>
      <c r="S854" s="152"/>
      <c r="T854" s="152"/>
      <c r="U854" s="152"/>
      <c r="V854" s="152"/>
      <c r="W854" s="281"/>
      <c r="X854" s="281"/>
      <c r="Y854" s="281"/>
      <c r="Z854" s="281"/>
      <c r="AA854" s="281"/>
      <c r="AB854" s="281"/>
      <c r="AC854" s="281"/>
      <c r="AD854" s="170"/>
      <c r="AE854" s="152"/>
      <c r="AF854" s="152"/>
      <c r="AG854" s="152"/>
      <c r="AH854" s="152"/>
      <c r="AI854" s="152"/>
      <c r="AJ854" s="152"/>
      <c r="AK854" s="152"/>
      <c r="AL854" s="152"/>
      <c r="AM854" s="152"/>
      <c r="AN854" s="152"/>
      <c r="AO854" s="152"/>
    </row>
    <row r="855" ht="12.75" customHeight="1">
      <c r="A855" s="288"/>
      <c r="B855" s="288"/>
      <c r="C855" s="288"/>
      <c r="D855" s="152"/>
      <c r="E855" s="289"/>
      <c r="F855" s="288"/>
      <c r="G855" s="152"/>
      <c r="H855" s="289"/>
      <c r="I855" s="289"/>
      <c r="J855" s="152"/>
      <c r="K855" s="152"/>
      <c r="L855" s="156"/>
      <c r="M855" s="152"/>
      <c r="N855" s="152"/>
      <c r="O855" s="152"/>
      <c r="P855" s="152"/>
      <c r="Q855" s="152"/>
      <c r="R855" s="152"/>
      <c r="S855" s="152"/>
      <c r="T855" s="152"/>
      <c r="U855" s="152"/>
      <c r="V855" s="152"/>
      <c r="W855" s="281"/>
      <c r="X855" s="281"/>
      <c r="Y855" s="281"/>
      <c r="Z855" s="281"/>
      <c r="AA855" s="281"/>
      <c r="AB855" s="281"/>
      <c r="AC855" s="281"/>
      <c r="AD855" s="170"/>
      <c r="AE855" s="152"/>
      <c r="AF855" s="152"/>
      <c r="AG855" s="152"/>
      <c r="AH855" s="152"/>
      <c r="AI855" s="152"/>
      <c r="AJ855" s="152"/>
      <c r="AK855" s="152"/>
      <c r="AL855" s="152"/>
      <c r="AM855" s="152"/>
      <c r="AN855" s="152"/>
      <c r="AO855" s="152"/>
    </row>
    <row r="856" ht="12.75" customHeight="1">
      <c r="A856" s="288"/>
      <c r="B856" s="288"/>
      <c r="C856" s="288"/>
      <c r="D856" s="152"/>
      <c r="E856" s="289"/>
      <c r="F856" s="288"/>
      <c r="G856" s="152"/>
      <c r="H856" s="289"/>
      <c r="I856" s="289"/>
      <c r="J856" s="152"/>
      <c r="K856" s="152"/>
      <c r="L856" s="156"/>
      <c r="M856" s="152"/>
      <c r="N856" s="152"/>
      <c r="O856" s="152"/>
      <c r="P856" s="152"/>
      <c r="Q856" s="152"/>
      <c r="R856" s="152"/>
      <c r="S856" s="152"/>
      <c r="T856" s="152"/>
      <c r="U856" s="152"/>
      <c r="V856" s="152"/>
      <c r="W856" s="281"/>
      <c r="X856" s="281"/>
      <c r="Y856" s="281"/>
      <c r="Z856" s="281"/>
      <c r="AA856" s="281"/>
      <c r="AB856" s="281"/>
      <c r="AC856" s="281"/>
      <c r="AD856" s="170"/>
      <c r="AE856" s="152"/>
      <c r="AF856" s="152"/>
      <c r="AG856" s="152"/>
      <c r="AH856" s="152"/>
      <c r="AI856" s="152"/>
      <c r="AJ856" s="152"/>
      <c r="AK856" s="152"/>
      <c r="AL856" s="152"/>
      <c r="AM856" s="152"/>
      <c r="AN856" s="152"/>
      <c r="AO856" s="152"/>
    </row>
    <row r="857" ht="12.75" customHeight="1">
      <c r="A857" s="288"/>
      <c r="B857" s="288"/>
      <c r="C857" s="288"/>
      <c r="D857" s="152"/>
      <c r="E857" s="289"/>
      <c r="F857" s="288"/>
      <c r="G857" s="152"/>
      <c r="H857" s="289"/>
      <c r="I857" s="289"/>
      <c r="J857" s="152"/>
      <c r="K857" s="152"/>
      <c r="L857" s="156"/>
      <c r="M857" s="152"/>
      <c r="N857" s="152"/>
      <c r="O857" s="152"/>
      <c r="P857" s="152"/>
      <c r="Q857" s="152"/>
      <c r="R857" s="152"/>
      <c r="S857" s="152"/>
      <c r="T857" s="152"/>
      <c r="U857" s="152"/>
      <c r="V857" s="152"/>
      <c r="W857" s="281"/>
      <c r="X857" s="281"/>
      <c r="Y857" s="281"/>
      <c r="Z857" s="281"/>
      <c r="AA857" s="281"/>
      <c r="AB857" s="281"/>
      <c r="AC857" s="281"/>
      <c r="AD857" s="170"/>
      <c r="AE857" s="152"/>
      <c r="AF857" s="152"/>
      <c r="AG857" s="152"/>
      <c r="AH857" s="152"/>
      <c r="AI857" s="152"/>
      <c r="AJ857" s="152"/>
      <c r="AK857" s="152"/>
      <c r="AL857" s="152"/>
      <c r="AM857" s="152"/>
      <c r="AN857" s="152"/>
      <c r="AO857" s="152"/>
    </row>
    <row r="858" ht="12.75" customHeight="1">
      <c r="A858" s="288"/>
      <c r="B858" s="288"/>
      <c r="C858" s="288"/>
      <c r="D858" s="152"/>
      <c r="E858" s="289"/>
      <c r="F858" s="288"/>
      <c r="G858" s="152"/>
      <c r="H858" s="289"/>
      <c r="I858" s="289"/>
      <c r="J858" s="152"/>
      <c r="K858" s="152"/>
      <c r="L858" s="156"/>
      <c r="M858" s="152"/>
      <c r="N858" s="152"/>
      <c r="O858" s="152"/>
      <c r="P858" s="152"/>
      <c r="Q858" s="152"/>
      <c r="R858" s="152"/>
      <c r="S858" s="152"/>
      <c r="T858" s="152"/>
      <c r="U858" s="152"/>
      <c r="V858" s="152"/>
      <c r="W858" s="281"/>
      <c r="X858" s="281"/>
      <c r="Y858" s="281"/>
      <c r="Z858" s="281"/>
      <c r="AA858" s="281"/>
      <c r="AB858" s="281"/>
      <c r="AC858" s="281"/>
      <c r="AD858" s="170"/>
      <c r="AE858" s="152"/>
      <c r="AF858" s="152"/>
      <c r="AG858" s="152"/>
      <c r="AH858" s="152"/>
      <c r="AI858" s="152"/>
      <c r="AJ858" s="152"/>
      <c r="AK858" s="152"/>
      <c r="AL858" s="152"/>
      <c r="AM858" s="152"/>
      <c r="AN858" s="152"/>
      <c r="AO858" s="152"/>
    </row>
    <row r="859" ht="12.75" customHeight="1">
      <c r="A859" s="288"/>
      <c r="B859" s="288"/>
      <c r="C859" s="288"/>
      <c r="D859" s="152"/>
      <c r="E859" s="289"/>
      <c r="F859" s="288"/>
      <c r="G859" s="152"/>
      <c r="H859" s="289"/>
      <c r="I859" s="289"/>
      <c r="J859" s="152"/>
      <c r="K859" s="152"/>
      <c r="L859" s="156"/>
      <c r="M859" s="152"/>
      <c r="N859" s="152"/>
      <c r="O859" s="152"/>
      <c r="P859" s="152"/>
      <c r="Q859" s="152"/>
      <c r="R859" s="152"/>
      <c r="S859" s="152"/>
      <c r="T859" s="152"/>
      <c r="U859" s="152"/>
      <c r="V859" s="152"/>
      <c r="W859" s="281"/>
      <c r="X859" s="281"/>
      <c r="Y859" s="281"/>
      <c r="Z859" s="281"/>
      <c r="AA859" s="281"/>
      <c r="AB859" s="281"/>
      <c r="AC859" s="281"/>
      <c r="AD859" s="170"/>
      <c r="AE859" s="152"/>
      <c r="AF859" s="152"/>
      <c r="AG859" s="152"/>
      <c r="AH859" s="152"/>
      <c r="AI859" s="152"/>
      <c r="AJ859" s="152"/>
      <c r="AK859" s="152"/>
      <c r="AL859" s="152"/>
      <c r="AM859" s="152"/>
      <c r="AN859" s="152"/>
      <c r="AO859" s="152"/>
    </row>
    <row r="860" ht="12.75" customHeight="1">
      <c r="A860" s="288"/>
      <c r="B860" s="288"/>
      <c r="C860" s="288"/>
      <c r="D860" s="152"/>
      <c r="E860" s="289"/>
      <c r="F860" s="288"/>
      <c r="G860" s="152"/>
      <c r="H860" s="289"/>
      <c r="I860" s="289"/>
      <c r="J860" s="152"/>
      <c r="K860" s="152"/>
      <c r="L860" s="156"/>
      <c r="M860" s="152"/>
      <c r="N860" s="152"/>
      <c r="O860" s="152"/>
      <c r="P860" s="152"/>
      <c r="Q860" s="152"/>
      <c r="R860" s="152"/>
      <c r="S860" s="152"/>
      <c r="T860" s="152"/>
      <c r="U860" s="152"/>
      <c r="V860" s="152"/>
      <c r="W860" s="281"/>
      <c r="X860" s="281"/>
      <c r="Y860" s="281"/>
      <c r="Z860" s="281"/>
      <c r="AA860" s="281"/>
      <c r="AB860" s="281"/>
      <c r="AC860" s="281"/>
      <c r="AD860" s="170"/>
      <c r="AE860" s="152"/>
      <c r="AF860" s="152"/>
      <c r="AG860" s="152"/>
      <c r="AH860" s="152"/>
      <c r="AI860" s="152"/>
      <c r="AJ860" s="152"/>
      <c r="AK860" s="152"/>
      <c r="AL860" s="152"/>
      <c r="AM860" s="152"/>
      <c r="AN860" s="152"/>
      <c r="AO860" s="152"/>
    </row>
    <row r="861" ht="12.75" customHeight="1">
      <c r="A861" s="288"/>
      <c r="B861" s="288"/>
      <c r="C861" s="288"/>
      <c r="D861" s="152"/>
      <c r="E861" s="289"/>
      <c r="F861" s="288"/>
      <c r="G861" s="152"/>
      <c r="H861" s="289"/>
      <c r="I861" s="289"/>
      <c r="J861" s="152"/>
      <c r="K861" s="152"/>
      <c r="L861" s="156"/>
      <c r="M861" s="152"/>
      <c r="N861" s="152"/>
      <c r="O861" s="152"/>
      <c r="P861" s="152"/>
      <c r="Q861" s="152"/>
      <c r="R861" s="152"/>
      <c r="S861" s="152"/>
      <c r="T861" s="152"/>
      <c r="U861" s="152"/>
      <c r="V861" s="152"/>
      <c r="W861" s="281"/>
      <c r="X861" s="281"/>
      <c r="Y861" s="281"/>
      <c r="Z861" s="281"/>
      <c r="AA861" s="281"/>
      <c r="AB861" s="281"/>
      <c r="AC861" s="281"/>
      <c r="AD861" s="170"/>
      <c r="AE861" s="152"/>
      <c r="AF861" s="152"/>
      <c r="AG861" s="152"/>
      <c r="AH861" s="152"/>
      <c r="AI861" s="152"/>
      <c r="AJ861" s="152"/>
      <c r="AK861" s="152"/>
      <c r="AL861" s="152"/>
      <c r="AM861" s="152"/>
      <c r="AN861" s="152"/>
      <c r="AO861" s="152"/>
    </row>
    <row r="862" ht="12.75" customHeight="1">
      <c r="A862" s="288"/>
      <c r="B862" s="288"/>
      <c r="C862" s="288"/>
      <c r="D862" s="152"/>
      <c r="E862" s="289"/>
      <c r="F862" s="288"/>
      <c r="G862" s="152"/>
      <c r="H862" s="289"/>
      <c r="I862" s="289"/>
      <c r="J862" s="152"/>
      <c r="K862" s="152"/>
      <c r="L862" s="156"/>
      <c r="M862" s="152"/>
      <c r="N862" s="152"/>
      <c r="O862" s="152"/>
      <c r="P862" s="152"/>
      <c r="Q862" s="152"/>
      <c r="R862" s="152"/>
      <c r="S862" s="152"/>
      <c r="T862" s="152"/>
      <c r="U862" s="152"/>
      <c r="V862" s="152"/>
      <c r="W862" s="281"/>
      <c r="X862" s="281"/>
      <c r="Y862" s="281"/>
      <c r="Z862" s="281"/>
      <c r="AA862" s="281"/>
      <c r="AB862" s="281"/>
      <c r="AC862" s="281"/>
      <c r="AD862" s="170"/>
      <c r="AE862" s="152"/>
      <c r="AF862" s="152"/>
      <c r="AG862" s="152"/>
      <c r="AH862" s="152"/>
      <c r="AI862" s="152"/>
      <c r="AJ862" s="152"/>
      <c r="AK862" s="152"/>
      <c r="AL862" s="152"/>
      <c r="AM862" s="152"/>
      <c r="AN862" s="152"/>
      <c r="AO862" s="152"/>
    </row>
    <row r="863" ht="12.75" customHeight="1">
      <c r="A863" s="288"/>
      <c r="B863" s="288"/>
      <c r="C863" s="288"/>
      <c r="D863" s="152"/>
      <c r="E863" s="289"/>
      <c r="F863" s="288"/>
      <c r="G863" s="152"/>
      <c r="H863" s="289"/>
      <c r="I863" s="289"/>
      <c r="J863" s="152"/>
      <c r="K863" s="152"/>
      <c r="L863" s="156"/>
      <c r="M863" s="152"/>
      <c r="N863" s="152"/>
      <c r="O863" s="152"/>
      <c r="P863" s="152"/>
      <c r="Q863" s="152"/>
      <c r="R863" s="152"/>
      <c r="S863" s="152"/>
      <c r="T863" s="152"/>
      <c r="U863" s="152"/>
      <c r="V863" s="152"/>
      <c r="W863" s="281"/>
      <c r="X863" s="281"/>
      <c r="Y863" s="281"/>
      <c r="Z863" s="281"/>
      <c r="AA863" s="281"/>
      <c r="AB863" s="281"/>
      <c r="AC863" s="281"/>
      <c r="AD863" s="170"/>
      <c r="AE863" s="152"/>
      <c r="AF863" s="152"/>
      <c r="AG863" s="152"/>
      <c r="AH863" s="152"/>
      <c r="AI863" s="152"/>
      <c r="AJ863" s="152"/>
      <c r="AK863" s="152"/>
      <c r="AL863" s="152"/>
      <c r="AM863" s="152"/>
      <c r="AN863" s="152"/>
      <c r="AO863" s="152"/>
    </row>
    <row r="864" ht="12.75" customHeight="1">
      <c r="A864" s="288"/>
      <c r="B864" s="288"/>
      <c r="C864" s="288"/>
      <c r="D864" s="152"/>
      <c r="E864" s="289"/>
      <c r="F864" s="288"/>
      <c r="G864" s="152"/>
      <c r="H864" s="289"/>
      <c r="I864" s="289"/>
      <c r="J864" s="152"/>
      <c r="K864" s="152"/>
      <c r="L864" s="156"/>
      <c r="M864" s="152"/>
      <c r="N864" s="152"/>
      <c r="O864" s="152"/>
      <c r="P864" s="152"/>
      <c r="Q864" s="152"/>
      <c r="R864" s="152"/>
      <c r="S864" s="152"/>
      <c r="T864" s="152"/>
      <c r="U864" s="152"/>
      <c r="V864" s="152"/>
      <c r="W864" s="281"/>
      <c r="X864" s="281"/>
      <c r="Y864" s="281"/>
      <c r="Z864" s="281"/>
      <c r="AA864" s="281"/>
      <c r="AB864" s="281"/>
      <c r="AC864" s="281"/>
      <c r="AD864" s="170"/>
      <c r="AE864" s="152"/>
      <c r="AF864" s="152"/>
      <c r="AG864" s="152"/>
      <c r="AH864" s="152"/>
      <c r="AI864" s="152"/>
      <c r="AJ864" s="152"/>
      <c r="AK864" s="152"/>
      <c r="AL864" s="152"/>
      <c r="AM864" s="152"/>
      <c r="AN864" s="152"/>
      <c r="AO864" s="152"/>
    </row>
    <row r="865" ht="12.75" customHeight="1">
      <c r="A865" s="288"/>
      <c r="B865" s="288"/>
      <c r="C865" s="288"/>
      <c r="D865" s="152"/>
      <c r="E865" s="289"/>
      <c r="F865" s="288"/>
      <c r="G865" s="152"/>
      <c r="H865" s="289"/>
      <c r="I865" s="289"/>
      <c r="J865" s="152"/>
      <c r="K865" s="152"/>
      <c r="L865" s="156"/>
      <c r="M865" s="152"/>
      <c r="N865" s="152"/>
      <c r="O865" s="152"/>
      <c r="P865" s="152"/>
      <c r="Q865" s="152"/>
      <c r="R865" s="152"/>
      <c r="S865" s="152"/>
      <c r="T865" s="152"/>
      <c r="U865" s="152"/>
      <c r="V865" s="152"/>
      <c r="W865" s="281"/>
      <c r="X865" s="281"/>
      <c r="Y865" s="281"/>
      <c r="Z865" s="281"/>
      <c r="AA865" s="281"/>
      <c r="AB865" s="281"/>
      <c r="AC865" s="281"/>
      <c r="AD865" s="170"/>
      <c r="AE865" s="152"/>
      <c r="AF865" s="152"/>
      <c r="AG865" s="152"/>
      <c r="AH865" s="152"/>
      <c r="AI865" s="152"/>
      <c r="AJ865" s="152"/>
      <c r="AK865" s="152"/>
      <c r="AL865" s="152"/>
      <c r="AM865" s="152"/>
      <c r="AN865" s="152"/>
      <c r="AO865" s="152"/>
    </row>
    <row r="866" ht="12.75" customHeight="1">
      <c r="A866" s="288"/>
      <c r="B866" s="288"/>
      <c r="C866" s="288"/>
      <c r="D866" s="152"/>
      <c r="E866" s="289"/>
      <c r="F866" s="288"/>
      <c r="G866" s="152"/>
      <c r="H866" s="289"/>
      <c r="I866" s="289"/>
      <c r="J866" s="152"/>
      <c r="K866" s="152"/>
      <c r="L866" s="156"/>
      <c r="M866" s="152"/>
      <c r="N866" s="152"/>
      <c r="O866" s="152"/>
      <c r="P866" s="152"/>
      <c r="Q866" s="152"/>
      <c r="R866" s="152"/>
      <c r="S866" s="152"/>
      <c r="T866" s="152"/>
      <c r="U866" s="152"/>
      <c r="V866" s="152"/>
      <c r="W866" s="281"/>
      <c r="X866" s="281"/>
      <c r="Y866" s="281"/>
      <c r="Z866" s="281"/>
      <c r="AA866" s="281"/>
      <c r="AB866" s="281"/>
      <c r="AC866" s="281"/>
      <c r="AD866" s="170"/>
      <c r="AE866" s="152"/>
      <c r="AF866" s="152"/>
      <c r="AG866" s="152"/>
      <c r="AH866" s="152"/>
      <c r="AI866" s="152"/>
      <c r="AJ866" s="152"/>
      <c r="AK866" s="152"/>
      <c r="AL866" s="152"/>
      <c r="AM866" s="152"/>
      <c r="AN866" s="152"/>
      <c r="AO866" s="152"/>
    </row>
    <row r="867" ht="12.75" customHeight="1">
      <c r="A867" s="288"/>
      <c r="B867" s="288"/>
      <c r="C867" s="288"/>
      <c r="D867" s="152"/>
      <c r="E867" s="289"/>
      <c r="F867" s="288"/>
      <c r="G867" s="152"/>
      <c r="H867" s="289"/>
      <c r="I867" s="289"/>
      <c r="J867" s="152"/>
      <c r="K867" s="152"/>
      <c r="L867" s="156"/>
      <c r="M867" s="152"/>
      <c r="N867" s="152"/>
      <c r="O867" s="152"/>
      <c r="P867" s="152"/>
      <c r="Q867" s="152"/>
      <c r="R867" s="152"/>
      <c r="S867" s="152"/>
      <c r="T867" s="152"/>
      <c r="U867" s="152"/>
      <c r="V867" s="152"/>
      <c r="W867" s="281"/>
      <c r="X867" s="281"/>
      <c r="Y867" s="281"/>
      <c r="Z867" s="281"/>
      <c r="AA867" s="281"/>
      <c r="AB867" s="281"/>
      <c r="AC867" s="281"/>
      <c r="AD867" s="170"/>
      <c r="AE867" s="152"/>
      <c r="AF867" s="152"/>
      <c r="AG867" s="152"/>
      <c r="AH867" s="152"/>
      <c r="AI867" s="152"/>
      <c r="AJ867" s="152"/>
      <c r="AK867" s="152"/>
      <c r="AL867" s="152"/>
      <c r="AM867" s="152"/>
      <c r="AN867" s="152"/>
      <c r="AO867" s="152"/>
    </row>
    <row r="868" ht="12.75" customHeight="1">
      <c r="A868" s="288"/>
      <c r="B868" s="288"/>
      <c r="C868" s="288"/>
      <c r="D868" s="152"/>
      <c r="E868" s="289"/>
      <c r="F868" s="288"/>
      <c r="G868" s="152"/>
      <c r="H868" s="289"/>
      <c r="I868" s="289"/>
      <c r="J868" s="152"/>
      <c r="K868" s="152"/>
      <c r="L868" s="156"/>
      <c r="M868" s="152"/>
      <c r="N868" s="152"/>
      <c r="O868" s="152"/>
      <c r="P868" s="152"/>
      <c r="Q868" s="152"/>
      <c r="R868" s="152"/>
      <c r="S868" s="152"/>
      <c r="T868" s="152"/>
      <c r="U868" s="152"/>
      <c r="V868" s="152"/>
      <c r="W868" s="281"/>
      <c r="X868" s="281"/>
      <c r="Y868" s="281"/>
      <c r="Z868" s="281"/>
      <c r="AA868" s="281"/>
      <c r="AB868" s="281"/>
      <c r="AC868" s="281"/>
      <c r="AD868" s="170"/>
      <c r="AE868" s="152"/>
      <c r="AF868" s="152"/>
      <c r="AG868" s="152"/>
      <c r="AH868" s="152"/>
      <c r="AI868" s="152"/>
      <c r="AJ868" s="152"/>
      <c r="AK868" s="152"/>
      <c r="AL868" s="152"/>
      <c r="AM868" s="152"/>
      <c r="AN868" s="152"/>
      <c r="AO868" s="152"/>
    </row>
    <row r="869" ht="12.75" customHeight="1">
      <c r="A869" s="288"/>
      <c r="B869" s="288"/>
      <c r="C869" s="288"/>
      <c r="D869" s="152"/>
      <c r="E869" s="289"/>
      <c r="F869" s="288"/>
      <c r="G869" s="152"/>
      <c r="H869" s="289"/>
      <c r="I869" s="289"/>
      <c r="J869" s="152"/>
      <c r="K869" s="152"/>
      <c r="L869" s="156"/>
      <c r="M869" s="152"/>
      <c r="N869" s="152"/>
      <c r="O869" s="152"/>
      <c r="P869" s="152"/>
      <c r="Q869" s="152"/>
      <c r="R869" s="152"/>
      <c r="S869" s="152"/>
      <c r="T869" s="152"/>
      <c r="U869" s="152"/>
      <c r="V869" s="152"/>
      <c r="W869" s="281"/>
      <c r="X869" s="281"/>
      <c r="Y869" s="281"/>
      <c r="Z869" s="281"/>
      <c r="AA869" s="281"/>
      <c r="AB869" s="281"/>
      <c r="AC869" s="281"/>
      <c r="AD869" s="170"/>
      <c r="AE869" s="152"/>
      <c r="AF869" s="152"/>
      <c r="AG869" s="152"/>
      <c r="AH869" s="152"/>
      <c r="AI869" s="152"/>
      <c r="AJ869" s="152"/>
      <c r="AK869" s="152"/>
      <c r="AL869" s="152"/>
      <c r="AM869" s="152"/>
      <c r="AN869" s="152"/>
      <c r="AO869" s="152"/>
    </row>
    <row r="870" ht="12.75" customHeight="1">
      <c r="A870" s="288"/>
      <c r="B870" s="288"/>
      <c r="C870" s="288"/>
      <c r="D870" s="152"/>
      <c r="E870" s="289"/>
      <c r="F870" s="288"/>
      <c r="G870" s="152"/>
      <c r="H870" s="289"/>
      <c r="I870" s="289"/>
      <c r="J870" s="152"/>
      <c r="K870" s="152"/>
      <c r="L870" s="156"/>
      <c r="M870" s="152"/>
      <c r="N870" s="152"/>
      <c r="O870" s="152"/>
      <c r="P870" s="152"/>
      <c r="Q870" s="152"/>
      <c r="R870" s="152"/>
      <c r="S870" s="152"/>
      <c r="T870" s="152"/>
      <c r="U870" s="152"/>
      <c r="V870" s="152"/>
      <c r="W870" s="281"/>
      <c r="X870" s="281"/>
      <c r="Y870" s="281"/>
      <c r="Z870" s="281"/>
      <c r="AA870" s="281"/>
      <c r="AB870" s="281"/>
      <c r="AC870" s="281"/>
      <c r="AD870" s="170"/>
      <c r="AE870" s="152"/>
      <c r="AF870" s="152"/>
      <c r="AG870" s="152"/>
      <c r="AH870" s="152"/>
      <c r="AI870" s="152"/>
      <c r="AJ870" s="152"/>
      <c r="AK870" s="152"/>
      <c r="AL870" s="152"/>
      <c r="AM870" s="152"/>
      <c r="AN870" s="152"/>
      <c r="AO870" s="152"/>
    </row>
    <row r="871" ht="12.75" customHeight="1">
      <c r="A871" s="288"/>
      <c r="B871" s="288"/>
      <c r="C871" s="288"/>
      <c r="D871" s="152"/>
      <c r="E871" s="289"/>
      <c r="F871" s="288"/>
      <c r="G871" s="152"/>
      <c r="H871" s="289"/>
      <c r="I871" s="289"/>
      <c r="J871" s="152"/>
      <c r="K871" s="152"/>
      <c r="L871" s="156"/>
      <c r="M871" s="152"/>
      <c r="N871" s="152"/>
      <c r="O871" s="152"/>
      <c r="P871" s="152"/>
      <c r="Q871" s="152"/>
      <c r="R871" s="152"/>
      <c r="S871" s="152"/>
      <c r="T871" s="152"/>
      <c r="U871" s="152"/>
      <c r="V871" s="152"/>
      <c r="W871" s="281"/>
      <c r="X871" s="281"/>
      <c r="Y871" s="281"/>
      <c r="Z871" s="281"/>
      <c r="AA871" s="281"/>
      <c r="AB871" s="281"/>
      <c r="AC871" s="281"/>
      <c r="AD871" s="170"/>
      <c r="AE871" s="152"/>
      <c r="AF871" s="152"/>
      <c r="AG871" s="152"/>
      <c r="AH871" s="152"/>
      <c r="AI871" s="152"/>
      <c r="AJ871" s="152"/>
      <c r="AK871" s="152"/>
      <c r="AL871" s="152"/>
      <c r="AM871" s="152"/>
      <c r="AN871" s="152"/>
      <c r="AO871" s="152"/>
    </row>
    <row r="872" ht="12.75" customHeight="1">
      <c r="A872" s="288"/>
      <c r="B872" s="288"/>
      <c r="C872" s="288"/>
      <c r="D872" s="152"/>
      <c r="E872" s="289"/>
      <c r="F872" s="288"/>
      <c r="G872" s="152"/>
      <c r="H872" s="289"/>
      <c r="I872" s="289"/>
      <c r="J872" s="152"/>
      <c r="K872" s="152"/>
      <c r="L872" s="156"/>
      <c r="M872" s="152"/>
      <c r="N872" s="152"/>
      <c r="O872" s="152"/>
      <c r="P872" s="152"/>
      <c r="Q872" s="152"/>
      <c r="R872" s="152"/>
      <c r="S872" s="152"/>
      <c r="T872" s="152"/>
      <c r="U872" s="152"/>
      <c r="V872" s="152"/>
      <c r="W872" s="281"/>
      <c r="X872" s="281"/>
      <c r="Y872" s="281"/>
      <c r="Z872" s="281"/>
      <c r="AA872" s="281"/>
      <c r="AB872" s="281"/>
      <c r="AC872" s="281"/>
      <c r="AD872" s="170"/>
      <c r="AE872" s="152"/>
      <c r="AF872" s="152"/>
      <c r="AG872" s="152"/>
      <c r="AH872" s="152"/>
      <c r="AI872" s="152"/>
      <c r="AJ872" s="152"/>
      <c r="AK872" s="152"/>
      <c r="AL872" s="152"/>
      <c r="AM872" s="152"/>
      <c r="AN872" s="152"/>
      <c r="AO872" s="152"/>
    </row>
    <row r="873" ht="12.75" customHeight="1">
      <c r="A873" s="288"/>
      <c r="B873" s="288"/>
      <c r="C873" s="288"/>
      <c r="D873" s="152"/>
      <c r="E873" s="289"/>
      <c r="F873" s="288"/>
      <c r="G873" s="152"/>
      <c r="H873" s="289"/>
      <c r="I873" s="289"/>
      <c r="J873" s="152"/>
      <c r="K873" s="152"/>
      <c r="L873" s="156"/>
      <c r="M873" s="152"/>
      <c r="N873" s="152"/>
      <c r="O873" s="152"/>
      <c r="P873" s="152"/>
      <c r="Q873" s="152"/>
      <c r="R873" s="152"/>
      <c r="S873" s="152"/>
      <c r="T873" s="152"/>
      <c r="U873" s="152"/>
      <c r="V873" s="152"/>
      <c r="W873" s="281"/>
      <c r="X873" s="281"/>
      <c r="Y873" s="281"/>
      <c r="Z873" s="281"/>
      <c r="AA873" s="281"/>
      <c r="AB873" s="281"/>
      <c r="AC873" s="281"/>
      <c r="AD873" s="170"/>
      <c r="AE873" s="152"/>
      <c r="AF873" s="152"/>
      <c r="AG873" s="152"/>
      <c r="AH873" s="152"/>
      <c r="AI873" s="152"/>
      <c r="AJ873" s="152"/>
      <c r="AK873" s="152"/>
      <c r="AL873" s="152"/>
      <c r="AM873" s="152"/>
      <c r="AN873" s="152"/>
      <c r="AO873" s="152"/>
    </row>
    <row r="874" ht="12.75" customHeight="1">
      <c r="A874" s="288"/>
      <c r="B874" s="288"/>
      <c r="C874" s="288"/>
      <c r="D874" s="152"/>
      <c r="E874" s="289"/>
      <c r="F874" s="288"/>
      <c r="G874" s="152"/>
      <c r="H874" s="289"/>
      <c r="I874" s="289"/>
      <c r="J874" s="152"/>
      <c r="K874" s="152"/>
      <c r="L874" s="156"/>
      <c r="M874" s="152"/>
      <c r="N874" s="152"/>
      <c r="O874" s="152"/>
      <c r="P874" s="152"/>
      <c r="Q874" s="152"/>
      <c r="R874" s="152"/>
      <c r="S874" s="152"/>
      <c r="T874" s="152"/>
      <c r="U874" s="152"/>
      <c r="V874" s="152"/>
      <c r="W874" s="281"/>
      <c r="X874" s="281"/>
      <c r="Y874" s="281"/>
      <c r="Z874" s="281"/>
      <c r="AA874" s="281"/>
      <c r="AB874" s="281"/>
      <c r="AC874" s="281"/>
      <c r="AD874" s="170"/>
      <c r="AE874" s="152"/>
      <c r="AF874" s="152"/>
      <c r="AG874" s="152"/>
      <c r="AH874" s="152"/>
      <c r="AI874" s="152"/>
      <c r="AJ874" s="152"/>
      <c r="AK874" s="152"/>
      <c r="AL874" s="152"/>
      <c r="AM874" s="152"/>
      <c r="AN874" s="152"/>
      <c r="AO874" s="152"/>
    </row>
    <row r="875" ht="12.75" customHeight="1">
      <c r="A875" s="288"/>
      <c r="B875" s="288"/>
      <c r="C875" s="288"/>
      <c r="D875" s="152"/>
      <c r="E875" s="289"/>
      <c r="F875" s="288"/>
      <c r="G875" s="152"/>
      <c r="H875" s="289"/>
      <c r="I875" s="289"/>
      <c r="J875" s="152"/>
      <c r="K875" s="152"/>
      <c r="L875" s="156"/>
      <c r="M875" s="152"/>
      <c r="N875" s="152"/>
      <c r="O875" s="152"/>
      <c r="P875" s="152"/>
      <c r="Q875" s="152"/>
      <c r="R875" s="152"/>
      <c r="S875" s="152"/>
      <c r="T875" s="152"/>
      <c r="U875" s="152"/>
      <c r="V875" s="152"/>
      <c r="W875" s="281"/>
      <c r="X875" s="281"/>
      <c r="Y875" s="281"/>
      <c r="Z875" s="281"/>
      <c r="AA875" s="281"/>
      <c r="AB875" s="281"/>
      <c r="AC875" s="281"/>
      <c r="AD875" s="170"/>
      <c r="AE875" s="152"/>
      <c r="AF875" s="152"/>
      <c r="AG875" s="152"/>
      <c r="AH875" s="152"/>
      <c r="AI875" s="152"/>
      <c r="AJ875" s="152"/>
      <c r="AK875" s="152"/>
      <c r="AL875" s="152"/>
      <c r="AM875" s="152"/>
      <c r="AN875" s="152"/>
      <c r="AO875" s="152"/>
    </row>
    <row r="876" ht="12.75" customHeight="1">
      <c r="A876" s="288"/>
      <c r="B876" s="288"/>
      <c r="C876" s="288"/>
      <c r="D876" s="152"/>
      <c r="E876" s="289"/>
      <c r="F876" s="288"/>
      <c r="G876" s="152"/>
      <c r="H876" s="289"/>
      <c r="I876" s="289"/>
      <c r="J876" s="152"/>
      <c r="K876" s="152"/>
      <c r="L876" s="156"/>
      <c r="M876" s="152"/>
      <c r="N876" s="152"/>
      <c r="O876" s="152"/>
      <c r="P876" s="152"/>
      <c r="Q876" s="152"/>
      <c r="R876" s="152"/>
      <c r="S876" s="152"/>
      <c r="T876" s="152"/>
      <c r="U876" s="152"/>
      <c r="V876" s="152"/>
      <c r="W876" s="281"/>
      <c r="X876" s="281"/>
      <c r="Y876" s="281"/>
      <c r="Z876" s="281"/>
      <c r="AA876" s="281"/>
      <c r="AB876" s="281"/>
      <c r="AC876" s="281"/>
      <c r="AD876" s="170"/>
      <c r="AE876" s="152"/>
      <c r="AF876" s="152"/>
      <c r="AG876" s="152"/>
      <c r="AH876" s="152"/>
      <c r="AI876" s="152"/>
      <c r="AJ876" s="152"/>
      <c r="AK876" s="152"/>
      <c r="AL876" s="152"/>
      <c r="AM876" s="152"/>
      <c r="AN876" s="152"/>
      <c r="AO876" s="152"/>
    </row>
    <row r="877" ht="12.75" customHeight="1">
      <c r="A877" s="288"/>
      <c r="B877" s="288"/>
      <c r="C877" s="288"/>
      <c r="D877" s="152"/>
      <c r="E877" s="289"/>
      <c r="F877" s="288"/>
      <c r="G877" s="152"/>
      <c r="H877" s="289"/>
      <c r="I877" s="289"/>
      <c r="J877" s="152"/>
      <c r="K877" s="152"/>
      <c r="L877" s="156"/>
      <c r="M877" s="152"/>
      <c r="N877" s="152"/>
      <c r="O877" s="152"/>
      <c r="P877" s="152"/>
      <c r="Q877" s="152"/>
      <c r="R877" s="152"/>
      <c r="S877" s="152"/>
      <c r="T877" s="152"/>
      <c r="U877" s="152"/>
      <c r="V877" s="152"/>
      <c r="W877" s="281"/>
      <c r="X877" s="281"/>
      <c r="Y877" s="281"/>
      <c r="Z877" s="281"/>
      <c r="AA877" s="281"/>
      <c r="AB877" s="281"/>
      <c r="AC877" s="281"/>
      <c r="AD877" s="170"/>
      <c r="AE877" s="152"/>
      <c r="AF877" s="152"/>
      <c r="AG877" s="152"/>
      <c r="AH877" s="152"/>
      <c r="AI877" s="152"/>
      <c r="AJ877" s="152"/>
      <c r="AK877" s="152"/>
      <c r="AL877" s="152"/>
      <c r="AM877" s="152"/>
      <c r="AN877" s="152"/>
      <c r="AO877" s="152"/>
    </row>
    <row r="878" ht="12.75" customHeight="1">
      <c r="A878" s="288"/>
      <c r="B878" s="288"/>
      <c r="C878" s="288"/>
      <c r="D878" s="152"/>
      <c r="E878" s="289"/>
      <c r="F878" s="288"/>
      <c r="G878" s="152"/>
      <c r="H878" s="289"/>
      <c r="I878" s="289"/>
      <c r="J878" s="152"/>
      <c r="K878" s="152"/>
      <c r="L878" s="156"/>
      <c r="M878" s="152"/>
      <c r="N878" s="152"/>
      <c r="O878" s="152"/>
      <c r="P878" s="152"/>
      <c r="Q878" s="152"/>
      <c r="R878" s="152"/>
      <c r="S878" s="152"/>
      <c r="T878" s="152"/>
      <c r="U878" s="152"/>
      <c r="V878" s="152"/>
      <c r="W878" s="281"/>
      <c r="X878" s="281"/>
      <c r="Y878" s="281"/>
      <c r="Z878" s="281"/>
      <c r="AA878" s="281"/>
      <c r="AB878" s="281"/>
      <c r="AC878" s="281"/>
      <c r="AD878" s="170"/>
      <c r="AE878" s="152"/>
      <c r="AF878" s="152"/>
      <c r="AG878" s="152"/>
      <c r="AH878" s="152"/>
      <c r="AI878" s="152"/>
      <c r="AJ878" s="152"/>
      <c r="AK878" s="152"/>
      <c r="AL878" s="152"/>
      <c r="AM878" s="152"/>
      <c r="AN878" s="152"/>
      <c r="AO878" s="152"/>
    </row>
    <row r="879" ht="12.75" customHeight="1">
      <c r="A879" s="288"/>
      <c r="B879" s="288"/>
      <c r="C879" s="288"/>
      <c r="D879" s="152"/>
      <c r="E879" s="289"/>
      <c r="F879" s="288"/>
      <c r="G879" s="152"/>
      <c r="H879" s="289"/>
      <c r="I879" s="289"/>
      <c r="J879" s="152"/>
      <c r="K879" s="152"/>
      <c r="L879" s="156"/>
      <c r="M879" s="152"/>
      <c r="N879" s="152"/>
      <c r="O879" s="152"/>
      <c r="P879" s="152"/>
      <c r="Q879" s="152"/>
      <c r="R879" s="152"/>
      <c r="S879" s="152"/>
      <c r="T879" s="152"/>
      <c r="U879" s="152"/>
      <c r="V879" s="152"/>
      <c r="W879" s="281"/>
      <c r="X879" s="281"/>
      <c r="Y879" s="281"/>
      <c r="Z879" s="281"/>
      <c r="AA879" s="281"/>
      <c r="AB879" s="281"/>
      <c r="AC879" s="281"/>
      <c r="AD879" s="170"/>
      <c r="AE879" s="152"/>
      <c r="AF879" s="152"/>
      <c r="AG879" s="152"/>
      <c r="AH879" s="152"/>
      <c r="AI879" s="152"/>
      <c r="AJ879" s="152"/>
      <c r="AK879" s="152"/>
      <c r="AL879" s="152"/>
      <c r="AM879" s="152"/>
      <c r="AN879" s="152"/>
      <c r="AO879" s="152"/>
    </row>
    <row r="880" ht="12.75" customHeight="1">
      <c r="A880" s="288"/>
      <c r="B880" s="288"/>
      <c r="C880" s="288"/>
      <c r="D880" s="152"/>
      <c r="E880" s="289"/>
      <c r="F880" s="288"/>
      <c r="G880" s="152"/>
      <c r="H880" s="289"/>
      <c r="I880" s="289"/>
      <c r="J880" s="152"/>
      <c r="K880" s="152"/>
      <c r="L880" s="156"/>
      <c r="M880" s="152"/>
      <c r="N880" s="152"/>
      <c r="O880" s="152"/>
      <c r="P880" s="152"/>
      <c r="Q880" s="152"/>
      <c r="R880" s="152"/>
      <c r="S880" s="152"/>
      <c r="T880" s="152"/>
      <c r="U880" s="152"/>
      <c r="V880" s="152"/>
      <c r="W880" s="281"/>
      <c r="X880" s="281"/>
      <c r="Y880" s="281"/>
      <c r="Z880" s="281"/>
      <c r="AA880" s="281"/>
      <c r="AB880" s="281"/>
      <c r="AC880" s="281"/>
      <c r="AD880" s="170"/>
      <c r="AE880" s="152"/>
      <c r="AF880" s="152"/>
      <c r="AG880" s="152"/>
      <c r="AH880" s="152"/>
      <c r="AI880" s="152"/>
      <c r="AJ880" s="152"/>
      <c r="AK880" s="152"/>
      <c r="AL880" s="152"/>
      <c r="AM880" s="152"/>
      <c r="AN880" s="152"/>
      <c r="AO880" s="152"/>
    </row>
    <row r="881" ht="12.75" customHeight="1">
      <c r="A881" s="288"/>
      <c r="B881" s="288"/>
      <c r="C881" s="288"/>
      <c r="D881" s="152"/>
      <c r="E881" s="289"/>
      <c r="F881" s="288"/>
      <c r="G881" s="152"/>
      <c r="H881" s="289"/>
      <c r="I881" s="289"/>
      <c r="J881" s="152"/>
      <c r="K881" s="152"/>
      <c r="L881" s="156"/>
      <c r="M881" s="152"/>
      <c r="N881" s="152"/>
      <c r="O881" s="152"/>
      <c r="P881" s="152"/>
      <c r="Q881" s="152"/>
      <c r="R881" s="152"/>
      <c r="S881" s="152"/>
      <c r="T881" s="152"/>
      <c r="U881" s="152"/>
      <c r="V881" s="152"/>
      <c r="W881" s="281"/>
      <c r="X881" s="281"/>
      <c r="Y881" s="281"/>
      <c r="Z881" s="281"/>
      <c r="AA881" s="281"/>
      <c r="AB881" s="281"/>
      <c r="AC881" s="281"/>
      <c r="AD881" s="170"/>
      <c r="AE881" s="152"/>
      <c r="AF881" s="152"/>
      <c r="AG881" s="152"/>
      <c r="AH881" s="152"/>
      <c r="AI881" s="152"/>
      <c r="AJ881" s="152"/>
      <c r="AK881" s="152"/>
      <c r="AL881" s="152"/>
      <c r="AM881" s="152"/>
      <c r="AN881" s="152"/>
      <c r="AO881" s="152"/>
    </row>
    <row r="882" ht="12.75" customHeight="1">
      <c r="A882" s="288"/>
      <c r="B882" s="288"/>
      <c r="C882" s="288"/>
      <c r="D882" s="152"/>
      <c r="E882" s="289"/>
      <c r="F882" s="288"/>
      <c r="G882" s="152"/>
      <c r="H882" s="289"/>
      <c r="I882" s="289"/>
      <c r="J882" s="152"/>
      <c r="K882" s="152"/>
      <c r="L882" s="156"/>
      <c r="M882" s="152"/>
      <c r="N882" s="152"/>
      <c r="O882" s="152"/>
      <c r="P882" s="152"/>
      <c r="Q882" s="152"/>
      <c r="R882" s="152"/>
      <c r="S882" s="152"/>
      <c r="T882" s="152"/>
      <c r="U882" s="152"/>
      <c r="V882" s="152"/>
      <c r="W882" s="281"/>
      <c r="X882" s="281"/>
      <c r="Y882" s="281"/>
      <c r="Z882" s="281"/>
      <c r="AA882" s="281"/>
      <c r="AB882" s="281"/>
      <c r="AC882" s="281"/>
      <c r="AD882" s="170"/>
      <c r="AE882" s="152"/>
      <c r="AF882" s="152"/>
      <c r="AG882" s="152"/>
      <c r="AH882" s="152"/>
      <c r="AI882" s="152"/>
      <c r="AJ882" s="152"/>
      <c r="AK882" s="152"/>
      <c r="AL882" s="152"/>
      <c r="AM882" s="152"/>
      <c r="AN882" s="152"/>
      <c r="AO882" s="152"/>
    </row>
    <row r="883" ht="12.75" customHeight="1">
      <c r="A883" s="288"/>
      <c r="B883" s="288"/>
      <c r="C883" s="288"/>
      <c r="D883" s="152"/>
      <c r="E883" s="289"/>
      <c r="F883" s="288"/>
      <c r="G883" s="152"/>
      <c r="H883" s="289"/>
      <c r="I883" s="289"/>
      <c r="J883" s="152"/>
      <c r="K883" s="152"/>
      <c r="L883" s="156"/>
      <c r="M883" s="152"/>
      <c r="N883" s="152"/>
      <c r="O883" s="152"/>
      <c r="P883" s="152"/>
      <c r="Q883" s="152"/>
      <c r="R883" s="152"/>
      <c r="S883" s="152"/>
      <c r="T883" s="152"/>
      <c r="U883" s="152"/>
      <c r="V883" s="152"/>
      <c r="W883" s="281"/>
      <c r="X883" s="281"/>
      <c r="Y883" s="281"/>
      <c r="Z883" s="281"/>
      <c r="AA883" s="281"/>
      <c r="AB883" s="281"/>
      <c r="AC883" s="281"/>
      <c r="AD883" s="170"/>
      <c r="AE883" s="152"/>
      <c r="AF883" s="152"/>
      <c r="AG883" s="152"/>
      <c r="AH883" s="152"/>
      <c r="AI883" s="152"/>
      <c r="AJ883" s="152"/>
      <c r="AK883" s="152"/>
      <c r="AL883" s="152"/>
      <c r="AM883" s="152"/>
      <c r="AN883" s="152"/>
      <c r="AO883" s="152"/>
    </row>
    <row r="884" ht="12.75" customHeight="1">
      <c r="A884" s="288"/>
      <c r="B884" s="288"/>
      <c r="C884" s="288"/>
      <c r="D884" s="152"/>
      <c r="E884" s="289"/>
      <c r="F884" s="288"/>
      <c r="G884" s="152"/>
      <c r="H884" s="289"/>
      <c r="I884" s="289"/>
      <c r="J884" s="152"/>
      <c r="K884" s="152"/>
      <c r="L884" s="156"/>
      <c r="M884" s="152"/>
      <c r="N884" s="152"/>
      <c r="O884" s="152"/>
      <c r="P884" s="152"/>
      <c r="Q884" s="152"/>
      <c r="R884" s="152"/>
      <c r="S884" s="152"/>
      <c r="T884" s="152"/>
      <c r="U884" s="152"/>
      <c r="V884" s="152"/>
      <c r="W884" s="281"/>
      <c r="X884" s="281"/>
      <c r="Y884" s="281"/>
      <c r="Z884" s="281"/>
      <c r="AA884" s="281"/>
      <c r="AB884" s="281"/>
      <c r="AC884" s="281"/>
      <c r="AD884" s="170"/>
      <c r="AE884" s="152"/>
      <c r="AF884" s="152"/>
      <c r="AG884" s="152"/>
      <c r="AH884" s="152"/>
      <c r="AI884" s="152"/>
      <c r="AJ884" s="152"/>
      <c r="AK884" s="152"/>
      <c r="AL884" s="152"/>
      <c r="AM884" s="152"/>
      <c r="AN884" s="152"/>
      <c r="AO884" s="152"/>
    </row>
    <row r="885" ht="12.75" customHeight="1">
      <c r="A885" s="288"/>
      <c r="B885" s="288"/>
      <c r="C885" s="288"/>
      <c r="D885" s="152"/>
      <c r="E885" s="289"/>
      <c r="F885" s="288"/>
      <c r="G885" s="152"/>
      <c r="H885" s="289"/>
      <c r="I885" s="289"/>
      <c r="J885" s="152"/>
      <c r="K885" s="152"/>
      <c r="L885" s="156"/>
      <c r="M885" s="152"/>
      <c r="N885" s="152"/>
      <c r="O885" s="152"/>
      <c r="P885" s="152"/>
      <c r="Q885" s="152"/>
      <c r="R885" s="152"/>
      <c r="S885" s="152"/>
      <c r="T885" s="152"/>
      <c r="U885" s="152"/>
      <c r="V885" s="152"/>
      <c r="W885" s="281"/>
      <c r="X885" s="281"/>
      <c r="Y885" s="281"/>
      <c r="Z885" s="281"/>
      <c r="AA885" s="281"/>
      <c r="AB885" s="281"/>
      <c r="AC885" s="281"/>
      <c r="AD885" s="170"/>
      <c r="AE885" s="152"/>
      <c r="AF885" s="152"/>
      <c r="AG885" s="152"/>
      <c r="AH885" s="152"/>
      <c r="AI885" s="152"/>
      <c r="AJ885" s="152"/>
      <c r="AK885" s="152"/>
      <c r="AL885" s="152"/>
      <c r="AM885" s="152"/>
      <c r="AN885" s="152"/>
      <c r="AO885" s="152"/>
    </row>
    <row r="886" ht="12.75" customHeight="1">
      <c r="A886" s="288"/>
      <c r="B886" s="288"/>
      <c r="C886" s="288"/>
      <c r="D886" s="152"/>
      <c r="E886" s="289"/>
      <c r="F886" s="288"/>
      <c r="G886" s="152"/>
      <c r="H886" s="289"/>
      <c r="I886" s="289"/>
      <c r="J886" s="152"/>
      <c r="K886" s="152"/>
      <c r="L886" s="156"/>
      <c r="M886" s="152"/>
      <c r="N886" s="152"/>
      <c r="O886" s="152"/>
      <c r="P886" s="152"/>
      <c r="Q886" s="152"/>
      <c r="R886" s="152"/>
      <c r="S886" s="152"/>
      <c r="T886" s="152"/>
      <c r="U886" s="152"/>
      <c r="V886" s="152"/>
      <c r="W886" s="281"/>
      <c r="X886" s="281"/>
      <c r="Y886" s="281"/>
      <c r="Z886" s="281"/>
      <c r="AA886" s="281"/>
      <c r="AB886" s="281"/>
      <c r="AC886" s="281"/>
      <c r="AD886" s="170"/>
      <c r="AE886" s="152"/>
      <c r="AF886" s="152"/>
      <c r="AG886" s="152"/>
      <c r="AH886" s="152"/>
      <c r="AI886" s="152"/>
      <c r="AJ886" s="152"/>
      <c r="AK886" s="152"/>
      <c r="AL886" s="152"/>
      <c r="AM886" s="152"/>
      <c r="AN886" s="152"/>
      <c r="AO886" s="152"/>
    </row>
    <row r="887" ht="12.75" customHeight="1">
      <c r="A887" s="288"/>
      <c r="B887" s="288"/>
      <c r="C887" s="288"/>
      <c r="D887" s="152"/>
      <c r="E887" s="289"/>
      <c r="F887" s="288"/>
      <c r="G887" s="152"/>
      <c r="H887" s="289"/>
      <c r="I887" s="289"/>
      <c r="J887" s="152"/>
      <c r="K887" s="152"/>
      <c r="L887" s="156"/>
      <c r="M887" s="152"/>
      <c r="N887" s="152"/>
      <c r="O887" s="152"/>
      <c r="P887" s="152"/>
      <c r="Q887" s="152"/>
      <c r="R887" s="152"/>
      <c r="S887" s="152"/>
      <c r="T887" s="152"/>
      <c r="U887" s="152"/>
      <c r="V887" s="152"/>
      <c r="W887" s="281"/>
      <c r="X887" s="281"/>
      <c r="Y887" s="281"/>
      <c r="Z887" s="281"/>
      <c r="AA887" s="281"/>
      <c r="AB887" s="281"/>
      <c r="AC887" s="281"/>
      <c r="AD887" s="170"/>
      <c r="AE887" s="152"/>
      <c r="AF887" s="152"/>
      <c r="AG887" s="152"/>
      <c r="AH887" s="152"/>
      <c r="AI887" s="152"/>
      <c r="AJ887" s="152"/>
      <c r="AK887" s="152"/>
      <c r="AL887" s="152"/>
      <c r="AM887" s="152"/>
      <c r="AN887" s="152"/>
      <c r="AO887" s="152"/>
    </row>
    <row r="888" ht="12.75" customHeight="1">
      <c r="A888" s="288"/>
      <c r="B888" s="288"/>
      <c r="C888" s="288"/>
      <c r="D888" s="152"/>
      <c r="E888" s="289"/>
      <c r="F888" s="288"/>
      <c r="G888" s="152"/>
      <c r="H888" s="289"/>
      <c r="I888" s="289"/>
      <c r="J888" s="152"/>
      <c r="K888" s="152"/>
      <c r="L888" s="156"/>
      <c r="M888" s="152"/>
      <c r="N888" s="152"/>
      <c r="O888" s="152"/>
      <c r="P888" s="152"/>
      <c r="Q888" s="152"/>
      <c r="R888" s="152"/>
      <c r="S888" s="152"/>
      <c r="T888" s="152"/>
      <c r="U888" s="152"/>
      <c r="V888" s="152"/>
      <c r="W888" s="281"/>
      <c r="X888" s="281"/>
      <c r="Y888" s="281"/>
      <c r="Z888" s="281"/>
      <c r="AA888" s="281"/>
      <c r="AB888" s="281"/>
      <c r="AC888" s="281"/>
      <c r="AD888" s="170"/>
      <c r="AE888" s="152"/>
      <c r="AF888" s="152"/>
      <c r="AG888" s="152"/>
      <c r="AH888" s="152"/>
      <c r="AI888" s="152"/>
      <c r="AJ888" s="152"/>
      <c r="AK888" s="152"/>
      <c r="AL888" s="152"/>
      <c r="AM888" s="152"/>
      <c r="AN888" s="152"/>
      <c r="AO888" s="152"/>
    </row>
    <row r="889" ht="12.75" customHeight="1">
      <c r="A889" s="288"/>
      <c r="B889" s="288"/>
      <c r="C889" s="288"/>
      <c r="D889" s="152"/>
      <c r="E889" s="289"/>
      <c r="F889" s="288"/>
      <c r="G889" s="152"/>
      <c r="H889" s="289"/>
      <c r="I889" s="289"/>
      <c r="J889" s="152"/>
      <c r="K889" s="152"/>
      <c r="L889" s="156"/>
      <c r="M889" s="152"/>
      <c r="N889" s="152"/>
      <c r="O889" s="152"/>
      <c r="P889" s="152"/>
      <c r="Q889" s="152"/>
      <c r="R889" s="152"/>
      <c r="S889" s="152"/>
      <c r="T889" s="152"/>
      <c r="U889" s="152"/>
      <c r="V889" s="152"/>
      <c r="W889" s="281"/>
      <c r="X889" s="281"/>
      <c r="Y889" s="281"/>
      <c r="Z889" s="281"/>
      <c r="AA889" s="281"/>
      <c r="AB889" s="281"/>
      <c r="AC889" s="281"/>
      <c r="AD889" s="170"/>
      <c r="AE889" s="152"/>
      <c r="AF889" s="152"/>
      <c r="AG889" s="152"/>
      <c r="AH889" s="152"/>
      <c r="AI889" s="152"/>
      <c r="AJ889" s="152"/>
      <c r="AK889" s="152"/>
      <c r="AL889" s="152"/>
      <c r="AM889" s="152"/>
      <c r="AN889" s="152"/>
      <c r="AO889" s="152"/>
    </row>
    <row r="890" ht="12.75" customHeight="1">
      <c r="A890" s="288"/>
      <c r="B890" s="288"/>
      <c r="C890" s="288"/>
      <c r="D890" s="152"/>
      <c r="E890" s="289"/>
      <c r="F890" s="288"/>
      <c r="G890" s="152"/>
      <c r="H890" s="289"/>
      <c r="I890" s="289"/>
      <c r="J890" s="152"/>
      <c r="K890" s="152"/>
      <c r="L890" s="156"/>
      <c r="M890" s="152"/>
      <c r="N890" s="152"/>
      <c r="O890" s="152"/>
      <c r="P890" s="152"/>
      <c r="Q890" s="152"/>
      <c r="R890" s="152"/>
      <c r="S890" s="152"/>
      <c r="T890" s="152"/>
      <c r="U890" s="152"/>
      <c r="V890" s="152"/>
      <c r="W890" s="281"/>
      <c r="X890" s="281"/>
      <c r="Y890" s="281"/>
      <c r="Z890" s="281"/>
      <c r="AA890" s="281"/>
      <c r="AB890" s="281"/>
      <c r="AC890" s="281"/>
      <c r="AD890" s="170"/>
      <c r="AE890" s="152"/>
      <c r="AF890" s="152"/>
      <c r="AG890" s="152"/>
      <c r="AH890" s="152"/>
      <c r="AI890" s="152"/>
      <c r="AJ890" s="152"/>
      <c r="AK890" s="152"/>
      <c r="AL890" s="152"/>
      <c r="AM890" s="152"/>
      <c r="AN890" s="152"/>
      <c r="AO890" s="152"/>
    </row>
    <row r="891" ht="12.75" customHeight="1">
      <c r="A891" s="288"/>
      <c r="B891" s="288"/>
      <c r="C891" s="288"/>
      <c r="D891" s="152"/>
      <c r="E891" s="289"/>
      <c r="F891" s="288"/>
      <c r="G891" s="152"/>
      <c r="H891" s="289"/>
      <c r="I891" s="289"/>
      <c r="J891" s="152"/>
      <c r="K891" s="152"/>
      <c r="L891" s="156"/>
      <c r="M891" s="152"/>
      <c r="N891" s="152"/>
      <c r="O891" s="152"/>
      <c r="P891" s="152"/>
      <c r="Q891" s="152"/>
      <c r="R891" s="152"/>
      <c r="S891" s="152"/>
      <c r="T891" s="152"/>
      <c r="U891" s="152"/>
      <c r="V891" s="152"/>
      <c r="W891" s="281"/>
      <c r="X891" s="281"/>
      <c r="Y891" s="281"/>
      <c r="Z891" s="281"/>
      <c r="AA891" s="281"/>
      <c r="AB891" s="281"/>
      <c r="AC891" s="281"/>
      <c r="AD891" s="170"/>
      <c r="AE891" s="152"/>
      <c r="AF891" s="152"/>
      <c r="AG891" s="152"/>
      <c r="AH891" s="152"/>
      <c r="AI891" s="152"/>
      <c r="AJ891" s="152"/>
      <c r="AK891" s="152"/>
      <c r="AL891" s="152"/>
      <c r="AM891" s="152"/>
      <c r="AN891" s="152"/>
      <c r="AO891" s="152"/>
    </row>
    <row r="892" ht="12.75" customHeight="1">
      <c r="A892" s="288"/>
      <c r="B892" s="288"/>
      <c r="C892" s="288"/>
      <c r="D892" s="152"/>
      <c r="E892" s="289"/>
      <c r="F892" s="288"/>
      <c r="G892" s="152"/>
      <c r="H892" s="289"/>
      <c r="I892" s="289"/>
      <c r="J892" s="152"/>
      <c r="K892" s="152"/>
      <c r="L892" s="156"/>
      <c r="M892" s="152"/>
      <c r="N892" s="152"/>
      <c r="O892" s="152"/>
      <c r="P892" s="152"/>
      <c r="Q892" s="152"/>
      <c r="R892" s="152"/>
      <c r="S892" s="152"/>
      <c r="T892" s="152"/>
      <c r="U892" s="152"/>
      <c r="V892" s="152"/>
      <c r="W892" s="281"/>
      <c r="X892" s="281"/>
      <c r="Y892" s="281"/>
      <c r="Z892" s="281"/>
      <c r="AA892" s="281"/>
      <c r="AB892" s="281"/>
      <c r="AC892" s="281"/>
      <c r="AD892" s="170"/>
      <c r="AE892" s="152"/>
      <c r="AF892" s="152"/>
      <c r="AG892" s="152"/>
      <c r="AH892" s="152"/>
      <c r="AI892" s="152"/>
      <c r="AJ892" s="152"/>
      <c r="AK892" s="152"/>
      <c r="AL892" s="152"/>
      <c r="AM892" s="152"/>
      <c r="AN892" s="152"/>
      <c r="AO892" s="152"/>
    </row>
    <row r="893" ht="12.75" customHeight="1">
      <c r="A893" s="288"/>
      <c r="B893" s="288"/>
      <c r="C893" s="288"/>
      <c r="D893" s="152"/>
      <c r="E893" s="289"/>
      <c r="F893" s="288"/>
      <c r="G893" s="152"/>
      <c r="H893" s="289"/>
      <c r="I893" s="289"/>
      <c r="J893" s="152"/>
      <c r="K893" s="152"/>
      <c r="L893" s="156"/>
      <c r="M893" s="152"/>
      <c r="N893" s="152"/>
      <c r="O893" s="152"/>
      <c r="P893" s="152"/>
      <c r="Q893" s="152"/>
      <c r="R893" s="152"/>
      <c r="S893" s="152"/>
      <c r="T893" s="152"/>
      <c r="U893" s="152"/>
      <c r="V893" s="152"/>
      <c r="W893" s="281"/>
      <c r="X893" s="281"/>
      <c r="Y893" s="281"/>
      <c r="Z893" s="281"/>
      <c r="AA893" s="281"/>
      <c r="AB893" s="281"/>
      <c r="AC893" s="281"/>
      <c r="AD893" s="170"/>
      <c r="AE893" s="152"/>
      <c r="AF893" s="152"/>
      <c r="AG893" s="152"/>
      <c r="AH893" s="152"/>
      <c r="AI893" s="152"/>
      <c r="AJ893" s="152"/>
      <c r="AK893" s="152"/>
      <c r="AL893" s="152"/>
      <c r="AM893" s="152"/>
      <c r="AN893" s="152"/>
      <c r="AO893" s="152"/>
    </row>
    <row r="894" ht="12.75" customHeight="1">
      <c r="A894" s="288"/>
      <c r="B894" s="288"/>
      <c r="C894" s="288"/>
      <c r="D894" s="152"/>
      <c r="E894" s="289"/>
      <c r="F894" s="288"/>
      <c r="G894" s="152"/>
      <c r="H894" s="289"/>
      <c r="I894" s="289"/>
      <c r="J894" s="152"/>
      <c r="K894" s="152"/>
      <c r="L894" s="156"/>
      <c r="M894" s="152"/>
      <c r="N894" s="152"/>
      <c r="O894" s="152"/>
      <c r="P894" s="152"/>
      <c r="Q894" s="152"/>
      <c r="R894" s="152"/>
      <c r="S894" s="152"/>
      <c r="T894" s="152"/>
      <c r="U894" s="152"/>
      <c r="V894" s="152"/>
      <c r="W894" s="281"/>
      <c r="X894" s="281"/>
      <c r="Y894" s="281"/>
      <c r="Z894" s="281"/>
      <c r="AA894" s="281"/>
      <c r="AB894" s="281"/>
      <c r="AC894" s="281"/>
      <c r="AD894" s="170"/>
      <c r="AE894" s="152"/>
      <c r="AF894" s="152"/>
      <c r="AG894" s="152"/>
      <c r="AH894" s="152"/>
      <c r="AI894" s="152"/>
      <c r="AJ894" s="152"/>
      <c r="AK894" s="152"/>
      <c r="AL894" s="152"/>
      <c r="AM894" s="152"/>
      <c r="AN894" s="152"/>
      <c r="AO894" s="152"/>
    </row>
    <row r="895" ht="12.75" customHeight="1">
      <c r="A895" s="288"/>
      <c r="B895" s="288"/>
      <c r="C895" s="288"/>
      <c r="D895" s="152"/>
      <c r="E895" s="289"/>
      <c r="F895" s="288"/>
      <c r="G895" s="152"/>
      <c r="H895" s="289"/>
      <c r="I895" s="289"/>
      <c r="J895" s="152"/>
      <c r="K895" s="152"/>
      <c r="L895" s="156"/>
      <c r="M895" s="152"/>
      <c r="N895" s="152"/>
      <c r="O895" s="152"/>
      <c r="P895" s="152"/>
      <c r="Q895" s="152"/>
      <c r="R895" s="152"/>
      <c r="S895" s="152"/>
      <c r="T895" s="152"/>
      <c r="U895" s="152"/>
      <c r="V895" s="152"/>
      <c r="W895" s="281"/>
      <c r="X895" s="281"/>
      <c r="Y895" s="281"/>
      <c r="Z895" s="281"/>
      <c r="AA895" s="281"/>
      <c r="AB895" s="281"/>
      <c r="AC895" s="281"/>
      <c r="AD895" s="170"/>
      <c r="AE895" s="152"/>
      <c r="AF895" s="152"/>
      <c r="AG895" s="152"/>
      <c r="AH895" s="152"/>
      <c r="AI895" s="152"/>
      <c r="AJ895" s="152"/>
      <c r="AK895" s="152"/>
      <c r="AL895" s="152"/>
      <c r="AM895" s="152"/>
      <c r="AN895" s="152"/>
      <c r="AO895" s="152"/>
    </row>
    <row r="896" ht="12.75" customHeight="1">
      <c r="A896" s="288"/>
      <c r="B896" s="288"/>
      <c r="C896" s="288"/>
      <c r="D896" s="152"/>
      <c r="E896" s="289"/>
      <c r="F896" s="288"/>
      <c r="G896" s="152"/>
      <c r="H896" s="289"/>
      <c r="I896" s="289"/>
      <c r="J896" s="152"/>
      <c r="K896" s="152"/>
      <c r="L896" s="156"/>
      <c r="M896" s="152"/>
      <c r="N896" s="152"/>
      <c r="O896" s="152"/>
      <c r="P896" s="152"/>
      <c r="Q896" s="152"/>
      <c r="R896" s="152"/>
      <c r="S896" s="152"/>
      <c r="T896" s="152"/>
      <c r="U896" s="152"/>
      <c r="V896" s="152"/>
      <c r="W896" s="281"/>
      <c r="X896" s="281"/>
      <c r="Y896" s="281"/>
      <c r="Z896" s="281"/>
      <c r="AA896" s="281"/>
      <c r="AB896" s="281"/>
      <c r="AC896" s="281"/>
      <c r="AD896" s="170"/>
      <c r="AE896" s="152"/>
      <c r="AF896" s="152"/>
      <c r="AG896" s="152"/>
      <c r="AH896" s="152"/>
      <c r="AI896" s="152"/>
      <c r="AJ896" s="152"/>
      <c r="AK896" s="152"/>
      <c r="AL896" s="152"/>
      <c r="AM896" s="152"/>
      <c r="AN896" s="152"/>
      <c r="AO896" s="152"/>
    </row>
    <row r="897" ht="12.75" customHeight="1">
      <c r="A897" s="288"/>
      <c r="B897" s="288"/>
      <c r="C897" s="288"/>
      <c r="D897" s="152"/>
      <c r="E897" s="289"/>
      <c r="F897" s="288"/>
      <c r="G897" s="152"/>
      <c r="H897" s="289"/>
      <c r="I897" s="289"/>
      <c r="J897" s="152"/>
      <c r="K897" s="152"/>
      <c r="L897" s="156"/>
      <c r="M897" s="152"/>
      <c r="N897" s="152"/>
      <c r="O897" s="152"/>
      <c r="P897" s="152"/>
      <c r="Q897" s="152"/>
      <c r="R897" s="152"/>
      <c r="S897" s="152"/>
      <c r="T897" s="152"/>
      <c r="U897" s="152"/>
      <c r="V897" s="152"/>
      <c r="W897" s="281"/>
      <c r="X897" s="281"/>
      <c r="Y897" s="281"/>
      <c r="Z897" s="281"/>
      <c r="AA897" s="281"/>
      <c r="AB897" s="281"/>
      <c r="AC897" s="281"/>
      <c r="AD897" s="170"/>
      <c r="AE897" s="152"/>
      <c r="AF897" s="152"/>
      <c r="AG897" s="152"/>
      <c r="AH897" s="152"/>
      <c r="AI897" s="152"/>
      <c r="AJ897" s="152"/>
      <c r="AK897" s="152"/>
      <c r="AL897" s="152"/>
      <c r="AM897" s="152"/>
      <c r="AN897" s="152"/>
      <c r="AO897" s="152"/>
    </row>
    <row r="898" ht="12.75" customHeight="1">
      <c r="A898" s="288"/>
      <c r="B898" s="288"/>
      <c r="C898" s="288"/>
      <c r="D898" s="152"/>
      <c r="E898" s="289"/>
      <c r="F898" s="288"/>
      <c r="G898" s="152"/>
      <c r="H898" s="289"/>
      <c r="I898" s="289"/>
      <c r="J898" s="152"/>
      <c r="K898" s="152"/>
      <c r="L898" s="156"/>
      <c r="M898" s="152"/>
      <c r="N898" s="152"/>
      <c r="O898" s="152"/>
      <c r="P898" s="152"/>
      <c r="Q898" s="152"/>
      <c r="R898" s="152"/>
      <c r="S898" s="152"/>
      <c r="T898" s="152"/>
      <c r="U898" s="152"/>
      <c r="V898" s="152"/>
      <c r="W898" s="281"/>
      <c r="X898" s="281"/>
      <c r="Y898" s="281"/>
      <c r="Z898" s="281"/>
      <c r="AA898" s="281"/>
      <c r="AB898" s="281"/>
      <c r="AC898" s="281"/>
      <c r="AD898" s="170"/>
      <c r="AE898" s="152"/>
      <c r="AF898" s="152"/>
      <c r="AG898" s="152"/>
      <c r="AH898" s="152"/>
      <c r="AI898" s="152"/>
      <c r="AJ898" s="152"/>
      <c r="AK898" s="152"/>
      <c r="AL898" s="152"/>
      <c r="AM898" s="152"/>
      <c r="AN898" s="152"/>
      <c r="AO898" s="152"/>
    </row>
    <row r="899" ht="12.75" customHeight="1">
      <c r="A899" s="288"/>
      <c r="B899" s="288"/>
      <c r="C899" s="288"/>
      <c r="D899" s="152"/>
      <c r="E899" s="289"/>
      <c r="F899" s="288"/>
      <c r="G899" s="152"/>
      <c r="H899" s="289"/>
      <c r="I899" s="289"/>
      <c r="J899" s="152"/>
      <c r="K899" s="152"/>
      <c r="L899" s="156"/>
      <c r="M899" s="152"/>
      <c r="N899" s="152"/>
      <c r="O899" s="152"/>
      <c r="P899" s="152"/>
      <c r="Q899" s="152"/>
      <c r="R899" s="152"/>
      <c r="S899" s="152"/>
      <c r="T899" s="152"/>
      <c r="U899" s="152"/>
      <c r="V899" s="152"/>
      <c r="W899" s="281"/>
      <c r="X899" s="281"/>
      <c r="Y899" s="281"/>
      <c r="Z899" s="281"/>
      <c r="AA899" s="281"/>
      <c r="AB899" s="281"/>
      <c r="AC899" s="281"/>
      <c r="AD899" s="170"/>
      <c r="AE899" s="152"/>
      <c r="AF899" s="152"/>
      <c r="AG899" s="152"/>
      <c r="AH899" s="152"/>
      <c r="AI899" s="152"/>
      <c r="AJ899" s="152"/>
      <c r="AK899" s="152"/>
      <c r="AL899" s="152"/>
      <c r="AM899" s="152"/>
      <c r="AN899" s="152"/>
      <c r="AO899" s="152"/>
    </row>
    <row r="900" ht="12.75" customHeight="1">
      <c r="A900" s="288"/>
      <c r="B900" s="288"/>
      <c r="C900" s="288"/>
      <c r="D900" s="152"/>
      <c r="E900" s="289"/>
      <c r="F900" s="288"/>
      <c r="G900" s="152"/>
      <c r="H900" s="289"/>
      <c r="I900" s="289"/>
      <c r="J900" s="152"/>
      <c r="K900" s="152"/>
      <c r="L900" s="156"/>
      <c r="M900" s="152"/>
      <c r="N900" s="152"/>
      <c r="O900" s="152"/>
      <c r="P900" s="152"/>
      <c r="Q900" s="152"/>
      <c r="R900" s="152"/>
      <c r="S900" s="152"/>
      <c r="T900" s="152"/>
      <c r="U900" s="152"/>
      <c r="V900" s="152"/>
      <c r="W900" s="281"/>
      <c r="X900" s="281"/>
      <c r="Y900" s="281"/>
      <c r="Z900" s="281"/>
      <c r="AA900" s="281"/>
      <c r="AB900" s="281"/>
      <c r="AC900" s="281"/>
      <c r="AD900" s="170"/>
      <c r="AE900" s="152"/>
      <c r="AF900" s="152"/>
      <c r="AG900" s="152"/>
      <c r="AH900" s="152"/>
      <c r="AI900" s="152"/>
      <c r="AJ900" s="152"/>
      <c r="AK900" s="152"/>
      <c r="AL900" s="152"/>
      <c r="AM900" s="152"/>
      <c r="AN900" s="152"/>
      <c r="AO900" s="152"/>
    </row>
    <row r="901" ht="12.75" customHeight="1">
      <c r="A901" s="288"/>
      <c r="B901" s="288"/>
      <c r="C901" s="288"/>
      <c r="D901" s="152"/>
      <c r="E901" s="289"/>
      <c r="F901" s="288"/>
      <c r="G901" s="152"/>
      <c r="H901" s="289"/>
      <c r="I901" s="289"/>
      <c r="J901" s="152"/>
      <c r="K901" s="152"/>
      <c r="L901" s="156"/>
      <c r="M901" s="152"/>
      <c r="N901" s="152"/>
      <c r="O901" s="152"/>
      <c r="P901" s="152"/>
      <c r="Q901" s="152"/>
      <c r="R901" s="152"/>
      <c r="S901" s="152"/>
      <c r="T901" s="152"/>
      <c r="U901" s="152"/>
      <c r="V901" s="152"/>
      <c r="W901" s="281"/>
      <c r="X901" s="281"/>
      <c r="Y901" s="281"/>
      <c r="Z901" s="281"/>
      <c r="AA901" s="281"/>
      <c r="AB901" s="281"/>
      <c r="AC901" s="281"/>
      <c r="AD901" s="170"/>
      <c r="AE901" s="152"/>
      <c r="AF901" s="152"/>
      <c r="AG901" s="152"/>
      <c r="AH901" s="152"/>
      <c r="AI901" s="152"/>
      <c r="AJ901" s="152"/>
      <c r="AK901" s="152"/>
      <c r="AL901" s="152"/>
      <c r="AM901" s="152"/>
      <c r="AN901" s="152"/>
      <c r="AO901" s="152"/>
    </row>
    <row r="902" ht="12.75" customHeight="1">
      <c r="A902" s="288"/>
      <c r="B902" s="288"/>
      <c r="C902" s="288"/>
      <c r="D902" s="152"/>
      <c r="E902" s="289"/>
      <c r="F902" s="288"/>
      <c r="G902" s="152"/>
      <c r="H902" s="289"/>
      <c r="I902" s="289"/>
      <c r="J902" s="152"/>
      <c r="K902" s="152"/>
      <c r="L902" s="156"/>
      <c r="M902" s="152"/>
      <c r="N902" s="152"/>
      <c r="O902" s="152"/>
      <c r="P902" s="152"/>
      <c r="Q902" s="152"/>
      <c r="R902" s="152"/>
      <c r="S902" s="152"/>
      <c r="T902" s="152"/>
      <c r="U902" s="152"/>
      <c r="V902" s="152"/>
      <c r="W902" s="281"/>
      <c r="X902" s="281"/>
      <c r="Y902" s="281"/>
      <c r="Z902" s="281"/>
      <c r="AA902" s="281"/>
      <c r="AB902" s="281"/>
      <c r="AC902" s="281"/>
      <c r="AD902" s="170"/>
      <c r="AE902" s="152"/>
      <c r="AF902" s="152"/>
      <c r="AG902" s="152"/>
      <c r="AH902" s="152"/>
      <c r="AI902" s="152"/>
      <c r="AJ902" s="152"/>
      <c r="AK902" s="152"/>
      <c r="AL902" s="152"/>
      <c r="AM902" s="152"/>
      <c r="AN902" s="152"/>
      <c r="AO902" s="152"/>
    </row>
    <row r="903" ht="12.75" customHeight="1">
      <c r="A903" s="288"/>
      <c r="B903" s="288"/>
      <c r="C903" s="288"/>
      <c r="D903" s="152"/>
      <c r="E903" s="289"/>
      <c r="F903" s="288"/>
      <c r="G903" s="152"/>
      <c r="H903" s="289"/>
      <c r="I903" s="289"/>
      <c r="J903" s="152"/>
      <c r="K903" s="152"/>
      <c r="L903" s="156"/>
      <c r="M903" s="152"/>
      <c r="N903" s="152"/>
      <c r="O903" s="152"/>
      <c r="P903" s="152"/>
      <c r="Q903" s="152"/>
      <c r="R903" s="152"/>
      <c r="S903" s="152"/>
      <c r="T903" s="152"/>
      <c r="U903" s="152"/>
      <c r="V903" s="152"/>
      <c r="W903" s="281"/>
      <c r="X903" s="281"/>
      <c r="Y903" s="281"/>
      <c r="Z903" s="281"/>
      <c r="AA903" s="281"/>
      <c r="AB903" s="281"/>
      <c r="AC903" s="281"/>
      <c r="AD903" s="170"/>
      <c r="AE903" s="152"/>
      <c r="AF903" s="152"/>
      <c r="AG903" s="152"/>
      <c r="AH903" s="152"/>
      <c r="AI903" s="152"/>
      <c r="AJ903" s="152"/>
      <c r="AK903" s="152"/>
      <c r="AL903" s="152"/>
      <c r="AM903" s="152"/>
      <c r="AN903" s="152"/>
      <c r="AO903" s="152"/>
    </row>
    <row r="904" ht="12.75" customHeight="1">
      <c r="A904" s="288"/>
      <c r="B904" s="288"/>
      <c r="C904" s="288"/>
      <c r="D904" s="152"/>
      <c r="E904" s="289"/>
      <c r="F904" s="288"/>
      <c r="G904" s="152"/>
      <c r="H904" s="289"/>
      <c r="I904" s="289"/>
      <c r="J904" s="152"/>
      <c r="K904" s="152"/>
      <c r="L904" s="156"/>
      <c r="M904" s="152"/>
      <c r="N904" s="152"/>
      <c r="O904" s="152"/>
      <c r="P904" s="152"/>
      <c r="Q904" s="152"/>
      <c r="R904" s="152"/>
      <c r="S904" s="152"/>
      <c r="T904" s="152"/>
      <c r="U904" s="152"/>
      <c r="V904" s="152"/>
      <c r="W904" s="281"/>
      <c r="X904" s="281"/>
      <c r="Y904" s="281"/>
      <c r="Z904" s="281"/>
      <c r="AA904" s="281"/>
      <c r="AB904" s="281"/>
      <c r="AC904" s="281"/>
      <c r="AD904" s="170"/>
      <c r="AE904" s="152"/>
      <c r="AF904" s="152"/>
      <c r="AG904" s="152"/>
      <c r="AH904" s="152"/>
      <c r="AI904" s="152"/>
      <c r="AJ904" s="152"/>
      <c r="AK904" s="152"/>
      <c r="AL904" s="152"/>
      <c r="AM904" s="152"/>
      <c r="AN904" s="152"/>
      <c r="AO904" s="152"/>
    </row>
    <row r="905" ht="12.75" customHeight="1">
      <c r="A905" s="288"/>
      <c r="B905" s="288"/>
      <c r="C905" s="288"/>
      <c r="D905" s="152"/>
      <c r="E905" s="289"/>
      <c r="F905" s="288"/>
      <c r="G905" s="152"/>
      <c r="H905" s="289"/>
      <c r="I905" s="289"/>
      <c r="J905" s="152"/>
      <c r="K905" s="152"/>
      <c r="L905" s="156"/>
      <c r="M905" s="152"/>
      <c r="N905" s="152"/>
      <c r="O905" s="152"/>
      <c r="P905" s="152"/>
      <c r="Q905" s="152"/>
      <c r="R905" s="152"/>
      <c r="S905" s="152"/>
      <c r="T905" s="152"/>
      <c r="U905" s="152"/>
      <c r="V905" s="152"/>
      <c r="W905" s="281"/>
      <c r="X905" s="281"/>
      <c r="Y905" s="281"/>
      <c r="Z905" s="281"/>
      <c r="AA905" s="281"/>
      <c r="AB905" s="281"/>
      <c r="AC905" s="281"/>
      <c r="AD905" s="170"/>
      <c r="AE905" s="152"/>
      <c r="AF905" s="152"/>
      <c r="AG905" s="152"/>
      <c r="AH905" s="152"/>
      <c r="AI905" s="152"/>
      <c r="AJ905" s="152"/>
      <c r="AK905" s="152"/>
      <c r="AL905" s="152"/>
      <c r="AM905" s="152"/>
      <c r="AN905" s="152"/>
      <c r="AO905" s="152"/>
    </row>
    <row r="906" ht="12.75" customHeight="1">
      <c r="A906" s="288"/>
      <c r="B906" s="288"/>
      <c r="C906" s="288"/>
      <c r="D906" s="152"/>
      <c r="E906" s="289"/>
      <c r="F906" s="288"/>
      <c r="G906" s="152"/>
      <c r="H906" s="289"/>
      <c r="I906" s="289"/>
      <c r="J906" s="152"/>
      <c r="K906" s="152"/>
      <c r="L906" s="156"/>
      <c r="M906" s="152"/>
      <c r="N906" s="152"/>
      <c r="O906" s="152"/>
      <c r="P906" s="152"/>
      <c r="Q906" s="152"/>
      <c r="R906" s="152"/>
      <c r="S906" s="152"/>
      <c r="T906" s="152"/>
      <c r="U906" s="152"/>
      <c r="V906" s="152"/>
      <c r="W906" s="281"/>
      <c r="X906" s="281"/>
      <c r="Y906" s="281"/>
      <c r="Z906" s="281"/>
      <c r="AA906" s="281"/>
      <c r="AB906" s="281"/>
      <c r="AC906" s="281"/>
      <c r="AD906" s="170"/>
      <c r="AE906" s="152"/>
      <c r="AF906" s="152"/>
      <c r="AG906" s="152"/>
      <c r="AH906" s="152"/>
      <c r="AI906" s="152"/>
      <c r="AJ906" s="152"/>
      <c r="AK906" s="152"/>
      <c r="AL906" s="152"/>
      <c r="AM906" s="152"/>
      <c r="AN906" s="152"/>
      <c r="AO906" s="152"/>
    </row>
    <row r="907" ht="12.75" customHeight="1">
      <c r="A907" s="288"/>
      <c r="B907" s="288"/>
      <c r="C907" s="288"/>
      <c r="D907" s="152"/>
      <c r="E907" s="289"/>
      <c r="F907" s="288"/>
      <c r="G907" s="152"/>
      <c r="H907" s="289"/>
      <c r="I907" s="289"/>
      <c r="J907" s="152"/>
      <c r="K907" s="152"/>
      <c r="L907" s="156"/>
      <c r="M907" s="152"/>
      <c r="N907" s="152"/>
      <c r="O907" s="152"/>
      <c r="P907" s="152"/>
      <c r="Q907" s="152"/>
      <c r="R907" s="152"/>
      <c r="S907" s="152"/>
      <c r="T907" s="152"/>
      <c r="U907" s="152"/>
      <c r="V907" s="152"/>
      <c r="W907" s="281"/>
      <c r="X907" s="281"/>
      <c r="Y907" s="281"/>
      <c r="Z907" s="281"/>
      <c r="AA907" s="281"/>
      <c r="AB907" s="281"/>
      <c r="AC907" s="281"/>
      <c r="AD907" s="170"/>
      <c r="AE907" s="152"/>
      <c r="AF907" s="152"/>
      <c r="AG907" s="152"/>
      <c r="AH907" s="152"/>
      <c r="AI907" s="152"/>
      <c r="AJ907" s="152"/>
      <c r="AK907" s="152"/>
      <c r="AL907" s="152"/>
      <c r="AM907" s="152"/>
      <c r="AN907" s="152"/>
      <c r="AO907" s="152"/>
    </row>
    <row r="908" ht="12.75" customHeight="1">
      <c r="A908" s="288"/>
      <c r="B908" s="288"/>
      <c r="C908" s="288"/>
      <c r="D908" s="152"/>
      <c r="E908" s="289"/>
      <c r="F908" s="288"/>
      <c r="G908" s="152"/>
      <c r="H908" s="289"/>
      <c r="I908" s="289"/>
      <c r="J908" s="152"/>
      <c r="K908" s="152"/>
      <c r="L908" s="156"/>
      <c r="M908" s="152"/>
      <c r="N908" s="152"/>
      <c r="O908" s="152"/>
      <c r="P908" s="152"/>
      <c r="Q908" s="152"/>
      <c r="R908" s="152"/>
      <c r="S908" s="152"/>
      <c r="T908" s="152"/>
      <c r="U908" s="152"/>
      <c r="V908" s="152"/>
      <c r="W908" s="281"/>
      <c r="X908" s="281"/>
      <c r="Y908" s="281"/>
      <c r="Z908" s="281"/>
      <c r="AA908" s="281"/>
      <c r="AB908" s="281"/>
      <c r="AC908" s="281"/>
      <c r="AD908" s="170"/>
      <c r="AE908" s="152"/>
      <c r="AF908" s="152"/>
      <c r="AG908" s="152"/>
      <c r="AH908" s="152"/>
      <c r="AI908" s="152"/>
      <c r="AJ908" s="152"/>
      <c r="AK908" s="152"/>
      <c r="AL908" s="152"/>
      <c r="AM908" s="152"/>
      <c r="AN908" s="152"/>
      <c r="AO908" s="152"/>
    </row>
    <row r="909" ht="12.75" customHeight="1">
      <c r="A909" s="288"/>
      <c r="B909" s="288"/>
      <c r="C909" s="288"/>
      <c r="D909" s="152"/>
      <c r="E909" s="289"/>
      <c r="F909" s="288"/>
      <c r="G909" s="152"/>
      <c r="H909" s="289"/>
      <c r="I909" s="289"/>
      <c r="J909" s="152"/>
      <c r="K909" s="152"/>
      <c r="L909" s="156"/>
      <c r="M909" s="152"/>
      <c r="N909" s="152"/>
      <c r="O909" s="152"/>
      <c r="P909" s="152"/>
      <c r="Q909" s="152"/>
      <c r="R909" s="152"/>
      <c r="S909" s="152"/>
      <c r="T909" s="152"/>
      <c r="U909" s="152"/>
      <c r="V909" s="152"/>
      <c r="W909" s="281"/>
      <c r="X909" s="281"/>
      <c r="Y909" s="281"/>
      <c r="Z909" s="281"/>
      <c r="AA909" s="281"/>
      <c r="AB909" s="281"/>
      <c r="AC909" s="281"/>
      <c r="AD909" s="170"/>
      <c r="AE909" s="152"/>
      <c r="AF909" s="152"/>
      <c r="AG909" s="152"/>
      <c r="AH909" s="152"/>
      <c r="AI909" s="152"/>
      <c r="AJ909" s="152"/>
      <c r="AK909" s="152"/>
      <c r="AL909" s="152"/>
      <c r="AM909" s="152"/>
      <c r="AN909" s="152"/>
      <c r="AO909" s="152"/>
    </row>
    <row r="910" ht="12.75" customHeight="1">
      <c r="A910" s="288"/>
      <c r="B910" s="288"/>
      <c r="C910" s="288"/>
      <c r="D910" s="152"/>
      <c r="E910" s="289"/>
      <c r="F910" s="288"/>
      <c r="G910" s="152"/>
      <c r="H910" s="289"/>
      <c r="I910" s="289"/>
      <c r="J910" s="152"/>
      <c r="K910" s="152"/>
      <c r="L910" s="156"/>
      <c r="M910" s="152"/>
      <c r="N910" s="152"/>
      <c r="O910" s="152"/>
      <c r="P910" s="152"/>
      <c r="Q910" s="152"/>
      <c r="R910" s="152"/>
      <c r="S910" s="152"/>
      <c r="T910" s="152"/>
      <c r="U910" s="152"/>
      <c r="V910" s="152"/>
      <c r="W910" s="281"/>
      <c r="X910" s="281"/>
      <c r="Y910" s="281"/>
      <c r="Z910" s="281"/>
      <c r="AA910" s="281"/>
      <c r="AB910" s="281"/>
      <c r="AC910" s="281"/>
      <c r="AD910" s="170"/>
      <c r="AE910" s="152"/>
      <c r="AF910" s="152"/>
      <c r="AG910" s="152"/>
      <c r="AH910" s="152"/>
      <c r="AI910" s="152"/>
      <c r="AJ910" s="152"/>
      <c r="AK910" s="152"/>
      <c r="AL910" s="152"/>
      <c r="AM910" s="152"/>
      <c r="AN910" s="152"/>
      <c r="AO910" s="152"/>
    </row>
    <row r="911" ht="12.75" customHeight="1">
      <c r="A911" s="288"/>
      <c r="B911" s="288"/>
      <c r="C911" s="288"/>
      <c r="D911" s="152"/>
      <c r="E911" s="289"/>
      <c r="F911" s="288"/>
      <c r="G911" s="152"/>
      <c r="H911" s="289"/>
      <c r="I911" s="289"/>
      <c r="J911" s="152"/>
      <c r="K911" s="152"/>
      <c r="L911" s="156"/>
      <c r="M911" s="152"/>
      <c r="N911" s="152"/>
      <c r="O911" s="152"/>
      <c r="P911" s="152"/>
      <c r="Q911" s="152"/>
      <c r="R911" s="152"/>
      <c r="S911" s="152"/>
      <c r="T911" s="152"/>
      <c r="U911" s="152"/>
      <c r="V911" s="152"/>
      <c r="W911" s="281"/>
      <c r="X911" s="281"/>
      <c r="Y911" s="281"/>
      <c r="Z911" s="281"/>
      <c r="AA911" s="281"/>
      <c r="AB911" s="281"/>
      <c r="AC911" s="281"/>
      <c r="AD911" s="170"/>
      <c r="AE911" s="152"/>
      <c r="AF911" s="152"/>
      <c r="AG911" s="152"/>
      <c r="AH911" s="152"/>
      <c r="AI911" s="152"/>
      <c r="AJ911" s="152"/>
      <c r="AK911" s="152"/>
      <c r="AL911" s="152"/>
      <c r="AM911" s="152"/>
      <c r="AN911" s="152"/>
      <c r="AO911" s="152"/>
    </row>
    <row r="912" ht="12.75" customHeight="1">
      <c r="A912" s="288"/>
      <c r="B912" s="288"/>
      <c r="C912" s="288"/>
      <c r="D912" s="152"/>
      <c r="E912" s="289"/>
      <c r="F912" s="288"/>
      <c r="G912" s="152"/>
      <c r="H912" s="289"/>
      <c r="I912" s="289"/>
      <c r="J912" s="152"/>
      <c r="K912" s="152"/>
      <c r="L912" s="156"/>
      <c r="M912" s="152"/>
      <c r="N912" s="152"/>
      <c r="O912" s="152"/>
      <c r="P912" s="152"/>
      <c r="Q912" s="152"/>
      <c r="R912" s="152"/>
      <c r="S912" s="152"/>
      <c r="T912" s="152"/>
      <c r="U912" s="152"/>
      <c r="V912" s="152"/>
      <c r="W912" s="281"/>
      <c r="X912" s="281"/>
      <c r="Y912" s="281"/>
      <c r="Z912" s="281"/>
      <c r="AA912" s="281"/>
      <c r="AB912" s="281"/>
      <c r="AC912" s="281"/>
      <c r="AD912" s="170"/>
      <c r="AE912" s="152"/>
      <c r="AF912" s="152"/>
      <c r="AG912" s="152"/>
      <c r="AH912" s="152"/>
      <c r="AI912" s="152"/>
      <c r="AJ912" s="152"/>
      <c r="AK912" s="152"/>
      <c r="AL912" s="152"/>
      <c r="AM912" s="152"/>
      <c r="AN912" s="152"/>
      <c r="AO912" s="152"/>
    </row>
    <row r="913" ht="12.75" customHeight="1">
      <c r="A913" s="288"/>
      <c r="B913" s="288"/>
      <c r="C913" s="288"/>
      <c r="D913" s="152"/>
      <c r="E913" s="289"/>
      <c r="F913" s="288"/>
      <c r="G913" s="152"/>
      <c r="H913" s="289"/>
      <c r="I913" s="289"/>
      <c r="J913" s="152"/>
      <c r="K913" s="152"/>
      <c r="L913" s="156"/>
      <c r="M913" s="152"/>
      <c r="N913" s="152"/>
      <c r="O913" s="152"/>
      <c r="P913" s="152"/>
      <c r="Q913" s="152"/>
      <c r="R913" s="152"/>
      <c r="S913" s="152"/>
      <c r="T913" s="152"/>
      <c r="U913" s="152"/>
      <c r="V913" s="152"/>
      <c r="W913" s="281"/>
      <c r="X913" s="281"/>
      <c r="Y913" s="281"/>
      <c r="Z913" s="281"/>
      <c r="AA913" s="281"/>
      <c r="AB913" s="281"/>
      <c r="AC913" s="281"/>
      <c r="AD913" s="170"/>
      <c r="AE913" s="152"/>
      <c r="AF913" s="152"/>
      <c r="AG913" s="152"/>
      <c r="AH913" s="152"/>
      <c r="AI913" s="152"/>
      <c r="AJ913" s="152"/>
      <c r="AK913" s="152"/>
      <c r="AL913" s="152"/>
      <c r="AM913" s="152"/>
      <c r="AN913" s="152"/>
      <c r="AO913" s="152"/>
    </row>
    <row r="914" ht="12.75" customHeight="1">
      <c r="A914" s="288"/>
      <c r="B914" s="288"/>
      <c r="C914" s="288"/>
      <c r="D914" s="152"/>
      <c r="E914" s="289"/>
      <c r="F914" s="288"/>
      <c r="G914" s="152"/>
      <c r="H914" s="289"/>
      <c r="I914" s="289"/>
      <c r="J914" s="152"/>
      <c r="K914" s="152"/>
      <c r="L914" s="156"/>
      <c r="M914" s="152"/>
      <c r="N914" s="152"/>
      <c r="O914" s="152"/>
      <c r="P914" s="152"/>
      <c r="Q914" s="152"/>
      <c r="R914" s="152"/>
      <c r="S914" s="152"/>
      <c r="T914" s="152"/>
      <c r="U914" s="152"/>
      <c r="V914" s="152"/>
      <c r="W914" s="281"/>
      <c r="X914" s="281"/>
      <c r="Y914" s="281"/>
      <c r="Z914" s="281"/>
      <c r="AA914" s="281"/>
      <c r="AB914" s="281"/>
      <c r="AC914" s="281"/>
      <c r="AD914" s="170"/>
      <c r="AE914" s="152"/>
      <c r="AF914" s="152"/>
      <c r="AG914" s="152"/>
      <c r="AH914" s="152"/>
      <c r="AI914" s="152"/>
      <c r="AJ914" s="152"/>
      <c r="AK914" s="152"/>
      <c r="AL914" s="152"/>
      <c r="AM914" s="152"/>
      <c r="AN914" s="152"/>
      <c r="AO914" s="152"/>
    </row>
    <row r="915" ht="12.75" customHeight="1">
      <c r="A915" s="288"/>
      <c r="B915" s="288"/>
      <c r="C915" s="288"/>
      <c r="D915" s="152"/>
      <c r="E915" s="289"/>
      <c r="F915" s="288"/>
      <c r="G915" s="152"/>
      <c r="H915" s="289"/>
      <c r="I915" s="289"/>
      <c r="J915" s="152"/>
      <c r="K915" s="152"/>
      <c r="L915" s="156"/>
      <c r="M915" s="152"/>
      <c r="N915" s="152"/>
      <c r="O915" s="152"/>
      <c r="P915" s="152"/>
      <c r="Q915" s="152"/>
      <c r="R915" s="152"/>
      <c r="S915" s="152"/>
      <c r="T915" s="152"/>
      <c r="U915" s="152"/>
      <c r="V915" s="152"/>
      <c r="W915" s="281"/>
      <c r="X915" s="281"/>
      <c r="Y915" s="281"/>
      <c r="Z915" s="281"/>
      <c r="AA915" s="281"/>
      <c r="AB915" s="281"/>
      <c r="AC915" s="281"/>
      <c r="AD915" s="170"/>
      <c r="AE915" s="152"/>
      <c r="AF915" s="152"/>
      <c r="AG915" s="152"/>
      <c r="AH915" s="152"/>
      <c r="AI915" s="152"/>
      <c r="AJ915" s="152"/>
      <c r="AK915" s="152"/>
      <c r="AL915" s="152"/>
      <c r="AM915" s="152"/>
      <c r="AN915" s="152"/>
      <c r="AO915" s="152"/>
    </row>
    <row r="916" ht="12.75" customHeight="1">
      <c r="A916" s="288"/>
      <c r="B916" s="288"/>
      <c r="C916" s="288"/>
      <c r="D916" s="152"/>
      <c r="E916" s="289"/>
      <c r="F916" s="288"/>
      <c r="G916" s="152"/>
      <c r="H916" s="289"/>
      <c r="I916" s="289"/>
      <c r="J916" s="152"/>
      <c r="K916" s="152"/>
      <c r="L916" s="156"/>
      <c r="M916" s="152"/>
      <c r="N916" s="152"/>
      <c r="O916" s="152"/>
      <c r="P916" s="152"/>
      <c r="Q916" s="152"/>
      <c r="R916" s="152"/>
      <c r="S916" s="152"/>
      <c r="T916" s="152"/>
      <c r="U916" s="152"/>
      <c r="V916" s="152"/>
      <c r="W916" s="281"/>
      <c r="X916" s="281"/>
      <c r="Y916" s="281"/>
      <c r="Z916" s="281"/>
      <c r="AA916" s="281"/>
      <c r="AB916" s="281"/>
      <c r="AC916" s="281"/>
      <c r="AD916" s="170"/>
      <c r="AE916" s="152"/>
      <c r="AF916" s="152"/>
      <c r="AG916" s="152"/>
      <c r="AH916" s="152"/>
      <c r="AI916" s="152"/>
      <c r="AJ916" s="152"/>
      <c r="AK916" s="152"/>
      <c r="AL916" s="152"/>
      <c r="AM916" s="152"/>
      <c r="AN916" s="152"/>
      <c r="AO916" s="152"/>
    </row>
    <row r="917" ht="12.75" customHeight="1">
      <c r="A917" s="288"/>
      <c r="B917" s="288"/>
      <c r="C917" s="288"/>
      <c r="D917" s="152"/>
      <c r="E917" s="289"/>
      <c r="F917" s="288"/>
      <c r="G917" s="152"/>
      <c r="H917" s="289"/>
      <c r="I917" s="289"/>
      <c r="J917" s="152"/>
      <c r="K917" s="152"/>
      <c r="L917" s="156"/>
      <c r="M917" s="152"/>
      <c r="N917" s="152"/>
      <c r="O917" s="152"/>
      <c r="P917" s="152"/>
      <c r="Q917" s="152"/>
      <c r="R917" s="152"/>
      <c r="S917" s="152"/>
      <c r="T917" s="152"/>
      <c r="U917" s="152"/>
      <c r="V917" s="152"/>
      <c r="W917" s="281"/>
      <c r="X917" s="281"/>
      <c r="Y917" s="281"/>
      <c r="Z917" s="281"/>
      <c r="AA917" s="281"/>
      <c r="AB917" s="281"/>
      <c r="AC917" s="281"/>
      <c r="AD917" s="170"/>
      <c r="AE917" s="152"/>
      <c r="AF917" s="152"/>
      <c r="AG917" s="152"/>
      <c r="AH917" s="152"/>
      <c r="AI917" s="152"/>
      <c r="AJ917" s="152"/>
      <c r="AK917" s="152"/>
      <c r="AL917" s="152"/>
      <c r="AM917" s="152"/>
      <c r="AN917" s="152"/>
      <c r="AO917" s="152"/>
    </row>
    <row r="918" ht="12.75" customHeight="1">
      <c r="A918" s="288"/>
      <c r="B918" s="288"/>
      <c r="C918" s="288"/>
      <c r="D918" s="152"/>
      <c r="E918" s="289"/>
      <c r="F918" s="288"/>
      <c r="G918" s="152"/>
      <c r="H918" s="289"/>
      <c r="I918" s="289"/>
      <c r="J918" s="152"/>
      <c r="K918" s="152"/>
      <c r="L918" s="156"/>
      <c r="M918" s="152"/>
      <c r="N918" s="152"/>
      <c r="O918" s="152"/>
      <c r="P918" s="152"/>
      <c r="Q918" s="152"/>
      <c r="R918" s="152"/>
      <c r="S918" s="152"/>
      <c r="T918" s="152"/>
      <c r="U918" s="152"/>
      <c r="V918" s="152"/>
      <c r="W918" s="281"/>
      <c r="X918" s="281"/>
      <c r="Y918" s="281"/>
      <c r="Z918" s="281"/>
      <c r="AA918" s="281"/>
      <c r="AB918" s="281"/>
      <c r="AC918" s="281"/>
      <c r="AD918" s="170"/>
      <c r="AE918" s="152"/>
      <c r="AF918" s="152"/>
      <c r="AG918" s="152"/>
      <c r="AH918" s="152"/>
      <c r="AI918" s="152"/>
      <c r="AJ918" s="152"/>
      <c r="AK918" s="152"/>
      <c r="AL918" s="152"/>
      <c r="AM918" s="152"/>
      <c r="AN918" s="152"/>
      <c r="AO918" s="152"/>
    </row>
    <row r="919" ht="12.75" customHeight="1">
      <c r="A919" s="288"/>
      <c r="B919" s="288"/>
      <c r="C919" s="288"/>
      <c r="D919" s="152"/>
      <c r="E919" s="289"/>
      <c r="F919" s="288"/>
      <c r="G919" s="152"/>
      <c r="H919" s="289"/>
      <c r="I919" s="289"/>
      <c r="J919" s="152"/>
      <c r="K919" s="152"/>
      <c r="L919" s="156"/>
      <c r="M919" s="152"/>
      <c r="N919" s="152"/>
      <c r="O919" s="152"/>
      <c r="P919" s="152"/>
      <c r="Q919" s="152"/>
      <c r="R919" s="152"/>
      <c r="S919" s="152"/>
      <c r="T919" s="152"/>
      <c r="U919" s="152"/>
      <c r="V919" s="152"/>
      <c r="W919" s="281"/>
      <c r="X919" s="281"/>
      <c r="Y919" s="281"/>
      <c r="Z919" s="281"/>
      <c r="AA919" s="281"/>
      <c r="AB919" s="281"/>
      <c r="AC919" s="281"/>
      <c r="AD919" s="170"/>
      <c r="AE919" s="152"/>
      <c r="AF919" s="152"/>
      <c r="AG919" s="152"/>
      <c r="AH919" s="152"/>
      <c r="AI919" s="152"/>
      <c r="AJ919" s="152"/>
      <c r="AK919" s="152"/>
      <c r="AL919" s="152"/>
      <c r="AM919" s="152"/>
      <c r="AN919" s="152"/>
      <c r="AO919" s="152"/>
    </row>
    <row r="920" ht="12.75" customHeight="1">
      <c r="A920" s="288"/>
      <c r="B920" s="288"/>
      <c r="C920" s="288"/>
      <c r="D920" s="152"/>
      <c r="E920" s="289"/>
      <c r="F920" s="288"/>
      <c r="G920" s="152"/>
      <c r="H920" s="289"/>
      <c r="I920" s="289"/>
      <c r="J920" s="152"/>
      <c r="K920" s="152"/>
      <c r="L920" s="156"/>
      <c r="M920" s="152"/>
      <c r="N920" s="152"/>
      <c r="O920" s="152"/>
      <c r="P920" s="152"/>
      <c r="Q920" s="152"/>
      <c r="R920" s="152"/>
      <c r="S920" s="152"/>
      <c r="T920" s="152"/>
      <c r="U920" s="152"/>
      <c r="V920" s="152"/>
      <c r="W920" s="281"/>
      <c r="X920" s="281"/>
      <c r="Y920" s="281"/>
      <c r="Z920" s="281"/>
      <c r="AA920" s="281"/>
      <c r="AB920" s="281"/>
      <c r="AC920" s="281"/>
      <c r="AD920" s="170"/>
      <c r="AE920" s="152"/>
      <c r="AF920" s="152"/>
      <c r="AG920" s="152"/>
      <c r="AH920" s="152"/>
      <c r="AI920" s="152"/>
      <c r="AJ920" s="152"/>
      <c r="AK920" s="152"/>
      <c r="AL920" s="152"/>
      <c r="AM920" s="152"/>
      <c r="AN920" s="152"/>
      <c r="AO920" s="152"/>
    </row>
    <row r="921" ht="12.75" customHeight="1">
      <c r="A921" s="288"/>
      <c r="B921" s="288"/>
      <c r="C921" s="288"/>
      <c r="D921" s="152"/>
      <c r="E921" s="289"/>
      <c r="F921" s="288"/>
      <c r="G921" s="152"/>
      <c r="H921" s="289"/>
      <c r="I921" s="289"/>
      <c r="J921" s="152"/>
      <c r="K921" s="152"/>
      <c r="L921" s="156"/>
      <c r="M921" s="152"/>
      <c r="N921" s="152"/>
      <c r="O921" s="152"/>
      <c r="P921" s="152"/>
      <c r="Q921" s="152"/>
      <c r="R921" s="152"/>
      <c r="S921" s="152"/>
      <c r="T921" s="152"/>
      <c r="U921" s="152"/>
      <c r="V921" s="152"/>
      <c r="W921" s="281"/>
      <c r="X921" s="281"/>
      <c r="Y921" s="281"/>
      <c r="Z921" s="281"/>
      <c r="AA921" s="281"/>
      <c r="AB921" s="281"/>
      <c r="AC921" s="281"/>
      <c r="AD921" s="170"/>
      <c r="AE921" s="152"/>
      <c r="AF921" s="152"/>
      <c r="AG921" s="152"/>
      <c r="AH921" s="152"/>
      <c r="AI921" s="152"/>
      <c r="AJ921" s="152"/>
      <c r="AK921" s="152"/>
      <c r="AL921" s="152"/>
      <c r="AM921" s="152"/>
      <c r="AN921" s="152"/>
      <c r="AO921" s="152"/>
    </row>
    <row r="922" ht="12.75" customHeight="1">
      <c r="A922" s="288"/>
      <c r="B922" s="288"/>
      <c r="C922" s="288"/>
      <c r="D922" s="152"/>
      <c r="E922" s="289"/>
      <c r="F922" s="288"/>
      <c r="G922" s="152"/>
      <c r="H922" s="289"/>
      <c r="I922" s="289"/>
      <c r="J922" s="152"/>
      <c r="K922" s="152"/>
      <c r="L922" s="156"/>
      <c r="M922" s="152"/>
      <c r="N922" s="152"/>
      <c r="O922" s="152"/>
      <c r="P922" s="152"/>
      <c r="Q922" s="152"/>
      <c r="R922" s="152"/>
      <c r="S922" s="152"/>
      <c r="T922" s="152"/>
      <c r="U922" s="152"/>
      <c r="V922" s="152"/>
      <c r="W922" s="281"/>
      <c r="X922" s="281"/>
      <c r="Y922" s="281"/>
      <c r="Z922" s="281"/>
      <c r="AA922" s="281"/>
      <c r="AB922" s="281"/>
      <c r="AC922" s="281"/>
      <c r="AD922" s="170"/>
      <c r="AE922" s="152"/>
      <c r="AF922" s="152"/>
      <c r="AG922" s="152"/>
      <c r="AH922" s="152"/>
      <c r="AI922" s="152"/>
      <c r="AJ922" s="152"/>
      <c r="AK922" s="152"/>
      <c r="AL922" s="152"/>
      <c r="AM922" s="152"/>
      <c r="AN922" s="152"/>
      <c r="AO922" s="152"/>
    </row>
    <row r="923" ht="12.75" customHeight="1">
      <c r="A923" s="288"/>
      <c r="B923" s="288"/>
      <c r="C923" s="288"/>
      <c r="D923" s="152"/>
      <c r="E923" s="289"/>
      <c r="F923" s="288"/>
      <c r="G923" s="152"/>
      <c r="H923" s="289"/>
      <c r="I923" s="289"/>
      <c r="J923" s="152"/>
      <c r="K923" s="152"/>
      <c r="L923" s="156"/>
      <c r="M923" s="152"/>
      <c r="N923" s="152"/>
      <c r="O923" s="152"/>
      <c r="P923" s="152"/>
      <c r="Q923" s="152"/>
      <c r="R923" s="152"/>
      <c r="S923" s="152"/>
      <c r="T923" s="152"/>
      <c r="U923" s="152"/>
      <c r="V923" s="152"/>
      <c r="W923" s="281"/>
      <c r="X923" s="281"/>
      <c r="Y923" s="281"/>
      <c r="Z923" s="281"/>
      <c r="AA923" s="281"/>
      <c r="AB923" s="281"/>
      <c r="AC923" s="281"/>
      <c r="AD923" s="170"/>
      <c r="AE923" s="152"/>
      <c r="AF923" s="152"/>
      <c r="AG923" s="152"/>
      <c r="AH923" s="152"/>
      <c r="AI923" s="152"/>
      <c r="AJ923" s="152"/>
      <c r="AK923" s="152"/>
      <c r="AL923" s="152"/>
      <c r="AM923" s="152"/>
      <c r="AN923" s="152"/>
      <c r="AO923" s="152"/>
    </row>
    <row r="924" ht="12.75" customHeight="1">
      <c r="A924" s="288"/>
      <c r="B924" s="288"/>
      <c r="C924" s="288"/>
      <c r="D924" s="152"/>
      <c r="E924" s="289"/>
      <c r="F924" s="288"/>
      <c r="G924" s="152"/>
      <c r="H924" s="289"/>
      <c r="I924" s="289"/>
      <c r="J924" s="152"/>
      <c r="K924" s="152"/>
      <c r="L924" s="156"/>
      <c r="M924" s="152"/>
      <c r="N924" s="152"/>
      <c r="O924" s="152"/>
      <c r="P924" s="152"/>
      <c r="Q924" s="152"/>
      <c r="R924" s="152"/>
      <c r="S924" s="152"/>
      <c r="T924" s="152"/>
      <c r="U924" s="152"/>
      <c r="V924" s="152"/>
      <c r="W924" s="281"/>
      <c r="X924" s="281"/>
      <c r="Y924" s="281"/>
      <c r="Z924" s="281"/>
      <c r="AA924" s="281"/>
      <c r="AB924" s="281"/>
      <c r="AC924" s="281"/>
      <c r="AD924" s="170"/>
      <c r="AE924" s="152"/>
      <c r="AF924" s="152"/>
      <c r="AG924" s="152"/>
      <c r="AH924" s="152"/>
      <c r="AI924" s="152"/>
      <c r="AJ924" s="152"/>
      <c r="AK924" s="152"/>
      <c r="AL924" s="152"/>
      <c r="AM924" s="152"/>
      <c r="AN924" s="152"/>
      <c r="AO924" s="152"/>
    </row>
    <row r="925" ht="12.75" customHeight="1">
      <c r="A925" s="288"/>
      <c r="B925" s="288"/>
      <c r="C925" s="288"/>
      <c r="D925" s="152"/>
      <c r="E925" s="289"/>
      <c r="F925" s="288"/>
      <c r="G925" s="152"/>
      <c r="H925" s="289"/>
      <c r="I925" s="289"/>
      <c r="J925" s="152"/>
      <c r="K925" s="152"/>
      <c r="L925" s="156"/>
      <c r="M925" s="152"/>
      <c r="N925" s="152"/>
      <c r="O925" s="152"/>
      <c r="P925" s="152"/>
      <c r="Q925" s="152"/>
      <c r="R925" s="152"/>
      <c r="S925" s="152"/>
      <c r="T925" s="152"/>
      <c r="U925" s="152"/>
      <c r="V925" s="152"/>
      <c r="W925" s="281"/>
      <c r="X925" s="281"/>
      <c r="Y925" s="281"/>
      <c r="Z925" s="281"/>
      <c r="AA925" s="281"/>
      <c r="AB925" s="281"/>
      <c r="AC925" s="281"/>
      <c r="AD925" s="170"/>
      <c r="AE925" s="152"/>
      <c r="AF925" s="152"/>
      <c r="AG925" s="152"/>
      <c r="AH925" s="152"/>
      <c r="AI925" s="152"/>
      <c r="AJ925" s="152"/>
      <c r="AK925" s="152"/>
      <c r="AL925" s="152"/>
      <c r="AM925" s="152"/>
      <c r="AN925" s="152"/>
      <c r="AO925" s="152"/>
    </row>
    <row r="926" ht="12.75" customHeight="1">
      <c r="A926" s="288"/>
      <c r="B926" s="288"/>
      <c r="C926" s="288"/>
      <c r="D926" s="152"/>
      <c r="E926" s="289"/>
      <c r="F926" s="288"/>
      <c r="G926" s="152"/>
      <c r="H926" s="289"/>
      <c r="I926" s="289"/>
      <c r="J926" s="152"/>
      <c r="K926" s="152"/>
      <c r="L926" s="156"/>
      <c r="M926" s="152"/>
      <c r="N926" s="152"/>
      <c r="O926" s="152"/>
      <c r="P926" s="152"/>
      <c r="Q926" s="152"/>
      <c r="R926" s="152"/>
      <c r="S926" s="152"/>
      <c r="T926" s="152"/>
      <c r="U926" s="152"/>
      <c r="V926" s="152"/>
      <c r="W926" s="281"/>
      <c r="X926" s="281"/>
      <c r="Y926" s="281"/>
      <c r="Z926" s="281"/>
      <c r="AA926" s="281"/>
      <c r="AB926" s="281"/>
      <c r="AC926" s="281"/>
      <c r="AD926" s="170"/>
      <c r="AE926" s="152"/>
      <c r="AF926" s="152"/>
      <c r="AG926" s="152"/>
      <c r="AH926" s="152"/>
      <c r="AI926" s="152"/>
      <c r="AJ926" s="152"/>
      <c r="AK926" s="152"/>
      <c r="AL926" s="152"/>
      <c r="AM926" s="152"/>
      <c r="AN926" s="152"/>
      <c r="AO926" s="152"/>
    </row>
    <row r="927" ht="12.75" customHeight="1">
      <c r="A927" s="288"/>
      <c r="B927" s="288"/>
      <c r="C927" s="288"/>
      <c r="D927" s="152"/>
      <c r="E927" s="289"/>
      <c r="F927" s="288"/>
      <c r="G927" s="152"/>
      <c r="H927" s="289"/>
      <c r="I927" s="289"/>
      <c r="J927" s="152"/>
      <c r="K927" s="152"/>
      <c r="L927" s="156"/>
      <c r="M927" s="152"/>
      <c r="N927" s="152"/>
      <c r="O927" s="152"/>
      <c r="P927" s="152"/>
      <c r="Q927" s="152"/>
      <c r="R927" s="152"/>
      <c r="S927" s="152"/>
      <c r="T927" s="152"/>
      <c r="U927" s="152"/>
      <c r="V927" s="152"/>
      <c r="W927" s="281"/>
      <c r="X927" s="281"/>
      <c r="Y927" s="281"/>
      <c r="Z927" s="281"/>
      <c r="AA927" s="281"/>
      <c r="AB927" s="281"/>
      <c r="AC927" s="281"/>
      <c r="AD927" s="170"/>
      <c r="AE927" s="152"/>
      <c r="AF927" s="152"/>
      <c r="AG927" s="152"/>
      <c r="AH927" s="152"/>
      <c r="AI927" s="152"/>
      <c r="AJ927" s="152"/>
      <c r="AK927" s="152"/>
      <c r="AL927" s="152"/>
      <c r="AM927" s="152"/>
      <c r="AN927" s="152"/>
      <c r="AO927" s="152"/>
    </row>
    <row r="928" ht="12.75" customHeight="1">
      <c r="A928" s="288"/>
      <c r="B928" s="288"/>
      <c r="C928" s="288"/>
      <c r="D928" s="152"/>
      <c r="E928" s="289"/>
      <c r="F928" s="288"/>
      <c r="G928" s="152"/>
      <c r="H928" s="289"/>
      <c r="I928" s="289"/>
      <c r="J928" s="152"/>
      <c r="K928" s="152"/>
      <c r="L928" s="156"/>
      <c r="M928" s="152"/>
      <c r="N928" s="152"/>
      <c r="O928" s="152"/>
      <c r="P928" s="152"/>
      <c r="Q928" s="152"/>
      <c r="R928" s="152"/>
      <c r="S928" s="152"/>
      <c r="T928" s="152"/>
      <c r="U928" s="152"/>
      <c r="V928" s="152"/>
      <c r="W928" s="281"/>
      <c r="X928" s="281"/>
      <c r="Y928" s="281"/>
      <c r="Z928" s="281"/>
      <c r="AA928" s="281"/>
      <c r="AB928" s="281"/>
      <c r="AC928" s="281"/>
      <c r="AD928" s="170"/>
      <c r="AE928" s="152"/>
      <c r="AF928" s="152"/>
      <c r="AG928" s="152"/>
      <c r="AH928" s="152"/>
      <c r="AI928" s="152"/>
      <c r="AJ928" s="152"/>
      <c r="AK928" s="152"/>
      <c r="AL928" s="152"/>
      <c r="AM928" s="152"/>
      <c r="AN928" s="152"/>
      <c r="AO928" s="152"/>
    </row>
    <row r="929" ht="12.75" customHeight="1">
      <c r="A929" s="288"/>
      <c r="B929" s="288"/>
      <c r="C929" s="288"/>
      <c r="D929" s="152"/>
      <c r="E929" s="289"/>
      <c r="F929" s="288"/>
      <c r="G929" s="152"/>
      <c r="H929" s="289"/>
      <c r="I929" s="289"/>
      <c r="J929" s="152"/>
      <c r="K929" s="152"/>
      <c r="L929" s="156"/>
      <c r="M929" s="152"/>
      <c r="N929" s="152"/>
      <c r="O929" s="152"/>
      <c r="P929" s="152"/>
      <c r="Q929" s="152"/>
      <c r="R929" s="152"/>
      <c r="S929" s="152"/>
      <c r="T929" s="152"/>
      <c r="U929" s="152"/>
      <c r="V929" s="152"/>
      <c r="W929" s="281"/>
      <c r="X929" s="281"/>
      <c r="Y929" s="281"/>
      <c r="Z929" s="281"/>
      <c r="AA929" s="281"/>
      <c r="AB929" s="281"/>
      <c r="AC929" s="281"/>
      <c r="AD929" s="170"/>
      <c r="AE929" s="152"/>
      <c r="AF929" s="152"/>
      <c r="AG929" s="152"/>
      <c r="AH929" s="152"/>
      <c r="AI929" s="152"/>
      <c r="AJ929" s="152"/>
      <c r="AK929" s="152"/>
      <c r="AL929" s="152"/>
      <c r="AM929" s="152"/>
      <c r="AN929" s="152"/>
      <c r="AO929" s="152"/>
    </row>
    <row r="930" ht="12.75" customHeight="1">
      <c r="A930" s="288"/>
      <c r="B930" s="288"/>
      <c r="C930" s="288"/>
      <c r="D930" s="152"/>
      <c r="E930" s="289"/>
      <c r="F930" s="288"/>
      <c r="G930" s="152"/>
      <c r="H930" s="289"/>
      <c r="I930" s="289"/>
      <c r="J930" s="152"/>
      <c r="K930" s="152"/>
      <c r="L930" s="156"/>
      <c r="M930" s="152"/>
      <c r="N930" s="152"/>
      <c r="O930" s="152"/>
      <c r="P930" s="152"/>
      <c r="Q930" s="152"/>
      <c r="R930" s="152"/>
      <c r="S930" s="152"/>
      <c r="T930" s="152"/>
      <c r="U930" s="152"/>
      <c r="V930" s="152"/>
      <c r="W930" s="281"/>
      <c r="X930" s="281"/>
      <c r="Y930" s="281"/>
      <c r="Z930" s="281"/>
      <c r="AA930" s="281"/>
      <c r="AB930" s="281"/>
      <c r="AC930" s="281"/>
      <c r="AD930" s="170"/>
      <c r="AE930" s="152"/>
      <c r="AF930" s="152"/>
      <c r="AG930" s="152"/>
      <c r="AH930" s="152"/>
      <c r="AI930" s="152"/>
      <c r="AJ930" s="152"/>
      <c r="AK930" s="152"/>
      <c r="AL930" s="152"/>
      <c r="AM930" s="152"/>
      <c r="AN930" s="152"/>
      <c r="AO930" s="152"/>
    </row>
    <row r="931" ht="12.75" customHeight="1">
      <c r="A931" s="288"/>
      <c r="B931" s="288"/>
      <c r="C931" s="288"/>
      <c r="D931" s="152"/>
      <c r="E931" s="289"/>
      <c r="F931" s="288"/>
      <c r="G931" s="152"/>
      <c r="H931" s="289"/>
      <c r="I931" s="289"/>
      <c r="J931" s="152"/>
      <c r="K931" s="152"/>
      <c r="L931" s="156"/>
      <c r="M931" s="152"/>
      <c r="N931" s="152"/>
      <c r="O931" s="152"/>
      <c r="P931" s="152"/>
      <c r="Q931" s="152"/>
      <c r="R931" s="152"/>
      <c r="S931" s="152"/>
      <c r="T931" s="152"/>
      <c r="U931" s="152"/>
      <c r="V931" s="152"/>
      <c r="W931" s="281"/>
      <c r="X931" s="281"/>
      <c r="Y931" s="281"/>
      <c r="Z931" s="281"/>
      <c r="AA931" s="281"/>
      <c r="AB931" s="281"/>
      <c r="AC931" s="281"/>
      <c r="AD931" s="170"/>
      <c r="AE931" s="152"/>
      <c r="AF931" s="152"/>
      <c r="AG931" s="152"/>
      <c r="AH931" s="152"/>
      <c r="AI931" s="152"/>
      <c r="AJ931" s="152"/>
      <c r="AK931" s="152"/>
      <c r="AL931" s="152"/>
      <c r="AM931" s="152"/>
      <c r="AN931" s="152"/>
      <c r="AO931" s="152"/>
    </row>
    <row r="932" ht="12.75" customHeight="1">
      <c r="A932" s="288"/>
      <c r="B932" s="288"/>
      <c r="C932" s="288"/>
      <c r="D932" s="152"/>
      <c r="E932" s="289"/>
      <c r="F932" s="288"/>
      <c r="G932" s="152"/>
      <c r="H932" s="289"/>
      <c r="I932" s="289"/>
      <c r="J932" s="152"/>
      <c r="K932" s="152"/>
      <c r="L932" s="156"/>
      <c r="M932" s="152"/>
      <c r="N932" s="152"/>
      <c r="O932" s="152"/>
      <c r="P932" s="152"/>
      <c r="Q932" s="152"/>
      <c r="R932" s="152"/>
      <c r="S932" s="152"/>
      <c r="T932" s="152"/>
      <c r="U932" s="152"/>
      <c r="V932" s="152"/>
      <c r="W932" s="281"/>
      <c r="X932" s="281"/>
      <c r="Y932" s="281"/>
      <c r="Z932" s="281"/>
      <c r="AA932" s="281"/>
      <c r="AB932" s="281"/>
      <c r="AC932" s="281"/>
      <c r="AD932" s="170"/>
      <c r="AE932" s="152"/>
      <c r="AF932" s="152"/>
      <c r="AG932" s="152"/>
      <c r="AH932" s="152"/>
      <c r="AI932" s="152"/>
      <c r="AJ932" s="152"/>
      <c r="AK932" s="152"/>
      <c r="AL932" s="152"/>
      <c r="AM932" s="152"/>
      <c r="AN932" s="152"/>
      <c r="AO932" s="152"/>
    </row>
    <row r="933" ht="12.75" customHeight="1">
      <c r="A933" s="288"/>
      <c r="B933" s="288"/>
      <c r="C933" s="288"/>
      <c r="D933" s="152"/>
      <c r="E933" s="289"/>
      <c r="F933" s="288"/>
      <c r="G933" s="152"/>
      <c r="H933" s="289"/>
      <c r="I933" s="289"/>
      <c r="J933" s="152"/>
      <c r="K933" s="152"/>
      <c r="L933" s="156"/>
      <c r="M933" s="152"/>
      <c r="N933" s="152"/>
      <c r="O933" s="152"/>
      <c r="P933" s="152"/>
      <c r="Q933" s="152"/>
      <c r="R933" s="152"/>
      <c r="S933" s="152"/>
      <c r="T933" s="152"/>
      <c r="U933" s="152"/>
      <c r="V933" s="152"/>
      <c r="W933" s="281"/>
      <c r="X933" s="281"/>
      <c r="Y933" s="281"/>
      <c r="Z933" s="281"/>
      <c r="AA933" s="281"/>
      <c r="AB933" s="281"/>
      <c r="AC933" s="281"/>
      <c r="AD933" s="170"/>
      <c r="AE933" s="152"/>
      <c r="AF933" s="152"/>
      <c r="AG933" s="152"/>
      <c r="AH933" s="152"/>
      <c r="AI933" s="152"/>
      <c r="AJ933" s="152"/>
      <c r="AK933" s="152"/>
      <c r="AL933" s="152"/>
      <c r="AM933" s="152"/>
      <c r="AN933" s="152"/>
      <c r="AO933" s="152"/>
    </row>
    <row r="934" ht="12.75" customHeight="1">
      <c r="A934" s="288"/>
      <c r="B934" s="288"/>
      <c r="C934" s="288"/>
      <c r="D934" s="152"/>
      <c r="E934" s="289"/>
      <c r="F934" s="288"/>
      <c r="G934" s="152"/>
      <c r="H934" s="289"/>
      <c r="I934" s="289"/>
      <c r="J934" s="152"/>
      <c r="K934" s="152"/>
      <c r="L934" s="156"/>
      <c r="M934" s="152"/>
      <c r="N934" s="152"/>
      <c r="O934" s="152"/>
      <c r="P934" s="152"/>
      <c r="Q934" s="152"/>
      <c r="R934" s="152"/>
      <c r="S934" s="152"/>
      <c r="T934" s="152"/>
      <c r="U934" s="152"/>
      <c r="V934" s="152"/>
      <c r="W934" s="281"/>
      <c r="X934" s="281"/>
      <c r="Y934" s="281"/>
      <c r="Z934" s="281"/>
      <c r="AA934" s="281"/>
      <c r="AB934" s="281"/>
      <c r="AC934" s="281"/>
      <c r="AD934" s="170"/>
      <c r="AE934" s="152"/>
      <c r="AF934" s="152"/>
      <c r="AG934" s="152"/>
      <c r="AH934" s="152"/>
      <c r="AI934" s="152"/>
      <c r="AJ934" s="152"/>
      <c r="AK934" s="152"/>
      <c r="AL934" s="152"/>
      <c r="AM934" s="152"/>
      <c r="AN934" s="152"/>
      <c r="AO934" s="152"/>
    </row>
    <row r="935" ht="12.75" customHeight="1">
      <c r="A935" s="288"/>
      <c r="B935" s="288"/>
      <c r="C935" s="288"/>
      <c r="D935" s="152"/>
      <c r="E935" s="289"/>
      <c r="F935" s="288"/>
      <c r="G935" s="152"/>
      <c r="H935" s="289"/>
      <c r="I935" s="289"/>
      <c r="J935" s="152"/>
      <c r="K935" s="152"/>
      <c r="L935" s="156"/>
      <c r="M935" s="152"/>
      <c r="N935" s="152"/>
      <c r="O935" s="152"/>
      <c r="P935" s="152"/>
      <c r="Q935" s="152"/>
      <c r="R935" s="152"/>
      <c r="S935" s="152"/>
      <c r="T935" s="152"/>
      <c r="U935" s="152"/>
      <c r="V935" s="152"/>
      <c r="W935" s="281"/>
      <c r="X935" s="281"/>
      <c r="Y935" s="281"/>
      <c r="Z935" s="281"/>
      <c r="AA935" s="281"/>
      <c r="AB935" s="281"/>
      <c r="AC935" s="281"/>
      <c r="AD935" s="170"/>
      <c r="AE935" s="152"/>
      <c r="AF935" s="152"/>
      <c r="AG935" s="152"/>
      <c r="AH935" s="152"/>
      <c r="AI935" s="152"/>
      <c r="AJ935" s="152"/>
      <c r="AK935" s="152"/>
      <c r="AL935" s="152"/>
      <c r="AM935" s="152"/>
      <c r="AN935" s="152"/>
      <c r="AO935" s="152"/>
    </row>
    <row r="936" ht="12.75" customHeight="1">
      <c r="A936" s="288"/>
      <c r="B936" s="288"/>
      <c r="C936" s="288"/>
      <c r="D936" s="152"/>
      <c r="E936" s="289"/>
      <c r="F936" s="288"/>
      <c r="G936" s="152"/>
      <c r="H936" s="289"/>
      <c r="I936" s="289"/>
      <c r="J936" s="152"/>
      <c r="K936" s="152"/>
      <c r="L936" s="156"/>
      <c r="M936" s="152"/>
      <c r="N936" s="152"/>
      <c r="O936" s="152"/>
      <c r="P936" s="152"/>
      <c r="Q936" s="152"/>
      <c r="R936" s="152"/>
      <c r="S936" s="152"/>
      <c r="T936" s="152"/>
      <c r="U936" s="152"/>
      <c r="V936" s="152"/>
      <c r="W936" s="281"/>
      <c r="X936" s="281"/>
      <c r="Y936" s="281"/>
      <c r="Z936" s="281"/>
      <c r="AA936" s="281"/>
      <c r="AB936" s="281"/>
      <c r="AC936" s="281"/>
      <c r="AD936" s="170"/>
      <c r="AE936" s="152"/>
      <c r="AF936" s="152"/>
      <c r="AG936" s="152"/>
      <c r="AH936" s="152"/>
      <c r="AI936" s="152"/>
      <c r="AJ936" s="152"/>
      <c r="AK936" s="152"/>
      <c r="AL936" s="152"/>
      <c r="AM936" s="152"/>
      <c r="AN936" s="152"/>
      <c r="AO936" s="152"/>
    </row>
    <row r="937" ht="12.75" customHeight="1">
      <c r="A937" s="288"/>
      <c r="B937" s="288"/>
      <c r="C937" s="288"/>
      <c r="D937" s="152"/>
      <c r="E937" s="289"/>
      <c r="F937" s="288"/>
      <c r="G937" s="152"/>
      <c r="H937" s="289"/>
      <c r="I937" s="289"/>
      <c r="J937" s="152"/>
      <c r="K937" s="152"/>
      <c r="L937" s="156"/>
      <c r="M937" s="152"/>
      <c r="N937" s="152"/>
      <c r="O937" s="152"/>
      <c r="P937" s="152"/>
      <c r="Q937" s="152"/>
      <c r="R937" s="152"/>
      <c r="S937" s="152"/>
      <c r="T937" s="152"/>
      <c r="U937" s="152"/>
      <c r="V937" s="152"/>
      <c r="W937" s="281"/>
      <c r="X937" s="281"/>
      <c r="Y937" s="281"/>
      <c r="Z937" s="281"/>
      <c r="AA937" s="281"/>
      <c r="AB937" s="281"/>
      <c r="AC937" s="281"/>
      <c r="AD937" s="170"/>
      <c r="AE937" s="152"/>
      <c r="AF937" s="152"/>
      <c r="AG937" s="152"/>
      <c r="AH937" s="152"/>
      <c r="AI937" s="152"/>
      <c r="AJ937" s="152"/>
      <c r="AK937" s="152"/>
      <c r="AL937" s="152"/>
      <c r="AM937" s="152"/>
      <c r="AN937" s="152"/>
      <c r="AO937" s="152"/>
    </row>
    <row r="938" ht="12.75" customHeight="1">
      <c r="A938" s="288"/>
      <c r="B938" s="288"/>
      <c r="C938" s="288"/>
      <c r="D938" s="152"/>
      <c r="E938" s="289"/>
      <c r="F938" s="288"/>
      <c r="G938" s="152"/>
      <c r="H938" s="289"/>
      <c r="I938" s="289"/>
      <c r="J938" s="152"/>
      <c r="K938" s="152"/>
      <c r="L938" s="156"/>
      <c r="M938" s="152"/>
      <c r="N938" s="152"/>
      <c r="O938" s="152"/>
      <c r="P938" s="152"/>
      <c r="Q938" s="152"/>
      <c r="R938" s="152"/>
      <c r="S938" s="152"/>
      <c r="T938" s="152"/>
      <c r="U938" s="152"/>
      <c r="V938" s="152"/>
      <c r="W938" s="281"/>
      <c r="X938" s="281"/>
      <c r="Y938" s="281"/>
      <c r="Z938" s="281"/>
      <c r="AA938" s="281"/>
      <c r="AB938" s="281"/>
      <c r="AC938" s="281"/>
      <c r="AD938" s="170"/>
      <c r="AE938" s="152"/>
      <c r="AF938" s="152"/>
      <c r="AG938" s="152"/>
      <c r="AH938" s="152"/>
      <c r="AI938" s="152"/>
      <c r="AJ938" s="152"/>
      <c r="AK938" s="152"/>
      <c r="AL938" s="152"/>
      <c r="AM938" s="152"/>
      <c r="AN938" s="152"/>
      <c r="AO938" s="152"/>
    </row>
    <row r="939" ht="12.75" customHeight="1">
      <c r="A939" s="288"/>
      <c r="B939" s="288"/>
      <c r="C939" s="288"/>
      <c r="D939" s="152"/>
      <c r="E939" s="289"/>
      <c r="F939" s="288"/>
      <c r="G939" s="152"/>
      <c r="H939" s="289"/>
      <c r="I939" s="289"/>
      <c r="J939" s="152"/>
      <c r="K939" s="152"/>
      <c r="L939" s="156"/>
      <c r="M939" s="152"/>
      <c r="N939" s="152"/>
      <c r="O939" s="152"/>
      <c r="P939" s="152"/>
      <c r="Q939" s="152"/>
      <c r="R939" s="152"/>
      <c r="S939" s="152"/>
      <c r="T939" s="152"/>
      <c r="U939" s="152"/>
      <c r="V939" s="152"/>
      <c r="W939" s="281"/>
      <c r="X939" s="281"/>
      <c r="Y939" s="281"/>
      <c r="Z939" s="281"/>
      <c r="AA939" s="281"/>
      <c r="AB939" s="281"/>
      <c r="AC939" s="281"/>
      <c r="AD939" s="170"/>
      <c r="AE939" s="152"/>
      <c r="AF939" s="152"/>
      <c r="AG939" s="152"/>
      <c r="AH939" s="152"/>
      <c r="AI939" s="152"/>
      <c r="AJ939" s="152"/>
      <c r="AK939" s="152"/>
      <c r="AL939" s="152"/>
      <c r="AM939" s="152"/>
      <c r="AN939" s="152"/>
      <c r="AO939" s="152"/>
    </row>
    <row r="940" ht="12.75" customHeight="1">
      <c r="A940" s="288"/>
      <c r="B940" s="288"/>
      <c r="C940" s="288"/>
      <c r="D940" s="152"/>
      <c r="E940" s="289"/>
      <c r="F940" s="288"/>
      <c r="G940" s="152"/>
      <c r="H940" s="289"/>
      <c r="I940" s="289"/>
      <c r="J940" s="152"/>
      <c r="K940" s="152"/>
      <c r="L940" s="156"/>
      <c r="M940" s="152"/>
      <c r="N940" s="152"/>
      <c r="O940" s="152"/>
      <c r="P940" s="152"/>
      <c r="Q940" s="152"/>
      <c r="R940" s="152"/>
      <c r="S940" s="152"/>
      <c r="T940" s="152"/>
      <c r="U940" s="152"/>
      <c r="V940" s="152"/>
      <c r="W940" s="281"/>
      <c r="X940" s="281"/>
      <c r="Y940" s="281"/>
      <c r="Z940" s="281"/>
      <c r="AA940" s="281"/>
      <c r="AB940" s="281"/>
      <c r="AC940" s="281"/>
      <c r="AD940" s="170"/>
      <c r="AE940" s="152"/>
      <c r="AF940" s="152"/>
      <c r="AG940" s="152"/>
      <c r="AH940" s="152"/>
      <c r="AI940" s="152"/>
      <c r="AJ940" s="152"/>
      <c r="AK940" s="152"/>
      <c r="AL940" s="152"/>
      <c r="AM940" s="152"/>
      <c r="AN940" s="152"/>
      <c r="AO940" s="152"/>
    </row>
    <row r="941" ht="12.75" customHeight="1">
      <c r="A941" s="288"/>
      <c r="B941" s="288"/>
      <c r="C941" s="288"/>
      <c r="D941" s="152"/>
      <c r="E941" s="289"/>
      <c r="F941" s="288"/>
      <c r="G941" s="152"/>
      <c r="H941" s="289"/>
      <c r="I941" s="289"/>
      <c r="J941" s="152"/>
      <c r="K941" s="152"/>
      <c r="L941" s="156"/>
      <c r="M941" s="152"/>
      <c r="N941" s="152"/>
      <c r="O941" s="152"/>
      <c r="P941" s="152"/>
      <c r="Q941" s="152"/>
      <c r="R941" s="152"/>
      <c r="S941" s="152"/>
      <c r="T941" s="152"/>
      <c r="U941" s="152"/>
      <c r="V941" s="152"/>
      <c r="W941" s="281"/>
      <c r="X941" s="281"/>
      <c r="Y941" s="281"/>
      <c r="Z941" s="281"/>
      <c r="AA941" s="281"/>
      <c r="AB941" s="281"/>
      <c r="AC941" s="281"/>
      <c r="AD941" s="170"/>
      <c r="AE941" s="152"/>
      <c r="AF941" s="152"/>
      <c r="AG941" s="152"/>
      <c r="AH941" s="152"/>
      <c r="AI941" s="152"/>
      <c r="AJ941" s="152"/>
      <c r="AK941" s="152"/>
      <c r="AL941" s="152"/>
      <c r="AM941" s="152"/>
      <c r="AN941" s="152"/>
      <c r="AO941" s="152"/>
    </row>
    <row r="942" ht="12.75" customHeight="1">
      <c r="A942" s="288"/>
      <c r="B942" s="288"/>
      <c r="C942" s="288"/>
      <c r="D942" s="152"/>
      <c r="E942" s="289"/>
      <c r="F942" s="288"/>
      <c r="G942" s="152"/>
      <c r="H942" s="289"/>
      <c r="I942" s="289"/>
      <c r="J942" s="152"/>
      <c r="K942" s="152"/>
      <c r="L942" s="156"/>
      <c r="M942" s="152"/>
      <c r="N942" s="152"/>
      <c r="O942" s="152"/>
      <c r="P942" s="152"/>
      <c r="Q942" s="152"/>
      <c r="R942" s="152"/>
      <c r="S942" s="152"/>
      <c r="T942" s="152"/>
      <c r="U942" s="152"/>
      <c r="V942" s="152"/>
      <c r="W942" s="281"/>
      <c r="X942" s="281"/>
      <c r="Y942" s="281"/>
      <c r="Z942" s="281"/>
      <c r="AA942" s="281"/>
      <c r="AB942" s="281"/>
      <c r="AC942" s="281"/>
      <c r="AD942" s="170"/>
      <c r="AE942" s="152"/>
      <c r="AF942" s="152"/>
      <c r="AG942" s="152"/>
      <c r="AH942" s="152"/>
      <c r="AI942" s="152"/>
      <c r="AJ942" s="152"/>
      <c r="AK942" s="152"/>
      <c r="AL942" s="152"/>
      <c r="AM942" s="152"/>
      <c r="AN942" s="152"/>
      <c r="AO942" s="152"/>
    </row>
    <row r="943" ht="12.75" customHeight="1">
      <c r="A943" s="288"/>
      <c r="B943" s="288"/>
      <c r="C943" s="288"/>
      <c r="D943" s="152"/>
      <c r="E943" s="289"/>
      <c r="F943" s="288"/>
      <c r="G943" s="152"/>
      <c r="H943" s="289"/>
      <c r="I943" s="289"/>
      <c r="J943" s="152"/>
      <c r="K943" s="152"/>
      <c r="L943" s="156"/>
      <c r="M943" s="152"/>
      <c r="N943" s="152"/>
      <c r="O943" s="152"/>
      <c r="P943" s="152"/>
      <c r="Q943" s="152"/>
      <c r="R943" s="152"/>
      <c r="S943" s="152"/>
      <c r="T943" s="152"/>
      <c r="U943" s="152"/>
      <c r="V943" s="152"/>
      <c r="W943" s="281"/>
      <c r="X943" s="281"/>
      <c r="Y943" s="281"/>
      <c r="Z943" s="281"/>
      <c r="AA943" s="281"/>
      <c r="AB943" s="281"/>
      <c r="AC943" s="281"/>
      <c r="AD943" s="170"/>
      <c r="AE943" s="152"/>
      <c r="AF943" s="152"/>
      <c r="AG943" s="152"/>
      <c r="AH943" s="152"/>
      <c r="AI943" s="152"/>
      <c r="AJ943" s="152"/>
      <c r="AK943" s="152"/>
      <c r="AL943" s="152"/>
      <c r="AM943" s="152"/>
      <c r="AN943" s="152"/>
      <c r="AO943" s="152"/>
    </row>
    <row r="944" ht="12.75" customHeight="1">
      <c r="A944" s="288"/>
      <c r="B944" s="288"/>
      <c r="C944" s="288"/>
      <c r="D944" s="152"/>
      <c r="E944" s="289"/>
      <c r="F944" s="288"/>
      <c r="G944" s="152"/>
      <c r="H944" s="289"/>
      <c r="I944" s="289"/>
      <c r="J944" s="152"/>
      <c r="K944" s="152"/>
      <c r="L944" s="156"/>
      <c r="M944" s="152"/>
      <c r="N944" s="152"/>
      <c r="O944" s="152"/>
      <c r="P944" s="152"/>
      <c r="Q944" s="152"/>
      <c r="R944" s="152"/>
      <c r="S944" s="152"/>
      <c r="T944" s="152"/>
      <c r="U944" s="152"/>
      <c r="V944" s="152"/>
      <c r="W944" s="281"/>
      <c r="X944" s="281"/>
      <c r="Y944" s="281"/>
      <c r="Z944" s="281"/>
      <c r="AA944" s="281"/>
      <c r="AB944" s="281"/>
      <c r="AC944" s="281"/>
      <c r="AD944" s="170"/>
      <c r="AE944" s="152"/>
      <c r="AF944" s="152"/>
      <c r="AG944" s="152"/>
      <c r="AH944" s="152"/>
      <c r="AI944" s="152"/>
      <c r="AJ944" s="152"/>
      <c r="AK944" s="152"/>
      <c r="AL944" s="152"/>
      <c r="AM944" s="152"/>
      <c r="AN944" s="152"/>
      <c r="AO944" s="152"/>
    </row>
    <row r="945" ht="12.75" customHeight="1">
      <c r="A945" s="288"/>
      <c r="B945" s="288"/>
      <c r="C945" s="288"/>
      <c r="D945" s="152"/>
      <c r="E945" s="289"/>
      <c r="F945" s="288"/>
      <c r="G945" s="152"/>
      <c r="H945" s="289"/>
      <c r="I945" s="289"/>
      <c r="J945" s="152"/>
      <c r="K945" s="152"/>
      <c r="L945" s="156"/>
      <c r="M945" s="152"/>
      <c r="N945" s="152"/>
      <c r="O945" s="152"/>
      <c r="P945" s="152"/>
      <c r="Q945" s="152"/>
      <c r="R945" s="152"/>
      <c r="S945" s="152"/>
      <c r="T945" s="152"/>
      <c r="U945" s="152"/>
      <c r="V945" s="152"/>
      <c r="W945" s="281"/>
      <c r="X945" s="281"/>
      <c r="Y945" s="281"/>
      <c r="Z945" s="281"/>
      <c r="AA945" s="281"/>
      <c r="AB945" s="281"/>
      <c r="AC945" s="281"/>
      <c r="AD945" s="170"/>
      <c r="AE945" s="152"/>
      <c r="AF945" s="152"/>
      <c r="AG945" s="152"/>
      <c r="AH945" s="152"/>
      <c r="AI945" s="152"/>
      <c r="AJ945" s="152"/>
      <c r="AK945" s="152"/>
      <c r="AL945" s="152"/>
      <c r="AM945" s="152"/>
      <c r="AN945" s="152"/>
      <c r="AO945" s="152"/>
    </row>
    <row r="946" ht="12.75" customHeight="1">
      <c r="A946" s="288"/>
      <c r="B946" s="288"/>
      <c r="C946" s="288"/>
      <c r="D946" s="152"/>
      <c r="E946" s="289"/>
      <c r="F946" s="288"/>
      <c r="G946" s="152"/>
      <c r="H946" s="289"/>
      <c r="I946" s="289"/>
      <c r="J946" s="152"/>
      <c r="K946" s="152"/>
      <c r="L946" s="156"/>
      <c r="M946" s="152"/>
      <c r="N946" s="152"/>
      <c r="O946" s="152"/>
      <c r="P946" s="152"/>
      <c r="Q946" s="152"/>
      <c r="R946" s="152"/>
      <c r="S946" s="152"/>
      <c r="T946" s="152"/>
      <c r="U946" s="152"/>
      <c r="V946" s="152"/>
      <c r="W946" s="281"/>
      <c r="X946" s="281"/>
      <c r="Y946" s="281"/>
      <c r="Z946" s="281"/>
      <c r="AA946" s="281"/>
      <c r="AB946" s="281"/>
      <c r="AC946" s="281"/>
      <c r="AD946" s="170"/>
      <c r="AE946" s="152"/>
      <c r="AF946" s="152"/>
      <c r="AG946" s="152"/>
      <c r="AH946" s="152"/>
      <c r="AI946" s="152"/>
      <c r="AJ946" s="152"/>
      <c r="AK946" s="152"/>
      <c r="AL946" s="152"/>
      <c r="AM946" s="152"/>
      <c r="AN946" s="152"/>
      <c r="AO946" s="152"/>
    </row>
    <row r="947" ht="12.75" customHeight="1">
      <c r="A947" s="288"/>
      <c r="B947" s="288"/>
      <c r="C947" s="288"/>
      <c r="D947" s="152"/>
      <c r="E947" s="289"/>
      <c r="F947" s="288"/>
      <c r="G947" s="152"/>
      <c r="H947" s="289"/>
      <c r="I947" s="289"/>
      <c r="J947" s="152"/>
      <c r="K947" s="152"/>
      <c r="L947" s="156"/>
      <c r="M947" s="152"/>
      <c r="N947" s="152"/>
      <c r="O947" s="152"/>
      <c r="P947" s="152"/>
      <c r="Q947" s="152"/>
      <c r="R947" s="152"/>
      <c r="S947" s="152"/>
      <c r="T947" s="152"/>
      <c r="U947" s="152"/>
      <c r="V947" s="152"/>
      <c r="W947" s="281"/>
      <c r="X947" s="281"/>
      <c r="Y947" s="281"/>
      <c r="Z947" s="281"/>
      <c r="AA947" s="281"/>
      <c r="AB947" s="281"/>
      <c r="AC947" s="281"/>
      <c r="AD947" s="170"/>
      <c r="AE947" s="152"/>
      <c r="AF947" s="152"/>
      <c r="AG947" s="152"/>
      <c r="AH947" s="152"/>
      <c r="AI947" s="152"/>
      <c r="AJ947" s="152"/>
      <c r="AK947" s="152"/>
      <c r="AL947" s="152"/>
      <c r="AM947" s="152"/>
      <c r="AN947" s="152"/>
      <c r="AO947" s="152"/>
    </row>
    <row r="948" ht="12.75" customHeight="1">
      <c r="A948" s="288"/>
      <c r="B948" s="288"/>
      <c r="C948" s="288"/>
      <c r="D948" s="152"/>
      <c r="E948" s="289"/>
      <c r="F948" s="288"/>
      <c r="G948" s="152"/>
      <c r="H948" s="289"/>
      <c r="I948" s="289"/>
      <c r="J948" s="152"/>
      <c r="K948" s="152"/>
      <c r="L948" s="156"/>
      <c r="M948" s="152"/>
      <c r="N948" s="152"/>
      <c r="O948" s="152"/>
      <c r="P948" s="152"/>
      <c r="Q948" s="152"/>
      <c r="R948" s="152"/>
      <c r="S948" s="152"/>
      <c r="T948" s="152"/>
      <c r="U948" s="152"/>
      <c r="V948" s="152"/>
      <c r="W948" s="281"/>
      <c r="X948" s="281"/>
      <c r="Y948" s="281"/>
      <c r="Z948" s="281"/>
      <c r="AA948" s="281"/>
      <c r="AB948" s="281"/>
      <c r="AC948" s="281"/>
      <c r="AD948" s="170"/>
      <c r="AE948" s="152"/>
      <c r="AF948" s="152"/>
      <c r="AG948" s="152"/>
      <c r="AH948" s="152"/>
      <c r="AI948" s="152"/>
      <c r="AJ948" s="152"/>
      <c r="AK948" s="152"/>
      <c r="AL948" s="152"/>
      <c r="AM948" s="152"/>
      <c r="AN948" s="152"/>
      <c r="AO948" s="152"/>
    </row>
    <row r="949" ht="12.75" customHeight="1">
      <c r="A949" s="288"/>
      <c r="B949" s="288"/>
      <c r="C949" s="288"/>
      <c r="D949" s="152"/>
      <c r="E949" s="289"/>
      <c r="F949" s="288"/>
      <c r="G949" s="152"/>
      <c r="H949" s="289"/>
      <c r="I949" s="289"/>
      <c r="J949" s="152"/>
      <c r="K949" s="152"/>
      <c r="L949" s="156"/>
      <c r="M949" s="152"/>
      <c r="N949" s="152"/>
      <c r="O949" s="152"/>
      <c r="P949" s="152"/>
      <c r="Q949" s="152"/>
      <c r="R949" s="152"/>
      <c r="S949" s="152"/>
      <c r="T949" s="152"/>
      <c r="U949" s="152"/>
      <c r="V949" s="152"/>
      <c r="W949" s="281"/>
      <c r="X949" s="281"/>
      <c r="Y949" s="281"/>
      <c r="Z949" s="281"/>
      <c r="AA949" s="281"/>
      <c r="AB949" s="281"/>
      <c r="AC949" s="281"/>
      <c r="AD949" s="170"/>
      <c r="AE949" s="152"/>
      <c r="AF949" s="152"/>
      <c r="AG949" s="152"/>
      <c r="AH949" s="152"/>
      <c r="AI949" s="152"/>
      <c r="AJ949" s="152"/>
      <c r="AK949" s="152"/>
      <c r="AL949" s="152"/>
      <c r="AM949" s="152"/>
      <c r="AN949" s="152"/>
      <c r="AO949" s="152"/>
    </row>
    <row r="950" ht="12.75" customHeight="1">
      <c r="A950" s="288"/>
      <c r="B950" s="288"/>
      <c r="C950" s="288"/>
      <c r="D950" s="152"/>
      <c r="E950" s="289"/>
      <c r="F950" s="288"/>
      <c r="G950" s="152"/>
      <c r="H950" s="289"/>
      <c r="I950" s="289"/>
      <c r="J950" s="152"/>
      <c r="K950" s="152"/>
      <c r="L950" s="156"/>
      <c r="M950" s="152"/>
      <c r="N950" s="152"/>
      <c r="O950" s="152"/>
      <c r="P950" s="152"/>
      <c r="Q950" s="152"/>
      <c r="R950" s="152"/>
      <c r="S950" s="152"/>
      <c r="T950" s="152"/>
      <c r="U950" s="152"/>
      <c r="V950" s="152"/>
      <c r="W950" s="281"/>
      <c r="X950" s="281"/>
      <c r="Y950" s="281"/>
      <c r="Z950" s="281"/>
      <c r="AA950" s="281"/>
      <c r="AB950" s="281"/>
      <c r="AC950" s="281"/>
      <c r="AD950" s="170"/>
      <c r="AE950" s="152"/>
      <c r="AF950" s="152"/>
      <c r="AG950" s="152"/>
      <c r="AH950" s="152"/>
      <c r="AI950" s="152"/>
      <c r="AJ950" s="152"/>
      <c r="AK950" s="152"/>
      <c r="AL950" s="152"/>
      <c r="AM950" s="152"/>
      <c r="AN950" s="152"/>
      <c r="AO950" s="152"/>
    </row>
    <row r="951" ht="12.75" customHeight="1">
      <c r="A951" s="288"/>
      <c r="B951" s="288"/>
      <c r="C951" s="288"/>
      <c r="D951" s="152"/>
      <c r="E951" s="289"/>
      <c r="F951" s="288"/>
      <c r="G951" s="152"/>
      <c r="H951" s="289"/>
      <c r="I951" s="289"/>
      <c r="J951" s="152"/>
      <c r="K951" s="152"/>
      <c r="L951" s="156"/>
      <c r="M951" s="152"/>
      <c r="N951" s="152"/>
      <c r="O951" s="152"/>
      <c r="P951" s="152"/>
      <c r="Q951" s="152"/>
      <c r="R951" s="152"/>
      <c r="S951" s="152"/>
      <c r="T951" s="152"/>
      <c r="U951" s="152"/>
      <c r="V951" s="152"/>
      <c r="W951" s="281"/>
      <c r="X951" s="281"/>
      <c r="Y951" s="281"/>
      <c r="Z951" s="281"/>
      <c r="AA951" s="281"/>
      <c r="AB951" s="281"/>
      <c r="AC951" s="281"/>
      <c r="AD951" s="170"/>
      <c r="AE951" s="152"/>
      <c r="AF951" s="152"/>
      <c r="AG951" s="152"/>
      <c r="AH951" s="152"/>
      <c r="AI951" s="152"/>
      <c r="AJ951" s="152"/>
      <c r="AK951" s="152"/>
      <c r="AL951" s="152"/>
      <c r="AM951" s="152"/>
      <c r="AN951" s="152"/>
      <c r="AO951" s="152"/>
    </row>
    <row r="952" ht="12.75" customHeight="1">
      <c r="A952" s="288"/>
      <c r="B952" s="288"/>
      <c r="C952" s="288"/>
      <c r="D952" s="152"/>
      <c r="E952" s="289"/>
      <c r="F952" s="288"/>
      <c r="G952" s="152"/>
      <c r="H952" s="289"/>
      <c r="I952" s="289"/>
      <c r="J952" s="152"/>
      <c r="K952" s="152"/>
      <c r="L952" s="156"/>
      <c r="M952" s="152"/>
      <c r="N952" s="152"/>
      <c r="O952" s="152"/>
      <c r="P952" s="152"/>
      <c r="Q952" s="152"/>
      <c r="R952" s="152"/>
      <c r="S952" s="152"/>
      <c r="T952" s="152"/>
      <c r="U952" s="152"/>
      <c r="V952" s="152"/>
      <c r="W952" s="281"/>
      <c r="X952" s="281"/>
      <c r="Y952" s="281"/>
      <c r="Z952" s="281"/>
      <c r="AA952" s="281"/>
      <c r="AB952" s="281"/>
      <c r="AC952" s="281"/>
      <c r="AD952" s="170"/>
      <c r="AE952" s="152"/>
      <c r="AF952" s="152"/>
      <c r="AG952" s="152"/>
      <c r="AH952" s="152"/>
      <c r="AI952" s="152"/>
      <c r="AJ952" s="152"/>
      <c r="AK952" s="152"/>
      <c r="AL952" s="152"/>
      <c r="AM952" s="152"/>
      <c r="AN952" s="152"/>
      <c r="AO952" s="152"/>
    </row>
    <row r="953" ht="12.75" customHeight="1">
      <c r="A953" s="288"/>
      <c r="B953" s="288"/>
      <c r="C953" s="288"/>
      <c r="D953" s="152"/>
      <c r="E953" s="289"/>
      <c r="F953" s="288"/>
      <c r="G953" s="152"/>
      <c r="H953" s="289"/>
      <c r="I953" s="289"/>
      <c r="J953" s="152"/>
      <c r="K953" s="152"/>
      <c r="L953" s="156"/>
      <c r="M953" s="152"/>
      <c r="N953" s="152"/>
      <c r="O953" s="152"/>
      <c r="P953" s="152"/>
      <c r="Q953" s="152"/>
      <c r="R953" s="152"/>
      <c r="S953" s="152"/>
      <c r="T953" s="152"/>
      <c r="U953" s="152"/>
      <c r="V953" s="152"/>
      <c r="W953" s="281"/>
      <c r="X953" s="281"/>
      <c r="Y953" s="281"/>
      <c r="Z953" s="281"/>
      <c r="AA953" s="281"/>
      <c r="AB953" s="281"/>
      <c r="AC953" s="281"/>
      <c r="AD953" s="170"/>
      <c r="AE953" s="152"/>
      <c r="AF953" s="152"/>
      <c r="AG953" s="152"/>
      <c r="AH953" s="152"/>
      <c r="AI953" s="152"/>
      <c r="AJ953" s="152"/>
      <c r="AK953" s="152"/>
      <c r="AL953" s="152"/>
      <c r="AM953" s="152"/>
      <c r="AN953" s="152"/>
      <c r="AO953" s="152"/>
    </row>
    <row r="954" ht="12.75" customHeight="1">
      <c r="A954" s="288"/>
      <c r="B954" s="288"/>
      <c r="C954" s="288"/>
      <c r="D954" s="152"/>
      <c r="E954" s="289"/>
      <c r="F954" s="288"/>
      <c r="G954" s="152"/>
      <c r="H954" s="289"/>
      <c r="I954" s="289"/>
      <c r="J954" s="152"/>
      <c r="K954" s="152"/>
      <c r="L954" s="156"/>
      <c r="M954" s="152"/>
      <c r="N954" s="152"/>
      <c r="O954" s="152"/>
      <c r="P954" s="152"/>
      <c r="Q954" s="152"/>
      <c r="R954" s="152"/>
      <c r="S954" s="152"/>
      <c r="T954" s="152"/>
      <c r="U954" s="152"/>
      <c r="V954" s="152"/>
      <c r="W954" s="281"/>
      <c r="X954" s="281"/>
      <c r="Y954" s="281"/>
      <c r="Z954" s="281"/>
      <c r="AA954" s="281"/>
      <c r="AB954" s="281"/>
      <c r="AC954" s="281"/>
      <c r="AD954" s="170"/>
      <c r="AE954" s="152"/>
      <c r="AF954" s="152"/>
      <c r="AG954" s="152"/>
      <c r="AH954" s="152"/>
      <c r="AI954" s="152"/>
      <c r="AJ954" s="152"/>
      <c r="AK954" s="152"/>
      <c r="AL954" s="152"/>
      <c r="AM954" s="152"/>
      <c r="AN954" s="152"/>
      <c r="AO954" s="152"/>
    </row>
    <row r="955" ht="12.75" customHeight="1">
      <c r="A955" s="288"/>
      <c r="B955" s="288"/>
      <c r="C955" s="288"/>
      <c r="D955" s="152"/>
      <c r="E955" s="289"/>
      <c r="F955" s="288"/>
      <c r="G955" s="152"/>
      <c r="H955" s="289"/>
      <c r="I955" s="289"/>
      <c r="J955" s="152"/>
      <c r="K955" s="152"/>
      <c r="L955" s="156"/>
      <c r="M955" s="152"/>
      <c r="N955" s="152"/>
      <c r="O955" s="152"/>
      <c r="P955" s="152"/>
      <c r="Q955" s="152"/>
      <c r="R955" s="152"/>
      <c r="S955" s="152"/>
      <c r="T955" s="152"/>
      <c r="U955" s="152"/>
      <c r="V955" s="152"/>
      <c r="W955" s="281"/>
      <c r="X955" s="281"/>
      <c r="Y955" s="281"/>
      <c r="Z955" s="281"/>
      <c r="AA955" s="281"/>
      <c r="AB955" s="281"/>
      <c r="AC955" s="281"/>
      <c r="AD955" s="170"/>
      <c r="AE955" s="152"/>
      <c r="AF955" s="152"/>
      <c r="AG955" s="152"/>
      <c r="AH955" s="152"/>
      <c r="AI955" s="152"/>
      <c r="AJ955" s="152"/>
      <c r="AK955" s="152"/>
      <c r="AL955" s="152"/>
      <c r="AM955" s="152"/>
      <c r="AN955" s="152"/>
      <c r="AO955" s="152"/>
    </row>
    <row r="956" ht="12.75" customHeight="1">
      <c r="A956" s="288"/>
      <c r="B956" s="288"/>
      <c r="C956" s="288"/>
      <c r="D956" s="152"/>
      <c r="E956" s="289"/>
      <c r="F956" s="288"/>
      <c r="G956" s="152"/>
      <c r="H956" s="289"/>
      <c r="I956" s="289"/>
      <c r="J956" s="152"/>
      <c r="K956" s="152"/>
      <c r="L956" s="156"/>
      <c r="M956" s="152"/>
      <c r="N956" s="152"/>
      <c r="O956" s="152"/>
      <c r="P956" s="152"/>
      <c r="Q956" s="152"/>
      <c r="R956" s="152"/>
      <c r="S956" s="152"/>
      <c r="T956" s="152"/>
      <c r="U956" s="152"/>
      <c r="V956" s="152"/>
      <c r="W956" s="281"/>
      <c r="X956" s="281"/>
      <c r="Y956" s="281"/>
      <c r="Z956" s="281"/>
      <c r="AA956" s="281"/>
      <c r="AB956" s="281"/>
      <c r="AC956" s="281"/>
      <c r="AD956" s="170"/>
      <c r="AE956" s="152"/>
      <c r="AF956" s="152"/>
      <c r="AG956" s="152"/>
      <c r="AH956" s="152"/>
      <c r="AI956" s="152"/>
      <c r="AJ956" s="152"/>
      <c r="AK956" s="152"/>
      <c r="AL956" s="152"/>
      <c r="AM956" s="152"/>
      <c r="AN956" s="152"/>
      <c r="AO956" s="152"/>
    </row>
    <row r="957" ht="12.75" customHeight="1">
      <c r="A957" s="288"/>
      <c r="B957" s="288"/>
      <c r="C957" s="288"/>
      <c r="D957" s="152"/>
      <c r="E957" s="289"/>
      <c r="F957" s="288"/>
      <c r="G957" s="152"/>
      <c r="H957" s="289"/>
      <c r="I957" s="289"/>
      <c r="J957" s="152"/>
      <c r="K957" s="152"/>
      <c r="L957" s="156"/>
      <c r="M957" s="152"/>
      <c r="N957" s="152"/>
      <c r="O957" s="152"/>
      <c r="P957" s="152"/>
      <c r="Q957" s="152"/>
      <c r="R957" s="152"/>
      <c r="S957" s="152"/>
      <c r="T957" s="152"/>
      <c r="U957" s="152"/>
      <c r="V957" s="152"/>
      <c r="W957" s="281"/>
      <c r="X957" s="281"/>
      <c r="Y957" s="281"/>
      <c r="Z957" s="281"/>
      <c r="AA957" s="281"/>
      <c r="AB957" s="281"/>
      <c r="AC957" s="281"/>
      <c r="AD957" s="170"/>
      <c r="AE957" s="152"/>
      <c r="AF957" s="152"/>
      <c r="AG957" s="152"/>
      <c r="AH957" s="152"/>
      <c r="AI957" s="152"/>
      <c r="AJ957" s="152"/>
      <c r="AK957" s="152"/>
      <c r="AL957" s="152"/>
      <c r="AM957" s="152"/>
      <c r="AN957" s="152"/>
      <c r="AO957" s="152"/>
    </row>
    <row r="958" ht="12.75" customHeight="1">
      <c r="A958" s="288"/>
      <c r="B958" s="288"/>
      <c r="C958" s="288"/>
      <c r="D958" s="152"/>
      <c r="E958" s="289"/>
      <c r="F958" s="288"/>
      <c r="G958" s="152"/>
      <c r="H958" s="289"/>
      <c r="I958" s="289"/>
      <c r="J958" s="152"/>
      <c r="K958" s="152"/>
      <c r="L958" s="156"/>
      <c r="M958" s="152"/>
      <c r="N958" s="152"/>
      <c r="O958" s="152"/>
      <c r="P958" s="152"/>
      <c r="Q958" s="152"/>
      <c r="R958" s="152"/>
      <c r="S958" s="152"/>
      <c r="T958" s="152"/>
      <c r="U958" s="152"/>
      <c r="V958" s="152"/>
      <c r="W958" s="281"/>
      <c r="X958" s="281"/>
      <c r="Y958" s="281"/>
      <c r="Z958" s="281"/>
      <c r="AA958" s="281"/>
      <c r="AB958" s="281"/>
      <c r="AC958" s="281"/>
      <c r="AD958" s="170"/>
      <c r="AE958" s="152"/>
      <c r="AF958" s="152"/>
      <c r="AG958" s="152"/>
      <c r="AH958" s="152"/>
      <c r="AI958" s="152"/>
      <c r="AJ958" s="152"/>
      <c r="AK958" s="152"/>
      <c r="AL958" s="152"/>
      <c r="AM958" s="152"/>
      <c r="AN958" s="152"/>
      <c r="AO958" s="152"/>
    </row>
    <row r="959" ht="12.75" customHeight="1">
      <c r="A959" s="288"/>
      <c r="B959" s="288"/>
      <c r="C959" s="288"/>
      <c r="D959" s="152"/>
      <c r="E959" s="289"/>
      <c r="F959" s="288"/>
      <c r="G959" s="152"/>
      <c r="H959" s="289"/>
      <c r="I959" s="289"/>
      <c r="J959" s="152"/>
      <c r="K959" s="152"/>
      <c r="L959" s="156"/>
      <c r="M959" s="152"/>
      <c r="N959" s="152"/>
      <c r="O959" s="152"/>
      <c r="P959" s="152"/>
      <c r="Q959" s="152"/>
      <c r="R959" s="152"/>
      <c r="S959" s="152"/>
      <c r="T959" s="152"/>
      <c r="U959" s="152"/>
      <c r="V959" s="152"/>
      <c r="W959" s="281"/>
      <c r="X959" s="281"/>
      <c r="Y959" s="281"/>
      <c r="Z959" s="281"/>
      <c r="AA959" s="281"/>
      <c r="AB959" s="281"/>
      <c r="AC959" s="281"/>
      <c r="AD959" s="170"/>
      <c r="AE959" s="152"/>
      <c r="AF959" s="152"/>
      <c r="AG959" s="152"/>
      <c r="AH959" s="152"/>
      <c r="AI959" s="152"/>
      <c r="AJ959" s="152"/>
      <c r="AK959" s="152"/>
      <c r="AL959" s="152"/>
      <c r="AM959" s="152"/>
      <c r="AN959" s="152"/>
      <c r="AO959" s="152"/>
    </row>
    <row r="960" ht="12.75" customHeight="1">
      <c r="A960" s="288"/>
      <c r="B960" s="288"/>
      <c r="C960" s="288"/>
      <c r="D960" s="152"/>
      <c r="E960" s="289"/>
      <c r="F960" s="288"/>
      <c r="G960" s="152"/>
      <c r="H960" s="289"/>
      <c r="I960" s="289"/>
      <c r="J960" s="152"/>
      <c r="K960" s="152"/>
      <c r="L960" s="156"/>
      <c r="M960" s="152"/>
      <c r="N960" s="152"/>
      <c r="O960" s="152"/>
      <c r="P960" s="152"/>
      <c r="Q960" s="152"/>
      <c r="R960" s="152"/>
      <c r="S960" s="152"/>
      <c r="T960" s="152"/>
      <c r="U960" s="152"/>
      <c r="V960" s="152"/>
      <c r="W960" s="281"/>
      <c r="X960" s="281"/>
      <c r="Y960" s="281"/>
      <c r="Z960" s="281"/>
      <c r="AA960" s="281"/>
      <c r="AB960" s="281"/>
      <c r="AC960" s="281"/>
      <c r="AD960" s="170"/>
      <c r="AE960" s="152"/>
      <c r="AF960" s="152"/>
      <c r="AG960" s="152"/>
      <c r="AH960" s="152"/>
      <c r="AI960" s="152"/>
      <c r="AJ960" s="152"/>
      <c r="AK960" s="152"/>
      <c r="AL960" s="152"/>
      <c r="AM960" s="152"/>
      <c r="AN960" s="152"/>
      <c r="AO960" s="152"/>
    </row>
    <row r="961" ht="12.75" customHeight="1">
      <c r="A961" s="288"/>
      <c r="B961" s="288"/>
      <c r="C961" s="288"/>
      <c r="D961" s="152"/>
      <c r="E961" s="289"/>
      <c r="F961" s="288"/>
      <c r="G961" s="152"/>
      <c r="H961" s="289"/>
      <c r="I961" s="289"/>
      <c r="J961" s="152"/>
      <c r="K961" s="152"/>
      <c r="L961" s="156"/>
      <c r="M961" s="152"/>
      <c r="N961" s="152"/>
      <c r="O961" s="152"/>
      <c r="P961" s="152"/>
      <c r="Q961" s="152"/>
      <c r="R961" s="152"/>
      <c r="S961" s="152"/>
      <c r="T961" s="152"/>
      <c r="U961" s="152"/>
      <c r="V961" s="152"/>
      <c r="W961" s="281"/>
      <c r="X961" s="281"/>
      <c r="Y961" s="281"/>
      <c r="Z961" s="281"/>
      <c r="AA961" s="281"/>
      <c r="AB961" s="281"/>
      <c r="AC961" s="281"/>
      <c r="AD961" s="170"/>
      <c r="AE961" s="152"/>
      <c r="AF961" s="152"/>
      <c r="AG961" s="152"/>
      <c r="AH961" s="152"/>
      <c r="AI961" s="152"/>
      <c r="AJ961" s="152"/>
      <c r="AK961" s="152"/>
      <c r="AL961" s="152"/>
      <c r="AM961" s="152"/>
      <c r="AN961" s="152"/>
      <c r="AO961" s="152"/>
    </row>
    <row r="962" ht="12.75" customHeight="1">
      <c r="A962" s="288"/>
      <c r="B962" s="288"/>
      <c r="C962" s="288"/>
      <c r="D962" s="152"/>
      <c r="E962" s="289"/>
      <c r="F962" s="288"/>
      <c r="G962" s="152"/>
      <c r="H962" s="289"/>
      <c r="I962" s="289"/>
      <c r="J962" s="152"/>
      <c r="K962" s="152"/>
      <c r="L962" s="156"/>
      <c r="M962" s="152"/>
      <c r="N962" s="152"/>
      <c r="O962" s="152"/>
      <c r="P962" s="152"/>
      <c r="Q962" s="152"/>
      <c r="R962" s="152"/>
      <c r="S962" s="152"/>
      <c r="T962" s="152"/>
      <c r="U962" s="152"/>
      <c r="V962" s="152"/>
      <c r="W962" s="281"/>
      <c r="X962" s="281"/>
      <c r="Y962" s="281"/>
      <c r="Z962" s="281"/>
      <c r="AA962" s="281"/>
      <c r="AB962" s="281"/>
      <c r="AC962" s="281"/>
      <c r="AD962" s="170"/>
      <c r="AE962" s="152"/>
      <c r="AF962" s="152"/>
      <c r="AG962" s="152"/>
      <c r="AH962" s="152"/>
      <c r="AI962" s="152"/>
      <c r="AJ962" s="152"/>
      <c r="AK962" s="152"/>
      <c r="AL962" s="152"/>
      <c r="AM962" s="152"/>
      <c r="AN962" s="152"/>
      <c r="AO962" s="152"/>
    </row>
    <row r="963" ht="12.75" customHeight="1">
      <c r="A963" s="288"/>
      <c r="B963" s="288"/>
      <c r="C963" s="288"/>
      <c r="D963" s="152"/>
      <c r="E963" s="289"/>
      <c r="F963" s="288"/>
      <c r="G963" s="152"/>
      <c r="H963" s="289"/>
      <c r="I963" s="289"/>
      <c r="J963" s="152"/>
      <c r="K963" s="152"/>
      <c r="L963" s="156"/>
      <c r="M963" s="152"/>
      <c r="N963" s="152"/>
      <c r="O963" s="152"/>
      <c r="P963" s="152"/>
      <c r="Q963" s="152"/>
      <c r="R963" s="152"/>
      <c r="S963" s="152"/>
      <c r="T963" s="152"/>
      <c r="U963" s="152"/>
      <c r="V963" s="152"/>
      <c r="W963" s="281"/>
      <c r="X963" s="281"/>
      <c r="Y963" s="281"/>
      <c r="Z963" s="281"/>
      <c r="AA963" s="281"/>
      <c r="AB963" s="281"/>
      <c r="AC963" s="281"/>
      <c r="AD963" s="170"/>
      <c r="AE963" s="152"/>
      <c r="AF963" s="152"/>
      <c r="AG963" s="152"/>
      <c r="AH963" s="152"/>
      <c r="AI963" s="152"/>
      <c r="AJ963" s="152"/>
      <c r="AK963" s="152"/>
      <c r="AL963" s="152"/>
      <c r="AM963" s="152"/>
      <c r="AN963" s="152"/>
      <c r="AO963" s="152"/>
    </row>
    <row r="964" ht="12.75" customHeight="1">
      <c r="A964" s="288"/>
      <c r="B964" s="288"/>
      <c r="C964" s="288"/>
      <c r="D964" s="152"/>
      <c r="E964" s="289"/>
      <c r="F964" s="288"/>
      <c r="G964" s="152"/>
      <c r="H964" s="289"/>
      <c r="I964" s="289"/>
      <c r="J964" s="152"/>
      <c r="K964" s="152"/>
      <c r="L964" s="156"/>
      <c r="M964" s="152"/>
      <c r="N964" s="152"/>
      <c r="O964" s="152"/>
      <c r="P964" s="152"/>
      <c r="Q964" s="152"/>
      <c r="R964" s="152"/>
      <c r="S964" s="152"/>
      <c r="T964" s="152"/>
      <c r="U964" s="152"/>
      <c r="V964" s="152"/>
      <c r="W964" s="281"/>
      <c r="X964" s="281"/>
      <c r="Y964" s="281"/>
      <c r="Z964" s="281"/>
      <c r="AA964" s="281"/>
      <c r="AB964" s="281"/>
      <c r="AC964" s="281"/>
      <c r="AD964" s="170"/>
      <c r="AE964" s="152"/>
      <c r="AF964" s="152"/>
      <c r="AG964" s="152"/>
      <c r="AH964" s="152"/>
      <c r="AI964" s="152"/>
      <c r="AJ964" s="152"/>
      <c r="AK964" s="152"/>
      <c r="AL964" s="152"/>
      <c r="AM964" s="152"/>
      <c r="AN964" s="152"/>
      <c r="AO964" s="152"/>
    </row>
    <row r="965" ht="12.75" customHeight="1">
      <c r="A965" s="288"/>
      <c r="B965" s="288"/>
      <c r="C965" s="288"/>
      <c r="D965" s="152"/>
      <c r="E965" s="289"/>
      <c r="F965" s="288"/>
      <c r="G965" s="152"/>
      <c r="H965" s="289"/>
      <c r="I965" s="289"/>
      <c r="J965" s="152"/>
      <c r="K965" s="152"/>
      <c r="L965" s="156"/>
      <c r="M965" s="152"/>
      <c r="N965" s="152"/>
      <c r="O965" s="152"/>
      <c r="P965" s="152"/>
      <c r="Q965" s="152"/>
      <c r="R965" s="152"/>
      <c r="S965" s="152"/>
      <c r="T965" s="152"/>
      <c r="U965" s="152"/>
      <c r="V965" s="152"/>
      <c r="W965" s="281"/>
      <c r="X965" s="281"/>
      <c r="Y965" s="281"/>
      <c r="Z965" s="281"/>
      <c r="AA965" s="281"/>
      <c r="AB965" s="281"/>
      <c r="AC965" s="281"/>
      <c r="AD965" s="170"/>
      <c r="AE965" s="152"/>
      <c r="AF965" s="152"/>
      <c r="AG965" s="152"/>
      <c r="AH965" s="152"/>
      <c r="AI965" s="152"/>
      <c r="AJ965" s="152"/>
      <c r="AK965" s="152"/>
      <c r="AL965" s="152"/>
      <c r="AM965" s="152"/>
      <c r="AN965" s="152"/>
      <c r="AO965" s="152"/>
    </row>
    <row r="966" ht="12.75" customHeight="1">
      <c r="A966" s="288"/>
      <c r="B966" s="288"/>
      <c r="C966" s="288"/>
      <c r="D966" s="152"/>
      <c r="E966" s="289"/>
      <c r="F966" s="288"/>
      <c r="G966" s="152"/>
      <c r="H966" s="289"/>
      <c r="I966" s="289"/>
      <c r="J966" s="152"/>
      <c r="K966" s="152"/>
      <c r="L966" s="156"/>
      <c r="M966" s="152"/>
      <c r="N966" s="152"/>
      <c r="O966" s="152"/>
      <c r="P966" s="152"/>
      <c r="Q966" s="152"/>
      <c r="R966" s="152"/>
      <c r="S966" s="152"/>
      <c r="T966" s="152"/>
      <c r="U966" s="152"/>
      <c r="V966" s="152"/>
      <c r="W966" s="281"/>
      <c r="X966" s="281"/>
      <c r="Y966" s="281"/>
      <c r="Z966" s="281"/>
      <c r="AA966" s="281"/>
      <c r="AB966" s="281"/>
      <c r="AC966" s="281"/>
      <c r="AD966" s="170"/>
      <c r="AE966" s="152"/>
      <c r="AF966" s="152"/>
      <c r="AG966" s="152"/>
      <c r="AH966" s="152"/>
      <c r="AI966" s="152"/>
      <c r="AJ966" s="152"/>
      <c r="AK966" s="152"/>
      <c r="AL966" s="152"/>
      <c r="AM966" s="152"/>
      <c r="AN966" s="152"/>
      <c r="AO966" s="152"/>
    </row>
    <row r="967" ht="12.75" customHeight="1">
      <c r="A967" s="288"/>
      <c r="B967" s="288"/>
      <c r="C967" s="288"/>
      <c r="D967" s="152"/>
      <c r="E967" s="289"/>
      <c r="F967" s="288"/>
      <c r="G967" s="152"/>
      <c r="H967" s="289"/>
      <c r="I967" s="289"/>
      <c r="J967" s="152"/>
      <c r="K967" s="152"/>
      <c r="L967" s="156"/>
      <c r="M967" s="152"/>
      <c r="N967" s="152"/>
      <c r="O967" s="152"/>
      <c r="P967" s="152"/>
      <c r="Q967" s="152"/>
      <c r="R967" s="152"/>
      <c r="S967" s="152"/>
      <c r="T967" s="152"/>
      <c r="U967" s="152"/>
      <c r="V967" s="152"/>
      <c r="W967" s="281"/>
      <c r="X967" s="281"/>
      <c r="Y967" s="281"/>
      <c r="Z967" s="281"/>
      <c r="AA967" s="281"/>
      <c r="AB967" s="281"/>
      <c r="AC967" s="281"/>
      <c r="AD967" s="170"/>
      <c r="AE967" s="152"/>
      <c r="AF967" s="152"/>
      <c r="AG967" s="152"/>
      <c r="AH967" s="152"/>
      <c r="AI967" s="152"/>
      <c r="AJ967" s="152"/>
      <c r="AK967" s="152"/>
      <c r="AL967" s="152"/>
      <c r="AM967" s="152"/>
      <c r="AN967" s="152"/>
      <c r="AO967" s="152"/>
    </row>
    <row r="968" ht="12.75" customHeight="1">
      <c r="A968" s="288"/>
      <c r="B968" s="288"/>
      <c r="C968" s="288"/>
      <c r="D968" s="152"/>
      <c r="E968" s="289"/>
      <c r="F968" s="288"/>
      <c r="G968" s="152"/>
      <c r="H968" s="289"/>
      <c r="I968" s="289"/>
      <c r="J968" s="152"/>
      <c r="K968" s="152"/>
      <c r="L968" s="156"/>
      <c r="M968" s="152"/>
      <c r="N968" s="152"/>
      <c r="O968" s="152"/>
      <c r="P968" s="152"/>
      <c r="Q968" s="152"/>
      <c r="R968" s="152"/>
      <c r="S968" s="152"/>
      <c r="T968" s="152"/>
      <c r="U968" s="152"/>
      <c r="V968" s="152"/>
      <c r="W968" s="281"/>
      <c r="X968" s="281"/>
      <c r="Y968" s="281"/>
      <c r="Z968" s="281"/>
      <c r="AA968" s="281"/>
      <c r="AB968" s="281"/>
      <c r="AC968" s="281"/>
      <c r="AD968" s="170"/>
      <c r="AE968" s="152"/>
      <c r="AF968" s="152"/>
      <c r="AG968" s="152"/>
      <c r="AH968" s="152"/>
      <c r="AI968" s="152"/>
      <c r="AJ968" s="152"/>
      <c r="AK968" s="152"/>
      <c r="AL968" s="152"/>
      <c r="AM968" s="152"/>
      <c r="AN968" s="152"/>
      <c r="AO968" s="152"/>
    </row>
    <row r="969" ht="12.75" customHeight="1">
      <c r="A969" s="288"/>
      <c r="B969" s="288"/>
      <c r="C969" s="288"/>
      <c r="D969" s="152"/>
      <c r="E969" s="289"/>
      <c r="F969" s="288"/>
      <c r="G969" s="152"/>
      <c r="H969" s="289"/>
      <c r="I969" s="289"/>
      <c r="J969" s="152"/>
      <c r="K969" s="152"/>
      <c r="L969" s="156"/>
      <c r="M969" s="152"/>
      <c r="N969" s="152"/>
      <c r="O969" s="152"/>
      <c r="P969" s="152"/>
      <c r="Q969" s="152"/>
      <c r="R969" s="152"/>
      <c r="S969" s="152"/>
      <c r="T969" s="152"/>
      <c r="U969" s="152"/>
      <c r="V969" s="152"/>
      <c r="W969" s="281"/>
      <c r="X969" s="281"/>
      <c r="Y969" s="281"/>
      <c r="Z969" s="281"/>
      <c r="AA969" s="281"/>
      <c r="AB969" s="281"/>
      <c r="AC969" s="281"/>
      <c r="AD969" s="170"/>
      <c r="AE969" s="152"/>
      <c r="AF969" s="152"/>
      <c r="AG969" s="152"/>
      <c r="AH969" s="152"/>
      <c r="AI969" s="152"/>
      <c r="AJ969" s="152"/>
      <c r="AK969" s="152"/>
      <c r="AL969" s="152"/>
      <c r="AM969" s="152"/>
      <c r="AN969" s="152"/>
      <c r="AO969" s="152"/>
    </row>
    <row r="970" ht="12.75" customHeight="1">
      <c r="A970" s="288"/>
      <c r="B970" s="288"/>
      <c r="C970" s="288"/>
      <c r="D970" s="152"/>
      <c r="E970" s="289"/>
      <c r="F970" s="288"/>
      <c r="G970" s="152"/>
      <c r="H970" s="289"/>
      <c r="I970" s="289"/>
      <c r="J970" s="152"/>
      <c r="K970" s="152"/>
      <c r="L970" s="156"/>
      <c r="M970" s="152"/>
      <c r="N970" s="152"/>
      <c r="O970" s="152"/>
      <c r="P970" s="152"/>
      <c r="Q970" s="152"/>
      <c r="R970" s="152"/>
      <c r="S970" s="152"/>
      <c r="T970" s="152"/>
      <c r="U970" s="152"/>
      <c r="V970" s="152"/>
      <c r="W970" s="281"/>
      <c r="X970" s="281"/>
      <c r="Y970" s="281"/>
      <c r="Z970" s="281"/>
      <c r="AA970" s="281"/>
      <c r="AB970" s="281"/>
      <c r="AC970" s="281"/>
      <c r="AD970" s="170"/>
      <c r="AE970" s="152"/>
      <c r="AF970" s="152"/>
      <c r="AG970" s="152"/>
      <c r="AH970" s="152"/>
      <c r="AI970" s="152"/>
      <c r="AJ970" s="152"/>
      <c r="AK970" s="152"/>
      <c r="AL970" s="152"/>
      <c r="AM970" s="152"/>
      <c r="AN970" s="152"/>
      <c r="AO970" s="152"/>
    </row>
    <row r="971" ht="12.75" customHeight="1">
      <c r="A971" s="288"/>
      <c r="B971" s="288"/>
      <c r="C971" s="288"/>
      <c r="D971" s="152"/>
      <c r="E971" s="289"/>
      <c r="F971" s="288"/>
      <c r="G971" s="152"/>
      <c r="H971" s="289"/>
      <c r="I971" s="289"/>
      <c r="J971" s="152"/>
      <c r="K971" s="152"/>
      <c r="L971" s="156"/>
      <c r="M971" s="152"/>
      <c r="N971" s="152"/>
      <c r="O971" s="152"/>
      <c r="P971" s="152"/>
      <c r="Q971" s="152"/>
      <c r="R971" s="152"/>
      <c r="S971" s="152"/>
      <c r="T971" s="152"/>
      <c r="U971" s="152"/>
      <c r="V971" s="152"/>
      <c r="W971" s="281"/>
      <c r="X971" s="281"/>
      <c r="Y971" s="281"/>
      <c r="Z971" s="281"/>
      <c r="AA971" s="281"/>
      <c r="AB971" s="281"/>
      <c r="AC971" s="281"/>
      <c r="AD971" s="170"/>
      <c r="AE971" s="152"/>
      <c r="AF971" s="152"/>
      <c r="AG971" s="152"/>
      <c r="AH971" s="152"/>
      <c r="AI971" s="152"/>
      <c r="AJ971" s="152"/>
      <c r="AK971" s="152"/>
      <c r="AL971" s="152"/>
      <c r="AM971" s="152"/>
      <c r="AN971" s="152"/>
      <c r="AO971" s="152"/>
    </row>
    <row r="972" ht="12.75" customHeight="1">
      <c r="A972" s="288"/>
      <c r="B972" s="288"/>
      <c r="C972" s="288"/>
      <c r="D972" s="152"/>
      <c r="E972" s="289"/>
      <c r="F972" s="288"/>
      <c r="G972" s="152"/>
      <c r="H972" s="289"/>
      <c r="I972" s="289"/>
      <c r="J972" s="152"/>
      <c r="K972" s="152"/>
      <c r="L972" s="156"/>
      <c r="M972" s="152"/>
      <c r="N972" s="152"/>
      <c r="O972" s="152"/>
      <c r="P972" s="152"/>
      <c r="Q972" s="152"/>
      <c r="R972" s="152"/>
      <c r="S972" s="152"/>
      <c r="T972" s="152"/>
      <c r="U972" s="152"/>
      <c r="V972" s="152"/>
      <c r="W972" s="281"/>
      <c r="X972" s="281"/>
      <c r="Y972" s="281"/>
      <c r="Z972" s="281"/>
      <c r="AA972" s="281"/>
      <c r="AB972" s="281"/>
      <c r="AC972" s="281"/>
      <c r="AD972" s="170"/>
      <c r="AE972" s="152"/>
      <c r="AF972" s="152"/>
      <c r="AG972" s="152"/>
      <c r="AH972" s="152"/>
      <c r="AI972" s="152"/>
      <c r="AJ972" s="152"/>
      <c r="AK972" s="152"/>
      <c r="AL972" s="152"/>
      <c r="AM972" s="152"/>
      <c r="AN972" s="152"/>
      <c r="AO972" s="152"/>
    </row>
    <row r="973" ht="12.75" customHeight="1">
      <c r="A973" s="288"/>
      <c r="B973" s="288"/>
      <c r="C973" s="288"/>
      <c r="D973" s="152"/>
      <c r="E973" s="289"/>
      <c r="F973" s="288"/>
      <c r="G973" s="152"/>
      <c r="H973" s="289"/>
      <c r="I973" s="289"/>
      <c r="J973" s="152"/>
      <c r="K973" s="152"/>
      <c r="L973" s="156"/>
      <c r="M973" s="152"/>
      <c r="N973" s="152"/>
      <c r="O973" s="152"/>
      <c r="P973" s="152"/>
      <c r="Q973" s="152"/>
      <c r="R973" s="152"/>
      <c r="S973" s="152"/>
      <c r="T973" s="152"/>
      <c r="U973" s="152"/>
      <c r="V973" s="152"/>
      <c r="W973" s="281"/>
      <c r="X973" s="281"/>
      <c r="Y973" s="281"/>
      <c r="Z973" s="281"/>
      <c r="AA973" s="281"/>
      <c r="AB973" s="281"/>
      <c r="AC973" s="281"/>
      <c r="AD973" s="170"/>
      <c r="AE973" s="152"/>
      <c r="AF973" s="152"/>
      <c r="AG973" s="152"/>
      <c r="AH973" s="152"/>
      <c r="AI973" s="152"/>
      <c r="AJ973" s="152"/>
      <c r="AK973" s="152"/>
      <c r="AL973" s="152"/>
      <c r="AM973" s="152"/>
      <c r="AN973" s="152"/>
      <c r="AO973" s="152"/>
    </row>
    <row r="974" ht="12.75" customHeight="1">
      <c r="A974" s="288"/>
      <c r="B974" s="288"/>
      <c r="C974" s="288"/>
      <c r="D974" s="152"/>
      <c r="E974" s="289"/>
      <c r="F974" s="288"/>
      <c r="G974" s="152"/>
      <c r="H974" s="289"/>
      <c r="I974" s="289"/>
      <c r="J974" s="152"/>
      <c r="K974" s="152"/>
      <c r="L974" s="156"/>
      <c r="M974" s="152"/>
      <c r="N974" s="152"/>
      <c r="O974" s="152"/>
      <c r="P974" s="152"/>
      <c r="Q974" s="152"/>
      <c r="R974" s="152"/>
      <c r="S974" s="152"/>
      <c r="T974" s="152"/>
      <c r="U974" s="152"/>
      <c r="V974" s="152"/>
      <c r="W974" s="281"/>
      <c r="X974" s="281"/>
      <c r="Y974" s="281"/>
      <c r="Z974" s="281"/>
      <c r="AA974" s="281"/>
      <c r="AB974" s="281"/>
      <c r="AC974" s="281"/>
      <c r="AD974" s="170"/>
      <c r="AE974" s="152"/>
      <c r="AF974" s="152"/>
      <c r="AG974" s="152"/>
      <c r="AH974" s="152"/>
      <c r="AI974" s="152"/>
      <c r="AJ974" s="152"/>
      <c r="AK974" s="152"/>
      <c r="AL974" s="152"/>
      <c r="AM974" s="152"/>
      <c r="AN974" s="152"/>
      <c r="AO974" s="152"/>
    </row>
    <row r="975" ht="12.75" customHeight="1">
      <c r="A975" s="288"/>
      <c r="B975" s="288"/>
      <c r="C975" s="288"/>
      <c r="D975" s="152"/>
      <c r="E975" s="289"/>
      <c r="F975" s="288"/>
      <c r="G975" s="152"/>
      <c r="H975" s="289"/>
      <c r="I975" s="289"/>
      <c r="J975" s="152"/>
      <c r="K975" s="152"/>
      <c r="L975" s="156"/>
      <c r="M975" s="152"/>
      <c r="N975" s="152"/>
      <c r="O975" s="152"/>
      <c r="P975" s="152"/>
      <c r="Q975" s="152"/>
      <c r="R975" s="152"/>
      <c r="S975" s="152"/>
      <c r="T975" s="152"/>
      <c r="U975" s="152"/>
      <c r="V975" s="152"/>
      <c r="W975" s="281"/>
      <c r="X975" s="281"/>
      <c r="Y975" s="281"/>
      <c r="Z975" s="281"/>
      <c r="AA975" s="281"/>
      <c r="AB975" s="281"/>
      <c r="AC975" s="281"/>
      <c r="AD975" s="170"/>
      <c r="AE975" s="152"/>
      <c r="AF975" s="152"/>
      <c r="AG975" s="152"/>
      <c r="AH975" s="152"/>
      <c r="AI975" s="152"/>
      <c r="AJ975" s="152"/>
      <c r="AK975" s="152"/>
      <c r="AL975" s="152"/>
      <c r="AM975" s="152"/>
      <c r="AN975" s="152"/>
      <c r="AO975" s="152"/>
    </row>
    <row r="976" ht="12.75" customHeight="1">
      <c r="A976" s="288"/>
      <c r="B976" s="288"/>
      <c r="C976" s="288"/>
      <c r="D976" s="152"/>
      <c r="E976" s="289"/>
      <c r="F976" s="288"/>
      <c r="G976" s="152"/>
      <c r="H976" s="289"/>
      <c r="I976" s="289"/>
      <c r="J976" s="152"/>
      <c r="K976" s="152"/>
      <c r="L976" s="156"/>
      <c r="M976" s="152"/>
      <c r="N976" s="152"/>
      <c r="O976" s="152"/>
      <c r="P976" s="152"/>
      <c r="Q976" s="152"/>
      <c r="R976" s="152"/>
      <c r="S976" s="152"/>
      <c r="T976" s="152"/>
      <c r="U976" s="152"/>
      <c r="V976" s="152"/>
      <c r="W976" s="281"/>
      <c r="X976" s="281"/>
      <c r="Y976" s="281"/>
      <c r="Z976" s="281"/>
      <c r="AA976" s="281"/>
      <c r="AB976" s="281"/>
      <c r="AC976" s="281"/>
      <c r="AD976" s="170"/>
      <c r="AE976" s="152"/>
      <c r="AF976" s="152"/>
      <c r="AG976" s="152"/>
      <c r="AH976" s="152"/>
      <c r="AI976" s="152"/>
      <c r="AJ976" s="152"/>
      <c r="AK976" s="152"/>
      <c r="AL976" s="152"/>
      <c r="AM976" s="152"/>
      <c r="AN976" s="152"/>
      <c r="AO976" s="152"/>
    </row>
    <row r="977" ht="12.75" customHeight="1">
      <c r="A977" s="288"/>
      <c r="B977" s="288"/>
      <c r="C977" s="288"/>
      <c r="D977" s="152"/>
      <c r="E977" s="289"/>
      <c r="F977" s="288"/>
      <c r="G977" s="152"/>
      <c r="H977" s="289"/>
      <c r="I977" s="289"/>
      <c r="J977" s="152"/>
      <c r="K977" s="152"/>
      <c r="L977" s="156"/>
      <c r="M977" s="152"/>
      <c r="N977" s="152"/>
      <c r="O977" s="152"/>
      <c r="P977" s="152"/>
      <c r="Q977" s="152"/>
      <c r="R977" s="152"/>
      <c r="S977" s="152"/>
      <c r="T977" s="152"/>
      <c r="U977" s="152"/>
      <c r="V977" s="152"/>
      <c r="W977" s="281"/>
      <c r="X977" s="281"/>
      <c r="Y977" s="281"/>
      <c r="Z977" s="281"/>
      <c r="AA977" s="281"/>
      <c r="AB977" s="281"/>
      <c r="AC977" s="281"/>
      <c r="AD977" s="170"/>
      <c r="AE977" s="152"/>
      <c r="AF977" s="152"/>
      <c r="AG977" s="152"/>
      <c r="AH977" s="152"/>
      <c r="AI977" s="152"/>
      <c r="AJ977" s="152"/>
      <c r="AK977" s="152"/>
      <c r="AL977" s="152"/>
      <c r="AM977" s="152"/>
      <c r="AN977" s="152"/>
      <c r="AO977" s="152"/>
    </row>
    <row r="978" ht="12.75" customHeight="1">
      <c r="A978" s="288"/>
      <c r="B978" s="288"/>
      <c r="C978" s="288"/>
      <c r="D978" s="152"/>
      <c r="E978" s="289"/>
      <c r="F978" s="288"/>
      <c r="G978" s="152"/>
      <c r="H978" s="289"/>
      <c r="I978" s="289"/>
      <c r="J978" s="152"/>
      <c r="K978" s="152"/>
      <c r="L978" s="156"/>
      <c r="M978" s="152"/>
      <c r="N978" s="152"/>
      <c r="O978" s="152"/>
      <c r="P978" s="152"/>
      <c r="Q978" s="152"/>
      <c r="R978" s="152"/>
      <c r="S978" s="152"/>
      <c r="T978" s="152"/>
      <c r="U978" s="152"/>
      <c r="V978" s="152"/>
      <c r="W978" s="281"/>
      <c r="X978" s="281"/>
      <c r="Y978" s="281"/>
      <c r="Z978" s="281"/>
      <c r="AA978" s="281"/>
      <c r="AB978" s="281"/>
      <c r="AC978" s="281"/>
      <c r="AD978" s="170"/>
      <c r="AE978" s="152"/>
      <c r="AF978" s="152"/>
      <c r="AG978" s="152"/>
      <c r="AH978" s="152"/>
      <c r="AI978" s="152"/>
      <c r="AJ978" s="152"/>
      <c r="AK978" s="152"/>
      <c r="AL978" s="152"/>
      <c r="AM978" s="152"/>
      <c r="AN978" s="152"/>
      <c r="AO978" s="152"/>
    </row>
    <row r="979" ht="12.75" customHeight="1">
      <c r="A979" s="288"/>
      <c r="B979" s="288"/>
      <c r="C979" s="288"/>
      <c r="D979" s="152"/>
      <c r="E979" s="289"/>
      <c r="F979" s="288"/>
      <c r="G979" s="152"/>
      <c r="H979" s="289"/>
      <c r="I979" s="289"/>
      <c r="J979" s="152"/>
      <c r="K979" s="152"/>
      <c r="L979" s="156"/>
      <c r="M979" s="152"/>
      <c r="N979" s="152"/>
      <c r="O979" s="152"/>
      <c r="P979" s="152"/>
      <c r="Q979" s="152"/>
      <c r="R979" s="152"/>
      <c r="S979" s="152"/>
      <c r="T979" s="152"/>
      <c r="U979" s="152"/>
      <c r="V979" s="152"/>
      <c r="W979" s="281"/>
      <c r="X979" s="281"/>
      <c r="Y979" s="281"/>
      <c r="Z979" s="281"/>
      <c r="AA979" s="281"/>
      <c r="AB979" s="281"/>
      <c r="AC979" s="281"/>
      <c r="AD979" s="170"/>
      <c r="AE979" s="152"/>
      <c r="AF979" s="152"/>
      <c r="AG979" s="152"/>
      <c r="AH979" s="152"/>
      <c r="AI979" s="152"/>
      <c r="AJ979" s="152"/>
      <c r="AK979" s="152"/>
      <c r="AL979" s="152"/>
      <c r="AM979" s="152"/>
      <c r="AN979" s="152"/>
      <c r="AO979" s="152"/>
    </row>
    <row r="980" ht="12.75" customHeight="1">
      <c r="A980" s="288"/>
      <c r="B980" s="288"/>
      <c r="C980" s="288"/>
      <c r="D980" s="152"/>
      <c r="E980" s="289"/>
      <c r="F980" s="288"/>
      <c r="G980" s="152"/>
      <c r="H980" s="289"/>
      <c r="I980" s="289"/>
      <c r="J980" s="152"/>
      <c r="K980" s="152"/>
      <c r="L980" s="156"/>
      <c r="M980" s="152"/>
      <c r="N980" s="152"/>
      <c r="O980" s="152"/>
      <c r="P980" s="152"/>
      <c r="Q980" s="152"/>
      <c r="R980" s="152"/>
      <c r="S980" s="152"/>
      <c r="T980" s="152"/>
      <c r="U980" s="152"/>
      <c r="V980" s="152"/>
      <c r="W980" s="281"/>
      <c r="X980" s="281"/>
      <c r="Y980" s="281"/>
      <c r="Z980" s="281"/>
      <c r="AA980" s="281"/>
      <c r="AB980" s="281"/>
      <c r="AC980" s="281"/>
      <c r="AD980" s="170"/>
      <c r="AE980" s="152"/>
      <c r="AF980" s="152"/>
      <c r="AG980" s="152"/>
      <c r="AH980" s="152"/>
      <c r="AI980" s="152"/>
      <c r="AJ980" s="152"/>
      <c r="AK980" s="152"/>
      <c r="AL980" s="152"/>
      <c r="AM980" s="152"/>
      <c r="AN980" s="152"/>
      <c r="AO980" s="152"/>
    </row>
    <row r="981" ht="12.75" customHeight="1">
      <c r="A981" s="288"/>
      <c r="B981" s="288"/>
      <c r="C981" s="288"/>
      <c r="D981" s="152"/>
      <c r="E981" s="289"/>
      <c r="F981" s="288"/>
      <c r="G981" s="152"/>
      <c r="H981" s="289"/>
      <c r="I981" s="289"/>
      <c r="J981" s="152"/>
      <c r="K981" s="152"/>
      <c r="L981" s="156"/>
      <c r="M981" s="152"/>
      <c r="N981" s="152"/>
      <c r="O981" s="152"/>
      <c r="P981" s="152"/>
      <c r="Q981" s="152"/>
      <c r="R981" s="152"/>
      <c r="S981" s="152"/>
      <c r="T981" s="152"/>
      <c r="U981" s="152"/>
      <c r="V981" s="152"/>
      <c r="W981" s="281"/>
      <c r="X981" s="281"/>
      <c r="Y981" s="281"/>
      <c r="Z981" s="281"/>
      <c r="AA981" s="281"/>
      <c r="AB981" s="281"/>
      <c r="AC981" s="281"/>
      <c r="AD981" s="170"/>
      <c r="AE981" s="152"/>
      <c r="AF981" s="152"/>
      <c r="AG981" s="152"/>
      <c r="AH981" s="152"/>
      <c r="AI981" s="152"/>
      <c r="AJ981" s="152"/>
      <c r="AK981" s="152"/>
      <c r="AL981" s="152"/>
      <c r="AM981" s="152"/>
      <c r="AN981" s="152"/>
      <c r="AO981" s="152"/>
    </row>
    <row r="982" ht="12.75" customHeight="1">
      <c r="A982" s="288"/>
      <c r="B982" s="288"/>
      <c r="C982" s="288"/>
      <c r="D982" s="152"/>
      <c r="E982" s="289"/>
      <c r="F982" s="288"/>
      <c r="G982" s="152"/>
      <c r="H982" s="289"/>
      <c r="I982" s="289"/>
      <c r="J982" s="152"/>
      <c r="K982" s="152"/>
      <c r="L982" s="156"/>
      <c r="M982" s="152"/>
      <c r="N982" s="152"/>
      <c r="O982" s="152"/>
      <c r="P982" s="152"/>
      <c r="Q982" s="152"/>
      <c r="R982" s="152"/>
      <c r="S982" s="152"/>
      <c r="T982" s="152"/>
      <c r="U982" s="152"/>
      <c r="V982" s="152"/>
      <c r="W982" s="281"/>
      <c r="X982" s="281"/>
      <c r="Y982" s="281"/>
      <c r="Z982" s="281"/>
      <c r="AA982" s="281"/>
      <c r="AB982" s="281"/>
      <c r="AC982" s="281"/>
      <c r="AD982" s="170"/>
      <c r="AE982" s="152"/>
      <c r="AF982" s="152"/>
      <c r="AG982" s="152"/>
      <c r="AH982" s="152"/>
      <c r="AI982" s="152"/>
      <c r="AJ982" s="152"/>
      <c r="AK982" s="152"/>
      <c r="AL982" s="152"/>
      <c r="AM982" s="152"/>
      <c r="AN982" s="152"/>
      <c r="AO982" s="152"/>
    </row>
    <row r="983" ht="12.75" customHeight="1">
      <c r="A983" s="288"/>
      <c r="B983" s="288"/>
      <c r="C983" s="288"/>
      <c r="D983" s="152"/>
      <c r="E983" s="289"/>
      <c r="F983" s="288"/>
      <c r="G983" s="152"/>
      <c r="H983" s="289"/>
      <c r="I983" s="289"/>
      <c r="J983" s="152"/>
      <c r="K983" s="152"/>
      <c r="L983" s="156"/>
      <c r="M983" s="152"/>
      <c r="N983" s="152"/>
      <c r="O983" s="152"/>
      <c r="P983" s="152"/>
      <c r="Q983" s="152"/>
      <c r="R983" s="152"/>
      <c r="S983" s="152"/>
      <c r="T983" s="152"/>
      <c r="U983" s="152"/>
      <c r="V983" s="152"/>
      <c r="W983" s="281"/>
      <c r="X983" s="281"/>
      <c r="Y983" s="281"/>
      <c r="Z983" s="281"/>
      <c r="AA983" s="281"/>
      <c r="AB983" s="281"/>
      <c r="AC983" s="281"/>
      <c r="AD983" s="170"/>
      <c r="AE983" s="152"/>
      <c r="AF983" s="152"/>
      <c r="AG983" s="152"/>
      <c r="AH983" s="152"/>
      <c r="AI983" s="152"/>
      <c r="AJ983" s="152"/>
      <c r="AK983" s="152"/>
      <c r="AL983" s="152"/>
      <c r="AM983" s="152"/>
      <c r="AN983" s="152"/>
      <c r="AO983" s="152"/>
    </row>
    <row r="984" ht="12.75" customHeight="1">
      <c r="A984" s="288"/>
      <c r="B984" s="288"/>
      <c r="C984" s="288"/>
      <c r="D984" s="152"/>
      <c r="E984" s="289"/>
      <c r="F984" s="288"/>
      <c r="G984" s="152"/>
      <c r="H984" s="289"/>
      <c r="I984" s="289"/>
      <c r="J984" s="152"/>
      <c r="K984" s="152"/>
      <c r="L984" s="156"/>
      <c r="M984" s="152"/>
      <c r="N984" s="152"/>
      <c r="O984" s="152"/>
      <c r="P984" s="152"/>
      <c r="Q984" s="152"/>
      <c r="R984" s="152"/>
      <c r="S984" s="152"/>
      <c r="T984" s="152"/>
      <c r="U984" s="152"/>
      <c r="V984" s="152"/>
      <c r="W984" s="281"/>
      <c r="X984" s="281"/>
      <c r="Y984" s="281"/>
      <c r="Z984" s="281"/>
      <c r="AA984" s="281"/>
      <c r="AB984" s="281"/>
      <c r="AC984" s="281"/>
      <c r="AD984" s="170"/>
      <c r="AE984" s="152"/>
      <c r="AF984" s="152"/>
      <c r="AG984" s="152"/>
      <c r="AH984" s="152"/>
      <c r="AI984" s="152"/>
      <c r="AJ984" s="152"/>
      <c r="AK984" s="152"/>
      <c r="AL984" s="152"/>
      <c r="AM984" s="152"/>
      <c r="AN984" s="152"/>
      <c r="AO984" s="152"/>
    </row>
    <row r="985" ht="12.75" customHeight="1">
      <c r="A985" s="288"/>
      <c r="B985" s="288"/>
      <c r="C985" s="288"/>
      <c r="D985" s="152"/>
      <c r="E985" s="289"/>
      <c r="F985" s="288"/>
      <c r="G985" s="152"/>
      <c r="H985" s="289"/>
      <c r="I985" s="289"/>
      <c r="J985" s="152"/>
      <c r="K985" s="152"/>
      <c r="L985" s="156"/>
      <c r="M985" s="152"/>
      <c r="N985" s="152"/>
      <c r="O985" s="152"/>
      <c r="P985" s="152"/>
      <c r="Q985" s="152"/>
      <c r="R985" s="152"/>
      <c r="S985" s="152"/>
      <c r="T985" s="152"/>
      <c r="U985" s="152"/>
      <c r="V985" s="152"/>
      <c r="W985" s="281"/>
      <c r="X985" s="281"/>
      <c r="Y985" s="281"/>
      <c r="Z985" s="281"/>
      <c r="AA985" s="281"/>
      <c r="AB985" s="281"/>
      <c r="AC985" s="281"/>
      <c r="AD985" s="170"/>
      <c r="AE985" s="152"/>
      <c r="AF985" s="152"/>
      <c r="AG985" s="152"/>
      <c r="AH985" s="152"/>
      <c r="AI985" s="152"/>
      <c r="AJ985" s="152"/>
      <c r="AK985" s="152"/>
      <c r="AL985" s="152"/>
      <c r="AM985" s="152"/>
      <c r="AN985" s="152"/>
      <c r="AO985" s="152"/>
    </row>
    <row r="986" ht="12.75" customHeight="1">
      <c r="A986" s="288"/>
      <c r="B986" s="288"/>
      <c r="C986" s="288"/>
      <c r="D986" s="152"/>
      <c r="E986" s="289"/>
      <c r="F986" s="288"/>
      <c r="G986" s="152"/>
      <c r="H986" s="289"/>
      <c r="I986" s="289"/>
      <c r="J986" s="152"/>
      <c r="K986" s="152"/>
      <c r="L986" s="156"/>
      <c r="M986" s="152"/>
      <c r="N986" s="152"/>
      <c r="O986" s="152"/>
      <c r="P986" s="152"/>
      <c r="Q986" s="152"/>
      <c r="R986" s="152"/>
      <c r="S986" s="152"/>
      <c r="T986" s="152"/>
      <c r="U986" s="152"/>
      <c r="V986" s="152"/>
      <c r="W986" s="281"/>
      <c r="X986" s="281"/>
      <c r="Y986" s="281"/>
      <c r="Z986" s="281"/>
      <c r="AA986" s="281"/>
      <c r="AB986" s="281"/>
      <c r="AC986" s="281"/>
      <c r="AD986" s="170"/>
      <c r="AE986" s="152"/>
      <c r="AF986" s="152"/>
      <c r="AG986" s="152"/>
      <c r="AH986" s="152"/>
      <c r="AI986" s="152"/>
      <c r="AJ986" s="152"/>
      <c r="AK986" s="152"/>
      <c r="AL986" s="152"/>
      <c r="AM986" s="152"/>
      <c r="AN986" s="152"/>
      <c r="AO986" s="152"/>
    </row>
    <row r="987" ht="12.75" customHeight="1">
      <c r="A987" s="288"/>
      <c r="B987" s="288"/>
      <c r="C987" s="288"/>
      <c r="D987" s="152"/>
      <c r="E987" s="289"/>
      <c r="F987" s="288"/>
      <c r="G987" s="152"/>
      <c r="H987" s="289"/>
      <c r="I987" s="289"/>
      <c r="J987" s="152"/>
      <c r="K987" s="152"/>
      <c r="L987" s="156"/>
      <c r="M987" s="152"/>
      <c r="N987" s="152"/>
      <c r="O987" s="152"/>
      <c r="P987" s="152"/>
      <c r="Q987" s="152"/>
      <c r="R987" s="152"/>
      <c r="S987" s="152"/>
      <c r="T987" s="152"/>
      <c r="U987" s="152"/>
      <c r="V987" s="152"/>
      <c r="W987" s="281"/>
      <c r="X987" s="281"/>
      <c r="Y987" s="281"/>
      <c r="Z987" s="281"/>
      <c r="AA987" s="281"/>
      <c r="AB987" s="281"/>
      <c r="AC987" s="281"/>
      <c r="AD987" s="170"/>
      <c r="AE987" s="152"/>
      <c r="AF987" s="152"/>
      <c r="AG987" s="152"/>
      <c r="AH987" s="152"/>
      <c r="AI987" s="152"/>
      <c r="AJ987" s="152"/>
      <c r="AK987" s="152"/>
      <c r="AL987" s="152"/>
      <c r="AM987" s="152"/>
      <c r="AN987" s="152"/>
      <c r="AO987" s="152"/>
    </row>
    <row r="988" ht="12.75" customHeight="1">
      <c r="A988" s="288"/>
      <c r="B988" s="288"/>
      <c r="C988" s="288"/>
      <c r="D988" s="152"/>
      <c r="E988" s="289"/>
      <c r="F988" s="288"/>
      <c r="G988" s="152"/>
      <c r="H988" s="289"/>
      <c r="I988" s="289"/>
      <c r="J988" s="152"/>
      <c r="K988" s="152"/>
      <c r="L988" s="156"/>
      <c r="M988" s="152"/>
      <c r="N988" s="152"/>
      <c r="O988" s="152"/>
      <c r="P988" s="152"/>
      <c r="Q988" s="152"/>
      <c r="R988" s="152"/>
      <c r="S988" s="152"/>
      <c r="T988" s="152"/>
      <c r="U988" s="152"/>
      <c r="V988" s="152"/>
      <c r="W988" s="281"/>
      <c r="X988" s="281"/>
      <c r="Y988" s="281"/>
      <c r="Z988" s="281"/>
      <c r="AA988" s="281"/>
      <c r="AB988" s="281"/>
      <c r="AC988" s="281"/>
      <c r="AD988" s="170"/>
      <c r="AE988" s="152"/>
      <c r="AF988" s="152"/>
      <c r="AG988" s="152"/>
      <c r="AH988" s="152"/>
      <c r="AI988" s="152"/>
      <c r="AJ988" s="152"/>
      <c r="AK988" s="152"/>
      <c r="AL988" s="152"/>
      <c r="AM988" s="152"/>
      <c r="AN988" s="152"/>
      <c r="AO988" s="152"/>
    </row>
    <row r="989" ht="12.75" customHeight="1">
      <c r="A989" s="288"/>
      <c r="B989" s="288"/>
      <c r="C989" s="288"/>
      <c r="D989" s="152"/>
      <c r="E989" s="289"/>
      <c r="F989" s="288"/>
      <c r="G989" s="152"/>
      <c r="H989" s="289"/>
      <c r="I989" s="289"/>
      <c r="J989" s="152"/>
      <c r="K989" s="152"/>
      <c r="L989" s="156"/>
      <c r="M989" s="152"/>
      <c r="N989" s="152"/>
      <c r="O989" s="152"/>
      <c r="P989" s="152"/>
      <c r="Q989" s="152"/>
      <c r="R989" s="152"/>
      <c r="S989" s="152"/>
      <c r="T989" s="152"/>
      <c r="U989" s="152"/>
      <c r="V989" s="152"/>
      <c r="W989" s="281"/>
      <c r="X989" s="281"/>
      <c r="Y989" s="281"/>
      <c r="Z989" s="281"/>
      <c r="AA989" s="281"/>
      <c r="AB989" s="281"/>
      <c r="AC989" s="281"/>
      <c r="AD989" s="170"/>
      <c r="AE989" s="152"/>
      <c r="AF989" s="152"/>
      <c r="AG989" s="152"/>
      <c r="AH989" s="152"/>
      <c r="AI989" s="152"/>
      <c r="AJ989" s="152"/>
      <c r="AK989" s="152"/>
      <c r="AL989" s="152"/>
      <c r="AM989" s="152"/>
      <c r="AN989" s="152"/>
      <c r="AO989" s="152"/>
    </row>
    <row r="990" ht="12.75" customHeight="1">
      <c r="A990" s="288"/>
      <c r="B990" s="288"/>
      <c r="C990" s="288"/>
      <c r="D990" s="152"/>
      <c r="E990" s="289"/>
      <c r="F990" s="288"/>
      <c r="G990" s="152"/>
      <c r="H990" s="289"/>
      <c r="I990" s="289"/>
      <c r="J990" s="152"/>
      <c r="K990" s="152"/>
      <c r="L990" s="156"/>
      <c r="M990" s="152"/>
      <c r="N990" s="152"/>
      <c r="O990" s="152"/>
      <c r="P990" s="152"/>
      <c r="Q990" s="152"/>
      <c r="R990" s="152"/>
      <c r="S990" s="152"/>
      <c r="T990" s="152"/>
      <c r="U990" s="152"/>
      <c r="V990" s="152"/>
      <c r="W990" s="281"/>
      <c r="X990" s="281"/>
      <c r="Y990" s="281"/>
      <c r="Z990" s="281"/>
      <c r="AA990" s="281"/>
      <c r="AB990" s="281"/>
      <c r="AC990" s="281"/>
      <c r="AD990" s="170"/>
      <c r="AE990" s="152"/>
      <c r="AF990" s="152"/>
      <c r="AG990" s="152"/>
      <c r="AH990" s="152"/>
      <c r="AI990" s="152"/>
      <c r="AJ990" s="152"/>
      <c r="AK990" s="152"/>
      <c r="AL990" s="152"/>
      <c r="AM990" s="152"/>
      <c r="AN990" s="152"/>
      <c r="AO990" s="152"/>
    </row>
    <row r="991" ht="12.75" customHeight="1">
      <c r="A991" s="288"/>
      <c r="B991" s="288"/>
      <c r="C991" s="288"/>
      <c r="D991" s="152"/>
      <c r="E991" s="289"/>
      <c r="F991" s="288"/>
      <c r="G991" s="152"/>
      <c r="H991" s="289"/>
      <c r="I991" s="289"/>
      <c r="J991" s="152"/>
      <c r="K991" s="152"/>
      <c r="L991" s="156"/>
      <c r="M991" s="152"/>
      <c r="N991" s="152"/>
      <c r="O991" s="152"/>
      <c r="P991" s="152"/>
      <c r="Q991" s="152"/>
      <c r="R991" s="152"/>
      <c r="S991" s="152"/>
      <c r="T991" s="152"/>
      <c r="U991" s="152"/>
      <c r="V991" s="152"/>
      <c r="W991" s="281"/>
      <c r="X991" s="281"/>
      <c r="Y991" s="281"/>
      <c r="Z991" s="281"/>
      <c r="AA991" s="281"/>
      <c r="AB991" s="281"/>
      <c r="AC991" s="281"/>
      <c r="AD991" s="170"/>
      <c r="AE991" s="152"/>
      <c r="AF991" s="152"/>
      <c r="AG991" s="152"/>
      <c r="AH991" s="152"/>
      <c r="AI991" s="152"/>
      <c r="AJ991" s="152"/>
      <c r="AK991" s="152"/>
      <c r="AL991" s="152"/>
      <c r="AM991" s="152"/>
      <c r="AN991" s="152"/>
      <c r="AO991" s="152"/>
    </row>
    <row r="992" ht="12.75" customHeight="1">
      <c r="A992" s="288"/>
      <c r="B992" s="288"/>
      <c r="C992" s="288"/>
      <c r="D992" s="152"/>
      <c r="E992" s="289"/>
      <c r="F992" s="288"/>
      <c r="G992" s="152"/>
      <c r="H992" s="289"/>
      <c r="I992" s="289"/>
      <c r="J992" s="152"/>
      <c r="K992" s="152"/>
      <c r="L992" s="156"/>
      <c r="M992" s="152"/>
      <c r="N992" s="152"/>
      <c r="O992" s="152"/>
      <c r="P992" s="152"/>
      <c r="Q992" s="152"/>
      <c r="R992" s="152"/>
      <c r="S992" s="152"/>
      <c r="T992" s="152"/>
      <c r="U992" s="152"/>
      <c r="V992" s="152"/>
      <c r="W992" s="281"/>
      <c r="X992" s="281"/>
      <c r="Y992" s="281"/>
      <c r="Z992" s="281"/>
      <c r="AA992" s="281"/>
      <c r="AB992" s="281"/>
      <c r="AC992" s="281"/>
      <c r="AD992" s="170"/>
      <c r="AE992" s="152"/>
      <c r="AF992" s="152"/>
      <c r="AG992" s="152"/>
      <c r="AH992" s="152"/>
      <c r="AI992" s="152"/>
      <c r="AJ992" s="152"/>
      <c r="AK992" s="152"/>
      <c r="AL992" s="152"/>
      <c r="AM992" s="152"/>
      <c r="AN992" s="152"/>
      <c r="AO992" s="152"/>
    </row>
    <row r="993" ht="12.75" customHeight="1">
      <c r="A993" s="288"/>
      <c r="B993" s="288"/>
      <c r="C993" s="288"/>
      <c r="D993" s="152"/>
      <c r="E993" s="289"/>
      <c r="F993" s="288"/>
      <c r="G993" s="152"/>
      <c r="H993" s="289"/>
      <c r="I993" s="289"/>
      <c r="J993" s="152"/>
      <c r="K993" s="152"/>
      <c r="L993" s="156"/>
      <c r="M993" s="152"/>
      <c r="N993" s="152"/>
      <c r="O993" s="152"/>
      <c r="P993" s="152"/>
      <c r="Q993" s="152"/>
      <c r="R993" s="152"/>
      <c r="S993" s="152"/>
      <c r="T993" s="152"/>
      <c r="U993" s="152"/>
      <c r="V993" s="152"/>
      <c r="W993" s="281"/>
      <c r="X993" s="281"/>
      <c r="Y993" s="281"/>
      <c r="Z993" s="281"/>
      <c r="AA993" s="281"/>
      <c r="AB993" s="281"/>
      <c r="AC993" s="281"/>
      <c r="AD993" s="170"/>
      <c r="AE993" s="152"/>
      <c r="AF993" s="152"/>
      <c r="AG993" s="152"/>
      <c r="AH993" s="152"/>
      <c r="AI993" s="152"/>
      <c r="AJ993" s="152"/>
      <c r="AK993" s="152"/>
      <c r="AL993" s="152"/>
      <c r="AM993" s="152"/>
      <c r="AN993" s="152"/>
      <c r="AO993" s="152"/>
    </row>
    <row r="994" ht="12.75" customHeight="1">
      <c r="A994" s="288"/>
      <c r="B994" s="288"/>
      <c r="C994" s="288"/>
      <c r="D994" s="152"/>
      <c r="E994" s="289"/>
      <c r="F994" s="288"/>
      <c r="G994" s="152"/>
      <c r="H994" s="289"/>
      <c r="I994" s="289"/>
      <c r="J994" s="152"/>
      <c r="K994" s="152"/>
      <c r="L994" s="156"/>
      <c r="M994" s="152"/>
      <c r="N994" s="152"/>
      <c r="O994" s="152"/>
      <c r="P994" s="152"/>
      <c r="Q994" s="152"/>
      <c r="R994" s="152"/>
      <c r="S994" s="152"/>
      <c r="T994" s="152"/>
      <c r="U994" s="152"/>
      <c r="V994" s="152"/>
      <c r="W994" s="281"/>
      <c r="X994" s="281"/>
      <c r="Y994" s="281"/>
      <c r="Z994" s="281"/>
      <c r="AA994" s="281"/>
      <c r="AB994" s="281"/>
      <c r="AC994" s="281"/>
      <c r="AD994" s="170"/>
      <c r="AE994" s="152"/>
      <c r="AF994" s="152"/>
      <c r="AG994" s="152"/>
      <c r="AH994" s="152"/>
      <c r="AI994" s="152"/>
      <c r="AJ994" s="152"/>
      <c r="AK994" s="152"/>
      <c r="AL994" s="152"/>
      <c r="AM994" s="152"/>
      <c r="AN994" s="152"/>
      <c r="AO994" s="152"/>
    </row>
    <row r="995" ht="12.75" customHeight="1">
      <c r="A995" s="288"/>
      <c r="B995" s="288"/>
      <c r="C995" s="288"/>
      <c r="D995" s="152"/>
      <c r="E995" s="289"/>
      <c r="F995" s="288"/>
      <c r="G995" s="152"/>
      <c r="H995" s="289"/>
      <c r="I995" s="289"/>
      <c r="J995" s="152"/>
      <c r="K995" s="152"/>
      <c r="L995" s="156"/>
      <c r="M995" s="152"/>
      <c r="N995" s="152"/>
      <c r="O995" s="152"/>
      <c r="P995" s="152"/>
      <c r="Q995" s="152"/>
      <c r="R995" s="152"/>
      <c r="S995" s="152"/>
      <c r="T995" s="152"/>
      <c r="U995" s="152"/>
      <c r="V995" s="152"/>
      <c r="W995" s="281"/>
      <c r="X995" s="281"/>
      <c r="Y995" s="281"/>
      <c r="Z995" s="281"/>
      <c r="AA995" s="281"/>
      <c r="AB995" s="281"/>
      <c r="AC995" s="281"/>
      <c r="AD995" s="170"/>
      <c r="AE995" s="152"/>
      <c r="AF995" s="152"/>
      <c r="AG995" s="152"/>
      <c r="AH995" s="152"/>
      <c r="AI995" s="152"/>
      <c r="AJ995" s="152"/>
      <c r="AK995" s="152"/>
      <c r="AL995" s="152"/>
      <c r="AM995" s="152"/>
      <c r="AN995" s="152"/>
      <c r="AO995" s="152"/>
    </row>
    <row r="996" ht="12.75" customHeight="1">
      <c r="A996" s="288"/>
      <c r="B996" s="288"/>
      <c r="C996" s="288"/>
      <c r="D996" s="152"/>
      <c r="E996" s="289"/>
      <c r="F996" s="288"/>
      <c r="G996" s="152"/>
      <c r="H996" s="289"/>
      <c r="I996" s="289"/>
      <c r="J996" s="152"/>
      <c r="K996" s="152"/>
      <c r="L996" s="156"/>
      <c r="M996" s="152"/>
      <c r="N996" s="152"/>
      <c r="O996" s="152"/>
      <c r="P996" s="152"/>
      <c r="Q996" s="152"/>
      <c r="R996" s="152"/>
      <c r="S996" s="152"/>
      <c r="T996" s="152"/>
      <c r="U996" s="152"/>
      <c r="V996" s="152"/>
      <c r="W996" s="281"/>
      <c r="X996" s="281"/>
      <c r="Y996" s="281"/>
      <c r="Z996" s="281"/>
      <c r="AA996" s="281"/>
      <c r="AB996" s="281"/>
      <c r="AC996" s="281"/>
      <c r="AD996" s="170"/>
      <c r="AE996" s="152"/>
      <c r="AF996" s="152"/>
      <c r="AG996" s="152"/>
      <c r="AH996" s="152"/>
      <c r="AI996" s="152"/>
      <c r="AJ996" s="152"/>
      <c r="AK996" s="152"/>
      <c r="AL996" s="152"/>
      <c r="AM996" s="152"/>
      <c r="AN996" s="152"/>
      <c r="AO996" s="152"/>
    </row>
    <row r="997" ht="12.75" customHeight="1">
      <c r="A997" s="288"/>
      <c r="B997" s="288"/>
      <c r="C997" s="288"/>
      <c r="D997" s="152"/>
      <c r="E997" s="289"/>
      <c r="F997" s="288"/>
      <c r="G997" s="152"/>
      <c r="H997" s="289"/>
      <c r="I997" s="289"/>
      <c r="J997" s="152"/>
      <c r="K997" s="152"/>
      <c r="L997" s="156"/>
      <c r="M997" s="152"/>
      <c r="N997" s="152"/>
      <c r="O997" s="152"/>
      <c r="P997" s="152"/>
      <c r="Q997" s="152"/>
      <c r="R997" s="152"/>
      <c r="S997" s="152"/>
      <c r="T997" s="152"/>
      <c r="U997" s="152"/>
      <c r="V997" s="152"/>
      <c r="W997" s="281"/>
      <c r="X997" s="281"/>
      <c r="Y997" s="281"/>
      <c r="Z997" s="281"/>
      <c r="AA997" s="281"/>
      <c r="AB997" s="281"/>
      <c r="AC997" s="281"/>
      <c r="AD997" s="170"/>
      <c r="AE997" s="152"/>
      <c r="AF997" s="152"/>
      <c r="AG997" s="152"/>
      <c r="AH997" s="152"/>
      <c r="AI997" s="152"/>
      <c r="AJ997" s="152"/>
      <c r="AK997" s="152"/>
      <c r="AL997" s="152"/>
      <c r="AM997" s="152"/>
      <c r="AN997" s="152"/>
      <c r="AO997" s="152"/>
    </row>
    <row r="998" ht="12.75" customHeight="1">
      <c r="A998" s="288"/>
      <c r="B998" s="288"/>
      <c r="C998" s="288"/>
      <c r="D998" s="152"/>
      <c r="E998" s="289"/>
      <c r="F998" s="288"/>
      <c r="G998" s="152"/>
      <c r="H998" s="289"/>
      <c r="I998" s="289"/>
      <c r="J998" s="152"/>
      <c r="K998" s="152"/>
      <c r="L998" s="156"/>
      <c r="M998" s="152"/>
      <c r="N998" s="152"/>
      <c r="O998" s="152"/>
      <c r="P998" s="152"/>
      <c r="Q998" s="152"/>
      <c r="R998" s="152"/>
      <c r="S998" s="152"/>
      <c r="T998" s="152"/>
      <c r="U998" s="152"/>
      <c r="V998" s="152"/>
      <c r="W998" s="281"/>
      <c r="X998" s="281"/>
      <c r="Y998" s="281"/>
      <c r="Z998" s="281"/>
      <c r="AA998" s="281"/>
      <c r="AB998" s="281"/>
      <c r="AC998" s="281"/>
      <c r="AD998" s="170"/>
      <c r="AE998" s="152"/>
      <c r="AF998" s="152"/>
      <c r="AG998" s="152"/>
      <c r="AH998" s="152"/>
      <c r="AI998" s="152"/>
      <c r="AJ998" s="152"/>
      <c r="AK998" s="152"/>
      <c r="AL998" s="152"/>
      <c r="AM998" s="152"/>
      <c r="AN998" s="152"/>
      <c r="AO998" s="152"/>
    </row>
    <row r="999" ht="12.75" customHeight="1">
      <c r="A999" s="288"/>
      <c r="B999" s="288"/>
      <c r="C999" s="288"/>
      <c r="D999" s="152"/>
      <c r="E999" s="289"/>
      <c r="F999" s="288"/>
      <c r="G999" s="152"/>
      <c r="H999" s="289"/>
      <c r="I999" s="289"/>
      <c r="J999" s="152"/>
      <c r="K999" s="152"/>
      <c r="L999" s="156"/>
      <c r="M999" s="152"/>
      <c r="N999" s="152"/>
      <c r="O999" s="152"/>
      <c r="P999" s="152"/>
      <c r="Q999" s="152"/>
      <c r="R999" s="152"/>
      <c r="S999" s="152"/>
      <c r="T999" s="152"/>
      <c r="U999" s="152"/>
      <c r="V999" s="152"/>
      <c r="W999" s="281"/>
      <c r="X999" s="281"/>
      <c r="Y999" s="281"/>
      <c r="Z999" s="281"/>
      <c r="AA999" s="281"/>
      <c r="AB999" s="281"/>
      <c r="AC999" s="281"/>
      <c r="AD999" s="170"/>
      <c r="AE999" s="152"/>
      <c r="AF999" s="152"/>
      <c r="AG999" s="152"/>
      <c r="AH999" s="152"/>
      <c r="AI999" s="152"/>
      <c r="AJ999" s="152"/>
      <c r="AK999" s="152"/>
      <c r="AL999" s="152"/>
      <c r="AM999" s="152"/>
      <c r="AN999" s="152"/>
      <c r="AO999" s="152"/>
    </row>
    <row r="1000" ht="12.75" customHeight="1">
      <c r="A1000" s="288"/>
      <c r="B1000" s="288"/>
      <c r="C1000" s="288"/>
      <c r="D1000" s="152"/>
      <c r="E1000" s="289"/>
      <c r="F1000" s="288"/>
      <c r="G1000" s="152"/>
      <c r="H1000" s="289"/>
      <c r="I1000" s="289"/>
      <c r="J1000" s="152"/>
      <c r="K1000" s="152"/>
      <c r="L1000" s="156"/>
      <c r="M1000" s="152"/>
      <c r="N1000" s="152"/>
      <c r="O1000" s="152"/>
      <c r="P1000" s="152"/>
      <c r="Q1000" s="152"/>
      <c r="R1000" s="152"/>
      <c r="S1000" s="152"/>
      <c r="T1000" s="152"/>
      <c r="U1000" s="152"/>
      <c r="V1000" s="152"/>
      <c r="W1000" s="281"/>
      <c r="X1000" s="281"/>
      <c r="Y1000" s="281"/>
      <c r="Z1000" s="281"/>
      <c r="AA1000" s="281"/>
      <c r="AB1000" s="281"/>
      <c r="AC1000" s="281"/>
      <c r="AD1000" s="170"/>
      <c r="AE1000" s="152"/>
      <c r="AF1000" s="152"/>
      <c r="AG1000" s="152"/>
      <c r="AH1000" s="152"/>
      <c r="AI1000" s="152"/>
      <c r="AJ1000" s="152"/>
      <c r="AK1000" s="152"/>
      <c r="AL1000" s="152"/>
      <c r="AM1000" s="152"/>
      <c r="AN1000" s="152"/>
      <c r="AO1000" s="152"/>
    </row>
  </sheetData>
  <autoFilter ref="$A$1:$AD$169"/>
  <customSheetViews>
    <customSheetView guid="{FD500D99-E418-47D2-AA34-E609A9770D42}" filter="1" showAutoFilter="1">
      <autoFilter ref="$L$4"/>
    </customSheetView>
    <customSheetView guid="{BAD36032-0CF3-4D68-9DB3-6D5C3E3FE4F9}" filter="1" showAutoFilter="1">
      <autoFilter ref="$K$9:$L$17"/>
    </customSheetView>
  </customSheetViews>
  <conditionalFormatting sqref="F1 H1:I1 L1 V1">
    <cfRule type="expression" dxfId="3" priority="1" stopIfTrue="1">
      <formula>"$D5=$Q5"</formula>
    </cfRule>
  </conditionalFormatting>
  <conditionalFormatting sqref="J1:K1">
    <cfRule type="expression" dxfId="3" priority="2" stopIfTrue="1">
      <formula>"$D5=$Q5"</formula>
    </cfRule>
  </conditionalFormatting>
  <conditionalFormatting sqref="L2:L169">
    <cfRule type="notContainsBlanks" dxfId="4" priority="3">
      <formula>LEN(TRIM(L2))&gt;0</formula>
    </cfRule>
  </conditionalFormatting>
  <conditionalFormatting sqref="M1:U1">
    <cfRule type="expression" dxfId="3" priority="4" stopIfTrue="1">
      <formula>"$D5=$Q5"</formula>
    </cfRule>
  </conditionalFormatting>
  <dataValidations>
    <dataValidation type="custom" allowBlank="1" showInputMessage="1" showErrorMessage="1" prompt="Error - Do not enter Compliance Statements in headlines or comments!" sqref="J2 J5 J8 J18 J27 J29 J34 J37 J69 J89 J92 J109 J126 J129 J146 J165">
      <formula1>"Not Applicable"</formula1>
    </dataValidation>
    <dataValidation type="custom" allowBlank="1" showInputMessage="1" showErrorMessage="1" prompt="Error - Do not enter Compliance Statements in Comments Vendor requirements!" sqref="J9:J16 J30 J32">
      <formula1>"Not Applicable"</formula1>
    </dataValidation>
    <dataValidation type="list" allowBlank="1" showInputMessage="1" showErrorMessage="1" prompt="Compliance Statement Selection - Invalid value, please reselect" sqref="J17 J19:J26 J28 J31 J33 J38:J68 J70:J88 J93:J108 J110:J125 J130:J145 J147:J164 J166:J169">
      <formula1>"Complies,Partially Complies,Does Not Comply,Not Applicable"</formula1>
    </dataValidation>
    <dataValidation type="custom" allowBlank="1" showInputMessage="1" showErrorMessage="1" prompt="Error - Do not enter Compliance Statements for Comment lines!" sqref="J3:J4 J6:J7 J35:J36 J90:J91 J127:J128">
      <formula1>"Not Applicable"</formula1>
    </dataValidation>
    <dataValidation type="custom" allowBlank="1" showInputMessage="1" showErrorMessage="1" prompt="Error - Do not enter Vendor Comments for Comment lines!" sqref="K3:K4 K6:K7 K35:K36 K90:K91 K127:K128">
      <formula1>"Not Applicable"</formula1>
    </dataValidation>
    <dataValidation type="custom" allowBlank="1" showInputMessage="1" showErrorMessage="1" prompt="Error - Do not enter comments here!" sqref="K2 K5 K8 K18 K27 K29 K34 K37 K69 K89 K92 K109 K126 K129 K146 K165">
      <formula1>"Not Applicable"</formula1>
    </dataValidation>
  </dataValidations>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0"/>
  <cols>
    <col customWidth="1" min="1" max="1" width="9.14"/>
    <col customWidth="1" min="2" max="2" width="10.0"/>
    <col customWidth="1" min="3" max="3" width="10.86"/>
    <col customWidth="1" min="4" max="4" width="8.0"/>
    <col customWidth="1" min="5" max="5" width="4.14"/>
    <col customWidth="1" min="6" max="6" width="14.71"/>
    <col customWidth="1" min="7" max="7" width="45.71"/>
    <col customWidth="1" min="8" max="8" width="16.71"/>
    <col customWidth="1" min="9" max="9" width="17.86"/>
    <col customWidth="1" min="10" max="10" width="9.71"/>
    <col customWidth="1" hidden="1" min="11" max="11" width="15.0"/>
    <col customWidth="1" hidden="1" min="12" max="12" width="10.57"/>
    <col customWidth="1" min="13" max="13" width="16.57"/>
    <col customWidth="1" min="14" max="14" width="25.86"/>
    <col customWidth="1" min="15" max="15" width="20.29"/>
    <col customWidth="1" hidden="1" min="16" max="24" width="9.14"/>
    <col customWidth="1" hidden="1" min="25" max="25" width="5.0"/>
    <col customWidth="1" hidden="1" min="26" max="26" width="12.0"/>
    <col customWidth="1" hidden="1" min="27" max="27" width="16.29"/>
    <col customWidth="1" hidden="1" min="28" max="28" width="10.29"/>
    <col customWidth="1" hidden="1" min="29" max="29" width="29.86"/>
    <col customWidth="1" hidden="1" min="30" max="30" width="10.29"/>
    <col customWidth="1" hidden="1" min="31" max="31" width="12.71"/>
    <col customWidth="1" hidden="1" min="32" max="32" width="11.43"/>
    <col customWidth="1" hidden="1" min="33" max="33" width="29.71"/>
    <col customWidth="1" min="34" max="44" width="9.14"/>
  </cols>
  <sheetData>
    <row r="1" ht="30.0" customHeight="1">
      <c r="A1" s="283" t="s">
        <v>363</v>
      </c>
      <c r="B1" s="283" t="s">
        <v>364</v>
      </c>
      <c r="C1" s="283" t="s">
        <v>365</v>
      </c>
      <c r="D1" s="284" t="s">
        <v>366</v>
      </c>
      <c r="E1" s="285" t="s">
        <v>367</v>
      </c>
      <c r="F1" s="286" t="s">
        <v>56</v>
      </c>
      <c r="G1" s="233" t="s">
        <v>368</v>
      </c>
      <c r="H1" s="233" t="s">
        <v>5721</v>
      </c>
      <c r="I1" s="233" t="s">
        <v>5722</v>
      </c>
      <c r="J1" s="233" t="s">
        <v>5723</v>
      </c>
      <c r="K1" s="233" t="s">
        <v>132</v>
      </c>
      <c r="L1" s="233" t="s">
        <v>369</v>
      </c>
      <c r="M1" s="290" t="s">
        <v>370</v>
      </c>
      <c r="N1" s="290" t="s">
        <v>62</v>
      </c>
      <c r="O1" s="233" t="s">
        <v>371</v>
      </c>
      <c r="P1" s="234" t="s">
        <v>133</v>
      </c>
      <c r="Q1" s="234" t="s">
        <v>134</v>
      </c>
      <c r="R1" s="234" t="s">
        <v>135</v>
      </c>
      <c r="S1" s="234" t="s">
        <v>136</v>
      </c>
      <c r="T1" s="234" t="s">
        <v>137</v>
      </c>
      <c r="U1" s="234" t="s">
        <v>9</v>
      </c>
      <c r="V1" s="234" t="s">
        <v>138</v>
      </c>
      <c r="W1" s="234" t="s">
        <v>139</v>
      </c>
      <c r="X1" s="234" t="s">
        <v>140</v>
      </c>
      <c r="Y1" s="233" t="s">
        <v>377</v>
      </c>
      <c r="Z1" s="234" t="s">
        <v>378</v>
      </c>
      <c r="AA1" s="283" t="s">
        <v>379</v>
      </c>
      <c r="AB1" s="283" t="s">
        <v>380</v>
      </c>
      <c r="AC1" s="283" t="s">
        <v>381</v>
      </c>
      <c r="AD1" s="283" t="s">
        <v>382</v>
      </c>
      <c r="AE1" s="283" t="s">
        <v>383</v>
      </c>
      <c r="AF1" s="283" t="s">
        <v>384</v>
      </c>
      <c r="AG1" s="234" t="s">
        <v>385</v>
      </c>
      <c r="AH1" s="287"/>
      <c r="AI1" s="287"/>
      <c r="AJ1" s="287"/>
      <c r="AK1" s="287"/>
      <c r="AL1" s="287"/>
      <c r="AM1" s="287"/>
      <c r="AN1" s="287"/>
      <c r="AO1" s="287"/>
      <c r="AP1" s="287"/>
      <c r="AQ1" s="287"/>
      <c r="AR1" s="287"/>
    </row>
    <row r="2" ht="12.75" customHeight="1">
      <c r="A2" s="238" t="s">
        <v>5158</v>
      </c>
      <c r="B2" s="238" t="s">
        <v>144</v>
      </c>
      <c r="C2" s="238" t="s">
        <v>1062</v>
      </c>
      <c r="D2" s="240"/>
      <c r="E2" s="240" t="s">
        <v>92</v>
      </c>
      <c r="F2" s="240" t="str">
        <f t="array" ref="F2">XLOOKUP(Cover!$D$12,$P$1:$X$1,$P2:$X2)</f>
        <v>Heading</v>
      </c>
      <c r="G2" s="239" t="s">
        <v>5724</v>
      </c>
      <c r="H2" s="240"/>
      <c r="I2" s="240"/>
      <c r="J2" s="240"/>
      <c r="K2" s="240"/>
      <c r="L2" s="240" t="s">
        <v>759</v>
      </c>
      <c r="M2" s="240"/>
      <c r="N2" s="240"/>
      <c r="O2" s="240" t="str">
        <f t="shared" ref="O2:O305" si="1">AG2</f>
        <v/>
      </c>
      <c r="P2" s="240" t="s">
        <v>390</v>
      </c>
      <c r="Q2" s="240" t="s">
        <v>390</v>
      </c>
      <c r="R2" s="240" t="s">
        <v>390</v>
      </c>
      <c r="S2" s="240" t="s">
        <v>390</v>
      </c>
      <c r="T2" s="240" t="s">
        <v>390</v>
      </c>
      <c r="U2" s="240" t="s">
        <v>390</v>
      </c>
      <c r="V2" s="240" t="s">
        <v>390</v>
      </c>
      <c r="W2" s="240" t="s">
        <v>390</v>
      </c>
      <c r="X2" s="240" t="s">
        <v>390</v>
      </c>
      <c r="Y2" s="240"/>
      <c r="Z2" s="242" t="b">
        <f t="shared" ref="Z2:Z305" si="2">OR(M2=COM,M2=PC,M2=DNC,M2=NA,OR(AF2=DNC,AF2=NA,AB2))</f>
        <v>0</v>
      </c>
      <c r="AA2" s="240" t="s">
        <v>391</v>
      </c>
      <c r="AB2" s="242" t="b">
        <f t="shared" ref="AB2:AB305" si="3">IF(F2="Comments Vendor",TRUE,FALSE)</f>
        <v>0</v>
      </c>
      <c r="AC2" s="240"/>
      <c r="AD2" s="242" t="b">
        <f t="shared" ref="AD2:AD305" si="4">IF(AC2&lt;&gt;"",AND(M2&lt;&gt;NA,OR(NOT(ISERROR(FIND("xx",N2))),N2="",N2="tbd")),AND(N2="",OR(NOT(ISERROR(FIND(AA2,M2,1))),M2=PC,AND(AB2,M2&lt;&gt;NA)),OR(AF2=COM,AF2=PC,AF2="N/A")))</f>
        <v>0</v>
      </c>
      <c r="AE2" s="240"/>
      <c r="AF2" s="242" t="str">
        <f>IF(AE2="","N/A",INDIRECT("MTR!"&amp;ADDRESS(MATCH(LEFT(AE2,9),MTR!C:C,0),COLUMN(J2)),TRUE) &amp; "")</f>
        <v>N/A</v>
      </c>
      <c r="AG2" s="157" t="str">
        <f t="shared" ref="AG2:AG305" si="5">IF(OR(F2="Heading",F2="Comment",F2="N/A"),"",IF(AF2="","FilterCheck analysis not possible as answer to " &amp; AE2 &amp; " outstanding.",IF(Z2,IF(AD2,IF(M2=PC,"Why is this partially compliant?","Comments Vendor missing!")&amp;"
",""),"Compliance Statement "&amp;IF(M2="","missing!","wrong!")) &amp; IF(AND(OR(AF2=DNC,AF2=NA),OR(M2=COM,M2=PC)),"Inconsistent answer, as " &amp; AE2 &amp; " not supported!","")))</f>
        <v/>
      </c>
      <c r="AH2" s="170"/>
      <c r="AI2" s="152"/>
      <c r="AJ2" s="152"/>
      <c r="AK2" s="152"/>
      <c r="AL2" s="152"/>
      <c r="AM2" s="152"/>
      <c r="AN2" s="152"/>
      <c r="AO2" s="152"/>
      <c r="AP2" s="152"/>
      <c r="AQ2" s="152"/>
      <c r="AR2" s="152"/>
    </row>
    <row r="3" ht="12.75" customHeight="1">
      <c r="A3" s="238" t="s">
        <v>5158</v>
      </c>
      <c r="B3" s="238" t="s">
        <v>5725</v>
      </c>
      <c r="C3" s="238" t="s">
        <v>5726</v>
      </c>
      <c r="D3" s="240"/>
      <c r="E3" s="240" t="s">
        <v>92</v>
      </c>
      <c r="F3" s="240" t="str">
        <f t="array" ref="F3">XLOOKUP(Cover!$D$12,$P$1:$X$1,$P3:$X3)</f>
        <v>Heading</v>
      </c>
      <c r="G3" s="239" t="s">
        <v>5727</v>
      </c>
      <c r="H3" s="240"/>
      <c r="I3" s="240"/>
      <c r="J3" s="240"/>
      <c r="K3" s="240"/>
      <c r="L3" s="240" t="s">
        <v>759</v>
      </c>
      <c r="M3" s="240"/>
      <c r="N3" s="240"/>
      <c r="O3" s="240" t="str">
        <f t="shared" si="1"/>
        <v/>
      </c>
      <c r="P3" s="240" t="s">
        <v>390</v>
      </c>
      <c r="Q3" s="240" t="s">
        <v>390</v>
      </c>
      <c r="R3" s="240" t="s">
        <v>390</v>
      </c>
      <c r="S3" s="240" t="s">
        <v>390</v>
      </c>
      <c r="T3" s="240" t="s">
        <v>390</v>
      </c>
      <c r="U3" s="240" t="s">
        <v>390</v>
      </c>
      <c r="V3" s="240" t="s">
        <v>390</v>
      </c>
      <c r="W3" s="240" t="s">
        <v>390</v>
      </c>
      <c r="X3" s="240" t="s">
        <v>390</v>
      </c>
      <c r="Y3" s="240"/>
      <c r="Z3" s="242" t="b">
        <f t="shared" si="2"/>
        <v>0</v>
      </c>
      <c r="AA3" s="240" t="s">
        <v>391</v>
      </c>
      <c r="AB3" s="242" t="b">
        <f t="shared" si="3"/>
        <v>0</v>
      </c>
      <c r="AC3" s="240"/>
      <c r="AD3" s="242" t="b">
        <f t="shared" si="4"/>
        <v>0</v>
      </c>
      <c r="AE3" s="240"/>
      <c r="AF3" s="242" t="str">
        <f>IF(AE3="","N/A",INDIRECT("MTR!"&amp;ADDRESS(MATCH(LEFT(AE3,9),MTR!C:C,0),COLUMN(J3)),TRUE) &amp; "")</f>
        <v>N/A</v>
      </c>
      <c r="AG3" s="157" t="str">
        <f t="shared" si="5"/>
        <v/>
      </c>
      <c r="AH3" s="170"/>
      <c r="AI3" s="152"/>
      <c r="AJ3" s="152"/>
      <c r="AK3" s="152"/>
      <c r="AL3" s="152"/>
      <c r="AM3" s="152"/>
      <c r="AN3" s="152"/>
      <c r="AO3" s="152"/>
      <c r="AP3" s="152"/>
      <c r="AQ3" s="152"/>
      <c r="AR3" s="152"/>
    </row>
    <row r="4" ht="12.75" customHeight="1">
      <c r="A4" s="244" t="s">
        <v>5158</v>
      </c>
      <c r="B4" s="244" t="s">
        <v>5725</v>
      </c>
      <c r="C4" s="244" t="s">
        <v>5728</v>
      </c>
      <c r="D4" s="154" t="s">
        <v>1120</v>
      </c>
      <c r="E4" s="154"/>
      <c r="F4" s="154" t="str">
        <f t="array" ref="F4">XLOOKUP(Cover!$D$12,$P$1:$X$1,$P4:$X4)</f>
        <v>Information</v>
      </c>
      <c r="G4" s="154" t="s">
        <v>5729</v>
      </c>
      <c r="H4" s="154" t="s">
        <v>5730</v>
      </c>
      <c r="I4" s="154" t="s">
        <v>5731</v>
      </c>
      <c r="J4" s="154" t="s">
        <v>5732</v>
      </c>
      <c r="K4" s="154"/>
      <c r="L4" s="154" t="s">
        <v>759</v>
      </c>
      <c r="M4" s="247" t="s">
        <v>445</v>
      </c>
      <c r="N4" s="247" t="s">
        <v>5733</v>
      </c>
      <c r="O4" s="240" t="str">
        <f t="shared" si="1"/>
        <v/>
      </c>
      <c r="P4" s="154" t="s">
        <v>66</v>
      </c>
      <c r="Q4" s="154" t="s">
        <v>66</v>
      </c>
      <c r="R4" s="154" t="s">
        <v>66</v>
      </c>
      <c r="S4" s="154" t="s">
        <v>66</v>
      </c>
      <c r="T4" s="154" t="s">
        <v>66</v>
      </c>
      <c r="U4" s="154" t="s">
        <v>66</v>
      </c>
      <c r="V4" s="154" t="s">
        <v>66</v>
      </c>
      <c r="W4" s="154" t="s">
        <v>66</v>
      </c>
      <c r="X4" s="154" t="s">
        <v>66</v>
      </c>
      <c r="Y4" s="154"/>
      <c r="Z4" s="242" t="b">
        <f t="shared" si="2"/>
        <v>1</v>
      </c>
      <c r="AA4" s="154" t="s">
        <v>391</v>
      </c>
      <c r="AB4" s="242" t="b">
        <f t="shared" si="3"/>
        <v>0</v>
      </c>
      <c r="AC4" s="154"/>
      <c r="AD4" s="242" t="b">
        <f t="shared" si="4"/>
        <v>0</v>
      </c>
      <c r="AE4" s="154" t="s">
        <v>999</v>
      </c>
      <c r="AF4" s="242" t="str">
        <f>IF(AE4="","N/A",INDIRECT("MTR!"&amp;ADDRESS(MATCH(LEFT(AE4,9),MTR!C:C,0),COLUMN(J4)),TRUE) &amp; "")</f>
        <v>Complies</v>
      </c>
      <c r="AG4" s="157" t="str">
        <f t="shared" si="5"/>
        <v/>
      </c>
      <c r="AH4" s="170"/>
      <c r="AI4" s="152"/>
      <c r="AJ4" s="152"/>
      <c r="AK4" s="152"/>
      <c r="AL4" s="152"/>
      <c r="AM4" s="152"/>
      <c r="AN4" s="152"/>
      <c r="AO4" s="152"/>
      <c r="AP4" s="152"/>
      <c r="AQ4" s="152"/>
      <c r="AR4" s="152"/>
    </row>
    <row r="5" ht="12.75" customHeight="1">
      <c r="A5" s="244" t="s">
        <v>5158</v>
      </c>
      <c r="B5" s="244" t="s">
        <v>5725</v>
      </c>
      <c r="C5" s="244" t="s">
        <v>5734</v>
      </c>
      <c r="D5" s="154" t="s">
        <v>422</v>
      </c>
      <c r="E5" s="154"/>
      <c r="F5" s="154" t="str">
        <f t="array" ref="F5">XLOOKUP(Cover!$D$12,$P$1:$X$1,$P5:$X5)</f>
        <v>Information</v>
      </c>
      <c r="G5" s="154" t="s">
        <v>5735</v>
      </c>
      <c r="H5" s="154" t="s">
        <v>5736</v>
      </c>
      <c r="I5" s="154" t="s">
        <v>5737</v>
      </c>
      <c r="J5" s="154" t="s">
        <v>5738</v>
      </c>
      <c r="K5" s="154"/>
      <c r="L5" s="154" t="s">
        <v>759</v>
      </c>
      <c r="M5" s="247" t="s">
        <v>445</v>
      </c>
      <c r="N5" s="247" t="s">
        <v>5733</v>
      </c>
      <c r="O5" s="240" t="str">
        <f t="shared" si="1"/>
        <v/>
      </c>
      <c r="P5" s="154" t="s">
        <v>66</v>
      </c>
      <c r="Q5" s="154" t="s">
        <v>66</v>
      </c>
      <c r="R5" s="154" t="s">
        <v>66</v>
      </c>
      <c r="S5" s="154" t="s">
        <v>66</v>
      </c>
      <c r="T5" s="154" t="s">
        <v>66</v>
      </c>
      <c r="U5" s="154" t="s">
        <v>66</v>
      </c>
      <c r="V5" s="154" t="s">
        <v>66</v>
      </c>
      <c r="W5" s="154" t="s">
        <v>66</v>
      </c>
      <c r="X5" s="154" t="s">
        <v>66</v>
      </c>
      <c r="Y5" s="154"/>
      <c r="Z5" s="242" t="b">
        <f t="shared" si="2"/>
        <v>1</v>
      </c>
      <c r="AA5" s="154" t="s">
        <v>391</v>
      </c>
      <c r="AB5" s="242" t="b">
        <f t="shared" si="3"/>
        <v>0</v>
      </c>
      <c r="AC5" s="154"/>
      <c r="AD5" s="242" t="b">
        <f t="shared" si="4"/>
        <v>0</v>
      </c>
      <c r="AE5" s="154" t="s">
        <v>999</v>
      </c>
      <c r="AF5" s="242" t="str">
        <f>IF(AE5="","N/A",INDIRECT("MTR!"&amp;ADDRESS(MATCH(LEFT(AE5,9),MTR!C:C,0),COLUMN(J5)),TRUE) &amp; "")</f>
        <v>Complies</v>
      </c>
      <c r="AG5" s="157" t="str">
        <f t="shared" si="5"/>
        <v/>
      </c>
      <c r="AH5" s="170"/>
      <c r="AI5" s="152"/>
      <c r="AJ5" s="152"/>
      <c r="AK5" s="152"/>
      <c r="AL5" s="152"/>
      <c r="AM5" s="152"/>
      <c r="AN5" s="152"/>
      <c r="AO5" s="152"/>
      <c r="AP5" s="152"/>
      <c r="AQ5" s="152"/>
      <c r="AR5" s="152"/>
    </row>
    <row r="6" ht="12.75" customHeight="1">
      <c r="A6" s="244" t="s">
        <v>5158</v>
      </c>
      <c r="B6" s="244" t="s">
        <v>5725</v>
      </c>
      <c r="C6" s="244" t="s">
        <v>5739</v>
      </c>
      <c r="D6" s="154" t="s">
        <v>1120</v>
      </c>
      <c r="E6" s="154"/>
      <c r="F6" s="154" t="str">
        <f t="array" ref="F6">XLOOKUP(Cover!$D$12,$P$1:$X$1,$P6:$X6)</f>
        <v>Information</v>
      </c>
      <c r="G6" s="154" t="s">
        <v>5740</v>
      </c>
      <c r="H6" s="154" t="s">
        <v>5736</v>
      </c>
      <c r="I6" s="154" t="s">
        <v>5737</v>
      </c>
      <c r="J6" s="154" t="s">
        <v>5738</v>
      </c>
      <c r="K6" s="154"/>
      <c r="L6" s="154" t="s">
        <v>759</v>
      </c>
      <c r="M6" s="247" t="s">
        <v>445</v>
      </c>
      <c r="N6" s="247" t="s">
        <v>5733</v>
      </c>
      <c r="O6" s="240" t="str">
        <f t="shared" si="1"/>
        <v/>
      </c>
      <c r="P6" s="154" t="s">
        <v>66</v>
      </c>
      <c r="Q6" s="154" t="s">
        <v>66</v>
      </c>
      <c r="R6" s="154" t="s">
        <v>66</v>
      </c>
      <c r="S6" s="154" t="s">
        <v>66</v>
      </c>
      <c r="T6" s="154" t="s">
        <v>66</v>
      </c>
      <c r="U6" s="154" t="s">
        <v>66</v>
      </c>
      <c r="V6" s="154" t="s">
        <v>66</v>
      </c>
      <c r="W6" s="154" t="s">
        <v>66</v>
      </c>
      <c r="X6" s="154" t="s">
        <v>66</v>
      </c>
      <c r="Y6" s="154"/>
      <c r="Z6" s="242" t="b">
        <f t="shared" si="2"/>
        <v>1</v>
      </c>
      <c r="AA6" s="154" t="s">
        <v>391</v>
      </c>
      <c r="AB6" s="242" t="b">
        <f t="shared" si="3"/>
        <v>0</v>
      </c>
      <c r="AC6" s="154"/>
      <c r="AD6" s="242" t="b">
        <f t="shared" si="4"/>
        <v>0</v>
      </c>
      <c r="AE6" s="154" t="s">
        <v>999</v>
      </c>
      <c r="AF6" s="242" t="str">
        <f>IF(AE6="","N/A",INDIRECT("MTR!"&amp;ADDRESS(MATCH(LEFT(AE6,9),MTR!C:C,0),COLUMN(J6)),TRUE) &amp; "")</f>
        <v>Complies</v>
      </c>
      <c r="AG6" s="157" t="str">
        <f t="shared" si="5"/>
        <v/>
      </c>
      <c r="AH6" s="170"/>
      <c r="AI6" s="152"/>
      <c r="AJ6" s="152"/>
      <c r="AK6" s="152"/>
      <c r="AL6" s="152"/>
      <c r="AM6" s="152"/>
      <c r="AN6" s="152"/>
      <c r="AO6" s="152"/>
      <c r="AP6" s="152"/>
      <c r="AQ6" s="152"/>
      <c r="AR6" s="152"/>
    </row>
    <row r="7" ht="12.75" customHeight="1">
      <c r="A7" s="244" t="s">
        <v>5158</v>
      </c>
      <c r="B7" s="244" t="s">
        <v>5725</v>
      </c>
      <c r="C7" s="244" t="s">
        <v>5741</v>
      </c>
      <c r="D7" s="154" t="s">
        <v>581</v>
      </c>
      <c r="E7" s="154"/>
      <c r="F7" s="154" t="str">
        <f t="array" ref="F7">XLOOKUP(Cover!$D$12,$P$1:$X$1,$P7:$X7)</f>
        <v>Mandatory</v>
      </c>
      <c r="G7" s="154" t="s">
        <v>5742</v>
      </c>
      <c r="H7" s="154" t="s">
        <v>5743</v>
      </c>
      <c r="I7" s="154" t="s">
        <v>5744</v>
      </c>
      <c r="J7" s="154" t="s">
        <v>5745</v>
      </c>
      <c r="K7" s="154" t="s">
        <v>5746</v>
      </c>
      <c r="L7" s="154" t="s">
        <v>759</v>
      </c>
      <c r="M7" s="247" t="s">
        <v>445</v>
      </c>
      <c r="N7" s="247" t="s">
        <v>5733</v>
      </c>
      <c r="O7" s="240" t="str">
        <f t="shared" si="1"/>
        <v/>
      </c>
      <c r="P7" s="154" t="s">
        <v>66</v>
      </c>
      <c r="Q7" s="154" t="s">
        <v>66</v>
      </c>
      <c r="R7" s="154" t="s">
        <v>60</v>
      </c>
      <c r="S7" s="154" t="s">
        <v>60</v>
      </c>
      <c r="T7" s="154" t="s">
        <v>60</v>
      </c>
      <c r="U7" s="154" t="s">
        <v>60</v>
      </c>
      <c r="V7" s="154" t="s">
        <v>66</v>
      </c>
      <c r="W7" s="154" t="s">
        <v>60</v>
      </c>
      <c r="X7" s="154" t="s">
        <v>60</v>
      </c>
      <c r="Y7" s="154"/>
      <c r="Z7" s="242" t="b">
        <f t="shared" si="2"/>
        <v>1</v>
      </c>
      <c r="AA7" s="154" t="s">
        <v>391</v>
      </c>
      <c r="AB7" s="242" t="b">
        <f t="shared" si="3"/>
        <v>0</v>
      </c>
      <c r="AC7" s="154"/>
      <c r="AD7" s="242" t="b">
        <f t="shared" si="4"/>
        <v>0</v>
      </c>
      <c r="AE7" s="154" t="s">
        <v>999</v>
      </c>
      <c r="AF7" s="242" t="str">
        <f>IF(AE7="","N/A",INDIRECT("MTR!"&amp;ADDRESS(MATCH(LEFT(AE7,9),MTR!C:C,0),COLUMN(J7)),TRUE) &amp; "")</f>
        <v>Complies</v>
      </c>
      <c r="AG7" s="157" t="str">
        <f t="shared" si="5"/>
        <v/>
      </c>
      <c r="AH7" s="170"/>
      <c r="AI7" s="152"/>
      <c r="AJ7" s="152"/>
      <c r="AK7" s="152"/>
      <c r="AL7" s="152"/>
      <c r="AM7" s="152"/>
      <c r="AN7" s="152"/>
      <c r="AO7" s="152"/>
      <c r="AP7" s="152"/>
      <c r="AQ7" s="152"/>
      <c r="AR7" s="152"/>
    </row>
    <row r="8" ht="12.75" customHeight="1">
      <c r="A8" s="244" t="s">
        <v>5158</v>
      </c>
      <c r="B8" s="244" t="s">
        <v>5725</v>
      </c>
      <c r="C8" s="244" t="s">
        <v>5747</v>
      </c>
      <c r="D8" s="154" t="s">
        <v>1120</v>
      </c>
      <c r="E8" s="154"/>
      <c r="F8" s="154" t="str">
        <f t="array" ref="F8">XLOOKUP(Cover!$D$12,$P$1:$X$1,$P8:$X8)</f>
        <v>Information</v>
      </c>
      <c r="G8" s="154" t="s">
        <v>5748</v>
      </c>
      <c r="H8" s="154" t="s">
        <v>5743</v>
      </c>
      <c r="I8" s="154" t="s">
        <v>5744</v>
      </c>
      <c r="J8" s="154" t="s">
        <v>5745</v>
      </c>
      <c r="K8" s="154"/>
      <c r="L8" s="154" t="s">
        <v>759</v>
      </c>
      <c r="M8" s="247" t="s">
        <v>445</v>
      </c>
      <c r="N8" s="247" t="s">
        <v>5733</v>
      </c>
      <c r="O8" s="240" t="str">
        <f t="shared" si="1"/>
        <v/>
      </c>
      <c r="P8" s="154" t="s">
        <v>66</v>
      </c>
      <c r="Q8" s="154" t="s">
        <v>66</v>
      </c>
      <c r="R8" s="154" t="s">
        <v>66</v>
      </c>
      <c r="S8" s="154" t="s">
        <v>66</v>
      </c>
      <c r="T8" s="154" t="s">
        <v>66</v>
      </c>
      <c r="U8" s="154" t="s">
        <v>66</v>
      </c>
      <c r="V8" s="154" t="s">
        <v>66</v>
      </c>
      <c r="W8" s="154" t="s">
        <v>66</v>
      </c>
      <c r="X8" s="154" t="s">
        <v>66</v>
      </c>
      <c r="Y8" s="154"/>
      <c r="Z8" s="242" t="b">
        <f t="shared" si="2"/>
        <v>1</v>
      </c>
      <c r="AA8" s="154" t="s">
        <v>391</v>
      </c>
      <c r="AB8" s="242" t="b">
        <f t="shared" si="3"/>
        <v>0</v>
      </c>
      <c r="AC8" s="154"/>
      <c r="AD8" s="242" t="b">
        <f t="shared" si="4"/>
        <v>0</v>
      </c>
      <c r="AE8" s="154" t="s">
        <v>999</v>
      </c>
      <c r="AF8" s="242" t="str">
        <f>IF(AE8="","N/A",INDIRECT("MTR!"&amp;ADDRESS(MATCH(LEFT(AE8,9),MTR!C:C,0),COLUMN(J8)),TRUE) &amp; "")</f>
        <v>Complies</v>
      </c>
      <c r="AG8" s="157" t="str">
        <f t="shared" si="5"/>
        <v/>
      </c>
      <c r="AH8" s="170"/>
      <c r="AI8" s="152"/>
      <c r="AJ8" s="152"/>
      <c r="AK8" s="152"/>
      <c r="AL8" s="152"/>
      <c r="AM8" s="152"/>
      <c r="AN8" s="152"/>
      <c r="AO8" s="152"/>
      <c r="AP8" s="152"/>
      <c r="AQ8" s="152"/>
      <c r="AR8" s="152"/>
    </row>
    <row r="9" ht="12.75" customHeight="1">
      <c r="A9" s="244" t="s">
        <v>5158</v>
      </c>
      <c r="B9" s="244" t="s">
        <v>5725</v>
      </c>
      <c r="C9" s="244" t="s">
        <v>5749</v>
      </c>
      <c r="D9" s="154" t="s">
        <v>581</v>
      </c>
      <c r="E9" s="154"/>
      <c r="F9" s="154" t="str">
        <f t="array" ref="F9">XLOOKUP(Cover!$D$12,$P$1:$X$1,$P9:$X9)</f>
        <v>Mandatory</v>
      </c>
      <c r="G9" s="154" t="s">
        <v>5750</v>
      </c>
      <c r="H9" s="154" t="s">
        <v>5751</v>
      </c>
      <c r="I9" s="154" t="s">
        <v>5752</v>
      </c>
      <c r="J9" s="154" t="s">
        <v>5745</v>
      </c>
      <c r="K9" s="154" t="s">
        <v>5746</v>
      </c>
      <c r="L9" s="154" t="s">
        <v>759</v>
      </c>
      <c r="M9" s="247" t="s">
        <v>445</v>
      </c>
      <c r="N9" s="247" t="s">
        <v>5733</v>
      </c>
      <c r="O9" s="240" t="str">
        <f t="shared" si="1"/>
        <v/>
      </c>
      <c r="P9" s="154" t="s">
        <v>66</v>
      </c>
      <c r="Q9" s="154" t="s">
        <v>66</v>
      </c>
      <c r="R9" s="154" t="s">
        <v>60</v>
      </c>
      <c r="S9" s="154" t="s">
        <v>60</v>
      </c>
      <c r="T9" s="154" t="s">
        <v>60</v>
      </c>
      <c r="U9" s="154" t="s">
        <v>60</v>
      </c>
      <c r="V9" s="154" t="s">
        <v>66</v>
      </c>
      <c r="W9" s="154" t="s">
        <v>60</v>
      </c>
      <c r="X9" s="154" t="s">
        <v>60</v>
      </c>
      <c r="Y9" s="154"/>
      <c r="Z9" s="242" t="b">
        <f t="shared" si="2"/>
        <v>1</v>
      </c>
      <c r="AA9" s="154" t="s">
        <v>391</v>
      </c>
      <c r="AB9" s="242" t="b">
        <f t="shared" si="3"/>
        <v>0</v>
      </c>
      <c r="AC9" s="154"/>
      <c r="AD9" s="242" t="b">
        <f t="shared" si="4"/>
        <v>0</v>
      </c>
      <c r="AE9" s="154" t="s">
        <v>999</v>
      </c>
      <c r="AF9" s="242" t="str">
        <f>IF(AE9="","N/A",INDIRECT("MTR!"&amp;ADDRESS(MATCH(LEFT(AE9,9),MTR!C:C,0),COLUMN(J9)),TRUE) &amp; "")</f>
        <v>Complies</v>
      </c>
      <c r="AG9" s="157" t="str">
        <f t="shared" si="5"/>
        <v/>
      </c>
      <c r="AH9" s="170"/>
      <c r="AI9" s="152"/>
      <c r="AJ9" s="152"/>
      <c r="AK9" s="152"/>
      <c r="AL9" s="152"/>
      <c r="AM9" s="152"/>
      <c r="AN9" s="152"/>
      <c r="AO9" s="152"/>
      <c r="AP9" s="152"/>
      <c r="AQ9" s="152"/>
      <c r="AR9" s="152"/>
    </row>
    <row r="10" ht="12.75" customHeight="1">
      <c r="A10" s="244" t="s">
        <v>5158</v>
      </c>
      <c r="B10" s="244" t="s">
        <v>5725</v>
      </c>
      <c r="C10" s="244" t="s">
        <v>5753</v>
      </c>
      <c r="D10" s="154" t="s">
        <v>1120</v>
      </c>
      <c r="E10" s="154"/>
      <c r="F10" s="154" t="str">
        <f t="array" ref="F10">XLOOKUP(Cover!$D$12,$P$1:$X$1,$P10:$X10)</f>
        <v>Information</v>
      </c>
      <c r="G10" s="154" t="s">
        <v>5754</v>
      </c>
      <c r="H10" s="154" t="s">
        <v>5751</v>
      </c>
      <c r="I10" s="154" t="s">
        <v>5752</v>
      </c>
      <c r="J10" s="154" t="s">
        <v>5745</v>
      </c>
      <c r="K10" s="154"/>
      <c r="L10" s="154" t="s">
        <v>759</v>
      </c>
      <c r="M10" s="247" t="s">
        <v>445</v>
      </c>
      <c r="N10" s="247" t="s">
        <v>5733</v>
      </c>
      <c r="O10" s="240" t="str">
        <f t="shared" si="1"/>
        <v/>
      </c>
      <c r="P10" s="154" t="s">
        <v>66</v>
      </c>
      <c r="Q10" s="154" t="s">
        <v>66</v>
      </c>
      <c r="R10" s="154" t="s">
        <v>66</v>
      </c>
      <c r="S10" s="154" t="s">
        <v>66</v>
      </c>
      <c r="T10" s="154" t="s">
        <v>66</v>
      </c>
      <c r="U10" s="154" t="s">
        <v>66</v>
      </c>
      <c r="V10" s="154" t="s">
        <v>66</v>
      </c>
      <c r="W10" s="154" t="s">
        <v>66</v>
      </c>
      <c r="X10" s="154" t="s">
        <v>66</v>
      </c>
      <c r="Y10" s="154"/>
      <c r="Z10" s="242" t="b">
        <f t="shared" si="2"/>
        <v>1</v>
      </c>
      <c r="AA10" s="154" t="s">
        <v>391</v>
      </c>
      <c r="AB10" s="242" t="b">
        <f t="shared" si="3"/>
        <v>0</v>
      </c>
      <c r="AC10" s="154"/>
      <c r="AD10" s="242" t="b">
        <f t="shared" si="4"/>
        <v>0</v>
      </c>
      <c r="AE10" s="154" t="s">
        <v>999</v>
      </c>
      <c r="AF10" s="242" t="str">
        <f>IF(AE10="","N/A",INDIRECT("MTR!"&amp;ADDRESS(MATCH(LEFT(AE10,9),MTR!C:C,0),COLUMN(J10)),TRUE) &amp; "")</f>
        <v>Complies</v>
      </c>
      <c r="AG10" s="157" t="str">
        <f t="shared" si="5"/>
        <v/>
      </c>
      <c r="AH10" s="170"/>
      <c r="AI10" s="152"/>
      <c r="AJ10" s="152"/>
      <c r="AK10" s="152"/>
      <c r="AL10" s="152"/>
      <c r="AM10" s="152"/>
      <c r="AN10" s="152"/>
      <c r="AO10" s="152"/>
      <c r="AP10" s="152"/>
      <c r="AQ10" s="152"/>
      <c r="AR10" s="152"/>
    </row>
    <row r="11" ht="12.75" customHeight="1">
      <c r="A11" s="244" t="s">
        <v>5158</v>
      </c>
      <c r="B11" s="244" t="s">
        <v>5725</v>
      </c>
      <c r="C11" s="244" t="s">
        <v>5755</v>
      </c>
      <c r="D11" s="154" t="s">
        <v>649</v>
      </c>
      <c r="E11" s="154"/>
      <c r="F11" s="154" t="str">
        <f t="array" ref="F11">XLOOKUP(Cover!$D$12,$P$1:$X$1,$P11:$X11)</f>
        <v>Mandatory</v>
      </c>
      <c r="G11" s="154" t="s">
        <v>5756</v>
      </c>
      <c r="H11" s="154" t="s">
        <v>5757</v>
      </c>
      <c r="I11" s="154" t="s">
        <v>5758</v>
      </c>
      <c r="J11" s="154" t="s">
        <v>5759</v>
      </c>
      <c r="K11" s="154" t="s">
        <v>647</v>
      </c>
      <c r="L11" s="154" t="s">
        <v>759</v>
      </c>
      <c r="M11" s="247" t="s">
        <v>445</v>
      </c>
      <c r="N11" s="247" t="s">
        <v>5733</v>
      </c>
      <c r="O11" s="240" t="str">
        <f t="shared" si="1"/>
        <v/>
      </c>
      <c r="P11" s="154" t="s">
        <v>66</v>
      </c>
      <c r="Q11" s="154" t="s">
        <v>66</v>
      </c>
      <c r="R11" s="154" t="s">
        <v>60</v>
      </c>
      <c r="S11" s="154" t="s">
        <v>60</v>
      </c>
      <c r="T11" s="154" t="s">
        <v>60</v>
      </c>
      <c r="U11" s="154" t="s">
        <v>60</v>
      </c>
      <c r="V11" s="154" t="s">
        <v>66</v>
      </c>
      <c r="W11" s="154" t="s">
        <v>60</v>
      </c>
      <c r="X11" s="154" t="s">
        <v>60</v>
      </c>
      <c r="Y11" s="154"/>
      <c r="Z11" s="242" t="b">
        <f t="shared" si="2"/>
        <v>1</v>
      </c>
      <c r="AA11" s="154" t="s">
        <v>391</v>
      </c>
      <c r="AB11" s="242" t="b">
        <f t="shared" si="3"/>
        <v>0</v>
      </c>
      <c r="AC11" s="154"/>
      <c r="AD11" s="242" t="b">
        <f t="shared" si="4"/>
        <v>0</v>
      </c>
      <c r="AE11" s="154" t="s">
        <v>999</v>
      </c>
      <c r="AF11" s="242" t="str">
        <f>IF(AE11="","N/A",INDIRECT("MTR!"&amp;ADDRESS(MATCH(LEFT(AE11,9),MTR!C:C,0),COLUMN(J11)),TRUE) &amp; "")</f>
        <v>Complies</v>
      </c>
      <c r="AG11" s="157" t="str">
        <f t="shared" si="5"/>
        <v/>
      </c>
      <c r="AH11" s="170"/>
      <c r="AI11" s="152"/>
      <c r="AJ11" s="152"/>
      <c r="AK11" s="152"/>
      <c r="AL11" s="152"/>
      <c r="AM11" s="152"/>
      <c r="AN11" s="152"/>
      <c r="AO11" s="152"/>
      <c r="AP11" s="152"/>
      <c r="AQ11" s="152"/>
      <c r="AR11" s="152"/>
    </row>
    <row r="12" ht="12.75" customHeight="1">
      <c r="A12" s="244" t="s">
        <v>5158</v>
      </c>
      <c r="B12" s="244" t="s">
        <v>5725</v>
      </c>
      <c r="C12" s="244" t="s">
        <v>5760</v>
      </c>
      <c r="D12" s="154" t="s">
        <v>581</v>
      </c>
      <c r="E12" s="154"/>
      <c r="F12" s="154" t="str">
        <f t="array" ref="F12">XLOOKUP(Cover!$D$12,$P$1:$X$1,$P12:$X12)</f>
        <v>Information</v>
      </c>
      <c r="G12" s="154" t="s">
        <v>5761</v>
      </c>
      <c r="H12" s="154" t="s">
        <v>5757</v>
      </c>
      <c r="I12" s="154" t="s">
        <v>5758</v>
      </c>
      <c r="J12" s="154" t="s">
        <v>5759</v>
      </c>
      <c r="K12" s="154"/>
      <c r="L12" s="154" t="s">
        <v>759</v>
      </c>
      <c r="M12" s="247" t="s">
        <v>445</v>
      </c>
      <c r="N12" s="247" t="s">
        <v>5733</v>
      </c>
      <c r="O12" s="240" t="str">
        <f t="shared" si="1"/>
        <v/>
      </c>
      <c r="P12" s="154" t="s">
        <v>66</v>
      </c>
      <c r="Q12" s="154" t="s">
        <v>66</v>
      </c>
      <c r="R12" s="154" t="s">
        <v>66</v>
      </c>
      <c r="S12" s="154" t="s">
        <v>66</v>
      </c>
      <c r="T12" s="154" t="s">
        <v>66</v>
      </c>
      <c r="U12" s="154" t="s">
        <v>66</v>
      </c>
      <c r="V12" s="154" t="s">
        <v>66</v>
      </c>
      <c r="W12" s="154" t="s">
        <v>66</v>
      </c>
      <c r="X12" s="154" t="s">
        <v>66</v>
      </c>
      <c r="Y12" s="154"/>
      <c r="Z12" s="242" t="b">
        <f t="shared" si="2"/>
        <v>1</v>
      </c>
      <c r="AA12" s="154" t="s">
        <v>391</v>
      </c>
      <c r="AB12" s="242" t="b">
        <f t="shared" si="3"/>
        <v>0</v>
      </c>
      <c r="AC12" s="154"/>
      <c r="AD12" s="242" t="b">
        <f t="shared" si="4"/>
        <v>0</v>
      </c>
      <c r="AE12" s="154" t="s">
        <v>999</v>
      </c>
      <c r="AF12" s="242" t="str">
        <f>IF(AE12="","N/A",INDIRECT("MTR!"&amp;ADDRESS(MATCH(LEFT(AE12,9),MTR!C:C,0),COLUMN(J12)),TRUE) &amp; "")</f>
        <v>Complies</v>
      </c>
      <c r="AG12" s="157" t="str">
        <f t="shared" si="5"/>
        <v/>
      </c>
      <c r="AH12" s="170"/>
      <c r="AI12" s="152"/>
      <c r="AJ12" s="152"/>
      <c r="AK12" s="152"/>
      <c r="AL12" s="152"/>
      <c r="AM12" s="152"/>
      <c r="AN12" s="152"/>
      <c r="AO12" s="152"/>
      <c r="AP12" s="152"/>
      <c r="AQ12" s="152"/>
      <c r="AR12" s="152"/>
    </row>
    <row r="13" ht="12.75" customHeight="1">
      <c r="A13" s="244" t="s">
        <v>5158</v>
      </c>
      <c r="B13" s="244" t="s">
        <v>5725</v>
      </c>
      <c r="C13" s="244" t="s">
        <v>5762</v>
      </c>
      <c r="D13" s="154" t="s">
        <v>581</v>
      </c>
      <c r="E13" s="154"/>
      <c r="F13" s="154" t="str">
        <f t="array" ref="F13">XLOOKUP(Cover!$D$12,$P$1:$X$1,$P13:$X13)</f>
        <v>Information</v>
      </c>
      <c r="G13" s="154" t="s">
        <v>5763</v>
      </c>
      <c r="H13" s="154" t="s">
        <v>5757</v>
      </c>
      <c r="I13" s="154" t="s">
        <v>5758</v>
      </c>
      <c r="J13" s="154" t="s">
        <v>5759</v>
      </c>
      <c r="K13" s="154"/>
      <c r="L13" s="154" t="s">
        <v>759</v>
      </c>
      <c r="M13" s="247" t="s">
        <v>445</v>
      </c>
      <c r="N13" s="247" t="s">
        <v>5733</v>
      </c>
      <c r="O13" s="240" t="str">
        <f t="shared" si="1"/>
        <v/>
      </c>
      <c r="P13" s="154" t="s">
        <v>66</v>
      </c>
      <c r="Q13" s="154" t="s">
        <v>66</v>
      </c>
      <c r="R13" s="154" t="s">
        <v>66</v>
      </c>
      <c r="S13" s="154" t="s">
        <v>66</v>
      </c>
      <c r="T13" s="154" t="s">
        <v>66</v>
      </c>
      <c r="U13" s="154" t="s">
        <v>66</v>
      </c>
      <c r="V13" s="154" t="s">
        <v>66</v>
      </c>
      <c r="W13" s="154" t="s">
        <v>66</v>
      </c>
      <c r="X13" s="154" t="s">
        <v>66</v>
      </c>
      <c r="Y13" s="154"/>
      <c r="Z13" s="242" t="b">
        <f t="shared" si="2"/>
        <v>1</v>
      </c>
      <c r="AA13" s="154" t="s">
        <v>391</v>
      </c>
      <c r="AB13" s="242" t="b">
        <f t="shared" si="3"/>
        <v>0</v>
      </c>
      <c r="AC13" s="154"/>
      <c r="AD13" s="242" t="b">
        <f t="shared" si="4"/>
        <v>0</v>
      </c>
      <c r="AE13" s="154" t="s">
        <v>999</v>
      </c>
      <c r="AF13" s="242" t="str">
        <f>IF(AE13="","N/A",INDIRECT("MTR!"&amp;ADDRESS(MATCH(LEFT(AE13,9),MTR!C:C,0),COLUMN(J13)),TRUE) &amp; "")</f>
        <v>Complies</v>
      </c>
      <c r="AG13" s="157" t="str">
        <f t="shared" si="5"/>
        <v/>
      </c>
      <c r="AH13" s="170"/>
      <c r="AI13" s="152"/>
      <c r="AJ13" s="152"/>
      <c r="AK13" s="152"/>
      <c r="AL13" s="152"/>
      <c r="AM13" s="152"/>
      <c r="AN13" s="152"/>
      <c r="AO13" s="152"/>
      <c r="AP13" s="152"/>
      <c r="AQ13" s="152"/>
      <c r="AR13" s="152"/>
    </row>
    <row r="14" ht="12.75" customHeight="1">
      <c r="A14" s="244" t="s">
        <v>5158</v>
      </c>
      <c r="B14" s="244" t="s">
        <v>5725</v>
      </c>
      <c r="C14" s="244" t="s">
        <v>5764</v>
      </c>
      <c r="D14" s="154" t="s">
        <v>581</v>
      </c>
      <c r="E14" s="154"/>
      <c r="F14" s="154" t="str">
        <f t="array" ref="F14">XLOOKUP(Cover!$D$12,$P$1:$X$1,$P14:$X14)</f>
        <v>Mandatory</v>
      </c>
      <c r="G14" s="154" t="s">
        <v>5765</v>
      </c>
      <c r="H14" s="154" t="s">
        <v>5766</v>
      </c>
      <c r="I14" s="154" t="s">
        <v>5767</v>
      </c>
      <c r="J14" s="154" t="s">
        <v>5768</v>
      </c>
      <c r="K14" s="154" t="s">
        <v>647</v>
      </c>
      <c r="L14" s="154" t="s">
        <v>759</v>
      </c>
      <c r="M14" s="247" t="s">
        <v>445</v>
      </c>
      <c r="N14" s="247" t="s">
        <v>5733</v>
      </c>
      <c r="O14" s="240" t="str">
        <f t="shared" si="1"/>
        <v/>
      </c>
      <c r="P14" s="154" t="s">
        <v>66</v>
      </c>
      <c r="Q14" s="154" t="s">
        <v>66</v>
      </c>
      <c r="R14" s="154" t="s">
        <v>60</v>
      </c>
      <c r="S14" s="154" t="s">
        <v>60</v>
      </c>
      <c r="T14" s="154" t="s">
        <v>60</v>
      </c>
      <c r="U14" s="154" t="s">
        <v>60</v>
      </c>
      <c r="V14" s="154" t="s">
        <v>66</v>
      </c>
      <c r="W14" s="154" t="s">
        <v>60</v>
      </c>
      <c r="X14" s="154" t="s">
        <v>60</v>
      </c>
      <c r="Y14" s="154"/>
      <c r="Z14" s="242" t="b">
        <f t="shared" si="2"/>
        <v>1</v>
      </c>
      <c r="AA14" s="154" t="s">
        <v>391</v>
      </c>
      <c r="AB14" s="242" t="b">
        <f t="shared" si="3"/>
        <v>0</v>
      </c>
      <c r="AC14" s="154"/>
      <c r="AD14" s="242" t="b">
        <f t="shared" si="4"/>
        <v>0</v>
      </c>
      <c r="AE14" s="154" t="s">
        <v>999</v>
      </c>
      <c r="AF14" s="242" t="str">
        <f>IF(AE14="","N/A",INDIRECT("MTR!"&amp;ADDRESS(MATCH(LEFT(AE14,9),MTR!C:C,0),COLUMN(J14)),TRUE) &amp; "")</f>
        <v>Complies</v>
      </c>
      <c r="AG14" s="157" t="str">
        <f t="shared" si="5"/>
        <v/>
      </c>
      <c r="AH14" s="170"/>
      <c r="AI14" s="152"/>
      <c r="AJ14" s="152"/>
      <c r="AK14" s="152"/>
      <c r="AL14" s="152"/>
      <c r="AM14" s="152"/>
      <c r="AN14" s="152"/>
      <c r="AO14" s="152"/>
      <c r="AP14" s="152"/>
      <c r="AQ14" s="152"/>
      <c r="AR14" s="152"/>
    </row>
    <row r="15" ht="12.75" customHeight="1">
      <c r="A15" s="244" t="s">
        <v>5158</v>
      </c>
      <c r="B15" s="244" t="s">
        <v>5725</v>
      </c>
      <c r="C15" s="244" t="s">
        <v>5769</v>
      </c>
      <c r="D15" s="154" t="s">
        <v>581</v>
      </c>
      <c r="E15" s="154"/>
      <c r="F15" s="154" t="str">
        <f t="array" ref="F15">XLOOKUP(Cover!$D$12,$P$1:$X$1,$P15:$X15)</f>
        <v>Mandatory</v>
      </c>
      <c r="G15" s="154" t="s">
        <v>5770</v>
      </c>
      <c r="H15" s="154" t="s">
        <v>5771</v>
      </c>
      <c r="I15" s="154" t="s">
        <v>5772</v>
      </c>
      <c r="J15" s="154" t="s">
        <v>5773</v>
      </c>
      <c r="K15" s="154" t="s">
        <v>647</v>
      </c>
      <c r="L15" s="154" t="s">
        <v>759</v>
      </c>
      <c r="M15" s="247" t="s">
        <v>445</v>
      </c>
      <c r="N15" s="247" t="s">
        <v>5733</v>
      </c>
      <c r="O15" s="240" t="str">
        <f t="shared" si="1"/>
        <v/>
      </c>
      <c r="P15" s="154" t="s">
        <v>66</v>
      </c>
      <c r="Q15" s="154" t="s">
        <v>66</v>
      </c>
      <c r="R15" s="154" t="s">
        <v>60</v>
      </c>
      <c r="S15" s="154" t="s">
        <v>60</v>
      </c>
      <c r="T15" s="154" t="s">
        <v>60</v>
      </c>
      <c r="U15" s="154" t="s">
        <v>60</v>
      </c>
      <c r="V15" s="154" t="s">
        <v>66</v>
      </c>
      <c r="W15" s="154" t="s">
        <v>60</v>
      </c>
      <c r="X15" s="154" t="s">
        <v>60</v>
      </c>
      <c r="Y15" s="154"/>
      <c r="Z15" s="242" t="b">
        <f t="shared" si="2"/>
        <v>1</v>
      </c>
      <c r="AA15" s="154" t="s">
        <v>391</v>
      </c>
      <c r="AB15" s="242" t="b">
        <f t="shared" si="3"/>
        <v>0</v>
      </c>
      <c r="AC15" s="154"/>
      <c r="AD15" s="242" t="b">
        <f t="shared" si="4"/>
        <v>0</v>
      </c>
      <c r="AE15" s="154" t="s">
        <v>999</v>
      </c>
      <c r="AF15" s="242" t="str">
        <f>IF(AE15="","N/A",INDIRECT("MTR!"&amp;ADDRESS(MATCH(LEFT(AE15,9),MTR!C:C,0),COLUMN(J15)),TRUE) &amp; "")</f>
        <v>Complies</v>
      </c>
      <c r="AG15" s="157" t="str">
        <f t="shared" si="5"/>
        <v/>
      </c>
      <c r="AH15" s="170"/>
      <c r="AI15" s="152"/>
      <c r="AJ15" s="152"/>
      <c r="AK15" s="152"/>
      <c r="AL15" s="152"/>
      <c r="AM15" s="152"/>
      <c r="AN15" s="152"/>
      <c r="AO15" s="152"/>
      <c r="AP15" s="152"/>
      <c r="AQ15" s="152"/>
      <c r="AR15" s="152"/>
    </row>
    <row r="16" ht="12.75" customHeight="1">
      <c r="A16" s="244" t="s">
        <v>5158</v>
      </c>
      <c r="B16" s="244" t="s">
        <v>5725</v>
      </c>
      <c r="C16" s="244" t="s">
        <v>5774</v>
      </c>
      <c r="D16" s="154" t="s">
        <v>581</v>
      </c>
      <c r="E16" s="154"/>
      <c r="F16" s="154" t="str">
        <f t="array" ref="F16">XLOOKUP(Cover!$D$12,$P$1:$X$1,$P16:$X16)</f>
        <v>Information</v>
      </c>
      <c r="G16" s="154" t="s">
        <v>5775</v>
      </c>
      <c r="H16" s="154" t="s">
        <v>5771</v>
      </c>
      <c r="I16" s="154" t="s">
        <v>5772</v>
      </c>
      <c r="J16" s="154" t="s">
        <v>5773</v>
      </c>
      <c r="K16" s="154"/>
      <c r="L16" s="154" t="s">
        <v>759</v>
      </c>
      <c r="M16" s="247" t="s">
        <v>445</v>
      </c>
      <c r="N16" s="247" t="s">
        <v>5733</v>
      </c>
      <c r="O16" s="240" t="str">
        <f t="shared" si="1"/>
        <v/>
      </c>
      <c r="P16" s="154" t="s">
        <v>66</v>
      </c>
      <c r="Q16" s="154" t="s">
        <v>66</v>
      </c>
      <c r="R16" s="154" t="s">
        <v>66</v>
      </c>
      <c r="S16" s="154" t="s">
        <v>66</v>
      </c>
      <c r="T16" s="154" t="s">
        <v>66</v>
      </c>
      <c r="U16" s="154" t="s">
        <v>66</v>
      </c>
      <c r="V16" s="154" t="s">
        <v>66</v>
      </c>
      <c r="W16" s="154" t="s">
        <v>66</v>
      </c>
      <c r="X16" s="154" t="s">
        <v>66</v>
      </c>
      <c r="Y16" s="154"/>
      <c r="Z16" s="242" t="b">
        <f t="shared" si="2"/>
        <v>1</v>
      </c>
      <c r="AA16" s="154" t="s">
        <v>391</v>
      </c>
      <c r="AB16" s="242" t="b">
        <f t="shared" si="3"/>
        <v>0</v>
      </c>
      <c r="AC16" s="154"/>
      <c r="AD16" s="242" t="b">
        <f t="shared" si="4"/>
        <v>0</v>
      </c>
      <c r="AE16" s="154" t="s">
        <v>999</v>
      </c>
      <c r="AF16" s="242" t="str">
        <f>IF(AE16="","N/A",INDIRECT("MTR!"&amp;ADDRESS(MATCH(LEFT(AE16,9),MTR!C:C,0),COLUMN(J16)),TRUE) &amp; "")</f>
        <v>Complies</v>
      </c>
      <c r="AG16" s="157" t="str">
        <f t="shared" si="5"/>
        <v/>
      </c>
      <c r="AH16" s="170"/>
      <c r="AI16" s="152"/>
      <c r="AJ16" s="152"/>
      <c r="AK16" s="152"/>
      <c r="AL16" s="152"/>
      <c r="AM16" s="152"/>
      <c r="AN16" s="152"/>
      <c r="AO16" s="152"/>
      <c r="AP16" s="152"/>
      <c r="AQ16" s="152"/>
      <c r="AR16" s="152"/>
    </row>
    <row r="17" ht="12.75" customHeight="1">
      <c r="A17" s="244" t="s">
        <v>5158</v>
      </c>
      <c r="B17" s="244" t="s">
        <v>5725</v>
      </c>
      <c r="C17" s="244" t="s">
        <v>5776</v>
      </c>
      <c r="D17" s="154" t="s">
        <v>411</v>
      </c>
      <c r="E17" s="154"/>
      <c r="F17" s="154" t="str">
        <f t="array" ref="F17">XLOOKUP(Cover!$D$12,$P$1:$X$1,$P17:$X17)</f>
        <v>Mandatory</v>
      </c>
      <c r="G17" s="154" t="s">
        <v>5777</v>
      </c>
      <c r="H17" s="154" t="s">
        <v>5730</v>
      </c>
      <c r="I17" s="154" t="s">
        <v>5778</v>
      </c>
      <c r="J17" s="154" t="s">
        <v>5779</v>
      </c>
      <c r="K17" s="154" t="s">
        <v>1122</v>
      </c>
      <c r="L17" s="154" t="s">
        <v>759</v>
      </c>
      <c r="M17" s="247" t="s">
        <v>445</v>
      </c>
      <c r="N17" s="247" t="s">
        <v>5733</v>
      </c>
      <c r="O17" s="240" t="str">
        <f t="shared" si="1"/>
        <v/>
      </c>
      <c r="P17" s="154" t="s">
        <v>66</v>
      </c>
      <c r="Q17" s="154" t="s">
        <v>66</v>
      </c>
      <c r="R17" s="154" t="s">
        <v>60</v>
      </c>
      <c r="S17" s="154" t="s">
        <v>60</v>
      </c>
      <c r="T17" s="154" t="s">
        <v>60</v>
      </c>
      <c r="U17" s="154" t="s">
        <v>60</v>
      </c>
      <c r="V17" s="154" t="s">
        <v>66</v>
      </c>
      <c r="W17" s="154" t="s">
        <v>60</v>
      </c>
      <c r="X17" s="154" t="s">
        <v>60</v>
      </c>
      <c r="Y17" s="154"/>
      <c r="Z17" s="242" t="b">
        <f t="shared" si="2"/>
        <v>1</v>
      </c>
      <c r="AA17" s="154" t="s">
        <v>391</v>
      </c>
      <c r="AB17" s="242" t="b">
        <f t="shared" si="3"/>
        <v>0</v>
      </c>
      <c r="AC17" s="154"/>
      <c r="AD17" s="242" t="b">
        <f t="shared" si="4"/>
        <v>0</v>
      </c>
      <c r="AE17" s="154" t="s">
        <v>999</v>
      </c>
      <c r="AF17" s="242" t="str">
        <f>IF(AE17="","N/A",INDIRECT("MTR!"&amp;ADDRESS(MATCH(LEFT(AE17,9),MTR!C:C,0),COLUMN(J17)),TRUE) &amp; "")</f>
        <v>Complies</v>
      </c>
      <c r="AG17" s="157" t="str">
        <f t="shared" si="5"/>
        <v/>
      </c>
      <c r="AH17" s="170"/>
      <c r="AI17" s="152"/>
      <c r="AJ17" s="152"/>
      <c r="AK17" s="152"/>
      <c r="AL17" s="152"/>
      <c r="AM17" s="152"/>
      <c r="AN17" s="152"/>
      <c r="AO17" s="152"/>
      <c r="AP17" s="152"/>
      <c r="AQ17" s="152"/>
      <c r="AR17" s="152"/>
    </row>
    <row r="18" ht="12.75" customHeight="1">
      <c r="A18" s="244" t="s">
        <v>5158</v>
      </c>
      <c r="B18" s="244" t="s">
        <v>5725</v>
      </c>
      <c r="C18" s="245" t="s">
        <v>5780</v>
      </c>
      <c r="D18" s="155" t="s">
        <v>422</v>
      </c>
      <c r="E18" s="154" t="s">
        <v>92</v>
      </c>
      <c r="F18" s="154" t="str">
        <f t="array" ref="F18">XLOOKUP(Cover!$D$12,$P$1:$X$1,$P18:$X18)</f>
        <v>Information</v>
      </c>
      <c r="G18" s="154" t="s">
        <v>5781</v>
      </c>
      <c r="H18" s="154" t="s">
        <v>5782</v>
      </c>
      <c r="I18" s="154" t="s">
        <v>5783</v>
      </c>
      <c r="J18" s="154" t="s">
        <v>5784</v>
      </c>
      <c r="K18" s="154"/>
      <c r="L18" s="154" t="s">
        <v>759</v>
      </c>
      <c r="M18" s="247" t="s">
        <v>445</v>
      </c>
      <c r="N18" s="247" t="s">
        <v>5733</v>
      </c>
      <c r="O18" s="240" t="str">
        <f t="shared" si="1"/>
        <v/>
      </c>
      <c r="P18" s="154" t="s">
        <v>66</v>
      </c>
      <c r="Q18" s="154" t="s">
        <v>66</v>
      </c>
      <c r="R18" s="154" t="s">
        <v>66</v>
      </c>
      <c r="S18" s="154" t="s">
        <v>66</v>
      </c>
      <c r="T18" s="154" t="s">
        <v>66</v>
      </c>
      <c r="U18" s="154" t="s">
        <v>66</v>
      </c>
      <c r="V18" s="154" t="s">
        <v>66</v>
      </c>
      <c r="W18" s="154" t="s">
        <v>66</v>
      </c>
      <c r="X18" s="154" t="s">
        <v>66</v>
      </c>
      <c r="Y18" s="154"/>
      <c r="Z18" s="242" t="b">
        <f t="shared" si="2"/>
        <v>1</v>
      </c>
      <c r="AA18" s="154" t="s">
        <v>391</v>
      </c>
      <c r="AB18" s="242" t="b">
        <f t="shared" si="3"/>
        <v>0</v>
      </c>
      <c r="AC18" s="154"/>
      <c r="AD18" s="242" t="b">
        <f t="shared" si="4"/>
        <v>0</v>
      </c>
      <c r="AE18" s="154" t="s">
        <v>999</v>
      </c>
      <c r="AF18" s="242" t="str">
        <f>IF(AE18="","N/A",INDIRECT("MTR!"&amp;ADDRESS(MATCH(LEFT(AE18,9),MTR!C:C,0),COLUMN(J18)),TRUE) &amp; "")</f>
        <v>Complies</v>
      </c>
      <c r="AG18" s="157" t="str">
        <f t="shared" si="5"/>
        <v/>
      </c>
      <c r="AH18" s="170"/>
      <c r="AI18" s="152"/>
      <c r="AJ18" s="152"/>
      <c r="AK18" s="152"/>
      <c r="AL18" s="152"/>
      <c r="AM18" s="152"/>
      <c r="AN18" s="152"/>
      <c r="AO18" s="152"/>
      <c r="AP18" s="152"/>
      <c r="AQ18" s="152"/>
      <c r="AR18" s="152"/>
    </row>
    <row r="19" ht="12.75" customHeight="1">
      <c r="A19" s="244" t="s">
        <v>5158</v>
      </c>
      <c r="B19" s="244" t="s">
        <v>5725</v>
      </c>
      <c r="C19" s="244" t="s">
        <v>5785</v>
      </c>
      <c r="D19" s="154" t="s">
        <v>1120</v>
      </c>
      <c r="E19" s="154"/>
      <c r="F19" s="154" t="str">
        <f t="array" ref="F19">XLOOKUP(Cover!$D$12,$P$1:$X$1,$P19:$X19)</f>
        <v>Information</v>
      </c>
      <c r="G19" s="154" t="s">
        <v>5786</v>
      </c>
      <c r="H19" s="154" t="s">
        <v>5782</v>
      </c>
      <c r="I19" s="154" t="s">
        <v>5783</v>
      </c>
      <c r="J19" s="154" t="s">
        <v>5784</v>
      </c>
      <c r="K19" s="154"/>
      <c r="L19" s="154" t="s">
        <v>759</v>
      </c>
      <c r="M19" s="247" t="s">
        <v>445</v>
      </c>
      <c r="N19" s="247" t="s">
        <v>5733</v>
      </c>
      <c r="O19" s="240" t="str">
        <f t="shared" si="1"/>
        <v/>
      </c>
      <c r="P19" s="154" t="s">
        <v>66</v>
      </c>
      <c r="Q19" s="154" t="s">
        <v>66</v>
      </c>
      <c r="R19" s="154" t="s">
        <v>66</v>
      </c>
      <c r="S19" s="154" t="s">
        <v>66</v>
      </c>
      <c r="T19" s="154" t="s">
        <v>66</v>
      </c>
      <c r="U19" s="154" t="s">
        <v>66</v>
      </c>
      <c r="V19" s="154" t="s">
        <v>66</v>
      </c>
      <c r="W19" s="154" t="s">
        <v>66</v>
      </c>
      <c r="X19" s="154" t="s">
        <v>66</v>
      </c>
      <c r="Y19" s="154"/>
      <c r="Z19" s="242" t="b">
        <f t="shared" si="2"/>
        <v>1</v>
      </c>
      <c r="AA19" s="154" t="s">
        <v>391</v>
      </c>
      <c r="AB19" s="242" t="b">
        <f t="shared" si="3"/>
        <v>0</v>
      </c>
      <c r="AC19" s="154"/>
      <c r="AD19" s="242" t="b">
        <f t="shared" si="4"/>
        <v>0</v>
      </c>
      <c r="AE19" s="154" t="s">
        <v>999</v>
      </c>
      <c r="AF19" s="242" t="str">
        <f>IF(AE19="","N/A",INDIRECT("MTR!"&amp;ADDRESS(MATCH(LEFT(AE19,9),MTR!C:C,0),COLUMN(J19)),TRUE) &amp; "")</f>
        <v>Complies</v>
      </c>
      <c r="AG19" s="157" t="str">
        <f t="shared" si="5"/>
        <v/>
      </c>
      <c r="AH19" s="170"/>
      <c r="AI19" s="152"/>
      <c r="AJ19" s="152"/>
      <c r="AK19" s="152"/>
      <c r="AL19" s="152"/>
      <c r="AM19" s="152"/>
      <c r="AN19" s="152"/>
      <c r="AO19" s="152"/>
      <c r="AP19" s="152"/>
      <c r="AQ19" s="152"/>
      <c r="AR19" s="152"/>
    </row>
    <row r="20" ht="12.75" customHeight="1">
      <c r="A20" s="244" t="s">
        <v>5158</v>
      </c>
      <c r="B20" s="244" t="s">
        <v>5725</v>
      </c>
      <c r="C20" s="244" t="s">
        <v>5787</v>
      </c>
      <c r="D20" s="154" t="s">
        <v>1120</v>
      </c>
      <c r="E20" s="154"/>
      <c r="F20" s="154" t="str">
        <f t="array" ref="F20">XLOOKUP(Cover!$D$12,$P$1:$X$1,$P20:$X20)</f>
        <v>Information</v>
      </c>
      <c r="G20" s="154" t="s">
        <v>5788</v>
      </c>
      <c r="H20" s="154" t="s">
        <v>5782</v>
      </c>
      <c r="I20" s="154" t="s">
        <v>5783</v>
      </c>
      <c r="J20" s="154" t="s">
        <v>5784</v>
      </c>
      <c r="K20" s="154"/>
      <c r="L20" s="154" t="s">
        <v>759</v>
      </c>
      <c r="M20" s="247" t="s">
        <v>445</v>
      </c>
      <c r="N20" s="247" t="s">
        <v>5733</v>
      </c>
      <c r="O20" s="240" t="str">
        <f t="shared" si="1"/>
        <v/>
      </c>
      <c r="P20" s="154" t="s">
        <v>66</v>
      </c>
      <c r="Q20" s="154" t="s">
        <v>66</v>
      </c>
      <c r="R20" s="154" t="s">
        <v>66</v>
      </c>
      <c r="S20" s="154" t="s">
        <v>66</v>
      </c>
      <c r="T20" s="154" t="s">
        <v>66</v>
      </c>
      <c r="U20" s="154" t="s">
        <v>66</v>
      </c>
      <c r="V20" s="154" t="s">
        <v>66</v>
      </c>
      <c r="W20" s="154" t="s">
        <v>66</v>
      </c>
      <c r="X20" s="154" t="s">
        <v>66</v>
      </c>
      <c r="Y20" s="154"/>
      <c r="Z20" s="242" t="b">
        <f t="shared" si="2"/>
        <v>1</v>
      </c>
      <c r="AA20" s="154" t="s">
        <v>391</v>
      </c>
      <c r="AB20" s="242" t="b">
        <f t="shared" si="3"/>
        <v>0</v>
      </c>
      <c r="AC20" s="154"/>
      <c r="AD20" s="242" t="b">
        <f t="shared" si="4"/>
        <v>0</v>
      </c>
      <c r="AE20" s="154" t="s">
        <v>999</v>
      </c>
      <c r="AF20" s="242" t="str">
        <f>IF(AE20="","N/A",INDIRECT("MTR!"&amp;ADDRESS(MATCH(LEFT(AE20,9),MTR!C:C,0),COLUMN(J20)),TRUE) &amp; "")</f>
        <v>Complies</v>
      </c>
      <c r="AG20" s="157" t="str">
        <f t="shared" si="5"/>
        <v/>
      </c>
      <c r="AH20" s="170"/>
      <c r="AI20" s="152"/>
      <c r="AJ20" s="152"/>
      <c r="AK20" s="152"/>
      <c r="AL20" s="152"/>
      <c r="AM20" s="152"/>
      <c r="AN20" s="152"/>
      <c r="AO20" s="152"/>
      <c r="AP20" s="152"/>
      <c r="AQ20" s="152"/>
      <c r="AR20" s="152"/>
    </row>
    <row r="21" ht="12.75" customHeight="1">
      <c r="A21" s="244" t="s">
        <v>5158</v>
      </c>
      <c r="B21" s="244" t="s">
        <v>5725</v>
      </c>
      <c r="C21" s="244" t="s">
        <v>5789</v>
      </c>
      <c r="D21" s="154" t="s">
        <v>649</v>
      </c>
      <c r="E21" s="154"/>
      <c r="F21" s="154" t="str">
        <f t="array" ref="F21">XLOOKUP(Cover!$D$12,$P$1:$X$1,$P21:$X21)</f>
        <v>Mandatory</v>
      </c>
      <c r="G21" s="154" t="s">
        <v>5790</v>
      </c>
      <c r="H21" s="154" t="s">
        <v>5791</v>
      </c>
      <c r="I21" s="154" t="s">
        <v>5792</v>
      </c>
      <c r="J21" s="154" t="s">
        <v>5793</v>
      </c>
      <c r="K21" s="154" t="s">
        <v>647</v>
      </c>
      <c r="L21" s="154" t="s">
        <v>759</v>
      </c>
      <c r="M21" s="247" t="s">
        <v>445</v>
      </c>
      <c r="N21" s="247" t="s">
        <v>5733</v>
      </c>
      <c r="O21" s="240" t="str">
        <f t="shared" si="1"/>
        <v/>
      </c>
      <c r="P21" s="154" t="s">
        <v>66</v>
      </c>
      <c r="Q21" s="154" t="s">
        <v>66</v>
      </c>
      <c r="R21" s="154" t="s">
        <v>60</v>
      </c>
      <c r="S21" s="154" t="s">
        <v>60</v>
      </c>
      <c r="T21" s="154" t="s">
        <v>60</v>
      </c>
      <c r="U21" s="154" t="s">
        <v>60</v>
      </c>
      <c r="V21" s="154" t="s">
        <v>66</v>
      </c>
      <c r="W21" s="154" t="s">
        <v>60</v>
      </c>
      <c r="X21" s="154" t="s">
        <v>60</v>
      </c>
      <c r="Y21" s="154"/>
      <c r="Z21" s="242" t="b">
        <f t="shared" si="2"/>
        <v>1</v>
      </c>
      <c r="AA21" s="154" t="s">
        <v>391</v>
      </c>
      <c r="AB21" s="242" t="b">
        <f t="shared" si="3"/>
        <v>0</v>
      </c>
      <c r="AC21" s="154"/>
      <c r="AD21" s="242" t="b">
        <f t="shared" si="4"/>
        <v>0</v>
      </c>
      <c r="AE21" s="154" t="s">
        <v>999</v>
      </c>
      <c r="AF21" s="242" t="str">
        <f>IF(AE21="","N/A",INDIRECT("MTR!"&amp;ADDRESS(MATCH(LEFT(AE21,9),MTR!C:C,0),COLUMN(J21)),TRUE) &amp; "")</f>
        <v>Complies</v>
      </c>
      <c r="AG21" s="157" t="str">
        <f t="shared" si="5"/>
        <v/>
      </c>
      <c r="AH21" s="170"/>
      <c r="AI21" s="152"/>
      <c r="AJ21" s="152"/>
      <c r="AK21" s="152"/>
      <c r="AL21" s="152"/>
      <c r="AM21" s="152"/>
      <c r="AN21" s="152"/>
      <c r="AO21" s="152"/>
      <c r="AP21" s="152"/>
      <c r="AQ21" s="152"/>
      <c r="AR21" s="152"/>
    </row>
    <row r="22" ht="12.75" customHeight="1">
      <c r="A22" s="244" t="s">
        <v>5158</v>
      </c>
      <c r="B22" s="244" t="s">
        <v>5725</v>
      </c>
      <c r="C22" s="244" t="s">
        <v>5794</v>
      </c>
      <c r="D22" s="154" t="s">
        <v>422</v>
      </c>
      <c r="E22" s="154"/>
      <c r="F22" s="154" t="str">
        <f t="array" ref="F22">XLOOKUP(Cover!$D$12,$P$1:$X$1,$P22:$X22)</f>
        <v>Mandatory</v>
      </c>
      <c r="G22" s="154" t="s">
        <v>5795</v>
      </c>
      <c r="H22" s="154" t="s">
        <v>5796</v>
      </c>
      <c r="I22" s="154" t="s">
        <v>5797</v>
      </c>
      <c r="J22" s="154" t="s">
        <v>5798</v>
      </c>
      <c r="K22" s="154" t="s">
        <v>647</v>
      </c>
      <c r="L22" s="154" t="s">
        <v>759</v>
      </c>
      <c r="M22" s="247" t="s">
        <v>445</v>
      </c>
      <c r="N22" s="247" t="s">
        <v>5733</v>
      </c>
      <c r="O22" s="240" t="str">
        <f t="shared" si="1"/>
        <v/>
      </c>
      <c r="P22" s="154" t="s">
        <v>66</v>
      </c>
      <c r="Q22" s="154" t="s">
        <v>66</v>
      </c>
      <c r="R22" s="154" t="s">
        <v>60</v>
      </c>
      <c r="S22" s="154" t="s">
        <v>60</v>
      </c>
      <c r="T22" s="154" t="s">
        <v>60</v>
      </c>
      <c r="U22" s="154" t="s">
        <v>60</v>
      </c>
      <c r="V22" s="154" t="s">
        <v>66</v>
      </c>
      <c r="W22" s="154" t="s">
        <v>60</v>
      </c>
      <c r="X22" s="154" t="s">
        <v>60</v>
      </c>
      <c r="Y22" s="154"/>
      <c r="Z22" s="242" t="b">
        <f t="shared" si="2"/>
        <v>1</v>
      </c>
      <c r="AA22" s="154" t="s">
        <v>391</v>
      </c>
      <c r="AB22" s="242" t="b">
        <f t="shared" si="3"/>
        <v>0</v>
      </c>
      <c r="AC22" s="154"/>
      <c r="AD22" s="242" t="b">
        <f t="shared" si="4"/>
        <v>0</v>
      </c>
      <c r="AE22" s="154" t="s">
        <v>999</v>
      </c>
      <c r="AF22" s="242" t="str">
        <f>IF(AE22="","N/A",INDIRECT("MTR!"&amp;ADDRESS(MATCH(LEFT(AE22,9),MTR!C:C,0),COLUMN(J22)),TRUE) &amp; "")</f>
        <v>Complies</v>
      </c>
      <c r="AG22" s="157" t="str">
        <f t="shared" si="5"/>
        <v/>
      </c>
      <c r="AH22" s="170"/>
      <c r="AI22" s="152"/>
      <c r="AJ22" s="152"/>
      <c r="AK22" s="152"/>
      <c r="AL22" s="152"/>
      <c r="AM22" s="152"/>
      <c r="AN22" s="152"/>
      <c r="AO22" s="152"/>
      <c r="AP22" s="152"/>
      <c r="AQ22" s="152"/>
      <c r="AR22" s="152"/>
    </row>
    <row r="23" ht="12.75" customHeight="1">
      <c r="A23" s="244" t="s">
        <v>5158</v>
      </c>
      <c r="B23" s="244" t="s">
        <v>5725</v>
      </c>
      <c r="C23" s="244" t="s">
        <v>5799</v>
      </c>
      <c r="D23" s="154" t="s">
        <v>1120</v>
      </c>
      <c r="E23" s="154"/>
      <c r="F23" s="154" t="str">
        <f t="array" ref="F23">XLOOKUP(Cover!$D$12,$P$1:$X$1,$P23:$X23)</f>
        <v>Information</v>
      </c>
      <c r="G23" s="154" t="s">
        <v>5800</v>
      </c>
      <c r="H23" s="154" t="s">
        <v>5796</v>
      </c>
      <c r="I23" s="154" t="s">
        <v>5797</v>
      </c>
      <c r="J23" s="154" t="s">
        <v>5798</v>
      </c>
      <c r="K23" s="154"/>
      <c r="L23" s="154" t="s">
        <v>759</v>
      </c>
      <c r="M23" s="247" t="s">
        <v>445</v>
      </c>
      <c r="N23" s="247" t="s">
        <v>5733</v>
      </c>
      <c r="O23" s="240" t="str">
        <f t="shared" si="1"/>
        <v/>
      </c>
      <c r="P23" s="154" t="s">
        <v>66</v>
      </c>
      <c r="Q23" s="154" t="s">
        <v>66</v>
      </c>
      <c r="R23" s="154" t="s">
        <v>66</v>
      </c>
      <c r="S23" s="154" t="s">
        <v>66</v>
      </c>
      <c r="T23" s="154" t="s">
        <v>66</v>
      </c>
      <c r="U23" s="154" t="s">
        <v>66</v>
      </c>
      <c r="V23" s="154" t="s">
        <v>66</v>
      </c>
      <c r="W23" s="154" t="s">
        <v>66</v>
      </c>
      <c r="X23" s="154" t="s">
        <v>66</v>
      </c>
      <c r="Y23" s="154"/>
      <c r="Z23" s="242" t="b">
        <f t="shared" si="2"/>
        <v>1</v>
      </c>
      <c r="AA23" s="154" t="s">
        <v>391</v>
      </c>
      <c r="AB23" s="242" t="b">
        <f t="shared" si="3"/>
        <v>0</v>
      </c>
      <c r="AC23" s="154"/>
      <c r="AD23" s="242" t="b">
        <f t="shared" si="4"/>
        <v>0</v>
      </c>
      <c r="AE23" s="154" t="s">
        <v>999</v>
      </c>
      <c r="AF23" s="242" t="str">
        <f>IF(AE23="","N/A",INDIRECT("MTR!"&amp;ADDRESS(MATCH(LEFT(AE23,9),MTR!C:C,0),COLUMN(J23)),TRUE) &amp; "")</f>
        <v>Complies</v>
      </c>
      <c r="AG23" s="157" t="str">
        <f t="shared" si="5"/>
        <v/>
      </c>
      <c r="AH23" s="170"/>
      <c r="AI23" s="152"/>
      <c r="AJ23" s="152"/>
      <c r="AK23" s="152"/>
      <c r="AL23" s="152"/>
      <c r="AM23" s="152"/>
      <c r="AN23" s="152"/>
      <c r="AO23" s="152"/>
      <c r="AP23" s="152"/>
      <c r="AQ23" s="152"/>
      <c r="AR23" s="152"/>
    </row>
    <row r="24" ht="12.75" customHeight="1">
      <c r="A24" s="244" t="s">
        <v>5158</v>
      </c>
      <c r="B24" s="244" t="s">
        <v>5725</v>
      </c>
      <c r="C24" s="244" t="s">
        <v>5801</v>
      </c>
      <c r="D24" s="154" t="s">
        <v>422</v>
      </c>
      <c r="E24" s="154"/>
      <c r="F24" s="154" t="str">
        <f t="array" ref="F24">XLOOKUP(Cover!$D$12,$P$1:$X$1,$P24:$X24)</f>
        <v>Mandatory</v>
      </c>
      <c r="G24" s="154" t="s">
        <v>5802</v>
      </c>
      <c r="H24" s="154" t="s">
        <v>5803</v>
      </c>
      <c r="I24" s="154" t="s">
        <v>5804</v>
      </c>
      <c r="J24" s="154" t="s">
        <v>5805</v>
      </c>
      <c r="K24" s="154" t="s">
        <v>647</v>
      </c>
      <c r="L24" s="154" t="s">
        <v>759</v>
      </c>
      <c r="M24" s="247" t="s">
        <v>445</v>
      </c>
      <c r="N24" s="247" t="s">
        <v>5733</v>
      </c>
      <c r="O24" s="240" t="str">
        <f t="shared" si="1"/>
        <v/>
      </c>
      <c r="P24" s="154" t="s">
        <v>66</v>
      </c>
      <c r="Q24" s="154" t="s">
        <v>66</v>
      </c>
      <c r="R24" s="154" t="s">
        <v>60</v>
      </c>
      <c r="S24" s="154" t="s">
        <v>60</v>
      </c>
      <c r="T24" s="154" t="s">
        <v>60</v>
      </c>
      <c r="U24" s="154" t="s">
        <v>60</v>
      </c>
      <c r="V24" s="154" t="s">
        <v>66</v>
      </c>
      <c r="W24" s="154" t="s">
        <v>60</v>
      </c>
      <c r="X24" s="154" t="s">
        <v>60</v>
      </c>
      <c r="Y24" s="154"/>
      <c r="Z24" s="242" t="b">
        <f t="shared" si="2"/>
        <v>1</v>
      </c>
      <c r="AA24" s="154" t="s">
        <v>391</v>
      </c>
      <c r="AB24" s="242" t="b">
        <f t="shared" si="3"/>
        <v>0</v>
      </c>
      <c r="AC24" s="154"/>
      <c r="AD24" s="242" t="b">
        <f t="shared" si="4"/>
        <v>0</v>
      </c>
      <c r="AE24" s="154" t="s">
        <v>999</v>
      </c>
      <c r="AF24" s="242" t="str">
        <f>IF(AE24="","N/A",INDIRECT("MTR!"&amp;ADDRESS(MATCH(LEFT(AE24,9),MTR!C:C,0),COLUMN(J24)),TRUE) &amp; "")</f>
        <v>Complies</v>
      </c>
      <c r="AG24" s="157" t="str">
        <f t="shared" si="5"/>
        <v/>
      </c>
      <c r="AH24" s="170"/>
      <c r="AI24" s="152"/>
      <c r="AJ24" s="152"/>
      <c r="AK24" s="152"/>
      <c r="AL24" s="152"/>
      <c r="AM24" s="152"/>
      <c r="AN24" s="152"/>
      <c r="AO24" s="152"/>
      <c r="AP24" s="152"/>
      <c r="AQ24" s="152"/>
      <c r="AR24" s="152"/>
    </row>
    <row r="25" ht="12.75" customHeight="1">
      <c r="A25" s="244" t="s">
        <v>5158</v>
      </c>
      <c r="B25" s="244" t="s">
        <v>5725</v>
      </c>
      <c r="C25" s="244" t="s">
        <v>5806</v>
      </c>
      <c r="D25" s="154" t="s">
        <v>581</v>
      </c>
      <c r="E25" s="154"/>
      <c r="F25" s="154" t="str">
        <f t="array" ref="F25">XLOOKUP(Cover!$D$12,$P$1:$X$1,$P25:$X25)</f>
        <v>Information</v>
      </c>
      <c r="G25" s="154" t="s">
        <v>5807</v>
      </c>
      <c r="H25" s="154" t="s">
        <v>5803</v>
      </c>
      <c r="I25" s="154" t="s">
        <v>5804</v>
      </c>
      <c r="J25" s="154" t="s">
        <v>5805</v>
      </c>
      <c r="K25" s="154"/>
      <c r="L25" s="154" t="s">
        <v>759</v>
      </c>
      <c r="M25" s="247" t="s">
        <v>445</v>
      </c>
      <c r="N25" s="247" t="s">
        <v>5733</v>
      </c>
      <c r="O25" s="240" t="str">
        <f t="shared" si="1"/>
        <v/>
      </c>
      <c r="P25" s="154" t="s">
        <v>66</v>
      </c>
      <c r="Q25" s="154" t="s">
        <v>66</v>
      </c>
      <c r="R25" s="154" t="s">
        <v>66</v>
      </c>
      <c r="S25" s="154" t="s">
        <v>66</v>
      </c>
      <c r="T25" s="154" t="s">
        <v>66</v>
      </c>
      <c r="U25" s="154" t="s">
        <v>66</v>
      </c>
      <c r="V25" s="154" t="s">
        <v>66</v>
      </c>
      <c r="W25" s="154" t="s">
        <v>66</v>
      </c>
      <c r="X25" s="154" t="s">
        <v>66</v>
      </c>
      <c r="Y25" s="154"/>
      <c r="Z25" s="242" t="b">
        <f t="shared" si="2"/>
        <v>1</v>
      </c>
      <c r="AA25" s="154" t="s">
        <v>391</v>
      </c>
      <c r="AB25" s="242" t="b">
        <f t="shared" si="3"/>
        <v>0</v>
      </c>
      <c r="AC25" s="154"/>
      <c r="AD25" s="242" t="b">
        <f t="shared" si="4"/>
        <v>0</v>
      </c>
      <c r="AE25" s="154" t="s">
        <v>999</v>
      </c>
      <c r="AF25" s="242" t="str">
        <f>IF(AE25="","N/A",INDIRECT("MTR!"&amp;ADDRESS(MATCH(LEFT(AE25,9),MTR!C:C,0),COLUMN(J25)),TRUE) &amp; "")</f>
        <v>Complies</v>
      </c>
      <c r="AG25" s="157" t="str">
        <f t="shared" si="5"/>
        <v/>
      </c>
      <c r="AH25" s="170"/>
      <c r="AI25" s="152"/>
      <c r="AJ25" s="152"/>
      <c r="AK25" s="152"/>
      <c r="AL25" s="152"/>
      <c r="AM25" s="152"/>
      <c r="AN25" s="152"/>
      <c r="AO25" s="152"/>
      <c r="AP25" s="152"/>
      <c r="AQ25" s="152"/>
      <c r="AR25" s="152"/>
    </row>
    <row r="26" ht="12.75" customHeight="1">
      <c r="A26" s="244" t="s">
        <v>5158</v>
      </c>
      <c r="B26" s="244" t="s">
        <v>5725</v>
      </c>
      <c r="C26" s="244" t="s">
        <v>5808</v>
      </c>
      <c r="D26" s="154" t="s">
        <v>581</v>
      </c>
      <c r="E26" s="154"/>
      <c r="F26" s="154" t="str">
        <f t="array" ref="F26">XLOOKUP(Cover!$D$12,$P$1:$X$1,$P26:$X26)</f>
        <v>Information</v>
      </c>
      <c r="G26" s="154" t="s">
        <v>5809</v>
      </c>
      <c r="H26" s="154" t="s">
        <v>5803</v>
      </c>
      <c r="I26" s="154" t="s">
        <v>5804</v>
      </c>
      <c r="J26" s="154" t="s">
        <v>5805</v>
      </c>
      <c r="K26" s="154"/>
      <c r="L26" s="154" t="s">
        <v>759</v>
      </c>
      <c r="M26" s="247" t="s">
        <v>445</v>
      </c>
      <c r="N26" s="247" t="s">
        <v>5733</v>
      </c>
      <c r="O26" s="240" t="str">
        <f t="shared" si="1"/>
        <v/>
      </c>
      <c r="P26" s="154" t="s">
        <v>66</v>
      </c>
      <c r="Q26" s="154" t="s">
        <v>66</v>
      </c>
      <c r="R26" s="154" t="s">
        <v>66</v>
      </c>
      <c r="S26" s="154" t="s">
        <v>66</v>
      </c>
      <c r="T26" s="154" t="s">
        <v>66</v>
      </c>
      <c r="U26" s="154" t="s">
        <v>66</v>
      </c>
      <c r="V26" s="154" t="s">
        <v>66</v>
      </c>
      <c r="W26" s="154" t="s">
        <v>66</v>
      </c>
      <c r="X26" s="154" t="s">
        <v>66</v>
      </c>
      <c r="Y26" s="154"/>
      <c r="Z26" s="242" t="b">
        <f t="shared" si="2"/>
        <v>1</v>
      </c>
      <c r="AA26" s="154" t="s">
        <v>391</v>
      </c>
      <c r="AB26" s="242" t="b">
        <f t="shared" si="3"/>
        <v>0</v>
      </c>
      <c r="AC26" s="154"/>
      <c r="AD26" s="242" t="b">
        <f t="shared" si="4"/>
        <v>0</v>
      </c>
      <c r="AE26" s="154" t="s">
        <v>999</v>
      </c>
      <c r="AF26" s="242" t="str">
        <f>IF(AE26="","N/A",INDIRECT("MTR!"&amp;ADDRESS(MATCH(LEFT(AE26,9),MTR!C:C,0),COLUMN(J26)),TRUE) &amp; "")</f>
        <v>Complies</v>
      </c>
      <c r="AG26" s="157" t="str">
        <f t="shared" si="5"/>
        <v/>
      </c>
      <c r="AH26" s="170"/>
      <c r="AI26" s="152"/>
      <c r="AJ26" s="152"/>
      <c r="AK26" s="152"/>
      <c r="AL26" s="152"/>
      <c r="AM26" s="152"/>
      <c r="AN26" s="152"/>
      <c r="AO26" s="152"/>
      <c r="AP26" s="152"/>
      <c r="AQ26" s="152"/>
      <c r="AR26" s="152"/>
    </row>
    <row r="27" ht="12.75" customHeight="1">
      <c r="A27" s="244" t="s">
        <v>5158</v>
      </c>
      <c r="B27" s="244" t="s">
        <v>5725</v>
      </c>
      <c r="C27" s="244" t="s">
        <v>5810</v>
      </c>
      <c r="D27" s="154" t="s">
        <v>433</v>
      </c>
      <c r="E27" s="154"/>
      <c r="F27" s="154" t="str">
        <f t="array" ref="F27">XLOOKUP(Cover!$D$12,$P$1:$X$1,$P27:$X27)</f>
        <v>Information</v>
      </c>
      <c r="G27" s="154" t="s">
        <v>5811</v>
      </c>
      <c r="H27" s="154" t="s">
        <v>5803</v>
      </c>
      <c r="I27" s="154" t="s">
        <v>5804</v>
      </c>
      <c r="J27" s="154" t="s">
        <v>5805</v>
      </c>
      <c r="K27" s="154"/>
      <c r="L27" s="154" t="s">
        <v>759</v>
      </c>
      <c r="M27" s="247" t="s">
        <v>445</v>
      </c>
      <c r="N27" s="247" t="s">
        <v>5733</v>
      </c>
      <c r="O27" s="240" t="str">
        <f t="shared" si="1"/>
        <v/>
      </c>
      <c r="P27" s="154" t="s">
        <v>66</v>
      </c>
      <c r="Q27" s="154" t="s">
        <v>66</v>
      </c>
      <c r="R27" s="154" t="s">
        <v>66</v>
      </c>
      <c r="S27" s="154" t="s">
        <v>66</v>
      </c>
      <c r="T27" s="154" t="s">
        <v>66</v>
      </c>
      <c r="U27" s="154" t="s">
        <v>66</v>
      </c>
      <c r="V27" s="154" t="s">
        <v>66</v>
      </c>
      <c r="W27" s="154" t="s">
        <v>66</v>
      </c>
      <c r="X27" s="154" t="s">
        <v>66</v>
      </c>
      <c r="Y27" s="154"/>
      <c r="Z27" s="242" t="b">
        <f t="shared" si="2"/>
        <v>1</v>
      </c>
      <c r="AA27" s="154" t="s">
        <v>391</v>
      </c>
      <c r="AB27" s="242" t="b">
        <f t="shared" si="3"/>
        <v>0</v>
      </c>
      <c r="AC27" s="154"/>
      <c r="AD27" s="242" t="b">
        <f t="shared" si="4"/>
        <v>0</v>
      </c>
      <c r="AE27" s="154" t="s">
        <v>999</v>
      </c>
      <c r="AF27" s="242" t="str">
        <f>IF(AE27="","N/A",INDIRECT("MTR!"&amp;ADDRESS(MATCH(LEFT(AE27,9),MTR!C:C,0),COLUMN(J27)),TRUE) &amp; "")</f>
        <v>Complies</v>
      </c>
      <c r="AG27" s="157" t="str">
        <f t="shared" si="5"/>
        <v/>
      </c>
      <c r="AH27" s="170"/>
      <c r="AI27" s="152"/>
      <c r="AJ27" s="152"/>
      <c r="AK27" s="152"/>
      <c r="AL27" s="152"/>
      <c r="AM27" s="152"/>
      <c r="AN27" s="152"/>
      <c r="AO27" s="152"/>
      <c r="AP27" s="152"/>
      <c r="AQ27" s="152"/>
      <c r="AR27" s="152"/>
    </row>
    <row r="28" ht="12.75" customHeight="1">
      <c r="A28" s="244" t="s">
        <v>5158</v>
      </c>
      <c r="B28" s="244" t="s">
        <v>5725</v>
      </c>
      <c r="C28" s="244" t="s">
        <v>5812</v>
      </c>
      <c r="D28" s="154" t="s">
        <v>422</v>
      </c>
      <c r="E28" s="154"/>
      <c r="F28" s="154" t="str">
        <f t="array" ref="F28">XLOOKUP(Cover!$D$12,$P$1:$X$1,$P28:$X28)</f>
        <v>Mandatory</v>
      </c>
      <c r="G28" s="154" t="s">
        <v>5813</v>
      </c>
      <c r="H28" s="154" t="s">
        <v>5814</v>
      </c>
      <c r="I28" s="154" t="s">
        <v>5815</v>
      </c>
      <c r="J28" s="154" t="s">
        <v>5798</v>
      </c>
      <c r="K28" s="154" t="s">
        <v>647</v>
      </c>
      <c r="L28" s="154" t="s">
        <v>759</v>
      </c>
      <c r="M28" s="247" t="s">
        <v>445</v>
      </c>
      <c r="N28" s="247" t="s">
        <v>5733</v>
      </c>
      <c r="O28" s="240" t="str">
        <f t="shared" si="1"/>
        <v/>
      </c>
      <c r="P28" s="154" t="s">
        <v>66</v>
      </c>
      <c r="Q28" s="154" t="s">
        <v>66</v>
      </c>
      <c r="R28" s="154" t="s">
        <v>60</v>
      </c>
      <c r="S28" s="154" t="s">
        <v>60</v>
      </c>
      <c r="T28" s="154" t="s">
        <v>60</v>
      </c>
      <c r="U28" s="154" t="s">
        <v>60</v>
      </c>
      <c r="V28" s="154" t="s">
        <v>66</v>
      </c>
      <c r="W28" s="154" t="s">
        <v>60</v>
      </c>
      <c r="X28" s="154" t="s">
        <v>60</v>
      </c>
      <c r="Y28" s="154"/>
      <c r="Z28" s="242" t="b">
        <f t="shared" si="2"/>
        <v>1</v>
      </c>
      <c r="AA28" s="154" t="s">
        <v>391</v>
      </c>
      <c r="AB28" s="242" t="b">
        <f t="shared" si="3"/>
        <v>0</v>
      </c>
      <c r="AC28" s="154"/>
      <c r="AD28" s="242" t="b">
        <f t="shared" si="4"/>
        <v>0</v>
      </c>
      <c r="AE28" s="154" t="s">
        <v>999</v>
      </c>
      <c r="AF28" s="242" t="str">
        <f>IF(AE28="","N/A",INDIRECT("MTR!"&amp;ADDRESS(MATCH(LEFT(AE28,9),MTR!C:C,0),COLUMN(J28)),TRUE) &amp; "")</f>
        <v>Complies</v>
      </c>
      <c r="AG28" s="157" t="str">
        <f t="shared" si="5"/>
        <v/>
      </c>
      <c r="AH28" s="170"/>
      <c r="AI28" s="152"/>
      <c r="AJ28" s="152"/>
      <c r="AK28" s="152"/>
      <c r="AL28" s="152"/>
      <c r="AM28" s="152"/>
      <c r="AN28" s="152"/>
      <c r="AO28" s="152"/>
      <c r="AP28" s="152"/>
      <c r="AQ28" s="152"/>
      <c r="AR28" s="152"/>
    </row>
    <row r="29" ht="12.75" customHeight="1">
      <c r="A29" s="244" t="s">
        <v>5158</v>
      </c>
      <c r="B29" s="244" t="s">
        <v>5725</v>
      </c>
      <c r="C29" s="244" t="s">
        <v>5816</v>
      </c>
      <c r="D29" s="154" t="s">
        <v>484</v>
      </c>
      <c r="E29" s="154"/>
      <c r="F29" s="154" t="str">
        <f t="array" ref="F29">XLOOKUP(Cover!$D$12,$P$1:$X$1,$P29:$X29)</f>
        <v>Mandatory</v>
      </c>
      <c r="G29" s="154" t="s">
        <v>5817</v>
      </c>
      <c r="H29" s="154" t="s">
        <v>5814</v>
      </c>
      <c r="I29" s="154" t="s">
        <v>5815</v>
      </c>
      <c r="J29" s="154" t="s">
        <v>5798</v>
      </c>
      <c r="K29" s="154" t="s">
        <v>647</v>
      </c>
      <c r="L29" s="154" t="s">
        <v>759</v>
      </c>
      <c r="M29" s="247" t="s">
        <v>445</v>
      </c>
      <c r="N29" s="247" t="s">
        <v>5733</v>
      </c>
      <c r="O29" s="240" t="str">
        <f t="shared" si="1"/>
        <v/>
      </c>
      <c r="P29" s="154" t="s">
        <v>66</v>
      </c>
      <c r="Q29" s="154" t="s">
        <v>66</v>
      </c>
      <c r="R29" s="154" t="s">
        <v>60</v>
      </c>
      <c r="S29" s="154" t="s">
        <v>60</v>
      </c>
      <c r="T29" s="154" t="s">
        <v>60</v>
      </c>
      <c r="U29" s="154" t="s">
        <v>60</v>
      </c>
      <c r="V29" s="154" t="s">
        <v>66</v>
      </c>
      <c r="W29" s="154" t="s">
        <v>60</v>
      </c>
      <c r="X29" s="154" t="s">
        <v>60</v>
      </c>
      <c r="Y29" s="154"/>
      <c r="Z29" s="242" t="b">
        <f t="shared" si="2"/>
        <v>1</v>
      </c>
      <c r="AA29" s="154" t="s">
        <v>391</v>
      </c>
      <c r="AB29" s="242" t="b">
        <f t="shared" si="3"/>
        <v>0</v>
      </c>
      <c r="AC29" s="154"/>
      <c r="AD29" s="242" t="b">
        <f t="shared" si="4"/>
        <v>0</v>
      </c>
      <c r="AE29" s="154" t="s">
        <v>999</v>
      </c>
      <c r="AF29" s="242" t="str">
        <f>IF(AE29="","N/A",INDIRECT("MTR!"&amp;ADDRESS(MATCH(LEFT(AE29,9),MTR!C:C,0),COLUMN(J29)),TRUE) &amp; "")</f>
        <v>Complies</v>
      </c>
      <c r="AG29" s="157" t="str">
        <f t="shared" si="5"/>
        <v/>
      </c>
      <c r="AH29" s="170"/>
      <c r="AI29" s="152"/>
      <c r="AJ29" s="152"/>
      <c r="AK29" s="152"/>
      <c r="AL29" s="152"/>
      <c r="AM29" s="152"/>
      <c r="AN29" s="152"/>
      <c r="AO29" s="152"/>
      <c r="AP29" s="152"/>
      <c r="AQ29" s="152"/>
      <c r="AR29" s="152"/>
    </row>
    <row r="30" ht="12.75" customHeight="1">
      <c r="A30" s="244" t="s">
        <v>5158</v>
      </c>
      <c r="B30" s="244" t="s">
        <v>5725</v>
      </c>
      <c r="C30" s="244" t="s">
        <v>5818</v>
      </c>
      <c r="D30" s="154" t="s">
        <v>581</v>
      </c>
      <c r="E30" s="154"/>
      <c r="F30" s="154" t="str">
        <f t="array" ref="F30">XLOOKUP(Cover!$D$12,$P$1:$X$1,$P30:$X30)</f>
        <v>Mandatory</v>
      </c>
      <c r="G30" s="154" t="s">
        <v>5819</v>
      </c>
      <c r="H30" s="154" t="s">
        <v>5820</v>
      </c>
      <c r="I30" s="154" t="s">
        <v>5821</v>
      </c>
      <c r="J30" s="154" t="s">
        <v>5759</v>
      </c>
      <c r="K30" s="154" t="s">
        <v>647</v>
      </c>
      <c r="L30" s="154" t="s">
        <v>759</v>
      </c>
      <c r="M30" s="247" t="s">
        <v>445</v>
      </c>
      <c r="N30" s="247" t="s">
        <v>5733</v>
      </c>
      <c r="O30" s="240" t="str">
        <f t="shared" si="1"/>
        <v/>
      </c>
      <c r="P30" s="154" t="s">
        <v>66</v>
      </c>
      <c r="Q30" s="154" t="s">
        <v>66</v>
      </c>
      <c r="R30" s="154" t="s">
        <v>60</v>
      </c>
      <c r="S30" s="154" t="s">
        <v>60</v>
      </c>
      <c r="T30" s="154" t="s">
        <v>60</v>
      </c>
      <c r="U30" s="154" t="s">
        <v>60</v>
      </c>
      <c r="V30" s="154" t="s">
        <v>66</v>
      </c>
      <c r="W30" s="154" t="s">
        <v>60</v>
      </c>
      <c r="X30" s="154" t="s">
        <v>60</v>
      </c>
      <c r="Y30" s="154"/>
      <c r="Z30" s="242" t="b">
        <f t="shared" si="2"/>
        <v>1</v>
      </c>
      <c r="AA30" s="154" t="s">
        <v>391</v>
      </c>
      <c r="AB30" s="242" t="b">
        <f t="shared" si="3"/>
        <v>0</v>
      </c>
      <c r="AC30" s="154"/>
      <c r="AD30" s="242" t="b">
        <f t="shared" si="4"/>
        <v>0</v>
      </c>
      <c r="AE30" s="154" t="s">
        <v>999</v>
      </c>
      <c r="AF30" s="242" t="str">
        <f>IF(AE30="","N/A",INDIRECT("MTR!"&amp;ADDRESS(MATCH(LEFT(AE30,9),MTR!C:C,0),COLUMN(J30)),TRUE) &amp; "")</f>
        <v>Complies</v>
      </c>
      <c r="AG30" s="157" t="str">
        <f t="shared" si="5"/>
        <v/>
      </c>
      <c r="AH30" s="170"/>
      <c r="AI30" s="152"/>
      <c r="AJ30" s="152"/>
      <c r="AK30" s="152"/>
      <c r="AL30" s="152"/>
      <c r="AM30" s="152"/>
      <c r="AN30" s="152"/>
      <c r="AO30" s="152"/>
      <c r="AP30" s="152"/>
      <c r="AQ30" s="152"/>
      <c r="AR30" s="152"/>
    </row>
    <row r="31" ht="12.75" customHeight="1">
      <c r="A31" s="244" t="s">
        <v>5158</v>
      </c>
      <c r="B31" s="244" t="s">
        <v>5725</v>
      </c>
      <c r="C31" s="244" t="s">
        <v>5822</v>
      </c>
      <c r="D31" s="154" t="s">
        <v>492</v>
      </c>
      <c r="E31" s="154"/>
      <c r="F31" s="154" t="str">
        <f t="array" ref="F31">XLOOKUP(Cover!$D$12,$P$1:$X$1,$P31:$X31)</f>
        <v>Information</v>
      </c>
      <c r="G31" s="154" t="s">
        <v>5823</v>
      </c>
      <c r="H31" s="154" t="s">
        <v>5820</v>
      </c>
      <c r="I31" s="154" t="s">
        <v>5821</v>
      </c>
      <c r="J31" s="154" t="s">
        <v>5759</v>
      </c>
      <c r="K31" s="154"/>
      <c r="L31" s="154" t="s">
        <v>759</v>
      </c>
      <c r="M31" s="247" t="s">
        <v>445</v>
      </c>
      <c r="N31" s="247" t="s">
        <v>5733</v>
      </c>
      <c r="O31" s="240" t="str">
        <f t="shared" si="1"/>
        <v/>
      </c>
      <c r="P31" s="154" t="s">
        <v>66</v>
      </c>
      <c r="Q31" s="154" t="s">
        <v>66</v>
      </c>
      <c r="R31" s="154" t="s">
        <v>66</v>
      </c>
      <c r="S31" s="154" t="s">
        <v>66</v>
      </c>
      <c r="T31" s="154" t="s">
        <v>66</v>
      </c>
      <c r="U31" s="154" t="s">
        <v>66</v>
      </c>
      <c r="V31" s="154" t="s">
        <v>66</v>
      </c>
      <c r="W31" s="154" t="s">
        <v>66</v>
      </c>
      <c r="X31" s="154" t="s">
        <v>66</v>
      </c>
      <c r="Y31" s="154"/>
      <c r="Z31" s="242" t="b">
        <f t="shared" si="2"/>
        <v>1</v>
      </c>
      <c r="AA31" s="154" t="s">
        <v>391</v>
      </c>
      <c r="AB31" s="242" t="b">
        <f t="shared" si="3"/>
        <v>0</v>
      </c>
      <c r="AC31" s="154"/>
      <c r="AD31" s="242" t="b">
        <f t="shared" si="4"/>
        <v>0</v>
      </c>
      <c r="AE31" s="154" t="s">
        <v>999</v>
      </c>
      <c r="AF31" s="242" t="str">
        <f>IF(AE31="","N/A",INDIRECT("MTR!"&amp;ADDRESS(MATCH(LEFT(AE31,9),MTR!C:C,0),COLUMN(J31)),TRUE) &amp; "")</f>
        <v>Complies</v>
      </c>
      <c r="AG31" s="157" t="str">
        <f t="shared" si="5"/>
        <v/>
      </c>
      <c r="AH31" s="170"/>
      <c r="AI31" s="152"/>
      <c r="AJ31" s="152"/>
      <c r="AK31" s="152"/>
      <c r="AL31" s="152"/>
      <c r="AM31" s="152"/>
      <c r="AN31" s="152"/>
      <c r="AO31" s="152"/>
      <c r="AP31" s="152"/>
      <c r="AQ31" s="152"/>
      <c r="AR31" s="152"/>
    </row>
    <row r="32" ht="12.75" customHeight="1">
      <c r="A32" s="244" t="s">
        <v>5158</v>
      </c>
      <c r="B32" s="244" t="s">
        <v>5725</v>
      </c>
      <c r="C32" s="244" t="s">
        <v>5824</v>
      </c>
      <c r="D32" s="154" t="s">
        <v>462</v>
      </c>
      <c r="E32" s="154"/>
      <c r="F32" s="154" t="str">
        <f t="array" ref="F32">XLOOKUP(Cover!$D$12,$P$1:$X$1,$P32:$X32)</f>
        <v>Mandatory</v>
      </c>
      <c r="G32" s="154" t="s">
        <v>5825</v>
      </c>
      <c r="H32" s="154" t="s">
        <v>5782</v>
      </c>
      <c r="I32" s="154" t="s">
        <v>5826</v>
      </c>
      <c r="J32" s="154" t="s">
        <v>5827</v>
      </c>
      <c r="K32" s="154" t="s">
        <v>1122</v>
      </c>
      <c r="L32" s="154" t="s">
        <v>759</v>
      </c>
      <c r="M32" s="247" t="s">
        <v>445</v>
      </c>
      <c r="N32" s="247" t="s">
        <v>5733</v>
      </c>
      <c r="O32" s="240" t="str">
        <f t="shared" si="1"/>
        <v/>
      </c>
      <c r="P32" s="154" t="s">
        <v>66</v>
      </c>
      <c r="Q32" s="154" t="s">
        <v>66</v>
      </c>
      <c r="R32" s="154" t="s">
        <v>60</v>
      </c>
      <c r="S32" s="154" t="s">
        <v>60</v>
      </c>
      <c r="T32" s="154" t="s">
        <v>60</v>
      </c>
      <c r="U32" s="154" t="s">
        <v>60</v>
      </c>
      <c r="V32" s="154" t="s">
        <v>66</v>
      </c>
      <c r="W32" s="154" t="s">
        <v>60</v>
      </c>
      <c r="X32" s="154" t="s">
        <v>60</v>
      </c>
      <c r="Y32" s="154"/>
      <c r="Z32" s="242" t="b">
        <f t="shared" si="2"/>
        <v>1</v>
      </c>
      <c r="AA32" s="154" t="s">
        <v>391</v>
      </c>
      <c r="AB32" s="242" t="b">
        <f t="shared" si="3"/>
        <v>0</v>
      </c>
      <c r="AC32" s="154"/>
      <c r="AD32" s="242" t="b">
        <f t="shared" si="4"/>
        <v>0</v>
      </c>
      <c r="AE32" s="154" t="s">
        <v>999</v>
      </c>
      <c r="AF32" s="242" t="str">
        <f>IF(AE32="","N/A",INDIRECT("MTR!"&amp;ADDRESS(MATCH(LEFT(AE32,9),MTR!C:C,0),COLUMN(J32)),TRUE) &amp; "")</f>
        <v>Complies</v>
      </c>
      <c r="AG32" s="157" t="str">
        <f t="shared" si="5"/>
        <v/>
      </c>
      <c r="AH32" s="170"/>
      <c r="AI32" s="152"/>
      <c r="AJ32" s="152"/>
      <c r="AK32" s="152"/>
      <c r="AL32" s="152"/>
      <c r="AM32" s="152"/>
      <c r="AN32" s="152"/>
      <c r="AO32" s="152"/>
      <c r="AP32" s="152"/>
      <c r="AQ32" s="152"/>
      <c r="AR32" s="152"/>
    </row>
    <row r="33" ht="12.75" customHeight="1">
      <c r="A33" s="244" t="s">
        <v>5158</v>
      </c>
      <c r="B33" s="244" t="s">
        <v>5725</v>
      </c>
      <c r="C33" s="244" t="s">
        <v>5828</v>
      </c>
      <c r="D33" s="154" t="s">
        <v>581</v>
      </c>
      <c r="E33" s="154"/>
      <c r="F33" s="154" t="str">
        <f t="array" ref="F33">XLOOKUP(Cover!$D$12,$P$1:$X$1,$P33:$X33)</f>
        <v>Information</v>
      </c>
      <c r="G33" s="154" t="s">
        <v>5829</v>
      </c>
      <c r="H33" s="154" t="s">
        <v>5830</v>
      </c>
      <c r="I33" s="154" t="s">
        <v>5831</v>
      </c>
      <c r="J33" s="154" t="s">
        <v>5784</v>
      </c>
      <c r="K33" s="154"/>
      <c r="L33" s="154" t="s">
        <v>759</v>
      </c>
      <c r="M33" s="247" t="s">
        <v>445</v>
      </c>
      <c r="N33" s="247" t="s">
        <v>5733</v>
      </c>
      <c r="O33" s="240" t="str">
        <f t="shared" si="1"/>
        <v/>
      </c>
      <c r="P33" s="154" t="s">
        <v>66</v>
      </c>
      <c r="Q33" s="154" t="s">
        <v>66</v>
      </c>
      <c r="R33" s="154" t="s">
        <v>66</v>
      </c>
      <c r="S33" s="154" t="s">
        <v>66</v>
      </c>
      <c r="T33" s="154" t="s">
        <v>66</v>
      </c>
      <c r="U33" s="154" t="s">
        <v>66</v>
      </c>
      <c r="V33" s="154" t="s">
        <v>66</v>
      </c>
      <c r="W33" s="154" t="s">
        <v>66</v>
      </c>
      <c r="X33" s="154" t="s">
        <v>66</v>
      </c>
      <c r="Y33" s="154"/>
      <c r="Z33" s="242" t="b">
        <f t="shared" si="2"/>
        <v>1</v>
      </c>
      <c r="AA33" s="154" t="s">
        <v>391</v>
      </c>
      <c r="AB33" s="242" t="b">
        <f t="shared" si="3"/>
        <v>0</v>
      </c>
      <c r="AC33" s="154"/>
      <c r="AD33" s="242" t="b">
        <f t="shared" si="4"/>
        <v>0</v>
      </c>
      <c r="AE33" s="154" t="s">
        <v>999</v>
      </c>
      <c r="AF33" s="242" t="str">
        <f>IF(AE33="","N/A",INDIRECT("MTR!"&amp;ADDRESS(MATCH(LEFT(AE33,9),MTR!C:C,0),COLUMN(J33)),TRUE) &amp; "")</f>
        <v>Complies</v>
      </c>
      <c r="AG33" s="157" t="str">
        <f t="shared" si="5"/>
        <v/>
      </c>
      <c r="AH33" s="170"/>
      <c r="AI33" s="152"/>
      <c r="AJ33" s="152"/>
      <c r="AK33" s="152"/>
      <c r="AL33" s="152"/>
      <c r="AM33" s="152"/>
      <c r="AN33" s="152"/>
      <c r="AO33" s="152"/>
      <c r="AP33" s="152"/>
      <c r="AQ33" s="152"/>
      <c r="AR33" s="152"/>
    </row>
    <row r="34" ht="12.75" customHeight="1">
      <c r="A34" s="244" t="s">
        <v>5158</v>
      </c>
      <c r="B34" s="244" t="s">
        <v>5725</v>
      </c>
      <c r="C34" s="244" t="s">
        <v>5832</v>
      </c>
      <c r="D34" s="154" t="s">
        <v>492</v>
      </c>
      <c r="E34" s="154"/>
      <c r="F34" s="154" t="str">
        <f t="array" ref="F34">XLOOKUP(Cover!$D$12,$P$1:$X$1,$P34:$X34)</f>
        <v>Information</v>
      </c>
      <c r="G34" s="154" t="s">
        <v>5833</v>
      </c>
      <c r="H34" s="154" t="s">
        <v>5830</v>
      </c>
      <c r="I34" s="154" t="s">
        <v>5831</v>
      </c>
      <c r="J34" s="154" t="s">
        <v>5784</v>
      </c>
      <c r="K34" s="154"/>
      <c r="L34" s="154" t="s">
        <v>759</v>
      </c>
      <c r="M34" s="247" t="s">
        <v>445</v>
      </c>
      <c r="N34" s="247" t="s">
        <v>5733</v>
      </c>
      <c r="O34" s="240" t="str">
        <f t="shared" si="1"/>
        <v/>
      </c>
      <c r="P34" s="154" t="s">
        <v>66</v>
      </c>
      <c r="Q34" s="154" t="s">
        <v>66</v>
      </c>
      <c r="R34" s="154" t="s">
        <v>66</v>
      </c>
      <c r="S34" s="154" t="s">
        <v>66</v>
      </c>
      <c r="T34" s="154" t="s">
        <v>66</v>
      </c>
      <c r="U34" s="154" t="s">
        <v>66</v>
      </c>
      <c r="V34" s="154" t="s">
        <v>66</v>
      </c>
      <c r="W34" s="154" t="s">
        <v>66</v>
      </c>
      <c r="X34" s="154" t="s">
        <v>66</v>
      </c>
      <c r="Y34" s="154"/>
      <c r="Z34" s="242" t="b">
        <f t="shared" si="2"/>
        <v>1</v>
      </c>
      <c r="AA34" s="154" t="s">
        <v>391</v>
      </c>
      <c r="AB34" s="242" t="b">
        <f t="shared" si="3"/>
        <v>0</v>
      </c>
      <c r="AC34" s="154"/>
      <c r="AD34" s="242" t="b">
        <f t="shared" si="4"/>
        <v>0</v>
      </c>
      <c r="AE34" s="154" t="s">
        <v>999</v>
      </c>
      <c r="AF34" s="242" t="str">
        <f>IF(AE34="","N/A",INDIRECT("MTR!"&amp;ADDRESS(MATCH(LEFT(AE34,9),MTR!C:C,0),COLUMN(J34)),TRUE) &amp; "")</f>
        <v>Complies</v>
      </c>
      <c r="AG34" s="157" t="str">
        <f t="shared" si="5"/>
        <v/>
      </c>
      <c r="AH34" s="170"/>
      <c r="AI34" s="152"/>
      <c r="AJ34" s="152"/>
      <c r="AK34" s="152"/>
      <c r="AL34" s="152"/>
      <c r="AM34" s="152"/>
      <c r="AN34" s="152"/>
      <c r="AO34" s="152"/>
      <c r="AP34" s="152"/>
      <c r="AQ34" s="152"/>
      <c r="AR34" s="152"/>
    </row>
    <row r="35" ht="12.75" customHeight="1">
      <c r="A35" s="244" t="s">
        <v>5158</v>
      </c>
      <c r="B35" s="244" t="s">
        <v>5725</v>
      </c>
      <c r="C35" s="244" t="s">
        <v>5834</v>
      </c>
      <c r="D35" s="154" t="s">
        <v>492</v>
      </c>
      <c r="E35" s="154"/>
      <c r="F35" s="154" t="str">
        <f t="array" ref="F35">XLOOKUP(Cover!$D$12,$P$1:$X$1,$P35:$X35)</f>
        <v>Information</v>
      </c>
      <c r="G35" s="154" t="s">
        <v>5835</v>
      </c>
      <c r="H35" s="154" t="s">
        <v>5830</v>
      </c>
      <c r="I35" s="154" t="s">
        <v>5831</v>
      </c>
      <c r="J35" s="154" t="s">
        <v>5784</v>
      </c>
      <c r="K35" s="154"/>
      <c r="L35" s="154" t="s">
        <v>759</v>
      </c>
      <c r="M35" s="247" t="s">
        <v>445</v>
      </c>
      <c r="N35" s="247" t="s">
        <v>5733</v>
      </c>
      <c r="O35" s="240" t="str">
        <f t="shared" si="1"/>
        <v/>
      </c>
      <c r="P35" s="154" t="s">
        <v>66</v>
      </c>
      <c r="Q35" s="154" t="s">
        <v>66</v>
      </c>
      <c r="R35" s="154" t="s">
        <v>66</v>
      </c>
      <c r="S35" s="154" t="s">
        <v>66</v>
      </c>
      <c r="T35" s="154" t="s">
        <v>66</v>
      </c>
      <c r="U35" s="154" t="s">
        <v>66</v>
      </c>
      <c r="V35" s="154" t="s">
        <v>66</v>
      </c>
      <c r="W35" s="154" t="s">
        <v>66</v>
      </c>
      <c r="X35" s="154" t="s">
        <v>66</v>
      </c>
      <c r="Y35" s="154"/>
      <c r="Z35" s="242" t="b">
        <f t="shared" si="2"/>
        <v>1</v>
      </c>
      <c r="AA35" s="154" t="s">
        <v>391</v>
      </c>
      <c r="AB35" s="242" t="b">
        <f t="shared" si="3"/>
        <v>0</v>
      </c>
      <c r="AC35" s="154"/>
      <c r="AD35" s="242" t="b">
        <f t="shared" si="4"/>
        <v>0</v>
      </c>
      <c r="AE35" s="154" t="s">
        <v>999</v>
      </c>
      <c r="AF35" s="242" t="str">
        <f>IF(AE35="","N/A",INDIRECT("MTR!"&amp;ADDRESS(MATCH(LEFT(AE35,9),MTR!C:C,0),COLUMN(J35)),TRUE) &amp; "")</f>
        <v>Complies</v>
      </c>
      <c r="AG35" s="157" t="str">
        <f t="shared" si="5"/>
        <v/>
      </c>
      <c r="AH35" s="170"/>
      <c r="AI35" s="152"/>
      <c r="AJ35" s="152"/>
      <c r="AK35" s="152"/>
      <c r="AL35" s="152"/>
      <c r="AM35" s="152"/>
      <c r="AN35" s="152"/>
      <c r="AO35" s="152"/>
      <c r="AP35" s="152"/>
      <c r="AQ35" s="152"/>
      <c r="AR35" s="152"/>
    </row>
    <row r="36" ht="12.75" customHeight="1">
      <c r="A36" s="244" t="s">
        <v>5158</v>
      </c>
      <c r="B36" s="244" t="s">
        <v>5725</v>
      </c>
      <c r="C36" s="244" t="s">
        <v>5836</v>
      </c>
      <c r="D36" s="154" t="s">
        <v>1120</v>
      </c>
      <c r="E36" s="154"/>
      <c r="F36" s="154" t="str">
        <f t="array" ref="F36">XLOOKUP(Cover!$D$12,$P$1:$X$1,$P36:$X36)</f>
        <v>Information</v>
      </c>
      <c r="G36" s="154" t="s">
        <v>5837</v>
      </c>
      <c r="H36" s="154" t="s">
        <v>5830</v>
      </c>
      <c r="I36" s="154" t="s">
        <v>5831</v>
      </c>
      <c r="J36" s="154" t="s">
        <v>5784</v>
      </c>
      <c r="K36" s="154"/>
      <c r="L36" s="154" t="s">
        <v>759</v>
      </c>
      <c r="M36" s="247" t="s">
        <v>445</v>
      </c>
      <c r="N36" s="247" t="s">
        <v>5733</v>
      </c>
      <c r="O36" s="240" t="str">
        <f t="shared" si="1"/>
        <v/>
      </c>
      <c r="P36" s="154" t="s">
        <v>66</v>
      </c>
      <c r="Q36" s="154" t="s">
        <v>66</v>
      </c>
      <c r="R36" s="154" t="s">
        <v>66</v>
      </c>
      <c r="S36" s="154" t="s">
        <v>66</v>
      </c>
      <c r="T36" s="154" t="s">
        <v>66</v>
      </c>
      <c r="U36" s="154" t="s">
        <v>66</v>
      </c>
      <c r="V36" s="154" t="s">
        <v>66</v>
      </c>
      <c r="W36" s="154" t="s">
        <v>66</v>
      </c>
      <c r="X36" s="154" t="s">
        <v>66</v>
      </c>
      <c r="Y36" s="154"/>
      <c r="Z36" s="242" t="b">
        <f t="shared" si="2"/>
        <v>1</v>
      </c>
      <c r="AA36" s="154" t="s">
        <v>391</v>
      </c>
      <c r="AB36" s="242" t="b">
        <f t="shared" si="3"/>
        <v>0</v>
      </c>
      <c r="AC36" s="154"/>
      <c r="AD36" s="242" t="b">
        <f t="shared" si="4"/>
        <v>0</v>
      </c>
      <c r="AE36" s="154" t="s">
        <v>999</v>
      </c>
      <c r="AF36" s="242" t="str">
        <f>IF(AE36="","N/A",INDIRECT("MTR!"&amp;ADDRESS(MATCH(LEFT(AE36,9),MTR!C:C,0),COLUMN(J36)),TRUE) &amp; "")</f>
        <v>Complies</v>
      </c>
      <c r="AG36" s="157" t="str">
        <f t="shared" si="5"/>
        <v/>
      </c>
      <c r="AH36" s="170"/>
      <c r="AI36" s="152"/>
      <c r="AJ36" s="152"/>
      <c r="AK36" s="152"/>
      <c r="AL36" s="152"/>
      <c r="AM36" s="152"/>
      <c r="AN36" s="152"/>
      <c r="AO36" s="152"/>
      <c r="AP36" s="152"/>
      <c r="AQ36" s="152"/>
      <c r="AR36" s="152"/>
    </row>
    <row r="37" ht="12.75" customHeight="1">
      <c r="A37" s="244" t="s">
        <v>5158</v>
      </c>
      <c r="B37" s="244" t="s">
        <v>5725</v>
      </c>
      <c r="C37" s="244" t="s">
        <v>5838</v>
      </c>
      <c r="D37" s="154" t="s">
        <v>422</v>
      </c>
      <c r="E37" s="154"/>
      <c r="F37" s="154" t="str">
        <f t="array" ref="F37">XLOOKUP(Cover!$D$12,$P$1:$X$1,$P37:$X37)</f>
        <v>Recommended</v>
      </c>
      <c r="G37" s="154" t="s">
        <v>5839</v>
      </c>
      <c r="H37" s="154" t="s">
        <v>5840</v>
      </c>
      <c r="I37" s="154" t="s">
        <v>5841</v>
      </c>
      <c r="J37" s="154" t="s">
        <v>5798</v>
      </c>
      <c r="K37" s="154"/>
      <c r="L37" s="154" t="s">
        <v>759</v>
      </c>
      <c r="M37" s="247" t="s">
        <v>445</v>
      </c>
      <c r="N37" s="247" t="s">
        <v>5733</v>
      </c>
      <c r="O37" s="240" t="str">
        <f t="shared" si="1"/>
        <v/>
      </c>
      <c r="P37" s="154" t="s">
        <v>66</v>
      </c>
      <c r="Q37" s="154" t="s">
        <v>66</v>
      </c>
      <c r="R37" s="154" t="s">
        <v>64</v>
      </c>
      <c r="S37" s="154" t="s">
        <v>64</v>
      </c>
      <c r="T37" s="154" t="s">
        <v>64</v>
      </c>
      <c r="U37" s="154" t="s">
        <v>64</v>
      </c>
      <c r="V37" s="154" t="s">
        <v>66</v>
      </c>
      <c r="W37" s="154" t="s">
        <v>64</v>
      </c>
      <c r="X37" s="154" t="s">
        <v>64</v>
      </c>
      <c r="Y37" s="154"/>
      <c r="Z37" s="242" t="b">
        <f t="shared" si="2"/>
        <v>1</v>
      </c>
      <c r="AA37" s="154" t="s">
        <v>391</v>
      </c>
      <c r="AB37" s="242" t="b">
        <f t="shared" si="3"/>
        <v>0</v>
      </c>
      <c r="AC37" s="154"/>
      <c r="AD37" s="242" t="b">
        <f t="shared" si="4"/>
        <v>0</v>
      </c>
      <c r="AE37" s="154" t="s">
        <v>999</v>
      </c>
      <c r="AF37" s="242" t="str">
        <f>IF(AE37="","N/A",INDIRECT("MTR!"&amp;ADDRESS(MATCH(LEFT(AE37,9),MTR!C:C,0),COLUMN(J37)),TRUE) &amp; "")</f>
        <v>Complies</v>
      </c>
      <c r="AG37" s="157" t="str">
        <f t="shared" si="5"/>
        <v/>
      </c>
      <c r="AH37" s="170"/>
      <c r="AI37" s="152"/>
      <c r="AJ37" s="152"/>
      <c r="AK37" s="152"/>
      <c r="AL37" s="152"/>
      <c r="AM37" s="152"/>
      <c r="AN37" s="152"/>
      <c r="AO37" s="152"/>
      <c r="AP37" s="152"/>
      <c r="AQ37" s="152"/>
      <c r="AR37" s="152"/>
    </row>
    <row r="38" ht="12.75" customHeight="1">
      <c r="A38" s="244" t="s">
        <v>5158</v>
      </c>
      <c r="B38" s="244" t="s">
        <v>5725</v>
      </c>
      <c r="C38" s="244" t="s">
        <v>5842</v>
      </c>
      <c r="D38" s="154" t="s">
        <v>581</v>
      </c>
      <c r="E38" s="154"/>
      <c r="F38" s="154" t="str">
        <f t="array" ref="F38">XLOOKUP(Cover!$D$12,$P$1:$X$1,$P38:$X38)</f>
        <v>Mandatory</v>
      </c>
      <c r="G38" s="154" t="s">
        <v>5843</v>
      </c>
      <c r="H38" s="154" t="s">
        <v>5840</v>
      </c>
      <c r="I38" s="154" t="s">
        <v>5841</v>
      </c>
      <c r="J38" s="154" t="s">
        <v>5798</v>
      </c>
      <c r="K38" s="154" t="s">
        <v>647</v>
      </c>
      <c r="L38" s="154" t="s">
        <v>759</v>
      </c>
      <c r="M38" s="247" t="s">
        <v>445</v>
      </c>
      <c r="N38" s="247" t="s">
        <v>5733</v>
      </c>
      <c r="O38" s="240" t="str">
        <f t="shared" si="1"/>
        <v/>
      </c>
      <c r="P38" s="154" t="s">
        <v>66</v>
      </c>
      <c r="Q38" s="154" t="s">
        <v>66</v>
      </c>
      <c r="R38" s="154" t="s">
        <v>60</v>
      </c>
      <c r="S38" s="154" t="s">
        <v>60</v>
      </c>
      <c r="T38" s="154" t="s">
        <v>60</v>
      </c>
      <c r="U38" s="154" t="s">
        <v>60</v>
      </c>
      <c r="V38" s="154" t="s">
        <v>66</v>
      </c>
      <c r="W38" s="154" t="s">
        <v>60</v>
      </c>
      <c r="X38" s="154" t="s">
        <v>60</v>
      </c>
      <c r="Y38" s="154"/>
      <c r="Z38" s="242" t="b">
        <f t="shared" si="2"/>
        <v>1</v>
      </c>
      <c r="AA38" s="154" t="s">
        <v>391</v>
      </c>
      <c r="AB38" s="242" t="b">
        <f t="shared" si="3"/>
        <v>0</v>
      </c>
      <c r="AC38" s="154"/>
      <c r="AD38" s="242" t="b">
        <f t="shared" si="4"/>
        <v>0</v>
      </c>
      <c r="AE38" s="154" t="s">
        <v>999</v>
      </c>
      <c r="AF38" s="242" t="str">
        <f>IF(AE38="","N/A",INDIRECT("MTR!"&amp;ADDRESS(MATCH(LEFT(AE38,9),MTR!C:C,0),COLUMN(J38)),TRUE) &amp; "")</f>
        <v>Complies</v>
      </c>
      <c r="AG38" s="157" t="str">
        <f t="shared" si="5"/>
        <v/>
      </c>
      <c r="AH38" s="170"/>
      <c r="AI38" s="152"/>
      <c r="AJ38" s="152"/>
      <c r="AK38" s="152"/>
      <c r="AL38" s="152"/>
      <c r="AM38" s="152"/>
      <c r="AN38" s="152"/>
      <c r="AO38" s="152"/>
      <c r="AP38" s="152"/>
      <c r="AQ38" s="152"/>
      <c r="AR38" s="152"/>
    </row>
    <row r="39" ht="12.75" customHeight="1">
      <c r="A39" s="244" t="s">
        <v>5158</v>
      </c>
      <c r="B39" s="244" t="s">
        <v>5725</v>
      </c>
      <c r="C39" s="244" t="s">
        <v>5844</v>
      </c>
      <c r="D39" s="154" t="s">
        <v>1120</v>
      </c>
      <c r="E39" s="154"/>
      <c r="F39" s="154" t="str">
        <f t="array" ref="F39">XLOOKUP(Cover!$D$12,$P$1:$X$1,$P39:$X39)</f>
        <v>Information</v>
      </c>
      <c r="G39" s="154" t="s">
        <v>5845</v>
      </c>
      <c r="H39" s="154" t="s">
        <v>5840</v>
      </c>
      <c r="I39" s="154" t="s">
        <v>5841</v>
      </c>
      <c r="J39" s="154" t="s">
        <v>5798</v>
      </c>
      <c r="K39" s="154"/>
      <c r="L39" s="154" t="s">
        <v>759</v>
      </c>
      <c r="M39" s="247" t="s">
        <v>445</v>
      </c>
      <c r="N39" s="247" t="s">
        <v>5733</v>
      </c>
      <c r="O39" s="240" t="str">
        <f t="shared" si="1"/>
        <v/>
      </c>
      <c r="P39" s="154" t="s">
        <v>66</v>
      </c>
      <c r="Q39" s="154" t="s">
        <v>66</v>
      </c>
      <c r="R39" s="154" t="s">
        <v>66</v>
      </c>
      <c r="S39" s="154" t="s">
        <v>66</v>
      </c>
      <c r="T39" s="154" t="s">
        <v>66</v>
      </c>
      <c r="U39" s="154" t="s">
        <v>66</v>
      </c>
      <c r="V39" s="154" t="s">
        <v>66</v>
      </c>
      <c r="W39" s="154" t="s">
        <v>66</v>
      </c>
      <c r="X39" s="154" t="s">
        <v>66</v>
      </c>
      <c r="Y39" s="154"/>
      <c r="Z39" s="242" t="b">
        <f t="shared" si="2"/>
        <v>1</v>
      </c>
      <c r="AA39" s="154" t="s">
        <v>391</v>
      </c>
      <c r="AB39" s="242" t="b">
        <f t="shared" si="3"/>
        <v>0</v>
      </c>
      <c r="AC39" s="154"/>
      <c r="AD39" s="242" t="b">
        <f t="shared" si="4"/>
        <v>0</v>
      </c>
      <c r="AE39" s="154" t="s">
        <v>999</v>
      </c>
      <c r="AF39" s="242" t="str">
        <f>IF(AE39="","N/A",INDIRECT("MTR!"&amp;ADDRESS(MATCH(LEFT(AE39,9),MTR!C:C,0),COLUMN(J39)),TRUE) &amp; "")</f>
        <v>Complies</v>
      </c>
      <c r="AG39" s="157" t="str">
        <f t="shared" si="5"/>
        <v/>
      </c>
      <c r="AH39" s="170"/>
      <c r="AI39" s="152"/>
      <c r="AJ39" s="152"/>
      <c r="AK39" s="152"/>
      <c r="AL39" s="152"/>
      <c r="AM39" s="152"/>
      <c r="AN39" s="152"/>
      <c r="AO39" s="152"/>
      <c r="AP39" s="152"/>
      <c r="AQ39" s="152"/>
      <c r="AR39" s="152"/>
    </row>
    <row r="40" ht="12.75" customHeight="1">
      <c r="A40" s="244" t="s">
        <v>5158</v>
      </c>
      <c r="B40" s="244" t="s">
        <v>5725</v>
      </c>
      <c r="C40" s="244" t="s">
        <v>5846</v>
      </c>
      <c r="D40" s="154" t="s">
        <v>581</v>
      </c>
      <c r="E40" s="154"/>
      <c r="F40" s="154" t="str">
        <f t="array" ref="F40">XLOOKUP(Cover!$D$12,$P$1:$X$1,$P40:$X40)</f>
        <v>Mandatory</v>
      </c>
      <c r="G40" s="154" t="s">
        <v>5847</v>
      </c>
      <c r="H40" s="154" t="s">
        <v>5848</v>
      </c>
      <c r="I40" s="154" t="s">
        <v>5849</v>
      </c>
      <c r="J40" s="154" t="s">
        <v>5773</v>
      </c>
      <c r="K40" s="154" t="s">
        <v>647</v>
      </c>
      <c r="L40" s="154" t="s">
        <v>759</v>
      </c>
      <c r="M40" s="247" t="s">
        <v>445</v>
      </c>
      <c r="N40" s="247" t="s">
        <v>5733</v>
      </c>
      <c r="O40" s="240" t="str">
        <f t="shared" si="1"/>
        <v/>
      </c>
      <c r="P40" s="154" t="s">
        <v>66</v>
      </c>
      <c r="Q40" s="154" t="s">
        <v>66</v>
      </c>
      <c r="R40" s="154" t="s">
        <v>60</v>
      </c>
      <c r="S40" s="154" t="s">
        <v>60</v>
      </c>
      <c r="T40" s="154" t="s">
        <v>60</v>
      </c>
      <c r="U40" s="154" t="s">
        <v>60</v>
      </c>
      <c r="V40" s="154" t="s">
        <v>66</v>
      </c>
      <c r="W40" s="154" t="s">
        <v>60</v>
      </c>
      <c r="X40" s="154" t="s">
        <v>60</v>
      </c>
      <c r="Y40" s="154"/>
      <c r="Z40" s="242" t="b">
        <f t="shared" si="2"/>
        <v>1</v>
      </c>
      <c r="AA40" s="154" t="s">
        <v>391</v>
      </c>
      <c r="AB40" s="242" t="b">
        <f t="shared" si="3"/>
        <v>0</v>
      </c>
      <c r="AC40" s="154"/>
      <c r="AD40" s="242" t="b">
        <f t="shared" si="4"/>
        <v>0</v>
      </c>
      <c r="AE40" s="154" t="s">
        <v>999</v>
      </c>
      <c r="AF40" s="242" t="str">
        <f>IF(AE40="","N/A",INDIRECT("MTR!"&amp;ADDRESS(MATCH(LEFT(AE40,9),MTR!C:C,0),COLUMN(J40)),TRUE) &amp; "")</f>
        <v>Complies</v>
      </c>
      <c r="AG40" s="157" t="str">
        <f t="shared" si="5"/>
        <v/>
      </c>
      <c r="AH40" s="170"/>
      <c r="AI40" s="152"/>
      <c r="AJ40" s="152"/>
      <c r="AK40" s="152"/>
      <c r="AL40" s="152"/>
      <c r="AM40" s="152"/>
      <c r="AN40" s="152"/>
      <c r="AO40" s="152"/>
      <c r="AP40" s="152"/>
      <c r="AQ40" s="152"/>
      <c r="AR40" s="152"/>
    </row>
    <row r="41" ht="12.75" customHeight="1">
      <c r="A41" s="244" t="s">
        <v>5158</v>
      </c>
      <c r="B41" s="244" t="s">
        <v>5725</v>
      </c>
      <c r="C41" s="244" t="s">
        <v>5850</v>
      </c>
      <c r="D41" s="154" t="s">
        <v>492</v>
      </c>
      <c r="E41" s="154"/>
      <c r="F41" s="154" t="str">
        <f t="array" ref="F41">XLOOKUP(Cover!$D$12,$P$1:$X$1,$P41:$X41)</f>
        <v>Information</v>
      </c>
      <c r="G41" s="154" t="s">
        <v>5851</v>
      </c>
      <c r="H41" s="154" t="s">
        <v>5848</v>
      </c>
      <c r="I41" s="154" t="s">
        <v>5849</v>
      </c>
      <c r="J41" s="154" t="s">
        <v>5773</v>
      </c>
      <c r="K41" s="154"/>
      <c r="L41" s="154" t="s">
        <v>759</v>
      </c>
      <c r="M41" s="247" t="s">
        <v>445</v>
      </c>
      <c r="N41" s="247" t="s">
        <v>5733</v>
      </c>
      <c r="O41" s="240" t="str">
        <f t="shared" si="1"/>
        <v/>
      </c>
      <c r="P41" s="154" t="s">
        <v>66</v>
      </c>
      <c r="Q41" s="154" t="s">
        <v>66</v>
      </c>
      <c r="R41" s="154" t="s">
        <v>66</v>
      </c>
      <c r="S41" s="154" t="s">
        <v>66</v>
      </c>
      <c r="T41" s="154" t="s">
        <v>66</v>
      </c>
      <c r="U41" s="154" t="s">
        <v>66</v>
      </c>
      <c r="V41" s="154" t="s">
        <v>66</v>
      </c>
      <c r="W41" s="154" t="s">
        <v>66</v>
      </c>
      <c r="X41" s="154" t="s">
        <v>66</v>
      </c>
      <c r="Y41" s="154"/>
      <c r="Z41" s="242" t="b">
        <f t="shared" si="2"/>
        <v>1</v>
      </c>
      <c r="AA41" s="154" t="s">
        <v>391</v>
      </c>
      <c r="AB41" s="242" t="b">
        <f t="shared" si="3"/>
        <v>0</v>
      </c>
      <c r="AC41" s="154"/>
      <c r="AD41" s="242" t="b">
        <f t="shared" si="4"/>
        <v>0</v>
      </c>
      <c r="AE41" s="154" t="s">
        <v>999</v>
      </c>
      <c r="AF41" s="242" t="str">
        <f>IF(AE41="","N/A",INDIRECT("MTR!"&amp;ADDRESS(MATCH(LEFT(AE41,9),MTR!C:C,0),COLUMN(J41)),TRUE) &amp; "")</f>
        <v>Complies</v>
      </c>
      <c r="AG41" s="157" t="str">
        <f t="shared" si="5"/>
        <v/>
      </c>
      <c r="AH41" s="170"/>
      <c r="AI41" s="152"/>
      <c r="AJ41" s="152"/>
      <c r="AK41" s="152"/>
      <c r="AL41" s="152"/>
      <c r="AM41" s="152"/>
      <c r="AN41" s="152"/>
      <c r="AO41" s="152"/>
      <c r="AP41" s="152"/>
      <c r="AQ41" s="152"/>
      <c r="AR41" s="152"/>
    </row>
    <row r="42" ht="12.75" customHeight="1">
      <c r="A42" s="244" t="s">
        <v>5158</v>
      </c>
      <c r="B42" s="244" t="s">
        <v>5725</v>
      </c>
      <c r="C42" s="244" t="s">
        <v>5852</v>
      </c>
      <c r="D42" s="154" t="s">
        <v>492</v>
      </c>
      <c r="E42" s="154"/>
      <c r="F42" s="154" t="str">
        <f t="array" ref="F42">XLOOKUP(Cover!$D$12,$P$1:$X$1,$P42:$X42)</f>
        <v>Information</v>
      </c>
      <c r="G42" s="154" t="s">
        <v>5853</v>
      </c>
      <c r="H42" s="154" t="s">
        <v>5848</v>
      </c>
      <c r="I42" s="154" t="s">
        <v>5849</v>
      </c>
      <c r="J42" s="154" t="s">
        <v>5773</v>
      </c>
      <c r="K42" s="154"/>
      <c r="L42" s="154" t="s">
        <v>759</v>
      </c>
      <c r="M42" s="247" t="s">
        <v>445</v>
      </c>
      <c r="N42" s="247" t="s">
        <v>5733</v>
      </c>
      <c r="O42" s="240" t="str">
        <f t="shared" si="1"/>
        <v/>
      </c>
      <c r="P42" s="154" t="s">
        <v>66</v>
      </c>
      <c r="Q42" s="154" t="s">
        <v>66</v>
      </c>
      <c r="R42" s="154" t="s">
        <v>66</v>
      </c>
      <c r="S42" s="154" t="s">
        <v>66</v>
      </c>
      <c r="T42" s="154" t="s">
        <v>66</v>
      </c>
      <c r="U42" s="154" t="s">
        <v>66</v>
      </c>
      <c r="V42" s="154" t="s">
        <v>66</v>
      </c>
      <c r="W42" s="154" t="s">
        <v>66</v>
      </c>
      <c r="X42" s="154" t="s">
        <v>66</v>
      </c>
      <c r="Y42" s="154"/>
      <c r="Z42" s="242" t="b">
        <f t="shared" si="2"/>
        <v>1</v>
      </c>
      <c r="AA42" s="154" t="s">
        <v>391</v>
      </c>
      <c r="AB42" s="242" t="b">
        <f t="shared" si="3"/>
        <v>0</v>
      </c>
      <c r="AC42" s="154"/>
      <c r="AD42" s="242" t="b">
        <f t="shared" si="4"/>
        <v>0</v>
      </c>
      <c r="AE42" s="154" t="s">
        <v>999</v>
      </c>
      <c r="AF42" s="242" t="str">
        <f>IF(AE42="","N/A",INDIRECT("MTR!"&amp;ADDRESS(MATCH(LEFT(AE42,9),MTR!C:C,0),COLUMN(J42)),TRUE) &amp; "")</f>
        <v>Complies</v>
      </c>
      <c r="AG42" s="157" t="str">
        <f t="shared" si="5"/>
        <v/>
      </c>
      <c r="AH42" s="170"/>
      <c r="AI42" s="152"/>
      <c r="AJ42" s="152"/>
      <c r="AK42" s="152"/>
      <c r="AL42" s="152"/>
      <c r="AM42" s="152"/>
      <c r="AN42" s="152"/>
      <c r="AO42" s="152"/>
      <c r="AP42" s="152"/>
      <c r="AQ42" s="152"/>
      <c r="AR42" s="152"/>
    </row>
    <row r="43" ht="12.75" customHeight="1">
      <c r="A43" s="244" t="s">
        <v>5158</v>
      </c>
      <c r="B43" s="244" t="s">
        <v>5725</v>
      </c>
      <c r="C43" s="244" t="s">
        <v>5854</v>
      </c>
      <c r="D43" s="154" t="s">
        <v>422</v>
      </c>
      <c r="E43" s="154"/>
      <c r="F43" s="154" t="str">
        <f t="array" ref="F43">XLOOKUP(Cover!$D$12,$P$1:$X$1,$P43:$X43)</f>
        <v>Mandatory</v>
      </c>
      <c r="G43" s="154" t="s">
        <v>5855</v>
      </c>
      <c r="H43" s="154" t="s">
        <v>5856</v>
      </c>
      <c r="I43" s="154" t="s">
        <v>5857</v>
      </c>
      <c r="J43" s="154" t="s">
        <v>5798</v>
      </c>
      <c r="K43" s="154" t="s">
        <v>647</v>
      </c>
      <c r="L43" s="154" t="s">
        <v>759</v>
      </c>
      <c r="M43" s="247" t="s">
        <v>445</v>
      </c>
      <c r="N43" s="247" t="s">
        <v>5733</v>
      </c>
      <c r="O43" s="240" t="str">
        <f t="shared" si="1"/>
        <v/>
      </c>
      <c r="P43" s="154" t="s">
        <v>66</v>
      </c>
      <c r="Q43" s="154" t="s">
        <v>66</v>
      </c>
      <c r="R43" s="154" t="s">
        <v>60</v>
      </c>
      <c r="S43" s="154" t="s">
        <v>60</v>
      </c>
      <c r="T43" s="154" t="s">
        <v>60</v>
      </c>
      <c r="U43" s="154" t="s">
        <v>60</v>
      </c>
      <c r="V43" s="154" t="s">
        <v>66</v>
      </c>
      <c r="W43" s="154" t="s">
        <v>60</v>
      </c>
      <c r="X43" s="154" t="s">
        <v>60</v>
      </c>
      <c r="Y43" s="154"/>
      <c r="Z43" s="242" t="b">
        <f t="shared" si="2"/>
        <v>1</v>
      </c>
      <c r="AA43" s="154" t="s">
        <v>391</v>
      </c>
      <c r="AB43" s="242" t="b">
        <f t="shared" si="3"/>
        <v>0</v>
      </c>
      <c r="AC43" s="154"/>
      <c r="AD43" s="242" t="b">
        <f t="shared" si="4"/>
        <v>0</v>
      </c>
      <c r="AE43" s="154" t="s">
        <v>999</v>
      </c>
      <c r="AF43" s="242" t="str">
        <f>IF(AE43="","N/A",INDIRECT("MTR!"&amp;ADDRESS(MATCH(LEFT(AE43,9),MTR!C:C,0),COLUMN(J43)),TRUE) &amp; "")</f>
        <v>Complies</v>
      </c>
      <c r="AG43" s="157" t="str">
        <f t="shared" si="5"/>
        <v/>
      </c>
      <c r="AH43" s="170"/>
      <c r="AI43" s="152"/>
      <c r="AJ43" s="152"/>
      <c r="AK43" s="152"/>
      <c r="AL43" s="152"/>
      <c r="AM43" s="152"/>
      <c r="AN43" s="152"/>
      <c r="AO43" s="152"/>
      <c r="AP43" s="152"/>
      <c r="AQ43" s="152"/>
      <c r="AR43" s="152"/>
    </row>
    <row r="44" ht="12.75" customHeight="1">
      <c r="A44" s="244" t="s">
        <v>5158</v>
      </c>
      <c r="B44" s="244" t="s">
        <v>5725</v>
      </c>
      <c r="C44" s="244" t="s">
        <v>5858</v>
      </c>
      <c r="D44" s="154" t="s">
        <v>484</v>
      </c>
      <c r="E44" s="154"/>
      <c r="F44" s="154" t="str">
        <f t="array" ref="F44">XLOOKUP(Cover!$D$12,$P$1:$X$1,$P44:$X44)</f>
        <v>Mandatory</v>
      </c>
      <c r="G44" s="154" t="s">
        <v>5859</v>
      </c>
      <c r="H44" s="154" t="s">
        <v>5856</v>
      </c>
      <c r="I44" s="154" t="s">
        <v>5857</v>
      </c>
      <c r="J44" s="154" t="s">
        <v>5798</v>
      </c>
      <c r="K44" s="154" t="s">
        <v>647</v>
      </c>
      <c r="L44" s="154" t="s">
        <v>759</v>
      </c>
      <c r="M44" s="247" t="s">
        <v>445</v>
      </c>
      <c r="N44" s="247" t="s">
        <v>5733</v>
      </c>
      <c r="O44" s="240" t="str">
        <f t="shared" si="1"/>
        <v/>
      </c>
      <c r="P44" s="154" t="s">
        <v>66</v>
      </c>
      <c r="Q44" s="154" t="s">
        <v>66</v>
      </c>
      <c r="R44" s="154" t="s">
        <v>60</v>
      </c>
      <c r="S44" s="154" t="s">
        <v>60</v>
      </c>
      <c r="T44" s="154" t="s">
        <v>60</v>
      </c>
      <c r="U44" s="154" t="s">
        <v>60</v>
      </c>
      <c r="V44" s="154" t="s">
        <v>66</v>
      </c>
      <c r="W44" s="154" t="s">
        <v>60</v>
      </c>
      <c r="X44" s="154" t="s">
        <v>60</v>
      </c>
      <c r="Y44" s="154"/>
      <c r="Z44" s="242" t="b">
        <f t="shared" si="2"/>
        <v>1</v>
      </c>
      <c r="AA44" s="154" t="s">
        <v>391</v>
      </c>
      <c r="AB44" s="242" t="b">
        <f t="shared" si="3"/>
        <v>0</v>
      </c>
      <c r="AC44" s="154"/>
      <c r="AD44" s="242" t="b">
        <f t="shared" si="4"/>
        <v>0</v>
      </c>
      <c r="AE44" s="154" t="s">
        <v>999</v>
      </c>
      <c r="AF44" s="242" t="str">
        <f>IF(AE44="","N/A",INDIRECT("MTR!"&amp;ADDRESS(MATCH(LEFT(AE44,9),MTR!C:C,0),COLUMN(J44)),TRUE) &amp; "")</f>
        <v>Complies</v>
      </c>
      <c r="AG44" s="157" t="str">
        <f t="shared" si="5"/>
        <v/>
      </c>
      <c r="AH44" s="170"/>
      <c r="AI44" s="152"/>
      <c r="AJ44" s="152"/>
      <c r="AK44" s="152"/>
      <c r="AL44" s="152"/>
      <c r="AM44" s="152"/>
      <c r="AN44" s="152"/>
      <c r="AO44" s="152"/>
      <c r="AP44" s="152"/>
      <c r="AQ44" s="152"/>
      <c r="AR44" s="152"/>
    </row>
    <row r="45" ht="12.75" customHeight="1">
      <c r="A45" s="244" t="s">
        <v>5158</v>
      </c>
      <c r="B45" s="244" t="s">
        <v>5725</v>
      </c>
      <c r="C45" s="244" t="s">
        <v>5860</v>
      </c>
      <c r="D45" s="154" t="s">
        <v>1120</v>
      </c>
      <c r="E45" s="154"/>
      <c r="F45" s="154" t="str">
        <f t="array" ref="F45">XLOOKUP(Cover!$D$12,$P$1:$X$1,$P45:$X45)</f>
        <v>Information</v>
      </c>
      <c r="G45" s="154" t="s">
        <v>5861</v>
      </c>
      <c r="H45" s="154" t="s">
        <v>5856</v>
      </c>
      <c r="I45" s="154" t="s">
        <v>5857</v>
      </c>
      <c r="J45" s="154" t="s">
        <v>5798</v>
      </c>
      <c r="K45" s="154"/>
      <c r="L45" s="154" t="s">
        <v>759</v>
      </c>
      <c r="M45" s="247" t="s">
        <v>445</v>
      </c>
      <c r="N45" s="247" t="s">
        <v>5733</v>
      </c>
      <c r="O45" s="240" t="str">
        <f t="shared" si="1"/>
        <v/>
      </c>
      <c r="P45" s="154" t="s">
        <v>66</v>
      </c>
      <c r="Q45" s="154" t="s">
        <v>66</v>
      </c>
      <c r="R45" s="154" t="s">
        <v>66</v>
      </c>
      <c r="S45" s="154" t="s">
        <v>66</v>
      </c>
      <c r="T45" s="154" t="s">
        <v>66</v>
      </c>
      <c r="U45" s="154" t="s">
        <v>66</v>
      </c>
      <c r="V45" s="154" t="s">
        <v>66</v>
      </c>
      <c r="W45" s="154" t="s">
        <v>66</v>
      </c>
      <c r="X45" s="154" t="s">
        <v>66</v>
      </c>
      <c r="Y45" s="154"/>
      <c r="Z45" s="242" t="b">
        <f t="shared" si="2"/>
        <v>1</v>
      </c>
      <c r="AA45" s="154" t="s">
        <v>391</v>
      </c>
      <c r="AB45" s="242" t="b">
        <f t="shared" si="3"/>
        <v>0</v>
      </c>
      <c r="AC45" s="154"/>
      <c r="AD45" s="242" t="b">
        <f t="shared" si="4"/>
        <v>0</v>
      </c>
      <c r="AE45" s="154" t="s">
        <v>999</v>
      </c>
      <c r="AF45" s="242" t="str">
        <f>IF(AE45="","N/A",INDIRECT("MTR!"&amp;ADDRESS(MATCH(LEFT(AE45,9),MTR!C:C,0),COLUMN(J45)),TRUE) &amp; "")</f>
        <v>Complies</v>
      </c>
      <c r="AG45" s="157" t="str">
        <f t="shared" si="5"/>
        <v/>
      </c>
      <c r="AH45" s="170"/>
      <c r="AI45" s="152"/>
      <c r="AJ45" s="152"/>
      <c r="AK45" s="152"/>
      <c r="AL45" s="152"/>
      <c r="AM45" s="152"/>
      <c r="AN45" s="152"/>
      <c r="AO45" s="152"/>
      <c r="AP45" s="152"/>
      <c r="AQ45" s="152"/>
      <c r="AR45" s="152"/>
    </row>
    <row r="46" ht="12.75" customHeight="1">
      <c r="A46" s="244" t="s">
        <v>5158</v>
      </c>
      <c r="B46" s="244" t="s">
        <v>5725</v>
      </c>
      <c r="C46" s="244" t="s">
        <v>5862</v>
      </c>
      <c r="D46" s="154" t="s">
        <v>581</v>
      </c>
      <c r="E46" s="154"/>
      <c r="F46" s="154" t="str">
        <f t="array" ref="F46">XLOOKUP(Cover!$D$12,$P$1:$X$1,$P46:$X46)</f>
        <v>Information</v>
      </c>
      <c r="G46" s="154" t="s">
        <v>5863</v>
      </c>
      <c r="H46" s="154" t="s">
        <v>5864</v>
      </c>
      <c r="I46" s="154" t="s">
        <v>5865</v>
      </c>
      <c r="J46" s="154" t="s">
        <v>5784</v>
      </c>
      <c r="K46" s="154"/>
      <c r="L46" s="154" t="s">
        <v>759</v>
      </c>
      <c r="M46" s="247" t="s">
        <v>445</v>
      </c>
      <c r="N46" s="247" t="s">
        <v>5733</v>
      </c>
      <c r="O46" s="240" t="str">
        <f t="shared" si="1"/>
        <v/>
      </c>
      <c r="P46" s="154" t="s">
        <v>66</v>
      </c>
      <c r="Q46" s="154" t="s">
        <v>66</v>
      </c>
      <c r="R46" s="154" t="s">
        <v>66</v>
      </c>
      <c r="S46" s="154" t="s">
        <v>66</v>
      </c>
      <c r="T46" s="154" t="s">
        <v>66</v>
      </c>
      <c r="U46" s="154" t="s">
        <v>66</v>
      </c>
      <c r="V46" s="154" t="s">
        <v>66</v>
      </c>
      <c r="W46" s="154" t="s">
        <v>66</v>
      </c>
      <c r="X46" s="154" t="s">
        <v>66</v>
      </c>
      <c r="Y46" s="154"/>
      <c r="Z46" s="242" t="b">
        <f t="shared" si="2"/>
        <v>1</v>
      </c>
      <c r="AA46" s="154" t="s">
        <v>391</v>
      </c>
      <c r="AB46" s="242" t="b">
        <f t="shared" si="3"/>
        <v>0</v>
      </c>
      <c r="AC46" s="154"/>
      <c r="AD46" s="242" t="b">
        <f t="shared" si="4"/>
        <v>0</v>
      </c>
      <c r="AE46" s="154" t="s">
        <v>999</v>
      </c>
      <c r="AF46" s="242" t="str">
        <f>IF(AE46="","N/A",INDIRECT("MTR!"&amp;ADDRESS(MATCH(LEFT(AE46,9),MTR!C:C,0),COLUMN(J46)),TRUE) &amp; "")</f>
        <v>Complies</v>
      </c>
      <c r="AG46" s="157" t="str">
        <f t="shared" si="5"/>
        <v/>
      </c>
      <c r="AH46" s="170"/>
      <c r="AI46" s="152"/>
      <c r="AJ46" s="152"/>
      <c r="AK46" s="152"/>
      <c r="AL46" s="152"/>
      <c r="AM46" s="152"/>
      <c r="AN46" s="152"/>
      <c r="AO46" s="152"/>
      <c r="AP46" s="152"/>
      <c r="AQ46" s="152"/>
      <c r="AR46" s="152"/>
    </row>
    <row r="47" ht="12.75" customHeight="1">
      <c r="A47" s="244" t="s">
        <v>5158</v>
      </c>
      <c r="B47" s="244" t="s">
        <v>5725</v>
      </c>
      <c r="C47" s="244" t="s">
        <v>5866</v>
      </c>
      <c r="D47" s="154" t="s">
        <v>433</v>
      </c>
      <c r="E47" s="154"/>
      <c r="F47" s="154" t="str">
        <f t="array" ref="F47">XLOOKUP(Cover!$D$12,$P$1:$X$1,$P47:$X47)</f>
        <v>Mandatory</v>
      </c>
      <c r="G47" s="154" t="s">
        <v>5867</v>
      </c>
      <c r="H47" s="154" t="s">
        <v>5864</v>
      </c>
      <c r="I47" s="154" t="s">
        <v>5865</v>
      </c>
      <c r="J47" s="154" t="s">
        <v>5784</v>
      </c>
      <c r="K47" s="154" t="s">
        <v>647</v>
      </c>
      <c r="L47" s="154" t="s">
        <v>759</v>
      </c>
      <c r="M47" s="247" t="s">
        <v>445</v>
      </c>
      <c r="N47" s="247" t="s">
        <v>5733</v>
      </c>
      <c r="O47" s="240" t="str">
        <f t="shared" si="1"/>
        <v/>
      </c>
      <c r="P47" s="154" t="s">
        <v>66</v>
      </c>
      <c r="Q47" s="154" t="s">
        <v>66</v>
      </c>
      <c r="R47" s="154" t="s">
        <v>60</v>
      </c>
      <c r="S47" s="154" t="s">
        <v>60</v>
      </c>
      <c r="T47" s="154" t="s">
        <v>60</v>
      </c>
      <c r="U47" s="154" t="s">
        <v>60</v>
      </c>
      <c r="V47" s="154" t="s">
        <v>66</v>
      </c>
      <c r="W47" s="154" t="s">
        <v>60</v>
      </c>
      <c r="X47" s="154" t="s">
        <v>60</v>
      </c>
      <c r="Y47" s="154"/>
      <c r="Z47" s="242" t="b">
        <f t="shared" si="2"/>
        <v>1</v>
      </c>
      <c r="AA47" s="154" t="s">
        <v>391</v>
      </c>
      <c r="AB47" s="242" t="b">
        <f t="shared" si="3"/>
        <v>0</v>
      </c>
      <c r="AC47" s="154"/>
      <c r="AD47" s="242" t="b">
        <f t="shared" si="4"/>
        <v>0</v>
      </c>
      <c r="AE47" s="154" t="s">
        <v>999</v>
      </c>
      <c r="AF47" s="242" t="str">
        <f>IF(AE47="","N/A",INDIRECT("MTR!"&amp;ADDRESS(MATCH(LEFT(AE47,9),MTR!C:C,0),COLUMN(J47)),TRUE) &amp; "")</f>
        <v>Complies</v>
      </c>
      <c r="AG47" s="157" t="str">
        <f t="shared" si="5"/>
        <v/>
      </c>
      <c r="AH47" s="170"/>
      <c r="AI47" s="152"/>
      <c r="AJ47" s="152"/>
      <c r="AK47" s="152"/>
      <c r="AL47" s="152"/>
      <c r="AM47" s="152"/>
      <c r="AN47" s="152"/>
      <c r="AO47" s="152"/>
      <c r="AP47" s="152"/>
      <c r="AQ47" s="152"/>
      <c r="AR47" s="152"/>
    </row>
    <row r="48" ht="12.75" customHeight="1">
      <c r="A48" s="244" t="s">
        <v>5158</v>
      </c>
      <c r="B48" s="244" t="s">
        <v>5725</v>
      </c>
      <c r="C48" s="244" t="s">
        <v>5868</v>
      </c>
      <c r="D48" s="154" t="s">
        <v>462</v>
      </c>
      <c r="E48" s="154"/>
      <c r="F48" s="154" t="str">
        <f t="array" ref="F48">XLOOKUP(Cover!$D$12,$P$1:$X$1,$P48:$X48)</f>
        <v>Mandatory</v>
      </c>
      <c r="G48" s="154" t="s">
        <v>5869</v>
      </c>
      <c r="H48" s="154" t="s">
        <v>5830</v>
      </c>
      <c r="I48" s="154" t="s">
        <v>5870</v>
      </c>
      <c r="J48" s="154" t="s">
        <v>5871</v>
      </c>
      <c r="K48" s="154" t="s">
        <v>1122</v>
      </c>
      <c r="L48" s="154" t="s">
        <v>759</v>
      </c>
      <c r="M48" s="247" t="s">
        <v>445</v>
      </c>
      <c r="N48" s="247" t="s">
        <v>5733</v>
      </c>
      <c r="O48" s="240" t="str">
        <f t="shared" si="1"/>
        <v/>
      </c>
      <c r="P48" s="154" t="s">
        <v>66</v>
      </c>
      <c r="Q48" s="154" t="s">
        <v>66</v>
      </c>
      <c r="R48" s="154" t="s">
        <v>60</v>
      </c>
      <c r="S48" s="154" t="s">
        <v>60</v>
      </c>
      <c r="T48" s="154" t="s">
        <v>60</v>
      </c>
      <c r="U48" s="154" t="s">
        <v>60</v>
      </c>
      <c r="V48" s="154" t="s">
        <v>66</v>
      </c>
      <c r="W48" s="154" t="s">
        <v>60</v>
      </c>
      <c r="X48" s="154" t="s">
        <v>60</v>
      </c>
      <c r="Y48" s="154"/>
      <c r="Z48" s="242" t="b">
        <f t="shared" si="2"/>
        <v>1</v>
      </c>
      <c r="AA48" s="154" t="s">
        <v>391</v>
      </c>
      <c r="AB48" s="242" t="b">
        <f t="shared" si="3"/>
        <v>0</v>
      </c>
      <c r="AC48" s="154"/>
      <c r="AD48" s="242" t="b">
        <f t="shared" si="4"/>
        <v>0</v>
      </c>
      <c r="AE48" s="154" t="s">
        <v>999</v>
      </c>
      <c r="AF48" s="242" t="str">
        <f>IF(AE48="","N/A",INDIRECT("MTR!"&amp;ADDRESS(MATCH(LEFT(AE48,9),MTR!C:C,0),COLUMN(J48)),TRUE) &amp; "")</f>
        <v>Complies</v>
      </c>
      <c r="AG48" s="157" t="str">
        <f t="shared" si="5"/>
        <v/>
      </c>
      <c r="AH48" s="170"/>
      <c r="AI48" s="152"/>
      <c r="AJ48" s="152"/>
      <c r="AK48" s="152"/>
      <c r="AL48" s="152"/>
      <c r="AM48" s="152"/>
      <c r="AN48" s="152"/>
      <c r="AO48" s="152"/>
      <c r="AP48" s="152"/>
      <c r="AQ48" s="152"/>
      <c r="AR48" s="152"/>
    </row>
    <row r="49" ht="12.75" customHeight="1">
      <c r="A49" s="244" t="s">
        <v>5158</v>
      </c>
      <c r="B49" s="244" t="s">
        <v>5725</v>
      </c>
      <c r="C49" s="244" t="s">
        <v>5872</v>
      </c>
      <c r="D49" s="154" t="s">
        <v>422</v>
      </c>
      <c r="E49" s="154"/>
      <c r="F49" s="154" t="str">
        <f t="array" ref="F49">XLOOKUP(Cover!$D$12,$P$1:$X$1,$P49:$X49)</f>
        <v>Recommended</v>
      </c>
      <c r="G49" s="154" t="s">
        <v>5873</v>
      </c>
      <c r="H49" s="154" t="s">
        <v>5874</v>
      </c>
      <c r="I49" s="154" t="s">
        <v>5875</v>
      </c>
      <c r="J49" s="154" t="s">
        <v>5805</v>
      </c>
      <c r="K49" s="154" t="s">
        <v>241</v>
      </c>
      <c r="L49" s="154" t="s">
        <v>759</v>
      </c>
      <c r="M49" s="247" t="s">
        <v>516</v>
      </c>
      <c r="N49" s="247" t="s">
        <v>5876</v>
      </c>
      <c r="O49" s="240" t="str">
        <f t="shared" si="1"/>
        <v/>
      </c>
      <c r="P49" s="154" t="s">
        <v>66</v>
      </c>
      <c r="Q49" s="154" t="s">
        <v>66</v>
      </c>
      <c r="R49" s="155" t="s">
        <v>64</v>
      </c>
      <c r="S49" s="155" t="s">
        <v>64</v>
      </c>
      <c r="T49" s="155" t="s">
        <v>64</v>
      </c>
      <c r="U49" s="155" t="s">
        <v>64</v>
      </c>
      <c r="V49" s="154" t="s">
        <v>66</v>
      </c>
      <c r="W49" s="155" t="s">
        <v>64</v>
      </c>
      <c r="X49" s="155" t="s">
        <v>64</v>
      </c>
      <c r="Y49" s="154"/>
      <c r="Z49" s="242" t="b">
        <f t="shared" si="2"/>
        <v>1</v>
      </c>
      <c r="AA49" s="154" t="s">
        <v>391</v>
      </c>
      <c r="AB49" s="242" t="b">
        <f t="shared" si="3"/>
        <v>0</v>
      </c>
      <c r="AC49" s="154"/>
      <c r="AD49" s="242" t="b">
        <f t="shared" si="4"/>
        <v>0</v>
      </c>
      <c r="AE49" s="154" t="s">
        <v>999</v>
      </c>
      <c r="AF49" s="242" t="str">
        <f>IF(AE49="","N/A",INDIRECT("MTR!"&amp;ADDRESS(MATCH(LEFT(AE49,9),MTR!C:C,0),COLUMN(J49)),TRUE) &amp; "")</f>
        <v>Complies</v>
      </c>
      <c r="AG49" s="157" t="str">
        <f t="shared" si="5"/>
        <v/>
      </c>
      <c r="AH49" s="170"/>
      <c r="AI49" s="152"/>
      <c r="AJ49" s="152"/>
      <c r="AK49" s="152"/>
      <c r="AL49" s="152"/>
      <c r="AM49" s="152"/>
      <c r="AN49" s="152"/>
      <c r="AO49" s="152"/>
      <c r="AP49" s="152"/>
      <c r="AQ49" s="152"/>
      <c r="AR49" s="152"/>
    </row>
    <row r="50" ht="12.75" customHeight="1">
      <c r="A50" s="244" t="s">
        <v>5158</v>
      </c>
      <c r="B50" s="244" t="s">
        <v>5725</v>
      </c>
      <c r="C50" s="244" t="s">
        <v>5877</v>
      </c>
      <c r="D50" s="154" t="s">
        <v>484</v>
      </c>
      <c r="E50" s="154"/>
      <c r="F50" s="154" t="str">
        <f t="array" ref="F50">XLOOKUP(Cover!$D$12,$P$1:$X$1,$P50:$X50)</f>
        <v>Information</v>
      </c>
      <c r="G50" s="154" t="s">
        <v>5878</v>
      </c>
      <c r="H50" s="154" t="s">
        <v>5874</v>
      </c>
      <c r="I50" s="154" t="s">
        <v>5875</v>
      </c>
      <c r="J50" s="154" t="s">
        <v>5805</v>
      </c>
      <c r="K50" s="154"/>
      <c r="L50" s="154" t="s">
        <v>759</v>
      </c>
      <c r="M50" s="247" t="s">
        <v>516</v>
      </c>
      <c r="N50" s="247" t="s">
        <v>5876</v>
      </c>
      <c r="O50" s="240" t="str">
        <f t="shared" si="1"/>
        <v/>
      </c>
      <c r="P50" s="154" t="s">
        <v>66</v>
      </c>
      <c r="Q50" s="154" t="s">
        <v>66</v>
      </c>
      <c r="R50" s="154" t="s">
        <v>66</v>
      </c>
      <c r="S50" s="154" t="s">
        <v>66</v>
      </c>
      <c r="T50" s="154" t="s">
        <v>66</v>
      </c>
      <c r="U50" s="154" t="s">
        <v>66</v>
      </c>
      <c r="V50" s="154" t="s">
        <v>66</v>
      </c>
      <c r="W50" s="154" t="s">
        <v>66</v>
      </c>
      <c r="X50" s="154" t="s">
        <v>66</v>
      </c>
      <c r="Y50" s="154"/>
      <c r="Z50" s="242" t="b">
        <f t="shared" si="2"/>
        <v>1</v>
      </c>
      <c r="AA50" s="154" t="s">
        <v>391</v>
      </c>
      <c r="AB50" s="242" t="b">
        <f t="shared" si="3"/>
        <v>0</v>
      </c>
      <c r="AC50" s="154"/>
      <c r="AD50" s="242" t="b">
        <f t="shared" si="4"/>
        <v>0</v>
      </c>
      <c r="AE50" s="154" t="s">
        <v>999</v>
      </c>
      <c r="AF50" s="242" t="str">
        <f>IF(AE50="","N/A",INDIRECT("MTR!"&amp;ADDRESS(MATCH(LEFT(AE50,9),MTR!C:C,0),COLUMN(J50)),TRUE) &amp; "")</f>
        <v>Complies</v>
      </c>
      <c r="AG50" s="157" t="str">
        <f t="shared" si="5"/>
        <v/>
      </c>
      <c r="AH50" s="170"/>
      <c r="AI50" s="152"/>
      <c r="AJ50" s="152"/>
      <c r="AK50" s="152"/>
      <c r="AL50" s="152"/>
      <c r="AM50" s="152"/>
      <c r="AN50" s="152"/>
      <c r="AO50" s="152"/>
      <c r="AP50" s="152"/>
      <c r="AQ50" s="152"/>
      <c r="AR50" s="152"/>
    </row>
    <row r="51" ht="12.75" customHeight="1">
      <c r="A51" s="244" t="s">
        <v>5158</v>
      </c>
      <c r="B51" s="244" t="s">
        <v>5725</v>
      </c>
      <c r="C51" s="244" t="s">
        <v>5879</v>
      </c>
      <c r="D51" s="154" t="s">
        <v>1120</v>
      </c>
      <c r="E51" s="154"/>
      <c r="F51" s="154" t="str">
        <f t="array" ref="F51">XLOOKUP(Cover!$D$12,$P$1:$X$1,$P51:$X51)</f>
        <v>Recommended</v>
      </c>
      <c r="G51" s="154" t="s">
        <v>5880</v>
      </c>
      <c r="H51" s="154" t="s">
        <v>5874</v>
      </c>
      <c r="I51" s="154" t="s">
        <v>5875</v>
      </c>
      <c r="J51" s="154" t="s">
        <v>5805</v>
      </c>
      <c r="K51" s="154" t="s">
        <v>241</v>
      </c>
      <c r="L51" s="154" t="s">
        <v>759</v>
      </c>
      <c r="M51" s="247" t="s">
        <v>516</v>
      </c>
      <c r="N51" s="247" t="s">
        <v>5876</v>
      </c>
      <c r="O51" s="240" t="str">
        <f t="shared" si="1"/>
        <v/>
      </c>
      <c r="P51" s="154" t="s">
        <v>66</v>
      </c>
      <c r="Q51" s="154" t="s">
        <v>66</v>
      </c>
      <c r="R51" s="154" t="s">
        <v>60</v>
      </c>
      <c r="S51" s="155" t="s">
        <v>64</v>
      </c>
      <c r="T51" s="155" t="s">
        <v>64</v>
      </c>
      <c r="U51" s="155" t="s">
        <v>64</v>
      </c>
      <c r="V51" s="154" t="s">
        <v>66</v>
      </c>
      <c r="W51" s="155" t="s">
        <v>64</v>
      </c>
      <c r="X51" s="155" t="s">
        <v>64</v>
      </c>
      <c r="Y51" s="154"/>
      <c r="Z51" s="242" t="b">
        <f t="shared" si="2"/>
        <v>1</v>
      </c>
      <c r="AA51" s="154" t="s">
        <v>391</v>
      </c>
      <c r="AB51" s="242" t="b">
        <f t="shared" si="3"/>
        <v>0</v>
      </c>
      <c r="AC51" s="154"/>
      <c r="AD51" s="242" t="b">
        <f t="shared" si="4"/>
        <v>0</v>
      </c>
      <c r="AE51" s="154" t="s">
        <v>999</v>
      </c>
      <c r="AF51" s="242" t="str">
        <f>IF(AE51="","N/A",INDIRECT("MTR!"&amp;ADDRESS(MATCH(LEFT(AE51,9),MTR!C:C,0),COLUMN(J51)),TRUE) &amp; "")</f>
        <v>Complies</v>
      </c>
      <c r="AG51" s="157" t="str">
        <f t="shared" si="5"/>
        <v/>
      </c>
      <c r="AH51" s="170"/>
      <c r="AI51" s="152"/>
      <c r="AJ51" s="152"/>
      <c r="AK51" s="152"/>
      <c r="AL51" s="152"/>
      <c r="AM51" s="152"/>
      <c r="AN51" s="152"/>
      <c r="AO51" s="152"/>
      <c r="AP51" s="152"/>
      <c r="AQ51" s="152"/>
      <c r="AR51" s="152"/>
    </row>
    <row r="52" ht="12.75" customHeight="1">
      <c r="A52" s="244" t="s">
        <v>5158</v>
      </c>
      <c r="B52" s="244" t="s">
        <v>5725</v>
      </c>
      <c r="C52" s="244" t="s">
        <v>5881</v>
      </c>
      <c r="D52" s="154" t="s">
        <v>492</v>
      </c>
      <c r="E52" s="154"/>
      <c r="F52" s="154" t="str">
        <f t="array" ref="F52">XLOOKUP(Cover!$D$12,$P$1:$X$1,$P52:$X52)</f>
        <v>Information</v>
      </c>
      <c r="G52" s="154" t="s">
        <v>5882</v>
      </c>
      <c r="H52" s="154" t="s">
        <v>5883</v>
      </c>
      <c r="I52" s="154" t="s">
        <v>5884</v>
      </c>
      <c r="J52" s="154" t="s">
        <v>5885</v>
      </c>
      <c r="K52" s="154"/>
      <c r="L52" s="154" t="s">
        <v>759</v>
      </c>
      <c r="M52" s="247" t="s">
        <v>516</v>
      </c>
      <c r="N52" s="247" t="s">
        <v>5876</v>
      </c>
      <c r="O52" s="240" t="str">
        <f t="shared" si="1"/>
        <v/>
      </c>
      <c r="P52" s="154" t="s">
        <v>66</v>
      </c>
      <c r="Q52" s="154" t="s">
        <v>66</v>
      </c>
      <c r="R52" s="154" t="s">
        <v>66</v>
      </c>
      <c r="S52" s="154" t="s">
        <v>66</v>
      </c>
      <c r="T52" s="154" t="s">
        <v>66</v>
      </c>
      <c r="U52" s="154" t="s">
        <v>66</v>
      </c>
      <c r="V52" s="154" t="s">
        <v>66</v>
      </c>
      <c r="W52" s="154" t="s">
        <v>66</v>
      </c>
      <c r="X52" s="154" t="s">
        <v>66</v>
      </c>
      <c r="Y52" s="154"/>
      <c r="Z52" s="242" t="b">
        <f t="shared" si="2"/>
        <v>1</v>
      </c>
      <c r="AA52" s="154" t="s">
        <v>391</v>
      </c>
      <c r="AB52" s="242" t="b">
        <f t="shared" si="3"/>
        <v>0</v>
      </c>
      <c r="AC52" s="154"/>
      <c r="AD52" s="242" t="b">
        <f t="shared" si="4"/>
        <v>0</v>
      </c>
      <c r="AE52" s="154" t="s">
        <v>999</v>
      </c>
      <c r="AF52" s="242" t="str">
        <f>IF(AE52="","N/A",INDIRECT("MTR!"&amp;ADDRESS(MATCH(LEFT(AE52,9),MTR!C:C,0),COLUMN(J52)),TRUE) &amp; "")</f>
        <v>Complies</v>
      </c>
      <c r="AG52" s="157" t="str">
        <f t="shared" si="5"/>
        <v/>
      </c>
      <c r="AH52" s="170"/>
      <c r="AI52" s="152"/>
      <c r="AJ52" s="152"/>
      <c r="AK52" s="152"/>
      <c r="AL52" s="152"/>
      <c r="AM52" s="152"/>
      <c r="AN52" s="152"/>
      <c r="AO52" s="152"/>
      <c r="AP52" s="152"/>
      <c r="AQ52" s="152"/>
      <c r="AR52" s="152"/>
    </row>
    <row r="53" ht="12.75" customHeight="1">
      <c r="A53" s="244" t="s">
        <v>5158</v>
      </c>
      <c r="B53" s="244" t="s">
        <v>5725</v>
      </c>
      <c r="C53" s="244" t="s">
        <v>5886</v>
      </c>
      <c r="D53" s="154" t="s">
        <v>1120</v>
      </c>
      <c r="E53" s="154"/>
      <c r="F53" s="154" t="str">
        <f t="array" ref="F53">XLOOKUP(Cover!$D$12,$P$1:$X$1,$P53:$X53)</f>
        <v>Mandatory</v>
      </c>
      <c r="G53" s="154" t="s">
        <v>5887</v>
      </c>
      <c r="H53" s="154" t="s">
        <v>5888</v>
      </c>
      <c r="I53" s="154" t="s">
        <v>5889</v>
      </c>
      <c r="J53" s="154" t="s">
        <v>5890</v>
      </c>
      <c r="K53" s="154" t="s">
        <v>1122</v>
      </c>
      <c r="L53" s="154" t="s">
        <v>759</v>
      </c>
      <c r="M53" s="247" t="s">
        <v>445</v>
      </c>
      <c r="N53" s="247" t="s">
        <v>5733</v>
      </c>
      <c r="O53" s="240" t="str">
        <f t="shared" si="1"/>
        <v/>
      </c>
      <c r="P53" s="154" t="s">
        <v>66</v>
      </c>
      <c r="Q53" s="154" t="s">
        <v>66</v>
      </c>
      <c r="R53" s="154" t="s">
        <v>60</v>
      </c>
      <c r="S53" s="154" t="s">
        <v>60</v>
      </c>
      <c r="T53" s="154" t="s">
        <v>60</v>
      </c>
      <c r="U53" s="154" t="s">
        <v>60</v>
      </c>
      <c r="V53" s="154" t="s">
        <v>66</v>
      </c>
      <c r="W53" s="154" t="s">
        <v>60</v>
      </c>
      <c r="X53" s="154" t="s">
        <v>60</v>
      </c>
      <c r="Y53" s="154"/>
      <c r="Z53" s="242" t="b">
        <f t="shared" si="2"/>
        <v>1</v>
      </c>
      <c r="AA53" s="154" t="s">
        <v>391</v>
      </c>
      <c r="AB53" s="242" t="b">
        <f t="shared" si="3"/>
        <v>0</v>
      </c>
      <c r="AC53" s="154"/>
      <c r="AD53" s="242" t="b">
        <f t="shared" si="4"/>
        <v>0</v>
      </c>
      <c r="AE53" s="154" t="s">
        <v>999</v>
      </c>
      <c r="AF53" s="242" t="str">
        <f>IF(AE53="","N/A",INDIRECT("MTR!"&amp;ADDRESS(MATCH(LEFT(AE53,9),MTR!C:C,0),COLUMN(J53)),TRUE) &amp; "")</f>
        <v>Complies</v>
      </c>
      <c r="AG53" s="157" t="str">
        <f t="shared" si="5"/>
        <v/>
      </c>
      <c r="AH53" s="170"/>
      <c r="AI53" s="152"/>
      <c r="AJ53" s="152"/>
      <c r="AK53" s="152"/>
      <c r="AL53" s="152"/>
      <c r="AM53" s="152"/>
      <c r="AN53" s="152"/>
      <c r="AO53" s="152"/>
      <c r="AP53" s="152"/>
      <c r="AQ53" s="152"/>
      <c r="AR53" s="152"/>
    </row>
    <row r="54" ht="12.75" customHeight="1">
      <c r="A54" s="244" t="s">
        <v>5158</v>
      </c>
      <c r="B54" s="244" t="s">
        <v>5725</v>
      </c>
      <c r="C54" s="245" t="s">
        <v>5891</v>
      </c>
      <c r="D54" s="155" t="s">
        <v>492</v>
      </c>
      <c r="E54" s="154" t="s">
        <v>92</v>
      </c>
      <c r="F54" s="154" t="str">
        <f t="array" ref="F54">XLOOKUP(Cover!$D$12,$P$1:$X$1,$P54:$X54)</f>
        <v>Recommended</v>
      </c>
      <c r="G54" s="154" t="s">
        <v>5892</v>
      </c>
      <c r="H54" s="154" t="s">
        <v>5893</v>
      </c>
      <c r="I54" s="154" t="s">
        <v>5894</v>
      </c>
      <c r="J54" s="154" t="s">
        <v>5885</v>
      </c>
      <c r="K54" s="154"/>
      <c r="L54" s="154" t="s">
        <v>759</v>
      </c>
      <c r="M54" s="247" t="s">
        <v>445</v>
      </c>
      <c r="N54" s="247" t="s">
        <v>5733</v>
      </c>
      <c r="O54" s="240" t="str">
        <f t="shared" si="1"/>
        <v/>
      </c>
      <c r="P54" s="154" t="s">
        <v>66</v>
      </c>
      <c r="Q54" s="154" t="s">
        <v>66</v>
      </c>
      <c r="R54" s="154" t="s">
        <v>64</v>
      </c>
      <c r="S54" s="154" t="s">
        <v>64</v>
      </c>
      <c r="T54" s="154" t="s">
        <v>64</v>
      </c>
      <c r="U54" s="154" t="s">
        <v>64</v>
      </c>
      <c r="V54" s="154" t="s">
        <v>66</v>
      </c>
      <c r="W54" s="154" t="s">
        <v>64</v>
      </c>
      <c r="X54" s="154" t="s">
        <v>64</v>
      </c>
      <c r="Y54" s="154"/>
      <c r="Z54" s="242" t="b">
        <f t="shared" si="2"/>
        <v>1</v>
      </c>
      <c r="AA54" s="154" t="s">
        <v>391</v>
      </c>
      <c r="AB54" s="242" t="b">
        <f t="shared" si="3"/>
        <v>0</v>
      </c>
      <c r="AC54" s="154"/>
      <c r="AD54" s="242" t="b">
        <f t="shared" si="4"/>
        <v>0</v>
      </c>
      <c r="AE54" s="154" t="s">
        <v>999</v>
      </c>
      <c r="AF54" s="242" t="str">
        <f>IF(AE54="","N/A",INDIRECT("MTR!"&amp;ADDRESS(MATCH(LEFT(AE54,9),MTR!C:C,0),COLUMN(J54)),TRUE) &amp; "")</f>
        <v>Complies</v>
      </c>
      <c r="AG54" s="157" t="str">
        <f t="shared" si="5"/>
        <v/>
      </c>
      <c r="AH54" s="170"/>
      <c r="AI54" s="152"/>
      <c r="AJ54" s="152"/>
      <c r="AK54" s="152"/>
      <c r="AL54" s="152"/>
      <c r="AM54" s="152"/>
      <c r="AN54" s="152"/>
      <c r="AO54" s="152"/>
      <c r="AP54" s="152"/>
      <c r="AQ54" s="152"/>
      <c r="AR54" s="152"/>
    </row>
    <row r="55" ht="12.75" customHeight="1">
      <c r="A55" s="244" t="s">
        <v>5158</v>
      </c>
      <c r="B55" s="244" t="s">
        <v>5725</v>
      </c>
      <c r="C55" s="244" t="s">
        <v>5895</v>
      </c>
      <c r="D55" s="154" t="s">
        <v>581</v>
      </c>
      <c r="E55" s="154"/>
      <c r="F55" s="154" t="str">
        <f t="array" ref="F55">XLOOKUP(Cover!$D$12,$P$1:$X$1,$P55:$X55)</f>
        <v>Mandatory</v>
      </c>
      <c r="G55" s="154" t="s">
        <v>5896</v>
      </c>
      <c r="H55" s="154" t="s">
        <v>5897</v>
      </c>
      <c r="I55" s="154" t="s">
        <v>5898</v>
      </c>
      <c r="J55" s="154" t="s">
        <v>5768</v>
      </c>
      <c r="K55" s="154" t="s">
        <v>1122</v>
      </c>
      <c r="L55" s="154" t="s">
        <v>759</v>
      </c>
      <c r="M55" s="247" t="s">
        <v>445</v>
      </c>
      <c r="N55" s="247" t="s">
        <v>5733</v>
      </c>
      <c r="O55" s="240" t="str">
        <f t="shared" si="1"/>
        <v/>
      </c>
      <c r="P55" s="154" t="s">
        <v>66</v>
      </c>
      <c r="Q55" s="154" t="s">
        <v>66</v>
      </c>
      <c r="R55" s="154" t="s">
        <v>60</v>
      </c>
      <c r="S55" s="154" t="s">
        <v>60</v>
      </c>
      <c r="T55" s="154" t="s">
        <v>60</v>
      </c>
      <c r="U55" s="154" t="s">
        <v>60</v>
      </c>
      <c r="V55" s="154" t="s">
        <v>66</v>
      </c>
      <c r="W55" s="154" t="s">
        <v>60</v>
      </c>
      <c r="X55" s="154" t="s">
        <v>60</v>
      </c>
      <c r="Y55" s="154"/>
      <c r="Z55" s="242" t="b">
        <f t="shared" si="2"/>
        <v>1</v>
      </c>
      <c r="AA55" s="154" t="s">
        <v>391</v>
      </c>
      <c r="AB55" s="242" t="b">
        <f t="shared" si="3"/>
        <v>0</v>
      </c>
      <c r="AC55" s="154"/>
      <c r="AD55" s="242" t="b">
        <f t="shared" si="4"/>
        <v>0</v>
      </c>
      <c r="AE55" s="154" t="s">
        <v>999</v>
      </c>
      <c r="AF55" s="242" t="str">
        <f>IF(AE55="","N/A",INDIRECT("MTR!"&amp;ADDRESS(MATCH(LEFT(AE55,9),MTR!C:C,0),COLUMN(J55)),TRUE) &amp; "")</f>
        <v>Complies</v>
      </c>
      <c r="AG55" s="157" t="str">
        <f t="shared" si="5"/>
        <v/>
      </c>
      <c r="AH55" s="170"/>
      <c r="AI55" s="152"/>
      <c r="AJ55" s="152"/>
      <c r="AK55" s="152"/>
      <c r="AL55" s="152"/>
      <c r="AM55" s="152"/>
      <c r="AN55" s="152"/>
      <c r="AO55" s="152"/>
      <c r="AP55" s="152"/>
      <c r="AQ55" s="152"/>
      <c r="AR55" s="152"/>
    </row>
    <row r="56" ht="12.75" customHeight="1">
      <c r="A56" s="244" t="s">
        <v>5158</v>
      </c>
      <c r="B56" s="244" t="s">
        <v>5725</v>
      </c>
      <c r="C56" s="244" t="s">
        <v>5899</v>
      </c>
      <c r="D56" s="154" t="s">
        <v>492</v>
      </c>
      <c r="E56" s="154"/>
      <c r="F56" s="154" t="str">
        <f t="array" ref="F56">XLOOKUP(Cover!$D$12,$P$1:$X$1,$P56:$X56)</f>
        <v>Mandatory</v>
      </c>
      <c r="G56" s="154" t="s">
        <v>5900</v>
      </c>
      <c r="H56" s="154" t="s">
        <v>5897</v>
      </c>
      <c r="I56" s="154" t="s">
        <v>5898</v>
      </c>
      <c r="J56" s="154" t="s">
        <v>5768</v>
      </c>
      <c r="K56" s="154" t="s">
        <v>1122</v>
      </c>
      <c r="L56" s="154" t="s">
        <v>759</v>
      </c>
      <c r="M56" s="247" t="s">
        <v>445</v>
      </c>
      <c r="N56" s="247" t="s">
        <v>5733</v>
      </c>
      <c r="O56" s="240" t="str">
        <f t="shared" si="1"/>
        <v/>
      </c>
      <c r="P56" s="154" t="s">
        <v>66</v>
      </c>
      <c r="Q56" s="154" t="s">
        <v>66</v>
      </c>
      <c r="R56" s="154" t="s">
        <v>60</v>
      </c>
      <c r="S56" s="154" t="s">
        <v>60</v>
      </c>
      <c r="T56" s="154" t="s">
        <v>60</v>
      </c>
      <c r="U56" s="154" t="s">
        <v>60</v>
      </c>
      <c r="V56" s="154" t="s">
        <v>66</v>
      </c>
      <c r="W56" s="154" t="s">
        <v>60</v>
      </c>
      <c r="X56" s="154" t="s">
        <v>60</v>
      </c>
      <c r="Y56" s="154"/>
      <c r="Z56" s="242" t="b">
        <f t="shared" si="2"/>
        <v>1</v>
      </c>
      <c r="AA56" s="154" t="s">
        <v>391</v>
      </c>
      <c r="AB56" s="242" t="b">
        <f t="shared" si="3"/>
        <v>0</v>
      </c>
      <c r="AC56" s="154"/>
      <c r="AD56" s="242" t="b">
        <f t="shared" si="4"/>
        <v>0</v>
      </c>
      <c r="AE56" s="154" t="s">
        <v>999</v>
      </c>
      <c r="AF56" s="242" t="str">
        <f>IF(AE56="","N/A",INDIRECT("MTR!"&amp;ADDRESS(MATCH(LEFT(AE56,9),MTR!C:C,0),COLUMN(J56)),TRUE) &amp; "")</f>
        <v>Complies</v>
      </c>
      <c r="AG56" s="157" t="str">
        <f t="shared" si="5"/>
        <v/>
      </c>
      <c r="AH56" s="170"/>
      <c r="AI56" s="152"/>
      <c r="AJ56" s="152"/>
      <c r="AK56" s="152"/>
      <c r="AL56" s="152"/>
      <c r="AM56" s="152"/>
      <c r="AN56" s="152"/>
      <c r="AO56" s="152"/>
      <c r="AP56" s="152"/>
      <c r="AQ56" s="152"/>
      <c r="AR56" s="152"/>
    </row>
    <row r="57" ht="12.75" customHeight="1">
      <c r="A57" s="244" t="s">
        <v>5158</v>
      </c>
      <c r="B57" s="244" t="s">
        <v>5725</v>
      </c>
      <c r="C57" s="244" t="s">
        <v>5901</v>
      </c>
      <c r="D57" s="154" t="s">
        <v>781</v>
      </c>
      <c r="E57" s="154"/>
      <c r="F57" s="154" t="str">
        <f t="array" ref="F57">XLOOKUP(Cover!$D$12,$P$1:$X$1,$P57:$X57)</f>
        <v>Information</v>
      </c>
      <c r="G57" s="154" t="s">
        <v>5902</v>
      </c>
      <c r="H57" s="154" t="s">
        <v>5903</v>
      </c>
      <c r="I57" s="154" t="s">
        <v>5904</v>
      </c>
      <c r="J57" s="154" t="s">
        <v>5905</v>
      </c>
      <c r="K57" s="154"/>
      <c r="L57" s="154" t="s">
        <v>759</v>
      </c>
      <c r="M57" s="247" t="s">
        <v>516</v>
      </c>
      <c r="N57" s="247" t="s">
        <v>5876</v>
      </c>
      <c r="O57" s="240" t="str">
        <f t="shared" si="1"/>
        <v/>
      </c>
      <c r="P57" s="154" t="s">
        <v>66</v>
      </c>
      <c r="Q57" s="154" t="s">
        <v>66</v>
      </c>
      <c r="R57" s="154" t="s">
        <v>66</v>
      </c>
      <c r="S57" s="154" t="s">
        <v>66</v>
      </c>
      <c r="T57" s="154" t="s">
        <v>66</v>
      </c>
      <c r="U57" s="154" t="s">
        <v>66</v>
      </c>
      <c r="V57" s="154" t="s">
        <v>66</v>
      </c>
      <c r="W57" s="154" t="s">
        <v>66</v>
      </c>
      <c r="X57" s="154" t="s">
        <v>66</v>
      </c>
      <c r="Y57" s="154"/>
      <c r="Z57" s="242" t="b">
        <f t="shared" si="2"/>
        <v>1</v>
      </c>
      <c r="AA57" s="154" t="s">
        <v>391</v>
      </c>
      <c r="AB57" s="242" t="b">
        <f t="shared" si="3"/>
        <v>0</v>
      </c>
      <c r="AC57" s="154"/>
      <c r="AD57" s="242" t="b">
        <f t="shared" si="4"/>
        <v>0</v>
      </c>
      <c r="AE57" s="154" t="s">
        <v>999</v>
      </c>
      <c r="AF57" s="242" t="str">
        <f>IF(AE57="","N/A",INDIRECT("MTR!"&amp;ADDRESS(MATCH(LEFT(AE57,9),MTR!C:C,0),COLUMN(J57)),TRUE) &amp; "")</f>
        <v>Complies</v>
      </c>
      <c r="AG57" s="157" t="str">
        <f t="shared" si="5"/>
        <v/>
      </c>
      <c r="AH57" s="170"/>
      <c r="AI57" s="152"/>
      <c r="AJ57" s="152"/>
      <c r="AK57" s="152"/>
      <c r="AL57" s="152"/>
      <c r="AM57" s="152"/>
      <c r="AN57" s="152"/>
      <c r="AO57" s="152"/>
      <c r="AP57" s="152"/>
      <c r="AQ57" s="152"/>
      <c r="AR57" s="152"/>
    </row>
    <row r="58" ht="12.75" customHeight="1">
      <c r="A58" s="244" t="s">
        <v>5158</v>
      </c>
      <c r="B58" s="244" t="s">
        <v>5725</v>
      </c>
      <c r="C58" s="244" t="s">
        <v>5906</v>
      </c>
      <c r="D58" s="154" t="s">
        <v>602</v>
      </c>
      <c r="E58" s="154"/>
      <c r="F58" s="154" t="str">
        <f t="array" ref="F58">XLOOKUP(Cover!$D$12,$P$1:$X$1,$P58:$X58)</f>
        <v>Information</v>
      </c>
      <c r="G58" s="154" t="s">
        <v>5907</v>
      </c>
      <c r="H58" s="154" t="s">
        <v>5903</v>
      </c>
      <c r="I58" s="154" t="s">
        <v>5908</v>
      </c>
      <c r="J58" s="154" t="s">
        <v>5909</v>
      </c>
      <c r="K58" s="154"/>
      <c r="L58" s="154" t="s">
        <v>759</v>
      </c>
      <c r="M58" s="247" t="s">
        <v>445</v>
      </c>
      <c r="N58" s="247" t="s">
        <v>5733</v>
      </c>
      <c r="O58" s="240" t="str">
        <f t="shared" si="1"/>
        <v/>
      </c>
      <c r="P58" s="154" t="s">
        <v>66</v>
      </c>
      <c r="Q58" s="154" t="s">
        <v>66</v>
      </c>
      <c r="R58" s="154" t="s">
        <v>66</v>
      </c>
      <c r="S58" s="154" t="s">
        <v>66</v>
      </c>
      <c r="T58" s="154" t="s">
        <v>66</v>
      </c>
      <c r="U58" s="154" t="s">
        <v>66</v>
      </c>
      <c r="V58" s="154" t="s">
        <v>66</v>
      </c>
      <c r="W58" s="154" t="s">
        <v>66</v>
      </c>
      <c r="X58" s="154" t="s">
        <v>66</v>
      </c>
      <c r="Y58" s="154"/>
      <c r="Z58" s="242" t="b">
        <f t="shared" si="2"/>
        <v>1</v>
      </c>
      <c r="AA58" s="154" t="s">
        <v>391</v>
      </c>
      <c r="AB58" s="242" t="b">
        <f t="shared" si="3"/>
        <v>0</v>
      </c>
      <c r="AC58" s="154"/>
      <c r="AD58" s="242" t="b">
        <f t="shared" si="4"/>
        <v>0</v>
      </c>
      <c r="AE58" s="154" t="s">
        <v>999</v>
      </c>
      <c r="AF58" s="242" t="str">
        <f>IF(AE58="","N/A",INDIRECT("MTR!"&amp;ADDRESS(MATCH(LEFT(AE58,9),MTR!C:C,0),COLUMN(J58)),TRUE) &amp; "")</f>
        <v>Complies</v>
      </c>
      <c r="AG58" s="157" t="str">
        <f t="shared" si="5"/>
        <v/>
      </c>
      <c r="AH58" s="170"/>
      <c r="AI58" s="152"/>
      <c r="AJ58" s="152"/>
      <c r="AK58" s="152"/>
      <c r="AL58" s="152"/>
      <c r="AM58" s="152"/>
      <c r="AN58" s="152"/>
      <c r="AO58" s="152"/>
      <c r="AP58" s="152"/>
      <c r="AQ58" s="152"/>
      <c r="AR58" s="152"/>
    </row>
    <row r="59" ht="12.75" customHeight="1">
      <c r="A59" s="238" t="s">
        <v>5158</v>
      </c>
      <c r="B59" s="238" t="s">
        <v>5725</v>
      </c>
      <c r="C59" s="238" t="s">
        <v>5910</v>
      </c>
      <c r="D59" s="240"/>
      <c r="E59" s="240" t="s">
        <v>92</v>
      </c>
      <c r="F59" s="240" t="str">
        <f t="array" ref="F59">XLOOKUP(Cover!$D$12,$P$1:$X$1,$P59:$X59)</f>
        <v>Heading</v>
      </c>
      <c r="G59" s="239" t="s">
        <v>5911</v>
      </c>
      <c r="H59" s="240"/>
      <c r="I59" s="240"/>
      <c r="J59" s="240"/>
      <c r="K59" s="240"/>
      <c r="L59" s="240" t="s">
        <v>759</v>
      </c>
      <c r="M59" s="240"/>
      <c r="N59" s="240"/>
      <c r="O59" s="240" t="str">
        <f t="shared" si="1"/>
        <v/>
      </c>
      <c r="P59" s="240" t="s">
        <v>390</v>
      </c>
      <c r="Q59" s="240" t="s">
        <v>390</v>
      </c>
      <c r="R59" s="240" t="s">
        <v>390</v>
      </c>
      <c r="S59" s="240" t="s">
        <v>390</v>
      </c>
      <c r="T59" s="240" t="s">
        <v>390</v>
      </c>
      <c r="U59" s="240" t="s">
        <v>390</v>
      </c>
      <c r="V59" s="240" t="s">
        <v>390</v>
      </c>
      <c r="W59" s="240" t="s">
        <v>390</v>
      </c>
      <c r="X59" s="240" t="s">
        <v>390</v>
      </c>
      <c r="Y59" s="240"/>
      <c r="Z59" s="242" t="b">
        <f t="shared" si="2"/>
        <v>0</v>
      </c>
      <c r="AA59" s="240" t="s">
        <v>391</v>
      </c>
      <c r="AB59" s="242" t="b">
        <f t="shared" si="3"/>
        <v>0</v>
      </c>
      <c r="AC59" s="240"/>
      <c r="AD59" s="242" t="b">
        <f t="shared" si="4"/>
        <v>0</v>
      </c>
      <c r="AE59" s="240"/>
      <c r="AF59" s="242" t="str">
        <f>IF(AE59="","N/A",INDIRECT("MTR!"&amp;ADDRESS(MATCH(LEFT(AE59,9),MTR!C:C,0),COLUMN(J59)),TRUE) &amp; "")</f>
        <v>N/A</v>
      </c>
      <c r="AG59" s="157" t="str">
        <f t="shared" si="5"/>
        <v/>
      </c>
      <c r="AH59" s="170"/>
      <c r="AI59" s="152"/>
      <c r="AJ59" s="152"/>
      <c r="AK59" s="152"/>
      <c r="AL59" s="152"/>
      <c r="AM59" s="152"/>
      <c r="AN59" s="152"/>
      <c r="AO59" s="152"/>
      <c r="AP59" s="152"/>
      <c r="AQ59" s="152"/>
      <c r="AR59" s="152"/>
    </row>
    <row r="60" ht="12.75" customHeight="1">
      <c r="A60" s="244" t="s">
        <v>5158</v>
      </c>
      <c r="B60" s="244" t="s">
        <v>5725</v>
      </c>
      <c r="C60" s="244" t="s">
        <v>5912</v>
      </c>
      <c r="D60" s="154" t="s">
        <v>1120</v>
      </c>
      <c r="E60" s="154"/>
      <c r="F60" s="154" t="str">
        <f t="array" ref="F60">XLOOKUP(Cover!$D$12,$P$1:$X$1,$P60:$X60)</f>
        <v>Information</v>
      </c>
      <c r="G60" s="154" t="s">
        <v>5913</v>
      </c>
      <c r="H60" s="154" t="s">
        <v>5914</v>
      </c>
      <c r="I60" s="154" t="s">
        <v>5915</v>
      </c>
      <c r="J60" s="154" t="s">
        <v>5732</v>
      </c>
      <c r="K60" s="154"/>
      <c r="L60" s="154" t="s">
        <v>759</v>
      </c>
      <c r="M60" s="247" t="s">
        <v>445</v>
      </c>
      <c r="N60" s="247" t="s">
        <v>5733</v>
      </c>
      <c r="O60" s="240" t="str">
        <f t="shared" si="1"/>
        <v/>
      </c>
      <c r="P60" s="154" t="s">
        <v>66</v>
      </c>
      <c r="Q60" s="154" t="s">
        <v>66</v>
      </c>
      <c r="R60" s="154" t="s">
        <v>66</v>
      </c>
      <c r="S60" s="154" t="s">
        <v>66</v>
      </c>
      <c r="T60" s="154" t="s">
        <v>66</v>
      </c>
      <c r="U60" s="154" t="s">
        <v>66</v>
      </c>
      <c r="V60" s="154" t="s">
        <v>66</v>
      </c>
      <c r="W60" s="154" t="s">
        <v>66</v>
      </c>
      <c r="X60" s="154" t="s">
        <v>66</v>
      </c>
      <c r="Y60" s="154"/>
      <c r="Z60" s="242" t="b">
        <f t="shared" si="2"/>
        <v>1</v>
      </c>
      <c r="AA60" s="154" t="s">
        <v>391</v>
      </c>
      <c r="AB60" s="242" t="b">
        <f t="shared" si="3"/>
        <v>0</v>
      </c>
      <c r="AC60" s="154"/>
      <c r="AD60" s="242" t="b">
        <f t="shared" si="4"/>
        <v>0</v>
      </c>
      <c r="AE60" s="154" t="s">
        <v>1006</v>
      </c>
      <c r="AF60" s="242" t="str">
        <f>IF(AE60="","N/A",INDIRECT("MTR!"&amp;ADDRESS(MATCH(LEFT(AE60,9),MTR!C:C,0),COLUMN(J60)),TRUE) &amp; "")</f>
        <v>Complies</v>
      </c>
      <c r="AG60" s="157" t="str">
        <f t="shared" si="5"/>
        <v/>
      </c>
      <c r="AH60" s="170"/>
      <c r="AI60" s="152"/>
      <c r="AJ60" s="152"/>
      <c r="AK60" s="152"/>
      <c r="AL60" s="152"/>
      <c r="AM60" s="152"/>
      <c r="AN60" s="152"/>
      <c r="AO60" s="152"/>
      <c r="AP60" s="152"/>
      <c r="AQ60" s="152"/>
      <c r="AR60" s="152"/>
    </row>
    <row r="61" ht="12.75" customHeight="1">
      <c r="A61" s="244" t="s">
        <v>5158</v>
      </c>
      <c r="B61" s="244" t="s">
        <v>5725</v>
      </c>
      <c r="C61" s="244" t="s">
        <v>5916</v>
      </c>
      <c r="D61" s="154" t="s">
        <v>967</v>
      </c>
      <c r="E61" s="154"/>
      <c r="F61" s="154" t="str">
        <f t="array" ref="F61">XLOOKUP(Cover!$D$12,$P$1:$X$1,$P61:$X61)</f>
        <v>Information</v>
      </c>
      <c r="G61" s="154" t="s">
        <v>5917</v>
      </c>
      <c r="H61" s="154" t="s">
        <v>5914</v>
      </c>
      <c r="I61" s="154" t="s">
        <v>5918</v>
      </c>
      <c r="J61" s="154" t="s">
        <v>5919</v>
      </c>
      <c r="K61" s="154"/>
      <c r="L61" s="154" t="s">
        <v>759</v>
      </c>
      <c r="M61" s="247" t="s">
        <v>445</v>
      </c>
      <c r="N61" s="247" t="s">
        <v>5733</v>
      </c>
      <c r="O61" s="240" t="str">
        <f t="shared" si="1"/>
        <v/>
      </c>
      <c r="P61" s="154" t="s">
        <v>66</v>
      </c>
      <c r="Q61" s="154" t="s">
        <v>66</v>
      </c>
      <c r="R61" s="154" t="s">
        <v>66</v>
      </c>
      <c r="S61" s="154" t="s">
        <v>66</v>
      </c>
      <c r="T61" s="154" t="s">
        <v>66</v>
      </c>
      <c r="U61" s="154" t="s">
        <v>66</v>
      </c>
      <c r="V61" s="154" t="s">
        <v>66</v>
      </c>
      <c r="W61" s="154" t="s">
        <v>66</v>
      </c>
      <c r="X61" s="154" t="s">
        <v>66</v>
      </c>
      <c r="Y61" s="154"/>
      <c r="Z61" s="242" t="b">
        <f t="shared" si="2"/>
        <v>1</v>
      </c>
      <c r="AA61" s="154" t="s">
        <v>391</v>
      </c>
      <c r="AB61" s="242" t="b">
        <f t="shared" si="3"/>
        <v>0</v>
      </c>
      <c r="AC61" s="154"/>
      <c r="AD61" s="242" t="b">
        <f t="shared" si="4"/>
        <v>0</v>
      </c>
      <c r="AE61" s="154" t="s">
        <v>1006</v>
      </c>
      <c r="AF61" s="242" t="str">
        <f>IF(AE61="","N/A",INDIRECT("MTR!"&amp;ADDRESS(MATCH(LEFT(AE61,9),MTR!C:C,0),COLUMN(J61)),TRUE) &amp; "")</f>
        <v>Complies</v>
      </c>
      <c r="AG61" s="157" t="str">
        <f t="shared" si="5"/>
        <v/>
      </c>
      <c r="AH61" s="170"/>
      <c r="AI61" s="152"/>
      <c r="AJ61" s="152"/>
      <c r="AK61" s="152"/>
      <c r="AL61" s="152"/>
      <c r="AM61" s="152"/>
      <c r="AN61" s="152"/>
      <c r="AO61" s="152"/>
      <c r="AP61" s="152"/>
      <c r="AQ61" s="152"/>
      <c r="AR61" s="152"/>
    </row>
    <row r="62" ht="12.75" customHeight="1">
      <c r="A62" s="244" t="s">
        <v>5158</v>
      </c>
      <c r="B62" s="244" t="s">
        <v>5725</v>
      </c>
      <c r="C62" s="244" t="s">
        <v>5920</v>
      </c>
      <c r="D62" s="154" t="s">
        <v>1120</v>
      </c>
      <c r="E62" s="154"/>
      <c r="F62" s="154" t="str">
        <f t="array" ref="F62">XLOOKUP(Cover!$D$12,$P$1:$X$1,$P62:$X62)</f>
        <v>Information</v>
      </c>
      <c r="G62" s="154" t="s">
        <v>5921</v>
      </c>
      <c r="H62" s="154" t="s">
        <v>5751</v>
      </c>
      <c r="I62" s="154" t="s">
        <v>5922</v>
      </c>
      <c r="J62" s="154" t="s">
        <v>5890</v>
      </c>
      <c r="K62" s="154"/>
      <c r="L62" s="154" t="s">
        <v>759</v>
      </c>
      <c r="M62" s="247" t="s">
        <v>445</v>
      </c>
      <c r="N62" s="247" t="s">
        <v>5733</v>
      </c>
      <c r="O62" s="240" t="str">
        <f t="shared" si="1"/>
        <v/>
      </c>
      <c r="P62" s="154" t="s">
        <v>66</v>
      </c>
      <c r="Q62" s="154" t="s">
        <v>66</v>
      </c>
      <c r="R62" s="154" t="s">
        <v>66</v>
      </c>
      <c r="S62" s="154" t="s">
        <v>66</v>
      </c>
      <c r="T62" s="154" t="s">
        <v>66</v>
      </c>
      <c r="U62" s="154" t="s">
        <v>66</v>
      </c>
      <c r="V62" s="154" t="s">
        <v>66</v>
      </c>
      <c r="W62" s="154" t="s">
        <v>66</v>
      </c>
      <c r="X62" s="154" t="s">
        <v>66</v>
      </c>
      <c r="Y62" s="154"/>
      <c r="Z62" s="242" t="b">
        <f t="shared" si="2"/>
        <v>1</v>
      </c>
      <c r="AA62" s="154" t="s">
        <v>391</v>
      </c>
      <c r="AB62" s="242" t="b">
        <f t="shared" si="3"/>
        <v>0</v>
      </c>
      <c r="AC62" s="154"/>
      <c r="AD62" s="242" t="b">
        <f t="shared" si="4"/>
        <v>0</v>
      </c>
      <c r="AE62" s="154" t="s">
        <v>1006</v>
      </c>
      <c r="AF62" s="242" t="str">
        <f>IF(AE62="","N/A",INDIRECT("MTR!"&amp;ADDRESS(MATCH(LEFT(AE62,9),MTR!C:C,0),COLUMN(J62)),TRUE) &amp; "")</f>
        <v>Complies</v>
      </c>
      <c r="AG62" s="157" t="str">
        <f t="shared" si="5"/>
        <v/>
      </c>
      <c r="AH62" s="170"/>
      <c r="AI62" s="152"/>
      <c r="AJ62" s="152"/>
      <c r="AK62" s="152"/>
      <c r="AL62" s="152"/>
      <c r="AM62" s="152"/>
      <c r="AN62" s="152"/>
      <c r="AO62" s="152"/>
      <c r="AP62" s="152"/>
      <c r="AQ62" s="152"/>
      <c r="AR62" s="152"/>
    </row>
    <row r="63" ht="12.75" customHeight="1">
      <c r="A63" s="244" t="s">
        <v>5158</v>
      </c>
      <c r="B63" s="244" t="s">
        <v>5725</v>
      </c>
      <c r="C63" s="244" t="s">
        <v>5923</v>
      </c>
      <c r="D63" s="154" t="s">
        <v>1069</v>
      </c>
      <c r="E63" s="154"/>
      <c r="F63" s="154" t="str">
        <f t="array" ref="F63">XLOOKUP(Cover!$D$12,$P$1:$X$1,$P63:$X63)</f>
        <v>Information</v>
      </c>
      <c r="G63" s="154" t="s">
        <v>5924</v>
      </c>
      <c r="H63" s="154" t="s">
        <v>5925</v>
      </c>
      <c r="I63" s="154" t="s">
        <v>5926</v>
      </c>
      <c r="J63" s="154" t="s">
        <v>5927</v>
      </c>
      <c r="K63" s="154"/>
      <c r="L63" s="154" t="s">
        <v>759</v>
      </c>
      <c r="M63" s="247" t="s">
        <v>516</v>
      </c>
      <c r="N63" s="247" t="s">
        <v>5876</v>
      </c>
      <c r="O63" s="240" t="str">
        <f t="shared" si="1"/>
        <v/>
      </c>
      <c r="P63" s="154" t="s">
        <v>66</v>
      </c>
      <c r="Q63" s="154" t="s">
        <v>66</v>
      </c>
      <c r="R63" s="154" t="s">
        <v>66</v>
      </c>
      <c r="S63" s="154" t="s">
        <v>66</v>
      </c>
      <c r="T63" s="154" t="s">
        <v>66</v>
      </c>
      <c r="U63" s="154" t="s">
        <v>66</v>
      </c>
      <c r="V63" s="154" t="s">
        <v>66</v>
      </c>
      <c r="W63" s="154" t="s">
        <v>66</v>
      </c>
      <c r="X63" s="154" t="s">
        <v>66</v>
      </c>
      <c r="Y63" s="154"/>
      <c r="Z63" s="242" t="b">
        <f t="shared" si="2"/>
        <v>1</v>
      </c>
      <c r="AA63" s="154" t="s">
        <v>391</v>
      </c>
      <c r="AB63" s="242" t="b">
        <f t="shared" si="3"/>
        <v>0</v>
      </c>
      <c r="AC63" s="154"/>
      <c r="AD63" s="242" t="b">
        <f t="shared" si="4"/>
        <v>0</v>
      </c>
      <c r="AE63" s="154" t="s">
        <v>1006</v>
      </c>
      <c r="AF63" s="242" t="str">
        <f>IF(AE63="","N/A",INDIRECT("MTR!"&amp;ADDRESS(MATCH(LEFT(AE63,9),MTR!C:C,0),COLUMN(J63)),TRUE) &amp; "")</f>
        <v>Complies</v>
      </c>
      <c r="AG63" s="157" t="str">
        <f t="shared" si="5"/>
        <v/>
      </c>
      <c r="AH63" s="170"/>
      <c r="AI63" s="152"/>
      <c r="AJ63" s="152"/>
      <c r="AK63" s="152"/>
      <c r="AL63" s="152"/>
      <c r="AM63" s="152"/>
      <c r="AN63" s="152"/>
      <c r="AO63" s="152"/>
      <c r="AP63" s="152"/>
      <c r="AQ63" s="152"/>
      <c r="AR63" s="152"/>
    </row>
    <row r="64" ht="12.75" customHeight="1">
      <c r="A64" s="244" t="s">
        <v>5158</v>
      </c>
      <c r="B64" s="244" t="s">
        <v>5725</v>
      </c>
      <c r="C64" s="255" t="s">
        <v>5928</v>
      </c>
      <c r="D64" s="256" t="s">
        <v>42</v>
      </c>
      <c r="E64" s="154" t="s">
        <v>489</v>
      </c>
      <c r="F64" s="154" t="str">
        <f t="array" ref="F64">XLOOKUP(Cover!$D$12,$P$1:$X$1,$P64:$X64)</f>
        <v>Information</v>
      </c>
      <c r="G64" s="154" t="s">
        <v>5929</v>
      </c>
      <c r="H64" s="154" t="s">
        <v>5766</v>
      </c>
      <c r="I64" s="154" t="s">
        <v>5930</v>
      </c>
      <c r="J64" s="154" t="s">
        <v>5931</v>
      </c>
      <c r="K64" s="154"/>
      <c r="L64" s="154" t="s">
        <v>759</v>
      </c>
      <c r="M64" s="247" t="s">
        <v>516</v>
      </c>
      <c r="N64" s="247" t="s">
        <v>5876</v>
      </c>
      <c r="O64" s="240" t="str">
        <f t="shared" si="1"/>
        <v/>
      </c>
      <c r="P64" s="154" t="s">
        <v>66</v>
      </c>
      <c r="Q64" s="154" t="s">
        <v>66</v>
      </c>
      <c r="R64" s="154" t="s">
        <v>66</v>
      </c>
      <c r="S64" s="154" t="s">
        <v>66</v>
      </c>
      <c r="T64" s="154" t="s">
        <v>66</v>
      </c>
      <c r="U64" s="154" t="s">
        <v>66</v>
      </c>
      <c r="V64" s="154" t="s">
        <v>66</v>
      </c>
      <c r="W64" s="154" t="s">
        <v>66</v>
      </c>
      <c r="X64" s="154" t="s">
        <v>66</v>
      </c>
      <c r="Y64" s="154"/>
      <c r="Z64" s="242" t="b">
        <f t="shared" si="2"/>
        <v>1</v>
      </c>
      <c r="AA64" s="154" t="s">
        <v>391</v>
      </c>
      <c r="AB64" s="242" t="b">
        <f t="shared" si="3"/>
        <v>0</v>
      </c>
      <c r="AC64" s="154"/>
      <c r="AD64" s="242" t="b">
        <f t="shared" si="4"/>
        <v>0</v>
      </c>
      <c r="AE64" s="154" t="s">
        <v>1006</v>
      </c>
      <c r="AF64" s="242" t="str">
        <f>IF(AE64="","N/A",INDIRECT("MTR!"&amp;ADDRESS(MATCH(LEFT(AE64,9),MTR!C:C,0),COLUMN(J64)),TRUE) &amp; "")</f>
        <v>Complies</v>
      </c>
      <c r="AG64" s="157" t="str">
        <f t="shared" si="5"/>
        <v/>
      </c>
      <c r="AH64" s="170"/>
      <c r="AI64" s="152"/>
      <c r="AJ64" s="152"/>
      <c r="AK64" s="152"/>
      <c r="AL64" s="152"/>
      <c r="AM64" s="152"/>
      <c r="AN64" s="152"/>
      <c r="AO64" s="152"/>
      <c r="AP64" s="152"/>
      <c r="AQ64" s="152"/>
      <c r="AR64" s="152"/>
    </row>
    <row r="65" ht="12.75" customHeight="1">
      <c r="A65" s="244" t="s">
        <v>5158</v>
      </c>
      <c r="B65" s="244" t="s">
        <v>5725</v>
      </c>
      <c r="C65" s="244" t="s">
        <v>5932</v>
      </c>
      <c r="D65" s="154" t="s">
        <v>1120</v>
      </c>
      <c r="E65" s="154"/>
      <c r="F65" s="154" t="str">
        <f t="array" ref="F65">XLOOKUP(Cover!$D$12,$P$1:$X$1,$P65:$X65)</f>
        <v>Information</v>
      </c>
      <c r="G65" s="154" t="s">
        <v>5933</v>
      </c>
      <c r="H65" s="154" t="s">
        <v>5934</v>
      </c>
      <c r="I65" s="154" t="s">
        <v>5935</v>
      </c>
      <c r="J65" s="154" t="s">
        <v>5732</v>
      </c>
      <c r="K65" s="154"/>
      <c r="L65" s="154" t="s">
        <v>759</v>
      </c>
      <c r="M65" s="247" t="s">
        <v>445</v>
      </c>
      <c r="N65" s="247" t="s">
        <v>5733</v>
      </c>
      <c r="O65" s="240" t="str">
        <f t="shared" si="1"/>
        <v/>
      </c>
      <c r="P65" s="154" t="s">
        <v>66</v>
      </c>
      <c r="Q65" s="154" t="s">
        <v>66</v>
      </c>
      <c r="R65" s="154" t="s">
        <v>66</v>
      </c>
      <c r="S65" s="154" t="s">
        <v>66</v>
      </c>
      <c r="T65" s="154" t="s">
        <v>66</v>
      </c>
      <c r="U65" s="154" t="s">
        <v>66</v>
      </c>
      <c r="V65" s="154" t="s">
        <v>66</v>
      </c>
      <c r="W65" s="154" t="s">
        <v>66</v>
      </c>
      <c r="X65" s="154" t="s">
        <v>66</v>
      </c>
      <c r="Y65" s="154"/>
      <c r="Z65" s="242" t="b">
        <f t="shared" si="2"/>
        <v>1</v>
      </c>
      <c r="AA65" s="154" t="s">
        <v>391</v>
      </c>
      <c r="AB65" s="242" t="b">
        <f t="shared" si="3"/>
        <v>0</v>
      </c>
      <c r="AC65" s="154"/>
      <c r="AD65" s="242" t="b">
        <f t="shared" si="4"/>
        <v>0</v>
      </c>
      <c r="AE65" s="154" t="s">
        <v>1006</v>
      </c>
      <c r="AF65" s="242" t="str">
        <f>IF(AE65="","N/A",INDIRECT("MTR!"&amp;ADDRESS(MATCH(LEFT(AE65,9),MTR!C:C,0),COLUMN(J65)),TRUE) &amp; "")</f>
        <v>Complies</v>
      </c>
      <c r="AG65" s="157" t="str">
        <f t="shared" si="5"/>
        <v/>
      </c>
      <c r="AH65" s="170"/>
      <c r="AI65" s="152"/>
      <c r="AJ65" s="152"/>
      <c r="AK65" s="152"/>
      <c r="AL65" s="152"/>
      <c r="AM65" s="152"/>
      <c r="AN65" s="152"/>
      <c r="AO65" s="152"/>
      <c r="AP65" s="152"/>
      <c r="AQ65" s="152"/>
      <c r="AR65" s="152"/>
    </row>
    <row r="66" ht="12.75" customHeight="1">
      <c r="A66" s="244" t="s">
        <v>5158</v>
      </c>
      <c r="B66" s="244" t="s">
        <v>5725</v>
      </c>
      <c r="C66" s="244" t="s">
        <v>5936</v>
      </c>
      <c r="D66" s="154" t="s">
        <v>433</v>
      </c>
      <c r="E66" s="154"/>
      <c r="F66" s="154" t="str">
        <f t="array" ref="F66">XLOOKUP(Cover!$D$12,$P$1:$X$1,$P66:$X66)</f>
        <v>Mandatory</v>
      </c>
      <c r="G66" s="154" t="s">
        <v>5937</v>
      </c>
      <c r="H66" s="154" t="s">
        <v>5938</v>
      </c>
      <c r="I66" s="154" t="s">
        <v>5939</v>
      </c>
      <c r="J66" s="154" t="s">
        <v>5940</v>
      </c>
      <c r="K66" s="154" t="s">
        <v>1005</v>
      </c>
      <c r="L66" s="154" t="s">
        <v>759</v>
      </c>
      <c r="M66" s="247" t="s">
        <v>445</v>
      </c>
      <c r="N66" s="247" t="s">
        <v>5733</v>
      </c>
      <c r="O66" s="240" t="str">
        <f t="shared" si="1"/>
        <v/>
      </c>
      <c r="P66" s="154" t="s">
        <v>66</v>
      </c>
      <c r="Q66" s="154" t="s">
        <v>66</v>
      </c>
      <c r="R66" s="154" t="s">
        <v>66</v>
      </c>
      <c r="S66" s="154" t="s">
        <v>60</v>
      </c>
      <c r="T66" s="154" t="s">
        <v>60</v>
      </c>
      <c r="U66" s="154" t="s">
        <v>60</v>
      </c>
      <c r="V66" s="154" t="s">
        <v>66</v>
      </c>
      <c r="W66" s="154" t="s">
        <v>66</v>
      </c>
      <c r="X66" s="154" t="s">
        <v>60</v>
      </c>
      <c r="Y66" s="154"/>
      <c r="Z66" s="242" t="b">
        <f t="shared" si="2"/>
        <v>1</v>
      </c>
      <c r="AA66" s="154" t="s">
        <v>391</v>
      </c>
      <c r="AB66" s="242" t="b">
        <f t="shared" si="3"/>
        <v>0</v>
      </c>
      <c r="AC66" s="154"/>
      <c r="AD66" s="242" t="b">
        <f t="shared" si="4"/>
        <v>0</v>
      </c>
      <c r="AE66" s="154" t="s">
        <v>1006</v>
      </c>
      <c r="AF66" s="242" t="str">
        <f>IF(AE66="","N/A",INDIRECT("MTR!"&amp;ADDRESS(MATCH(LEFT(AE66,9),MTR!C:C,0),COLUMN(J66)),TRUE) &amp; "")</f>
        <v>Complies</v>
      </c>
      <c r="AG66" s="157" t="str">
        <f t="shared" si="5"/>
        <v/>
      </c>
      <c r="AH66" s="170"/>
      <c r="AI66" s="152"/>
      <c r="AJ66" s="152"/>
      <c r="AK66" s="152"/>
      <c r="AL66" s="152"/>
      <c r="AM66" s="152"/>
      <c r="AN66" s="152"/>
      <c r="AO66" s="152"/>
      <c r="AP66" s="152"/>
      <c r="AQ66" s="152"/>
      <c r="AR66" s="152"/>
    </row>
    <row r="67" ht="12.75" customHeight="1">
      <c r="A67" s="244" t="s">
        <v>5158</v>
      </c>
      <c r="B67" s="244" t="s">
        <v>5725</v>
      </c>
      <c r="C67" s="245" t="s">
        <v>5941</v>
      </c>
      <c r="D67" s="155" t="s">
        <v>492</v>
      </c>
      <c r="E67" s="154" t="s">
        <v>92</v>
      </c>
      <c r="F67" s="154" t="str">
        <f t="array" ref="F67">XLOOKUP(Cover!$D$12,$P$1:$X$1,$P67:$X67)</f>
        <v>Information</v>
      </c>
      <c r="G67" s="154" t="s">
        <v>5942</v>
      </c>
      <c r="H67" s="154" t="s">
        <v>5743</v>
      </c>
      <c r="I67" s="154" t="s">
        <v>5943</v>
      </c>
      <c r="J67" s="154" t="s">
        <v>5871</v>
      </c>
      <c r="K67" s="154"/>
      <c r="L67" s="154" t="s">
        <v>759</v>
      </c>
      <c r="M67" s="247" t="s">
        <v>445</v>
      </c>
      <c r="N67" s="247" t="s">
        <v>5733</v>
      </c>
      <c r="O67" s="240" t="str">
        <f t="shared" si="1"/>
        <v/>
      </c>
      <c r="P67" s="154" t="s">
        <v>66</v>
      </c>
      <c r="Q67" s="154" t="s">
        <v>66</v>
      </c>
      <c r="R67" s="154" t="s">
        <v>66</v>
      </c>
      <c r="S67" s="154" t="s">
        <v>66</v>
      </c>
      <c r="T67" s="154" t="s">
        <v>66</v>
      </c>
      <c r="U67" s="154" t="s">
        <v>66</v>
      </c>
      <c r="V67" s="154" t="s">
        <v>66</v>
      </c>
      <c r="W67" s="154" t="s">
        <v>66</v>
      </c>
      <c r="X67" s="154" t="s">
        <v>66</v>
      </c>
      <c r="Y67" s="154"/>
      <c r="Z67" s="242" t="b">
        <f t="shared" si="2"/>
        <v>1</v>
      </c>
      <c r="AA67" s="154" t="s">
        <v>391</v>
      </c>
      <c r="AB67" s="242" t="b">
        <f t="shared" si="3"/>
        <v>0</v>
      </c>
      <c r="AC67" s="154"/>
      <c r="AD67" s="242" t="b">
        <f t="shared" si="4"/>
        <v>0</v>
      </c>
      <c r="AE67" s="154" t="s">
        <v>1006</v>
      </c>
      <c r="AF67" s="242" t="str">
        <f>IF(AE67="","N/A",INDIRECT("MTR!"&amp;ADDRESS(MATCH(LEFT(AE67,9),MTR!C:C,0),COLUMN(J67)),TRUE) &amp; "")</f>
        <v>Complies</v>
      </c>
      <c r="AG67" s="157" t="str">
        <f t="shared" si="5"/>
        <v/>
      </c>
      <c r="AH67" s="170"/>
      <c r="AI67" s="152"/>
      <c r="AJ67" s="152"/>
      <c r="AK67" s="152"/>
      <c r="AL67" s="152"/>
      <c r="AM67" s="152"/>
      <c r="AN67" s="152"/>
      <c r="AO67" s="152"/>
      <c r="AP67" s="152"/>
      <c r="AQ67" s="152"/>
      <c r="AR67" s="152"/>
    </row>
    <row r="68" ht="12.75" customHeight="1">
      <c r="A68" s="244" t="s">
        <v>5158</v>
      </c>
      <c r="B68" s="244" t="s">
        <v>5725</v>
      </c>
      <c r="C68" s="244" t="s">
        <v>5944</v>
      </c>
      <c r="D68" s="154" t="s">
        <v>462</v>
      </c>
      <c r="E68" s="154"/>
      <c r="F68" s="154" t="str">
        <f t="array" ref="F68">XLOOKUP(Cover!$D$12,$P$1:$X$1,$P68:$X68)</f>
        <v>Mandatory</v>
      </c>
      <c r="G68" s="154" t="s">
        <v>5945</v>
      </c>
      <c r="H68" s="154" t="s">
        <v>5946</v>
      </c>
      <c r="I68" s="154" t="s">
        <v>5947</v>
      </c>
      <c r="J68" s="154" t="s">
        <v>5948</v>
      </c>
      <c r="K68" s="154" t="s">
        <v>1005</v>
      </c>
      <c r="L68" s="154" t="s">
        <v>759</v>
      </c>
      <c r="M68" s="247" t="s">
        <v>445</v>
      </c>
      <c r="N68" s="247" t="s">
        <v>5733</v>
      </c>
      <c r="O68" s="240" t="str">
        <f t="shared" si="1"/>
        <v/>
      </c>
      <c r="P68" s="154" t="s">
        <v>66</v>
      </c>
      <c r="Q68" s="154" t="s">
        <v>66</v>
      </c>
      <c r="R68" s="154" t="s">
        <v>66</v>
      </c>
      <c r="S68" s="154" t="s">
        <v>60</v>
      </c>
      <c r="T68" s="154" t="s">
        <v>60</v>
      </c>
      <c r="U68" s="154" t="s">
        <v>60</v>
      </c>
      <c r="V68" s="154" t="s">
        <v>66</v>
      </c>
      <c r="W68" s="154" t="s">
        <v>66</v>
      </c>
      <c r="X68" s="154" t="s">
        <v>60</v>
      </c>
      <c r="Y68" s="154"/>
      <c r="Z68" s="242" t="b">
        <f t="shared" si="2"/>
        <v>1</v>
      </c>
      <c r="AA68" s="154" t="s">
        <v>391</v>
      </c>
      <c r="AB68" s="242" t="b">
        <f t="shared" si="3"/>
        <v>0</v>
      </c>
      <c r="AC68" s="154"/>
      <c r="AD68" s="242" t="b">
        <f t="shared" si="4"/>
        <v>0</v>
      </c>
      <c r="AE68" s="154" t="s">
        <v>1006</v>
      </c>
      <c r="AF68" s="242" t="str">
        <f>IF(AE68="","N/A",INDIRECT("MTR!"&amp;ADDRESS(MATCH(LEFT(AE68,9),MTR!C:C,0),COLUMN(J68)),TRUE) &amp; "")</f>
        <v>Complies</v>
      </c>
      <c r="AG68" s="157" t="str">
        <f t="shared" si="5"/>
        <v/>
      </c>
      <c r="AH68" s="170"/>
      <c r="AI68" s="152"/>
      <c r="AJ68" s="152"/>
      <c r="AK68" s="152"/>
      <c r="AL68" s="152"/>
      <c r="AM68" s="152"/>
      <c r="AN68" s="152"/>
      <c r="AO68" s="152"/>
      <c r="AP68" s="152"/>
      <c r="AQ68" s="152"/>
      <c r="AR68" s="152"/>
    </row>
    <row r="69" ht="12.75" customHeight="1">
      <c r="A69" s="244" t="s">
        <v>5158</v>
      </c>
      <c r="B69" s="244" t="s">
        <v>5725</v>
      </c>
      <c r="C69" s="244" t="s">
        <v>5949</v>
      </c>
      <c r="D69" s="154" t="s">
        <v>1120</v>
      </c>
      <c r="E69" s="154"/>
      <c r="F69" s="154" t="str">
        <f t="array" ref="F69">XLOOKUP(Cover!$D$12,$P$1:$X$1,$P69:$X69)</f>
        <v>Information</v>
      </c>
      <c r="G69" s="154" t="s">
        <v>5950</v>
      </c>
      <c r="H69" s="154" t="s">
        <v>5946</v>
      </c>
      <c r="I69" s="154" t="s">
        <v>5947</v>
      </c>
      <c r="J69" s="154" t="s">
        <v>5948</v>
      </c>
      <c r="K69" s="154"/>
      <c r="L69" s="154" t="s">
        <v>759</v>
      </c>
      <c r="M69" s="247" t="s">
        <v>445</v>
      </c>
      <c r="N69" s="247" t="s">
        <v>5733</v>
      </c>
      <c r="O69" s="240" t="str">
        <f t="shared" si="1"/>
        <v/>
      </c>
      <c r="P69" s="154" t="s">
        <v>66</v>
      </c>
      <c r="Q69" s="154" t="s">
        <v>66</v>
      </c>
      <c r="R69" s="154" t="s">
        <v>66</v>
      </c>
      <c r="S69" s="154" t="s">
        <v>66</v>
      </c>
      <c r="T69" s="154" t="s">
        <v>66</v>
      </c>
      <c r="U69" s="154" t="s">
        <v>66</v>
      </c>
      <c r="V69" s="154" t="s">
        <v>66</v>
      </c>
      <c r="W69" s="154" t="s">
        <v>64</v>
      </c>
      <c r="X69" s="154" t="s">
        <v>66</v>
      </c>
      <c r="Y69" s="154"/>
      <c r="Z69" s="242" t="b">
        <f t="shared" si="2"/>
        <v>1</v>
      </c>
      <c r="AA69" s="154" t="s">
        <v>391</v>
      </c>
      <c r="AB69" s="242" t="b">
        <f t="shared" si="3"/>
        <v>0</v>
      </c>
      <c r="AC69" s="154"/>
      <c r="AD69" s="242" t="b">
        <f t="shared" si="4"/>
        <v>0</v>
      </c>
      <c r="AE69" s="154" t="s">
        <v>1006</v>
      </c>
      <c r="AF69" s="242" t="str">
        <f>IF(AE69="","N/A",INDIRECT("MTR!"&amp;ADDRESS(MATCH(LEFT(AE69,9),MTR!C:C,0),COLUMN(J69)),TRUE) &amp; "")</f>
        <v>Complies</v>
      </c>
      <c r="AG69" s="157" t="str">
        <f t="shared" si="5"/>
        <v/>
      </c>
      <c r="AH69" s="170"/>
      <c r="AI69" s="152"/>
      <c r="AJ69" s="152"/>
      <c r="AK69" s="152"/>
      <c r="AL69" s="152"/>
      <c r="AM69" s="152"/>
      <c r="AN69" s="152"/>
      <c r="AO69" s="152"/>
      <c r="AP69" s="152"/>
      <c r="AQ69" s="152"/>
      <c r="AR69" s="152"/>
    </row>
    <row r="70" ht="12.75" customHeight="1">
      <c r="A70" s="244" t="s">
        <v>5158</v>
      </c>
      <c r="B70" s="244" t="s">
        <v>5725</v>
      </c>
      <c r="C70" s="244" t="s">
        <v>5951</v>
      </c>
      <c r="D70" s="154" t="s">
        <v>581</v>
      </c>
      <c r="E70" s="154"/>
      <c r="F70" s="154" t="str">
        <f t="array" ref="F70">XLOOKUP(Cover!$D$12,$P$1:$X$1,$P70:$X70)</f>
        <v>Mandatory</v>
      </c>
      <c r="G70" s="154" t="s">
        <v>5952</v>
      </c>
      <c r="H70" s="154" t="s">
        <v>5953</v>
      </c>
      <c r="I70" s="154" t="s">
        <v>5954</v>
      </c>
      <c r="J70" s="154" t="s">
        <v>5745</v>
      </c>
      <c r="K70" s="154" t="s">
        <v>1005</v>
      </c>
      <c r="L70" s="154" t="s">
        <v>759</v>
      </c>
      <c r="M70" s="247" t="s">
        <v>445</v>
      </c>
      <c r="N70" s="247" t="s">
        <v>5733</v>
      </c>
      <c r="O70" s="240" t="str">
        <f t="shared" si="1"/>
        <v/>
      </c>
      <c r="P70" s="154" t="s">
        <v>66</v>
      </c>
      <c r="Q70" s="154" t="s">
        <v>66</v>
      </c>
      <c r="R70" s="154" t="s">
        <v>66</v>
      </c>
      <c r="S70" s="154" t="s">
        <v>60</v>
      </c>
      <c r="T70" s="154" t="s">
        <v>60</v>
      </c>
      <c r="U70" s="154" t="s">
        <v>60</v>
      </c>
      <c r="V70" s="154" t="s">
        <v>66</v>
      </c>
      <c r="W70" s="154" t="s">
        <v>66</v>
      </c>
      <c r="X70" s="154" t="s">
        <v>60</v>
      </c>
      <c r="Y70" s="154"/>
      <c r="Z70" s="242" t="b">
        <f t="shared" si="2"/>
        <v>1</v>
      </c>
      <c r="AA70" s="154" t="s">
        <v>391</v>
      </c>
      <c r="AB70" s="242" t="b">
        <f t="shared" si="3"/>
        <v>0</v>
      </c>
      <c r="AC70" s="154"/>
      <c r="AD70" s="242" t="b">
        <f t="shared" si="4"/>
        <v>0</v>
      </c>
      <c r="AE70" s="154" t="s">
        <v>1006</v>
      </c>
      <c r="AF70" s="242" t="str">
        <f>IF(AE70="","N/A",INDIRECT("MTR!"&amp;ADDRESS(MATCH(LEFT(AE70,9),MTR!C:C,0),COLUMN(J70)),TRUE) &amp; "")</f>
        <v>Complies</v>
      </c>
      <c r="AG70" s="157" t="str">
        <f t="shared" si="5"/>
        <v/>
      </c>
      <c r="AH70" s="170"/>
      <c r="AI70" s="152"/>
      <c r="AJ70" s="152"/>
      <c r="AK70" s="152"/>
      <c r="AL70" s="152"/>
      <c r="AM70" s="152"/>
      <c r="AN70" s="152"/>
      <c r="AO70" s="152"/>
      <c r="AP70" s="152"/>
      <c r="AQ70" s="152"/>
      <c r="AR70" s="152"/>
    </row>
    <row r="71" ht="12.75" customHeight="1">
      <c r="A71" s="244" t="s">
        <v>5158</v>
      </c>
      <c r="B71" s="244" t="s">
        <v>5725</v>
      </c>
      <c r="C71" s="244" t="s">
        <v>5955</v>
      </c>
      <c r="D71" s="154" t="s">
        <v>581</v>
      </c>
      <c r="E71" s="154"/>
      <c r="F71" s="154" t="str">
        <f t="array" ref="F71">XLOOKUP(Cover!$D$12,$P$1:$X$1,$P71:$X71)</f>
        <v>Information</v>
      </c>
      <c r="G71" s="154" t="s">
        <v>5956</v>
      </c>
      <c r="H71" s="154" t="s">
        <v>5953</v>
      </c>
      <c r="I71" s="154" t="s">
        <v>5954</v>
      </c>
      <c r="J71" s="154" t="s">
        <v>5745</v>
      </c>
      <c r="K71" s="154"/>
      <c r="L71" s="154" t="s">
        <v>759</v>
      </c>
      <c r="M71" s="247" t="s">
        <v>445</v>
      </c>
      <c r="N71" s="247" t="s">
        <v>5733</v>
      </c>
      <c r="O71" s="240" t="str">
        <f t="shared" si="1"/>
        <v/>
      </c>
      <c r="P71" s="154" t="s">
        <v>66</v>
      </c>
      <c r="Q71" s="154" t="s">
        <v>66</v>
      </c>
      <c r="R71" s="154" t="s">
        <v>66</v>
      </c>
      <c r="S71" s="154" t="s">
        <v>66</v>
      </c>
      <c r="T71" s="154" t="s">
        <v>66</v>
      </c>
      <c r="U71" s="154" t="s">
        <v>66</v>
      </c>
      <c r="V71" s="154" t="s">
        <v>66</v>
      </c>
      <c r="W71" s="154" t="s">
        <v>64</v>
      </c>
      <c r="X71" s="154" t="s">
        <v>66</v>
      </c>
      <c r="Y71" s="154"/>
      <c r="Z71" s="242" t="b">
        <f t="shared" si="2"/>
        <v>1</v>
      </c>
      <c r="AA71" s="154" t="s">
        <v>391</v>
      </c>
      <c r="AB71" s="242" t="b">
        <f t="shared" si="3"/>
        <v>0</v>
      </c>
      <c r="AC71" s="154"/>
      <c r="AD71" s="242" t="b">
        <f t="shared" si="4"/>
        <v>0</v>
      </c>
      <c r="AE71" s="154" t="s">
        <v>1006</v>
      </c>
      <c r="AF71" s="242" t="str">
        <f>IF(AE71="","N/A",INDIRECT("MTR!"&amp;ADDRESS(MATCH(LEFT(AE71,9),MTR!C:C,0),COLUMN(J71)),TRUE) &amp; "")</f>
        <v>Complies</v>
      </c>
      <c r="AG71" s="157" t="str">
        <f t="shared" si="5"/>
        <v/>
      </c>
      <c r="AH71" s="170"/>
      <c r="AI71" s="152"/>
      <c r="AJ71" s="152"/>
      <c r="AK71" s="152"/>
      <c r="AL71" s="152"/>
      <c r="AM71" s="152"/>
      <c r="AN71" s="152"/>
      <c r="AO71" s="152"/>
      <c r="AP71" s="152"/>
      <c r="AQ71" s="152"/>
      <c r="AR71" s="152"/>
    </row>
    <row r="72" ht="12.75" customHeight="1">
      <c r="A72" s="244" t="s">
        <v>5158</v>
      </c>
      <c r="B72" s="244" t="s">
        <v>5725</v>
      </c>
      <c r="C72" s="244" t="s">
        <v>5957</v>
      </c>
      <c r="D72" s="154" t="s">
        <v>581</v>
      </c>
      <c r="E72" s="154"/>
      <c r="F72" s="154" t="str">
        <f t="array" ref="F72">XLOOKUP(Cover!$D$12,$P$1:$X$1,$P72:$X72)</f>
        <v>Information</v>
      </c>
      <c r="G72" s="154" t="s">
        <v>5958</v>
      </c>
      <c r="H72" s="154" t="s">
        <v>5953</v>
      </c>
      <c r="I72" s="154" t="s">
        <v>5954</v>
      </c>
      <c r="J72" s="154" t="s">
        <v>5745</v>
      </c>
      <c r="K72" s="154"/>
      <c r="L72" s="154" t="s">
        <v>759</v>
      </c>
      <c r="M72" s="247" t="s">
        <v>445</v>
      </c>
      <c r="N72" s="247" t="s">
        <v>5733</v>
      </c>
      <c r="O72" s="240" t="str">
        <f t="shared" si="1"/>
        <v/>
      </c>
      <c r="P72" s="154" t="s">
        <v>66</v>
      </c>
      <c r="Q72" s="154" t="s">
        <v>66</v>
      </c>
      <c r="R72" s="154" t="s">
        <v>66</v>
      </c>
      <c r="S72" s="154" t="s">
        <v>66</v>
      </c>
      <c r="T72" s="154" t="s">
        <v>66</v>
      </c>
      <c r="U72" s="154" t="s">
        <v>66</v>
      </c>
      <c r="V72" s="154" t="s">
        <v>66</v>
      </c>
      <c r="W72" s="154" t="s">
        <v>64</v>
      </c>
      <c r="X72" s="154" t="s">
        <v>66</v>
      </c>
      <c r="Y72" s="154"/>
      <c r="Z72" s="242" t="b">
        <f t="shared" si="2"/>
        <v>1</v>
      </c>
      <c r="AA72" s="154" t="s">
        <v>391</v>
      </c>
      <c r="AB72" s="242" t="b">
        <f t="shared" si="3"/>
        <v>0</v>
      </c>
      <c r="AC72" s="154"/>
      <c r="AD72" s="242" t="b">
        <f t="shared" si="4"/>
        <v>0</v>
      </c>
      <c r="AE72" s="154" t="s">
        <v>1006</v>
      </c>
      <c r="AF72" s="242" t="str">
        <f>IF(AE72="","N/A",INDIRECT("MTR!"&amp;ADDRESS(MATCH(LEFT(AE72,9),MTR!C:C,0),COLUMN(J72)),TRUE) &amp; "")</f>
        <v>Complies</v>
      </c>
      <c r="AG72" s="157" t="str">
        <f t="shared" si="5"/>
        <v/>
      </c>
      <c r="AH72" s="170"/>
      <c r="AI72" s="152"/>
      <c r="AJ72" s="152"/>
      <c r="AK72" s="152"/>
      <c r="AL72" s="152"/>
      <c r="AM72" s="152"/>
      <c r="AN72" s="152"/>
      <c r="AO72" s="152"/>
      <c r="AP72" s="152"/>
      <c r="AQ72" s="152"/>
      <c r="AR72" s="152"/>
    </row>
    <row r="73" ht="12.75" customHeight="1">
      <c r="A73" s="244" t="s">
        <v>5158</v>
      </c>
      <c r="B73" s="244" t="s">
        <v>5725</v>
      </c>
      <c r="C73" s="244" t="s">
        <v>5959</v>
      </c>
      <c r="D73" s="154" t="s">
        <v>1120</v>
      </c>
      <c r="E73" s="154"/>
      <c r="F73" s="154" t="str">
        <f t="array" ref="F73">XLOOKUP(Cover!$D$12,$P$1:$X$1,$P73:$X73)</f>
        <v>Information</v>
      </c>
      <c r="G73" s="154" t="s">
        <v>5960</v>
      </c>
      <c r="H73" s="154" t="s">
        <v>5953</v>
      </c>
      <c r="I73" s="154" t="s">
        <v>5954</v>
      </c>
      <c r="J73" s="154" t="s">
        <v>5745</v>
      </c>
      <c r="K73" s="154"/>
      <c r="L73" s="154" t="s">
        <v>759</v>
      </c>
      <c r="M73" s="247" t="s">
        <v>445</v>
      </c>
      <c r="N73" s="247" t="s">
        <v>5733</v>
      </c>
      <c r="O73" s="240" t="str">
        <f t="shared" si="1"/>
        <v/>
      </c>
      <c r="P73" s="154" t="s">
        <v>66</v>
      </c>
      <c r="Q73" s="154" t="s">
        <v>66</v>
      </c>
      <c r="R73" s="154" t="s">
        <v>66</v>
      </c>
      <c r="S73" s="154" t="s">
        <v>66</v>
      </c>
      <c r="T73" s="154" t="s">
        <v>66</v>
      </c>
      <c r="U73" s="154" t="s">
        <v>66</v>
      </c>
      <c r="V73" s="154" t="s">
        <v>66</v>
      </c>
      <c r="W73" s="154" t="s">
        <v>64</v>
      </c>
      <c r="X73" s="154" t="s">
        <v>66</v>
      </c>
      <c r="Y73" s="154"/>
      <c r="Z73" s="242" t="b">
        <f t="shared" si="2"/>
        <v>1</v>
      </c>
      <c r="AA73" s="154" t="s">
        <v>391</v>
      </c>
      <c r="AB73" s="242" t="b">
        <f t="shared" si="3"/>
        <v>0</v>
      </c>
      <c r="AC73" s="154"/>
      <c r="AD73" s="242" t="b">
        <f t="shared" si="4"/>
        <v>0</v>
      </c>
      <c r="AE73" s="154" t="s">
        <v>1006</v>
      </c>
      <c r="AF73" s="242" t="str">
        <f>IF(AE73="","N/A",INDIRECT("MTR!"&amp;ADDRESS(MATCH(LEFT(AE73,9),MTR!C:C,0),COLUMN(J73)),TRUE) &amp; "")</f>
        <v>Complies</v>
      </c>
      <c r="AG73" s="157" t="str">
        <f t="shared" si="5"/>
        <v/>
      </c>
      <c r="AH73" s="170"/>
      <c r="AI73" s="152"/>
      <c r="AJ73" s="152"/>
      <c r="AK73" s="152"/>
      <c r="AL73" s="152"/>
      <c r="AM73" s="152"/>
      <c r="AN73" s="152"/>
      <c r="AO73" s="152"/>
      <c r="AP73" s="152"/>
      <c r="AQ73" s="152"/>
      <c r="AR73" s="152"/>
    </row>
    <row r="74" ht="12.75" customHeight="1">
      <c r="A74" s="244" t="s">
        <v>5158</v>
      </c>
      <c r="B74" s="244" t="s">
        <v>5725</v>
      </c>
      <c r="C74" s="244" t="s">
        <v>5961</v>
      </c>
      <c r="D74" s="154" t="s">
        <v>581</v>
      </c>
      <c r="E74" s="154"/>
      <c r="F74" s="154" t="str">
        <f t="array" ref="F74">XLOOKUP(Cover!$D$12,$P$1:$X$1,$P74:$X74)</f>
        <v>Mandatory</v>
      </c>
      <c r="G74" s="154" t="s">
        <v>5962</v>
      </c>
      <c r="H74" s="154" t="s">
        <v>5963</v>
      </c>
      <c r="I74" s="154" t="s">
        <v>5964</v>
      </c>
      <c r="J74" s="154" t="s">
        <v>5948</v>
      </c>
      <c r="K74" s="154" t="s">
        <v>1005</v>
      </c>
      <c r="L74" s="154" t="s">
        <v>759</v>
      </c>
      <c r="M74" s="247" t="s">
        <v>445</v>
      </c>
      <c r="N74" s="247" t="s">
        <v>5733</v>
      </c>
      <c r="O74" s="240" t="str">
        <f t="shared" si="1"/>
        <v/>
      </c>
      <c r="P74" s="154" t="s">
        <v>66</v>
      </c>
      <c r="Q74" s="154" t="s">
        <v>66</v>
      </c>
      <c r="R74" s="154" t="s">
        <v>66</v>
      </c>
      <c r="S74" s="154" t="s">
        <v>60</v>
      </c>
      <c r="T74" s="154" t="s">
        <v>60</v>
      </c>
      <c r="U74" s="154" t="s">
        <v>60</v>
      </c>
      <c r="V74" s="154" t="s">
        <v>66</v>
      </c>
      <c r="W74" s="154" t="s">
        <v>66</v>
      </c>
      <c r="X74" s="154" t="s">
        <v>60</v>
      </c>
      <c r="Y74" s="154"/>
      <c r="Z74" s="242" t="b">
        <f t="shared" si="2"/>
        <v>1</v>
      </c>
      <c r="AA74" s="154" t="s">
        <v>391</v>
      </c>
      <c r="AB74" s="242" t="b">
        <f t="shared" si="3"/>
        <v>0</v>
      </c>
      <c r="AC74" s="154"/>
      <c r="AD74" s="242" t="b">
        <f t="shared" si="4"/>
        <v>0</v>
      </c>
      <c r="AE74" s="154" t="s">
        <v>1006</v>
      </c>
      <c r="AF74" s="242" t="str">
        <f>IF(AE74="","N/A",INDIRECT("MTR!"&amp;ADDRESS(MATCH(LEFT(AE74,9),MTR!C:C,0),COLUMN(J74)),TRUE) &amp; "")</f>
        <v>Complies</v>
      </c>
      <c r="AG74" s="157" t="str">
        <f t="shared" si="5"/>
        <v/>
      </c>
      <c r="AH74" s="170"/>
      <c r="AI74" s="152"/>
      <c r="AJ74" s="152"/>
      <c r="AK74" s="152"/>
      <c r="AL74" s="152"/>
      <c r="AM74" s="152"/>
      <c r="AN74" s="152"/>
      <c r="AO74" s="152"/>
      <c r="AP74" s="152"/>
      <c r="AQ74" s="152"/>
      <c r="AR74" s="152"/>
    </row>
    <row r="75" ht="12.75" customHeight="1">
      <c r="A75" s="244" t="s">
        <v>5158</v>
      </c>
      <c r="B75" s="244" t="s">
        <v>5725</v>
      </c>
      <c r="C75" s="244" t="s">
        <v>5965</v>
      </c>
      <c r="D75" s="154" t="s">
        <v>433</v>
      </c>
      <c r="E75" s="154"/>
      <c r="F75" s="154" t="str">
        <f t="array" ref="F75">XLOOKUP(Cover!$D$12,$P$1:$X$1,$P75:$X75)</f>
        <v>Mandatory</v>
      </c>
      <c r="G75" s="154" t="s">
        <v>5966</v>
      </c>
      <c r="H75" s="154" t="s">
        <v>5967</v>
      </c>
      <c r="I75" s="154" t="s">
        <v>5968</v>
      </c>
      <c r="J75" s="154" t="s">
        <v>5969</v>
      </c>
      <c r="K75" s="154" t="s">
        <v>1005</v>
      </c>
      <c r="L75" s="154" t="s">
        <v>759</v>
      </c>
      <c r="M75" s="247" t="s">
        <v>445</v>
      </c>
      <c r="N75" s="247" t="s">
        <v>5733</v>
      </c>
      <c r="O75" s="240" t="str">
        <f t="shared" si="1"/>
        <v/>
      </c>
      <c r="P75" s="154" t="s">
        <v>66</v>
      </c>
      <c r="Q75" s="154" t="s">
        <v>66</v>
      </c>
      <c r="R75" s="154" t="s">
        <v>66</v>
      </c>
      <c r="S75" s="154" t="s">
        <v>60</v>
      </c>
      <c r="T75" s="154" t="s">
        <v>60</v>
      </c>
      <c r="U75" s="154" t="s">
        <v>60</v>
      </c>
      <c r="V75" s="154" t="s">
        <v>66</v>
      </c>
      <c r="W75" s="154" t="s">
        <v>66</v>
      </c>
      <c r="X75" s="154" t="s">
        <v>60</v>
      </c>
      <c r="Y75" s="154"/>
      <c r="Z75" s="242" t="b">
        <f t="shared" si="2"/>
        <v>1</v>
      </c>
      <c r="AA75" s="154" t="s">
        <v>391</v>
      </c>
      <c r="AB75" s="242" t="b">
        <f t="shared" si="3"/>
        <v>0</v>
      </c>
      <c r="AC75" s="154"/>
      <c r="AD75" s="242" t="b">
        <f t="shared" si="4"/>
        <v>0</v>
      </c>
      <c r="AE75" s="154" t="s">
        <v>1006</v>
      </c>
      <c r="AF75" s="242" t="str">
        <f>IF(AE75="","N/A",INDIRECT("MTR!"&amp;ADDRESS(MATCH(LEFT(AE75,9),MTR!C:C,0),COLUMN(J75)),TRUE) &amp; "")</f>
        <v>Complies</v>
      </c>
      <c r="AG75" s="157" t="str">
        <f t="shared" si="5"/>
        <v/>
      </c>
      <c r="AH75" s="170"/>
      <c r="AI75" s="152"/>
      <c r="AJ75" s="152"/>
      <c r="AK75" s="152"/>
      <c r="AL75" s="152"/>
      <c r="AM75" s="152"/>
      <c r="AN75" s="152"/>
      <c r="AO75" s="152"/>
      <c r="AP75" s="152"/>
      <c r="AQ75" s="152"/>
      <c r="AR75" s="152"/>
    </row>
    <row r="76" ht="12.75" customHeight="1">
      <c r="A76" s="244" t="s">
        <v>5158</v>
      </c>
      <c r="B76" s="244" t="s">
        <v>5725</v>
      </c>
      <c r="C76" s="244" t="s">
        <v>5970</v>
      </c>
      <c r="D76" s="154" t="s">
        <v>411</v>
      </c>
      <c r="E76" s="154"/>
      <c r="F76" s="154" t="str">
        <f t="array" ref="F76">XLOOKUP(Cover!$D$12,$P$1:$X$1,$P76:$X76)</f>
        <v>Mandatory</v>
      </c>
      <c r="G76" s="154" t="s">
        <v>5971</v>
      </c>
      <c r="H76" s="154" t="s">
        <v>5743</v>
      </c>
      <c r="I76" s="154" t="s">
        <v>5972</v>
      </c>
      <c r="J76" s="154" t="s">
        <v>5905</v>
      </c>
      <c r="K76" s="154" t="s">
        <v>1012</v>
      </c>
      <c r="L76" s="154" t="s">
        <v>759</v>
      </c>
      <c r="M76" s="247" t="s">
        <v>445</v>
      </c>
      <c r="N76" s="247" t="s">
        <v>5733</v>
      </c>
      <c r="O76" s="240" t="str">
        <f t="shared" si="1"/>
        <v/>
      </c>
      <c r="P76" s="154" t="s">
        <v>66</v>
      </c>
      <c r="Q76" s="154" t="s">
        <v>66</v>
      </c>
      <c r="R76" s="154" t="s">
        <v>66</v>
      </c>
      <c r="S76" s="154" t="s">
        <v>60</v>
      </c>
      <c r="T76" s="154" t="s">
        <v>60</v>
      </c>
      <c r="U76" s="154" t="s">
        <v>60</v>
      </c>
      <c r="V76" s="154" t="s">
        <v>66</v>
      </c>
      <c r="W76" s="154" t="s">
        <v>66</v>
      </c>
      <c r="X76" s="154" t="s">
        <v>60</v>
      </c>
      <c r="Y76" s="154"/>
      <c r="Z76" s="242" t="b">
        <f t="shared" si="2"/>
        <v>1</v>
      </c>
      <c r="AA76" s="154" t="s">
        <v>391</v>
      </c>
      <c r="AB76" s="242" t="b">
        <f t="shared" si="3"/>
        <v>0</v>
      </c>
      <c r="AC76" s="154"/>
      <c r="AD76" s="242" t="b">
        <f t="shared" si="4"/>
        <v>0</v>
      </c>
      <c r="AE76" s="154" t="s">
        <v>1006</v>
      </c>
      <c r="AF76" s="242" t="str">
        <f>IF(AE76="","N/A",INDIRECT("MTR!"&amp;ADDRESS(MATCH(LEFT(AE76,9),MTR!C:C,0),COLUMN(J76)),TRUE) &amp; "")</f>
        <v>Complies</v>
      </c>
      <c r="AG76" s="157" t="str">
        <f t="shared" si="5"/>
        <v/>
      </c>
      <c r="AH76" s="170"/>
      <c r="AI76" s="152"/>
      <c r="AJ76" s="152"/>
      <c r="AK76" s="152"/>
      <c r="AL76" s="152"/>
      <c r="AM76" s="152"/>
      <c r="AN76" s="152"/>
      <c r="AO76" s="152"/>
      <c r="AP76" s="152"/>
      <c r="AQ76" s="152"/>
      <c r="AR76" s="152"/>
    </row>
    <row r="77" ht="12.75" customHeight="1">
      <c r="A77" s="244" t="s">
        <v>5158</v>
      </c>
      <c r="B77" s="244" t="s">
        <v>5725</v>
      </c>
      <c r="C77" s="244" t="s">
        <v>5973</v>
      </c>
      <c r="D77" s="154" t="s">
        <v>492</v>
      </c>
      <c r="E77" s="154"/>
      <c r="F77" s="154" t="str">
        <f t="array" ref="F77">XLOOKUP(Cover!$D$12,$P$1:$X$1,$P77:$X77)</f>
        <v>Information</v>
      </c>
      <c r="G77" s="154" t="s">
        <v>5974</v>
      </c>
      <c r="H77" s="154" t="s">
        <v>5751</v>
      </c>
      <c r="I77" s="154" t="s">
        <v>5975</v>
      </c>
      <c r="J77" s="154" t="s">
        <v>5827</v>
      </c>
      <c r="K77" s="154"/>
      <c r="L77" s="154" t="s">
        <v>759</v>
      </c>
      <c r="M77" s="247" t="s">
        <v>445</v>
      </c>
      <c r="N77" s="247" t="s">
        <v>5733</v>
      </c>
      <c r="O77" s="240" t="str">
        <f t="shared" si="1"/>
        <v/>
      </c>
      <c r="P77" s="154" t="s">
        <v>66</v>
      </c>
      <c r="Q77" s="154" t="s">
        <v>66</v>
      </c>
      <c r="R77" s="154" t="s">
        <v>66</v>
      </c>
      <c r="S77" s="154" t="s">
        <v>66</v>
      </c>
      <c r="T77" s="154" t="s">
        <v>66</v>
      </c>
      <c r="U77" s="154" t="s">
        <v>66</v>
      </c>
      <c r="V77" s="154" t="s">
        <v>66</v>
      </c>
      <c r="W77" s="154" t="s">
        <v>64</v>
      </c>
      <c r="X77" s="154" t="s">
        <v>66</v>
      </c>
      <c r="Y77" s="154"/>
      <c r="Z77" s="242" t="b">
        <f t="shared" si="2"/>
        <v>1</v>
      </c>
      <c r="AA77" s="154" t="s">
        <v>391</v>
      </c>
      <c r="AB77" s="242" t="b">
        <f t="shared" si="3"/>
        <v>0</v>
      </c>
      <c r="AC77" s="154"/>
      <c r="AD77" s="242" t="b">
        <f t="shared" si="4"/>
        <v>0</v>
      </c>
      <c r="AE77" s="154" t="s">
        <v>1006</v>
      </c>
      <c r="AF77" s="242" t="str">
        <f>IF(AE77="","N/A",INDIRECT("MTR!"&amp;ADDRESS(MATCH(LEFT(AE77,9),MTR!C:C,0),COLUMN(J77)),TRUE) &amp; "")</f>
        <v>Complies</v>
      </c>
      <c r="AG77" s="157" t="str">
        <f t="shared" si="5"/>
        <v/>
      </c>
      <c r="AH77" s="170"/>
      <c r="AI77" s="152"/>
      <c r="AJ77" s="152"/>
      <c r="AK77" s="152"/>
      <c r="AL77" s="152"/>
      <c r="AM77" s="152"/>
      <c r="AN77" s="152"/>
      <c r="AO77" s="152"/>
      <c r="AP77" s="152"/>
      <c r="AQ77" s="152"/>
      <c r="AR77" s="152"/>
    </row>
    <row r="78" ht="12.75" customHeight="1">
      <c r="A78" s="244" t="s">
        <v>5158</v>
      </c>
      <c r="B78" s="244" t="s">
        <v>5725</v>
      </c>
      <c r="C78" s="244" t="s">
        <v>5976</v>
      </c>
      <c r="D78" s="154" t="s">
        <v>411</v>
      </c>
      <c r="E78" s="154"/>
      <c r="F78" s="154" t="str">
        <f t="array" ref="F78">XLOOKUP(Cover!$D$12,$P$1:$X$1,$P78:$X78)</f>
        <v>Information</v>
      </c>
      <c r="G78" s="154" t="s">
        <v>5977</v>
      </c>
      <c r="H78" s="154" t="s">
        <v>5751</v>
      </c>
      <c r="I78" s="154" t="s">
        <v>5975</v>
      </c>
      <c r="J78" s="154" t="s">
        <v>5827</v>
      </c>
      <c r="K78" s="154"/>
      <c r="L78" s="154" t="s">
        <v>759</v>
      </c>
      <c r="M78" s="247" t="s">
        <v>445</v>
      </c>
      <c r="N78" s="247" t="s">
        <v>5733</v>
      </c>
      <c r="O78" s="240" t="str">
        <f t="shared" si="1"/>
        <v/>
      </c>
      <c r="P78" s="154" t="s">
        <v>66</v>
      </c>
      <c r="Q78" s="154" t="s">
        <v>66</v>
      </c>
      <c r="R78" s="154" t="s">
        <v>66</v>
      </c>
      <c r="S78" s="154" t="s">
        <v>66</v>
      </c>
      <c r="T78" s="154" t="s">
        <v>66</v>
      </c>
      <c r="U78" s="154" t="s">
        <v>66</v>
      </c>
      <c r="V78" s="154" t="s">
        <v>66</v>
      </c>
      <c r="W78" s="154" t="s">
        <v>64</v>
      </c>
      <c r="X78" s="154" t="s">
        <v>66</v>
      </c>
      <c r="Y78" s="154"/>
      <c r="Z78" s="242" t="b">
        <f t="shared" si="2"/>
        <v>1</v>
      </c>
      <c r="AA78" s="154" t="s">
        <v>391</v>
      </c>
      <c r="AB78" s="242" t="b">
        <f t="shared" si="3"/>
        <v>0</v>
      </c>
      <c r="AC78" s="154"/>
      <c r="AD78" s="242" t="b">
        <f t="shared" si="4"/>
        <v>0</v>
      </c>
      <c r="AE78" s="154" t="s">
        <v>1006</v>
      </c>
      <c r="AF78" s="242" t="str">
        <f>IF(AE78="","N/A",INDIRECT("MTR!"&amp;ADDRESS(MATCH(LEFT(AE78,9),MTR!C:C,0),COLUMN(J78)),TRUE) &amp; "")</f>
        <v>Complies</v>
      </c>
      <c r="AG78" s="157" t="str">
        <f t="shared" si="5"/>
        <v/>
      </c>
      <c r="AH78" s="170"/>
      <c r="AI78" s="152"/>
      <c r="AJ78" s="152"/>
      <c r="AK78" s="152"/>
      <c r="AL78" s="152"/>
      <c r="AM78" s="152"/>
      <c r="AN78" s="152"/>
      <c r="AO78" s="152"/>
      <c r="AP78" s="152"/>
      <c r="AQ78" s="152"/>
      <c r="AR78" s="152"/>
    </row>
    <row r="79" ht="12.75" customHeight="1">
      <c r="A79" s="244" t="s">
        <v>5158</v>
      </c>
      <c r="B79" s="244" t="s">
        <v>5725</v>
      </c>
      <c r="C79" s="244" t="s">
        <v>5978</v>
      </c>
      <c r="D79" s="154" t="s">
        <v>492</v>
      </c>
      <c r="E79" s="154"/>
      <c r="F79" s="154" t="str">
        <f t="array" ref="F79">XLOOKUP(Cover!$D$12,$P$1:$X$1,$P79:$X79)</f>
        <v>Mandatory</v>
      </c>
      <c r="G79" s="154" t="s">
        <v>5979</v>
      </c>
      <c r="H79" s="154" t="s">
        <v>5980</v>
      </c>
      <c r="I79" s="154" t="s">
        <v>5981</v>
      </c>
      <c r="J79" s="154" t="s">
        <v>5982</v>
      </c>
      <c r="K79" s="154" t="s">
        <v>1005</v>
      </c>
      <c r="L79" s="154" t="s">
        <v>759</v>
      </c>
      <c r="M79" s="247" t="s">
        <v>445</v>
      </c>
      <c r="N79" s="247" t="s">
        <v>5733</v>
      </c>
      <c r="O79" s="240" t="str">
        <f t="shared" si="1"/>
        <v/>
      </c>
      <c r="P79" s="154" t="s">
        <v>66</v>
      </c>
      <c r="Q79" s="154" t="s">
        <v>66</v>
      </c>
      <c r="R79" s="154" t="s">
        <v>66</v>
      </c>
      <c r="S79" s="154" t="s">
        <v>60</v>
      </c>
      <c r="T79" s="154" t="s">
        <v>60</v>
      </c>
      <c r="U79" s="154" t="s">
        <v>60</v>
      </c>
      <c r="V79" s="154" t="s">
        <v>66</v>
      </c>
      <c r="W79" s="154" t="s">
        <v>66</v>
      </c>
      <c r="X79" s="154" t="s">
        <v>60</v>
      </c>
      <c r="Y79" s="154"/>
      <c r="Z79" s="242" t="b">
        <f t="shared" si="2"/>
        <v>1</v>
      </c>
      <c r="AA79" s="154" t="s">
        <v>391</v>
      </c>
      <c r="AB79" s="242" t="b">
        <f t="shared" si="3"/>
        <v>0</v>
      </c>
      <c r="AC79" s="154"/>
      <c r="AD79" s="242" t="b">
        <f t="shared" si="4"/>
        <v>0</v>
      </c>
      <c r="AE79" s="154" t="s">
        <v>1006</v>
      </c>
      <c r="AF79" s="242" t="str">
        <f>IF(AE79="","N/A",INDIRECT("MTR!"&amp;ADDRESS(MATCH(LEFT(AE79,9),MTR!C:C,0),COLUMN(J79)),TRUE) &amp; "")</f>
        <v>Complies</v>
      </c>
      <c r="AG79" s="157" t="str">
        <f t="shared" si="5"/>
        <v/>
      </c>
      <c r="AH79" s="170"/>
      <c r="AI79" s="152"/>
      <c r="AJ79" s="152"/>
      <c r="AK79" s="152"/>
      <c r="AL79" s="152"/>
      <c r="AM79" s="152"/>
      <c r="AN79" s="152"/>
      <c r="AO79" s="152"/>
      <c r="AP79" s="152"/>
      <c r="AQ79" s="152"/>
      <c r="AR79" s="152"/>
    </row>
    <row r="80" ht="12.75" customHeight="1">
      <c r="A80" s="244" t="s">
        <v>5158</v>
      </c>
      <c r="B80" s="244" t="s">
        <v>5725</v>
      </c>
      <c r="C80" s="244" t="s">
        <v>5983</v>
      </c>
      <c r="D80" s="154" t="s">
        <v>967</v>
      </c>
      <c r="E80" s="154"/>
      <c r="F80" s="154" t="str">
        <f t="array" ref="F80">XLOOKUP(Cover!$D$12,$P$1:$X$1,$P80:$X80)</f>
        <v>Information</v>
      </c>
      <c r="G80" s="154" t="s">
        <v>5984</v>
      </c>
      <c r="H80" s="154" t="s">
        <v>5980</v>
      </c>
      <c r="I80" s="154" t="s">
        <v>5981</v>
      </c>
      <c r="J80" s="154" t="s">
        <v>5982</v>
      </c>
      <c r="K80" s="154"/>
      <c r="L80" s="154" t="s">
        <v>759</v>
      </c>
      <c r="M80" s="247" t="s">
        <v>445</v>
      </c>
      <c r="N80" s="247" t="s">
        <v>5733</v>
      </c>
      <c r="O80" s="240" t="str">
        <f t="shared" si="1"/>
        <v/>
      </c>
      <c r="P80" s="154" t="s">
        <v>66</v>
      </c>
      <c r="Q80" s="154" t="s">
        <v>66</v>
      </c>
      <c r="R80" s="154" t="s">
        <v>66</v>
      </c>
      <c r="S80" s="154" t="s">
        <v>66</v>
      </c>
      <c r="T80" s="154" t="s">
        <v>66</v>
      </c>
      <c r="U80" s="154" t="s">
        <v>66</v>
      </c>
      <c r="V80" s="154" t="s">
        <v>66</v>
      </c>
      <c r="W80" s="154" t="s">
        <v>64</v>
      </c>
      <c r="X80" s="154" t="s">
        <v>66</v>
      </c>
      <c r="Y80" s="154"/>
      <c r="Z80" s="242" t="b">
        <f t="shared" si="2"/>
        <v>1</v>
      </c>
      <c r="AA80" s="154" t="s">
        <v>391</v>
      </c>
      <c r="AB80" s="242" t="b">
        <f t="shared" si="3"/>
        <v>0</v>
      </c>
      <c r="AC80" s="154"/>
      <c r="AD80" s="242" t="b">
        <f t="shared" si="4"/>
        <v>0</v>
      </c>
      <c r="AE80" s="154" t="s">
        <v>1006</v>
      </c>
      <c r="AF80" s="242" t="str">
        <f>IF(AE80="","N/A",INDIRECT("MTR!"&amp;ADDRESS(MATCH(LEFT(AE80,9),MTR!C:C,0),COLUMN(J80)),TRUE) &amp; "")</f>
        <v>Complies</v>
      </c>
      <c r="AG80" s="157" t="str">
        <f t="shared" si="5"/>
        <v/>
      </c>
      <c r="AH80" s="170"/>
      <c r="AI80" s="152"/>
      <c r="AJ80" s="152"/>
      <c r="AK80" s="152"/>
      <c r="AL80" s="152"/>
      <c r="AM80" s="152"/>
      <c r="AN80" s="152"/>
      <c r="AO80" s="152"/>
      <c r="AP80" s="152"/>
      <c r="AQ80" s="152"/>
      <c r="AR80" s="152"/>
    </row>
    <row r="81" ht="12.75" customHeight="1">
      <c r="A81" s="244" t="s">
        <v>5158</v>
      </c>
      <c r="B81" s="244" t="s">
        <v>5725</v>
      </c>
      <c r="C81" s="244" t="s">
        <v>5985</v>
      </c>
      <c r="D81" s="154" t="s">
        <v>462</v>
      </c>
      <c r="E81" s="154"/>
      <c r="F81" s="154" t="str">
        <f t="array" ref="F81">XLOOKUP(Cover!$D$12,$P$1:$X$1,$P81:$X81)</f>
        <v>Mandatory</v>
      </c>
      <c r="G81" s="154" t="s">
        <v>5986</v>
      </c>
      <c r="H81" s="154" t="s">
        <v>5987</v>
      </c>
      <c r="I81" s="154" t="s">
        <v>5988</v>
      </c>
      <c r="J81" s="154" t="s">
        <v>5948</v>
      </c>
      <c r="K81" s="154" t="s">
        <v>1005</v>
      </c>
      <c r="L81" s="154" t="s">
        <v>759</v>
      </c>
      <c r="M81" s="247" t="s">
        <v>445</v>
      </c>
      <c r="N81" s="247" t="s">
        <v>5733</v>
      </c>
      <c r="O81" s="240" t="str">
        <f t="shared" si="1"/>
        <v/>
      </c>
      <c r="P81" s="154" t="s">
        <v>66</v>
      </c>
      <c r="Q81" s="154" t="s">
        <v>66</v>
      </c>
      <c r="R81" s="154" t="s">
        <v>66</v>
      </c>
      <c r="S81" s="154" t="s">
        <v>60</v>
      </c>
      <c r="T81" s="154" t="s">
        <v>60</v>
      </c>
      <c r="U81" s="154" t="s">
        <v>60</v>
      </c>
      <c r="V81" s="154" t="s">
        <v>66</v>
      </c>
      <c r="W81" s="154" t="s">
        <v>66</v>
      </c>
      <c r="X81" s="154" t="s">
        <v>60</v>
      </c>
      <c r="Y81" s="154"/>
      <c r="Z81" s="242" t="b">
        <f t="shared" si="2"/>
        <v>1</v>
      </c>
      <c r="AA81" s="154" t="s">
        <v>391</v>
      </c>
      <c r="AB81" s="242" t="b">
        <f t="shared" si="3"/>
        <v>0</v>
      </c>
      <c r="AC81" s="154"/>
      <c r="AD81" s="242" t="b">
        <f t="shared" si="4"/>
        <v>0</v>
      </c>
      <c r="AE81" s="154" t="s">
        <v>1006</v>
      </c>
      <c r="AF81" s="242" t="str">
        <f>IF(AE81="","N/A",INDIRECT("MTR!"&amp;ADDRESS(MATCH(LEFT(AE81,9),MTR!C:C,0),COLUMN(J81)),TRUE) &amp; "")</f>
        <v>Complies</v>
      </c>
      <c r="AG81" s="157" t="str">
        <f t="shared" si="5"/>
        <v/>
      </c>
      <c r="AH81" s="170"/>
      <c r="AI81" s="152"/>
      <c r="AJ81" s="152"/>
      <c r="AK81" s="152"/>
      <c r="AL81" s="152"/>
      <c r="AM81" s="152"/>
      <c r="AN81" s="152"/>
      <c r="AO81" s="152"/>
      <c r="AP81" s="152"/>
      <c r="AQ81" s="152"/>
      <c r="AR81" s="152"/>
    </row>
    <row r="82" ht="12.75" customHeight="1">
      <c r="A82" s="244" t="s">
        <v>5158</v>
      </c>
      <c r="B82" s="244" t="s">
        <v>5725</v>
      </c>
      <c r="C82" s="244" t="s">
        <v>5989</v>
      </c>
      <c r="D82" s="154" t="s">
        <v>1120</v>
      </c>
      <c r="E82" s="154"/>
      <c r="F82" s="154" t="str">
        <f t="array" ref="F82">XLOOKUP(Cover!$D$12,$P$1:$X$1,$P82:$X82)</f>
        <v>Information</v>
      </c>
      <c r="G82" s="154" t="s">
        <v>5990</v>
      </c>
      <c r="H82" s="154" t="s">
        <v>5987</v>
      </c>
      <c r="I82" s="154" t="s">
        <v>5988</v>
      </c>
      <c r="J82" s="154" t="s">
        <v>5948</v>
      </c>
      <c r="K82" s="154"/>
      <c r="L82" s="154" t="s">
        <v>759</v>
      </c>
      <c r="M82" s="247" t="s">
        <v>445</v>
      </c>
      <c r="N82" s="247" t="s">
        <v>5733</v>
      </c>
      <c r="O82" s="240" t="str">
        <f t="shared" si="1"/>
        <v/>
      </c>
      <c r="P82" s="154" t="s">
        <v>66</v>
      </c>
      <c r="Q82" s="154" t="s">
        <v>66</v>
      </c>
      <c r="R82" s="154" t="s">
        <v>66</v>
      </c>
      <c r="S82" s="154" t="s">
        <v>66</v>
      </c>
      <c r="T82" s="154" t="s">
        <v>66</v>
      </c>
      <c r="U82" s="154" t="s">
        <v>66</v>
      </c>
      <c r="V82" s="154" t="s">
        <v>66</v>
      </c>
      <c r="W82" s="154" t="s">
        <v>64</v>
      </c>
      <c r="X82" s="154" t="s">
        <v>66</v>
      </c>
      <c r="Y82" s="154"/>
      <c r="Z82" s="242" t="b">
        <f t="shared" si="2"/>
        <v>1</v>
      </c>
      <c r="AA82" s="154" t="s">
        <v>391</v>
      </c>
      <c r="AB82" s="242" t="b">
        <f t="shared" si="3"/>
        <v>0</v>
      </c>
      <c r="AC82" s="154"/>
      <c r="AD82" s="242" t="b">
        <f t="shared" si="4"/>
        <v>0</v>
      </c>
      <c r="AE82" s="154" t="s">
        <v>1006</v>
      </c>
      <c r="AF82" s="242" t="str">
        <f>IF(AE82="","N/A",INDIRECT("MTR!"&amp;ADDRESS(MATCH(LEFT(AE82,9),MTR!C:C,0),COLUMN(J82)),TRUE) &amp; "")</f>
        <v>Complies</v>
      </c>
      <c r="AG82" s="157" t="str">
        <f t="shared" si="5"/>
        <v/>
      </c>
      <c r="AH82" s="170"/>
      <c r="AI82" s="152"/>
      <c r="AJ82" s="152"/>
      <c r="AK82" s="152"/>
      <c r="AL82" s="152"/>
      <c r="AM82" s="152"/>
      <c r="AN82" s="152"/>
      <c r="AO82" s="152"/>
      <c r="AP82" s="152"/>
      <c r="AQ82" s="152"/>
      <c r="AR82" s="152"/>
    </row>
    <row r="83" ht="12.75" customHeight="1">
      <c r="A83" s="244" t="s">
        <v>5158</v>
      </c>
      <c r="B83" s="244" t="s">
        <v>5725</v>
      </c>
      <c r="C83" s="244" t="s">
        <v>5991</v>
      </c>
      <c r="D83" s="154" t="s">
        <v>581</v>
      </c>
      <c r="E83" s="154"/>
      <c r="F83" s="154" t="str">
        <f t="array" ref="F83">XLOOKUP(Cover!$D$12,$P$1:$X$1,$P83:$X83)</f>
        <v>Mandatory</v>
      </c>
      <c r="G83" s="154" t="s">
        <v>5992</v>
      </c>
      <c r="H83" s="154" t="s">
        <v>5993</v>
      </c>
      <c r="I83" s="154" t="s">
        <v>5994</v>
      </c>
      <c r="J83" s="154" t="s">
        <v>5948</v>
      </c>
      <c r="K83" s="154" t="s">
        <v>1005</v>
      </c>
      <c r="L83" s="154" t="s">
        <v>759</v>
      </c>
      <c r="M83" s="247" t="s">
        <v>445</v>
      </c>
      <c r="N83" s="247" t="s">
        <v>5733</v>
      </c>
      <c r="O83" s="240" t="str">
        <f t="shared" si="1"/>
        <v/>
      </c>
      <c r="P83" s="154" t="s">
        <v>66</v>
      </c>
      <c r="Q83" s="154" t="s">
        <v>66</v>
      </c>
      <c r="R83" s="154" t="s">
        <v>66</v>
      </c>
      <c r="S83" s="154" t="s">
        <v>60</v>
      </c>
      <c r="T83" s="154" t="s">
        <v>60</v>
      </c>
      <c r="U83" s="154" t="s">
        <v>60</v>
      </c>
      <c r="V83" s="154" t="s">
        <v>66</v>
      </c>
      <c r="W83" s="154" t="s">
        <v>66</v>
      </c>
      <c r="X83" s="154" t="s">
        <v>60</v>
      </c>
      <c r="Y83" s="154"/>
      <c r="Z83" s="242" t="b">
        <f t="shared" si="2"/>
        <v>1</v>
      </c>
      <c r="AA83" s="154" t="s">
        <v>391</v>
      </c>
      <c r="AB83" s="242" t="b">
        <f t="shared" si="3"/>
        <v>0</v>
      </c>
      <c r="AC83" s="154"/>
      <c r="AD83" s="242" t="b">
        <f t="shared" si="4"/>
        <v>0</v>
      </c>
      <c r="AE83" s="154" t="s">
        <v>1006</v>
      </c>
      <c r="AF83" s="242" t="str">
        <f>IF(AE83="","N/A",INDIRECT("MTR!"&amp;ADDRESS(MATCH(LEFT(AE83,9),MTR!C:C,0),COLUMN(J83)),TRUE) &amp; "")</f>
        <v>Complies</v>
      </c>
      <c r="AG83" s="157" t="str">
        <f t="shared" si="5"/>
        <v/>
      </c>
      <c r="AH83" s="170"/>
      <c r="AI83" s="152"/>
      <c r="AJ83" s="152"/>
      <c r="AK83" s="152"/>
      <c r="AL83" s="152"/>
      <c r="AM83" s="152"/>
      <c r="AN83" s="152"/>
      <c r="AO83" s="152"/>
      <c r="AP83" s="152"/>
      <c r="AQ83" s="152"/>
      <c r="AR83" s="152"/>
    </row>
    <row r="84" ht="12.75" customHeight="1">
      <c r="A84" s="244" t="s">
        <v>5158</v>
      </c>
      <c r="B84" s="244" t="s">
        <v>5725</v>
      </c>
      <c r="C84" s="244" t="s">
        <v>5995</v>
      </c>
      <c r="D84" s="154" t="s">
        <v>1120</v>
      </c>
      <c r="E84" s="154"/>
      <c r="F84" s="154" t="str">
        <f t="array" ref="F84">XLOOKUP(Cover!$D$12,$P$1:$X$1,$P84:$X84)</f>
        <v>Information</v>
      </c>
      <c r="G84" s="154" t="s">
        <v>5996</v>
      </c>
      <c r="H84" s="154" t="s">
        <v>5993</v>
      </c>
      <c r="I84" s="154" t="s">
        <v>5994</v>
      </c>
      <c r="J84" s="154" t="s">
        <v>5948</v>
      </c>
      <c r="K84" s="154"/>
      <c r="L84" s="154" t="s">
        <v>759</v>
      </c>
      <c r="M84" s="247" t="s">
        <v>445</v>
      </c>
      <c r="N84" s="247" t="s">
        <v>5733</v>
      </c>
      <c r="O84" s="240" t="str">
        <f t="shared" si="1"/>
        <v/>
      </c>
      <c r="P84" s="154" t="s">
        <v>66</v>
      </c>
      <c r="Q84" s="154" t="s">
        <v>66</v>
      </c>
      <c r="R84" s="154" t="s">
        <v>66</v>
      </c>
      <c r="S84" s="154" t="s">
        <v>66</v>
      </c>
      <c r="T84" s="154" t="s">
        <v>66</v>
      </c>
      <c r="U84" s="154" t="s">
        <v>66</v>
      </c>
      <c r="V84" s="154" t="s">
        <v>66</v>
      </c>
      <c r="W84" s="154" t="s">
        <v>64</v>
      </c>
      <c r="X84" s="154" t="s">
        <v>66</v>
      </c>
      <c r="Y84" s="154"/>
      <c r="Z84" s="242" t="b">
        <f t="shared" si="2"/>
        <v>1</v>
      </c>
      <c r="AA84" s="154" t="s">
        <v>391</v>
      </c>
      <c r="AB84" s="242" t="b">
        <f t="shared" si="3"/>
        <v>0</v>
      </c>
      <c r="AC84" s="154"/>
      <c r="AD84" s="242" t="b">
        <f t="shared" si="4"/>
        <v>0</v>
      </c>
      <c r="AE84" s="154" t="s">
        <v>1006</v>
      </c>
      <c r="AF84" s="242" t="str">
        <f>IF(AE84="","N/A",INDIRECT("MTR!"&amp;ADDRESS(MATCH(LEFT(AE84,9),MTR!C:C,0),COLUMN(J84)),TRUE) &amp; "")</f>
        <v>Complies</v>
      </c>
      <c r="AG84" s="157" t="str">
        <f t="shared" si="5"/>
        <v/>
      </c>
      <c r="AH84" s="170"/>
      <c r="AI84" s="152"/>
      <c r="AJ84" s="152"/>
      <c r="AK84" s="152"/>
      <c r="AL84" s="152"/>
      <c r="AM84" s="152"/>
      <c r="AN84" s="152"/>
      <c r="AO84" s="152"/>
      <c r="AP84" s="152"/>
      <c r="AQ84" s="152"/>
      <c r="AR84" s="152"/>
    </row>
    <row r="85" ht="12.75" customHeight="1">
      <c r="A85" s="244" t="s">
        <v>5158</v>
      </c>
      <c r="B85" s="244" t="s">
        <v>5725</v>
      </c>
      <c r="C85" s="244" t="s">
        <v>5997</v>
      </c>
      <c r="D85" s="154" t="s">
        <v>1120</v>
      </c>
      <c r="E85" s="154"/>
      <c r="F85" s="154" t="str">
        <f t="array" ref="F85">XLOOKUP(Cover!$D$12,$P$1:$X$1,$P85:$X85)</f>
        <v>Information</v>
      </c>
      <c r="G85" s="154" t="s">
        <v>5998</v>
      </c>
      <c r="H85" s="154" t="s">
        <v>5993</v>
      </c>
      <c r="I85" s="154" t="s">
        <v>5994</v>
      </c>
      <c r="J85" s="154" t="s">
        <v>5948</v>
      </c>
      <c r="K85" s="154"/>
      <c r="L85" s="154" t="s">
        <v>759</v>
      </c>
      <c r="M85" s="247" t="s">
        <v>445</v>
      </c>
      <c r="N85" s="247" t="s">
        <v>5733</v>
      </c>
      <c r="O85" s="240" t="str">
        <f t="shared" si="1"/>
        <v/>
      </c>
      <c r="P85" s="154" t="s">
        <v>66</v>
      </c>
      <c r="Q85" s="154" t="s">
        <v>66</v>
      </c>
      <c r="R85" s="154" t="s">
        <v>66</v>
      </c>
      <c r="S85" s="154" t="s">
        <v>66</v>
      </c>
      <c r="T85" s="154" t="s">
        <v>66</v>
      </c>
      <c r="U85" s="154" t="s">
        <v>66</v>
      </c>
      <c r="V85" s="154" t="s">
        <v>66</v>
      </c>
      <c r="W85" s="154" t="s">
        <v>64</v>
      </c>
      <c r="X85" s="154" t="s">
        <v>66</v>
      </c>
      <c r="Y85" s="154"/>
      <c r="Z85" s="242" t="b">
        <f t="shared" si="2"/>
        <v>1</v>
      </c>
      <c r="AA85" s="154" t="s">
        <v>391</v>
      </c>
      <c r="AB85" s="242" t="b">
        <f t="shared" si="3"/>
        <v>0</v>
      </c>
      <c r="AC85" s="154"/>
      <c r="AD85" s="242" t="b">
        <f t="shared" si="4"/>
        <v>0</v>
      </c>
      <c r="AE85" s="154" t="s">
        <v>1006</v>
      </c>
      <c r="AF85" s="242" t="str">
        <f>IF(AE85="","N/A",INDIRECT("MTR!"&amp;ADDRESS(MATCH(LEFT(AE85,9),MTR!C:C,0),COLUMN(J85)),TRUE) &amp; "")</f>
        <v>Complies</v>
      </c>
      <c r="AG85" s="157" t="str">
        <f t="shared" si="5"/>
        <v/>
      </c>
      <c r="AH85" s="170"/>
      <c r="AI85" s="152"/>
      <c r="AJ85" s="152"/>
      <c r="AK85" s="152"/>
      <c r="AL85" s="152"/>
      <c r="AM85" s="152"/>
      <c r="AN85" s="152"/>
      <c r="AO85" s="152"/>
      <c r="AP85" s="152"/>
      <c r="AQ85" s="152"/>
      <c r="AR85" s="152"/>
    </row>
    <row r="86" ht="12.75" customHeight="1">
      <c r="A86" s="244" t="s">
        <v>5158</v>
      </c>
      <c r="B86" s="244" t="s">
        <v>5725</v>
      </c>
      <c r="C86" s="244" t="s">
        <v>5999</v>
      </c>
      <c r="D86" s="154" t="s">
        <v>462</v>
      </c>
      <c r="E86" s="154"/>
      <c r="F86" s="154" t="str">
        <f t="array" ref="F86">XLOOKUP(Cover!$D$12,$P$1:$X$1,$P86:$X86)</f>
        <v>Information</v>
      </c>
      <c r="G86" s="154" t="s">
        <v>6000</v>
      </c>
      <c r="H86" s="154" t="s">
        <v>6001</v>
      </c>
      <c r="I86" s="154" t="s">
        <v>6002</v>
      </c>
      <c r="J86" s="154" t="s">
        <v>5969</v>
      </c>
      <c r="K86" s="154"/>
      <c r="L86" s="154" t="s">
        <v>759</v>
      </c>
      <c r="M86" s="247" t="s">
        <v>445</v>
      </c>
      <c r="N86" s="247" t="s">
        <v>5733</v>
      </c>
      <c r="O86" s="240" t="str">
        <f t="shared" si="1"/>
        <v/>
      </c>
      <c r="P86" s="154" t="s">
        <v>66</v>
      </c>
      <c r="Q86" s="154" t="s">
        <v>66</v>
      </c>
      <c r="R86" s="154" t="s">
        <v>66</v>
      </c>
      <c r="S86" s="154" t="s">
        <v>66</v>
      </c>
      <c r="T86" s="154" t="s">
        <v>66</v>
      </c>
      <c r="U86" s="154" t="s">
        <v>66</v>
      </c>
      <c r="V86" s="154" t="s">
        <v>66</v>
      </c>
      <c r="W86" s="154" t="s">
        <v>64</v>
      </c>
      <c r="X86" s="154" t="s">
        <v>66</v>
      </c>
      <c r="Y86" s="154"/>
      <c r="Z86" s="242" t="b">
        <f t="shared" si="2"/>
        <v>1</v>
      </c>
      <c r="AA86" s="154" t="s">
        <v>391</v>
      </c>
      <c r="AB86" s="242" t="b">
        <f t="shared" si="3"/>
        <v>0</v>
      </c>
      <c r="AC86" s="154"/>
      <c r="AD86" s="242" t="b">
        <f t="shared" si="4"/>
        <v>0</v>
      </c>
      <c r="AE86" s="154" t="s">
        <v>1006</v>
      </c>
      <c r="AF86" s="242" t="str">
        <f>IF(AE86="","N/A",INDIRECT("MTR!"&amp;ADDRESS(MATCH(LEFT(AE86,9),MTR!C:C,0),COLUMN(J86)),TRUE) &amp; "")</f>
        <v>Complies</v>
      </c>
      <c r="AG86" s="157" t="str">
        <f t="shared" si="5"/>
        <v/>
      </c>
      <c r="AH86" s="170"/>
      <c r="AI86" s="152"/>
      <c r="AJ86" s="152"/>
      <c r="AK86" s="152"/>
      <c r="AL86" s="152"/>
      <c r="AM86" s="152"/>
      <c r="AN86" s="152"/>
      <c r="AO86" s="152"/>
      <c r="AP86" s="152"/>
      <c r="AQ86" s="152"/>
      <c r="AR86" s="152"/>
    </row>
    <row r="87" ht="12.75" customHeight="1">
      <c r="A87" s="244" t="s">
        <v>5158</v>
      </c>
      <c r="B87" s="244" t="s">
        <v>5725</v>
      </c>
      <c r="C87" s="244" t="s">
        <v>6003</v>
      </c>
      <c r="D87" s="154" t="s">
        <v>492</v>
      </c>
      <c r="E87" s="154"/>
      <c r="F87" s="154" t="str">
        <f t="array" ref="F87">XLOOKUP(Cover!$D$12,$P$1:$X$1,$P87:$X87)</f>
        <v>Information</v>
      </c>
      <c r="G87" s="154" t="s">
        <v>6004</v>
      </c>
      <c r="H87" s="154" t="s">
        <v>6001</v>
      </c>
      <c r="I87" s="154" t="s">
        <v>6002</v>
      </c>
      <c r="J87" s="154" t="s">
        <v>5969</v>
      </c>
      <c r="K87" s="154"/>
      <c r="L87" s="154" t="s">
        <v>759</v>
      </c>
      <c r="M87" s="247" t="s">
        <v>445</v>
      </c>
      <c r="N87" s="247" t="s">
        <v>5733</v>
      </c>
      <c r="O87" s="240" t="str">
        <f t="shared" si="1"/>
        <v/>
      </c>
      <c r="P87" s="154" t="s">
        <v>66</v>
      </c>
      <c r="Q87" s="154" t="s">
        <v>66</v>
      </c>
      <c r="R87" s="154" t="s">
        <v>66</v>
      </c>
      <c r="S87" s="154" t="s">
        <v>66</v>
      </c>
      <c r="T87" s="154" t="s">
        <v>66</v>
      </c>
      <c r="U87" s="154" t="s">
        <v>66</v>
      </c>
      <c r="V87" s="154" t="s">
        <v>66</v>
      </c>
      <c r="W87" s="154" t="s">
        <v>64</v>
      </c>
      <c r="X87" s="154" t="s">
        <v>66</v>
      </c>
      <c r="Y87" s="154"/>
      <c r="Z87" s="242" t="b">
        <f t="shared" si="2"/>
        <v>1</v>
      </c>
      <c r="AA87" s="154" t="s">
        <v>391</v>
      </c>
      <c r="AB87" s="242" t="b">
        <f t="shared" si="3"/>
        <v>0</v>
      </c>
      <c r="AC87" s="154"/>
      <c r="AD87" s="242" t="b">
        <f t="shared" si="4"/>
        <v>0</v>
      </c>
      <c r="AE87" s="154" t="s">
        <v>1006</v>
      </c>
      <c r="AF87" s="242" t="str">
        <f>IF(AE87="","N/A",INDIRECT("MTR!"&amp;ADDRESS(MATCH(LEFT(AE87,9),MTR!C:C,0),COLUMN(J87)),TRUE) &amp; "")</f>
        <v>Complies</v>
      </c>
      <c r="AG87" s="157" t="str">
        <f t="shared" si="5"/>
        <v/>
      </c>
      <c r="AH87" s="170"/>
      <c r="AI87" s="152"/>
      <c r="AJ87" s="152"/>
      <c r="AK87" s="152"/>
      <c r="AL87" s="152"/>
      <c r="AM87" s="152"/>
      <c r="AN87" s="152"/>
      <c r="AO87" s="152"/>
      <c r="AP87" s="152"/>
      <c r="AQ87" s="152"/>
      <c r="AR87" s="152"/>
    </row>
    <row r="88" ht="12.75" customHeight="1">
      <c r="A88" s="244" t="s">
        <v>5158</v>
      </c>
      <c r="B88" s="244" t="s">
        <v>5725</v>
      </c>
      <c r="C88" s="244" t="s">
        <v>6005</v>
      </c>
      <c r="D88" s="154" t="s">
        <v>1120</v>
      </c>
      <c r="E88" s="154"/>
      <c r="F88" s="154" t="str">
        <f t="array" ref="F88">XLOOKUP(Cover!$D$12,$P$1:$X$1,$P88:$X88)</f>
        <v>Mandatory</v>
      </c>
      <c r="G88" s="154" t="s">
        <v>6006</v>
      </c>
      <c r="H88" s="154" t="s">
        <v>6001</v>
      </c>
      <c r="I88" s="154" t="s">
        <v>6002</v>
      </c>
      <c r="J88" s="154" t="s">
        <v>5969</v>
      </c>
      <c r="K88" s="154" t="s">
        <v>1005</v>
      </c>
      <c r="L88" s="154" t="s">
        <v>759</v>
      </c>
      <c r="M88" s="247" t="s">
        <v>445</v>
      </c>
      <c r="N88" s="247" t="s">
        <v>5733</v>
      </c>
      <c r="O88" s="240" t="str">
        <f t="shared" si="1"/>
        <v/>
      </c>
      <c r="P88" s="154" t="s">
        <v>66</v>
      </c>
      <c r="Q88" s="154" t="s">
        <v>66</v>
      </c>
      <c r="R88" s="154" t="s">
        <v>66</v>
      </c>
      <c r="S88" s="154" t="s">
        <v>60</v>
      </c>
      <c r="T88" s="154" t="s">
        <v>60</v>
      </c>
      <c r="U88" s="154" t="s">
        <v>60</v>
      </c>
      <c r="V88" s="154" t="s">
        <v>66</v>
      </c>
      <c r="W88" s="154" t="s">
        <v>66</v>
      </c>
      <c r="X88" s="154" t="s">
        <v>60</v>
      </c>
      <c r="Y88" s="154"/>
      <c r="Z88" s="242" t="b">
        <f t="shared" si="2"/>
        <v>1</v>
      </c>
      <c r="AA88" s="154" t="s">
        <v>391</v>
      </c>
      <c r="AB88" s="242" t="b">
        <f t="shared" si="3"/>
        <v>0</v>
      </c>
      <c r="AC88" s="154"/>
      <c r="AD88" s="242" t="b">
        <f t="shared" si="4"/>
        <v>0</v>
      </c>
      <c r="AE88" s="154" t="s">
        <v>1006</v>
      </c>
      <c r="AF88" s="242" t="str">
        <f>IF(AE88="","N/A",INDIRECT("MTR!"&amp;ADDRESS(MATCH(LEFT(AE88,9),MTR!C:C,0),COLUMN(J88)),TRUE) &amp; "")</f>
        <v>Complies</v>
      </c>
      <c r="AG88" s="157" t="str">
        <f t="shared" si="5"/>
        <v/>
      </c>
      <c r="AH88" s="170"/>
      <c r="AI88" s="152"/>
      <c r="AJ88" s="152"/>
      <c r="AK88" s="152"/>
      <c r="AL88" s="152"/>
      <c r="AM88" s="152"/>
      <c r="AN88" s="152"/>
      <c r="AO88" s="152"/>
      <c r="AP88" s="152"/>
      <c r="AQ88" s="152"/>
      <c r="AR88" s="152"/>
    </row>
    <row r="89" ht="12.75" customHeight="1">
      <c r="A89" s="244" t="s">
        <v>5158</v>
      </c>
      <c r="B89" s="244" t="s">
        <v>5725</v>
      </c>
      <c r="C89" s="244" t="s">
        <v>6007</v>
      </c>
      <c r="D89" s="154" t="s">
        <v>411</v>
      </c>
      <c r="E89" s="154"/>
      <c r="F89" s="154" t="str">
        <f t="array" ref="F89">XLOOKUP(Cover!$D$12,$P$1:$X$1,$P89:$X89)</f>
        <v>Mandatory</v>
      </c>
      <c r="G89" s="154" t="s">
        <v>6008</v>
      </c>
      <c r="H89" s="154" t="s">
        <v>5751</v>
      </c>
      <c r="I89" s="154" t="s">
        <v>6009</v>
      </c>
      <c r="J89" s="154" t="s">
        <v>5779</v>
      </c>
      <c r="K89" s="154" t="s">
        <v>1012</v>
      </c>
      <c r="L89" s="154" t="s">
        <v>759</v>
      </c>
      <c r="M89" s="247" t="s">
        <v>445</v>
      </c>
      <c r="N89" s="247" t="s">
        <v>5733</v>
      </c>
      <c r="O89" s="240" t="str">
        <f t="shared" si="1"/>
        <v/>
      </c>
      <c r="P89" s="154" t="s">
        <v>66</v>
      </c>
      <c r="Q89" s="154" t="s">
        <v>66</v>
      </c>
      <c r="R89" s="154" t="s">
        <v>66</v>
      </c>
      <c r="S89" s="154" t="s">
        <v>60</v>
      </c>
      <c r="T89" s="154" t="s">
        <v>60</v>
      </c>
      <c r="U89" s="154" t="s">
        <v>60</v>
      </c>
      <c r="V89" s="154" t="s">
        <v>66</v>
      </c>
      <c r="W89" s="154" t="s">
        <v>66</v>
      </c>
      <c r="X89" s="154" t="s">
        <v>60</v>
      </c>
      <c r="Y89" s="154"/>
      <c r="Z89" s="242" t="b">
        <f t="shared" si="2"/>
        <v>1</v>
      </c>
      <c r="AA89" s="154" t="s">
        <v>391</v>
      </c>
      <c r="AB89" s="242" t="b">
        <f t="shared" si="3"/>
        <v>0</v>
      </c>
      <c r="AC89" s="154"/>
      <c r="AD89" s="242" t="b">
        <f t="shared" si="4"/>
        <v>0</v>
      </c>
      <c r="AE89" s="154" t="s">
        <v>1006</v>
      </c>
      <c r="AF89" s="242" t="str">
        <f>IF(AE89="","N/A",INDIRECT("MTR!"&amp;ADDRESS(MATCH(LEFT(AE89,9),MTR!C:C,0),COLUMN(J89)),TRUE) &amp; "")</f>
        <v>Complies</v>
      </c>
      <c r="AG89" s="157" t="str">
        <f t="shared" si="5"/>
        <v/>
      </c>
      <c r="AH89" s="170"/>
      <c r="AI89" s="152"/>
      <c r="AJ89" s="152"/>
      <c r="AK89" s="152"/>
      <c r="AL89" s="152"/>
      <c r="AM89" s="152"/>
      <c r="AN89" s="152"/>
      <c r="AO89" s="152"/>
      <c r="AP89" s="152"/>
      <c r="AQ89" s="152"/>
      <c r="AR89" s="152"/>
    </row>
    <row r="90" ht="12.75" customHeight="1">
      <c r="A90" s="244" t="s">
        <v>5158</v>
      </c>
      <c r="B90" s="244" t="s">
        <v>5725</v>
      </c>
      <c r="C90" s="244" t="s">
        <v>6010</v>
      </c>
      <c r="D90" s="154" t="s">
        <v>1120</v>
      </c>
      <c r="E90" s="154"/>
      <c r="F90" s="154" t="str">
        <f t="array" ref="F90">XLOOKUP(Cover!$D$12,$P$1:$X$1,$P90:$X90)</f>
        <v>Recommended</v>
      </c>
      <c r="G90" s="154" t="s">
        <v>6011</v>
      </c>
      <c r="H90" s="154" t="s">
        <v>6012</v>
      </c>
      <c r="I90" s="154" t="s">
        <v>6013</v>
      </c>
      <c r="J90" s="154" t="s">
        <v>5732</v>
      </c>
      <c r="K90" s="154" t="s">
        <v>241</v>
      </c>
      <c r="L90" s="154" t="s">
        <v>759</v>
      </c>
      <c r="M90" s="247" t="s">
        <v>516</v>
      </c>
      <c r="N90" s="247" t="s">
        <v>5876</v>
      </c>
      <c r="O90" s="240" t="str">
        <f t="shared" si="1"/>
        <v/>
      </c>
      <c r="P90" s="154" t="s">
        <v>66</v>
      </c>
      <c r="Q90" s="154" t="s">
        <v>66</v>
      </c>
      <c r="R90" s="154" t="s">
        <v>66</v>
      </c>
      <c r="S90" s="155" t="s">
        <v>64</v>
      </c>
      <c r="T90" s="155" t="s">
        <v>64</v>
      </c>
      <c r="U90" s="155" t="s">
        <v>64</v>
      </c>
      <c r="V90" s="154" t="s">
        <v>66</v>
      </c>
      <c r="W90" s="154" t="s">
        <v>66</v>
      </c>
      <c r="X90" s="155" t="s">
        <v>64</v>
      </c>
      <c r="Y90" s="154"/>
      <c r="Z90" s="242" t="b">
        <f t="shared" si="2"/>
        <v>1</v>
      </c>
      <c r="AA90" s="154" t="s">
        <v>391</v>
      </c>
      <c r="AB90" s="242" t="b">
        <f t="shared" si="3"/>
        <v>0</v>
      </c>
      <c r="AC90" s="154"/>
      <c r="AD90" s="242" t="b">
        <f t="shared" si="4"/>
        <v>0</v>
      </c>
      <c r="AE90" s="154" t="s">
        <v>1006</v>
      </c>
      <c r="AF90" s="242" t="str">
        <f>IF(AE90="","N/A",INDIRECT("MTR!"&amp;ADDRESS(MATCH(LEFT(AE90,9),MTR!C:C,0),COLUMN(J90)),TRUE) &amp; "")</f>
        <v>Complies</v>
      </c>
      <c r="AG90" s="157" t="str">
        <f t="shared" si="5"/>
        <v/>
      </c>
      <c r="AH90" s="170"/>
      <c r="AI90" s="152"/>
      <c r="AJ90" s="152"/>
      <c r="AK90" s="152"/>
      <c r="AL90" s="152"/>
      <c r="AM90" s="152"/>
      <c r="AN90" s="152"/>
      <c r="AO90" s="152"/>
      <c r="AP90" s="152"/>
      <c r="AQ90" s="152"/>
      <c r="AR90" s="152"/>
    </row>
    <row r="91" ht="12.75" customHeight="1">
      <c r="A91" s="244" t="s">
        <v>5158</v>
      </c>
      <c r="B91" s="244" t="s">
        <v>5725</v>
      </c>
      <c r="C91" s="244" t="s">
        <v>6014</v>
      </c>
      <c r="D91" s="154" t="s">
        <v>492</v>
      </c>
      <c r="E91" s="154"/>
      <c r="F91" s="154" t="str">
        <f t="array" ref="F91">XLOOKUP(Cover!$D$12,$P$1:$X$1,$P91:$X91)</f>
        <v>Information</v>
      </c>
      <c r="G91" s="154" t="s">
        <v>6015</v>
      </c>
      <c r="H91" s="154" t="s">
        <v>6016</v>
      </c>
      <c r="I91" s="154" t="s">
        <v>6017</v>
      </c>
      <c r="J91" s="154" t="s">
        <v>5827</v>
      </c>
      <c r="K91" s="154"/>
      <c r="L91" s="154" t="s">
        <v>759</v>
      </c>
      <c r="M91" s="247" t="s">
        <v>516</v>
      </c>
      <c r="N91" s="247" t="s">
        <v>5876</v>
      </c>
      <c r="O91" s="240" t="str">
        <f t="shared" si="1"/>
        <v/>
      </c>
      <c r="P91" s="154" t="s">
        <v>66</v>
      </c>
      <c r="Q91" s="154" t="s">
        <v>66</v>
      </c>
      <c r="R91" s="154" t="s">
        <v>66</v>
      </c>
      <c r="S91" s="154" t="s">
        <v>66</v>
      </c>
      <c r="T91" s="154" t="s">
        <v>66</v>
      </c>
      <c r="U91" s="154" t="s">
        <v>66</v>
      </c>
      <c r="V91" s="154" t="s">
        <v>66</v>
      </c>
      <c r="W91" s="154" t="s">
        <v>64</v>
      </c>
      <c r="X91" s="154" t="s">
        <v>66</v>
      </c>
      <c r="Y91" s="154"/>
      <c r="Z91" s="242" t="b">
        <f t="shared" si="2"/>
        <v>1</v>
      </c>
      <c r="AA91" s="154" t="s">
        <v>391</v>
      </c>
      <c r="AB91" s="242" t="b">
        <f t="shared" si="3"/>
        <v>0</v>
      </c>
      <c r="AC91" s="154"/>
      <c r="AD91" s="242" t="b">
        <f t="shared" si="4"/>
        <v>0</v>
      </c>
      <c r="AE91" s="154" t="s">
        <v>1006</v>
      </c>
      <c r="AF91" s="242" t="str">
        <f>IF(AE91="","N/A",INDIRECT("MTR!"&amp;ADDRESS(MATCH(LEFT(AE91,9),MTR!C:C,0),COLUMN(J91)),TRUE) &amp; "")</f>
        <v>Complies</v>
      </c>
      <c r="AG91" s="157" t="str">
        <f t="shared" si="5"/>
        <v/>
      </c>
      <c r="AH91" s="170"/>
      <c r="AI91" s="152"/>
      <c r="AJ91" s="152"/>
      <c r="AK91" s="152"/>
      <c r="AL91" s="152"/>
      <c r="AM91" s="152"/>
      <c r="AN91" s="152"/>
      <c r="AO91" s="152"/>
      <c r="AP91" s="152"/>
      <c r="AQ91" s="152"/>
      <c r="AR91" s="152"/>
    </row>
    <row r="92" ht="12.75" customHeight="1">
      <c r="A92" s="244" t="s">
        <v>5158</v>
      </c>
      <c r="B92" s="244" t="s">
        <v>5725</v>
      </c>
      <c r="C92" s="244" t="s">
        <v>6018</v>
      </c>
      <c r="D92" s="154" t="s">
        <v>1315</v>
      </c>
      <c r="E92" s="154"/>
      <c r="F92" s="154" t="str">
        <f t="array" ref="F92">XLOOKUP(Cover!$D$12,$P$1:$X$1,$P92:$X92)</f>
        <v>Mandatory</v>
      </c>
      <c r="G92" s="154" t="s">
        <v>6019</v>
      </c>
      <c r="H92" s="154" t="s">
        <v>6020</v>
      </c>
      <c r="I92" s="154" t="s">
        <v>6021</v>
      </c>
      <c r="J92" s="154" t="s">
        <v>6022</v>
      </c>
      <c r="K92" s="154" t="s">
        <v>1012</v>
      </c>
      <c r="L92" s="154" t="s">
        <v>759</v>
      </c>
      <c r="M92" s="247" t="s">
        <v>445</v>
      </c>
      <c r="N92" s="247" t="s">
        <v>5733</v>
      </c>
      <c r="O92" s="240" t="str">
        <f t="shared" si="1"/>
        <v/>
      </c>
      <c r="P92" s="154" t="s">
        <v>66</v>
      </c>
      <c r="Q92" s="154" t="s">
        <v>66</v>
      </c>
      <c r="R92" s="154" t="s">
        <v>66</v>
      </c>
      <c r="S92" s="154" t="s">
        <v>60</v>
      </c>
      <c r="T92" s="154" t="s">
        <v>60</v>
      </c>
      <c r="U92" s="154" t="s">
        <v>60</v>
      </c>
      <c r="V92" s="154" t="s">
        <v>66</v>
      </c>
      <c r="W92" s="154" t="s">
        <v>66</v>
      </c>
      <c r="X92" s="154" t="s">
        <v>60</v>
      </c>
      <c r="Y92" s="154"/>
      <c r="Z92" s="242" t="b">
        <f t="shared" si="2"/>
        <v>1</v>
      </c>
      <c r="AA92" s="154" t="s">
        <v>391</v>
      </c>
      <c r="AB92" s="242" t="b">
        <f t="shared" si="3"/>
        <v>0</v>
      </c>
      <c r="AC92" s="154"/>
      <c r="AD92" s="242" t="b">
        <f t="shared" si="4"/>
        <v>0</v>
      </c>
      <c r="AE92" s="154" t="s">
        <v>1006</v>
      </c>
      <c r="AF92" s="242" t="str">
        <f>IF(AE92="","N/A",INDIRECT("MTR!"&amp;ADDRESS(MATCH(LEFT(AE92,9),MTR!C:C,0),COLUMN(J92)),TRUE) &amp; "")</f>
        <v>Complies</v>
      </c>
      <c r="AG92" s="157" t="str">
        <f t="shared" si="5"/>
        <v/>
      </c>
      <c r="AH92" s="170"/>
      <c r="AI92" s="152"/>
      <c r="AJ92" s="152"/>
      <c r="AK92" s="152"/>
      <c r="AL92" s="152"/>
      <c r="AM92" s="152"/>
      <c r="AN92" s="152"/>
      <c r="AO92" s="152"/>
      <c r="AP92" s="152"/>
      <c r="AQ92" s="152"/>
      <c r="AR92" s="152"/>
    </row>
    <row r="93" ht="12.75" customHeight="1">
      <c r="A93" s="244" t="s">
        <v>5158</v>
      </c>
      <c r="B93" s="244" t="s">
        <v>5725</v>
      </c>
      <c r="C93" s="245" t="s">
        <v>6023</v>
      </c>
      <c r="D93" s="155" t="s">
        <v>1120</v>
      </c>
      <c r="E93" s="154" t="s">
        <v>92</v>
      </c>
      <c r="F93" s="154" t="str">
        <f t="array" ref="F93">XLOOKUP(Cover!$D$12,$P$1:$X$1,$P93:$X93)</f>
        <v>Recommended</v>
      </c>
      <c r="G93" s="154" t="s">
        <v>6024</v>
      </c>
      <c r="H93" s="154" t="s">
        <v>6025</v>
      </c>
      <c r="I93" s="154" t="s">
        <v>6026</v>
      </c>
      <c r="J93" s="154" t="s">
        <v>6027</v>
      </c>
      <c r="K93" s="154"/>
      <c r="L93" s="154" t="s">
        <v>759</v>
      </c>
      <c r="M93" s="247" t="s">
        <v>445</v>
      </c>
      <c r="N93" s="247" t="s">
        <v>5733</v>
      </c>
      <c r="O93" s="240" t="str">
        <f t="shared" si="1"/>
        <v/>
      </c>
      <c r="P93" s="154" t="s">
        <v>66</v>
      </c>
      <c r="Q93" s="154" t="s">
        <v>66</v>
      </c>
      <c r="R93" s="154" t="s">
        <v>66</v>
      </c>
      <c r="S93" s="154" t="s">
        <v>64</v>
      </c>
      <c r="T93" s="154" t="s">
        <v>64</v>
      </c>
      <c r="U93" s="154" t="s">
        <v>64</v>
      </c>
      <c r="V93" s="154" t="s">
        <v>66</v>
      </c>
      <c r="W93" s="154" t="s">
        <v>66</v>
      </c>
      <c r="X93" s="154" t="s">
        <v>64</v>
      </c>
      <c r="Y93" s="154"/>
      <c r="Z93" s="242" t="b">
        <f t="shared" si="2"/>
        <v>1</v>
      </c>
      <c r="AA93" s="154" t="s">
        <v>391</v>
      </c>
      <c r="AB93" s="242" t="b">
        <f t="shared" si="3"/>
        <v>0</v>
      </c>
      <c r="AC93" s="154"/>
      <c r="AD93" s="242" t="b">
        <f t="shared" si="4"/>
        <v>0</v>
      </c>
      <c r="AE93" s="154" t="s">
        <v>1006</v>
      </c>
      <c r="AF93" s="242" t="str">
        <f>IF(AE93="","N/A",INDIRECT("MTR!"&amp;ADDRESS(MATCH(LEFT(AE93,9),MTR!C:C,0),COLUMN(J93)),TRUE) &amp; "")</f>
        <v>Complies</v>
      </c>
      <c r="AG93" s="157" t="str">
        <f t="shared" si="5"/>
        <v/>
      </c>
      <c r="AH93" s="170"/>
      <c r="AI93" s="152"/>
      <c r="AJ93" s="152"/>
      <c r="AK93" s="152"/>
      <c r="AL93" s="152"/>
      <c r="AM93" s="152"/>
      <c r="AN93" s="152"/>
      <c r="AO93" s="152"/>
      <c r="AP93" s="152"/>
      <c r="AQ93" s="152"/>
      <c r="AR93" s="152"/>
    </row>
    <row r="94" ht="12.75" customHeight="1">
      <c r="A94" s="244" t="s">
        <v>5158</v>
      </c>
      <c r="B94" s="244" t="s">
        <v>5725</v>
      </c>
      <c r="C94" s="244" t="s">
        <v>6028</v>
      </c>
      <c r="D94" s="154" t="s">
        <v>411</v>
      </c>
      <c r="E94" s="154"/>
      <c r="F94" s="154" t="str">
        <f t="array" ref="F94">XLOOKUP(Cover!$D$12,$P$1:$X$1,$P94:$X94)</f>
        <v>Mandatory</v>
      </c>
      <c r="G94" s="154" t="s">
        <v>6029</v>
      </c>
      <c r="H94" s="154" t="s">
        <v>5925</v>
      </c>
      <c r="I94" s="154" t="s">
        <v>6030</v>
      </c>
      <c r="J94" s="154" t="s">
        <v>5779</v>
      </c>
      <c r="K94" s="154" t="s">
        <v>1012</v>
      </c>
      <c r="L94" s="154" t="s">
        <v>759</v>
      </c>
      <c r="M94" s="247" t="s">
        <v>445</v>
      </c>
      <c r="N94" s="247" t="s">
        <v>5733</v>
      </c>
      <c r="O94" s="240" t="str">
        <f t="shared" si="1"/>
        <v/>
      </c>
      <c r="P94" s="154" t="s">
        <v>66</v>
      </c>
      <c r="Q94" s="154" t="s">
        <v>66</v>
      </c>
      <c r="R94" s="154" t="s">
        <v>66</v>
      </c>
      <c r="S94" s="154" t="s">
        <v>60</v>
      </c>
      <c r="T94" s="154" t="s">
        <v>60</v>
      </c>
      <c r="U94" s="154" t="s">
        <v>60</v>
      </c>
      <c r="V94" s="154" t="s">
        <v>66</v>
      </c>
      <c r="W94" s="154" t="s">
        <v>66</v>
      </c>
      <c r="X94" s="154" t="s">
        <v>60</v>
      </c>
      <c r="Y94" s="154"/>
      <c r="Z94" s="242" t="b">
        <f t="shared" si="2"/>
        <v>1</v>
      </c>
      <c r="AA94" s="154" t="s">
        <v>391</v>
      </c>
      <c r="AB94" s="242" t="b">
        <f t="shared" si="3"/>
        <v>0</v>
      </c>
      <c r="AC94" s="154"/>
      <c r="AD94" s="242" t="b">
        <f t="shared" si="4"/>
        <v>0</v>
      </c>
      <c r="AE94" s="154" t="s">
        <v>1006</v>
      </c>
      <c r="AF94" s="242" t="str">
        <f>IF(AE94="","N/A",INDIRECT("MTR!"&amp;ADDRESS(MATCH(LEFT(AE94,9),MTR!C:C,0),COLUMN(J94)),TRUE) &amp; "")</f>
        <v>Complies</v>
      </c>
      <c r="AG94" s="157" t="str">
        <f t="shared" si="5"/>
        <v/>
      </c>
      <c r="AH94" s="170"/>
      <c r="AI94" s="152"/>
      <c r="AJ94" s="152"/>
      <c r="AK94" s="152"/>
      <c r="AL94" s="152"/>
      <c r="AM94" s="152"/>
      <c r="AN94" s="152"/>
      <c r="AO94" s="152"/>
      <c r="AP94" s="152"/>
      <c r="AQ94" s="152"/>
      <c r="AR94" s="152"/>
    </row>
    <row r="95" ht="12.75" customHeight="1">
      <c r="A95" s="244" t="s">
        <v>5158</v>
      </c>
      <c r="B95" s="244" t="s">
        <v>5725</v>
      </c>
      <c r="C95" s="244" t="s">
        <v>6031</v>
      </c>
      <c r="D95" s="154" t="s">
        <v>1315</v>
      </c>
      <c r="E95" s="154"/>
      <c r="F95" s="154" t="str">
        <f t="array" ref="F95">XLOOKUP(Cover!$D$12,$P$1:$X$1,$P95:$X95)</f>
        <v>Information</v>
      </c>
      <c r="G95" s="154" t="s">
        <v>6032</v>
      </c>
      <c r="H95" s="154" t="s">
        <v>5771</v>
      </c>
      <c r="I95" s="154" t="s">
        <v>6033</v>
      </c>
      <c r="J95" s="154" t="s">
        <v>6022</v>
      </c>
      <c r="K95" s="154"/>
      <c r="L95" s="154" t="s">
        <v>759</v>
      </c>
      <c r="M95" s="247" t="s">
        <v>445</v>
      </c>
      <c r="N95" s="247" t="s">
        <v>5733</v>
      </c>
      <c r="O95" s="240" t="str">
        <f t="shared" si="1"/>
        <v/>
      </c>
      <c r="P95" s="154" t="s">
        <v>66</v>
      </c>
      <c r="Q95" s="154" t="s">
        <v>66</v>
      </c>
      <c r="R95" s="154" t="s">
        <v>66</v>
      </c>
      <c r="S95" s="154" t="s">
        <v>66</v>
      </c>
      <c r="T95" s="154" t="s">
        <v>66</v>
      </c>
      <c r="U95" s="154" t="s">
        <v>66</v>
      </c>
      <c r="V95" s="154" t="s">
        <v>66</v>
      </c>
      <c r="W95" s="154" t="s">
        <v>64</v>
      </c>
      <c r="X95" s="154" t="s">
        <v>66</v>
      </c>
      <c r="Y95" s="154"/>
      <c r="Z95" s="242" t="b">
        <f t="shared" si="2"/>
        <v>1</v>
      </c>
      <c r="AA95" s="154" t="s">
        <v>391</v>
      </c>
      <c r="AB95" s="242" t="b">
        <f t="shared" si="3"/>
        <v>0</v>
      </c>
      <c r="AC95" s="154"/>
      <c r="AD95" s="242" t="b">
        <f t="shared" si="4"/>
        <v>0</v>
      </c>
      <c r="AE95" s="154" t="s">
        <v>1006</v>
      </c>
      <c r="AF95" s="242" t="str">
        <f>IF(AE95="","N/A",INDIRECT("MTR!"&amp;ADDRESS(MATCH(LEFT(AE95,9),MTR!C:C,0),COLUMN(J95)),TRUE) &amp; "")</f>
        <v>Complies</v>
      </c>
      <c r="AG95" s="157" t="str">
        <f t="shared" si="5"/>
        <v/>
      </c>
      <c r="AH95" s="170"/>
      <c r="AI95" s="152"/>
      <c r="AJ95" s="152"/>
      <c r="AK95" s="152"/>
      <c r="AL95" s="152"/>
      <c r="AM95" s="152"/>
      <c r="AN95" s="152"/>
      <c r="AO95" s="152"/>
      <c r="AP95" s="152"/>
      <c r="AQ95" s="152"/>
      <c r="AR95" s="152"/>
    </row>
    <row r="96" ht="12.75" customHeight="1">
      <c r="A96" s="244" t="s">
        <v>5158</v>
      </c>
      <c r="B96" s="244" t="s">
        <v>5725</v>
      </c>
      <c r="C96" s="244" t="s">
        <v>6034</v>
      </c>
      <c r="D96" s="154" t="s">
        <v>492</v>
      </c>
      <c r="E96" s="154"/>
      <c r="F96" s="154" t="str">
        <f t="array" ref="F96">XLOOKUP(Cover!$D$12,$P$1:$X$1,$P96:$X96)</f>
        <v>Information</v>
      </c>
      <c r="G96" s="154" t="s">
        <v>6035</v>
      </c>
      <c r="H96" s="154" t="s">
        <v>5796</v>
      </c>
      <c r="I96" s="154" t="s">
        <v>6036</v>
      </c>
      <c r="J96" s="154" t="s">
        <v>5885</v>
      </c>
      <c r="K96" s="154"/>
      <c r="L96" s="154" t="s">
        <v>759</v>
      </c>
      <c r="M96" s="247" t="s">
        <v>445</v>
      </c>
      <c r="N96" s="247" t="s">
        <v>5733</v>
      </c>
      <c r="O96" s="240" t="str">
        <f t="shared" si="1"/>
        <v/>
      </c>
      <c r="P96" s="154" t="s">
        <v>66</v>
      </c>
      <c r="Q96" s="154" t="s">
        <v>66</v>
      </c>
      <c r="R96" s="154" t="s">
        <v>66</v>
      </c>
      <c r="S96" s="154" t="s">
        <v>66</v>
      </c>
      <c r="T96" s="154" t="s">
        <v>66</v>
      </c>
      <c r="U96" s="154" t="s">
        <v>66</v>
      </c>
      <c r="V96" s="154" t="s">
        <v>66</v>
      </c>
      <c r="W96" s="154" t="s">
        <v>64</v>
      </c>
      <c r="X96" s="154" t="s">
        <v>66</v>
      </c>
      <c r="Y96" s="154"/>
      <c r="Z96" s="242" t="b">
        <f t="shared" si="2"/>
        <v>1</v>
      </c>
      <c r="AA96" s="154" t="s">
        <v>391</v>
      </c>
      <c r="AB96" s="242" t="b">
        <f t="shared" si="3"/>
        <v>0</v>
      </c>
      <c r="AC96" s="154"/>
      <c r="AD96" s="242" t="b">
        <f t="shared" si="4"/>
        <v>0</v>
      </c>
      <c r="AE96" s="154" t="s">
        <v>1006</v>
      </c>
      <c r="AF96" s="242" t="str">
        <f>IF(AE96="","N/A",INDIRECT("MTR!"&amp;ADDRESS(MATCH(LEFT(AE96,9),MTR!C:C,0),COLUMN(J96)),TRUE) &amp; "")</f>
        <v>Complies</v>
      </c>
      <c r="AG96" s="157" t="str">
        <f t="shared" si="5"/>
        <v/>
      </c>
      <c r="AH96" s="170"/>
      <c r="AI96" s="152"/>
      <c r="AJ96" s="152"/>
      <c r="AK96" s="152"/>
      <c r="AL96" s="152"/>
      <c r="AM96" s="152"/>
      <c r="AN96" s="152"/>
      <c r="AO96" s="152"/>
      <c r="AP96" s="152"/>
      <c r="AQ96" s="152"/>
      <c r="AR96" s="152"/>
    </row>
    <row r="97" ht="12.75" customHeight="1">
      <c r="A97" s="244" t="s">
        <v>5158</v>
      </c>
      <c r="B97" s="244" t="s">
        <v>5725</v>
      </c>
      <c r="C97" s="245" t="s">
        <v>6037</v>
      </c>
      <c r="D97" s="155" t="s">
        <v>492</v>
      </c>
      <c r="E97" s="154" t="s">
        <v>92</v>
      </c>
      <c r="F97" s="154" t="str">
        <f t="array" ref="F97">XLOOKUP(Cover!$D$12,$P$1:$X$1,$P97:$X97)</f>
        <v>Information</v>
      </c>
      <c r="G97" s="154" t="s">
        <v>6038</v>
      </c>
      <c r="H97" s="154" t="s">
        <v>5796</v>
      </c>
      <c r="I97" s="154" t="s">
        <v>6036</v>
      </c>
      <c r="J97" s="154" t="s">
        <v>5885</v>
      </c>
      <c r="K97" s="154"/>
      <c r="L97" s="154" t="s">
        <v>759</v>
      </c>
      <c r="M97" s="247" t="s">
        <v>445</v>
      </c>
      <c r="N97" s="247" t="s">
        <v>5733</v>
      </c>
      <c r="O97" s="240" t="str">
        <f t="shared" si="1"/>
        <v/>
      </c>
      <c r="P97" s="154" t="s">
        <v>66</v>
      </c>
      <c r="Q97" s="154" t="s">
        <v>66</v>
      </c>
      <c r="R97" s="154" t="s">
        <v>66</v>
      </c>
      <c r="S97" s="154" t="s">
        <v>66</v>
      </c>
      <c r="T97" s="154" t="s">
        <v>66</v>
      </c>
      <c r="U97" s="154" t="s">
        <v>66</v>
      </c>
      <c r="V97" s="154" t="s">
        <v>66</v>
      </c>
      <c r="W97" s="154" t="s">
        <v>64</v>
      </c>
      <c r="X97" s="154" t="s">
        <v>66</v>
      </c>
      <c r="Y97" s="154"/>
      <c r="Z97" s="242" t="b">
        <f t="shared" si="2"/>
        <v>1</v>
      </c>
      <c r="AA97" s="154" t="s">
        <v>391</v>
      </c>
      <c r="AB97" s="242" t="b">
        <f t="shared" si="3"/>
        <v>0</v>
      </c>
      <c r="AC97" s="154"/>
      <c r="AD97" s="242" t="b">
        <f t="shared" si="4"/>
        <v>0</v>
      </c>
      <c r="AE97" s="154" t="s">
        <v>1006</v>
      </c>
      <c r="AF97" s="242" t="str">
        <f>IF(AE97="","N/A",INDIRECT("MTR!"&amp;ADDRESS(MATCH(LEFT(AE97,9),MTR!C:C,0),COLUMN(J97)),TRUE) &amp; "")</f>
        <v>Complies</v>
      </c>
      <c r="AG97" s="157" t="str">
        <f t="shared" si="5"/>
        <v/>
      </c>
      <c r="AH97" s="170"/>
      <c r="AI97" s="152"/>
      <c r="AJ97" s="152"/>
      <c r="AK97" s="152"/>
      <c r="AL97" s="152"/>
      <c r="AM97" s="152"/>
      <c r="AN97" s="152"/>
      <c r="AO97" s="152"/>
      <c r="AP97" s="152"/>
      <c r="AQ97" s="152"/>
      <c r="AR97" s="152"/>
    </row>
    <row r="98" ht="12.75" customHeight="1">
      <c r="A98" s="244" t="s">
        <v>5158</v>
      </c>
      <c r="B98" s="244" t="s">
        <v>5725</v>
      </c>
      <c r="C98" s="244" t="s">
        <v>6039</v>
      </c>
      <c r="D98" s="154" t="s">
        <v>581</v>
      </c>
      <c r="E98" s="154"/>
      <c r="F98" s="154" t="str">
        <f t="array" ref="F98">XLOOKUP(Cover!$D$12,$P$1:$X$1,$P98:$X98)</f>
        <v>Mandatory</v>
      </c>
      <c r="G98" s="154" t="s">
        <v>6040</v>
      </c>
      <c r="H98" s="154" t="s">
        <v>6041</v>
      </c>
      <c r="I98" s="154" t="s">
        <v>6042</v>
      </c>
      <c r="J98" s="154" t="s">
        <v>5745</v>
      </c>
      <c r="K98" s="154" t="s">
        <v>1005</v>
      </c>
      <c r="L98" s="154" t="s">
        <v>759</v>
      </c>
      <c r="M98" s="247" t="s">
        <v>445</v>
      </c>
      <c r="N98" s="247" t="s">
        <v>5733</v>
      </c>
      <c r="O98" s="240" t="str">
        <f t="shared" si="1"/>
        <v/>
      </c>
      <c r="P98" s="154" t="s">
        <v>66</v>
      </c>
      <c r="Q98" s="154" t="s">
        <v>66</v>
      </c>
      <c r="R98" s="154" t="s">
        <v>66</v>
      </c>
      <c r="S98" s="154" t="s">
        <v>60</v>
      </c>
      <c r="T98" s="154" t="s">
        <v>60</v>
      </c>
      <c r="U98" s="154" t="s">
        <v>60</v>
      </c>
      <c r="V98" s="154" t="s">
        <v>66</v>
      </c>
      <c r="W98" s="154" t="s">
        <v>66</v>
      </c>
      <c r="X98" s="154" t="s">
        <v>60</v>
      </c>
      <c r="Y98" s="154"/>
      <c r="Z98" s="242" t="b">
        <f t="shared" si="2"/>
        <v>1</v>
      </c>
      <c r="AA98" s="154" t="s">
        <v>391</v>
      </c>
      <c r="AB98" s="242" t="b">
        <f t="shared" si="3"/>
        <v>0</v>
      </c>
      <c r="AC98" s="154"/>
      <c r="AD98" s="242" t="b">
        <f t="shared" si="4"/>
        <v>0</v>
      </c>
      <c r="AE98" s="154" t="s">
        <v>1006</v>
      </c>
      <c r="AF98" s="242" t="str">
        <f>IF(AE98="","N/A",INDIRECT("MTR!"&amp;ADDRESS(MATCH(LEFT(AE98,9),MTR!C:C,0),COLUMN(J98)),TRUE) &amp; "")</f>
        <v>Complies</v>
      </c>
      <c r="AG98" s="157" t="str">
        <f t="shared" si="5"/>
        <v/>
      </c>
      <c r="AH98" s="170"/>
      <c r="AI98" s="152"/>
      <c r="AJ98" s="152"/>
      <c r="AK98" s="152"/>
      <c r="AL98" s="152"/>
      <c r="AM98" s="152"/>
      <c r="AN98" s="152"/>
      <c r="AO98" s="152"/>
      <c r="AP98" s="152"/>
      <c r="AQ98" s="152"/>
      <c r="AR98" s="152"/>
    </row>
    <row r="99" ht="12.75" customHeight="1">
      <c r="A99" s="244" t="s">
        <v>5158</v>
      </c>
      <c r="B99" s="244" t="s">
        <v>5725</v>
      </c>
      <c r="C99" s="244" t="s">
        <v>6043</v>
      </c>
      <c r="D99" s="154" t="s">
        <v>433</v>
      </c>
      <c r="E99" s="154"/>
      <c r="F99" s="154" t="str">
        <f t="array" ref="F99">XLOOKUP(Cover!$D$12,$P$1:$X$1,$P99:$X99)</f>
        <v>Information</v>
      </c>
      <c r="G99" s="154" t="s">
        <v>6044</v>
      </c>
      <c r="H99" s="154" t="s">
        <v>5803</v>
      </c>
      <c r="I99" s="154" t="s">
        <v>6045</v>
      </c>
      <c r="J99" s="154" t="s">
        <v>5969</v>
      </c>
      <c r="K99" s="154"/>
      <c r="L99" s="154" t="s">
        <v>759</v>
      </c>
      <c r="M99" s="247" t="s">
        <v>445</v>
      </c>
      <c r="N99" s="247" t="s">
        <v>5733</v>
      </c>
      <c r="O99" s="240" t="str">
        <f t="shared" si="1"/>
        <v/>
      </c>
      <c r="P99" s="154" t="s">
        <v>66</v>
      </c>
      <c r="Q99" s="154" t="s">
        <v>66</v>
      </c>
      <c r="R99" s="154" t="s">
        <v>66</v>
      </c>
      <c r="S99" s="154" t="s">
        <v>66</v>
      </c>
      <c r="T99" s="154" t="s">
        <v>66</v>
      </c>
      <c r="U99" s="154" t="s">
        <v>66</v>
      </c>
      <c r="V99" s="154" t="s">
        <v>66</v>
      </c>
      <c r="W99" s="154" t="s">
        <v>64</v>
      </c>
      <c r="X99" s="154" t="s">
        <v>66</v>
      </c>
      <c r="Y99" s="154"/>
      <c r="Z99" s="242" t="b">
        <f t="shared" si="2"/>
        <v>1</v>
      </c>
      <c r="AA99" s="154" t="s">
        <v>391</v>
      </c>
      <c r="AB99" s="242" t="b">
        <f t="shared" si="3"/>
        <v>0</v>
      </c>
      <c r="AC99" s="154"/>
      <c r="AD99" s="242" t="b">
        <f t="shared" si="4"/>
        <v>0</v>
      </c>
      <c r="AE99" s="154" t="s">
        <v>1006</v>
      </c>
      <c r="AF99" s="242" t="str">
        <f>IF(AE99="","N/A",INDIRECT("MTR!"&amp;ADDRESS(MATCH(LEFT(AE99,9),MTR!C:C,0),COLUMN(J99)),TRUE) &amp; "")</f>
        <v>Complies</v>
      </c>
      <c r="AG99" s="157" t="str">
        <f t="shared" si="5"/>
        <v/>
      </c>
      <c r="AH99" s="170"/>
      <c r="AI99" s="152"/>
      <c r="AJ99" s="152"/>
      <c r="AK99" s="152"/>
      <c r="AL99" s="152"/>
      <c r="AM99" s="152"/>
      <c r="AN99" s="152"/>
      <c r="AO99" s="152"/>
      <c r="AP99" s="152"/>
      <c r="AQ99" s="152"/>
      <c r="AR99" s="152"/>
    </row>
    <row r="100" ht="12.75" customHeight="1">
      <c r="A100" s="244" t="s">
        <v>5158</v>
      </c>
      <c r="B100" s="244" t="s">
        <v>5725</v>
      </c>
      <c r="C100" s="244" t="s">
        <v>6046</v>
      </c>
      <c r="D100" s="154" t="s">
        <v>1120</v>
      </c>
      <c r="E100" s="154"/>
      <c r="F100" s="154" t="str">
        <f t="array" ref="F100">XLOOKUP(Cover!$D$12,$P$1:$X$1,$P100:$X100)</f>
        <v>Information</v>
      </c>
      <c r="G100" s="154" t="s">
        <v>6047</v>
      </c>
      <c r="H100" s="154" t="s">
        <v>5803</v>
      </c>
      <c r="I100" s="154" t="s">
        <v>6045</v>
      </c>
      <c r="J100" s="154" t="s">
        <v>5969</v>
      </c>
      <c r="K100" s="154"/>
      <c r="L100" s="154" t="s">
        <v>759</v>
      </c>
      <c r="M100" s="247" t="s">
        <v>445</v>
      </c>
      <c r="N100" s="247" t="s">
        <v>5733</v>
      </c>
      <c r="O100" s="240" t="str">
        <f t="shared" si="1"/>
        <v/>
      </c>
      <c r="P100" s="154" t="s">
        <v>66</v>
      </c>
      <c r="Q100" s="154" t="s">
        <v>66</v>
      </c>
      <c r="R100" s="154" t="s">
        <v>66</v>
      </c>
      <c r="S100" s="154" t="s">
        <v>66</v>
      </c>
      <c r="T100" s="154" t="s">
        <v>66</v>
      </c>
      <c r="U100" s="154" t="s">
        <v>66</v>
      </c>
      <c r="V100" s="154" t="s">
        <v>66</v>
      </c>
      <c r="W100" s="154" t="s">
        <v>64</v>
      </c>
      <c r="X100" s="154" t="s">
        <v>66</v>
      </c>
      <c r="Y100" s="154"/>
      <c r="Z100" s="242" t="b">
        <f t="shared" si="2"/>
        <v>1</v>
      </c>
      <c r="AA100" s="154" t="s">
        <v>391</v>
      </c>
      <c r="AB100" s="242" t="b">
        <f t="shared" si="3"/>
        <v>0</v>
      </c>
      <c r="AC100" s="154"/>
      <c r="AD100" s="242" t="b">
        <f t="shared" si="4"/>
        <v>0</v>
      </c>
      <c r="AE100" s="154" t="s">
        <v>1006</v>
      </c>
      <c r="AF100" s="242" t="str">
        <f>IF(AE100="","N/A",INDIRECT("MTR!"&amp;ADDRESS(MATCH(LEFT(AE100,9),MTR!C:C,0),COLUMN(J100)),TRUE) &amp; "")</f>
        <v>Complies</v>
      </c>
      <c r="AG100" s="157" t="str">
        <f t="shared" si="5"/>
        <v/>
      </c>
      <c r="AH100" s="170"/>
      <c r="AI100" s="152"/>
      <c r="AJ100" s="152"/>
      <c r="AK100" s="152"/>
      <c r="AL100" s="152"/>
      <c r="AM100" s="152"/>
      <c r="AN100" s="152"/>
      <c r="AO100" s="152"/>
      <c r="AP100" s="152"/>
      <c r="AQ100" s="152"/>
      <c r="AR100" s="152"/>
    </row>
    <row r="101" ht="12.75" customHeight="1">
      <c r="A101" s="244" t="s">
        <v>5158</v>
      </c>
      <c r="B101" s="244" t="s">
        <v>5725</v>
      </c>
      <c r="C101" s="244" t="s">
        <v>6048</v>
      </c>
      <c r="D101" s="154" t="s">
        <v>492</v>
      </c>
      <c r="E101" s="154"/>
      <c r="F101" s="154" t="str">
        <f t="array" ref="F101">XLOOKUP(Cover!$D$12,$P$1:$X$1,$P101:$X101)</f>
        <v>Mandatory</v>
      </c>
      <c r="G101" s="154" t="s">
        <v>6049</v>
      </c>
      <c r="H101" s="154" t="s">
        <v>6050</v>
      </c>
      <c r="I101" s="154" t="s">
        <v>6051</v>
      </c>
      <c r="J101" s="154" t="s">
        <v>5885</v>
      </c>
      <c r="K101" s="154" t="s">
        <v>1005</v>
      </c>
      <c r="L101" s="154" t="s">
        <v>759</v>
      </c>
      <c r="M101" s="247" t="s">
        <v>445</v>
      </c>
      <c r="N101" s="247" t="s">
        <v>5733</v>
      </c>
      <c r="O101" s="240" t="str">
        <f t="shared" si="1"/>
        <v/>
      </c>
      <c r="P101" s="154" t="s">
        <v>66</v>
      </c>
      <c r="Q101" s="154" t="s">
        <v>66</v>
      </c>
      <c r="R101" s="154" t="s">
        <v>66</v>
      </c>
      <c r="S101" s="154" t="s">
        <v>60</v>
      </c>
      <c r="T101" s="154" t="s">
        <v>60</v>
      </c>
      <c r="U101" s="154" t="s">
        <v>60</v>
      </c>
      <c r="V101" s="154" t="s">
        <v>66</v>
      </c>
      <c r="W101" s="154" t="s">
        <v>66</v>
      </c>
      <c r="X101" s="154" t="s">
        <v>60</v>
      </c>
      <c r="Y101" s="154"/>
      <c r="Z101" s="242" t="b">
        <f t="shared" si="2"/>
        <v>1</v>
      </c>
      <c r="AA101" s="154" t="s">
        <v>391</v>
      </c>
      <c r="AB101" s="242" t="b">
        <f t="shared" si="3"/>
        <v>0</v>
      </c>
      <c r="AC101" s="154"/>
      <c r="AD101" s="242" t="b">
        <f t="shared" si="4"/>
        <v>0</v>
      </c>
      <c r="AE101" s="154" t="s">
        <v>1006</v>
      </c>
      <c r="AF101" s="242" t="str">
        <f>IF(AE101="","N/A",INDIRECT("MTR!"&amp;ADDRESS(MATCH(LEFT(AE101,9),MTR!C:C,0),COLUMN(J101)),TRUE) &amp; "")</f>
        <v>Complies</v>
      </c>
      <c r="AG101" s="157" t="str">
        <f t="shared" si="5"/>
        <v/>
      </c>
      <c r="AH101" s="170"/>
      <c r="AI101" s="152"/>
      <c r="AJ101" s="152"/>
      <c r="AK101" s="152"/>
      <c r="AL101" s="152"/>
      <c r="AM101" s="152"/>
      <c r="AN101" s="152"/>
      <c r="AO101" s="152"/>
      <c r="AP101" s="152"/>
      <c r="AQ101" s="152"/>
      <c r="AR101" s="152"/>
    </row>
    <row r="102" ht="12.75" customHeight="1">
      <c r="A102" s="244" t="s">
        <v>5158</v>
      </c>
      <c r="B102" s="244" t="s">
        <v>5725</v>
      </c>
      <c r="C102" s="245" t="s">
        <v>6052</v>
      </c>
      <c r="D102" s="155" t="s">
        <v>433</v>
      </c>
      <c r="E102" s="154" t="s">
        <v>92</v>
      </c>
      <c r="F102" s="154" t="str">
        <f t="array" ref="F102">XLOOKUP(Cover!$D$12,$P$1:$X$1,$P102:$X102)</f>
        <v>Information</v>
      </c>
      <c r="G102" s="154" t="s">
        <v>6053</v>
      </c>
      <c r="H102" s="154" t="s">
        <v>6054</v>
      </c>
      <c r="I102" s="154" t="s">
        <v>6055</v>
      </c>
      <c r="J102" s="154" t="s">
        <v>5885</v>
      </c>
      <c r="K102" s="154"/>
      <c r="L102" s="154" t="s">
        <v>759</v>
      </c>
      <c r="M102" s="247" t="s">
        <v>445</v>
      </c>
      <c r="N102" s="247" t="s">
        <v>5733</v>
      </c>
      <c r="O102" s="240" t="str">
        <f t="shared" si="1"/>
        <v/>
      </c>
      <c r="P102" s="154" t="s">
        <v>66</v>
      </c>
      <c r="Q102" s="154" t="s">
        <v>66</v>
      </c>
      <c r="R102" s="154" t="s">
        <v>66</v>
      </c>
      <c r="S102" s="154" t="s">
        <v>66</v>
      </c>
      <c r="T102" s="154" t="s">
        <v>66</v>
      </c>
      <c r="U102" s="154" t="s">
        <v>66</v>
      </c>
      <c r="V102" s="154" t="s">
        <v>66</v>
      </c>
      <c r="W102" s="154" t="s">
        <v>64</v>
      </c>
      <c r="X102" s="154" t="s">
        <v>66</v>
      </c>
      <c r="Y102" s="154"/>
      <c r="Z102" s="242" t="b">
        <f t="shared" si="2"/>
        <v>1</v>
      </c>
      <c r="AA102" s="154" t="s">
        <v>391</v>
      </c>
      <c r="AB102" s="242" t="b">
        <f t="shared" si="3"/>
        <v>0</v>
      </c>
      <c r="AC102" s="154"/>
      <c r="AD102" s="242" t="b">
        <f t="shared" si="4"/>
        <v>0</v>
      </c>
      <c r="AE102" s="154" t="s">
        <v>1006</v>
      </c>
      <c r="AF102" s="242" t="str">
        <f>IF(AE102="","N/A",INDIRECT("MTR!"&amp;ADDRESS(MATCH(LEFT(AE102,9),MTR!C:C,0),COLUMN(J102)),TRUE) &amp; "")</f>
        <v>Complies</v>
      </c>
      <c r="AG102" s="157" t="str">
        <f t="shared" si="5"/>
        <v/>
      </c>
      <c r="AH102" s="170"/>
      <c r="AI102" s="152"/>
      <c r="AJ102" s="152"/>
      <c r="AK102" s="152"/>
      <c r="AL102" s="152"/>
      <c r="AM102" s="152"/>
      <c r="AN102" s="152"/>
      <c r="AO102" s="152"/>
      <c r="AP102" s="152"/>
      <c r="AQ102" s="152"/>
      <c r="AR102" s="152"/>
    </row>
    <row r="103" ht="12.75" customHeight="1">
      <c r="A103" s="244" t="s">
        <v>5158</v>
      </c>
      <c r="B103" s="244" t="s">
        <v>5725</v>
      </c>
      <c r="C103" s="244" t="s">
        <v>6056</v>
      </c>
      <c r="D103" s="154" t="s">
        <v>433</v>
      </c>
      <c r="E103" s="154"/>
      <c r="F103" s="154" t="str">
        <f t="array" ref="F103">XLOOKUP(Cover!$D$12,$P$1:$X$1,$P103:$X103)</f>
        <v>Mandatory</v>
      </c>
      <c r="G103" s="154" t="s">
        <v>6057</v>
      </c>
      <c r="H103" s="154" t="s">
        <v>6058</v>
      </c>
      <c r="I103" s="154" t="s">
        <v>6059</v>
      </c>
      <c r="J103" s="154" t="s">
        <v>5885</v>
      </c>
      <c r="K103" s="154" t="s">
        <v>1005</v>
      </c>
      <c r="L103" s="154" t="s">
        <v>759</v>
      </c>
      <c r="M103" s="247" t="s">
        <v>445</v>
      </c>
      <c r="N103" s="247" t="s">
        <v>5733</v>
      </c>
      <c r="O103" s="240" t="str">
        <f t="shared" si="1"/>
        <v/>
      </c>
      <c r="P103" s="154" t="s">
        <v>66</v>
      </c>
      <c r="Q103" s="154" t="s">
        <v>66</v>
      </c>
      <c r="R103" s="154" t="s">
        <v>66</v>
      </c>
      <c r="S103" s="154" t="s">
        <v>60</v>
      </c>
      <c r="T103" s="154" t="s">
        <v>60</v>
      </c>
      <c r="U103" s="154" t="s">
        <v>60</v>
      </c>
      <c r="V103" s="154" t="s">
        <v>66</v>
      </c>
      <c r="W103" s="154" t="s">
        <v>66</v>
      </c>
      <c r="X103" s="154" t="s">
        <v>60</v>
      </c>
      <c r="Y103" s="154"/>
      <c r="Z103" s="242" t="b">
        <f t="shared" si="2"/>
        <v>1</v>
      </c>
      <c r="AA103" s="154" t="s">
        <v>391</v>
      </c>
      <c r="AB103" s="242" t="b">
        <f t="shared" si="3"/>
        <v>0</v>
      </c>
      <c r="AC103" s="154"/>
      <c r="AD103" s="242" t="b">
        <f t="shared" si="4"/>
        <v>0</v>
      </c>
      <c r="AE103" s="154" t="s">
        <v>1006</v>
      </c>
      <c r="AF103" s="242" t="str">
        <f>IF(AE103="","N/A",INDIRECT("MTR!"&amp;ADDRESS(MATCH(LEFT(AE103,9),MTR!C:C,0),COLUMN(J103)),TRUE) &amp; "")</f>
        <v>Complies</v>
      </c>
      <c r="AG103" s="157" t="str">
        <f t="shared" si="5"/>
        <v/>
      </c>
      <c r="AH103" s="170"/>
      <c r="AI103" s="152"/>
      <c r="AJ103" s="152"/>
      <c r="AK103" s="152"/>
      <c r="AL103" s="152"/>
      <c r="AM103" s="152"/>
      <c r="AN103" s="152"/>
      <c r="AO103" s="152"/>
      <c r="AP103" s="152"/>
      <c r="AQ103" s="152"/>
      <c r="AR103" s="152"/>
    </row>
    <row r="104" ht="12.75" customHeight="1">
      <c r="A104" s="244" t="s">
        <v>5158</v>
      </c>
      <c r="B104" s="244" t="s">
        <v>5725</v>
      </c>
      <c r="C104" s="245" t="s">
        <v>6060</v>
      </c>
      <c r="D104" s="155" t="s">
        <v>542</v>
      </c>
      <c r="E104" s="154" t="s">
        <v>92</v>
      </c>
      <c r="F104" s="154" t="str">
        <f t="array" ref="F104">XLOOKUP(Cover!$D$12,$P$1:$X$1,$P104:$X104)</f>
        <v>Information</v>
      </c>
      <c r="G104" s="154" t="s">
        <v>6061</v>
      </c>
      <c r="H104" s="154" t="s">
        <v>6062</v>
      </c>
      <c r="I104" s="154" t="s">
        <v>6063</v>
      </c>
      <c r="J104" s="154" t="s">
        <v>6064</v>
      </c>
      <c r="K104" s="154"/>
      <c r="L104" s="154" t="s">
        <v>759</v>
      </c>
      <c r="M104" s="247" t="s">
        <v>445</v>
      </c>
      <c r="N104" s="247" t="s">
        <v>5733</v>
      </c>
      <c r="O104" s="240" t="str">
        <f t="shared" si="1"/>
        <v/>
      </c>
      <c r="P104" s="154" t="s">
        <v>66</v>
      </c>
      <c r="Q104" s="154" t="s">
        <v>66</v>
      </c>
      <c r="R104" s="154" t="s">
        <v>66</v>
      </c>
      <c r="S104" s="154" t="s">
        <v>66</v>
      </c>
      <c r="T104" s="154" t="s">
        <v>66</v>
      </c>
      <c r="U104" s="154" t="s">
        <v>66</v>
      </c>
      <c r="V104" s="154" t="s">
        <v>66</v>
      </c>
      <c r="W104" s="154" t="s">
        <v>66</v>
      </c>
      <c r="X104" s="154" t="s">
        <v>66</v>
      </c>
      <c r="Y104" s="154"/>
      <c r="Z104" s="242" t="b">
        <f t="shared" si="2"/>
        <v>1</v>
      </c>
      <c r="AA104" s="154" t="s">
        <v>391</v>
      </c>
      <c r="AB104" s="242" t="b">
        <f t="shared" si="3"/>
        <v>0</v>
      </c>
      <c r="AC104" s="154"/>
      <c r="AD104" s="242" t="b">
        <f t="shared" si="4"/>
        <v>0</v>
      </c>
      <c r="AE104" s="154" t="s">
        <v>1006</v>
      </c>
      <c r="AF104" s="242" t="str">
        <f>IF(AE104="","N/A",INDIRECT("MTR!"&amp;ADDRESS(MATCH(LEFT(AE104,9),MTR!C:C,0),COLUMN(J104)),TRUE) &amp; "")</f>
        <v>Complies</v>
      </c>
      <c r="AG104" s="157" t="str">
        <f t="shared" si="5"/>
        <v/>
      </c>
      <c r="AH104" s="170"/>
      <c r="AI104" s="152"/>
      <c r="AJ104" s="152"/>
      <c r="AK104" s="152"/>
      <c r="AL104" s="152"/>
      <c r="AM104" s="152"/>
      <c r="AN104" s="152"/>
      <c r="AO104" s="152"/>
      <c r="AP104" s="152"/>
      <c r="AQ104" s="152"/>
      <c r="AR104" s="152"/>
    </row>
    <row r="105" ht="12.75" customHeight="1">
      <c r="A105" s="244" t="s">
        <v>5158</v>
      </c>
      <c r="B105" s="244" t="s">
        <v>5725</v>
      </c>
      <c r="C105" s="244" t="s">
        <v>6065</v>
      </c>
      <c r="D105" s="154" t="s">
        <v>492</v>
      </c>
      <c r="E105" s="154"/>
      <c r="F105" s="154" t="str">
        <f t="array" ref="F105">XLOOKUP(Cover!$D$12,$P$1:$X$1,$P105:$X105)</f>
        <v>Recommended</v>
      </c>
      <c r="G105" s="154" t="s">
        <v>6066</v>
      </c>
      <c r="H105" s="154" t="s">
        <v>6067</v>
      </c>
      <c r="I105" s="154" t="s">
        <v>6068</v>
      </c>
      <c r="J105" s="154" t="s">
        <v>5982</v>
      </c>
      <c r="K105" s="154"/>
      <c r="L105" s="154" t="s">
        <v>759</v>
      </c>
      <c r="M105" s="247" t="s">
        <v>445</v>
      </c>
      <c r="N105" s="247" t="s">
        <v>5733</v>
      </c>
      <c r="O105" s="240" t="str">
        <f t="shared" si="1"/>
        <v/>
      </c>
      <c r="P105" s="154" t="s">
        <v>66</v>
      </c>
      <c r="Q105" s="154" t="s">
        <v>66</v>
      </c>
      <c r="R105" s="154" t="s">
        <v>66</v>
      </c>
      <c r="S105" s="154" t="s">
        <v>64</v>
      </c>
      <c r="T105" s="154" t="s">
        <v>64</v>
      </c>
      <c r="U105" s="154" t="s">
        <v>64</v>
      </c>
      <c r="V105" s="154" t="s">
        <v>66</v>
      </c>
      <c r="W105" s="154" t="s">
        <v>66</v>
      </c>
      <c r="X105" s="154" t="s">
        <v>64</v>
      </c>
      <c r="Y105" s="154"/>
      <c r="Z105" s="242" t="b">
        <f t="shared" si="2"/>
        <v>1</v>
      </c>
      <c r="AA105" s="154" t="s">
        <v>391</v>
      </c>
      <c r="AB105" s="242" t="b">
        <f t="shared" si="3"/>
        <v>0</v>
      </c>
      <c r="AC105" s="154"/>
      <c r="AD105" s="242" t="b">
        <f t="shared" si="4"/>
        <v>0</v>
      </c>
      <c r="AE105" s="154" t="s">
        <v>1006</v>
      </c>
      <c r="AF105" s="242" t="str">
        <f>IF(AE105="","N/A",INDIRECT("MTR!"&amp;ADDRESS(MATCH(LEFT(AE105,9),MTR!C:C,0),COLUMN(J105)),TRUE) &amp; "")</f>
        <v>Complies</v>
      </c>
      <c r="AG105" s="157" t="str">
        <f t="shared" si="5"/>
        <v/>
      </c>
      <c r="AH105" s="170"/>
      <c r="AI105" s="152"/>
      <c r="AJ105" s="152"/>
      <c r="AK105" s="152"/>
      <c r="AL105" s="152"/>
      <c r="AM105" s="152"/>
      <c r="AN105" s="152"/>
      <c r="AO105" s="152"/>
      <c r="AP105" s="152"/>
      <c r="AQ105" s="152"/>
      <c r="AR105" s="152"/>
    </row>
    <row r="106" ht="12.75" customHeight="1">
      <c r="A106" s="244" t="s">
        <v>5158</v>
      </c>
      <c r="B106" s="244" t="s">
        <v>5725</v>
      </c>
      <c r="C106" s="244" t="s">
        <v>6069</v>
      </c>
      <c r="D106" s="154" t="s">
        <v>1120</v>
      </c>
      <c r="E106" s="154"/>
      <c r="F106" s="154" t="str">
        <f t="array" ref="F106">XLOOKUP(Cover!$D$12,$P$1:$X$1,$P106:$X106)</f>
        <v>Mandatory</v>
      </c>
      <c r="G106" s="154" t="s">
        <v>6070</v>
      </c>
      <c r="H106" s="154" t="s">
        <v>5782</v>
      </c>
      <c r="I106" s="154" t="s">
        <v>6071</v>
      </c>
      <c r="J106" s="154" t="s">
        <v>5779</v>
      </c>
      <c r="K106" s="154" t="s">
        <v>1012</v>
      </c>
      <c r="L106" s="154" t="s">
        <v>759</v>
      </c>
      <c r="M106" s="247" t="s">
        <v>445</v>
      </c>
      <c r="N106" s="247" t="s">
        <v>5733</v>
      </c>
      <c r="O106" s="240" t="str">
        <f t="shared" si="1"/>
        <v/>
      </c>
      <c r="P106" s="154" t="s">
        <v>66</v>
      </c>
      <c r="Q106" s="154" t="s">
        <v>66</v>
      </c>
      <c r="R106" s="154" t="s">
        <v>66</v>
      </c>
      <c r="S106" s="154" t="s">
        <v>60</v>
      </c>
      <c r="T106" s="154" t="s">
        <v>60</v>
      </c>
      <c r="U106" s="154" t="s">
        <v>60</v>
      </c>
      <c r="V106" s="154" t="s">
        <v>66</v>
      </c>
      <c r="W106" s="154" t="s">
        <v>66</v>
      </c>
      <c r="X106" s="154" t="s">
        <v>60</v>
      </c>
      <c r="Y106" s="154"/>
      <c r="Z106" s="242" t="b">
        <f t="shared" si="2"/>
        <v>1</v>
      </c>
      <c r="AA106" s="154" t="s">
        <v>391</v>
      </c>
      <c r="AB106" s="242" t="b">
        <f t="shared" si="3"/>
        <v>0</v>
      </c>
      <c r="AC106" s="154"/>
      <c r="AD106" s="242" t="b">
        <f t="shared" si="4"/>
        <v>0</v>
      </c>
      <c r="AE106" s="154" t="s">
        <v>1006</v>
      </c>
      <c r="AF106" s="242" t="str">
        <f>IF(AE106="","N/A",INDIRECT("MTR!"&amp;ADDRESS(MATCH(LEFT(AE106,9),MTR!C:C,0),COLUMN(J106)),TRUE) &amp; "")</f>
        <v>Complies</v>
      </c>
      <c r="AG106" s="157" t="str">
        <f t="shared" si="5"/>
        <v/>
      </c>
      <c r="AH106" s="170"/>
      <c r="AI106" s="152"/>
      <c r="AJ106" s="152"/>
      <c r="AK106" s="152"/>
      <c r="AL106" s="152"/>
      <c r="AM106" s="152"/>
      <c r="AN106" s="152"/>
      <c r="AO106" s="152"/>
      <c r="AP106" s="152"/>
      <c r="AQ106" s="152"/>
      <c r="AR106" s="152"/>
    </row>
    <row r="107" ht="12.75" customHeight="1">
      <c r="A107" s="244" t="s">
        <v>5158</v>
      </c>
      <c r="B107" s="244" t="s">
        <v>5725</v>
      </c>
      <c r="C107" s="244" t="s">
        <v>6072</v>
      </c>
      <c r="D107" s="154" t="s">
        <v>492</v>
      </c>
      <c r="E107" s="154"/>
      <c r="F107" s="154" t="str">
        <f t="array" ref="F107">XLOOKUP(Cover!$D$12,$P$1:$X$1,$P107:$X107)</f>
        <v>Information</v>
      </c>
      <c r="G107" s="154" t="s">
        <v>6073</v>
      </c>
      <c r="H107" s="154" t="s">
        <v>5796</v>
      </c>
      <c r="I107" s="154" t="s">
        <v>6074</v>
      </c>
      <c r="J107" s="154" t="s">
        <v>5885</v>
      </c>
      <c r="K107" s="154"/>
      <c r="L107" s="154" t="s">
        <v>759</v>
      </c>
      <c r="M107" s="247" t="s">
        <v>445</v>
      </c>
      <c r="N107" s="247" t="s">
        <v>5733</v>
      </c>
      <c r="O107" s="240" t="str">
        <f t="shared" si="1"/>
        <v/>
      </c>
      <c r="P107" s="154" t="s">
        <v>66</v>
      </c>
      <c r="Q107" s="154" t="s">
        <v>66</v>
      </c>
      <c r="R107" s="154" t="s">
        <v>66</v>
      </c>
      <c r="S107" s="154" t="s">
        <v>66</v>
      </c>
      <c r="T107" s="154" t="s">
        <v>66</v>
      </c>
      <c r="U107" s="154" t="s">
        <v>66</v>
      </c>
      <c r="V107" s="154" t="s">
        <v>66</v>
      </c>
      <c r="W107" s="154" t="s">
        <v>66</v>
      </c>
      <c r="X107" s="154" t="s">
        <v>66</v>
      </c>
      <c r="Y107" s="154"/>
      <c r="Z107" s="242" t="b">
        <f t="shared" si="2"/>
        <v>1</v>
      </c>
      <c r="AA107" s="154" t="s">
        <v>391</v>
      </c>
      <c r="AB107" s="242" t="b">
        <f t="shared" si="3"/>
        <v>0</v>
      </c>
      <c r="AC107" s="154"/>
      <c r="AD107" s="242" t="b">
        <f t="shared" si="4"/>
        <v>0</v>
      </c>
      <c r="AE107" s="154" t="s">
        <v>1006</v>
      </c>
      <c r="AF107" s="242" t="str">
        <f>IF(AE107="","N/A",INDIRECT("MTR!"&amp;ADDRESS(MATCH(LEFT(AE107,9),MTR!C:C,0),COLUMN(J107)),TRUE) &amp; "")</f>
        <v>Complies</v>
      </c>
      <c r="AG107" s="157" t="str">
        <f t="shared" si="5"/>
        <v/>
      </c>
      <c r="AH107" s="170"/>
      <c r="AI107" s="152"/>
      <c r="AJ107" s="152"/>
      <c r="AK107" s="152"/>
      <c r="AL107" s="152"/>
      <c r="AM107" s="152"/>
      <c r="AN107" s="152"/>
      <c r="AO107" s="152"/>
      <c r="AP107" s="152"/>
      <c r="AQ107" s="152"/>
      <c r="AR107" s="152"/>
    </row>
    <row r="108" ht="12.75" customHeight="1">
      <c r="A108" s="244" t="s">
        <v>5158</v>
      </c>
      <c r="B108" s="244" t="s">
        <v>5725</v>
      </c>
      <c r="C108" s="244" t="s">
        <v>6075</v>
      </c>
      <c r="D108" s="154" t="s">
        <v>492</v>
      </c>
      <c r="E108" s="154"/>
      <c r="F108" s="154" t="str">
        <f t="array" ref="F108">XLOOKUP(Cover!$D$12,$P$1:$X$1,$P108:$X108)</f>
        <v>Information</v>
      </c>
      <c r="G108" s="154" t="s">
        <v>6076</v>
      </c>
      <c r="H108" s="154" t="s">
        <v>5796</v>
      </c>
      <c r="I108" s="154" t="s">
        <v>6074</v>
      </c>
      <c r="J108" s="154" t="s">
        <v>5885</v>
      </c>
      <c r="K108" s="154"/>
      <c r="L108" s="154" t="s">
        <v>759</v>
      </c>
      <c r="M108" s="247" t="s">
        <v>445</v>
      </c>
      <c r="N108" s="247" t="s">
        <v>5733</v>
      </c>
      <c r="O108" s="240" t="str">
        <f t="shared" si="1"/>
        <v/>
      </c>
      <c r="P108" s="154" t="s">
        <v>66</v>
      </c>
      <c r="Q108" s="154" t="s">
        <v>66</v>
      </c>
      <c r="R108" s="154" t="s">
        <v>66</v>
      </c>
      <c r="S108" s="154" t="s">
        <v>66</v>
      </c>
      <c r="T108" s="154" t="s">
        <v>66</v>
      </c>
      <c r="U108" s="154" t="s">
        <v>66</v>
      </c>
      <c r="V108" s="154" t="s">
        <v>66</v>
      </c>
      <c r="W108" s="154" t="s">
        <v>66</v>
      </c>
      <c r="X108" s="154" t="s">
        <v>66</v>
      </c>
      <c r="Y108" s="154"/>
      <c r="Z108" s="242" t="b">
        <f t="shared" si="2"/>
        <v>1</v>
      </c>
      <c r="AA108" s="154" t="s">
        <v>391</v>
      </c>
      <c r="AB108" s="242" t="b">
        <f t="shared" si="3"/>
        <v>0</v>
      </c>
      <c r="AC108" s="154"/>
      <c r="AD108" s="242" t="b">
        <f t="shared" si="4"/>
        <v>0</v>
      </c>
      <c r="AE108" s="154" t="s">
        <v>1006</v>
      </c>
      <c r="AF108" s="242" t="str">
        <f>IF(AE108="","N/A",INDIRECT("MTR!"&amp;ADDRESS(MATCH(LEFT(AE108,9),MTR!C:C,0),COLUMN(J108)),TRUE) &amp; "")</f>
        <v>Complies</v>
      </c>
      <c r="AG108" s="157" t="str">
        <f t="shared" si="5"/>
        <v/>
      </c>
      <c r="AH108" s="170"/>
      <c r="AI108" s="152"/>
      <c r="AJ108" s="152"/>
      <c r="AK108" s="152"/>
      <c r="AL108" s="152"/>
      <c r="AM108" s="152"/>
      <c r="AN108" s="152"/>
      <c r="AO108" s="152"/>
      <c r="AP108" s="152"/>
      <c r="AQ108" s="152"/>
      <c r="AR108" s="152"/>
    </row>
    <row r="109" ht="12.75" customHeight="1">
      <c r="A109" s="244" t="s">
        <v>5158</v>
      </c>
      <c r="B109" s="244" t="s">
        <v>5725</v>
      </c>
      <c r="C109" s="244" t="s">
        <v>6077</v>
      </c>
      <c r="D109" s="154" t="s">
        <v>581</v>
      </c>
      <c r="E109" s="154"/>
      <c r="F109" s="154" t="str">
        <f t="array" ref="F109">XLOOKUP(Cover!$D$12,$P$1:$X$1,$P109:$X109)</f>
        <v>Mandatory</v>
      </c>
      <c r="G109" s="154" t="s">
        <v>6078</v>
      </c>
      <c r="H109" s="154" t="s">
        <v>6079</v>
      </c>
      <c r="I109" s="154" t="s">
        <v>6080</v>
      </c>
      <c r="J109" s="154" t="s">
        <v>5745</v>
      </c>
      <c r="K109" s="154" t="s">
        <v>1005</v>
      </c>
      <c r="L109" s="154" t="s">
        <v>759</v>
      </c>
      <c r="M109" s="247" t="s">
        <v>445</v>
      </c>
      <c r="N109" s="247" t="s">
        <v>5733</v>
      </c>
      <c r="O109" s="240" t="str">
        <f t="shared" si="1"/>
        <v/>
      </c>
      <c r="P109" s="154" t="s">
        <v>66</v>
      </c>
      <c r="Q109" s="154" t="s">
        <v>66</v>
      </c>
      <c r="R109" s="154" t="s">
        <v>66</v>
      </c>
      <c r="S109" s="154" t="s">
        <v>60</v>
      </c>
      <c r="T109" s="154" t="s">
        <v>60</v>
      </c>
      <c r="U109" s="154" t="s">
        <v>60</v>
      </c>
      <c r="V109" s="154" t="s">
        <v>66</v>
      </c>
      <c r="W109" s="154" t="s">
        <v>66</v>
      </c>
      <c r="X109" s="154" t="s">
        <v>60</v>
      </c>
      <c r="Y109" s="154"/>
      <c r="Z109" s="242" t="b">
        <f t="shared" si="2"/>
        <v>1</v>
      </c>
      <c r="AA109" s="154" t="s">
        <v>391</v>
      </c>
      <c r="AB109" s="242" t="b">
        <f t="shared" si="3"/>
        <v>0</v>
      </c>
      <c r="AC109" s="154"/>
      <c r="AD109" s="242" t="b">
        <f t="shared" si="4"/>
        <v>0</v>
      </c>
      <c r="AE109" s="154" t="s">
        <v>1006</v>
      </c>
      <c r="AF109" s="242" t="str">
        <f>IF(AE109="","N/A",INDIRECT("MTR!"&amp;ADDRESS(MATCH(LEFT(AE109,9),MTR!C:C,0),COLUMN(J109)),TRUE) &amp; "")</f>
        <v>Complies</v>
      </c>
      <c r="AG109" s="157" t="str">
        <f t="shared" si="5"/>
        <v/>
      </c>
      <c r="AH109" s="170"/>
      <c r="AI109" s="152"/>
      <c r="AJ109" s="152"/>
      <c r="AK109" s="152"/>
      <c r="AL109" s="152"/>
      <c r="AM109" s="152"/>
      <c r="AN109" s="152"/>
      <c r="AO109" s="152"/>
      <c r="AP109" s="152"/>
      <c r="AQ109" s="152"/>
      <c r="AR109" s="152"/>
    </row>
    <row r="110" ht="12.75" customHeight="1">
      <c r="A110" s="244" t="s">
        <v>5158</v>
      </c>
      <c r="B110" s="244" t="s">
        <v>5725</v>
      </c>
      <c r="C110" s="244" t="s">
        <v>6081</v>
      </c>
      <c r="D110" s="154" t="s">
        <v>1120</v>
      </c>
      <c r="E110" s="154"/>
      <c r="F110" s="154" t="str">
        <f t="array" ref="F110">XLOOKUP(Cover!$D$12,$P$1:$X$1,$P110:$X110)</f>
        <v>Information</v>
      </c>
      <c r="G110" s="154" t="s">
        <v>6082</v>
      </c>
      <c r="H110" s="154" t="s">
        <v>6079</v>
      </c>
      <c r="I110" s="154" t="s">
        <v>6080</v>
      </c>
      <c r="J110" s="154" t="s">
        <v>5745</v>
      </c>
      <c r="K110" s="154"/>
      <c r="L110" s="154" t="s">
        <v>759</v>
      </c>
      <c r="M110" s="247" t="s">
        <v>445</v>
      </c>
      <c r="N110" s="247" t="s">
        <v>5733</v>
      </c>
      <c r="O110" s="240" t="str">
        <f t="shared" si="1"/>
        <v/>
      </c>
      <c r="P110" s="154" t="s">
        <v>66</v>
      </c>
      <c r="Q110" s="154" t="s">
        <v>66</v>
      </c>
      <c r="R110" s="154" t="s">
        <v>66</v>
      </c>
      <c r="S110" s="154" t="s">
        <v>66</v>
      </c>
      <c r="T110" s="154" t="s">
        <v>66</v>
      </c>
      <c r="U110" s="154" t="s">
        <v>66</v>
      </c>
      <c r="V110" s="154" t="s">
        <v>66</v>
      </c>
      <c r="W110" s="154" t="s">
        <v>66</v>
      </c>
      <c r="X110" s="154" t="s">
        <v>66</v>
      </c>
      <c r="Y110" s="154"/>
      <c r="Z110" s="242" t="b">
        <f t="shared" si="2"/>
        <v>1</v>
      </c>
      <c r="AA110" s="154" t="s">
        <v>391</v>
      </c>
      <c r="AB110" s="242" t="b">
        <f t="shared" si="3"/>
        <v>0</v>
      </c>
      <c r="AC110" s="154"/>
      <c r="AD110" s="242" t="b">
        <f t="shared" si="4"/>
        <v>0</v>
      </c>
      <c r="AE110" s="154" t="s">
        <v>1006</v>
      </c>
      <c r="AF110" s="242" t="str">
        <f>IF(AE110="","N/A",INDIRECT("MTR!"&amp;ADDRESS(MATCH(LEFT(AE110,9),MTR!C:C,0),COLUMN(J110)),TRUE) &amp; "")</f>
        <v>Complies</v>
      </c>
      <c r="AG110" s="157" t="str">
        <f t="shared" si="5"/>
        <v/>
      </c>
      <c r="AH110" s="170"/>
      <c r="AI110" s="152"/>
      <c r="AJ110" s="152"/>
      <c r="AK110" s="152"/>
      <c r="AL110" s="152"/>
      <c r="AM110" s="152"/>
      <c r="AN110" s="152"/>
      <c r="AO110" s="152"/>
      <c r="AP110" s="152"/>
      <c r="AQ110" s="152"/>
      <c r="AR110" s="152"/>
    </row>
    <row r="111" ht="12.75" customHeight="1">
      <c r="A111" s="244" t="s">
        <v>5158</v>
      </c>
      <c r="B111" s="244" t="s">
        <v>5725</v>
      </c>
      <c r="C111" s="244" t="s">
        <v>6083</v>
      </c>
      <c r="D111" s="154" t="s">
        <v>433</v>
      </c>
      <c r="E111" s="154"/>
      <c r="F111" s="154" t="str">
        <f t="array" ref="F111">XLOOKUP(Cover!$D$12,$P$1:$X$1,$P111:$X111)</f>
        <v>Information</v>
      </c>
      <c r="G111" s="154" t="s">
        <v>6084</v>
      </c>
      <c r="H111" s="154" t="s">
        <v>6085</v>
      </c>
      <c r="I111" s="154" t="s">
        <v>6086</v>
      </c>
      <c r="J111" s="154" t="s">
        <v>5969</v>
      </c>
      <c r="K111" s="154"/>
      <c r="L111" s="154" t="s">
        <v>759</v>
      </c>
      <c r="M111" s="247" t="s">
        <v>445</v>
      </c>
      <c r="N111" s="247" t="s">
        <v>5733</v>
      </c>
      <c r="O111" s="240" t="str">
        <f t="shared" si="1"/>
        <v/>
      </c>
      <c r="P111" s="154" t="s">
        <v>66</v>
      </c>
      <c r="Q111" s="154" t="s">
        <v>66</v>
      </c>
      <c r="R111" s="154" t="s">
        <v>66</v>
      </c>
      <c r="S111" s="154" t="s">
        <v>66</v>
      </c>
      <c r="T111" s="154" t="s">
        <v>66</v>
      </c>
      <c r="U111" s="154" t="s">
        <v>66</v>
      </c>
      <c r="V111" s="154" t="s">
        <v>66</v>
      </c>
      <c r="W111" s="154" t="s">
        <v>66</v>
      </c>
      <c r="X111" s="154" t="s">
        <v>66</v>
      </c>
      <c r="Y111" s="154"/>
      <c r="Z111" s="242" t="b">
        <f t="shared" si="2"/>
        <v>1</v>
      </c>
      <c r="AA111" s="154" t="s">
        <v>391</v>
      </c>
      <c r="AB111" s="242" t="b">
        <f t="shared" si="3"/>
        <v>0</v>
      </c>
      <c r="AC111" s="154"/>
      <c r="AD111" s="242" t="b">
        <f t="shared" si="4"/>
        <v>0</v>
      </c>
      <c r="AE111" s="154" t="s">
        <v>1006</v>
      </c>
      <c r="AF111" s="242" t="str">
        <f>IF(AE111="","N/A",INDIRECT("MTR!"&amp;ADDRESS(MATCH(LEFT(AE111,9),MTR!C:C,0),COLUMN(J111)),TRUE) &amp; "")</f>
        <v>Complies</v>
      </c>
      <c r="AG111" s="157" t="str">
        <f t="shared" si="5"/>
        <v/>
      </c>
      <c r="AH111" s="170"/>
      <c r="AI111" s="152"/>
      <c r="AJ111" s="152"/>
      <c r="AK111" s="152"/>
      <c r="AL111" s="152"/>
      <c r="AM111" s="152"/>
      <c r="AN111" s="152"/>
      <c r="AO111" s="152"/>
      <c r="AP111" s="152"/>
      <c r="AQ111" s="152"/>
      <c r="AR111" s="152"/>
    </row>
    <row r="112" ht="12.75" customHeight="1">
      <c r="A112" s="244" t="s">
        <v>5158</v>
      </c>
      <c r="B112" s="244" t="s">
        <v>5725</v>
      </c>
      <c r="C112" s="244" t="s">
        <v>6087</v>
      </c>
      <c r="D112" s="154" t="s">
        <v>433</v>
      </c>
      <c r="E112" s="154"/>
      <c r="F112" s="154" t="str">
        <f t="array" ref="F112">XLOOKUP(Cover!$D$12,$P$1:$X$1,$P112:$X112)</f>
        <v>Mandatory</v>
      </c>
      <c r="G112" s="154" t="s">
        <v>6088</v>
      </c>
      <c r="H112" s="154" t="s">
        <v>6085</v>
      </c>
      <c r="I112" s="154" t="s">
        <v>6086</v>
      </c>
      <c r="J112" s="154" t="s">
        <v>5969</v>
      </c>
      <c r="K112" s="154" t="s">
        <v>1005</v>
      </c>
      <c r="L112" s="154" t="s">
        <v>759</v>
      </c>
      <c r="M112" s="247" t="s">
        <v>445</v>
      </c>
      <c r="N112" s="247" t="s">
        <v>5733</v>
      </c>
      <c r="O112" s="240" t="str">
        <f t="shared" si="1"/>
        <v/>
      </c>
      <c r="P112" s="154" t="s">
        <v>66</v>
      </c>
      <c r="Q112" s="154" t="s">
        <v>66</v>
      </c>
      <c r="R112" s="154" t="s">
        <v>66</v>
      </c>
      <c r="S112" s="154" t="s">
        <v>60</v>
      </c>
      <c r="T112" s="154" t="s">
        <v>60</v>
      </c>
      <c r="U112" s="154" t="s">
        <v>60</v>
      </c>
      <c r="V112" s="154" t="s">
        <v>66</v>
      </c>
      <c r="W112" s="154" t="s">
        <v>66</v>
      </c>
      <c r="X112" s="154" t="s">
        <v>60</v>
      </c>
      <c r="Y112" s="154"/>
      <c r="Z112" s="242" t="b">
        <f t="shared" si="2"/>
        <v>1</v>
      </c>
      <c r="AA112" s="154" t="s">
        <v>391</v>
      </c>
      <c r="AB112" s="242" t="b">
        <f t="shared" si="3"/>
        <v>0</v>
      </c>
      <c r="AC112" s="154"/>
      <c r="AD112" s="242" t="b">
        <f t="shared" si="4"/>
        <v>0</v>
      </c>
      <c r="AE112" s="154" t="s">
        <v>1006</v>
      </c>
      <c r="AF112" s="242" t="str">
        <f>IF(AE112="","N/A",INDIRECT("MTR!"&amp;ADDRESS(MATCH(LEFT(AE112,9),MTR!C:C,0),COLUMN(J112)),TRUE) &amp; "")</f>
        <v>Complies</v>
      </c>
      <c r="AG112" s="157" t="str">
        <f t="shared" si="5"/>
        <v/>
      </c>
      <c r="AH112" s="170"/>
      <c r="AI112" s="152"/>
      <c r="AJ112" s="152"/>
      <c r="AK112" s="152"/>
      <c r="AL112" s="152"/>
      <c r="AM112" s="152"/>
      <c r="AN112" s="152"/>
      <c r="AO112" s="152"/>
      <c r="AP112" s="152"/>
      <c r="AQ112" s="152"/>
      <c r="AR112" s="152"/>
    </row>
    <row r="113" ht="12.75" customHeight="1">
      <c r="A113" s="244" t="s">
        <v>5158</v>
      </c>
      <c r="B113" s="244" t="s">
        <v>5725</v>
      </c>
      <c r="C113" s="244" t="s">
        <v>6089</v>
      </c>
      <c r="D113" s="154" t="s">
        <v>492</v>
      </c>
      <c r="E113" s="154"/>
      <c r="F113" s="154" t="str">
        <f t="array" ref="F113">XLOOKUP(Cover!$D$12,$P$1:$X$1,$P113:$X113)</f>
        <v>Information</v>
      </c>
      <c r="G113" s="154" t="s">
        <v>6090</v>
      </c>
      <c r="H113" s="154" t="s">
        <v>6085</v>
      </c>
      <c r="I113" s="154" t="s">
        <v>6086</v>
      </c>
      <c r="J113" s="154" t="s">
        <v>5969</v>
      </c>
      <c r="K113" s="154"/>
      <c r="L113" s="154" t="s">
        <v>759</v>
      </c>
      <c r="M113" s="247" t="s">
        <v>445</v>
      </c>
      <c r="N113" s="247" t="s">
        <v>5733</v>
      </c>
      <c r="O113" s="240" t="str">
        <f t="shared" si="1"/>
        <v/>
      </c>
      <c r="P113" s="154" t="s">
        <v>66</v>
      </c>
      <c r="Q113" s="154" t="s">
        <v>66</v>
      </c>
      <c r="R113" s="154" t="s">
        <v>66</v>
      </c>
      <c r="S113" s="154" t="s">
        <v>66</v>
      </c>
      <c r="T113" s="154" t="s">
        <v>66</v>
      </c>
      <c r="U113" s="154" t="s">
        <v>66</v>
      </c>
      <c r="V113" s="154" t="s">
        <v>66</v>
      </c>
      <c r="W113" s="154" t="s">
        <v>66</v>
      </c>
      <c r="X113" s="154" t="s">
        <v>66</v>
      </c>
      <c r="Y113" s="154"/>
      <c r="Z113" s="242" t="b">
        <f t="shared" si="2"/>
        <v>1</v>
      </c>
      <c r="AA113" s="154" t="s">
        <v>391</v>
      </c>
      <c r="AB113" s="242" t="b">
        <f t="shared" si="3"/>
        <v>0</v>
      </c>
      <c r="AC113" s="154"/>
      <c r="AD113" s="242" t="b">
        <f t="shared" si="4"/>
        <v>0</v>
      </c>
      <c r="AE113" s="154" t="s">
        <v>1006</v>
      </c>
      <c r="AF113" s="242" t="str">
        <f>IF(AE113="","N/A",INDIRECT("MTR!"&amp;ADDRESS(MATCH(LEFT(AE113,9),MTR!C:C,0),COLUMN(J113)),TRUE) &amp; "")</f>
        <v>Complies</v>
      </c>
      <c r="AG113" s="157" t="str">
        <f t="shared" si="5"/>
        <v/>
      </c>
      <c r="AH113" s="170"/>
      <c r="AI113" s="152"/>
      <c r="AJ113" s="152"/>
      <c r="AK113" s="152"/>
      <c r="AL113" s="152"/>
      <c r="AM113" s="152"/>
      <c r="AN113" s="152"/>
      <c r="AO113" s="152"/>
      <c r="AP113" s="152"/>
      <c r="AQ113" s="152"/>
      <c r="AR113" s="152"/>
    </row>
    <row r="114" ht="12.75" customHeight="1">
      <c r="A114" s="244" t="s">
        <v>5158</v>
      </c>
      <c r="B114" s="244" t="s">
        <v>5725</v>
      </c>
      <c r="C114" s="244" t="s">
        <v>6091</v>
      </c>
      <c r="D114" s="154" t="s">
        <v>484</v>
      </c>
      <c r="E114" s="154"/>
      <c r="F114" s="154" t="str">
        <f t="array" ref="F114">XLOOKUP(Cover!$D$12,$P$1:$X$1,$P114:$X114)</f>
        <v>Mandatory</v>
      </c>
      <c r="G114" s="154" t="s">
        <v>6092</v>
      </c>
      <c r="H114" s="154" t="s">
        <v>6093</v>
      </c>
      <c r="I114" s="154" t="s">
        <v>6094</v>
      </c>
      <c r="J114" s="154" t="s">
        <v>5745</v>
      </c>
      <c r="K114" s="154" t="s">
        <v>1005</v>
      </c>
      <c r="L114" s="154" t="s">
        <v>759</v>
      </c>
      <c r="M114" s="247" t="s">
        <v>445</v>
      </c>
      <c r="N114" s="247" t="s">
        <v>5733</v>
      </c>
      <c r="O114" s="240" t="str">
        <f t="shared" si="1"/>
        <v/>
      </c>
      <c r="P114" s="154" t="s">
        <v>66</v>
      </c>
      <c r="Q114" s="154" t="s">
        <v>66</v>
      </c>
      <c r="R114" s="154" t="s">
        <v>66</v>
      </c>
      <c r="S114" s="154" t="s">
        <v>60</v>
      </c>
      <c r="T114" s="154" t="s">
        <v>60</v>
      </c>
      <c r="U114" s="154" t="s">
        <v>60</v>
      </c>
      <c r="V114" s="154" t="s">
        <v>66</v>
      </c>
      <c r="W114" s="154" t="s">
        <v>66</v>
      </c>
      <c r="X114" s="154" t="s">
        <v>60</v>
      </c>
      <c r="Y114" s="154"/>
      <c r="Z114" s="242" t="b">
        <f t="shared" si="2"/>
        <v>1</v>
      </c>
      <c r="AA114" s="154" t="s">
        <v>391</v>
      </c>
      <c r="AB114" s="242" t="b">
        <f t="shared" si="3"/>
        <v>0</v>
      </c>
      <c r="AC114" s="154"/>
      <c r="AD114" s="242" t="b">
        <f t="shared" si="4"/>
        <v>0</v>
      </c>
      <c r="AE114" s="154" t="s">
        <v>1006</v>
      </c>
      <c r="AF114" s="242" t="str">
        <f>IF(AE114="","N/A",INDIRECT("MTR!"&amp;ADDRESS(MATCH(LEFT(AE114,9),MTR!C:C,0),COLUMN(J114)),TRUE) &amp; "")</f>
        <v>Complies</v>
      </c>
      <c r="AG114" s="157" t="str">
        <f t="shared" si="5"/>
        <v/>
      </c>
      <c r="AH114" s="170"/>
      <c r="AI114" s="152"/>
      <c r="AJ114" s="152"/>
      <c r="AK114" s="152"/>
      <c r="AL114" s="152"/>
      <c r="AM114" s="152"/>
      <c r="AN114" s="152"/>
      <c r="AO114" s="152"/>
      <c r="AP114" s="152"/>
      <c r="AQ114" s="152"/>
      <c r="AR114" s="152"/>
    </row>
    <row r="115" ht="12.75" customHeight="1">
      <c r="A115" s="244" t="s">
        <v>5158</v>
      </c>
      <c r="B115" s="244" t="s">
        <v>5725</v>
      </c>
      <c r="C115" s="244" t="s">
        <v>6095</v>
      </c>
      <c r="D115" s="154" t="s">
        <v>1120</v>
      </c>
      <c r="E115" s="154"/>
      <c r="F115" s="154" t="str">
        <f t="array" ref="F115">XLOOKUP(Cover!$D$12,$P$1:$X$1,$P115:$X115)</f>
        <v>Information</v>
      </c>
      <c r="G115" s="154" t="s">
        <v>6096</v>
      </c>
      <c r="H115" s="154" t="s">
        <v>6093</v>
      </c>
      <c r="I115" s="154" t="s">
        <v>6094</v>
      </c>
      <c r="J115" s="154" t="s">
        <v>5745</v>
      </c>
      <c r="K115" s="154"/>
      <c r="L115" s="154" t="s">
        <v>759</v>
      </c>
      <c r="M115" s="247" t="s">
        <v>445</v>
      </c>
      <c r="N115" s="247" t="s">
        <v>5733</v>
      </c>
      <c r="O115" s="240" t="str">
        <f t="shared" si="1"/>
        <v/>
      </c>
      <c r="P115" s="154" t="s">
        <v>66</v>
      </c>
      <c r="Q115" s="154" t="s">
        <v>66</v>
      </c>
      <c r="R115" s="154" t="s">
        <v>66</v>
      </c>
      <c r="S115" s="154" t="s">
        <v>66</v>
      </c>
      <c r="T115" s="154" t="s">
        <v>66</v>
      </c>
      <c r="U115" s="154" t="s">
        <v>66</v>
      </c>
      <c r="V115" s="154" t="s">
        <v>66</v>
      </c>
      <c r="W115" s="154" t="s">
        <v>66</v>
      </c>
      <c r="X115" s="154" t="s">
        <v>66</v>
      </c>
      <c r="Y115" s="154"/>
      <c r="Z115" s="242" t="b">
        <f t="shared" si="2"/>
        <v>1</v>
      </c>
      <c r="AA115" s="154" t="s">
        <v>391</v>
      </c>
      <c r="AB115" s="242" t="b">
        <f t="shared" si="3"/>
        <v>0</v>
      </c>
      <c r="AC115" s="154"/>
      <c r="AD115" s="242" t="b">
        <f t="shared" si="4"/>
        <v>0</v>
      </c>
      <c r="AE115" s="154" t="s">
        <v>1006</v>
      </c>
      <c r="AF115" s="242" t="str">
        <f>IF(AE115="","N/A",INDIRECT("MTR!"&amp;ADDRESS(MATCH(LEFT(AE115,9),MTR!C:C,0),COLUMN(J115)),TRUE) &amp; "")</f>
        <v>Complies</v>
      </c>
      <c r="AG115" s="157" t="str">
        <f t="shared" si="5"/>
        <v/>
      </c>
      <c r="AH115" s="170"/>
      <c r="AI115" s="152"/>
      <c r="AJ115" s="152"/>
      <c r="AK115" s="152"/>
      <c r="AL115" s="152"/>
      <c r="AM115" s="152"/>
      <c r="AN115" s="152"/>
      <c r="AO115" s="152"/>
      <c r="AP115" s="152"/>
      <c r="AQ115" s="152"/>
      <c r="AR115" s="152"/>
    </row>
    <row r="116" ht="12.75" customHeight="1">
      <c r="A116" s="244" t="s">
        <v>5158</v>
      </c>
      <c r="B116" s="244" t="s">
        <v>5725</v>
      </c>
      <c r="C116" s="244" t="s">
        <v>6097</v>
      </c>
      <c r="D116" s="154" t="s">
        <v>433</v>
      </c>
      <c r="E116" s="154"/>
      <c r="F116" s="154" t="str">
        <f t="array" ref="F116">XLOOKUP(Cover!$D$12,$P$1:$X$1,$P116:$X116)</f>
        <v>Mandatory</v>
      </c>
      <c r="G116" s="154" t="s">
        <v>6098</v>
      </c>
      <c r="H116" s="154" t="s">
        <v>6099</v>
      </c>
      <c r="I116" s="154" t="s">
        <v>6100</v>
      </c>
      <c r="J116" s="154" t="s">
        <v>5969</v>
      </c>
      <c r="K116" s="154" t="s">
        <v>1005</v>
      </c>
      <c r="L116" s="154" t="s">
        <v>759</v>
      </c>
      <c r="M116" s="247" t="s">
        <v>445</v>
      </c>
      <c r="N116" s="247" t="s">
        <v>5733</v>
      </c>
      <c r="O116" s="240" t="str">
        <f t="shared" si="1"/>
        <v/>
      </c>
      <c r="P116" s="154" t="s">
        <v>66</v>
      </c>
      <c r="Q116" s="154" t="s">
        <v>66</v>
      </c>
      <c r="R116" s="154" t="s">
        <v>66</v>
      </c>
      <c r="S116" s="154" t="s">
        <v>60</v>
      </c>
      <c r="T116" s="154" t="s">
        <v>60</v>
      </c>
      <c r="U116" s="154" t="s">
        <v>60</v>
      </c>
      <c r="V116" s="154" t="s">
        <v>66</v>
      </c>
      <c r="W116" s="154" t="s">
        <v>66</v>
      </c>
      <c r="X116" s="154" t="s">
        <v>60</v>
      </c>
      <c r="Y116" s="154"/>
      <c r="Z116" s="242" t="b">
        <f t="shared" si="2"/>
        <v>1</v>
      </c>
      <c r="AA116" s="154" t="s">
        <v>391</v>
      </c>
      <c r="AB116" s="242" t="b">
        <f t="shared" si="3"/>
        <v>0</v>
      </c>
      <c r="AC116" s="154"/>
      <c r="AD116" s="242" t="b">
        <f t="shared" si="4"/>
        <v>0</v>
      </c>
      <c r="AE116" s="154" t="s">
        <v>1006</v>
      </c>
      <c r="AF116" s="242" t="str">
        <f>IF(AE116="","N/A",INDIRECT("MTR!"&amp;ADDRESS(MATCH(LEFT(AE116,9),MTR!C:C,0),COLUMN(J116)),TRUE) &amp; "")</f>
        <v>Complies</v>
      </c>
      <c r="AG116" s="157" t="str">
        <f t="shared" si="5"/>
        <v/>
      </c>
      <c r="AH116" s="170"/>
      <c r="AI116" s="152"/>
      <c r="AJ116" s="152"/>
      <c r="AK116" s="152"/>
      <c r="AL116" s="152"/>
      <c r="AM116" s="152"/>
      <c r="AN116" s="152"/>
      <c r="AO116" s="152"/>
      <c r="AP116" s="152"/>
      <c r="AQ116" s="152"/>
      <c r="AR116" s="152"/>
    </row>
    <row r="117" ht="12.75" customHeight="1">
      <c r="A117" s="244" t="s">
        <v>5158</v>
      </c>
      <c r="B117" s="244" t="s">
        <v>5725</v>
      </c>
      <c r="C117" s="244" t="s">
        <v>6101</v>
      </c>
      <c r="D117" s="154" t="s">
        <v>462</v>
      </c>
      <c r="E117" s="154"/>
      <c r="F117" s="154" t="str">
        <f t="array" ref="F117">XLOOKUP(Cover!$D$12,$P$1:$X$1,$P117:$X117)</f>
        <v>Mandatory</v>
      </c>
      <c r="G117" s="154" t="s">
        <v>6102</v>
      </c>
      <c r="H117" s="154" t="s">
        <v>5796</v>
      </c>
      <c r="I117" s="154" t="s">
        <v>6103</v>
      </c>
      <c r="J117" s="154" t="s">
        <v>5871</v>
      </c>
      <c r="K117" s="154" t="s">
        <v>1012</v>
      </c>
      <c r="L117" s="154" t="s">
        <v>759</v>
      </c>
      <c r="M117" s="247" t="s">
        <v>445</v>
      </c>
      <c r="N117" s="247" t="s">
        <v>5733</v>
      </c>
      <c r="O117" s="240" t="str">
        <f t="shared" si="1"/>
        <v/>
      </c>
      <c r="P117" s="154" t="s">
        <v>66</v>
      </c>
      <c r="Q117" s="154" t="s">
        <v>66</v>
      </c>
      <c r="R117" s="154" t="s">
        <v>66</v>
      </c>
      <c r="S117" s="154" t="s">
        <v>60</v>
      </c>
      <c r="T117" s="154" t="s">
        <v>60</v>
      </c>
      <c r="U117" s="154" t="s">
        <v>60</v>
      </c>
      <c r="V117" s="154" t="s">
        <v>66</v>
      </c>
      <c r="W117" s="154" t="s">
        <v>66</v>
      </c>
      <c r="X117" s="154" t="s">
        <v>60</v>
      </c>
      <c r="Y117" s="154"/>
      <c r="Z117" s="242" t="b">
        <f t="shared" si="2"/>
        <v>1</v>
      </c>
      <c r="AA117" s="154" t="s">
        <v>391</v>
      </c>
      <c r="AB117" s="242" t="b">
        <f t="shared" si="3"/>
        <v>0</v>
      </c>
      <c r="AC117" s="154"/>
      <c r="AD117" s="242" t="b">
        <f t="shared" si="4"/>
        <v>0</v>
      </c>
      <c r="AE117" s="154" t="s">
        <v>1006</v>
      </c>
      <c r="AF117" s="242" t="str">
        <f>IF(AE117="","N/A",INDIRECT("MTR!"&amp;ADDRESS(MATCH(LEFT(AE117,9),MTR!C:C,0),COLUMN(J117)),TRUE) &amp; "")</f>
        <v>Complies</v>
      </c>
      <c r="AG117" s="157" t="str">
        <f t="shared" si="5"/>
        <v/>
      </c>
      <c r="AH117" s="170"/>
      <c r="AI117" s="152"/>
      <c r="AJ117" s="152"/>
      <c r="AK117" s="152"/>
      <c r="AL117" s="152"/>
      <c r="AM117" s="152"/>
      <c r="AN117" s="152"/>
      <c r="AO117" s="152"/>
      <c r="AP117" s="152"/>
      <c r="AQ117" s="152"/>
      <c r="AR117" s="152"/>
    </row>
    <row r="118" ht="12.75" customHeight="1">
      <c r="A118" s="244" t="s">
        <v>5158</v>
      </c>
      <c r="B118" s="244" t="s">
        <v>5725</v>
      </c>
      <c r="C118" s="244" t="s">
        <v>6104</v>
      </c>
      <c r="D118" s="154" t="s">
        <v>1120</v>
      </c>
      <c r="E118" s="154"/>
      <c r="F118" s="154" t="str">
        <f t="array" ref="F118">XLOOKUP(Cover!$D$12,$P$1:$X$1,$P118:$X118)</f>
        <v>Recommended</v>
      </c>
      <c r="G118" s="154" t="s">
        <v>6105</v>
      </c>
      <c r="H118" s="154" t="s">
        <v>6106</v>
      </c>
      <c r="I118" s="154" t="s">
        <v>6107</v>
      </c>
      <c r="J118" s="154" t="s">
        <v>5732</v>
      </c>
      <c r="K118" s="154" t="s">
        <v>241</v>
      </c>
      <c r="L118" s="154" t="s">
        <v>759</v>
      </c>
      <c r="M118" s="247" t="s">
        <v>516</v>
      </c>
      <c r="N118" s="247" t="s">
        <v>5876</v>
      </c>
      <c r="O118" s="240" t="str">
        <f t="shared" si="1"/>
        <v/>
      </c>
      <c r="P118" s="154" t="s">
        <v>66</v>
      </c>
      <c r="Q118" s="154" t="s">
        <v>66</v>
      </c>
      <c r="R118" s="154" t="s">
        <v>66</v>
      </c>
      <c r="S118" s="155" t="s">
        <v>64</v>
      </c>
      <c r="T118" s="155" t="s">
        <v>64</v>
      </c>
      <c r="U118" s="155" t="s">
        <v>64</v>
      </c>
      <c r="V118" s="154" t="s">
        <v>66</v>
      </c>
      <c r="W118" s="154" t="s">
        <v>66</v>
      </c>
      <c r="X118" s="155" t="s">
        <v>64</v>
      </c>
      <c r="Y118" s="154"/>
      <c r="Z118" s="242" t="b">
        <f t="shared" si="2"/>
        <v>1</v>
      </c>
      <c r="AA118" s="154" t="s">
        <v>391</v>
      </c>
      <c r="AB118" s="242" t="b">
        <f t="shared" si="3"/>
        <v>0</v>
      </c>
      <c r="AC118" s="154"/>
      <c r="AD118" s="242" t="b">
        <f t="shared" si="4"/>
        <v>0</v>
      </c>
      <c r="AE118" s="154" t="s">
        <v>1006</v>
      </c>
      <c r="AF118" s="242" t="str">
        <f>IF(AE118="","N/A",INDIRECT("MTR!"&amp;ADDRESS(MATCH(LEFT(AE118,9),MTR!C:C,0),COLUMN(J118)),TRUE) &amp; "")</f>
        <v>Complies</v>
      </c>
      <c r="AG118" s="157" t="str">
        <f t="shared" si="5"/>
        <v/>
      </c>
      <c r="AH118" s="170"/>
      <c r="AI118" s="152"/>
      <c r="AJ118" s="152"/>
      <c r="AK118" s="152"/>
      <c r="AL118" s="152"/>
      <c r="AM118" s="152"/>
      <c r="AN118" s="152"/>
      <c r="AO118" s="152"/>
      <c r="AP118" s="152"/>
      <c r="AQ118" s="152"/>
      <c r="AR118" s="152"/>
    </row>
    <row r="119" ht="12.75" customHeight="1">
      <c r="A119" s="244" t="s">
        <v>5158</v>
      </c>
      <c r="B119" s="244" t="s">
        <v>5725</v>
      </c>
      <c r="C119" s="244" t="s">
        <v>6108</v>
      </c>
      <c r="D119" s="154" t="s">
        <v>492</v>
      </c>
      <c r="E119" s="154"/>
      <c r="F119" s="154" t="str">
        <f t="array" ref="F119">XLOOKUP(Cover!$D$12,$P$1:$X$1,$P119:$X119)</f>
        <v>Information</v>
      </c>
      <c r="G119" s="154" t="s">
        <v>6109</v>
      </c>
      <c r="H119" s="154" t="s">
        <v>6110</v>
      </c>
      <c r="I119" s="154" t="s">
        <v>6111</v>
      </c>
      <c r="J119" s="154" t="s">
        <v>5827</v>
      </c>
      <c r="K119" s="154"/>
      <c r="L119" s="154" t="s">
        <v>759</v>
      </c>
      <c r="M119" s="247" t="s">
        <v>516</v>
      </c>
      <c r="N119" s="247" t="s">
        <v>5876</v>
      </c>
      <c r="O119" s="240" t="str">
        <f t="shared" si="1"/>
        <v/>
      </c>
      <c r="P119" s="154" t="s">
        <v>66</v>
      </c>
      <c r="Q119" s="154" t="s">
        <v>66</v>
      </c>
      <c r="R119" s="154" t="s">
        <v>66</v>
      </c>
      <c r="S119" s="154" t="s">
        <v>66</v>
      </c>
      <c r="T119" s="154" t="s">
        <v>66</v>
      </c>
      <c r="U119" s="154" t="s">
        <v>66</v>
      </c>
      <c r="V119" s="154" t="s">
        <v>66</v>
      </c>
      <c r="W119" s="154" t="s">
        <v>66</v>
      </c>
      <c r="X119" s="154" t="s">
        <v>66</v>
      </c>
      <c r="Y119" s="154"/>
      <c r="Z119" s="242" t="b">
        <f t="shared" si="2"/>
        <v>1</v>
      </c>
      <c r="AA119" s="154" t="s">
        <v>391</v>
      </c>
      <c r="AB119" s="242" t="b">
        <f t="shared" si="3"/>
        <v>0</v>
      </c>
      <c r="AC119" s="154"/>
      <c r="AD119" s="242" t="b">
        <f t="shared" si="4"/>
        <v>0</v>
      </c>
      <c r="AE119" s="154" t="s">
        <v>1006</v>
      </c>
      <c r="AF119" s="242" t="str">
        <f>IF(AE119="","N/A",INDIRECT("MTR!"&amp;ADDRESS(MATCH(LEFT(AE119,9),MTR!C:C,0),COLUMN(J119)),TRUE) &amp; "")</f>
        <v>Complies</v>
      </c>
      <c r="AG119" s="157" t="str">
        <f t="shared" si="5"/>
        <v/>
      </c>
      <c r="AH119" s="170"/>
      <c r="AI119" s="152"/>
      <c r="AJ119" s="152"/>
      <c r="AK119" s="152"/>
      <c r="AL119" s="152"/>
      <c r="AM119" s="152"/>
      <c r="AN119" s="152"/>
      <c r="AO119" s="152"/>
      <c r="AP119" s="152"/>
      <c r="AQ119" s="152"/>
      <c r="AR119" s="152"/>
    </row>
    <row r="120" ht="12.75" customHeight="1">
      <c r="A120" s="244" t="s">
        <v>5158</v>
      </c>
      <c r="B120" s="244" t="s">
        <v>5725</v>
      </c>
      <c r="C120" s="244" t="s">
        <v>6112</v>
      </c>
      <c r="D120" s="154" t="s">
        <v>1120</v>
      </c>
      <c r="E120" s="154"/>
      <c r="F120" s="154" t="str">
        <f t="array" ref="F120">XLOOKUP(Cover!$D$12,$P$1:$X$1,$P120:$X120)</f>
        <v>Mandatory</v>
      </c>
      <c r="G120" s="154" t="s">
        <v>6113</v>
      </c>
      <c r="H120" s="154" t="s">
        <v>6114</v>
      </c>
      <c r="I120" s="154" t="s">
        <v>6115</v>
      </c>
      <c r="J120" s="154" t="s">
        <v>5890</v>
      </c>
      <c r="K120" s="154" t="s">
        <v>1012</v>
      </c>
      <c r="L120" s="154" t="s">
        <v>759</v>
      </c>
      <c r="M120" s="247" t="s">
        <v>445</v>
      </c>
      <c r="N120" s="247" t="s">
        <v>5733</v>
      </c>
      <c r="O120" s="240" t="str">
        <f t="shared" si="1"/>
        <v/>
      </c>
      <c r="P120" s="154" t="s">
        <v>66</v>
      </c>
      <c r="Q120" s="154" t="s">
        <v>66</v>
      </c>
      <c r="R120" s="154" t="s">
        <v>66</v>
      </c>
      <c r="S120" s="154" t="s">
        <v>60</v>
      </c>
      <c r="T120" s="154" t="s">
        <v>60</v>
      </c>
      <c r="U120" s="154" t="s">
        <v>60</v>
      </c>
      <c r="V120" s="154" t="s">
        <v>66</v>
      </c>
      <c r="W120" s="154" t="s">
        <v>66</v>
      </c>
      <c r="X120" s="154" t="s">
        <v>60</v>
      </c>
      <c r="Y120" s="154"/>
      <c r="Z120" s="242" t="b">
        <f t="shared" si="2"/>
        <v>1</v>
      </c>
      <c r="AA120" s="154" t="s">
        <v>391</v>
      </c>
      <c r="AB120" s="242" t="b">
        <f t="shared" si="3"/>
        <v>0</v>
      </c>
      <c r="AC120" s="154"/>
      <c r="AD120" s="242" t="b">
        <f t="shared" si="4"/>
        <v>0</v>
      </c>
      <c r="AE120" s="154" t="s">
        <v>1006</v>
      </c>
      <c r="AF120" s="242" t="str">
        <f>IF(AE120="","N/A",INDIRECT("MTR!"&amp;ADDRESS(MATCH(LEFT(AE120,9),MTR!C:C,0),COLUMN(J120)),TRUE) &amp; "")</f>
        <v>Complies</v>
      </c>
      <c r="AG120" s="157" t="str">
        <f t="shared" si="5"/>
        <v/>
      </c>
      <c r="AH120" s="170"/>
      <c r="AI120" s="152"/>
      <c r="AJ120" s="152"/>
      <c r="AK120" s="152"/>
      <c r="AL120" s="152"/>
      <c r="AM120" s="152"/>
      <c r="AN120" s="152"/>
      <c r="AO120" s="152"/>
      <c r="AP120" s="152"/>
      <c r="AQ120" s="152"/>
      <c r="AR120" s="152"/>
    </row>
    <row r="121" ht="12.75" customHeight="1">
      <c r="A121" s="244" t="s">
        <v>5158</v>
      </c>
      <c r="B121" s="244" t="s">
        <v>5725</v>
      </c>
      <c r="C121" s="245" t="s">
        <v>6116</v>
      </c>
      <c r="D121" s="155" t="s">
        <v>1120</v>
      </c>
      <c r="E121" s="154" t="s">
        <v>92</v>
      </c>
      <c r="F121" s="154" t="str">
        <f t="array" ref="F121">XLOOKUP(Cover!$D$12,$P$1:$X$1,$P121:$X121)</f>
        <v>Recommended</v>
      </c>
      <c r="G121" s="154" t="s">
        <v>6117</v>
      </c>
      <c r="H121" s="154" t="s">
        <v>6118</v>
      </c>
      <c r="I121" s="154" t="s">
        <v>6119</v>
      </c>
      <c r="J121" s="154" t="s">
        <v>6027</v>
      </c>
      <c r="K121" s="154"/>
      <c r="L121" s="154" t="s">
        <v>759</v>
      </c>
      <c r="M121" s="247" t="s">
        <v>445</v>
      </c>
      <c r="N121" s="247" t="s">
        <v>5733</v>
      </c>
      <c r="O121" s="240" t="str">
        <f t="shared" si="1"/>
        <v/>
      </c>
      <c r="P121" s="154" t="s">
        <v>66</v>
      </c>
      <c r="Q121" s="154" t="s">
        <v>66</v>
      </c>
      <c r="R121" s="154" t="s">
        <v>66</v>
      </c>
      <c r="S121" s="154" t="s">
        <v>64</v>
      </c>
      <c r="T121" s="154" t="s">
        <v>64</v>
      </c>
      <c r="U121" s="154" t="s">
        <v>64</v>
      </c>
      <c r="V121" s="154" t="s">
        <v>66</v>
      </c>
      <c r="W121" s="154" t="s">
        <v>66</v>
      </c>
      <c r="X121" s="154" t="s">
        <v>64</v>
      </c>
      <c r="Y121" s="154"/>
      <c r="Z121" s="242" t="b">
        <f t="shared" si="2"/>
        <v>1</v>
      </c>
      <c r="AA121" s="154" t="s">
        <v>391</v>
      </c>
      <c r="AB121" s="242" t="b">
        <f t="shared" si="3"/>
        <v>0</v>
      </c>
      <c r="AC121" s="154"/>
      <c r="AD121" s="242" t="b">
        <f t="shared" si="4"/>
        <v>0</v>
      </c>
      <c r="AE121" s="154" t="s">
        <v>1006</v>
      </c>
      <c r="AF121" s="242" t="str">
        <f>IF(AE121="","N/A",INDIRECT("MTR!"&amp;ADDRESS(MATCH(LEFT(AE121,9),MTR!C:C,0),COLUMN(J121)),TRUE) &amp; "")</f>
        <v>Complies</v>
      </c>
      <c r="AG121" s="157" t="str">
        <f t="shared" si="5"/>
        <v/>
      </c>
      <c r="AH121" s="170"/>
      <c r="AI121" s="152"/>
      <c r="AJ121" s="152"/>
      <c r="AK121" s="152"/>
      <c r="AL121" s="152"/>
      <c r="AM121" s="152"/>
      <c r="AN121" s="152"/>
      <c r="AO121" s="152"/>
      <c r="AP121" s="152"/>
      <c r="AQ121" s="152"/>
      <c r="AR121" s="152"/>
    </row>
    <row r="122" ht="12.75" customHeight="1">
      <c r="A122" s="244" t="s">
        <v>5158</v>
      </c>
      <c r="B122" s="244" t="s">
        <v>5725</v>
      </c>
      <c r="C122" s="244" t="s">
        <v>6120</v>
      </c>
      <c r="D122" s="154" t="s">
        <v>462</v>
      </c>
      <c r="E122" s="154"/>
      <c r="F122" s="154" t="str">
        <f t="array" ref="F122">XLOOKUP(Cover!$D$12,$P$1:$X$1,$P122:$X122)</f>
        <v>Mandatory</v>
      </c>
      <c r="G122" s="154" t="s">
        <v>6121</v>
      </c>
      <c r="H122" s="154" t="s">
        <v>5814</v>
      </c>
      <c r="I122" s="154" t="s">
        <v>6122</v>
      </c>
      <c r="J122" s="154" t="s">
        <v>5827</v>
      </c>
      <c r="K122" s="154" t="s">
        <v>1012</v>
      </c>
      <c r="L122" s="154" t="s">
        <v>759</v>
      </c>
      <c r="M122" s="247" t="s">
        <v>445</v>
      </c>
      <c r="N122" s="247" t="s">
        <v>5733</v>
      </c>
      <c r="O122" s="240" t="str">
        <f t="shared" si="1"/>
        <v/>
      </c>
      <c r="P122" s="154" t="s">
        <v>66</v>
      </c>
      <c r="Q122" s="154" t="s">
        <v>66</v>
      </c>
      <c r="R122" s="154" t="s">
        <v>66</v>
      </c>
      <c r="S122" s="154" t="s">
        <v>60</v>
      </c>
      <c r="T122" s="154" t="s">
        <v>60</v>
      </c>
      <c r="U122" s="154" t="s">
        <v>60</v>
      </c>
      <c r="V122" s="154" t="s">
        <v>66</v>
      </c>
      <c r="W122" s="154" t="s">
        <v>66</v>
      </c>
      <c r="X122" s="154" t="s">
        <v>60</v>
      </c>
      <c r="Y122" s="154"/>
      <c r="Z122" s="242" t="b">
        <f t="shared" si="2"/>
        <v>1</v>
      </c>
      <c r="AA122" s="154" t="s">
        <v>391</v>
      </c>
      <c r="AB122" s="242" t="b">
        <f t="shared" si="3"/>
        <v>0</v>
      </c>
      <c r="AC122" s="154"/>
      <c r="AD122" s="242" t="b">
        <f t="shared" si="4"/>
        <v>0</v>
      </c>
      <c r="AE122" s="154" t="s">
        <v>1006</v>
      </c>
      <c r="AF122" s="242" t="str">
        <f>IF(AE122="","N/A",INDIRECT("MTR!"&amp;ADDRESS(MATCH(LEFT(AE122,9),MTR!C:C,0),COLUMN(J122)),TRUE) &amp; "")</f>
        <v>Complies</v>
      </c>
      <c r="AG122" s="157" t="str">
        <f t="shared" si="5"/>
        <v/>
      </c>
      <c r="AH122" s="170"/>
      <c r="AI122" s="152"/>
      <c r="AJ122" s="152"/>
      <c r="AK122" s="152"/>
      <c r="AL122" s="152"/>
      <c r="AM122" s="152"/>
      <c r="AN122" s="152"/>
      <c r="AO122" s="152"/>
      <c r="AP122" s="152"/>
      <c r="AQ122" s="152"/>
      <c r="AR122" s="152"/>
    </row>
    <row r="123" ht="12.75" customHeight="1">
      <c r="A123" s="244" t="s">
        <v>5158</v>
      </c>
      <c r="B123" s="244" t="s">
        <v>5725</v>
      </c>
      <c r="C123" s="244" t="s">
        <v>6123</v>
      </c>
      <c r="D123" s="154" t="s">
        <v>1773</v>
      </c>
      <c r="E123" s="154"/>
      <c r="F123" s="154" t="str">
        <f t="array" ref="F123">XLOOKUP(Cover!$D$12,$P$1:$X$1,$P123:$X123)</f>
        <v>Information</v>
      </c>
      <c r="G123" s="154" t="s">
        <v>6124</v>
      </c>
      <c r="H123" s="154" t="s">
        <v>6062</v>
      </c>
      <c r="I123" s="154" t="s">
        <v>6125</v>
      </c>
      <c r="J123" s="154" t="s">
        <v>6126</v>
      </c>
      <c r="K123" s="154"/>
      <c r="L123" s="154" t="s">
        <v>759</v>
      </c>
      <c r="M123" s="247" t="s">
        <v>445</v>
      </c>
      <c r="N123" s="247" t="s">
        <v>5733</v>
      </c>
      <c r="O123" s="240" t="str">
        <f t="shared" si="1"/>
        <v/>
      </c>
      <c r="P123" s="154" t="s">
        <v>66</v>
      </c>
      <c r="Q123" s="154" t="s">
        <v>66</v>
      </c>
      <c r="R123" s="154" t="s">
        <v>66</v>
      </c>
      <c r="S123" s="154" t="s">
        <v>66</v>
      </c>
      <c r="T123" s="154" t="s">
        <v>66</v>
      </c>
      <c r="U123" s="154" t="s">
        <v>66</v>
      </c>
      <c r="V123" s="154" t="s">
        <v>66</v>
      </c>
      <c r="W123" s="154" t="s">
        <v>66</v>
      </c>
      <c r="X123" s="154" t="s">
        <v>66</v>
      </c>
      <c r="Y123" s="154"/>
      <c r="Z123" s="242" t="b">
        <f t="shared" si="2"/>
        <v>1</v>
      </c>
      <c r="AA123" s="154" t="s">
        <v>391</v>
      </c>
      <c r="AB123" s="242" t="b">
        <f t="shared" si="3"/>
        <v>0</v>
      </c>
      <c r="AC123" s="154"/>
      <c r="AD123" s="242" t="b">
        <f t="shared" si="4"/>
        <v>0</v>
      </c>
      <c r="AE123" s="154" t="s">
        <v>1006</v>
      </c>
      <c r="AF123" s="242" t="str">
        <f>IF(AE123="","N/A",INDIRECT("MTR!"&amp;ADDRESS(MATCH(LEFT(AE123,9),MTR!C:C,0),COLUMN(J123)),TRUE) &amp; "")</f>
        <v>Complies</v>
      </c>
      <c r="AG123" s="157" t="str">
        <f t="shared" si="5"/>
        <v/>
      </c>
      <c r="AH123" s="170"/>
      <c r="AI123" s="152"/>
      <c r="AJ123" s="152"/>
      <c r="AK123" s="152"/>
      <c r="AL123" s="152"/>
      <c r="AM123" s="152"/>
      <c r="AN123" s="152"/>
      <c r="AO123" s="152"/>
      <c r="AP123" s="152"/>
      <c r="AQ123" s="152"/>
      <c r="AR123" s="152"/>
    </row>
    <row r="124" ht="12.75" customHeight="1">
      <c r="A124" s="244" t="s">
        <v>5158</v>
      </c>
      <c r="B124" s="244" t="s">
        <v>5725</v>
      </c>
      <c r="C124" s="244" t="s">
        <v>6127</v>
      </c>
      <c r="D124" s="154" t="s">
        <v>492</v>
      </c>
      <c r="E124" s="154"/>
      <c r="F124" s="154" t="str">
        <f t="array" ref="F124">XLOOKUP(Cover!$D$12,$P$1:$X$1,$P124:$X124)</f>
        <v>Information</v>
      </c>
      <c r="G124" s="154" t="s">
        <v>6128</v>
      </c>
      <c r="H124" s="154" t="s">
        <v>5848</v>
      </c>
      <c r="I124" s="154" t="s">
        <v>6129</v>
      </c>
      <c r="J124" s="154" t="s">
        <v>5885</v>
      </c>
      <c r="K124" s="154"/>
      <c r="L124" s="154" t="s">
        <v>759</v>
      </c>
      <c r="M124" s="247" t="s">
        <v>445</v>
      </c>
      <c r="N124" s="247" t="s">
        <v>5733</v>
      </c>
      <c r="O124" s="240" t="str">
        <f t="shared" si="1"/>
        <v/>
      </c>
      <c r="P124" s="154" t="s">
        <v>66</v>
      </c>
      <c r="Q124" s="154" t="s">
        <v>66</v>
      </c>
      <c r="R124" s="154" t="s">
        <v>66</v>
      </c>
      <c r="S124" s="154" t="s">
        <v>66</v>
      </c>
      <c r="T124" s="154" t="s">
        <v>66</v>
      </c>
      <c r="U124" s="154" t="s">
        <v>66</v>
      </c>
      <c r="V124" s="154" t="s">
        <v>66</v>
      </c>
      <c r="W124" s="154" t="s">
        <v>66</v>
      </c>
      <c r="X124" s="154" t="s">
        <v>66</v>
      </c>
      <c r="Y124" s="154"/>
      <c r="Z124" s="242" t="b">
        <f t="shared" si="2"/>
        <v>1</v>
      </c>
      <c r="AA124" s="154" t="s">
        <v>391</v>
      </c>
      <c r="AB124" s="242" t="b">
        <f t="shared" si="3"/>
        <v>0</v>
      </c>
      <c r="AC124" s="154"/>
      <c r="AD124" s="242" t="b">
        <f t="shared" si="4"/>
        <v>0</v>
      </c>
      <c r="AE124" s="154" t="s">
        <v>1006</v>
      </c>
      <c r="AF124" s="242" t="str">
        <f>IF(AE124="","N/A",INDIRECT("MTR!"&amp;ADDRESS(MATCH(LEFT(AE124,9),MTR!C:C,0),COLUMN(J124)),TRUE) &amp; "")</f>
        <v>Complies</v>
      </c>
      <c r="AG124" s="157" t="str">
        <f t="shared" si="5"/>
        <v/>
      </c>
      <c r="AH124" s="170"/>
      <c r="AI124" s="152"/>
      <c r="AJ124" s="152"/>
      <c r="AK124" s="152"/>
      <c r="AL124" s="152"/>
      <c r="AM124" s="152"/>
      <c r="AN124" s="152"/>
      <c r="AO124" s="152"/>
      <c r="AP124" s="152"/>
      <c r="AQ124" s="152"/>
      <c r="AR124" s="152"/>
    </row>
    <row r="125" ht="12.75" customHeight="1">
      <c r="A125" s="244" t="s">
        <v>5158</v>
      </c>
      <c r="B125" s="244" t="s">
        <v>5725</v>
      </c>
      <c r="C125" s="244" t="s">
        <v>6130</v>
      </c>
      <c r="D125" s="154" t="s">
        <v>492</v>
      </c>
      <c r="E125" s="154"/>
      <c r="F125" s="154" t="str">
        <f t="array" ref="F125">XLOOKUP(Cover!$D$12,$P$1:$X$1,$P125:$X125)</f>
        <v>Information</v>
      </c>
      <c r="G125" s="154" t="s">
        <v>6131</v>
      </c>
      <c r="H125" s="154" t="s">
        <v>5848</v>
      </c>
      <c r="I125" s="154" t="s">
        <v>6129</v>
      </c>
      <c r="J125" s="154" t="s">
        <v>5885</v>
      </c>
      <c r="K125" s="154"/>
      <c r="L125" s="154" t="s">
        <v>759</v>
      </c>
      <c r="M125" s="247" t="s">
        <v>445</v>
      </c>
      <c r="N125" s="247" t="s">
        <v>5733</v>
      </c>
      <c r="O125" s="240" t="str">
        <f t="shared" si="1"/>
        <v/>
      </c>
      <c r="P125" s="154" t="s">
        <v>66</v>
      </c>
      <c r="Q125" s="154" t="s">
        <v>66</v>
      </c>
      <c r="R125" s="154" t="s">
        <v>66</v>
      </c>
      <c r="S125" s="154" t="s">
        <v>66</v>
      </c>
      <c r="T125" s="154" t="s">
        <v>66</v>
      </c>
      <c r="U125" s="154" t="s">
        <v>66</v>
      </c>
      <c r="V125" s="154" t="s">
        <v>66</v>
      </c>
      <c r="W125" s="154" t="s">
        <v>66</v>
      </c>
      <c r="X125" s="154" t="s">
        <v>66</v>
      </c>
      <c r="Y125" s="154"/>
      <c r="Z125" s="242" t="b">
        <f t="shared" si="2"/>
        <v>1</v>
      </c>
      <c r="AA125" s="154" t="s">
        <v>391</v>
      </c>
      <c r="AB125" s="242" t="b">
        <f t="shared" si="3"/>
        <v>0</v>
      </c>
      <c r="AC125" s="154"/>
      <c r="AD125" s="242" t="b">
        <f t="shared" si="4"/>
        <v>0</v>
      </c>
      <c r="AE125" s="154" t="s">
        <v>1006</v>
      </c>
      <c r="AF125" s="242" t="str">
        <f>IF(AE125="","N/A",INDIRECT("MTR!"&amp;ADDRESS(MATCH(LEFT(AE125,9),MTR!C:C,0),COLUMN(J125)),TRUE) &amp; "")</f>
        <v>Complies</v>
      </c>
      <c r="AG125" s="157" t="str">
        <f t="shared" si="5"/>
        <v/>
      </c>
      <c r="AH125" s="170"/>
      <c r="AI125" s="152"/>
      <c r="AJ125" s="152"/>
      <c r="AK125" s="152"/>
      <c r="AL125" s="152"/>
      <c r="AM125" s="152"/>
      <c r="AN125" s="152"/>
      <c r="AO125" s="152"/>
      <c r="AP125" s="152"/>
      <c r="AQ125" s="152"/>
      <c r="AR125" s="152"/>
    </row>
    <row r="126" ht="12.75" customHeight="1">
      <c r="A126" s="244" t="s">
        <v>5158</v>
      </c>
      <c r="B126" s="244" t="s">
        <v>5725</v>
      </c>
      <c r="C126" s="244" t="s">
        <v>6132</v>
      </c>
      <c r="D126" s="154" t="s">
        <v>492</v>
      </c>
      <c r="E126" s="154"/>
      <c r="F126" s="154" t="str">
        <f t="array" ref="F126">XLOOKUP(Cover!$D$12,$P$1:$X$1,$P126:$X126)</f>
        <v>Mandatory</v>
      </c>
      <c r="G126" s="154" t="s">
        <v>6133</v>
      </c>
      <c r="H126" s="154" t="s">
        <v>6134</v>
      </c>
      <c r="I126" s="154" t="s">
        <v>6135</v>
      </c>
      <c r="J126" s="154" t="s">
        <v>5890</v>
      </c>
      <c r="K126" s="154" t="s">
        <v>1005</v>
      </c>
      <c r="L126" s="154" t="s">
        <v>759</v>
      </c>
      <c r="M126" s="247" t="s">
        <v>445</v>
      </c>
      <c r="N126" s="247" t="s">
        <v>5733</v>
      </c>
      <c r="O126" s="240" t="str">
        <f t="shared" si="1"/>
        <v/>
      </c>
      <c r="P126" s="154" t="s">
        <v>66</v>
      </c>
      <c r="Q126" s="154" t="s">
        <v>66</v>
      </c>
      <c r="R126" s="154" t="s">
        <v>66</v>
      </c>
      <c r="S126" s="154" t="s">
        <v>60</v>
      </c>
      <c r="T126" s="154" t="s">
        <v>60</v>
      </c>
      <c r="U126" s="154" t="s">
        <v>60</v>
      </c>
      <c r="V126" s="154" t="s">
        <v>66</v>
      </c>
      <c r="W126" s="154" t="s">
        <v>66</v>
      </c>
      <c r="X126" s="154" t="s">
        <v>60</v>
      </c>
      <c r="Y126" s="154"/>
      <c r="Z126" s="242" t="b">
        <f t="shared" si="2"/>
        <v>1</v>
      </c>
      <c r="AA126" s="154" t="s">
        <v>391</v>
      </c>
      <c r="AB126" s="242" t="b">
        <f t="shared" si="3"/>
        <v>0</v>
      </c>
      <c r="AC126" s="154"/>
      <c r="AD126" s="242" t="b">
        <f t="shared" si="4"/>
        <v>0</v>
      </c>
      <c r="AE126" s="154" t="s">
        <v>1006</v>
      </c>
      <c r="AF126" s="242" t="str">
        <f>IF(AE126="","N/A",INDIRECT("MTR!"&amp;ADDRESS(MATCH(LEFT(AE126,9),MTR!C:C,0),COLUMN(J126)),TRUE) &amp; "")</f>
        <v>Complies</v>
      </c>
      <c r="AG126" s="157" t="str">
        <f t="shared" si="5"/>
        <v/>
      </c>
      <c r="AH126" s="170"/>
      <c r="AI126" s="152"/>
      <c r="AJ126" s="152"/>
      <c r="AK126" s="152"/>
      <c r="AL126" s="152"/>
      <c r="AM126" s="152"/>
      <c r="AN126" s="152"/>
      <c r="AO126" s="152"/>
      <c r="AP126" s="152"/>
      <c r="AQ126" s="152"/>
      <c r="AR126" s="152"/>
    </row>
    <row r="127" ht="12.75" customHeight="1">
      <c r="A127" s="244" t="s">
        <v>5158</v>
      </c>
      <c r="B127" s="244" t="s">
        <v>5725</v>
      </c>
      <c r="C127" s="244" t="s">
        <v>6136</v>
      </c>
      <c r="D127" s="154" t="s">
        <v>781</v>
      </c>
      <c r="E127" s="154"/>
      <c r="F127" s="154" t="str">
        <f t="array" ref="F127">XLOOKUP(Cover!$D$12,$P$1:$X$1,$P127:$X127)</f>
        <v>Information</v>
      </c>
      <c r="G127" s="154" t="s">
        <v>6137</v>
      </c>
      <c r="H127" s="154" t="s">
        <v>6138</v>
      </c>
      <c r="I127" s="154" t="s">
        <v>6139</v>
      </c>
      <c r="J127" s="154" t="s">
        <v>6140</v>
      </c>
      <c r="K127" s="154"/>
      <c r="L127" s="154" t="s">
        <v>759</v>
      </c>
      <c r="M127" s="247" t="s">
        <v>445</v>
      </c>
      <c r="N127" s="247" t="s">
        <v>5733</v>
      </c>
      <c r="O127" s="240" t="str">
        <f t="shared" si="1"/>
        <v/>
      </c>
      <c r="P127" s="154" t="s">
        <v>66</v>
      </c>
      <c r="Q127" s="154" t="s">
        <v>66</v>
      </c>
      <c r="R127" s="154" t="s">
        <v>66</v>
      </c>
      <c r="S127" s="154" t="s">
        <v>66</v>
      </c>
      <c r="T127" s="154" t="s">
        <v>66</v>
      </c>
      <c r="U127" s="154" t="s">
        <v>66</v>
      </c>
      <c r="V127" s="154" t="s">
        <v>66</v>
      </c>
      <c r="W127" s="154" t="s">
        <v>66</v>
      </c>
      <c r="X127" s="154" t="s">
        <v>66</v>
      </c>
      <c r="Y127" s="154"/>
      <c r="Z127" s="242" t="b">
        <f t="shared" si="2"/>
        <v>1</v>
      </c>
      <c r="AA127" s="154" t="s">
        <v>391</v>
      </c>
      <c r="AB127" s="242" t="b">
        <f t="shared" si="3"/>
        <v>0</v>
      </c>
      <c r="AC127" s="154"/>
      <c r="AD127" s="242" t="b">
        <f t="shared" si="4"/>
        <v>0</v>
      </c>
      <c r="AE127" s="154" t="s">
        <v>1006</v>
      </c>
      <c r="AF127" s="242" t="str">
        <f>IF(AE127="","N/A",INDIRECT("MTR!"&amp;ADDRESS(MATCH(LEFT(AE127,9),MTR!C:C,0),COLUMN(J127)),TRUE) &amp; "")</f>
        <v>Complies</v>
      </c>
      <c r="AG127" s="157" t="str">
        <f t="shared" si="5"/>
        <v/>
      </c>
      <c r="AH127" s="170"/>
      <c r="AI127" s="152"/>
      <c r="AJ127" s="152"/>
      <c r="AK127" s="152"/>
      <c r="AL127" s="152"/>
      <c r="AM127" s="152"/>
      <c r="AN127" s="152"/>
      <c r="AO127" s="152"/>
      <c r="AP127" s="152"/>
      <c r="AQ127" s="152"/>
      <c r="AR127" s="152"/>
    </row>
    <row r="128" ht="12.75" customHeight="1">
      <c r="A128" s="244" t="s">
        <v>5158</v>
      </c>
      <c r="B128" s="244" t="s">
        <v>5725</v>
      </c>
      <c r="C128" s="244" t="s">
        <v>6141</v>
      </c>
      <c r="D128" s="154" t="s">
        <v>602</v>
      </c>
      <c r="E128" s="154"/>
      <c r="F128" s="154" t="str">
        <f t="array" ref="F128">XLOOKUP(Cover!$D$12,$P$1:$X$1,$P128:$X128)</f>
        <v>Information</v>
      </c>
      <c r="G128" s="154" t="s">
        <v>6142</v>
      </c>
      <c r="H128" s="154" t="s">
        <v>6143</v>
      </c>
      <c r="I128" s="154" t="s">
        <v>6144</v>
      </c>
      <c r="J128" s="154" t="s">
        <v>5909</v>
      </c>
      <c r="K128" s="154"/>
      <c r="L128" s="154" t="s">
        <v>759</v>
      </c>
      <c r="M128" s="247" t="s">
        <v>445</v>
      </c>
      <c r="N128" s="247" t="s">
        <v>5733</v>
      </c>
      <c r="O128" s="240" t="str">
        <f t="shared" si="1"/>
        <v/>
      </c>
      <c r="P128" s="154" t="s">
        <v>66</v>
      </c>
      <c r="Q128" s="154" t="s">
        <v>66</v>
      </c>
      <c r="R128" s="154" t="s">
        <v>66</v>
      </c>
      <c r="S128" s="154" t="s">
        <v>66</v>
      </c>
      <c r="T128" s="154" t="s">
        <v>66</v>
      </c>
      <c r="U128" s="154" t="s">
        <v>66</v>
      </c>
      <c r="V128" s="154" t="s">
        <v>66</v>
      </c>
      <c r="W128" s="154" t="s">
        <v>66</v>
      </c>
      <c r="X128" s="154" t="s">
        <v>66</v>
      </c>
      <c r="Y128" s="154"/>
      <c r="Z128" s="242" t="b">
        <f t="shared" si="2"/>
        <v>1</v>
      </c>
      <c r="AA128" s="154" t="s">
        <v>391</v>
      </c>
      <c r="AB128" s="242" t="b">
        <f t="shared" si="3"/>
        <v>0</v>
      </c>
      <c r="AC128" s="154"/>
      <c r="AD128" s="242" t="b">
        <f t="shared" si="4"/>
        <v>0</v>
      </c>
      <c r="AE128" s="154" t="s">
        <v>1006</v>
      </c>
      <c r="AF128" s="242" t="str">
        <f>IF(AE128="","N/A",INDIRECT("MTR!"&amp;ADDRESS(MATCH(LEFT(AE128,9),MTR!C:C,0),COLUMN(J128)),TRUE) &amp; "")</f>
        <v>Complies</v>
      </c>
      <c r="AG128" s="157" t="str">
        <f t="shared" si="5"/>
        <v/>
      </c>
      <c r="AH128" s="170"/>
      <c r="AI128" s="152"/>
      <c r="AJ128" s="152"/>
      <c r="AK128" s="152"/>
      <c r="AL128" s="152"/>
      <c r="AM128" s="152"/>
      <c r="AN128" s="152"/>
      <c r="AO128" s="152"/>
      <c r="AP128" s="152"/>
      <c r="AQ128" s="152"/>
      <c r="AR128" s="152"/>
    </row>
    <row r="129" ht="12.75" customHeight="1">
      <c r="A129" s="244" t="s">
        <v>5158</v>
      </c>
      <c r="B129" s="244" t="s">
        <v>5725</v>
      </c>
      <c r="C129" s="244" t="s">
        <v>6145</v>
      </c>
      <c r="D129" s="154" t="s">
        <v>433</v>
      </c>
      <c r="E129" s="154"/>
      <c r="F129" s="154" t="str">
        <f t="array" ref="F129">XLOOKUP(Cover!$D$12,$P$1:$X$1,$P129:$X129)</f>
        <v>Mandatory</v>
      </c>
      <c r="G129" s="154" t="s">
        <v>6146</v>
      </c>
      <c r="H129" s="154" t="s">
        <v>6147</v>
      </c>
      <c r="I129" s="154" t="s">
        <v>6148</v>
      </c>
      <c r="J129" s="154" t="s">
        <v>5969</v>
      </c>
      <c r="K129" s="154" t="s">
        <v>1005</v>
      </c>
      <c r="L129" s="154" t="s">
        <v>759</v>
      </c>
      <c r="M129" s="247" t="s">
        <v>445</v>
      </c>
      <c r="N129" s="247" t="s">
        <v>5733</v>
      </c>
      <c r="O129" s="240" t="str">
        <f t="shared" si="1"/>
        <v/>
      </c>
      <c r="P129" s="154" t="s">
        <v>66</v>
      </c>
      <c r="Q129" s="154" t="s">
        <v>66</v>
      </c>
      <c r="R129" s="154" t="s">
        <v>66</v>
      </c>
      <c r="S129" s="154" t="s">
        <v>60</v>
      </c>
      <c r="T129" s="154" t="s">
        <v>60</v>
      </c>
      <c r="U129" s="154" t="s">
        <v>60</v>
      </c>
      <c r="V129" s="154" t="s">
        <v>66</v>
      </c>
      <c r="W129" s="154" t="s">
        <v>66</v>
      </c>
      <c r="X129" s="154" t="s">
        <v>60</v>
      </c>
      <c r="Y129" s="154"/>
      <c r="Z129" s="242" t="b">
        <f t="shared" si="2"/>
        <v>1</v>
      </c>
      <c r="AA129" s="154" t="s">
        <v>391</v>
      </c>
      <c r="AB129" s="242" t="b">
        <f t="shared" si="3"/>
        <v>0</v>
      </c>
      <c r="AC129" s="154"/>
      <c r="AD129" s="242" t="b">
        <f t="shared" si="4"/>
        <v>0</v>
      </c>
      <c r="AE129" s="154" t="s">
        <v>1006</v>
      </c>
      <c r="AF129" s="242" t="str">
        <f>IF(AE129="","N/A",INDIRECT("MTR!"&amp;ADDRESS(MATCH(LEFT(AE129,9),MTR!C:C,0),COLUMN(J129)),TRUE) &amp; "")</f>
        <v>Complies</v>
      </c>
      <c r="AG129" s="157" t="str">
        <f t="shared" si="5"/>
        <v/>
      </c>
      <c r="AH129" s="170"/>
      <c r="AI129" s="152"/>
      <c r="AJ129" s="152"/>
      <c r="AK129" s="152"/>
      <c r="AL129" s="152"/>
      <c r="AM129" s="152"/>
      <c r="AN129" s="152"/>
      <c r="AO129" s="152"/>
      <c r="AP129" s="152"/>
      <c r="AQ129" s="152"/>
      <c r="AR129" s="152"/>
    </row>
    <row r="130" ht="12.75" customHeight="1">
      <c r="A130" s="244" t="s">
        <v>5158</v>
      </c>
      <c r="B130" s="244" t="s">
        <v>5725</v>
      </c>
      <c r="C130" s="244" t="s">
        <v>6149</v>
      </c>
      <c r="D130" s="154" t="s">
        <v>1120</v>
      </c>
      <c r="E130" s="154"/>
      <c r="F130" s="154" t="str">
        <f t="array" ref="F130">XLOOKUP(Cover!$D$12,$P$1:$X$1,$P130:$X130)</f>
        <v>Information</v>
      </c>
      <c r="G130" s="154" t="s">
        <v>6150</v>
      </c>
      <c r="H130" s="154" t="s">
        <v>6147</v>
      </c>
      <c r="I130" s="154" t="s">
        <v>6148</v>
      </c>
      <c r="J130" s="154" t="s">
        <v>5969</v>
      </c>
      <c r="K130" s="154"/>
      <c r="L130" s="154" t="s">
        <v>759</v>
      </c>
      <c r="M130" s="247" t="s">
        <v>445</v>
      </c>
      <c r="N130" s="247" t="s">
        <v>5733</v>
      </c>
      <c r="O130" s="240" t="str">
        <f t="shared" si="1"/>
        <v/>
      </c>
      <c r="P130" s="154" t="s">
        <v>66</v>
      </c>
      <c r="Q130" s="154" t="s">
        <v>66</v>
      </c>
      <c r="R130" s="154" t="s">
        <v>66</v>
      </c>
      <c r="S130" s="154" t="s">
        <v>66</v>
      </c>
      <c r="T130" s="154" t="s">
        <v>66</v>
      </c>
      <c r="U130" s="154" t="s">
        <v>66</v>
      </c>
      <c r="V130" s="154" t="s">
        <v>66</v>
      </c>
      <c r="W130" s="154" t="s">
        <v>66</v>
      </c>
      <c r="X130" s="154" t="s">
        <v>66</v>
      </c>
      <c r="Y130" s="154"/>
      <c r="Z130" s="242" t="b">
        <f t="shared" si="2"/>
        <v>1</v>
      </c>
      <c r="AA130" s="154" t="s">
        <v>391</v>
      </c>
      <c r="AB130" s="242" t="b">
        <f t="shared" si="3"/>
        <v>0</v>
      </c>
      <c r="AC130" s="154"/>
      <c r="AD130" s="242" t="b">
        <f t="shared" si="4"/>
        <v>0</v>
      </c>
      <c r="AE130" s="154" t="s">
        <v>1006</v>
      </c>
      <c r="AF130" s="242" t="str">
        <f>IF(AE130="","N/A",INDIRECT("MTR!"&amp;ADDRESS(MATCH(LEFT(AE130,9),MTR!C:C,0),COLUMN(J130)),TRUE) &amp; "")</f>
        <v>Complies</v>
      </c>
      <c r="AG130" s="157" t="str">
        <f t="shared" si="5"/>
        <v/>
      </c>
      <c r="AH130" s="170"/>
      <c r="AI130" s="152"/>
      <c r="AJ130" s="152"/>
      <c r="AK130" s="152"/>
      <c r="AL130" s="152"/>
      <c r="AM130" s="152"/>
      <c r="AN130" s="152"/>
      <c r="AO130" s="152"/>
      <c r="AP130" s="152"/>
      <c r="AQ130" s="152"/>
      <c r="AR130" s="152"/>
    </row>
    <row r="131" ht="12.75" customHeight="1">
      <c r="A131" s="244" t="s">
        <v>5158</v>
      </c>
      <c r="B131" s="244" t="s">
        <v>5725</v>
      </c>
      <c r="C131" s="244" t="s">
        <v>6151</v>
      </c>
      <c r="D131" s="154" t="s">
        <v>1069</v>
      </c>
      <c r="E131" s="154"/>
      <c r="F131" s="154" t="str">
        <f t="array" ref="F131">XLOOKUP(Cover!$D$12,$P$1:$X$1,$P131:$X131)</f>
        <v>Information</v>
      </c>
      <c r="G131" s="154" t="s">
        <v>6152</v>
      </c>
      <c r="H131" s="154" t="s">
        <v>5840</v>
      </c>
      <c r="I131" s="154" t="s">
        <v>6153</v>
      </c>
      <c r="J131" s="154" t="s">
        <v>6154</v>
      </c>
      <c r="K131" s="154"/>
      <c r="L131" s="154" t="s">
        <v>759</v>
      </c>
      <c r="M131" s="247" t="s">
        <v>445</v>
      </c>
      <c r="N131" s="247" t="s">
        <v>5733</v>
      </c>
      <c r="O131" s="240" t="str">
        <f t="shared" si="1"/>
        <v/>
      </c>
      <c r="P131" s="154" t="s">
        <v>66</v>
      </c>
      <c r="Q131" s="154" t="s">
        <v>66</v>
      </c>
      <c r="R131" s="154" t="s">
        <v>66</v>
      </c>
      <c r="S131" s="154" t="s">
        <v>66</v>
      </c>
      <c r="T131" s="154" t="s">
        <v>66</v>
      </c>
      <c r="U131" s="154" t="s">
        <v>66</v>
      </c>
      <c r="V131" s="154" t="s">
        <v>66</v>
      </c>
      <c r="W131" s="154" t="s">
        <v>66</v>
      </c>
      <c r="X131" s="154" t="s">
        <v>66</v>
      </c>
      <c r="Y131" s="154"/>
      <c r="Z131" s="242" t="b">
        <f t="shared" si="2"/>
        <v>1</v>
      </c>
      <c r="AA131" s="154" t="s">
        <v>391</v>
      </c>
      <c r="AB131" s="242" t="b">
        <f t="shared" si="3"/>
        <v>0</v>
      </c>
      <c r="AC131" s="154"/>
      <c r="AD131" s="242" t="b">
        <f t="shared" si="4"/>
        <v>0</v>
      </c>
      <c r="AE131" s="154" t="s">
        <v>1006</v>
      </c>
      <c r="AF131" s="242" t="str">
        <f>IF(AE131="","N/A",INDIRECT("MTR!"&amp;ADDRESS(MATCH(LEFT(AE131,9),MTR!C:C,0),COLUMN(J131)),TRUE) &amp; "")</f>
        <v>Complies</v>
      </c>
      <c r="AG131" s="157" t="str">
        <f t="shared" si="5"/>
        <v/>
      </c>
      <c r="AH131" s="170"/>
      <c r="AI131" s="152"/>
      <c r="AJ131" s="152"/>
      <c r="AK131" s="152"/>
      <c r="AL131" s="152"/>
      <c r="AM131" s="152"/>
      <c r="AN131" s="152"/>
      <c r="AO131" s="152"/>
      <c r="AP131" s="152"/>
      <c r="AQ131" s="152"/>
      <c r="AR131" s="152"/>
    </row>
    <row r="132" ht="12.75" customHeight="1">
      <c r="A132" s="244" t="s">
        <v>5158</v>
      </c>
      <c r="B132" s="244" t="s">
        <v>5725</v>
      </c>
      <c r="C132" s="245" t="s">
        <v>6155</v>
      </c>
      <c r="D132" s="155" t="s">
        <v>581</v>
      </c>
      <c r="E132" s="154" t="s">
        <v>92</v>
      </c>
      <c r="F132" s="154" t="str">
        <f t="array" ref="F132">XLOOKUP(Cover!$D$12,$P$1:$X$1,$P132:$X132)</f>
        <v>Recommended</v>
      </c>
      <c r="G132" s="154" t="s">
        <v>6156</v>
      </c>
      <c r="H132" s="154" t="s">
        <v>6157</v>
      </c>
      <c r="I132" s="154" t="s">
        <v>6158</v>
      </c>
      <c r="J132" s="154" t="s">
        <v>5773</v>
      </c>
      <c r="K132" s="154" t="s">
        <v>241</v>
      </c>
      <c r="L132" s="154" t="s">
        <v>759</v>
      </c>
      <c r="M132" s="247" t="s">
        <v>516</v>
      </c>
      <c r="N132" s="247" t="s">
        <v>5876</v>
      </c>
      <c r="O132" s="240" t="str">
        <f t="shared" si="1"/>
        <v/>
      </c>
      <c r="P132" s="154" t="s">
        <v>66</v>
      </c>
      <c r="Q132" s="154" t="s">
        <v>66</v>
      </c>
      <c r="R132" s="154" t="s">
        <v>66</v>
      </c>
      <c r="S132" s="155" t="s">
        <v>64</v>
      </c>
      <c r="T132" s="155" t="s">
        <v>64</v>
      </c>
      <c r="U132" s="155" t="s">
        <v>64</v>
      </c>
      <c r="V132" s="154" t="s">
        <v>66</v>
      </c>
      <c r="W132" s="154" t="s">
        <v>66</v>
      </c>
      <c r="X132" s="155" t="s">
        <v>64</v>
      </c>
      <c r="Y132" s="154"/>
      <c r="Z132" s="242" t="b">
        <f t="shared" si="2"/>
        <v>1</v>
      </c>
      <c r="AA132" s="154" t="s">
        <v>391</v>
      </c>
      <c r="AB132" s="242" t="b">
        <f t="shared" si="3"/>
        <v>0</v>
      </c>
      <c r="AC132" s="154"/>
      <c r="AD132" s="242" t="b">
        <f t="shared" si="4"/>
        <v>0</v>
      </c>
      <c r="AE132" s="154" t="s">
        <v>1006</v>
      </c>
      <c r="AF132" s="242" t="str">
        <f>IF(AE132="","N/A",INDIRECT("MTR!"&amp;ADDRESS(MATCH(LEFT(AE132,9),MTR!C:C,0),COLUMN(J132)),TRUE) &amp; "")</f>
        <v>Complies</v>
      </c>
      <c r="AG132" s="157" t="str">
        <f t="shared" si="5"/>
        <v/>
      </c>
      <c r="AH132" s="170"/>
      <c r="AI132" s="152"/>
      <c r="AJ132" s="152"/>
      <c r="AK132" s="152"/>
      <c r="AL132" s="152"/>
      <c r="AM132" s="152"/>
      <c r="AN132" s="152"/>
      <c r="AO132" s="152"/>
      <c r="AP132" s="152"/>
      <c r="AQ132" s="152"/>
      <c r="AR132" s="152"/>
    </row>
    <row r="133" ht="12.75" customHeight="1">
      <c r="A133" s="244" t="s">
        <v>5158</v>
      </c>
      <c r="B133" s="244" t="s">
        <v>5725</v>
      </c>
      <c r="C133" s="244" t="s">
        <v>6159</v>
      </c>
      <c r="D133" s="154" t="s">
        <v>1315</v>
      </c>
      <c r="E133" s="154"/>
      <c r="F133" s="154" t="str">
        <f t="array" ref="F133">XLOOKUP(Cover!$D$12,$P$1:$X$1,$P133:$X133)</f>
        <v>Information</v>
      </c>
      <c r="G133" s="154" t="s">
        <v>6160</v>
      </c>
      <c r="H133" s="154" t="s">
        <v>6161</v>
      </c>
      <c r="I133" s="154" t="s">
        <v>6162</v>
      </c>
      <c r="J133" s="154" t="s">
        <v>6022</v>
      </c>
      <c r="K133" s="154"/>
      <c r="L133" s="154" t="s">
        <v>759</v>
      </c>
      <c r="M133" s="247" t="s">
        <v>516</v>
      </c>
      <c r="N133" s="247" t="s">
        <v>5876</v>
      </c>
      <c r="O133" s="240" t="str">
        <f t="shared" si="1"/>
        <v/>
      </c>
      <c r="P133" s="154" t="s">
        <v>66</v>
      </c>
      <c r="Q133" s="154" t="s">
        <v>66</v>
      </c>
      <c r="R133" s="154" t="s">
        <v>66</v>
      </c>
      <c r="S133" s="154" t="s">
        <v>66</v>
      </c>
      <c r="T133" s="154" t="s">
        <v>66</v>
      </c>
      <c r="U133" s="154" t="s">
        <v>66</v>
      </c>
      <c r="V133" s="154" t="s">
        <v>66</v>
      </c>
      <c r="W133" s="154" t="s">
        <v>66</v>
      </c>
      <c r="X133" s="154" t="s">
        <v>66</v>
      </c>
      <c r="Y133" s="154"/>
      <c r="Z133" s="242" t="b">
        <f t="shared" si="2"/>
        <v>1</v>
      </c>
      <c r="AA133" s="154" t="s">
        <v>391</v>
      </c>
      <c r="AB133" s="242" t="b">
        <f t="shared" si="3"/>
        <v>0</v>
      </c>
      <c r="AC133" s="154"/>
      <c r="AD133" s="242" t="b">
        <f t="shared" si="4"/>
        <v>0</v>
      </c>
      <c r="AE133" s="154" t="s">
        <v>1006</v>
      </c>
      <c r="AF133" s="242" t="str">
        <f>IF(AE133="","N/A",INDIRECT("MTR!"&amp;ADDRESS(MATCH(LEFT(AE133,9),MTR!C:C,0),COLUMN(J133)),TRUE) &amp; "")</f>
        <v>Complies</v>
      </c>
      <c r="AG133" s="157" t="str">
        <f t="shared" si="5"/>
        <v/>
      </c>
      <c r="AH133" s="170"/>
      <c r="AI133" s="152"/>
      <c r="AJ133" s="152"/>
      <c r="AK133" s="152"/>
      <c r="AL133" s="152"/>
      <c r="AM133" s="152"/>
      <c r="AN133" s="152"/>
      <c r="AO133" s="152"/>
      <c r="AP133" s="152"/>
      <c r="AQ133" s="152"/>
      <c r="AR133" s="152"/>
    </row>
    <row r="134" ht="12.75" customHeight="1">
      <c r="A134" s="244" t="s">
        <v>5158</v>
      </c>
      <c r="B134" s="244" t="s">
        <v>5725</v>
      </c>
      <c r="C134" s="244" t="s">
        <v>6163</v>
      </c>
      <c r="D134" s="154" t="s">
        <v>1315</v>
      </c>
      <c r="E134" s="154"/>
      <c r="F134" s="154" t="str">
        <f t="array" ref="F134">XLOOKUP(Cover!$D$12,$P$1:$X$1,$P134:$X134)</f>
        <v>Mandatory</v>
      </c>
      <c r="G134" s="154" t="s">
        <v>6164</v>
      </c>
      <c r="H134" s="154" t="s">
        <v>6165</v>
      </c>
      <c r="I134" s="154" t="s">
        <v>6166</v>
      </c>
      <c r="J134" s="154" t="s">
        <v>6022</v>
      </c>
      <c r="K134" s="154" t="s">
        <v>1012</v>
      </c>
      <c r="L134" s="154" t="s">
        <v>759</v>
      </c>
      <c r="M134" s="247" t="s">
        <v>445</v>
      </c>
      <c r="N134" s="247" t="s">
        <v>5733</v>
      </c>
      <c r="O134" s="240" t="str">
        <f t="shared" si="1"/>
        <v/>
      </c>
      <c r="P134" s="154" t="s">
        <v>66</v>
      </c>
      <c r="Q134" s="154" t="s">
        <v>66</v>
      </c>
      <c r="R134" s="154" t="s">
        <v>66</v>
      </c>
      <c r="S134" s="154" t="s">
        <v>60</v>
      </c>
      <c r="T134" s="154" t="s">
        <v>60</v>
      </c>
      <c r="U134" s="154" t="s">
        <v>60</v>
      </c>
      <c r="V134" s="154" t="s">
        <v>66</v>
      </c>
      <c r="W134" s="154" t="s">
        <v>66</v>
      </c>
      <c r="X134" s="154" t="s">
        <v>60</v>
      </c>
      <c r="Y134" s="154"/>
      <c r="Z134" s="242" t="b">
        <f t="shared" si="2"/>
        <v>1</v>
      </c>
      <c r="AA134" s="154" t="s">
        <v>391</v>
      </c>
      <c r="AB134" s="242" t="b">
        <f t="shared" si="3"/>
        <v>0</v>
      </c>
      <c r="AC134" s="154"/>
      <c r="AD134" s="242" t="b">
        <f t="shared" si="4"/>
        <v>0</v>
      </c>
      <c r="AE134" s="154" t="s">
        <v>1006</v>
      </c>
      <c r="AF134" s="242" t="str">
        <f>IF(AE134="","N/A",INDIRECT("MTR!"&amp;ADDRESS(MATCH(LEFT(AE134,9),MTR!C:C,0),COLUMN(J134)),TRUE) &amp; "")</f>
        <v>Complies</v>
      </c>
      <c r="AG134" s="157" t="str">
        <f t="shared" si="5"/>
        <v/>
      </c>
      <c r="AH134" s="170"/>
      <c r="AI134" s="152"/>
      <c r="AJ134" s="152"/>
      <c r="AK134" s="152"/>
      <c r="AL134" s="152"/>
      <c r="AM134" s="152"/>
      <c r="AN134" s="152"/>
      <c r="AO134" s="152"/>
      <c r="AP134" s="152"/>
      <c r="AQ134" s="152"/>
      <c r="AR134" s="152"/>
    </row>
    <row r="135" ht="12.75" customHeight="1">
      <c r="A135" s="244" t="s">
        <v>5158</v>
      </c>
      <c r="B135" s="244" t="s">
        <v>5725</v>
      </c>
      <c r="C135" s="245" t="s">
        <v>6167</v>
      </c>
      <c r="D135" s="155" t="s">
        <v>1120</v>
      </c>
      <c r="E135" s="154" t="s">
        <v>92</v>
      </c>
      <c r="F135" s="154" t="str">
        <f t="array" ref="F135">XLOOKUP(Cover!$D$12,$P$1:$X$1,$P135:$X135)</f>
        <v>Recommended</v>
      </c>
      <c r="G135" s="154" t="s">
        <v>6168</v>
      </c>
      <c r="H135" s="154" t="s">
        <v>6169</v>
      </c>
      <c r="I135" s="154" t="s">
        <v>6170</v>
      </c>
      <c r="J135" s="154" t="s">
        <v>6027</v>
      </c>
      <c r="K135" s="154"/>
      <c r="L135" s="154" t="s">
        <v>759</v>
      </c>
      <c r="M135" s="247" t="s">
        <v>445</v>
      </c>
      <c r="N135" s="247" t="s">
        <v>5733</v>
      </c>
      <c r="O135" s="240" t="str">
        <f t="shared" si="1"/>
        <v/>
      </c>
      <c r="P135" s="154" t="s">
        <v>66</v>
      </c>
      <c r="Q135" s="154" t="s">
        <v>66</v>
      </c>
      <c r="R135" s="154" t="s">
        <v>66</v>
      </c>
      <c r="S135" s="154" t="s">
        <v>64</v>
      </c>
      <c r="T135" s="154" t="s">
        <v>64</v>
      </c>
      <c r="U135" s="154" t="s">
        <v>64</v>
      </c>
      <c r="V135" s="154" t="s">
        <v>66</v>
      </c>
      <c r="W135" s="154" t="s">
        <v>66</v>
      </c>
      <c r="X135" s="154" t="s">
        <v>64</v>
      </c>
      <c r="Y135" s="154"/>
      <c r="Z135" s="242" t="b">
        <f t="shared" si="2"/>
        <v>1</v>
      </c>
      <c r="AA135" s="154" t="s">
        <v>391</v>
      </c>
      <c r="AB135" s="242" t="b">
        <f t="shared" si="3"/>
        <v>0</v>
      </c>
      <c r="AC135" s="154"/>
      <c r="AD135" s="242" t="b">
        <f t="shared" si="4"/>
        <v>0</v>
      </c>
      <c r="AE135" s="154" t="s">
        <v>1006</v>
      </c>
      <c r="AF135" s="242" t="str">
        <f>IF(AE135="","N/A",INDIRECT("MTR!"&amp;ADDRESS(MATCH(LEFT(AE135,9),MTR!C:C,0),COLUMN(J135)),TRUE) &amp; "")</f>
        <v>Complies</v>
      </c>
      <c r="AG135" s="157" t="str">
        <f t="shared" si="5"/>
        <v/>
      </c>
      <c r="AH135" s="170"/>
      <c r="AI135" s="152"/>
      <c r="AJ135" s="152"/>
      <c r="AK135" s="152"/>
      <c r="AL135" s="152"/>
      <c r="AM135" s="152"/>
      <c r="AN135" s="152"/>
      <c r="AO135" s="152"/>
      <c r="AP135" s="152"/>
      <c r="AQ135" s="152"/>
      <c r="AR135" s="152"/>
    </row>
    <row r="136" ht="12.75" customHeight="1">
      <c r="A136" s="244" t="s">
        <v>5158</v>
      </c>
      <c r="B136" s="244" t="s">
        <v>5725</v>
      </c>
      <c r="C136" s="244" t="s">
        <v>6171</v>
      </c>
      <c r="D136" s="154" t="s">
        <v>1120</v>
      </c>
      <c r="E136" s="154"/>
      <c r="F136" s="154" t="str">
        <f t="array" ref="F136">XLOOKUP(Cover!$D$12,$P$1:$X$1,$P136:$X136)</f>
        <v>Mandatory</v>
      </c>
      <c r="G136" s="154" t="s">
        <v>6172</v>
      </c>
      <c r="H136" s="154" t="s">
        <v>5856</v>
      </c>
      <c r="I136" s="154" t="s">
        <v>6173</v>
      </c>
      <c r="J136" s="154" t="s">
        <v>5732</v>
      </c>
      <c r="K136" s="154" t="s">
        <v>1012</v>
      </c>
      <c r="L136" s="154" t="s">
        <v>759</v>
      </c>
      <c r="M136" s="247" t="s">
        <v>445</v>
      </c>
      <c r="N136" s="247" t="s">
        <v>5733</v>
      </c>
      <c r="O136" s="240" t="str">
        <f t="shared" si="1"/>
        <v/>
      </c>
      <c r="P136" s="154" t="s">
        <v>66</v>
      </c>
      <c r="Q136" s="154" t="s">
        <v>66</v>
      </c>
      <c r="R136" s="154" t="s">
        <v>66</v>
      </c>
      <c r="S136" s="154" t="s">
        <v>60</v>
      </c>
      <c r="T136" s="154" t="s">
        <v>60</v>
      </c>
      <c r="U136" s="154" t="s">
        <v>60</v>
      </c>
      <c r="V136" s="154" t="s">
        <v>66</v>
      </c>
      <c r="W136" s="154" t="s">
        <v>66</v>
      </c>
      <c r="X136" s="154" t="s">
        <v>60</v>
      </c>
      <c r="Y136" s="154"/>
      <c r="Z136" s="242" t="b">
        <f t="shared" si="2"/>
        <v>1</v>
      </c>
      <c r="AA136" s="154" t="s">
        <v>391</v>
      </c>
      <c r="AB136" s="242" t="b">
        <f t="shared" si="3"/>
        <v>0</v>
      </c>
      <c r="AC136" s="154"/>
      <c r="AD136" s="242" t="b">
        <f t="shared" si="4"/>
        <v>0</v>
      </c>
      <c r="AE136" s="154" t="s">
        <v>1006</v>
      </c>
      <c r="AF136" s="242" t="str">
        <f>IF(AE136="","N/A",INDIRECT("MTR!"&amp;ADDRESS(MATCH(LEFT(AE136,9),MTR!C:C,0),COLUMN(J136)),TRUE) &amp; "")</f>
        <v>Complies</v>
      </c>
      <c r="AG136" s="157" t="str">
        <f t="shared" si="5"/>
        <v/>
      </c>
      <c r="AH136" s="170"/>
      <c r="AI136" s="152"/>
      <c r="AJ136" s="152"/>
      <c r="AK136" s="152"/>
      <c r="AL136" s="152"/>
      <c r="AM136" s="152"/>
      <c r="AN136" s="152"/>
      <c r="AO136" s="152"/>
      <c r="AP136" s="152"/>
      <c r="AQ136" s="152"/>
      <c r="AR136" s="152"/>
    </row>
    <row r="137" ht="12.75" customHeight="1">
      <c r="A137" s="244" t="s">
        <v>5158</v>
      </c>
      <c r="B137" s="244" t="s">
        <v>5725</v>
      </c>
      <c r="C137" s="244" t="s">
        <v>6174</v>
      </c>
      <c r="D137" s="154" t="s">
        <v>1315</v>
      </c>
      <c r="E137" s="154"/>
      <c r="F137" s="154" t="str">
        <f t="array" ref="F137">XLOOKUP(Cover!$D$12,$P$1:$X$1,$P137:$X137)</f>
        <v>Information</v>
      </c>
      <c r="G137" s="154" t="s">
        <v>6175</v>
      </c>
      <c r="H137" s="154" t="s">
        <v>6143</v>
      </c>
      <c r="I137" s="154" t="s">
        <v>6176</v>
      </c>
      <c r="J137" s="154" t="s">
        <v>6022</v>
      </c>
      <c r="K137" s="154"/>
      <c r="L137" s="154" t="s">
        <v>759</v>
      </c>
      <c r="M137" s="247" t="s">
        <v>445</v>
      </c>
      <c r="N137" s="247" t="s">
        <v>5733</v>
      </c>
      <c r="O137" s="240" t="str">
        <f t="shared" si="1"/>
        <v/>
      </c>
      <c r="P137" s="154" t="s">
        <v>66</v>
      </c>
      <c r="Q137" s="154" t="s">
        <v>66</v>
      </c>
      <c r="R137" s="154" t="s">
        <v>66</v>
      </c>
      <c r="S137" s="154" t="s">
        <v>66</v>
      </c>
      <c r="T137" s="154" t="s">
        <v>66</v>
      </c>
      <c r="U137" s="154" t="s">
        <v>66</v>
      </c>
      <c r="V137" s="154" t="s">
        <v>66</v>
      </c>
      <c r="W137" s="154" t="s">
        <v>66</v>
      </c>
      <c r="X137" s="154" t="s">
        <v>66</v>
      </c>
      <c r="Y137" s="154"/>
      <c r="Z137" s="242" t="b">
        <f t="shared" si="2"/>
        <v>1</v>
      </c>
      <c r="AA137" s="154" t="s">
        <v>391</v>
      </c>
      <c r="AB137" s="242" t="b">
        <f t="shared" si="3"/>
        <v>0</v>
      </c>
      <c r="AC137" s="154"/>
      <c r="AD137" s="242" t="b">
        <f t="shared" si="4"/>
        <v>0</v>
      </c>
      <c r="AE137" s="154" t="s">
        <v>1006</v>
      </c>
      <c r="AF137" s="242" t="str">
        <f>IF(AE137="","N/A",INDIRECT("MTR!"&amp;ADDRESS(MATCH(LEFT(AE137,9),MTR!C:C,0),COLUMN(J137)),TRUE) &amp; "")</f>
        <v>Complies</v>
      </c>
      <c r="AG137" s="157" t="str">
        <f t="shared" si="5"/>
        <v/>
      </c>
      <c r="AH137" s="170"/>
      <c r="AI137" s="152"/>
      <c r="AJ137" s="152"/>
      <c r="AK137" s="152"/>
      <c r="AL137" s="152"/>
      <c r="AM137" s="152"/>
      <c r="AN137" s="152"/>
      <c r="AO137" s="152"/>
      <c r="AP137" s="152"/>
      <c r="AQ137" s="152"/>
      <c r="AR137" s="152"/>
    </row>
    <row r="138" ht="12.75" customHeight="1">
      <c r="A138" s="244" t="s">
        <v>5158</v>
      </c>
      <c r="B138" s="244" t="s">
        <v>5725</v>
      </c>
      <c r="C138" s="244" t="s">
        <v>6177</v>
      </c>
      <c r="D138" s="154" t="s">
        <v>1315</v>
      </c>
      <c r="E138" s="154"/>
      <c r="F138" s="154" t="str">
        <f t="array" ref="F138">XLOOKUP(Cover!$D$12,$P$1:$X$1,$P138:$X138)</f>
        <v>Information</v>
      </c>
      <c r="G138" s="154" t="s">
        <v>6178</v>
      </c>
      <c r="H138" s="154" t="s">
        <v>5893</v>
      </c>
      <c r="I138" s="154" t="s">
        <v>6179</v>
      </c>
      <c r="J138" s="154" t="s">
        <v>6022</v>
      </c>
      <c r="K138" s="154"/>
      <c r="L138" s="154" t="s">
        <v>759</v>
      </c>
      <c r="M138" s="247" t="s">
        <v>445</v>
      </c>
      <c r="N138" s="247" t="s">
        <v>5733</v>
      </c>
      <c r="O138" s="240" t="str">
        <f t="shared" si="1"/>
        <v/>
      </c>
      <c r="P138" s="154" t="s">
        <v>66</v>
      </c>
      <c r="Q138" s="154" t="s">
        <v>66</v>
      </c>
      <c r="R138" s="154" t="s">
        <v>66</v>
      </c>
      <c r="S138" s="154" t="s">
        <v>66</v>
      </c>
      <c r="T138" s="154" t="s">
        <v>66</v>
      </c>
      <c r="U138" s="154" t="s">
        <v>66</v>
      </c>
      <c r="V138" s="154" t="s">
        <v>66</v>
      </c>
      <c r="W138" s="154" t="s">
        <v>66</v>
      </c>
      <c r="X138" s="154" t="s">
        <v>66</v>
      </c>
      <c r="Y138" s="154"/>
      <c r="Z138" s="242" t="b">
        <f t="shared" si="2"/>
        <v>1</v>
      </c>
      <c r="AA138" s="154" t="s">
        <v>391</v>
      </c>
      <c r="AB138" s="242" t="b">
        <f t="shared" si="3"/>
        <v>0</v>
      </c>
      <c r="AC138" s="154"/>
      <c r="AD138" s="242" t="b">
        <f t="shared" si="4"/>
        <v>0</v>
      </c>
      <c r="AE138" s="154" t="s">
        <v>1006</v>
      </c>
      <c r="AF138" s="242" t="str">
        <f>IF(AE138="","N/A",INDIRECT("MTR!"&amp;ADDRESS(MATCH(LEFT(AE138,9),MTR!C:C,0),COLUMN(J138)),TRUE) &amp; "")</f>
        <v>Complies</v>
      </c>
      <c r="AG138" s="157" t="str">
        <f t="shared" si="5"/>
        <v/>
      </c>
      <c r="AH138" s="170"/>
      <c r="AI138" s="152"/>
      <c r="AJ138" s="152"/>
      <c r="AK138" s="152"/>
      <c r="AL138" s="152"/>
      <c r="AM138" s="152"/>
      <c r="AN138" s="152"/>
      <c r="AO138" s="152"/>
      <c r="AP138" s="152"/>
      <c r="AQ138" s="152"/>
      <c r="AR138" s="152"/>
    </row>
    <row r="139" ht="12.75" customHeight="1">
      <c r="A139" s="244" t="s">
        <v>5158</v>
      </c>
      <c r="B139" s="244" t="s">
        <v>5725</v>
      </c>
      <c r="C139" s="244" t="s">
        <v>6180</v>
      </c>
      <c r="D139" s="154" t="s">
        <v>492</v>
      </c>
      <c r="E139" s="154"/>
      <c r="F139" s="154" t="str">
        <f t="array" ref="F139">XLOOKUP(Cover!$D$12,$P$1:$X$1,$P139:$X139)</f>
        <v>Information</v>
      </c>
      <c r="G139" s="154" t="s">
        <v>6181</v>
      </c>
      <c r="H139" s="154" t="s">
        <v>6182</v>
      </c>
      <c r="I139" s="154" t="s">
        <v>6183</v>
      </c>
      <c r="J139" s="154" t="s">
        <v>6027</v>
      </c>
      <c r="K139" s="154"/>
      <c r="L139" s="154" t="s">
        <v>759</v>
      </c>
      <c r="M139" s="247" t="s">
        <v>516</v>
      </c>
      <c r="N139" s="247" t="s">
        <v>5876</v>
      </c>
      <c r="O139" s="240" t="str">
        <f t="shared" si="1"/>
        <v/>
      </c>
      <c r="P139" s="154" t="s">
        <v>66</v>
      </c>
      <c r="Q139" s="154" t="s">
        <v>66</v>
      </c>
      <c r="R139" s="154" t="s">
        <v>66</v>
      </c>
      <c r="S139" s="154" t="s">
        <v>66</v>
      </c>
      <c r="T139" s="154" t="s">
        <v>66</v>
      </c>
      <c r="U139" s="154" t="s">
        <v>66</v>
      </c>
      <c r="V139" s="154" t="s">
        <v>66</v>
      </c>
      <c r="W139" s="154" t="s">
        <v>66</v>
      </c>
      <c r="X139" s="154" t="s">
        <v>66</v>
      </c>
      <c r="Y139" s="154"/>
      <c r="Z139" s="242" t="b">
        <f t="shared" si="2"/>
        <v>1</v>
      </c>
      <c r="AA139" s="154" t="s">
        <v>391</v>
      </c>
      <c r="AB139" s="242" t="b">
        <f t="shared" si="3"/>
        <v>0</v>
      </c>
      <c r="AC139" s="154"/>
      <c r="AD139" s="242" t="b">
        <f t="shared" si="4"/>
        <v>0</v>
      </c>
      <c r="AE139" s="154" t="s">
        <v>1006</v>
      </c>
      <c r="AF139" s="242" t="str">
        <f>IF(AE139="","N/A",INDIRECT("MTR!"&amp;ADDRESS(MATCH(LEFT(AE139,9),MTR!C:C,0),COLUMN(J139)),TRUE) &amp; "")</f>
        <v>Complies</v>
      </c>
      <c r="AG139" s="157" t="str">
        <f t="shared" si="5"/>
        <v/>
      </c>
      <c r="AH139" s="170"/>
      <c r="AI139" s="152"/>
      <c r="AJ139" s="152"/>
      <c r="AK139" s="152"/>
      <c r="AL139" s="152"/>
      <c r="AM139" s="152"/>
      <c r="AN139" s="152"/>
      <c r="AO139" s="152"/>
      <c r="AP139" s="152"/>
      <c r="AQ139" s="152"/>
      <c r="AR139" s="152"/>
    </row>
    <row r="140" ht="12.75" customHeight="1">
      <c r="A140" s="244" t="s">
        <v>5158</v>
      </c>
      <c r="B140" s="244" t="s">
        <v>5725</v>
      </c>
      <c r="C140" s="244" t="s">
        <v>6184</v>
      </c>
      <c r="D140" s="154" t="s">
        <v>1315</v>
      </c>
      <c r="E140" s="154"/>
      <c r="F140" s="154" t="str">
        <f t="array" ref="F140">XLOOKUP(Cover!$D$12,$P$1:$X$1,$P140:$X140)</f>
        <v>Recommended</v>
      </c>
      <c r="G140" s="154" t="s">
        <v>6185</v>
      </c>
      <c r="H140" s="154" t="s">
        <v>6186</v>
      </c>
      <c r="I140" s="154" t="s">
        <v>6187</v>
      </c>
      <c r="J140" s="154" t="s">
        <v>6022</v>
      </c>
      <c r="K140" s="154"/>
      <c r="L140" s="154" t="s">
        <v>759</v>
      </c>
      <c r="M140" s="247" t="s">
        <v>516</v>
      </c>
      <c r="N140" s="247" t="s">
        <v>5876</v>
      </c>
      <c r="O140" s="240" t="str">
        <f t="shared" si="1"/>
        <v/>
      </c>
      <c r="P140" s="154" t="s">
        <v>66</v>
      </c>
      <c r="Q140" s="154" t="s">
        <v>66</v>
      </c>
      <c r="R140" s="154" t="s">
        <v>66</v>
      </c>
      <c r="S140" s="154" t="s">
        <v>64</v>
      </c>
      <c r="T140" s="154" t="s">
        <v>64</v>
      </c>
      <c r="U140" s="154" t="s">
        <v>64</v>
      </c>
      <c r="V140" s="154" t="s">
        <v>66</v>
      </c>
      <c r="W140" s="154" t="s">
        <v>66</v>
      </c>
      <c r="X140" s="154" t="s">
        <v>64</v>
      </c>
      <c r="Y140" s="154"/>
      <c r="Z140" s="242" t="b">
        <f t="shared" si="2"/>
        <v>1</v>
      </c>
      <c r="AA140" s="154" t="s">
        <v>391</v>
      </c>
      <c r="AB140" s="242" t="b">
        <f t="shared" si="3"/>
        <v>0</v>
      </c>
      <c r="AC140" s="154"/>
      <c r="AD140" s="242" t="b">
        <f t="shared" si="4"/>
        <v>0</v>
      </c>
      <c r="AE140" s="154" t="s">
        <v>1006</v>
      </c>
      <c r="AF140" s="242" t="str">
        <f>IF(AE140="","N/A",INDIRECT("MTR!"&amp;ADDRESS(MATCH(LEFT(AE140,9),MTR!C:C,0),COLUMN(J140)),TRUE) &amp; "")</f>
        <v>Complies</v>
      </c>
      <c r="AG140" s="157" t="str">
        <f t="shared" si="5"/>
        <v/>
      </c>
      <c r="AH140" s="170"/>
      <c r="AI140" s="152"/>
      <c r="AJ140" s="152"/>
      <c r="AK140" s="152"/>
      <c r="AL140" s="152"/>
      <c r="AM140" s="152"/>
      <c r="AN140" s="152"/>
      <c r="AO140" s="152"/>
      <c r="AP140" s="152"/>
      <c r="AQ140" s="152"/>
      <c r="AR140" s="152"/>
    </row>
    <row r="141" ht="12.75" customHeight="1">
      <c r="A141" s="244" t="s">
        <v>5158</v>
      </c>
      <c r="B141" s="244" t="s">
        <v>5725</v>
      </c>
      <c r="C141" s="244" t="s">
        <v>6188</v>
      </c>
      <c r="D141" s="154" t="s">
        <v>1315</v>
      </c>
      <c r="E141" s="154"/>
      <c r="F141" s="154" t="str">
        <f t="array" ref="F141">XLOOKUP(Cover!$D$12,$P$1:$X$1,$P141:$X141)</f>
        <v>Information</v>
      </c>
      <c r="G141" s="154" t="s">
        <v>6189</v>
      </c>
      <c r="H141" s="154" t="s">
        <v>6190</v>
      </c>
      <c r="I141" s="154" t="s">
        <v>6191</v>
      </c>
      <c r="J141" s="154" t="s">
        <v>6022</v>
      </c>
      <c r="K141" s="154"/>
      <c r="L141" s="154" t="s">
        <v>759</v>
      </c>
      <c r="M141" s="247" t="s">
        <v>516</v>
      </c>
      <c r="N141" s="247" t="s">
        <v>5876</v>
      </c>
      <c r="O141" s="240" t="str">
        <f t="shared" si="1"/>
        <v/>
      </c>
      <c r="P141" s="154" t="s">
        <v>66</v>
      </c>
      <c r="Q141" s="154" t="s">
        <v>66</v>
      </c>
      <c r="R141" s="154" t="s">
        <v>66</v>
      </c>
      <c r="S141" s="154" t="s">
        <v>66</v>
      </c>
      <c r="T141" s="154" t="s">
        <v>66</v>
      </c>
      <c r="U141" s="154" t="s">
        <v>66</v>
      </c>
      <c r="V141" s="154" t="s">
        <v>66</v>
      </c>
      <c r="W141" s="154" t="s">
        <v>66</v>
      </c>
      <c r="X141" s="154" t="s">
        <v>66</v>
      </c>
      <c r="Y141" s="154"/>
      <c r="Z141" s="242" t="b">
        <f t="shared" si="2"/>
        <v>1</v>
      </c>
      <c r="AA141" s="154" t="s">
        <v>391</v>
      </c>
      <c r="AB141" s="242" t="b">
        <f t="shared" si="3"/>
        <v>0</v>
      </c>
      <c r="AC141" s="154"/>
      <c r="AD141" s="242" t="b">
        <f t="shared" si="4"/>
        <v>0</v>
      </c>
      <c r="AE141" s="154" t="s">
        <v>1006</v>
      </c>
      <c r="AF141" s="242" t="str">
        <f>IF(AE141="","N/A",INDIRECT("MTR!"&amp;ADDRESS(MATCH(LEFT(AE141,9),MTR!C:C,0),COLUMN(J141)),TRUE) &amp; "")</f>
        <v>Complies</v>
      </c>
      <c r="AG141" s="157" t="str">
        <f t="shared" si="5"/>
        <v/>
      </c>
      <c r="AH141" s="170"/>
      <c r="AI141" s="152"/>
      <c r="AJ141" s="152"/>
      <c r="AK141" s="152"/>
      <c r="AL141" s="152"/>
      <c r="AM141" s="152"/>
      <c r="AN141" s="152"/>
      <c r="AO141" s="152"/>
      <c r="AP141" s="152"/>
      <c r="AQ141" s="152"/>
      <c r="AR141" s="152"/>
    </row>
    <row r="142" ht="12.75" customHeight="1">
      <c r="A142" s="238" t="s">
        <v>5158</v>
      </c>
      <c r="B142" s="238" t="s">
        <v>5725</v>
      </c>
      <c r="C142" s="238" t="s">
        <v>6192</v>
      </c>
      <c r="D142" s="240"/>
      <c r="E142" s="240" t="s">
        <v>92</v>
      </c>
      <c r="F142" s="240" t="str">
        <f t="array" ref="F142">XLOOKUP(Cover!$D$12,$P$1:$X$1,$P142:$X142)</f>
        <v>Heading</v>
      </c>
      <c r="G142" s="239" t="s">
        <v>6193</v>
      </c>
      <c r="H142" s="240"/>
      <c r="I142" s="240"/>
      <c r="J142" s="240"/>
      <c r="K142" s="240"/>
      <c r="L142" s="240" t="s">
        <v>759</v>
      </c>
      <c r="M142" s="240"/>
      <c r="N142" s="240"/>
      <c r="O142" s="240" t="str">
        <f t="shared" si="1"/>
        <v/>
      </c>
      <c r="P142" s="240" t="s">
        <v>390</v>
      </c>
      <c r="Q142" s="240" t="s">
        <v>390</v>
      </c>
      <c r="R142" s="240" t="s">
        <v>390</v>
      </c>
      <c r="S142" s="240" t="s">
        <v>390</v>
      </c>
      <c r="T142" s="240" t="s">
        <v>390</v>
      </c>
      <c r="U142" s="240" t="s">
        <v>390</v>
      </c>
      <c r="V142" s="240" t="s">
        <v>390</v>
      </c>
      <c r="W142" s="240" t="s">
        <v>390</v>
      </c>
      <c r="X142" s="240" t="s">
        <v>390</v>
      </c>
      <c r="Y142" s="240"/>
      <c r="Z142" s="242" t="b">
        <f t="shared" si="2"/>
        <v>0</v>
      </c>
      <c r="AA142" s="240" t="s">
        <v>391</v>
      </c>
      <c r="AB142" s="242" t="b">
        <f t="shared" si="3"/>
        <v>0</v>
      </c>
      <c r="AC142" s="240"/>
      <c r="AD142" s="242" t="b">
        <f t="shared" si="4"/>
        <v>0</v>
      </c>
      <c r="AE142" s="240"/>
      <c r="AF142" s="242" t="str">
        <f>IF(AE142="","N/A",INDIRECT("MTR!"&amp;ADDRESS(MATCH(LEFT(AE142,9),MTR!C:C,0),COLUMN(J142)),TRUE) &amp; "")</f>
        <v>N/A</v>
      </c>
      <c r="AG142" s="157" t="str">
        <f t="shared" si="5"/>
        <v/>
      </c>
      <c r="AH142" s="170"/>
      <c r="AI142" s="152"/>
      <c r="AJ142" s="152"/>
      <c r="AK142" s="152"/>
      <c r="AL142" s="152"/>
      <c r="AM142" s="152"/>
      <c r="AN142" s="152"/>
      <c r="AO142" s="152"/>
      <c r="AP142" s="152"/>
      <c r="AQ142" s="152"/>
      <c r="AR142" s="152"/>
    </row>
    <row r="143" ht="12.75" customHeight="1">
      <c r="A143" s="244" t="s">
        <v>5158</v>
      </c>
      <c r="B143" s="244" t="s">
        <v>5725</v>
      </c>
      <c r="C143" s="244" t="s">
        <v>6194</v>
      </c>
      <c r="D143" s="154" t="s">
        <v>1120</v>
      </c>
      <c r="E143" s="154"/>
      <c r="F143" s="154" t="str">
        <f t="array" ref="F143">XLOOKUP(Cover!$D$12,$P$1:$X$1,$P143:$X143)</f>
        <v>Information</v>
      </c>
      <c r="G143" s="154" t="s">
        <v>6195</v>
      </c>
      <c r="H143" s="154" t="s">
        <v>6196</v>
      </c>
      <c r="I143" s="154" t="s">
        <v>6197</v>
      </c>
      <c r="J143" s="154" t="s">
        <v>5732</v>
      </c>
      <c r="K143" s="154"/>
      <c r="L143" s="154" t="s">
        <v>759</v>
      </c>
      <c r="M143" s="247" t="s">
        <v>445</v>
      </c>
      <c r="N143" s="247" t="s">
        <v>5733</v>
      </c>
      <c r="O143" s="240" t="str">
        <f t="shared" si="1"/>
        <v/>
      </c>
      <c r="P143" s="154" t="s">
        <v>66</v>
      </c>
      <c r="Q143" s="154" t="s">
        <v>66</v>
      </c>
      <c r="R143" s="154" t="s">
        <v>66</v>
      </c>
      <c r="S143" s="154" t="s">
        <v>66</v>
      </c>
      <c r="T143" s="154" t="s">
        <v>66</v>
      </c>
      <c r="U143" s="154" t="s">
        <v>66</v>
      </c>
      <c r="V143" s="154" t="s">
        <v>66</v>
      </c>
      <c r="W143" s="154" t="s">
        <v>66</v>
      </c>
      <c r="X143" s="154" t="s">
        <v>66</v>
      </c>
      <c r="Y143" s="154"/>
      <c r="Z143" s="242" t="b">
        <f t="shared" si="2"/>
        <v>1</v>
      </c>
      <c r="AA143" s="154" t="s">
        <v>391</v>
      </c>
      <c r="AB143" s="242" t="b">
        <f t="shared" si="3"/>
        <v>0</v>
      </c>
      <c r="AC143" s="154"/>
      <c r="AD143" s="242" t="b">
        <f t="shared" si="4"/>
        <v>0</v>
      </c>
      <c r="AE143" s="154" t="s">
        <v>1016</v>
      </c>
      <c r="AF143" s="242" t="str">
        <f>IF(AE143="","N/A",INDIRECT("MTR!"&amp;ADDRESS(MATCH(LEFT(AE143,9),MTR!C:C,0),COLUMN(J143)),TRUE) &amp; "")</f>
        <v>Partially Complies</v>
      </c>
      <c r="AG143" s="157" t="str">
        <f t="shared" si="5"/>
        <v/>
      </c>
      <c r="AH143" s="170"/>
      <c r="AI143" s="152"/>
      <c r="AJ143" s="152"/>
      <c r="AK143" s="152"/>
      <c r="AL143" s="152"/>
      <c r="AM143" s="152"/>
      <c r="AN143" s="152"/>
      <c r="AO143" s="152"/>
      <c r="AP143" s="152"/>
      <c r="AQ143" s="152"/>
      <c r="AR143" s="152"/>
    </row>
    <row r="144" ht="12.75" customHeight="1">
      <c r="A144" s="244" t="s">
        <v>5158</v>
      </c>
      <c r="B144" s="244" t="s">
        <v>5725</v>
      </c>
      <c r="C144" s="244" t="s">
        <v>6198</v>
      </c>
      <c r="D144" s="154" t="s">
        <v>781</v>
      </c>
      <c r="E144" s="154"/>
      <c r="F144" s="154" t="str">
        <f t="array" ref="F144">XLOOKUP(Cover!$D$12,$P$1:$X$1,$P144:$X144)</f>
        <v>Information</v>
      </c>
      <c r="G144" s="154" t="s">
        <v>6199</v>
      </c>
      <c r="H144" s="154" t="s">
        <v>5914</v>
      </c>
      <c r="I144" s="154" t="s">
        <v>6200</v>
      </c>
      <c r="J144" s="154" t="s">
        <v>6140</v>
      </c>
      <c r="K144" s="154"/>
      <c r="L144" s="154" t="s">
        <v>759</v>
      </c>
      <c r="M144" s="247" t="s">
        <v>445</v>
      </c>
      <c r="N144" s="247" t="s">
        <v>5733</v>
      </c>
      <c r="O144" s="240" t="str">
        <f t="shared" si="1"/>
        <v/>
      </c>
      <c r="P144" s="154" t="s">
        <v>66</v>
      </c>
      <c r="Q144" s="154" t="s">
        <v>66</v>
      </c>
      <c r="R144" s="154" t="s">
        <v>66</v>
      </c>
      <c r="S144" s="154" t="s">
        <v>66</v>
      </c>
      <c r="T144" s="154" t="s">
        <v>66</v>
      </c>
      <c r="U144" s="154" t="s">
        <v>66</v>
      </c>
      <c r="V144" s="154" t="s">
        <v>66</v>
      </c>
      <c r="W144" s="154" t="s">
        <v>66</v>
      </c>
      <c r="X144" s="154" t="s">
        <v>66</v>
      </c>
      <c r="Y144" s="154"/>
      <c r="Z144" s="242" t="b">
        <f t="shared" si="2"/>
        <v>1</v>
      </c>
      <c r="AA144" s="154" t="s">
        <v>391</v>
      </c>
      <c r="AB144" s="242" t="b">
        <f t="shared" si="3"/>
        <v>0</v>
      </c>
      <c r="AC144" s="154"/>
      <c r="AD144" s="242" t="b">
        <f t="shared" si="4"/>
        <v>0</v>
      </c>
      <c r="AE144" s="154" t="s">
        <v>1016</v>
      </c>
      <c r="AF144" s="242" t="str">
        <f>IF(AE144="","N/A",INDIRECT("MTR!"&amp;ADDRESS(MATCH(LEFT(AE144,9),MTR!C:C,0),COLUMN(J144)),TRUE) &amp; "")</f>
        <v>Partially Complies</v>
      </c>
      <c r="AG144" s="157" t="str">
        <f t="shared" si="5"/>
        <v/>
      </c>
      <c r="AH144" s="170"/>
      <c r="AI144" s="152"/>
      <c r="AJ144" s="152"/>
      <c r="AK144" s="152"/>
      <c r="AL144" s="152"/>
      <c r="AM144" s="152"/>
      <c r="AN144" s="152"/>
      <c r="AO144" s="152"/>
      <c r="AP144" s="152"/>
      <c r="AQ144" s="152"/>
      <c r="AR144" s="152"/>
    </row>
    <row r="145" ht="12.75" customHeight="1">
      <c r="A145" s="244" t="s">
        <v>5158</v>
      </c>
      <c r="B145" s="244" t="s">
        <v>5725</v>
      </c>
      <c r="C145" s="244" t="s">
        <v>6201</v>
      </c>
      <c r="D145" s="154" t="s">
        <v>1120</v>
      </c>
      <c r="E145" s="154"/>
      <c r="F145" s="154" t="str">
        <f t="array" ref="F145">XLOOKUP(Cover!$D$12,$P$1:$X$1,$P145:$X145)</f>
        <v>Information</v>
      </c>
      <c r="G145" s="154" t="s">
        <v>6202</v>
      </c>
      <c r="H145" s="154" t="s">
        <v>6203</v>
      </c>
      <c r="I145" s="154" t="s">
        <v>6204</v>
      </c>
      <c r="J145" s="154" t="s">
        <v>5890</v>
      </c>
      <c r="K145" s="154"/>
      <c r="L145" s="154" t="s">
        <v>759</v>
      </c>
      <c r="M145" s="247" t="s">
        <v>445</v>
      </c>
      <c r="N145" s="247" t="s">
        <v>5733</v>
      </c>
      <c r="O145" s="240" t="str">
        <f t="shared" si="1"/>
        <v/>
      </c>
      <c r="P145" s="154" t="s">
        <v>66</v>
      </c>
      <c r="Q145" s="154" t="s">
        <v>66</v>
      </c>
      <c r="R145" s="154" t="s">
        <v>66</v>
      </c>
      <c r="S145" s="154" t="s">
        <v>66</v>
      </c>
      <c r="T145" s="154" t="s">
        <v>66</v>
      </c>
      <c r="U145" s="154" t="s">
        <v>66</v>
      </c>
      <c r="V145" s="154" t="s">
        <v>66</v>
      </c>
      <c r="W145" s="154" t="s">
        <v>66</v>
      </c>
      <c r="X145" s="154" t="s">
        <v>66</v>
      </c>
      <c r="Y145" s="154"/>
      <c r="Z145" s="242" t="b">
        <f t="shared" si="2"/>
        <v>1</v>
      </c>
      <c r="AA145" s="154" t="s">
        <v>391</v>
      </c>
      <c r="AB145" s="242" t="b">
        <f t="shared" si="3"/>
        <v>0</v>
      </c>
      <c r="AC145" s="154"/>
      <c r="AD145" s="242" t="b">
        <f t="shared" si="4"/>
        <v>0</v>
      </c>
      <c r="AE145" s="154" t="s">
        <v>1016</v>
      </c>
      <c r="AF145" s="242" t="str">
        <f>IF(AE145="","N/A",INDIRECT("MTR!"&amp;ADDRESS(MATCH(LEFT(AE145,9),MTR!C:C,0),COLUMN(J145)),TRUE) &amp; "")</f>
        <v>Partially Complies</v>
      </c>
      <c r="AG145" s="157" t="str">
        <f t="shared" si="5"/>
        <v/>
      </c>
      <c r="AH145" s="170"/>
      <c r="AI145" s="152"/>
      <c r="AJ145" s="152"/>
      <c r="AK145" s="152"/>
      <c r="AL145" s="152"/>
      <c r="AM145" s="152"/>
      <c r="AN145" s="152"/>
      <c r="AO145" s="152"/>
      <c r="AP145" s="152"/>
      <c r="AQ145" s="152"/>
      <c r="AR145" s="152"/>
    </row>
    <row r="146" ht="12.75" customHeight="1">
      <c r="A146" s="244" t="s">
        <v>5158</v>
      </c>
      <c r="B146" s="244" t="s">
        <v>5725</v>
      </c>
      <c r="C146" s="255" t="s">
        <v>6205</v>
      </c>
      <c r="D146" s="256" t="s">
        <v>42</v>
      </c>
      <c r="E146" s="154" t="s">
        <v>489</v>
      </c>
      <c r="F146" s="154" t="str">
        <f t="array" ref="F146">XLOOKUP(Cover!$D$12,$P$1:$X$1,$P146:$X146)</f>
        <v>Information</v>
      </c>
      <c r="G146" s="154" t="s">
        <v>6206</v>
      </c>
      <c r="H146" s="154" t="s">
        <v>6207</v>
      </c>
      <c r="I146" s="154" t="s">
        <v>6208</v>
      </c>
      <c r="J146" s="154" t="s">
        <v>5931</v>
      </c>
      <c r="K146" s="154"/>
      <c r="L146" s="154" t="s">
        <v>759</v>
      </c>
      <c r="M146" s="247" t="s">
        <v>516</v>
      </c>
      <c r="N146" s="247" t="s">
        <v>5876</v>
      </c>
      <c r="O146" s="240" t="str">
        <f t="shared" si="1"/>
        <v/>
      </c>
      <c r="P146" s="154" t="s">
        <v>66</v>
      </c>
      <c r="Q146" s="154" t="s">
        <v>66</v>
      </c>
      <c r="R146" s="154" t="s">
        <v>66</v>
      </c>
      <c r="S146" s="154" t="s">
        <v>66</v>
      </c>
      <c r="T146" s="154" t="s">
        <v>66</v>
      </c>
      <c r="U146" s="154" t="s">
        <v>66</v>
      </c>
      <c r="V146" s="154" t="s">
        <v>66</v>
      </c>
      <c r="W146" s="154" t="s">
        <v>66</v>
      </c>
      <c r="X146" s="154" t="s">
        <v>66</v>
      </c>
      <c r="Y146" s="154"/>
      <c r="Z146" s="242" t="b">
        <f t="shared" si="2"/>
        <v>1</v>
      </c>
      <c r="AA146" s="154" t="s">
        <v>391</v>
      </c>
      <c r="AB146" s="242" t="b">
        <f t="shared" si="3"/>
        <v>0</v>
      </c>
      <c r="AC146" s="154"/>
      <c r="AD146" s="242" t="b">
        <f t="shared" si="4"/>
        <v>0</v>
      </c>
      <c r="AE146" s="154" t="s">
        <v>1016</v>
      </c>
      <c r="AF146" s="242" t="str">
        <f>IF(AE146="","N/A",INDIRECT("MTR!"&amp;ADDRESS(MATCH(LEFT(AE146,9),MTR!C:C,0),COLUMN(J146)),TRUE) &amp; "")</f>
        <v>Partially Complies</v>
      </c>
      <c r="AG146" s="157" t="str">
        <f t="shared" si="5"/>
        <v/>
      </c>
      <c r="AH146" s="170"/>
      <c r="AI146" s="152"/>
      <c r="AJ146" s="152"/>
      <c r="AK146" s="152"/>
      <c r="AL146" s="152"/>
      <c r="AM146" s="152"/>
      <c r="AN146" s="152"/>
      <c r="AO146" s="152"/>
      <c r="AP146" s="152"/>
      <c r="AQ146" s="152"/>
      <c r="AR146" s="152"/>
    </row>
    <row r="147" ht="12.75" customHeight="1">
      <c r="A147" s="244" t="s">
        <v>5158</v>
      </c>
      <c r="B147" s="244" t="s">
        <v>5725</v>
      </c>
      <c r="C147" s="244" t="s">
        <v>6209</v>
      </c>
      <c r="D147" s="154" t="s">
        <v>1120</v>
      </c>
      <c r="E147" s="154"/>
      <c r="F147" s="154" t="str">
        <f t="array" ref="F147">XLOOKUP(Cover!$D$12,$P$1:$X$1,$P147:$X147)</f>
        <v>Information</v>
      </c>
      <c r="G147" s="154" t="s">
        <v>6210</v>
      </c>
      <c r="H147" s="154" t="s">
        <v>6211</v>
      </c>
      <c r="I147" s="154" t="s">
        <v>6212</v>
      </c>
      <c r="J147" s="154" t="s">
        <v>5732</v>
      </c>
      <c r="K147" s="154"/>
      <c r="L147" s="154" t="s">
        <v>759</v>
      </c>
      <c r="M147" s="247" t="s">
        <v>445</v>
      </c>
      <c r="N147" s="247" t="s">
        <v>5733</v>
      </c>
      <c r="O147" s="240" t="str">
        <f t="shared" si="1"/>
        <v/>
      </c>
      <c r="P147" s="154" t="s">
        <v>66</v>
      </c>
      <c r="Q147" s="154" t="s">
        <v>66</v>
      </c>
      <c r="R147" s="154" t="s">
        <v>66</v>
      </c>
      <c r="S147" s="154" t="s">
        <v>66</v>
      </c>
      <c r="T147" s="154" t="s">
        <v>66</v>
      </c>
      <c r="U147" s="154" t="s">
        <v>66</v>
      </c>
      <c r="V147" s="154" t="s">
        <v>66</v>
      </c>
      <c r="W147" s="154" t="s">
        <v>66</v>
      </c>
      <c r="X147" s="154" t="s">
        <v>66</v>
      </c>
      <c r="Y147" s="154"/>
      <c r="Z147" s="242" t="b">
        <f t="shared" si="2"/>
        <v>1</v>
      </c>
      <c r="AA147" s="154" t="s">
        <v>391</v>
      </c>
      <c r="AB147" s="242" t="b">
        <f t="shared" si="3"/>
        <v>0</v>
      </c>
      <c r="AC147" s="154"/>
      <c r="AD147" s="242" t="b">
        <f t="shared" si="4"/>
        <v>0</v>
      </c>
      <c r="AE147" s="154" t="s">
        <v>1016</v>
      </c>
      <c r="AF147" s="242" t="str">
        <f>IF(AE147="","N/A",INDIRECT("MTR!"&amp;ADDRESS(MATCH(LEFT(AE147,9),MTR!C:C,0),COLUMN(J147)),TRUE) &amp; "")</f>
        <v>Partially Complies</v>
      </c>
      <c r="AG147" s="157" t="str">
        <f t="shared" si="5"/>
        <v/>
      </c>
      <c r="AH147" s="170"/>
      <c r="AI147" s="152"/>
      <c r="AJ147" s="152"/>
      <c r="AK147" s="152"/>
      <c r="AL147" s="152"/>
      <c r="AM147" s="152"/>
      <c r="AN147" s="152"/>
      <c r="AO147" s="152"/>
      <c r="AP147" s="152"/>
      <c r="AQ147" s="152"/>
      <c r="AR147" s="152"/>
    </row>
    <row r="148" ht="12.75" customHeight="1">
      <c r="A148" s="244" t="s">
        <v>5158</v>
      </c>
      <c r="B148" s="244" t="s">
        <v>5725</v>
      </c>
      <c r="C148" s="244" t="s">
        <v>6213</v>
      </c>
      <c r="D148" s="154" t="s">
        <v>781</v>
      </c>
      <c r="E148" s="154"/>
      <c r="F148" s="154" t="str">
        <f t="array" ref="F148">XLOOKUP(Cover!$D$12,$P$1:$X$1,$P148:$X148)</f>
        <v>Information</v>
      </c>
      <c r="G148" s="154" t="s">
        <v>6214</v>
      </c>
      <c r="H148" s="154" t="s">
        <v>6215</v>
      </c>
      <c r="I148" s="154" t="s">
        <v>6216</v>
      </c>
      <c r="J148" s="154" t="s">
        <v>6140</v>
      </c>
      <c r="K148" s="154"/>
      <c r="L148" s="154" t="s">
        <v>759</v>
      </c>
      <c r="M148" s="247" t="s">
        <v>516</v>
      </c>
      <c r="N148" s="247" t="s">
        <v>5876</v>
      </c>
      <c r="O148" s="240" t="str">
        <f t="shared" si="1"/>
        <v/>
      </c>
      <c r="P148" s="154" t="s">
        <v>66</v>
      </c>
      <c r="Q148" s="154" t="s">
        <v>66</v>
      </c>
      <c r="R148" s="154" t="s">
        <v>66</v>
      </c>
      <c r="S148" s="154" t="s">
        <v>66</v>
      </c>
      <c r="T148" s="154" t="s">
        <v>66</v>
      </c>
      <c r="U148" s="154" t="s">
        <v>66</v>
      </c>
      <c r="V148" s="154" t="s">
        <v>66</v>
      </c>
      <c r="W148" s="154" t="s">
        <v>66</v>
      </c>
      <c r="X148" s="154" t="s">
        <v>66</v>
      </c>
      <c r="Y148" s="154"/>
      <c r="Z148" s="242" t="b">
        <f t="shared" si="2"/>
        <v>1</v>
      </c>
      <c r="AA148" s="154" t="s">
        <v>391</v>
      </c>
      <c r="AB148" s="242" t="b">
        <f t="shared" si="3"/>
        <v>0</v>
      </c>
      <c r="AC148" s="154"/>
      <c r="AD148" s="242" t="b">
        <f t="shared" si="4"/>
        <v>0</v>
      </c>
      <c r="AE148" s="154" t="s">
        <v>1016</v>
      </c>
      <c r="AF148" s="242" t="str">
        <f>IF(AE148="","N/A",INDIRECT("MTR!"&amp;ADDRESS(MATCH(LEFT(AE148,9),MTR!C:C,0),COLUMN(J148)),TRUE) &amp; "")</f>
        <v>Partially Complies</v>
      </c>
      <c r="AG148" s="157" t="str">
        <f t="shared" si="5"/>
        <v/>
      </c>
      <c r="AH148" s="170"/>
      <c r="AI148" s="152"/>
      <c r="AJ148" s="152"/>
      <c r="AK148" s="152"/>
      <c r="AL148" s="152"/>
      <c r="AM148" s="152"/>
      <c r="AN148" s="152"/>
      <c r="AO148" s="152"/>
      <c r="AP148" s="152"/>
      <c r="AQ148" s="152"/>
      <c r="AR148" s="152"/>
    </row>
    <row r="149" ht="12.75" customHeight="1">
      <c r="A149" s="244" t="s">
        <v>5158</v>
      </c>
      <c r="B149" s="244" t="s">
        <v>5725</v>
      </c>
      <c r="C149" s="255" t="s">
        <v>6217</v>
      </c>
      <c r="D149" s="256" t="s">
        <v>42</v>
      </c>
      <c r="E149" s="154" t="s">
        <v>489</v>
      </c>
      <c r="F149" s="154" t="str">
        <f t="array" ref="F149">XLOOKUP(Cover!$D$12,$P$1:$X$1,$P149:$X149)</f>
        <v>Information</v>
      </c>
      <c r="G149" s="154" t="s">
        <v>6218</v>
      </c>
      <c r="H149" s="154" t="s">
        <v>5751</v>
      </c>
      <c r="I149" s="154" t="s">
        <v>6219</v>
      </c>
      <c r="J149" s="154" t="s">
        <v>6220</v>
      </c>
      <c r="K149" s="154"/>
      <c r="L149" s="154" t="s">
        <v>759</v>
      </c>
      <c r="M149" s="247" t="s">
        <v>516</v>
      </c>
      <c r="N149" s="247" t="s">
        <v>5876</v>
      </c>
      <c r="O149" s="240" t="str">
        <f t="shared" si="1"/>
        <v/>
      </c>
      <c r="P149" s="154" t="s">
        <v>66</v>
      </c>
      <c r="Q149" s="154" t="s">
        <v>66</v>
      </c>
      <c r="R149" s="154" t="s">
        <v>66</v>
      </c>
      <c r="S149" s="154" t="s">
        <v>66</v>
      </c>
      <c r="T149" s="154" t="s">
        <v>66</v>
      </c>
      <c r="U149" s="154" t="s">
        <v>66</v>
      </c>
      <c r="V149" s="154" t="s">
        <v>66</v>
      </c>
      <c r="W149" s="154" t="s">
        <v>66</v>
      </c>
      <c r="X149" s="154" t="s">
        <v>66</v>
      </c>
      <c r="Y149" s="154"/>
      <c r="Z149" s="242" t="b">
        <f t="shared" si="2"/>
        <v>1</v>
      </c>
      <c r="AA149" s="154" t="s">
        <v>391</v>
      </c>
      <c r="AB149" s="242" t="b">
        <f t="shared" si="3"/>
        <v>0</v>
      </c>
      <c r="AC149" s="154"/>
      <c r="AD149" s="242" t="b">
        <f t="shared" si="4"/>
        <v>0</v>
      </c>
      <c r="AE149" s="154" t="s">
        <v>1016</v>
      </c>
      <c r="AF149" s="242" t="str">
        <f>IF(AE149="","N/A",INDIRECT("MTR!"&amp;ADDRESS(MATCH(LEFT(AE149,9),MTR!C:C,0),COLUMN(J149)),TRUE) &amp; "")</f>
        <v>Partially Complies</v>
      </c>
      <c r="AG149" s="157" t="str">
        <f t="shared" si="5"/>
        <v/>
      </c>
      <c r="AH149" s="170"/>
      <c r="AI149" s="152"/>
      <c r="AJ149" s="152"/>
      <c r="AK149" s="152"/>
      <c r="AL149" s="152"/>
      <c r="AM149" s="152"/>
      <c r="AN149" s="152"/>
      <c r="AO149" s="152"/>
      <c r="AP149" s="152"/>
      <c r="AQ149" s="152"/>
      <c r="AR149" s="152"/>
    </row>
    <row r="150" ht="12.75" customHeight="1">
      <c r="A150" s="244" t="s">
        <v>5158</v>
      </c>
      <c r="B150" s="244" t="s">
        <v>5725</v>
      </c>
      <c r="C150" s="255" t="s">
        <v>6221</v>
      </c>
      <c r="D150" s="256" t="s">
        <v>42</v>
      </c>
      <c r="E150" s="154" t="s">
        <v>489</v>
      </c>
      <c r="F150" s="154" t="str">
        <f t="array" ref="F150">XLOOKUP(Cover!$D$12,$P$1:$X$1,$P150:$X150)</f>
        <v>Information</v>
      </c>
      <c r="G150" s="154" t="s">
        <v>6222</v>
      </c>
      <c r="H150" s="154" t="s">
        <v>6223</v>
      </c>
      <c r="I150" s="154" t="s">
        <v>6224</v>
      </c>
      <c r="J150" s="154" t="s">
        <v>6220</v>
      </c>
      <c r="K150" s="154"/>
      <c r="L150" s="154" t="s">
        <v>759</v>
      </c>
      <c r="M150" s="247" t="s">
        <v>516</v>
      </c>
      <c r="N150" s="247" t="s">
        <v>5876</v>
      </c>
      <c r="O150" s="240" t="str">
        <f t="shared" si="1"/>
        <v/>
      </c>
      <c r="P150" s="154" t="s">
        <v>66</v>
      </c>
      <c r="Q150" s="154" t="s">
        <v>66</v>
      </c>
      <c r="R150" s="154" t="s">
        <v>66</v>
      </c>
      <c r="S150" s="154" t="s">
        <v>66</v>
      </c>
      <c r="T150" s="154" t="s">
        <v>66</v>
      </c>
      <c r="U150" s="154" t="s">
        <v>66</v>
      </c>
      <c r="V150" s="154" t="s">
        <v>66</v>
      </c>
      <c r="W150" s="154" t="s">
        <v>66</v>
      </c>
      <c r="X150" s="154" t="s">
        <v>66</v>
      </c>
      <c r="Y150" s="154"/>
      <c r="Z150" s="242" t="b">
        <f t="shared" si="2"/>
        <v>1</v>
      </c>
      <c r="AA150" s="154" t="s">
        <v>391</v>
      </c>
      <c r="AB150" s="242" t="b">
        <f t="shared" si="3"/>
        <v>0</v>
      </c>
      <c r="AC150" s="154"/>
      <c r="AD150" s="242" t="b">
        <f t="shared" si="4"/>
        <v>0</v>
      </c>
      <c r="AE150" s="154" t="s">
        <v>1016</v>
      </c>
      <c r="AF150" s="242" t="str">
        <f>IF(AE150="","N/A",INDIRECT("MTR!"&amp;ADDRESS(MATCH(LEFT(AE150,9),MTR!C:C,0),COLUMN(J150)),TRUE) &amp; "")</f>
        <v>Partially Complies</v>
      </c>
      <c r="AG150" s="157" t="str">
        <f t="shared" si="5"/>
        <v/>
      </c>
      <c r="AH150" s="170"/>
      <c r="AI150" s="152"/>
      <c r="AJ150" s="152"/>
      <c r="AK150" s="152"/>
      <c r="AL150" s="152"/>
      <c r="AM150" s="152"/>
      <c r="AN150" s="152"/>
      <c r="AO150" s="152"/>
      <c r="AP150" s="152"/>
      <c r="AQ150" s="152"/>
      <c r="AR150" s="152"/>
    </row>
    <row r="151" ht="12.75" customHeight="1">
      <c r="A151" s="244" t="s">
        <v>5158</v>
      </c>
      <c r="B151" s="244" t="s">
        <v>5725</v>
      </c>
      <c r="C151" s="255" t="s">
        <v>6225</v>
      </c>
      <c r="D151" s="256" t="s">
        <v>42</v>
      </c>
      <c r="E151" s="154" t="s">
        <v>489</v>
      </c>
      <c r="F151" s="154" t="str">
        <f t="array" ref="F151">XLOOKUP(Cover!$D$12,$P$1:$X$1,$P151:$X151)</f>
        <v>Information</v>
      </c>
      <c r="G151" s="154" t="s">
        <v>6226</v>
      </c>
      <c r="H151" s="154" t="s">
        <v>6025</v>
      </c>
      <c r="I151" s="154" t="s">
        <v>6227</v>
      </c>
      <c r="J151" s="154" t="s">
        <v>6220</v>
      </c>
      <c r="K151" s="154"/>
      <c r="L151" s="154" t="s">
        <v>759</v>
      </c>
      <c r="M151" s="247" t="s">
        <v>516</v>
      </c>
      <c r="N151" s="247" t="s">
        <v>5876</v>
      </c>
      <c r="O151" s="240" t="str">
        <f t="shared" si="1"/>
        <v/>
      </c>
      <c r="P151" s="154" t="s">
        <v>66</v>
      </c>
      <c r="Q151" s="154" t="s">
        <v>66</v>
      </c>
      <c r="R151" s="154" t="s">
        <v>66</v>
      </c>
      <c r="S151" s="154" t="s">
        <v>66</v>
      </c>
      <c r="T151" s="154" t="s">
        <v>66</v>
      </c>
      <c r="U151" s="154" t="s">
        <v>66</v>
      </c>
      <c r="V151" s="154" t="s">
        <v>66</v>
      </c>
      <c r="W151" s="154" t="s">
        <v>66</v>
      </c>
      <c r="X151" s="154" t="s">
        <v>66</v>
      </c>
      <c r="Y151" s="154"/>
      <c r="Z151" s="242" t="b">
        <f t="shared" si="2"/>
        <v>1</v>
      </c>
      <c r="AA151" s="154" t="s">
        <v>391</v>
      </c>
      <c r="AB151" s="242" t="b">
        <f t="shared" si="3"/>
        <v>0</v>
      </c>
      <c r="AC151" s="154"/>
      <c r="AD151" s="242" t="b">
        <f t="shared" si="4"/>
        <v>0</v>
      </c>
      <c r="AE151" s="154" t="s">
        <v>1016</v>
      </c>
      <c r="AF151" s="242" t="str">
        <f>IF(AE151="","N/A",INDIRECT("MTR!"&amp;ADDRESS(MATCH(LEFT(AE151,9),MTR!C:C,0),COLUMN(J151)),TRUE) &amp; "")</f>
        <v>Partially Complies</v>
      </c>
      <c r="AG151" s="157" t="str">
        <f t="shared" si="5"/>
        <v/>
      </c>
      <c r="AH151" s="170"/>
      <c r="AI151" s="152"/>
      <c r="AJ151" s="152"/>
      <c r="AK151" s="152"/>
      <c r="AL151" s="152"/>
      <c r="AM151" s="152"/>
      <c r="AN151" s="152"/>
      <c r="AO151" s="152"/>
      <c r="AP151" s="152"/>
      <c r="AQ151" s="152"/>
      <c r="AR151" s="152"/>
    </row>
    <row r="152" ht="12.75" customHeight="1">
      <c r="A152" s="244" t="s">
        <v>5158</v>
      </c>
      <c r="B152" s="244" t="s">
        <v>5725</v>
      </c>
      <c r="C152" s="244" t="s">
        <v>6228</v>
      </c>
      <c r="D152" s="154" t="s">
        <v>781</v>
      </c>
      <c r="E152" s="154"/>
      <c r="F152" s="154" t="str">
        <f t="array" ref="F152">XLOOKUP(Cover!$D$12,$P$1:$X$1,$P152:$X152)</f>
        <v>Information</v>
      </c>
      <c r="G152" s="154" t="s">
        <v>6229</v>
      </c>
      <c r="H152" s="154" t="s">
        <v>6230</v>
      </c>
      <c r="I152" s="154" t="s">
        <v>6231</v>
      </c>
      <c r="J152" s="154" t="s">
        <v>6232</v>
      </c>
      <c r="K152" s="154"/>
      <c r="L152" s="154" t="s">
        <v>759</v>
      </c>
      <c r="M152" s="247" t="s">
        <v>445</v>
      </c>
      <c r="N152" s="247" t="s">
        <v>5733</v>
      </c>
      <c r="O152" s="240" t="str">
        <f t="shared" si="1"/>
        <v/>
      </c>
      <c r="P152" s="154" t="s">
        <v>66</v>
      </c>
      <c r="Q152" s="154" t="s">
        <v>66</v>
      </c>
      <c r="R152" s="154" t="s">
        <v>66</v>
      </c>
      <c r="S152" s="154" t="s">
        <v>66</v>
      </c>
      <c r="T152" s="154" t="s">
        <v>66</v>
      </c>
      <c r="U152" s="154" t="s">
        <v>66</v>
      </c>
      <c r="V152" s="154" t="s">
        <v>66</v>
      </c>
      <c r="W152" s="154" t="s">
        <v>66</v>
      </c>
      <c r="X152" s="154" t="s">
        <v>66</v>
      </c>
      <c r="Y152" s="154"/>
      <c r="Z152" s="242" t="b">
        <f t="shared" si="2"/>
        <v>1</v>
      </c>
      <c r="AA152" s="154" t="s">
        <v>391</v>
      </c>
      <c r="AB152" s="242" t="b">
        <f t="shared" si="3"/>
        <v>0</v>
      </c>
      <c r="AC152" s="154"/>
      <c r="AD152" s="242" t="b">
        <f t="shared" si="4"/>
        <v>0</v>
      </c>
      <c r="AE152" s="154" t="s">
        <v>1016</v>
      </c>
      <c r="AF152" s="242" t="str">
        <f>IF(AE152="","N/A",INDIRECT("MTR!"&amp;ADDRESS(MATCH(LEFT(AE152,9),MTR!C:C,0),COLUMN(J152)),TRUE) &amp; "")</f>
        <v>Partially Complies</v>
      </c>
      <c r="AG152" s="157" t="str">
        <f t="shared" si="5"/>
        <v/>
      </c>
      <c r="AH152" s="170"/>
      <c r="AI152" s="152"/>
      <c r="AJ152" s="152"/>
      <c r="AK152" s="152"/>
      <c r="AL152" s="152"/>
      <c r="AM152" s="152"/>
      <c r="AN152" s="152"/>
      <c r="AO152" s="152"/>
      <c r="AP152" s="152"/>
      <c r="AQ152" s="152"/>
      <c r="AR152" s="152"/>
    </row>
    <row r="153" ht="12.75" customHeight="1">
      <c r="A153" s="244" t="s">
        <v>5158</v>
      </c>
      <c r="B153" s="244" t="s">
        <v>5725</v>
      </c>
      <c r="C153" s="245" t="s">
        <v>6233</v>
      </c>
      <c r="D153" s="155" t="s">
        <v>411</v>
      </c>
      <c r="E153" s="154" t="s">
        <v>92</v>
      </c>
      <c r="F153" s="154" t="str">
        <f t="array" ref="F153">XLOOKUP(Cover!$D$12,$P$1:$X$1,$P153:$X153)</f>
        <v>Information</v>
      </c>
      <c r="G153" s="154" t="s">
        <v>6234</v>
      </c>
      <c r="H153" s="154" t="s">
        <v>5946</v>
      </c>
      <c r="I153" s="154" t="s">
        <v>6235</v>
      </c>
      <c r="J153" s="154" t="s">
        <v>5905</v>
      </c>
      <c r="K153" s="154"/>
      <c r="L153" s="154" t="s">
        <v>759</v>
      </c>
      <c r="M153" s="247" t="s">
        <v>445</v>
      </c>
      <c r="N153" s="247" t="s">
        <v>5733</v>
      </c>
      <c r="O153" s="240" t="str">
        <f t="shared" si="1"/>
        <v/>
      </c>
      <c r="P153" s="154" t="s">
        <v>66</v>
      </c>
      <c r="Q153" s="154" t="s">
        <v>66</v>
      </c>
      <c r="R153" s="154" t="s">
        <v>66</v>
      </c>
      <c r="S153" s="154" t="s">
        <v>66</v>
      </c>
      <c r="T153" s="154" t="s">
        <v>66</v>
      </c>
      <c r="U153" s="154" t="s">
        <v>66</v>
      </c>
      <c r="V153" s="154" t="s">
        <v>66</v>
      </c>
      <c r="W153" s="154" t="s">
        <v>66</v>
      </c>
      <c r="X153" s="154" t="s">
        <v>66</v>
      </c>
      <c r="Y153" s="154"/>
      <c r="Z153" s="242" t="b">
        <f t="shared" si="2"/>
        <v>1</v>
      </c>
      <c r="AA153" s="154" t="s">
        <v>391</v>
      </c>
      <c r="AB153" s="242" t="b">
        <f t="shared" si="3"/>
        <v>0</v>
      </c>
      <c r="AC153" s="154"/>
      <c r="AD153" s="242" t="b">
        <f t="shared" si="4"/>
        <v>0</v>
      </c>
      <c r="AE153" s="154" t="s">
        <v>1016</v>
      </c>
      <c r="AF153" s="242" t="str">
        <f>IF(AE153="","N/A",INDIRECT("MTR!"&amp;ADDRESS(MATCH(LEFT(AE153,9),MTR!C:C,0),COLUMN(J153)),TRUE) &amp; "")</f>
        <v>Partially Complies</v>
      </c>
      <c r="AG153" s="157" t="str">
        <f t="shared" si="5"/>
        <v/>
      </c>
      <c r="AH153" s="170"/>
      <c r="AI153" s="152"/>
      <c r="AJ153" s="152"/>
      <c r="AK153" s="152"/>
      <c r="AL153" s="152"/>
      <c r="AM153" s="152"/>
      <c r="AN153" s="152"/>
      <c r="AO153" s="152"/>
      <c r="AP153" s="152"/>
      <c r="AQ153" s="152"/>
      <c r="AR153" s="152"/>
    </row>
    <row r="154" ht="12.75" customHeight="1">
      <c r="A154" s="244" t="s">
        <v>5158</v>
      </c>
      <c r="B154" s="244" t="s">
        <v>5725</v>
      </c>
      <c r="C154" s="244" t="s">
        <v>6236</v>
      </c>
      <c r="D154" s="154" t="s">
        <v>967</v>
      </c>
      <c r="E154" s="154"/>
      <c r="F154" s="154" t="str">
        <f t="array" ref="F154">XLOOKUP(Cover!$D$12,$P$1:$X$1,$P154:$X154)</f>
        <v>Mandatory</v>
      </c>
      <c r="G154" s="154" t="s">
        <v>6237</v>
      </c>
      <c r="H154" s="154" t="s">
        <v>6238</v>
      </c>
      <c r="I154" s="154" t="s">
        <v>6239</v>
      </c>
      <c r="J154" s="154" t="s">
        <v>5919</v>
      </c>
      <c r="K154" s="154" t="s">
        <v>1018</v>
      </c>
      <c r="L154" s="154" t="s">
        <v>759</v>
      </c>
      <c r="M154" s="247" t="s">
        <v>445</v>
      </c>
      <c r="N154" s="247" t="s">
        <v>5733</v>
      </c>
      <c r="O154" s="240" t="str">
        <f t="shared" si="1"/>
        <v/>
      </c>
      <c r="P154" s="154" t="s">
        <v>66</v>
      </c>
      <c r="Q154" s="154" t="s">
        <v>66</v>
      </c>
      <c r="R154" s="154" t="s">
        <v>66</v>
      </c>
      <c r="S154" s="154" t="s">
        <v>60</v>
      </c>
      <c r="T154" s="154" t="s">
        <v>60</v>
      </c>
      <c r="U154" s="154" t="s">
        <v>60</v>
      </c>
      <c r="V154" s="154" t="s">
        <v>66</v>
      </c>
      <c r="W154" s="154" t="s">
        <v>66</v>
      </c>
      <c r="X154" s="154" t="s">
        <v>60</v>
      </c>
      <c r="Y154" s="154"/>
      <c r="Z154" s="242" t="b">
        <f t="shared" si="2"/>
        <v>1</v>
      </c>
      <c r="AA154" s="154" t="s">
        <v>391</v>
      </c>
      <c r="AB154" s="242" t="b">
        <f t="shared" si="3"/>
        <v>0</v>
      </c>
      <c r="AC154" s="154"/>
      <c r="AD154" s="242" t="b">
        <f t="shared" si="4"/>
        <v>0</v>
      </c>
      <c r="AE154" s="154" t="s">
        <v>1016</v>
      </c>
      <c r="AF154" s="242" t="str">
        <f>IF(AE154="","N/A",INDIRECT("MTR!"&amp;ADDRESS(MATCH(LEFT(AE154,9),MTR!C:C,0),COLUMN(J154)),TRUE) &amp; "")</f>
        <v>Partially Complies</v>
      </c>
      <c r="AG154" s="157" t="str">
        <f t="shared" si="5"/>
        <v/>
      </c>
      <c r="AH154" s="170"/>
      <c r="AI154" s="152"/>
      <c r="AJ154" s="152"/>
      <c r="AK154" s="152"/>
      <c r="AL154" s="152"/>
      <c r="AM154" s="152"/>
      <c r="AN154" s="152"/>
      <c r="AO154" s="152"/>
      <c r="AP154" s="152"/>
      <c r="AQ154" s="152"/>
      <c r="AR154" s="152"/>
    </row>
    <row r="155" ht="12.75" customHeight="1">
      <c r="A155" s="244" t="s">
        <v>5158</v>
      </c>
      <c r="B155" s="244" t="s">
        <v>5725</v>
      </c>
      <c r="C155" s="244" t="s">
        <v>6240</v>
      </c>
      <c r="D155" s="154" t="s">
        <v>1120</v>
      </c>
      <c r="E155" s="154"/>
      <c r="F155" s="154" t="str">
        <f t="array" ref="F155">XLOOKUP(Cover!$D$12,$P$1:$X$1,$P155:$X155)</f>
        <v>Information</v>
      </c>
      <c r="G155" s="154" t="s">
        <v>6241</v>
      </c>
      <c r="H155" s="154" t="s">
        <v>6238</v>
      </c>
      <c r="I155" s="154" t="s">
        <v>6239</v>
      </c>
      <c r="J155" s="154" t="s">
        <v>5919</v>
      </c>
      <c r="K155" s="154"/>
      <c r="L155" s="154" t="s">
        <v>759</v>
      </c>
      <c r="M155" s="247" t="s">
        <v>445</v>
      </c>
      <c r="N155" s="247" t="s">
        <v>5733</v>
      </c>
      <c r="O155" s="240" t="str">
        <f t="shared" si="1"/>
        <v/>
      </c>
      <c r="P155" s="154" t="s">
        <v>66</v>
      </c>
      <c r="Q155" s="154" t="s">
        <v>66</v>
      </c>
      <c r="R155" s="154" t="s">
        <v>66</v>
      </c>
      <c r="S155" s="154" t="s">
        <v>66</v>
      </c>
      <c r="T155" s="154" t="s">
        <v>66</v>
      </c>
      <c r="U155" s="154" t="s">
        <v>66</v>
      </c>
      <c r="V155" s="154" t="s">
        <v>66</v>
      </c>
      <c r="W155" s="154" t="s">
        <v>66</v>
      </c>
      <c r="X155" s="154" t="s">
        <v>66</v>
      </c>
      <c r="Y155" s="154"/>
      <c r="Z155" s="242" t="b">
        <f t="shared" si="2"/>
        <v>1</v>
      </c>
      <c r="AA155" s="154" t="s">
        <v>391</v>
      </c>
      <c r="AB155" s="242" t="b">
        <f t="shared" si="3"/>
        <v>0</v>
      </c>
      <c r="AC155" s="154"/>
      <c r="AD155" s="242" t="b">
        <f t="shared" si="4"/>
        <v>0</v>
      </c>
      <c r="AE155" s="154" t="s">
        <v>1016</v>
      </c>
      <c r="AF155" s="242" t="str">
        <f>IF(AE155="","N/A",INDIRECT("MTR!"&amp;ADDRESS(MATCH(LEFT(AE155,9),MTR!C:C,0),COLUMN(J155)),TRUE) &amp; "")</f>
        <v>Partially Complies</v>
      </c>
      <c r="AG155" s="157" t="str">
        <f t="shared" si="5"/>
        <v/>
      </c>
      <c r="AH155" s="170"/>
      <c r="AI155" s="152"/>
      <c r="AJ155" s="152"/>
      <c r="AK155" s="152"/>
      <c r="AL155" s="152"/>
      <c r="AM155" s="152"/>
      <c r="AN155" s="152"/>
      <c r="AO155" s="152"/>
      <c r="AP155" s="152"/>
      <c r="AQ155" s="152"/>
      <c r="AR155" s="152"/>
    </row>
    <row r="156" ht="12.75" customHeight="1">
      <c r="A156" s="244" t="s">
        <v>5158</v>
      </c>
      <c r="B156" s="244" t="s">
        <v>5725</v>
      </c>
      <c r="C156" s="244" t="s">
        <v>6242</v>
      </c>
      <c r="D156" s="154" t="s">
        <v>1120</v>
      </c>
      <c r="E156" s="154"/>
      <c r="F156" s="154" t="str">
        <f t="array" ref="F156">XLOOKUP(Cover!$D$12,$P$1:$X$1,$P156:$X156)</f>
        <v>Information</v>
      </c>
      <c r="G156" s="154" t="s">
        <v>6243</v>
      </c>
      <c r="H156" s="154" t="s">
        <v>5953</v>
      </c>
      <c r="I156" s="154" t="s">
        <v>6244</v>
      </c>
      <c r="J156" s="154" t="s">
        <v>5871</v>
      </c>
      <c r="K156" s="154"/>
      <c r="L156" s="154" t="s">
        <v>759</v>
      </c>
      <c r="M156" s="247" t="s">
        <v>445</v>
      </c>
      <c r="N156" s="247" t="s">
        <v>5733</v>
      </c>
      <c r="O156" s="240" t="str">
        <f t="shared" si="1"/>
        <v/>
      </c>
      <c r="P156" s="154" t="s">
        <v>66</v>
      </c>
      <c r="Q156" s="154" t="s">
        <v>66</v>
      </c>
      <c r="R156" s="154" t="s">
        <v>66</v>
      </c>
      <c r="S156" s="154" t="s">
        <v>66</v>
      </c>
      <c r="T156" s="154" t="s">
        <v>66</v>
      </c>
      <c r="U156" s="154" t="s">
        <v>66</v>
      </c>
      <c r="V156" s="154" t="s">
        <v>66</v>
      </c>
      <c r="W156" s="154" t="s">
        <v>66</v>
      </c>
      <c r="X156" s="154" t="s">
        <v>66</v>
      </c>
      <c r="Y156" s="154"/>
      <c r="Z156" s="242" t="b">
        <f t="shared" si="2"/>
        <v>1</v>
      </c>
      <c r="AA156" s="154" t="s">
        <v>391</v>
      </c>
      <c r="AB156" s="242" t="b">
        <f t="shared" si="3"/>
        <v>0</v>
      </c>
      <c r="AC156" s="154"/>
      <c r="AD156" s="242" t="b">
        <f t="shared" si="4"/>
        <v>0</v>
      </c>
      <c r="AE156" s="154" t="s">
        <v>1016</v>
      </c>
      <c r="AF156" s="242" t="str">
        <f>IF(AE156="","N/A",INDIRECT("MTR!"&amp;ADDRESS(MATCH(LEFT(AE156,9),MTR!C:C,0),COLUMN(J156)),TRUE) &amp; "")</f>
        <v>Partially Complies</v>
      </c>
      <c r="AG156" s="157" t="str">
        <f t="shared" si="5"/>
        <v/>
      </c>
      <c r="AH156" s="170"/>
      <c r="AI156" s="152"/>
      <c r="AJ156" s="152"/>
      <c r="AK156" s="152"/>
      <c r="AL156" s="152"/>
      <c r="AM156" s="152"/>
      <c r="AN156" s="152"/>
      <c r="AO156" s="152"/>
      <c r="AP156" s="152"/>
      <c r="AQ156" s="152"/>
      <c r="AR156" s="152"/>
    </row>
    <row r="157" ht="12.75" customHeight="1">
      <c r="A157" s="244" t="s">
        <v>5158</v>
      </c>
      <c r="B157" s="244" t="s">
        <v>5725</v>
      </c>
      <c r="C157" s="244" t="s">
        <v>6245</v>
      </c>
      <c r="D157" s="154" t="s">
        <v>492</v>
      </c>
      <c r="E157" s="154"/>
      <c r="F157" s="154" t="str">
        <f t="array" ref="F157">XLOOKUP(Cover!$D$12,$P$1:$X$1,$P157:$X157)</f>
        <v>Mandatory</v>
      </c>
      <c r="G157" s="154" t="s">
        <v>6246</v>
      </c>
      <c r="H157" s="154" t="s">
        <v>6247</v>
      </c>
      <c r="I157" s="154" t="s">
        <v>6248</v>
      </c>
      <c r="J157" s="154" t="s">
        <v>5885</v>
      </c>
      <c r="K157" s="154" t="s">
        <v>1018</v>
      </c>
      <c r="L157" s="154" t="s">
        <v>759</v>
      </c>
      <c r="M157" s="247" t="s">
        <v>445</v>
      </c>
      <c r="N157" s="247" t="s">
        <v>5733</v>
      </c>
      <c r="O157" s="240" t="str">
        <f t="shared" si="1"/>
        <v/>
      </c>
      <c r="P157" s="154" t="s">
        <v>66</v>
      </c>
      <c r="Q157" s="154" t="s">
        <v>66</v>
      </c>
      <c r="R157" s="154" t="s">
        <v>66</v>
      </c>
      <c r="S157" s="154" t="s">
        <v>66</v>
      </c>
      <c r="T157" s="154" t="s">
        <v>60</v>
      </c>
      <c r="U157" s="154" t="s">
        <v>60</v>
      </c>
      <c r="V157" s="154" t="s">
        <v>66</v>
      </c>
      <c r="W157" s="154" t="s">
        <v>66</v>
      </c>
      <c r="X157" s="154" t="s">
        <v>60</v>
      </c>
      <c r="Y157" s="154"/>
      <c r="Z157" s="242" t="b">
        <f t="shared" si="2"/>
        <v>1</v>
      </c>
      <c r="AA157" s="154" t="s">
        <v>391</v>
      </c>
      <c r="AB157" s="242" t="b">
        <f t="shared" si="3"/>
        <v>0</v>
      </c>
      <c r="AC157" s="154"/>
      <c r="AD157" s="242" t="b">
        <f t="shared" si="4"/>
        <v>0</v>
      </c>
      <c r="AE157" s="154" t="s">
        <v>1016</v>
      </c>
      <c r="AF157" s="242" t="str">
        <f>IF(AE157="","N/A",INDIRECT("MTR!"&amp;ADDRESS(MATCH(LEFT(AE157,9),MTR!C:C,0),COLUMN(J157)),TRUE) &amp; "")</f>
        <v>Partially Complies</v>
      </c>
      <c r="AG157" s="157" t="str">
        <f t="shared" si="5"/>
        <v/>
      </c>
      <c r="AH157" s="170"/>
      <c r="AI157" s="152"/>
      <c r="AJ157" s="152"/>
      <c r="AK157" s="152"/>
      <c r="AL157" s="152"/>
      <c r="AM157" s="152"/>
      <c r="AN157" s="152"/>
      <c r="AO157" s="152"/>
      <c r="AP157" s="152"/>
      <c r="AQ157" s="152"/>
      <c r="AR157" s="152"/>
    </row>
    <row r="158" ht="12.75" customHeight="1">
      <c r="A158" s="244" t="s">
        <v>5158</v>
      </c>
      <c r="B158" s="244" t="s">
        <v>5725</v>
      </c>
      <c r="C158" s="245" t="s">
        <v>6249</v>
      </c>
      <c r="D158" s="155" t="s">
        <v>542</v>
      </c>
      <c r="E158" s="154" t="s">
        <v>92</v>
      </c>
      <c r="F158" s="154" t="str">
        <f t="array" ref="F158">XLOOKUP(Cover!$D$12,$P$1:$X$1,$P158:$X158)</f>
        <v>Information</v>
      </c>
      <c r="G158" s="154" t="s">
        <v>6250</v>
      </c>
      <c r="H158" s="154" t="s">
        <v>6251</v>
      </c>
      <c r="I158" s="154" t="s">
        <v>6252</v>
      </c>
      <c r="J158" s="154" t="s">
        <v>6064</v>
      </c>
      <c r="K158" s="154"/>
      <c r="L158" s="154" t="s">
        <v>759</v>
      </c>
      <c r="M158" s="247" t="s">
        <v>445</v>
      </c>
      <c r="N158" s="247" t="s">
        <v>5733</v>
      </c>
      <c r="O158" s="240" t="str">
        <f t="shared" si="1"/>
        <v/>
      </c>
      <c r="P158" s="154" t="s">
        <v>66</v>
      </c>
      <c r="Q158" s="154" t="s">
        <v>66</v>
      </c>
      <c r="R158" s="154" t="s">
        <v>66</v>
      </c>
      <c r="S158" s="154" t="s">
        <v>66</v>
      </c>
      <c r="T158" s="154" t="s">
        <v>66</v>
      </c>
      <c r="U158" s="154" t="s">
        <v>66</v>
      </c>
      <c r="V158" s="154" t="s">
        <v>66</v>
      </c>
      <c r="W158" s="154" t="s">
        <v>66</v>
      </c>
      <c r="X158" s="154" t="s">
        <v>66</v>
      </c>
      <c r="Y158" s="154"/>
      <c r="Z158" s="242" t="b">
        <f t="shared" si="2"/>
        <v>1</v>
      </c>
      <c r="AA158" s="154" t="s">
        <v>391</v>
      </c>
      <c r="AB158" s="242" t="b">
        <f t="shared" si="3"/>
        <v>0</v>
      </c>
      <c r="AC158" s="154"/>
      <c r="AD158" s="242" t="b">
        <f t="shared" si="4"/>
        <v>0</v>
      </c>
      <c r="AE158" s="154" t="s">
        <v>1016</v>
      </c>
      <c r="AF158" s="242" t="str">
        <f>IF(AE158="","N/A",INDIRECT("MTR!"&amp;ADDRESS(MATCH(LEFT(AE158,9),MTR!C:C,0),COLUMN(J158)),TRUE) &amp; "")</f>
        <v>Partially Complies</v>
      </c>
      <c r="AG158" s="157" t="str">
        <f t="shared" si="5"/>
        <v/>
      </c>
      <c r="AH158" s="170"/>
      <c r="AI158" s="152"/>
      <c r="AJ158" s="152"/>
      <c r="AK158" s="152"/>
      <c r="AL158" s="152"/>
      <c r="AM158" s="152"/>
      <c r="AN158" s="152"/>
      <c r="AO158" s="152"/>
      <c r="AP158" s="152"/>
      <c r="AQ158" s="152"/>
      <c r="AR158" s="152"/>
    </row>
    <row r="159" ht="12.75" customHeight="1">
      <c r="A159" s="244" t="s">
        <v>5158</v>
      </c>
      <c r="B159" s="244" t="s">
        <v>5725</v>
      </c>
      <c r="C159" s="244" t="s">
        <v>6253</v>
      </c>
      <c r="D159" s="154" t="s">
        <v>492</v>
      </c>
      <c r="E159" s="154"/>
      <c r="F159" s="154" t="str">
        <f t="array" ref="F159">XLOOKUP(Cover!$D$12,$P$1:$X$1,$P159:$X159)</f>
        <v>Mandatory</v>
      </c>
      <c r="G159" s="154" t="s">
        <v>6254</v>
      </c>
      <c r="H159" s="154" t="s">
        <v>6255</v>
      </c>
      <c r="I159" s="154" t="s">
        <v>6256</v>
      </c>
      <c r="J159" s="154" t="s">
        <v>5890</v>
      </c>
      <c r="K159" s="154" t="s">
        <v>1018</v>
      </c>
      <c r="L159" s="154" t="s">
        <v>759</v>
      </c>
      <c r="M159" s="247" t="s">
        <v>445</v>
      </c>
      <c r="N159" s="247" t="s">
        <v>5733</v>
      </c>
      <c r="O159" s="240" t="str">
        <f t="shared" si="1"/>
        <v/>
      </c>
      <c r="P159" s="154" t="s">
        <v>66</v>
      </c>
      <c r="Q159" s="154" t="s">
        <v>66</v>
      </c>
      <c r="R159" s="154" t="s">
        <v>66</v>
      </c>
      <c r="S159" s="154" t="s">
        <v>66</v>
      </c>
      <c r="T159" s="154" t="s">
        <v>60</v>
      </c>
      <c r="U159" s="154" t="s">
        <v>60</v>
      </c>
      <c r="V159" s="154" t="s">
        <v>66</v>
      </c>
      <c r="W159" s="154" t="s">
        <v>66</v>
      </c>
      <c r="X159" s="154" t="s">
        <v>60</v>
      </c>
      <c r="Y159" s="154"/>
      <c r="Z159" s="242" t="b">
        <f t="shared" si="2"/>
        <v>1</v>
      </c>
      <c r="AA159" s="154" t="s">
        <v>391</v>
      </c>
      <c r="AB159" s="242" t="b">
        <f t="shared" si="3"/>
        <v>0</v>
      </c>
      <c r="AC159" s="154"/>
      <c r="AD159" s="242" t="b">
        <f t="shared" si="4"/>
        <v>0</v>
      </c>
      <c r="AE159" s="154" t="s">
        <v>1016</v>
      </c>
      <c r="AF159" s="242" t="str">
        <f>IF(AE159="","N/A",INDIRECT("MTR!"&amp;ADDRESS(MATCH(LEFT(AE159,9),MTR!C:C,0),COLUMN(J159)),TRUE) &amp; "")</f>
        <v>Partially Complies</v>
      </c>
      <c r="AG159" s="157" t="str">
        <f t="shared" si="5"/>
        <v/>
      </c>
      <c r="AH159" s="170"/>
      <c r="AI159" s="152"/>
      <c r="AJ159" s="152"/>
      <c r="AK159" s="152"/>
      <c r="AL159" s="152"/>
      <c r="AM159" s="152"/>
      <c r="AN159" s="152"/>
      <c r="AO159" s="152"/>
      <c r="AP159" s="152"/>
      <c r="AQ159" s="152"/>
      <c r="AR159" s="152"/>
    </row>
    <row r="160" ht="12.75" customHeight="1">
      <c r="A160" s="244" t="s">
        <v>5158</v>
      </c>
      <c r="B160" s="244" t="s">
        <v>5725</v>
      </c>
      <c r="C160" s="245" t="s">
        <v>6257</v>
      </c>
      <c r="D160" s="155" t="s">
        <v>542</v>
      </c>
      <c r="E160" s="154" t="s">
        <v>92</v>
      </c>
      <c r="F160" s="154" t="str">
        <f t="array" ref="F160">XLOOKUP(Cover!$D$12,$P$1:$X$1,$P160:$X160)</f>
        <v>Information</v>
      </c>
      <c r="G160" s="154" t="s">
        <v>6258</v>
      </c>
      <c r="H160" s="154" t="s">
        <v>6211</v>
      </c>
      <c r="I160" s="154" t="s">
        <v>6259</v>
      </c>
      <c r="J160" s="154" t="s">
        <v>6064</v>
      </c>
      <c r="K160" s="154"/>
      <c r="L160" s="154" t="s">
        <v>759</v>
      </c>
      <c r="M160" s="247" t="s">
        <v>445</v>
      </c>
      <c r="N160" s="247" t="s">
        <v>5733</v>
      </c>
      <c r="O160" s="240" t="str">
        <f t="shared" si="1"/>
        <v/>
      </c>
      <c r="P160" s="154" t="s">
        <v>66</v>
      </c>
      <c r="Q160" s="154" t="s">
        <v>66</v>
      </c>
      <c r="R160" s="154" t="s">
        <v>66</v>
      </c>
      <c r="S160" s="154" t="s">
        <v>66</v>
      </c>
      <c r="T160" s="154" t="s">
        <v>66</v>
      </c>
      <c r="U160" s="154" t="s">
        <v>66</v>
      </c>
      <c r="V160" s="154" t="s">
        <v>66</v>
      </c>
      <c r="W160" s="154" t="s">
        <v>66</v>
      </c>
      <c r="X160" s="154" t="s">
        <v>66</v>
      </c>
      <c r="Y160" s="154"/>
      <c r="Z160" s="242" t="b">
        <f t="shared" si="2"/>
        <v>1</v>
      </c>
      <c r="AA160" s="154" t="s">
        <v>391</v>
      </c>
      <c r="AB160" s="242" t="b">
        <f t="shared" si="3"/>
        <v>0</v>
      </c>
      <c r="AC160" s="154"/>
      <c r="AD160" s="242" t="b">
        <f t="shared" si="4"/>
        <v>0</v>
      </c>
      <c r="AE160" s="154" t="s">
        <v>1016</v>
      </c>
      <c r="AF160" s="242" t="str">
        <f>IF(AE160="","N/A",INDIRECT("MTR!"&amp;ADDRESS(MATCH(LEFT(AE160,9),MTR!C:C,0),COLUMN(J160)),TRUE) &amp; "")</f>
        <v>Partially Complies</v>
      </c>
      <c r="AG160" s="157" t="str">
        <f t="shared" si="5"/>
        <v/>
      </c>
      <c r="AH160" s="170"/>
      <c r="AI160" s="152"/>
      <c r="AJ160" s="152"/>
      <c r="AK160" s="152"/>
      <c r="AL160" s="152"/>
      <c r="AM160" s="152"/>
      <c r="AN160" s="152"/>
      <c r="AO160" s="152"/>
      <c r="AP160" s="152"/>
      <c r="AQ160" s="152"/>
      <c r="AR160" s="152"/>
    </row>
    <row r="161" ht="12.75" customHeight="1">
      <c r="A161" s="244" t="s">
        <v>5158</v>
      </c>
      <c r="B161" s="244" t="s">
        <v>5725</v>
      </c>
      <c r="C161" s="244" t="s">
        <v>6260</v>
      </c>
      <c r="D161" s="154" t="s">
        <v>1120</v>
      </c>
      <c r="E161" s="154"/>
      <c r="F161" s="154" t="str">
        <f t="array" ref="F161">XLOOKUP(Cover!$D$12,$P$1:$X$1,$P161:$X161)</f>
        <v>Recommended</v>
      </c>
      <c r="G161" s="154" t="s">
        <v>6261</v>
      </c>
      <c r="H161" s="154" t="s">
        <v>6262</v>
      </c>
      <c r="I161" s="154" t="s">
        <v>6263</v>
      </c>
      <c r="J161" s="154" t="s">
        <v>5871</v>
      </c>
      <c r="K161" s="154"/>
      <c r="L161" s="154" t="s">
        <v>759</v>
      </c>
      <c r="M161" s="247" t="s">
        <v>445</v>
      </c>
      <c r="N161" s="247" t="s">
        <v>5733</v>
      </c>
      <c r="O161" s="240" t="str">
        <f t="shared" si="1"/>
        <v/>
      </c>
      <c r="P161" s="154" t="s">
        <v>66</v>
      </c>
      <c r="Q161" s="154" t="s">
        <v>66</v>
      </c>
      <c r="R161" s="154" t="s">
        <v>66</v>
      </c>
      <c r="S161" s="154" t="s">
        <v>66</v>
      </c>
      <c r="T161" s="154" t="s">
        <v>64</v>
      </c>
      <c r="U161" s="154" t="s">
        <v>64</v>
      </c>
      <c r="V161" s="154" t="s">
        <v>66</v>
      </c>
      <c r="W161" s="154" t="s">
        <v>66</v>
      </c>
      <c r="X161" s="154" t="s">
        <v>64</v>
      </c>
      <c r="Y161" s="154"/>
      <c r="Z161" s="242" t="b">
        <f t="shared" si="2"/>
        <v>1</v>
      </c>
      <c r="AA161" s="154" t="s">
        <v>391</v>
      </c>
      <c r="AB161" s="242" t="b">
        <f t="shared" si="3"/>
        <v>0</v>
      </c>
      <c r="AC161" s="154"/>
      <c r="AD161" s="242" t="b">
        <f t="shared" si="4"/>
        <v>0</v>
      </c>
      <c r="AE161" s="154" t="s">
        <v>1016</v>
      </c>
      <c r="AF161" s="242" t="str">
        <f>IF(AE161="","N/A",INDIRECT("MTR!"&amp;ADDRESS(MATCH(LEFT(AE161,9),MTR!C:C,0),COLUMN(J161)),TRUE) &amp; "")</f>
        <v>Partially Complies</v>
      </c>
      <c r="AG161" s="157" t="str">
        <f t="shared" si="5"/>
        <v/>
      </c>
      <c r="AH161" s="170"/>
      <c r="AI161" s="152"/>
      <c r="AJ161" s="152"/>
      <c r="AK161" s="152"/>
      <c r="AL161" s="152"/>
      <c r="AM161" s="152"/>
      <c r="AN161" s="152"/>
      <c r="AO161" s="152"/>
      <c r="AP161" s="152"/>
      <c r="AQ161" s="152"/>
      <c r="AR161" s="152"/>
    </row>
    <row r="162" ht="12.75" customHeight="1">
      <c r="A162" s="244" t="s">
        <v>5158</v>
      </c>
      <c r="B162" s="244" t="s">
        <v>5725</v>
      </c>
      <c r="C162" s="244" t="s">
        <v>6264</v>
      </c>
      <c r="D162" s="154" t="s">
        <v>1773</v>
      </c>
      <c r="E162" s="154"/>
      <c r="F162" s="154" t="str">
        <f t="array" ref="F162">XLOOKUP(Cover!$D$12,$P$1:$X$1,$P162:$X162)</f>
        <v>Mandatory</v>
      </c>
      <c r="G162" s="154" t="s">
        <v>6265</v>
      </c>
      <c r="H162" s="154" t="s">
        <v>5914</v>
      </c>
      <c r="I162" s="154" t="s">
        <v>6266</v>
      </c>
      <c r="J162" s="154" t="s">
        <v>6126</v>
      </c>
      <c r="K162" s="154" t="s">
        <v>1018</v>
      </c>
      <c r="L162" s="154" t="s">
        <v>759</v>
      </c>
      <c r="M162" s="247" t="s">
        <v>516</v>
      </c>
      <c r="N162" s="247" t="s">
        <v>5876</v>
      </c>
      <c r="O162" s="240" t="str">
        <f t="shared" si="1"/>
        <v/>
      </c>
      <c r="P162" s="154" t="s">
        <v>66</v>
      </c>
      <c r="Q162" s="154" t="s">
        <v>66</v>
      </c>
      <c r="R162" s="154" t="s">
        <v>66</v>
      </c>
      <c r="S162" s="154" t="s">
        <v>66</v>
      </c>
      <c r="T162" s="154" t="s">
        <v>60</v>
      </c>
      <c r="U162" s="154" t="s">
        <v>60</v>
      </c>
      <c r="V162" s="154" t="s">
        <v>66</v>
      </c>
      <c r="W162" s="154" t="s">
        <v>66</v>
      </c>
      <c r="X162" s="154" t="s">
        <v>60</v>
      </c>
      <c r="Y162" s="154"/>
      <c r="Z162" s="242" t="b">
        <f t="shared" si="2"/>
        <v>1</v>
      </c>
      <c r="AA162" s="154" t="s">
        <v>391</v>
      </c>
      <c r="AB162" s="242" t="b">
        <f t="shared" si="3"/>
        <v>0</v>
      </c>
      <c r="AC162" s="154"/>
      <c r="AD162" s="242" t="b">
        <f t="shared" si="4"/>
        <v>0</v>
      </c>
      <c r="AE162" s="154" t="s">
        <v>1016</v>
      </c>
      <c r="AF162" s="242" t="str">
        <f>IF(AE162="","N/A",INDIRECT("MTR!"&amp;ADDRESS(MATCH(LEFT(AE162,9),MTR!C:C,0),COLUMN(J162)),TRUE) &amp; "")</f>
        <v>Partially Complies</v>
      </c>
      <c r="AG162" s="157" t="str">
        <f t="shared" si="5"/>
        <v/>
      </c>
      <c r="AH162" s="170"/>
      <c r="AI162" s="152"/>
      <c r="AJ162" s="152"/>
      <c r="AK162" s="152"/>
      <c r="AL162" s="152"/>
      <c r="AM162" s="152"/>
      <c r="AN162" s="152"/>
      <c r="AO162" s="152"/>
      <c r="AP162" s="152"/>
      <c r="AQ162" s="152"/>
      <c r="AR162" s="152"/>
    </row>
    <row r="163" ht="12.75" customHeight="1">
      <c r="A163" s="244" t="s">
        <v>5158</v>
      </c>
      <c r="B163" s="244" t="s">
        <v>5725</v>
      </c>
      <c r="C163" s="244" t="s">
        <v>6267</v>
      </c>
      <c r="D163" s="154" t="s">
        <v>492</v>
      </c>
      <c r="E163" s="154"/>
      <c r="F163" s="154" t="str">
        <f t="array" ref="F163">XLOOKUP(Cover!$D$12,$P$1:$X$1,$P163:$X163)</f>
        <v>Information</v>
      </c>
      <c r="G163" s="154" t="s">
        <v>6268</v>
      </c>
      <c r="H163" s="154" t="s">
        <v>5946</v>
      </c>
      <c r="I163" s="154" t="s">
        <v>6269</v>
      </c>
      <c r="J163" s="154" t="s">
        <v>5827</v>
      </c>
      <c r="K163" s="154"/>
      <c r="L163" s="154" t="s">
        <v>759</v>
      </c>
      <c r="M163" s="247" t="s">
        <v>445</v>
      </c>
      <c r="N163" s="247" t="s">
        <v>5733</v>
      </c>
      <c r="O163" s="240" t="str">
        <f t="shared" si="1"/>
        <v/>
      </c>
      <c r="P163" s="154" t="s">
        <v>66</v>
      </c>
      <c r="Q163" s="154" t="s">
        <v>66</v>
      </c>
      <c r="R163" s="154" t="s">
        <v>66</v>
      </c>
      <c r="S163" s="154" t="s">
        <v>66</v>
      </c>
      <c r="T163" s="154" t="s">
        <v>66</v>
      </c>
      <c r="U163" s="154" t="s">
        <v>66</v>
      </c>
      <c r="V163" s="154" t="s">
        <v>66</v>
      </c>
      <c r="W163" s="154" t="s">
        <v>66</v>
      </c>
      <c r="X163" s="154" t="s">
        <v>66</v>
      </c>
      <c r="Y163" s="154"/>
      <c r="Z163" s="242" t="b">
        <f t="shared" si="2"/>
        <v>1</v>
      </c>
      <c r="AA163" s="154" t="s">
        <v>391</v>
      </c>
      <c r="AB163" s="242" t="b">
        <f t="shared" si="3"/>
        <v>0</v>
      </c>
      <c r="AC163" s="154"/>
      <c r="AD163" s="242" t="b">
        <f t="shared" si="4"/>
        <v>0</v>
      </c>
      <c r="AE163" s="154" t="s">
        <v>1016</v>
      </c>
      <c r="AF163" s="242" t="str">
        <f>IF(AE163="","N/A",INDIRECT("MTR!"&amp;ADDRESS(MATCH(LEFT(AE163,9),MTR!C:C,0),COLUMN(J163)),TRUE) &amp; "")</f>
        <v>Partially Complies</v>
      </c>
      <c r="AG163" s="157" t="str">
        <f t="shared" si="5"/>
        <v/>
      </c>
      <c r="AH163" s="170"/>
      <c r="AI163" s="152"/>
      <c r="AJ163" s="152"/>
      <c r="AK163" s="152"/>
      <c r="AL163" s="152"/>
      <c r="AM163" s="152"/>
      <c r="AN163" s="152"/>
      <c r="AO163" s="152"/>
      <c r="AP163" s="152"/>
      <c r="AQ163" s="152"/>
      <c r="AR163" s="152"/>
    </row>
    <row r="164" ht="12.75" customHeight="1">
      <c r="A164" s="244" t="s">
        <v>5158</v>
      </c>
      <c r="B164" s="244" t="s">
        <v>5725</v>
      </c>
      <c r="C164" s="244" t="s">
        <v>6270</v>
      </c>
      <c r="D164" s="154" t="s">
        <v>411</v>
      </c>
      <c r="E164" s="154"/>
      <c r="F164" s="154" t="str">
        <f t="array" ref="F164">XLOOKUP(Cover!$D$12,$P$1:$X$1,$P164:$X164)</f>
        <v>Information</v>
      </c>
      <c r="G164" s="154" t="s">
        <v>6271</v>
      </c>
      <c r="H164" s="154" t="s">
        <v>5946</v>
      </c>
      <c r="I164" s="154" t="s">
        <v>6269</v>
      </c>
      <c r="J164" s="154" t="s">
        <v>5827</v>
      </c>
      <c r="K164" s="154"/>
      <c r="L164" s="154" t="s">
        <v>759</v>
      </c>
      <c r="M164" s="247" t="s">
        <v>445</v>
      </c>
      <c r="N164" s="247" t="s">
        <v>5733</v>
      </c>
      <c r="O164" s="240" t="str">
        <f t="shared" si="1"/>
        <v/>
      </c>
      <c r="P164" s="154" t="s">
        <v>66</v>
      </c>
      <c r="Q164" s="154" t="s">
        <v>66</v>
      </c>
      <c r="R164" s="154" t="s">
        <v>66</v>
      </c>
      <c r="S164" s="154" t="s">
        <v>66</v>
      </c>
      <c r="T164" s="154" t="s">
        <v>66</v>
      </c>
      <c r="U164" s="154" t="s">
        <v>66</v>
      </c>
      <c r="V164" s="154" t="s">
        <v>66</v>
      </c>
      <c r="W164" s="154" t="s">
        <v>66</v>
      </c>
      <c r="X164" s="154" t="s">
        <v>66</v>
      </c>
      <c r="Y164" s="154"/>
      <c r="Z164" s="242" t="b">
        <f t="shared" si="2"/>
        <v>1</v>
      </c>
      <c r="AA164" s="154" t="s">
        <v>391</v>
      </c>
      <c r="AB164" s="242" t="b">
        <f t="shared" si="3"/>
        <v>0</v>
      </c>
      <c r="AC164" s="154"/>
      <c r="AD164" s="242" t="b">
        <f t="shared" si="4"/>
        <v>0</v>
      </c>
      <c r="AE164" s="154" t="s">
        <v>1016</v>
      </c>
      <c r="AF164" s="242" t="str">
        <f>IF(AE164="","N/A",INDIRECT("MTR!"&amp;ADDRESS(MATCH(LEFT(AE164,9),MTR!C:C,0),COLUMN(J164)),TRUE) &amp; "")</f>
        <v>Partially Complies</v>
      </c>
      <c r="AG164" s="157" t="str">
        <f t="shared" si="5"/>
        <v/>
      </c>
      <c r="AH164" s="170"/>
      <c r="AI164" s="152"/>
      <c r="AJ164" s="152"/>
      <c r="AK164" s="152"/>
      <c r="AL164" s="152"/>
      <c r="AM164" s="152"/>
      <c r="AN164" s="152"/>
      <c r="AO164" s="152"/>
      <c r="AP164" s="152"/>
      <c r="AQ164" s="152"/>
      <c r="AR164" s="152"/>
    </row>
    <row r="165" ht="12.75" customHeight="1">
      <c r="A165" s="244" t="s">
        <v>5158</v>
      </c>
      <c r="B165" s="244" t="s">
        <v>5725</v>
      </c>
      <c r="C165" s="244" t="s">
        <v>6272</v>
      </c>
      <c r="D165" s="154" t="s">
        <v>492</v>
      </c>
      <c r="E165" s="154"/>
      <c r="F165" s="154" t="str">
        <f t="array" ref="F165">XLOOKUP(Cover!$D$12,$P$1:$X$1,$P165:$X165)</f>
        <v>Mandatory</v>
      </c>
      <c r="G165" s="154" t="s">
        <v>6273</v>
      </c>
      <c r="H165" s="154" t="s">
        <v>6274</v>
      </c>
      <c r="I165" s="154" t="s">
        <v>6275</v>
      </c>
      <c r="J165" s="154" t="s">
        <v>5982</v>
      </c>
      <c r="K165" s="154" t="s">
        <v>1018</v>
      </c>
      <c r="L165" s="154" t="s">
        <v>759</v>
      </c>
      <c r="M165" s="247" t="s">
        <v>445</v>
      </c>
      <c r="N165" s="247" t="s">
        <v>5733</v>
      </c>
      <c r="O165" s="240" t="str">
        <f t="shared" si="1"/>
        <v/>
      </c>
      <c r="P165" s="154" t="s">
        <v>66</v>
      </c>
      <c r="Q165" s="154" t="s">
        <v>66</v>
      </c>
      <c r="R165" s="154" t="s">
        <v>66</v>
      </c>
      <c r="S165" s="154" t="s">
        <v>66</v>
      </c>
      <c r="T165" s="154" t="s">
        <v>60</v>
      </c>
      <c r="U165" s="154" t="s">
        <v>60</v>
      </c>
      <c r="V165" s="154" t="s">
        <v>66</v>
      </c>
      <c r="W165" s="154" t="s">
        <v>66</v>
      </c>
      <c r="X165" s="154" t="s">
        <v>60</v>
      </c>
      <c r="Y165" s="154"/>
      <c r="Z165" s="242" t="b">
        <f t="shared" si="2"/>
        <v>1</v>
      </c>
      <c r="AA165" s="154" t="s">
        <v>391</v>
      </c>
      <c r="AB165" s="242" t="b">
        <f t="shared" si="3"/>
        <v>0</v>
      </c>
      <c r="AC165" s="154"/>
      <c r="AD165" s="242" t="b">
        <f t="shared" si="4"/>
        <v>0</v>
      </c>
      <c r="AE165" s="154" t="s">
        <v>1016</v>
      </c>
      <c r="AF165" s="242" t="str">
        <f>IF(AE165="","N/A",INDIRECT("MTR!"&amp;ADDRESS(MATCH(LEFT(AE165,9),MTR!C:C,0),COLUMN(J165)),TRUE) &amp; "")</f>
        <v>Partially Complies</v>
      </c>
      <c r="AG165" s="157" t="str">
        <f t="shared" si="5"/>
        <v/>
      </c>
      <c r="AH165" s="170"/>
      <c r="AI165" s="152"/>
      <c r="AJ165" s="152"/>
      <c r="AK165" s="152"/>
      <c r="AL165" s="152"/>
      <c r="AM165" s="152"/>
      <c r="AN165" s="152"/>
      <c r="AO165" s="152"/>
      <c r="AP165" s="152"/>
      <c r="AQ165" s="152"/>
      <c r="AR165" s="152"/>
    </row>
    <row r="166" ht="12.75" customHeight="1">
      <c r="A166" s="244" t="s">
        <v>5158</v>
      </c>
      <c r="B166" s="244" t="s">
        <v>5725</v>
      </c>
      <c r="C166" s="244" t="s">
        <v>6276</v>
      </c>
      <c r="D166" s="154" t="s">
        <v>967</v>
      </c>
      <c r="E166" s="154"/>
      <c r="F166" s="154" t="str">
        <f t="array" ref="F166">XLOOKUP(Cover!$D$12,$P$1:$X$1,$P166:$X166)</f>
        <v>Information</v>
      </c>
      <c r="G166" s="154" t="s">
        <v>6277</v>
      </c>
      <c r="H166" s="154" t="s">
        <v>6274</v>
      </c>
      <c r="I166" s="154" t="s">
        <v>6275</v>
      </c>
      <c r="J166" s="154" t="s">
        <v>5982</v>
      </c>
      <c r="K166" s="154"/>
      <c r="L166" s="154" t="s">
        <v>759</v>
      </c>
      <c r="M166" s="247" t="s">
        <v>445</v>
      </c>
      <c r="N166" s="247" t="s">
        <v>5733</v>
      </c>
      <c r="O166" s="240" t="str">
        <f t="shared" si="1"/>
        <v/>
      </c>
      <c r="P166" s="154" t="s">
        <v>66</v>
      </c>
      <c r="Q166" s="154" t="s">
        <v>66</v>
      </c>
      <c r="R166" s="154" t="s">
        <v>66</v>
      </c>
      <c r="S166" s="154" t="s">
        <v>66</v>
      </c>
      <c r="T166" s="154" t="s">
        <v>66</v>
      </c>
      <c r="U166" s="154" t="s">
        <v>66</v>
      </c>
      <c r="V166" s="154" t="s">
        <v>66</v>
      </c>
      <c r="W166" s="154" t="s">
        <v>66</v>
      </c>
      <c r="X166" s="154" t="s">
        <v>66</v>
      </c>
      <c r="Y166" s="154"/>
      <c r="Z166" s="242" t="b">
        <f t="shared" si="2"/>
        <v>1</v>
      </c>
      <c r="AA166" s="154" t="s">
        <v>391</v>
      </c>
      <c r="AB166" s="242" t="b">
        <f t="shared" si="3"/>
        <v>0</v>
      </c>
      <c r="AC166" s="154"/>
      <c r="AD166" s="242" t="b">
        <f t="shared" si="4"/>
        <v>0</v>
      </c>
      <c r="AE166" s="154" t="s">
        <v>1016</v>
      </c>
      <c r="AF166" s="242" t="str">
        <f>IF(AE166="","N/A",INDIRECT("MTR!"&amp;ADDRESS(MATCH(LEFT(AE166,9),MTR!C:C,0),COLUMN(J166)),TRUE) &amp; "")</f>
        <v>Partially Complies</v>
      </c>
      <c r="AG166" s="157" t="str">
        <f t="shared" si="5"/>
        <v/>
      </c>
      <c r="AH166" s="170"/>
      <c r="AI166" s="152"/>
      <c r="AJ166" s="152"/>
      <c r="AK166" s="152"/>
      <c r="AL166" s="152"/>
      <c r="AM166" s="152"/>
      <c r="AN166" s="152"/>
      <c r="AO166" s="152"/>
      <c r="AP166" s="152"/>
      <c r="AQ166" s="152"/>
      <c r="AR166" s="152"/>
    </row>
    <row r="167" ht="12.75" customHeight="1">
      <c r="A167" s="244" t="s">
        <v>5158</v>
      </c>
      <c r="B167" s="244" t="s">
        <v>5725</v>
      </c>
      <c r="C167" s="244" t="s">
        <v>6278</v>
      </c>
      <c r="D167" s="154" t="s">
        <v>462</v>
      </c>
      <c r="E167" s="154"/>
      <c r="F167" s="154" t="str">
        <f t="array" ref="F167">XLOOKUP(Cover!$D$12,$P$1:$X$1,$P167:$X167)</f>
        <v>Mandatory</v>
      </c>
      <c r="G167" s="154" t="s">
        <v>6279</v>
      </c>
      <c r="H167" s="154" t="s">
        <v>6280</v>
      </c>
      <c r="I167" s="154" t="s">
        <v>6281</v>
      </c>
      <c r="J167" s="154" t="s">
        <v>5948</v>
      </c>
      <c r="K167" s="154" t="s">
        <v>1018</v>
      </c>
      <c r="L167" s="154" t="s">
        <v>759</v>
      </c>
      <c r="M167" s="247" t="s">
        <v>516</v>
      </c>
      <c r="N167" s="247" t="s">
        <v>5876</v>
      </c>
      <c r="O167" s="240" t="str">
        <f t="shared" si="1"/>
        <v/>
      </c>
      <c r="P167" s="154" t="s">
        <v>66</v>
      </c>
      <c r="Q167" s="154" t="s">
        <v>66</v>
      </c>
      <c r="R167" s="154" t="s">
        <v>66</v>
      </c>
      <c r="S167" s="154" t="s">
        <v>66</v>
      </c>
      <c r="T167" s="154" t="s">
        <v>60</v>
      </c>
      <c r="U167" s="154" t="s">
        <v>60</v>
      </c>
      <c r="V167" s="154" t="s">
        <v>66</v>
      </c>
      <c r="W167" s="154" t="s">
        <v>66</v>
      </c>
      <c r="X167" s="154" t="s">
        <v>60</v>
      </c>
      <c r="Y167" s="154"/>
      <c r="Z167" s="242" t="b">
        <f t="shared" si="2"/>
        <v>1</v>
      </c>
      <c r="AA167" s="154" t="s">
        <v>391</v>
      </c>
      <c r="AB167" s="242" t="b">
        <f t="shared" si="3"/>
        <v>0</v>
      </c>
      <c r="AC167" s="154"/>
      <c r="AD167" s="242" t="b">
        <f t="shared" si="4"/>
        <v>0</v>
      </c>
      <c r="AE167" s="154" t="s">
        <v>1016</v>
      </c>
      <c r="AF167" s="242" t="str">
        <f>IF(AE167="","N/A",INDIRECT("MTR!"&amp;ADDRESS(MATCH(LEFT(AE167,9),MTR!C:C,0),COLUMN(J167)),TRUE) &amp; "")</f>
        <v>Partially Complies</v>
      </c>
      <c r="AG167" s="157" t="str">
        <f t="shared" si="5"/>
        <v/>
      </c>
      <c r="AH167" s="170"/>
      <c r="AI167" s="152"/>
      <c r="AJ167" s="152"/>
      <c r="AK167" s="152"/>
      <c r="AL167" s="152"/>
      <c r="AM167" s="152"/>
      <c r="AN167" s="152"/>
      <c r="AO167" s="152"/>
      <c r="AP167" s="152"/>
      <c r="AQ167" s="152"/>
      <c r="AR167" s="152"/>
    </row>
    <row r="168" ht="12.75" customHeight="1">
      <c r="A168" s="244" t="s">
        <v>5158</v>
      </c>
      <c r="B168" s="244" t="s">
        <v>5725</v>
      </c>
      <c r="C168" s="244" t="s">
        <v>6282</v>
      </c>
      <c r="D168" s="154" t="s">
        <v>1120</v>
      </c>
      <c r="E168" s="154"/>
      <c r="F168" s="154" t="str">
        <f t="array" ref="F168">XLOOKUP(Cover!$D$12,$P$1:$X$1,$P168:$X168)</f>
        <v>Information</v>
      </c>
      <c r="G168" s="154" t="s">
        <v>6283</v>
      </c>
      <c r="H168" s="154" t="s">
        <v>6280</v>
      </c>
      <c r="I168" s="154" t="s">
        <v>6281</v>
      </c>
      <c r="J168" s="154" t="s">
        <v>5948</v>
      </c>
      <c r="K168" s="154"/>
      <c r="L168" s="154" t="s">
        <v>759</v>
      </c>
      <c r="M168" s="247" t="s">
        <v>516</v>
      </c>
      <c r="N168" s="247" t="s">
        <v>5876</v>
      </c>
      <c r="O168" s="240" t="str">
        <f t="shared" si="1"/>
        <v/>
      </c>
      <c r="P168" s="154" t="s">
        <v>66</v>
      </c>
      <c r="Q168" s="154" t="s">
        <v>66</v>
      </c>
      <c r="R168" s="154" t="s">
        <v>66</v>
      </c>
      <c r="S168" s="154" t="s">
        <v>66</v>
      </c>
      <c r="T168" s="154" t="s">
        <v>66</v>
      </c>
      <c r="U168" s="154" t="s">
        <v>66</v>
      </c>
      <c r="V168" s="154" t="s">
        <v>66</v>
      </c>
      <c r="W168" s="154" t="s">
        <v>66</v>
      </c>
      <c r="X168" s="154" t="s">
        <v>66</v>
      </c>
      <c r="Y168" s="154"/>
      <c r="Z168" s="242" t="b">
        <f t="shared" si="2"/>
        <v>1</v>
      </c>
      <c r="AA168" s="154" t="s">
        <v>391</v>
      </c>
      <c r="AB168" s="242" t="b">
        <f t="shared" si="3"/>
        <v>0</v>
      </c>
      <c r="AC168" s="154"/>
      <c r="AD168" s="242" t="b">
        <f t="shared" si="4"/>
        <v>0</v>
      </c>
      <c r="AE168" s="154" t="s">
        <v>1016</v>
      </c>
      <c r="AF168" s="242" t="str">
        <f>IF(AE168="","N/A",INDIRECT("MTR!"&amp;ADDRESS(MATCH(LEFT(AE168,9),MTR!C:C,0),COLUMN(J168)),TRUE) &amp; "")</f>
        <v>Partially Complies</v>
      </c>
      <c r="AG168" s="157" t="str">
        <f t="shared" si="5"/>
        <v/>
      </c>
      <c r="AH168" s="170"/>
      <c r="AI168" s="152"/>
      <c r="AJ168" s="152"/>
      <c r="AK168" s="152"/>
      <c r="AL168" s="152"/>
      <c r="AM168" s="152"/>
      <c r="AN168" s="152"/>
      <c r="AO168" s="152"/>
      <c r="AP168" s="152"/>
      <c r="AQ168" s="152"/>
      <c r="AR168" s="152"/>
    </row>
    <row r="169" ht="12.75" customHeight="1">
      <c r="A169" s="244" t="s">
        <v>5158</v>
      </c>
      <c r="B169" s="244" t="s">
        <v>5725</v>
      </c>
      <c r="C169" s="244" t="s">
        <v>6284</v>
      </c>
      <c r="D169" s="154" t="s">
        <v>492</v>
      </c>
      <c r="E169" s="154"/>
      <c r="F169" s="154" t="str">
        <f t="array" ref="F169">XLOOKUP(Cover!$D$12,$P$1:$X$1,$P169:$X169)</f>
        <v>Mandatory</v>
      </c>
      <c r="G169" s="154" t="s">
        <v>6285</v>
      </c>
      <c r="H169" s="154" t="s">
        <v>6286</v>
      </c>
      <c r="I169" s="154" t="s">
        <v>6287</v>
      </c>
      <c r="J169" s="154" t="s">
        <v>5827</v>
      </c>
      <c r="K169" s="154" t="s">
        <v>1018</v>
      </c>
      <c r="L169" s="154" t="s">
        <v>759</v>
      </c>
      <c r="M169" s="247" t="s">
        <v>516</v>
      </c>
      <c r="N169" s="247" t="s">
        <v>5876</v>
      </c>
      <c r="O169" s="240" t="str">
        <f t="shared" si="1"/>
        <v/>
      </c>
      <c r="P169" s="154" t="s">
        <v>66</v>
      </c>
      <c r="Q169" s="154" t="s">
        <v>66</v>
      </c>
      <c r="R169" s="154" t="s">
        <v>66</v>
      </c>
      <c r="S169" s="154" t="s">
        <v>66</v>
      </c>
      <c r="T169" s="154" t="s">
        <v>60</v>
      </c>
      <c r="U169" s="154" t="s">
        <v>60</v>
      </c>
      <c r="V169" s="154" t="s">
        <v>66</v>
      </c>
      <c r="W169" s="154" t="s">
        <v>66</v>
      </c>
      <c r="X169" s="154" t="s">
        <v>60</v>
      </c>
      <c r="Y169" s="154"/>
      <c r="Z169" s="242" t="b">
        <f t="shared" si="2"/>
        <v>1</v>
      </c>
      <c r="AA169" s="154" t="s">
        <v>391</v>
      </c>
      <c r="AB169" s="242" t="b">
        <f t="shared" si="3"/>
        <v>0</v>
      </c>
      <c r="AC169" s="154"/>
      <c r="AD169" s="242" t="b">
        <f t="shared" si="4"/>
        <v>0</v>
      </c>
      <c r="AE169" s="154" t="s">
        <v>1016</v>
      </c>
      <c r="AF169" s="242" t="str">
        <f>IF(AE169="","N/A",INDIRECT("MTR!"&amp;ADDRESS(MATCH(LEFT(AE169,9),MTR!C:C,0),COLUMN(J169)),TRUE) &amp; "")</f>
        <v>Partially Complies</v>
      </c>
      <c r="AG169" s="157" t="str">
        <f t="shared" si="5"/>
        <v/>
      </c>
      <c r="AH169" s="170"/>
      <c r="AI169" s="152"/>
      <c r="AJ169" s="152"/>
      <c r="AK169" s="152"/>
      <c r="AL169" s="152"/>
      <c r="AM169" s="152"/>
      <c r="AN169" s="152"/>
      <c r="AO169" s="152"/>
      <c r="AP169" s="152"/>
      <c r="AQ169" s="152"/>
      <c r="AR169" s="152"/>
    </row>
    <row r="170" ht="12.75" customHeight="1">
      <c r="A170" s="244" t="s">
        <v>5158</v>
      </c>
      <c r="B170" s="244" t="s">
        <v>5725</v>
      </c>
      <c r="C170" s="244" t="s">
        <v>6288</v>
      </c>
      <c r="D170" s="154" t="s">
        <v>1120</v>
      </c>
      <c r="E170" s="154"/>
      <c r="F170" s="154" t="str">
        <f t="array" ref="F170">XLOOKUP(Cover!$D$12,$P$1:$X$1,$P170:$X170)</f>
        <v>Information</v>
      </c>
      <c r="G170" s="154" t="s">
        <v>6289</v>
      </c>
      <c r="H170" s="154" t="s">
        <v>6286</v>
      </c>
      <c r="I170" s="154" t="s">
        <v>6287</v>
      </c>
      <c r="J170" s="154" t="s">
        <v>5827</v>
      </c>
      <c r="K170" s="154"/>
      <c r="L170" s="154" t="s">
        <v>759</v>
      </c>
      <c r="M170" s="247" t="s">
        <v>516</v>
      </c>
      <c r="N170" s="247" t="s">
        <v>5876</v>
      </c>
      <c r="O170" s="240" t="str">
        <f t="shared" si="1"/>
        <v/>
      </c>
      <c r="P170" s="154" t="s">
        <v>66</v>
      </c>
      <c r="Q170" s="154" t="s">
        <v>66</v>
      </c>
      <c r="R170" s="154" t="s">
        <v>66</v>
      </c>
      <c r="S170" s="154" t="s">
        <v>66</v>
      </c>
      <c r="T170" s="154" t="s">
        <v>66</v>
      </c>
      <c r="U170" s="154" t="s">
        <v>66</v>
      </c>
      <c r="V170" s="154" t="s">
        <v>66</v>
      </c>
      <c r="W170" s="154" t="s">
        <v>66</v>
      </c>
      <c r="X170" s="154" t="s">
        <v>66</v>
      </c>
      <c r="Y170" s="154"/>
      <c r="Z170" s="242" t="b">
        <f t="shared" si="2"/>
        <v>1</v>
      </c>
      <c r="AA170" s="154" t="s">
        <v>391</v>
      </c>
      <c r="AB170" s="242" t="b">
        <f t="shared" si="3"/>
        <v>0</v>
      </c>
      <c r="AC170" s="154"/>
      <c r="AD170" s="242" t="b">
        <f t="shared" si="4"/>
        <v>0</v>
      </c>
      <c r="AE170" s="154" t="s">
        <v>1016</v>
      </c>
      <c r="AF170" s="242" t="str">
        <f>IF(AE170="","N/A",INDIRECT("MTR!"&amp;ADDRESS(MATCH(LEFT(AE170,9),MTR!C:C,0),COLUMN(J170)),TRUE) &amp; "")</f>
        <v>Partially Complies</v>
      </c>
      <c r="AG170" s="157" t="str">
        <f t="shared" si="5"/>
        <v/>
      </c>
      <c r="AH170" s="170"/>
      <c r="AI170" s="152"/>
      <c r="AJ170" s="152"/>
      <c r="AK170" s="152"/>
      <c r="AL170" s="152"/>
      <c r="AM170" s="152"/>
      <c r="AN170" s="152"/>
      <c r="AO170" s="152"/>
      <c r="AP170" s="152"/>
      <c r="AQ170" s="152"/>
      <c r="AR170" s="152"/>
    </row>
    <row r="171" ht="12.75" customHeight="1">
      <c r="A171" s="244" t="s">
        <v>5158</v>
      </c>
      <c r="B171" s="244" t="s">
        <v>5725</v>
      </c>
      <c r="C171" s="244" t="s">
        <v>6290</v>
      </c>
      <c r="D171" s="154" t="s">
        <v>492</v>
      </c>
      <c r="E171" s="154"/>
      <c r="F171" s="154" t="str">
        <f t="array" ref="F171">XLOOKUP(Cover!$D$12,$P$1:$X$1,$P171:$X171)</f>
        <v>Mandatory</v>
      </c>
      <c r="G171" s="154" t="s">
        <v>6291</v>
      </c>
      <c r="H171" s="154" t="s">
        <v>6292</v>
      </c>
      <c r="I171" s="154" t="s">
        <v>6293</v>
      </c>
      <c r="J171" s="154" t="s">
        <v>5982</v>
      </c>
      <c r="K171" s="154" t="s">
        <v>1018</v>
      </c>
      <c r="L171" s="154" t="s">
        <v>759</v>
      </c>
      <c r="M171" s="247" t="s">
        <v>516</v>
      </c>
      <c r="N171" s="247" t="s">
        <v>5876</v>
      </c>
      <c r="O171" s="240" t="str">
        <f t="shared" si="1"/>
        <v/>
      </c>
      <c r="P171" s="154" t="s">
        <v>66</v>
      </c>
      <c r="Q171" s="154" t="s">
        <v>66</v>
      </c>
      <c r="R171" s="154" t="s">
        <v>66</v>
      </c>
      <c r="S171" s="154" t="s">
        <v>66</v>
      </c>
      <c r="T171" s="154" t="s">
        <v>60</v>
      </c>
      <c r="U171" s="154" t="s">
        <v>60</v>
      </c>
      <c r="V171" s="154" t="s">
        <v>66</v>
      </c>
      <c r="W171" s="154" t="s">
        <v>66</v>
      </c>
      <c r="X171" s="154" t="s">
        <v>60</v>
      </c>
      <c r="Y171" s="154"/>
      <c r="Z171" s="242" t="b">
        <f t="shared" si="2"/>
        <v>1</v>
      </c>
      <c r="AA171" s="154" t="s">
        <v>391</v>
      </c>
      <c r="AB171" s="242" t="b">
        <f t="shared" si="3"/>
        <v>0</v>
      </c>
      <c r="AC171" s="154"/>
      <c r="AD171" s="242" t="b">
        <f t="shared" si="4"/>
        <v>0</v>
      </c>
      <c r="AE171" s="154" t="s">
        <v>1016</v>
      </c>
      <c r="AF171" s="242" t="str">
        <f>IF(AE171="","N/A",INDIRECT("MTR!"&amp;ADDRESS(MATCH(LEFT(AE171,9),MTR!C:C,0),COLUMN(J171)),TRUE) &amp; "")</f>
        <v>Partially Complies</v>
      </c>
      <c r="AG171" s="157" t="str">
        <f t="shared" si="5"/>
        <v/>
      </c>
      <c r="AH171" s="170"/>
      <c r="AI171" s="152"/>
      <c r="AJ171" s="152"/>
      <c r="AK171" s="152"/>
      <c r="AL171" s="152"/>
      <c r="AM171" s="152"/>
      <c r="AN171" s="152"/>
      <c r="AO171" s="152"/>
      <c r="AP171" s="152"/>
      <c r="AQ171" s="152"/>
      <c r="AR171" s="152"/>
    </row>
    <row r="172" ht="12.75" customHeight="1">
      <c r="A172" s="244" t="s">
        <v>5158</v>
      </c>
      <c r="B172" s="244" t="s">
        <v>5725</v>
      </c>
      <c r="C172" s="244" t="s">
        <v>6294</v>
      </c>
      <c r="D172" s="154" t="s">
        <v>1120</v>
      </c>
      <c r="E172" s="154"/>
      <c r="F172" s="154" t="str">
        <f t="array" ref="F172">XLOOKUP(Cover!$D$12,$P$1:$X$1,$P172:$X172)</f>
        <v>Information</v>
      </c>
      <c r="G172" s="154" t="s">
        <v>6295</v>
      </c>
      <c r="H172" s="154" t="s">
        <v>6292</v>
      </c>
      <c r="I172" s="154" t="s">
        <v>6293</v>
      </c>
      <c r="J172" s="154" t="s">
        <v>5982</v>
      </c>
      <c r="K172" s="154"/>
      <c r="L172" s="154" t="s">
        <v>759</v>
      </c>
      <c r="M172" s="247" t="s">
        <v>516</v>
      </c>
      <c r="N172" s="247" t="s">
        <v>5876</v>
      </c>
      <c r="O172" s="240" t="str">
        <f t="shared" si="1"/>
        <v/>
      </c>
      <c r="P172" s="154" t="s">
        <v>66</v>
      </c>
      <c r="Q172" s="154" t="s">
        <v>66</v>
      </c>
      <c r="R172" s="154" t="s">
        <v>66</v>
      </c>
      <c r="S172" s="154" t="s">
        <v>66</v>
      </c>
      <c r="T172" s="154" t="s">
        <v>66</v>
      </c>
      <c r="U172" s="154" t="s">
        <v>66</v>
      </c>
      <c r="V172" s="154" t="s">
        <v>66</v>
      </c>
      <c r="W172" s="154" t="s">
        <v>66</v>
      </c>
      <c r="X172" s="154" t="s">
        <v>66</v>
      </c>
      <c r="Y172" s="154"/>
      <c r="Z172" s="242" t="b">
        <f t="shared" si="2"/>
        <v>1</v>
      </c>
      <c r="AA172" s="154" t="s">
        <v>391</v>
      </c>
      <c r="AB172" s="242" t="b">
        <f t="shared" si="3"/>
        <v>0</v>
      </c>
      <c r="AC172" s="154"/>
      <c r="AD172" s="242" t="b">
        <f t="shared" si="4"/>
        <v>0</v>
      </c>
      <c r="AE172" s="154" t="s">
        <v>1016</v>
      </c>
      <c r="AF172" s="242" t="str">
        <f>IF(AE172="","N/A",INDIRECT("MTR!"&amp;ADDRESS(MATCH(LEFT(AE172,9),MTR!C:C,0),COLUMN(J172)),TRUE) &amp; "")</f>
        <v>Partially Complies</v>
      </c>
      <c r="AG172" s="157" t="str">
        <f t="shared" si="5"/>
        <v/>
      </c>
      <c r="AH172" s="170"/>
      <c r="AI172" s="152"/>
      <c r="AJ172" s="152"/>
      <c r="AK172" s="152"/>
      <c r="AL172" s="152"/>
      <c r="AM172" s="152"/>
      <c r="AN172" s="152"/>
      <c r="AO172" s="152"/>
      <c r="AP172" s="152"/>
      <c r="AQ172" s="152"/>
      <c r="AR172" s="152"/>
    </row>
    <row r="173" ht="12.75" customHeight="1">
      <c r="A173" s="244" t="s">
        <v>5158</v>
      </c>
      <c r="B173" s="244" t="s">
        <v>5725</v>
      </c>
      <c r="C173" s="244" t="s">
        <v>6296</v>
      </c>
      <c r="D173" s="154" t="s">
        <v>542</v>
      </c>
      <c r="E173" s="154"/>
      <c r="F173" s="154" t="str">
        <f t="array" ref="F173">XLOOKUP(Cover!$D$12,$P$1:$X$1,$P173:$X173)</f>
        <v>Mandatory</v>
      </c>
      <c r="G173" s="154" t="s">
        <v>6297</v>
      </c>
      <c r="H173" s="154" t="s">
        <v>5946</v>
      </c>
      <c r="I173" s="154" t="s">
        <v>6298</v>
      </c>
      <c r="J173" s="154" t="s">
        <v>6064</v>
      </c>
      <c r="K173" s="154" t="s">
        <v>1018</v>
      </c>
      <c r="L173" s="154" t="s">
        <v>759</v>
      </c>
      <c r="M173" s="247" t="s">
        <v>516</v>
      </c>
      <c r="N173" s="247" t="s">
        <v>5876</v>
      </c>
      <c r="O173" s="240" t="str">
        <f t="shared" si="1"/>
        <v/>
      </c>
      <c r="P173" s="154" t="s">
        <v>66</v>
      </c>
      <c r="Q173" s="154" t="s">
        <v>66</v>
      </c>
      <c r="R173" s="154" t="s">
        <v>66</v>
      </c>
      <c r="S173" s="154" t="s">
        <v>66</v>
      </c>
      <c r="T173" s="154" t="s">
        <v>60</v>
      </c>
      <c r="U173" s="154" t="s">
        <v>60</v>
      </c>
      <c r="V173" s="154" t="s">
        <v>66</v>
      </c>
      <c r="W173" s="154" t="s">
        <v>66</v>
      </c>
      <c r="X173" s="154" t="s">
        <v>60</v>
      </c>
      <c r="Y173" s="154"/>
      <c r="Z173" s="242" t="b">
        <f t="shared" si="2"/>
        <v>1</v>
      </c>
      <c r="AA173" s="154" t="s">
        <v>391</v>
      </c>
      <c r="AB173" s="242" t="b">
        <f t="shared" si="3"/>
        <v>0</v>
      </c>
      <c r="AC173" s="154"/>
      <c r="AD173" s="242" t="b">
        <f t="shared" si="4"/>
        <v>0</v>
      </c>
      <c r="AE173" s="154" t="s">
        <v>1016</v>
      </c>
      <c r="AF173" s="242" t="str">
        <f>IF(AE173="","N/A",INDIRECT("MTR!"&amp;ADDRESS(MATCH(LEFT(AE173,9),MTR!C:C,0),COLUMN(J173)),TRUE) &amp; "")</f>
        <v>Partially Complies</v>
      </c>
      <c r="AG173" s="157" t="str">
        <f t="shared" si="5"/>
        <v/>
      </c>
      <c r="AH173" s="170"/>
      <c r="AI173" s="152"/>
      <c r="AJ173" s="152"/>
      <c r="AK173" s="152"/>
      <c r="AL173" s="152"/>
      <c r="AM173" s="152"/>
      <c r="AN173" s="152"/>
      <c r="AO173" s="152"/>
      <c r="AP173" s="152"/>
      <c r="AQ173" s="152"/>
      <c r="AR173" s="152"/>
    </row>
    <row r="174" ht="12.75" customHeight="1">
      <c r="A174" s="244" t="s">
        <v>5158</v>
      </c>
      <c r="B174" s="244" t="s">
        <v>5725</v>
      </c>
      <c r="C174" s="244" t="s">
        <v>6299</v>
      </c>
      <c r="D174" s="154" t="s">
        <v>542</v>
      </c>
      <c r="E174" s="154"/>
      <c r="F174" s="154" t="str">
        <f t="array" ref="F174">XLOOKUP(Cover!$D$12,$P$1:$X$1,$P174:$X174)</f>
        <v>Recommended</v>
      </c>
      <c r="G174" s="154" t="s">
        <v>6300</v>
      </c>
      <c r="H174" s="154" t="s">
        <v>6301</v>
      </c>
      <c r="I174" s="154" t="s">
        <v>6302</v>
      </c>
      <c r="J174" s="154" t="s">
        <v>6064</v>
      </c>
      <c r="K174" s="154"/>
      <c r="L174" s="154" t="s">
        <v>759</v>
      </c>
      <c r="M174" s="247" t="s">
        <v>516</v>
      </c>
      <c r="N174" s="247" t="s">
        <v>5876</v>
      </c>
      <c r="O174" s="240" t="str">
        <f t="shared" si="1"/>
        <v/>
      </c>
      <c r="P174" s="154" t="s">
        <v>66</v>
      </c>
      <c r="Q174" s="154" t="s">
        <v>66</v>
      </c>
      <c r="R174" s="154" t="s">
        <v>66</v>
      </c>
      <c r="S174" s="154" t="s">
        <v>66</v>
      </c>
      <c r="T174" s="154" t="s">
        <v>64</v>
      </c>
      <c r="U174" s="154" t="s">
        <v>64</v>
      </c>
      <c r="V174" s="154" t="s">
        <v>66</v>
      </c>
      <c r="W174" s="154" t="s">
        <v>66</v>
      </c>
      <c r="X174" s="154" t="s">
        <v>64</v>
      </c>
      <c r="Y174" s="154"/>
      <c r="Z174" s="242" t="b">
        <f t="shared" si="2"/>
        <v>1</v>
      </c>
      <c r="AA174" s="154" t="s">
        <v>391</v>
      </c>
      <c r="AB174" s="242" t="b">
        <f t="shared" si="3"/>
        <v>0</v>
      </c>
      <c r="AC174" s="154"/>
      <c r="AD174" s="242" t="b">
        <f t="shared" si="4"/>
        <v>0</v>
      </c>
      <c r="AE174" s="154" t="s">
        <v>1016</v>
      </c>
      <c r="AF174" s="242" t="str">
        <f>IF(AE174="","N/A",INDIRECT("MTR!"&amp;ADDRESS(MATCH(LEFT(AE174,9),MTR!C:C,0),COLUMN(J174)),TRUE) &amp; "")</f>
        <v>Partially Complies</v>
      </c>
      <c r="AG174" s="157" t="str">
        <f t="shared" si="5"/>
        <v/>
      </c>
      <c r="AH174" s="170"/>
      <c r="AI174" s="152"/>
      <c r="AJ174" s="152"/>
      <c r="AK174" s="152"/>
      <c r="AL174" s="152"/>
      <c r="AM174" s="152"/>
      <c r="AN174" s="152"/>
      <c r="AO174" s="152"/>
      <c r="AP174" s="152"/>
      <c r="AQ174" s="152"/>
      <c r="AR174" s="152"/>
    </row>
    <row r="175" ht="12.75" customHeight="1">
      <c r="A175" s="244" t="s">
        <v>5158</v>
      </c>
      <c r="B175" s="244" t="s">
        <v>5725</v>
      </c>
      <c r="C175" s="244" t="s">
        <v>6303</v>
      </c>
      <c r="D175" s="154" t="s">
        <v>1120</v>
      </c>
      <c r="E175" s="154"/>
      <c r="F175" s="154" t="str">
        <f t="array" ref="F175">XLOOKUP(Cover!$D$12,$P$1:$X$1,$P175:$X175)</f>
        <v>Information</v>
      </c>
      <c r="G175" s="154" t="s">
        <v>6304</v>
      </c>
      <c r="H175" s="154" t="s">
        <v>6305</v>
      </c>
      <c r="I175" s="154" t="s">
        <v>6306</v>
      </c>
      <c r="J175" s="154" t="s">
        <v>5890</v>
      </c>
      <c r="K175" s="154"/>
      <c r="L175" s="154" t="s">
        <v>759</v>
      </c>
      <c r="M175" s="247" t="s">
        <v>516</v>
      </c>
      <c r="N175" s="247" t="s">
        <v>5876</v>
      </c>
      <c r="O175" s="240" t="str">
        <f t="shared" si="1"/>
        <v/>
      </c>
      <c r="P175" s="154" t="s">
        <v>66</v>
      </c>
      <c r="Q175" s="154" t="s">
        <v>66</v>
      </c>
      <c r="R175" s="154" t="s">
        <v>66</v>
      </c>
      <c r="S175" s="154" t="s">
        <v>66</v>
      </c>
      <c r="T175" s="154" t="s">
        <v>66</v>
      </c>
      <c r="U175" s="154" t="s">
        <v>66</v>
      </c>
      <c r="V175" s="154" t="s">
        <v>66</v>
      </c>
      <c r="W175" s="154" t="s">
        <v>66</v>
      </c>
      <c r="X175" s="154" t="s">
        <v>66</v>
      </c>
      <c r="Y175" s="154"/>
      <c r="Z175" s="242" t="b">
        <f t="shared" si="2"/>
        <v>1</v>
      </c>
      <c r="AA175" s="154" t="s">
        <v>391</v>
      </c>
      <c r="AB175" s="242" t="b">
        <f t="shared" si="3"/>
        <v>0</v>
      </c>
      <c r="AC175" s="154"/>
      <c r="AD175" s="242" t="b">
        <f t="shared" si="4"/>
        <v>0</v>
      </c>
      <c r="AE175" s="154" t="s">
        <v>1016</v>
      </c>
      <c r="AF175" s="242" t="str">
        <f>IF(AE175="","N/A",INDIRECT("MTR!"&amp;ADDRESS(MATCH(LEFT(AE175,9),MTR!C:C,0),COLUMN(J175)),TRUE) &amp; "")</f>
        <v>Partially Complies</v>
      </c>
      <c r="AG175" s="157" t="str">
        <f t="shared" si="5"/>
        <v/>
      </c>
      <c r="AH175" s="170"/>
      <c r="AI175" s="152"/>
      <c r="AJ175" s="152"/>
      <c r="AK175" s="152"/>
      <c r="AL175" s="152"/>
      <c r="AM175" s="152"/>
      <c r="AN175" s="152"/>
      <c r="AO175" s="152"/>
      <c r="AP175" s="152"/>
      <c r="AQ175" s="152"/>
      <c r="AR175" s="152"/>
    </row>
    <row r="176" ht="12.75" customHeight="1">
      <c r="A176" s="244" t="s">
        <v>5158</v>
      </c>
      <c r="B176" s="244" t="s">
        <v>5725</v>
      </c>
      <c r="C176" s="244" t="s">
        <v>6307</v>
      </c>
      <c r="D176" s="154" t="s">
        <v>1069</v>
      </c>
      <c r="E176" s="154"/>
      <c r="F176" s="154" t="str">
        <f t="array" ref="F176">XLOOKUP(Cover!$D$12,$P$1:$X$1,$P176:$X176)</f>
        <v>Mandatory</v>
      </c>
      <c r="G176" s="154" t="s">
        <v>6308</v>
      </c>
      <c r="H176" s="154" t="s">
        <v>6309</v>
      </c>
      <c r="I176" s="154" t="s">
        <v>6310</v>
      </c>
      <c r="J176" s="154" t="s">
        <v>5927</v>
      </c>
      <c r="K176" s="154" t="s">
        <v>1018</v>
      </c>
      <c r="L176" s="154" t="s">
        <v>759</v>
      </c>
      <c r="M176" s="247" t="s">
        <v>516</v>
      </c>
      <c r="N176" s="247" t="s">
        <v>5876</v>
      </c>
      <c r="O176" s="240" t="str">
        <f t="shared" si="1"/>
        <v/>
      </c>
      <c r="P176" s="154" t="s">
        <v>66</v>
      </c>
      <c r="Q176" s="154" t="s">
        <v>66</v>
      </c>
      <c r="R176" s="154" t="s">
        <v>66</v>
      </c>
      <c r="S176" s="154" t="s">
        <v>66</v>
      </c>
      <c r="T176" s="154" t="s">
        <v>60</v>
      </c>
      <c r="U176" s="154" t="s">
        <v>60</v>
      </c>
      <c r="V176" s="154" t="s">
        <v>66</v>
      </c>
      <c r="W176" s="154" t="s">
        <v>66</v>
      </c>
      <c r="X176" s="154" t="s">
        <v>60</v>
      </c>
      <c r="Y176" s="154"/>
      <c r="Z176" s="242" t="b">
        <f t="shared" si="2"/>
        <v>1</v>
      </c>
      <c r="AA176" s="154" t="s">
        <v>391</v>
      </c>
      <c r="AB176" s="242" t="b">
        <f t="shared" si="3"/>
        <v>0</v>
      </c>
      <c r="AC176" s="154"/>
      <c r="AD176" s="242" t="b">
        <f t="shared" si="4"/>
        <v>0</v>
      </c>
      <c r="AE176" s="154" t="s">
        <v>1016</v>
      </c>
      <c r="AF176" s="242" t="str">
        <f>IF(AE176="","N/A",INDIRECT("MTR!"&amp;ADDRESS(MATCH(LEFT(AE176,9),MTR!C:C,0),COLUMN(J176)),TRUE) &amp; "")</f>
        <v>Partially Complies</v>
      </c>
      <c r="AG176" s="157" t="str">
        <f t="shared" si="5"/>
        <v/>
      </c>
      <c r="AH176" s="170"/>
      <c r="AI176" s="152"/>
      <c r="AJ176" s="152"/>
      <c r="AK176" s="152"/>
      <c r="AL176" s="152"/>
      <c r="AM176" s="152"/>
      <c r="AN176" s="152"/>
      <c r="AO176" s="152"/>
      <c r="AP176" s="152"/>
      <c r="AQ176" s="152"/>
      <c r="AR176" s="152"/>
    </row>
    <row r="177" ht="12.75" customHeight="1">
      <c r="A177" s="244" t="s">
        <v>5158</v>
      </c>
      <c r="B177" s="244" t="s">
        <v>5725</v>
      </c>
      <c r="C177" s="245" t="s">
        <v>6311</v>
      </c>
      <c r="D177" s="155" t="s">
        <v>1120</v>
      </c>
      <c r="E177" s="154" t="s">
        <v>92</v>
      </c>
      <c r="F177" s="154" t="str">
        <f t="array" ref="F177">XLOOKUP(Cover!$D$12,$P$1:$X$1,$P177:$X177)</f>
        <v>Recommended</v>
      </c>
      <c r="G177" s="154" t="s">
        <v>6312</v>
      </c>
      <c r="H177" s="154" t="s">
        <v>6313</v>
      </c>
      <c r="I177" s="154" t="s">
        <v>6314</v>
      </c>
      <c r="J177" s="154" t="s">
        <v>5732</v>
      </c>
      <c r="K177" s="154"/>
      <c r="L177" s="154" t="s">
        <v>759</v>
      </c>
      <c r="M177" s="247" t="s">
        <v>516</v>
      </c>
      <c r="N177" s="247" t="s">
        <v>5876</v>
      </c>
      <c r="O177" s="240" t="str">
        <f t="shared" si="1"/>
        <v/>
      </c>
      <c r="P177" s="154" t="s">
        <v>66</v>
      </c>
      <c r="Q177" s="154" t="s">
        <v>66</v>
      </c>
      <c r="R177" s="154" t="s">
        <v>66</v>
      </c>
      <c r="S177" s="154" t="s">
        <v>66</v>
      </c>
      <c r="T177" s="154" t="s">
        <v>64</v>
      </c>
      <c r="U177" s="154" t="s">
        <v>64</v>
      </c>
      <c r="V177" s="154" t="s">
        <v>66</v>
      </c>
      <c r="W177" s="154" t="s">
        <v>66</v>
      </c>
      <c r="X177" s="154" t="s">
        <v>64</v>
      </c>
      <c r="Y177" s="154"/>
      <c r="Z177" s="242" t="b">
        <f t="shared" si="2"/>
        <v>1</v>
      </c>
      <c r="AA177" s="154" t="s">
        <v>391</v>
      </c>
      <c r="AB177" s="242" t="b">
        <f t="shared" si="3"/>
        <v>0</v>
      </c>
      <c r="AC177" s="154"/>
      <c r="AD177" s="242" t="b">
        <f t="shared" si="4"/>
        <v>0</v>
      </c>
      <c r="AE177" s="154" t="s">
        <v>1016</v>
      </c>
      <c r="AF177" s="242" t="str">
        <f>IF(AE177="","N/A",INDIRECT("MTR!"&amp;ADDRESS(MATCH(LEFT(AE177,9),MTR!C:C,0),COLUMN(J177)),TRUE) &amp; "")</f>
        <v>Partially Complies</v>
      </c>
      <c r="AG177" s="157" t="str">
        <f t="shared" si="5"/>
        <v/>
      </c>
      <c r="AH177" s="170"/>
      <c r="AI177" s="152"/>
      <c r="AJ177" s="152"/>
      <c r="AK177" s="152"/>
      <c r="AL177" s="152"/>
      <c r="AM177" s="152"/>
      <c r="AN177" s="152"/>
      <c r="AO177" s="152"/>
      <c r="AP177" s="152"/>
      <c r="AQ177" s="152"/>
      <c r="AR177" s="152"/>
    </row>
    <row r="178" ht="12.75" customHeight="1">
      <c r="A178" s="244" t="s">
        <v>5158</v>
      </c>
      <c r="B178" s="244" t="s">
        <v>5725</v>
      </c>
      <c r="C178" s="244" t="s">
        <v>6315</v>
      </c>
      <c r="D178" s="154" t="s">
        <v>411</v>
      </c>
      <c r="E178" s="154"/>
      <c r="F178" s="154" t="str">
        <f t="array" ref="F178">XLOOKUP(Cover!$D$12,$P$1:$X$1,$P178:$X178)</f>
        <v>Mandatory</v>
      </c>
      <c r="G178" s="154" t="s">
        <v>6316</v>
      </c>
      <c r="H178" s="154" t="s">
        <v>6251</v>
      </c>
      <c r="I178" s="154" t="s">
        <v>6317</v>
      </c>
      <c r="J178" s="154" t="s">
        <v>5905</v>
      </c>
      <c r="K178" s="154" t="s">
        <v>1018</v>
      </c>
      <c r="L178" s="154" t="s">
        <v>759</v>
      </c>
      <c r="M178" s="247" t="s">
        <v>516</v>
      </c>
      <c r="N178" s="247" t="s">
        <v>5876</v>
      </c>
      <c r="O178" s="240" t="str">
        <f t="shared" si="1"/>
        <v/>
      </c>
      <c r="P178" s="154" t="s">
        <v>66</v>
      </c>
      <c r="Q178" s="154" t="s">
        <v>66</v>
      </c>
      <c r="R178" s="154" t="s">
        <v>66</v>
      </c>
      <c r="S178" s="154" t="s">
        <v>66</v>
      </c>
      <c r="T178" s="154" t="s">
        <v>60</v>
      </c>
      <c r="U178" s="154" t="s">
        <v>60</v>
      </c>
      <c r="V178" s="154" t="s">
        <v>66</v>
      </c>
      <c r="W178" s="154" t="s">
        <v>66</v>
      </c>
      <c r="X178" s="154" t="s">
        <v>60</v>
      </c>
      <c r="Y178" s="154"/>
      <c r="Z178" s="242" t="b">
        <f t="shared" si="2"/>
        <v>1</v>
      </c>
      <c r="AA178" s="154" t="s">
        <v>391</v>
      </c>
      <c r="AB178" s="242" t="b">
        <f t="shared" si="3"/>
        <v>0</v>
      </c>
      <c r="AC178" s="154"/>
      <c r="AD178" s="242" t="b">
        <f t="shared" si="4"/>
        <v>0</v>
      </c>
      <c r="AE178" s="154" t="s">
        <v>1016</v>
      </c>
      <c r="AF178" s="242" t="str">
        <f>IF(AE178="","N/A",INDIRECT("MTR!"&amp;ADDRESS(MATCH(LEFT(AE178,9),MTR!C:C,0),COLUMN(J178)),TRUE) &amp; "")</f>
        <v>Partially Complies</v>
      </c>
      <c r="AG178" s="157" t="str">
        <f t="shared" si="5"/>
        <v/>
      </c>
      <c r="AH178" s="170"/>
      <c r="AI178" s="152"/>
      <c r="AJ178" s="152"/>
      <c r="AK178" s="152"/>
      <c r="AL178" s="152"/>
      <c r="AM178" s="152"/>
      <c r="AN178" s="152"/>
      <c r="AO178" s="152"/>
      <c r="AP178" s="152"/>
      <c r="AQ178" s="152"/>
      <c r="AR178" s="152"/>
    </row>
    <row r="179" ht="12.75" customHeight="1">
      <c r="A179" s="244" t="s">
        <v>5158</v>
      </c>
      <c r="B179" s="244" t="s">
        <v>5725</v>
      </c>
      <c r="C179" s="244" t="s">
        <v>6318</v>
      </c>
      <c r="D179" s="154" t="s">
        <v>45</v>
      </c>
      <c r="E179" s="154"/>
      <c r="F179" s="154" t="str">
        <f t="array" ref="F179">XLOOKUP(Cover!$D$12,$P$1:$X$1,$P179:$X179)</f>
        <v>Mandatory</v>
      </c>
      <c r="G179" s="154" t="s">
        <v>6319</v>
      </c>
      <c r="H179" s="154" t="s">
        <v>6251</v>
      </c>
      <c r="I179" s="154" t="s">
        <v>6317</v>
      </c>
      <c r="J179" s="154" t="s">
        <v>5905</v>
      </c>
      <c r="K179" s="154" t="s">
        <v>1018</v>
      </c>
      <c r="L179" s="154" t="s">
        <v>759</v>
      </c>
      <c r="M179" s="247" t="s">
        <v>516</v>
      </c>
      <c r="N179" s="247" t="s">
        <v>5876</v>
      </c>
      <c r="O179" s="240" t="str">
        <f t="shared" si="1"/>
        <v/>
      </c>
      <c r="P179" s="154" t="s">
        <v>66</v>
      </c>
      <c r="Q179" s="154" t="s">
        <v>66</v>
      </c>
      <c r="R179" s="154" t="s">
        <v>66</v>
      </c>
      <c r="S179" s="154" t="s">
        <v>66</v>
      </c>
      <c r="T179" s="154" t="s">
        <v>60</v>
      </c>
      <c r="U179" s="154" t="s">
        <v>60</v>
      </c>
      <c r="V179" s="154" t="s">
        <v>66</v>
      </c>
      <c r="W179" s="154" t="s">
        <v>66</v>
      </c>
      <c r="X179" s="154" t="s">
        <v>60</v>
      </c>
      <c r="Y179" s="154"/>
      <c r="Z179" s="242" t="b">
        <f t="shared" si="2"/>
        <v>1</v>
      </c>
      <c r="AA179" s="154" t="s">
        <v>391</v>
      </c>
      <c r="AB179" s="242" t="b">
        <f t="shared" si="3"/>
        <v>0</v>
      </c>
      <c r="AC179" s="154"/>
      <c r="AD179" s="242" t="b">
        <f t="shared" si="4"/>
        <v>0</v>
      </c>
      <c r="AE179" s="154" t="s">
        <v>1016</v>
      </c>
      <c r="AF179" s="242" t="str">
        <f>IF(AE179="","N/A",INDIRECT("MTR!"&amp;ADDRESS(MATCH(LEFT(AE179,9),MTR!C:C,0),COLUMN(J179)),TRUE) &amp; "")</f>
        <v>Partially Complies</v>
      </c>
      <c r="AG179" s="157" t="str">
        <f t="shared" si="5"/>
        <v/>
      </c>
      <c r="AH179" s="170"/>
      <c r="AI179" s="152"/>
      <c r="AJ179" s="152"/>
      <c r="AK179" s="152"/>
      <c r="AL179" s="152"/>
      <c r="AM179" s="152"/>
      <c r="AN179" s="152"/>
      <c r="AO179" s="152"/>
      <c r="AP179" s="152"/>
      <c r="AQ179" s="152"/>
      <c r="AR179" s="152"/>
    </row>
    <row r="180" ht="12.75" customHeight="1">
      <c r="A180" s="244" t="s">
        <v>5158</v>
      </c>
      <c r="B180" s="244" t="s">
        <v>5725</v>
      </c>
      <c r="C180" s="244" t="s">
        <v>6320</v>
      </c>
      <c r="D180" s="154" t="s">
        <v>1773</v>
      </c>
      <c r="E180" s="154"/>
      <c r="F180" s="154" t="str">
        <f t="array" ref="F180">XLOOKUP(Cover!$D$12,$P$1:$X$1,$P180:$X180)</f>
        <v>Information</v>
      </c>
      <c r="G180" s="154" t="s">
        <v>6321</v>
      </c>
      <c r="H180" s="154" t="s">
        <v>5967</v>
      </c>
      <c r="I180" s="154" t="s">
        <v>6322</v>
      </c>
      <c r="J180" s="154" t="s">
        <v>6126</v>
      </c>
      <c r="K180" s="154"/>
      <c r="L180" s="154" t="s">
        <v>759</v>
      </c>
      <c r="M180" s="247" t="s">
        <v>516</v>
      </c>
      <c r="N180" s="247" t="s">
        <v>5876</v>
      </c>
      <c r="O180" s="240" t="str">
        <f t="shared" si="1"/>
        <v/>
      </c>
      <c r="P180" s="154" t="s">
        <v>66</v>
      </c>
      <c r="Q180" s="154" t="s">
        <v>66</v>
      </c>
      <c r="R180" s="154" t="s">
        <v>66</v>
      </c>
      <c r="S180" s="154" t="s">
        <v>66</v>
      </c>
      <c r="T180" s="154" t="s">
        <v>66</v>
      </c>
      <c r="U180" s="154" t="s">
        <v>66</v>
      </c>
      <c r="V180" s="154" t="s">
        <v>66</v>
      </c>
      <c r="W180" s="154" t="s">
        <v>66</v>
      </c>
      <c r="X180" s="154" t="s">
        <v>66</v>
      </c>
      <c r="Y180" s="154"/>
      <c r="Z180" s="242" t="b">
        <f t="shared" si="2"/>
        <v>1</v>
      </c>
      <c r="AA180" s="154" t="s">
        <v>391</v>
      </c>
      <c r="AB180" s="242" t="b">
        <f t="shared" si="3"/>
        <v>0</v>
      </c>
      <c r="AC180" s="154"/>
      <c r="AD180" s="242" t="b">
        <f t="shared" si="4"/>
        <v>0</v>
      </c>
      <c r="AE180" s="154" t="s">
        <v>1016</v>
      </c>
      <c r="AF180" s="242" t="str">
        <f>IF(AE180="","N/A",INDIRECT("MTR!"&amp;ADDRESS(MATCH(LEFT(AE180,9),MTR!C:C,0),COLUMN(J180)),TRUE) &amp; "")</f>
        <v>Partially Complies</v>
      </c>
      <c r="AG180" s="157" t="str">
        <f t="shared" si="5"/>
        <v/>
      </c>
      <c r="AH180" s="170"/>
      <c r="AI180" s="152"/>
      <c r="AJ180" s="152"/>
      <c r="AK180" s="152"/>
      <c r="AL180" s="152"/>
      <c r="AM180" s="152"/>
      <c r="AN180" s="152"/>
      <c r="AO180" s="152"/>
      <c r="AP180" s="152"/>
      <c r="AQ180" s="152"/>
      <c r="AR180" s="152"/>
    </row>
    <row r="181" ht="12.75" customHeight="1">
      <c r="A181" s="244" t="s">
        <v>5158</v>
      </c>
      <c r="B181" s="244" t="s">
        <v>5725</v>
      </c>
      <c r="C181" s="244" t="s">
        <v>6323</v>
      </c>
      <c r="D181" s="154" t="s">
        <v>542</v>
      </c>
      <c r="E181" s="154"/>
      <c r="F181" s="154" t="str">
        <f t="array" ref="F181">XLOOKUP(Cover!$D$12,$P$1:$X$1,$P181:$X181)</f>
        <v>Information</v>
      </c>
      <c r="G181" s="154" t="s">
        <v>6324</v>
      </c>
      <c r="H181" s="154" t="s">
        <v>5987</v>
      </c>
      <c r="I181" s="154" t="s">
        <v>6325</v>
      </c>
      <c r="J181" s="154" t="s">
        <v>6064</v>
      </c>
      <c r="K181" s="154"/>
      <c r="L181" s="154" t="s">
        <v>759</v>
      </c>
      <c r="M181" s="247" t="s">
        <v>516</v>
      </c>
      <c r="N181" s="247" t="s">
        <v>5876</v>
      </c>
      <c r="O181" s="240" t="str">
        <f t="shared" si="1"/>
        <v/>
      </c>
      <c r="P181" s="154" t="s">
        <v>66</v>
      </c>
      <c r="Q181" s="154" t="s">
        <v>66</v>
      </c>
      <c r="R181" s="154" t="s">
        <v>66</v>
      </c>
      <c r="S181" s="154" t="s">
        <v>66</v>
      </c>
      <c r="T181" s="154" t="s">
        <v>66</v>
      </c>
      <c r="U181" s="154" t="s">
        <v>66</v>
      </c>
      <c r="V181" s="154" t="s">
        <v>66</v>
      </c>
      <c r="W181" s="154" t="s">
        <v>66</v>
      </c>
      <c r="X181" s="154" t="s">
        <v>66</v>
      </c>
      <c r="Y181" s="154"/>
      <c r="Z181" s="242" t="b">
        <f t="shared" si="2"/>
        <v>1</v>
      </c>
      <c r="AA181" s="154" t="s">
        <v>391</v>
      </c>
      <c r="AB181" s="242" t="b">
        <f t="shared" si="3"/>
        <v>0</v>
      </c>
      <c r="AC181" s="154"/>
      <c r="AD181" s="242" t="b">
        <f t="shared" si="4"/>
        <v>0</v>
      </c>
      <c r="AE181" s="154" t="s">
        <v>1016</v>
      </c>
      <c r="AF181" s="242" t="str">
        <f>IF(AE181="","N/A",INDIRECT("MTR!"&amp;ADDRESS(MATCH(LEFT(AE181,9),MTR!C:C,0),COLUMN(J181)),TRUE) &amp; "")</f>
        <v>Partially Complies</v>
      </c>
      <c r="AG181" s="157" t="str">
        <f t="shared" si="5"/>
        <v/>
      </c>
      <c r="AH181" s="170"/>
      <c r="AI181" s="152"/>
      <c r="AJ181" s="152"/>
      <c r="AK181" s="152"/>
      <c r="AL181" s="152"/>
      <c r="AM181" s="152"/>
      <c r="AN181" s="152"/>
      <c r="AO181" s="152"/>
      <c r="AP181" s="152"/>
      <c r="AQ181" s="152"/>
      <c r="AR181" s="152"/>
    </row>
    <row r="182" ht="12.75" customHeight="1">
      <c r="A182" s="244" t="s">
        <v>5158</v>
      </c>
      <c r="B182" s="244" t="s">
        <v>5725</v>
      </c>
      <c r="C182" s="244" t="s">
        <v>6326</v>
      </c>
      <c r="D182" s="154" t="s">
        <v>411</v>
      </c>
      <c r="E182" s="154"/>
      <c r="F182" s="154" t="str">
        <f t="array" ref="F182">XLOOKUP(Cover!$D$12,$P$1:$X$1,$P182:$X182)</f>
        <v>Mandatory</v>
      </c>
      <c r="G182" s="154" t="s">
        <v>6327</v>
      </c>
      <c r="H182" s="154" t="s">
        <v>6328</v>
      </c>
      <c r="I182" s="154" t="s">
        <v>6329</v>
      </c>
      <c r="J182" s="154" t="s">
        <v>5905</v>
      </c>
      <c r="K182" s="154" t="s">
        <v>1018</v>
      </c>
      <c r="L182" s="154" t="s">
        <v>759</v>
      </c>
      <c r="M182" s="247" t="s">
        <v>445</v>
      </c>
      <c r="N182" s="247" t="s">
        <v>5733</v>
      </c>
      <c r="O182" s="240" t="str">
        <f t="shared" si="1"/>
        <v/>
      </c>
      <c r="P182" s="154" t="s">
        <v>66</v>
      </c>
      <c r="Q182" s="154" t="s">
        <v>66</v>
      </c>
      <c r="R182" s="154" t="s">
        <v>66</v>
      </c>
      <c r="S182" s="154" t="s">
        <v>66</v>
      </c>
      <c r="T182" s="154" t="s">
        <v>60</v>
      </c>
      <c r="U182" s="154" t="s">
        <v>60</v>
      </c>
      <c r="V182" s="154" t="s">
        <v>66</v>
      </c>
      <c r="W182" s="154" t="s">
        <v>66</v>
      </c>
      <c r="X182" s="154" t="s">
        <v>60</v>
      </c>
      <c r="Y182" s="154"/>
      <c r="Z182" s="242" t="b">
        <f t="shared" si="2"/>
        <v>1</v>
      </c>
      <c r="AA182" s="154" t="s">
        <v>391</v>
      </c>
      <c r="AB182" s="242" t="b">
        <f t="shared" si="3"/>
        <v>0</v>
      </c>
      <c r="AC182" s="154"/>
      <c r="AD182" s="242" t="b">
        <f t="shared" si="4"/>
        <v>0</v>
      </c>
      <c r="AE182" s="154" t="s">
        <v>1016</v>
      </c>
      <c r="AF182" s="242" t="str">
        <f>IF(AE182="","N/A",INDIRECT("MTR!"&amp;ADDRESS(MATCH(LEFT(AE182,9),MTR!C:C,0),COLUMN(J182)),TRUE) &amp; "")</f>
        <v>Partially Complies</v>
      </c>
      <c r="AG182" s="157" t="str">
        <f t="shared" si="5"/>
        <v/>
      </c>
      <c r="AH182" s="170"/>
      <c r="AI182" s="152"/>
      <c r="AJ182" s="152"/>
      <c r="AK182" s="152"/>
      <c r="AL182" s="152"/>
      <c r="AM182" s="152"/>
      <c r="AN182" s="152"/>
      <c r="AO182" s="152"/>
      <c r="AP182" s="152"/>
      <c r="AQ182" s="152"/>
      <c r="AR182" s="152"/>
    </row>
    <row r="183" ht="12.75" customHeight="1">
      <c r="A183" s="244" t="s">
        <v>5158</v>
      </c>
      <c r="B183" s="244" t="s">
        <v>5725</v>
      </c>
      <c r="C183" s="244" t="s">
        <v>6330</v>
      </c>
      <c r="D183" s="154" t="s">
        <v>781</v>
      </c>
      <c r="E183" s="154"/>
      <c r="F183" s="154" t="str">
        <f t="array" ref="F183">XLOOKUP(Cover!$D$12,$P$1:$X$1,$P183:$X183)</f>
        <v>Information</v>
      </c>
      <c r="G183" s="154" t="s">
        <v>6331</v>
      </c>
      <c r="H183" s="154" t="s">
        <v>6328</v>
      </c>
      <c r="I183" s="154" t="s">
        <v>6332</v>
      </c>
      <c r="J183" s="154" t="s">
        <v>6140</v>
      </c>
      <c r="K183" s="154"/>
      <c r="L183" s="154" t="s">
        <v>759</v>
      </c>
      <c r="M183" s="247" t="s">
        <v>516</v>
      </c>
      <c r="N183" s="247" t="s">
        <v>5876</v>
      </c>
      <c r="O183" s="240" t="str">
        <f t="shared" si="1"/>
        <v/>
      </c>
      <c r="P183" s="154" t="s">
        <v>66</v>
      </c>
      <c r="Q183" s="154" t="s">
        <v>66</v>
      </c>
      <c r="R183" s="154" t="s">
        <v>66</v>
      </c>
      <c r="S183" s="154" t="s">
        <v>66</v>
      </c>
      <c r="T183" s="154" t="s">
        <v>66</v>
      </c>
      <c r="U183" s="154" t="s">
        <v>66</v>
      </c>
      <c r="V183" s="154" t="s">
        <v>66</v>
      </c>
      <c r="W183" s="154" t="s">
        <v>66</v>
      </c>
      <c r="X183" s="154" t="s">
        <v>66</v>
      </c>
      <c r="Y183" s="154"/>
      <c r="Z183" s="242" t="b">
        <f t="shared" si="2"/>
        <v>1</v>
      </c>
      <c r="AA183" s="154" t="s">
        <v>391</v>
      </c>
      <c r="AB183" s="242" t="b">
        <f t="shared" si="3"/>
        <v>0</v>
      </c>
      <c r="AC183" s="154"/>
      <c r="AD183" s="242" t="b">
        <f t="shared" si="4"/>
        <v>0</v>
      </c>
      <c r="AE183" s="154" t="s">
        <v>1016</v>
      </c>
      <c r="AF183" s="242" t="str">
        <f>IF(AE183="","N/A",INDIRECT("MTR!"&amp;ADDRESS(MATCH(LEFT(AE183,9),MTR!C:C,0),COLUMN(J183)),TRUE) &amp; "")</f>
        <v>Partially Complies</v>
      </c>
      <c r="AG183" s="157" t="str">
        <f t="shared" si="5"/>
        <v/>
      </c>
      <c r="AH183" s="170"/>
      <c r="AI183" s="152"/>
      <c r="AJ183" s="152"/>
      <c r="AK183" s="152"/>
      <c r="AL183" s="152"/>
      <c r="AM183" s="152"/>
      <c r="AN183" s="152"/>
      <c r="AO183" s="152"/>
      <c r="AP183" s="152"/>
      <c r="AQ183" s="152"/>
      <c r="AR183" s="152"/>
    </row>
    <row r="184" ht="12.75" customHeight="1">
      <c r="A184" s="244" t="s">
        <v>5158</v>
      </c>
      <c r="B184" s="244" t="s">
        <v>5725</v>
      </c>
      <c r="C184" s="244" t="s">
        <v>6333</v>
      </c>
      <c r="D184" s="154" t="s">
        <v>602</v>
      </c>
      <c r="E184" s="154"/>
      <c r="F184" s="154" t="str">
        <f t="array" ref="F184">XLOOKUP(Cover!$D$12,$P$1:$X$1,$P184:$X184)</f>
        <v>Information</v>
      </c>
      <c r="G184" s="154" t="s">
        <v>6334</v>
      </c>
      <c r="H184" s="154" t="s">
        <v>6230</v>
      </c>
      <c r="I184" s="154" t="s">
        <v>6335</v>
      </c>
      <c r="J184" s="154" t="s">
        <v>5909</v>
      </c>
      <c r="K184" s="154"/>
      <c r="L184" s="154" t="s">
        <v>759</v>
      </c>
      <c r="M184" s="247" t="s">
        <v>516</v>
      </c>
      <c r="N184" s="247" t="s">
        <v>5876</v>
      </c>
      <c r="O184" s="240" t="str">
        <f t="shared" si="1"/>
        <v/>
      </c>
      <c r="P184" s="154" t="s">
        <v>66</v>
      </c>
      <c r="Q184" s="154" t="s">
        <v>66</v>
      </c>
      <c r="R184" s="154" t="s">
        <v>66</v>
      </c>
      <c r="S184" s="154" t="s">
        <v>66</v>
      </c>
      <c r="T184" s="154" t="s">
        <v>66</v>
      </c>
      <c r="U184" s="154" t="s">
        <v>66</v>
      </c>
      <c r="V184" s="154" t="s">
        <v>66</v>
      </c>
      <c r="W184" s="154" t="s">
        <v>66</v>
      </c>
      <c r="X184" s="154" t="s">
        <v>66</v>
      </c>
      <c r="Y184" s="154"/>
      <c r="Z184" s="242" t="b">
        <f t="shared" si="2"/>
        <v>1</v>
      </c>
      <c r="AA184" s="154" t="s">
        <v>391</v>
      </c>
      <c r="AB184" s="242" t="b">
        <f t="shared" si="3"/>
        <v>0</v>
      </c>
      <c r="AC184" s="154"/>
      <c r="AD184" s="242" t="b">
        <f t="shared" si="4"/>
        <v>0</v>
      </c>
      <c r="AE184" s="154" t="s">
        <v>1016</v>
      </c>
      <c r="AF184" s="242" t="str">
        <f>IF(AE184="","N/A",INDIRECT("MTR!"&amp;ADDRESS(MATCH(LEFT(AE184,9),MTR!C:C,0),COLUMN(J184)),TRUE) &amp; "")</f>
        <v>Partially Complies</v>
      </c>
      <c r="AG184" s="157" t="str">
        <f t="shared" si="5"/>
        <v/>
      </c>
      <c r="AH184" s="170"/>
      <c r="AI184" s="152"/>
      <c r="AJ184" s="152"/>
      <c r="AK184" s="152"/>
      <c r="AL184" s="152"/>
      <c r="AM184" s="152"/>
      <c r="AN184" s="152"/>
      <c r="AO184" s="152"/>
      <c r="AP184" s="152"/>
      <c r="AQ184" s="152"/>
      <c r="AR184" s="152"/>
    </row>
    <row r="185" ht="12.75" customHeight="1">
      <c r="A185" s="244" t="s">
        <v>5158</v>
      </c>
      <c r="B185" s="244" t="s">
        <v>5725</v>
      </c>
      <c r="C185" s="244" t="s">
        <v>6336</v>
      </c>
      <c r="D185" s="154" t="s">
        <v>492</v>
      </c>
      <c r="E185" s="154"/>
      <c r="F185" s="154" t="str">
        <f t="array" ref="F185">XLOOKUP(Cover!$D$12,$P$1:$X$1,$P185:$X185)</f>
        <v>Mandatory</v>
      </c>
      <c r="G185" s="154" t="s">
        <v>6337</v>
      </c>
      <c r="H185" s="154" t="s">
        <v>6338</v>
      </c>
      <c r="I185" s="154" t="s">
        <v>6339</v>
      </c>
      <c r="J185" s="154" t="s">
        <v>5982</v>
      </c>
      <c r="K185" s="154" t="s">
        <v>1018</v>
      </c>
      <c r="L185" s="154" t="s">
        <v>759</v>
      </c>
      <c r="M185" s="247" t="s">
        <v>445</v>
      </c>
      <c r="N185" s="247" t="s">
        <v>5733</v>
      </c>
      <c r="O185" s="240" t="str">
        <f t="shared" si="1"/>
        <v/>
      </c>
      <c r="P185" s="154" t="s">
        <v>66</v>
      </c>
      <c r="Q185" s="154" t="s">
        <v>66</v>
      </c>
      <c r="R185" s="154" t="s">
        <v>66</v>
      </c>
      <c r="S185" s="154" t="s">
        <v>66</v>
      </c>
      <c r="T185" s="154" t="s">
        <v>60</v>
      </c>
      <c r="U185" s="154" t="s">
        <v>60</v>
      </c>
      <c r="V185" s="154" t="s">
        <v>66</v>
      </c>
      <c r="W185" s="154" t="s">
        <v>66</v>
      </c>
      <c r="X185" s="154" t="s">
        <v>60</v>
      </c>
      <c r="Y185" s="154"/>
      <c r="Z185" s="242" t="b">
        <f t="shared" si="2"/>
        <v>1</v>
      </c>
      <c r="AA185" s="154" t="s">
        <v>391</v>
      </c>
      <c r="AB185" s="242" t="b">
        <f t="shared" si="3"/>
        <v>0</v>
      </c>
      <c r="AC185" s="154"/>
      <c r="AD185" s="242" t="b">
        <f t="shared" si="4"/>
        <v>0</v>
      </c>
      <c r="AE185" s="154" t="s">
        <v>1016</v>
      </c>
      <c r="AF185" s="242" t="str">
        <f>IF(AE185="","N/A",INDIRECT("MTR!"&amp;ADDRESS(MATCH(LEFT(AE185,9),MTR!C:C,0),COLUMN(J185)),TRUE) &amp; "")</f>
        <v>Partially Complies</v>
      </c>
      <c r="AG185" s="157" t="str">
        <f t="shared" si="5"/>
        <v/>
      </c>
      <c r="AH185" s="170"/>
      <c r="AI185" s="152"/>
      <c r="AJ185" s="152"/>
      <c r="AK185" s="152"/>
      <c r="AL185" s="152"/>
      <c r="AM185" s="152"/>
      <c r="AN185" s="152"/>
      <c r="AO185" s="152"/>
      <c r="AP185" s="152"/>
      <c r="AQ185" s="152"/>
      <c r="AR185" s="152"/>
    </row>
    <row r="186" ht="12.75" customHeight="1">
      <c r="A186" s="244" t="s">
        <v>5158</v>
      </c>
      <c r="B186" s="244" t="s">
        <v>5725</v>
      </c>
      <c r="C186" s="244" t="s">
        <v>6340</v>
      </c>
      <c r="D186" s="154" t="s">
        <v>1069</v>
      </c>
      <c r="E186" s="154"/>
      <c r="F186" s="154" t="str">
        <f t="array" ref="F186">XLOOKUP(Cover!$D$12,$P$1:$X$1,$P186:$X186)</f>
        <v>Information</v>
      </c>
      <c r="G186" s="154" t="s">
        <v>6341</v>
      </c>
      <c r="H186" s="154" t="s">
        <v>5980</v>
      </c>
      <c r="I186" s="154" t="s">
        <v>6342</v>
      </c>
      <c r="J186" s="154" t="s">
        <v>6154</v>
      </c>
      <c r="K186" s="154"/>
      <c r="L186" s="154" t="s">
        <v>759</v>
      </c>
      <c r="M186" s="247" t="s">
        <v>445</v>
      </c>
      <c r="N186" s="247" t="s">
        <v>5733</v>
      </c>
      <c r="O186" s="240" t="str">
        <f t="shared" si="1"/>
        <v/>
      </c>
      <c r="P186" s="154" t="s">
        <v>66</v>
      </c>
      <c r="Q186" s="154" t="s">
        <v>66</v>
      </c>
      <c r="R186" s="154" t="s">
        <v>66</v>
      </c>
      <c r="S186" s="154" t="s">
        <v>66</v>
      </c>
      <c r="T186" s="154" t="s">
        <v>66</v>
      </c>
      <c r="U186" s="154" t="s">
        <v>66</v>
      </c>
      <c r="V186" s="154" t="s">
        <v>66</v>
      </c>
      <c r="W186" s="154" t="s">
        <v>66</v>
      </c>
      <c r="X186" s="154" t="s">
        <v>66</v>
      </c>
      <c r="Y186" s="154"/>
      <c r="Z186" s="242" t="b">
        <f t="shared" si="2"/>
        <v>1</v>
      </c>
      <c r="AA186" s="154" t="s">
        <v>391</v>
      </c>
      <c r="AB186" s="242" t="b">
        <f t="shared" si="3"/>
        <v>0</v>
      </c>
      <c r="AC186" s="154"/>
      <c r="AD186" s="242" t="b">
        <f t="shared" si="4"/>
        <v>0</v>
      </c>
      <c r="AE186" s="154" t="s">
        <v>1016</v>
      </c>
      <c r="AF186" s="242" t="str">
        <f>IF(AE186="","N/A",INDIRECT("MTR!"&amp;ADDRESS(MATCH(LEFT(AE186,9),MTR!C:C,0),COLUMN(J186)),TRUE) &amp; "")</f>
        <v>Partially Complies</v>
      </c>
      <c r="AG186" s="157" t="str">
        <f t="shared" si="5"/>
        <v/>
      </c>
      <c r="AH186" s="170"/>
      <c r="AI186" s="152"/>
      <c r="AJ186" s="152"/>
      <c r="AK186" s="152"/>
      <c r="AL186" s="152"/>
      <c r="AM186" s="152"/>
      <c r="AN186" s="152"/>
      <c r="AO186" s="152"/>
      <c r="AP186" s="152"/>
      <c r="AQ186" s="152"/>
      <c r="AR186" s="152"/>
    </row>
    <row r="187" ht="12.75" customHeight="1">
      <c r="A187" s="244" t="s">
        <v>5158</v>
      </c>
      <c r="B187" s="244" t="s">
        <v>5725</v>
      </c>
      <c r="C187" s="244" t="s">
        <v>6343</v>
      </c>
      <c r="D187" s="154" t="s">
        <v>1120</v>
      </c>
      <c r="E187" s="154"/>
      <c r="F187" s="154" t="str">
        <f t="array" ref="F187">XLOOKUP(Cover!$D$12,$P$1:$X$1,$P187:$X187)</f>
        <v>Recommended</v>
      </c>
      <c r="G187" s="154" t="s">
        <v>6344</v>
      </c>
      <c r="H187" s="154" t="s">
        <v>6345</v>
      </c>
      <c r="I187" s="154" t="s">
        <v>6346</v>
      </c>
      <c r="J187" s="154" t="s">
        <v>5890</v>
      </c>
      <c r="K187" s="154"/>
      <c r="L187" s="154" t="s">
        <v>759</v>
      </c>
      <c r="M187" s="247" t="s">
        <v>516</v>
      </c>
      <c r="N187" s="247" t="s">
        <v>5876</v>
      </c>
      <c r="O187" s="240" t="str">
        <f t="shared" si="1"/>
        <v/>
      </c>
      <c r="P187" s="154" t="s">
        <v>66</v>
      </c>
      <c r="Q187" s="154" t="s">
        <v>66</v>
      </c>
      <c r="R187" s="154" t="s">
        <v>66</v>
      </c>
      <c r="S187" s="154" t="s">
        <v>66</v>
      </c>
      <c r="T187" s="154" t="s">
        <v>64</v>
      </c>
      <c r="U187" s="154" t="s">
        <v>64</v>
      </c>
      <c r="V187" s="154" t="s">
        <v>66</v>
      </c>
      <c r="W187" s="154" t="s">
        <v>66</v>
      </c>
      <c r="X187" s="154" t="s">
        <v>64</v>
      </c>
      <c r="Y187" s="154"/>
      <c r="Z187" s="242" t="b">
        <f t="shared" si="2"/>
        <v>1</v>
      </c>
      <c r="AA187" s="154" t="s">
        <v>391</v>
      </c>
      <c r="AB187" s="242" t="b">
        <f t="shared" si="3"/>
        <v>0</v>
      </c>
      <c r="AC187" s="154"/>
      <c r="AD187" s="242" t="b">
        <f t="shared" si="4"/>
        <v>0</v>
      </c>
      <c r="AE187" s="154" t="s">
        <v>1016</v>
      </c>
      <c r="AF187" s="242" t="str">
        <f>IF(AE187="","N/A",INDIRECT("MTR!"&amp;ADDRESS(MATCH(LEFT(AE187,9),MTR!C:C,0),COLUMN(J187)),TRUE) &amp; "")</f>
        <v>Partially Complies</v>
      </c>
      <c r="AG187" s="157" t="str">
        <f t="shared" si="5"/>
        <v/>
      </c>
      <c r="AH187" s="170"/>
      <c r="AI187" s="152"/>
      <c r="AJ187" s="152"/>
      <c r="AK187" s="152"/>
      <c r="AL187" s="152"/>
      <c r="AM187" s="152"/>
      <c r="AN187" s="152"/>
      <c r="AO187" s="152"/>
      <c r="AP187" s="152"/>
      <c r="AQ187" s="152"/>
      <c r="AR187" s="152"/>
    </row>
    <row r="188" ht="12.75" customHeight="1">
      <c r="A188" s="244" t="s">
        <v>5158</v>
      </c>
      <c r="B188" s="244" t="s">
        <v>5725</v>
      </c>
      <c r="C188" s="244" t="s">
        <v>6347</v>
      </c>
      <c r="D188" s="154" t="s">
        <v>1315</v>
      </c>
      <c r="E188" s="154"/>
      <c r="F188" s="154" t="str">
        <f t="array" ref="F188">XLOOKUP(Cover!$D$12,$P$1:$X$1,$P188:$X188)</f>
        <v>Information</v>
      </c>
      <c r="G188" s="154" t="s">
        <v>6348</v>
      </c>
      <c r="H188" s="154" t="s">
        <v>6349</v>
      </c>
      <c r="I188" s="154" t="s">
        <v>6350</v>
      </c>
      <c r="J188" s="154" t="s">
        <v>6022</v>
      </c>
      <c r="K188" s="154"/>
      <c r="L188" s="154" t="s">
        <v>759</v>
      </c>
      <c r="M188" s="247" t="s">
        <v>516</v>
      </c>
      <c r="N188" s="247" t="s">
        <v>5876</v>
      </c>
      <c r="O188" s="240" t="str">
        <f t="shared" si="1"/>
        <v/>
      </c>
      <c r="P188" s="154" t="s">
        <v>66</v>
      </c>
      <c r="Q188" s="154" t="s">
        <v>66</v>
      </c>
      <c r="R188" s="154" t="s">
        <v>66</v>
      </c>
      <c r="S188" s="154" t="s">
        <v>66</v>
      </c>
      <c r="T188" s="154" t="s">
        <v>66</v>
      </c>
      <c r="U188" s="154" t="s">
        <v>66</v>
      </c>
      <c r="V188" s="154" t="s">
        <v>66</v>
      </c>
      <c r="W188" s="154" t="s">
        <v>66</v>
      </c>
      <c r="X188" s="154" t="s">
        <v>66</v>
      </c>
      <c r="Y188" s="154"/>
      <c r="Z188" s="242" t="b">
        <f t="shared" si="2"/>
        <v>1</v>
      </c>
      <c r="AA188" s="154" t="s">
        <v>391</v>
      </c>
      <c r="AB188" s="242" t="b">
        <f t="shared" si="3"/>
        <v>0</v>
      </c>
      <c r="AC188" s="154"/>
      <c r="AD188" s="242" t="b">
        <f t="shared" si="4"/>
        <v>0</v>
      </c>
      <c r="AE188" s="154" t="s">
        <v>1016</v>
      </c>
      <c r="AF188" s="242" t="str">
        <f>IF(AE188="","N/A",INDIRECT("MTR!"&amp;ADDRESS(MATCH(LEFT(AE188,9),MTR!C:C,0),COLUMN(J188)),TRUE) &amp; "")</f>
        <v>Partially Complies</v>
      </c>
      <c r="AG188" s="157" t="str">
        <f t="shared" si="5"/>
        <v/>
      </c>
      <c r="AH188" s="170"/>
      <c r="AI188" s="152"/>
      <c r="AJ188" s="152"/>
      <c r="AK188" s="152"/>
      <c r="AL188" s="152"/>
      <c r="AM188" s="152"/>
      <c r="AN188" s="152"/>
      <c r="AO188" s="152"/>
      <c r="AP188" s="152"/>
      <c r="AQ188" s="152"/>
      <c r="AR188" s="152"/>
    </row>
    <row r="189" ht="12.75" customHeight="1">
      <c r="A189" s="244" t="s">
        <v>5158</v>
      </c>
      <c r="B189" s="244" t="s">
        <v>5725</v>
      </c>
      <c r="C189" s="244" t="s">
        <v>6351</v>
      </c>
      <c r="D189" s="154" t="s">
        <v>1315</v>
      </c>
      <c r="E189" s="154"/>
      <c r="F189" s="154" t="str">
        <f t="array" ref="F189">XLOOKUP(Cover!$D$12,$P$1:$X$1,$P189:$X189)</f>
        <v>Mandatory</v>
      </c>
      <c r="G189" s="154" t="s">
        <v>6352</v>
      </c>
      <c r="H189" s="154" t="s">
        <v>6353</v>
      </c>
      <c r="I189" s="154" t="s">
        <v>6354</v>
      </c>
      <c r="J189" s="154" t="s">
        <v>6022</v>
      </c>
      <c r="K189" s="154" t="s">
        <v>1018</v>
      </c>
      <c r="L189" s="154" t="s">
        <v>759</v>
      </c>
      <c r="M189" s="247" t="s">
        <v>516</v>
      </c>
      <c r="N189" s="247" t="s">
        <v>5876</v>
      </c>
      <c r="O189" s="240" t="str">
        <f t="shared" si="1"/>
        <v/>
      </c>
      <c r="P189" s="154" t="s">
        <v>66</v>
      </c>
      <c r="Q189" s="154" t="s">
        <v>66</v>
      </c>
      <c r="R189" s="154" t="s">
        <v>66</v>
      </c>
      <c r="S189" s="154" t="s">
        <v>66</v>
      </c>
      <c r="T189" s="154" t="s">
        <v>60</v>
      </c>
      <c r="U189" s="154" t="s">
        <v>60</v>
      </c>
      <c r="V189" s="154" t="s">
        <v>66</v>
      </c>
      <c r="W189" s="154" t="s">
        <v>66</v>
      </c>
      <c r="X189" s="154" t="s">
        <v>60</v>
      </c>
      <c r="Y189" s="154"/>
      <c r="Z189" s="242" t="b">
        <f t="shared" si="2"/>
        <v>1</v>
      </c>
      <c r="AA189" s="154" t="s">
        <v>391</v>
      </c>
      <c r="AB189" s="242" t="b">
        <f t="shared" si="3"/>
        <v>0</v>
      </c>
      <c r="AC189" s="154"/>
      <c r="AD189" s="242" t="b">
        <f t="shared" si="4"/>
        <v>0</v>
      </c>
      <c r="AE189" s="154" t="s">
        <v>1016</v>
      </c>
      <c r="AF189" s="242" t="str">
        <f>IF(AE189="","N/A",INDIRECT("MTR!"&amp;ADDRESS(MATCH(LEFT(AE189,9),MTR!C:C,0),COLUMN(J189)),TRUE) &amp; "")</f>
        <v>Partially Complies</v>
      </c>
      <c r="AG189" s="157" t="str">
        <f t="shared" si="5"/>
        <v/>
      </c>
      <c r="AH189" s="170"/>
      <c r="AI189" s="152"/>
      <c r="AJ189" s="152"/>
      <c r="AK189" s="152"/>
      <c r="AL189" s="152"/>
      <c r="AM189" s="152"/>
      <c r="AN189" s="152"/>
      <c r="AO189" s="152"/>
      <c r="AP189" s="152"/>
      <c r="AQ189" s="152"/>
      <c r="AR189" s="152"/>
    </row>
    <row r="190" ht="12.75" customHeight="1">
      <c r="A190" s="244" t="s">
        <v>5158</v>
      </c>
      <c r="B190" s="244" t="s">
        <v>5725</v>
      </c>
      <c r="C190" s="245" t="s">
        <v>6355</v>
      </c>
      <c r="D190" s="155" t="s">
        <v>1120</v>
      </c>
      <c r="E190" s="154" t="s">
        <v>92</v>
      </c>
      <c r="F190" s="154" t="str">
        <f t="array" ref="F190">XLOOKUP(Cover!$D$12,$P$1:$X$1,$P190:$X190)</f>
        <v>Recommended</v>
      </c>
      <c r="G190" s="154" t="s">
        <v>6356</v>
      </c>
      <c r="H190" s="154" t="s">
        <v>6357</v>
      </c>
      <c r="I190" s="154" t="s">
        <v>6358</v>
      </c>
      <c r="J190" s="154" t="s">
        <v>5732</v>
      </c>
      <c r="K190" s="154"/>
      <c r="L190" s="154" t="s">
        <v>759</v>
      </c>
      <c r="M190" s="247" t="s">
        <v>516</v>
      </c>
      <c r="N190" s="247" t="s">
        <v>5876</v>
      </c>
      <c r="O190" s="240" t="str">
        <f t="shared" si="1"/>
        <v/>
      </c>
      <c r="P190" s="154" t="s">
        <v>66</v>
      </c>
      <c r="Q190" s="154" t="s">
        <v>66</v>
      </c>
      <c r="R190" s="154" t="s">
        <v>66</v>
      </c>
      <c r="S190" s="154" t="s">
        <v>66</v>
      </c>
      <c r="T190" s="154" t="s">
        <v>64</v>
      </c>
      <c r="U190" s="154" t="s">
        <v>64</v>
      </c>
      <c r="V190" s="154" t="s">
        <v>66</v>
      </c>
      <c r="W190" s="154" t="s">
        <v>66</v>
      </c>
      <c r="X190" s="154" t="s">
        <v>64</v>
      </c>
      <c r="Y190" s="154"/>
      <c r="Z190" s="242" t="b">
        <f t="shared" si="2"/>
        <v>1</v>
      </c>
      <c r="AA190" s="154" t="s">
        <v>391</v>
      </c>
      <c r="AB190" s="242" t="b">
        <f t="shared" si="3"/>
        <v>0</v>
      </c>
      <c r="AC190" s="154"/>
      <c r="AD190" s="242" t="b">
        <f t="shared" si="4"/>
        <v>0</v>
      </c>
      <c r="AE190" s="154" t="s">
        <v>1016</v>
      </c>
      <c r="AF190" s="242" t="str">
        <f>IF(AE190="","N/A",INDIRECT("MTR!"&amp;ADDRESS(MATCH(LEFT(AE190,9),MTR!C:C,0),COLUMN(J190)),TRUE) &amp; "")</f>
        <v>Partially Complies</v>
      </c>
      <c r="AG190" s="157" t="str">
        <f t="shared" si="5"/>
        <v/>
      </c>
      <c r="AH190" s="170"/>
      <c r="AI190" s="152"/>
      <c r="AJ190" s="152"/>
      <c r="AK190" s="152"/>
      <c r="AL190" s="152"/>
      <c r="AM190" s="152"/>
      <c r="AN190" s="152"/>
      <c r="AO190" s="152"/>
      <c r="AP190" s="152"/>
      <c r="AQ190" s="152"/>
      <c r="AR190" s="152"/>
    </row>
    <row r="191" ht="12.75" customHeight="1">
      <c r="A191" s="244" t="s">
        <v>5158</v>
      </c>
      <c r="B191" s="244" t="s">
        <v>5725</v>
      </c>
      <c r="C191" s="244" t="s">
        <v>6359</v>
      </c>
      <c r="D191" s="154" t="s">
        <v>602</v>
      </c>
      <c r="E191" s="154"/>
      <c r="F191" s="154" t="str">
        <f t="array" ref="F191">XLOOKUP(Cover!$D$12,$P$1:$X$1,$P191:$X191)</f>
        <v>Mandatory</v>
      </c>
      <c r="G191" s="154" t="s">
        <v>6360</v>
      </c>
      <c r="H191" s="154" t="s">
        <v>6328</v>
      </c>
      <c r="I191" s="154" t="s">
        <v>6361</v>
      </c>
      <c r="J191" s="154" t="s">
        <v>5779</v>
      </c>
      <c r="K191" s="154" t="s">
        <v>1018</v>
      </c>
      <c r="L191" s="154" t="s">
        <v>759</v>
      </c>
      <c r="M191" s="247" t="s">
        <v>516</v>
      </c>
      <c r="N191" s="247" t="s">
        <v>5876</v>
      </c>
      <c r="O191" s="240" t="str">
        <f t="shared" si="1"/>
        <v/>
      </c>
      <c r="P191" s="154" t="s">
        <v>66</v>
      </c>
      <c r="Q191" s="154" t="s">
        <v>66</v>
      </c>
      <c r="R191" s="154" t="s">
        <v>66</v>
      </c>
      <c r="S191" s="154" t="s">
        <v>66</v>
      </c>
      <c r="T191" s="154" t="s">
        <v>60</v>
      </c>
      <c r="U191" s="154" t="s">
        <v>60</v>
      </c>
      <c r="V191" s="154" t="s">
        <v>66</v>
      </c>
      <c r="W191" s="154" t="s">
        <v>66</v>
      </c>
      <c r="X191" s="154" t="s">
        <v>60</v>
      </c>
      <c r="Y191" s="154"/>
      <c r="Z191" s="242" t="b">
        <f t="shared" si="2"/>
        <v>1</v>
      </c>
      <c r="AA191" s="154" t="s">
        <v>391</v>
      </c>
      <c r="AB191" s="242" t="b">
        <f t="shared" si="3"/>
        <v>0</v>
      </c>
      <c r="AC191" s="154"/>
      <c r="AD191" s="242" t="b">
        <f t="shared" si="4"/>
        <v>0</v>
      </c>
      <c r="AE191" s="154" t="s">
        <v>1016</v>
      </c>
      <c r="AF191" s="242" t="str">
        <f>IF(AE191="","N/A",INDIRECT("MTR!"&amp;ADDRESS(MATCH(LEFT(AE191,9),MTR!C:C,0),COLUMN(J191)),TRUE) &amp; "")</f>
        <v>Partially Complies</v>
      </c>
      <c r="AG191" s="157" t="str">
        <f t="shared" si="5"/>
        <v/>
      </c>
      <c r="AH191" s="170"/>
      <c r="AI191" s="152"/>
      <c r="AJ191" s="152"/>
      <c r="AK191" s="152"/>
      <c r="AL191" s="152"/>
      <c r="AM191" s="152"/>
      <c r="AN191" s="152"/>
      <c r="AO191" s="152"/>
      <c r="AP191" s="152"/>
      <c r="AQ191" s="152"/>
      <c r="AR191" s="152"/>
    </row>
    <row r="192" ht="12.75" customHeight="1">
      <c r="A192" s="244" t="s">
        <v>5158</v>
      </c>
      <c r="B192" s="244" t="s">
        <v>5725</v>
      </c>
      <c r="C192" s="244" t="s">
        <v>6362</v>
      </c>
      <c r="D192" s="154" t="s">
        <v>1315</v>
      </c>
      <c r="E192" s="154"/>
      <c r="F192" s="154" t="str">
        <f t="array" ref="F192">XLOOKUP(Cover!$D$12,$P$1:$X$1,$P192:$X192)</f>
        <v>Information</v>
      </c>
      <c r="G192" s="154" t="s">
        <v>6363</v>
      </c>
      <c r="H192" s="154" t="s">
        <v>6001</v>
      </c>
      <c r="I192" s="154" t="s">
        <v>6364</v>
      </c>
      <c r="J192" s="154" t="s">
        <v>6022</v>
      </c>
      <c r="K192" s="154"/>
      <c r="L192" s="154" t="s">
        <v>759</v>
      </c>
      <c r="M192" s="247" t="s">
        <v>516</v>
      </c>
      <c r="N192" s="247" t="s">
        <v>5876</v>
      </c>
      <c r="O192" s="240" t="str">
        <f t="shared" si="1"/>
        <v/>
      </c>
      <c r="P192" s="154" t="s">
        <v>66</v>
      </c>
      <c r="Q192" s="154" t="s">
        <v>66</v>
      </c>
      <c r="R192" s="154" t="s">
        <v>66</v>
      </c>
      <c r="S192" s="154" t="s">
        <v>66</v>
      </c>
      <c r="T192" s="154" t="s">
        <v>66</v>
      </c>
      <c r="U192" s="154" t="s">
        <v>66</v>
      </c>
      <c r="V192" s="154" t="s">
        <v>66</v>
      </c>
      <c r="W192" s="154" t="s">
        <v>66</v>
      </c>
      <c r="X192" s="154" t="s">
        <v>66</v>
      </c>
      <c r="Y192" s="154"/>
      <c r="Z192" s="242" t="b">
        <f t="shared" si="2"/>
        <v>1</v>
      </c>
      <c r="AA192" s="154" t="s">
        <v>391</v>
      </c>
      <c r="AB192" s="242" t="b">
        <f t="shared" si="3"/>
        <v>0</v>
      </c>
      <c r="AC192" s="154"/>
      <c r="AD192" s="242" t="b">
        <f t="shared" si="4"/>
        <v>0</v>
      </c>
      <c r="AE192" s="154" t="s">
        <v>1016</v>
      </c>
      <c r="AF192" s="242" t="str">
        <f>IF(AE192="","N/A",INDIRECT("MTR!"&amp;ADDRESS(MATCH(LEFT(AE192,9),MTR!C:C,0),COLUMN(J192)),TRUE) &amp; "")</f>
        <v>Partially Complies</v>
      </c>
      <c r="AG192" s="157" t="str">
        <f t="shared" si="5"/>
        <v/>
      </c>
      <c r="AH192" s="170"/>
      <c r="AI192" s="152"/>
      <c r="AJ192" s="152"/>
      <c r="AK192" s="152"/>
      <c r="AL192" s="152"/>
      <c r="AM192" s="152"/>
      <c r="AN192" s="152"/>
      <c r="AO192" s="152"/>
      <c r="AP192" s="152"/>
      <c r="AQ192" s="152"/>
      <c r="AR192" s="152"/>
    </row>
    <row r="193" ht="12.75" customHeight="1">
      <c r="A193" s="244" t="s">
        <v>5158</v>
      </c>
      <c r="B193" s="244" t="s">
        <v>5725</v>
      </c>
      <c r="C193" s="244" t="s">
        <v>6365</v>
      </c>
      <c r="D193" s="154" t="s">
        <v>411</v>
      </c>
      <c r="E193" s="154"/>
      <c r="F193" s="154" t="str">
        <f t="array" ref="F193">XLOOKUP(Cover!$D$12,$P$1:$X$1,$P193:$X193)</f>
        <v>Information</v>
      </c>
      <c r="G193" s="154" t="s">
        <v>6366</v>
      </c>
      <c r="H193" s="154" t="s">
        <v>6367</v>
      </c>
      <c r="I193" s="154" t="s">
        <v>6368</v>
      </c>
      <c r="J193" s="154" t="s">
        <v>5905</v>
      </c>
      <c r="K193" s="154"/>
      <c r="L193" s="154" t="s">
        <v>759</v>
      </c>
      <c r="M193" s="247" t="s">
        <v>516</v>
      </c>
      <c r="N193" s="247" t="s">
        <v>5876</v>
      </c>
      <c r="O193" s="240" t="str">
        <f t="shared" si="1"/>
        <v/>
      </c>
      <c r="P193" s="154" t="s">
        <v>66</v>
      </c>
      <c r="Q193" s="154" t="s">
        <v>66</v>
      </c>
      <c r="R193" s="154" t="s">
        <v>66</v>
      </c>
      <c r="S193" s="154" t="s">
        <v>66</v>
      </c>
      <c r="T193" s="154" t="s">
        <v>66</v>
      </c>
      <c r="U193" s="154" t="s">
        <v>66</v>
      </c>
      <c r="V193" s="154" t="s">
        <v>66</v>
      </c>
      <c r="W193" s="154" t="s">
        <v>66</v>
      </c>
      <c r="X193" s="154" t="s">
        <v>66</v>
      </c>
      <c r="Y193" s="154"/>
      <c r="Z193" s="242" t="b">
        <f t="shared" si="2"/>
        <v>1</v>
      </c>
      <c r="AA193" s="154" t="s">
        <v>391</v>
      </c>
      <c r="AB193" s="242" t="b">
        <f t="shared" si="3"/>
        <v>0</v>
      </c>
      <c r="AC193" s="154"/>
      <c r="AD193" s="242" t="b">
        <f t="shared" si="4"/>
        <v>0</v>
      </c>
      <c r="AE193" s="154" t="s">
        <v>1016</v>
      </c>
      <c r="AF193" s="242" t="str">
        <f>IF(AE193="","N/A",INDIRECT("MTR!"&amp;ADDRESS(MATCH(LEFT(AE193,9),MTR!C:C,0),COLUMN(J193)),TRUE) &amp; "")</f>
        <v>Partially Complies</v>
      </c>
      <c r="AG193" s="157" t="str">
        <f t="shared" si="5"/>
        <v/>
      </c>
      <c r="AH193" s="170"/>
      <c r="AI193" s="152"/>
      <c r="AJ193" s="152"/>
      <c r="AK193" s="152"/>
      <c r="AL193" s="152"/>
      <c r="AM193" s="152"/>
      <c r="AN193" s="152"/>
      <c r="AO193" s="152"/>
      <c r="AP193" s="152"/>
      <c r="AQ193" s="152"/>
      <c r="AR193" s="152"/>
    </row>
    <row r="194" ht="12.75" customHeight="1">
      <c r="A194" s="244" t="s">
        <v>5158</v>
      </c>
      <c r="B194" s="244" t="s">
        <v>5725</v>
      </c>
      <c r="C194" s="244" t="s">
        <v>6369</v>
      </c>
      <c r="D194" s="154" t="s">
        <v>1315</v>
      </c>
      <c r="E194" s="154"/>
      <c r="F194" s="154" t="str">
        <f t="array" ref="F194">XLOOKUP(Cover!$D$12,$P$1:$X$1,$P194:$X194)</f>
        <v>Recommended</v>
      </c>
      <c r="G194" s="154" t="s">
        <v>6370</v>
      </c>
      <c r="H194" s="154" t="s">
        <v>6371</v>
      </c>
      <c r="I194" s="154" t="s">
        <v>6372</v>
      </c>
      <c r="J194" s="154" t="s">
        <v>6022</v>
      </c>
      <c r="K194" s="154"/>
      <c r="L194" s="154" t="s">
        <v>759</v>
      </c>
      <c r="M194" s="247" t="s">
        <v>516</v>
      </c>
      <c r="N194" s="247" t="s">
        <v>5876</v>
      </c>
      <c r="O194" s="240" t="str">
        <f t="shared" si="1"/>
        <v/>
      </c>
      <c r="P194" s="154" t="s">
        <v>66</v>
      </c>
      <c r="Q194" s="154" t="s">
        <v>66</v>
      </c>
      <c r="R194" s="154" t="s">
        <v>66</v>
      </c>
      <c r="S194" s="154" t="s">
        <v>64</v>
      </c>
      <c r="T194" s="154" t="s">
        <v>64</v>
      </c>
      <c r="U194" s="154" t="s">
        <v>64</v>
      </c>
      <c r="V194" s="154" t="s">
        <v>66</v>
      </c>
      <c r="W194" s="154" t="s">
        <v>64</v>
      </c>
      <c r="X194" s="154" t="s">
        <v>64</v>
      </c>
      <c r="Y194" s="154"/>
      <c r="Z194" s="242" t="b">
        <f t="shared" si="2"/>
        <v>1</v>
      </c>
      <c r="AA194" s="154" t="s">
        <v>391</v>
      </c>
      <c r="AB194" s="242" t="b">
        <f t="shared" si="3"/>
        <v>0</v>
      </c>
      <c r="AC194" s="154"/>
      <c r="AD194" s="242" t="b">
        <f t="shared" si="4"/>
        <v>0</v>
      </c>
      <c r="AE194" s="154" t="s">
        <v>1016</v>
      </c>
      <c r="AF194" s="242" t="str">
        <f>IF(AE194="","N/A",INDIRECT("MTR!"&amp;ADDRESS(MATCH(LEFT(AE194,9),MTR!C:C,0),COLUMN(J194)),TRUE) &amp; "")</f>
        <v>Partially Complies</v>
      </c>
      <c r="AG194" s="157" t="str">
        <f t="shared" si="5"/>
        <v/>
      </c>
      <c r="AH194" s="170"/>
      <c r="AI194" s="152"/>
      <c r="AJ194" s="152"/>
      <c r="AK194" s="152"/>
      <c r="AL194" s="152"/>
      <c r="AM194" s="152"/>
      <c r="AN194" s="152"/>
      <c r="AO194" s="152"/>
      <c r="AP194" s="152"/>
      <c r="AQ194" s="152"/>
      <c r="AR194" s="152"/>
    </row>
    <row r="195" ht="12.75" customHeight="1">
      <c r="A195" s="244" t="s">
        <v>5158</v>
      </c>
      <c r="B195" s="244" t="s">
        <v>5725</v>
      </c>
      <c r="C195" s="244" t="s">
        <v>6373</v>
      </c>
      <c r="D195" s="154" t="s">
        <v>1315</v>
      </c>
      <c r="E195" s="154"/>
      <c r="F195" s="154" t="str">
        <f t="array" ref="F195">XLOOKUP(Cover!$D$12,$P$1:$X$1,$P195:$X195)</f>
        <v>Information</v>
      </c>
      <c r="G195" s="154" t="s">
        <v>6374</v>
      </c>
      <c r="H195" s="154" t="s">
        <v>6016</v>
      </c>
      <c r="I195" s="154" t="s">
        <v>6375</v>
      </c>
      <c r="J195" s="154" t="s">
        <v>6022</v>
      </c>
      <c r="K195" s="154"/>
      <c r="L195" s="154" t="s">
        <v>759</v>
      </c>
      <c r="M195" s="247" t="s">
        <v>516</v>
      </c>
      <c r="N195" s="247" t="s">
        <v>5876</v>
      </c>
      <c r="O195" s="240" t="str">
        <f t="shared" si="1"/>
        <v/>
      </c>
      <c r="P195" s="154" t="s">
        <v>66</v>
      </c>
      <c r="Q195" s="154" t="s">
        <v>66</v>
      </c>
      <c r="R195" s="154" t="s">
        <v>66</v>
      </c>
      <c r="S195" s="154" t="s">
        <v>66</v>
      </c>
      <c r="T195" s="154" t="s">
        <v>66</v>
      </c>
      <c r="U195" s="154" t="s">
        <v>66</v>
      </c>
      <c r="V195" s="154" t="s">
        <v>66</v>
      </c>
      <c r="W195" s="154" t="s">
        <v>66</v>
      </c>
      <c r="X195" s="154" t="s">
        <v>66</v>
      </c>
      <c r="Y195" s="154"/>
      <c r="Z195" s="242" t="b">
        <f t="shared" si="2"/>
        <v>1</v>
      </c>
      <c r="AA195" s="154" t="s">
        <v>391</v>
      </c>
      <c r="AB195" s="242" t="b">
        <f t="shared" si="3"/>
        <v>0</v>
      </c>
      <c r="AC195" s="154"/>
      <c r="AD195" s="242" t="b">
        <f t="shared" si="4"/>
        <v>0</v>
      </c>
      <c r="AE195" s="154" t="s">
        <v>1016</v>
      </c>
      <c r="AF195" s="242" t="str">
        <f>IF(AE195="","N/A",INDIRECT("MTR!"&amp;ADDRESS(MATCH(LEFT(AE195,9),MTR!C:C,0),COLUMN(J195)),TRUE) &amp; "")</f>
        <v>Partially Complies</v>
      </c>
      <c r="AG195" s="157" t="str">
        <f t="shared" si="5"/>
        <v/>
      </c>
      <c r="AH195" s="170"/>
      <c r="AI195" s="152"/>
      <c r="AJ195" s="152"/>
      <c r="AK195" s="152"/>
      <c r="AL195" s="152"/>
      <c r="AM195" s="152"/>
      <c r="AN195" s="152"/>
      <c r="AO195" s="152"/>
      <c r="AP195" s="152"/>
      <c r="AQ195" s="152"/>
      <c r="AR195" s="152"/>
    </row>
    <row r="196" ht="12.75" customHeight="1">
      <c r="A196" s="244" t="s">
        <v>5158</v>
      </c>
      <c r="B196" s="244" t="s">
        <v>5725</v>
      </c>
      <c r="C196" s="244" t="s">
        <v>6376</v>
      </c>
      <c r="D196" s="154" t="s">
        <v>1315</v>
      </c>
      <c r="E196" s="154"/>
      <c r="F196" s="154" t="str">
        <f t="array" ref="F196">XLOOKUP(Cover!$D$12,$P$1:$X$1,$P196:$X196)</f>
        <v>Information</v>
      </c>
      <c r="G196" s="154" t="s">
        <v>6377</v>
      </c>
      <c r="H196" s="154" t="s">
        <v>6025</v>
      </c>
      <c r="I196" s="154" t="s">
        <v>6378</v>
      </c>
      <c r="J196" s="154" t="s">
        <v>6022</v>
      </c>
      <c r="K196" s="154"/>
      <c r="L196" s="154" t="s">
        <v>759</v>
      </c>
      <c r="M196" s="247" t="s">
        <v>516</v>
      </c>
      <c r="N196" s="247" t="s">
        <v>5876</v>
      </c>
      <c r="O196" s="240" t="str">
        <f t="shared" si="1"/>
        <v/>
      </c>
      <c r="P196" s="154" t="s">
        <v>66</v>
      </c>
      <c r="Q196" s="154" t="s">
        <v>66</v>
      </c>
      <c r="R196" s="154" t="s">
        <v>66</v>
      </c>
      <c r="S196" s="154" t="s">
        <v>66</v>
      </c>
      <c r="T196" s="154" t="s">
        <v>66</v>
      </c>
      <c r="U196" s="154" t="s">
        <v>66</v>
      </c>
      <c r="V196" s="154" t="s">
        <v>66</v>
      </c>
      <c r="W196" s="154" t="s">
        <v>66</v>
      </c>
      <c r="X196" s="154" t="s">
        <v>66</v>
      </c>
      <c r="Y196" s="154"/>
      <c r="Z196" s="242" t="b">
        <f t="shared" si="2"/>
        <v>1</v>
      </c>
      <c r="AA196" s="154" t="s">
        <v>391</v>
      </c>
      <c r="AB196" s="242" t="b">
        <f t="shared" si="3"/>
        <v>0</v>
      </c>
      <c r="AC196" s="154"/>
      <c r="AD196" s="242" t="b">
        <f t="shared" si="4"/>
        <v>0</v>
      </c>
      <c r="AE196" s="154" t="s">
        <v>1016</v>
      </c>
      <c r="AF196" s="242" t="str">
        <f>IF(AE196="","N/A",INDIRECT("MTR!"&amp;ADDRESS(MATCH(LEFT(AE196,9),MTR!C:C,0),COLUMN(J196)),TRUE) &amp; "")</f>
        <v>Partially Complies</v>
      </c>
      <c r="AG196" s="157" t="str">
        <f t="shared" si="5"/>
        <v/>
      </c>
      <c r="AH196" s="170"/>
      <c r="AI196" s="152"/>
      <c r="AJ196" s="152"/>
      <c r="AK196" s="152"/>
      <c r="AL196" s="152"/>
      <c r="AM196" s="152"/>
      <c r="AN196" s="152"/>
      <c r="AO196" s="152"/>
      <c r="AP196" s="152"/>
      <c r="AQ196" s="152"/>
      <c r="AR196" s="152"/>
    </row>
    <row r="197" ht="12.75" customHeight="1">
      <c r="A197" s="244" t="s">
        <v>5158</v>
      </c>
      <c r="B197" s="244" t="s">
        <v>5725</v>
      </c>
      <c r="C197" s="244" t="s">
        <v>6379</v>
      </c>
      <c r="D197" s="154" t="s">
        <v>492</v>
      </c>
      <c r="E197" s="154"/>
      <c r="F197" s="154" t="str">
        <f t="array" ref="F197">XLOOKUP(Cover!$D$12,$P$1:$X$1,$P197:$X197)</f>
        <v>Information</v>
      </c>
      <c r="G197" s="154" t="s">
        <v>6380</v>
      </c>
      <c r="H197" s="154" t="s">
        <v>5796</v>
      </c>
      <c r="I197" s="154" t="s">
        <v>6381</v>
      </c>
      <c r="J197" s="154" t="s">
        <v>5827</v>
      </c>
      <c r="K197" s="154"/>
      <c r="L197" s="154" t="s">
        <v>759</v>
      </c>
      <c r="M197" s="247" t="s">
        <v>445</v>
      </c>
      <c r="N197" s="247" t="s">
        <v>5733</v>
      </c>
      <c r="O197" s="240" t="str">
        <f t="shared" si="1"/>
        <v/>
      </c>
      <c r="P197" s="154" t="s">
        <v>66</v>
      </c>
      <c r="Q197" s="154" t="s">
        <v>66</v>
      </c>
      <c r="R197" s="154" t="s">
        <v>66</v>
      </c>
      <c r="S197" s="154" t="s">
        <v>66</v>
      </c>
      <c r="T197" s="154" t="s">
        <v>66</v>
      </c>
      <c r="U197" s="154" t="s">
        <v>66</v>
      </c>
      <c r="V197" s="154" t="s">
        <v>66</v>
      </c>
      <c r="W197" s="154" t="s">
        <v>66</v>
      </c>
      <c r="X197" s="154" t="s">
        <v>66</v>
      </c>
      <c r="Y197" s="154"/>
      <c r="Z197" s="242" t="b">
        <f t="shared" si="2"/>
        <v>1</v>
      </c>
      <c r="AA197" s="154" t="s">
        <v>391</v>
      </c>
      <c r="AB197" s="242" t="b">
        <f t="shared" si="3"/>
        <v>0</v>
      </c>
      <c r="AC197" s="154"/>
      <c r="AD197" s="242" t="b">
        <f t="shared" si="4"/>
        <v>0</v>
      </c>
      <c r="AE197" s="154" t="s">
        <v>1016</v>
      </c>
      <c r="AF197" s="242" t="str">
        <f>IF(AE197="","N/A",INDIRECT("MTR!"&amp;ADDRESS(MATCH(LEFT(AE197,9),MTR!C:C,0),COLUMN(J197)),TRUE) &amp; "")</f>
        <v>Partially Complies</v>
      </c>
      <c r="AG197" s="157" t="str">
        <f t="shared" si="5"/>
        <v/>
      </c>
      <c r="AH197" s="170"/>
      <c r="AI197" s="152"/>
      <c r="AJ197" s="152"/>
      <c r="AK197" s="152"/>
      <c r="AL197" s="152"/>
      <c r="AM197" s="152"/>
      <c r="AN197" s="152"/>
      <c r="AO197" s="152"/>
      <c r="AP197" s="152"/>
      <c r="AQ197" s="152"/>
      <c r="AR197" s="152"/>
    </row>
    <row r="198" ht="12.75" customHeight="1">
      <c r="A198" s="244" t="s">
        <v>5158</v>
      </c>
      <c r="B198" s="244" t="s">
        <v>5725</v>
      </c>
      <c r="C198" s="244" t="s">
        <v>6382</v>
      </c>
      <c r="D198" s="154" t="s">
        <v>492</v>
      </c>
      <c r="E198" s="154"/>
      <c r="F198" s="154" t="str">
        <f t="array" ref="F198">XLOOKUP(Cover!$D$12,$P$1:$X$1,$P198:$X198)</f>
        <v>Information</v>
      </c>
      <c r="G198" s="154" t="s">
        <v>6383</v>
      </c>
      <c r="H198" s="154" t="s">
        <v>5796</v>
      </c>
      <c r="I198" s="154" t="s">
        <v>6381</v>
      </c>
      <c r="J198" s="154" t="s">
        <v>5827</v>
      </c>
      <c r="K198" s="154"/>
      <c r="L198" s="154" t="s">
        <v>759</v>
      </c>
      <c r="M198" s="247" t="s">
        <v>445</v>
      </c>
      <c r="N198" s="247" t="s">
        <v>5733</v>
      </c>
      <c r="O198" s="240" t="str">
        <f t="shared" si="1"/>
        <v/>
      </c>
      <c r="P198" s="154" t="s">
        <v>66</v>
      </c>
      <c r="Q198" s="154" t="s">
        <v>66</v>
      </c>
      <c r="R198" s="154" t="s">
        <v>66</v>
      </c>
      <c r="S198" s="154" t="s">
        <v>66</v>
      </c>
      <c r="T198" s="154" t="s">
        <v>66</v>
      </c>
      <c r="U198" s="154" t="s">
        <v>66</v>
      </c>
      <c r="V198" s="154" t="s">
        <v>66</v>
      </c>
      <c r="W198" s="154" t="s">
        <v>66</v>
      </c>
      <c r="X198" s="154" t="s">
        <v>66</v>
      </c>
      <c r="Y198" s="154"/>
      <c r="Z198" s="242" t="b">
        <f t="shared" si="2"/>
        <v>1</v>
      </c>
      <c r="AA198" s="154" t="s">
        <v>391</v>
      </c>
      <c r="AB198" s="242" t="b">
        <f t="shared" si="3"/>
        <v>0</v>
      </c>
      <c r="AC198" s="154"/>
      <c r="AD198" s="242" t="b">
        <f t="shared" si="4"/>
        <v>0</v>
      </c>
      <c r="AE198" s="154" t="s">
        <v>1016</v>
      </c>
      <c r="AF198" s="242" t="str">
        <f>IF(AE198="","N/A",INDIRECT("MTR!"&amp;ADDRESS(MATCH(LEFT(AE198,9),MTR!C:C,0),COLUMN(J198)),TRUE) &amp; "")</f>
        <v>Partially Complies</v>
      </c>
      <c r="AG198" s="157" t="str">
        <f t="shared" si="5"/>
        <v/>
      </c>
      <c r="AH198" s="170"/>
      <c r="AI198" s="152"/>
      <c r="AJ198" s="152"/>
      <c r="AK198" s="152"/>
      <c r="AL198" s="152"/>
      <c r="AM198" s="152"/>
      <c r="AN198" s="152"/>
      <c r="AO198" s="152"/>
      <c r="AP198" s="152"/>
      <c r="AQ198" s="152"/>
      <c r="AR198" s="152"/>
    </row>
    <row r="199" ht="12.75" customHeight="1">
      <c r="A199" s="244" t="s">
        <v>5158</v>
      </c>
      <c r="B199" s="244" t="s">
        <v>5725</v>
      </c>
      <c r="C199" s="244" t="s">
        <v>6384</v>
      </c>
      <c r="D199" s="154" t="s">
        <v>781</v>
      </c>
      <c r="E199" s="154"/>
      <c r="F199" s="154" t="str">
        <f t="array" ref="F199">XLOOKUP(Cover!$D$12,$P$1:$X$1,$P199:$X199)</f>
        <v>Information</v>
      </c>
      <c r="G199" s="154" t="s">
        <v>6385</v>
      </c>
      <c r="H199" s="154" t="s">
        <v>6386</v>
      </c>
      <c r="I199" s="154" t="s">
        <v>6387</v>
      </c>
      <c r="J199" s="154" t="s">
        <v>6027</v>
      </c>
      <c r="K199" s="154"/>
      <c r="L199" s="154" t="s">
        <v>759</v>
      </c>
      <c r="M199" s="247" t="s">
        <v>445</v>
      </c>
      <c r="N199" s="247" t="s">
        <v>5733</v>
      </c>
      <c r="O199" s="240" t="str">
        <f t="shared" si="1"/>
        <v/>
      </c>
      <c r="P199" s="154" t="s">
        <v>66</v>
      </c>
      <c r="Q199" s="154" t="s">
        <v>66</v>
      </c>
      <c r="R199" s="154" t="s">
        <v>66</v>
      </c>
      <c r="S199" s="154" t="s">
        <v>66</v>
      </c>
      <c r="T199" s="154" t="s">
        <v>66</v>
      </c>
      <c r="U199" s="154" t="s">
        <v>66</v>
      </c>
      <c r="V199" s="154" t="s">
        <v>66</v>
      </c>
      <c r="W199" s="154" t="s">
        <v>66</v>
      </c>
      <c r="X199" s="154" t="s">
        <v>66</v>
      </c>
      <c r="Y199" s="154"/>
      <c r="Z199" s="242" t="b">
        <f t="shared" si="2"/>
        <v>1</v>
      </c>
      <c r="AA199" s="154" t="s">
        <v>391</v>
      </c>
      <c r="AB199" s="242" t="b">
        <f t="shared" si="3"/>
        <v>0</v>
      </c>
      <c r="AC199" s="154"/>
      <c r="AD199" s="242" t="b">
        <f t="shared" si="4"/>
        <v>0</v>
      </c>
      <c r="AE199" s="154" t="s">
        <v>1016</v>
      </c>
      <c r="AF199" s="242" t="str">
        <f>IF(AE199="","N/A",INDIRECT("MTR!"&amp;ADDRESS(MATCH(LEFT(AE199,9),MTR!C:C,0),COLUMN(J199)),TRUE) &amp; "")</f>
        <v>Partially Complies</v>
      </c>
      <c r="AG199" s="157" t="str">
        <f t="shared" si="5"/>
        <v/>
      </c>
      <c r="AH199" s="170"/>
      <c r="AI199" s="152"/>
      <c r="AJ199" s="152"/>
      <c r="AK199" s="152"/>
      <c r="AL199" s="152"/>
      <c r="AM199" s="152"/>
      <c r="AN199" s="152"/>
      <c r="AO199" s="152"/>
      <c r="AP199" s="152"/>
      <c r="AQ199" s="152"/>
      <c r="AR199" s="152"/>
    </row>
    <row r="200" ht="12.75" customHeight="1">
      <c r="A200" s="244" t="s">
        <v>5158</v>
      </c>
      <c r="B200" s="244" t="s">
        <v>5725</v>
      </c>
      <c r="C200" s="244" t="s">
        <v>6388</v>
      </c>
      <c r="D200" s="154" t="s">
        <v>492</v>
      </c>
      <c r="E200" s="154"/>
      <c r="F200" s="154" t="str">
        <f t="array" ref="F200">XLOOKUP(Cover!$D$12,$P$1:$X$1,$P200:$X200)</f>
        <v>Mandatory</v>
      </c>
      <c r="G200" s="154" t="s">
        <v>6389</v>
      </c>
      <c r="H200" s="154" t="s">
        <v>6390</v>
      </c>
      <c r="I200" s="154" t="s">
        <v>6391</v>
      </c>
      <c r="J200" s="154" t="s">
        <v>5982</v>
      </c>
      <c r="K200" s="154" t="s">
        <v>1018</v>
      </c>
      <c r="L200" s="154" t="s">
        <v>759</v>
      </c>
      <c r="M200" s="247" t="s">
        <v>445</v>
      </c>
      <c r="N200" s="247" t="s">
        <v>5733</v>
      </c>
      <c r="O200" s="240" t="str">
        <f t="shared" si="1"/>
        <v/>
      </c>
      <c r="P200" s="154" t="s">
        <v>66</v>
      </c>
      <c r="Q200" s="154" t="s">
        <v>66</v>
      </c>
      <c r="R200" s="154" t="s">
        <v>66</v>
      </c>
      <c r="S200" s="154" t="s">
        <v>60</v>
      </c>
      <c r="T200" s="154" t="s">
        <v>60</v>
      </c>
      <c r="U200" s="154" t="s">
        <v>60</v>
      </c>
      <c r="V200" s="154" t="s">
        <v>66</v>
      </c>
      <c r="W200" s="154" t="s">
        <v>60</v>
      </c>
      <c r="X200" s="154" t="s">
        <v>60</v>
      </c>
      <c r="Y200" s="154"/>
      <c r="Z200" s="242" t="b">
        <f t="shared" si="2"/>
        <v>1</v>
      </c>
      <c r="AA200" s="154" t="s">
        <v>391</v>
      </c>
      <c r="AB200" s="242" t="b">
        <f t="shared" si="3"/>
        <v>0</v>
      </c>
      <c r="AC200" s="154"/>
      <c r="AD200" s="242" t="b">
        <f t="shared" si="4"/>
        <v>0</v>
      </c>
      <c r="AE200" s="154" t="s">
        <v>1016</v>
      </c>
      <c r="AF200" s="242" t="str">
        <f>IF(AE200="","N/A",INDIRECT("MTR!"&amp;ADDRESS(MATCH(LEFT(AE200,9),MTR!C:C,0),COLUMN(J200)),TRUE) &amp; "")</f>
        <v>Partially Complies</v>
      </c>
      <c r="AG200" s="157" t="str">
        <f t="shared" si="5"/>
        <v/>
      </c>
      <c r="AH200" s="170"/>
      <c r="AI200" s="152"/>
      <c r="AJ200" s="152"/>
      <c r="AK200" s="152"/>
      <c r="AL200" s="152"/>
      <c r="AM200" s="152"/>
      <c r="AN200" s="152"/>
      <c r="AO200" s="152"/>
      <c r="AP200" s="152"/>
      <c r="AQ200" s="152"/>
      <c r="AR200" s="152"/>
    </row>
    <row r="201" ht="12.75" customHeight="1">
      <c r="A201" s="244" t="s">
        <v>5158</v>
      </c>
      <c r="B201" s="244" t="s">
        <v>5725</v>
      </c>
      <c r="C201" s="244" t="s">
        <v>6392</v>
      </c>
      <c r="D201" s="154" t="s">
        <v>1120</v>
      </c>
      <c r="E201" s="154"/>
      <c r="F201" s="154" t="str">
        <f t="array" ref="F201">XLOOKUP(Cover!$D$12,$P$1:$X$1,$P201:$X201)</f>
        <v>Information</v>
      </c>
      <c r="G201" s="154" t="s">
        <v>6393</v>
      </c>
      <c r="H201" s="154" t="s">
        <v>6390</v>
      </c>
      <c r="I201" s="154" t="s">
        <v>6391</v>
      </c>
      <c r="J201" s="154" t="s">
        <v>5982</v>
      </c>
      <c r="K201" s="154"/>
      <c r="L201" s="154" t="s">
        <v>759</v>
      </c>
      <c r="M201" s="247" t="s">
        <v>445</v>
      </c>
      <c r="N201" s="247" t="s">
        <v>5733</v>
      </c>
      <c r="O201" s="240" t="str">
        <f t="shared" si="1"/>
        <v/>
      </c>
      <c r="P201" s="154" t="s">
        <v>66</v>
      </c>
      <c r="Q201" s="154" t="s">
        <v>66</v>
      </c>
      <c r="R201" s="154" t="s">
        <v>66</v>
      </c>
      <c r="S201" s="154" t="s">
        <v>66</v>
      </c>
      <c r="T201" s="154" t="s">
        <v>66</v>
      </c>
      <c r="U201" s="154" t="s">
        <v>66</v>
      </c>
      <c r="V201" s="154" t="s">
        <v>66</v>
      </c>
      <c r="W201" s="154" t="s">
        <v>66</v>
      </c>
      <c r="X201" s="154" t="s">
        <v>66</v>
      </c>
      <c r="Y201" s="154"/>
      <c r="Z201" s="242" t="b">
        <f t="shared" si="2"/>
        <v>1</v>
      </c>
      <c r="AA201" s="154" t="s">
        <v>391</v>
      </c>
      <c r="AB201" s="242" t="b">
        <f t="shared" si="3"/>
        <v>0</v>
      </c>
      <c r="AC201" s="154"/>
      <c r="AD201" s="242" t="b">
        <f t="shared" si="4"/>
        <v>0</v>
      </c>
      <c r="AE201" s="154" t="s">
        <v>1016</v>
      </c>
      <c r="AF201" s="242" t="str">
        <f>IF(AE201="","N/A",INDIRECT("MTR!"&amp;ADDRESS(MATCH(LEFT(AE201,9),MTR!C:C,0),COLUMN(J201)),TRUE) &amp; "")</f>
        <v>Partially Complies</v>
      </c>
      <c r="AG201" s="157" t="str">
        <f t="shared" si="5"/>
        <v/>
      </c>
      <c r="AH201" s="170"/>
      <c r="AI201" s="152"/>
      <c r="AJ201" s="152"/>
      <c r="AK201" s="152"/>
      <c r="AL201" s="152"/>
      <c r="AM201" s="152"/>
      <c r="AN201" s="152"/>
      <c r="AO201" s="152"/>
      <c r="AP201" s="152"/>
      <c r="AQ201" s="152"/>
      <c r="AR201" s="152"/>
    </row>
    <row r="202" ht="12.75" customHeight="1">
      <c r="A202" s="244" t="s">
        <v>5158</v>
      </c>
      <c r="B202" s="244" t="s">
        <v>5725</v>
      </c>
      <c r="C202" s="244" t="s">
        <v>6394</v>
      </c>
      <c r="D202" s="154" t="s">
        <v>967</v>
      </c>
      <c r="E202" s="154"/>
      <c r="F202" s="154" t="str">
        <f t="array" ref="F202">XLOOKUP(Cover!$D$12,$P$1:$X$1,$P202:$X202)</f>
        <v>Information</v>
      </c>
      <c r="G202" s="154" t="s">
        <v>6395</v>
      </c>
      <c r="H202" s="154" t="s">
        <v>6085</v>
      </c>
      <c r="I202" s="154" t="s">
        <v>6396</v>
      </c>
      <c r="J202" s="154" t="s">
        <v>5919</v>
      </c>
      <c r="K202" s="154"/>
      <c r="L202" s="154" t="s">
        <v>759</v>
      </c>
      <c r="M202" s="247" t="s">
        <v>445</v>
      </c>
      <c r="N202" s="247" t="s">
        <v>5733</v>
      </c>
      <c r="O202" s="240" t="str">
        <f t="shared" si="1"/>
        <v/>
      </c>
      <c r="P202" s="154" t="s">
        <v>66</v>
      </c>
      <c r="Q202" s="154" t="s">
        <v>66</v>
      </c>
      <c r="R202" s="154" t="s">
        <v>66</v>
      </c>
      <c r="S202" s="154" t="s">
        <v>66</v>
      </c>
      <c r="T202" s="154" t="s">
        <v>66</v>
      </c>
      <c r="U202" s="154" t="s">
        <v>66</v>
      </c>
      <c r="V202" s="154" t="s">
        <v>66</v>
      </c>
      <c r="W202" s="154" t="s">
        <v>66</v>
      </c>
      <c r="X202" s="154" t="s">
        <v>66</v>
      </c>
      <c r="Y202" s="154"/>
      <c r="Z202" s="242" t="b">
        <f t="shared" si="2"/>
        <v>1</v>
      </c>
      <c r="AA202" s="154" t="s">
        <v>391</v>
      </c>
      <c r="AB202" s="242" t="b">
        <f t="shared" si="3"/>
        <v>0</v>
      </c>
      <c r="AC202" s="154"/>
      <c r="AD202" s="242" t="b">
        <f t="shared" si="4"/>
        <v>0</v>
      </c>
      <c r="AE202" s="154" t="s">
        <v>1016</v>
      </c>
      <c r="AF202" s="242" t="str">
        <f>IF(AE202="","N/A",INDIRECT("MTR!"&amp;ADDRESS(MATCH(LEFT(AE202,9),MTR!C:C,0),COLUMN(J202)),TRUE) &amp; "")</f>
        <v>Partially Complies</v>
      </c>
      <c r="AG202" s="157" t="str">
        <f t="shared" si="5"/>
        <v/>
      </c>
      <c r="AH202" s="170"/>
      <c r="AI202" s="152"/>
      <c r="AJ202" s="152"/>
      <c r="AK202" s="152"/>
      <c r="AL202" s="152"/>
      <c r="AM202" s="152"/>
      <c r="AN202" s="152"/>
      <c r="AO202" s="152"/>
      <c r="AP202" s="152"/>
      <c r="AQ202" s="152"/>
      <c r="AR202" s="152"/>
    </row>
    <row r="203" ht="12.75" customHeight="1">
      <c r="A203" s="244" t="s">
        <v>5158</v>
      </c>
      <c r="B203" s="244" t="s">
        <v>5725</v>
      </c>
      <c r="C203" s="244" t="s">
        <v>6397</v>
      </c>
      <c r="D203" s="154" t="s">
        <v>967</v>
      </c>
      <c r="E203" s="154"/>
      <c r="F203" s="154" t="str">
        <f t="array" ref="F203">XLOOKUP(Cover!$D$12,$P$1:$X$1,$P203:$X203)</f>
        <v>Information</v>
      </c>
      <c r="G203" s="154" t="s">
        <v>6398</v>
      </c>
      <c r="H203" s="154" t="s">
        <v>6085</v>
      </c>
      <c r="I203" s="154" t="s">
        <v>6396</v>
      </c>
      <c r="J203" s="154" t="s">
        <v>5919</v>
      </c>
      <c r="K203" s="154"/>
      <c r="L203" s="154" t="s">
        <v>759</v>
      </c>
      <c r="M203" s="247" t="s">
        <v>445</v>
      </c>
      <c r="N203" s="247" t="s">
        <v>5733</v>
      </c>
      <c r="O203" s="240" t="str">
        <f t="shared" si="1"/>
        <v/>
      </c>
      <c r="P203" s="154" t="s">
        <v>66</v>
      </c>
      <c r="Q203" s="154" t="s">
        <v>66</v>
      </c>
      <c r="R203" s="154" t="s">
        <v>66</v>
      </c>
      <c r="S203" s="154" t="s">
        <v>66</v>
      </c>
      <c r="T203" s="154" t="s">
        <v>66</v>
      </c>
      <c r="U203" s="154" t="s">
        <v>66</v>
      </c>
      <c r="V203" s="154" t="s">
        <v>66</v>
      </c>
      <c r="W203" s="154" t="s">
        <v>66</v>
      </c>
      <c r="X203" s="154" t="s">
        <v>66</v>
      </c>
      <c r="Y203" s="154"/>
      <c r="Z203" s="242" t="b">
        <f t="shared" si="2"/>
        <v>1</v>
      </c>
      <c r="AA203" s="154" t="s">
        <v>391</v>
      </c>
      <c r="AB203" s="242" t="b">
        <f t="shared" si="3"/>
        <v>0</v>
      </c>
      <c r="AC203" s="154"/>
      <c r="AD203" s="242" t="b">
        <f t="shared" si="4"/>
        <v>0</v>
      </c>
      <c r="AE203" s="154" t="s">
        <v>1016</v>
      </c>
      <c r="AF203" s="242" t="str">
        <f>IF(AE203="","N/A",INDIRECT("MTR!"&amp;ADDRESS(MATCH(LEFT(AE203,9),MTR!C:C,0),COLUMN(J203)),TRUE) &amp; "")</f>
        <v>Partially Complies</v>
      </c>
      <c r="AG203" s="157" t="str">
        <f t="shared" si="5"/>
        <v/>
      </c>
      <c r="AH203" s="170"/>
      <c r="AI203" s="152"/>
      <c r="AJ203" s="152"/>
      <c r="AK203" s="152"/>
      <c r="AL203" s="152"/>
      <c r="AM203" s="152"/>
      <c r="AN203" s="152"/>
      <c r="AO203" s="152"/>
      <c r="AP203" s="152"/>
      <c r="AQ203" s="152"/>
      <c r="AR203" s="152"/>
    </row>
    <row r="204" ht="12.75" customHeight="1">
      <c r="A204" s="244" t="s">
        <v>5158</v>
      </c>
      <c r="B204" s="244" t="s">
        <v>5725</v>
      </c>
      <c r="C204" s="244" t="s">
        <v>6399</v>
      </c>
      <c r="D204" s="154" t="s">
        <v>411</v>
      </c>
      <c r="E204" s="154"/>
      <c r="F204" s="154" t="str">
        <f t="array" ref="F204">XLOOKUP(Cover!$D$12,$P$1:$X$1,$P204:$X204)</f>
        <v>Mandatory</v>
      </c>
      <c r="G204" s="154" t="s">
        <v>6400</v>
      </c>
      <c r="H204" s="154" t="s">
        <v>6401</v>
      </c>
      <c r="I204" s="154" t="s">
        <v>6402</v>
      </c>
      <c r="J204" s="154" t="s">
        <v>5779</v>
      </c>
      <c r="K204" s="154" t="s">
        <v>1018</v>
      </c>
      <c r="L204" s="154" t="s">
        <v>759</v>
      </c>
      <c r="M204" s="247" t="s">
        <v>445</v>
      </c>
      <c r="N204" s="247" t="s">
        <v>5733</v>
      </c>
      <c r="O204" s="240" t="str">
        <f t="shared" si="1"/>
        <v/>
      </c>
      <c r="P204" s="154" t="s">
        <v>66</v>
      </c>
      <c r="Q204" s="154" t="s">
        <v>66</v>
      </c>
      <c r="R204" s="154" t="s">
        <v>66</v>
      </c>
      <c r="S204" s="154" t="s">
        <v>60</v>
      </c>
      <c r="T204" s="154" t="s">
        <v>60</v>
      </c>
      <c r="U204" s="154" t="s">
        <v>60</v>
      </c>
      <c r="V204" s="154" t="s">
        <v>66</v>
      </c>
      <c r="W204" s="154" t="s">
        <v>60</v>
      </c>
      <c r="X204" s="154" t="s">
        <v>60</v>
      </c>
      <c r="Y204" s="154"/>
      <c r="Z204" s="242" t="b">
        <f t="shared" si="2"/>
        <v>1</v>
      </c>
      <c r="AA204" s="154" t="s">
        <v>391</v>
      </c>
      <c r="AB204" s="242" t="b">
        <f t="shared" si="3"/>
        <v>0</v>
      </c>
      <c r="AC204" s="154"/>
      <c r="AD204" s="242" t="b">
        <f t="shared" si="4"/>
        <v>0</v>
      </c>
      <c r="AE204" s="154" t="s">
        <v>1016</v>
      </c>
      <c r="AF204" s="242" t="str">
        <f>IF(AE204="","N/A",INDIRECT("MTR!"&amp;ADDRESS(MATCH(LEFT(AE204,9),MTR!C:C,0),COLUMN(J204)),TRUE) &amp; "")</f>
        <v>Partially Complies</v>
      </c>
      <c r="AG204" s="157" t="str">
        <f t="shared" si="5"/>
        <v/>
      </c>
      <c r="AH204" s="170"/>
      <c r="AI204" s="152"/>
      <c r="AJ204" s="152"/>
      <c r="AK204" s="152"/>
      <c r="AL204" s="152"/>
      <c r="AM204" s="152"/>
      <c r="AN204" s="152"/>
      <c r="AO204" s="152"/>
      <c r="AP204" s="152"/>
      <c r="AQ204" s="152"/>
      <c r="AR204" s="152"/>
    </row>
    <row r="205" ht="12.75" customHeight="1">
      <c r="A205" s="244" t="s">
        <v>5158</v>
      </c>
      <c r="B205" s="244" t="s">
        <v>5725</v>
      </c>
      <c r="C205" s="245" t="s">
        <v>6403</v>
      </c>
      <c r="D205" s="155" t="s">
        <v>542</v>
      </c>
      <c r="E205" s="154" t="s">
        <v>92</v>
      </c>
      <c r="F205" s="154" t="str">
        <f t="array" ref="F205">XLOOKUP(Cover!$D$12,$P$1:$X$1,$P205:$X205)</f>
        <v>Information</v>
      </c>
      <c r="G205" s="154" t="s">
        <v>6404</v>
      </c>
      <c r="H205" s="154" t="s">
        <v>6405</v>
      </c>
      <c r="I205" s="154" t="s">
        <v>6406</v>
      </c>
      <c r="J205" s="154" t="s">
        <v>6064</v>
      </c>
      <c r="K205" s="154"/>
      <c r="L205" s="154" t="s">
        <v>759</v>
      </c>
      <c r="M205" s="247" t="s">
        <v>445</v>
      </c>
      <c r="N205" s="247" t="s">
        <v>5733</v>
      </c>
      <c r="O205" s="240" t="str">
        <f t="shared" si="1"/>
        <v/>
      </c>
      <c r="P205" s="154" t="s">
        <v>66</v>
      </c>
      <c r="Q205" s="154" t="s">
        <v>66</v>
      </c>
      <c r="R205" s="154" t="s">
        <v>66</v>
      </c>
      <c r="S205" s="154" t="s">
        <v>66</v>
      </c>
      <c r="T205" s="154" t="s">
        <v>66</v>
      </c>
      <c r="U205" s="154" t="s">
        <v>66</v>
      </c>
      <c r="V205" s="154" t="s">
        <v>66</v>
      </c>
      <c r="W205" s="154" t="s">
        <v>66</v>
      </c>
      <c r="X205" s="154" t="s">
        <v>66</v>
      </c>
      <c r="Y205" s="154"/>
      <c r="Z205" s="242" t="b">
        <f t="shared" si="2"/>
        <v>1</v>
      </c>
      <c r="AA205" s="154" t="s">
        <v>391</v>
      </c>
      <c r="AB205" s="242" t="b">
        <f t="shared" si="3"/>
        <v>0</v>
      </c>
      <c r="AC205" s="154"/>
      <c r="AD205" s="242" t="b">
        <f t="shared" si="4"/>
        <v>0</v>
      </c>
      <c r="AE205" s="154" t="s">
        <v>1016</v>
      </c>
      <c r="AF205" s="242" t="str">
        <f>IF(AE205="","N/A",INDIRECT("MTR!"&amp;ADDRESS(MATCH(LEFT(AE205,9),MTR!C:C,0),COLUMN(J205)),TRUE) &amp; "")</f>
        <v>Partially Complies</v>
      </c>
      <c r="AG205" s="157" t="str">
        <f t="shared" si="5"/>
        <v/>
      </c>
      <c r="AH205" s="170"/>
      <c r="AI205" s="152"/>
      <c r="AJ205" s="152"/>
      <c r="AK205" s="152"/>
      <c r="AL205" s="152"/>
      <c r="AM205" s="152"/>
      <c r="AN205" s="152"/>
      <c r="AO205" s="152"/>
      <c r="AP205" s="152"/>
      <c r="AQ205" s="152"/>
      <c r="AR205" s="152"/>
    </row>
    <row r="206" ht="12.75" customHeight="1">
      <c r="A206" s="244" t="s">
        <v>5158</v>
      </c>
      <c r="B206" s="244" t="s">
        <v>5725</v>
      </c>
      <c r="C206" s="244" t="s">
        <v>6407</v>
      </c>
      <c r="D206" s="154" t="s">
        <v>492</v>
      </c>
      <c r="E206" s="154"/>
      <c r="F206" s="154" t="str">
        <f t="array" ref="F206">XLOOKUP(Cover!$D$12,$P$1:$X$1,$P206:$X206)</f>
        <v>Mandatory</v>
      </c>
      <c r="G206" s="154" t="s">
        <v>6408</v>
      </c>
      <c r="H206" s="154" t="s">
        <v>6405</v>
      </c>
      <c r="I206" s="154" t="s">
        <v>6409</v>
      </c>
      <c r="J206" s="154" t="s">
        <v>5732</v>
      </c>
      <c r="K206" s="154" t="s">
        <v>1018</v>
      </c>
      <c r="L206" s="154" t="s">
        <v>759</v>
      </c>
      <c r="M206" s="247" t="s">
        <v>445</v>
      </c>
      <c r="N206" s="247" t="s">
        <v>5733</v>
      </c>
      <c r="O206" s="240" t="str">
        <f t="shared" si="1"/>
        <v/>
      </c>
      <c r="P206" s="154" t="s">
        <v>66</v>
      </c>
      <c r="Q206" s="154" t="s">
        <v>66</v>
      </c>
      <c r="R206" s="154" t="s">
        <v>66</v>
      </c>
      <c r="S206" s="154" t="s">
        <v>60</v>
      </c>
      <c r="T206" s="154" t="s">
        <v>60</v>
      </c>
      <c r="U206" s="154" t="s">
        <v>60</v>
      </c>
      <c r="V206" s="154" t="s">
        <v>66</v>
      </c>
      <c r="W206" s="154" t="s">
        <v>60</v>
      </c>
      <c r="X206" s="154" t="s">
        <v>60</v>
      </c>
      <c r="Y206" s="154"/>
      <c r="Z206" s="242" t="b">
        <f t="shared" si="2"/>
        <v>1</v>
      </c>
      <c r="AA206" s="154" t="s">
        <v>391</v>
      </c>
      <c r="AB206" s="242" t="b">
        <f t="shared" si="3"/>
        <v>0</v>
      </c>
      <c r="AC206" s="154"/>
      <c r="AD206" s="242" t="b">
        <f t="shared" si="4"/>
        <v>0</v>
      </c>
      <c r="AE206" s="154" t="s">
        <v>1016</v>
      </c>
      <c r="AF206" s="242" t="str">
        <f>IF(AE206="","N/A",INDIRECT("MTR!"&amp;ADDRESS(MATCH(LEFT(AE206,9),MTR!C:C,0),COLUMN(J206)),TRUE) &amp; "")</f>
        <v>Partially Complies</v>
      </c>
      <c r="AG206" s="157" t="str">
        <f t="shared" si="5"/>
        <v/>
      </c>
      <c r="AH206" s="170"/>
      <c r="AI206" s="152"/>
      <c r="AJ206" s="152"/>
      <c r="AK206" s="152"/>
      <c r="AL206" s="152"/>
      <c r="AM206" s="152"/>
      <c r="AN206" s="152"/>
      <c r="AO206" s="152"/>
      <c r="AP206" s="152"/>
      <c r="AQ206" s="152"/>
      <c r="AR206" s="152"/>
    </row>
    <row r="207" ht="12.75" customHeight="1">
      <c r="A207" s="244" t="s">
        <v>5158</v>
      </c>
      <c r="B207" s="244" t="s">
        <v>5725</v>
      </c>
      <c r="C207" s="244" t="s">
        <v>6410</v>
      </c>
      <c r="D207" s="154" t="s">
        <v>1120</v>
      </c>
      <c r="E207" s="154"/>
      <c r="F207" s="154" t="str">
        <f t="array" ref="F207">XLOOKUP(Cover!$D$12,$P$1:$X$1,$P207:$X207)</f>
        <v>Information</v>
      </c>
      <c r="G207" s="154" t="s">
        <v>6411</v>
      </c>
      <c r="H207" s="154" t="s">
        <v>6405</v>
      </c>
      <c r="I207" s="154" t="s">
        <v>6409</v>
      </c>
      <c r="J207" s="154" t="s">
        <v>5732</v>
      </c>
      <c r="K207" s="154"/>
      <c r="L207" s="154" t="s">
        <v>759</v>
      </c>
      <c r="M207" s="247" t="s">
        <v>445</v>
      </c>
      <c r="N207" s="247" t="s">
        <v>5733</v>
      </c>
      <c r="O207" s="240" t="str">
        <f t="shared" si="1"/>
        <v/>
      </c>
      <c r="P207" s="154" t="s">
        <v>66</v>
      </c>
      <c r="Q207" s="154" t="s">
        <v>66</v>
      </c>
      <c r="R207" s="154" t="s">
        <v>66</v>
      </c>
      <c r="S207" s="154" t="s">
        <v>66</v>
      </c>
      <c r="T207" s="154" t="s">
        <v>66</v>
      </c>
      <c r="U207" s="154" t="s">
        <v>66</v>
      </c>
      <c r="V207" s="154" t="s">
        <v>66</v>
      </c>
      <c r="W207" s="154" t="s">
        <v>66</v>
      </c>
      <c r="X207" s="154" t="s">
        <v>66</v>
      </c>
      <c r="Y207" s="154"/>
      <c r="Z207" s="242" t="b">
        <f t="shared" si="2"/>
        <v>1</v>
      </c>
      <c r="AA207" s="154" t="s">
        <v>391</v>
      </c>
      <c r="AB207" s="242" t="b">
        <f t="shared" si="3"/>
        <v>0</v>
      </c>
      <c r="AC207" s="154"/>
      <c r="AD207" s="242" t="b">
        <f t="shared" si="4"/>
        <v>0</v>
      </c>
      <c r="AE207" s="154" t="s">
        <v>1016</v>
      </c>
      <c r="AF207" s="242" t="str">
        <f>IF(AE207="","N/A",INDIRECT("MTR!"&amp;ADDRESS(MATCH(LEFT(AE207,9),MTR!C:C,0),COLUMN(J207)),TRUE) &amp; "")</f>
        <v>Partially Complies</v>
      </c>
      <c r="AG207" s="157" t="str">
        <f t="shared" si="5"/>
        <v/>
      </c>
      <c r="AH207" s="170"/>
      <c r="AI207" s="152"/>
      <c r="AJ207" s="152"/>
      <c r="AK207" s="152"/>
      <c r="AL207" s="152"/>
      <c r="AM207" s="152"/>
      <c r="AN207" s="152"/>
      <c r="AO207" s="152"/>
      <c r="AP207" s="152"/>
      <c r="AQ207" s="152"/>
      <c r="AR207" s="152"/>
    </row>
    <row r="208" ht="12.75" customHeight="1">
      <c r="A208" s="244" t="s">
        <v>5158</v>
      </c>
      <c r="B208" s="244" t="s">
        <v>5725</v>
      </c>
      <c r="C208" s="245" t="s">
        <v>6412</v>
      </c>
      <c r="D208" s="155" t="s">
        <v>542</v>
      </c>
      <c r="E208" s="154" t="s">
        <v>92</v>
      </c>
      <c r="F208" s="154" t="str">
        <f t="array" ref="F208">XLOOKUP(Cover!$D$12,$P$1:$X$1,$P208:$X208)</f>
        <v>Information</v>
      </c>
      <c r="G208" s="154" t="s">
        <v>6413</v>
      </c>
      <c r="H208" s="154" t="s">
        <v>6414</v>
      </c>
      <c r="I208" s="154" t="s">
        <v>6415</v>
      </c>
      <c r="J208" s="154" t="s">
        <v>6064</v>
      </c>
      <c r="K208" s="154"/>
      <c r="L208" s="154" t="s">
        <v>759</v>
      </c>
      <c r="M208" s="247" t="s">
        <v>516</v>
      </c>
      <c r="N208" s="247" t="s">
        <v>5876</v>
      </c>
      <c r="O208" s="240" t="str">
        <f t="shared" si="1"/>
        <v/>
      </c>
      <c r="P208" s="154" t="s">
        <v>66</v>
      </c>
      <c r="Q208" s="154" t="s">
        <v>66</v>
      </c>
      <c r="R208" s="154" t="s">
        <v>66</v>
      </c>
      <c r="S208" s="154" t="s">
        <v>66</v>
      </c>
      <c r="T208" s="154" t="s">
        <v>66</v>
      </c>
      <c r="U208" s="154" t="s">
        <v>66</v>
      </c>
      <c r="V208" s="154" t="s">
        <v>66</v>
      </c>
      <c r="W208" s="154" t="s">
        <v>66</v>
      </c>
      <c r="X208" s="154" t="s">
        <v>66</v>
      </c>
      <c r="Y208" s="154"/>
      <c r="Z208" s="242" t="b">
        <f t="shared" si="2"/>
        <v>1</v>
      </c>
      <c r="AA208" s="154" t="s">
        <v>391</v>
      </c>
      <c r="AB208" s="242" t="b">
        <f t="shared" si="3"/>
        <v>0</v>
      </c>
      <c r="AC208" s="154"/>
      <c r="AD208" s="242" t="b">
        <f t="shared" si="4"/>
        <v>0</v>
      </c>
      <c r="AE208" s="154" t="s">
        <v>1016</v>
      </c>
      <c r="AF208" s="242" t="str">
        <f>IF(AE208="","N/A",INDIRECT("MTR!"&amp;ADDRESS(MATCH(LEFT(AE208,9),MTR!C:C,0),COLUMN(J208)),TRUE) &amp; "")</f>
        <v>Partially Complies</v>
      </c>
      <c r="AG208" s="157" t="str">
        <f t="shared" si="5"/>
        <v/>
      </c>
      <c r="AH208" s="170"/>
      <c r="AI208" s="152"/>
      <c r="AJ208" s="152"/>
      <c r="AK208" s="152"/>
      <c r="AL208" s="152"/>
      <c r="AM208" s="152"/>
      <c r="AN208" s="152"/>
      <c r="AO208" s="152"/>
      <c r="AP208" s="152"/>
      <c r="AQ208" s="152"/>
      <c r="AR208" s="152"/>
    </row>
    <row r="209" ht="12.75" customHeight="1">
      <c r="A209" s="244" t="s">
        <v>5158</v>
      </c>
      <c r="B209" s="244" t="s">
        <v>5725</v>
      </c>
      <c r="C209" s="244" t="s">
        <v>6416</v>
      </c>
      <c r="D209" s="154" t="s">
        <v>492</v>
      </c>
      <c r="E209" s="154"/>
      <c r="F209" s="154" t="str">
        <f t="array" ref="F209">XLOOKUP(Cover!$D$12,$P$1:$X$1,$P209:$X209)</f>
        <v>Recommended</v>
      </c>
      <c r="G209" s="154" t="s">
        <v>6417</v>
      </c>
      <c r="H209" s="154" t="s">
        <v>6418</v>
      </c>
      <c r="I209" s="154" t="s">
        <v>6419</v>
      </c>
      <c r="J209" s="154" t="s">
        <v>5982</v>
      </c>
      <c r="K209" s="154"/>
      <c r="L209" s="154" t="s">
        <v>759</v>
      </c>
      <c r="M209" s="247" t="s">
        <v>445</v>
      </c>
      <c r="N209" s="247" t="s">
        <v>5733</v>
      </c>
      <c r="O209" s="240" t="str">
        <f t="shared" si="1"/>
        <v/>
      </c>
      <c r="P209" s="154" t="s">
        <v>66</v>
      </c>
      <c r="Q209" s="154" t="s">
        <v>66</v>
      </c>
      <c r="R209" s="154" t="s">
        <v>66</v>
      </c>
      <c r="S209" s="154" t="s">
        <v>64</v>
      </c>
      <c r="T209" s="154" t="s">
        <v>64</v>
      </c>
      <c r="U209" s="154" t="s">
        <v>64</v>
      </c>
      <c r="V209" s="154" t="s">
        <v>66</v>
      </c>
      <c r="W209" s="154" t="s">
        <v>64</v>
      </c>
      <c r="X209" s="154" t="s">
        <v>64</v>
      </c>
      <c r="Y209" s="154"/>
      <c r="Z209" s="242" t="b">
        <f t="shared" si="2"/>
        <v>1</v>
      </c>
      <c r="AA209" s="154" t="s">
        <v>391</v>
      </c>
      <c r="AB209" s="242" t="b">
        <f t="shared" si="3"/>
        <v>0</v>
      </c>
      <c r="AC209" s="154"/>
      <c r="AD209" s="242" t="b">
        <f t="shared" si="4"/>
        <v>0</v>
      </c>
      <c r="AE209" s="154" t="s">
        <v>1016</v>
      </c>
      <c r="AF209" s="242" t="str">
        <f>IF(AE209="","N/A",INDIRECT("MTR!"&amp;ADDRESS(MATCH(LEFT(AE209,9),MTR!C:C,0),COLUMN(J209)),TRUE) &amp; "")</f>
        <v>Partially Complies</v>
      </c>
      <c r="AG209" s="157" t="str">
        <f t="shared" si="5"/>
        <v/>
      </c>
      <c r="AH209" s="170"/>
      <c r="AI209" s="152"/>
      <c r="AJ209" s="152"/>
      <c r="AK209" s="152"/>
      <c r="AL209" s="152"/>
      <c r="AM209" s="152"/>
      <c r="AN209" s="152"/>
      <c r="AO209" s="152"/>
      <c r="AP209" s="152"/>
      <c r="AQ209" s="152"/>
      <c r="AR209" s="152"/>
    </row>
    <row r="210" ht="12.75" customHeight="1">
      <c r="A210" s="244" t="s">
        <v>5158</v>
      </c>
      <c r="B210" s="244" t="s">
        <v>5725</v>
      </c>
      <c r="C210" s="244" t="s">
        <v>6420</v>
      </c>
      <c r="D210" s="154" t="s">
        <v>492</v>
      </c>
      <c r="E210" s="154"/>
      <c r="F210" s="154" t="str">
        <f t="array" ref="F210">XLOOKUP(Cover!$D$12,$P$1:$X$1,$P210:$X210)</f>
        <v>Mandatory</v>
      </c>
      <c r="G210" s="154" t="s">
        <v>6421</v>
      </c>
      <c r="H210" s="154" t="s">
        <v>6422</v>
      </c>
      <c r="I210" s="154" t="s">
        <v>6423</v>
      </c>
      <c r="J210" s="154" t="s">
        <v>5779</v>
      </c>
      <c r="K210" s="154" t="s">
        <v>1018</v>
      </c>
      <c r="L210" s="154" t="s">
        <v>759</v>
      </c>
      <c r="M210" s="247" t="s">
        <v>445</v>
      </c>
      <c r="N210" s="247" t="s">
        <v>5733</v>
      </c>
      <c r="O210" s="240" t="str">
        <f t="shared" si="1"/>
        <v/>
      </c>
      <c r="P210" s="154" t="s">
        <v>66</v>
      </c>
      <c r="Q210" s="154" t="s">
        <v>66</v>
      </c>
      <c r="R210" s="154" t="s">
        <v>66</v>
      </c>
      <c r="S210" s="154" t="s">
        <v>60</v>
      </c>
      <c r="T210" s="154" t="s">
        <v>60</v>
      </c>
      <c r="U210" s="154" t="s">
        <v>60</v>
      </c>
      <c r="V210" s="154" t="s">
        <v>66</v>
      </c>
      <c r="W210" s="154" t="s">
        <v>60</v>
      </c>
      <c r="X210" s="154" t="s">
        <v>60</v>
      </c>
      <c r="Y210" s="154"/>
      <c r="Z210" s="242" t="b">
        <f t="shared" si="2"/>
        <v>1</v>
      </c>
      <c r="AA210" s="154" t="s">
        <v>391</v>
      </c>
      <c r="AB210" s="242" t="b">
        <f t="shared" si="3"/>
        <v>0</v>
      </c>
      <c r="AC210" s="154"/>
      <c r="AD210" s="242" t="b">
        <f t="shared" si="4"/>
        <v>0</v>
      </c>
      <c r="AE210" s="154" t="s">
        <v>1016</v>
      </c>
      <c r="AF210" s="242" t="str">
        <f>IF(AE210="","N/A",INDIRECT("MTR!"&amp;ADDRESS(MATCH(LEFT(AE210,9),MTR!C:C,0),COLUMN(J210)),TRUE) &amp; "")</f>
        <v>Partially Complies</v>
      </c>
      <c r="AG210" s="157" t="str">
        <f t="shared" si="5"/>
        <v/>
      </c>
      <c r="AH210" s="170"/>
      <c r="AI210" s="152"/>
      <c r="AJ210" s="152"/>
      <c r="AK210" s="152"/>
      <c r="AL210" s="152"/>
      <c r="AM210" s="152"/>
      <c r="AN210" s="152"/>
      <c r="AO210" s="152"/>
      <c r="AP210" s="152"/>
      <c r="AQ210" s="152"/>
      <c r="AR210" s="152"/>
    </row>
    <row r="211" ht="12.75" customHeight="1">
      <c r="A211" s="244" t="s">
        <v>5158</v>
      </c>
      <c r="B211" s="244" t="s">
        <v>5725</v>
      </c>
      <c r="C211" s="244" t="s">
        <v>6424</v>
      </c>
      <c r="D211" s="154" t="s">
        <v>861</v>
      </c>
      <c r="E211" s="154"/>
      <c r="F211" s="154" t="str">
        <f t="array" ref="F211">XLOOKUP(Cover!$D$12,$P$1:$X$1,$P211:$X211)</f>
        <v>Recommended</v>
      </c>
      <c r="G211" s="154" t="s">
        <v>6425</v>
      </c>
      <c r="H211" s="154" t="s">
        <v>6426</v>
      </c>
      <c r="I211" s="154" t="s">
        <v>6427</v>
      </c>
      <c r="J211" s="154" t="s">
        <v>6428</v>
      </c>
      <c r="K211" s="154"/>
      <c r="L211" s="154" t="s">
        <v>759</v>
      </c>
      <c r="M211" s="247" t="s">
        <v>516</v>
      </c>
      <c r="N211" s="247" t="s">
        <v>5876</v>
      </c>
      <c r="O211" s="240" t="str">
        <f t="shared" si="1"/>
        <v/>
      </c>
      <c r="P211" s="154" t="s">
        <v>66</v>
      </c>
      <c r="Q211" s="154" t="s">
        <v>66</v>
      </c>
      <c r="R211" s="154" t="s">
        <v>66</v>
      </c>
      <c r="S211" s="154" t="s">
        <v>64</v>
      </c>
      <c r="T211" s="154" t="s">
        <v>64</v>
      </c>
      <c r="U211" s="154" t="s">
        <v>64</v>
      </c>
      <c r="V211" s="154" t="s">
        <v>66</v>
      </c>
      <c r="W211" s="154" t="s">
        <v>64</v>
      </c>
      <c r="X211" s="154" t="s">
        <v>64</v>
      </c>
      <c r="Y211" s="154"/>
      <c r="Z211" s="242" t="b">
        <f t="shared" si="2"/>
        <v>1</v>
      </c>
      <c r="AA211" s="154" t="s">
        <v>391</v>
      </c>
      <c r="AB211" s="242" t="b">
        <f t="shared" si="3"/>
        <v>0</v>
      </c>
      <c r="AC211" s="154"/>
      <c r="AD211" s="242" t="b">
        <f t="shared" si="4"/>
        <v>0</v>
      </c>
      <c r="AE211" s="154" t="s">
        <v>1016</v>
      </c>
      <c r="AF211" s="242" t="str">
        <f>IF(AE211="","N/A",INDIRECT("MTR!"&amp;ADDRESS(MATCH(LEFT(AE211,9),MTR!C:C,0),COLUMN(J211)),TRUE) &amp; "")</f>
        <v>Partially Complies</v>
      </c>
      <c r="AG211" s="157" t="str">
        <f t="shared" si="5"/>
        <v/>
      </c>
      <c r="AH211" s="170"/>
      <c r="AI211" s="152"/>
      <c r="AJ211" s="152"/>
      <c r="AK211" s="152"/>
      <c r="AL211" s="152"/>
      <c r="AM211" s="152"/>
      <c r="AN211" s="152"/>
      <c r="AO211" s="152"/>
      <c r="AP211" s="152"/>
      <c r="AQ211" s="152"/>
      <c r="AR211" s="152"/>
    </row>
    <row r="212" ht="12.75" customHeight="1">
      <c r="A212" s="244" t="s">
        <v>5158</v>
      </c>
      <c r="B212" s="244" t="s">
        <v>5725</v>
      </c>
      <c r="C212" s="244" t="s">
        <v>6429</v>
      </c>
      <c r="D212" s="154" t="s">
        <v>1069</v>
      </c>
      <c r="E212" s="154"/>
      <c r="F212" s="154" t="str">
        <f t="array" ref="F212">XLOOKUP(Cover!$D$12,$P$1:$X$1,$P212:$X212)</f>
        <v>Mandatory</v>
      </c>
      <c r="G212" s="154" t="s">
        <v>6430</v>
      </c>
      <c r="H212" s="154" t="s">
        <v>6114</v>
      </c>
      <c r="I212" s="154" t="s">
        <v>6431</v>
      </c>
      <c r="J212" s="154" t="s">
        <v>6154</v>
      </c>
      <c r="K212" s="154" t="s">
        <v>1018</v>
      </c>
      <c r="L212" s="154" t="s">
        <v>759</v>
      </c>
      <c r="M212" s="247" t="s">
        <v>516</v>
      </c>
      <c r="N212" s="247" t="s">
        <v>5876</v>
      </c>
      <c r="O212" s="240" t="str">
        <f t="shared" si="1"/>
        <v/>
      </c>
      <c r="P212" s="154" t="s">
        <v>66</v>
      </c>
      <c r="Q212" s="154" t="s">
        <v>66</v>
      </c>
      <c r="R212" s="154" t="s">
        <v>66</v>
      </c>
      <c r="S212" s="154" t="s">
        <v>60</v>
      </c>
      <c r="T212" s="154" t="s">
        <v>60</v>
      </c>
      <c r="U212" s="154" t="s">
        <v>60</v>
      </c>
      <c r="V212" s="154" t="s">
        <v>66</v>
      </c>
      <c r="W212" s="154" t="s">
        <v>60</v>
      </c>
      <c r="X212" s="154" t="s">
        <v>60</v>
      </c>
      <c r="Y212" s="154"/>
      <c r="Z212" s="242" t="b">
        <f t="shared" si="2"/>
        <v>1</v>
      </c>
      <c r="AA212" s="154" t="s">
        <v>391</v>
      </c>
      <c r="AB212" s="242" t="b">
        <f t="shared" si="3"/>
        <v>0</v>
      </c>
      <c r="AC212" s="154"/>
      <c r="AD212" s="242" t="b">
        <f t="shared" si="4"/>
        <v>0</v>
      </c>
      <c r="AE212" s="154" t="s">
        <v>1016</v>
      </c>
      <c r="AF212" s="242" t="str">
        <f>IF(AE212="","N/A",INDIRECT("MTR!"&amp;ADDRESS(MATCH(LEFT(AE212,9),MTR!C:C,0),COLUMN(J212)),TRUE) &amp; "")</f>
        <v>Partially Complies</v>
      </c>
      <c r="AG212" s="157" t="str">
        <f t="shared" si="5"/>
        <v/>
      </c>
      <c r="AH212" s="170"/>
      <c r="AI212" s="152"/>
      <c r="AJ212" s="152"/>
      <c r="AK212" s="152"/>
      <c r="AL212" s="152"/>
      <c r="AM212" s="152"/>
      <c r="AN212" s="152"/>
      <c r="AO212" s="152"/>
      <c r="AP212" s="152"/>
      <c r="AQ212" s="152"/>
      <c r="AR212" s="152"/>
    </row>
    <row r="213" ht="12.75" customHeight="1">
      <c r="A213" s="244" t="s">
        <v>5158</v>
      </c>
      <c r="B213" s="244" t="s">
        <v>5725</v>
      </c>
      <c r="C213" s="245" t="s">
        <v>6432</v>
      </c>
      <c r="D213" s="155" t="s">
        <v>542</v>
      </c>
      <c r="E213" s="154" t="s">
        <v>92</v>
      </c>
      <c r="F213" s="154" t="str">
        <f t="array" ref="F213">XLOOKUP(Cover!$D$12,$P$1:$X$1,$P213:$X213)</f>
        <v>Information</v>
      </c>
      <c r="G213" s="154" t="s">
        <v>6433</v>
      </c>
      <c r="H213" s="154" t="s">
        <v>6118</v>
      </c>
      <c r="I213" s="154" t="s">
        <v>6434</v>
      </c>
      <c r="J213" s="154" t="s">
        <v>6027</v>
      </c>
      <c r="K213" s="154"/>
      <c r="L213" s="154" t="s">
        <v>759</v>
      </c>
      <c r="M213" s="247" t="s">
        <v>445</v>
      </c>
      <c r="N213" s="247" t="s">
        <v>5733</v>
      </c>
      <c r="O213" s="240" t="str">
        <f t="shared" si="1"/>
        <v/>
      </c>
      <c r="P213" s="154" t="s">
        <v>66</v>
      </c>
      <c r="Q213" s="154" t="s">
        <v>66</v>
      </c>
      <c r="R213" s="154" t="s">
        <v>66</v>
      </c>
      <c r="S213" s="154" t="s">
        <v>66</v>
      </c>
      <c r="T213" s="154" t="s">
        <v>66</v>
      </c>
      <c r="U213" s="154" t="s">
        <v>66</v>
      </c>
      <c r="V213" s="154" t="s">
        <v>66</v>
      </c>
      <c r="W213" s="154" t="s">
        <v>66</v>
      </c>
      <c r="X213" s="154" t="s">
        <v>66</v>
      </c>
      <c r="Y213" s="154"/>
      <c r="Z213" s="242" t="b">
        <f t="shared" si="2"/>
        <v>1</v>
      </c>
      <c r="AA213" s="154" t="s">
        <v>391</v>
      </c>
      <c r="AB213" s="242" t="b">
        <f t="shared" si="3"/>
        <v>0</v>
      </c>
      <c r="AC213" s="154"/>
      <c r="AD213" s="242" t="b">
        <f t="shared" si="4"/>
        <v>0</v>
      </c>
      <c r="AE213" s="154" t="s">
        <v>1016</v>
      </c>
      <c r="AF213" s="242" t="str">
        <f>IF(AE213="","N/A",INDIRECT("MTR!"&amp;ADDRESS(MATCH(LEFT(AE213,9),MTR!C:C,0),COLUMN(J213)),TRUE) &amp; "")</f>
        <v>Partially Complies</v>
      </c>
      <c r="AG213" s="157" t="str">
        <f t="shared" si="5"/>
        <v/>
      </c>
      <c r="AH213" s="170"/>
      <c r="AI213" s="152"/>
      <c r="AJ213" s="152"/>
      <c r="AK213" s="152"/>
      <c r="AL213" s="152"/>
      <c r="AM213" s="152"/>
      <c r="AN213" s="152"/>
      <c r="AO213" s="152"/>
      <c r="AP213" s="152"/>
      <c r="AQ213" s="152"/>
      <c r="AR213" s="152"/>
    </row>
    <row r="214" ht="12.75" customHeight="1">
      <c r="A214" s="244" t="s">
        <v>5158</v>
      </c>
      <c r="B214" s="244" t="s">
        <v>5725</v>
      </c>
      <c r="C214" s="245" t="s">
        <v>6435</v>
      </c>
      <c r="D214" s="155" t="s">
        <v>1120</v>
      </c>
      <c r="E214" s="154" t="s">
        <v>92</v>
      </c>
      <c r="F214" s="154" t="str">
        <f t="array" ref="F214">XLOOKUP(Cover!$D$12,$P$1:$X$1,$P214:$X214)</f>
        <v>Information</v>
      </c>
      <c r="G214" s="154" t="s">
        <v>6436</v>
      </c>
      <c r="H214" s="154" t="s">
        <v>6118</v>
      </c>
      <c r="I214" s="154" t="s">
        <v>6437</v>
      </c>
      <c r="J214" s="154" t="s">
        <v>6027</v>
      </c>
      <c r="K214" s="154"/>
      <c r="L214" s="154" t="s">
        <v>759</v>
      </c>
      <c r="M214" s="247" t="s">
        <v>445</v>
      </c>
      <c r="N214" s="247" t="s">
        <v>5733</v>
      </c>
      <c r="O214" s="240" t="str">
        <f t="shared" si="1"/>
        <v/>
      </c>
      <c r="P214" s="154" t="s">
        <v>66</v>
      </c>
      <c r="Q214" s="154" t="s">
        <v>66</v>
      </c>
      <c r="R214" s="154" t="s">
        <v>66</v>
      </c>
      <c r="S214" s="154" t="s">
        <v>66</v>
      </c>
      <c r="T214" s="154" t="s">
        <v>66</v>
      </c>
      <c r="U214" s="154" t="s">
        <v>66</v>
      </c>
      <c r="V214" s="154" t="s">
        <v>66</v>
      </c>
      <c r="W214" s="154" t="s">
        <v>66</v>
      </c>
      <c r="X214" s="154" t="s">
        <v>66</v>
      </c>
      <c r="Y214" s="154"/>
      <c r="Z214" s="242" t="b">
        <f t="shared" si="2"/>
        <v>1</v>
      </c>
      <c r="AA214" s="154" t="s">
        <v>391</v>
      </c>
      <c r="AB214" s="242" t="b">
        <f t="shared" si="3"/>
        <v>0</v>
      </c>
      <c r="AC214" s="154"/>
      <c r="AD214" s="242" t="b">
        <f t="shared" si="4"/>
        <v>0</v>
      </c>
      <c r="AE214" s="154" t="s">
        <v>1016</v>
      </c>
      <c r="AF214" s="242" t="str">
        <f>IF(AE214="","N/A",INDIRECT("MTR!"&amp;ADDRESS(MATCH(LEFT(AE214,9),MTR!C:C,0),COLUMN(J214)),TRUE) &amp; "")</f>
        <v>Partially Complies</v>
      </c>
      <c r="AG214" s="157" t="str">
        <f t="shared" si="5"/>
        <v/>
      </c>
      <c r="AH214" s="170"/>
      <c r="AI214" s="152"/>
      <c r="AJ214" s="152"/>
      <c r="AK214" s="152"/>
      <c r="AL214" s="152"/>
      <c r="AM214" s="152"/>
      <c r="AN214" s="152"/>
      <c r="AO214" s="152"/>
      <c r="AP214" s="152"/>
      <c r="AQ214" s="152"/>
      <c r="AR214" s="152"/>
    </row>
    <row r="215" ht="12.75" customHeight="1">
      <c r="A215" s="244" t="s">
        <v>5158</v>
      </c>
      <c r="B215" s="244" t="s">
        <v>5725</v>
      </c>
      <c r="C215" s="244" t="s">
        <v>6438</v>
      </c>
      <c r="D215" s="154" t="s">
        <v>1773</v>
      </c>
      <c r="E215" s="154"/>
      <c r="F215" s="154" t="str">
        <f t="array" ref="F215">XLOOKUP(Cover!$D$12,$P$1:$X$1,$P215:$X215)</f>
        <v>Mandatory</v>
      </c>
      <c r="G215" s="154" t="s">
        <v>6439</v>
      </c>
      <c r="H215" s="154" t="s">
        <v>6054</v>
      </c>
      <c r="I215" s="154" t="s">
        <v>6440</v>
      </c>
      <c r="J215" s="154" t="s">
        <v>6126</v>
      </c>
      <c r="K215" s="154" t="s">
        <v>1018</v>
      </c>
      <c r="L215" s="154" t="s">
        <v>759</v>
      </c>
      <c r="M215" s="247" t="s">
        <v>445</v>
      </c>
      <c r="N215" s="247" t="s">
        <v>5733</v>
      </c>
      <c r="O215" s="240" t="str">
        <f t="shared" si="1"/>
        <v/>
      </c>
      <c r="P215" s="154" t="s">
        <v>66</v>
      </c>
      <c r="Q215" s="154" t="s">
        <v>66</v>
      </c>
      <c r="R215" s="154" t="s">
        <v>66</v>
      </c>
      <c r="S215" s="154" t="s">
        <v>60</v>
      </c>
      <c r="T215" s="154" t="s">
        <v>60</v>
      </c>
      <c r="U215" s="154" t="s">
        <v>60</v>
      </c>
      <c r="V215" s="154" t="s">
        <v>66</v>
      </c>
      <c r="W215" s="154" t="s">
        <v>60</v>
      </c>
      <c r="X215" s="154" t="s">
        <v>60</v>
      </c>
      <c r="Y215" s="154"/>
      <c r="Z215" s="242" t="b">
        <f t="shared" si="2"/>
        <v>1</v>
      </c>
      <c r="AA215" s="154" t="s">
        <v>391</v>
      </c>
      <c r="AB215" s="242" t="b">
        <f t="shared" si="3"/>
        <v>0</v>
      </c>
      <c r="AC215" s="154"/>
      <c r="AD215" s="242" t="b">
        <f t="shared" si="4"/>
        <v>0</v>
      </c>
      <c r="AE215" s="154" t="s">
        <v>1016</v>
      </c>
      <c r="AF215" s="242" t="str">
        <f>IF(AE215="","N/A",INDIRECT("MTR!"&amp;ADDRESS(MATCH(LEFT(AE215,9),MTR!C:C,0),COLUMN(J215)),TRUE) &amp; "")</f>
        <v>Partially Complies</v>
      </c>
      <c r="AG215" s="157" t="str">
        <f t="shared" si="5"/>
        <v/>
      </c>
      <c r="AH215" s="170"/>
      <c r="AI215" s="152"/>
      <c r="AJ215" s="152"/>
      <c r="AK215" s="152"/>
      <c r="AL215" s="152"/>
      <c r="AM215" s="152"/>
      <c r="AN215" s="152"/>
      <c r="AO215" s="152"/>
      <c r="AP215" s="152"/>
      <c r="AQ215" s="152"/>
      <c r="AR215" s="152"/>
    </row>
    <row r="216" ht="12.75" customHeight="1">
      <c r="A216" s="244" t="s">
        <v>5158</v>
      </c>
      <c r="B216" s="244" t="s">
        <v>5725</v>
      </c>
      <c r="C216" s="244" t="s">
        <v>6441</v>
      </c>
      <c r="D216" s="154" t="s">
        <v>492</v>
      </c>
      <c r="E216" s="154"/>
      <c r="F216" s="154" t="str">
        <f t="array" ref="F216">XLOOKUP(Cover!$D$12,$P$1:$X$1,$P216:$X216)</f>
        <v>Information</v>
      </c>
      <c r="G216" s="154" t="s">
        <v>6442</v>
      </c>
      <c r="H216" s="154" t="s">
        <v>6085</v>
      </c>
      <c r="I216" s="154" t="s">
        <v>6443</v>
      </c>
      <c r="J216" s="154" t="s">
        <v>5827</v>
      </c>
      <c r="K216" s="154"/>
      <c r="L216" s="154" t="s">
        <v>759</v>
      </c>
      <c r="M216" s="247" t="s">
        <v>445</v>
      </c>
      <c r="N216" s="247" t="s">
        <v>5733</v>
      </c>
      <c r="O216" s="240" t="str">
        <f t="shared" si="1"/>
        <v/>
      </c>
      <c r="P216" s="154" t="s">
        <v>66</v>
      </c>
      <c r="Q216" s="154" t="s">
        <v>66</v>
      </c>
      <c r="R216" s="154" t="s">
        <v>66</v>
      </c>
      <c r="S216" s="154" t="s">
        <v>66</v>
      </c>
      <c r="T216" s="154" t="s">
        <v>66</v>
      </c>
      <c r="U216" s="154" t="s">
        <v>66</v>
      </c>
      <c r="V216" s="154" t="s">
        <v>66</v>
      </c>
      <c r="W216" s="154" t="s">
        <v>66</v>
      </c>
      <c r="X216" s="154" t="s">
        <v>66</v>
      </c>
      <c r="Y216" s="154"/>
      <c r="Z216" s="242" t="b">
        <f t="shared" si="2"/>
        <v>1</v>
      </c>
      <c r="AA216" s="154" t="s">
        <v>391</v>
      </c>
      <c r="AB216" s="242" t="b">
        <f t="shared" si="3"/>
        <v>0</v>
      </c>
      <c r="AC216" s="154"/>
      <c r="AD216" s="242" t="b">
        <f t="shared" si="4"/>
        <v>0</v>
      </c>
      <c r="AE216" s="154" t="s">
        <v>1016</v>
      </c>
      <c r="AF216" s="242" t="str">
        <f>IF(AE216="","N/A",INDIRECT("MTR!"&amp;ADDRESS(MATCH(LEFT(AE216,9),MTR!C:C,0),COLUMN(J216)),TRUE) &amp; "")</f>
        <v>Partially Complies</v>
      </c>
      <c r="AG216" s="157" t="str">
        <f t="shared" si="5"/>
        <v/>
      </c>
      <c r="AH216" s="170"/>
      <c r="AI216" s="152"/>
      <c r="AJ216" s="152"/>
      <c r="AK216" s="152"/>
      <c r="AL216" s="152"/>
      <c r="AM216" s="152"/>
      <c r="AN216" s="152"/>
      <c r="AO216" s="152"/>
      <c r="AP216" s="152"/>
      <c r="AQ216" s="152"/>
      <c r="AR216" s="152"/>
    </row>
    <row r="217" ht="12.75" customHeight="1">
      <c r="A217" s="244" t="s">
        <v>5158</v>
      </c>
      <c r="B217" s="244" t="s">
        <v>5725</v>
      </c>
      <c r="C217" s="244" t="s">
        <v>6444</v>
      </c>
      <c r="D217" s="154" t="s">
        <v>492</v>
      </c>
      <c r="E217" s="154"/>
      <c r="F217" s="154" t="str">
        <f t="array" ref="F217">XLOOKUP(Cover!$D$12,$P$1:$X$1,$P217:$X217)</f>
        <v>Information</v>
      </c>
      <c r="G217" s="154" t="s">
        <v>6445</v>
      </c>
      <c r="H217" s="154" t="s">
        <v>6085</v>
      </c>
      <c r="I217" s="154" t="s">
        <v>6443</v>
      </c>
      <c r="J217" s="154" t="s">
        <v>5827</v>
      </c>
      <c r="K217" s="154"/>
      <c r="L217" s="154" t="s">
        <v>759</v>
      </c>
      <c r="M217" s="247" t="s">
        <v>445</v>
      </c>
      <c r="N217" s="247" t="s">
        <v>5733</v>
      </c>
      <c r="O217" s="240" t="str">
        <f t="shared" si="1"/>
        <v/>
      </c>
      <c r="P217" s="154" t="s">
        <v>66</v>
      </c>
      <c r="Q217" s="154" t="s">
        <v>66</v>
      </c>
      <c r="R217" s="154" t="s">
        <v>66</v>
      </c>
      <c r="S217" s="154" t="s">
        <v>66</v>
      </c>
      <c r="T217" s="154" t="s">
        <v>66</v>
      </c>
      <c r="U217" s="154" t="s">
        <v>66</v>
      </c>
      <c r="V217" s="154" t="s">
        <v>66</v>
      </c>
      <c r="W217" s="154" t="s">
        <v>66</v>
      </c>
      <c r="X217" s="154" t="s">
        <v>66</v>
      </c>
      <c r="Y217" s="154"/>
      <c r="Z217" s="242" t="b">
        <f t="shared" si="2"/>
        <v>1</v>
      </c>
      <c r="AA217" s="154" t="s">
        <v>391</v>
      </c>
      <c r="AB217" s="242" t="b">
        <f t="shared" si="3"/>
        <v>0</v>
      </c>
      <c r="AC217" s="154"/>
      <c r="AD217" s="242" t="b">
        <f t="shared" si="4"/>
        <v>0</v>
      </c>
      <c r="AE217" s="154" t="s">
        <v>1016</v>
      </c>
      <c r="AF217" s="242" t="str">
        <f>IF(AE217="","N/A",INDIRECT("MTR!"&amp;ADDRESS(MATCH(LEFT(AE217,9),MTR!C:C,0),COLUMN(J217)),TRUE) &amp; "")</f>
        <v>Partially Complies</v>
      </c>
      <c r="AG217" s="157" t="str">
        <f t="shared" si="5"/>
        <v/>
      </c>
      <c r="AH217" s="170"/>
      <c r="AI217" s="152"/>
      <c r="AJ217" s="152"/>
      <c r="AK217" s="152"/>
      <c r="AL217" s="152"/>
      <c r="AM217" s="152"/>
      <c r="AN217" s="152"/>
      <c r="AO217" s="152"/>
      <c r="AP217" s="152"/>
      <c r="AQ217" s="152"/>
      <c r="AR217" s="152"/>
    </row>
    <row r="218" ht="12.75" customHeight="1">
      <c r="A218" s="244" t="s">
        <v>5158</v>
      </c>
      <c r="B218" s="244" t="s">
        <v>5725</v>
      </c>
      <c r="C218" s="244" t="s">
        <v>6446</v>
      </c>
      <c r="D218" s="154" t="s">
        <v>492</v>
      </c>
      <c r="E218" s="154"/>
      <c r="F218" s="154" t="str">
        <f t="array" ref="F218">XLOOKUP(Cover!$D$12,$P$1:$X$1,$P218:$X218)</f>
        <v>Mandatory</v>
      </c>
      <c r="G218" s="154" t="s">
        <v>6447</v>
      </c>
      <c r="H218" s="154" t="s">
        <v>6405</v>
      </c>
      <c r="I218" s="154" t="s">
        <v>6448</v>
      </c>
      <c r="J218" s="154" t="s">
        <v>5890</v>
      </c>
      <c r="K218" s="154" t="s">
        <v>1018</v>
      </c>
      <c r="L218" s="154" t="s">
        <v>759</v>
      </c>
      <c r="M218" s="247" t="s">
        <v>445</v>
      </c>
      <c r="N218" s="247" t="s">
        <v>5733</v>
      </c>
      <c r="O218" s="240" t="str">
        <f t="shared" si="1"/>
        <v/>
      </c>
      <c r="P218" s="154" t="s">
        <v>66</v>
      </c>
      <c r="Q218" s="154" t="s">
        <v>66</v>
      </c>
      <c r="R218" s="154" t="s">
        <v>66</v>
      </c>
      <c r="S218" s="154" t="s">
        <v>60</v>
      </c>
      <c r="T218" s="154" t="s">
        <v>60</v>
      </c>
      <c r="U218" s="154" t="s">
        <v>60</v>
      </c>
      <c r="V218" s="154" t="s">
        <v>66</v>
      </c>
      <c r="W218" s="154" t="s">
        <v>60</v>
      </c>
      <c r="X218" s="154" t="s">
        <v>60</v>
      </c>
      <c r="Y218" s="154"/>
      <c r="Z218" s="242" t="b">
        <f t="shared" si="2"/>
        <v>1</v>
      </c>
      <c r="AA218" s="154" t="s">
        <v>391</v>
      </c>
      <c r="AB218" s="242" t="b">
        <f t="shared" si="3"/>
        <v>0</v>
      </c>
      <c r="AC218" s="154"/>
      <c r="AD218" s="242" t="b">
        <f t="shared" si="4"/>
        <v>0</v>
      </c>
      <c r="AE218" s="154" t="s">
        <v>1016</v>
      </c>
      <c r="AF218" s="242" t="str">
        <f>IF(AE218="","N/A",INDIRECT("MTR!"&amp;ADDRESS(MATCH(LEFT(AE218,9),MTR!C:C,0),COLUMN(J218)),TRUE) &amp; "")</f>
        <v>Partially Complies</v>
      </c>
      <c r="AG218" s="157" t="str">
        <f t="shared" si="5"/>
        <v/>
      </c>
      <c r="AH218" s="170"/>
      <c r="AI218" s="152"/>
      <c r="AJ218" s="152"/>
      <c r="AK218" s="152"/>
      <c r="AL218" s="152"/>
      <c r="AM218" s="152"/>
      <c r="AN218" s="152"/>
      <c r="AO218" s="152"/>
      <c r="AP218" s="152"/>
      <c r="AQ218" s="152"/>
      <c r="AR218" s="152"/>
    </row>
    <row r="219" ht="12.75" customHeight="1">
      <c r="A219" s="244" t="s">
        <v>5158</v>
      </c>
      <c r="B219" s="244" t="s">
        <v>5725</v>
      </c>
      <c r="C219" s="244" t="s">
        <v>6449</v>
      </c>
      <c r="D219" s="154" t="s">
        <v>781</v>
      </c>
      <c r="E219" s="154"/>
      <c r="F219" s="154" t="str">
        <f t="array" ref="F219">XLOOKUP(Cover!$D$12,$P$1:$X$1,$P219:$X219)</f>
        <v>Information</v>
      </c>
      <c r="G219" s="154" t="s">
        <v>6450</v>
      </c>
      <c r="H219" s="154" t="s">
        <v>6405</v>
      </c>
      <c r="I219" s="154" t="s">
        <v>6451</v>
      </c>
      <c r="J219" s="154" t="s">
        <v>6140</v>
      </c>
      <c r="K219" s="154"/>
      <c r="L219" s="154" t="s">
        <v>759</v>
      </c>
      <c r="M219" s="247" t="s">
        <v>516</v>
      </c>
      <c r="N219" s="247" t="s">
        <v>5876</v>
      </c>
      <c r="O219" s="240" t="str">
        <f t="shared" si="1"/>
        <v/>
      </c>
      <c r="P219" s="154" t="s">
        <v>66</v>
      </c>
      <c r="Q219" s="154" t="s">
        <v>66</v>
      </c>
      <c r="R219" s="154" t="s">
        <v>66</v>
      </c>
      <c r="S219" s="154" t="s">
        <v>66</v>
      </c>
      <c r="T219" s="154" t="s">
        <v>66</v>
      </c>
      <c r="U219" s="154" t="s">
        <v>66</v>
      </c>
      <c r="V219" s="154" t="s">
        <v>66</v>
      </c>
      <c r="W219" s="154" t="s">
        <v>66</v>
      </c>
      <c r="X219" s="154" t="s">
        <v>66</v>
      </c>
      <c r="Y219" s="154"/>
      <c r="Z219" s="242" t="b">
        <f t="shared" si="2"/>
        <v>1</v>
      </c>
      <c r="AA219" s="154" t="s">
        <v>391</v>
      </c>
      <c r="AB219" s="242" t="b">
        <f t="shared" si="3"/>
        <v>0</v>
      </c>
      <c r="AC219" s="154"/>
      <c r="AD219" s="242" t="b">
        <f t="shared" si="4"/>
        <v>0</v>
      </c>
      <c r="AE219" s="154" t="s">
        <v>1016</v>
      </c>
      <c r="AF219" s="242" t="str">
        <f>IF(AE219="","N/A",INDIRECT("MTR!"&amp;ADDRESS(MATCH(LEFT(AE219,9),MTR!C:C,0),COLUMN(J219)),TRUE) &amp; "")</f>
        <v>Partially Complies</v>
      </c>
      <c r="AG219" s="157" t="str">
        <f t="shared" si="5"/>
        <v/>
      </c>
      <c r="AH219" s="170"/>
      <c r="AI219" s="152"/>
      <c r="AJ219" s="152"/>
      <c r="AK219" s="152"/>
      <c r="AL219" s="152"/>
      <c r="AM219" s="152"/>
      <c r="AN219" s="152"/>
      <c r="AO219" s="152"/>
      <c r="AP219" s="152"/>
      <c r="AQ219" s="152"/>
      <c r="AR219" s="152"/>
    </row>
    <row r="220" ht="12.75" customHeight="1">
      <c r="A220" s="244" t="s">
        <v>5158</v>
      </c>
      <c r="B220" s="244" t="s">
        <v>5725</v>
      </c>
      <c r="C220" s="244" t="s">
        <v>6452</v>
      </c>
      <c r="D220" s="154" t="s">
        <v>602</v>
      </c>
      <c r="E220" s="154"/>
      <c r="F220" s="154" t="str">
        <f t="array" ref="F220">XLOOKUP(Cover!$D$12,$P$1:$X$1,$P220:$X220)</f>
        <v>Information</v>
      </c>
      <c r="G220" s="154" t="s">
        <v>6453</v>
      </c>
      <c r="H220" s="154" t="s">
        <v>6414</v>
      </c>
      <c r="I220" s="154" t="s">
        <v>6454</v>
      </c>
      <c r="J220" s="154" t="s">
        <v>5909</v>
      </c>
      <c r="K220" s="154"/>
      <c r="L220" s="154" t="s">
        <v>759</v>
      </c>
      <c r="M220" s="247" t="s">
        <v>516</v>
      </c>
      <c r="N220" s="247" t="s">
        <v>5876</v>
      </c>
      <c r="O220" s="240" t="str">
        <f t="shared" si="1"/>
        <v/>
      </c>
      <c r="P220" s="154" t="s">
        <v>66</v>
      </c>
      <c r="Q220" s="154" t="s">
        <v>66</v>
      </c>
      <c r="R220" s="154" t="s">
        <v>66</v>
      </c>
      <c r="S220" s="154" t="s">
        <v>66</v>
      </c>
      <c r="T220" s="154" t="s">
        <v>66</v>
      </c>
      <c r="U220" s="154" t="s">
        <v>66</v>
      </c>
      <c r="V220" s="154" t="s">
        <v>66</v>
      </c>
      <c r="W220" s="154" t="s">
        <v>66</v>
      </c>
      <c r="X220" s="154" t="s">
        <v>66</v>
      </c>
      <c r="Y220" s="154"/>
      <c r="Z220" s="242" t="b">
        <f t="shared" si="2"/>
        <v>1</v>
      </c>
      <c r="AA220" s="154" t="s">
        <v>391</v>
      </c>
      <c r="AB220" s="242" t="b">
        <f t="shared" si="3"/>
        <v>0</v>
      </c>
      <c r="AC220" s="154"/>
      <c r="AD220" s="242" t="b">
        <f t="shared" si="4"/>
        <v>0</v>
      </c>
      <c r="AE220" s="154" t="s">
        <v>1016</v>
      </c>
      <c r="AF220" s="242" t="str">
        <f>IF(AE220="","N/A",INDIRECT("MTR!"&amp;ADDRESS(MATCH(LEFT(AE220,9),MTR!C:C,0),COLUMN(J220)),TRUE) &amp; "")</f>
        <v>Partially Complies</v>
      </c>
      <c r="AG220" s="157" t="str">
        <f t="shared" si="5"/>
        <v/>
      </c>
      <c r="AH220" s="170"/>
      <c r="AI220" s="152"/>
      <c r="AJ220" s="152"/>
      <c r="AK220" s="152"/>
      <c r="AL220" s="152"/>
      <c r="AM220" s="152"/>
      <c r="AN220" s="152"/>
      <c r="AO220" s="152"/>
      <c r="AP220" s="152"/>
      <c r="AQ220" s="152"/>
      <c r="AR220" s="152"/>
    </row>
    <row r="221" ht="12.75" customHeight="1">
      <c r="A221" s="244" t="s">
        <v>5158</v>
      </c>
      <c r="B221" s="244" t="s">
        <v>5725</v>
      </c>
      <c r="C221" s="244" t="s">
        <v>6455</v>
      </c>
      <c r="D221" s="154" t="s">
        <v>492</v>
      </c>
      <c r="E221" s="154"/>
      <c r="F221" s="154" t="str">
        <f t="array" ref="F221">XLOOKUP(Cover!$D$12,$P$1:$X$1,$P221:$X221)</f>
        <v>Mandatory</v>
      </c>
      <c r="G221" s="154" t="s">
        <v>6456</v>
      </c>
      <c r="H221" s="154" t="s">
        <v>6457</v>
      </c>
      <c r="I221" s="154" t="s">
        <v>6458</v>
      </c>
      <c r="J221" s="154" t="s">
        <v>5948</v>
      </c>
      <c r="K221" s="154" t="s">
        <v>1018</v>
      </c>
      <c r="L221" s="154" t="s">
        <v>759</v>
      </c>
      <c r="M221" s="247" t="s">
        <v>445</v>
      </c>
      <c r="N221" s="247" t="s">
        <v>5733</v>
      </c>
      <c r="O221" s="240" t="str">
        <f t="shared" si="1"/>
        <v/>
      </c>
      <c r="P221" s="154" t="s">
        <v>66</v>
      </c>
      <c r="Q221" s="154" t="s">
        <v>66</v>
      </c>
      <c r="R221" s="154" t="s">
        <v>66</v>
      </c>
      <c r="S221" s="154" t="s">
        <v>60</v>
      </c>
      <c r="T221" s="154" t="s">
        <v>60</v>
      </c>
      <c r="U221" s="154" t="s">
        <v>60</v>
      </c>
      <c r="V221" s="154" t="s">
        <v>66</v>
      </c>
      <c r="W221" s="154" t="s">
        <v>60</v>
      </c>
      <c r="X221" s="154" t="s">
        <v>60</v>
      </c>
      <c r="Y221" s="154"/>
      <c r="Z221" s="242" t="b">
        <f t="shared" si="2"/>
        <v>1</v>
      </c>
      <c r="AA221" s="154" t="s">
        <v>391</v>
      </c>
      <c r="AB221" s="242" t="b">
        <f t="shared" si="3"/>
        <v>0</v>
      </c>
      <c r="AC221" s="154"/>
      <c r="AD221" s="242" t="b">
        <f t="shared" si="4"/>
        <v>0</v>
      </c>
      <c r="AE221" s="154" t="s">
        <v>1016</v>
      </c>
      <c r="AF221" s="242" t="str">
        <f>IF(AE221="","N/A",INDIRECT("MTR!"&amp;ADDRESS(MATCH(LEFT(AE221,9),MTR!C:C,0),COLUMN(J221)),TRUE) &amp; "")</f>
        <v>Partially Complies</v>
      </c>
      <c r="AG221" s="157" t="str">
        <f t="shared" si="5"/>
        <v/>
      </c>
      <c r="AH221" s="170"/>
      <c r="AI221" s="152"/>
      <c r="AJ221" s="152"/>
      <c r="AK221" s="152"/>
      <c r="AL221" s="152"/>
      <c r="AM221" s="152"/>
      <c r="AN221" s="152"/>
      <c r="AO221" s="152"/>
      <c r="AP221" s="152"/>
      <c r="AQ221" s="152"/>
      <c r="AR221" s="152"/>
    </row>
    <row r="222" ht="12.75" customHeight="1">
      <c r="A222" s="244" t="s">
        <v>5158</v>
      </c>
      <c r="B222" s="244" t="s">
        <v>5725</v>
      </c>
      <c r="C222" s="244" t="s">
        <v>6459</v>
      </c>
      <c r="D222" s="154" t="s">
        <v>1120</v>
      </c>
      <c r="E222" s="154"/>
      <c r="F222" s="154" t="str">
        <f t="array" ref="F222">XLOOKUP(Cover!$D$12,$P$1:$X$1,$P222:$X222)</f>
        <v>Information</v>
      </c>
      <c r="G222" s="154" t="s">
        <v>6460</v>
      </c>
      <c r="H222" s="154" t="s">
        <v>6457</v>
      </c>
      <c r="I222" s="154" t="s">
        <v>6458</v>
      </c>
      <c r="J222" s="154" t="s">
        <v>5948</v>
      </c>
      <c r="K222" s="154"/>
      <c r="L222" s="154" t="s">
        <v>759</v>
      </c>
      <c r="M222" s="247" t="s">
        <v>445</v>
      </c>
      <c r="N222" s="247" t="s">
        <v>5733</v>
      </c>
      <c r="O222" s="240" t="str">
        <f t="shared" si="1"/>
        <v/>
      </c>
      <c r="P222" s="154" t="s">
        <v>66</v>
      </c>
      <c r="Q222" s="154" t="s">
        <v>66</v>
      </c>
      <c r="R222" s="154" t="s">
        <v>66</v>
      </c>
      <c r="S222" s="154" t="s">
        <v>66</v>
      </c>
      <c r="T222" s="154" t="s">
        <v>66</v>
      </c>
      <c r="U222" s="154" t="s">
        <v>66</v>
      </c>
      <c r="V222" s="154" t="s">
        <v>66</v>
      </c>
      <c r="W222" s="154" t="s">
        <v>66</v>
      </c>
      <c r="X222" s="154" t="s">
        <v>66</v>
      </c>
      <c r="Y222" s="154"/>
      <c r="Z222" s="242" t="b">
        <f t="shared" si="2"/>
        <v>1</v>
      </c>
      <c r="AA222" s="154" t="s">
        <v>391</v>
      </c>
      <c r="AB222" s="242" t="b">
        <f t="shared" si="3"/>
        <v>0</v>
      </c>
      <c r="AC222" s="154"/>
      <c r="AD222" s="242" t="b">
        <f t="shared" si="4"/>
        <v>0</v>
      </c>
      <c r="AE222" s="154" t="s">
        <v>1016</v>
      </c>
      <c r="AF222" s="242" t="str">
        <f>IF(AE222="","N/A",INDIRECT("MTR!"&amp;ADDRESS(MATCH(LEFT(AE222,9),MTR!C:C,0),COLUMN(J222)),TRUE) &amp; "")</f>
        <v>Partially Complies</v>
      </c>
      <c r="AG222" s="157" t="str">
        <f t="shared" si="5"/>
        <v/>
      </c>
      <c r="AH222" s="170"/>
      <c r="AI222" s="152"/>
      <c r="AJ222" s="152"/>
      <c r="AK222" s="152"/>
      <c r="AL222" s="152"/>
      <c r="AM222" s="152"/>
      <c r="AN222" s="152"/>
      <c r="AO222" s="152"/>
      <c r="AP222" s="152"/>
      <c r="AQ222" s="152"/>
      <c r="AR222" s="152"/>
    </row>
    <row r="223" ht="12.75" customHeight="1">
      <c r="A223" s="244" t="s">
        <v>5158</v>
      </c>
      <c r="B223" s="244" t="s">
        <v>5725</v>
      </c>
      <c r="C223" s="244" t="s">
        <v>6461</v>
      </c>
      <c r="D223" s="154" t="s">
        <v>503</v>
      </c>
      <c r="E223" s="154"/>
      <c r="F223" s="154" t="str">
        <f t="array" ref="F223">XLOOKUP(Cover!$D$12,$P$1:$X$1,$P223:$X223)</f>
        <v>Information</v>
      </c>
      <c r="G223" s="154" t="s">
        <v>6462</v>
      </c>
      <c r="H223" s="154" t="s">
        <v>6422</v>
      </c>
      <c r="I223" s="154" t="s">
        <v>6423</v>
      </c>
      <c r="J223" s="154" t="s">
        <v>6463</v>
      </c>
      <c r="K223" s="154"/>
      <c r="L223" s="154" t="s">
        <v>759</v>
      </c>
      <c r="M223" s="247" t="s">
        <v>445</v>
      </c>
      <c r="N223" s="247" t="s">
        <v>5733</v>
      </c>
      <c r="O223" s="240" t="str">
        <f t="shared" si="1"/>
        <v/>
      </c>
      <c r="P223" s="154" t="s">
        <v>66</v>
      </c>
      <c r="Q223" s="154" t="s">
        <v>66</v>
      </c>
      <c r="R223" s="154" t="s">
        <v>66</v>
      </c>
      <c r="S223" s="154" t="s">
        <v>66</v>
      </c>
      <c r="T223" s="154" t="s">
        <v>66</v>
      </c>
      <c r="U223" s="154" t="s">
        <v>66</v>
      </c>
      <c r="V223" s="154" t="s">
        <v>66</v>
      </c>
      <c r="W223" s="154" t="s">
        <v>66</v>
      </c>
      <c r="X223" s="154" t="s">
        <v>66</v>
      </c>
      <c r="Y223" s="154"/>
      <c r="Z223" s="242" t="b">
        <f t="shared" si="2"/>
        <v>1</v>
      </c>
      <c r="AA223" s="154" t="s">
        <v>391</v>
      </c>
      <c r="AB223" s="242" t="b">
        <f t="shared" si="3"/>
        <v>0</v>
      </c>
      <c r="AC223" s="154"/>
      <c r="AD223" s="242" t="b">
        <f t="shared" si="4"/>
        <v>0</v>
      </c>
      <c r="AE223" s="154" t="s">
        <v>1016</v>
      </c>
      <c r="AF223" s="242" t="str">
        <f>IF(AE223="","N/A",INDIRECT("MTR!"&amp;ADDRESS(MATCH(LEFT(AE223,9),MTR!C:C,0),COLUMN(J223)),TRUE) &amp; "")</f>
        <v>Partially Complies</v>
      </c>
      <c r="AG223" s="157" t="str">
        <f t="shared" si="5"/>
        <v/>
      </c>
      <c r="AH223" s="170"/>
      <c r="AI223" s="152"/>
      <c r="AJ223" s="152"/>
      <c r="AK223" s="152"/>
      <c r="AL223" s="152"/>
      <c r="AM223" s="152"/>
      <c r="AN223" s="152"/>
      <c r="AO223" s="152"/>
      <c r="AP223" s="152"/>
      <c r="AQ223" s="152"/>
      <c r="AR223" s="152"/>
    </row>
    <row r="224" ht="12.75" customHeight="1">
      <c r="A224" s="244" t="s">
        <v>5158</v>
      </c>
      <c r="B224" s="244" t="s">
        <v>5725</v>
      </c>
      <c r="C224" s="244" t="s">
        <v>6464</v>
      </c>
      <c r="D224" s="154" t="s">
        <v>492</v>
      </c>
      <c r="E224" s="154"/>
      <c r="F224" s="154" t="str">
        <f t="array" ref="F224">XLOOKUP(Cover!$D$12,$P$1:$X$1,$P224:$X224)</f>
        <v>Recommended</v>
      </c>
      <c r="G224" s="154" t="s">
        <v>6465</v>
      </c>
      <c r="H224" s="154" t="s">
        <v>6466</v>
      </c>
      <c r="I224" s="154" t="s">
        <v>6467</v>
      </c>
      <c r="J224" s="154" t="s">
        <v>5890</v>
      </c>
      <c r="K224" s="154"/>
      <c r="L224" s="154" t="s">
        <v>759</v>
      </c>
      <c r="M224" s="247" t="s">
        <v>516</v>
      </c>
      <c r="N224" s="247" t="s">
        <v>5876</v>
      </c>
      <c r="O224" s="240" t="str">
        <f t="shared" si="1"/>
        <v/>
      </c>
      <c r="P224" s="154" t="s">
        <v>66</v>
      </c>
      <c r="Q224" s="154" t="s">
        <v>66</v>
      </c>
      <c r="R224" s="154" t="s">
        <v>66</v>
      </c>
      <c r="S224" s="154" t="s">
        <v>64</v>
      </c>
      <c r="T224" s="154" t="s">
        <v>64</v>
      </c>
      <c r="U224" s="154" t="s">
        <v>64</v>
      </c>
      <c r="V224" s="154" t="s">
        <v>66</v>
      </c>
      <c r="W224" s="154" t="s">
        <v>64</v>
      </c>
      <c r="X224" s="154" t="s">
        <v>64</v>
      </c>
      <c r="Y224" s="154"/>
      <c r="Z224" s="242" t="b">
        <f t="shared" si="2"/>
        <v>1</v>
      </c>
      <c r="AA224" s="154" t="s">
        <v>391</v>
      </c>
      <c r="AB224" s="242" t="b">
        <f t="shared" si="3"/>
        <v>0</v>
      </c>
      <c r="AC224" s="154"/>
      <c r="AD224" s="242" t="b">
        <f t="shared" si="4"/>
        <v>0</v>
      </c>
      <c r="AE224" s="154" t="s">
        <v>1016</v>
      </c>
      <c r="AF224" s="242" t="str">
        <f>IF(AE224="","N/A",INDIRECT("MTR!"&amp;ADDRESS(MATCH(LEFT(AE224,9),MTR!C:C,0),COLUMN(J224)),TRUE) &amp; "")</f>
        <v>Partially Complies</v>
      </c>
      <c r="AG224" s="157" t="str">
        <f t="shared" si="5"/>
        <v/>
      </c>
      <c r="AH224" s="170"/>
      <c r="AI224" s="152"/>
      <c r="AJ224" s="152"/>
      <c r="AK224" s="152"/>
      <c r="AL224" s="152"/>
      <c r="AM224" s="152"/>
      <c r="AN224" s="152"/>
      <c r="AO224" s="152"/>
      <c r="AP224" s="152"/>
      <c r="AQ224" s="152"/>
      <c r="AR224" s="152"/>
    </row>
    <row r="225" ht="12.75" customHeight="1">
      <c r="A225" s="244" t="s">
        <v>5158</v>
      </c>
      <c r="B225" s="244" t="s">
        <v>5725</v>
      </c>
      <c r="C225" s="244" t="s">
        <v>6468</v>
      </c>
      <c r="D225" s="154" t="s">
        <v>1315</v>
      </c>
      <c r="E225" s="154"/>
      <c r="F225" s="154" t="str">
        <f t="array" ref="F225">XLOOKUP(Cover!$D$12,$P$1:$X$1,$P225:$X225)</f>
        <v>Information</v>
      </c>
      <c r="G225" s="154" t="s">
        <v>6469</v>
      </c>
      <c r="H225" s="154" t="s">
        <v>6470</v>
      </c>
      <c r="I225" s="154" t="s">
        <v>6471</v>
      </c>
      <c r="J225" s="154" t="s">
        <v>6022</v>
      </c>
      <c r="K225" s="154"/>
      <c r="L225" s="154" t="s">
        <v>759</v>
      </c>
      <c r="M225" s="247" t="s">
        <v>516</v>
      </c>
      <c r="N225" s="247" t="s">
        <v>5876</v>
      </c>
      <c r="O225" s="240" t="str">
        <f t="shared" si="1"/>
        <v/>
      </c>
      <c r="P225" s="154" t="s">
        <v>66</v>
      </c>
      <c r="Q225" s="154" t="s">
        <v>66</v>
      </c>
      <c r="R225" s="154" t="s">
        <v>66</v>
      </c>
      <c r="S225" s="154" t="s">
        <v>66</v>
      </c>
      <c r="T225" s="154" t="s">
        <v>66</v>
      </c>
      <c r="U225" s="154" t="s">
        <v>66</v>
      </c>
      <c r="V225" s="154" t="s">
        <v>66</v>
      </c>
      <c r="W225" s="154" t="s">
        <v>66</v>
      </c>
      <c r="X225" s="154" t="s">
        <v>66</v>
      </c>
      <c r="Y225" s="154"/>
      <c r="Z225" s="242" t="b">
        <f t="shared" si="2"/>
        <v>1</v>
      </c>
      <c r="AA225" s="154" t="s">
        <v>391</v>
      </c>
      <c r="AB225" s="242" t="b">
        <f t="shared" si="3"/>
        <v>0</v>
      </c>
      <c r="AC225" s="154"/>
      <c r="AD225" s="242" t="b">
        <f t="shared" si="4"/>
        <v>0</v>
      </c>
      <c r="AE225" s="154" t="s">
        <v>1016</v>
      </c>
      <c r="AF225" s="242" t="str">
        <f>IF(AE225="","N/A",INDIRECT("MTR!"&amp;ADDRESS(MATCH(LEFT(AE225,9),MTR!C:C,0),COLUMN(J225)),TRUE) &amp; "")</f>
        <v>Partially Complies</v>
      </c>
      <c r="AG225" s="157" t="str">
        <f t="shared" si="5"/>
        <v/>
      </c>
      <c r="AH225" s="170"/>
      <c r="AI225" s="152"/>
      <c r="AJ225" s="152"/>
      <c r="AK225" s="152"/>
      <c r="AL225" s="152"/>
      <c r="AM225" s="152"/>
      <c r="AN225" s="152"/>
      <c r="AO225" s="152"/>
      <c r="AP225" s="152"/>
      <c r="AQ225" s="152"/>
      <c r="AR225" s="152"/>
    </row>
    <row r="226" ht="12.75" customHeight="1">
      <c r="A226" s="244" t="s">
        <v>5158</v>
      </c>
      <c r="B226" s="244" t="s">
        <v>5725</v>
      </c>
      <c r="C226" s="244" t="s">
        <v>6472</v>
      </c>
      <c r="D226" s="154" t="s">
        <v>1069</v>
      </c>
      <c r="E226" s="154"/>
      <c r="F226" s="154" t="str">
        <f t="array" ref="F226">XLOOKUP(Cover!$D$12,$P$1:$X$1,$P226:$X226)</f>
        <v>Mandatory</v>
      </c>
      <c r="G226" s="154" t="s">
        <v>6473</v>
      </c>
      <c r="H226" s="154" t="s">
        <v>6474</v>
      </c>
      <c r="I226" s="154" t="s">
        <v>6475</v>
      </c>
      <c r="J226" s="154" t="s">
        <v>5927</v>
      </c>
      <c r="K226" s="154" t="s">
        <v>1018</v>
      </c>
      <c r="L226" s="154" t="s">
        <v>759</v>
      </c>
      <c r="M226" s="247" t="s">
        <v>516</v>
      </c>
      <c r="N226" s="247" t="s">
        <v>5876</v>
      </c>
      <c r="O226" s="240" t="str">
        <f t="shared" si="1"/>
        <v/>
      </c>
      <c r="P226" s="154" t="s">
        <v>66</v>
      </c>
      <c r="Q226" s="154" t="s">
        <v>66</v>
      </c>
      <c r="R226" s="154" t="s">
        <v>66</v>
      </c>
      <c r="S226" s="154" t="s">
        <v>60</v>
      </c>
      <c r="T226" s="154" t="s">
        <v>60</v>
      </c>
      <c r="U226" s="154" t="s">
        <v>60</v>
      </c>
      <c r="V226" s="154" t="s">
        <v>66</v>
      </c>
      <c r="W226" s="154" t="s">
        <v>60</v>
      </c>
      <c r="X226" s="154" t="s">
        <v>60</v>
      </c>
      <c r="Y226" s="154"/>
      <c r="Z226" s="242" t="b">
        <f t="shared" si="2"/>
        <v>1</v>
      </c>
      <c r="AA226" s="154" t="s">
        <v>391</v>
      </c>
      <c r="AB226" s="242" t="b">
        <f t="shared" si="3"/>
        <v>0</v>
      </c>
      <c r="AC226" s="154"/>
      <c r="AD226" s="242" t="b">
        <f t="shared" si="4"/>
        <v>0</v>
      </c>
      <c r="AE226" s="154" t="s">
        <v>1016</v>
      </c>
      <c r="AF226" s="242" t="str">
        <f>IF(AE226="","N/A",INDIRECT("MTR!"&amp;ADDRESS(MATCH(LEFT(AE226,9),MTR!C:C,0),COLUMN(J226)),TRUE) &amp; "")</f>
        <v>Partially Complies</v>
      </c>
      <c r="AG226" s="157" t="str">
        <f t="shared" si="5"/>
        <v/>
      </c>
      <c r="AH226" s="170"/>
      <c r="AI226" s="152"/>
      <c r="AJ226" s="152"/>
      <c r="AK226" s="152"/>
      <c r="AL226" s="152"/>
      <c r="AM226" s="152"/>
      <c r="AN226" s="152"/>
      <c r="AO226" s="152"/>
      <c r="AP226" s="152"/>
      <c r="AQ226" s="152"/>
      <c r="AR226" s="152"/>
    </row>
    <row r="227" ht="12.75" customHeight="1">
      <c r="A227" s="244" t="s">
        <v>5158</v>
      </c>
      <c r="B227" s="244" t="s">
        <v>5725</v>
      </c>
      <c r="C227" s="245" t="s">
        <v>6476</v>
      </c>
      <c r="D227" s="155" t="s">
        <v>1120</v>
      </c>
      <c r="E227" s="154" t="s">
        <v>92</v>
      </c>
      <c r="F227" s="154" t="str">
        <f t="array" ref="F227">XLOOKUP(Cover!$D$12,$P$1:$X$1,$P227:$X227)</f>
        <v>Recommended</v>
      </c>
      <c r="G227" s="154" t="s">
        <v>6477</v>
      </c>
      <c r="H227" s="154" t="s">
        <v>6478</v>
      </c>
      <c r="I227" s="154" t="s">
        <v>6479</v>
      </c>
      <c r="J227" s="154" t="s">
        <v>5732</v>
      </c>
      <c r="K227" s="154"/>
      <c r="L227" s="154" t="s">
        <v>759</v>
      </c>
      <c r="M227" s="247" t="s">
        <v>516</v>
      </c>
      <c r="N227" s="247" t="s">
        <v>5876</v>
      </c>
      <c r="O227" s="240" t="str">
        <f t="shared" si="1"/>
        <v/>
      </c>
      <c r="P227" s="154" t="s">
        <v>66</v>
      </c>
      <c r="Q227" s="154" t="s">
        <v>66</v>
      </c>
      <c r="R227" s="154" t="s">
        <v>66</v>
      </c>
      <c r="S227" s="154" t="s">
        <v>64</v>
      </c>
      <c r="T227" s="154" t="s">
        <v>64</v>
      </c>
      <c r="U227" s="154" t="s">
        <v>64</v>
      </c>
      <c r="V227" s="154" t="s">
        <v>66</v>
      </c>
      <c r="W227" s="154" t="s">
        <v>64</v>
      </c>
      <c r="X227" s="154" t="s">
        <v>64</v>
      </c>
      <c r="Y227" s="154"/>
      <c r="Z227" s="242" t="b">
        <f t="shared" si="2"/>
        <v>1</v>
      </c>
      <c r="AA227" s="154" t="s">
        <v>391</v>
      </c>
      <c r="AB227" s="242" t="b">
        <f t="shared" si="3"/>
        <v>0</v>
      </c>
      <c r="AC227" s="154"/>
      <c r="AD227" s="242" t="b">
        <f t="shared" si="4"/>
        <v>0</v>
      </c>
      <c r="AE227" s="154" t="s">
        <v>1016</v>
      </c>
      <c r="AF227" s="242" t="str">
        <f>IF(AE227="","N/A",INDIRECT("MTR!"&amp;ADDRESS(MATCH(LEFT(AE227,9),MTR!C:C,0),COLUMN(J227)),TRUE) &amp; "")</f>
        <v>Partially Complies</v>
      </c>
      <c r="AG227" s="157" t="str">
        <f t="shared" si="5"/>
        <v/>
      </c>
      <c r="AH227" s="170"/>
      <c r="AI227" s="152"/>
      <c r="AJ227" s="152"/>
      <c r="AK227" s="152"/>
      <c r="AL227" s="152"/>
      <c r="AM227" s="152"/>
      <c r="AN227" s="152"/>
      <c r="AO227" s="152"/>
      <c r="AP227" s="152"/>
      <c r="AQ227" s="152"/>
      <c r="AR227" s="152"/>
    </row>
    <row r="228" ht="12.75" customHeight="1">
      <c r="A228" s="244" t="s">
        <v>5158</v>
      </c>
      <c r="B228" s="244" t="s">
        <v>5725</v>
      </c>
      <c r="C228" s="244" t="s">
        <v>6480</v>
      </c>
      <c r="D228" s="154" t="s">
        <v>462</v>
      </c>
      <c r="E228" s="154"/>
      <c r="F228" s="154" t="str">
        <f t="array" ref="F228">XLOOKUP(Cover!$D$12,$P$1:$X$1,$P228:$X228)</f>
        <v>Mandatory</v>
      </c>
      <c r="G228" s="154" t="s">
        <v>6481</v>
      </c>
      <c r="H228" s="154" t="s">
        <v>6093</v>
      </c>
      <c r="I228" s="154" t="s">
        <v>6482</v>
      </c>
      <c r="J228" s="154" t="s">
        <v>5732</v>
      </c>
      <c r="K228" s="154" t="s">
        <v>1018</v>
      </c>
      <c r="L228" s="154" t="s">
        <v>759</v>
      </c>
      <c r="M228" s="247" t="s">
        <v>516</v>
      </c>
      <c r="N228" s="247" t="s">
        <v>5876</v>
      </c>
      <c r="O228" s="240" t="str">
        <f t="shared" si="1"/>
        <v/>
      </c>
      <c r="P228" s="154" t="s">
        <v>66</v>
      </c>
      <c r="Q228" s="154" t="s">
        <v>66</v>
      </c>
      <c r="R228" s="154" t="s">
        <v>66</v>
      </c>
      <c r="S228" s="154" t="s">
        <v>60</v>
      </c>
      <c r="T228" s="154" t="s">
        <v>60</v>
      </c>
      <c r="U228" s="154" t="s">
        <v>60</v>
      </c>
      <c r="V228" s="154" t="s">
        <v>66</v>
      </c>
      <c r="W228" s="154" t="s">
        <v>60</v>
      </c>
      <c r="X228" s="154" t="s">
        <v>60</v>
      </c>
      <c r="Y228" s="154"/>
      <c r="Z228" s="242" t="b">
        <f t="shared" si="2"/>
        <v>1</v>
      </c>
      <c r="AA228" s="154" t="s">
        <v>391</v>
      </c>
      <c r="AB228" s="242" t="b">
        <f t="shared" si="3"/>
        <v>0</v>
      </c>
      <c r="AC228" s="154"/>
      <c r="AD228" s="242" t="b">
        <f t="shared" si="4"/>
        <v>0</v>
      </c>
      <c r="AE228" s="154" t="s">
        <v>1016</v>
      </c>
      <c r="AF228" s="242" t="str">
        <f>IF(AE228="","N/A",INDIRECT("MTR!"&amp;ADDRESS(MATCH(LEFT(AE228,9),MTR!C:C,0),COLUMN(J228)),TRUE) &amp; "")</f>
        <v>Partially Complies</v>
      </c>
      <c r="AG228" s="157" t="str">
        <f t="shared" si="5"/>
        <v/>
      </c>
      <c r="AH228" s="170"/>
      <c r="AI228" s="152"/>
      <c r="AJ228" s="152"/>
      <c r="AK228" s="152"/>
      <c r="AL228" s="152"/>
      <c r="AM228" s="152"/>
      <c r="AN228" s="152"/>
      <c r="AO228" s="152"/>
      <c r="AP228" s="152"/>
      <c r="AQ228" s="152"/>
      <c r="AR228" s="152"/>
    </row>
    <row r="229" ht="12.75" customHeight="1">
      <c r="A229" s="244" t="s">
        <v>5158</v>
      </c>
      <c r="B229" s="244" t="s">
        <v>5725</v>
      </c>
      <c r="C229" s="244" t="s">
        <v>6483</v>
      </c>
      <c r="D229" s="154" t="s">
        <v>503</v>
      </c>
      <c r="E229" s="154"/>
      <c r="F229" s="154" t="str">
        <f t="array" ref="F229">XLOOKUP(Cover!$D$12,$P$1:$X$1,$P229:$X229)</f>
        <v>Information</v>
      </c>
      <c r="G229" s="154" t="s">
        <v>6484</v>
      </c>
      <c r="H229" s="154" t="s">
        <v>6099</v>
      </c>
      <c r="I229" s="154" t="s">
        <v>6485</v>
      </c>
      <c r="J229" s="154" t="s">
        <v>6463</v>
      </c>
      <c r="K229" s="154"/>
      <c r="L229" s="154" t="s">
        <v>759</v>
      </c>
      <c r="M229" s="247" t="s">
        <v>516</v>
      </c>
      <c r="N229" s="247" t="s">
        <v>5876</v>
      </c>
      <c r="O229" s="240" t="str">
        <f t="shared" si="1"/>
        <v/>
      </c>
      <c r="P229" s="154" t="s">
        <v>66</v>
      </c>
      <c r="Q229" s="154" t="s">
        <v>66</v>
      </c>
      <c r="R229" s="154" t="s">
        <v>66</v>
      </c>
      <c r="S229" s="154" t="s">
        <v>66</v>
      </c>
      <c r="T229" s="154" t="s">
        <v>66</v>
      </c>
      <c r="U229" s="154" t="s">
        <v>66</v>
      </c>
      <c r="V229" s="154" t="s">
        <v>66</v>
      </c>
      <c r="W229" s="154" t="s">
        <v>66</v>
      </c>
      <c r="X229" s="154" t="s">
        <v>66</v>
      </c>
      <c r="Y229" s="154"/>
      <c r="Z229" s="242" t="b">
        <f t="shared" si="2"/>
        <v>1</v>
      </c>
      <c r="AA229" s="154" t="s">
        <v>391</v>
      </c>
      <c r="AB229" s="242" t="b">
        <f t="shared" si="3"/>
        <v>0</v>
      </c>
      <c r="AC229" s="154"/>
      <c r="AD229" s="242" t="b">
        <f t="shared" si="4"/>
        <v>0</v>
      </c>
      <c r="AE229" s="154" t="s">
        <v>1016</v>
      </c>
      <c r="AF229" s="242" t="str">
        <f>IF(AE229="","N/A",INDIRECT("MTR!"&amp;ADDRESS(MATCH(LEFT(AE229,9),MTR!C:C,0),COLUMN(J229)),TRUE) &amp; "")</f>
        <v>Partially Complies</v>
      </c>
      <c r="AG229" s="157" t="str">
        <f t="shared" si="5"/>
        <v/>
      </c>
      <c r="AH229" s="170"/>
      <c r="AI229" s="152"/>
      <c r="AJ229" s="152"/>
      <c r="AK229" s="152"/>
      <c r="AL229" s="152"/>
      <c r="AM229" s="152"/>
      <c r="AN229" s="152"/>
      <c r="AO229" s="152"/>
      <c r="AP229" s="152"/>
      <c r="AQ229" s="152"/>
      <c r="AR229" s="152"/>
    </row>
    <row r="230" ht="12.75" customHeight="1">
      <c r="A230" s="244" t="s">
        <v>5158</v>
      </c>
      <c r="B230" s="244" t="s">
        <v>5725</v>
      </c>
      <c r="C230" s="244" t="s">
        <v>6486</v>
      </c>
      <c r="D230" s="154" t="s">
        <v>602</v>
      </c>
      <c r="E230" s="154"/>
      <c r="F230" s="154" t="str">
        <f t="array" ref="F230">XLOOKUP(Cover!$D$12,$P$1:$X$1,$P230:$X230)</f>
        <v>Information</v>
      </c>
      <c r="G230" s="154" t="s">
        <v>6487</v>
      </c>
      <c r="H230" s="154" t="s">
        <v>6488</v>
      </c>
      <c r="I230" s="154" t="s">
        <v>6489</v>
      </c>
      <c r="J230" s="154" t="s">
        <v>6064</v>
      </c>
      <c r="K230" s="154"/>
      <c r="L230" s="154" t="s">
        <v>759</v>
      </c>
      <c r="M230" s="247" t="s">
        <v>516</v>
      </c>
      <c r="N230" s="247" t="s">
        <v>5876</v>
      </c>
      <c r="O230" s="240" t="str">
        <f t="shared" si="1"/>
        <v/>
      </c>
      <c r="P230" s="154" t="s">
        <v>66</v>
      </c>
      <c r="Q230" s="154" t="s">
        <v>66</v>
      </c>
      <c r="R230" s="154" t="s">
        <v>66</v>
      </c>
      <c r="S230" s="154" t="s">
        <v>66</v>
      </c>
      <c r="T230" s="154" t="s">
        <v>66</v>
      </c>
      <c r="U230" s="154" t="s">
        <v>66</v>
      </c>
      <c r="V230" s="154" t="s">
        <v>66</v>
      </c>
      <c r="W230" s="154" t="s">
        <v>66</v>
      </c>
      <c r="X230" s="154" t="s">
        <v>66</v>
      </c>
      <c r="Y230" s="154"/>
      <c r="Z230" s="242" t="b">
        <f t="shared" si="2"/>
        <v>1</v>
      </c>
      <c r="AA230" s="154" t="s">
        <v>391</v>
      </c>
      <c r="AB230" s="242" t="b">
        <f t="shared" si="3"/>
        <v>0</v>
      </c>
      <c r="AC230" s="154"/>
      <c r="AD230" s="242" t="b">
        <f t="shared" si="4"/>
        <v>0</v>
      </c>
      <c r="AE230" s="154" t="s">
        <v>1016</v>
      </c>
      <c r="AF230" s="242" t="str">
        <f>IF(AE230="","N/A",INDIRECT("MTR!"&amp;ADDRESS(MATCH(LEFT(AE230,9),MTR!C:C,0),COLUMN(J230)),TRUE) &amp; "")</f>
        <v>Partially Complies</v>
      </c>
      <c r="AG230" s="157" t="str">
        <f t="shared" si="5"/>
        <v/>
      </c>
      <c r="AH230" s="170"/>
      <c r="AI230" s="152"/>
      <c r="AJ230" s="152"/>
      <c r="AK230" s="152"/>
      <c r="AL230" s="152"/>
      <c r="AM230" s="152"/>
      <c r="AN230" s="152"/>
      <c r="AO230" s="152"/>
      <c r="AP230" s="152"/>
      <c r="AQ230" s="152"/>
      <c r="AR230" s="152"/>
    </row>
    <row r="231" ht="12.75" customHeight="1">
      <c r="A231" s="244" t="s">
        <v>5158</v>
      </c>
      <c r="B231" s="244" t="s">
        <v>5725</v>
      </c>
      <c r="C231" s="245" t="s">
        <v>6490</v>
      </c>
      <c r="D231" s="155" t="s">
        <v>503</v>
      </c>
      <c r="E231" s="154" t="s">
        <v>92</v>
      </c>
      <c r="F231" s="154" t="str">
        <f t="array" ref="F231">XLOOKUP(Cover!$D$12,$P$1:$X$1,$P231:$X231)</f>
        <v>Information</v>
      </c>
      <c r="G231" s="154" t="s">
        <v>6491</v>
      </c>
      <c r="H231" s="154" t="s">
        <v>6169</v>
      </c>
      <c r="I231" s="154" t="s">
        <v>6492</v>
      </c>
      <c r="J231" s="154" t="s">
        <v>6463</v>
      </c>
      <c r="K231" s="154"/>
      <c r="L231" s="154" t="s">
        <v>759</v>
      </c>
      <c r="M231" s="247" t="s">
        <v>445</v>
      </c>
      <c r="N231" s="247" t="s">
        <v>5733</v>
      </c>
      <c r="O231" s="240" t="str">
        <f t="shared" si="1"/>
        <v/>
      </c>
      <c r="P231" s="154" t="s">
        <v>66</v>
      </c>
      <c r="Q231" s="154" t="s">
        <v>66</v>
      </c>
      <c r="R231" s="154" t="s">
        <v>66</v>
      </c>
      <c r="S231" s="154" t="s">
        <v>66</v>
      </c>
      <c r="T231" s="154" t="s">
        <v>66</v>
      </c>
      <c r="U231" s="154" t="s">
        <v>66</v>
      </c>
      <c r="V231" s="154" t="s">
        <v>66</v>
      </c>
      <c r="W231" s="154" t="s">
        <v>66</v>
      </c>
      <c r="X231" s="154" t="s">
        <v>66</v>
      </c>
      <c r="Y231" s="154"/>
      <c r="Z231" s="242" t="b">
        <f t="shared" si="2"/>
        <v>1</v>
      </c>
      <c r="AA231" s="154" t="s">
        <v>391</v>
      </c>
      <c r="AB231" s="242" t="b">
        <f t="shared" si="3"/>
        <v>0</v>
      </c>
      <c r="AC231" s="154"/>
      <c r="AD231" s="242" t="b">
        <f t="shared" si="4"/>
        <v>0</v>
      </c>
      <c r="AE231" s="154" t="s">
        <v>1016</v>
      </c>
      <c r="AF231" s="242" t="str">
        <f>IF(AE231="","N/A",INDIRECT("MTR!"&amp;ADDRESS(MATCH(LEFT(AE231,9),MTR!C:C,0),COLUMN(J231)),TRUE) &amp; "")</f>
        <v>Partially Complies</v>
      </c>
      <c r="AG231" s="157" t="str">
        <f t="shared" si="5"/>
        <v/>
      </c>
      <c r="AH231" s="170"/>
      <c r="AI231" s="152"/>
      <c r="AJ231" s="152"/>
      <c r="AK231" s="152"/>
      <c r="AL231" s="152"/>
      <c r="AM231" s="152"/>
      <c r="AN231" s="152"/>
      <c r="AO231" s="152"/>
      <c r="AP231" s="152"/>
      <c r="AQ231" s="152"/>
      <c r="AR231" s="152"/>
    </row>
    <row r="232" ht="12.75" customHeight="1">
      <c r="A232" s="244" t="s">
        <v>5158</v>
      </c>
      <c r="B232" s="244" t="s">
        <v>5725</v>
      </c>
      <c r="C232" s="244" t="s">
        <v>6493</v>
      </c>
      <c r="D232" s="154" t="s">
        <v>1069</v>
      </c>
      <c r="E232" s="154"/>
      <c r="F232" s="154" t="str">
        <f t="array" ref="F232">XLOOKUP(Cover!$D$12,$P$1:$X$1,$P232:$X232)</f>
        <v>Information</v>
      </c>
      <c r="G232" s="154" t="s">
        <v>6494</v>
      </c>
      <c r="H232" s="154" t="s">
        <v>6134</v>
      </c>
      <c r="I232" s="154" t="s">
        <v>6495</v>
      </c>
      <c r="J232" s="154" t="s">
        <v>6154</v>
      </c>
      <c r="K232" s="154"/>
      <c r="L232" s="154" t="s">
        <v>759</v>
      </c>
      <c r="M232" s="247" t="s">
        <v>445</v>
      </c>
      <c r="N232" s="247" t="s">
        <v>5733</v>
      </c>
      <c r="O232" s="240" t="str">
        <f t="shared" si="1"/>
        <v/>
      </c>
      <c r="P232" s="154" t="s">
        <v>66</v>
      </c>
      <c r="Q232" s="154" t="s">
        <v>66</v>
      </c>
      <c r="R232" s="154" t="s">
        <v>66</v>
      </c>
      <c r="S232" s="154" t="s">
        <v>66</v>
      </c>
      <c r="T232" s="154" t="s">
        <v>66</v>
      </c>
      <c r="U232" s="154" t="s">
        <v>66</v>
      </c>
      <c r="V232" s="154" t="s">
        <v>66</v>
      </c>
      <c r="W232" s="154" t="s">
        <v>66</v>
      </c>
      <c r="X232" s="154" t="s">
        <v>66</v>
      </c>
      <c r="Y232" s="154"/>
      <c r="Z232" s="242" t="b">
        <f t="shared" si="2"/>
        <v>1</v>
      </c>
      <c r="AA232" s="154" t="s">
        <v>391</v>
      </c>
      <c r="AB232" s="242" t="b">
        <f t="shared" si="3"/>
        <v>0</v>
      </c>
      <c r="AC232" s="154"/>
      <c r="AD232" s="242" t="b">
        <f t="shared" si="4"/>
        <v>0</v>
      </c>
      <c r="AE232" s="154" t="s">
        <v>1016</v>
      </c>
      <c r="AF232" s="242" t="str">
        <f>IF(AE232="","N/A",INDIRECT("MTR!"&amp;ADDRESS(MATCH(LEFT(AE232,9),MTR!C:C,0),COLUMN(J232)),TRUE) &amp; "")</f>
        <v>Partially Complies</v>
      </c>
      <c r="AG232" s="157" t="str">
        <f t="shared" si="5"/>
        <v/>
      </c>
      <c r="AH232" s="170"/>
      <c r="AI232" s="152"/>
      <c r="AJ232" s="152"/>
      <c r="AK232" s="152"/>
      <c r="AL232" s="152"/>
      <c r="AM232" s="152"/>
      <c r="AN232" s="152"/>
      <c r="AO232" s="152"/>
      <c r="AP232" s="152"/>
      <c r="AQ232" s="152"/>
      <c r="AR232" s="152"/>
    </row>
    <row r="233" ht="12.75" customHeight="1">
      <c r="A233" s="244" t="s">
        <v>5158</v>
      </c>
      <c r="B233" s="244" t="s">
        <v>5725</v>
      </c>
      <c r="C233" s="244" t="s">
        <v>6496</v>
      </c>
      <c r="D233" s="154" t="s">
        <v>1069</v>
      </c>
      <c r="E233" s="154"/>
      <c r="F233" s="154" t="str">
        <f t="array" ref="F233">XLOOKUP(Cover!$D$12,$P$1:$X$1,$P233:$X233)</f>
        <v>Information</v>
      </c>
      <c r="G233" s="154" t="s">
        <v>6497</v>
      </c>
      <c r="H233" s="154" t="s">
        <v>6143</v>
      </c>
      <c r="I233" s="154" t="s">
        <v>6498</v>
      </c>
      <c r="J233" s="154" t="s">
        <v>6154</v>
      </c>
      <c r="K233" s="154"/>
      <c r="L233" s="154" t="s">
        <v>759</v>
      </c>
      <c r="M233" s="247" t="s">
        <v>445</v>
      </c>
      <c r="N233" s="247" t="s">
        <v>5733</v>
      </c>
      <c r="O233" s="240" t="str">
        <f t="shared" si="1"/>
        <v/>
      </c>
      <c r="P233" s="154" t="s">
        <v>66</v>
      </c>
      <c r="Q233" s="154" t="s">
        <v>66</v>
      </c>
      <c r="R233" s="154" t="s">
        <v>66</v>
      </c>
      <c r="S233" s="154" t="s">
        <v>66</v>
      </c>
      <c r="T233" s="154" t="s">
        <v>66</v>
      </c>
      <c r="U233" s="154" t="s">
        <v>66</v>
      </c>
      <c r="V233" s="154" t="s">
        <v>66</v>
      </c>
      <c r="W233" s="154" t="s">
        <v>66</v>
      </c>
      <c r="X233" s="154" t="s">
        <v>66</v>
      </c>
      <c r="Y233" s="154"/>
      <c r="Z233" s="242" t="b">
        <f t="shared" si="2"/>
        <v>1</v>
      </c>
      <c r="AA233" s="154" t="s">
        <v>391</v>
      </c>
      <c r="AB233" s="242" t="b">
        <f t="shared" si="3"/>
        <v>0</v>
      </c>
      <c r="AC233" s="154"/>
      <c r="AD233" s="242" t="b">
        <f t="shared" si="4"/>
        <v>0</v>
      </c>
      <c r="AE233" s="154" t="s">
        <v>1016</v>
      </c>
      <c r="AF233" s="242" t="str">
        <f>IF(AE233="","N/A",INDIRECT("MTR!"&amp;ADDRESS(MATCH(LEFT(AE233,9),MTR!C:C,0),COLUMN(J233)),TRUE) &amp; "")</f>
        <v>Partially Complies</v>
      </c>
      <c r="AG233" s="157" t="str">
        <f t="shared" si="5"/>
        <v/>
      </c>
      <c r="AH233" s="170"/>
      <c r="AI233" s="152"/>
      <c r="AJ233" s="152"/>
      <c r="AK233" s="152"/>
      <c r="AL233" s="152"/>
      <c r="AM233" s="152"/>
      <c r="AN233" s="152"/>
      <c r="AO233" s="152"/>
      <c r="AP233" s="152"/>
      <c r="AQ233" s="152"/>
      <c r="AR233" s="152"/>
    </row>
    <row r="234" ht="12.75" customHeight="1">
      <c r="A234" s="244" t="s">
        <v>5158</v>
      </c>
      <c r="B234" s="244" t="s">
        <v>5725</v>
      </c>
      <c r="C234" s="244" t="s">
        <v>6499</v>
      </c>
      <c r="D234" s="154" t="s">
        <v>1315</v>
      </c>
      <c r="E234" s="154"/>
      <c r="F234" s="154" t="str">
        <f t="array" ref="F234">XLOOKUP(Cover!$D$12,$P$1:$X$1,$P234:$X234)</f>
        <v>Information</v>
      </c>
      <c r="G234" s="154" t="s">
        <v>6500</v>
      </c>
      <c r="H234" s="154" t="s">
        <v>6501</v>
      </c>
      <c r="I234" s="154" t="s">
        <v>6502</v>
      </c>
      <c r="J234" s="154" t="s">
        <v>6022</v>
      </c>
      <c r="K234" s="154"/>
      <c r="L234" s="154" t="s">
        <v>759</v>
      </c>
      <c r="M234" s="247" t="s">
        <v>516</v>
      </c>
      <c r="N234" s="247" t="s">
        <v>5876</v>
      </c>
      <c r="O234" s="240" t="str">
        <f t="shared" si="1"/>
        <v/>
      </c>
      <c r="P234" s="154" t="s">
        <v>66</v>
      </c>
      <c r="Q234" s="154" t="s">
        <v>66</v>
      </c>
      <c r="R234" s="154" t="s">
        <v>66</v>
      </c>
      <c r="S234" s="154" t="s">
        <v>66</v>
      </c>
      <c r="T234" s="154" t="s">
        <v>66</v>
      </c>
      <c r="U234" s="154" t="s">
        <v>66</v>
      </c>
      <c r="V234" s="154" t="s">
        <v>66</v>
      </c>
      <c r="W234" s="154" t="s">
        <v>66</v>
      </c>
      <c r="X234" s="154" t="s">
        <v>66</v>
      </c>
      <c r="Y234" s="154"/>
      <c r="Z234" s="242" t="b">
        <f t="shared" si="2"/>
        <v>1</v>
      </c>
      <c r="AA234" s="154" t="s">
        <v>391</v>
      </c>
      <c r="AB234" s="242" t="b">
        <f t="shared" si="3"/>
        <v>0</v>
      </c>
      <c r="AC234" s="154"/>
      <c r="AD234" s="242" t="b">
        <f t="shared" si="4"/>
        <v>0</v>
      </c>
      <c r="AE234" s="154" t="s">
        <v>1016</v>
      </c>
      <c r="AF234" s="242" t="str">
        <f>IF(AE234="","N/A",INDIRECT("MTR!"&amp;ADDRESS(MATCH(LEFT(AE234,9),MTR!C:C,0),COLUMN(J234)),TRUE) &amp; "")</f>
        <v>Partially Complies</v>
      </c>
      <c r="AG234" s="157" t="str">
        <f t="shared" si="5"/>
        <v/>
      </c>
      <c r="AH234" s="170"/>
      <c r="AI234" s="152"/>
      <c r="AJ234" s="152"/>
      <c r="AK234" s="152"/>
      <c r="AL234" s="152"/>
      <c r="AM234" s="152"/>
      <c r="AN234" s="152"/>
      <c r="AO234" s="152"/>
      <c r="AP234" s="152"/>
      <c r="AQ234" s="152"/>
      <c r="AR234" s="152"/>
    </row>
    <row r="235" ht="12.75" customHeight="1">
      <c r="A235" s="244" t="s">
        <v>5158</v>
      </c>
      <c r="B235" s="244" t="s">
        <v>5725</v>
      </c>
      <c r="C235" s="244" t="s">
        <v>6503</v>
      </c>
      <c r="D235" s="154" t="s">
        <v>1315</v>
      </c>
      <c r="E235" s="154"/>
      <c r="F235" s="154" t="str">
        <f t="array" ref="F235">XLOOKUP(Cover!$D$12,$P$1:$X$1,$P235:$X235)</f>
        <v>Recommended</v>
      </c>
      <c r="G235" s="154" t="s">
        <v>6504</v>
      </c>
      <c r="H235" s="154" t="s">
        <v>6157</v>
      </c>
      <c r="I235" s="154" t="s">
        <v>6505</v>
      </c>
      <c r="J235" s="154" t="s">
        <v>6022</v>
      </c>
      <c r="K235" s="154"/>
      <c r="L235" s="154" t="s">
        <v>759</v>
      </c>
      <c r="M235" s="247" t="s">
        <v>516</v>
      </c>
      <c r="N235" s="247" t="s">
        <v>5876</v>
      </c>
      <c r="O235" s="240" t="str">
        <f t="shared" si="1"/>
        <v/>
      </c>
      <c r="P235" s="154" t="s">
        <v>66</v>
      </c>
      <c r="Q235" s="154" t="s">
        <v>66</v>
      </c>
      <c r="R235" s="154" t="s">
        <v>66</v>
      </c>
      <c r="S235" s="154" t="s">
        <v>64</v>
      </c>
      <c r="T235" s="154" t="s">
        <v>64</v>
      </c>
      <c r="U235" s="154" t="s">
        <v>64</v>
      </c>
      <c r="V235" s="154" t="s">
        <v>66</v>
      </c>
      <c r="W235" s="154" t="s">
        <v>64</v>
      </c>
      <c r="X235" s="154" t="s">
        <v>64</v>
      </c>
      <c r="Y235" s="154"/>
      <c r="Z235" s="242" t="b">
        <f t="shared" si="2"/>
        <v>1</v>
      </c>
      <c r="AA235" s="154" t="s">
        <v>391</v>
      </c>
      <c r="AB235" s="242" t="b">
        <f t="shared" si="3"/>
        <v>0</v>
      </c>
      <c r="AC235" s="154"/>
      <c r="AD235" s="242" t="b">
        <f t="shared" si="4"/>
        <v>0</v>
      </c>
      <c r="AE235" s="154" t="s">
        <v>1016</v>
      </c>
      <c r="AF235" s="242" t="str">
        <f>IF(AE235="","N/A",INDIRECT("MTR!"&amp;ADDRESS(MATCH(LEFT(AE235,9),MTR!C:C,0),COLUMN(J235)),TRUE) &amp; "")</f>
        <v>Partially Complies</v>
      </c>
      <c r="AG235" s="157" t="str">
        <f t="shared" si="5"/>
        <v/>
      </c>
      <c r="AH235" s="170"/>
      <c r="AI235" s="152"/>
      <c r="AJ235" s="152"/>
      <c r="AK235" s="152"/>
      <c r="AL235" s="152"/>
      <c r="AM235" s="152"/>
      <c r="AN235" s="152"/>
      <c r="AO235" s="152"/>
      <c r="AP235" s="152"/>
      <c r="AQ235" s="152"/>
      <c r="AR235" s="152"/>
    </row>
    <row r="236" ht="12.75" customHeight="1">
      <c r="A236" s="244" t="s">
        <v>5158</v>
      </c>
      <c r="B236" s="244" t="s">
        <v>5725</v>
      </c>
      <c r="C236" s="244" t="s">
        <v>6506</v>
      </c>
      <c r="D236" s="154" t="s">
        <v>1315</v>
      </c>
      <c r="E236" s="154"/>
      <c r="F236" s="154" t="str">
        <f t="array" ref="F236">XLOOKUP(Cover!$D$12,$P$1:$X$1,$P236:$X236)</f>
        <v>Information</v>
      </c>
      <c r="G236" s="154" t="s">
        <v>6507</v>
      </c>
      <c r="H236" s="154" t="s">
        <v>6161</v>
      </c>
      <c r="I236" s="154" t="s">
        <v>6508</v>
      </c>
      <c r="J236" s="154" t="s">
        <v>6022</v>
      </c>
      <c r="K236" s="154"/>
      <c r="L236" s="154" t="s">
        <v>759</v>
      </c>
      <c r="M236" s="247" t="s">
        <v>516</v>
      </c>
      <c r="N236" s="247" t="s">
        <v>5876</v>
      </c>
      <c r="O236" s="240" t="str">
        <f t="shared" si="1"/>
        <v/>
      </c>
      <c r="P236" s="154" t="s">
        <v>66</v>
      </c>
      <c r="Q236" s="154" t="s">
        <v>66</v>
      </c>
      <c r="R236" s="154" t="s">
        <v>66</v>
      </c>
      <c r="S236" s="154" t="s">
        <v>66</v>
      </c>
      <c r="T236" s="154" t="s">
        <v>66</v>
      </c>
      <c r="U236" s="154" t="s">
        <v>66</v>
      </c>
      <c r="V236" s="154" t="s">
        <v>66</v>
      </c>
      <c r="W236" s="154" t="s">
        <v>66</v>
      </c>
      <c r="X236" s="154" t="s">
        <v>66</v>
      </c>
      <c r="Y236" s="154"/>
      <c r="Z236" s="242" t="b">
        <f t="shared" si="2"/>
        <v>1</v>
      </c>
      <c r="AA236" s="154" t="s">
        <v>391</v>
      </c>
      <c r="AB236" s="242" t="b">
        <f t="shared" si="3"/>
        <v>0</v>
      </c>
      <c r="AC236" s="154"/>
      <c r="AD236" s="242" t="b">
        <f t="shared" si="4"/>
        <v>0</v>
      </c>
      <c r="AE236" s="154" t="s">
        <v>1016</v>
      </c>
      <c r="AF236" s="242" t="str">
        <f>IF(AE236="","N/A",INDIRECT("MTR!"&amp;ADDRESS(MATCH(LEFT(AE236,9),MTR!C:C,0),COLUMN(J236)),TRUE) &amp; "")</f>
        <v>Partially Complies</v>
      </c>
      <c r="AG236" s="157" t="str">
        <f t="shared" si="5"/>
        <v/>
      </c>
      <c r="AH236" s="170"/>
      <c r="AI236" s="152"/>
      <c r="AJ236" s="152"/>
      <c r="AK236" s="152"/>
      <c r="AL236" s="152"/>
      <c r="AM236" s="152"/>
      <c r="AN236" s="152"/>
      <c r="AO236" s="152"/>
      <c r="AP236" s="152"/>
      <c r="AQ236" s="152"/>
      <c r="AR236" s="152"/>
    </row>
    <row r="237" ht="12.75" customHeight="1">
      <c r="A237" s="244" t="s">
        <v>5158</v>
      </c>
      <c r="B237" s="244" t="s">
        <v>5725</v>
      </c>
      <c r="C237" s="244" t="s">
        <v>6509</v>
      </c>
      <c r="D237" s="154" t="s">
        <v>1315</v>
      </c>
      <c r="E237" s="154"/>
      <c r="F237" s="154" t="str">
        <f t="array" ref="F237">XLOOKUP(Cover!$D$12,$P$1:$X$1,$P237:$X237)</f>
        <v>Information</v>
      </c>
      <c r="G237" s="154" t="s">
        <v>6510</v>
      </c>
      <c r="H237" s="154" t="s">
        <v>6169</v>
      </c>
      <c r="I237" s="154" t="s">
        <v>6511</v>
      </c>
      <c r="J237" s="154" t="s">
        <v>6022</v>
      </c>
      <c r="K237" s="154"/>
      <c r="L237" s="154" t="s">
        <v>759</v>
      </c>
      <c r="M237" s="247" t="s">
        <v>516</v>
      </c>
      <c r="N237" s="247" t="s">
        <v>5876</v>
      </c>
      <c r="O237" s="240" t="str">
        <f t="shared" si="1"/>
        <v/>
      </c>
      <c r="P237" s="154" t="s">
        <v>66</v>
      </c>
      <c r="Q237" s="154" t="s">
        <v>66</v>
      </c>
      <c r="R237" s="154" t="s">
        <v>66</v>
      </c>
      <c r="S237" s="154" t="s">
        <v>66</v>
      </c>
      <c r="T237" s="154" t="s">
        <v>66</v>
      </c>
      <c r="U237" s="154" t="s">
        <v>66</v>
      </c>
      <c r="V237" s="154" t="s">
        <v>66</v>
      </c>
      <c r="W237" s="154" t="s">
        <v>66</v>
      </c>
      <c r="X237" s="154" t="s">
        <v>66</v>
      </c>
      <c r="Y237" s="154"/>
      <c r="Z237" s="242" t="b">
        <f t="shared" si="2"/>
        <v>1</v>
      </c>
      <c r="AA237" s="154" t="s">
        <v>391</v>
      </c>
      <c r="AB237" s="242" t="b">
        <f t="shared" si="3"/>
        <v>0</v>
      </c>
      <c r="AC237" s="154"/>
      <c r="AD237" s="242" t="b">
        <f t="shared" si="4"/>
        <v>0</v>
      </c>
      <c r="AE237" s="154" t="s">
        <v>1016</v>
      </c>
      <c r="AF237" s="242" t="str">
        <f>IF(AE237="","N/A",INDIRECT("MTR!"&amp;ADDRESS(MATCH(LEFT(AE237,9),MTR!C:C,0),COLUMN(J237)),TRUE) &amp; "")</f>
        <v>Partially Complies</v>
      </c>
      <c r="AG237" s="157" t="str">
        <f t="shared" si="5"/>
        <v/>
      </c>
      <c r="AH237" s="170"/>
      <c r="AI237" s="152"/>
      <c r="AJ237" s="152"/>
      <c r="AK237" s="152"/>
      <c r="AL237" s="152"/>
      <c r="AM237" s="152"/>
      <c r="AN237" s="152"/>
      <c r="AO237" s="152"/>
      <c r="AP237" s="152"/>
      <c r="AQ237" s="152"/>
      <c r="AR237" s="152"/>
    </row>
    <row r="238" ht="12.75" customHeight="1">
      <c r="A238" s="244" t="s">
        <v>5158</v>
      </c>
      <c r="B238" s="244" t="s">
        <v>5725</v>
      </c>
      <c r="C238" s="244" t="s">
        <v>6512</v>
      </c>
      <c r="D238" s="154" t="s">
        <v>1315</v>
      </c>
      <c r="E238" s="154"/>
      <c r="F238" s="154" t="str">
        <f t="array" ref="F238">XLOOKUP(Cover!$D$12,$P$1:$X$1,$P238:$X238)</f>
        <v>Information</v>
      </c>
      <c r="G238" s="154" t="s">
        <v>6513</v>
      </c>
      <c r="H238" s="154" t="s">
        <v>6182</v>
      </c>
      <c r="I238" s="154" t="s">
        <v>6514</v>
      </c>
      <c r="J238" s="154" t="s">
        <v>6022</v>
      </c>
      <c r="K238" s="154"/>
      <c r="L238" s="154" t="s">
        <v>759</v>
      </c>
      <c r="M238" s="247" t="s">
        <v>516</v>
      </c>
      <c r="N238" s="247" t="s">
        <v>5876</v>
      </c>
      <c r="O238" s="240" t="str">
        <f t="shared" si="1"/>
        <v/>
      </c>
      <c r="P238" s="154" t="s">
        <v>66</v>
      </c>
      <c r="Q238" s="154" t="s">
        <v>66</v>
      </c>
      <c r="R238" s="154" t="s">
        <v>66</v>
      </c>
      <c r="S238" s="154" t="s">
        <v>66</v>
      </c>
      <c r="T238" s="154" t="s">
        <v>66</v>
      </c>
      <c r="U238" s="154" t="s">
        <v>66</v>
      </c>
      <c r="V238" s="154" t="s">
        <v>66</v>
      </c>
      <c r="W238" s="154" t="s">
        <v>66</v>
      </c>
      <c r="X238" s="154" t="s">
        <v>66</v>
      </c>
      <c r="Y238" s="154"/>
      <c r="Z238" s="242" t="b">
        <f t="shared" si="2"/>
        <v>1</v>
      </c>
      <c r="AA238" s="154" t="s">
        <v>391</v>
      </c>
      <c r="AB238" s="242" t="b">
        <f t="shared" si="3"/>
        <v>0</v>
      </c>
      <c r="AC238" s="154"/>
      <c r="AD238" s="242" t="b">
        <f t="shared" si="4"/>
        <v>0</v>
      </c>
      <c r="AE238" s="154" t="s">
        <v>1016</v>
      </c>
      <c r="AF238" s="242" t="str">
        <f>IF(AE238="","N/A",INDIRECT("MTR!"&amp;ADDRESS(MATCH(LEFT(AE238,9),MTR!C:C,0),COLUMN(J238)),TRUE) &amp; "")</f>
        <v>Partially Complies</v>
      </c>
      <c r="AG238" s="157" t="str">
        <f t="shared" si="5"/>
        <v/>
      </c>
      <c r="AH238" s="170"/>
      <c r="AI238" s="152"/>
      <c r="AJ238" s="152"/>
      <c r="AK238" s="152"/>
      <c r="AL238" s="152"/>
      <c r="AM238" s="152"/>
      <c r="AN238" s="152"/>
      <c r="AO238" s="152"/>
      <c r="AP238" s="152"/>
      <c r="AQ238" s="152"/>
      <c r="AR238" s="152"/>
    </row>
    <row r="239" ht="12.75" customHeight="1">
      <c r="A239" s="238" t="s">
        <v>5158</v>
      </c>
      <c r="B239" s="238" t="s">
        <v>5725</v>
      </c>
      <c r="C239" s="238" t="s">
        <v>6515</v>
      </c>
      <c r="D239" s="240"/>
      <c r="E239" s="240" t="s">
        <v>92</v>
      </c>
      <c r="F239" s="240" t="str">
        <f t="array" ref="F239">XLOOKUP(Cover!$D$12,$P$1:$X$1,$P239:$X239)</f>
        <v>Heading</v>
      </c>
      <c r="G239" s="239" t="s">
        <v>6516</v>
      </c>
      <c r="H239" s="240"/>
      <c r="I239" s="240"/>
      <c r="J239" s="240"/>
      <c r="K239" s="240"/>
      <c r="L239" s="240" t="s">
        <v>759</v>
      </c>
      <c r="M239" s="240"/>
      <c r="N239" s="240"/>
      <c r="O239" s="240" t="str">
        <f t="shared" si="1"/>
        <v/>
      </c>
      <c r="P239" s="240" t="s">
        <v>390</v>
      </c>
      <c r="Q239" s="240" t="s">
        <v>390</v>
      </c>
      <c r="R239" s="240" t="s">
        <v>390</v>
      </c>
      <c r="S239" s="240" t="s">
        <v>390</v>
      </c>
      <c r="T239" s="240" t="s">
        <v>390</v>
      </c>
      <c r="U239" s="240" t="s">
        <v>390</v>
      </c>
      <c r="V239" s="240" t="s">
        <v>390</v>
      </c>
      <c r="W239" s="240" t="s">
        <v>390</v>
      </c>
      <c r="X239" s="240" t="s">
        <v>390</v>
      </c>
      <c r="Y239" s="240"/>
      <c r="Z239" s="242" t="b">
        <f t="shared" si="2"/>
        <v>0</v>
      </c>
      <c r="AA239" s="240" t="s">
        <v>391</v>
      </c>
      <c r="AB239" s="242" t="b">
        <f t="shared" si="3"/>
        <v>0</v>
      </c>
      <c r="AC239" s="240"/>
      <c r="AD239" s="242" t="b">
        <f t="shared" si="4"/>
        <v>0</v>
      </c>
      <c r="AE239" s="240"/>
      <c r="AF239" s="242" t="str">
        <f>IF(AE239="","N/A",INDIRECT("MTR!"&amp;ADDRESS(MATCH(LEFT(AE239,9),MTR!C:C,0),COLUMN(J239)),TRUE) &amp; "")</f>
        <v>N/A</v>
      </c>
      <c r="AG239" s="157" t="str">
        <f t="shared" si="5"/>
        <v/>
      </c>
      <c r="AH239" s="170"/>
      <c r="AI239" s="152"/>
      <c r="AJ239" s="152"/>
      <c r="AK239" s="152"/>
      <c r="AL239" s="152"/>
      <c r="AM239" s="152"/>
      <c r="AN239" s="152"/>
      <c r="AO239" s="152"/>
      <c r="AP239" s="152"/>
      <c r="AQ239" s="152"/>
      <c r="AR239" s="152"/>
    </row>
    <row r="240" ht="12.75" customHeight="1">
      <c r="A240" s="244" t="s">
        <v>5158</v>
      </c>
      <c r="B240" s="244" t="s">
        <v>5725</v>
      </c>
      <c r="C240" s="244" t="s">
        <v>6517</v>
      </c>
      <c r="D240" s="154" t="s">
        <v>1120</v>
      </c>
      <c r="E240" s="154"/>
      <c r="F240" s="154" t="str">
        <f t="array" ref="F240">XLOOKUP(Cover!$D$12,$P$1:$X$1,$P240:$X240)</f>
        <v>Information</v>
      </c>
      <c r="G240" s="154" t="s">
        <v>6518</v>
      </c>
      <c r="H240" s="154" t="s">
        <v>6519</v>
      </c>
      <c r="I240" s="154" t="s">
        <v>6520</v>
      </c>
      <c r="J240" s="154" t="s">
        <v>5890</v>
      </c>
      <c r="K240" s="154"/>
      <c r="L240" s="154" t="s">
        <v>759</v>
      </c>
      <c r="M240" s="247" t="s">
        <v>516</v>
      </c>
      <c r="N240" s="247" t="s">
        <v>5876</v>
      </c>
      <c r="O240" s="240" t="str">
        <f t="shared" si="1"/>
        <v/>
      </c>
      <c r="P240" s="154" t="s">
        <v>66</v>
      </c>
      <c r="Q240" s="154" t="s">
        <v>66</v>
      </c>
      <c r="R240" s="154" t="s">
        <v>66</v>
      </c>
      <c r="S240" s="154" t="s">
        <v>66</v>
      </c>
      <c r="T240" s="154" t="s">
        <v>66</v>
      </c>
      <c r="U240" s="154" t="s">
        <v>66</v>
      </c>
      <c r="V240" s="154" t="s">
        <v>66</v>
      </c>
      <c r="W240" s="154" t="s">
        <v>66</v>
      </c>
      <c r="X240" s="154" t="s">
        <v>66</v>
      </c>
      <c r="Y240" s="154"/>
      <c r="Z240" s="242" t="b">
        <f t="shared" si="2"/>
        <v>1</v>
      </c>
      <c r="AA240" s="154" t="s">
        <v>391</v>
      </c>
      <c r="AB240" s="242" t="b">
        <f t="shared" si="3"/>
        <v>0</v>
      </c>
      <c r="AC240" s="154"/>
      <c r="AD240" s="242" t="b">
        <f t="shared" si="4"/>
        <v>0</v>
      </c>
      <c r="AE240" s="154" t="s">
        <v>1029</v>
      </c>
      <c r="AF240" s="242" t="str">
        <f>IF(AE240="","N/A",INDIRECT("MTR!"&amp;ADDRESS(MATCH(LEFT(AE240,9),MTR!C:C,0),COLUMN(J240)),TRUE) &amp; "")</f>
        <v>Partially Complies</v>
      </c>
      <c r="AG240" s="157" t="str">
        <f t="shared" si="5"/>
        <v/>
      </c>
      <c r="AH240" s="170"/>
      <c r="AI240" s="152"/>
      <c r="AJ240" s="152"/>
      <c r="AK240" s="152"/>
      <c r="AL240" s="152"/>
      <c r="AM240" s="152"/>
      <c r="AN240" s="152"/>
      <c r="AO240" s="152"/>
      <c r="AP240" s="152"/>
      <c r="AQ240" s="152"/>
      <c r="AR240" s="152"/>
    </row>
    <row r="241" ht="12.75" customHeight="1">
      <c r="A241" s="244" t="s">
        <v>5158</v>
      </c>
      <c r="B241" s="244" t="s">
        <v>5725</v>
      </c>
      <c r="C241" s="244" t="s">
        <v>6521</v>
      </c>
      <c r="D241" s="154" t="s">
        <v>781</v>
      </c>
      <c r="E241" s="154"/>
      <c r="F241" s="154" t="str">
        <f t="array" ref="F241">XLOOKUP(Cover!$D$12,$P$1:$X$1,$P241:$X241)</f>
        <v>Information</v>
      </c>
      <c r="G241" s="154" t="s">
        <v>6522</v>
      </c>
      <c r="H241" s="154" t="s">
        <v>6523</v>
      </c>
      <c r="I241" s="154" t="s">
        <v>6524</v>
      </c>
      <c r="J241" s="154" t="s">
        <v>6525</v>
      </c>
      <c r="K241" s="154"/>
      <c r="L241" s="154" t="s">
        <v>759</v>
      </c>
      <c r="M241" s="247" t="s">
        <v>445</v>
      </c>
      <c r="N241" s="247" t="s">
        <v>5733</v>
      </c>
      <c r="O241" s="240" t="str">
        <f t="shared" si="1"/>
        <v/>
      </c>
      <c r="P241" s="154" t="s">
        <v>66</v>
      </c>
      <c r="Q241" s="154" t="s">
        <v>66</v>
      </c>
      <c r="R241" s="154" t="s">
        <v>66</v>
      </c>
      <c r="S241" s="154" t="s">
        <v>66</v>
      </c>
      <c r="T241" s="154" t="s">
        <v>66</v>
      </c>
      <c r="U241" s="154" t="s">
        <v>66</v>
      </c>
      <c r="V241" s="154" t="s">
        <v>66</v>
      </c>
      <c r="W241" s="154" t="s">
        <v>66</v>
      </c>
      <c r="X241" s="154" t="s">
        <v>66</v>
      </c>
      <c r="Y241" s="154"/>
      <c r="Z241" s="242" t="b">
        <f t="shared" si="2"/>
        <v>1</v>
      </c>
      <c r="AA241" s="154" t="s">
        <v>391</v>
      </c>
      <c r="AB241" s="242" t="b">
        <f t="shared" si="3"/>
        <v>0</v>
      </c>
      <c r="AC241" s="154"/>
      <c r="AD241" s="242" t="b">
        <f t="shared" si="4"/>
        <v>0</v>
      </c>
      <c r="AE241" s="154" t="s">
        <v>1029</v>
      </c>
      <c r="AF241" s="242" t="str">
        <f>IF(AE241="","N/A",INDIRECT("MTR!"&amp;ADDRESS(MATCH(LEFT(AE241,9),MTR!C:C,0),COLUMN(J241)),TRUE) &amp; "")</f>
        <v>Partially Complies</v>
      </c>
      <c r="AG241" s="157" t="str">
        <f t="shared" si="5"/>
        <v/>
      </c>
      <c r="AH241" s="170"/>
      <c r="AI241" s="152"/>
      <c r="AJ241" s="152"/>
      <c r="AK241" s="152"/>
      <c r="AL241" s="152"/>
      <c r="AM241" s="152"/>
      <c r="AN241" s="152"/>
      <c r="AO241" s="152"/>
      <c r="AP241" s="152"/>
      <c r="AQ241" s="152"/>
      <c r="AR241" s="152"/>
    </row>
    <row r="242" ht="12.75" customHeight="1">
      <c r="A242" s="244" t="s">
        <v>5158</v>
      </c>
      <c r="B242" s="244" t="s">
        <v>5725</v>
      </c>
      <c r="C242" s="244" t="s">
        <v>6526</v>
      </c>
      <c r="D242" s="154" t="s">
        <v>546</v>
      </c>
      <c r="E242" s="154"/>
      <c r="F242" s="154" t="str">
        <f t="array" ref="F242">XLOOKUP(Cover!$D$12,$P$1:$X$1,$P242:$X242)</f>
        <v>Information</v>
      </c>
      <c r="G242" s="154" t="s">
        <v>6527</v>
      </c>
      <c r="H242" s="154" t="s">
        <v>5946</v>
      </c>
      <c r="I242" s="154" t="s">
        <v>6528</v>
      </c>
      <c r="J242" s="154" t="s">
        <v>6529</v>
      </c>
      <c r="K242" s="154"/>
      <c r="L242" s="154" t="s">
        <v>759</v>
      </c>
      <c r="M242" s="247" t="s">
        <v>445</v>
      </c>
      <c r="N242" s="247" t="s">
        <v>5733</v>
      </c>
      <c r="O242" s="240" t="str">
        <f t="shared" si="1"/>
        <v/>
      </c>
      <c r="P242" s="154" t="s">
        <v>66</v>
      </c>
      <c r="Q242" s="154" t="s">
        <v>66</v>
      </c>
      <c r="R242" s="154" t="s">
        <v>66</v>
      </c>
      <c r="S242" s="154" t="s">
        <v>66</v>
      </c>
      <c r="T242" s="154" t="s">
        <v>66</v>
      </c>
      <c r="U242" s="154" t="s">
        <v>66</v>
      </c>
      <c r="V242" s="154" t="s">
        <v>66</v>
      </c>
      <c r="W242" s="154" t="s">
        <v>66</v>
      </c>
      <c r="X242" s="154" t="s">
        <v>66</v>
      </c>
      <c r="Y242" s="154"/>
      <c r="Z242" s="242" t="b">
        <f t="shared" si="2"/>
        <v>1</v>
      </c>
      <c r="AA242" s="154" t="s">
        <v>391</v>
      </c>
      <c r="AB242" s="242" t="b">
        <f t="shared" si="3"/>
        <v>0</v>
      </c>
      <c r="AC242" s="154"/>
      <c r="AD242" s="242" t="b">
        <f t="shared" si="4"/>
        <v>0</v>
      </c>
      <c r="AE242" s="154" t="s">
        <v>1029</v>
      </c>
      <c r="AF242" s="242" t="str">
        <f>IF(AE242="","N/A",INDIRECT("MTR!"&amp;ADDRESS(MATCH(LEFT(AE242,9),MTR!C:C,0),COLUMN(J242)),TRUE) &amp; "")</f>
        <v>Partially Complies</v>
      </c>
      <c r="AG242" s="157" t="str">
        <f t="shared" si="5"/>
        <v/>
      </c>
      <c r="AH242" s="170"/>
      <c r="AI242" s="152"/>
      <c r="AJ242" s="152"/>
      <c r="AK242" s="152"/>
      <c r="AL242" s="152"/>
      <c r="AM242" s="152"/>
      <c r="AN242" s="152"/>
      <c r="AO242" s="152"/>
      <c r="AP242" s="152"/>
      <c r="AQ242" s="152"/>
      <c r="AR242" s="152"/>
    </row>
    <row r="243" ht="12.75" customHeight="1">
      <c r="A243" s="244" t="s">
        <v>5158</v>
      </c>
      <c r="B243" s="244" t="s">
        <v>5725</v>
      </c>
      <c r="C243" s="255" t="s">
        <v>6530</v>
      </c>
      <c r="D243" s="256" t="s">
        <v>42</v>
      </c>
      <c r="E243" s="154" t="s">
        <v>489</v>
      </c>
      <c r="F243" s="154" t="str">
        <f t="array" ref="F243">XLOOKUP(Cover!$D$12,$P$1:$X$1,$P243:$X243)</f>
        <v>Information</v>
      </c>
      <c r="G243" s="154" t="s">
        <v>6531</v>
      </c>
      <c r="H243" s="154" t="s">
        <v>6207</v>
      </c>
      <c r="I243" s="154" t="s">
        <v>6532</v>
      </c>
      <c r="J243" s="154" t="s">
        <v>5931</v>
      </c>
      <c r="K243" s="154"/>
      <c r="L243" s="154" t="s">
        <v>759</v>
      </c>
      <c r="M243" s="247" t="s">
        <v>516</v>
      </c>
      <c r="N243" s="247" t="s">
        <v>5876</v>
      </c>
      <c r="O243" s="240" t="str">
        <f t="shared" si="1"/>
        <v/>
      </c>
      <c r="P243" s="154" t="s">
        <v>66</v>
      </c>
      <c r="Q243" s="154" t="s">
        <v>66</v>
      </c>
      <c r="R243" s="154" t="s">
        <v>66</v>
      </c>
      <c r="S243" s="154" t="s">
        <v>66</v>
      </c>
      <c r="T243" s="154" t="s">
        <v>66</v>
      </c>
      <c r="U243" s="154" t="s">
        <v>66</v>
      </c>
      <c r="V243" s="154" t="s">
        <v>66</v>
      </c>
      <c r="W243" s="154" t="s">
        <v>66</v>
      </c>
      <c r="X243" s="154" t="s">
        <v>66</v>
      </c>
      <c r="Y243" s="154"/>
      <c r="Z243" s="242" t="b">
        <f t="shared" si="2"/>
        <v>1</v>
      </c>
      <c r="AA243" s="154" t="s">
        <v>391</v>
      </c>
      <c r="AB243" s="242" t="b">
        <f t="shared" si="3"/>
        <v>0</v>
      </c>
      <c r="AC243" s="154"/>
      <c r="AD243" s="242" t="b">
        <f t="shared" si="4"/>
        <v>0</v>
      </c>
      <c r="AE243" s="154" t="s">
        <v>1029</v>
      </c>
      <c r="AF243" s="242" t="str">
        <f>IF(AE243="","N/A",INDIRECT("MTR!"&amp;ADDRESS(MATCH(LEFT(AE243,9),MTR!C:C,0),COLUMN(J243)),TRUE) &amp; "")</f>
        <v>Partially Complies</v>
      </c>
      <c r="AG243" s="157" t="str">
        <f t="shared" si="5"/>
        <v/>
      </c>
      <c r="AH243" s="170"/>
      <c r="AI243" s="152"/>
      <c r="AJ243" s="152"/>
      <c r="AK243" s="152"/>
      <c r="AL243" s="152"/>
      <c r="AM243" s="152"/>
      <c r="AN243" s="152"/>
      <c r="AO243" s="152"/>
      <c r="AP243" s="152"/>
      <c r="AQ243" s="152"/>
      <c r="AR243" s="152"/>
    </row>
    <row r="244" ht="12.75" customHeight="1">
      <c r="A244" s="244" t="s">
        <v>5158</v>
      </c>
      <c r="B244" s="244" t="s">
        <v>5725</v>
      </c>
      <c r="C244" s="244" t="s">
        <v>6533</v>
      </c>
      <c r="D244" s="154" t="s">
        <v>781</v>
      </c>
      <c r="E244" s="154"/>
      <c r="F244" s="154" t="str">
        <f t="array" ref="F244">XLOOKUP(Cover!$D$12,$P$1:$X$1,$P244:$X244)</f>
        <v>Information</v>
      </c>
      <c r="G244" s="154" t="s">
        <v>6534</v>
      </c>
      <c r="H244" s="154" t="s">
        <v>6211</v>
      </c>
      <c r="I244" s="154" t="s">
        <v>6535</v>
      </c>
      <c r="J244" s="154" t="s">
        <v>6140</v>
      </c>
      <c r="K244" s="154"/>
      <c r="L244" s="154" t="s">
        <v>759</v>
      </c>
      <c r="M244" s="247" t="s">
        <v>445</v>
      </c>
      <c r="N244" s="247" t="s">
        <v>5733</v>
      </c>
      <c r="O244" s="240" t="str">
        <f t="shared" si="1"/>
        <v/>
      </c>
      <c r="P244" s="154" t="s">
        <v>66</v>
      </c>
      <c r="Q244" s="154" t="s">
        <v>66</v>
      </c>
      <c r="R244" s="154" t="s">
        <v>66</v>
      </c>
      <c r="S244" s="154" t="s">
        <v>66</v>
      </c>
      <c r="T244" s="154" t="s">
        <v>66</v>
      </c>
      <c r="U244" s="154" t="s">
        <v>66</v>
      </c>
      <c r="V244" s="154" t="s">
        <v>66</v>
      </c>
      <c r="W244" s="154" t="s">
        <v>66</v>
      </c>
      <c r="X244" s="154" t="s">
        <v>66</v>
      </c>
      <c r="Y244" s="154"/>
      <c r="Z244" s="242" t="b">
        <f t="shared" si="2"/>
        <v>1</v>
      </c>
      <c r="AA244" s="154" t="s">
        <v>391</v>
      </c>
      <c r="AB244" s="242" t="b">
        <f t="shared" si="3"/>
        <v>0</v>
      </c>
      <c r="AC244" s="154"/>
      <c r="AD244" s="242" t="b">
        <f t="shared" si="4"/>
        <v>0</v>
      </c>
      <c r="AE244" s="154" t="s">
        <v>1029</v>
      </c>
      <c r="AF244" s="242" t="str">
        <f>IF(AE244="","N/A",INDIRECT("MTR!"&amp;ADDRESS(MATCH(LEFT(AE244,9),MTR!C:C,0),COLUMN(J244)),TRUE) &amp; "")</f>
        <v>Partially Complies</v>
      </c>
      <c r="AG244" s="157" t="str">
        <f t="shared" si="5"/>
        <v/>
      </c>
      <c r="AH244" s="170"/>
      <c r="AI244" s="152"/>
      <c r="AJ244" s="152"/>
      <c r="AK244" s="152"/>
      <c r="AL244" s="152"/>
      <c r="AM244" s="152"/>
      <c r="AN244" s="152"/>
      <c r="AO244" s="152"/>
      <c r="AP244" s="152"/>
      <c r="AQ244" s="152"/>
      <c r="AR244" s="152"/>
    </row>
    <row r="245" ht="12.75" customHeight="1">
      <c r="A245" s="244" t="s">
        <v>5158</v>
      </c>
      <c r="B245" s="244" t="s">
        <v>5725</v>
      </c>
      <c r="C245" s="244" t="s">
        <v>6536</v>
      </c>
      <c r="D245" s="154" t="s">
        <v>781</v>
      </c>
      <c r="E245" s="154"/>
      <c r="F245" s="154" t="str">
        <f t="array" ref="F245">XLOOKUP(Cover!$D$12,$P$1:$X$1,$P245:$X245)</f>
        <v>Information</v>
      </c>
      <c r="G245" s="154" t="s">
        <v>6537</v>
      </c>
      <c r="H245" s="154" t="s">
        <v>6538</v>
      </c>
      <c r="I245" s="154" t="s">
        <v>6539</v>
      </c>
      <c r="J245" s="154" t="s">
        <v>6232</v>
      </c>
      <c r="K245" s="154"/>
      <c r="L245" s="154" t="s">
        <v>759</v>
      </c>
      <c r="M245" s="247" t="s">
        <v>516</v>
      </c>
      <c r="N245" s="247" t="s">
        <v>5876</v>
      </c>
      <c r="O245" s="240" t="str">
        <f t="shared" si="1"/>
        <v/>
      </c>
      <c r="P245" s="154" t="s">
        <v>66</v>
      </c>
      <c r="Q245" s="154" t="s">
        <v>66</v>
      </c>
      <c r="R245" s="154" t="s">
        <v>66</v>
      </c>
      <c r="S245" s="154" t="s">
        <v>66</v>
      </c>
      <c r="T245" s="154" t="s">
        <v>66</v>
      </c>
      <c r="U245" s="154" t="s">
        <v>66</v>
      </c>
      <c r="V245" s="154" t="s">
        <v>66</v>
      </c>
      <c r="W245" s="154" t="s">
        <v>66</v>
      </c>
      <c r="X245" s="154" t="s">
        <v>66</v>
      </c>
      <c r="Y245" s="154"/>
      <c r="Z245" s="242" t="b">
        <f t="shared" si="2"/>
        <v>1</v>
      </c>
      <c r="AA245" s="154" t="s">
        <v>391</v>
      </c>
      <c r="AB245" s="242" t="b">
        <f t="shared" si="3"/>
        <v>0</v>
      </c>
      <c r="AC245" s="154"/>
      <c r="AD245" s="242" t="b">
        <f t="shared" si="4"/>
        <v>0</v>
      </c>
      <c r="AE245" s="154" t="s">
        <v>1029</v>
      </c>
      <c r="AF245" s="242" t="str">
        <f>IF(AE245="","N/A",INDIRECT("MTR!"&amp;ADDRESS(MATCH(LEFT(AE245,9),MTR!C:C,0),COLUMN(J245)),TRUE) &amp; "")</f>
        <v>Partially Complies</v>
      </c>
      <c r="AG245" s="157" t="str">
        <f t="shared" si="5"/>
        <v/>
      </c>
      <c r="AH245" s="170"/>
      <c r="AI245" s="152"/>
      <c r="AJ245" s="152"/>
      <c r="AK245" s="152"/>
      <c r="AL245" s="152"/>
      <c r="AM245" s="152"/>
      <c r="AN245" s="152"/>
      <c r="AO245" s="152"/>
      <c r="AP245" s="152"/>
      <c r="AQ245" s="152"/>
      <c r="AR245" s="152"/>
    </row>
    <row r="246" ht="12.75" customHeight="1">
      <c r="A246" s="244" t="s">
        <v>5158</v>
      </c>
      <c r="B246" s="244" t="s">
        <v>5725</v>
      </c>
      <c r="C246" s="255" t="s">
        <v>6540</v>
      </c>
      <c r="D246" s="256" t="s">
        <v>42</v>
      </c>
      <c r="E246" s="154" t="s">
        <v>489</v>
      </c>
      <c r="F246" s="154" t="str">
        <f t="array" ref="F246">XLOOKUP(Cover!$D$12,$P$1:$X$1,$P246:$X246)</f>
        <v>Information</v>
      </c>
      <c r="G246" s="154" t="s">
        <v>6541</v>
      </c>
      <c r="H246" s="154" t="s">
        <v>5946</v>
      </c>
      <c r="I246" s="154" t="s">
        <v>6542</v>
      </c>
      <c r="J246" s="154" t="s">
        <v>5931</v>
      </c>
      <c r="K246" s="154"/>
      <c r="L246" s="154" t="s">
        <v>759</v>
      </c>
      <c r="M246" s="247" t="s">
        <v>516</v>
      </c>
      <c r="N246" s="247" t="s">
        <v>5876</v>
      </c>
      <c r="O246" s="240" t="str">
        <f t="shared" si="1"/>
        <v/>
      </c>
      <c r="P246" s="154" t="s">
        <v>66</v>
      </c>
      <c r="Q246" s="154" t="s">
        <v>66</v>
      </c>
      <c r="R246" s="154" t="s">
        <v>66</v>
      </c>
      <c r="S246" s="154" t="s">
        <v>66</v>
      </c>
      <c r="T246" s="154" t="s">
        <v>66</v>
      </c>
      <c r="U246" s="154" t="s">
        <v>66</v>
      </c>
      <c r="V246" s="154" t="s">
        <v>66</v>
      </c>
      <c r="W246" s="154" t="s">
        <v>66</v>
      </c>
      <c r="X246" s="154" t="s">
        <v>66</v>
      </c>
      <c r="Y246" s="154"/>
      <c r="Z246" s="242" t="b">
        <f t="shared" si="2"/>
        <v>1</v>
      </c>
      <c r="AA246" s="154" t="s">
        <v>391</v>
      </c>
      <c r="AB246" s="242" t="b">
        <f t="shared" si="3"/>
        <v>0</v>
      </c>
      <c r="AC246" s="154"/>
      <c r="AD246" s="242" t="b">
        <f t="shared" si="4"/>
        <v>0</v>
      </c>
      <c r="AE246" s="154" t="s">
        <v>1029</v>
      </c>
      <c r="AF246" s="242" t="str">
        <f>IF(AE246="","N/A",INDIRECT("MTR!"&amp;ADDRESS(MATCH(LEFT(AE246,9),MTR!C:C,0),COLUMN(J246)),TRUE) &amp; "")</f>
        <v>Partially Complies</v>
      </c>
      <c r="AG246" s="157" t="str">
        <f t="shared" si="5"/>
        <v/>
      </c>
      <c r="AH246" s="170"/>
      <c r="AI246" s="152"/>
      <c r="AJ246" s="152"/>
      <c r="AK246" s="152"/>
      <c r="AL246" s="152"/>
      <c r="AM246" s="152"/>
      <c r="AN246" s="152"/>
      <c r="AO246" s="152"/>
      <c r="AP246" s="152"/>
      <c r="AQ246" s="152"/>
      <c r="AR246" s="152"/>
    </row>
    <row r="247" ht="12.75" customHeight="1">
      <c r="A247" s="244" t="s">
        <v>5158</v>
      </c>
      <c r="B247" s="244" t="s">
        <v>5725</v>
      </c>
      <c r="C247" s="255" t="s">
        <v>6543</v>
      </c>
      <c r="D247" s="256" t="s">
        <v>42</v>
      </c>
      <c r="E247" s="154" t="s">
        <v>489</v>
      </c>
      <c r="F247" s="154" t="str">
        <f t="array" ref="F247">XLOOKUP(Cover!$D$12,$P$1:$X$1,$P247:$X247)</f>
        <v>Information</v>
      </c>
      <c r="G247" s="154" t="s">
        <v>6544</v>
      </c>
      <c r="H247" s="154" t="s">
        <v>6545</v>
      </c>
      <c r="I247" s="154" t="s">
        <v>6546</v>
      </c>
      <c r="J247" s="154" t="s">
        <v>6220</v>
      </c>
      <c r="K247" s="154"/>
      <c r="L247" s="154" t="s">
        <v>759</v>
      </c>
      <c r="M247" s="247" t="s">
        <v>516</v>
      </c>
      <c r="N247" s="247" t="s">
        <v>5876</v>
      </c>
      <c r="O247" s="240" t="str">
        <f t="shared" si="1"/>
        <v/>
      </c>
      <c r="P247" s="154" t="s">
        <v>66</v>
      </c>
      <c r="Q247" s="154" t="s">
        <v>66</v>
      </c>
      <c r="R247" s="154" t="s">
        <v>66</v>
      </c>
      <c r="S247" s="154" t="s">
        <v>66</v>
      </c>
      <c r="T247" s="154" t="s">
        <v>66</v>
      </c>
      <c r="U247" s="154" t="s">
        <v>66</v>
      </c>
      <c r="V247" s="154" t="s">
        <v>66</v>
      </c>
      <c r="W247" s="154" t="s">
        <v>66</v>
      </c>
      <c r="X247" s="154" t="s">
        <v>66</v>
      </c>
      <c r="Y247" s="154"/>
      <c r="Z247" s="242" t="b">
        <f t="shared" si="2"/>
        <v>1</v>
      </c>
      <c r="AA247" s="154" t="s">
        <v>391</v>
      </c>
      <c r="AB247" s="242" t="b">
        <f t="shared" si="3"/>
        <v>0</v>
      </c>
      <c r="AC247" s="154"/>
      <c r="AD247" s="242" t="b">
        <f t="shared" si="4"/>
        <v>0</v>
      </c>
      <c r="AE247" s="154" t="s">
        <v>1029</v>
      </c>
      <c r="AF247" s="242" t="str">
        <f>IF(AE247="","N/A",INDIRECT("MTR!"&amp;ADDRESS(MATCH(LEFT(AE247,9),MTR!C:C,0),COLUMN(J247)),TRUE) &amp; "")</f>
        <v>Partially Complies</v>
      </c>
      <c r="AG247" s="157" t="str">
        <f t="shared" si="5"/>
        <v/>
      </c>
      <c r="AH247" s="170"/>
      <c r="AI247" s="152"/>
      <c r="AJ247" s="152"/>
      <c r="AK247" s="152"/>
      <c r="AL247" s="152"/>
      <c r="AM247" s="152"/>
      <c r="AN247" s="152"/>
      <c r="AO247" s="152"/>
      <c r="AP247" s="152"/>
      <c r="AQ247" s="152"/>
      <c r="AR247" s="152"/>
    </row>
    <row r="248" ht="12.75" customHeight="1">
      <c r="A248" s="244" t="s">
        <v>5158</v>
      </c>
      <c r="B248" s="244" t="s">
        <v>5725</v>
      </c>
      <c r="C248" s="244" t="s">
        <v>6547</v>
      </c>
      <c r="D248" s="154" t="s">
        <v>781</v>
      </c>
      <c r="E248" s="154"/>
      <c r="F248" s="154" t="str">
        <f t="array" ref="F248">XLOOKUP(Cover!$D$12,$P$1:$X$1,$P248:$X248)</f>
        <v>Information</v>
      </c>
      <c r="G248" s="154" t="s">
        <v>6548</v>
      </c>
      <c r="H248" s="154" t="s">
        <v>6549</v>
      </c>
      <c r="I248" s="154" t="s">
        <v>6550</v>
      </c>
      <c r="J248" s="154" t="s">
        <v>6232</v>
      </c>
      <c r="K248" s="154"/>
      <c r="L248" s="154" t="s">
        <v>759</v>
      </c>
      <c r="M248" s="247" t="s">
        <v>516</v>
      </c>
      <c r="N248" s="247" t="s">
        <v>5876</v>
      </c>
      <c r="O248" s="240" t="str">
        <f t="shared" si="1"/>
        <v/>
      </c>
      <c r="P248" s="154" t="s">
        <v>66</v>
      </c>
      <c r="Q248" s="154" t="s">
        <v>66</v>
      </c>
      <c r="R248" s="154" t="s">
        <v>66</v>
      </c>
      <c r="S248" s="154" t="s">
        <v>66</v>
      </c>
      <c r="T248" s="154" t="s">
        <v>66</v>
      </c>
      <c r="U248" s="154" t="s">
        <v>66</v>
      </c>
      <c r="V248" s="154" t="s">
        <v>66</v>
      </c>
      <c r="W248" s="154" t="s">
        <v>66</v>
      </c>
      <c r="X248" s="154" t="s">
        <v>66</v>
      </c>
      <c r="Y248" s="154"/>
      <c r="Z248" s="242" t="b">
        <f t="shared" si="2"/>
        <v>1</v>
      </c>
      <c r="AA248" s="154" t="s">
        <v>391</v>
      </c>
      <c r="AB248" s="242" t="b">
        <f t="shared" si="3"/>
        <v>0</v>
      </c>
      <c r="AC248" s="154"/>
      <c r="AD248" s="242" t="b">
        <f t="shared" si="4"/>
        <v>0</v>
      </c>
      <c r="AE248" s="154" t="s">
        <v>1029</v>
      </c>
      <c r="AF248" s="242" t="str">
        <f>IF(AE248="","N/A",INDIRECT("MTR!"&amp;ADDRESS(MATCH(LEFT(AE248,9),MTR!C:C,0),COLUMN(J248)),TRUE) &amp; "")</f>
        <v>Partially Complies</v>
      </c>
      <c r="AG248" s="157" t="str">
        <f t="shared" si="5"/>
        <v/>
      </c>
      <c r="AH248" s="170"/>
      <c r="AI248" s="152"/>
      <c r="AJ248" s="152"/>
      <c r="AK248" s="152"/>
      <c r="AL248" s="152"/>
      <c r="AM248" s="152"/>
      <c r="AN248" s="152"/>
      <c r="AO248" s="152"/>
      <c r="AP248" s="152"/>
      <c r="AQ248" s="152"/>
      <c r="AR248" s="152"/>
    </row>
    <row r="249" ht="12.75" customHeight="1">
      <c r="A249" s="244" t="s">
        <v>5158</v>
      </c>
      <c r="B249" s="244" t="s">
        <v>5725</v>
      </c>
      <c r="C249" s="255" t="s">
        <v>6551</v>
      </c>
      <c r="D249" s="256" t="s">
        <v>42</v>
      </c>
      <c r="E249" s="154" t="s">
        <v>489</v>
      </c>
      <c r="F249" s="154" t="str">
        <f t="array" ref="F249">XLOOKUP(Cover!$D$12,$P$1:$X$1,$P249:$X249)</f>
        <v>Information</v>
      </c>
      <c r="G249" s="154" t="s">
        <v>6552</v>
      </c>
      <c r="H249" s="154" t="s">
        <v>6313</v>
      </c>
      <c r="I249" s="154" t="s">
        <v>6553</v>
      </c>
      <c r="J249" s="154" t="s">
        <v>6220</v>
      </c>
      <c r="K249" s="154"/>
      <c r="L249" s="154" t="s">
        <v>759</v>
      </c>
      <c r="M249" s="247" t="s">
        <v>516</v>
      </c>
      <c r="N249" s="247" t="s">
        <v>5876</v>
      </c>
      <c r="O249" s="240" t="str">
        <f t="shared" si="1"/>
        <v/>
      </c>
      <c r="P249" s="154" t="s">
        <v>66</v>
      </c>
      <c r="Q249" s="154" t="s">
        <v>66</v>
      </c>
      <c r="R249" s="154" t="s">
        <v>66</v>
      </c>
      <c r="S249" s="154" t="s">
        <v>66</v>
      </c>
      <c r="T249" s="154" t="s">
        <v>66</v>
      </c>
      <c r="U249" s="154" t="s">
        <v>66</v>
      </c>
      <c r="V249" s="154" t="s">
        <v>66</v>
      </c>
      <c r="W249" s="154" t="s">
        <v>66</v>
      </c>
      <c r="X249" s="154" t="s">
        <v>66</v>
      </c>
      <c r="Y249" s="154"/>
      <c r="Z249" s="242" t="b">
        <f t="shared" si="2"/>
        <v>1</v>
      </c>
      <c r="AA249" s="154" t="s">
        <v>391</v>
      </c>
      <c r="AB249" s="242" t="b">
        <f t="shared" si="3"/>
        <v>0</v>
      </c>
      <c r="AC249" s="154"/>
      <c r="AD249" s="242" t="b">
        <f t="shared" si="4"/>
        <v>0</v>
      </c>
      <c r="AE249" s="154" t="s">
        <v>1029</v>
      </c>
      <c r="AF249" s="242" t="str">
        <f>IF(AE249="","N/A",INDIRECT("MTR!"&amp;ADDRESS(MATCH(LEFT(AE249,9),MTR!C:C,0),COLUMN(J249)),TRUE) &amp; "")</f>
        <v>Partially Complies</v>
      </c>
      <c r="AG249" s="157" t="str">
        <f t="shared" si="5"/>
        <v/>
      </c>
      <c r="AH249" s="170"/>
      <c r="AI249" s="152"/>
      <c r="AJ249" s="152"/>
      <c r="AK249" s="152"/>
      <c r="AL249" s="152"/>
      <c r="AM249" s="152"/>
      <c r="AN249" s="152"/>
      <c r="AO249" s="152"/>
      <c r="AP249" s="152"/>
      <c r="AQ249" s="152"/>
      <c r="AR249" s="152"/>
    </row>
    <row r="250" ht="12.75" customHeight="1">
      <c r="A250" s="244" t="s">
        <v>5158</v>
      </c>
      <c r="B250" s="244" t="s">
        <v>5725</v>
      </c>
      <c r="C250" s="255" t="s">
        <v>6554</v>
      </c>
      <c r="D250" s="256" t="s">
        <v>42</v>
      </c>
      <c r="E250" s="154" t="s">
        <v>489</v>
      </c>
      <c r="F250" s="154" t="str">
        <f t="array" ref="F250">XLOOKUP(Cover!$D$12,$P$1:$X$1,$P250:$X250)</f>
        <v>Information</v>
      </c>
      <c r="G250" s="154" t="s">
        <v>6555</v>
      </c>
      <c r="H250" s="154" t="s">
        <v>6223</v>
      </c>
      <c r="I250" s="154" t="s">
        <v>6556</v>
      </c>
      <c r="J250" s="154" t="s">
        <v>6220</v>
      </c>
      <c r="K250" s="154"/>
      <c r="L250" s="154" t="s">
        <v>759</v>
      </c>
      <c r="M250" s="247" t="s">
        <v>516</v>
      </c>
      <c r="N250" s="247" t="s">
        <v>5876</v>
      </c>
      <c r="O250" s="240" t="str">
        <f t="shared" si="1"/>
        <v/>
      </c>
      <c r="P250" s="154" t="s">
        <v>66</v>
      </c>
      <c r="Q250" s="154" t="s">
        <v>66</v>
      </c>
      <c r="R250" s="154" t="s">
        <v>66</v>
      </c>
      <c r="S250" s="154" t="s">
        <v>66</v>
      </c>
      <c r="T250" s="154" t="s">
        <v>66</v>
      </c>
      <c r="U250" s="154" t="s">
        <v>66</v>
      </c>
      <c r="V250" s="154" t="s">
        <v>66</v>
      </c>
      <c r="W250" s="154" t="s">
        <v>66</v>
      </c>
      <c r="X250" s="154" t="s">
        <v>66</v>
      </c>
      <c r="Y250" s="154"/>
      <c r="Z250" s="242" t="b">
        <f t="shared" si="2"/>
        <v>1</v>
      </c>
      <c r="AA250" s="154" t="s">
        <v>391</v>
      </c>
      <c r="AB250" s="242" t="b">
        <f t="shared" si="3"/>
        <v>0</v>
      </c>
      <c r="AC250" s="154"/>
      <c r="AD250" s="242" t="b">
        <f t="shared" si="4"/>
        <v>0</v>
      </c>
      <c r="AE250" s="154" t="s">
        <v>1029</v>
      </c>
      <c r="AF250" s="242" t="str">
        <f>IF(AE250="","N/A",INDIRECT("MTR!"&amp;ADDRESS(MATCH(LEFT(AE250,9),MTR!C:C,0),COLUMN(J250)),TRUE) &amp; "")</f>
        <v>Partially Complies</v>
      </c>
      <c r="AG250" s="157" t="str">
        <f t="shared" si="5"/>
        <v/>
      </c>
      <c r="AH250" s="170"/>
      <c r="AI250" s="152"/>
      <c r="AJ250" s="152"/>
      <c r="AK250" s="152"/>
      <c r="AL250" s="152"/>
      <c r="AM250" s="152"/>
      <c r="AN250" s="152"/>
      <c r="AO250" s="152"/>
      <c r="AP250" s="152"/>
      <c r="AQ250" s="152"/>
      <c r="AR250" s="152"/>
    </row>
    <row r="251" ht="12.75" customHeight="1">
      <c r="A251" s="244" t="s">
        <v>5158</v>
      </c>
      <c r="B251" s="244" t="s">
        <v>5725</v>
      </c>
      <c r="C251" s="244" t="s">
        <v>6557</v>
      </c>
      <c r="D251" s="154" t="s">
        <v>781</v>
      </c>
      <c r="E251" s="154"/>
      <c r="F251" s="154" t="str">
        <f t="array" ref="F251">XLOOKUP(Cover!$D$12,$P$1:$X$1,$P251:$X251)</f>
        <v>Information</v>
      </c>
      <c r="G251" s="154" t="s">
        <v>6558</v>
      </c>
      <c r="H251" s="154" t="s">
        <v>6559</v>
      </c>
      <c r="I251" s="154" t="s">
        <v>6560</v>
      </c>
      <c r="J251" s="154" t="s">
        <v>6232</v>
      </c>
      <c r="K251" s="154"/>
      <c r="L251" s="154" t="s">
        <v>759</v>
      </c>
      <c r="M251" s="247" t="s">
        <v>516</v>
      </c>
      <c r="N251" s="247" t="s">
        <v>5876</v>
      </c>
      <c r="O251" s="240" t="str">
        <f t="shared" si="1"/>
        <v/>
      </c>
      <c r="P251" s="154" t="s">
        <v>66</v>
      </c>
      <c r="Q251" s="154" t="s">
        <v>66</v>
      </c>
      <c r="R251" s="154" t="s">
        <v>66</v>
      </c>
      <c r="S251" s="154" t="s">
        <v>66</v>
      </c>
      <c r="T251" s="154" t="s">
        <v>66</v>
      </c>
      <c r="U251" s="154" t="s">
        <v>66</v>
      </c>
      <c r="V251" s="154" t="s">
        <v>66</v>
      </c>
      <c r="W251" s="154" t="s">
        <v>66</v>
      </c>
      <c r="X251" s="154" t="s">
        <v>66</v>
      </c>
      <c r="Y251" s="154"/>
      <c r="Z251" s="242" t="b">
        <f t="shared" si="2"/>
        <v>1</v>
      </c>
      <c r="AA251" s="154" t="s">
        <v>391</v>
      </c>
      <c r="AB251" s="242" t="b">
        <f t="shared" si="3"/>
        <v>0</v>
      </c>
      <c r="AC251" s="154"/>
      <c r="AD251" s="242" t="b">
        <f t="shared" si="4"/>
        <v>0</v>
      </c>
      <c r="AE251" s="154" t="s">
        <v>1029</v>
      </c>
      <c r="AF251" s="242" t="str">
        <f>IF(AE251="","N/A",INDIRECT("MTR!"&amp;ADDRESS(MATCH(LEFT(AE251,9),MTR!C:C,0),COLUMN(J251)),TRUE) &amp; "")</f>
        <v>Partially Complies</v>
      </c>
      <c r="AG251" s="157" t="str">
        <f t="shared" si="5"/>
        <v/>
      </c>
      <c r="AH251" s="170"/>
      <c r="AI251" s="152"/>
      <c r="AJ251" s="152"/>
      <c r="AK251" s="152"/>
      <c r="AL251" s="152"/>
      <c r="AM251" s="152"/>
      <c r="AN251" s="152"/>
      <c r="AO251" s="152"/>
      <c r="AP251" s="152"/>
      <c r="AQ251" s="152"/>
      <c r="AR251" s="152"/>
    </row>
    <row r="252" ht="12.75" customHeight="1">
      <c r="A252" s="244" t="s">
        <v>5158</v>
      </c>
      <c r="B252" s="244" t="s">
        <v>5725</v>
      </c>
      <c r="C252" s="244" t="s">
        <v>6561</v>
      </c>
      <c r="D252" s="154" t="s">
        <v>411</v>
      </c>
      <c r="E252" s="154"/>
      <c r="F252" s="154" t="str">
        <f t="array" ref="F252">XLOOKUP(Cover!$D$12,$P$1:$X$1,$P252:$X252)</f>
        <v>Information</v>
      </c>
      <c r="G252" s="154" t="s">
        <v>6562</v>
      </c>
      <c r="H252" s="154" t="s">
        <v>5946</v>
      </c>
      <c r="I252" s="154" t="s">
        <v>6563</v>
      </c>
      <c r="J252" s="154" t="s">
        <v>5905</v>
      </c>
      <c r="K252" s="154"/>
      <c r="L252" s="154" t="s">
        <v>759</v>
      </c>
      <c r="M252" s="247" t="s">
        <v>516</v>
      </c>
      <c r="N252" s="247" t="s">
        <v>5876</v>
      </c>
      <c r="O252" s="240" t="str">
        <f t="shared" si="1"/>
        <v/>
      </c>
      <c r="P252" s="154" t="s">
        <v>66</v>
      </c>
      <c r="Q252" s="154" t="s">
        <v>66</v>
      </c>
      <c r="R252" s="154" t="s">
        <v>66</v>
      </c>
      <c r="S252" s="154" t="s">
        <v>66</v>
      </c>
      <c r="T252" s="154" t="s">
        <v>66</v>
      </c>
      <c r="U252" s="154" t="s">
        <v>66</v>
      </c>
      <c r="V252" s="154" t="s">
        <v>66</v>
      </c>
      <c r="W252" s="154" t="s">
        <v>66</v>
      </c>
      <c r="X252" s="154" t="s">
        <v>66</v>
      </c>
      <c r="Y252" s="154"/>
      <c r="Z252" s="242" t="b">
        <f t="shared" si="2"/>
        <v>1</v>
      </c>
      <c r="AA252" s="154" t="s">
        <v>391</v>
      </c>
      <c r="AB252" s="242" t="b">
        <f t="shared" si="3"/>
        <v>0</v>
      </c>
      <c r="AC252" s="154"/>
      <c r="AD252" s="242" t="b">
        <f t="shared" si="4"/>
        <v>0</v>
      </c>
      <c r="AE252" s="154" t="s">
        <v>1029</v>
      </c>
      <c r="AF252" s="242" t="str">
        <f>IF(AE252="","N/A",INDIRECT("MTR!"&amp;ADDRESS(MATCH(LEFT(AE252,9),MTR!C:C,0),COLUMN(J252)),TRUE) &amp; "")</f>
        <v>Partially Complies</v>
      </c>
      <c r="AG252" s="157" t="str">
        <f t="shared" si="5"/>
        <v/>
      </c>
      <c r="AH252" s="170"/>
      <c r="AI252" s="152"/>
      <c r="AJ252" s="152"/>
      <c r="AK252" s="152"/>
      <c r="AL252" s="152"/>
      <c r="AM252" s="152"/>
      <c r="AN252" s="152"/>
      <c r="AO252" s="152"/>
      <c r="AP252" s="152"/>
      <c r="AQ252" s="152"/>
      <c r="AR252" s="152"/>
    </row>
    <row r="253" ht="12.75" customHeight="1">
      <c r="A253" s="244" t="s">
        <v>5158</v>
      </c>
      <c r="B253" s="244" t="s">
        <v>5725</v>
      </c>
      <c r="C253" s="244" t="s">
        <v>6564</v>
      </c>
      <c r="D253" s="154" t="s">
        <v>781</v>
      </c>
      <c r="E253" s="154"/>
      <c r="F253" s="154" t="str">
        <f t="array" ref="F253">XLOOKUP(Cover!$D$12,$P$1:$X$1,$P253:$X253)</f>
        <v>Information</v>
      </c>
      <c r="G253" s="154" t="s">
        <v>6565</v>
      </c>
      <c r="H253" s="154" t="s">
        <v>6538</v>
      </c>
      <c r="I253" s="154" t="s">
        <v>6566</v>
      </c>
      <c r="J253" s="154" t="s">
        <v>6027</v>
      </c>
      <c r="K253" s="154"/>
      <c r="L253" s="154" t="s">
        <v>759</v>
      </c>
      <c r="M253" s="247" t="s">
        <v>516</v>
      </c>
      <c r="N253" s="247" t="s">
        <v>5876</v>
      </c>
      <c r="O253" s="240" t="str">
        <f t="shared" si="1"/>
        <v/>
      </c>
      <c r="P253" s="154" t="s">
        <v>66</v>
      </c>
      <c r="Q253" s="154" t="s">
        <v>66</v>
      </c>
      <c r="R253" s="154" t="s">
        <v>66</v>
      </c>
      <c r="S253" s="154" t="s">
        <v>66</v>
      </c>
      <c r="T253" s="154" t="s">
        <v>66</v>
      </c>
      <c r="U253" s="154" t="s">
        <v>66</v>
      </c>
      <c r="V253" s="154" t="s">
        <v>66</v>
      </c>
      <c r="W253" s="154" t="s">
        <v>66</v>
      </c>
      <c r="X253" s="154" t="s">
        <v>66</v>
      </c>
      <c r="Y253" s="154"/>
      <c r="Z253" s="242" t="b">
        <f t="shared" si="2"/>
        <v>1</v>
      </c>
      <c r="AA253" s="154" t="s">
        <v>391</v>
      </c>
      <c r="AB253" s="242" t="b">
        <f t="shared" si="3"/>
        <v>0</v>
      </c>
      <c r="AC253" s="154"/>
      <c r="AD253" s="242" t="b">
        <f t="shared" si="4"/>
        <v>0</v>
      </c>
      <c r="AE253" s="154" t="s">
        <v>1029</v>
      </c>
      <c r="AF253" s="242" t="str">
        <f>IF(AE253="","N/A",INDIRECT("MTR!"&amp;ADDRESS(MATCH(LEFT(AE253,9),MTR!C:C,0),COLUMN(J253)),TRUE) &amp; "")</f>
        <v>Partially Complies</v>
      </c>
      <c r="AG253" s="157" t="str">
        <f t="shared" si="5"/>
        <v/>
      </c>
      <c r="AH253" s="170"/>
      <c r="AI253" s="152"/>
      <c r="AJ253" s="152"/>
      <c r="AK253" s="152"/>
      <c r="AL253" s="152"/>
      <c r="AM253" s="152"/>
      <c r="AN253" s="152"/>
      <c r="AO253" s="152"/>
      <c r="AP253" s="152"/>
      <c r="AQ253" s="152"/>
      <c r="AR253" s="152"/>
    </row>
    <row r="254" ht="12.75" customHeight="1">
      <c r="A254" s="244" t="s">
        <v>5158</v>
      </c>
      <c r="B254" s="244" t="s">
        <v>5725</v>
      </c>
      <c r="C254" s="244" t="s">
        <v>6567</v>
      </c>
      <c r="D254" s="154" t="s">
        <v>967</v>
      </c>
      <c r="E254" s="154"/>
      <c r="F254" s="154" t="str">
        <f t="array" ref="F254">XLOOKUP(Cover!$D$12,$P$1:$X$1,$P254:$X254)</f>
        <v>Mandatory</v>
      </c>
      <c r="G254" s="154" t="s">
        <v>6568</v>
      </c>
      <c r="H254" s="154" t="s">
        <v>6569</v>
      </c>
      <c r="I254" s="154" t="s">
        <v>6570</v>
      </c>
      <c r="J254" s="154" t="s">
        <v>5919</v>
      </c>
      <c r="K254" s="154" t="s">
        <v>175</v>
      </c>
      <c r="L254" s="154" t="s">
        <v>759</v>
      </c>
      <c r="M254" s="247" t="s">
        <v>445</v>
      </c>
      <c r="N254" s="247" t="s">
        <v>5733</v>
      </c>
      <c r="O254" s="240" t="str">
        <f t="shared" si="1"/>
        <v/>
      </c>
      <c r="P254" s="154" t="s">
        <v>66</v>
      </c>
      <c r="Q254" s="154" t="s">
        <v>66</v>
      </c>
      <c r="R254" s="154" t="s">
        <v>66</v>
      </c>
      <c r="S254" s="154" t="s">
        <v>66</v>
      </c>
      <c r="T254" s="154" t="s">
        <v>66</v>
      </c>
      <c r="U254" s="154" t="s">
        <v>60</v>
      </c>
      <c r="V254" s="154" t="s">
        <v>66</v>
      </c>
      <c r="W254" s="154" t="s">
        <v>66</v>
      </c>
      <c r="X254" s="154" t="s">
        <v>60</v>
      </c>
      <c r="Y254" s="154"/>
      <c r="Z254" s="242" t="b">
        <f t="shared" si="2"/>
        <v>1</v>
      </c>
      <c r="AA254" s="154" t="s">
        <v>391</v>
      </c>
      <c r="AB254" s="242" t="b">
        <f t="shared" si="3"/>
        <v>0</v>
      </c>
      <c r="AC254" s="154"/>
      <c r="AD254" s="242" t="b">
        <f t="shared" si="4"/>
        <v>0</v>
      </c>
      <c r="AE254" s="154" t="s">
        <v>1029</v>
      </c>
      <c r="AF254" s="242" t="str">
        <f>IF(AE254="","N/A",INDIRECT("MTR!"&amp;ADDRESS(MATCH(LEFT(AE254,9),MTR!C:C,0),COLUMN(J254)),TRUE) &amp; "")</f>
        <v>Partially Complies</v>
      </c>
      <c r="AG254" s="157" t="str">
        <f t="shared" si="5"/>
        <v/>
      </c>
      <c r="AH254" s="170"/>
      <c r="AI254" s="152"/>
      <c r="AJ254" s="152"/>
      <c r="AK254" s="152"/>
      <c r="AL254" s="152"/>
      <c r="AM254" s="152"/>
      <c r="AN254" s="152"/>
      <c r="AO254" s="152"/>
      <c r="AP254" s="152"/>
      <c r="AQ254" s="152"/>
      <c r="AR254" s="152"/>
    </row>
    <row r="255" ht="12.75" customHeight="1">
      <c r="A255" s="244" t="s">
        <v>5158</v>
      </c>
      <c r="B255" s="244" t="s">
        <v>5725</v>
      </c>
      <c r="C255" s="244" t="s">
        <v>6571</v>
      </c>
      <c r="D255" s="154" t="s">
        <v>602</v>
      </c>
      <c r="E255" s="154"/>
      <c r="F255" s="154" t="str">
        <f t="array" ref="F255">XLOOKUP(Cover!$D$12,$P$1:$X$1,$P255:$X255)</f>
        <v>Information</v>
      </c>
      <c r="G255" s="154" t="s">
        <v>6572</v>
      </c>
      <c r="H255" s="154" t="s">
        <v>6280</v>
      </c>
      <c r="I255" s="154" t="s">
        <v>6573</v>
      </c>
      <c r="J255" s="154" t="s">
        <v>5909</v>
      </c>
      <c r="K255" s="154"/>
      <c r="L255" s="154" t="s">
        <v>759</v>
      </c>
      <c r="M255" s="247" t="s">
        <v>516</v>
      </c>
      <c r="N255" s="247" t="s">
        <v>5876</v>
      </c>
      <c r="O255" s="240" t="str">
        <f t="shared" si="1"/>
        <v/>
      </c>
      <c r="P255" s="154" t="s">
        <v>66</v>
      </c>
      <c r="Q255" s="154" t="s">
        <v>66</v>
      </c>
      <c r="R255" s="154" t="s">
        <v>66</v>
      </c>
      <c r="S255" s="154" t="s">
        <v>66</v>
      </c>
      <c r="T255" s="154" t="s">
        <v>66</v>
      </c>
      <c r="U255" s="154" t="s">
        <v>66</v>
      </c>
      <c r="V255" s="154" t="s">
        <v>66</v>
      </c>
      <c r="W255" s="154" t="s">
        <v>66</v>
      </c>
      <c r="X255" s="154" t="s">
        <v>66</v>
      </c>
      <c r="Y255" s="154"/>
      <c r="Z255" s="242" t="b">
        <f t="shared" si="2"/>
        <v>1</v>
      </c>
      <c r="AA255" s="154" t="s">
        <v>391</v>
      </c>
      <c r="AB255" s="242" t="b">
        <f t="shared" si="3"/>
        <v>0</v>
      </c>
      <c r="AC255" s="154"/>
      <c r="AD255" s="242" t="b">
        <f t="shared" si="4"/>
        <v>0</v>
      </c>
      <c r="AE255" s="154" t="s">
        <v>1029</v>
      </c>
      <c r="AF255" s="242" t="str">
        <f>IF(AE255="","N/A",INDIRECT("MTR!"&amp;ADDRESS(MATCH(LEFT(AE255,9),MTR!C:C,0),COLUMN(J255)),TRUE) &amp; "")</f>
        <v>Partially Complies</v>
      </c>
      <c r="AG255" s="157" t="str">
        <f t="shared" si="5"/>
        <v/>
      </c>
      <c r="AH255" s="170"/>
      <c r="AI255" s="152"/>
      <c r="AJ255" s="152"/>
      <c r="AK255" s="152"/>
      <c r="AL255" s="152"/>
      <c r="AM255" s="152"/>
      <c r="AN255" s="152"/>
      <c r="AO255" s="152"/>
      <c r="AP255" s="152"/>
      <c r="AQ255" s="152"/>
      <c r="AR255" s="152"/>
    </row>
    <row r="256" ht="12.75" customHeight="1">
      <c r="A256" s="244" t="s">
        <v>5158</v>
      </c>
      <c r="B256" s="244" t="s">
        <v>5725</v>
      </c>
      <c r="C256" s="244" t="s">
        <v>6574</v>
      </c>
      <c r="D256" s="154" t="s">
        <v>1120</v>
      </c>
      <c r="E256" s="154"/>
      <c r="F256" s="154" t="str">
        <f t="array" ref="F256">XLOOKUP(Cover!$D$12,$P$1:$X$1,$P256:$X256)</f>
        <v>Mandatory</v>
      </c>
      <c r="G256" s="154" t="s">
        <v>6575</v>
      </c>
      <c r="H256" s="154" t="s">
        <v>6576</v>
      </c>
      <c r="I256" s="154" t="s">
        <v>6577</v>
      </c>
      <c r="J256" s="154" t="s">
        <v>5890</v>
      </c>
      <c r="K256" s="154" t="s">
        <v>175</v>
      </c>
      <c r="L256" s="154" t="s">
        <v>759</v>
      </c>
      <c r="M256" s="247" t="s">
        <v>516</v>
      </c>
      <c r="N256" s="247" t="s">
        <v>5876</v>
      </c>
      <c r="O256" s="240" t="str">
        <f t="shared" si="1"/>
        <v/>
      </c>
      <c r="P256" s="154" t="s">
        <v>66</v>
      </c>
      <c r="Q256" s="154" t="s">
        <v>66</v>
      </c>
      <c r="R256" s="154" t="s">
        <v>66</v>
      </c>
      <c r="S256" s="154" t="s">
        <v>66</v>
      </c>
      <c r="T256" s="154" t="s">
        <v>66</v>
      </c>
      <c r="U256" s="154" t="s">
        <v>60</v>
      </c>
      <c r="V256" s="154" t="s">
        <v>66</v>
      </c>
      <c r="W256" s="154" t="s">
        <v>66</v>
      </c>
      <c r="X256" s="154" t="s">
        <v>60</v>
      </c>
      <c r="Y256" s="154"/>
      <c r="Z256" s="242" t="b">
        <f t="shared" si="2"/>
        <v>1</v>
      </c>
      <c r="AA256" s="154" t="s">
        <v>391</v>
      </c>
      <c r="AB256" s="242" t="b">
        <f t="shared" si="3"/>
        <v>0</v>
      </c>
      <c r="AC256" s="154"/>
      <c r="AD256" s="242" t="b">
        <f t="shared" si="4"/>
        <v>0</v>
      </c>
      <c r="AE256" s="154" t="s">
        <v>1029</v>
      </c>
      <c r="AF256" s="242" t="str">
        <f>IF(AE256="","N/A",INDIRECT("MTR!"&amp;ADDRESS(MATCH(LEFT(AE256,9),MTR!C:C,0),COLUMN(J256)),TRUE) &amp; "")</f>
        <v>Partially Complies</v>
      </c>
      <c r="AG256" s="157" t="str">
        <f t="shared" si="5"/>
        <v/>
      </c>
      <c r="AH256" s="170"/>
      <c r="AI256" s="152"/>
      <c r="AJ256" s="152"/>
      <c r="AK256" s="152"/>
      <c r="AL256" s="152"/>
      <c r="AM256" s="152"/>
      <c r="AN256" s="152"/>
      <c r="AO256" s="152"/>
      <c r="AP256" s="152"/>
      <c r="AQ256" s="152"/>
      <c r="AR256" s="152"/>
    </row>
    <row r="257" ht="12.75" customHeight="1">
      <c r="A257" s="244" t="s">
        <v>5158</v>
      </c>
      <c r="B257" s="244" t="s">
        <v>5725</v>
      </c>
      <c r="C257" s="245" t="s">
        <v>6578</v>
      </c>
      <c r="D257" s="155" t="s">
        <v>542</v>
      </c>
      <c r="E257" s="154" t="s">
        <v>92</v>
      </c>
      <c r="F257" s="154" t="str">
        <f t="array" ref="F257">XLOOKUP(Cover!$D$12,$P$1:$X$1,$P257:$X257)</f>
        <v>Information</v>
      </c>
      <c r="G257" s="154" t="s">
        <v>6579</v>
      </c>
      <c r="H257" s="154" t="s">
        <v>6580</v>
      </c>
      <c r="I257" s="154" t="s">
        <v>6581</v>
      </c>
      <c r="J257" s="154" t="s">
        <v>6064</v>
      </c>
      <c r="K257" s="154"/>
      <c r="L257" s="154" t="s">
        <v>759</v>
      </c>
      <c r="M257" s="247" t="s">
        <v>516</v>
      </c>
      <c r="N257" s="247" t="s">
        <v>5876</v>
      </c>
      <c r="O257" s="240" t="str">
        <f t="shared" si="1"/>
        <v/>
      </c>
      <c r="P257" s="154" t="s">
        <v>66</v>
      </c>
      <c r="Q257" s="154" t="s">
        <v>66</v>
      </c>
      <c r="R257" s="154" t="s">
        <v>66</v>
      </c>
      <c r="S257" s="154" t="s">
        <v>66</v>
      </c>
      <c r="T257" s="154" t="s">
        <v>66</v>
      </c>
      <c r="U257" s="154" t="s">
        <v>66</v>
      </c>
      <c r="V257" s="154" t="s">
        <v>66</v>
      </c>
      <c r="W257" s="154" t="s">
        <v>66</v>
      </c>
      <c r="X257" s="154" t="s">
        <v>66</v>
      </c>
      <c r="Y257" s="154"/>
      <c r="Z257" s="242" t="b">
        <f t="shared" si="2"/>
        <v>1</v>
      </c>
      <c r="AA257" s="154" t="s">
        <v>391</v>
      </c>
      <c r="AB257" s="242" t="b">
        <f t="shared" si="3"/>
        <v>0</v>
      </c>
      <c r="AC257" s="154"/>
      <c r="AD257" s="242" t="b">
        <f t="shared" si="4"/>
        <v>0</v>
      </c>
      <c r="AE257" s="154" t="s">
        <v>1029</v>
      </c>
      <c r="AF257" s="242" t="str">
        <f>IF(AE257="","N/A",INDIRECT("MTR!"&amp;ADDRESS(MATCH(LEFT(AE257,9),MTR!C:C,0),COLUMN(J257)),TRUE) &amp; "")</f>
        <v>Partially Complies</v>
      </c>
      <c r="AG257" s="157" t="str">
        <f t="shared" si="5"/>
        <v/>
      </c>
      <c r="AH257" s="170"/>
      <c r="AI257" s="152"/>
      <c r="AJ257" s="152"/>
      <c r="AK257" s="152"/>
      <c r="AL257" s="152"/>
      <c r="AM257" s="152"/>
      <c r="AN257" s="152"/>
      <c r="AO257" s="152"/>
      <c r="AP257" s="152"/>
      <c r="AQ257" s="152"/>
      <c r="AR257" s="152"/>
    </row>
    <row r="258" ht="12.75" customHeight="1">
      <c r="A258" s="244" t="s">
        <v>5158</v>
      </c>
      <c r="B258" s="244" t="s">
        <v>5725</v>
      </c>
      <c r="C258" s="244" t="s">
        <v>6582</v>
      </c>
      <c r="D258" s="154" t="s">
        <v>492</v>
      </c>
      <c r="E258" s="154"/>
      <c r="F258" s="154" t="str">
        <f t="array" ref="F258">XLOOKUP(Cover!$D$12,$P$1:$X$1,$P258:$X258)</f>
        <v>Mandatory</v>
      </c>
      <c r="G258" s="154" t="s">
        <v>6583</v>
      </c>
      <c r="H258" s="154" t="s">
        <v>6580</v>
      </c>
      <c r="I258" s="154" t="s">
        <v>6584</v>
      </c>
      <c r="J258" s="154" t="s">
        <v>5890</v>
      </c>
      <c r="K258" s="154" t="s">
        <v>175</v>
      </c>
      <c r="L258" s="154" t="s">
        <v>759</v>
      </c>
      <c r="M258" s="247" t="s">
        <v>516</v>
      </c>
      <c r="N258" s="247" t="s">
        <v>5876</v>
      </c>
      <c r="O258" s="240" t="str">
        <f t="shared" si="1"/>
        <v/>
      </c>
      <c r="P258" s="154" t="s">
        <v>66</v>
      </c>
      <c r="Q258" s="154" t="s">
        <v>66</v>
      </c>
      <c r="R258" s="154" t="s">
        <v>66</v>
      </c>
      <c r="S258" s="154" t="s">
        <v>66</v>
      </c>
      <c r="T258" s="154" t="s">
        <v>66</v>
      </c>
      <c r="U258" s="154" t="s">
        <v>60</v>
      </c>
      <c r="V258" s="154" t="s">
        <v>66</v>
      </c>
      <c r="W258" s="154" t="s">
        <v>66</v>
      </c>
      <c r="X258" s="154" t="s">
        <v>60</v>
      </c>
      <c r="Y258" s="154"/>
      <c r="Z258" s="242" t="b">
        <f t="shared" si="2"/>
        <v>1</v>
      </c>
      <c r="AA258" s="154" t="s">
        <v>391</v>
      </c>
      <c r="AB258" s="242" t="b">
        <f t="shared" si="3"/>
        <v>0</v>
      </c>
      <c r="AC258" s="154"/>
      <c r="AD258" s="242" t="b">
        <f t="shared" si="4"/>
        <v>0</v>
      </c>
      <c r="AE258" s="154" t="s">
        <v>1029</v>
      </c>
      <c r="AF258" s="242" t="str">
        <f>IF(AE258="","N/A",INDIRECT("MTR!"&amp;ADDRESS(MATCH(LEFT(AE258,9),MTR!C:C,0),COLUMN(J258)),TRUE) &amp; "")</f>
        <v>Partially Complies</v>
      </c>
      <c r="AG258" s="157" t="str">
        <f t="shared" si="5"/>
        <v/>
      </c>
      <c r="AH258" s="170"/>
      <c r="AI258" s="152"/>
      <c r="AJ258" s="152"/>
      <c r="AK258" s="152"/>
      <c r="AL258" s="152"/>
      <c r="AM258" s="152"/>
      <c r="AN258" s="152"/>
      <c r="AO258" s="152"/>
      <c r="AP258" s="152"/>
      <c r="AQ258" s="152"/>
      <c r="AR258" s="152"/>
    </row>
    <row r="259" ht="12.75" customHeight="1">
      <c r="A259" s="244" t="s">
        <v>5158</v>
      </c>
      <c r="B259" s="244" t="s">
        <v>5725</v>
      </c>
      <c r="C259" s="245" t="s">
        <v>6585</v>
      </c>
      <c r="D259" s="155" t="s">
        <v>542</v>
      </c>
      <c r="E259" s="154" t="s">
        <v>92</v>
      </c>
      <c r="F259" s="154" t="str">
        <f t="array" ref="F259">XLOOKUP(Cover!$D$12,$P$1:$X$1,$P259:$X259)</f>
        <v>Information</v>
      </c>
      <c r="G259" s="154" t="s">
        <v>6586</v>
      </c>
      <c r="H259" s="154" t="s">
        <v>6549</v>
      </c>
      <c r="I259" s="154" t="s">
        <v>6587</v>
      </c>
      <c r="J259" s="154" t="s">
        <v>6064</v>
      </c>
      <c r="K259" s="154"/>
      <c r="L259" s="154" t="s">
        <v>759</v>
      </c>
      <c r="M259" s="247" t="s">
        <v>516</v>
      </c>
      <c r="N259" s="247" t="s">
        <v>5876</v>
      </c>
      <c r="O259" s="240" t="str">
        <f t="shared" si="1"/>
        <v/>
      </c>
      <c r="P259" s="154" t="s">
        <v>66</v>
      </c>
      <c r="Q259" s="154" t="s">
        <v>66</v>
      </c>
      <c r="R259" s="154" t="s">
        <v>66</v>
      </c>
      <c r="S259" s="154" t="s">
        <v>66</v>
      </c>
      <c r="T259" s="154" t="s">
        <v>66</v>
      </c>
      <c r="U259" s="154" t="s">
        <v>66</v>
      </c>
      <c r="V259" s="154" t="s">
        <v>66</v>
      </c>
      <c r="W259" s="154" t="s">
        <v>66</v>
      </c>
      <c r="X259" s="154" t="s">
        <v>66</v>
      </c>
      <c r="Y259" s="154"/>
      <c r="Z259" s="242" t="b">
        <f t="shared" si="2"/>
        <v>1</v>
      </c>
      <c r="AA259" s="154" t="s">
        <v>391</v>
      </c>
      <c r="AB259" s="242" t="b">
        <f t="shared" si="3"/>
        <v>0</v>
      </c>
      <c r="AC259" s="154"/>
      <c r="AD259" s="242" t="b">
        <f t="shared" si="4"/>
        <v>0</v>
      </c>
      <c r="AE259" s="154" t="s">
        <v>1029</v>
      </c>
      <c r="AF259" s="242" t="str">
        <f>IF(AE259="","N/A",INDIRECT("MTR!"&amp;ADDRESS(MATCH(LEFT(AE259,9),MTR!C:C,0),COLUMN(J259)),TRUE) &amp; "")</f>
        <v>Partially Complies</v>
      </c>
      <c r="AG259" s="157" t="str">
        <f t="shared" si="5"/>
        <v/>
      </c>
      <c r="AH259" s="170"/>
      <c r="AI259" s="152"/>
      <c r="AJ259" s="152"/>
      <c r="AK259" s="152"/>
      <c r="AL259" s="152"/>
      <c r="AM259" s="152"/>
      <c r="AN259" s="152"/>
      <c r="AO259" s="152"/>
      <c r="AP259" s="152"/>
      <c r="AQ259" s="152"/>
      <c r="AR259" s="152"/>
    </row>
    <row r="260" ht="12.75" customHeight="1">
      <c r="A260" s="244" t="s">
        <v>5158</v>
      </c>
      <c r="B260" s="244" t="s">
        <v>5725</v>
      </c>
      <c r="C260" s="244" t="s">
        <v>6588</v>
      </c>
      <c r="D260" s="154" t="s">
        <v>602</v>
      </c>
      <c r="E260" s="154"/>
      <c r="F260" s="154" t="str">
        <f t="array" ref="F260">XLOOKUP(Cover!$D$12,$P$1:$X$1,$P260:$X260)</f>
        <v>Recommended</v>
      </c>
      <c r="G260" s="154" t="s">
        <v>6589</v>
      </c>
      <c r="H260" s="154" t="s">
        <v>6590</v>
      </c>
      <c r="I260" s="154" t="s">
        <v>6591</v>
      </c>
      <c r="J260" s="154" t="s">
        <v>5909</v>
      </c>
      <c r="K260" s="154"/>
      <c r="L260" s="154" t="s">
        <v>759</v>
      </c>
      <c r="M260" s="247" t="s">
        <v>516</v>
      </c>
      <c r="N260" s="247" t="s">
        <v>5876</v>
      </c>
      <c r="O260" s="240" t="str">
        <f t="shared" si="1"/>
        <v/>
      </c>
      <c r="P260" s="154" t="s">
        <v>66</v>
      </c>
      <c r="Q260" s="154" t="s">
        <v>66</v>
      </c>
      <c r="R260" s="154" t="s">
        <v>66</v>
      </c>
      <c r="S260" s="154" t="s">
        <v>66</v>
      </c>
      <c r="T260" s="154" t="s">
        <v>66</v>
      </c>
      <c r="U260" s="154" t="s">
        <v>64</v>
      </c>
      <c r="V260" s="154" t="s">
        <v>66</v>
      </c>
      <c r="W260" s="154" t="s">
        <v>66</v>
      </c>
      <c r="X260" s="154" t="s">
        <v>64</v>
      </c>
      <c r="Y260" s="154"/>
      <c r="Z260" s="242" t="b">
        <f t="shared" si="2"/>
        <v>1</v>
      </c>
      <c r="AA260" s="154" t="s">
        <v>391</v>
      </c>
      <c r="AB260" s="242" t="b">
        <f t="shared" si="3"/>
        <v>0</v>
      </c>
      <c r="AC260" s="154"/>
      <c r="AD260" s="242" t="b">
        <f t="shared" si="4"/>
        <v>0</v>
      </c>
      <c r="AE260" s="154" t="s">
        <v>1029</v>
      </c>
      <c r="AF260" s="242" t="str">
        <f>IF(AE260="","N/A",INDIRECT("MTR!"&amp;ADDRESS(MATCH(LEFT(AE260,9),MTR!C:C,0),COLUMN(J260)),TRUE) &amp; "")</f>
        <v>Partially Complies</v>
      </c>
      <c r="AG260" s="157" t="str">
        <f t="shared" si="5"/>
        <v/>
      </c>
      <c r="AH260" s="170"/>
      <c r="AI260" s="152"/>
      <c r="AJ260" s="152"/>
      <c r="AK260" s="152"/>
      <c r="AL260" s="152"/>
      <c r="AM260" s="152"/>
      <c r="AN260" s="152"/>
      <c r="AO260" s="152"/>
      <c r="AP260" s="152"/>
      <c r="AQ260" s="152"/>
      <c r="AR260" s="152"/>
    </row>
    <row r="261" ht="12.75" customHeight="1">
      <c r="A261" s="244" t="s">
        <v>5158</v>
      </c>
      <c r="B261" s="244" t="s">
        <v>5725</v>
      </c>
      <c r="C261" s="244" t="s">
        <v>6592</v>
      </c>
      <c r="D261" s="154" t="s">
        <v>1773</v>
      </c>
      <c r="E261" s="154"/>
      <c r="F261" s="154" t="str">
        <f t="array" ref="F261">XLOOKUP(Cover!$D$12,$P$1:$X$1,$P261:$X261)</f>
        <v>Mandatory</v>
      </c>
      <c r="G261" s="154" t="s">
        <v>6593</v>
      </c>
      <c r="H261" s="154" t="s">
        <v>6238</v>
      </c>
      <c r="I261" s="154" t="s">
        <v>6594</v>
      </c>
      <c r="J261" s="154" t="s">
        <v>6126</v>
      </c>
      <c r="K261" s="154" t="s">
        <v>175</v>
      </c>
      <c r="L261" s="154" t="s">
        <v>759</v>
      </c>
      <c r="M261" s="247" t="s">
        <v>516</v>
      </c>
      <c r="N261" s="247" t="s">
        <v>5876</v>
      </c>
      <c r="O261" s="240" t="str">
        <f t="shared" si="1"/>
        <v/>
      </c>
      <c r="P261" s="154" t="s">
        <v>66</v>
      </c>
      <c r="Q261" s="154" t="s">
        <v>66</v>
      </c>
      <c r="R261" s="154" t="s">
        <v>66</v>
      </c>
      <c r="S261" s="154" t="s">
        <v>66</v>
      </c>
      <c r="T261" s="154" t="s">
        <v>66</v>
      </c>
      <c r="U261" s="154" t="s">
        <v>60</v>
      </c>
      <c r="V261" s="154" t="s">
        <v>66</v>
      </c>
      <c r="W261" s="154" t="s">
        <v>66</v>
      </c>
      <c r="X261" s="154" t="s">
        <v>60</v>
      </c>
      <c r="Y261" s="154"/>
      <c r="Z261" s="242" t="b">
        <f t="shared" si="2"/>
        <v>1</v>
      </c>
      <c r="AA261" s="154" t="s">
        <v>391</v>
      </c>
      <c r="AB261" s="242" t="b">
        <f t="shared" si="3"/>
        <v>0</v>
      </c>
      <c r="AC261" s="154"/>
      <c r="AD261" s="242" t="b">
        <f t="shared" si="4"/>
        <v>0</v>
      </c>
      <c r="AE261" s="154" t="s">
        <v>1029</v>
      </c>
      <c r="AF261" s="242" t="str">
        <f>IF(AE261="","N/A",INDIRECT("MTR!"&amp;ADDRESS(MATCH(LEFT(AE261,9),MTR!C:C,0),COLUMN(J261)),TRUE) &amp; "")</f>
        <v>Partially Complies</v>
      </c>
      <c r="AG261" s="157" t="str">
        <f t="shared" si="5"/>
        <v/>
      </c>
      <c r="AH261" s="170"/>
      <c r="AI261" s="152"/>
      <c r="AJ261" s="152"/>
      <c r="AK261" s="152"/>
      <c r="AL261" s="152"/>
      <c r="AM261" s="152"/>
      <c r="AN261" s="152"/>
      <c r="AO261" s="152"/>
      <c r="AP261" s="152"/>
      <c r="AQ261" s="152"/>
      <c r="AR261" s="152"/>
    </row>
    <row r="262" ht="12.75" customHeight="1">
      <c r="A262" s="244" t="s">
        <v>5158</v>
      </c>
      <c r="B262" s="244" t="s">
        <v>5725</v>
      </c>
      <c r="C262" s="244" t="s">
        <v>6595</v>
      </c>
      <c r="D262" s="154" t="s">
        <v>861</v>
      </c>
      <c r="E262" s="154"/>
      <c r="F262" s="154" t="str">
        <f t="array" ref="F262">XLOOKUP(Cover!$D$12,$P$1:$X$1,$P262:$X262)</f>
        <v>Recommended</v>
      </c>
      <c r="G262" s="154" t="s">
        <v>6596</v>
      </c>
      <c r="H262" s="154" t="s">
        <v>6597</v>
      </c>
      <c r="I262" s="154" t="s">
        <v>6598</v>
      </c>
      <c r="J262" s="154" t="s">
        <v>6428</v>
      </c>
      <c r="K262" s="154"/>
      <c r="L262" s="154" t="s">
        <v>759</v>
      </c>
      <c r="M262" s="247" t="s">
        <v>516</v>
      </c>
      <c r="N262" s="247" t="s">
        <v>5876</v>
      </c>
      <c r="O262" s="240" t="str">
        <f t="shared" si="1"/>
        <v/>
      </c>
      <c r="P262" s="154" t="s">
        <v>66</v>
      </c>
      <c r="Q262" s="154" t="s">
        <v>66</v>
      </c>
      <c r="R262" s="154" t="s">
        <v>66</v>
      </c>
      <c r="S262" s="154" t="s">
        <v>66</v>
      </c>
      <c r="T262" s="154" t="s">
        <v>66</v>
      </c>
      <c r="U262" s="154" t="s">
        <v>64</v>
      </c>
      <c r="V262" s="154" t="s">
        <v>66</v>
      </c>
      <c r="W262" s="154" t="s">
        <v>66</v>
      </c>
      <c r="X262" s="154" t="s">
        <v>64</v>
      </c>
      <c r="Y262" s="154"/>
      <c r="Z262" s="242" t="b">
        <f t="shared" si="2"/>
        <v>1</v>
      </c>
      <c r="AA262" s="154" t="s">
        <v>391</v>
      </c>
      <c r="AB262" s="242" t="b">
        <f t="shared" si="3"/>
        <v>0</v>
      </c>
      <c r="AC262" s="154"/>
      <c r="AD262" s="242" t="b">
        <f t="shared" si="4"/>
        <v>0</v>
      </c>
      <c r="AE262" s="154" t="s">
        <v>1029</v>
      </c>
      <c r="AF262" s="242" t="str">
        <f>IF(AE262="","N/A",INDIRECT("MTR!"&amp;ADDRESS(MATCH(LEFT(AE262,9),MTR!C:C,0),COLUMN(J262)),TRUE) &amp; "")</f>
        <v>Partially Complies</v>
      </c>
      <c r="AG262" s="157" t="str">
        <f t="shared" si="5"/>
        <v/>
      </c>
      <c r="AH262" s="170"/>
      <c r="AI262" s="152"/>
      <c r="AJ262" s="152"/>
      <c r="AK262" s="152"/>
      <c r="AL262" s="152"/>
      <c r="AM262" s="152"/>
      <c r="AN262" s="152"/>
      <c r="AO262" s="152"/>
      <c r="AP262" s="152"/>
      <c r="AQ262" s="152"/>
      <c r="AR262" s="152"/>
    </row>
    <row r="263" ht="12.75" customHeight="1">
      <c r="A263" s="244" t="s">
        <v>5158</v>
      </c>
      <c r="B263" s="244" t="s">
        <v>5725</v>
      </c>
      <c r="C263" s="245" t="s">
        <v>6599</v>
      </c>
      <c r="D263" s="155" t="s">
        <v>1315</v>
      </c>
      <c r="E263" s="154" t="s">
        <v>92</v>
      </c>
      <c r="F263" s="154" t="str">
        <f t="array" ref="F263">XLOOKUP(Cover!$D$12,$P$1:$X$1,$P263:$X263)</f>
        <v>Information</v>
      </c>
      <c r="G263" s="154" t="s">
        <v>6600</v>
      </c>
      <c r="H263" s="154" t="s">
        <v>6313</v>
      </c>
      <c r="I263" s="154" t="s">
        <v>6601</v>
      </c>
      <c r="J263" s="154" t="s">
        <v>6022</v>
      </c>
      <c r="K263" s="154"/>
      <c r="L263" s="154" t="s">
        <v>759</v>
      </c>
      <c r="M263" s="247" t="s">
        <v>516</v>
      </c>
      <c r="N263" s="247" t="s">
        <v>5876</v>
      </c>
      <c r="O263" s="240" t="str">
        <f t="shared" si="1"/>
        <v/>
      </c>
      <c r="P263" s="154" t="s">
        <v>66</v>
      </c>
      <c r="Q263" s="154" t="s">
        <v>66</v>
      </c>
      <c r="R263" s="154" t="s">
        <v>66</v>
      </c>
      <c r="S263" s="154" t="s">
        <v>66</v>
      </c>
      <c r="T263" s="154" t="s">
        <v>66</v>
      </c>
      <c r="U263" s="154" t="s">
        <v>66</v>
      </c>
      <c r="V263" s="154" t="s">
        <v>66</v>
      </c>
      <c r="W263" s="154" t="s">
        <v>66</v>
      </c>
      <c r="X263" s="154" t="s">
        <v>66</v>
      </c>
      <c r="Y263" s="154"/>
      <c r="Z263" s="242" t="b">
        <f t="shared" si="2"/>
        <v>1</v>
      </c>
      <c r="AA263" s="154" t="s">
        <v>391</v>
      </c>
      <c r="AB263" s="242" t="b">
        <f t="shared" si="3"/>
        <v>0</v>
      </c>
      <c r="AC263" s="154"/>
      <c r="AD263" s="242" t="b">
        <f t="shared" si="4"/>
        <v>0</v>
      </c>
      <c r="AE263" s="154" t="s">
        <v>1029</v>
      </c>
      <c r="AF263" s="242" t="str">
        <f>IF(AE263="","N/A",INDIRECT("MTR!"&amp;ADDRESS(MATCH(LEFT(AE263,9),MTR!C:C,0),COLUMN(J263)),TRUE) &amp; "")</f>
        <v>Partially Complies</v>
      </c>
      <c r="AG263" s="157" t="str">
        <f t="shared" si="5"/>
        <v/>
      </c>
      <c r="AH263" s="170"/>
      <c r="AI263" s="152"/>
      <c r="AJ263" s="152"/>
      <c r="AK263" s="152"/>
      <c r="AL263" s="152"/>
      <c r="AM263" s="152"/>
      <c r="AN263" s="152"/>
      <c r="AO263" s="152"/>
      <c r="AP263" s="152"/>
      <c r="AQ263" s="152"/>
      <c r="AR263" s="152"/>
    </row>
    <row r="264" ht="12.75" customHeight="1">
      <c r="A264" s="244" t="s">
        <v>5158</v>
      </c>
      <c r="B264" s="244" t="s">
        <v>5725</v>
      </c>
      <c r="C264" s="244" t="s">
        <v>6602</v>
      </c>
      <c r="D264" s="154" t="s">
        <v>1773</v>
      </c>
      <c r="E264" s="154"/>
      <c r="F264" s="154" t="str">
        <f t="array" ref="F264">XLOOKUP(Cover!$D$12,$P$1:$X$1,$P264:$X264)</f>
        <v>Mandatory</v>
      </c>
      <c r="G264" s="154" t="s">
        <v>6603</v>
      </c>
      <c r="H264" s="154" t="s">
        <v>6251</v>
      </c>
      <c r="I264" s="154" t="s">
        <v>6604</v>
      </c>
      <c r="J264" s="154" t="s">
        <v>6126</v>
      </c>
      <c r="K264" s="154" t="s">
        <v>175</v>
      </c>
      <c r="L264" s="154" t="s">
        <v>759</v>
      </c>
      <c r="M264" s="247" t="s">
        <v>516</v>
      </c>
      <c r="N264" s="247" t="s">
        <v>5876</v>
      </c>
      <c r="O264" s="240" t="str">
        <f t="shared" si="1"/>
        <v/>
      </c>
      <c r="P264" s="154" t="s">
        <v>66</v>
      </c>
      <c r="Q264" s="154" t="s">
        <v>66</v>
      </c>
      <c r="R264" s="154" t="s">
        <v>66</v>
      </c>
      <c r="S264" s="154" t="s">
        <v>66</v>
      </c>
      <c r="T264" s="154" t="s">
        <v>66</v>
      </c>
      <c r="U264" s="154" t="s">
        <v>60</v>
      </c>
      <c r="V264" s="154" t="s">
        <v>66</v>
      </c>
      <c r="W264" s="154" t="s">
        <v>66</v>
      </c>
      <c r="X264" s="154" t="s">
        <v>60</v>
      </c>
      <c r="Y264" s="154"/>
      <c r="Z264" s="242" t="b">
        <f t="shared" si="2"/>
        <v>1</v>
      </c>
      <c r="AA264" s="154" t="s">
        <v>391</v>
      </c>
      <c r="AB264" s="242" t="b">
        <f t="shared" si="3"/>
        <v>0</v>
      </c>
      <c r="AC264" s="154"/>
      <c r="AD264" s="242" t="b">
        <f t="shared" si="4"/>
        <v>0</v>
      </c>
      <c r="AE264" s="154" t="s">
        <v>1029</v>
      </c>
      <c r="AF264" s="242" t="str">
        <f>IF(AE264="","N/A",INDIRECT("MTR!"&amp;ADDRESS(MATCH(LEFT(AE264,9),MTR!C:C,0),COLUMN(J264)),TRUE) &amp; "")</f>
        <v>Partially Complies</v>
      </c>
      <c r="AG264" s="157" t="str">
        <f t="shared" si="5"/>
        <v/>
      </c>
      <c r="AH264" s="170"/>
      <c r="AI264" s="152"/>
      <c r="AJ264" s="152"/>
      <c r="AK264" s="152"/>
      <c r="AL264" s="152"/>
      <c r="AM264" s="152"/>
      <c r="AN264" s="152"/>
      <c r="AO264" s="152"/>
      <c r="AP264" s="152"/>
      <c r="AQ264" s="152"/>
      <c r="AR264" s="152"/>
    </row>
    <row r="265" ht="12.75" customHeight="1">
      <c r="A265" s="244" t="s">
        <v>5158</v>
      </c>
      <c r="B265" s="244" t="s">
        <v>5725</v>
      </c>
      <c r="C265" s="244" t="s">
        <v>6605</v>
      </c>
      <c r="D265" s="154" t="s">
        <v>602</v>
      </c>
      <c r="E265" s="154"/>
      <c r="F265" s="154" t="str">
        <f t="array" ref="F265">XLOOKUP(Cover!$D$12,$P$1:$X$1,$P265:$X265)</f>
        <v>Information</v>
      </c>
      <c r="G265" s="154" t="s">
        <v>6606</v>
      </c>
      <c r="H265" s="154" t="s">
        <v>6280</v>
      </c>
      <c r="I265" s="154" t="s">
        <v>6607</v>
      </c>
      <c r="J265" s="154" t="s">
        <v>5909</v>
      </c>
      <c r="K265" s="154"/>
      <c r="L265" s="154" t="s">
        <v>759</v>
      </c>
      <c r="M265" s="247" t="s">
        <v>516</v>
      </c>
      <c r="N265" s="247" t="s">
        <v>5876</v>
      </c>
      <c r="O265" s="240" t="str">
        <f t="shared" si="1"/>
        <v/>
      </c>
      <c r="P265" s="154" t="s">
        <v>66</v>
      </c>
      <c r="Q265" s="154" t="s">
        <v>66</v>
      </c>
      <c r="R265" s="154" t="s">
        <v>66</v>
      </c>
      <c r="S265" s="154" t="s">
        <v>66</v>
      </c>
      <c r="T265" s="154" t="s">
        <v>66</v>
      </c>
      <c r="U265" s="154" t="s">
        <v>66</v>
      </c>
      <c r="V265" s="154" t="s">
        <v>66</v>
      </c>
      <c r="W265" s="154" t="s">
        <v>66</v>
      </c>
      <c r="X265" s="154" t="s">
        <v>66</v>
      </c>
      <c r="Y265" s="154"/>
      <c r="Z265" s="242" t="b">
        <f t="shared" si="2"/>
        <v>1</v>
      </c>
      <c r="AA265" s="154" t="s">
        <v>391</v>
      </c>
      <c r="AB265" s="242" t="b">
        <f t="shared" si="3"/>
        <v>0</v>
      </c>
      <c r="AC265" s="154"/>
      <c r="AD265" s="242" t="b">
        <f t="shared" si="4"/>
        <v>0</v>
      </c>
      <c r="AE265" s="154" t="s">
        <v>1029</v>
      </c>
      <c r="AF265" s="242" t="str">
        <f>IF(AE265="","N/A",INDIRECT("MTR!"&amp;ADDRESS(MATCH(LEFT(AE265,9),MTR!C:C,0),COLUMN(J265)),TRUE) &amp; "")</f>
        <v>Partially Complies</v>
      </c>
      <c r="AG265" s="157" t="str">
        <f t="shared" si="5"/>
        <v/>
      </c>
      <c r="AH265" s="170"/>
      <c r="AI265" s="152"/>
      <c r="AJ265" s="152"/>
      <c r="AK265" s="152"/>
      <c r="AL265" s="152"/>
      <c r="AM265" s="152"/>
      <c r="AN265" s="152"/>
      <c r="AO265" s="152"/>
      <c r="AP265" s="152"/>
      <c r="AQ265" s="152"/>
      <c r="AR265" s="152"/>
    </row>
    <row r="266" ht="12.75" customHeight="1">
      <c r="A266" s="244" t="s">
        <v>5158</v>
      </c>
      <c r="B266" s="244" t="s">
        <v>5725</v>
      </c>
      <c r="C266" s="244" t="s">
        <v>6608</v>
      </c>
      <c r="D266" s="154" t="s">
        <v>492</v>
      </c>
      <c r="E266" s="154"/>
      <c r="F266" s="154" t="str">
        <f t="array" ref="F266">XLOOKUP(Cover!$D$12,$P$1:$X$1,$P266:$X266)</f>
        <v>Mandatory</v>
      </c>
      <c r="G266" s="154" t="s">
        <v>6609</v>
      </c>
      <c r="H266" s="154" t="s">
        <v>6610</v>
      </c>
      <c r="I266" s="154" t="s">
        <v>6611</v>
      </c>
      <c r="J266" s="154" t="s">
        <v>5905</v>
      </c>
      <c r="K266" s="154" t="s">
        <v>175</v>
      </c>
      <c r="L266" s="154" t="s">
        <v>759</v>
      </c>
      <c r="M266" s="247" t="s">
        <v>516</v>
      </c>
      <c r="N266" s="247" t="s">
        <v>5876</v>
      </c>
      <c r="O266" s="240" t="str">
        <f t="shared" si="1"/>
        <v/>
      </c>
      <c r="P266" s="154" t="s">
        <v>66</v>
      </c>
      <c r="Q266" s="154" t="s">
        <v>66</v>
      </c>
      <c r="R266" s="154" t="s">
        <v>66</v>
      </c>
      <c r="S266" s="154" t="s">
        <v>66</v>
      </c>
      <c r="T266" s="154" t="s">
        <v>66</v>
      </c>
      <c r="U266" s="154" t="s">
        <v>60</v>
      </c>
      <c r="V266" s="154" t="s">
        <v>66</v>
      </c>
      <c r="W266" s="154" t="s">
        <v>66</v>
      </c>
      <c r="X266" s="154" t="s">
        <v>60</v>
      </c>
      <c r="Y266" s="154"/>
      <c r="Z266" s="242" t="b">
        <f t="shared" si="2"/>
        <v>1</v>
      </c>
      <c r="AA266" s="154" t="s">
        <v>391</v>
      </c>
      <c r="AB266" s="242" t="b">
        <f t="shared" si="3"/>
        <v>0</v>
      </c>
      <c r="AC266" s="154"/>
      <c r="AD266" s="242" t="b">
        <f t="shared" si="4"/>
        <v>0</v>
      </c>
      <c r="AE266" s="154" t="s">
        <v>1029</v>
      </c>
      <c r="AF266" s="242" t="str">
        <f>IF(AE266="","N/A",INDIRECT("MTR!"&amp;ADDRESS(MATCH(LEFT(AE266,9),MTR!C:C,0),COLUMN(J266)),TRUE) &amp; "")</f>
        <v>Partially Complies</v>
      </c>
      <c r="AG266" s="157" t="str">
        <f t="shared" si="5"/>
        <v/>
      </c>
      <c r="AH266" s="170"/>
      <c r="AI266" s="152"/>
      <c r="AJ266" s="152"/>
      <c r="AK266" s="152"/>
      <c r="AL266" s="152"/>
      <c r="AM266" s="152"/>
      <c r="AN266" s="152"/>
      <c r="AO266" s="152"/>
      <c r="AP266" s="152"/>
      <c r="AQ266" s="152"/>
      <c r="AR266" s="152"/>
    </row>
    <row r="267" ht="12.75" customHeight="1">
      <c r="A267" s="244" t="s">
        <v>5158</v>
      </c>
      <c r="B267" s="244" t="s">
        <v>5725</v>
      </c>
      <c r="C267" s="244" t="s">
        <v>6612</v>
      </c>
      <c r="D267" s="154" t="s">
        <v>781</v>
      </c>
      <c r="E267" s="154"/>
      <c r="F267" s="154" t="str">
        <f t="array" ref="F267">XLOOKUP(Cover!$D$12,$P$1:$X$1,$P267:$X267)</f>
        <v>Information</v>
      </c>
      <c r="G267" s="154" t="s">
        <v>6613</v>
      </c>
      <c r="H267" s="154" t="s">
        <v>6580</v>
      </c>
      <c r="I267" s="154" t="s">
        <v>6614</v>
      </c>
      <c r="J267" s="154" t="s">
        <v>6140</v>
      </c>
      <c r="K267" s="154"/>
      <c r="L267" s="154" t="s">
        <v>759</v>
      </c>
      <c r="M267" s="247" t="s">
        <v>516</v>
      </c>
      <c r="N267" s="247" t="s">
        <v>5876</v>
      </c>
      <c r="O267" s="240" t="str">
        <f t="shared" si="1"/>
        <v/>
      </c>
      <c r="P267" s="154" t="s">
        <v>66</v>
      </c>
      <c r="Q267" s="154" t="s">
        <v>66</v>
      </c>
      <c r="R267" s="154" t="s">
        <v>66</v>
      </c>
      <c r="S267" s="154" t="s">
        <v>66</v>
      </c>
      <c r="T267" s="154" t="s">
        <v>66</v>
      </c>
      <c r="U267" s="154" t="s">
        <v>66</v>
      </c>
      <c r="V267" s="154" t="s">
        <v>66</v>
      </c>
      <c r="W267" s="154" t="s">
        <v>66</v>
      </c>
      <c r="X267" s="154" t="s">
        <v>66</v>
      </c>
      <c r="Y267" s="154"/>
      <c r="Z267" s="242" t="b">
        <f t="shared" si="2"/>
        <v>1</v>
      </c>
      <c r="AA267" s="154" t="s">
        <v>391</v>
      </c>
      <c r="AB267" s="242" t="b">
        <f t="shared" si="3"/>
        <v>0</v>
      </c>
      <c r="AC267" s="154"/>
      <c r="AD267" s="242" t="b">
        <f t="shared" si="4"/>
        <v>0</v>
      </c>
      <c r="AE267" s="154" t="s">
        <v>1029</v>
      </c>
      <c r="AF267" s="242" t="str">
        <f>IF(AE267="","N/A",INDIRECT("MTR!"&amp;ADDRESS(MATCH(LEFT(AE267,9),MTR!C:C,0),COLUMN(J267)),TRUE) &amp; "")</f>
        <v>Partially Complies</v>
      </c>
      <c r="AG267" s="157" t="str">
        <f t="shared" si="5"/>
        <v/>
      </c>
      <c r="AH267" s="170"/>
      <c r="AI267" s="152"/>
      <c r="AJ267" s="152"/>
      <c r="AK267" s="152"/>
      <c r="AL267" s="152"/>
      <c r="AM267" s="152"/>
      <c r="AN267" s="152"/>
      <c r="AO267" s="152"/>
      <c r="AP267" s="152"/>
      <c r="AQ267" s="152"/>
      <c r="AR267" s="152"/>
    </row>
    <row r="268" ht="12.75" customHeight="1">
      <c r="A268" s="244" t="s">
        <v>5158</v>
      </c>
      <c r="B268" s="244" t="s">
        <v>5725</v>
      </c>
      <c r="C268" s="244" t="s">
        <v>6615</v>
      </c>
      <c r="D268" s="154" t="s">
        <v>602</v>
      </c>
      <c r="E268" s="154"/>
      <c r="F268" s="154" t="str">
        <f t="array" ref="F268">XLOOKUP(Cover!$D$12,$P$1:$X$1,$P268:$X268)</f>
        <v>Information</v>
      </c>
      <c r="G268" s="154" t="s">
        <v>6616</v>
      </c>
      <c r="H268" s="154" t="s">
        <v>6549</v>
      </c>
      <c r="I268" s="154" t="s">
        <v>6617</v>
      </c>
      <c r="J268" s="154" t="s">
        <v>5909</v>
      </c>
      <c r="K268" s="154"/>
      <c r="L268" s="154" t="s">
        <v>759</v>
      </c>
      <c r="M268" s="247" t="s">
        <v>516</v>
      </c>
      <c r="N268" s="247" t="s">
        <v>5876</v>
      </c>
      <c r="O268" s="240" t="str">
        <f t="shared" si="1"/>
        <v/>
      </c>
      <c r="P268" s="154" t="s">
        <v>66</v>
      </c>
      <c r="Q268" s="154" t="s">
        <v>66</v>
      </c>
      <c r="R268" s="154" t="s">
        <v>66</v>
      </c>
      <c r="S268" s="154" t="s">
        <v>66</v>
      </c>
      <c r="T268" s="154" t="s">
        <v>66</v>
      </c>
      <c r="U268" s="154" t="s">
        <v>66</v>
      </c>
      <c r="V268" s="154" t="s">
        <v>66</v>
      </c>
      <c r="W268" s="154" t="s">
        <v>66</v>
      </c>
      <c r="X268" s="154" t="s">
        <v>66</v>
      </c>
      <c r="Y268" s="154"/>
      <c r="Z268" s="242" t="b">
        <f t="shared" si="2"/>
        <v>1</v>
      </c>
      <c r="AA268" s="154" t="s">
        <v>391</v>
      </c>
      <c r="AB268" s="242" t="b">
        <f t="shared" si="3"/>
        <v>0</v>
      </c>
      <c r="AC268" s="154"/>
      <c r="AD268" s="242" t="b">
        <f t="shared" si="4"/>
        <v>0</v>
      </c>
      <c r="AE268" s="154" t="s">
        <v>1029</v>
      </c>
      <c r="AF268" s="242" t="str">
        <f>IF(AE268="","N/A",INDIRECT("MTR!"&amp;ADDRESS(MATCH(LEFT(AE268,9),MTR!C:C,0),COLUMN(J268)),TRUE) &amp; "")</f>
        <v>Partially Complies</v>
      </c>
      <c r="AG268" s="157" t="str">
        <f t="shared" si="5"/>
        <v/>
      </c>
      <c r="AH268" s="170"/>
      <c r="AI268" s="152"/>
      <c r="AJ268" s="152"/>
      <c r="AK268" s="152"/>
      <c r="AL268" s="152"/>
      <c r="AM268" s="152"/>
      <c r="AN268" s="152"/>
      <c r="AO268" s="152"/>
      <c r="AP268" s="152"/>
      <c r="AQ268" s="152"/>
      <c r="AR268" s="152"/>
    </row>
    <row r="269" ht="12.75" customHeight="1">
      <c r="A269" s="244" t="s">
        <v>5158</v>
      </c>
      <c r="B269" s="244" t="s">
        <v>5725</v>
      </c>
      <c r="C269" s="244" t="s">
        <v>6618</v>
      </c>
      <c r="D269" s="154" t="s">
        <v>492</v>
      </c>
      <c r="E269" s="154"/>
      <c r="F269" s="154" t="str">
        <f t="array" ref="F269">XLOOKUP(Cover!$D$12,$P$1:$X$1,$P269:$X269)</f>
        <v>Mandatory</v>
      </c>
      <c r="G269" s="154" t="s">
        <v>6619</v>
      </c>
      <c r="H269" s="154" t="s">
        <v>6620</v>
      </c>
      <c r="I269" s="154" t="s">
        <v>6621</v>
      </c>
      <c r="J269" s="154" t="s">
        <v>5982</v>
      </c>
      <c r="K269" s="154" t="s">
        <v>175</v>
      </c>
      <c r="L269" s="154" t="s">
        <v>759</v>
      </c>
      <c r="M269" s="247" t="s">
        <v>516</v>
      </c>
      <c r="N269" s="247" t="s">
        <v>5876</v>
      </c>
      <c r="O269" s="240" t="str">
        <f t="shared" si="1"/>
        <v/>
      </c>
      <c r="P269" s="154" t="s">
        <v>66</v>
      </c>
      <c r="Q269" s="154" t="s">
        <v>66</v>
      </c>
      <c r="R269" s="154" t="s">
        <v>66</v>
      </c>
      <c r="S269" s="154" t="s">
        <v>66</v>
      </c>
      <c r="T269" s="154" t="s">
        <v>66</v>
      </c>
      <c r="U269" s="154" t="s">
        <v>60</v>
      </c>
      <c r="V269" s="154" t="s">
        <v>66</v>
      </c>
      <c r="W269" s="154" t="s">
        <v>66</v>
      </c>
      <c r="X269" s="154" t="s">
        <v>60</v>
      </c>
      <c r="Y269" s="154"/>
      <c r="Z269" s="242" t="b">
        <f t="shared" si="2"/>
        <v>1</v>
      </c>
      <c r="AA269" s="154" t="s">
        <v>391</v>
      </c>
      <c r="AB269" s="242" t="b">
        <f t="shared" si="3"/>
        <v>0</v>
      </c>
      <c r="AC269" s="154"/>
      <c r="AD269" s="242" t="b">
        <f t="shared" si="4"/>
        <v>0</v>
      </c>
      <c r="AE269" s="154" t="s">
        <v>1029</v>
      </c>
      <c r="AF269" s="242" t="str">
        <f>IF(AE269="","N/A",INDIRECT("MTR!"&amp;ADDRESS(MATCH(LEFT(AE269,9),MTR!C:C,0),COLUMN(J269)),TRUE) &amp; "")</f>
        <v>Partially Complies</v>
      </c>
      <c r="AG269" s="157" t="str">
        <f t="shared" si="5"/>
        <v/>
      </c>
      <c r="AH269" s="170"/>
      <c r="AI269" s="152"/>
      <c r="AJ269" s="152"/>
      <c r="AK269" s="152"/>
      <c r="AL269" s="152"/>
      <c r="AM269" s="152"/>
      <c r="AN269" s="152"/>
      <c r="AO269" s="152"/>
      <c r="AP269" s="152"/>
      <c r="AQ269" s="152"/>
      <c r="AR269" s="152"/>
    </row>
    <row r="270" ht="12.75" customHeight="1">
      <c r="A270" s="244" t="s">
        <v>5158</v>
      </c>
      <c r="B270" s="244" t="s">
        <v>5725</v>
      </c>
      <c r="C270" s="244" t="s">
        <v>6622</v>
      </c>
      <c r="D270" s="154" t="s">
        <v>602</v>
      </c>
      <c r="E270" s="154"/>
      <c r="F270" s="154" t="str">
        <f t="array" ref="F270">XLOOKUP(Cover!$D$12,$P$1:$X$1,$P270:$X270)</f>
        <v>Recommended</v>
      </c>
      <c r="G270" s="154" t="s">
        <v>6623</v>
      </c>
      <c r="H270" s="154" t="s">
        <v>6624</v>
      </c>
      <c r="I270" s="154" t="s">
        <v>6625</v>
      </c>
      <c r="J270" s="154" t="s">
        <v>5909</v>
      </c>
      <c r="K270" s="154"/>
      <c r="L270" s="154" t="s">
        <v>759</v>
      </c>
      <c r="M270" s="247" t="s">
        <v>516</v>
      </c>
      <c r="N270" s="247" t="s">
        <v>5876</v>
      </c>
      <c r="O270" s="240" t="str">
        <f t="shared" si="1"/>
        <v/>
      </c>
      <c r="P270" s="154" t="s">
        <v>66</v>
      </c>
      <c r="Q270" s="154" t="s">
        <v>66</v>
      </c>
      <c r="R270" s="154" t="s">
        <v>66</v>
      </c>
      <c r="S270" s="154" t="s">
        <v>66</v>
      </c>
      <c r="T270" s="154" t="s">
        <v>66</v>
      </c>
      <c r="U270" s="154" t="s">
        <v>64</v>
      </c>
      <c r="V270" s="154" t="s">
        <v>66</v>
      </c>
      <c r="W270" s="154" t="s">
        <v>66</v>
      </c>
      <c r="X270" s="154" t="s">
        <v>64</v>
      </c>
      <c r="Y270" s="154"/>
      <c r="Z270" s="242" t="b">
        <f t="shared" si="2"/>
        <v>1</v>
      </c>
      <c r="AA270" s="154" t="s">
        <v>391</v>
      </c>
      <c r="AB270" s="242" t="b">
        <f t="shared" si="3"/>
        <v>0</v>
      </c>
      <c r="AC270" s="154"/>
      <c r="AD270" s="242" t="b">
        <f t="shared" si="4"/>
        <v>0</v>
      </c>
      <c r="AE270" s="154" t="s">
        <v>1029</v>
      </c>
      <c r="AF270" s="242" t="str">
        <f>IF(AE270="","N/A",INDIRECT("MTR!"&amp;ADDRESS(MATCH(LEFT(AE270,9),MTR!C:C,0),COLUMN(J270)),TRUE) &amp; "")</f>
        <v>Partially Complies</v>
      </c>
      <c r="AG270" s="157" t="str">
        <f t="shared" si="5"/>
        <v/>
      </c>
      <c r="AH270" s="170"/>
      <c r="AI270" s="152"/>
      <c r="AJ270" s="152"/>
      <c r="AK270" s="152"/>
      <c r="AL270" s="152"/>
      <c r="AM270" s="152"/>
      <c r="AN270" s="152"/>
      <c r="AO270" s="152"/>
      <c r="AP270" s="152"/>
      <c r="AQ270" s="152"/>
      <c r="AR270" s="152"/>
    </row>
    <row r="271" ht="12.75" customHeight="1">
      <c r="A271" s="244" t="s">
        <v>5158</v>
      </c>
      <c r="B271" s="244" t="s">
        <v>5725</v>
      </c>
      <c r="C271" s="244" t="s">
        <v>6626</v>
      </c>
      <c r="D271" s="154" t="s">
        <v>1315</v>
      </c>
      <c r="E271" s="154"/>
      <c r="F271" s="154" t="str">
        <f t="array" ref="F271">XLOOKUP(Cover!$D$12,$P$1:$X$1,$P271:$X271)</f>
        <v>Information</v>
      </c>
      <c r="G271" s="154" t="s">
        <v>6627</v>
      </c>
      <c r="H271" s="154" t="s">
        <v>6628</v>
      </c>
      <c r="I271" s="154" t="s">
        <v>6629</v>
      </c>
      <c r="J271" s="154" t="s">
        <v>6022</v>
      </c>
      <c r="K271" s="154"/>
      <c r="L271" s="154" t="s">
        <v>759</v>
      </c>
      <c r="M271" s="247" t="s">
        <v>516</v>
      </c>
      <c r="N271" s="247" t="s">
        <v>5876</v>
      </c>
      <c r="O271" s="240" t="str">
        <f t="shared" si="1"/>
        <v/>
      </c>
      <c r="P271" s="154" t="s">
        <v>66</v>
      </c>
      <c r="Q271" s="154" t="s">
        <v>66</v>
      </c>
      <c r="R271" s="154" t="s">
        <v>66</v>
      </c>
      <c r="S271" s="154" t="s">
        <v>66</v>
      </c>
      <c r="T271" s="154" t="s">
        <v>66</v>
      </c>
      <c r="U271" s="154" t="s">
        <v>66</v>
      </c>
      <c r="V271" s="154" t="s">
        <v>66</v>
      </c>
      <c r="W271" s="154" t="s">
        <v>66</v>
      </c>
      <c r="X271" s="154" t="s">
        <v>66</v>
      </c>
      <c r="Y271" s="154"/>
      <c r="Z271" s="242" t="b">
        <f t="shared" si="2"/>
        <v>1</v>
      </c>
      <c r="AA271" s="154" t="s">
        <v>391</v>
      </c>
      <c r="AB271" s="242" t="b">
        <f t="shared" si="3"/>
        <v>0</v>
      </c>
      <c r="AC271" s="154"/>
      <c r="AD271" s="242" t="b">
        <f t="shared" si="4"/>
        <v>0</v>
      </c>
      <c r="AE271" s="154" t="s">
        <v>1029</v>
      </c>
      <c r="AF271" s="242" t="str">
        <f>IF(AE271="","N/A",INDIRECT("MTR!"&amp;ADDRESS(MATCH(LEFT(AE271,9),MTR!C:C,0),COLUMN(J271)),TRUE) &amp; "")</f>
        <v>Partially Complies</v>
      </c>
      <c r="AG271" s="157" t="str">
        <f t="shared" si="5"/>
        <v/>
      </c>
      <c r="AH271" s="170"/>
      <c r="AI271" s="152"/>
      <c r="AJ271" s="152"/>
      <c r="AK271" s="152"/>
      <c r="AL271" s="152"/>
      <c r="AM271" s="152"/>
      <c r="AN271" s="152"/>
      <c r="AO271" s="152"/>
      <c r="AP271" s="152"/>
      <c r="AQ271" s="152"/>
      <c r="AR271" s="152"/>
    </row>
    <row r="272" ht="12.75" customHeight="1">
      <c r="A272" s="244" t="s">
        <v>5158</v>
      </c>
      <c r="B272" s="244" t="s">
        <v>5725</v>
      </c>
      <c r="C272" s="244" t="s">
        <v>6630</v>
      </c>
      <c r="D272" s="154" t="s">
        <v>1069</v>
      </c>
      <c r="E272" s="154"/>
      <c r="F272" s="154" t="str">
        <f t="array" ref="F272">XLOOKUP(Cover!$D$12,$P$1:$X$1,$P272:$X272)</f>
        <v>Mandatory</v>
      </c>
      <c r="G272" s="154" t="s">
        <v>6631</v>
      </c>
      <c r="H272" s="154" t="s">
        <v>6632</v>
      </c>
      <c r="I272" s="154" t="s">
        <v>6633</v>
      </c>
      <c r="J272" s="154" t="s">
        <v>5927</v>
      </c>
      <c r="K272" s="154" t="s">
        <v>175</v>
      </c>
      <c r="L272" s="154" t="s">
        <v>759</v>
      </c>
      <c r="M272" s="247" t="s">
        <v>516</v>
      </c>
      <c r="N272" s="247" t="s">
        <v>5876</v>
      </c>
      <c r="O272" s="240" t="str">
        <f t="shared" si="1"/>
        <v/>
      </c>
      <c r="P272" s="154" t="s">
        <v>66</v>
      </c>
      <c r="Q272" s="154" t="s">
        <v>66</v>
      </c>
      <c r="R272" s="154" t="s">
        <v>66</v>
      </c>
      <c r="S272" s="154" t="s">
        <v>66</v>
      </c>
      <c r="T272" s="154" t="s">
        <v>66</v>
      </c>
      <c r="U272" s="154" t="s">
        <v>60</v>
      </c>
      <c r="V272" s="154" t="s">
        <v>66</v>
      </c>
      <c r="W272" s="154" t="s">
        <v>66</v>
      </c>
      <c r="X272" s="154" t="s">
        <v>60</v>
      </c>
      <c r="Y272" s="154"/>
      <c r="Z272" s="242" t="b">
        <f t="shared" si="2"/>
        <v>1</v>
      </c>
      <c r="AA272" s="154" t="s">
        <v>391</v>
      </c>
      <c r="AB272" s="242" t="b">
        <f t="shared" si="3"/>
        <v>0</v>
      </c>
      <c r="AC272" s="154"/>
      <c r="AD272" s="242" t="b">
        <f t="shared" si="4"/>
        <v>0</v>
      </c>
      <c r="AE272" s="154" t="s">
        <v>1029</v>
      </c>
      <c r="AF272" s="242" t="str">
        <f>IF(AE272="","N/A",INDIRECT("MTR!"&amp;ADDRESS(MATCH(LEFT(AE272,9),MTR!C:C,0),COLUMN(J272)),TRUE) &amp; "")</f>
        <v>Partially Complies</v>
      </c>
      <c r="AG272" s="157" t="str">
        <f t="shared" si="5"/>
        <v/>
      </c>
      <c r="AH272" s="170"/>
      <c r="AI272" s="152"/>
      <c r="AJ272" s="152"/>
      <c r="AK272" s="152"/>
      <c r="AL272" s="152"/>
      <c r="AM272" s="152"/>
      <c r="AN272" s="152"/>
      <c r="AO272" s="152"/>
      <c r="AP272" s="152"/>
      <c r="AQ272" s="152"/>
      <c r="AR272" s="152"/>
    </row>
    <row r="273" ht="12.75" customHeight="1">
      <c r="A273" s="244" t="s">
        <v>5158</v>
      </c>
      <c r="B273" s="244" t="s">
        <v>5725</v>
      </c>
      <c r="C273" s="245" t="s">
        <v>6634</v>
      </c>
      <c r="D273" s="155" t="s">
        <v>1120</v>
      </c>
      <c r="E273" s="154" t="s">
        <v>92</v>
      </c>
      <c r="F273" s="154" t="str">
        <f t="array" ref="F273">XLOOKUP(Cover!$D$12,$P$1:$X$1,$P273:$X273)</f>
        <v>Recommended</v>
      </c>
      <c r="G273" s="154" t="s">
        <v>6635</v>
      </c>
      <c r="H273" s="154" t="s">
        <v>6636</v>
      </c>
      <c r="I273" s="154" t="s">
        <v>6637</v>
      </c>
      <c r="J273" s="154" t="s">
        <v>5732</v>
      </c>
      <c r="K273" s="154"/>
      <c r="L273" s="154" t="s">
        <v>759</v>
      </c>
      <c r="M273" s="247" t="s">
        <v>516</v>
      </c>
      <c r="N273" s="247" t="s">
        <v>5876</v>
      </c>
      <c r="O273" s="240" t="str">
        <f t="shared" si="1"/>
        <v/>
      </c>
      <c r="P273" s="154" t="s">
        <v>66</v>
      </c>
      <c r="Q273" s="154" t="s">
        <v>66</v>
      </c>
      <c r="R273" s="154" t="s">
        <v>66</v>
      </c>
      <c r="S273" s="154" t="s">
        <v>66</v>
      </c>
      <c r="T273" s="154" t="s">
        <v>66</v>
      </c>
      <c r="U273" s="154" t="s">
        <v>64</v>
      </c>
      <c r="V273" s="154" t="s">
        <v>66</v>
      </c>
      <c r="W273" s="154" t="s">
        <v>66</v>
      </c>
      <c r="X273" s="154" t="s">
        <v>64</v>
      </c>
      <c r="Y273" s="154"/>
      <c r="Z273" s="242" t="b">
        <f t="shared" si="2"/>
        <v>1</v>
      </c>
      <c r="AA273" s="154" t="s">
        <v>391</v>
      </c>
      <c r="AB273" s="242" t="b">
        <f t="shared" si="3"/>
        <v>0</v>
      </c>
      <c r="AC273" s="154"/>
      <c r="AD273" s="242" t="b">
        <f t="shared" si="4"/>
        <v>0</v>
      </c>
      <c r="AE273" s="154" t="s">
        <v>1029</v>
      </c>
      <c r="AF273" s="242" t="str">
        <f>IF(AE273="","N/A",INDIRECT("MTR!"&amp;ADDRESS(MATCH(LEFT(AE273,9),MTR!C:C,0),COLUMN(J273)),TRUE) &amp; "")</f>
        <v>Partially Complies</v>
      </c>
      <c r="AG273" s="157" t="str">
        <f t="shared" si="5"/>
        <v/>
      </c>
      <c r="AH273" s="170"/>
      <c r="AI273" s="152"/>
      <c r="AJ273" s="152"/>
      <c r="AK273" s="152"/>
      <c r="AL273" s="152"/>
      <c r="AM273" s="152"/>
      <c r="AN273" s="152"/>
      <c r="AO273" s="152"/>
      <c r="AP273" s="152"/>
      <c r="AQ273" s="152"/>
      <c r="AR273" s="152"/>
    </row>
    <row r="274" ht="12.75" customHeight="1">
      <c r="A274" s="244" t="s">
        <v>5158</v>
      </c>
      <c r="B274" s="244" t="s">
        <v>5725</v>
      </c>
      <c r="C274" s="244" t="s">
        <v>6638</v>
      </c>
      <c r="D274" s="154" t="s">
        <v>602</v>
      </c>
      <c r="E274" s="154"/>
      <c r="F274" s="154" t="str">
        <f t="array" ref="F274">XLOOKUP(Cover!$D$12,$P$1:$X$1,$P274:$X274)</f>
        <v>Mandatory</v>
      </c>
      <c r="G274" s="154" t="s">
        <v>6639</v>
      </c>
      <c r="H274" s="154" t="s">
        <v>6580</v>
      </c>
      <c r="I274" s="154" t="s">
        <v>6640</v>
      </c>
      <c r="J274" s="154" t="s">
        <v>5909</v>
      </c>
      <c r="K274" s="154" t="s">
        <v>175</v>
      </c>
      <c r="L274" s="154" t="s">
        <v>759</v>
      </c>
      <c r="M274" s="247" t="s">
        <v>516</v>
      </c>
      <c r="N274" s="247" t="s">
        <v>5876</v>
      </c>
      <c r="O274" s="240" t="str">
        <f t="shared" si="1"/>
        <v/>
      </c>
      <c r="P274" s="154" t="s">
        <v>66</v>
      </c>
      <c r="Q274" s="154" t="s">
        <v>66</v>
      </c>
      <c r="R274" s="154" t="s">
        <v>66</v>
      </c>
      <c r="S274" s="154" t="s">
        <v>66</v>
      </c>
      <c r="T274" s="154" t="s">
        <v>66</v>
      </c>
      <c r="U274" s="154" t="s">
        <v>60</v>
      </c>
      <c r="V274" s="154" t="s">
        <v>66</v>
      </c>
      <c r="W274" s="154" t="s">
        <v>66</v>
      </c>
      <c r="X274" s="154" t="s">
        <v>60</v>
      </c>
      <c r="Y274" s="154"/>
      <c r="Z274" s="242" t="b">
        <f t="shared" si="2"/>
        <v>1</v>
      </c>
      <c r="AA274" s="154" t="s">
        <v>391</v>
      </c>
      <c r="AB274" s="242" t="b">
        <f t="shared" si="3"/>
        <v>0</v>
      </c>
      <c r="AC274" s="154"/>
      <c r="AD274" s="242" t="b">
        <f t="shared" si="4"/>
        <v>0</v>
      </c>
      <c r="AE274" s="154" t="s">
        <v>1029</v>
      </c>
      <c r="AF274" s="242" t="str">
        <f>IF(AE274="","N/A",INDIRECT("MTR!"&amp;ADDRESS(MATCH(LEFT(AE274,9),MTR!C:C,0),COLUMN(J274)),TRUE) &amp; "")</f>
        <v>Partially Complies</v>
      </c>
      <c r="AG274" s="157" t="str">
        <f t="shared" si="5"/>
        <v/>
      </c>
      <c r="AH274" s="170"/>
      <c r="AI274" s="152"/>
      <c r="AJ274" s="152"/>
      <c r="AK274" s="152"/>
      <c r="AL274" s="152"/>
      <c r="AM274" s="152"/>
      <c r="AN274" s="152"/>
      <c r="AO274" s="152"/>
      <c r="AP274" s="152"/>
      <c r="AQ274" s="152"/>
      <c r="AR274" s="152"/>
    </row>
    <row r="275" ht="12.75" customHeight="1">
      <c r="A275" s="244" t="s">
        <v>5158</v>
      </c>
      <c r="B275" s="244" t="s">
        <v>5725</v>
      </c>
      <c r="C275" s="244" t="s">
        <v>6641</v>
      </c>
      <c r="D275" s="154" t="s">
        <v>503</v>
      </c>
      <c r="E275" s="154"/>
      <c r="F275" s="154" t="str">
        <f t="array" ref="F275">XLOOKUP(Cover!$D$12,$P$1:$X$1,$P275:$X275)</f>
        <v>Information</v>
      </c>
      <c r="G275" s="154" t="s">
        <v>6642</v>
      </c>
      <c r="H275" s="154" t="s">
        <v>6643</v>
      </c>
      <c r="I275" s="154" t="s">
        <v>6644</v>
      </c>
      <c r="J275" s="154" t="s">
        <v>6463</v>
      </c>
      <c r="K275" s="154"/>
      <c r="L275" s="154" t="s">
        <v>759</v>
      </c>
      <c r="M275" s="247" t="s">
        <v>516</v>
      </c>
      <c r="N275" s="247" t="s">
        <v>5876</v>
      </c>
      <c r="O275" s="240" t="str">
        <f t="shared" si="1"/>
        <v/>
      </c>
      <c r="P275" s="154" t="s">
        <v>66</v>
      </c>
      <c r="Q275" s="154" t="s">
        <v>66</v>
      </c>
      <c r="R275" s="154" t="s">
        <v>66</v>
      </c>
      <c r="S275" s="154" t="s">
        <v>66</v>
      </c>
      <c r="T275" s="154" t="s">
        <v>66</v>
      </c>
      <c r="U275" s="154" t="s">
        <v>66</v>
      </c>
      <c r="V275" s="154" t="s">
        <v>66</v>
      </c>
      <c r="W275" s="154" t="s">
        <v>66</v>
      </c>
      <c r="X275" s="154" t="s">
        <v>66</v>
      </c>
      <c r="Y275" s="154"/>
      <c r="Z275" s="242" t="b">
        <f t="shared" si="2"/>
        <v>1</v>
      </c>
      <c r="AA275" s="154" t="s">
        <v>391</v>
      </c>
      <c r="AB275" s="242" t="b">
        <f t="shared" si="3"/>
        <v>0</v>
      </c>
      <c r="AC275" s="154"/>
      <c r="AD275" s="242" t="b">
        <f t="shared" si="4"/>
        <v>0</v>
      </c>
      <c r="AE275" s="154" t="s">
        <v>1029</v>
      </c>
      <c r="AF275" s="242" t="str">
        <f>IF(AE275="","N/A",INDIRECT("MTR!"&amp;ADDRESS(MATCH(LEFT(AE275,9),MTR!C:C,0),COLUMN(J275)),TRUE) &amp; "")</f>
        <v>Partially Complies</v>
      </c>
      <c r="AG275" s="157" t="str">
        <f t="shared" si="5"/>
        <v/>
      </c>
      <c r="AH275" s="170"/>
      <c r="AI275" s="152"/>
      <c r="AJ275" s="152"/>
      <c r="AK275" s="152"/>
      <c r="AL275" s="152"/>
      <c r="AM275" s="152"/>
      <c r="AN275" s="152"/>
      <c r="AO275" s="152"/>
      <c r="AP275" s="152"/>
      <c r="AQ275" s="152"/>
      <c r="AR275" s="152"/>
    </row>
    <row r="276" ht="12.75" customHeight="1">
      <c r="A276" s="244" t="s">
        <v>5158</v>
      </c>
      <c r="B276" s="244" t="s">
        <v>5725</v>
      </c>
      <c r="C276" s="244" t="s">
        <v>6645</v>
      </c>
      <c r="D276" s="154" t="s">
        <v>1315</v>
      </c>
      <c r="E276" s="154"/>
      <c r="F276" s="154" t="str">
        <f t="array" ref="F276">XLOOKUP(Cover!$D$12,$P$1:$X$1,$P276:$X276)</f>
        <v>Information</v>
      </c>
      <c r="G276" s="154" t="s">
        <v>6646</v>
      </c>
      <c r="H276" s="154" t="s">
        <v>6647</v>
      </c>
      <c r="I276" s="154" t="s">
        <v>6648</v>
      </c>
      <c r="J276" s="154" t="s">
        <v>6022</v>
      </c>
      <c r="K276" s="154"/>
      <c r="L276" s="154" t="s">
        <v>759</v>
      </c>
      <c r="M276" s="247" t="s">
        <v>516</v>
      </c>
      <c r="N276" s="247" t="s">
        <v>5876</v>
      </c>
      <c r="O276" s="240" t="str">
        <f t="shared" si="1"/>
        <v/>
      </c>
      <c r="P276" s="154" t="s">
        <v>66</v>
      </c>
      <c r="Q276" s="154" t="s">
        <v>66</v>
      </c>
      <c r="R276" s="154" t="s">
        <v>66</v>
      </c>
      <c r="S276" s="154" t="s">
        <v>66</v>
      </c>
      <c r="T276" s="154" t="s">
        <v>66</v>
      </c>
      <c r="U276" s="154" t="s">
        <v>66</v>
      </c>
      <c r="V276" s="154" t="s">
        <v>66</v>
      </c>
      <c r="W276" s="154" t="s">
        <v>66</v>
      </c>
      <c r="X276" s="154" t="s">
        <v>66</v>
      </c>
      <c r="Y276" s="154"/>
      <c r="Z276" s="242" t="b">
        <f t="shared" si="2"/>
        <v>1</v>
      </c>
      <c r="AA276" s="154" t="s">
        <v>391</v>
      </c>
      <c r="AB276" s="242" t="b">
        <f t="shared" si="3"/>
        <v>0</v>
      </c>
      <c r="AC276" s="154"/>
      <c r="AD276" s="242" t="b">
        <f t="shared" si="4"/>
        <v>0</v>
      </c>
      <c r="AE276" s="154" t="s">
        <v>1029</v>
      </c>
      <c r="AF276" s="242" t="str">
        <f>IF(AE276="","N/A",INDIRECT("MTR!"&amp;ADDRESS(MATCH(LEFT(AE276,9),MTR!C:C,0),COLUMN(J276)),TRUE) &amp; "")</f>
        <v>Partially Complies</v>
      </c>
      <c r="AG276" s="157" t="str">
        <f t="shared" si="5"/>
        <v/>
      </c>
      <c r="AH276" s="170"/>
      <c r="AI276" s="152"/>
      <c r="AJ276" s="152"/>
      <c r="AK276" s="152"/>
      <c r="AL276" s="152"/>
      <c r="AM276" s="152"/>
      <c r="AN276" s="152"/>
      <c r="AO276" s="152"/>
      <c r="AP276" s="152"/>
      <c r="AQ276" s="152"/>
      <c r="AR276" s="152"/>
    </row>
    <row r="277" ht="12.75" customHeight="1">
      <c r="A277" s="244" t="s">
        <v>5158</v>
      </c>
      <c r="B277" s="244" t="s">
        <v>5725</v>
      </c>
      <c r="C277" s="245" t="s">
        <v>6649</v>
      </c>
      <c r="D277" s="155" t="s">
        <v>1069</v>
      </c>
      <c r="E277" s="154" t="s">
        <v>92</v>
      </c>
      <c r="F277" s="154" t="str">
        <f t="array" ref="F277">XLOOKUP(Cover!$D$12,$P$1:$X$1,$P277:$X277)</f>
        <v>Information</v>
      </c>
      <c r="G277" s="154" t="s">
        <v>6650</v>
      </c>
      <c r="H277" s="154" t="s">
        <v>6357</v>
      </c>
      <c r="I277" s="154" t="s">
        <v>6651</v>
      </c>
      <c r="J277" s="154" t="s">
        <v>6154</v>
      </c>
      <c r="K277" s="154"/>
      <c r="L277" s="154" t="s">
        <v>759</v>
      </c>
      <c r="M277" s="247" t="s">
        <v>516</v>
      </c>
      <c r="N277" s="247" t="s">
        <v>5876</v>
      </c>
      <c r="O277" s="240" t="str">
        <f t="shared" si="1"/>
        <v/>
      </c>
      <c r="P277" s="154" t="s">
        <v>66</v>
      </c>
      <c r="Q277" s="154" t="s">
        <v>66</v>
      </c>
      <c r="R277" s="154" t="s">
        <v>66</v>
      </c>
      <c r="S277" s="154" t="s">
        <v>66</v>
      </c>
      <c r="T277" s="154" t="s">
        <v>66</v>
      </c>
      <c r="U277" s="154" t="s">
        <v>66</v>
      </c>
      <c r="V277" s="154" t="s">
        <v>66</v>
      </c>
      <c r="W277" s="154" t="s">
        <v>66</v>
      </c>
      <c r="X277" s="154" t="s">
        <v>66</v>
      </c>
      <c r="Y277" s="154"/>
      <c r="Z277" s="242" t="b">
        <f t="shared" si="2"/>
        <v>1</v>
      </c>
      <c r="AA277" s="154" t="s">
        <v>391</v>
      </c>
      <c r="AB277" s="242" t="b">
        <f t="shared" si="3"/>
        <v>0</v>
      </c>
      <c r="AC277" s="154"/>
      <c r="AD277" s="242" t="b">
        <f t="shared" si="4"/>
        <v>0</v>
      </c>
      <c r="AE277" s="154" t="s">
        <v>1029</v>
      </c>
      <c r="AF277" s="242" t="str">
        <f>IF(AE277="","N/A",INDIRECT("MTR!"&amp;ADDRESS(MATCH(LEFT(AE277,9),MTR!C:C,0),COLUMN(J277)),TRUE) &amp; "")</f>
        <v>Partially Complies</v>
      </c>
      <c r="AG277" s="157" t="str">
        <f t="shared" si="5"/>
        <v/>
      </c>
      <c r="AH277" s="170"/>
      <c r="AI277" s="152"/>
      <c r="AJ277" s="152"/>
      <c r="AK277" s="152"/>
      <c r="AL277" s="152"/>
      <c r="AM277" s="152"/>
      <c r="AN277" s="152"/>
      <c r="AO277" s="152"/>
      <c r="AP277" s="152"/>
      <c r="AQ277" s="152"/>
      <c r="AR277" s="152"/>
    </row>
    <row r="278" ht="12.75" customHeight="1">
      <c r="A278" s="244" t="s">
        <v>5158</v>
      </c>
      <c r="B278" s="244" t="s">
        <v>5725</v>
      </c>
      <c r="C278" s="244" t="s">
        <v>6652</v>
      </c>
      <c r="D278" s="154" t="s">
        <v>45</v>
      </c>
      <c r="E278" s="154"/>
      <c r="F278" s="154" t="str">
        <f t="array" ref="F278">XLOOKUP(Cover!$D$12,$P$1:$X$1,$P278:$X278)</f>
        <v>Information</v>
      </c>
      <c r="G278" s="154" t="s">
        <v>6653</v>
      </c>
      <c r="H278" s="154" t="s">
        <v>6328</v>
      </c>
      <c r="I278" s="154" t="s">
        <v>6654</v>
      </c>
      <c r="J278" s="154" t="s">
        <v>6655</v>
      </c>
      <c r="K278" s="154"/>
      <c r="L278" s="154" t="s">
        <v>759</v>
      </c>
      <c r="M278" s="247" t="s">
        <v>516</v>
      </c>
      <c r="N278" s="247" t="s">
        <v>5876</v>
      </c>
      <c r="O278" s="240" t="str">
        <f t="shared" si="1"/>
        <v/>
      </c>
      <c r="P278" s="154" t="s">
        <v>66</v>
      </c>
      <c r="Q278" s="154" t="s">
        <v>66</v>
      </c>
      <c r="R278" s="154" t="s">
        <v>66</v>
      </c>
      <c r="S278" s="154" t="s">
        <v>66</v>
      </c>
      <c r="T278" s="154" t="s">
        <v>66</v>
      </c>
      <c r="U278" s="154" t="s">
        <v>66</v>
      </c>
      <c r="V278" s="154" t="s">
        <v>66</v>
      </c>
      <c r="W278" s="154" t="s">
        <v>66</v>
      </c>
      <c r="X278" s="154" t="s">
        <v>66</v>
      </c>
      <c r="Y278" s="154"/>
      <c r="Z278" s="242" t="b">
        <f t="shared" si="2"/>
        <v>1</v>
      </c>
      <c r="AA278" s="154" t="s">
        <v>391</v>
      </c>
      <c r="AB278" s="242" t="b">
        <f t="shared" si="3"/>
        <v>0</v>
      </c>
      <c r="AC278" s="154"/>
      <c r="AD278" s="242" t="b">
        <f t="shared" si="4"/>
        <v>0</v>
      </c>
      <c r="AE278" s="154" t="s">
        <v>1029</v>
      </c>
      <c r="AF278" s="242" t="str">
        <f>IF(AE278="","N/A",INDIRECT("MTR!"&amp;ADDRESS(MATCH(LEFT(AE278,9),MTR!C:C,0),COLUMN(J278)),TRUE) &amp; "")</f>
        <v>Partially Complies</v>
      </c>
      <c r="AG278" s="157" t="str">
        <f t="shared" si="5"/>
        <v/>
      </c>
      <c r="AH278" s="170"/>
      <c r="AI278" s="152"/>
      <c r="AJ278" s="152"/>
      <c r="AK278" s="152"/>
      <c r="AL278" s="152"/>
      <c r="AM278" s="152"/>
      <c r="AN278" s="152"/>
      <c r="AO278" s="152"/>
      <c r="AP278" s="152"/>
      <c r="AQ278" s="152"/>
      <c r="AR278" s="152"/>
    </row>
    <row r="279" ht="12.75" customHeight="1">
      <c r="A279" s="244" t="s">
        <v>5158</v>
      </c>
      <c r="B279" s="244" t="s">
        <v>5725</v>
      </c>
      <c r="C279" s="244" t="s">
        <v>6656</v>
      </c>
      <c r="D279" s="154" t="s">
        <v>1069</v>
      </c>
      <c r="E279" s="154"/>
      <c r="F279" s="154" t="str">
        <f t="array" ref="F279">XLOOKUP(Cover!$D$12,$P$1:$X$1,$P279:$X279)</f>
        <v>Information</v>
      </c>
      <c r="G279" s="154" t="s">
        <v>6657</v>
      </c>
      <c r="H279" s="154" t="s">
        <v>6230</v>
      </c>
      <c r="I279" s="154" t="s">
        <v>6658</v>
      </c>
      <c r="J279" s="154" t="s">
        <v>6154</v>
      </c>
      <c r="K279" s="154"/>
      <c r="L279" s="154" t="s">
        <v>759</v>
      </c>
      <c r="M279" s="247" t="s">
        <v>516</v>
      </c>
      <c r="N279" s="247" t="s">
        <v>5876</v>
      </c>
      <c r="O279" s="240" t="str">
        <f t="shared" si="1"/>
        <v/>
      </c>
      <c r="P279" s="154" t="s">
        <v>66</v>
      </c>
      <c r="Q279" s="154" t="s">
        <v>66</v>
      </c>
      <c r="R279" s="154" t="s">
        <v>66</v>
      </c>
      <c r="S279" s="154" t="s">
        <v>66</v>
      </c>
      <c r="T279" s="154" t="s">
        <v>66</v>
      </c>
      <c r="U279" s="154" t="s">
        <v>66</v>
      </c>
      <c r="V279" s="154" t="s">
        <v>66</v>
      </c>
      <c r="W279" s="154" t="s">
        <v>66</v>
      </c>
      <c r="X279" s="154" t="s">
        <v>66</v>
      </c>
      <c r="Y279" s="154"/>
      <c r="Z279" s="242" t="b">
        <f t="shared" si="2"/>
        <v>1</v>
      </c>
      <c r="AA279" s="154" t="s">
        <v>391</v>
      </c>
      <c r="AB279" s="242" t="b">
        <f t="shared" si="3"/>
        <v>0</v>
      </c>
      <c r="AC279" s="154"/>
      <c r="AD279" s="242" t="b">
        <f t="shared" si="4"/>
        <v>0</v>
      </c>
      <c r="AE279" s="154" t="s">
        <v>1029</v>
      </c>
      <c r="AF279" s="242" t="str">
        <f>IF(AE279="","N/A",INDIRECT("MTR!"&amp;ADDRESS(MATCH(LEFT(AE279,9),MTR!C:C,0),COLUMN(J279)),TRUE) &amp; "")</f>
        <v>Partially Complies</v>
      </c>
      <c r="AG279" s="157" t="str">
        <f t="shared" si="5"/>
        <v/>
      </c>
      <c r="AH279" s="170"/>
      <c r="AI279" s="152"/>
      <c r="AJ279" s="152"/>
      <c r="AK279" s="152"/>
      <c r="AL279" s="152"/>
      <c r="AM279" s="152"/>
      <c r="AN279" s="152"/>
      <c r="AO279" s="152"/>
      <c r="AP279" s="152"/>
      <c r="AQ279" s="152"/>
      <c r="AR279" s="152"/>
    </row>
    <row r="280" ht="12.75" customHeight="1">
      <c r="A280" s="244" t="s">
        <v>5158</v>
      </c>
      <c r="B280" s="244" t="s">
        <v>5725</v>
      </c>
      <c r="C280" s="244" t="s">
        <v>6659</v>
      </c>
      <c r="D280" s="154" t="s">
        <v>1315</v>
      </c>
      <c r="E280" s="154"/>
      <c r="F280" s="154" t="str">
        <f t="array" ref="F280">XLOOKUP(Cover!$D$12,$P$1:$X$1,$P280:$X280)</f>
        <v>Information</v>
      </c>
      <c r="G280" s="154" t="s">
        <v>6660</v>
      </c>
      <c r="H280" s="154" t="s">
        <v>6661</v>
      </c>
      <c r="I280" s="154" t="s">
        <v>6662</v>
      </c>
      <c r="J280" s="154" t="s">
        <v>6022</v>
      </c>
      <c r="K280" s="154"/>
      <c r="L280" s="154" t="s">
        <v>759</v>
      </c>
      <c r="M280" s="247" t="s">
        <v>516</v>
      </c>
      <c r="N280" s="247" t="s">
        <v>5876</v>
      </c>
      <c r="O280" s="240" t="str">
        <f t="shared" si="1"/>
        <v/>
      </c>
      <c r="P280" s="154" t="s">
        <v>66</v>
      </c>
      <c r="Q280" s="154" t="s">
        <v>66</v>
      </c>
      <c r="R280" s="154" t="s">
        <v>66</v>
      </c>
      <c r="S280" s="154" t="s">
        <v>66</v>
      </c>
      <c r="T280" s="154" t="s">
        <v>66</v>
      </c>
      <c r="U280" s="154" t="s">
        <v>66</v>
      </c>
      <c r="V280" s="154" t="s">
        <v>66</v>
      </c>
      <c r="W280" s="154" t="s">
        <v>66</v>
      </c>
      <c r="X280" s="154" t="s">
        <v>66</v>
      </c>
      <c r="Y280" s="154"/>
      <c r="Z280" s="242" t="b">
        <f t="shared" si="2"/>
        <v>1</v>
      </c>
      <c r="AA280" s="154" t="s">
        <v>391</v>
      </c>
      <c r="AB280" s="242" t="b">
        <f t="shared" si="3"/>
        <v>0</v>
      </c>
      <c r="AC280" s="154"/>
      <c r="AD280" s="242" t="b">
        <f t="shared" si="4"/>
        <v>0</v>
      </c>
      <c r="AE280" s="154" t="s">
        <v>1029</v>
      </c>
      <c r="AF280" s="242" t="str">
        <f>IF(AE280="","N/A",INDIRECT("MTR!"&amp;ADDRESS(MATCH(LEFT(AE280,9),MTR!C:C,0),COLUMN(J280)),TRUE) &amp; "")</f>
        <v>Partially Complies</v>
      </c>
      <c r="AG280" s="157" t="str">
        <f t="shared" si="5"/>
        <v/>
      </c>
      <c r="AH280" s="170"/>
      <c r="AI280" s="152"/>
      <c r="AJ280" s="152"/>
      <c r="AK280" s="152"/>
      <c r="AL280" s="152"/>
      <c r="AM280" s="152"/>
      <c r="AN280" s="152"/>
      <c r="AO280" s="152"/>
      <c r="AP280" s="152"/>
      <c r="AQ280" s="152"/>
      <c r="AR280" s="152"/>
    </row>
    <row r="281" ht="12.75" customHeight="1">
      <c r="A281" s="244" t="s">
        <v>5158</v>
      </c>
      <c r="B281" s="244" t="s">
        <v>5725</v>
      </c>
      <c r="C281" s="244" t="s">
        <v>6663</v>
      </c>
      <c r="D281" s="154" t="s">
        <v>1315</v>
      </c>
      <c r="E281" s="154"/>
      <c r="F281" s="154" t="str">
        <f t="array" ref="F281">XLOOKUP(Cover!$D$12,$P$1:$X$1,$P281:$X281)</f>
        <v>Recommended</v>
      </c>
      <c r="G281" s="154" t="s">
        <v>6664</v>
      </c>
      <c r="H281" s="154" t="s">
        <v>6345</v>
      </c>
      <c r="I281" s="154" t="s">
        <v>6665</v>
      </c>
      <c r="J281" s="154" t="s">
        <v>6022</v>
      </c>
      <c r="K281" s="154"/>
      <c r="L281" s="154" t="s">
        <v>759</v>
      </c>
      <c r="M281" s="247" t="s">
        <v>516</v>
      </c>
      <c r="N281" s="247" t="s">
        <v>5876</v>
      </c>
      <c r="O281" s="240" t="str">
        <f t="shared" si="1"/>
        <v/>
      </c>
      <c r="P281" s="154" t="s">
        <v>66</v>
      </c>
      <c r="Q281" s="154" t="s">
        <v>66</v>
      </c>
      <c r="R281" s="154" t="s">
        <v>66</v>
      </c>
      <c r="S281" s="154" t="s">
        <v>66</v>
      </c>
      <c r="T281" s="154" t="s">
        <v>66</v>
      </c>
      <c r="U281" s="154" t="s">
        <v>64</v>
      </c>
      <c r="V281" s="154" t="s">
        <v>66</v>
      </c>
      <c r="W281" s="154" t="s">
        <v>66</v>
      </c>
      <c r="X281" s="154" t="s">
        <v>64</v>
      </c>
      <c r="Y281" s="154"/>
      <c r="Z281" s="242" t="b">
        <f t="shared" si="2"/>
        <v>1</v>
      </c>
      <c r="AA281" s="154" t="s">
        <v>391</v>
      </c>
      <c r="AB281" s="242" t="b">
        <f t="shared" si="3"/>
        <v>0</v>
      </c>
      <c r="AC281" s="154"/>
      <c r="AD281" s="242" t="b">
        <f t="shared" si="4"/>
        <v>0</v>
      </c>
      <c r="AE281" s="154" t="s">
        <v>1029</v>
      </c>
      <c r="AF281" s="242" t="str">
        <f>IF(AE281="","N/A",INDIRECT("MTR!"&amp;ADDRESS(MATCH(LEFT(AE281,9),MTR!C:C,0),COLUMN(J281)),TRUE) &amp; "")</f>
        <v>Partially Complies</v>
      </c>
      <c r="AG281" s="157" t="str">
        <f t="shared" si="5"/>
        <v/>
      </c>
      <c r="AH281" s="170"/>
      <c r="AI281" s="152"/>
      <c r="AJ281" s="152"/>
      <c r="AK281" s="152"/>
      <c r="AL281" s="152"/>
      <c r="AM281" s="152"/>
      <c r="AN281" s="152"/>
      <c r="AO281" s="152"/>
      <c r="AP281" s="152"/>
      <c r="AQ281" s="152"/>
      <c r="AR281" s="152"/>
    </row>
    <row r="282" ht="12.75" customHeight="1">
      <c r="A282" s="244" t="s">
        <v>5158</v>
      </c>
      <c r="B282" s="244" t="s">
        <v>5725</v>
      </c>
      <c r="C282" s="244" t="s">
        <v>6666</v>
      </c>
      <c r="D282" s="154" t="s">
        <v>1315</v>
      </c>
      <c r="E282" s="154"/>
      <c r="F282" s="154" t="str">
        <f t="array" ref="F282">XLOOKUP(Cover!$D$12,$P$1:$X$1,$P282:$X282)</f>
        <v>Information</v>
      </c>
      <c r="G282" s="154" t="s">
        <v>6667</v>
      </c>
      <c r="H282" s="154" t="s">
        <v>6349</v>
      </c>
      <c r="I282" s="154" t="s">
        <v>6668</v>
      </c>
      <c r="J282" s="154" t="s">
        <v>6022</v>
      </c>
      <c r="K282" s="154"/>
      <c r="L282" s="154" t="s">
        <v>759</v>
      </c>
      <c r="M282" s="247" t="s">
        <v>516</v>
      </c>
      <c r="N282" s="247" t="s">
        <v>5876</v>
      </c>
      <c r="O282" s="240" t="str">
        <f t="shared" si="1"/>
        <v/>
      </c>
      <c r="P282" s="154" t="s">
        <v>66</v>
      </c>
      <c r="Q282" s="154" t="s">
        <v>66</v>
      </c>
      <c r="R282" s="154" t="s">
        <v>66</v>
      </c>
      <c r="S282" s="154" t="s">
        <v>66</v>
      </c>
      <c r="T282" s="154" t="s">
        <v>66</v>
      </c>
      <c r="U282" s="154" t="s">
        <v>66</v>
      </c>
      <c r="V282" s="154" t="s">
        <v>66</v>
      </c>
      <c r="W282" s="154" t="s">
        <v>66</v>
      </c>
      <c r="X282" s="154" t="s">
        <v>66</v>
      </c>
      <c r="Y282" s="154"/>
      <c r="Z282" s="242" t="b">
        <f t="shared" si="2"/>
        <v>1</v>
      </c>
      <c r="AA282" s="154" t="s">
        <v>391</v>
      </c>
      <c r="AB282" s="242" t="b">
        <f t="shared" si="3"/>
        <v>0</v>
      </c>
      <c r="AC282" s="154"/>
      <c r="AD282" s="242" t="b">
        <f t="shared" si="4"/>
        <v>0</v>
      </c>
      <c r="AE282" s="154" t="s">
        <v>1029</v>
      </c>
      <c r="AF282" s="242" t="str">
        <f>IF(AE282="","N/A",INDIRECT("MTR!"&amp;ADDRESS(MATCH(LEFT(AE282,9),MTR!C:C,0),COLUMN(J282)),TRUE) &amp; "")</f>
        <v>Partially Complies</v>
      </c>
      <c r="AG282" s="157" t="str">
        <f t="shared" si="5"/>
        <v/>
      </c>
      <c r="AH282" s="170"/>
      <c r="AI282" s="152"/>
      <c r="AJ282" s="152"/>
      <c r="AK282" s="152"/>
      <c r="AL282" s="152"/>
      <c r="AM282" s="152"/>
      <c r="AN282" s="152"/>
      <c r="AO282" s="152"/>
      <c r="AP282" s="152"/>
      <c r="AQ282" s="152"/>
      <c r="AR282" s="152"/>
    </row>
    <row r="283" ht="12.75" customHeight="1">
      <c r="A283" s="244" t="s">
        <v>5158</v>
      </c>
      <c r="B283" s="244" t="s">
        <v>5725</v>
      </c>
      <c r="C283" s="244" t="s">
        <v>6669</v>
      </c>
      <c r="D283" s="154" t="s">
        <v>1315</v>
      </c>
      <c r="E283" s="154"/>
      <c r="F283" s="154" t="str">
        <f t="array" ref="F283">XLOOKUP(Cover!$D$12,$P$1:$X$1,$P283:$X283)</f>
        <v>Information</v>
      </c>
      <c r="G283" s="154" t="s">
        <v>6670</v>
      </c>
      <c r="H283" s="154" t="s">
        <v>6357</v>
      </c>
      <c r="I283" s="154" t="s">
        <v>6671</v>
      </c>
      <c r="J283" s="154" t="s">
        <v>6022</v>
      </c>
      <c r="K283" s="154"/>
      <c r="L283" s="154" t="s">
        <v>759</v>
      </c>
      <c r="M283" s="247" t="s">
        <v>516</v>
      </c>
      <c r="N283" s="247" t="s">
        <v>5876</v>
      </c>
      <c r="O283" s="240" t="str">
        <f t="shared" si="1"/>
        <v/>
      </c>
      <c r="P283" s="154" t="s">
        <v>66</v>
      </c>
      <c r="Q283" s="154" t="s">
        <v>66</v>
      </c>
      <c r="R283" s="154" t="s">
        <v>66</v>
      </c>
      <c r="S283" s="154" t="s">
        <v>66</v>
      </c>
      <c r="T283" s="154" t="s">
        <v>66</v>
      </c>
      <c r="U283" s="154" t="s">
        <v>66</v>
      </c>
      <c r="V283" s="154" t="s">
        <v>66</v>
      </c>
      <c r="W283" s="154" t="s">
        <v>66</v>
      </c>
      <c r="X283" s="154" t="s">
        <v>66</v>
      </c>
      <c r="Y283" s="154"/>
      <c r="Z283" s="242" t="b">
        <f t="shared" si="2"/>
        <v>1</v>
      </c>
      <c r="AA283" s="154" t="s">
        <v>391</v>
      </c>
      <c r="AB283" s="242" t="b">
        <f t="shared" si="3"/>
        <v>0</v>
      </c>
      <c r="AC283" s="154"/>
      <c r="AD283" s="242" t="b">
        <f t="shared" si="4"/>
        <v>0</v>
      </c>
      <c r="AE283" s="154" t="s">
        <v>1029</v>
      </c>
      <c r="AF283" s="242" t="str">
        <f>IF(AE283="","N/A",INDIRECT("MTR!"&amp;ADDRESS(MATCH(LEFT(AE283,9),MTR!C:C,0),COLUMN(J283)),TRUE) &amp; "")</f>
        <v>Partially Complies</v>
      </c>
      <c r="AG283" s="157" t="str">
        <f t="shared" si="5"/>
        <v/>
      </c>
      <c r="AH283" s="170"/>
      <c r="AI283" s="152"/>
      <c r="AJ283" s="152"/>
      <c r="AK283" s="152"/>
      <c r="AL283" s="152"/>
      <c r="AM283" s="152"/>
      <c r="AN283" s="152"/>
      <c r="AO283" s="152"/>
      <c r="AP283" s="152"/>
      <c r="AQ283" s="152"/>
      <c r="AR283" s="152"/>
    </row>
    <row r="284" ht="12.75" customHeight="1">
      <c r="A284" s="244" t="s">
        <v>5158</v>
      </c>
      <c r="B284" s="244" t="s">
        <v>5725</v>
      </c>
      <c r="C284" s="244" t="s">
        <v>6672</v>
      </c>
      <c r="D284" s="154" t="s">
        <v>1069</v>
      </c>
      <c r="E284" s="154"/>
      <c r="F284" s="154" t="str">
        <f t="array" ref="F284">XLOOKUP(Cover!$D$12,$P$1:$X$1,$P284:$X284)</f>
        <v>Information</v>
      </c>
      <c r="G284" s="154" t="s">
        <v>6673</v>
      </c>
      <c r="H284" s="154" t="s">
        <v>6367</v>
      </c>
      <c r="I284" s="154" t="s">
        <v>6674</v>
      </c>
      <c r="J284" s="154" t="s">
        <v>6154</v>
      </c>
      <c r="K284" s="154"/>
      <c r="L284" s="154" t="s">
        <v>759</v>
      </c>
      <c r="M284" s="247" t="s">
        <v>516</v>
      </c>
      <c r="N284" s="247" t="s">
        <v>5876</v>
      </c>
      <c r="O284" s="240" t="str">
        <f t="shared" si="1"/>
        <v/>
      </c>
      <c r="P284" s="154" t="s">
        <v>66</v>
      </c>
      <c r="Q284" s="154" t="s">
        <v>66</v>
      </c>
      <c r="R284" s="154" t="s">
        <v>66</v>
      </c>
      <c r="S284" s="154" t="s">
        <v>66</v>
      </c>
      <c r="T284" s="154" t="s">
        <v>66</v>
      </c>
      <c r="U284" s="154" t="s">
        <v>66</v>
      </c>
      <c r="V284" s="154" t="s">
        <v>66</v>
      </c>
      <c r="W284" s="154" t="s">
        <v>66</v>
      </c>
      <c r="X284" s="154" t="s">
        <v>66</v>
      </c>
      <c r="Y284" s="154"/>
      <c r="Z284" s="242" t="b">
        <f t="shared" si="2"/>
        <v>1</v>
      </c>
      <c r="AA284" s="154" t="s">
        <v>391</v>
      </c>
      <c r="AB284" s="242" t="b">
        <f t="shared" si="3"/>
        <v>0</v>
      </c>
      <c r="AC284" s="154"/>
      <c r="AD284" s="242" t="b">
        <f t="shared" si="4"/>
        <v>0</v>
      </c>
      <c r="AE284" s="154" t="s">
        <v>1029</v>
      </c>
      <c r="AF284" s="242" t="str">
        <f>IF(AE284="","N/A",INDIRECT("MTR!"&amp;ADDRESS(MATCH(LEFT(AE284,9),MTR!C:C,0),COLUMN(J284)),TRUE) &amp; "")</f>
        <v>Partially Complies</v>
      </c>
      <c r="AG284" s="157" t="str">
        <f t="shared" si="5"/>
        <v/>
      </c>
      <c r="AH284" s="170"/>
      <c r="AI284" s="152"/>
      <c r="AJ284" s="152"/>
      <c r="AK284" s="152"/>
      <c r="AL284" s="152"/>
      <c r="AM284" s="152"/>
      <c r="AN284" s="152"/>
      <c r="AO284" s="152"/>
      <c r="AP284" s="152"/>
      <c r="AQ284" s="152"/>
      <c r="AR284" s="152"/>
    </row>
    <row r="285" ht="12.75" customHeight="1">
      <c r="A285" s="244" t="s">
        <v>5158</v>
      </c>
      <c r="B285" s="244" t="s">
        <v>5725</v>
      </c>
      <c r="C285" s="244" t="s">
        <v>6675</v>
      </c>
      <c r="D285" s="154" t="s">
        <v>1120</v>
      </c>
      <c r="E285" s="154"/>
      <c r="F285" s="154" t="str">
        <f t="array" ref="F285">XLOOKUP(Cover!$D$12,$P$1:$X$1,$P285:$X285)</f>
        <v>Information</v>
      </c>
      <c r="G285" s="154" t="s">
        <v>6676</v>
      </c>
      <c r="H285" s="154" t="s">
        <v>6085</v>
      </c>
      <c r="I285" s="154" t="s">
        <v>6677</v>
      </c>
      <c r="J285" s="154" t="s">
        <v>5871</v>
      </c>
      <c r="K285" s="154"/>
      <c r="L285" s="154" t="s">
        <v>759</v>
      </c>
      <c r="M285" s="247" t="s">
        <v>445</v>
      </c>
      <c r="N285" s="247" t="s">
        <v>5733</v>
      </c>
      <c r="O285" s="240" t="str">
        <f t="shared" si="1"/>
        <v/>
      </c>
      <c r="P285" s="154" t="s">
        <v>66</v>
      </c>
      <c r="Q285" s="154" t="s">
        <v>66</v>
      </c>
      <c r="R285" s="154" t="s">
        <v>66</v>
      </c>
      <c r="S285" s="154" t="s">
        <v>66</v>
      </c>
      <c r="T285" s="154" t="s">
        <v>66</v>
      </c>
      <c r="U285" s="154" t="s">
        <v>66</v>
      </c>
      <c r="V285" s="154" t="s">
        <v>66</v>
      </c>
      <c r="W285" s="154" t="s">
        <v>66</v>
      </c>
      <c r="X285" s="154" t="s">
        <v>66</v>
      </c>
      <c r="Y285" s="154"/>
      <c r="Z285" s="242" t="b">
        <f t="shared" si="2"/>
        <v>1</v>
      </c>
      <c r="AA285" s="154" t="s">
        <v>391</v>
      </c>
      <c r="AB285" s="242" t="b">
        <f t="shared" si="3"/>
        <v>0</v>
      </c>
      <c r="AC285" s="154"/>
      <c r="AD285" s="242" t="b">
        <f t="shared" si="4"/>
        <v>0</v>
      </c>
      <c r="AE285" s="154" t="s">
        <v>1029</v>
      </c>
      <c r="AF285" s="242" t="str">
        <f>IF(AE285="","N/A",INDIRECT("MTR!"&amp;ADDRESS(MATCH(LEFT(AE285,9),MTR!C:C,0),COLUMN(J285)),TRUE) &amp; "")</f>
        <v>Partially Complies</v>
      </c>
      <c r="AG285" s="157" t="str">
        <f t="shared" si="5"/>
        <v/>
      </c>
      <c r="AH285" s="170"/>
      <c r="AI285" s="152"/>
      <c r="AJ285" s="152"/>
      <c r="AK285" s="152"/>
      <c r="AL285" s="152"/>
      <c r="AM285" s="152"/>
      <c r="AN285" s="152"/>
      <c r="AO285" s="152"/>
      <c r="AP285" s="152"/>
      <c r="AQ285" s="152"/>
      <c r="AR285" s="152"/>
    </row>
    <row r="286" ht="12.75" customHeight="1">
      <c r="A286" s="244" t="s">
        <v>5158</v>
      </c>
      <c r="B286" s="244" t="s">
        <v>5725</v>
      </c>
      <c r="C286" s="244" t="s">
        <v>6678</v>
      </c>
      <c r="D286" s="154" t="s">
        <v>1120</v>
      </c>
      <c r="E286" s="154"/>
      <c r="F286" s="154" t="str">
        <f t="array" ref="F286">XLOOKUP(Cover!$D$12,$P$1:$X$1,$P286:$X286)</f>
        <v>Information</v>
      </c>
      <c r="G286" s="154" t="s">
        <v>6679</v>
      </c>
      <c r="H286" s="154" t="s">
        <v>6085</v>
      </c>
      <c r="I286" s="154" t="s">
        <v>6677</v>
      </c>
      <c r="J286" s="154" t="s">
        <v>5871</v>
      </c>
      <c r="K286" s="154"/>
      <c r="L286" s="154" t="s">
        <v>759</v>
      </c>
      <c r="M286" s="247" t="s">
        <v>445</v>
      </c>
      <c r="N286" s="247" t="s">
        <v>5733</v>
      </c>
      <c r="O286" s="240" t="str">
        <f t="shared" si="1"/>
        <v/>
      </c>
      <c r="P286" s="154" t="s">
        <v>66</v>
      </c>
      <c r="Q286" s="154" t="s">
        <v>66</v>
      </c>
      <c r="R286" s="154" t="s">
        <v>66</v>
      </c>
      <c r="S286" s="154" t="s">
        <v>66</v>
      </c>
      <c r="T286" s="154" t="s">
        <v>66</v>
      </c>
      <c r="U286" s="154" t="s">
        <v>66</v>
      </c>
      <c r="V286" s="154" t="s">
        <v>66</v>
      </c>
      <c r="W286" s="154" t="s">
        <v>66</v>
      </c>
      <c r="X286" s="154" t="s">
        <v>66</v>
      </c>
      <c r="Y286" s="154"/>
      <c r="Z286" s="242" t="b">
        <f t="shared" si="2"/>
        <v>1</v>
      </c>
      <c r="AA286" s="154" t="s">
        <v>391</v>
      </c>
      <c r="AB286" s="242" t="b">
        <f t="shared" si="3"/>
        <v>0</v>
      </c>
      <c r="AC286" s="154"/>
      <c r="AD286" s="242" t="b">
        <f t="shared" si="4"/>
        <v>0</v>
      </c>
      <c r="AE286" s="154" t="s">
        <v>1029</v>
      </c>
      <c r="AF286" s="242" t="str">
        <f>IF(AE286="","N/A",INDIRECT("MTR!"&amp;ADDRESS(MATCH(LEFT(AE286,9),MTR!C:C,0),COLUMN(J286)),TRUE) &amp; "")</f>
        <v>Partially Complies</v>
      </c>
      <c r="AG286" s="157" t="str">
        <f t="shared" si="5"/>
        <v/>
      </c>
      <c r="AH286" s="170"/>
      <c r="AI286" s="152"/>
      <c r="AJ286" s="152"/>
      <c r="AK286" s="152"/>
      <c r="AL286" s="152"/>
      <c r="AM286" s="152"/>
      <c r="AN286" s="152"/>
      <c r="AO286" s="152"/>
      <c r="AP286" s="152"/>
      <c r="AQ286" s="152"/>
      <c r="AR286" s="152"/>
    </row>
    <row r="287" ht="12.75" customHeight="1">
      <c r="A287" s="244" t="s">
        <v>5158</v>
      </c>
      <c r="B287" s="244" t="s">
        <v>5725</v>
      </c>
      <c r="C287" s="244" t="s">
        <v>6680</v>
      </c>
      <c r="D287" s="154" t="s">
        <v>492</v>
      </c>
      <c r="E287" s="154"/>
      <c r="F287" s="154" t="str">
        <f t="array" ref="F287">XLOOKUP(Cover!$D$12,$P$1:$X$1,$P287:$X287)</f>
        <v>Mandatory</v>
      </c>
      <c r="G287" s="154" t="s">
        <v>6681</v>
      </c>
      <c r="H287" s="154" t="s">
        <v>6405</v>
      </c>
      <c r="I287" s="154" t="s">
        <v>6682</v>
      </c>
      <c r="J287" s="154" t="s">
        <v>5779</v>
      </c>
      <c r="K287" s="154" t="s">
        <v>175</v>
      </c>
      <c r="L287" s="154" t="s">
        <v>759</v>
      </c>
      <c r="M287" s="247" t="s">
        <v>445</v>
      </c>
      <c r="N287" s="247" t="s">
        <v>5733</v>
      </c>
      <c r="O287" s="240" t="str">
        <f t="shared" si="1"/>
        <v/>
      </c>
      <c r="P287" s="154" t="s">
        <v>66</v>
      </c>
      <c r="Q287" s="154" t="s">
        <v>66</v>
      </c>
      <c r="R287" s="154" t="s">
        <v>66</v>
      </c>
      <c r="S287" s="154" t="s">
        <v>66</v>
      </c>
      <c r="T287" s="154" t="s">
        <v>66</v>
      </c>
      <c r="U287" s="154" t="s">
        <v>60</v>
      </c>
      <c r="V287" s="154" t="s">
        <v>66</v>
      </c>
      <c r="W287" s="154" t="s">
        <v>66</v>
      </c>
      <c r="X287" s="154" t="s">
        <v>60</v>
      </c>
      <c r="Y287" s="154"/>
      <c r="Z287" s="242" t="b">
        <f t="shared" si="2"/>
        <v>1</v>
      </c>
      <c r="AA287" s="154" t="s">
        <v>391</v>
      </c>
      <c r="AB287" s="242" t="b">
        <f t="shared" si="3"/>
        <v>0</v>
      </c>
      <c r="AC287" s="154"/>
      <c r="AD287" s="242" t="b">
        <f t="shared" si="4"/>
        <v>0</v>
      </c>
      <c r="AE287" s="154" t="s">
        <v>1029</v>
      </c>
      <c r="AF287" s="242" t="str">
        <f>IF(AE287="","N/A",INDIRECT("MTR!"&amp;ADDRESS(MATCH(LEFT(AE287,9),MTR!C:C,0),COLUMN(J287)),TRUE) &amp; "")</f>
        <v>Partially Complies</v>
      </c>
      <c r="AG287" s="157" t="str">
        <f t="shared" si="5"/>
        <v/>
      </c>
      <c r="AH287" s="170"/>
      <c r="AI287" s="152"/>
      <c r="AJ287" s="152"/>
      <c r="AK287" s="152"/>
      <c r="AL287" s="152"/>
      <c r="AM287" s="152"/>
      <c r="AN287" s="152"/>
      <c r="AO287" s="152"/>
      <c r="AP287" s="152"/>
      <c r="AQ287" s="152"/>
      <c r="AR287" s="152"/>
    </row>
    <row r="288" ht="12.75" customHeight="1">
      <c r="A288" s="244" t="s">
        <v>5158</v>
      </c>
      <c r="B288" s="244" t="s">
        <v>5725</v>
      </c>
      <c r="C288" s="255" t="s">
        <v>6683</v>
      </c>
      <c r="D288" s="256" t="s">
        <v>42</v>
      </c>
      <c r="E288" s="154" t="s">
        <v>489</v>
      </c>
      <c r="F288" s="154" t="str">
        <f t="array" ref="F288">XLOOKUP(Cover!$D$12,$P$1:$X$1,$P288:$X288)</f>
        <v>Information</v>
      </c>
      <c r="G288" s="154" t="s">
        <v>6684</v>
      </c>
      <c r="H288" s="154" t="s">
        <v>6685</v>
      </c>
      <c r="I288" s="154" t="s">
        <v>6686</v>
      </c>
      <c r="J288" s="154" t="s">
        <v>6220</v>
      </c>
      <c r="K288" s="154"/>
      <c r="L288" s="154" t="s">
        <v>759</v>
      </c>
      <c r="M288" s="247" t="s">
        <v>516</v>
      </c>
      <c r="N288" s="247" t="s">
        <v>5876</v>
      </c>
      <c r="O288" s="240" t="str">
        <f t="shared" si="1"/>
        <v/>
      </c>
      <c r="P288" s="154" t="s">
        <v>66</v>
      </c>
      <c r="Q288" s="154" t="s">
        <v>66</v>
      </c>
      <c r="R288" s="154" t="s">
        <v>66</v>
      </c>
      <c r="S288" s="154" t="s">
        <v>66</v>
      </c>
      <c r="T288" s="154" t="s">
        <v>66</v>
      </c>
      <c r="U288" s="154" t="s">
        <v>66</v>
      </c>
      <c r="V288" s="154" t="s">
        <v>66</v>
      </c>
      <c r="W288" s="154" t="s">
        <v>66</v>
      </c>
      <c r="X288" s="154" t="s">
        <v>66</v>
      </c>
      <c r="Y288" s="154"/>
      <c r="Z288" s="242" t="b">
        <f t="shared" si="2"/>
        <v>1</v>
      </c>
      <c r="AA288" s="154" t="s">
        <v>391</v>
      </c>
      <c r="AB288" s="242" t="b">
        <f t="shared" si="3"/>
        <v>0</v>
      </c>
      <c r="AC288" s="154"/>
      <c r="AD288" s="242" t="b">
        <f t="shared" si="4"/>
        <v>0</v>
      </c>
      <c r="AE288" s="154" t="s">
        <v>1029</v>
      </c>
      <c r="AF288" s="242" t="str">
        <f>IF(AE288="","N/A",INDIRECT("MTR!"&amp;ADDRESS(MATCH(LEFT(AE288,9),MTR!C:C,0),COLUMN(J288)),TRUE) &amp; "")</f>
        <v>Partially Complies</v>
      </c>
      <c r="AG288" s="157" t="str">
        <f t="shared" si="5"/>
        <v/>
      </c>
      <c r="AH288" s="170"/>
      <c r="AI288" s="152"/>
      <c r="AJ288" s="152"/>
      <c r="AK288" s="152"/>
      <c r="AL288" s="152"/>
      <c r="AM288" s="152"/>
      <c r="AN288" s="152"/>
      <c r="AO288" s="152"/>
      <c r="AP288" s="152"/>
      <c r="AQ288" s="152"/>
      <c r="AR288" s="152"/>
    </row>
    <row r="289" ht="12.75" customHeight="1">
      <c r="A289" s="244" t="s">
        <v>5158</v>
      </c>
      <c r="B289" s="244" t="s">
        <v>5725</v>
      </c>
      <c r="C289" s="244" t="s">
        <v>6687</v>
      </c>
      <c r="D289" s="154" t="s">
        <v>492</v>
      </c>
      <c r="E289" s="154"/>
      <c r="F289" s="154" t="str">
        <f t="array" ref="F289">XLOOKUP(Cover!$D$12,$P$1:$X$1,$P289:$X289)</f>
        <v>Recommended</v>
      </c>
      <c r="G289" s="154" t="s">
        <v>6688</v>
      </c>
      <c r="H289" s="154" t="s">
        <v>6689</v>
      </c>
      <c r="I289" s="154" t="s">
        <v>6690</v>
      </c>
      <c r="J289" s="154" t="s">
        <v>5982</v>
      </c>
      <c r="K289" s="154"/>
      <c r="L289" s="154" t="s">
        <v>759</v>
      </c>
      <c r="M289" s="247" t="s">
        <v>445</v>
      </c>
      <c r="N289" s="247" t="s">
        <v>5733</v>
      </c>
      <c r="O289" s="240" t="str">
        <f t="shared" si="1"/>
        <v/>
      </c>
      <c r="P289" s="154" t="s">
        <v>66</v>
      </c>
      <c r="Q289" s="154" t="s">
        <v>66</v>
      </c>
      <c r="R289" s="154" t="s">
        <v>66</v>
      </c>
      <c r="S289" s="154" t="s">
        <v>66</v>
      </c>
      <c r="T289" s="154" t="s">
        <v>66</v>
      </c>
      <c r="U289" s="154" t="s">
        <v>64</v>
      </c>
      <c r="V289" s="154" t="s">
        <v>66</v>
      </c>
      <c r="W289" s="154" t="s">
        <v>66</v>
      </c>
      <c r="X289" s="154" t="s">
        <v>64</v>
      </c>
      <c r="Y289" s="154"/>
      <c r="Z289" s="242" t="b">
        <f t="shared" si="2"/>
        <v>1</v>
      </c>
      <c r="AA289" s="154" t="s">
        <v>391</v>
      </c>
      <c r="AB289" s="242" t="b">
        <f t="shared" si="3"/>
        <v>0</v>
      </c>
      <c r="AC289" s="154"/>
      <c r="AD289" s="242" t="b">
        <f t="shared" si="4"/>
        <v>0</v>
      </c>
      <c r="AE289" s="154" t="s">
        <v>1029</v>
      </c>
      <c r="AF289" s="242" t="str">
        <f>IF(AE289="","N/A",INDIRECT("MTR!"&amp;ADDRESS(MATCH(LEFT(AE289,9),MTR!C:C,0),COLUMN(J289)),TRUE) &amp; "")</f>
        <v>Partially Complies</v>
      </c>
      <c r="AG289" s="157" t="str">
        <f t="shared" si="5"/>
        <v/>
      </c>
      <c r="AH289" s="170"/>
      <c r="AI289" s="152"/>
      <c r="AJ289" s="152"/>
      <c r="AK289" s="152"/>
      <c r="AL289" s="152"/>
      <c r="AM289" s="152"/>
      <c r="AN289" s="152"/>
      <c r="AO289" s="152"/>
      <c r="AP289" s="152"/>
      <c r="AQ289" s="152"/>
      <c r="AR289" s="152"/>
    </row>
    <row r="290" ht="12.75" customHeight="1">
      <c r="A290" s="244" t="s">
        <v>5158</v>
      </c>
      <c r="B290" s="244" t="s">
        <v>5725</v>
      </c>
      <c r="C290" s="244" t="s">
        <v>6691</v>
      </c>
      <c r="D290" s="154" t="s">
        <v>781</v>
      </c>
      <c r="E290" s="154"/>
      <c r="F290" s="154" t="str">
        <f t="array" ref="F290">XLOOKUP(Cover!$D$12,$P$1:$X$1,$P290:$X290)</f>
        <v>Information</v>
      </c>
      <c r="G290" s="154" t="s">
        <v>6692</v>
      </c>
      <c r="H290" s="154" t="s">
        <v>6693</v>
      </c>
      <c r="I290" s="154" t="s">
        <v>6694</v>
      </c>
      <c r="J290" s="154" t="s">
        <v>6027</v>
      </c>
      <c r="K290" s="154"/>
      <c r="L290" s="154" t="s">
        <v>759</v>
      </c>
      <c r="M290" s="247" t="s">
        <v>516</v>
      </c>
      <c r="N290" s="247" t="s">
        <v>5876</v>
      </c>
      <c r="O290" s="240" t="str">
        <f t="shared" si="1"/>
        <v/>
      </c>
      <c r="P290" s="154" t="s">
        <v>66</v>
      </c>
      <c r="Q290" s="154" t="s">
        <v>66</v>
      </c>
      <c r="R290" s="154" t="s">
        <v>66</v>
      </c>
      <c r="S290" s="154" t="s">
        <v>66</v>
      </c>
      <c r="T290" s="154" t="s">
        <v>66</v>
      </c>
      <c r="U290" s="154" t="s">
        <v>66</v>
      </c>
      <c r="V290" s="154" t="s">
        <v>66</v>
      </c>
      <c r="W290" s="154" t="s">
        <v>66</v>
      </c>
      <c r="X290" s="154" t="s">
        <v>66</v>
      </c>
      <c r="Y290" s="154"/>
      <c r="Z290" s="242" t="b">
        <f t="shared" si="2"/>
        <v>1</v>
      </c>
      <c r="AA290" s="154" t="s">
        <v>391</v>
      </c>
      <c r="AB290" s="242" t="b">
        <f t="shared" si="3"/>
        <v>0</v>
      </c>
      <c r="AC290" s="154"/>
      <c r="AD290" s="242" t="b">
        <f t="shared" si="4"/>
        <v>0</v>
      </c>
      <c r="AE290" s="154" t="s">
        <v>1029</v>
      </c>
      <c r="AF290" s="242" t="str">
        <f>IF(AE290="","N/A",INDIRECT("MTR!"&amp;ADDRESS(MATCH(LEFT(AE290,9),MTR!C:C,0),COLUMN(J290)),TRUE) &amp; "")</f>
        <v>Partially Complies</v>
      </c>
      <c r="AG290" s="157" t="str">
        <f t="shared" si="5"/>
        <v/>
      </c>
      <c r="AH290" s="170"/>
      <c r="AI290" s="152"/>
      <c r="AJ290" s="152"/>
      <c r="AK290" s="152"/>
      <c r="AL290" s="152"/>
      <c r="AM290" s="152"/>
      <c r="AN290" s="152"/>
      <c r="AO290" s="152"/>
      <c r="AP290" s="152"/>
      <c r="AQ290" s="152"/>
      <c r="AR290" s="152"/>
    </row>
    <row r="291" ht="12.75" customHeight="1">
      <c r="A291" s="244" t="s">
        <v>5158</v>
      </c>
      <c r="B291" s="244" t="s">
        <v>5725</v>
      </c>
      <c r="C291" s="245" t="s">
        <v>6695</v>
      </c>
      <c r="D291" s="155" t="s">
        <v>602</v>
      </c>
      <c r="E291" s="154" t="s">
        <v>92</v>
      </c>
      <c r="F291" s="154" t="str">
        <f t="array" ref="F291">XLOOKUP(Cover!$D$12,$P$1:$X$1,$P291:$X291)</f>
        <v>Information</v>
      </c>
      <c r="G291" s="154" t="s">
        <v>6696</v>
      </c>
      <c r="H291" s="154" t="s">
        <v>6478</v>
      </c>
      <c r="I291" s="154" t="s">
        <v>6697</v>
      </c>
      <c r="J291" s="154" t="s">
        <v>5779</v>
      </c>
      <c r="K291" s="154"/>
      <c r="L291" s="154" t="s">
        <v>759</v>
      </c>
      <c r="M291" s="247" t="s">
        <v>516</v>
      </c>
      <c r="N291" s="247" t="s">
        <v>5876</v>
      </c>
      <c r="O291" s="240" t="str">
        <f t="shared" si="1"/>
        <v/>
      </c>
      <c r="P291" s="154" t="s">
        <v>66</v>
      </c>
      <c r="Q291" s="154" t="s">
        <v>66</v>
      </c>
      <c r="R291" s="154" t="s">
        <v>66</v>
      </c>
      <c r="S291" s="154" t="s">
        <v>66</v>
      </c>
      <c r="T291" s="154" t="s">
        <v>66</v>
      </c>
      <c r="U291" s="154" t="s">
        <v>66</v>
      </c>
      <c r="V291" s="154" t="s">
        <v>66</v>
      </c>
      <c r="W291" s="154" t="s">
        <v>66</v>
      </c>
      <c r="X291" s="154" t="s">
        <v>66</v>
      </c>
      <c r="Y291" s="154"/>
      <c r="Z291" s="242" t="b">
        <f t="shared" si="2"/>
        <v>1</v>
      </c>
      <c r="AA291" s="154" t="s">
        <v>391</v>
      </c>
      <c r="AB291" s="242" t="b">
        <f t="shared" si="3"/>
        <v>0</v>
      </c>
      <c r="AC291" s="154"/>
      <c r="AD291" s="242" t="b">
        <f t="shared" si="4"/>
        <v>0</v>
      </c>
      <c r="AE291" s="154" t="s">
        <v>1029</v>
      </c>
      <c r="AF291" s="242" t="str">
        <f>IF(AE291="","N/A",INDIRECT("MTR!"&amp;ADDRESS(MATCH(LEFT(AE291,9),MTR!C:C,0),COLUMN(J291)),TRUE) &amp; "")</f>
        <v>Partially Complies</v>
      </c>
      <c r="AG291" s="157" t="str">
        <f t="shared" si="5"/>
        <v/>
      </c>
      <c r="AH291" s="170"/>
      <c r="AI291" s="152"/>
      <c r="AJ291" s="152"/>
      <c r="AK291" s="152"/>
      <c r="AL291" s="152"/>
      <c r="AM291" s="152"/>
      <c r="AN291" s="152"/>
      <c r="AO291" s="152"/>
      <c r="AP291" s="152"/>
      <c r="AQ291" s="152"/>
      <c r="AR291" s="152"/>
    </row>
    <row r="292" ht="12.75" customHeight="1">
      <c r="A292" s="244" t="s">
        <v>5158</v>
      </c>
      <c r="B292" s="244" t="s">
        <v>5725</v>
      </c>
      <c r="C292" s="245" t="s">
        <v>6698</v>
      </c>
      <c r="D292" s="155" t="s">
        <v>1069</v>
      </c>
      <c r="E292" s="154" t="s">
        <v>92</v>
      </c>
      <c r="F292" s="154" t="str">
        <f t="array" ref="F292">XLOOKUP(Cover!$D$12,$P$1:$X$1,$P292:$X292)</f>
        <v>Information</v>
      </c>
      <c r="G292" s="154" t="s">
        <v>6699</v>
      </c>
      <c r="H292" s="154" t="s">
        <v>6478</v>
      </c>
      <c r="I292" s="154" t="s">
        <v>6700</v>
      </c>
      <c r="J292" s="154" t="s">
        <v>6154</v>
      </c>
      <c r="K292" s="154"/>
      <c r="L292" s="154" t="s">
        <v>759</v>
      </c>
      <c r="M292" s="247" t="s">
        <v>516</v>
      </c>
      <c r="N292" s="247" t="s">
        <v>5876</v>
      </c>
      <c r="O292" s="240" t="str">
        <f t="shared" si="1"/>
        <v/>
      </c>
      <c r="P292" s="154" t="s">
        <v>66</v>
      </c>
      <c r="Q292" s="154" t="s">
        <v>66</v>
      </c>
      <c r="R292" s="154" t="s">
        <v>66</v>
      </c>
      <c r="S292" s="154" t="s">
        <v>66</v>
      </c>
      <c r="T292" s="154" t="s">
        <v>66</v>
      </c>
      <c r="U292" s="154" t="s">
        <v>66</v>
      </c>
      <c r="V292" s="154" t="s">
        <v>66</v>
      </c>
      <c r="W292" s="154" t="s">
        <v>66</v>
      </c>
      <c r="X292" s="154" t="s">
        <v>66</v>
      </c>
      <c r="Y292" s="154"/>
      <c r="Z292" s="242" t="b">
        <f t="shared" si="2"/>
        <v>1</v>
      </c>
      <c r="AA292" s="154" t="s">
        <v>391</v>
      </c>
      <c r="AB292" s="242" t="b">
        <f t="shared" si="3"/>
        <v>0</v>
      </c>
      <c r="AC292" s="154"/>
      <c r="AD292" s="242" t="b">
        <f t="shared" si="4"/>
        <v>0</v>
      </c>
      <c r="AE292" s="154" t="s">
        <v>1029</v>
      </c>
      <c r="AF292" s="242" t="str">
        <f>IF(AE292="","N/A",INDIRECT("MTR!"&amp;ADDRESS(MATCH(LEFT(AE292,9),MTR!C:C,0),COLUMN(J292)),TRUE) &amp; "")</f>
        <v>Partially Complies</v>
      </c>
      <c r="AG292" s="157" t="str">
        <f t="shared" si="5"/>
        <v/>
      </c>
      <c r="AH292" s="170"/>
      <c r="AI292" s="152"/>
      <c r="AJ292" s="152"/>
      <c r="AK292" s="152"/>
      <c r="AL292" s="152"/>
      <c r="AM292" s="152"/>
      <c r="AN292" s="152"/>
      <c r="AO292" s="152"/>
      <c r="AP292" s="152"/>
      <c r="AQ292" s="152"/>
      <c r="AR292" s="152"/>
    </row>
    <row r="293" ht="12.75" customHeight="1">
      <c r="A293" s="244" t="s">
        <v>5158</v>
      </c>
      <c r="B293" s="244" t="s">
        <v>5725</v>
      </c>
      <c r="C293" s="244" t="s">
        <v>6701</v>
      </c>
      <c r="D293" s="154" t="s">
        <v>1315</v>
      </c>
      <c r="E293" s="154"/>
      <c r="F293" s="154" t="str">
        <f t="array" ref="F293">XLOOKUP(Cover!$D$12,$P$1:$X$1,$P293:$X293)</f>
        <v>Information</v>
      </c>
      <c r="G293" s="154" t="s">
        <v>6702</v>
      </c>
      <c r="H293" s="154" t="s">
        <v>6703</v>
      </c>
      <c r="I293" s="154" t="s">
        <v>6704</v>
      </c>
      <c r="J293" s="154" t="s">
        <v>6022</v>
      </c>
      <c r="K293" s="154"/>
      <c r="L293" s="154" t="s">
        <v>759</v>
      </c>
      <c r="M293" s="247" t="s">
        <v>516</v>
      </c>
      <c r="N293" s="247" t="s">
        <v>5876</v>
      </c>
      <c r="O293" s="240" t="str">
        <f t="shared" si="1"/>
        <v/>
      </c>
      <c r="P293" s="154" t="s">
        <v>66</v>
      </c>
      <c r="Q293" s="154" t="s">
        <v>66</v>
      </c>
      <c r="R293" s="154" t="s">
        <v>66</v>
      </c>
      <c r="S293" s="154" t="s">
        <v>66</v>
      </c>
      <c r="T293" s="154" t="s">
        <v>66</v>
      </c>
      <c r="U293" s="154" t="s">
        <v>66</v>
      </c>
      <c r="V293" s="154" t="s">
        <v>66</v>
      </c>
      <c r="W293" s="154" t="s">
        <v>66</v>
      </c>
      <c r="X293" s="154" t="s">
        <v>66</v>
      </c>
      <c r="Y293" s="154"/>
      <c r="Z293" s="242" t="b">
        <f t="shared" si="2"/>
        <v>1</v>
      </c>
      <c r="AA293" s="154" t="s">
        <v>391</v>
      </c>
      <c r="AB293" s="242" t="b">
        <f t="shared" si="3"/>
        <v>0</v>
      </c>
      <c r="AC293" s="154"/>
      <c r="AD293" s="242" t="b">
        <f t="shared" si="4"/>
        <v>0</v>
      </c>
      <c r="AE293" s="154" t="s">
        <v>1029</v>
      </c>
      <c r="AF293" s="242" t="str">
        <f>IF(AE293="","N/A",INDIRECT("MTR!"&amp;ADDRESS(MATCH(LEFT(AE293,9),MTR!C:C,0),COLUMN(J293)),TRUE) &amp; "")</f>
        <v>Partially Complies</v>
      </c>
      <c r="AG293" s="157" t="str">
        <f t="shared" si="5"/>
        <v/>
      </c>
      <c r="AH293" s="170"/>
      <c r="AI293" s="152"/>
      <c r="AJ293" s="152"/>
      <c r="AK293" s="152"/>
      <c r="AL293" s="152"/>
      <c r="AM293" s="152"/>
      <c r="AN293" s="152"/>
      <c r="AO293" s="152"/>
      <c r="AP293" s="152"/>
      <c r="AQ293" s="152"/>
      <c r="AR293" s="152"/>
    </row>
    <row r="294" ht="12.75" customHeight="1">
      <c r="A294" s="244" t="s">
        <v>5158</v>
      </c>
      <c r="B294" s="244" t="s">
        <v>5725</v>
      </c>
      <c r="C294" s="244" t="s">
        <v>6705</v>
      </c>
      <c r="D294" s="154" t="s">
        <v>1069</v>
      </c>
      <c r="E294" s="154"/>
      <c r="F294" s="154" t="str">
        <f t="array" ref="F294">XLOOKUP(Cover!$D$12,$P$1:$X$1,$P294:$X294)</f>
        <v>Information</v>
      </c>
      <c r="G294" s="154" t="s">
        <v>6706</v>
      </c>
      <c r="H294" s="154" t="s">
        <v>6169</v>
      </c>
      <c r="I294" s="154" t="s">
        <v>6707</v>
      </c>
      <c r="J294" s="154" t="s">
        <v>6154</v>
      </c>
      <c r="K294" s="154"/>
      <c r="L294" s="154" t="s">
        <v>759</v>
      </c>
      <c r="M294" s="247" t="s">
        <v>516</v>
      </c>
      <c r="N294" s="247" t="s">
        <v>5876</v>
      </c>
      <c r="O294" s="240" t="str">
        <f t="shared" si="1"/>
        <v/>
      </c>
      <c r="P294" s="154" t="s">
        <v>66</v>
      </c>
      <c r="Q294" s="154" t="s">
        <v>66</v>
      </c>
      <c r="R294" s="154" t="s">
        <v>66</v>
      </c>
      <c r="S294" s="154" t="s">
        <v>66</v>
      </c>
      <c r="T294" s="154" t="s">
        <v>66</v>
      </c>
      <c r="U294" s="154" t="s">
        <v>66</v>
      </c>
      <c r="V294" s="154" t="s">
        <v>66</v>
      </c>
      <c r="W294" s="154" t="s">
        <v>66</v>
      </c>
      <c r="X294" s="154" t="s">
        <v>66</v>
      </c>
      <c r="Y294" s="154"/>
      <c r="Z294" s="242" t="b">
        <f t="shared" si="2"/>
        <v>1</v>
      </c>
      <c r="AA294" s="154" t="s">
        <v>391</v>
      </c>
      <c r="AB294" s="242" t="b">
        <f t="shared" si="3"/>
        <v>0</v>
      </c>
      <c r="AC294" s="154"/>
      <c r="AD294" s="242" t="b">
        <f t="shared" si="4"/>
        <v>0</v>
      </c>
      <c r="AE294" s="154" t="s">
        <v>1029</v>
      </c>
      <c r="AF294" s="242" t="str">
        <f>IF(AE294="","N/A",INDIRECT("MTR!"&amp;ADDRESS(MATCH(LEFT(AE294,9),MTR!C:C,0),COLUMN(J294)),TRUE) &amp; "")</f>
        <v>Partially Complies</v>
      </c>
      <c r="AG294" s="157" t="str">
        <f t="shared" si="5"/>
        <v/>
      </c>
      <c r="AH294" s="170"/>
      <c r="AI294" s="152"/>
      <c r="AJ294" s="152"/>
      <c r="AK294" s="152"/>
      <c r="AL294" s="152"/>
      <c r="AM294" s="152"/>
      <c r="AN294" s="152"/>
      <c r="AO294" s="152"/>
      <c r="AP294" s="152"/>
      <c r="AQ294" s="152"/>
      <c r="AR294" s="152"/>
    </row>
    <row r="295" ht="12.75" customHeight="1">
      <c r="A295" s="244" t="s">
        <v>5158</v>
      </c>
      <c r="B295" s="244" t="s">
        <v>5725</v>
      </c>
      <c r="C295" s="244" t="s">
        <v>6708</v>
      </c>
      <c r="D295" s="154" t="s">
        <v>1315</v>
      </c>
      <c r="E295" s="154"/>
      <c r="F295" s="154" t="str">
        <f t="array" ref="F295">XLOOKUP(Cover!$D$12,$P$1:$X$1,$P295:$X295)</f>
        <v>Information</v>
      </c>
      <c r="G295" s="154" t="s">
        <v>6709</v>
      </c>
      <c r="H295" s="154" t="s">
        <v>6501</v>
      </c>
      <c r="I295" s="154" t="s">
        <v>6710</v>
      </c>
      <c r="J295" s="154" t="s">
        <v>6022</v>
      </c>
      <c r="K295" s="154"/>
      <c r="L295" s="154" t="s">
        <v>759</v>
      </c>
      <c r="M295" s="247" t="s">
        <v>516</v>
      </c>
      <c r="N295" s="247" t="s">
        <v>5876</v>
      </c>
      <c r="O295" s="240" t="str">
        <f t="shared" si="1"/>
        <v/>
      </c>
      <c r="P295" s="154" t="s">
        <v>66</v>
      </c>
      <c r="Q295" s="154" t="s">
        <v>66</v>
      </c>
      <c r="R295" s="154" t="s">
        <v>66</v>
      </c>
      <c r="S295" s="154" t="s">
        <v>66</v>
      </c>
      <c r="T295" s="154" t="s">
        <v>66</v>
      </c>
      <c r="U295" s="154" t="s">
        <v>66</v>
      </c>
      <c r="V295" s="154" t="s">
        <v>66</v>
      </c>
      <c r="W295" s="154" t="s">
        <v>66</v>
      </c>
      <c r="X295" s="154" t="s">
        <v>66</v>
      </c>
      <c r="Y295" s="154"/>
      <c r="Z295" s="242" t="b">
        <f t="shared" si="2"/>
        <v>1</v>
      </c>
      <c r="AA295" s="154" t="s">
        <v>391</v>
      </c>
      <c r="AB295" s="242" t="b">
        <f t="shared" si="3"/>
        <v>0</v>
      </c>
      <c r="AC295" s="154"/>
      <c r="AD295" s="242" t="b">
        <f t="shared" si="4"/>
        <v>0</v>
      </c>
      <c r="AE295" s="154" t="s">
        <v>1029</v>
      </c>
      <c r="AF295" s="242" t="str">
        <f>IF(AE295="","N/A",INDIRECT("MTR!"&amp;ADDRESS(MATCH(LEFT(AE295,9),MTR!C:C,0),COLUMN(J295)),TRUE) &amp; "")</f>
        <v>Partially Complies</v>
      </c>
      <c r="AG295" s="157" t="str">
        <f t="shared" si="5"/>
        <v/>
      </c>
      <c r="AH295" s="170"/>
      <c r="AI295" s="152"/>
      <c r="AJ295" s="152"/>
      <c r="AK295" s="152"/>
      <c r="AL295" s="152"/>
      <c r="AM295" s="152"/>
      <c r="AN295" s="152"/>
      <c r="AO295" s="152"/>
      <c r="AP295" s="152"/>
      <c r="AQ295" s="152"/>
      <c r="AR295" s="152"/>
    </row>
    <row r="296" ht="12.75" customHeight="1">
      <c r="A296" s="238" t="s">
        <v>5158</v>
      </c>
      <c r="B296" s="238" t="s">
        <v>5725</v>
      </c>
      <c r="C296" s="238" t="s">
        <v>6711</v>
      </c>
      <c r="D296" s="240"/>
      <c r="E296" s="240" t="s">
        <v>92</v>
      </c>
      <c r="F296" s="240" t="str">
        <f t="array" ref="F296">XLOOKUP(Cover!$D$12,$P$1:$X$1,$P296:$X296)</f>
        <v>Heading</v>
      </c>
      <c r="G296" s="239" t="s">
        <v>6712</v>
      </c>
      <c r="H296" s="240"/>
      <c r="I296" s="240"/>
      <c r="J296" s="240"/>
      <c r="K296" s="240"/>
      <c r="L296" s="240" t="s">
        <v>759</v>
      </c>
      <c r="M296" s="240"/>
      <c r="N296" s="240"/>
      <c r="O296" s="240" t="str">
        <f t="shared" si="1"/>
        <v/>
      </c>
      <c r="P296" s="240" t="s">
        <v>390</v>
      </c>
      <c r="Q296" s="240" t="s">
        <v>390</v>
      </c>
      <c r="R296" s="240" t="s">
        <v>390</v>
      </c>
      <c r="S296" s="240" t="s">
        <v>390</v>
      </c>
      <c r="T296" s="240" t="s">
        <v>390</v>
      </c>
      <c r="U296" s="240" t="s">
        <v>390</v>
      </c>
      <c r="V296" s="240" t="s">
        <v>390</v>
      </c>
      <c r="W296" s="240" t="s">
        <v>390</v>
      </c>
      <c r="X296" s="240" t="s">
        <v>390</v>
      </c>
      <c r="Y296" s="240"/>
      <c r="Z296" s="242" t="b">
        <f t="shared" si="2"/>
        <v>0</v>
      </c>
      <c r="AA296" s="240" t="s">
        <v>391</v>
      </c>
      <c r="AB296" s="242" t="b">
        <f t="shared" si="3"/>
        <v>0</v>
      </c>
      <c r="AC296" s="240"/>
      <c r="AD296" s="242" t="b">
        <f t="shared" si="4"/>
        <v>0</v>
      </c>
      <c r="AE296" s="240"/>
      <c r="AF296" s="242" t="str">
        <f>IF(AE296="","N/A",INDIRECT("MTR!"&amp;ADDRESS(MATCH(LEFT(AE296,9),MTR!C:C,0),COLUMN(J296)),TRUE) &amp; "")</f>
        <v>N/A</v>
      </c>
      <c r="AG296" s="157" t="str">
        <f t="shared" si="5"/>
        <v/>
      </c>
      <c r="AH296" s="170"/>
      <c r="AI296" s="152"/>
      <c r="AJ296" s="152"/>
      <c r="AK296" s="152"/>
      <c r="AL296" s="152"/>
      <c r="AM296" s="152"/>
      <c r="AN296" s="152"/>
      <c r="AO296" s="152"/>
      <c r="AP296" s="152"/>
      <c r="AQ296" s="152"/>
      <c r="AR296" s="152"/>
    </row>
    <row r="297" ht="12.75" customHeight="1">
      <c r="A297" s="244" t="s">
        <v>5158</v>
      </c>
      <c r="B297" s="244" t="s">
        <v>5725</v>
      </c>
      <c r="C297" s="244" t="s">
        <v>6713</v>
      </c>
      <c r="D297" s="154" t="s">
        <v>781</v>
      </c>
      <c r="E297" s="154"/>
      <c r="F297" s="154" t="str">
        <f t="array" ref="F297">XLOOKUP(Cover!$D$12,$P$1:$X$1,$P297:$X297)</f>
        <v>Mandatory</v>
      </c>
      <c r="G297" s="154" t="s">
        <v>6714</v>
      </c>
      <c r="H297" s="154" t="s">
        <v>6715</v>
      </c>
      <c r="I297" s="154" t="s">
        <v>6716</v>
      </c>
      <c r="J297" s="154" t="s">
        <v>5793</v>
      </c>
      <c r="K297" s="154"/>
      <c r="L297" s="154" t="s">
        <v>759</v>
      </c>
      <c r="M297" s="247" t="s">
        <v>516</v>
      </c>
      <c r="N297" s="247" t="s">
        <v>5876</v>
      </c>
      <c r="O297" s="240" t="str">
        <f t="shared" si="1"/>
        <v/>
      </c>
      <c r="P297" s="154" t="s">
        <v>66</v>
      </c>
      <c r="Q297" s="154" t="s">
        <v>66</v>
      </c>
      <c r="R297" s="154" t="s">
        <v>66</v>
      </c>
      <c r="S297" s="154" t="s">
        <v>66</v>
      </c>
      <c r="T297" s="154" t="s">
        <v>60</v>
      </c>
      <c r="U297" s="154" t="s">
        <v>60</v>
      </c>
      <c r="V297" s="154" t="s">
        <v>66</v>
      </c>
      <c r="W297" s="154" t="s">
        <v>66</v>
      </c>
      <c r="X297" s="154" t="s">
        <v>60</v>
      </c>
      <c r="Y297" s="154"/>
      <c r="Z297" s="242" t="b">
        <f t="shared" si="2"/>
        <v>1</v>
      </c>
      <c r="AA297" s="154" t="s">
        <v>391</v>
      </c>
      <c r="AB297" s="242" t="b">
        <f t="shared" si="3"/>
        <v>0</v>
      </c>
      <c r="AC297" s="154"/>
      <c r="AD297" s="242" t="b">
        <f t="shared" si="4"/>
        <v>0</v>
      </c>
      <c r="AE297" s="154" t="s">
        <v>677</v>
      </c>
      <c r="AF297" s="242" t="str">
        <f>IF(AE297="","N/A",INDIRECT("MTR!"&amp;ADDRESS(MATCH(LEFT(AE297,9),MTR!C:C,0),COLUMN(J297)),TRUE) &amp; "")</f>
        <v>Partially Complies</v>
      </c>
      <c r="AG297" s="157" t="str">
        <f t="shared" si="5"/>
        <v/>
      </c>
      <c r="AH297" s="170"/>
      <c r="AI297" s="152"/>
      <c r="AJ297" s="152"/>
      <c r="AK297" s="152"/>
      <c r="AL297" s="152"/>
      <c r="AM297" s="152"/>
      <c r="AN297" s="152"/>
      <c r="AO297" s="152"/>
      <c r="AP297" s="152"/>
      <c r="AQ297" s="152"/>
      <c r="AR297" s="152"/>
    </row>
    <row r="298" ht="12.75" customHeight="1">
      <c r="A298" s="244" t="s">
        <v>5158</v>
      </c>
      <c r="B298" s="244" t="s">
        <v>5725</v>
      </c>
      <c r="C298" s="244" t="s">
        <v>6717</v>
      </c>
      <c r="D298" s="154" t="s">
        <v>503</v>
      </c>
      <c r="E298" s="154"/>
      <c r="F298" s="154" t="str">
        <f t="array" ref="F298">XLOOKUP(Cover!$D$12,$P$1:$X$1,$P298:$X298)</f>
        <v>Mandatory</v>
      </c>
      <c r="G298" s="154" t="s">
        <v>6718</v>
      </c>
      <c r="H298" s="154" t="s">
        <v>6719</v>
      </c>
      <c r="I298" s="154" t="s">
        <v>6720</v>
      </c>
      <c r="J298" s="154" t="s">
        <v>6721</v>
      </c>
      <c r="K298" s="154"/>
      <c r="L298" s="154" t="s">
        <v>759</v>
      </c>
      <c r="M298" s="247" t="s">
        <v>506</v>
      </c>
      <c r="N298" s="247" t="s">
        <v>6722</v>
      </c>
      <c r="O298" s="240" t="str">
        <f t="shared" si="1"/>
        <v/>
      </c>
      <c r="P298" s="154" t="s">
        <v>66</v>
      </c>
      <c r="Q298" s="154" t="s">
        <v>66</v>
      </c>
      <c r="R298" s="154" t="s">
        <v>66</v>
      </c>
      <c r="S298" s="154" t="s">
        <v>66</v>
      </c>
      <c r="T298" s="154" t="s">
        <v>60</v>
      </c>
      <c r="U298" s="154" t="s">
        <v>60</v>
      </c>
      <c r="V298" s="154" t="s">
        <v>66</v>
      </c>
      <c r="W298" s="154" t="s">
        <v>66</v>
      </c>
      <c r="X298" s="154" t="s">
        <v>60</v>
      </c>
      <c r="Y298" s="154"/>
      <c r="Z298" s="242" t="b">
        <f t="shared" si="2"/>
        <v>1</v>
      </c>
      <c r="AA298" s="154" t="s">
        <v>391</v>
      </c>
      <c r="AB298" s="242" t="b">
        <f t="shared" si="3"/>
        <v>0</v>
      </c>
      <c r="AC298" s="154"/>
      <c r="AD298" s="242" t="b">
        <f t="shared" si="4"/>
        <v>0</v>
      </c>
      <c r="AE298" s="154" t="s">
        <v>677</v>
      </c>
      <c r="AF298" s="242" t="str">
        <f>IF(AE298="","N/A",INDIRECT("MTR!"&amp;ADDRESS(MATCH(LEFT(AE298,9),MTR!C:C,0),COLUMN(J298)),TRUE) &amp; "")</f>
        <v>Partially Complies</v>
      </c>
      <c r="AG298" s="157" t="str">
        <f t="shared" si="5"/>
        <v/>
      </c>
      <c r="AH298" s="170"/>
      <c r="AI298" s="152"/>
      <c r="AJ298" s="152"/>
      <c r="AK298" s="152"/>
      <c r="AL298" s="152"/>
      <c r="AM298" s="152"/>
      <c r="AN298" s="152"/>
      <c r="AO298" s="152"/>
      <c r="AP298" s="152"/>
      <c r="AQ298" s="152"/>
      <c r="AR298" s="152"/>
    </row>
    <row r="299" ht="12.75" customHeight="1">
      <c r="A299" s="244" t="s">
        <v>5158</v>
      </c>
      <c r="B299" s="244" t="s">
        <v>5725</v>
      </c>
      <c r="C299" s="244" t="s">
        <v>6723</v>
      </c>
      <c r="D299" s="154" t="s">
        <v>781</v>
      </c>
      <c r="E299" s="154"/>
      <c r="F299" s="154" t="str">
        <f t="array" ref="F299">XLOOKUP(Cover!$D$12,$P$1:$X$1,$P299:$X299)</f>
        <v>Mandatory</v>
      </c>
      <c r="G299" s="154" t="s">
        <v>6724</v>
      </c>
      <c r="H299" s="154" t="s">
        <v>6725</v>
      </c>
      <c r="I299" s="154" t="s">
        <v>6726</v>
      </c>
      <c r="J299" s="154" t="s">
        <v>5784</v>
      </c>
      <c r="K299" s="154"/>
      <c r="L299" s="154" t="s">
        <v>759</v>
      </c>
      <c r="M299" s="247" t="s">
        <v>506</v>
      </c>
      <c r="N299" s="247" t="s">
        <v>6722</v>
      </c>
      <c r="O299" s="240" t="str">
        <f t="shared" si="1"/>
        <v/>
      </c>
      <c r="P299" s="154" t="s">
        <v>66</v>
      </c>
      <c r="Q299" s="154" t="s">
        <v>66</v>
      </c>
      <c r="R299" s="154" t="s">
        <v>66</v>
      </c>
      <c r="S299" s="154" t="s">
        <v>66</v>
      </c>
      <c r="T299" s="154" t="s">
        <v>60</v>
      </c>
      <c r="U299" s="154" t="s">
        <v>60</v>
      </c>
      <c r="V299" s="154" t="s">
        <v>66</v>
      </c>
      <c r="W299" s="154" t="s">
        <v>66</v>
      </c>
      <c r="X299" s="154" t="s">
        <v>60</v>
      </c>
      <c r="Y299" s="154"/>
      <c r="Z299" s="242" t="b">
        <f t="shared" si="2"/>
        <v>1</v>
      </c>
      <c r="AA299" s="154" t="s">
        <v>391</v>
      </c>
      <c r="AB299" s="242" t="b">
        <f t="shared" si="3"/>
        <v>0</v>
      </c>
      <c r="AC299" s="154"/>
      <c r="AD299" s="242" t="b">
        <f t="shared" si="4"/>
        <v>0</v>
      </c>
      <c r="AE299" s="154" t="s">
        <v>677</v>
      </c>
      <c r="AF299" s="242" t="str">
        <f>IF(AE299="","N/A",INDIRECT("MTR!"&amp;ADDRESS(MATCH(LEFT(AE299,9),MTR!C:C,0),COLUMN(J299)),TRUE) &amp; "")</f>
        <v>Partially Complies</v>
      </c>
      <c r="AG299" s="157" t="str">
        <f t="shared" si="5"/>
        <v/>
      </c>
      <c r="AH299" s="170"/>
      <c r="AI299" s="152"/>
      <c r="AJ299" s="152"/>
      <c r="AK299" s="152"/>
      <c r="AL299" s="152"/>
      <c r="AM299" s="152"/>
      <c r="AN299" s="152"/>
      <c r="AO299" s="152"/>
      <c r="AP299" s="152"/>
      <c r="AQ299" s="152"/>
      <c r="AR299" s="152"/>
    </row>
    <row r="300" ht="12.75" customHeight="1">
      <c r="A300" s="244" t="s">
        <v>5158</v>
      </c>
      <c r="B300" s="244" t="s">
        <v>5725</v>
      </c>
      <c r="C300" s="255" t="s">
        <v>6727</v>
      </c>
      <c r="D300" s="256" t="s">
        <v>42</v>
      </c>
      <c r="E300" s="154" t="s">
        <v>489</v>
      </c>
      <c r="F300" s="154" t="str">
        <f t="array" ref="F300">XLOOKUP(Cover!$D$12,$P$1:$X$1,$P300:$X300)</f>
        <v>Mandatory</v>
      </c>
      <c r="G300" s="154" t="s">
        <v>6728</v>
      </c>
      <c r="H300" s="154" t="s">
        <v>6729</v>
      </c>
      <c r="I300" s="154" t="s">
        <v>6730</v>
      </c>
      <c r="J300" s="154" t="s">
        <v>6731</v>
      </c>
      <c r="K300" s="154"/>
      <c r="L300" s="154" t="s">
        <v>759</v>
      </c>
      <c r="M300" s="247" t="s">
        <v>516</v>
      </c>
      <c r="N300" s="247" t="s">
        <v>5876</v>
      </c>
      <c r="O300" s="240" t="str">
        <f t="shared" si="1"/>
        <v/>
      </c>
      <c r="P300" s="154" t="s">
        <v>66</v>
      </c>
      <c r="Q300" s="154" t="s">
        <v>66</v>
      </c>
      <c r="R300" s="154" t="s">
        <v>66</v>
      </c>
      <c r="S300" s="154" t="s">
        <v>66</v>
      </c>
      <c r="T300" s="154" t="s">
        <v>60</v>
      </c>
      <c r="U300" s="154" t="s">
        <v>60</v>
      </c>
      <c r="V300" s="154" t="s">
        <v>66</v>
      </c>
      <c r="W300" s="154" t="s">
        <v>66</v>
      </c>
      <c r="X300" s="154" t="s">
        <v>60</v>
      </c>
      <c r="Y300" s="154"/>
      <c r="Z300" s="242" t="b">
        <f t="shared" si="2"/>
        <v>1</v>
      </c>
      <c r="AA300" s="154" t="s">
        <v>391</v>
      </c>
      <c r="AB300" s="242" t="b">
        <f t="shared" si="3"/>
        <v>0</v>
      </c>
      <c r="AC300" s="154"/>
      <c r="AD300" s="242" t="b">
        <f t="shared" si="4"/>
        <v>0</v>
      </c>
      <c r="AE300" s="154" t="s">
        <v>677</v>
      </c>
      <c r="AF300" s="242" t="str">
        <f>IF(AE300="","N/A",INDIRECT("MTR!"&amp;ADDRESS(MATCH(LEFT(AE300,9),MTR!C:C,0),COLUMN(J300)),TRUE) &amp; "")</f>
        <v>Partially Complies</v>
      </c>
      <c r="AG300" s="157" t="str">
        <f t="shared" si="5"/>
        <v/>
      </c>
      <c r="AH300" s="170"/>
      <c r="AI300" s="152"/>
      <c r="AJ300" s="152"/>
      <c r="AK300" s="152"/>
      <c r="AL300" s="152"/>
      <c r="AM300" s="152"/>
      <c r="AN300" s="152"/>
      <c r="AO300" s="152"/>
      <c r="AP300" s="152"/>
      <c r="AQ300" s="152"/>
      <c r="AR300" s="152"/>
    </row>
    <row r="301" ht="12.75" customHeight="1">
      <c r="A301" s="244" t="s">
        <v>5158</v>
      </c>
      <c r="B301" s="244" t="s">
        <v>5725</v>
      </c>
      <c r="C301" s="244" t="s">
        <v>6732</v>
      </c>
      <c r="D301" s="154" t="s">
        <v>503</v>
      </c>
      <c r="E301" s="154"/>
      <c r="F301" s="154" t="str">
        <f t="array" ref="F301">XLOOKUP(Cover!$D$12,$P$1:$X$1,$P301:$X301)</f>
        <v>Mandatory</v>
      </c>
      <c r="G301" s="154" t="s">
        <v>6733</v>
      </c>
      <c r="H301" s="154" t="s">
        <v>6734</v>
      </c>
      <c r="I301" s="154" t="s">
        <v>6735</v>
      </c>
      <c r="J301" s="154" t="s">
        <v>5805</v>
      </c>
      <c r="K301" s="154"/>
      <c r="L301" s="154" t="s">
        <v>759</v>
      </c>
      <c r="M301" s="247" t="s">
        <v>506</v>
      </c>
      <c r="N301" s="247" t="s">
        <v>6722</v>
      </c>
      <c r="O301" s="240" t="str">
        <f t="shared" si="1"/>
        <v/>
      </c>
      <c r="P301" s="154" t="s">
        <v>66</v>
      </c>
      <c r="Q301" s="154" t="s">
        <v>66</v>
      </c>
      <c r="R301" s="154" t="s">
        <v>66</v>
      </c>
      <c r="S301" s="154" t="s">
        <v>66</v>
      </c>
      <c r="T301" s="154" t="s">
        <v>60</v>
      </c>
      <c r="U301" s="154" t="s">
        <v>60</v>
      </c>
      <c r="V301" s="154" t="s">
        <v>66</v>
      </c>
      <c r="W301" s="154" t="s">
        <v>66</v>
      </c>
      <c r="X301" s="154" t="s">
        <v>60</v>
      </c>
      <c r="Y301" s="154"/>
      <c r="Z301" s="242" t="b">
        <f t="shared" si="2"/>
        <v>1</v>
      </c>
      <c r="AA301" s="154" t="s">
        <v>391</v>
      </c>
      <c r="AB301" s="242" t="b">
        <f t="shared" si="3"/>
        <v>0</v>
      </c>
      <c r="AC301" s="154"/>
      <c r="AD301" s="242" t="b">
        <f t="shared" si="4"/>
        <v>0</v>
      </c>
      <c r="AE301" s="154" t="s">
        <v>683</v>
      </c>
      <c r="AF301" s="242" t="str">
        <f>IF(AE301="","N/A",INDIRECT("MTR!"&amp;ADDRESS(MATCH(LEFT(AE301,9),MTR!C:C,0),COLUMN(J301)),TRUE) &amp; "")</f>
        <v>Partially Complies</v>
      </c>
      <c r="AG301" s="157" t="str">
        <f t="shared" si="5"/>
        <v/>
      </c>
      <c r="AH301" s="170"/>
      <c r="AI301" s="152"/>
      <c r="AJ301" s="152"/>
      <c r="AK301" s="152"/>
      <c r="AL301" s="152"/>
      <c r="AM301" s="152"/>
      <c r="AN301" s="152"/>
      <c r="AO301" s="152"/>
      <c r="AP301" s="152"/>
      <c r="AQ301" s="152"/>
      <c r="AR301" s="152"/>
    </row>
    <row r="302" ht="12.75" customHeight="1">
      <c r="A302" s="244" t="s">
        <v>5158</v>
      </c>
      <c r="B302" s="244" t="s">
        <v>5725</v>
      </c>
      <c r="C302" s="244" t="s">
        <v>6736</v>
      </c>
      <c r="D302" s="154" t="s">
        <v>781</v>
      </c>
      <c r="E302" s="154"/>
      <c r="F302" s="154" t="str">
        <f t="array" ref="F302">XLOOKUP(Cover!$D$12,$P$1:$X$1,$P302:$X302)</f>
        <v>Mandatory</v>
      </c>
      <c r="G302" s="154" t="s">
        <v>6737</v>
      </c>
      <c r="H302" s="154" t="s">
        <v>6738</v>
      </c>
      <c r="I302" s="154" t="s">
        <v>6739</v>
      </c>
      <c r="J302" s="154" t="s">
        <v>5798</v>
      </c>
      <c r="K302" s="154"/>
      <c r="L302" s="154" t="s">
        <v>759</v>
      </c>
      <c r="M302" s="247" t="s">
        <v>506</v>
      </c>
      <c r="N302" s="247" t="s">
        <v>6722</v>
      </c>
      <c r="O302" s="240" t="str">
        <f t="shared" si="1"/>
        <v/>
      </c>
      <c r="P302" s="154" t="s">
        <v>66</v>
      </c>
      <c r="Q302" s="154" t="s">
        <v>66</v>
      </c>
      <c r="R302" s="154" t="s">
        <v>66</v>
      </c>
      <c r="S302" s="154" t="s">
        <v>66</v>
      </c>
      <c r="T302" s="154" t="s">
        <v>60</v>
      </c>
      <c r="U302" s="154" t="s">
        <v>60</v>
      </c>
      <c r="V302" s="154" t="s">
        <v>66</v>
      </c>
      <c r="W302" s="154" t="s">
        <v>66</v>
      </c>
      <c r="X302" s="154" t="s">
        <v>60</v>
      </c>
      <c r="Y302" s="154"/>
      <c r="Z302" s="242" t="b">
        <f t="shared" si="2"/>
        <v>1</v>
      </c>
      <c r="AA302" s="154" t="s">
        <v>391</v>
      </c>
      <c r="AB302" s="242" t="b">
        <f t="shared" si="3"/>
        <v>0</v>
      </c>
      <c r="AC302" s="154"/>
      <c r="AD302" s="242" t="b">
        <f t="shared" si="4"/>
        <v>0</v>
      </c>
      <c r="AE302" s="154" t="s">
        <v>683</v>
      </c>
      <c r="AF302" s="242" t="str">
        <f>IF(AE302="","N/A",INDIRECT("MTR!"&amp;ADDRESS(MATCH(LEFT(AE302,9),MTR!C:C,0),COLUMN(J302)),TRUE) &amp; "")</f>
        <v>Partially Complies</v>
      </c>
      <c r="AG302" s="157" t="str">
        <f t="shared" si="5"/>
        <v/>
      </c>
      <c r="AH302" s="170"/>
      <c r="AI302" s="152"/>
      <c r="AJ302" s="152"/>
      <c r="AK302" s="152"/>
      <c r="AL302" s="152"/>
      <c r="AM302" s="152"/>
      <c r="AN302" s="152"/>
      <c r="AO302" s="152"/>
      <c r="AP302" s="152"/>
      <c r="AQ302" s="152"/>
      <c r="AR302" s="152"/>
    </row>
    <row r="303" ht="12.75" customHeight="1">
      <c r="A303" s="244" t="s">
        <v>5158</v>
      </c>
      <c r="B303" s="244" t="s">
        <v>5725</v>
      </c>
      <c r="C303" s="244" t="s">
        <v>6740</v>
      </c>
      <c r="D303" s="154" t="s">
        <v>503</v>
      </c>
      <c r="E303" s="154"/>
      <c r="F303" s="154" t="str">
        <f t="array" ref="F303">XLOOKUP(Cover!$D$12,$P$1:$X$1,$P303:$X303)</f>
        <v>Mandatory</v>
      </c>
      <c r="G303" s="154" t="s">
        <v>6741</v>
      </c>
      <c r="H303" s="154" t="s">
        <v>6742</v>
      </c>
      <c r="I303" s="154" t="s">
        <v>6743</v>
      </c>
      <c r="J303" s="154" t="s">
        <v>5805</v>
      </c>
      <c r="K303" s="154"/>
      <c r="L303" s="154" t="s">
        <v>759</v>
      </c>
      <c r="M303" s="247" t="s">
        <v>516</v>
      </c>
      <c r="N303" s="247" t="s">
        <v>5876</v>
      </c>
      <c r="O303" s="240" t="str">
        <f t="shared" si="1"/>
        <v/>
      </c>
      <c r="P303" s="154" t="s">
        <v>66</v>
      </c>
      <c r="Q303" s="154" t="s">
        <v>66</v>
      </c>
      <c r="R303" s="154" t="s">
        <v>66</v>
      </c>
      <c r="S303" s="154" t="s">
        <v>66</v>
      </c>
      <c r="T303" s="154" t="s">
        <v>60</v>
      </c>
      <c r="U303" s="154" t="s">
        <v>60</v>
      </c>
      <c r="V303" s="154" t="s">
        <v>66</v>
      </c>
      <c r="W303" s="154" t="s">
        <v>66</v>
      </c>
      <c r="X303" s="154" t="s">
        <v>60</v>
      </c>
      <c r="Y303" s="154"/>
      <c r="Z303" s="242" t="b">
        <f t="shared" si="2"/>
        <v>1</v>
      </c>
      <c r="AA303" s="154" t="s">
        <v>391</v>
      </c>
      <c r="AB303" s="242" t="b">
        <f t="shared" si="3"/>
        <v>0</v>
      </c>
      <c r="AC303" s="154"/>
      <c r="AD303" s="242" t="b">
        <f t="shared" si="4"/>
        <v>0</v>
      </c>
      <c r="AE303" s="154" t="s">
        <v>686</v>
      </c>
      <c r="AF303" s="242" t="str">
        <f>IF(AE303="","N/A",INDIRECT("MTR!"&amp;ADDRESS(MATCH(LEFT(AE303,9),MTR!C:C,0),COLUMN(J303)),TRUE) &amp; "")</f>
        <v>Partially Complies</v>
      </c>
      <c r="AG303" s="157" t="str">
        <f t="shared" si="5"/>
        <v/>
      </c>
      <c r="AH303" s="170"/>
      <c r="AI303" s="152"/>
      <c r="AJ303" s="152"/>
      <c r="AK303" s="152"/>
      <c r="AL303" s="152"/>
      <c r="AM303" s="152"/>
      <c r="AN303" s="152"/>
      <c r="AO303" s="152"/>
      <c r="AP303" s="152"/>
      <c r="AQ303" s="152"/>
      <c r="AR303" s="152"/>
    </row>
    <row r="304" ht="12.75" customHeight="1">
      <c r="A304" s="244" t="s">
        <v>5158</v>
      </c>
      <c r="B304" s="244" t="s">
        <v>5725</v>
      </c>
      <c r="C304" s="255" t="s">
        <v>6744</v>
      </c>
      <c r="D304" s="256" t="s">
        <v>42</v>
      </c>
      <c r="E304" s="154" t="s">
        <v>489</v>
      </c>
      <c r="F304" s="154" t="str">
        <f t="array" ref="F304">XLOOKUP(Cover!$D$12,$P$1:$X$1,$P304:$X304)</f>
        <v>Mandatory</v>
      </c>
      <c r="G304" s="154" t="s">
        <v>6745</v>
      </c>
      <c r="H304" s="154" t="s">
        <v>6746</v>
      </c>
      <c r="I304" s="154" t="s">
        <v>6747</v>
      </c>
      <c r="J304" s="154" t="s">
        <v>6731</v>
      </c>
      <c r="K304" s="154"/>
      <c r="L304" s="154" t="s">
        <v>759</v>
      </c>
      <c r="M304" s="247" t="s">
        <v>506</v>
      </c>
      <c r="N304" s="247" t="s">
        <v>6722</v>
      </c>
      <c r="O304" s="240" t="str">
        <f t="shared" si="1"/>
        <v/>
      </c>
      <c r="P304" s="154" t="s">
        <v>66</v>
      </c>
      <c r="Q304" s="154" t="s">
        <v>66</v>
      </c>
      <c r="R304" s="154" t="s">
        <v>66</v>
      </c>
      <c r="S304" s="154" t="s">
        <v>66</v>
      </c>
      <c r="T304" s="154" t="s">
        <v>60</v>
      </c>
      <c r="U304" s="154" t="s">
        <v>60</v>
      </c>
      <c r="V304" s="154" t="s">
        <v>66</v>
      </c>
      <c r="W304" s="154" t="s">
        <v>66</v>
      </c>
      <c r="X304" s="154" t="s">
        <v>66</v>
      </c>
      <c r="Y304" s="154"/>
      <c r="Z304" s="242" t="b">
        <f t="shared" si="2"/>
        <v>1</v>
      </c>
      <c r="AA304" s="154" t="s">
        <v>391</v>
      </c>
      <c r="AB304" s="242" t="b">
        <f t="shared" si="3"/>
        <v>0</v>
      </c>
      <c r="AC304" s="154"/>
      <c r="AD304" s="242" t="b">
        <f t="shared" si="4"/>
        <v>0</v>
      </c>
      <c r="AE304" s="154" t="s">
        <v>686</v>
      </c>
      <c r="AF304" s="242" t="str">
        <f>IF(AE304="","N/A",INDIRECT("MTR!"&amp;ADDRESS(MATCH(LEFT(AE304,9),MTR!C:C,0),COLUMN(J304)),TRUE) &amp; "")</f>
        <v>Partially Complies</v>
      </c>
      <c r="AG304" s="157" t="str">
        <f t="shared" si="5"/>
        <v/>
      </c>
      <c r="AH304" s="170"/>
      <c r="AI304" s="152"/>
      <c r="AJ304" s="152"/>
      <c r="AK304" s="152"/>
      <c r="AL304" s="152"/>
      <c r="AM304" s="152"/>
      <c r="AN304" s="152"/>
      <c r="AO304" s="152"/>
      <c r="AP304" s="152"/>
      <c r="AQ304" s="152"/>
      <c r="AR304" s="152"/>
    </row>
    <row r="305" ht="12.75" customHeight="1">
      <c r="A305" s="244" t="s">
        <v>5158</v>
      </c>
      <c r="B305" s="244" t="s">
        <v>5725</v>
      </c>
      <c r="C305" s="255" t="s">
        <v>6748</v>
      </c>
      <c r="D305" s="256" t="s">
        <v>42</v>
      </c>
      <c r="E305" s="154" t="s">
        <v>489</v>
      </c>
      <c r="F305" s="154" t="str">
        <f t="array" ref="F305">XLOOKUP(Cover!$D$12,$P$1:$X$1,$P305:$X305)</f>
        <v>Mandatory</v>
      </c>
      <c r="G305" s="154" t="s">
        <v>6749</v>
      </c>
      <c r="H305" s="154" t="s">
        <v>6750</v>
      </c>
      <c r="I305" s="154" t="s">
        <v>6751</v>
      </c>
      <c r="J305" s="154" t="s">
        <v>6731</v>
      </c>
      <c r="K305" s="154"/>
      <c r="L305" s="154" t="s">
        <v>759</v>
      </c>
      <c r="M305" s="247" t="s">
        <v>506</v>
      </c>
      <c r="N305" s="247" t="s">
        <v>6722</v>
      </c>
      <c r="O305" s="240" t="str">
        <f t="shared" si="1"/>
        <v/>
      </c>
      <c r="P305" s="154" t="s">
        <v>66</v>
      </c>
      <c r="Q305" s="154" t="s">
        <v>66</v>
      </c>
      <c r="R305" s="154" t="s">
        <v>66</v>
      </c>
      <c r="S305" s="154" t="s">
        <v>66</v>
      </c>
      <c r="T305" s="154" t="s">
        <v>60</v>
      </c>
      <c r="U305" s="154" t="s">
        <v>60</v>
      </c>
      <c r="V305" s="154" t="s">
        <v>66</v>
      </c>
      <c r="W305" s="154" t="s">
        <v>66</v>
      </c>
      <c r="X305" s="154" t="s">
        <v>66</v>
      </c>
      <c r="Y305" s="154"/>
      <c r="Z305" s="242" t="b">
        <f t="shared" si="2"/>
        <v>1</v>
      </c>
      <c r="AA305" s="154" t="s">
        <v>391</v>
      </c>
      <c r="AB305" s="242" t="b">
        <f t="shared" si="3"/>
        <v>0</v>
      </c>
      <c r="AC305" s="154"/>
      <c r="AD305" s="242" t="b">
        <f t="shared" si="4"/>
        <v>0</v>
      </c>
      <c r="AE305" s="154" t="s">
        <v>693</v>
      </c>
      <c r="AF305" s="242" t="str">
        <f>IF(AE305="","N/A",INDIRECT("MTR!"&amp;ADDRESS(MATCH(LEFT(AE305,9),MTR!C:C,0),COLUMN(J305)),TRUE) &amp; "")</f>
        <v>Partially Complies</v>
      </c>
      <c r="AG305" s="157" t="str">
        <f t="shared" si="5"/>
        <v/>
      </c>
      <c r="AH305" s="170"/>
      <c r="AI305" s="152"/>
      <c r="AJ305" s="152"/>
      <c r="AK305" s="152"/>
      <c r="AL305" s="152"/>
      <c r="AM305" s="152"/>
      <c r="AN305" s="152"/>
      <c r="AO305" s="152"/>
      <c r="AP305" s="152"/>
      <c r="AQ305" s="152"/>
      <c r="AR305" s="152"/>
    </row>
    <row r="306" ht="12.75" customHeight="1">
      <c r="A306" s="288"/>
      <c r="B306" s="288"/>
      <c r="C306" s="288"/>
      <c r="D306" s="152"/>
      <c r="E306" s="289"/>
      <c r="F306" s="288"/>
      <c r="G306" s="152"/>
      <c r="H306" s="152"/>
      <c r="I306" s="152"/>
      <c r="J306" s="152"/>
      <c r="K306" s="289"/>
      <c r="L306" s="289"/>
      <c r="M306" s="152"/>
      <c r="N306" s="152"/>
      <c r="O306" s="156"/>
      <c r="P306" s="152"/>
      <c r="Q306" s="152"/>
      <c r="R306" s="152"/>
      <c r="S306" s="152"/>
      <c r="T306" s="152"/>
      <c r="U306" s="152"/>
      <c r="V306" s="152"/>
      <c r="W306" s="152"/>
      <c r="X306" s="152"/>
      <c r="Y306" s="152"/>
      <c r="Z306" s="281"/>
      <c r="AA306" s="281"/>
      <c r="AB306" s="281"/>
      <c r="AC306" s="281"/>
      <c r="AD306" s="281"/>
      <c r="AE306" s="281"/>
      <c r="AF306" s="281"/>
      <c r="AG306" s="170"/>
      <c r="AH306" s="152"/>
      <c r="AI306" s="152"/>
      <c r="AJ306" s="152"/>
      <c r="AK306" s="152"/>
      <c r="AL306" s="152"/>
      <c r="AM306" s="152"/>
      <c r="AN306" s="152"/>
      <c r="AO306" s="152"/>
      <c r="AP306" s="152"/>
      <c r="AQ306" s="152"/>
      <c r="AR306" s="152"/>
    </row>
    <row r="307" ht="12.75" customHeight="1">
      <c r="A307" s="288"/>
      <c r="B307" s="288"/>
      <c r="C307" s="288"/>
      <c r="D307" s="152"/>
      <c r="E307" s="289"/>
      <c r="F307" s="288"/>
      <c r="G307" s="152"/>
      <c r="H307" s="152"/>
      <c r="I307" s="152"/>
      <c r="J307" s="152"/>
      <c r="K307" s="289"/>
      <c r="L307" s="289"/>
      <c r="M307" s="152"/>
      <c r="N307" s="152"/>
      <c r="O307" s="156"/>
      <c r="P307" s="152"/>
      <c r="Q307" s="152"/>
      <c r="R307" s="152"/>
      <c r="S307" s="152"/>
      <c r="T307" s="152"/>
      <c r="U307" s="152"/>
      <c r="V307" s="152"/>
      <c r="W307" s="152"/>
      <c r="X307" s="152"/>
      <c r="Y307" s="152"/>
      <c r="Z307" s="281"/>
      <c r="AA307" s="281"/>
      <c r="AB307" s="281"/>
      <c r="AC307" s="281"/>
      <c r="AD307" s="281"/>
      <c r="AE307" s="281"/>
      <c r="AF307" s="281"/>
      <c r="AG307" s="170"/>
      <c r="AH307" s="152"/>
      <c r="AI307" s="152"/>
      <c r="AJ307" s="152"/>
      <c r="AK307" s="152"/>
      <c r="AL307" s="152"/>
      <c r="AM307" s="152"/>
      <c r="AN307" s="152"/>
      <c r="AO307" s="152"/>
      <c r="AP307" s="152"/>
      <c r="AQ307" s="152"/>
      <c r="AR307" s="152"/>
    </row>
    <row r="308" ht="12.75" customHeight="1">
      <c r="A308" s="288"/>
      <c r="B308" s="288"/>
      <c r="C308" s="288"/>
      <c r="D308" s="152"/>
      <c r="E308" s="289"/>
      <c r="F308" s="288"/>
      <c r="G308" s="152"/>
      <c r="H308" s="152"/>
      <c r="I308" s="152"/>
      <c r="J308" s="152"/>
      <c r="K308" s="289"/>
      <c r="L308" s="289"/>
      <c r="M308" s="152"/>
      <c r="N308" s="152"/>
      <c r="O308" s="156"/>
      <c r="P308" s="152"/>
      <c r="Q308" s="152"/>
      <c r="R308" s="152"/>
      <c r="S308" s="152"/>
      <c r="T308" s="152"/>
      <c r="U308" s="152"/>
      <c r="V308" s="152"/>
      <c r="W308" s="152"/>
      <c r="X308" s="152"/>
      <c r="Y308" s="152"/>
      <c r="Z308" s="281"/>
      <c r="AA308" s="281"/>
      <c r="AB308" s="281"/>
      <c r="AC308" s="281"/>
      <c r="AD308" s="281"/>
      <c r="AE308" s="281"/>
      <c r="AF308" s="281"/>
      <c r="AG308" s="170"/>
      <c r="AH308" s="152"/>
      <c r="AI308" s="152"/>
      <c r="AJ308" s="152"/>
      <c r="AK308" s="152"/>
      <c r="AL308" s="152"/>
      <c r="AM308" s="152"/>
      <c r="AN308" s="152"/>
      <c r="AO308" s="152"/>
      <c r="AP308" s="152"/>
      <c r="AQ308" s="152"/>
      <c r="AR308" s="152"/>
    </row>
    <row r="309" ht="12.75" customHeight="1">
      <c r="A309" s="288"/>
      <c r="B309" s="288"/>
      <c r="C309" s="288"/>
      <c r="D309" s="152"/>
      <c r="E309" s="289"/>
      <c r="F309" s="288"/>
      <c r="G309" s="152"/>
      <c r="H309" s="152"/>
      <c r="I309" s="152"/>
      <c r="J309" s="152"/>
      <c r="K309" s="289"/>
      <c r="L309" s="289"/>
      <c r="M309" s="152"/>
      <c r="N309" s="152"/>
      <c r="O309" s="156"/>
      <c r="P309" s="152"/>
      <c r="Q309" s="152"/>
      <c r="R309" s="152"/>
      <c r="S309" s="152"/>
      <c r="T309" s="152"/>
      <c r="U309" s="152"/>
      <c r="V309" s="152"/>
      <c r="W309" s="152"/>
      <c r="X309" s="152"/>
      <c r="Y309" s="152"/>
      <c r="Z309" s="281"/>
      <c r="AA309" s="281"/>
      <c r="AB309" s="281"/>
      <c r="AC309" s="281"/>
      <c r="AD309" s="281"/>
      <c r="AE309" s="281"/>
      <c r="AF309" s="281"/>
      <c r="AG309" s="170"/>
      <c r="AH309" s="152"/>
      <c r="AI309" s="152"/>
      <c r="AJ309" s="152"/>
      <c r="AK309" s="152"/>
      <c r="AL309" s="152"/>
      <c r="AM309" s="152"/>
      <c r="AN309" s="152"/>
      <c r="AO309" s="152"/>
      <c r="AP309" s="152"/>
      <c r="AQ309" s="152"/>
      <c r="AR309" s="152"/>
    </row>
    <row r="310" ht="12.75" customHeight="1">
      <c r="A310" s="288"/>
      <c r="B310" s="288"/>
      <c r="C310" s="288"/>
      <c r="D310" s="152"/>
      <c r="E310" s="289"/>
      <c r="F310" s="288"/>
      <c r="G310" s="152"/>
      <c r="H310" s="152"/>
      <c r="I310" s="152"/>
      <c r="J310" s="152"/>
      <c r="K310" s="289"/>
      <c r="L310" s="289"/>
      <c r="M310" s="152"/>
      <c r="N310" s="152"/>
      <c r="O310" s="156"/>
      <c r="P310" s="152"/>
      <c r="Q310" s="152"/>
      <c r="R310" s="152"/>
      <c r="S310" s="152"/>
      <c r="T310" s="152"/>
      <c r="U310" s="152"/>
      <c r="V310" s="152"/>
      <c r="W310" s="152"/>
      <c r="X310" s="152"/>
      <c r="Y310" s="152"/>
      <c r="Z310" s="281"/>
      <c r="AA310" s="281"/>
      <c r="AB310" s="281"/>
      <c r="AC310" s="281"/>
      <c r="AD310" s="281"/>
      <c r="AE310" s="281"/>
      <c r="AF310" s="281"/>
      <c r="AG310" s="170"/>
      <c r="AH310" s="152"/>
      <c r="AI310" s="152"/>
      <c r="AJ310" s="152"/>
      <c r="AK310" s="152"/>
      <c r="AL310" s="152"/>
      <c r="AM310" s="152"/>
      <c r="AN310" s="152"/>
      <c r="AO310" s="152"/>
      <c r="AP310" s="152"/>
      <c r="AQ310" s="152"/>
      <c r="AR310" s="152"/>
    </row>
    <row r="311" ht="12.75" customHeight="1">
      <c r="A311" s="288"/>
      <c r="B311" s="288"/>
      <c r="C311" s="288"/>
      <c r="D311" s="152"/>
      <c r="E311" s="289"/>
      <c r="F311" s="288"/>
      <c r="G311" s="152"/>
      <c r="H311" s="152"/>
      <c r="I311" s="152"/>
      <c r="J311" s="152"/>
      <c r="K311" s="289"/>
      <c r="L311" s="289"/>
      <c r="M311" s="152"/>
      <c r="N311" s="152"/>
      <c r="O311" s="156"/>
      <c r="P311" s="152"/>
      <c r="Q311" s="152"/>
      <c r="R311" s="152"/>
      <c r="S311" s="152"/>
      <c r="T311" s="152"/>
      <c r="U311" s="152"/>
      <c r="V311" s="152"/>
      <c r="W311" s="152"/>
      <c r="X311" s="152"/>
      <c r="Y311" s="152"/>
      <c r="Z311" s="281"/>
      <c r="AA311" s="281"/>
      <c r="AB311" s="281"/>
      <c r="AC311" s="281"/>
      <c r="AD311" s="281"/>
      <c r="AE311" s="281"/>
      <c r="AF311" s="281"/>
      <c r="AG311" s="170"/>
      <c r="AH311" s="152"/>
      <c r="AI311" s="152"/>
      <c r="AJ311" s="152"/>
      <c r="AK311" s="152"/>
      <c r="AL311" s="152"/>
      <c r="AM311" s="152"/>
      <c r="AN311" s="152"/>
      <c r="AO311" s="152"/>
      <c r="AP311" s="152"/>
      <c r="AQ311" s="152"/>
      <c r="AR311" s="152"/>
    </row>
    <row r="312" ht="12.75" customHeight="1">
      <c r="A312" s="288"/>
      <c r="B312" s="288"/>
      <c r="C312" s="288"/>
      <c r="D312" s="152"/>
      <c r="E312" s="289"/>
      <c r="F312" s="288"/>
      <c r="G312" s="152"/>
      <c r="H312" s="152"/>
      <c r="I312" s="152"/>
      <c r="J312" s="152"/>
      <c r="K312" s="289"/>
      <c r="L312" s="289"/>
      <c r="M312" s="152"/>
      <c r="N312" s="152"/>
      <c r="O312" s="156"/>
      <c r="P312" s="152"/>
      <c r="Q312" s="152"/>
      <c r="R312" s="152"/>
      <c r="S312" s="152"/>
      <c r="T312" s="152"/>
      <c r="U312" s="152"/>
      <c r="V312" s="152"/>
      <c r="W312" s="152"/>
      <c r="X312" s="152"/>
      <c r="Y312" s="152"/>
      <c r="Z312" s="281"/>
      <c r="AA312" s="281"/>
      <c r="AB312" s="281"/>
      <c r="AC312" s="281"/>
      <c r="AD312" s="281"/>
      <c r="AE312" s="281"/>
      <c r="AF312" s="281"/>
      <c r="AG312" s="170"/>
      <c r="AH312" s="152"/>
      <c r="AI312" s="152"/>
      <c r="AJ312" s="152"/>
      <c r="AK312" s="152"/>
      <c r="AL312" s="152"/>
      <c r="AM312" s="152"/>
      <c r="AN312" s="152"/>
      <c r="AO312" s="152"/>
      <c r="AP312" s="152"/>
      <c r="AQ312" s="152"/>
      <c r="AR312" s="152"/>
    </row>
    <row r="313" ht="12.75" customHeight="1">
      <c r="A313" s="288"/>
      <c r="B313" s="288"/>
      <c r="C313" s="288"/>
      <c r="D313" s="152"/>
      <c r="E313" s="289"/>
      <c r="F313" s="288"/>
      <c r="G313" s="152"/>
      <c r="H313" s="152"/>
      <c r="I313" s="152"/>
      <c r="J313" s="152"/>
      <c r="K313" s="289"/>
      <c r="L313" s="289"/>
      <c r="M313" s="152"/>
      <c r="N313" s="152"/>
      <c r="O313" s="156"/>
      <c r="P313" s="152"/>
      <c r="Q313" s="152"/>
      <c r="R313" s="152"/>
      <c r="S313" s="152"/>
      <c r="T313" s="152"/>
      <c r="U313" s="152"/>
      <c r="V313" s="152"/>
      <c r="W313" s="152"/>
      <c r="X313" s="152"/>
      <c r="Y313" s="152"/>
      <c r="Z313" s="281"/>
      <c r="AA313" s="281"/>
      <c r="AB313" s="281"/>
      <c r="AC313" s="281"/>
      <c r="AD313" s="281"/>
      <c r="AE313" s="281"/>
      <c r="AF313" s="281"/>
      <c r="AG313" s="170"/>
      <c r="AH313" s="152"/>
      <c r="AI313" s="152"/>
      <c r="AJ313" s="152"/>
      <c r="AK313" s="152"/>
      <c r="AL313" s="152"/>
      <c r="AM313" s="152"/>
      <c r="AN313" s="152"/>
      <c r="AO313" s="152"/>
      <c r="AP313" s="152"/>
      <c r="AQ313" s="152"/>
      <c r="AR313" s="152"/>
    </row>
    <row r="314" ht="12.75" customHeight="1">
      <c r="A314" s="288"/>
      <c r="B314" s="288"/>
      <c r="C314" s="288"/>
      <c r="D314" s="152"/>
      <c r="E314" s="289"/>
      <c r="F314" s="288"/>
      <c r="G314" s="152"/>
      <c r="H314" s="152"/>
      <c r="I314" s="152"/>
      <c r="J314" s="152"/>
      <c r="K314" s="289"/>
      <c r="L314" s="289"/>
      <c r="M314" s="152"/>
      <c r="N314" s="152"/>
      <c r="O314" s="156"/>
      <c r="P314" s="152"/>
      <c r="Q314" s="152"/>
      <c r="R314" s="152"/>
      <c r="S314" s="152"/>
      <c r="T314" s="152"/>
      <c r="U314" s="152"/>
      <c r="V314" s="152"/>
      <c r="W314" s="152"/>
      <c r="X314" s="152"/>
      <c r="Y314" s="152"/>
      <c r="Z314" s="281"/>
      <c r="AA314" s="281"/>
      <c r="AB314" s="281"/>
      <c r="AC314" s="281"/>
      <c r="AD314" s="281"/>
      <c r="AE314" s="281"/>
      <c r="AF314" s="281"/>
      <c r="AG314" s="170"/>
      <c r="AH314" s="152"/>
      <c r="AI314" s="152"/>
      <c r="AJ314" s="152"/>
      <c r="AK314" s="152"/>
      <c r="AL314" s="152"/>
      <c r="AM314" s="152"/>
      <c r="AN314" s="152"/>
      <c r="AO314" s="152"/>
      <c r="AP314" s="152"/>
      <c r="AQ314" s="152"/>
      <c r="AR314" s="152"/>
    </row>
    <row r="315" ht="12.75" customHeight="1">
      <c r="A315" s="288"/>
      <c r="B315" s="288"/>
      <c r="C315" s="288"/>
      <c r="D315" s="152"/>
      <c r="E315" s="289"/>
      <c r="F315" s="288"/>
      <c r="G315" s="152"/>
      <c r="H315" s="152"/>
      <c r="I315" s="152"/>
      <c r="J315" s="152"/>
      <c r="K315" s="289"/>
      <c r="L315" s="289"/>
      <c r="M315" s="152"/>
      <c r="N315" s="152"/>
      <c r="O315" s="156"/>
      <c r="P315" s="152"/>
      <c r="Q315" s="152"/>
      <c r="R315" s="152"/>
      <c r="S315" s="152"/>
      <c r="T315" s="152"/>
      <c r="U315" s="152"/>
      <c r="V315" s="152"/>
      <c r="W315" s="152"/>
      <c r="X315" s="152"/>
      <c r="Y315" s="152"/>
      <c r="Z315" s="281"/>
      <c r="AA315" s="281"/>
      <c r="AB315" s="281"/>
      <c r="AC315" s="281"/>
      <c r="AD315" s="281"/>
      <c r="AE315" s="281"/>
      <c r="AF315" s="281"/>
      <c r="AG315" s="170"/>
      <c r="AH315" s="152"/>
      <c r="AI315" s="152"/>
      <c r="AJ315" s="152"/>
      <c r="AK315" s="152"/>
      <c r="AL315" s="152"/>
      <c r="AM315" s="152"/>
      <c r="AN315" s="152"/>
      <c r="AO315" s="152"/>
      <c r="AP315" s="152"/>
      <c r="AQ315" s="152"/>
      <c r="AR315" s="152"/>
    </row>
    <row r="316" ht="12.75" customHeight="1">
      <c r="A316" s="288"/>
      <c r="B316" s="288"/>
      <c r="C316" s="288"/>
      <c r="D316" s="152"/>
      <c r="E316" s="289"/>
      <c r="F316" s="288"/>
      <c r="G316" s="152"/>
      <c r="H316" s="152"/>
      <c r="I316" s="152"/>
      <c r="J316" s="152"/>
      <c r="K316" s="289"/>
      <c r="L316" s="289"/>
      <c r="M316" s="152"/>
      <c r="N316" s="152"/>
      <c r="O316" s="156"/>
      <c r="P316" s="152"/>
      <c r="Q316" s="152"/>
      <c r="R316" s="152"/>
      <c r="S316" s="152"/>
      <c r="T316" s="152"/>
      <c r="U316" s="152"/>
      <c r="V316" s="152"/>
      <c r="W316" s="152"/>
      <c r="X316" s="152"/>
      <c r="Y316" s="152"/>
      <c r="Z316" s="281"/>
      <c r="AA316" s="281"/>
      <c r="AB316" s="281"/>
      <c r="AC316" s="281"/>
      <c r="AD316" s="281"/>
      <c r="AE316" s="281"/>
      <c r="AF316" s="281"/>
      <c r="AG316" s="170"/>
      <c r="AH316" s="152"/>
      <c r="AI316" s="152"/>
      <c r="AJ316" s="152"/>
      <c r="AK316" s="152"/>
      <c r="AL316" s="152"/>
      <c r="AM316" s="152"/>
      <c r="AN316" s="152"/>
      <c r="AO316" s="152"/>
      <c r="AP316" s="152"/>
      <c r="AQ316" s="152"/>
      <c r="AR316" s="152"/>
    </row>
    <row r="317" ht="12.75" customHeight="1">
      <c r="A317" s="288"/>
      <c r="B317" s="288"/>
      <c r="C317" s="288"/>
      <c r="D317" s="152"/>
      <c r="E317" s="289"/>
      <c r="F317" s="288"/>
      <c r="G317" s="152"/>
      <c r="H317" s="152"/>
      <c r="I317" s="152"/>
      <c r="J317" s="152"/>
      <c r="K317" s="289"/>
      <c r="L317" s="289"/>
      <c r="M317" s="152"/>
      <c r="N317" s="152"/>
      <c r="O317" s="156"/>
      <c r="P317" s="152"/>
      <c r="Q317" s="152"/>
      <c r="R317" s="152"/>
      <c r="S317" s="152"/>
      <c r="T317" s="152"/>
      <c r="U317" s="152"/>
      <c r="V317" s="152"/>
      <c r="W317" s="152"/>
      <c r="X317" s="152"/>
      <c r="Y317" s="152"/>
      <c r="Z317" s="281"/>
      <c r="AA317" s="281"/>
      <c r="AB317" s="281"/>
      <c r="AC317" s="281"/>
      <c r="AD317" s="281"/>
      <c r="AE317" s="281"/>
      <c r="AF317" s="281"/>
      <c r="AG317" s="170"/>
      <c r="AH317" s="152"/>
      <c r="AI317" s="152"/>
      <c r="AJ317" s="152"/>
      <c r="AK317" s="152"/>
      <c r="AL317" s="152"/>
      <c r="AM317" s="152"/>
      <c r="AN317" s="152"/>
      <c r="AO317" s="152"/>
      <c r="AP317" s="152"/>
      <c r="AQ317" s="152"/>
      <c r="AR317" s="152"/>
    </row>
    <row r="318" ht="12.75" customHeight="1">
      <c r="A318" s="288"/>
      <c r="B318" s="288"/>
      <c r="C318" s="288"/>
      <c r="D318" s="152"/>
      <c r="E318" s="289"/>
      <c r="F318" s="288"/>
      <c r="G318" s="152"/>
      <c r="H318" s="152"/>
      <c r="I318" s="152"/>
      <c r="J318" s="152"/>
      <c r="K318" s="289"/>
      <c r="L318" s="289"/>
      <c r="M318" s="152"/>
      <c r="N318" s="152"/>
      <c r="O318" s="156"/>
      <c r="P318" s="152"/>
      <c r="Q318" s="152"/>
      <c r="R318" s="152"/>
      <c r="S318" s="152"/>
      <c r="T318" s="152"/>
      <c r="U318" s="152"/>
      <c r="V318" s="152"/>
      <c r="W318" s="152"/>
      <c r="X318" s="152"/>
      <c r="Y318" s="152"/>
      <c r="Z318" s="281"/>
      <c r="AA318" s="281"/>
      <c r="AB318" s="281"/>
      <c r="AC318" s="281"/>
      <c r="AD318" s="281"/>
      <c r="AE318" s="281"/>
      <c r="AF318" s="281"/>
      <c r="AG318" s="170"/>
      <c r="AH318" s="152"/>
      <c r="AI318" s="152"/>
      <c r="AJ318" s="152"/>
      <c r="AK318" s="152"/>
      <c r="AL318" s="152"/>
      <c r="AM318" s="152"/>
      <c r="AN318" s="152"/>
      <c r="AO318" s="152"/>
      <c r="AP318" s="152"/>
      <c r="AQ318" s="152"/>
      <c r="AR318" s="152"/>
    </row>
    <row r="319" ht="12.75" customHeight="1">
      <c r="A319" s="288"/>
      <c r="B319" s="288"/>
      <c r="C319" s="288"/>
      <c r="D319" s="152"/>
      <c r="E319" s="289"/>
      <c r="F319" s="288"/>
      <c r="G319" s="152"/>
      <c r="H319" s="152"/>
      <c r="I319" s="152"/>
      <c r="J319" s="152"/>
      <c r="K319" s="289"/>
      <c r="L319" s="289"/>
      <c r="M319" s="152"/>
      <c r="N319" s="152"/>
      <c r="O319" s="156"/>
      <c r="P319" s="152"/>
      <c r="Q319" s="152"/>
      <c r="R319" s="152"/>
      <c r="S319" s="152"/>
      <c r="T319" s="152"/>
      <c r="U319" s="152"/>
      <c r="V319" s="152"/>
      <c r="W319" s="152"/>
      <c r="X319" s="152"/>
      <c r="Y319" s="152"/>
      <c r="Z319" s="281"/>
      <c r="AA319" s="281"/>
      <c r="AB319" s="281"/>
      <c r="AC319" s="281"/>
      <c r="AD319" s="281"/>
      <c r="AE319" s="281"/>
      <c r="AF319" s="281"/>
      <c r="AG319" s="170"/>
      <c r="AH319" s="152"/>
      <c r="AI319" s="152"/>
      <c r="AJ319" s="152"/>
      <c r="AK319" s="152"/>
      <c r="AL319" s="152"/>
      <c r="AM319" s="152"/>
      <c r="AN319" s="152"/>
      <c r="AO319" s="152"/>
      <c r="AP319" s="152"/>
      <c r="AQ319" s="152"/>
      <c r="AR319" s="152"/>
    </row>
    <row r="320" ht="12.75" customHeight="1">
      <c r="A320" s="288"/>
      <c r="B320" s="288"/>
      <c r="C320" s="288"/>
      <c r="D320" s="152"/>
      <c r="E320" s="289"/>
      <c r="F320" s="288"/>
      <c r="G320" s="152"/>
      <c r="H320" s="152"/>
      <c r="I320" s="152"/>
      <c r="J320" s="152"/>
      <c r="K320" s="289"/>
      <c r="L320" s="289"/>
      <c r="M320" s="152"/>
      <c r="N320" s="152"/>
      <c r="O320" s="156"/>
      <c r="P320" s="152"/>
      <c r="Q320" s="152"/>
      <c r="R320" s="152"/>
      <c r="S320" s="152"/>
      <c r="T320" s="152"/>
      <c r="U320" s="152"/>
      <c r="V320" s="152"/>
      <c r="W320" s="152"/>
      <c r="X320" s="152"/>
      <c r="Y320" s="152"/>
      <c r="Z320" s="281"/>
      <c r="AA320" s="281"/>
      <c r="AB320" s="281"/>
      <c r="AC320" s="281"/>
      <c r="AD320" s="281"/>
      <c r="AE320" s="281"/>
      <c r="AF320" s="281"/>
      <c r="AG320" s="170"/>
      <c r="AH320" s="152"/>
      <c r="AI320" s="152"/>
      <c r="AJ320" s="152"/>
      <c r="AK320" s="152"/>
      <c r="AL320" s="152"/>
      <c r="AM320" s="152"/>
      <c r="AN320" s="152"/>
      <c r="AO320" s="152"/>
      <c r="AP320" s="152"/>
      <c r="AQ320" s="152"/>
      <c r="AR320" s="152"/>
    </row>
    <row r="321" ht="12.75" customHeight="1">
      <c r="A321" s="288"/>
      <c r="B321" s="288"/>
      <c r="C321" s="288"/>
      <c r="D321" s="152"/>
      <c r="E321" s="289"/>
      <c r="F321" s="288"/>
      <c r="G321" s="152"/>
      <c r="H321" s="152"/>
      <c r="I321" s="152"/>
      <c r="J321" s="152"/>
      <c r="K321" s="289"/>
      <c r="L321" s="289"/>
      <c r="M321" s="152"/>
      <c r="N321" s="152"/>
      <c r="O321" s="156"/>
      <c r="P321" s="152"/>
      <c r="Q321" s="152"/>
      <c r="R321" s="152"/>
      <c r="S321" s="152"/>
      <c r="T321" s="152"/>
      <c r="U321" s="152"/>
      <c r="V321" s="152"/>
      <c r="W321" s="152"/>
      <c r="X321" s="152"/>
      <c r="Y321" s="152"/>
      <c r="Z321" s="281"/>
      <c r="AA321" s="281"/>
      <c r="AB321" s="281"/>
      <c r="AC321" s="281"/>
      <c r="AD321" s="281"/>
      <c r="AE321" s="281"/>
      <c r="AF321" s="281"/>
      <c r="AG321" s="170"/>
      <c r="AH321" s="152"/>
      <c r="AI321" s="152"/>
      <c r="AJ321" s="152"/>
      <c r="AK321" s="152"/>
      <c r="AL321" s="152"/>
      <c r="AM321" s="152"/>
      <c r="AN321" s="152"/>
      <c r="AO321" s="152"/>
      <c r="AP321" s="152"/>
      <c r="AQ321" s="152"/>
      <c r="AR321" s="152"/>
    </row>
    <row r="322" ht="12.75" customHeight="1">
      <c r="A322" s="288"/>
      <c r="B322" s="288"/>
      <c r="C322" s="288"/>
      <c r="D322" s="152"/>
      <c r="E322" s="289"/>
      <c r="F322" s="288"/>
      <c r="G322" s="152"/>
      <c r="H322" s="152"/>
      <c r="I322" s="152"/>
      <c r="J322" s="152"/>
      <c r="K322" s="289"/>
      <c r="L322" s="289"/>
      <c r="M322" s="152"/>
      <c r="N322" s="152"/>
      <c r="O322" s="156"/>
      <c r="P322" s="152"/>
      <c r="Q322" s="152"/>
      <c r="R322" s="152"/>
      <c r="S322" s="152"/>
      <c r="T322" s="152"/>
      <c r="U322" s="152"/>
      <c r="V322" s="152"/>
      <c r="W322" s="152"/>
      <c r="X322" s="152"/>
      <c r="Y322" s="152"/>
      <c r="Z322" s="281"/>
      <c r="AA322" s="281"/>
      <c r="AB322" s="281"/>
      <c r="AC322" s="281"/>
      <c r="AD322" s="281"/>
      <c r="AE322" s="281"/>
      <c r="AF322" s="281"/>
      <c r="AG322" s="170"/>
      <c r="AH322" s="152"/>
      <c r="AI322" s="152"/>
      <c r="AJ322" s="152"/>
      <c r="AK322" s="152"/>
      <c r="AL322" s="152"/>
      <c r="AM322" s="152"/>
      <c r="AN322" s="152"/>
      <c r="AO322" s="152"/>
      <c r="AP322" s="152"/>
      <c r="AQ322" s="152"/>
      <c r="AR322" s="152"/>
    </row>
    <row r="323" ht="12.75" customHeight="1">
      <c r="A323" s="288"/>
      <c r="B323" s="288"/>
      <c r="C323" s="288"/>
      <c r="D323" s="152"/>
      <c r="E323" s="289"/>
      <c r="F323" s="288"/>
      <c r="G323" s="152"/>
      <c r="H323" s="152"/>
      <c r="I323" s="152"/>
      <c r="J323" s="152"/>
      <c r="K323" s="289"/>
      <c r="L323" s="289"/>
      <c r="M323" s="152"/>
      <c r="N323" s="152"/>
      <c r="O323" s="156"/>
      <c r="P323" s="152"/>
      <c r="Q323" s="152"/>
      <c r="R323" s="152"/>
      <c r="S323" s="152"/>
      <c r="T323" s="152"/>
      <c r="U323" s="152"/>
      <c r="V323" s="152"/>
      <c r="W323" s="152"/>
      <c r="X323" s="152"/>
      <c r="Y323" s="152"/>
      <c r="Z323" s="281"/>
      <c r="AA323" s="281"/>
      <c r="AB323" s="281"/>
      <c r="AC323" s="281"/>
      <c r="AD323" s="281"/>
      <c r="AE323" s="281"/>
      <c r="AF323" s="281"/>
      <c r="AG323" s="170"/>
      <c r="AH323" s="152"/>
      <c r="AI323" s="152"/>
      <c r="AJ323" s="152"/>
      <c r="AK323" s="152"/>
      <c r="AL323" s="152"/>
      <c r="AM323" s="152"/>
      <c r="AN323" s="152"/>
      <c r="AO323" s="152"/>
      <c r="AP323" s="152"/>
      <c r="AQ323" s="152"/>
      <c r="AR323" s="152"/>
    </row>
    <row r="324" ht="12.75" customHeight="1">
      <c r="A324" s="288"/>
      <c r="B324" s="288"/>
      <c r="C324" s="288"/>
      <c r="D324" s="152"/>
      <c r="E324" s="289"/>
      <c r="F324" s="288"/>
      <c r="G324" s="152"/>
      <c r="H324" s="152"/>
      <c r="I324" s="152"/>
      <c r="J324" s="152"/>
      <c r="K324" s="289"/>
      <c r="L324" s="289"/>
      <c r="M324" s="152"/>
      <c r="N324" s="152"/>
      <c r="O324" s="156"/>
      <c r="P324" s="152"/>
      <c r="Q324" s="152"/>
      <c r="R324" s="152"/>
      <c r="S324" s="152"/>
      <c r="T324" s="152"/>
      <c r="U324" s="152"/>
      <c r="V324" s="152"/>
      <c r="W324" s="152"/>
      <c r="X324" s="152"/>
      <c r="Y324" s="152"/>
      <c r="Z324" s="281"/>
      <c r="AA324" s="281"/>
      <c r="AB324" s="281"/>
      <c r="AC324" s="281"/>
      <c r="AD324" s="281"/>
      <c r="AE324" s="281"/>
      <c r="AF324" s="281"/>
      <c r="AG324" s="170"/>
      <c r="AH324" s="152"/>
      <c r="AI324" s="152"/>
      <c r="AJ324" s="152"/>
      <c r="AK324" s="152"/>
      <c r="AL324" s="152"/>
      <c r="AM324" s="152"/>
      <c r="AN324" s="152"/>
      <c r="AO324" s="152"/>
      <c r="AP324" s="152"/>
      <c r="AQ324" s="152"/>
      <c r="AR324" s="152"/>
    </row>
    <row r="325" ht="12.75" customHeight="1">
      <c r="A325" s="288"/>
      <c r="B325" s="288"/>
      <c r="C325" s="288"/>
      <c r="D325" s="152"/>
      <c r="E325" s="289"/>
      <c r="F325" s="288"/>
      <c r="G325" s="152"/>
      <c r="H325" s="152"/>
      <c r="I325" s="152"/>
      <c r="J325" s="152"/>
      <c r="K325" s="289"/>
      <c r="L325" s="289"/>
      <c r="M325" s="152"/>
      <c r="N325" s="152"/>
      <c r="O325" s="156"/>
      <c r="P325" s="152"/>
      <c r="Q325" s="152"/>
      <c r="R325" s="152"/>
      <c r="S325" s="152"/>
      <c r="T325" s="152"/>
      <c r="U325" s="152"/>
      <c r="V325" s="152"/>
      <c r="W325" s="152"/>
      <c r="X325" s="152"/>
      <c r="Y325" s="152"/>
      <c r="Z325" s="281"/>
      <c r="AA325" s="281"/>
      <c r="AB325" s="281"/>
      <c r="AC325" s="281"/>
      <c r="AD325" s="281"/>
      <c r="AE325" s="281"/>
      <c r="AF325" s="281"/>
      <c r="AG325" s="170"/>
      <c r="AH325" s="152"/>
      <c r="AI325" s="152"/>
      <c r="AJ325" s="152"/>
      <c r="AK325" s="152"/>
      <c r="AL325" s="152"/>
      <c r="AM325" s="152"/>
      <c r="AN325" s="152"/>
      <c r="AO325" s="152"/>
      <c r="AP325" s="152"/>
      <c r="AQ325" s="152"/>
      <c r="AR325" s="152"/>
    </row>
    <row r="326" ht="12.75" customHeight="1">
      <c r="A326" s="288"/>
      <c r="B326" s="288"/>
      <c r="C326" s="288"/>
      <c r="D326" s="152"/>
      <c r="E326" s="289"/>
      <c r="F326" s="288"/>
      <c r="G326" s="152"/>
      <c r="H326" s="152"/>
      <c r="I326" s="152"/>
      <c r="J326" s="152"/>
      <c r="K326" s="289"/>
      <c r="L326" s="289"/>
      <c r="M326" s="152"/>
      <c r="N326" s="152"/>
      <c r="O326" s="156"/>
      <c r="P326" s="152"/>
      <c r="Q326" s="152"/>
      <c r="R326" s="152"/>
      <c r="S326" s="152"/>
      <c r="T326" s="152"/>
      <c r="U326" s="152"/>
      <c r="V326" s="152"/>
      <c r="W326" s="152"/>
      <c r="X326" s="152"/>
      <c r="Y326" s="152"/>
      <c r="Z326" s="281"/>
      <c r="AA326" s="281"/>
      <c r="AB326" s="281"/>
      <c r="AC326" s="281"/>
      <c r="AD326" s="281"/>
      <c r="AE326" s="281"/>
      <c r="AF326" s="281"/>
      <c r="AG326" s="170"/>
      <c r="AH326" s="152"/>
      <c r="AI326" s="152"/>
      <c r="AJ326" s="152"/>
      <c r="AK326" s="152"/>
      <c r="AL326" s="152"/>
      <c r="AM326" s="152"/>
      <c r="AN326" s="152"/>
      <c r="AO326" s="152"/>
      <c r="AP326" s="152"/>
      <c r="AQ326" s="152"/>
      <c r="AR326" s="152"/>
    </row>
    <row r="327" ht="12.75" customHeight="1">
      <c r="A327" s="288"/>
      <c r="B327" s="288"/>
      <c r="C327" s="288"/>
      <c r="D327" s="152"/>
      <c r="E327" s="289"/>
      <c r="F327" s="288"/>
      <c r="G327" s="152"/>
      <c r="H327" s="152"/>
      <c r="I327" s="152"/>
      <c r="J327" s="152"/>
      <c r="K327" s="289"/>
      <c r="L327" s="289"/>
      <c r="M327" s="152"/>
      <c r="N327" s="152"/>
      <c r="O327" s="156"/>
      <c r="P327" s="152"/>
      <c r="Q327" s="152"/>
      <c r="R327" s="152"/>
      <c r="S327" s="152"/>
      <c r="T327" s="152"/>
      <c r="U327" s="152"/>
      <c r="V327" s="152"/>
      <c r="W327" s="152"/>
      <c r="X327" s="152"/>
      <c r="Y327" s="152"/>
      <c r="Z327" s="281"/>
      <c r="AA327" s="281"/>
      <c r="AB327" s="281"/>
      <c r="AC327" s="281"/>
      <c r="AD327" s="281"/>
      <c r="AE327" s="281"/>
      <c r="AF327" s="281"/>
      <c r="AG327" s="170"/>
      <c r="AH327" s="152"/>
      <c r="AI327" s="152"/>
      <c r="AJ327" s="152"/>
      <c r="AK327" s="152"/>
      <c r="AL327" s="152"/>
      <c r="AM327" s="152"/>
      <c r="AN327" s="152"/>
      <c r="AO327" s="152"/>
      <c r="AP327" s="152"/>
      <c r="AQ327" s="152"/>
      <c r="AR327" s="152"/>
    </row>
    <row r="328" ht="12.75" customHeight="1">
      <c r="A328" s="288"/>
      <c r="B328" s="288"/>
      <c r="C328" s="288"/>
      <c r="D328" s="152"/>
      <c r="E328" s="289"/>
      <c r="F328" s="288"/>
      <c r="G328" s="152"/>
      <c r="H328" s="152"/>
      <c r="I328" s="152"/>
      <c r="J328" s="152"/>
      <c r="K328" s="289"/>
      <c r="L328" s="289"/>
      <c r="M328" s="152"/>
      <c r="N328" s="152"/>
      <c r="O328" s="156"/>
      <c r="P328" s="152"/>
      <c r="Q328" s="152"/>
      <c r="R328" s="152"/>
      <c r="S328" s="152"/>
      <c r="T328" s="152"/>
      <c r="U328" s="152"/>
      <c r="V328" s="152"/>
      <c r="W328" s="152"/>
      <c r="X328" s="152"/>
      <c r="Y328" s="152"/>
      <c r="Z328" s="281"/>
      <c r="AA328" s="281"/>
      <c r="AB328" s="281"/>
      <c r="AC328" s="281"/>
      <c r="AD328" s="281"/>
      <c r="AE328" s="281"/>
      <c r="AF328" s="281"/>
      <c r="AG328" s="170"/>
      <c r="AH328" s="152"/>
      <c r="AI328" s="152"/>
      <c r="AJ328" s="152"/>
      <c r="AK328" s="152"/>
      <c r="AL328" s="152"/>
      <c r="AM328" s="152"/>
      <c r="AN328" s="152"/>
      <c r="AO328" s="152"/>
      <c r="AP328" s="152"/>
      <c r="AQ328" s="152"/>
      <c r="AR328" s="152"/>
    </row>
    <row r="329" ht="12.75" customHeight="1">
      <c r="A329" s="288"/>
      <c r="B329" s="288"/>
      <c r="C329" s="288"/>
      <c r="D329" s="152"/>
      <c r="E329" s="289"/>
      <c r="F329" s="288"/>
      <c r="G329" s="152"/>
      <c r="H329" s="152"/>
      <c r="I329" s="152"/>
      <c r="J329" s="152"/>
      <c r="K329" s="289"/>
      <c r="L329" s="289"/>
      <c r="M329" s="152"/>
      <c r="N329" s="152"/>
      <c r="O329" s="156"/>
      <c r="P329" s="152"/>
      <c r="Q329" s="152"/>
      <c r="R329" s="152"/>
      <c r="S329" s="152"/>
      <c r="T329" s="152"/>
      <c r="U329" s="152"/>
      <c r="V329" s="152"/>
      <c r="W329" s="152"/>
      <c r="X329" s="152"/>
      <c r="Y329" s="152"/>
      <c r="Z329" s="281"/>
      <c r="AA329" s="281"/>
      <c r="AB329" s="281"/>
      <c r="AC329" s="281"/>
      <c r="AD329" s="281"/>
      <c r="AE329" s="281"/>
      <c r="AF329" s="281"/>
      <c r="AG329" s="170"/>
      <c r="AH329" s="152"/>
      <c r="AI329" s="152"/>
      <c r="AJ329" s="152"/>
      <c r="AK329" s="152"/>
      <c r="AL329" s="152"/>
      <c r="AM329" s="152"/>
      <c r="AN329" s="152"/>
      <c r="AO329" s="152"/>
      <c r="AP329" s="152"/>
      <c r="AQ329" s="152"/>
      <c r="AR329" s="152"/>
    </row>
    <row r="330" ht="12.75" customHeight="1">
      <c r="A330" s="288"/>
      <c r="B330" s="288"/>
      <c r="C330" s="288"/>
      <c r="D330" s="152"/>
      <c r="E330" s="289"/>
      <c r="F330" s="288"/>
      <c r="G330" s="152"/>
      <c r="H330" s="152"/>
      <c r="I330" s="152"/>
      <c r="J330" s="152"/>
      <c r="K330" s="289"/>
      <c r="L330" s="289"/>
      <c r="M330" s="152"/>
      <c r="N330" s="152"/>
      <c r="O330" s="156"/>
      <c r="P330" s="152"/>
      <c r="Q330" s="152"/>
      <c r="R330" s="152"/>
      <c r="S330" s="152"/>
      <c r="T330" s="152"/>
      <c r="U330" s="152"/>
      <c r="V330" s="152"/>
      <c r="W330" s="152"/>
      <c r="X330" s="152"/>
      <c r="Y330" s="152"/>
      <c r="Z330" s="281"/>
      <c r="AA330" s="281"/>
      <c r="AB330" s="281"/>
      <c r="AC330" s="281"/>
      <c r="AD330" s="281"/>
      <c r="AE330" s="281"/>
      <c r="AF330" s="281"/>
      <c r="AG330" s="170"/>
      <c r="AH330" s="152"/>
      <c r="AI330" s="152"/>
      <c r="AJ330" s="152"/>
      <c r="AK330" s="152"/>
      <c r="AL330" s="152"/>
      <c r="AM330" s="152"/>
      <c r="AN330" s="152"/>
      <c r="AO330" s="152"/>
      <c r="AP330" s="152"/>
      <c r="AQ330" s="152"/>
      <c r="AR330" s="152"/>
    </row>
    <row r="331" ht="12.75" customHeight="1">
      <c r="A331" s="288"/>
      <c r="B331" s="288"/>
      <c r="C331" s="288"/>
      <c r="D331" s="152"/>
      <c r="E331" s="289"/>
      <c r="F331" s="288"/>
      <c r="G331" s="152"/>
      <c r="H331" s="152"/>
      <c r="I331" s="152"/>
      <c r="J331" s="152"/>
      <c r="K331" s="289"/>
      <c r="L331" s="289"/>
      <c r="M331" s="152"/>
      <c r="N331" s="152"/>
      <c r="O331" s="156"/>
      <c r="P331" s="152"/>
      <c r="Q331" s="152"/>
      <c r="R331" s="152"/>
      <c r="S331" s="152"/>
      <c r="T331" s="152"/>
      <c r="U331" s="152"/>
      <c r="V331" s="152"/>
      <c r="W331" s="152"/>
      <c r="X331" s="152"/>
      <c r="Y331" s="152"/>
      <c r="Z331" s="281"/>
      <c r="AA331" s="281"/>
      <c r="AB331" s="281"/>
      <c r="AC331" s="281"/>
      <c r="AD331" s="281"/>
      <c r="AE331" s="281"/>
      <c r="AF331" s="281"/>
      <c r="AG331" s="170"/>
      <c r="AH331" s="152"/>
      <c r="AI331" s="152"/>
      <c r="AJ331" s="152"/>
      <c r="AK331" s="152"/>
      <c r="AL331" s="152"/>
      <c r="AM331" s="152"/>
      <c r="AN331" s="152"/>
      <c r="AO331" s="152"/>
      <c r="AP331" s="152"/>
      <c r="AQ331" s="152"/>
      <c r="AR331" s="152"/>
    </row>
    <row r="332" ht="12.75" customHeight="1">
      <c r="A332" s="288"/>
      <c r="B332" s="288"/>
      <c r="C332" s="288"/>
      <c r="D332" s="152"/>
      <c r="E332" s="289"/>
      <c r="F332" s="288"/>
      <c r="G332" s="152"/>
      <c r="H332" s="152"/>
      <c r="I332" s="152"/>
      <c r="J332" s="152"/>
      <c r="K332" s="289"/>
      <c r="L332" s="289"/>
      <c r="M332" s="152"/>
      <c r="N332" s="152"/>
      <c r="O332" s="156"/>
      <c r="P332" s="152"/>
      <c r="Q332" s="152"/>
      <c r="R332" s="152"/>
      <c r="S332" s="152"/>
      <c r="T332" s="152"/>
      <c r="U332" s="152"/>
      <c r="V332" s="152"/>
      <c r="W332" s="152"/>
      <c r="X332" s="152"/>
      <c r="Y332" s="152"/>
      <c r="Z332" s="281"/>
      <c r="AA332" s="281"/>
      <c r="AB332" s="281"/>
      <c r="AC332" s="281"/>
      <c r="AD332" s="281"/>
      <c r="AE332" s="281"/>
      <c r="AF332" s="281"/>
      <c r="AG332" s="170"/>
      <c r="AH332" s="152"/>
      <c r="AI332" s="152"/>
      <c r="AJ332" s="152"/>
      <c r="AK332" s="152"/>
      <c r="AL332" s="152"/>
      <c r="AM332" s="152"/>
      <c r="AN332" s="152"/>
      <c r="AO332" s="152"/>
      <c r="AP332" s="152"/>
      <c r="AQ332" s="152"/>
      <c r="AR332" s="152"/>
    </row>
    <row r="333" ht="12.75" customHeight="1">
      <c r="A333" s="288"/>
      <c r="B333" s="288"/>
      <c r="C333" s="288"/>
      <c r="D333" s="152"/>
      <c r="E333" s="289"/>
      <c r="F333" s="288"/>
      <c r="G333" s="152"/>
      <c r="H333" s="152"/>
      <c r="I333" s="152"/>
      <c r="J333" s="152"/>
      <c r="K333" s="289"/>
      <c r="L333" s="289"/>
      <c r="M333" s="152"/>
      <c r="N333" s="152"/>
      <c r="O333" s="156"/>
      <c r="P333" s="152"/>
      <c r="Q333" s="152"/>
      <c r="R333" s="152"/>
      <c r="S333" s="152"/>
      <c r="T333" s="152"/>
      <c r="U333" s="152"/>
      <c r="V333" s="152"/>
      <c r="W333" s="152"/>
      <c r="X333" s="152"/>
      <c r="Y333" s="152"/>
      <c r="Z333" s="281"/>
      <c r="AA333" s="281"/>
      <c r="AB333" s="281"/>
      <c r="AC333" s="281"/>
      <c r="AD333" s="281"/>
      <c r="AE333" s="281"/>
      <c r="AF333" s="281"/>
      <c r="AG333" s="170"/>
      <c r="AH333" s="152"/>
      <c r="AI333" s="152"/>
      <c r="AJ333" s="152"/>
      <c r="AK333" s="152"/>
      <c r="AL333" s="152"/>
      <c r="AM333" s="152"/>
      <c r="AN333" s="152"/>
      <c r="AO333" s="152"/>
      <c r="AP333" s="152"/>
      <c r="AQ333" s="152"/>
      <c r="AR333" s="152"/>
    </row>
    <row r="334" ht="12.75" customHeight="1">
      <c r="A334" s="288"/>
      <c r="B334" s="288"/>
      <c r="C334" s="288"/>
      <c r="D334" s="152"/>
      <c r="E334" s="289"/>
      <c r="F334" s="288"/>
      <c r="G334" s="152"/>
      <c r="H334" s="152"/>
      <c r="I334" s="152"/>
      <c r="J334" s="152"/>
      <c r="K334" s="289"/>
      <c r="L334" s="289"/>
      <c r="M334" s="152"/>
      <c r="N334" s="152"/>
      <c r="O334" s="156"/>
      <c r="P334" s="152"/>
      <c r="Q334" s="152"/>
      <c r="R334" s="152"/>
      <c r="S334" s="152"/>
      <c r="T334" s="152"/>
      <c r="U334" s="152"/>
      <c r="V334" s="152"/>
      <c r="W334" s="152"/>
      <c r="X334" s="152"/>
      <c r="Y334" s="152"/>
      <c r="Z334" s="281"/>
      <c r="AA334" s="281"/>
      <c r="AB334" s="281"/>
      <c r="AC334" s="281"/>
      <c r="AD334" s="281"/>
      <c r="AE334" s="281"/>
      <c r="AF334" s="281"/>
      <c r="AG334" s="170"/>
      <c r="AH334" s="152"/>
      <c r="AI334" s="152"/>
      <c r="AJ334" s="152"/>
      <c r="AK334" s="152"/>
      <c r="AL334" s="152"/>
      <c r="AM334" s="152"/>
      <c r="AN334" s="152"/>
      <c r="AO334" s="152"/>
      <c r="AP334" s="152"/>
      <c r="AQ334" s="152"/>
      <c r="AR334" s="152"/>
    </row>
    <row r="335" ht="12.75" customHeight="1">
      <c r="A335" s="288"/>
      <c r="B335" s="288"/>
      <c r="C335" s="288"/>
      <c r="D335" s="152"/>
      <c r="E335" s="289"/>
      <c r="F335" s="288"/>
      <c r="G335" s="152"/>
      <c r="H335" s="152"/>
      <c r="I335" s="152"/>
      <c r="J335" s="152"/>
      <c r="K335" s="289"/>
      <c r="L335" s="289"/>
      <c r="M335" s="152"/>
      <c r="N335" s="152"/>
      <c r="O335" s="156"/>
      <c r="P335" s="152"/>
      <c r="Q335" s="152"/>
      <c r="R335" s="152"/>
      <c r="S335" s="152"/>
      <c r="T335" s="152"/>
      <c r="U335" s="152"/>
      <c r="V335" s="152"/>
      <c r="W335" s="152"/>
      <c r="X335" s="152"/>
      <c r="Y335" s="152"/>
      <c r="Z335" s="281"/>
      <c r="AA335" s="281"/>
      <c r="AB335" s="281"/>
      <c r="AC335" s="281"/>
      <c r="AD335" s="281"/>
      <c r="AE335" s="281"/>
      <c r="AF335" s="281"/>
      <c r="AG335" s="170"/>
      <c r="AH335" s="152"/>
      <c r="AI335" s="152"/>
      <c r="AJ335" s="152"/>
      <c r="AK335" s="152"/>
      <c r="AL335" s="152"/>
      <c r="AM335" s="152"/>
      <c r="AN335" s="152"/>
      <c r="AO335" s="152"/>
      <c r="AP335" s="152"/>
      <c r="AQ335" s="152"/>
      <c r="AR335" s="152"/>
    </row>
    <row r="336" ht="12.75" customHeight="1">
      <c r="A336" s="288"/>
      <c r="B336" s="288"/>
      <c r="C336" s="288"/>
      <c r="D336" s="152"/>
      <c r="E336" s="289"/>
      <c r="F336" s="288"/>
      <c r="G336" s="152"/>
      <c r="H336" s="152"/>
      <c r="I336" s="152"/>
      <c r="J336" s="152"/>
      <c r="K336" s="289"/>
      <c r="L336" s="289"/>
      <c r="M336" s="152"/>
      <c r="N336" s="152"/>
      <c r="O336" s="156"/>
      <c r="P336" s="152"/>
      <c r="Q336" s="152"/>
      <c r="R336" s="152"/>
      <c r="S336" s="152"/>
      <c r="T336" s="152"/>
      <c r="U336" s="152"/>
      <c r="V336" s="152"/>
      <c r="W336" s="152"/>
      <c r="X336" s="152"/>
      <c r="Y336" s="152"/>
      <c r="Z336" s="281"/>
      <c r="AA336" s="281"/>
      <c r="AB336" s="281"/>
      <c r="AC336" s="281"/>
      <c r="AD336" s="281"/>
      <c r="AE336" s="281"/>
      <c r="AF336" s="281"/>
      <c r="AG336" s="170"/>
      <c r="AH336" s="152"/>
      <c r="AI336" s="152"/>
      <c r="AJ336" s="152"/>
      <c r="AK336" s="152"/>
      <c r="AL336" s="152"/>
      <c r="AM336" s="152"/>
      <c r="AN336" s="152"/>
      <c r="AO336" s="152"/>
      <c r="AP336" s="152"/>
      <c r="AQ336" s="152"/>
      <c r="AR336" s="152"/>
    </row>
    <row r="337" ht="12.75" customHeight="1">
      <c r="A337" s="288"/>
      <c r="B337" s="288"/>
      <c r="C337" s="288"/>
      <c r="D337" s="152"/>
      <c r="E337" s="289"/>
      <c r="F337" s="288"/>
      <c r="G337" s="152"/>
      <c r="H337" s="152"/>
      <c r="I337" s="152"/>
      <c r="J337" s="152"/>
      <c r="K337" s="289"/>
      <c r="L337" s="289"/>
      <c r="M337" s="152"/>
      <c r="N337" s="152"/>
      <c r="O337" s="156"/>
      <c r="P337" s="152"/>
      <c r="Q337" s="152"/>
      <c r="R337" s="152"/>
      <c r="S337" s="152"/>
      <c r="T337" s="152"/>
      <c r="U337" s="152"/>
      <c r="V337" s="152"/>
      <c r="W337" s="152"/>
      <c r="X337" s="152"/>
      <c r="Y337" s="152"/>
      <c r="Z337" s="281"/>
      <c r="AA337" s="281"/>
      <c r="AB337" s="281"/>
      <c r="AC337" s="281"/>
      <c r="AD337" s="281"/>
      <c r="AE337" s="281"/>
      <c r="AF337" s="281"/>
      <c r="AG337" s="170"/>
      <c r="AH337" s="152"/>
      <c r="AI337" s="152"/>
      <c r="AJ337" s="152"/>
      <c r="AK337" s="152"/>
      <c r="AL337" s="152"/>
      <c r="AM337" s="152"/>
      <c r="AN337" s="152"/>
      <c r="AO337" s="152"/>
      <c r="AP337" s="152"/>
      <c r="AQ337" s="152"/>
      <c r="AR337" s="152"/>
    </row>
    <row r="338" ht="12.75" customHeight="1">
      <c r="A338" s="288"/>
      <c r="B338" s="288"/>
      <c r="C338" s="288"/>
      <c r="D338" s="152"/>
      <c r="E338" s="289"/>
      <c r="F338" s="288"/>
      <c r="G338" s="152"/>
      <c r="H338" s="152"/>
      <c r="I338" s="152"/>
      <c r="J338" s="152"/>
      <c r="K338" s="289"/>
      <c r="L338" s="289"/>
      <c r="M338" s="152"/>
      <c r="N338" s="152"/>
      <c r="O338" s="156"/>
      <c r="P338" s="152"/>
      <c r="Q338" s="152"/>
      <c r="R338" s="152"/>
      <c r="S338" s="152"/>
      <c r="T338" s="152"/>
      <c r="U338" s="152"/>
      <c r="V338" s="152"/>
      <c r="W338" s="152"/>
      <c r="X338" s="152"/>
      <c r="Y338" s="152"/>
      <c r="Z338" s="281"/>
      <c r="AA338" s="281"/>
      <c r="AB338" s="281"/>
      <c r="AC338" s="281"/>
      <c r="AD338" s="281"/>
      <c r="AE338" s="281"/>
      <c r="AF338" s="281"/>
      <c r="AG338" s="170"/>
      <c r="AH338" s="152"/>
      <c r="AI338" s="152"/>
      <c r="AJ338" s="152"/>
      <c r="AK338" s="152"/>
      <c r="AL338" s="152"/>
      <c r="AM338" s="152"/>
      <c r="AN338" s="152"/>
      <c r="AO338" s="152"/>
      <c r="AP338" s="152"/>
      <c r="AQ338" s="152"/>
      <c r="AR338" s="152"/>
    </row>
    <row r="339" ht="12.75" customHeight="1">
      <c r="A339" s="288"/>
      <c r="B339" s="288"/>
      <c r="C339" s="288"/>
      <c r="D339" s="152"/>
      <c r="E339" s="289"/>
      <c r="F339" s="288"/>
      <c r="G339" s="152"/>
      <c r="H339" s="152"/>
      <c r="I339" s="152"/>
      <c r="J339" s="152"/>
      <c r="K339" s="289"/>
      <c r="L339" s="289"/>
      <c r="M339" s="152"/>
      <c r="N339" s="152"/>
      <c r="O339" s="156"/>
      <c r="P339" s="152"/>
      <c r="Q339" s="152"/>
      <c r="R339" s="152"/>
      <c r="S339" s="152"/>
      <c r="T339" s="152"/>
      <c r="U339" s="152"/>
      <c r="V339" s="152"/>
      <c r="W339" s="152"/>
      <c r="X339" s="152"/>
      <c r="Y339" s="152"/>
      <c r="Z339" s="281"/>
      <c r="AA339" s="281"/>
      <c r="AB339" s="281"/>
      <c r="AC339" s="281"/>
      <c r="AD339" s="281"/>
      <c r="AE339" s="281"/>
      <c r="AF339" s="281"/>
      <c r="AG339" s="170"/>
      <c r="AH339" s="152"/>
      <c r="AI339" s="152"/>
      <c r="AJ339" s="152"/>
      <c r="AK339" s="152"/>
      <c r="AL339" s="152"/>
      <c r="AM339" s="152"/>
      <c r="AN339" s="152"/>
      <c r="AO339" s="152"/>
      <c r="AP339" s="152"/>
      <c r="AQ339" s="152"/>
      <c r="AR339" s="152"/>
    </row>
    <row r="340" ht="12.75" customHeight="1">
      <c r="A340" s="288"/>
      <c r="B340" s="288"/>
      <c r="C340" s="288"/>
      <c r="D340" s="152"/>
      <c r="E340" s="289"/>
      <c r="F340" s="288"/>
      <c r="G340" s="152"/>
      <c r="H340" s="152"/>
      <c r="I340" s="152"/>
      <c r="J340" s="152"/>
      <c r="K340" s="289"/>
      <c r="L340" s="289"/>
      <c r="M340" s="152"/>
      <c r="N340" s="152"/>
      <c r="O340" s="156"/>
      <c r="P340" s="152"/>
      <c r="Q340" s="152"/>
      <c r="R340" s="152"/>
      <c r="S340" s="152"/>
      <c r="T340" s="152"/>
      <c r="U340" s="152"/>
      <c r="V340" s="152"/>
      <c r="W340" s="152"/>
      <c r="X340" s="152"/>
      <c r="Y340" s="152"/>
      <c r="Z340" s="281"/>
      <c r="AA340" s="281"/>
      <c r="AB340" s="281"/>
      <c r="AC340" s="281"/>
      <c r="AD340" s="281"/>
      <c r="AE340" s="281"/>
      <c r="AF340" s="281"/>
      <c r="AG340" s="170"/>
      <c r="AH340" s="152"/>
      <c r="AI340" s="152"/>
      <c r="AJ340" s="152"/>
      <c r="AK340" s="152"/>
      <c r="AL340" s="152"/>
      <c r="AM340" s="152"/>
      <c r="AN340" s="152"/>
      <c r="AO340" s="152"/>
      <c r="AP340" s="152"/>
      <c r="AQ340" s="152"/>
      <c r="AR340" s="152"/>
    </row>
    <row r="341" ht="12.75" customHeight="1">
      <c r="A341" s="288"/>
      <c r="B341" s="288"/>
      <c r="C341" s="288"/>
      <c r="D341" s="152"/>
      <c r="E341" s="289"/>
      <c r="F341" s="288"/>
      <c r="G341" s="152"/>
      <c r="H341" s="152"/>
      <c r="I341" s="152"/>
      <c r="J341" s="152"/>
      <c r="K341" s="289"/>
      <c r="L341" s="289"/>
      <c r="M341" s="152"/>
      <c r="N341" s="152"/>
      <c r="O341" s="156"/>
      <c r="P341" s="152"/>
      <c r="Q341" s="152"/>
      <c r="R341" s="152"/>
      <c r="S341" s="152"/>
      <c r="T341" s="152"/>
      <c r="U341" s="152"/>
      <c r="V341" s="152"/>
      <c r="W341" s="152"/>
      <c r="X341" s="152"/>
      <c r="Y341" s="152"/>
      <c r="Z341" s="281"/>
      <c r="AA341" s="281"/>
      <c r="AB341" s="281"/>
      <c r="AC341" s="281"/>
      <c r="AD341" s="281"/>
      <c r="AE341" s="281"/>
      <c r="AF341" s="281"/>
      <c r="AG341" s="170"/>
      <c r="AH341" s="152"/>
      <c r="AI341" s="152"/>
      <c r="AJ341" s="152"/>
      <c r="AK341" s="152"/>
      <c r="AL341" s="152"/>
      <c r="AM341" s="152"/>
      <c r="AN341" s="152"/>
      <c r="AO341" s="152"/>
      <c r="AP341" s="152"/>
      <c r="AQ341" s="152"/>
      <c r="AR341" s="152"/>
    </row>
    <row r="342" ht="12.75" customHeight="1">
      <c r="A342" s="288"/>
      <c r="B342" s="288"/>
      <c r="C342" s="288"/>
      <c r="D342" s="152"/>
      <c r="E342" s="289"/>
      <c r="F342" s="288"/>
      <c r="G342" s="152"/>
      <c r="H342" s="152"/>
      <c r="I342" s="152"/>
      <c r="J342" s="152"/>
      <c r="K342" s="289"/>
      <c r="L342" s="289"/>
      <c r="M342" s="152"/>
      <c r="N342" s="152"/>
      <c r="O342" s="156"/>
      <c r="P342" s="152"/>
      <c r="Q342" s="152"/>
      <c r="R342" s="152"/>
      <c r="S342" s="152"/>
      <c r="T342" s="152"/>
      <c r="U342" s="152"/>
      <c r="V342" s="152"/>
      <c r="W342" s="152"/>
      <c r="X342" s="152"/>
      <c r="Y342" s="152"/>
      <c r="Z342" s="281"/>
      <c r="AA342" s="281"/>
      <c r="AB342" s="281"/>
      <c r="AC342" s="281"/>
      <c r="AD342" s="281"/>
      <c r="AE342" s="281"/>
      <c r="AF342" s="281"/>
      <c r="AG342" s="170"/>
      <c r="AH342" s="152"/>
      <c r="AI342" s="152"/>
      <c r="AJ342" s="152"/>
      <c r="AK342" s="152"/>
      <c r="AL342" s="152"/>
      <c r="AM342" s="152"/>
      <c r="AN342" s="152"/>
      <c r="AO342" s="152"/>
      <c r="AP342" s="152"/>
      <c r="AQ342" s="152"/>
      <c r="AR342" s="152"/>
    </row>
    <row r="343" ht="12.75" customHeight="1">
      <c r="A343" s="288"/>
      <c r="B343" s="288"/>
      <c r="C343" s="288"/>
      <c r="D343" s="152"/>
      <c r="E343" s="289"/>
      <c r="F343" s="288"/>
      <c r="G343" s="152"/>
      <c r="H343" s="152"/>
      <c r="I343" s="152"/>
      <c r="J343" s="152"/>
      <c r="K343" s="289"/>
      <c r="L343" s="289"/>
      <c r="M343" s="152"/>
      <c r="N343" s="152"/>
      <c r="O343" s="156"/>
      <c r="P343" s="152"/>
      <c r="Q343" s="152"/>
      <c r="R343" s="152"/>
      <c r="S343" s="152"/>
      <c r="T343" s="152"/>
      <c r="U343" s="152"/>
      <c r="V343" s="152"/>
      <c r="W343" s="152"/>
      <c r="X343" s="152"/>
      <c r="Y343" s="152"/>
      <c r="Z343" s="281"/>
      <c r="AA343" s="281"/>
      <c r="AB343" s="281"/>
      <c r="AC343" s="281"/>
      <c r="AD343" s="281"/>
      <c r="AE343" s="281"/>
      <c r="AF343" s="281"/>
      <c r="AG343" s="170"/>
      <c r="AH343" s="152"/>
      <c r="AI343" s="152"/>
      <c r="AJ343" s="152"/>
      <c r="AK343" s="152"/>
      <c r="AL343" s="152"/>
      <c r="AM343" s="152"/>
      <c r="AN343" s="152"/>
      <c r="AO343" s="152"/>
      <c r="AP343" s="152"/>
      <c r="AQ343" s="152"/>
      <c r="AR343" s="152"/>
    </row>
    <row r="344" ht="12.75" customHeight="1">
      <c r="A344" s="288"/>
      <c r="B344" s="288"/>
      <c r="C344" s="288"/>
      <c r="D344" s="152"/>
      <c r="E344" s="289"/>
      <c r="F344" s="288"/>
      <c r="G344" s="152"/>
      <c r="H344" s="152"/>
      <c r="I344" s="152"/>
      <c r="J344" s="152"/>
      <c r="K344" s="289"/>
      <c r="L344" s="289"/>
      <c r="M344" s="152"/>
      <c r="N344" s="152"/>
      <c r="O344" s="156"/>
      <c r="P344" s="152"/>
      <c r="Q344" s="152"/>
      <c r="R344" s="152"/>
      <c r="S344" s="152"/>
      <c r="T344" s="152"/>
      <c r="U344" s="152"/>
      <c r="V344" s="152"/>
      <c r="W344" s="152"/>
      <c r="X344" s="152"/>
      <c r="Y344" s="152"/>
      <c r="Z344" s="281"/>
      <c r="AA344" s="281"/>
      <c r="AB344" s="281"/>
      <c r="AC344" s="281"/>
      <c r="AD344" s="281"/>
      <c r="AE344" s="281"/>
      <c r="AF344" s="281"/>
      <c r="AG344" s="170"/>
      <c r="AH344" s="152"/>
      <c r="AI344" s="152"/>
      <c r="AJ344" s="152"/>
      <c r="AK344" s="152"/>
      <c r="AL344" s="152"/>
      <c r="AM344" s="152"/>
      <c r="AN344" s="152"/>
      <c r="AO344" s="152"/>
      <c r="AP344" s="152"/>
      <c r="AQ344" s="152"/>
      <c r="AR344" s="152"/>
    </row>
    <row r="345" ht="12.75" customHeight="1">
      <c r="A345" s="288"/>
      <c r="B345" s="288"/>
      <c r="C345" s="288"/>
      <c r="D345" s="152"/>
      <c r="E345" s="289"/>
      <c r="F345" s="288"/>
      <c r="G345" s="152"/>
      <c r="H345" s="152"/>
      <c r="I345" s="152"/>
      <c r="J345" s="152"/>
      <c r="K345" s="289"/>
      <c r="L345" s="289"/>
      <c r="M345" s="152"/>
      <c r="N345" s="152"/>
      <c r="O345" s="156"/>
      <c r="P345" s="152"/>
      <c r="Q345" s="152"/>
      <c r="R345" s="152"/>
      <c r="S345" s="152"/>
      <c r="T345" s="152"/>
      <c r="U345" s="152"/>
      <c r="V345" s="152"/>
      <c r="W345" s="152"/>
      <c r="X345" s="152"/>
      <c r="Y345" s="152"/>
      <c r="Z345" s="281"/>
      <c r="AA345" s="281"/>
      <c r="AB345" s="281"/>
      <c r="AC345" s="281"/>
      <c r="AD345" s="281"/>
      <c r="AE345" s="281"/>
      <c r="AF345" s="281"/>
      <c r="AG345" s="170"/>
      <c r="AH345" s="152"/>
      <c r="AI345" s="152"/>
      <c r="AJ345" s="152"/>
      <c r="AK345" s="152"/>
      <c r="AL345" s="152"/>
      <c r="AM345" s="152"/>
      <c r="AN345" s="152"/>
      <c r="AO345" s="152"/>
      <c r="AP345" s="152"/>
      <c r="AQ345" s="152"/>
      <c r="AR345" s="152"/>
    </row>
    <row r="346" ht="12.75" customHeight="1">
      <c r="A346" s="288"/>
      <c r="B346" s="288"/>
      <c r="C346" s="288"/>
      <c r="D346" s="152"/>
      <c r="E346" s="289"/>
      <c r="F346" s="288"/>
      <c r="G346" s="152"/>
      <c r="H346" s="152"/>
      <c r="I346" s="152"/>
      <c r="J346" s="152"/>
      <c r="K346" s="289"/>
      <c r="L346" s="289"/>
      <c r="M346" s="152"/>
      <c r="N346" s="152"/>
      <c r="O346" s="156"/>
      <c r="P346" s="152"/>
      <c r="Q346" s="152"/>
      <c r="R346" s="152"/>
      <c r="S346" s="152"/>
      <c r="T346" s="152"/>
      <c r="U346" s="152"/>
      <c r="V346" s="152"/>
      <c r="W346" s="152"/>
      <c r="X346" s="152"/>
      <c r="Y346" s="152"/>
      <c r="Z346" s="281"/>
      <c r="AA346" s="281"/>
      <c r="AB346" s="281"/>
      <c r="AC346" s="281"/>
      <c r="AD346" s="281"/>
      <c r="AE346" s="281"/>
      <c r="AF346" s="281"/>
      <c r="AG346" s="170"/>
      <c r="AH346" s="152"/>
      <c r="AI346" s="152"/>
      <c r="AJ346" s="152"/>
      <c r="AK346" s="152"/>
      <c r="AL346" s="152"/>
      <c r="AM346" s="152"/>
      <c r="AN346" s="152"/>
      <c r="AO346" s="152"/>
      <c r="AP346" s="152"/>
      <c r="AQ346" s="152"/>
      <c r="AR346" s="152"/>
    </row>
    <row r="347" ht="12.75" customHeight="1">
      <c r="A347" s="288"/>
      <c r="B347" s="288"/>
      <c r="C347" s="288"/>
      <c r="D347" s="152"/>
      <c r="E347" s="289"/>
      <c r="F347" s="288"/>
      <c r="G347" s="152"/>
      <c r="H347" s="152"/>
      <c r="I347" s="152"/>
      <c r="J347" s="152"/>
      <c r="K347" s="289"/>
      <c r="L347" s="289"/>
      <c r="M347" s="152"/>
      <c r="N347" s="152"/>
      <c r="O347" s="156"/>
      <c r="P347" s="152"/>
      <c r="Q347" s="152"/>
      <c r="R347" s="152"/>
      <c r="S347" s="152"/>
      <c r="T347" s="152"/>
      <c r="U347" s="152"/>
      <c r="V347" s="152"/>
      <c r="W347" s="152"/>
      <c r="X347" s="152"/>
      <c r="Y347" s="152"/>
      <c r="Z347" s="281"/>
      <c r="AA347" s="281"/>
      <c r="AB347" s="281"/>
      <c r="AC347" s="281"/>
      <c r="AD347" s="281"/>
      <c r="AE347" s="281"/>
      <c r="AF347" s="281"/>
      <c r="AG347" s="170"/>
      <c r="AH347" s="152"/>
      <c r="AI347" s="152"/>
      <c r="AJ347" s="152"/>
      <c r="AK347" s="152"/>
      <c r="AL347" s="152"/>
      <c r="AM347" s="152"/>
      <c r="AN347" s="152"/>
      <c r="AO347" s="152"/>
      <c r="AP347" s="152"/>
      <c r="AQ347" s="152"/>
      <c r="AR347" s="152"/>
    </row>
    <row r="348" ht="12.75" customHeight="1">
      <c r="A348" s="288"/>
      <c r="B348" s="288"/>
      <c r="C348" s="288"/>
      <c r="D348" s="152"/>
      <c r="E348" s="289"/>
      <c r="F348" s="288"/>
      <c r="G348" s="152"/>
      <c r="H348" s="152"/>
      <c r="I348" s="152"/>
      <c r="J348" s="152"/>
      <c r="K348" s="289"/>
      <c r="L348" s="289"/>
      <c r="M348" s="152"/>
      <c r="N348" s="152"/>
      <c r="O348" s="156"/>
      <c r="P348" s="152"/>
      <c r="Q348" s="152"/>
      <c r="R348" s="152"/>
      <c r="S348" s="152"/>
      <c r="T348" s="152"/>
      <c r="U348" s="152"/>
      <c r="V348" s="152"/>
      <c r="W348" s="152"/>
      <c r="X348" s="152"/>
      <c r="Y348" s="152"/>
      <c r="Z348" s="281"/>
      <c r="AA348" s="281"/>
      <c r="AB348" s="281"/>
      <c r="AC348" s="281"/>
      <c r="AD348" s="281"/>
      <c r="AE348" s="281"/>
      <c r="AF348" s="281"/>
      <c r="AG348" s="170"/>
      <c r="AH348" s="152"/>
      <c r="AI348" s="152"/>
      <c r="AJ348" s="152"/>
      <c r="AK348" s="152"/>
      <c r="AL348" s="152"/>
      <c r="AM348" s="152"/>
      <c r="AN348" s="152"/>
      <c r="AO348" s="152"/>
      <c r="AP348" s="152"/>
      <c r="AQ348" s="152"/>
      <c r="AR348" s="152"/>
    </row>
    <row r="349" ht="12.75" customHeight="1">
      <c r="A349" s="288"/>
      <c r="B349" s="288"/>
      <c r="C349" s="288"/>
      <c r="D349" s="152"/>
      <c r="E349" s="289"/>
      <c r="F349" s="288"/>
      <c r="G349" s="152"/>
      <c r="H349" s="152"/>
      <c r="I349" s="152"/>
      <c r="J349" s="152"/>
      <c r="K349" s="289"/>
      <c r="L349" s="289"/>
      <c r="M349" s="152"/>
      <c r="N349" s="152"/>
      <c r="O349" s="156"/>
      <c r="P349" s="152"/>
      <c r="Q349" s="152"/>
      <c r="R349" s="152"/>
      <c r="S349" s="152"/>
      <c r="T349" s="152"/>
      <c r="U349" s="152"/>
      <c r="V349" s="152"/>
      <c r="W349" s="152"/>
      <c r="X349" s="152"/>
      <c r="Y349" s="152"/>
      <c r="Z349" s="281"/>
      <c r="AA349" s="281"/>
      <c r="AB349" s="281"/>
      <c r="AC349" s="281"/>
      <c r="AD349" s="281"/>
      <c r="AE349" s="281"/>
      <c r="AF349" s="281"/>
      <c r="AG349" s="170"/>
      <c r="AH349" s="152"/>
      <c r="AI349" s="152"/>
      <c r="AJ349" s="152"/>
      <c r="AK349" s="152"/>
      <c r="AL349" s="152"/>
      <c r="AM349" s="152"/>
      <c r="AN349" s="152"/>
      <c r="AO349" s="152"/>
      <c r="AP349" s="152"/>
      <c r="AQ349" s="152"/>
      <c r="AR349" s="152"/>
    </row>
    <row r="350" ht="12.75" customHeight="1">
      <c r="A350" s="288"/>
      <c r="B350" s="288"/>
      <c r="C350" s="288"/>
      <c r="D350" s="152"/>
      <c r="E350" s="289"/>
      <c r="F350" s="288"/>
      <c r="G350" s="152"/>
      <c r="H350" s="152"/>
      <c r="I350" s="152"/>
      <c r="J350" s="152"/>
      <c r="K350" s="289"/>
      <c r="L350" s="289"/>
      <c r="M350" s="152"/>
      <c r="N350" s="152"/>
      <c r="O350" s="156"/>
      <c r="P350" s="152"/>
      <c r="Q350" s="152"/>
      <c r="R350" s="152"/>
      <c r="S350" s="152"/>
      <c r="T350" s="152"/>
      <c r="U350" s="152"/>
      <c r="V350" s="152"/>
      <c r="W350" s="152"/>
      <c r="X350" s="152"/>
      <c r="Y350" s="152"/>
      <c r="Z350" s="281"/>
      <c r="AA350" s="281"/>
      <c r="AB350" s="281"/>
      <c r="AC350" s="281"/>
      <c r="AD350" s="281"/>
      <c r="AE350" s="281"/>
      <c r="AF350" s="281"/>
      <c r="AG350" s="170"/>
      <c r="AH350" s="152"/>
      <c r="AI350" s="152"/>
      <c r="AJ350" s="152"/>
      <c r="AK350" s="152"/>
      <c r="AL350" s="152"/>
      <c r="AM350" s="152"/>
      <c r="AN350" s="152"/>
      <c r="AO350" s="152"/>
      <c r="AP350" s="152"/>
      <c r="AQ350" s="152"/>
      <c r="AR350" s="152"/>
    </row>
    <row r="351" ht="12.75" customHeight="1">
      <c r="A351" s="288"/>
      <c r="B351" s="288"/>
      <c r="C351" s="288"/>
      <c r="D351" s="152"/>
      <c r="E351" s="289"/>
      <c r="F351" s="288"/>
      <c r="G351" s="152"/>
      <c r="H351" s="152"/>
      <c r="I351" s="152"/>
      <c r="J351" s="152"/>
      <c r="K351" s="289"/>
      <c r="L351" s="289"/>
      <c r="M351" s="152"/>
      <c r="N351" s="152"/>
      <c r="O351" s="156"/>
      <c r="P351" s="152"/>
      <c r="Q351" s="152"/>
      <c r="R351" s="152"/>
      <c r="S351" s="152"/>
      <c r="T351" s="152"/>
      <c r="U351" s="152"/>
      <c r="V351" s="152"/>
      <c r="W351" s="152"/>
      <c r="X351" s="152"/>
      <c r="Y351" s="152"/>
      <c r="Z351" s="281"/>
      <c r="AA351" s="281"/>
      <c r="AB351" s="281"/>
      <c r="AC351" s="281"/>
      <c r="AD351" s="281"/>
      <c r="AE351" s="281"/>
      <c r="AF351" s="281"/>
      <c r="AG351" s="170"/>
      <c r="AH351" s="152"/>
      <c r="AI351" s="152"/>
      <c r="AJ351" s="152"/>
      <c r="AK351" s="152"/>
      <c r="AL351" s="152"/>
      <c r="AM351" s="152"/>
      <c r="AN351" s="152"/>
      <c r="AO351" s="152"/>
      <c r="AP351" s="152"/>
      <c r="AQ351" s="152"/>
      <c r="AR351" s="152"/>
    </row>
    <row r="352" ht="12.75" customHeight="1">
      <c r="A352" s="288"/>
      <c r="B352" s="288"/>
      <c r="C352" s="288"/>
      <c r="D352" s="152"/>
      <c r="E352" s="289"/>
      <c r="F352" s="288"/>
      <c r="G352" s="152"/>
      <c r="H352" s="152"/>
      <c r="I352" s="152"/>
      <c r="J352" s="152"/>
      <c r="K352" s="289"/>
      <c r="L352" s="289"/>
      <c r="M352" s="152"/>
      <c r="N352" s="152"/>
      <c r="O352" s="156"/>
      <c r="P352" s="152"/>
      <c r="Q352" s="152"/>
      <c r="R352" s="152"/>
      <c r="S352" s="152"/>
      <c r="T352" s="152"/>
      <c r="U352" s="152"/>
      <c r="V352" s="152"/>
      <c r="W352" s="152"/>
      <c r="X352" s="152"/>
      <c r="Y352" s="152"/>
      <c r="Z352" s="281"/>
      <c r="AA352" s="281"/>
      <c r="AB352" s="281"/>
      <c r="AC352" s="281"/>
      <c r="AD352" s="281"/>
      <c r="AE352" s="281"/>
      <c r="AF352" s="281"/>
      <c r="AG352" s="170"/>
      <c r="AH352" s="152"/>
      <c r="AI352" s="152"/>
      <c r="AJ352" s="152"/>
      <c r="AK352" s="152"/>
      <c r="AL352" s="152"/>
      <c r="AM352" s="152"/>
      <c r="AN352" s="152"/>
      <c r="AO352" s="152"/>
      <c r="AP352" s="152"/>
      <c r="AQ352" s="152"/>
      <c r="AR352" s="152"/>
    </row>
    <row r="353" ht="12.75" customHeight="1">
      <c r="A353" s="288"/>
      <c r="B353" s="288"/>
      <c r="C353" s="288"/>
      <c r="D353" s="152"/>
      <c r="E353" s="289"/>
      <c r="F353" s="288"/>
      <c r="G353" s="152"/>
      <c r="H353" s="152"/>
      <c r="I353" s="152"/>
      <c r="J353" s="152"/>
      <c r="K353" s="289"/>
      <c r="L353" s="289"/>
      <c r="M353" s="152"/>
      <c r="N353" s="152"/>
      <c r="O353" s="156"/>
      <c r="P353" s="152"/>
      <c r="Q353" s="152"/>
      <c r="R353" s="152"/>
      <c r="S353" s="152"/>
      <c r="T353" s="152"/>
      <c r="U353" s="152"/>
      <c r="V353" s="152"/>
      <c r="W353" s="152"/>
      <c r="X353" s="152"/>
      <c r="Y353" s="152"/>
      <c r="Z353" s="281"/>
      <c r="AA353" s="281"/>
      <c r="AB353" s="281"/>
      <c r="AC353" s="281"/>
      <c r="AD353" s="281"/>
      <c r="AE353" s="281"/>
      <c r="AF353" s="281"/>
      <c r="AG353" s="170"/>
      <c r="AH353" s="152"/>
      <c r="AI353" s="152"/>
      <c r="AJ353" s="152"/>
      <c r="AK353" s="152"/>
      <c r="AL353" s="152"/>
      <c r="AM353" s="152"/>
      <c r="AN353" s="152"/>
      <c r="AO353" s="152"/>
      <c r="AP353" s="152"/>
      <c r="AQ353" s="152"/>
      <c r="AR353" s="152"/>
    </row>
    <row r="354" ht="12.75" customHeight="1">
      <c r="A354" s="288"/>
      <c r="B354" s="288"/>
      <c r="C354" s="288"/>
      <c r="D354" s="152"/>
      <c r="E354" s="289"/>
      <c r="F354" s="288"/>
      <c r="G354" s="152"/>
      <c r="H354" s="152"/>
      <c r="I354" s="152"/>
      <c r="J354" s="152"/>
      <c r="K354" s="289"/>
      <c r="L354" s="289"/>
      <c r="M354" s="152"/>
      <c r="N354" s="152"/>
      <c r="O354" s="156"/>
      <c r="P354" s="152"/>
      <c r="Q354" s="152"/>
      <c r="R354" s="152"/>
      <c r="S354" s="152"/>
      <c r="T354" s="152"/>
      <c r="U354" s="152"/>
      <c r="V354" s="152"/>
      <c r="W354" s="152"/>
      <c r="X354" s="152"/>
      <c r="Y354" s="152"/>
      <c r="Z354" s="281"/>
      <c r="AA354" s="281"/>
      <c r="AB354" s="281"/>
      <c r="AC354" s="281"/>
      <c r="AD354" s="281"/>
      <c r="AE354" s="281"/>
      <c r="AF354" s="281"/>
      <c r="AG354" s="170"/>
      <c r="AH354" s="152"/>
      <c r="AI354" s="152"/>
      <c r="AJ354" s="152"/>
      <c r="AK354" s="152"/>
      <c r="AL354" s="152"/>
      <c r="AM354" s="152"/>
      <c r="AN354" s="152"/>
      <c r="AO354" s="152"/>
      <c r="AP354" s="152"/>
      <c r="AQ354" s="152"/>
      <c r="AR354" s="152"/>
    </row>
    <row r="355" ht="12.75" customHeight="1">
      <c r="A355" s="288"/>
      <c r="B355" s="288"/>
      <c r="C355" s="288"/>
      <c r="D355" s="152"/>
      <c r="E355" s="289"/>
      <c r="F355" s="288"/>
      <c r="G355" s="152"/>
      <c r="H355" s="152"/>
      <c r="I355" s="152"/>
      <c r="J355" s="152"/>
      <c r="K355" s="289"/>
      <c r="L355" s="289"/>
      <c r="M355" s="152"/>
      <c r="N355" s="152"/>
      <c r="O355" s="156"/>
      <c r="P355" s="152"/>
      <c r="Q355" s="152"/>
      <c r="R355" s="152"/>
      <c r="S355" s="152"/>
      <c r="T355" s="152"/>
      <c r="U355" s="152"/>
      <c r="V355" s="152"/>
      <c r="W355" s="152"/>
      <c r="X355" s="152"/>
      <c r="Y355" s="152"/>
      <c r="Z355" s="281"/>
      <c r="AA355" s="281"/>
      <c r="AB355" s="281"/>
      <c r="AC355" s="281"/>
      <c r="AD355" s="281"/>
      <c r="AE355" s="281"/>
      <c r="AF355" s="281"/>
      <c r="AG355" s="170"/>
      <c r="AH355" s="152"/>
      <c r="AI355" s="152"/>
      <c r="AJ355" s="152"/>
      <c r="AK355" s="152"/>
      <c r="AL355" s="152"/>
      <c r="AM355" s="152"/>
      <c r="AN355" s="152"/>
      <c r="AO355" s="152"/>
      <c r="AP355" s="152"/>
      <c r="AQ355" s="152"/>
      <c r="AR355" s="152"/>
    </row>
    <row r="356" ht="12.75" customHeight="1">
      <c r="A356" s="288"/>
      <c r="B356" s="288"/>
      <c r="C356" s="288"/>
      <c r="D356" s="152"/>
      <c r="E356" s="289"/>
      <c r="F356" s="288"/>
      <c r="G356" s="152"/>
      <c r="H356" s="152"/>
      <c r="I356" s="152"/>
      <c r="J356" s="152"/>
      <c r="K356" s="289"/>
      <c r="L356" s="289"/>
      <c r="M356" s="152"/>
      <c r="N356" s="152"/>
      <c r="O356" s="156"/>
      <c r="P356" s="152"/>
      <c r="Q356" s="152"/>
      <c r="R356" s="152"/>
      <c r="S356" s="152"/>
      <c r="T356" s="152"/>
      <c r="U356" s="152"/>
      <c r="V356" s="152"/>
      <c r="W356" s="152"/>
      <c r="X356" s="152"/>
      <c r="Y356" s="152"/>
      <c r="Z356" s="281"/>
      <c r="AA356" s="281"/>
      <c r="AB356" s="281"/>
      <c r="AC356" s="281"/>
      <c r="AD356" s="281"/>
      <c r="AE356" s="281"/>
      <c r="AF356" s="281"/>
      <c r="AG356" s="170"/>
      <c r="AH356" s="152"/>
      <c r="AI356" s="152"/>
      <c r="AJ356" s="152"/>
      <c r="AK356" s="152"/>
      <c r="AL356" s="152"/>
      <c r="AM356" s="152"/>
      <c r="AN356" s="152"/>
      <c r="AO356" s="152"/>
      <c r="AP356" s="152"/>
      <c r="AQ356" s="152"/>
      <c r="AR356" s="152"/>
    </row>
    <row r="357" ht="12.75" customHeight="1">
      <c r="A357" s="288"/>
      <c r="B357" s="288"/>
      <c r="C357" s="288"/>
      <c r="D357" s="152"/>
      <c r="E357" s="289"/>
      <c r="F357" s="288"/>
      <c r="G357" s="152"/>
      <c r="H357" s="152"/>
      <c r="I357" s="152"/>
      <c r="J357" s="152"/>
      <c r="K357" s="289"/>
      <c r="L357" s="289"/>
      <c r="M357" s="152"/>
      <c r="N357" s="152"/>
      <c r="O357" s="156"/>
      <c r="P357" s="152"/>
      <c r="Q357" s="152"/>
      <c r="R357" s="152"/>
      <c r="S357" s="152"/>
      <c r="T357" s="152"/>
      <c r="U357" s="152"/>
      <c r="V357" s="152"/>
      <c r="W357" s="152"/>
      <c r="X357" s="152"/>
      <c r="Y357" s="152"/>
      <c r="Z357" s="281"/>
      <c r="AA357" s="281"/>
      <c r="AB357" s="281"/>
      <c r="AC357" s="281"/>
      <c r="AD357" s="281"/>
      <c r="AE357" s="281"/>
      <c r="AF357" s="281"/>
      <c r="AG357" s="170"/>
      <c r="AH357" s="152"/>
      <c r="AI357" s="152"/>
      <c r="AJ357" s="152"/>
      <c r="AK357" s="152"/>
      <c r="AL357" s="152"/>
      <c r="AM357" s="152"/>
      <c r="AN357" s="152"/>
      <c r="AO357" s="152"/>
      <c r="AP357" s="152"/>
      <c r="AQ357" s="152"/>
      <c r="AR357" s="152"/>
    </row>
    <row r="358" ht="12.75" customHeight="1">
      <c r="A358" s="288"/>
      <c r="B358" s="288"/>
      <c r="C358" s="288"/>
      <c r="D358" s="152"/>
      <c r="E358" s="289"/>
      <c r="F358" s="288"/>
      <c r="G358" s="152"/>
      <c r="H358" s="152"/>
      <c r="I358" s="152"/>
      <c r="J358" s="152"/>
      <c r="K358" s="289"/>
      <c r="L358" s="289"/>
      <c r="M358" s="152"/>
      <c r="N358" s="152"/>
      <c r="O358" s="156"/>
      <c r="P358" s="152"/>
      <c r="Q358" s="152"/>
      <c r="R358" s="152"/>
      <c r="S358" s="152"/>
      <c r="T358" s="152"/>
      <c r="U358" s="152"/>
      <c r="V358" s="152"/>
      <c r="W358" s="152"/>
      <c r="X358" s="152"/>
      <c r="Y358" s="152"/>
      <c r="Z358" s="281"/>
      <c r="AA358" s="281"/>
      <c r="AB358" s="281"/>
      <c r="AC358" s="281"/>
      <c r="AD358" s="281"/>
      <c r="AE358" s="281"/>
      <c r="AF358" s="281"/>
      <c r="AG358" s="170"/>
      <c r="AH358" s="152"/>
      <c r="AI358" s="152"/>
      <c r="AJ358" s="152"/>
      <c r="AK358" s="152"/>
      <c r="AL358" s="152"/>
      <c r="AM358" s="152"/>
      <c r="AN358" s="152"/>
      <c r="AO358" s="152"/>
      <c r="AP358" s="152"/>
      <c r="AQ358" s="152"/>
      <c r="AR358" s="152"/>
    </row>
    <row r="359" ht="12.75" customHeight="1">
      <c r="A359" s="288"/>
      <c r="B359" s="288"/>
      <c r="C359" s="288"/>
      <c r="D359" s="152"/>
      <c r="E359" s="289"/>
      <c r="F359" s="288"/>
      <c r="G359" s="152"/>
      <c r="H359" s="152"/>
      <c r="I359" s="152"/>
      <c r="J359" s="152"/>
      <c r="K359" s="289"/>
      <c r="L359" s="289"/>
      <c r="M359" s="152"/>
      <c r="N359" s="152"/>
      <c r="O359" s="156"/>
      <c r="P359" s="152"/>
      <c r="Q359" s="152"/>
      <c r="R359" s="152"/>
      <c r="S359" s="152"/>
      <c r="T359" s="152"/>
      <c r="U359" s="152"/>
      <c r="V359" s="152"/>
      <c r="W359" s="152"/>
      <c r="X359" s="152"/>
      <c r="Y359" s="152"/>
      <c r="Z359" s="281"/>
      <c r="AA359" s="281"/>
      <c r="AB359" s="281"/>
      <c r="AC359" s="281"/>
      <c r="AD359" s="281"/>
      <c r="AE359" s="281"/>
      <c r="AF359" s="281"/>
      <c r="AG359" s="170"/>
      <c r="AH359" s="152"/>
      <c r="AI359" s="152"/>
      <c r="AJ359" s="152"/>
      <c r="AK359" s="152"/>
      <c r="AL359" s="152"/>
      <c r="AM359" s="152"/>
      <c r="AN359" s="152"/>
      <c r="AO359" s="152"/>
      <c r="AP359" s="152"/>
      <c r="AQ359" s="152"/>
      <c r="AR359" s="152"/>
    </row>
    <row r="360" ht="12.75" customHeight="1">
      <c r="A360" s="288"/>
      <c r="B360" s="288"/>
      <c r="C360" s="288"/>
      <c r="D360" s="152"/>
      <c r="E360" s="289"/>
      <c r="F360" s="288"/>
      <c r="G360" s="152"/>
      <c r="H360" s="152"/>
      <c r="I360" s="152"/>
      <c r="J360" s="152"/>
      <c r="K360" s="289"/>
      <c r="L360" s="289"/>
      <c r="M360" s="152"/>
      <c r="N360" s="152"/>
      <c r="O360" s="156"/>
      <c r="P360" s="152"/>
      <c r="Q360" s="152"/>
      <c r="R360" s="152"/>
      <c r="S360" s="152"/>
      <c r="T360" s="152"/>
      <c r="U360" s="152"/>
      <c r="V360" s="152"/>
      <c r="W360" s="152"/>
      <c r="X360" s="152"/>
      <c r="Y360" s="152"/>
      <c r="Z360" s="281"/>
      <c r="AA360" s="281"/>
      <c r="AB360" s="281"/>
      <c r="AC360" s="281"/>
      <c r="AD360" s="281"/>
      <c r="AE360" s="281"/>
      <c r="AF360" s="281"/>
      <c r="AG360" s="170"/>
      <c r="AH360" s="152"/>
      <c r="AI360" s="152"/>
      <c r="AJ360" s="152"/>
      <c r="AK360" s="152"/>
      <c r="AL360" s="152"/>
      <c r="AM360" s="152"/>
      <c r="AN360" s="152"/>
      <c r="AO360" s="152"/>
      <c r="AP360" s="152"/>
      <c r="AQ360" s="152"/>
      <c r="AR360" s="152"/>
    </row>
    <row r="361" ht="12.75" customHeight="1">
      <c r="A361" s="288"/>
      <c r="B361" s="288"/>
      <c r="C361" s="288"/>
      <c r="D361" s="152"/>
      <c r="E361" s="289"/>
      <c r="F361" s="288"/>
      <c r="G361" s="152"/>
      <c r="H361" s="152"/>
      <c r="I361" s="152"/>
      <c r="J361" s="152"/>
      <c r="K361" s="289"/>
      <c r="L361" s="289"/>
      <c r="M361" s="152"/>
      <c r="N361" s="152"/>
      <c r="O361" s="156"/>
      <c r="P361" s="152"/>
      <c r="Q361" s="152"/>
      <c r="R361" s="152"/>
      <c r="S361" s="152"/>
      <c r="T361" s="152"/>
      <c r="U361" s="152"/>
      <c r="V361" s="152"/>
      <c r="W361" s="152"/>
      <c r="X361" s="152"/>
      <c r="Y361" s="152"/>
      <c r="Z361" s="281"/>
      <c r="AA361" s="281"/>
      <c r="AB361" s="281"/>
      <c r="AC361" s="281"/>
      <c r="AD361" s="281"/>
      <c r="AE361" s="281"/>
      <c r="AF361" s="281"/>
      <c r="AG361" s="170"/>
      <c r="AH361" s="152"/>
      <c r="AI361" s="152"/>
      <c r="AJ361" s="152"/>
      <c r="AK361" s="152"/>
      <c r="AL361" s="152"/>
      <c r="AM361" s="152"/>
      <c r="AN361" s="152"/>
      <c r="AO361" s="152"/>
      <c r="AP361" s="152"/>
      <c r="AQ361" s="152"/>
      <c r="AR361" s="152"/>
    </row>
    <row r="362" ht="12.75" customHeight="1">
      <c r="A362" s="288"/>
      <c r="B362" s="288"/>
      <c r="C362" s="288"/>
      <c r="D362" s="152"/>
      <c r="E362" s="289"/>
      <c r="F362" s="288"/>
      <c r="G362" s="152"/>
      <c r="H362" s="152"/>
      <c r="I362" s="152"/>
      <c r="J362" s="152"/>
      <c r="K362" s="289"/>
      <c r="L362" s="289"/>
      <c r="M362" s="152"/>
      <c r="N362" s="152"/>
      <c r="O362" s="156"/>
      <c r="P362" s="152"/>
      <c r="Q362" s="152"/>
      <c r="R362" s="152"/>
      <c r="S362" s="152"/>
      <c r="T362" s="152"/>
      <c r="U362" s="152"/>
      <c r="V362" s="152"/>
      <c r="W362" s="152"/>
      <c r="X362" s="152"/>
      <c r="Y362" s="152"/>
      <c r="Z362" s="281"/>
      <c r="AA362" s="281"/>
      <c r="AB362" s="281"/>
      <c r="AC362" s="281"/>
      <c r="AD362" s="281"/>
      <c r="AE362" s="281"/>
      <c r="AF362" s="281"/>
      <c r="AG362" s="170"/>
      <c r="AH362" s="152"/>
      <c r="AI362" s="152"/>
      <c r="AJ362" s="152"/>
      <c r="AK362" s="152"/>
      <c r="AL362" s="152"/>
      <c r="AM362" s="152"/>
      <c r="AN362" s="152"/>
      <c r="AO362" s="152"/>
      <c r="AP362" s="152"/>
      <c r="AQ362" s="152"/>
      <c r="AR362" s="152"/>
    </row>
    <row r="363" ht="12.75" customHeight="1">
      <c r="A363" s="288"/>
      <c r="B363" s="288"/>
      <c r="C363" s="288"/>
      <c r="D363" s="152"/>
      <c r="E363" s="289"/>
      <c r="F363" s="288"/>
      <c r="G363" s="152"/>
      <c r="H363" s="152"/>
      <c r="I363" s="152"/>
      <c r="J363" s="152"/>
      <c r="K363" s="289"/>
      <c r="L363" s="289"/>
      <c r="M363" s="152"/>
      <c r="N363" s="152"/>
      <c r="O363" s="156"/>
      <c r="P363" s="152"/>
      <c r="Q363" s="152"/>
      <c r="R363" s="152"/>
      <c r="S363" s="152"/>
      <c r="T363" s="152"/>
      <c r="U363" s="152"/>
      <c r="V363" s="152"/>
      <c r="W363" s="152"/>
      <c r="X363" s="152"/>
      <c r="Y363" s="152"/>
      <c r="Z363" s="281"/>
      <c r="AA363" s="281"/>
      <c r="AB363" s="281"/>
      <c r="AC363" s="281"/>
      <c r="AD363" s="281"/>
      <c r="AE363" s="281"/>
      <c r="AF363" s="281"/>
      <c r="AG363" s="170"/>
      <c r="AH363" s="152"/>
      <c r="AI363" s="152"/>
      <c r="AJ363" s="152"/>
      <c r="AK363" s="152"/>
      <c r="AL363" s="152"/>
      <c r="AM363" s="152"/>
      <c r="AN363" s="152"/>
      <c r="AO363" s="152"/>
      <c r="AP363" s="152"/>
      <c r="AQ363" s="152"/>
      <c r="AR363" s="152"/>
    </row>
    <row r="364" ht="12.75" customHeight="1">
      <c r="A364" s="288"/>
      <c r="B364" s="288"/>
      <c r="C364" s="288"/>
      <c r="D364" s="152"/>
      <c r="E364" s="289"/>
      <c r="F364" s="288"/>
      <c r="G364" s="152"/>
      <c r="H364" s="152"/>
      <c r="I364" s="152"/>
      <c r="J364" s="152"/>
      <c r="K364" s="289"/>
      <c r="L364" s="289"/>
      <c r="M364" s="152"/>
      <c r="N364" s="152"/>
      <c r="O364" s="156"/>
      <c r="P364" s="152"/>
      <c r="Q364" s="152"/>
      <c r="R364" s="152"/>
      <c r="S364" s="152"/>
      <c r="T364" s="152"/>
      <c r="U364" s="152"/>
      <c r="V364" s="152"/>
      <c r="W364" s="152"/>
      <c r="X364" s="152"/>
      <c r="Y364" s="152"/>
      <c r="Z364" s="281"/>
      <c r="AA364" s="281"/>
      <c r="AB364" s="281"/>
      <c r="AC364" s="281"/>
      <c r="AD364" s="281"/>
      <c r="AE364" s="281"/>
      <c r="AF364" s="281"/>
      <c r="AG364" s="170"/>
      <c r="AH364" s="152"/>
      <c r="AI364" s="152"/>
      <c r="AJ364" s="152"/>
      <c r="AK364" s="152"/>
      <c r="AL364" s="152"/>
      <c r="AM364" s="152"/>
      <c r="AN364" s="152"/>
      <c r="AO364" s="152"/>
      <c r="AP364" s="152"/>
      <c r="AQ364" s="152"/>
      <c r="AR364" s="152"/>
    </row>
    <row r="365" ht="12.75" customHeight="1">
      <c r="A365" s="288"/>
      <c r="B365" s="288"/>
      <c r="C365" s="288"/>
      <c r="D365" s="152"/>
      <c r="E365" s="289"/>
      <c r="F365" s="288"/>
      <c r="G365" s="152"/>
      <c r="H365" s="152"/>
      <c r="I365" s="152"/>
      <c r="J365" s="152"/>
      <c r="K365" s="289"/>
      <c r="L365" s="289"/>
      <c r="M365" s="152"/>
      <c r="N365" s="152"/>
      <c r="O365" s="156"/>
      <c r="P365" s="152"/>
      <c r="Q365" s="152"/>
      <c r="R365" s="152"/>
      <c r="S365" s="152"/>
      <c r="T365" s="152"/>
      <c r="U365" s="152"/>
      <c r="V365" s="152"/>
      <c r="W365" s="152"/>
      <c r="X365" s="152"/>
      <c r="Y365" s="152"/>
      <c r="Z365" s="281"/>
      <c r="AA365" s="281"/>
      <c r="AB365" s="281"/>
      <c r="AC365" s="281"/>
      <c r="AD365" s="281"/>
      <c r="AE365" s="281"/>
      <c r="AF365" s="281"/>
      <c r="AG365" s="170"/>
      <c r="AH365" s="152"/>
      <c r="AI365" s="152"/>
      <c r="AJ365" s="152"/>
      <c r="AK365" s="152"/>
      <c r="AL365" s="152"/>
      <c r="AM365" s="152"/>
      <c r="AN365" s="152"/>
      <c r="AO365" s="152"/>
      <c r="AP365" s="152"/>
      <c r="AQ365" s="152"/>
      <c r="AR365" s="152"/>
    </row>
    <row r="366" ht="12.75" customHeight="1">
      <c r="A366" s="288"/>
      <c r="B366" s="288"/>
      <c r="C366" s="288"/>
      <c r="D366" s="152"/>
      <c r="E366" s="289"/>
      <c r="F366" s="288"/>
      <c r="G366" s="152"/>
      <c r="H366" s="152"/>
      <c r="I366" s="152"/>
      <c r="J366" s="152"/>
      <c r="K366" s="289"/>
      <c r="L366" s="289"/>
      <c r="M366" s="152"/>
      <c r="N366" s="152"/>
      <c r="O366" s="156"/>
      <c r="P366" s="152"/>
      <c r="Q366" s="152"/>
      <c r="R366" s="152"/>
      <c r="S366" s="152"/>
      <c r="T366" s="152"/>
      <c r="U366" s="152"/>
      <c r="V366" s="152"/>
      <c r="W366" s="152"/>
      <c r="X366" s="152"/>
      <c r="Y366" s="152"/>
      <c r="Z366" s="281"/>
      <c r="AA366" s="281"/>
      <c r="AB366" s="281"/>
      <c r="AC366" s="281"/>
      <c r="AD366" s="281"/>
      <c r="AE366" s="281"/>
      <c r="AF366" s="281"/>
      <c r="AG366" s="170"/>
      <c r="AH366" s="152"/>
      <c r="AI366" s="152"/>
      <c r="AJ366" s="152"/>
      <c r="AK366" s="152"/>
      <c r="AL366" s="152"/>
      <c r="AM366" s="152"/>
      <c r="AN366" s="152"/>
      <c r="AO366" s="152"/>
      <c r="AP366" s="152"/>
      <c r="AQ366" s="152"/>
      <c r="AR366" s="152"/>
    </row>
    <row r="367" ht="12.75" customHeight="1">
      <c r="A367" s="288"/>
      <c r="B367" s="288"/>
      <c r="C367" s="288"/>
      <c r="D367" s="152"/>
      <c r="E367" s="289"/>
      <c r="F367" s="288"/>
      <c r="G367" s="152"/>
      <c r="H367" s="152"/>
      <c r="I367" s="152"/>
      <c r="J367" s="152"/>
      <c r="K367" s="289"/>
      <c r="L367" s="289"/>
      <c r="M367" s="152"/>
      <c r="N367" s="152"/>
      <c r="O367" s="156"/>
      <c r="P367" s="152"/>
      <c r="Q367" s="152"/>
      <c r="R367" s="152"/>
      <c r="S367" s="152"/>
      <c r="T367" s="152"/>
      <c r="U367" s="152"/>
      <c r="V367" s="152"/>
      <c r="W367" s="152"/>
      <c r="X367" s="152"/>
      <c r="Y367" s="152"/>
      <c r="Z367" s="281"/>
      <c r="AA367" s="281"/>
      <c r="AB367" s="281"/>
      <c r="AC367" s="281"/>
      <c r="AD367" s="281"/>
      <c r="AE367" s="281"/>
      <c r="AF367" s="281"/>
      <c r="AG367" s="170"/>
      <c r="AH367" s="152"/>
      <c r="AI367" s="152"/>
      <c r="AJ367" s="152"/>
      <c r="AK367" s="152"/>
      <c r="AL367" s="152"/>
      <c r="AM367" s="152"/>
      <c r="AN367" s="152"/>
      <c r="AO367" s="152"/>
      <c r="AP367" s="152"/>
      <c r="AQ367" s="152"/>
      <c r="AR367" s="152"/>
    </row>
    <row r="368" ht="12.75" customHeight="1">
      <c r="A368" s="288"/>
      <c r="B368" s="288"/>
      <c r="C368" s="288"/>
      <c r="D368" s="152"/>
      <c r="E368" s="289"/>
      <c r="F368" s="288"/>
      <c r="G368" s="152"/>
      <c r="H368" s="152"/>
      <c r="I368" s="152"/>
      <c r="J368" s="152"/>
      <c r="K368" s="289"/>
      <c r="L368" s="289"/>
      <c r="M368" s="152"/>
      <c r="N368" s="152"/>
      <c r="O368" s="156"/>
      <c r="P368" s="152"/>
      <c r="Q368" s="152"/>
      <c r="R368" s="152"/>
      <c r="S368" s="152"/>
      <c r="T368" s="152"/>
      <c r="U368" s="152"/>
      <c r="V368" s="152"/>
      <c r="W368" s="152"/>
      <c r="X368" s="152"/>
      <c r="Y368" s="152"/>
      <c r="Z368" s="281"/>
      <c r="AA368" s="281"/>
      <c r="AB368" s="281"/>
      <c r="AC368" s="281"/>
      <c r="AD368" s="281"/>
      <c r="AE368" s="281"/>
      <c r="AF368" s="281"/>
      <c r="AG368" s="170"/>
      <c r="AH368" s="152"/>
      <c r="AI368" s="152"/>
      <c r="AJ368" s="152"/>
      <c r="AK368" s="152"/>
      <c r="AL368" s="152"/>
      <c r="AM368" s="152"/>
      <c r="AN368" s="152"/>
      <c r="AO368" s="152"/>
      <c r="AP368" s="152"/>
      <c r="AQ368" s="152"/>
      <c r="AR368" s="152"/>
    </row>
    <row r="369" ht="12.75" customHeight="1">
      <c r="A369" s="288"/>
      <c r="B369" s="288"/>
      <c r="C369" s="288"/>
      <c r="D369" s="152"/>
      <c r="E369" s="289"/>
      <c r="F369" s="288"/>
      <c r="G369" s="152"/>
      <c r="H369" s="152"/>
      <c r="I369" s="152"/>
      <c r="J369" s="152"/>
      <c r="K369" s="289"/>
      <c r="L369" s="289"/>
      <c r="M369" s="152"/>
      <c r="N369" s="152"/>
      <c r="O369" s="156"/>
      <c r="P369" s="152"/>
      <c r="Q369" s="152"/>
      <c r="R369" s="152"/>
      <c r="S369" s="152"/>
      <c r="T369" s="152"/>
      <c r="U369" s="152"/>
      <c r="V369" s="152"/>
      <c r="W369" s="152"/>
      <c r="X369" s="152"/>
      <c r="Y369" s="152"/>
      <c r="Z369" s="281"/>
      <c r="AA369" s="281"/>
      <c r="AB369" s="281"/>
      <c r="AC369" s="281"/>
      <c r="AD369" s="281"/>
      <c r="AE369" s="281"/>
      <c r="AF369" s="281"/>
      <c r="AG369" s="170"/>
      <c r="AH369" s="152"/>
      <c r="AI369" s="152"/>
      <c r="AJ369" s="152"/>
      <c r="AK369" s="152"/>
      <c r="AL369" s="152"/>
      <c r="AM369" s="152"/>
      <c r="AN369" s="152"/>
      <c r="AO369" s="152"/>
      <c r="AP369" s="152"/>
      <c r="AQ369" s="152"/>
      <c r="AR369" s="152"/>
    </row>
    <row r="370" ht="12.75" customHeight="1">
      <c r="A370" s="288"/>
      <c r="B370" s="288"/>
      <c r="C370" s="288"/>
      <c r="D370" s="152"/>
      <c r="E370" s="289"/>
      <c r="F370" s="288"/>
      <c r="G370" s="152"/>
      <c r="H370" s="152"/>
      <c r="I370" s="152"/>
      <c r="J370" s="152"/>
      <c r="K370" s="289"/>
      <c r="L370" s="289"/>
      <c r="M370" s="152"/>
      <c r="N370" s="152"/>
      <c r="O370" s="156"/>
      <c r="P370" s="152"/>
      <c r="Q370" s="152"/>
      <c r="R370" s="152"/>
      <c r="S370" s="152"/>
      <c r="T370" s="152"/>
      <c r="U370" s="152"/>
      <c r="V370" s="152"/>
      <c r="W370" s="152"/>
      <c r="X370" s="152"/>
      <c r="Y370" s="152"/>
      <c r="Z370" s="281"/>
      <c r="AA370" s="281"/>
      <c r="AB370" s="281"/>
      <c r="AC370" s="281"/>
      <c r="AD370" s="281"/>
      <c r="AE370" s="281"/>
      <c r="AF370" s="281"/>
      <c r="AG370" s="170"/>
      <c r="AH370" s="152"/>
      <c r="AI370" s="152"/>
      <c r="AJ370" s="152"/>
      <c r="AK370" s="152"/>
      <c r="AL370" s="152"/>
      <c r="AM370" s="152"/>
      <c r="AN370" s="152"/>
      <c r="AO370" s="152"/>
      <c r="AP370" s="152"/>
      <c r="AQ370" s="152"/>
      <c r="AR370" s="152"/>
    </row>
    <row r="371" ht="12.75" customHeight="1">
      <c r="A371" s="288"/>
      <c r="B371" s="288"/>
      <c r="C371" s="288"/>
      <c r="D371" s="152"/>
      <c r="E371" s="289"/>
      <c r="F371" s="288"/>
      <c r="G371" s="152"/>
      <c r="H371" s="152"/>
      <c r="I371" s="152"/>
      <c r="J371" s="152"/>
      <c r="K371" s="289"/>
      <c r="L371" s="289"/>
      <c r="M371" s="152"/>
      <c r="N371" s="152"/>
      <c r="O371" s="156"/>
      <c r="P371" s="152"/>
      <c r="Q371" s="152"/>
      <c r="R371" s="152"/>
      <c r="S371" s="152"/>
      <c r="T371" s="152"/>
      <c r="U371" s="152"/>
      <c r="V371" s="152"/>
      <c r="W371" s="152"/>
      <c r="X371" s="152"/>
      <c r="Y371" s="152"/>
      <c r="Z371" s="281"/>
      <c r="AA371" s="281"/>
      <c r="AB371" s="281"/>
      <c r="AC371" s="281"/>
      <c r="AD371" s="281"/>
      <c r="AE371" s="281"/>
      <c r="AF371" s="281"/>
      <c r="AG371" s="170"/>
      <c r="AH371" s="152"/>
      <c r="AI371" s="152"/>
      <c r="AJ371" s="152"/>
      <c r="AK371" s="152"/>
      <c r="AL371" s="152"/>
      <c r="AM371" s="152"/>
      <c r="AN371" s="152"/>
      <c r="AO371" s="152"/>
      <c r="AP371" s="152"/>
      <c r="AQ371" s="152"/>
      <c r="AR371" s="152"/>
    </row>
    <row r="372" ht="12.75" customHeight="1">
      <c r="A372" s="288"/>
      <c r="B372" s="288"/>
      <c r="C372" s="288"/>
      <c r="D372" s="152"/>
      <c r="E372" s="289"/>
      <c r="F372" s="288"/>
      <c r="G372" s="152"/>
      <c r="H372" s="152"/>
      <c r="I372" s="152"/>
      <c r="J372" s="152"/>
      <c r="K372" s="289"/>
      <c r="L372" s="289"/>
      <c r="M372" s="152"/>
      <c r="N372" s="152"/>
      <c r="O372" s="156"/>
      <c r="P372" s="152"/>
      <c r="Q372" s="152"/>
      <c r="R372" s="152"/>
      <c r="S372" s="152"/>
      <c r="T372" s="152"/>
      <c r="U372" s="152"/>
      <c r="V372" s="152"/>
      <c r="W372" s="152"/>
      <c r="X372" s="152"/>
      <c r="Y372" s="152"/>
      <c r="Z372" s="281"/>
      <c r="AA372" s="281"/>
      <c r="AB372" s="281"/>
      <c r="AC372" s="281"/>
      <c r="AD372" s="281"/>
      <c r="AE372" s="281"/>
      <c r="AF372" s="281"/>
      <c r="AG372" s="170"/>
      <c r="AH372" s="152"/>
      <c r="AI372" s="152"/>
      <c r="AJ372" s="152"/>
      <c r="AK372" s="152"/>
      <c r="AL372" s="152"/>
      <c r="AM372" s="152"/>
      <c r="AN372" s="152"/>
      <c r="AO372" s="152"/>
      <c r="AP372" s="152"/>
      <c r="AQ372" s="152"/>
      <c r="AR372" s="152"/>
    </row>
    <row r="373" ht="12.75" customHeight="1">
      <c r="A373" s="288"/>
      <c r="B373" s="288"/>
      <c r="C373" s="288"/>
      <c r="D373" s="152"/>
      <c r="E373" s="289"/>
      <c r="F373" s="288"/>
      <c r="G373" s="152"/>
      <c r="H373" s="152"/>
      <c r="I373" s="152"/>
      <c r="J373" s="152"/>
      <c r="K373" s="289"/>
      <c r="L373" s="289"/>
      <c r="M373" s="152"/>
      <c r="N373" s="152"/>
      <c r="O373" s="156"/>
      <c r="P373" s="152"/>
      <c r="Q373" s="152"/>
      <c r="R373" s="152"/>
      <c r="S373" s="152"/>
      <c r="T373" s="152"/>
      <c r="U373" s="152"/>
      <c r="V373" s="152"/>
      <c r="W373" s="152"/>
      <c r="X373" s="152"/>
      <c r="Y373" s="152"/>
      <c r="Z373" s="281"/>
      <c r="AA373" s="281"/>
      <c r="AB373" s="281"/>
      <c r="AC373" s="281"/>
      <c r="AD373" s="281"/>
      <c r="AE373" s="281"/>
      <c r="AF373" s="281"/>
      <c r="AG373" s="170"/>
      <c r="AH373" s="152"/>
      <c r="AI373" s="152"/>
      <c r="AJ373" s="152"/>
      <c r="AK373" s="152"/>
      <c r="AL373" s="152"/>
      <c r="AM373" s="152"/>
      <c r="AN373" s="152"/>
      <c r="AO373" s="152"/>
      <c r="AP373" s="152"/>
      <c r="AQ373" s="152"/>
      <c r="AR373" s="152"/>
    </row>
    <row r="374" ht="12.75" customHeight="1">
      <c r="A374" s="288"/>
      <c r="B374" s="288"/>
      <c r="C374" s="288"/>
      <c r="D374" s="152"/>
      <c r="E374" s="289"/>
      <c r="F374" s="288"/>
      <c r="G374" s="152"/>
      <c r="H374" s="152"/>
      <c r="I374" s="152"/>
      <c r="J374" s="152"/>
      <c r="K374" s="289"/>
      <c r="L374" s="289"/>
      <c r="M374" s="152"/>
      <c r="N374" s="152"/>
      <c r="O374" s="156"/>
      <c r="P374" s="152"/>
      <c r="Q374" s="152"/>
      <c r="R374" s="152"/>
      <c r="S374" s="152"/>
      <c r="T374" s="152"/>
      <c r="U374" s="152"/>
      <c r="V374" s="152"/>
      <c r="W374" s="152"/>
      <c r="X374" s="152"/>
      <c r="Y374" s="152"/>
      <c r="Z374" s="281"/>
      <c r="AA374" s="281"/>
      <c r="AB374" s="281"/>
      <c r="AC374" s="281"/>
      <c r="AD374" s="281"/>
      <c r="AE374" s="281"/>
      <c r="AF374" s="281"/>
      <c r="AG374" s="170"/>
      <c r="AH374" s="152"/>
      <c r="AI374" s="152"/>
      <c r="AJ374" s="152"/>
      <c r="AK374" s="152"/>
      <c r="AL374" s="152"/>
      <c r="AM374" s="152"/>
      <c r="AN374" s="152"/>
      <c r="AO374" s="152"/>
      <c r="AP374" s="152"/>
      <c r="AQ374" s="152"/>
      <c r="AR374" s="152"/>
    </row>
    <row r="375" ht="12.75" customHeight="1">
      <c r="A375" s="288"/>
      <c r="B375" s="288"/>
      <c r="C375" s="288"/>
      <c r="D375" s="152"/>
      <c r="E375" s="289"/>
      <c r="F375" s="288"/>
      <c r="G375" s="152"/>
      <c r="H375" s="152"/>
      <c r="I375" s="152"/>
      <c r="J375" s="152"/>
      <c r="K375" s="289"/>
      <c r="L375" s="289"/>
      <c r="M375" s="152"/>
      <c r="N375" s="152"/>
      <c r="O375" s="156"/>
      <c r="P375" s="152"/>
      <c r="Q375" s="152"/>
      <c r="R375" s="152"/>
      <c r="S375" s="152"/>
      <c r="T375" s="152"/>
      <c r="U375" s="152"/>
      <c r="V375" s="152"/>
      <c r="W375" s="152"/>
      <c r="X375" s="152"/>
      <c r="Y375" s="152"/>
      <c r="Z375" s="281"/>
      <c r="AA375" s="281"/>
      <c r="AB375" s="281"/>
      <c r="AC375" s="281"/>
      <c r="AD375" s="281"/>
      <c r="AE375" s="281"/>
      <c r="AF375" s="281"/>
      <c r="AG375" s="170"/>
      <c r="AH375" s="152"/>
      <c r="AI375" s="152"/>
      <c r="AJ375" s="152"/>
      <c r="AK375" s="152"/>
      <c r="AL375" s="152"/>
      <c r="AM375" s="152"/>
      <c r="AN375" s="152"/>
      <c r="AO375" s="152"/>
      <c r="AP375" s="152"/>
      <c r="AQ375" s="152"/>
      <c r="AR375" s="152"/>
    </row>
    <row r="376" ht="12.75" customHeight="1">
      <c r="A376" s="288"/>
      <c r="B376" s="288"/>
      <c r="C376" s="288"/>
      <c r="D376" s="152"/>
      <c r="E376" s="289"/>
      <c r="F376" s="288"/>
      <c r="G376" s="152"/>
      <c r="H376" s="152"/>
      <c r="I376" s="152"/>
      <c r="J376" s="152"/>
      <c r="K376" s="289"/>
      <c r="L376" s="289"/>
      <c r="M376" s="152"/>
      <c r="N376" s="152"/>
      <c r="O376" s="156"/>
      <c r="P376" s="152"/>
      <c r="Q376" s="152"/>
      <c r="R376" s="152"/>
      <c r="S376" s="152"/>
      <c r="T376" s="152"/>
      <c r="U376" s="152"/>
      <c r="V376" s="152"/>
      <c r="W376" s="152"/>
      <c r="X376" s="152"/>
      <c r="Y376" s="152"/>
      <c r="Z376" s="281"/>
      <c r="AA376" s="281"/>
      <c r="AB376" s="281"/>
      <c r="AC376" s="281"/>
      <c r="AD376" s="281"/>
      <c r="AE376" s="281"/>
      <c r="AF376" s="281"/>
      <c r="AG376" s="170"/>
      <c r="AH376" s="152"/>
      <c r="AI376" s="152"/>
      <c r="AJ376" s="152"/>
      <c r="AK376" s="152"/>
      <c r="AL376" s="152"/>
      <c r="AM376" s="152"/>
      <c r="AN376" s="152"/>
      <c r="AO376" s="152"/>
      <c r="AP376" s="152"/>
      <c r="AQ376" s="152"/>
      <c r="AR376" s="152"/>
    </row>
    <row r="377" ht="12.75" customHeight="1">
      <c r="A377" s="288"/>
      <c r="B377" s="288"/>
      <c r="C377" s="288"/>
      <c r="D377" s="152"/>
      <c r="E377" s="289"/>
      <c r="F377" s="288"/>
      <c r="G377" s="152"/>
      <c r="H377" s="152"/>
      <c r="I377" s="152"/>
      <c r="J377" s="152"/>
      <c r="K377" s="289"/>
      <c r="L377" s="289"/>
      <c r="M377" s="152"/>
      <c r="N377" s="152"/>
      <c r="O377" s="156"/>
      <c r="P377" s="152"/>
      <c r="Q377" s="152"/>
      <c r="R377" s="152"/>
      <c r="S377" s="152"/>
      <c r="T377" s="152"/>
      <c r="U377" s="152"/>
      <c r="V377" s="152"/>
      <c r="W377" s="152"/>
      <c r="X377" s="152"/>
      <c r="Y377" s="152"/>
      <c r="Z377" s="281"/>
      <c r="AA377" s="281"/>
      <c r="AB377" s="281"/>
      <c r="AC377" s="281"/>
      <c r="AD377" s="281"/>
      <c r="AE377" s="281"/>
      <c r="AF377" s="281"/>
      <c r="AG377" s="170"/>
      <c r="AH377" s="152"/>
      <c r="AI377" s="152"/>
      <c r="AJ377" s="152"/>
      <c r="AK377" s="152"/>
      <c r="AL377" s="152"/>
      <c r="AM377" s="152"/>
      <c r="AN377" s="152"/>
      <c r="AO377" s="152"/>
      <c r="AP377" s="152"/>
      <c r="AQ377" s="152"/>
      <c r="AR377" s="152"/>
    </row>
    <row r="378" ht="12.75" customHeight="1">
      <c r="A378" s="288"/>
      <c r="B378" s="288"/>
      <c r="C378" s="288"/>
      <c r="D378" s="152"/>
      <c r="E378" s="289"/>
      <c r="F378" s="288"/>
      <c r="G378" s="152"/>
      <c r="H378" s="152"/>
      <c r="I378" s="152"/>
      <c r="J378" s="152"/>
      <c r="K378" s="289"/>
      <c r="L378" s="289"/>
      <c r="M378" s="152"/>
      <c r="N378" s="152"/>
      <c r="O378" s="156"/>
      <c r="P378" s="152"/>
      <c r="Q378" s="152"/>
      <c r="R378" s="152"/>
      <c r="S378" s="152"/>
      <c r="T378" s="152"/>
      <c r="U378" s="152"/>
      <c r="V378" s="152"/>
      <c r="W378" s="152"/>
      <c r="X378" s="152"/>
      <c r="Y378" s="152"/>
      <c r="Z378" s="281"/>
      <c r="AA378" s="281"/>
      <c r="AB378" s="281"/>
      <c r="AC378" s="281"/>
      <c r="AD378" s="281"/>
      <c r="AE378" s="281"/>
      <c r="AF378" s="281"/>
      <c r="AG378" s="170"/>
      <c r="AH378" s="152"/>
      <c r="AI378" s="152"/>
      <c r="AJ378" s="152"/>
      <c r="AK378" s="152"/>
      <c r="AL378" s="152"/>
      <c r="AM378" s="152"/>
      <c r="AN378" s="152"/>
      <c r="AO378" s="152"/>
      <c r="AP378" s="152"/>
      <c r="AQ378" s="152"/>
      <c r="AR378" s="152"/>
    </row>
    <row r="379" ht="12.75" customHeight="1">
      <c r="A379" s="288"/>
      <c r="B379" s="288"/>
      <c r="C379" s="288"/>
      <c r="D379" s="152"/>
      <c r="E379" s="289"/>
      <c r="F379" s="288"/>
      <c r="G379" s="152"/>
      <c r="H379" s="152"/>
      <c r="I379" s="152"/>
      <c r="J379" s="152"/>
      <c r="K379" s="289"/>
      <c r="L379" s="289"/>
      <c r="M379" s="152"/>
      <c r="N379" s="152"/>
      <c r="O379" s="156"/>
      <c r="P379" s="152"/>
      <c r="Q379" s="152"/>
      <c r="R379" s="152"/>
      <c r="S379" s="152"/>
      <c r="T379" s="152"/>
      <c r="U379" s="152"/>
      <c r="V379" s="152"/>
      <c r="W379" s="152"/>
      <c r="X379" s="152"/>
      <c r="Y379" s="152"/>
      <c r="Z379" s="281"/>
      <c r="AA379" s="281"/>
      <c r="AB379" s="281"/>
      <c r="AC379" s="281"/>
      <c r="AD379" s="281"/>
      <c r="AE379" s="281"/>
      <c r="AF379" s="281"/>
      <c r="AG379" s="170"/>
      <c r="AH379" s="152"/>
      <c r="AI379" s="152"/>
      <c r="AJ379" s="152"/>
      <c r="AK379" s="152"/>
      <c r="AL379" s="152"/>
      <c r="AM379" s="152"/>
      <c r="AN379" s="152"/>
      <c r="AO379" s="152"/>
      <c r="AP379" s="152"/>
      <c r="AQ379" s="152"/>
      <c r="AR379" s="152"/>
    </row>
    <row r="380" ht="12.75" customHeight="1">
      <c r="A380" s="288"/>
      <c r="B380" s="288"/>
      <c r="C380" s="288"/>
      <c r="D380" s="152"/>
      <c r="E380" s="289"/>
      <c r="F380" s="288"/>
      <c r="G380" s="152"/>
      <c r="H380" s="152"/>
      <c r="I380" s="152"/>
      <c r="J380" s="152"/>
      <c r="K380" s="289"/>
      <c r="L380" s="289"/>
      <c r="M380" s="152"/>
      <c r="N380" s="152"/>
      <c r="O380" s="156"/>
      <c r="P380" s="152"/>
      <c r="Q380" s="152"/>
      <c r="R380" s="152"/>
      <c r="S380" s="152"/>
      <c r="T380" s="152"/>
      <c r="U380" s="152"/>
      <c r="V380" s="152"/>
      <c r="W380" s="152"/>
      <c r="X380" s="152"/>
      <c r="Y380" s="152"/>
      <c r="Z380" s="281"/>
      <c r="AA380" s="281"/>
      <c r="AB380" s="281"/>
      <c r="AC380" s="281"/>
      <c r="AD380" s="281"/>
      <c r="AE380" s="281"/>
      <c r="AF380" s="281"/>
      <c r="AG380" s="170"/>
      <c r="AH380" s="152"/>
      <c r="AI380" s="152"/>
      <c r="AJ380" s="152"/>
      <c r="AK380" s="152"/>
      <c r="AL380" s="152"/>
      <c r="AM380" s="152"/>
      <c r="AN380" s="152"/>
      <c r="AO380" s="152"/>
      <c r="AP380" s="152"/>
      <c r="AQ380" s="152"/>
      <c r="AR380" s="152"/>
    </row>
    <row r="381" ht="12.75" customHeight="1">
      <c r="A381" s="288"/>
      <c r="B381" s="288"/>
      <c r="C381" s="288"/>
      <c r="D381" s="152"/>
      <c r="E381" s="289"/>
      <c r="F381" s="288"/>
      <c r="G381" s="152"/>
      <c r="H381" s="152"/>
      <c r="I381" s="152"/>
      <c r="J381" s="152"/>
      <c r="K381" s="289"/>
      <c r="L381" s="289"/>
      <c r="M381" s="152"/>
      <c r="N381" s="152"/>
      <c r="O381" s="156"/>
      <c r="P381" s="152"/>
      <c r="Q381" s="152"/>
      <c r="R381" s="152"/>
      <c r="S381" s="152"/>
      <c r="T381" s="152"/>
      <c r="U381" s="152"/>
      <c r="V381" s="152"/>
      <c r="W381" s="152"/>
      <c r="X381" s="152"/>
      <c r="Y381" s="152"/>
      <c r="Z381" s="281"/>
      <c r="AA381" s="281"/>
      <c r="AB381" s="281"/>
      <c r="AC381" s="281"/>
      <c r="AD381" s="281"/>
      <c r="AE381" s="281"/>
      <c r="AF381" s="281"/>
      <c r="AG381" s="170"/>
      <c r="AH381" s="152"/>
      <c r="AI381" s="152"/>
      <c r="AJ381" s="152"/>
      <c r="AK381" s="152"/>
      <c r="AL381" s="152"/>
      <c r="AM381" s="152"/>
      <c r="AN381" s="152"/>
      <c r="AO381" s="152"/>
      <c r="AP381" s="152"/>
      <c r="AQ381" s="152"/>
      <c r="AR381" s="152"/>
    </row>
    <row r="382" ht="12.75" customHeight="1">
      <c r="A382" s="288"/>
      <c r="B382" s="288"/>
      <c r="C382" s="288"/>
      <c r="D382" s="152"/>
      <c r="E382" s="289"/>
      <c r="F382" s="288"/>
      <c r="G382" s="152"/>
      <c r="H382" s="152"/>
      <c r="I382" s="152"/>
      <c r="J382" s="152"/>
      <c r="K382" s="289"/>
      <c r="L382" s="289"/>
      <c r="M382" s="152"/>
      <c r="N382" s="152"/>
      <c r="O382" s="156"/>
      <c r="P382" s="152"/>
      <c r="Q382" s="152"/>
      <c r="R382" s="152"/>
      <c r="S382" s="152"/>
      <c r="T382" s="152"/>
      <c r="U382" s="152"/>
      <c r="V382" s="152"/>
      <c r="W382" s="152"/>
      <c r="X382" s="152"/>
      <c r="Y382" s="152"/>
      <c r="Z382" s="281"/>
      <c r="AA382" s="281"/>
      <c r="AB382" s="281"/>
      <c r="AC382" s="281"/>
      <c r="AD382" s="281"/>
      <c r="AE382" s="281"/>
      <c r="AF382" s="281"/>
      <c r="AG382" s="170"/>
      <c r="AH382" s="152"/>
      <c r="AI382" s="152"/>
      <c r="AJ382" s="152"/>
      <c r="AK382" s="152"/>
      <c r="AL382" s="152"/>
      <c r="AM382" s="152"/>
      <c r="AN382" s="152"/>
      <c r="AO382" s="152"/>
      <c r="AP382" s="152"/>
      <c r="AQ382" s="152"/>
      <c r="AR382" s="152"/>
    </row>
    <row r="383" ht="12.75" customHeight="1">
      <c r="A383" s="288"/>
      <c r="B383" s="288"/>
      <c r="C383" s="288"/>
      <c r="D383" s="152"/>
      <c r="E383" s="289"/>
      <c r="F383" s="288"/>
      <c r="G383" s="152"/>
      <c r="H383" s="152"/>
      <c r="I383" s="152"/>
      <c r="J383" s="152"/>
      <c r="K383" s="289"/>
      <c r="L383" s="289"/>
      <c r="M383" s="152"/>
      <c r="N383" s="152"/>
      <c r="O383" s="156"/>
      <c r="P383" s="152"/>
      <c r="Q383" s="152"/>
      <c r="R383" s="152"/>
      <c r="S383" s="152"/>
      <c r="T383" s="152"/>
      <c r="U383" s="152"/>
      <c r="V383" s="152"/>
      <c r="W383" s="152"/>
      <c r="X383" s="152"/>
      <c r="Y383" s="152"/>
      <c r="Z383" s="281"/>
      <c r="AA383" s="281"/>
      <c r="AB383" s="281"/>
      <c r="AC383" s="281"/>
      <c r="AD383" s="281"/>
      <c r="AE383" s="281"/>
      <c r="AF383" s="281"/>
      <c r="AG383" s="170"/>
      <c r="AH383" s="152"/>
      <c r="AI383" s="152"/>
      <c r="AJ383" s="152"/>
      <c r="AK383" s="152"/>
      <c r="AL383" s="152"/>
      <c r="AM383" s="152"/>
      <c r="AN383" s="152"/>
      <c r="AO383" s="152"/>
      <c r="AP383" s="152"/>
      <c r="AQ383" s="152"/>
      <c r="AR383" s="152"/>
    </row>
    <row r="384" ht="12.75" customHeight="1">
      <c r="A384" s="288"/>
      <c r="B384" s="288"/>
      <c r="C384" s="288"/>
      <c r="D384" s="152"/>
      <c r="E384" s="289"/>
      <c r="F384" s="288"/>
      <c r="G384" s="152"/>
      <c r="H384" s="152"/>
      <c r="I384" s="152"/>
      <c r="J384" s="152"/>
      <c r="K384" s="289"/>
      <c r="L384" s="289"/>
      <c r="M384" s="152"/>
      <c r="N384" s="152"/>
      <c r="O384" s="156"/>
      <c r="P384" s="152"/>
      <c r="Q384" s="152"/>
      <c r="R384" s="152"/>
      <c r="S384" s="152"/>
      <c r="T384" s="152"/>
      <c r="U384" s="152"/>
      <c r="V384" s="152"/>
      <c r="W384" s="152"/>
      <c r="X384" s="152"/>
      <c r="Y384" s="152"/>
      <c r="Z384" s="281"/>
      <c r="AA384" s="281"/>
      <c r="AB384" s="281"/>
      <c r="AC384" s="281"/>
      <c r="AD384" s="281"/>
      <c r="AE384" s="281"/>
      <c r="AF384" s="281"/>
      <c r="AG384" s="170"/>
      <c r="AH384" s="152"/>
      <c r="AI384" s="152"/>
      <c r="AJ384" s="152"/>
      <c r="AK384" s="152"/>
      <c r="AL384" s="152"/>
      <c r="AM384" s="152"/>
      <c r="AN384" s="152"/>
      <c r="AO384" s="152"/>
      <c r="AP384" s="152"/>
      <c r="AQ384" s="152"/>
      <c r="AR384" s="152"/>
    </row>
    <row r="385" ht="12.75" customHeight="1">
      <c r="A385" s="288"/>
      <c r="B385" s="288"/>
      <c r="C385" s="288"/>
      <c r="D385" s="152"/>
      <c r="E385" s="289"/>
      <c r="F385" s="288"/>
      <c r="G385" s="152"/>
      <c r="H385" s="152"/>
      <c r="I385" s="152"/>
      <c r="J385" s="152"/>
      <c r="K385" s="289"/>
      <c r="L385" s="289"/>
      <c r="M385" s="152"/>
      <c r="N385" s="152"/>
      <c r="O385" s="156"/>
      <c r="P385" s="152"/>
      <c r="Q385" s="152"/>
      <c r="R385" s="152"/>
      <c r="S385" s="152"/>
      <c r="T385" s="152"/>
      <c r="U385" s="152"/>
      <c r="V385" s="152"/>
      <c r="W385" s="152"/>
      <c r="X385" s="152"/>
      <c r="Y385" s="152"/>
      <c r="Z385" s="281"/>
      <c r="AA385" s="281"/>
      <c r="AB385" s="281"/>
      <c r="AC385" s="281"/>
      <c r="AD385" s="281"/>
      <c r="AE385" s="281"/>
      <c r="AF385" s="281"/>
      <c r="AG385" s="170"/>
      <c r="AH385" s="152"/>
      <c r="AI385" s="152"/>
      <c r="AJ385" s="152"/>
      <c r="AK385" s="152"/>
      <c r="AL385" s="152"/>
      <c r="AM385" s="152"/>
      <c r="AN385" s="152"/>
      <c r="AO385" s="152"/>
      <c r="AP385" s="152"/>
      <c r="AQ385" s="152"/>
      <c r="AR385" s="152"/>
    </row>
    <row r="386" ht="12.75" customHeight="1">
      <c r="A386" s="288"/>
      <c r="B386" s="288"/>
      <c r="C386" s="288"/>
      <c r="D386" s="152"/>
      <c r="E386" s="289"/>
      <c r="F386" s="288"/>
      <c r="G386" s="152"/>
      <c r="H386" s="152"/>
      <c r="I386" s="152"/>
      <c r="J386" s="152"/>
      <c r="K386" s="289"/>
      <c r="L386" s="289"/>
      <c r="M386" s="152"/>
      <c r="N386" s="152"/>
      <c r="O386" s="156"/>
      <c r="P386" s="152"/>
      <c r="Q386" s="152"/>
      <c r="R386" s="152"/>
      <c r="S386" s="152"/>
      <c r="T386" s="152"/>
      <c r="U386" s="152"/>
      <c r="V386" s="152"/>
      <c r="W386" s="152"/>
      <c r="X386" s="152"/>
      <c r="Y386" s="152"/>
      <c r="Z386" s="281"/>
      <c r="AA386" s="281"/>
      <c r="AB386" s="281"/>
      <c r="AC386" s="281"/>
      <c r="AD386" s="281"/>
      <c r="AE386" s="281"/>
      <c r="AF386" s="281"/>
      <c r="AG386" s="170"/>
      <c r="AH386" s="152"/>
      <c r="AI386" s="152"/>
      <c r="AJ386" s="152"/>
      <c r="AK386" s="152"/>
      <c r="AL386" s="152"/>
      <c r="AM386" s="152"/>
      <c r="AN386" s="152"/>
      <c r="AO386" s="152"/>
      <c r="AP386" s="152"/>
      <c r="AQ386" s="152"/>
      <c r="AR386" s="152"/>
    </row>
    <row r="387" ht="12.75" customHeight="1">
      <c r="A387" s="288"/>
      <c r="B387" s="288"/>
      <c r="C387" s="288"/>
      <c r="D387" s="152"/>
      <c r="E387" s="289"/>
      <c r="F387" s="288"/>
      <c r="G387" s="152"/>
      <c r="H387" s="152"/>
      <c r="I387" s="152"/>
      <c r="J387" s="152"/>
      <c r="K387" s="289"/>
      <c r="L387" s="289"/>
      <c r="M387" s="152"/>
      <c r="N387" s="152"/>
      <c r="O387" s="156"/>
      <c r="P387" s="152"/>
      <c r="Q387" s="152"/>
      <c r="R387" s="152"/>
      <c r="S387" s="152"/>
      <c r="T387" s="152"/>
      <c r="U387" s="152"/>
      <c r="V387" s="152"/>
      <c r="W387" s="152"/>
      <c r="X387" s="152"/>
      <c r="Y387" s="152"/>
      <c r="Z387" s="281"/>
      <c r="AA387" s="281"/>
      <c r="AB387" s="281"/>
      <c r="AC387" s="281"/>
      <c r="AD387" s="281"/>
      <c r="AE387" s="281"/>
      <c r="AF387" s="281"/>
      <c r="AG387" s="170"/>
      <c r="AH387" s="152"/>
      <c r="AI387" s="152"/>
      <c r="AJ387" s="152"/>
      <c r="AK387" s="152"/>
      <c r="AL387" s="152"/>
      <c r="AM387" s="152"/>
      <c r="AN387" s="152"/>
      <c r="AO387" s="152"/>
      <c r="AP387" s="152"/>
      <c r="AQ387" s="152"/>
      <c r="AR387" s="152"/>
    </row>
    <row r="388" ht="12.75" customHeight="1">
      <c r="A388" s="288"/>
      <c r="B388" s="288"/>
      <c r="C388" s="288"/>
      <c r="D388" s="152"/>
      <c r="E388" s="289"/>
      <c r="F388" s="288"/>
      <c r="G388" s="152"/>
      <c r="H388" s="152"/>
      <c r="I388" s="152"/>
      <c r="J388" s="152"/>
      <c r="K388" s="289"/>
      <c r="L388" s="289"/>
      <c r="M388" s="152"/>
      <c r="N388" s="152"/>
      <c r="O388" s="156"/>
      <c r="P388" s="152"/>
      <c r="Q388" s="152"/>
      <c r="R388" s="152"/>
      <c r="S388" s="152"/>
      <c r="T388" s="152"/>
      <c r="U388" s="152"/>
      <c r="V388" s="152"/>
      <c r="W388" s="152"/>
      <c r="X388" s="152"/>
      <c r="Y388" s="152"/>
      <c r="Z388" s="281"/>
      <c r="AA388" s="281"/>
      <c r="AB388" s="281"/>
      <c r="AC388" s="281"/>
      <c r="AD388" s="281"/>
      <c r="AE388" s="281"/>
      <c r="AF388" s="281"/>
      <c r="AG388" s="170"/>
      <c r="AH388" s="152"/>
      <c r="AI388" s="152"/>
      <c r="AJ388" s="152"/>
      <c r="AK388" s="152"/>
      <c r="AL388" s="152"/>
      <c r="AM388" s="152"/>
      <c r="AN388" s="152"/>
      <c r="AO388" s="152"/>
      <c r="AP388" s="152"/>
      <c r="AQ388" s="152"/>
      <c r="AR388" s="152"/>
    </row>
    <row r="389" ht="12.75" customHeight="1">
      <c r="A389" s="288"/>
      <c r="B389" s="288"/>
      <c r="C389" s="288"/>
      <c r="D389" s="152"/>
      <c r="E389" s="289"/>
      <c r="F389" s="288"/>
      <c r="G389" s="152"/>
      <c r="H389" s="152"/>
      <c r="I389" s="152"/>
      <c r="J389" s="152"/>
      <c r="K389" s="289"/>
      <c r="L389" s="289"/>
      <c r="M389" s="152"/>
      <c r="N389" s="152"/>
      <c r="O389" s="156"/>
      <c r="P389" s="152"/>
      <c r="Q389" s="152"/>
      <c r="R389" s="152"/>
      <c r="S389" s="152"/>
      <c r="T389" s="152"/>
      <c r="U389" s="152"/>
      <c r="V389" s="152"/>
      <c r="W389" s="152"/>
      <c r="X389" s="152"/>
      <c r="Y389" s="152"/>
      <c r="Z389" s="281"/>
      <c r="AA389" s="281"/>
      <c r="AB389" s="281"/>
      <c r="AC389" s="281"/>
      <c r="AD389" s="281"/>
      <c r="AE389" s="281"/>
      <c r="AF389" s="281"/>
      <c r="AG389" s="170"/>
      <c r="AH389" s="152"/>
      <c r="AI389" s="152"/>
      <c r="AJ389" s="152"/>
      <c r="AK389" s="152"/>
      <c r="AL389" s="152"/>
      <c r="AM389" s="152"/>
      <c r="AN389" s="152"/>
      <c r="AO389" s="152"/>
      <c r="AP389" s="152"/>
      <c r="AQ389" s="152"/>
      <c r="AR389" s="152"/>
    </row>
    <row r="390" ht="12.75" customHeight="1">
      <c r="A390" s="288"/>
      <c r="B390" s="288"/>
      <c r="C390" s="288"/>
      <c r="D390" s="152"/>
      <c r="E390" s="289"/>
      <c r="F390" s="288"/>
      <c r="G390" s="152"/>
      <c r="H390" s="152"/>
      <c r="I390" s="152"/>
      <c r="J390" s="152"/>
      <c r="K390" s="289"/>
      <c r="L390" s="289"/>
      <c r="M390" s="152"/>
      <c r="N390" s="152"/>
      <c r="O390" s="156"/>
      <c r="P390" s="152"/>
      <c r="Q390" s="152"/>
      <c r="R390" s="152"/>
      <c r="S390" s="152"/>
      <c r="T390" s="152"/>
      <c r="U390" s="152"/>
      <c r="V390" s="152"/>
      <c r="W390" s="152"/>
      <c r="X390" s="152"/>
      <c r="Y390" s="152"/>
      <c r="Z390" s="281"/>
      <c r="AA390" s="281"/>
      <c r="AB390" s="281"/>
      <c r="AC390" s="281"/>
      <c r="AD390" s="281"/>
      <c r="AE390" s="281"/>
      <c r="AF390" s="281"/>
      <c r="AG390" s="170"/>
      <c r="AH390" s="152"/>
      <c r="AI390" s="152"/>
      <c r="AJ390" s="152"/>
      <c r="AK390" s="152"/>
      <c r="AL390" s="152"/>
      <c r="AM390" s="152"/>
      <c r="AN390" s="152"/>
      <c r="AO390" s="152"/>
      <c r="AP390" s="152"/>
      <c r="AQ390" s="152"/>
      <c r="AR390" s="152"/>
    </row>
    <row r="391" ht="12.75" customHeight="1">
      <c r="A391" s="288"/>
      <c r="B391" s="288"/>
      <c r="C391" s="288"/>
      <c r="D391" s="152"/>
      <c r="E391" s="289"/>
      <c r="F391" s="288"/>
      <c r="G391" s="152"/>
      <c r="H391" s="152"/>
      <c r="I391" s="152"/>
      <c r="J391" s="152"/>
      <c r="K391" s="289"/>
      <c r="L391" s="289"/>
      <c r="M391" s="152"/>
      <c r="N391" s="152"/>
      <c r="O391" s="156"/>
      <c r="P391" s="152"/>
      <c r="Q391" s="152"/>
      <c r="R391" s="152"/>
      <c r="S391" s="152"/>
      <c r="T391" s="152"/>
      <c r="U391" s="152"/>
      <c r="V391" s="152"/>
      <c r="W391" s="152"/>
      <c r="X391" s="152"/>
      <c r="Y391" s="152"/>
      <c r="Z391" s="281"/>
      <c r="AA391" s="281"/>
      <c r="AB391" s="281"/>
      <c r="AC391" s="281"/>
      <c r="AD391" s="281"/>
      <c r="AE391" s="281"/>
      <c r="AF391" s="281"/>
      <c r="AG391" s="170"/>
      <c r="AH391" s="152"/>
      <c r="AI391" s="152"/>
      <c r="AJ391" s="152"/>
      <c r="AK391" s="152"/>
      <c r="AL391" s="152"/>
      <c r="AM391" s="152"/>
      <c r="AN391" s="152"/>
      <c r="AO391" s="152"/>
      <c r="AP391" s="152"/>
      <c r="AQ391" s="152"/>
      <c r="AR391" s="152"/>
    </row>
    <row r="392" ht="12.75" customHeight="1">
      <c r="A392" s="288"/>
      <c r="B392" s="288"/>
      <c r="C392" s="288"/>
      <c r="D392" s="152"/>
      <c r="E392" s="289"/>
      <c r="F392" s="288"/>
      <c r="G392" s="152"/>
      <c r="H392" s="152"/>
      <c r="I392" s="152"/>
      <c r="J392" s="152"/>
      <c r="K392" s="289"/>
      <c r="L392" s="289"/>
      <c r="M392" s="152"/>
      <c r="N392" s="152"/>
      <c r="O392" s="156"/>
      <c r="P392" s="152"/>
      <c r="Q392" s="152"/>
      <c r="R392" s="152"/>
      <c r="S392" s="152"/>
      <c r="T392" s="152"/>
      <c r="U392" s="152"/>
      <c r="V392" s="152"/>
      <c r="W392" s="152"/>
      <c r="X392" s="152"/>
      <c r="Y392" s="152"/>
      <c r="Z392" s="281"/>
      <c r="AA392" s="281"/>
      <c r="AB392" s="281"/>
      <c r="AC392" s="281"/>
      <c r="AD392" s="281"/>
      <c r="AE392" s="281"/>
      <c r="AF392" s="281"/>
      <c r="AG392" s="170"/>
      <c r="AH392" s="152"/>
      <c r="AI392" s="152"/>
      <c r="AJ392" s="152"/>
      <c r="AK392" s="152"/>
      <c r="AL392" s="152"/>
      <c r="AM392" s="152"/>
      <c r="AN392" s="152"/>
      <c r="AO392" s="152"/>
      <c r="AP392" s="152"/>
      <c r="AQ392" s="152"/>
      <c r="AR392" s="152"/>
    </row>
    <row r="393" ht="12.75" customHeight="1">
      <c r="A393" s="288"/>
      <c r="B393" s="288"/>
      <c r="C393" s="288"/>
      <c r="D393" s="152"/>
      <c r="E393" s="289"/>
      <c r="F393" s="288"/>
      <c r="G393" s="152"/>
      <c r="H393" s="152"/>
      <c r="I393" s="152"/>
      <c r="J393" s="152"/>
      <c r="K393" s="289"/>
      <c r="L393" s="289"/>
      <c r="M393" s="152"/>
      <c r="N393" s="152"/>
      <c r="O393" s="156"/>
      <c r="P393" s="152"/>
      <c r="Q393" s="152"/>
      <c r="R393" s="152"/>
      <c r="S393" s="152"/>
      <c r="T393" s="152"/>
      <c r="U393" s="152"/>
      <c r="V393" s="152"/>
      <c r="W393" s="152"/>
      <c r="X393" s="152"/>
      <c r="Y393" s="152"/>
      <c r="Z393" s="281"/>
      <c r="AA393" s="281"/>
      <c r="AB393" s="281"/>
      <c r="AC393" s="281"/>
      <c r="AD393" s="281"/>
      <c r="AE393" s="281"/>
      <c r="AF393" s="281"/>
      <c r="AG393" s="170"/>
      <c r="AH393" s="152"/>
      <c r="AI393" s="152"/>
      <c r="AJ393" s="152"/>
      <c r="AK393" s="152"/>
      <c r="AL393" s="152"/>
      <c r="AM393" s="152"/>
      <c r="AN393" s="152"/>
      <c r="AO393" s="152"/>
      <c r="AP393" s="152"/>
      <c r="AQ393" s="152"/>
      <c r="AR393" s="152"/>
    </row>
    <row r="394" ht="12.75" customHeight="1">
      <c r="A394" s="288"/>
      <c r="B394" s="288"/>
      <c r="C394" s="288"/>
      <c r="D394" s="152"/>
      <c r="E394" s="289"/>
      <c r="F394" s="288"/>
      <c r="G394" s="152"/>
      <c r="H394" s="152"/>
      <c r="I394" s="152"/>
      <c r="J394" s="152"/>
      <c r="K394" s="289"/>
      <c r="L394" s="289"/>
      <c r="M394" s="152"/>
      <c r="N394" s="152"/>
      <c r="O394" s="156"/>
      <c r="P394" s="152"/>
      <c r="Q394" s="152"/>
      <c r="R394" s="152"/>
      <c r="S394" s="152"/>
      <c r="T394" s="152"/>
      <c r="U394" s="152"/>
      <c r="V394" s="152"/>
      <c r="W394" s="152"/>
      <c r="X394" s="152"/>
      <c r="Y394" s="152"/>
      <c r="Z394" s="281"/>
      <c r="AA394" s="281"/>
      <c r="AB394" s="281"/>
      <c r="AC394" s="281"/>
      <c r="AD394" s="281"/>
      <c r="AE394" s="281"/>
      <c r="AF394" s="281"/>
      <c r="AG394" s="170"/>
      <c r="AH394" s="152"/>
      <c r="AI394" s="152"/>
      <c r="AJ394" s="152"/>
      <c r="AK394" s="152"/>
      <c r="AL394" s="152"/>
      <c r="AM394" s="152"/>
      <c r="AN394" s="152"/>
      <c r="AO394" s="152"/>
      <c r="AP394" s="152"/>
      <c r="AQ394" s="152"/>
      <c r="AR394" s="152"/>
    </row>
    <row r="395" ht="12.75" customHeight="1">
      <c r="A395" s="288"/>
      <c r="B395" s="288"/>
      <c r="C395" s="288"/>
      <c r="D395" s="152"/>
      <c r="E395" s="289"/>
      <c r="F395" s="288"/>
      <c r="G395" s="152"/>
      <c r="H395" s="152"/>
      <c r="I395" s="152"/>
      <c r="J395" s="152"/>
      <c r="K395" s="289"/>
      <c r="L395" s="289"/>
      <c r="M395" s="152"/>
      <c r="N395" s="152"/>
      <c r="O395" s="156"/>
      <c r="P395" s="152"/>
      <c r="Q395" s="152"/>
      <c r="R395" s="152"/>
      <c r="S395" s="152"/>
      <c r="T395" s="152"/>
      <c r="U395" s="152"/>
      <c r="V395" s="152"/>
      <c r="W395" s="152"/>
      <c r="X395" s="152"/>
      <c r="Y395" s="152"/>
      <c r="Z395" s="281"/>
      <c r="AA395" s="281"/>
      <c r="AB395" s="281"/>
      <c r="AC395" s="281"/>
      <c r="AD395" s="281"/>
      <c r="AE395" s="281"/>
      <c r="AF395" s="281"/>
      <c r="AG395" s="170"/>
      <c r="AH395" s="152"/>
      <c r="AI395" s="152"/>
      <c r="AJ395" s="152"/>
      <c r="AK395" s="152"/>
      <c r="AL395" s="152"/>
      <c r="AM395" s="152"/>
      <c r="AN395" s="152"/>
      <c r="AO395" s="152"/>
      <c r="AP395" s="152"/>
      <c r="AQ395" s="152"/>
      <c r="AR395" s="152"/>
    </row>
    <row r="396" ht="12.75" customHeight="1">
      <c r="A396" s="288"/>
      <c r="B396" s="288"/>
      <c r="C396" s="288"/>
      <c r="D396" s="152"/>
      <c r="E396" s="289"/>
      <c r="F396" s="288"/>
      <c r="G396" s="152"/>
      <c r="H396" s="152"/>
      <c r="I396" s="152"/>
      <c r="J396" s="152"/>
      <c r="K396" s="289"/>
      <c r="L396" s="289"/>
      <c r="M396" s="152"/>
      <c r="N396" s="152"/>
      <c r="O396" s="156"/>
      <c r="P396" s="152"/>
      <c r="Q396" s="152"/>
      <c r="R396" s="152"/>
      <c r="S396" s="152"/>
      <c r="T396" s="152"/>
      <c r="U396" s="152"/>
      <c r="V396" s="152"/>
      <c r="W396" s="152"/>
      <c r="X396" s="152"/>
      <c r="Y396" s="152"/>
      <c r="Z396" s="281"/>
      <c r="AA396" s="281"/>
      <c r="AB396" s="281"/>
      <c r="AC396" s="281"/>
      <c r="AD396" s="281"/>
      <c r="AE396" s="281"/>
      <c r="AF396" s="281"/>
      <c r="AG396" s="170"/>
      <c r="AH396" s="152"/>
      <c r="AI396" s="152"/>
      <c r="AJ396" s="152"/>
      <c r="AK396" s="152"/>
      <c r="AL396" s="152"/>
      <c r="AM396" s="152"/>
      <c r="AN396" s="152"/>
      <c r="AO396" s="152"/>
      <c r="AP396" s="152"/>
      <c r="AQ396" s="152"/>
      <c r="AR396" s="152"/>
    </row>
    <row r="397" ht="12.75" customHeight="1">
      <c r="A397" s="288"/>
      <c r="B397" s="288"/>
      <c r="C397" s="288"/>
      <c r="D397" s="152"/>
      <c r="E397" s="289"/>
      <c r="F397" s="288"/>
      <c r="G397" s="152"/>
      <c r="H397" s="152"/>
      <c r="I397" s="152"/>
      <c r="J397" s="152"/>
      <c r="K397" s="289"/>
      <c r="L397" s="289"/>
      <c r="M397" s="152"/>
      <c r="N397" s="152"/>
      <c r="O397" s="156"/>
      <c r="P397" s="152"/>
      <c r="Q397" s="152"/>
      <c r="R397" s="152"/>
      <c r="S397" s="152"/>
      <c r="T397" s="152"/>
      <c r="U397" s="152"/>
      <c r="V397" s="152"/>
      <c r="W397" s="152"/>
      <c r="X397" s="152"/>
      <c r="Y397" s="152"/>
      <c r="Z397" s="281"/>
      <c r="AA397" s="281"/>
      <c r="AB397" s="281"/>
      <c r="AC397" s="281"/>
      <c r="AD397" s="281"/>
      <c r="AE397" s="281"/>
      <c r="AF397" s="281"/>
      <c r="AG397" s="170"/>
      <c r="AH397" s="152"/>
      <c r="AI397" s="152"/>
      <c r="AJ397" s="152"/>
      <c r="AK397" s="152"/>
      <c r="AL397" s="152"/>
      <c r="AM397" s="152"/>
      <c r="AN397" s="152"/>
      <c r="AO397" s="152"/>
      <c r="AP397" s="152"/>
      <c r="AQ397" s="152"/>
      <c r="AR397" s="152"/>
    </row>
    <row r="398" ht="12.75" customHeight="1">
      <c r="A398" s="288"/>
      <c r="B398" s="288"/>
      <c r="C398" s="288"/>
      <c r="D398" s="152"/>
      <c r="E398" s="289"/>
      <c r="F398" s="288"/>
      <c r="G398" s="152"/>
      <c r="H398" s="152"/>
      <c r="I398" s="152"/>
      <c r="J398" s="152"/>
      <c r="K398" s="289"/>
      <c r="L398" s="289"/>
      <c r="M398" s="152"/>
      <c r="N398" s="152"/>
      <c r="O398" s="156"/>
      <c r="P398" s="152"/>
      <c r="Q398" s="152"/>
      <c r="R398" s="152"/>
      <c r="S398" s="152"/>
      <c r="T398" s="152"/>
      <c r="U398" s="152"/>
      <c r="V398" s="152"/>
      <c r="W398" s="152"/>
      <c r="X398" s="152"/>
      <c r="Y398" s="152"/>
      <c r="Z398" s="281"/>
      <c r="AA398" s="281"/>
      <c r="AB398" s="281"/>
      <c r="AC398" s="281"/>
      <c r="AD398" s="281"/>
      <c r="AE398" s="281"/>
      <c r="AF398" s="281"/>
      <c r="AG398" s="170"/>
      <c r="AH398" s="152"/>
      <c r="AI398" s="152"/>
      <c r="AJ398" s="152"/>
      <c r="AK398" s="152"/>
      <c r="AL398" s="152"/>
      <c r="AM398" s="152"/>
      <c r="AN398" s="152"/>
      <c r="AO398" s="152"/>
      <c r="AP398" s="152"/>
      <c r="AQ398" s="152"/>
      <c r="AR398" s="152"/>
    </row>
    <row r="399" ht="12.75" customHeight="1">
      <c r="A399" s="288"/>
      <c r="B399" s="288"/>
      <c r="C399" s="288"/>
      <c r="D399" s="152"/>
      <c r="E399" s="289"/>
      <c r="F399" s="288"/>
      <c r="G399" s="152"/>
      <c r="H399" s="152"/>
      <c r="I399" s="152"/>
      <c r="J399" s="152"/>
      <c r="K399" s="289"/>
      <c r="L399" s="289"/>
      <c r="M399" s="152"/>
      <c r="N399" s="152"/>
      <c r="O399" s="156"/>
      <c r="P399" s="152"/>
      <c r="Q399" s="152"/>
      <c r="R399" s="152"/>
      <c r="S399" s="152"/>
      <c r="T399" s="152"/>
      <c r="U399" s="152"/>
      <c r="V399" s="152"/>
      <c r="W399" s="152"/>
      <c r="X399" s="152"/>
      <c r="Y399" s="152"/>
      <c r="Z399" s="281"/>
      <c r="AA399" s="281"/>
      <c r="AB399" s="281"/>
      <c r="AC399" s="281"/>
      <c r="AD399" s="281"/>
      <c r="AE399" s="281"/>
      <c r="AF399" s="281"/>
      <c r="AG399" s="170"/>
      <c r="AH399" s="152"/>
      <c r="AI399" s="152"/>
      <c r="AJ399" s="152"/>
      <c r="AK399" s="152"/>
      <c r="AL399" s="152"/>
      <c r="AM399" s="152"/>
      <c r="AN399" s="152"/>
      <c r="AO399" s="152"/>
      <c r="AP399" s="152"/>
      <c r="AQ399" s="152"/>
      <c r="AR399" s="152"/>
    </row>
    <row r="400" ht="12.75" customHeight="1">
      <c r="A400" s="288"/>
      <c r="B400" s="288"/>
      <c r="C400" s="288"/>
      <c r="D400" s="152"/>
      <c r="E400" s="289"/>
      <c r="F400" s="288"/>
      <c r="G400" s="152"/>
      <c r="H400" s="152"/>
      <c r="I400" s="152"/>
      <c r="J400" s="152"/>
      <c r="K400" s="289"/>
      <c r="L400" s="289"/>
      <c r="M400" s="152"/>
      <c r="N400" s="152"/>
      <c r="O400" s="156"/>
      <c r="P400" s="152"/>
      <c r="Q400" s="152"/>
      <c r="R400" s="152"/>
      <c r="S400" s="152"/>
      <c r="T400" s="152"/>
      <c r="U400" s="152"/>
      <c r="V400" s="152"/>
      <c r="W400" s="152"/>
      <c r="X400" s="152"/>
      <c r="Y400" s="152"/>
      <c r="Z400" s="281"/>
      <c r="AA400" s="281"/>
      <c r="AB400" s="281"/>
      <c r="AC400" s="281"/>
      <c r="AD400" s="281"/>
      <c r="AE400" s="281"/>
      <c r="AF400" s="281"/>
      <c r="AG400" s="170"/>
      <c r="AH400" s="152"/>
      <c r="AI400" s="152"/>
      <c r="AJ400" s="152"/>
      <c r="AK400" s="152"/>
      <c r="AL400" s="152"/>
      <c r="AM400" s="152"/>
      <c r="AN400" s="152"/>
      <c r="AO400" s="152"/>
      <c r="AP400" s="152"/>
      <c r="AQ400" s="152"/>
      <c r="AR400" s="152"/>
    </row>
    <row r="401" ht="12.75" customHeight="1">
      <c r="A401" s="288"/>
      <c r="B401" s="288"/>
      <c r="C401" s="288"/>
      <c r="D401" s="152"/>
      <c r="E401" s="289"/>
      <c r="F401" s="288"/>
      <c r="G401" s="152"/>
      <c r="H401" s="152"/>
      <c r="I401" s="152"/>
      <c r="J401" s="152"/>
      <c r="K401" s="289"/>
      <c r="L401" s="289"/>
      <c r="M401" s="152"/>
      <c r="N401" s="152"/>
      <c r="O401" s="156"/>
      <c r="P401" s="152"/>
      <c r="Q401" s="152"/>
      <c r="R401" s="152"/>
      <c r="S401" s="152"/>
      <c r="T401" s="152"/>
      <c r="U401" s="152"/>
      <c r="V401" s="152"/>
      <c r="W401" s="152"/>
      <c r="X401" s="152"/>
      <c r="Y401" s="152"/>
      <c r="Z401" s="281"/>
      <c r="AA401" s="281"/>
      <c r="AB401" s="281"/>
      <c r="AC401" s="281"/>
      <c r="AD401" s="281"/>
      <c r="AE401" s="281"/>
      <c r="AF401" s="281"/>
      <c r="AG401" s="170"/>
      <c r="AH401" s="152"/>
      <c r="AI401" s="152"/>
      <c r="AJ401" s="152"/>
      <c r="AK401" s="152"/>
      <c r="AL401" s="152"/>
      <c r="AM401" s="152"/>
      <c r="AN401" s="152"/>
      <c r="AO401" s="152"/>
      <c r="AP401" s="152"/>
      <c r="AQ401" s="152"/>
      <c r="AR401" s="152"/>
    </row>
    <row r="402" ht="12.75" customHeight="1">
      <c r="A402" s="288"/>
      <c r="B402" s="288"/>
      <c r="C402" s="288"/>
      <c r="D402" s="152"/>
      <c r="E402" s="289"/>
      <c r="F402" s="288"/>
      <c r="G402" s="152"/>
      <c r="H402" s="152"/>
      <c r="I402" s="152"/>
      <c r="J402" s="152"/>
      <c r="K402" s="289"/>
      <c r="L402" s="289"/>
      <c r="M402" s="152"/>
      <c r="N402" s="152"/>
      <c r="O402" s="156"/>
      <c r="P402" s="152"/>
      <c r="Q402" s="152"/>
      <c r="R402" s="152"/>
      <c r="S402" s="152"/>
      <c r="T402" s="152"/>
      <c r="U402" s="152"/>
      <c r="V402" s="152"/>
      <c r="W402" s="152"/>
      <c r="X402" s="152"/>
      <c r="Y402" s="152"/>
      <c r="Z402" s="281"/>
      <c r="AA402" s="281"/>
      <c r="AB402" s="281"/>
      <c r="AC402" s="281"/>
      <c r="AD402" s="281"/>
      <c r="AE402" s="281"/>
      <c r="AF402" s="281"/>
      <c r="AG402" s="170"/>
      <c r="AH402" s="152"/>
      <c r="AI402" s="152"/>
      <c r="AJ402" s="152"/>
      <c r="AK402" s="152"/>
      <c r="AL402" s="152"/>
      <c r="AM402" s="152"/>
      <c r="AN402" s="152"/>
      <c r="AO402" s="152"/>
      <c r="AP402" s="152"/>
      <c r="AQ402" s="152"/>
      <c r="AR402" s="152"/>
    </row>
    <row r="403" ht="12.75" customHeight="1">
      <c r="A403" s="288"/>
      <c r="B403" s="288"/>
      <c r="C403" s="288"/>
      <c r="D403" s="152"/>
      <c r="E403" s="289"/>
      <c r="F403" s="288"/>
      <c r="G403" s="152"/>
      <c r="H403" s="152"/>
      <c r="I403" s="152"/>
      <c r="J403" s="152"/>
      <c r="K403" s="289"/>
      <c r="L403" s="289"/>
      <c r="M403" s="152"/>
      <c r="N403" s="152"/>
      <c r="O403" s="156"/>
      <c r="P403" s="152"/>
      <c r="Q403" s="152"/>
      <c r="R403" s="152"/>
      <c r="S403" s="152"/>
      <c r="T403" s="152"/>
      <c r="U403" s="152"/>
      <c r="V403" s="152"/>
      <c r="W403" s="152"/>
      <c r="X403" s="152"/>
      <c r="Y403" s="152"/>
      <c r="Z403" s="281"/>
      <c r="AA403" s="281"/>
      <c r="AB403" s="281"/>
      <c r="AC403" s="281"/>
      <c r="AD403" s="281"/>
      <c r="AE403" s="281"/>
      <c r="AF403" s="281"/>
      <c r="AG403" s="170"/>
      <c r="AH403" s="152"/>
      <c r="AI403" s="152"/>
      <c r="AJ403" s="152"/>
      <c r="AK403" s="152"/>
      <c r="AL403" s="152"/>
      <c r="AM403" s="152"/>
      <c r="AN403" s="152"/>
      <c r="AO403" s="152"/>
      <c r="AP403" s="152"/>
      <c r="AQ403" s="152"/>
      <c r="AR403" s="152"/>
    </row>
    <row r="404" ht="12.75" customHeight="1">
      <c r="A404" s="288"/>
      <c r="B404" s="288"/>
      <c r="C404" s="288"/>
      <c r="D404" s="152"/>
      <c r="E404" s="289"/>
      <c r="F404" s="288"/>
      <c r="G404" s="152"/>
      <c r="H404" s="152"/>
      <c r="I404" s="152"/>
      <c r="J404" s="152"/>
      <c r="K404" s="289"/>
      <c r="L404" s="289"/>
      <c r="M404" s="152"/>
      <c r="N404" s="152"/>
      <c r="O404" s="156"/>
      <c r="P404" s="152"/>
      <c r="Q404" s="152"/>
      <c r="R404" s="152"/>
      <c r="S404" s="152"/>
      <c r="T404" s="152"/>
      <c r="U404" s="152"/>
      <c r="V404" s="152"/>
      <c r="W404" s="152"/>
      <c r="X404" s="152"/>
      <c r="Y404" s="152"/>
      <c r="Z404" s="281"/>
      <c r="AA404" s="281"/>
      <c r="AB404" s="281"/>
      <c r="AC404" s="281"/>
      <c r="AD404" s="281"/>
      <c r="AE404" s="281"/>
      <c r="AF404" s="281"/>
      <c r="AG404" s="170"/>
      <c r="AH404" s="152"/>
      <c r="AI404" s="152"/>
      <c r="AJ404" s="152"/>
      <c r="AK404" s="152"/>
      <c r="AL404" s="152"/>
      <c r="AM404" s="152"/>
      <c r="AN404" s="152"/>
      <c r="AO404" s="152"/>
      <c r="AP404" s="152"/>
      <c r="AQ404" s="152"/>
      <c r="AR404" s="152"/>
    </row>
    <row r="405" ht="12.75" customHeight="1">
      <c r="A405" s="288"/>
      <c r="B405" s="288"/>
      <c r="C405" s="288"/>
      <c r="D405" s="152"/>
      <c r="E405" s="289"/>
      <c r="F405" s="288"/>
      <c r="G405" s="152"/>
      <c r="H405" s="152"/>
      <c r="I405" s="152"/>
      <c r="J405" s="152"/>
      <c r="K405" s="289"/>
      <c r="L405" s="289"/>
      <c r="M405" s="152"/>
      <c r="N405" s="152"/>
      <c r="O405" s="156"/>
      <c r="P405" s="152"/>
      <c r="Q405" s="152"/>
      <c r="R405" s="152"/>
      <c r="S405" s="152"/>
      <c r="T405" s="152"/>
      <c r="U405" s="152"/>
      <c r="V405" s="152"/>
      <c r="W405" s="152"/>
      <c r="X405" s="152"/>
      <c r="Y405" s="152"/>
      <c r="Z405" s="281"/>
      <c r="AA405" s="281"/>
      <c r="AB405" s="281"/>
      <c r="AC405" s="281"/>
      <c r="AD405" s="281"/>
      <c r="AE405" s="281"/>
      <c r="AF405" s="281"/>
      <c r="AG405" s="170"/>
      <c r="AH405" s="152"/>
      <c r="AI405" s="152"/>
      <c r="AJ405" s="152"/>
      <c r="AK405" s="152"/>
      <c r="AL405" s="152"/>
      <c r="AM405" s="152"/>
      <c r="AN405" s="152"/>
      <c r="AO405" s="152"/>
      <c r="AP405" s="152"/>
      <c r="AQ405" s="152"/>
      <c r="AR405" s="152"/>
    </row>
    <row r="406" ht="12.75" customHeight="1">
      <c r="A406" s="288"/>
      <c r="B406" s="288"/>
      <c r="C406" s="288"/>
      <c r="D406" s="152"/>
      <c r="E406" s="289"/>
      <c r="F406" s="288"/>
      <c r="G406" s="152"/>
      <c r="H406" s="152"/>
      <c r="I406" s="152"/>
      <c r="J406" s="152"/>
      <c r="K406" s="289"/>
      <c r="L406" s="289"/>
      <c r="M406" s="152"/>
      <c r="N406" s="152"/>
      <c r="O406" s="156"/>
      <c r="P406" s="152"/>
      <c r="Q406" s="152"/>
      <c r="R406" s="152"/>
      <c r="S406" s="152"/>
      <c r="T406" s="152"/>
      <c r="U406" s="152"/>
      <c r="V406" s="152"/>
      <c r="W406" s="152"/>
      <c r="X406" s="152"/>
      <c r="Y406" s="152"/>
      <c r="Z406" s="281"/>
      <c r="AA406" s="281"/>
      <c r="AB406" s="281"/>
      <c r="AC406" s="281"/>
      <c r="AD406" s="281"/>
      <c r="AE406" s="281"/>
      <c r="AF406" s="281"/>
      <c r="AG406" s="170"/>
      <c r="AH406" s="152"/>
      <c r="AI406" s="152"/>
      <c r="AJ406" s="152"/>
      <c r="AK406" s="152"/>
      <c r="AL406" s="152"/>
      <c r="AM406" s="152"/>
      <c r="AN406" s="152"/>
      <c r="AO406" s="152"/>
      <c r="AP406" s="152"/>
      <c r="AQ406" s="152"/>
      <c r="AR406" s="152"/>
    </row>
    <row r="407" ht="12.75" customHeight="1">
      <c r="A407" s="288"/>
      <c r="B407" s="288"/>
      <c r="C407" s="288"/>
      <c r="D407" s="152"/>
      <c r="E407" s="289"/>
      <c r="F407" s="288"/>
      <c r="G407" s="152"/>
      <c r="H407" s="152"/>
      <c r="I407" s="152"/>
      <c r="J407" s="152"/>
      <c r="K407" s="289"/>
      <c r="L407" s="289"/>
      <c r="M407" s="152"/>
      <c r="N407" s="152"/>
      <c r="O407" s="156"/>
      <c r="P407" s="152"/>
      <c r="Q407" s="152"/>
      <c r="R407" s="152"/>
      <c r="S407" s="152"/>
      <c r="T407" s="152"/>
      <c r="U407" s="152"/>
      <c r="V407" s="152"/>
      <c r="W407" s="152"/>
      <c r="X407" s="152"/>
      <c r="Y407" s="152"/>
      <c r="Z407" s="281"/>
      <c r="AA407" s="281"/>
      <c r="AB407" s="281"/>
      <c r="AC407" s="281"/>
      <c r="AD407" s="281"/>
      <c r="AE407" s="281"/>
      <c r="AF407" s="281"/>
      <c r="AG407" s="170"/>
      <c r="AH407" s="152"/>
      <c r="AI407" s="152"/>
      <c r="AJ407" s="152"/>
      <c r="AK407" s="152"/>
      <c r="AL407" s="152"/>
      <c r="AM407" s="152"/>
      <c r="AN407" s="152"/>
      <c r="AO407" s="152"/>
      <c r="AP407" s="152"/>
      <c r="AQ407" s="152"/>
      <c r="AR407" s="152"/>
    </row>
    <row r="408" ht="12.75" customHeight="1">
      <c r="A408" s="288"/>
      <c r="B408" s="288"/>
      <c r="C408" s="288"/>
      <c r="D408" s="152"/>
      <c r="E408" s="289"/>
      <c r="F408" s="288"/>
      <c r="G408" s="152"/>
      <c r="H408" s="152"/>
      <c r="I408" s="152"/>
      <c r="J408" s="152"/>
      <c r="K408" s="289"/>
      <c r="L408" s="289"/>
      <c r="M408" s="152"/>
      <c r="N408" s="152"/>
      <c r="O408" s="156"/>
      <c r="P408" s="152"/>
      <c r="Q408" s="152"/>
      <c r="R408" s="152"/>
      <c r="S408" s="152"/>
      <c r="T408" s="152"/>
      <c r="U408" s="152"/>
      <c r="V408" s="152"/>
      <c r="W408" s="152"/>
      <c r="X408" s="152"/>
      <c r="Y408" s="152"/>
      <c r="Z408" s="281"/>
      <c r="AA408" s="281"/>
      <c r="AB408" s="281"/>
      <c r="AC408" s="281"/>
      <c r="AD408" s="281"/>
      <c r="AE408" s="281"/>
      <c r="AF408" s="281"/>
      <c r="AG408" s="170"/>
      <c r="AH408" s="152"/>
      <c r="AI408" s="152"/>
      <c r="AJ408" s="152"/>
      <c r="AK408" s="152"/>
      <c r="AL408" s="152"/>
      <c r="AM408" s="152"/>
      <c r="AN408" s="152"/>
      <c r="AO408" s="152"/>
      <c r="AP408" s="152"/>
      <c r="AQ408" s="152"/>
      <c r="AR408" s="152"/>
    </row>
    <row r="409" ht="12.75" customHeight="1">
      <c r="A409" s="288"/>
      <c r="B409" s="288"/>
      <c r="C409" s="288"/>
      <c r="D409" s="152"/>
      <c r="E409" s="289"/>
      <c r="F409" s="288"/>
      <c r="G409" s="152"/>
      <c r="H409" s="152"/>
      <c r="I409" s="152"/>
      <c r="J409" s="152"/>
      <c r="K409" s="289"/>
      <c r="L409" s="289"/>
      <c r="M409" s="152"/>
      <c r="N409" s="152"/>
      <c r="O409" s="156"/>
      <c r="P409" s="152"/>
      <c r="Q409" s="152"/>
      <c r="R409" s="152"/>
      <c r="S409" s="152"/>
      <c r="T409" s="152"/>
      <c r="U409" s="152"/>
      <c r="V409" s="152"/>
      <c r="W409" s="152"/>
      <c r="X409" s="152"/>
      <c r="Y409" s="152"/>
      <c r="Z409" s="281"/>
      <c r="AA409" s="281"/>
      <c r="AB409" s="281"/>
      <c r="AC409" s="281"/>
      <c r="AD409" s="281"/>
      <c r="AE409" s="281"/>
      <c r="AF409" s="281"/>
      <c r="AG409" s="170"/>
      <c r="AH409" s="152"/>
      <c r="AI409" s="152"/>
      <c r="AJ409" s="152"/>
      <c r="AK409" s="152"/>
      <c r="AL409" s="152"/>
      <c r="AM409" s="152"/>
      <c r="AN409" s="152"/>
      <c r="AO409" s="152"/>
      <c r="AP409" s="152"/>
      <c r="AQ409" s="152"/>
      <c r="AR409" s="152"/>
    </row>
    <row r="410" ht="12.75" customHeight="1">
      <c r="A410" s="288"/>
      <c r="B410" s="288"/>
      <c r="C410" s="288"/>
      <c r="D410" s="152"/>
      <c r="E410" s="289"/>
      <c r="F410" s="288"/>
      <c r="G410" s="152"/>
      <c r="H410" s="152"/>
      <c r="I410" s="152"/>
      <c r="J410" s="152"/>
      <c r="K410" s="289"/>
      <c r="L410" s="289"/>
      <c r="M410" s="152"/>
      <c r="N410" s="152"/>
      <c r="O410" s="156"/>
      <c r="P410" s="152"/>
      <c r="Q410" s="152"/>
      <c r="R410" s="152"/>
      <c r="S410" s="152"/>
      <c r="T410" s="152"/>
      <c r="U410" s="152"/>
      <c r="V410" s="152"/>
      <c r="W410" s="152"/>
      <c r="X410" s="152"/>
      <c r="Y410" s="152"/>
      <c r="Z410" s="281"/>
      <c r="AA410" s="281"/>
      <c r="AB410" s="281"/>
      <c r="AC410" s="281"/>
      <c r="AD410" s="281"/>
      <c r="AE410" s="281"/>
      <c r="AF410" s="281"/>
      <c r="AG410" s="170"/>
      <c r="AH410" s="152"/>
      <c r="AI410" s="152"/>
      <c r="AJ410" s="152"/>
      <c r="AK410" s="152"/>
      <c r="AL410" s="152"/>
      <c r="AM410" s="152"/>
      <c r="AN410" s="152"/>
      <c r="AO410" s="152"/>
      <c r="AP410" s="152"/>
      <c r="AQ410" s="152"/>
      <c r="AR410" s="152"/>
    </row>
    <row r="411" ht="12.75" customHeight="1">
      <c r="A411" s="288"/>
      <c r="B411" s="288"/>
      <c r="C411" s="288"/>
      <c r="D411" s="152"/>
      <c r="E411" s="289"/>
      <c r="F411" s="288"/>
      <c r="G411" s="152"/>
      <c r="H411" s="152"/>
      <c r="I411" s="152"/>
      <c r="J411" s="152"/>
      <c r="K411" s="289"/>
      <c r="L411" s="289"/>
      <c r="M411" s="152"/>
      <c r="N411" s="152"/>
      <c r="O411" s="156"/>
      <c r="P411" s="152"/>
      <c r="Q411" s="152"/>
      <c r="R411" s="152"/>
      <c r="S411" s="152"/>
      <c r="T411" s="152"/>
      <c r="U411" s="152"/>
      <c r="V411" s="152"/>
      <c r="W411" s="152"/>
      <c r="X411" s="152"/>
      <c r="Y411" s="152"/>
      <c r="Z411" s="281"/>
      <c r="AA411" s="281"/>
      <c r="AB411" s="281"/>
      <c r="AC411" s="281"/>
      <c r="AD411" s="281"/>
      <c r="AE411" s="281"/>
      <c r="AF411" s="281"/>
      <c r="AG411" s="170"/>
      <c r="AH411" s="152"/>
      <c r="AI411" s="152"/>
      <c r="AJ411" s="152"/>
      <c r="AK411" s="152"/>
      <c r="AL411" s="152"/>
      <c r="AM411" s="152"/>
      <c r="AN411" s="152"/>
      <c r="AO411" s="152"/>
      <c r="AP411" s="152"/>
      <c r="AQ411" s="152"/>
      <c r="AR411" s="152"/>
    </row>
    <row r="412" ht="12.75" customHeight="1">
      <c r="A412" s="288"/>
      <c r="B412" s="288"/>
      <c r="C412" s="288"/>
      <c r="D412" s="152"/>
      <c r="E412" s="289"/>
      <c r="F412" s="288"/>
      <c r="G412" s="152"/>
      <c r="H412" s="152"/>
      <c r="I412" s="152"/>
      <c r="J412" s="152"/>
      <c r="K412" s="289"/>
      <c r="L412" s="289"/>
      <c r="M412" s="152"/>
      <c r="N412" s="152"/>
      <c r="O412" s="156"/>
      <c r="P412" s="152"/>
      <c r="Q412" s="152"/>
      <c r="R412" s="152"/>
      <c r="S412" s="152"/>
      <c r="T412" s="152"/>
      <c r="U412" s="152"/>
      <c r="V412" s="152"/>
      <c r="W412" s="152"/>
      <c r="X412" s="152"/>
      <c r="Y412" s="152"/>
      <c r="Z412" s="281"/>
      <c r="AA412" s="281"/>
      <c r="AB412" s="281"/>
      <c r="AC412" s="281"/>
      <c r="AD412" s="281"/>
      <c r="AE412" s="281"/>
      <c r="AF412" s="281"/>
      <c r="AG412" s="170"/>
      <c r="AH412" s="152"/>
      <c r="AI412" s="152"/>
      <c r="AJ412" s="152"/>
      <c r="AK412" s="152"/>
      <c r="AL412" s="152"/>
      <c r="AM412" s="152"/>
      <c r="AN412" s="152"/>
      <c r="AO412" s="152"/>
      <c r="AP412" s="152"/>
      <c r="AQ412" s="152"/>
      <c r="AR412" s="152"/>
    </row>
    <row r="413" ht="12.75" customHeight="1">
      <c r="A413" s="288"/>
      <c r="B413" s="288"/>
      <c r="C413" s="288"/>
      <c r="D413" s="152"/>
      <c r="E413" s="289"/>
      <c r="F413" s="288"/>
      <c r="G413" s="152"/>
      <c r="H413" s="152"/>
      <c r="I413" s="152"/>
      <c r="J413" s="152"/>
      <c r="K413" s="289"/>
      <c r="L413" s="289"/>
      <c r="M413" s="152"/>
      <c r="N413" s="152"/>
      <c r="O413" s="156"/>
      <c r="P413" s="152"/>
      <c r="Q413" s="152"/>
      <c r="R413" s="152"/>
      <c r="S413" s="152"/>
      <c r="T413" s="152"/>
      <c r="U413" s="152"/>
      <c r="V413" s="152"/>
      <c r="W413" s="152"/>
      <c r="X413" s="152"/>
      <c r="Y413" s="152"/>
      <c r="Z413" s="281"/>
      <c r="AA413" s="281"/>
      <c r="AB413" s="281"/>
      <c r="AC413" s="281"/>
      <c r="AD413" s="281"/>
      <c r="AE413" s="281"/>
      <c r="AF413" s="281"/>
      <c r="AG413" s="170"/>
      <c r="AH413" s="152"/>
      <c r="AI413" s="152"/>
      <c r="AJ413" s="152"/>
      <c r="AK413" s="152"/>
      <c r="AL413" s="152"/>
      <c r="AM413" s="152"/>
      <c r="AN413" s="152"/>
      <c r="AO413" s="152"/>
      <c r="AP413" s="152"/>
      <c r="AQ413" s="152"/>
      <c r="AR413" s="152"/>
    </row>
    <row r="414" ht="12.75" customHeight="1">
      <c r="A414" s="288"/>
      <c r="B414" s="288"/>
      <c r="C414" s="288"/>
      <c r="D414" s="152"/>
      <c r="E414" s="289"/>
      <c r="F414" s="288"/>
      <c r="G414" s="152"/>
      <c r="H414" s="152"/>
      <c r="I414" s="152"/>
      <c r="J414" s="152"/>
      <c r="K414" s="289"/>
      <c r="L414" s="289"/>
      <c r="M414" s="152"/>
      <c r="N414" s="152"/>
      <c r="O414" s="156"/>
      <c r="P414" s="152"/>
      <c r="Q414" s="152"/>
      <c r="R414" s="152"/>
      <c r="S414" s="152"/>
      <c r="T414" s="152"/>
      <c r="U414" s="152"/>
      <c r="V414" s="152"/>
      <c r="W414" s="152"/>
      <c r="X414" s="152"/>
      <c r="Y414" s="152"/>
      <c r="Z414" s="281"/>
      <c r="AA414" s="281"/>
      <c r="AB414" s="281"/>
      <c r="AC414" s="281"/>
      <c r="AD414" s="281"/>
      <c r="AE414" s="281"/>
      <c r="AF414" s="281"/>
      <c r="AG414" s="170"/>
      <c r="AH414" s="152"/>
      <c r="AI414" s="152"/>
      <c r="AJ414" s="152"/>
      <c r="AK414" s="152"/>
      <c r="AL414" s="152"/>
      <c r="AM414" s="152"/>
      <c r="AN414" s="152"/>
      <c r="AO414" s="152"/>
      <c r="AP414" s="152"/>
      <c r="AQ414" s="152"/>
      <c r="AR414" s="152"/>
    </row>
    <row r="415" ht="12.75" customHeight="1">
      <c r="A415" s="288"/>
      <c r="B415" s="288"/>
      <c r="C415" s="288"/>
      <c r="D415" s="152"/>
      <c r="E415" s="289"/>
      <c r="F415" s="288"/>
      <c r="G415" s="152"/>
      <c r="H415" s="152"/>
      <c r="I415" s="152"/>
      <c r="J415" s="152"/>
      <c r="K415" s="289"/>
      <c r="L415" s="289"/>
      <c r="M415" s="152"/>
      <c r="N415" s="152"/>
      <c r="O415" s="156"/>
      <c r="P415" s="152"/>
      <c r="Q415" s="152"/>
      <c r="R415" s="152"/>
      <c r="S415" s="152"/>
      <c r="T415" s="152"/>
      <c r="U415" s="152"/>
      <c r="V415" s="152"/>
      <c r="W415" s="152"/>
      <c r="X415" s="152"/>
      <c r="Y415" s="152"/>
      <c r="Z415" s="281"/>
      <c r="AA415" s="281"/>
      <c r="AB415" s="281"/>
      <c r="AC415" s="281"/>
      <c r="AD415" s="281"/>
      <c r="AE415" s="281"/>
      <c r="AF415" s="281"/>
      <c r="AG415" s="170"/>
      <c r="AH415" s="152"/>
      <c r="AI415" s="152"/>
      <c r="AJ415" s="152"/>
      <c r="AK415" s="152"/>
      <c r="AL415" s="152"/>
      <c r="AM415" s="152"/>
      <c r="AN415" s="152"/>
      <c r="AO415" s="152"/>
      <c r="AP415" s="152"/>
      <c r="AQ415" s="152"/>
      <c r="AR415" s="152"/>
    </row>
    <row r="416" ht="12.75" customHeight="1">
      <c r="A416" s="288"/>
      <c r="B416" s="288"/>
      <c r="C416" s="288"/>
      <c r="D416" s="152"/>
      <c r="E416" s="289"/>
      <c r="F416" s="288"/>
      <c r="G416" s="152"/>
      <c r="H416" s="152"/>
      <c r="I416" s="152"/>
      <c r="J416" s="152"/>
      <c r="K416" s="289"/>
      <c r="L416" s="289"/>
      <c r="M416" s="152"/>
      <c r="N416" s="152"/>
      <c r="O416" s="156"/>
      <c r="P416" s="152"/>
      <c r="Q416" s="152"/>
      <c r="R416" s="152"/>
      <c r="S416" s="152"/>
      <c r="T416" s="152"/>
      <c r="U416" s="152"/>
      <c r="V416" s="152"/>
      <c r="W416" s="152"/>
      <c r="X416" s="152"/>
      <c r="Y416" s="152"/>
      <c r="Z416" s="281"/>
      <c r="AA416" s="281"/>
      <c r="AB416" s="281"/>
      <c r="AC416" s="281"/>
      <c r="AD416" s="281"/>
      <c r="AE416" s="281"/>
      <c r="AF416" s="281"/>
      <c r="AG416" s="170"/>
      <c r="AH416" s="152"/>
      <c r="AI416" s="152"/>
      <c r="AJ416" s="152"/>
      <c r="AK416" s="152"/>
      <c r="AL416" s="152"/>
      <c r="AM416" s="152"/>
      <c r="AN416" s="152"/>
      <c r="AO416" s="152"/>
      <c r="AP416" s="152"/>
      <c r="AQ416" s="152"/>
      <c r="AR416" s="152"/>
    </row>
    <row r="417" ht="12.75" customHeight="1">
      <c r="A417" s="288"/>
      <c r="B417" s="288"/>
      <c r="C417" s="288"/>
      <c r="D417" s="152"/>
      <c r="E417" s="289"/>
      <c r="F417" s="288"/>
      <c r="G417" s="152"/>
      <c r="H417" s="152"/>
      <c r="I417" s="152"/>
      <c r="J417" s="152"/>
      <c r="K417" s="289"/>
      <c r="L417" s="289"/>
      <c r="M417" s="152"/>
      <c r="N417" s="152"/>
      <c r="O417" s="156"/>
      <c r="P417" s="152"/>
      <c r="Q417" s="152"/>
      <c r="R417" s="152"/>
      <c r="S417" s="152"/>
      <c r="T417" s="152"/>
      <c r="U417" s="152"/>
      <c r="V417" s="152"/>
      <c r="W417" s="152"/>
      <c r="X417" s="152"/>
      <c r="Y417" s="152"/>
      <c r="Z417" s="281"/>
      <c r="AA417" s="281"/>
      <c r="AB417" s="281"/>
      <c r="AC417" s="281"/>
      <c r="AD417" s="281"/>
      <c r="AE417" s="281"/>
      <c r="AF417" s="281"/>
      <c r="AG417" s="170"/>
      <c r="AH417" s="152"/>
      <c r="AI417" s="152"/>
      <c r="AJ417" s="152"/>
      <c r="AK417" s="152"/>
      <c r="AL417" s="152"/>
      <c r="AM417" s="152"/>
      <c r="AN417" s="152"/>
      <c r="AO417" s="152"/>
      <c r="AP417" s="152"/>
      <c r="AQ417" s="152"/>
      <c r="AR417" s="152"/>
    </row>
    <row r="418" ht="12.75" customHeight="1">
      <c r="A418" s="288"/>
      <c r="B418" s="288"/>
      <c r="C418" s="288"/>
      <c r="D418" s="152"/>
      <c r="E418" s="289"/>
      <c r="F418" s="288"/>
      <c r="G418" s="152"/>
      <c r="H418" s="152"/>
      <c r="I418" s="152"/>
      <c r="J418" s="152"/>
      <c r="K418" s="289"/>
      <c r="L418" s="289"/>
      <c r="M418" s="152"/>
      <c r="N418" s="152"/>
      <c r="O418" s="156"/>
      <c r="P418" s="152"/>
      <c r="Q418" s="152"/>
      <c r="R418" s="152"/>
      <c r="S418" s="152"/>
      <c r="T418" s="152"/>
      <c r="U418" s="152"/>
      <c r="V418" s="152"/>
      <c r="W418" s="152"/>
      <c r="X418" s="152"/>
      <c r="Y418" s="152"/>
      <c r="Z418" s="281"/>
      <c r="AA418" s="281"/>
      <c r="AB418" s="281"/>
      <c r="AC418" s="281"/>
      <c r="AD418" s="281"/>
      <c r="AE418" s="281"/>
      <c r="AF418" s="281"/>
      <c r="AG418" s="170"/>
      <c r="AH418" s="152"/>
      <c r="AI418" s="152"/>
      <c r="AJ418" s="152"/>
      <c r="AK418" s="152"/>
      <c r="AL418" s="152"/>
      <c r="AM418" s="152"/>
      <c r="AN418" s="152"/>
      <c r="AO418" s="152"/>
      <c r="AP418" s="152"/>
      <c r="AQ418" s="152"/>
      <c r="AR418" s="152"/>
    </row>
    <row r="419" ht="12.75" customHeight="1">
      <c r="A419" s="288"/>
      <c r="B419" s="288"/>
      <c r="C419" s="288"/>
      <c r="D419" s="152"/>
      <c r="E419" s="289"/>
      <c r="F419" s="288"/>
      <c r="G419" s="152"/>
      <c r="H419" s="152"/>
      <c r="I419" s="152"/>
      <c r="J419" s="152"/>
      <c r="K419" s="289"/>
      <c r="L419" s="289"/>
      <c r="M419" s="152"/>
      <c r="N419" s="152"/>
      <c r="O419" s="156"/>
      <c r="P419" s="152"/>
      <c r="Q419" s="152"/>
      <c r="R419" s="152"/>
      <c r="S419" s="152"/>
      <c r="T419" s="152"/>
      <c r="U419" s="152"/>
      <c r="V419" s="152"/>
      <c r="W419" s="152"/>
      <c r="X419" s="152"/>
      <c r="Y419" s="152"/>
      <c r="Z419" s="281"/>
      <c r="AA419" s="281"/>
      <c r="AB419" s="281"/>
      <c r="AC419" s="281"/>
      <c r="AD419" s="281"/>
      <c r="AE419" s="281"/>
      <c r="AF419" s="281"/>
      <c r="AG419" s="170"/>
      <c r="AH419" s="152"/>
      <c r="AI419" s="152"/>
      <c r="AJ419" s="152"/>
      <c r="AK419" s="152"/>
      <c r="AL419" s="152"/>
      <c r="AM419" s="152"/>
      <c r="AN419" s="152"/>
      <c r="AO419" s="152"/>
      <c r="AP419" s="152"/>
      <c r="AQ419" s="152"/>
      <c r="AR419" s="152"/>
    </row>
    <row r="420" ht="12.75" customHeight="1">
      <c r="A420" s="288"/>
      <c r="B420" s="288"/>
      <c r="C420" s="288"/>
      <c r="D420" s="152"/>
      <c r="E420" s="289"/>
      <c r="F420" s="288"/>
      <c r="G420" s="152"/>
      <c r="H420" s="152"/>
      <c r="I420" s="152"/>
      <c r="J420" s="152"/>
      <c r="K420" s="289"/>
      <c r="L420" s="289"/>
      <c r="M420" s="152"/>
      <c r="N420" s="152"/>
      <c r="O420" s="156"/>
      <c r="P420" s="152"/>
      <c r="Q420" s="152"/>
      <c r="R420" s="152"/>
      <c r="S420" s="152"/>
      <c r="T420" s="152"/>
      <c r="U420" s="152"/>
      <c r="V420" s="152"/>
      <c r="W420" s="152"/>
      <c r="X420" s="152"/>
      <c r="Y420" s="152"/>
      <c r="Z420" s="281"/>
      <c r="AA420" s="281"/>
      <c r="AB420" s="281"/>
      <c r="AC420" s="281"/>
      <c r="AD420" s="281"/>
      <c r="AE420" s="281"/>
      <c r="AF420" s="281"/>
      <c r="AG420" s="170"/>
      <c r="AH420" s="152"/>
      <c r="AI420" s="152"/>
      <c r="AJ420" s="152"/>
      <c r="AK420" s="152"/>
      <c r="AL420" s="152"/>
      <c r="AM420" s="152"/>
      <c r="AN420" s="152"/>
      <c r="AO420" s="152"/>
      <c r="AP420" s="152"/>
      <c r="AQ420" s="152"/>
      <c r="AR420" s="152"/>
    </row>
    <row r="421" ht="12.75" customHeight="1">
      <c r="A421" s="288"/>
      <c r="B421" s="288"/>
      <c r="C421" s="288"/>
      <c r="D421" s="152"/>
      <c r="E421" s="289"/>
      <c r="F421" s="288"/>
      <c r="G421" s="152"/>
      <c r="H421" s="152"/>
      <c r="I421" s="152"/>
      <c r="J421" s="152"/>
      <c r="K421" s="289"/>
      <c r="L421" s="289"/>
      <c r="M421" s="152"/>
      <c r="N421" s="152"/>
      <c r="O421" s="156"/>
      <c r="P421" s="152"/>
      <c r="Q421" s="152"/>
      <c r="R421" s="152"/>
      <c r="S421" s="152"/>
      <c r="T421" s="152"/>
      <c r="U421" s="152"/>
      <c r="V421" s="152"/>
      <c r="W421" s="152"/>
      <c r="X421" s="152"/>
      <c r="Y421" s="152"/>
      <c r="Z421" s="281"/>
      <c r="AA421" s="281"/>
      <c r="AB421" s="281"/>
      <c r="AC421" s="281"/>
      <c r="AD421" s="281"/>
      <c r="AE421" s="281"/>
      <c r="AF421" s="281"/>
      <c r="AG421" s="170"/>
      <c r="AH421" s="152"/>
      <c r="AI421" s="152"/>
      <c r="AJ421" s="152"/>
      <c r="AK421" s="152"/>
      <c r="AL421" s="152"/>
      <c r="AM421" s="152"/>
      <c r="AN421" s="152"/>
      <c r="AO421" s="152"/>
      <c r="AP421" s="152"/>
      <c r="AQ421" s="152"/>
      <c r="AR421" s="152"/>
    </row>
    <row r="422" ht="12.75" customHeight="1">
      <c r="A422" s="288"/>
      <c r="B422" s="288"/>
      <c r="C422" s="288"/>
      <c r="D422" s="152"/>
      <c r="E422" s="289"/>
      <c r="F422" s="288"/>
      <c r="G422" s="152"/>
      <c r="H422" s="152"/>
      <c r="I422" s="152"/>
      <c r="J422" s="152"/>
      <c r="K422" s="289"/>
      <c r="L422" s="289"/>
      <c r="M422" s="152"/>
      <c r="N422" s="152"/>
      <c r="O422" s="156"/>
      <c r="P422" s="152"/>
      <c r="Q422" s="152"/>
      <c r="R422" s="152"/>
      <c r="S422" s="152"/>
      <c r="T422" s="152"/>
      <c r="U422" s="152"/>
      <c r="V422" s="152"/>
      <c r="W422" s="152"/>
      <c r="X422" s="152"/>
      <c r="Y422" s="152"/>
      <c r="Z422" s="281"/>
      <c r="AA422" s="281"/>
      <c r="AB422" s="281"/>
      <c r="AC422" s="281"/>
      <c r="AD422" s="281"/>
      <c r="AE422" s="281"/>
      <c r="AF422" s="281"/>
      <c r="AG422" s="170"/>
      <c r="AH422" s="152"/>
      <c r="AI422" s="152"/>
      <c r="AJ422" s="152"/>
      <c r="AK422" s="152"/>
      <c r="AL422" s="152"/>
      <c r="AM422" s="152"/>
      <c r="AN422" s="152"/>
      <c r="AO422" s="152"/>
      <c r="AP422" s="152"/>
      <c r="AQ422" s="152"/>
      <c r="AR422" s="152"/>
    </row>
    <row r="423" ht="12.75" customHeight="1">
      <c r="A423" s="288"/>
      <c r="B423" s="288"/>
      <c r="C423" s="288"/>
      <c r="D423" s="152"/>
      <c r="E423" s="289"/>
      <c r="F423" s="288"/>
      <c r="G423" s="152"/>
      <c r="H423" s="152"/>
      <c r="I423" s="152"/>
      <c r="J423" s="152"/>
      <c r="K423" s="289"/>
      <c r="L423" s="289"/>
      <c r="M423" s="152"/>
      <c r="N423" s="152"/>
      <c r="O423" s="156"/>
      <c r="P423" s="152"/>
      <c r="Q423" s="152"/>
      <c r="R423" s="152"/>
      <c r="S423" s="152"/>
      <c r="T423" s="152"/>
      <c r="U423" s="152"/>
      <c r="V423" s="152"/>
      <c r="W423" s="152"/>
      <c r="X423" s="152"/>
      <c r="Y423" s="152"/>
      <c r="Z423" s="281"/>
      <c r="AA423" s="281"/>
      <c r="AB423" s="281"/>
      <c r="AC423" s="281"/>
      <c r="AD423" s="281"/>
      <c r="AE423" s="281"/>
      <c r="AF423" s="281"/>
      <c r="AG423" s="170"/>
      <c r="AH423" s="152"/>
      <c r="AI423" s="152"/>
      <c r="AJ423" s="152"/>
      <c r="AK423" s="152"/>
      <c r="AL423" s="152"/>
      <c r="AM423" s="152"/>
      <c r="AN423" s="152"/>
      <c r="AO423" s="152"/>
      <c r="AP423" s="152"/>
      <c r="AQ423" s="152"/>
      <c r="AR423" s="152"/>
    </row>
    <row r="424" ht="12.75" customHeight="1">
      <c r="A424" s="288"/>
      <c r="B424" s="288"/>
      <c r="C424" s="288"/>
      <c r="D424" s="152"/>
      <c r="E424" s="289"/>
      <c r="F424" s="288"/>
      <c r="G424" s="152"/>
      <c r="H424" s="152"/>
      <c r="I424" s="152"/>
      <c r="J424" s="152"/>
      <c r="K424" s="289"/>
      <c r="L424" s="289"/>
      <c r="M424" s="152"/>
      <c r="N424" s="152"/>
      <c r="O424" s="156"/>
      <c r="P424" s="152"/>
      <c r="Q424" s="152"/>
      <c r="R424" s="152"/>
      <c r="S424" s="152"/>
      <c r="T424" s="152"/>
      <c r="U424" s="152"/>
      <c r="V424" s="152"/>
      <c r="W424" s="152"/>
      <c r="X424" s="152"/>
      <c r="Y424" s="152"/>
      <c r="Z424" s="281"/>
      <c r="AA424" s="281"/>
      <c r="AB424" s="281"/>
      <c r="AC424" s="281"/>
      <c r="AD424" s="281"/>
      <c r="AE424" s="281"/>
      <c r="AF424" s="281"/>
      <c r="AG424" s="170"/>
      <c r="AH424" s="152"/>
      <c r="AI424" s="152"/>
      <c r="AJ424" s="152"/>
      <c r="AK424" s="152"/>
      <c r="AL424" s="152"/>
      <c r="AM424" s="152"/>
      <c r="AN424" s="152"/>
      <c r="AO424" s="152"/>
      <c r="AP424" s="152"/>
      <c r="AQ424" s="152"/>
      <c r="AR424" s="152"/>
    </row>
    <row r="425" ht="12.75" customHeight="1">
      <c r="A425" s="288"/>
      <c r="B425" s="288"/>
      <c r="C425" s="288"/>
      <c r="D425" s="152"/>
      <c r="E425" s="289"/>
      <c r="F425" s="288"/>
      <c r="G425" s="152"/>
      <c r="H425" s="152"/>
      <c r="I425" s="152"/>
      <c r="J425" s="152"/>
      <c r="K425" s="289"/>
      <c r="L425" s="289"/>
      <c r="M425" s="152"/>
      <c r="N425" s="152"/>
      <c r="O425" s="156"/>
      <c r="P425" s="152"/>
      <c r="Q425" s="152"/>
      <c r="R425" s="152"/>
      <c r="S425" s="152"/>
      <c r="T425" s="152"/>
      <c r="U425" s="152"/>
      <c r="V425" s="152"/>
      <c r="W425" s="152"/>
      <c r="X425" s="152"/>
      <c r="Y425" s="152"/>
      <c r="Z425" s="281"/>
      <c r="AA425" s="281"/>
      <c r="AB425" s="281"/>
      <c r="AC425" s="281"/>
      <c r="AD425" s="281"/>
      <c r="AE425" s="281"/>
      <c r="AF425" s="281"/>
      <c r="AG425" s="170"/>
      <c r="AH425" s="152"/>
      <c r="AI425" s="152"/>
      <c r="AJ425" s="152"/>
      <c r="AK425" s="152"/>
      <c r="AL425" s="152"/>
      <c r="AM425" s="152"/>
      <c r="AN425" s="152"/>
      <c r="AO425" s="152"/>
      <c r="AP425" s="152"/>
      <c r="AQ425" s="152"/>
      <c r="AR425" s="152"/>
    </row>
    <row r="426" ht="12.75" customHeight="1">
      <c r="A426" s="288"/>
      <c r="B426" s="288"/>
      <c r="C426" s="288"/>
      <c r="D426" s="152"/>
      <c r="E426" s="289"/>
      <c r="F426" s="288"/>
      <c r="G426" s="152"/>
      <c r="H426" s="152"/>
      <c r="I426" s="152"/>
      <c r="J426" s="152"/>
      <c r="K426" s="289"/>
      <c r="L426" s="289"/>
      <c r="M426" s="152"/>
      <c r="N426" s="152"/>
      <c r="O426" s="156"/>
      <c r="P426" s="152"/>
      <c r="Q426" s="152"/>
      <c r="R426" s="152"/>
      <c r="S426" s="152"/>
      <c r="T426" s="152"/>
      <c r="U426" s="152"/>
      <c r="V426" s="152"/>
      <c r="W426" s="152"/>
      <c r="X426" s="152"/>
      <c r="Y426" s="152"/>
      <c r="Z426" s="281"/>
      <c r="AA426" s="281"/>
      <c r="AB426" s="281"/>
      <c r="AC426" s="281"/>
      <c r="AD426" s="281"/>
      <c r="AE426" s="281"/>
      <c r="AF426" s="281"/>
      <c r="AG426" s="170"/>
      <c r="AH426" s="152"/>
      <c r="AI426" s="152"/>
      <c r="AJ426" s="152"/>
      <c r="AK426" s="152"/>
      <c r="AL426" s="152"/>
      <c r="AM426" s="152"/>
      <c r="AN426" s="152"/>
      <c r="AO426" s="152"/>
      <c r="AP426" s="152"/>
      <c r="AQ426" s="152"/>
      <c r="AR426" s="152"/>
    </row>
    <row r="427" ht="12.75" customHeight="1">
      <c r="A427" s="288"/>
      <c r="B427" s="288"/>
      <c r="C427" s="288"/>
      <c r="D427" s="152"/>
      <c r="E427" s="289"/>
      <c r="F427" s="288"/>
      <c r="G427" s="152"/>
      <c r="H427" s="152"/>
      <c r="I427" s="152"/>
      <c r="J427" s="152"/>
      <c r="K427" s="289"/>
      <c r="L427" s="289"/>
      <c r="M427" s="152"/>
      <c r="N427" s="152"/>
      <c r="O427" s="156"/>
      <c r="P427" s="152"/>
      <c r="Q427" s="152"/>
      <c r="R427" s="152"/>
      <c r="S427" s="152"/>
      <c r="T427" s="152"/>
      <c r="U427" s="152"/>
      <c r="V427" s="152"/>
      <c r="W427" s="152"/>
      <c r="X427" s="152"/>
      <c r="Y427" s="152"/>
      <c r="Z427" s="281"/>
      <c r="AA427" s="281"/>
      <c r="AB427" s="281"/>
      <c r="AC427" s="281"/>
      <c r="AD427" s="281"/>
      <c r="AE427" s="281"/>
      <c r="AF427" s="281"/>
      <c r="AG427" s="170"/>
      <c r="AH427" s="152"/>
      <c r="AI427" s="152"/>
      <c r="AJ427" s="152"/>
      <c r="AK427" s="152"/>
      <c r="AL427" s="152"/>
      <c r="AM427" s="152"/>
      <c r="AN427" s="152"/>
      <c r="AO427" s="152"/>
      <c r="AP427" s="152"/>
      <c r="AQ427" s="152"/>
      <c r="AR427" s="152"/>
    </row>
    <row r="428" ht="12.75" customHeight="1">
      <c r="A428" s="288"/>
      <c r="B428" s="288"/>
      <c r="C428" s="288"/>
      <c r="D428" s="152"/>
      <c r="E428" s="289"/>
      <c r="F428" s="288"/>
      <c r="G428" s="152"/>
      <c r="H428" s="152"/>
      <c r="I428" s="152"/>
      <c r="J428" s="152"/>
      <c r="K428" s="289"/>
      <c r="L428" s="289"/>
      <c r="M428" s="152"/>
      <c r="N428" s="152"/>
      <c r="O428" s="156"/>
      <c r="P428" s="152"/>
      <c r="Q428" s="152"/>
      <c r="R428" s="152"/>
      <c r="S428" s="152"/>
      <c r="T428" s="152"/>
      <c r="U428" s="152"/>
      <c r="V428" s="152"/>
      <c r="W428" s="152"/>
      <c r="X428" s="152"/>
      <c r="Y428" s="152"/>
      <c r="Z428" s="281"/>
      <c r="AA428" s="281"/>
      <c r="AB428" s="281"/>
      <c r="AC428" s="281"/>
      <c r="AD428" s="281"/>
      <c r="AE428" s="281"/>
      <c r="AF428" s="281"/>
      <c r="AG428" s="170"/>
      <c r="AH428" s="152"/>
      <c r="AI428" s="152"/>
      <c r="AJ428" s="152"/>
      <c r="AK428" s="152"/>
      <c r="AL428" s="152"/>
      <c r="AM428" s="152"/>
      <c r="AN428" s="152"/>
      <c r="AO428" s="152"/>
      <c r="AP428" s="152"/>
      <c r="AQ428" s="152"/>
      <c r="AR428" s="152"/>
    </row>
    <row r="429" ht="12.75" customHeight="1">
      <c r="A429" s="288"/>
      <c r="B429" s="288"/>
      <c r="C429" s="288"/>
      <c r="D429" s="152"/>
      <c r="E429" s="289"/>
      <c r="F429" s="288"/>
      <c r="G429" s="152"/>
      <c r="H429" s="152"/>
      <c r="I429" s="152"/>
      <c r="J429" s="152"/>
      <c r="K429" s="289"/>
      <c r="L429" s="289"/>
      <c r="M429" s="152"/>
      <c r="N429" s="152"/>
      <c r="O429" s="156"/>
      <c r="P429" s="152"/>
      <c r="Q429" s="152"/>
      <c r="R429" s="152"/>
      <c r="S429" s="152"/>
      <c r="T429" s="152"/>
      <c r="U429" s="152"/>
      <c r="V429" s="152"/>
      <c r="W429" s="152"/>
      <c r="X429" s="152"/>
      <c r="Y429" s="152"/>
      <c r="Z429" s="281"/>
      <c r="AA429" s="281"/>
      <c r="AB429" s="281"/>
      <c r="AC429" s="281"/>
      <c r="AD429" s="281"/>
      <c r="AE429" s="281"/>
      <c r="AF429" s="281"/>
      <c r="AG429" s="170"/>
      <c r="AH429" s="152"/>
      <c r="AI429" s="152"/>
      <c r="AJ429" s="152"/>
      <c r="AK429" s="152"/>
      <c r="AL429" s="152"/>
      <c r="AM429" s="152"/>
      <c r="AN429" s="152"/>
      <c r="AO429" s="152"/>
      <c r="AP429" s="152"/>
      <c r="AQ429" s="152"/>
      <c r="AR429" s="152"/>
    </row>
    <row r="430" ht="12.75" customHeight="1">
      <c r="A430" s="288"/>
      <c r="B430" s="288"/>
      <c r="C430" s="288"/>
      <c r="D430" s="152"/>
      <c r="E430" s="289"/>
      <c r="F430" s="288"/>
      <c r="G430" s="152"/>
      <c r="H430" s="152"/>
      <c r="I430" s="152"/>
      <c r="J430" s="152"/>
      <c r="K430" s="289"/>
      <c r="L430" s="289"/>
      <c r="M430" s="152"/>
      <c r="N430" s="152"/>
      <c r="O430" s="156"/>
      <c r="P430" s="152"/>
      <c r="Q430" s="152"/>
      <c r="R430" s="152"/>
      <c r="S430" s="152"/>
      <c r="T430" s="152"/>
      <c r="U430" s="152"/>
      <c r="V430" s="152"/>
      <c r="W430" s="152"/>
      <c r="X430" s="152"/>
      <c r="Y430" s="152"/>
      <c r="Z430" s="281"/>
      <c r="AA430" s="281"/>
      <c r="AB430" s="281"/>
      <c r="AC430" s="281"/>
      <c r="AD430" s="281"/>
      <c r="AE430" s="281"/>
      <c r="AF430" s="281"/>
      <c r="AG430" s="170"/>
      <c r="AH430" s="152"/>
      <c r="AI430" s="152"/>
      <c r="AJ430" s="152"/>
      <c r="AK430" s="152"/>
      <c r="AL430" s="152"/>
      <c r="AM430" s="152"/>
      <c r="AN430" s="152"/>
      <c r="AO430" s="152"/>
      <c r="AP430" s="152"/>
      <c r="AQ430" s="152"/>
      <c r="AR430" s="152"/>
    </row>
    <row r="431" ht="12.75" customHeight="1">
      <c r="A431" s="288"/>
      <c r="B431" s="288"/>
      <c r="C431" s="288"/>
      <c r="D431" s="152"/>
      <c r="E431" s="289"/>
      <c r="F431" s="288"/>
      <c r="G431" s="152"/>
      <c r="H431" s="152"/>
      <c r="I431" s="152"/>
      <c r="J431" s="152"/>
      <c r="K431" s="289"/>
      <c r="L431" s="289"/>
      <c r="M431" s="152"/>
      <c r="N431" s="152"/>
      <c r="O431" s="156"/>
      <c r="P431" s="152"/>
      <c r="Q431" s="152"/>
      <c r="R431" s="152"/>
      <c r="S431" s="152"/>
      <c r="T431" s="152"/>
      <c r="U431" s="152"/>
      <c r="V431" s="152"/>
      <c r="W431" s="152"/>
      <c r="X431" s="152"/>
      <c r="Y431" s="152"/>
      <c r="Z431" s="281"/>
      <c r="AA431" s="281"/>
      <c r="AB431" s="281"/>
      <c r="AC431" s="281"/>
      <c r="AD431" s="281"/>
      <c r="AE431" s="281"/>
      <c r="AF431" s="281"/>
      <c r="AG431" s="170"/>
      <c r="AH431" s="152"/>
      <c r="AI431" s="152"/>
      <c r="AJ431" s="152"/>
      <c r="AK431" s="152"/>
      <c r="AL431" s="152"/>
      <c r="AM431" s="152"/>
      <c r="AN431" s="152"/>
      <c r="AO431" s="152"/>
      <c r="AP431" s="152"/>
      <c r="AQ431" s="152"/>
      <c r="AR431" s="152"/>
    </row>
    <row r="432" ht="12.75" customHeight="1">
      <c r="A432" s="288"/>
      <c r="B432" s="288"/>
      <c r="C432" s="288"/>
      <c r="D432" s="152"/>
      <c r="E432" s="289"/>
      <c r="F432" s="288"/>
      <c r="G432" s="152"/>
      <c r="H432" s="152"/>
      <c r="I432" s="152"/>
      <c r="J432" s="152"/>
      <c r="K432" s="289"/>
      <c r="L432" s="289"/>
      <c r="M432" s="152"/>
      <c r="N432" s="152"/>
      <c r="O432" s="156"/>
      <c r="P432" s="152"/>
      <c r="Q432" s="152"/>
      <c r="R432" s="152"/>
      <c r="S432" s="152"/>
      <c r="T432" s="152"/>
      <c r="U432" s="152"/>
      <c r="V432" s="152"/>
      <c r="W432" s="152"/>
      <c r="X432" s="152"/>
      <c r="Y432" s="152"/>
      <c r="Z432" s="281"/>
      <c r="AA432" s="281"/>
      <c r="AB432" s="281"/>
      <c r="AC432" s="281"/>
      <c r="AD432" s="281"/>
      <c r="AE432" s="281"/>
      <c r="AF432" s="281"/>
      <c r="AG432" s="170"/>
      <c r="AH432" s="152"/>
      <c r="AI432" s="152"/>
      <c r="AJ432" s="152"/>
      <c r="AK432" s="152"/>
      <c r="AL432" s="152"/>
      <c r="AM432" s="152"/>
      <c r="AN432" s="152"/>
      <c r="AO432" s="152"/>
      <c r="AP432" s="152"/>
      <c r="AQ432" s="152"/>
      <c r="AR432" s="152"/>
    </row>
    <row r="433" ht="12.75" customHeight="1">
      <c r="A433" s="288"/>
      <c r="B433" s="288"/>
      <c r="C433" s="288"/>
      <c r="D433" s="152"/>
      <c r="E433" s="289"/>
      <c r="F433" s="288"/>
      <c r="G433" s="152"/>
      <c r="H433" s="152"/>
      <c r="I433" s="152"/>
      <c r="J433" s="152"/>
      <c r="K433" s="289"/>
      <c r="L433" s="289"/>
      <c r="M433" s="152"/>
      <c r="N433" s="152"/>
      <c r="O433" s="156"/>
      <c r="P433" s="152"/>
      <c r="Q433" s="152"/>
      <c r="R433" s="152"/>
      <c r="S433" s="152"/>
      <c r="T433" s="152"/>
      <c r="U433" s="152"/>
      <c r="V433" s="152"/>
      <c r="W433" s="152"/>
      <c r="X433" s="152"/>
      <c r="Y433" s="152"/>
      <c r="Z433" s="281"/>
      <c r="AA433" s="281"/>
      <c r="AB433" s="281"/>
      <c r="AC433" s="281"/>
      <c r="AD433" s="281"/>
      <c r="AE433" s="281"/>
      <c r="AF433" s="281"/>
      <c r="AG433" s="170"/>
      <c r="AH433" s="152"/>
      <c r="AI433" s="152"/>
      <c r="AJ433" s="152"/>
      <c r="AK433" s="152"/>
      <c r="AL433" s="152"/>
      <c r="AM433" s="152"/>
      <c r="AN433" s="152"/>
      <c r="AO433" s="152"/>
      <c r="AP433" s="152"/>
      <c r="AQ433" s="152"/>
      <c r="AR433" s="152"/>
    </row>
    <row r="434" ht="12.75" customHeight="1">
      <c r="A434" s="288"/>
      <c r="B434" s="288"/>
      <c r="C434" s="288"/>
      <c r="D434" s="152"/>
      <c r="E434" s="289"/>
      <c r="F434" s="288"/>
      <c r="G434" s="152"/>
      <c r="H434" s="152"/>
      <c r="I434" s="152"/>
      <c r="J434" s="152"/>
      <c r="K434" s="289"/>
      <c r="L434" s="289"/>
      <c r="M434" s="152"/>
      <c r="N434" s="152"/>
      <c r="O434" s="156"/>
      <c r="P434" s="152"/>
      <c r="Q434" s="152"/>
      <c r="R434" s="152"/>
      <c r="S434" s="152"/>
      <c r="T434" s="152"/>
      <c r="U434" s="152"/>
      <c r="V434" s="152"/>
      <c r="W434" s="152"/>
      <c r="X434" s="152"/>
      <c r="Y434" s="152"/>
      <c r="Z434" s="281"/>
      <c r="AA434" s="281"/>
      <c r="AB434" s="281"/>
      <c r="AC434" s="281"/>
      <c r="AD434" s="281"/>
      <c r="AE434" s="281"/>
      <c r="AF434" s="281"/>
      <c r="AG434" s="170"/>
      <c r="AH434" s="152"/>
      <c r="AI434" s="152"/>
      <c r="AJ434" s="152"/>
      <c r="AK434" s="152"/>
      <c r="AL434" s="152"/>
      <c r="AM434" s="152"/>
      <c r="AN434" s="152"/>
      <c r="AO434" s="152"/>
      <c r="AP434" s="152"/>
      <c r="AQ434" s="152"/>
      <c r="AR434" s="152"/>
    </row>
    <row r="435" ht="12.75" customHeight="1">
      <c r="A435" s="288"/>
      <c r="B435" s="288"/>
      <c r="C435" s="288"/>
      <c r="D435" s="152"/>
      <c r="E435" s="289"/>
      <c r="F435" s="288"/>
      <c r="G435" s="152"/>
      <c r="H435" s="152"/>
      <c r="I435" s="152"/>
      <c r="J435" s="152"/>
      <c r="K435" s="289"/>
      <c r="L435" s="289"/>
      <c r="M435" s="152"/>
      <c r="N435" s="152"/>
      <c r="O435" s="156"/>
      <c r="P435" s="152"/>
      <c r="Q435" s="152"/>
      <c r="R435" s="152"/>
      <c r="S435" s="152"/>
      <c r="T435" s="152"/>
      <c r="U435" s="152"/>
      <c r="V435" s="152"/>
      <c r="W435" s="152"/>
      <c r="X435" s="152"/>
      <c r="Y435" s="152"/>
      <c r="Z435" s="281"/>
      <c r="AA435" s="281"/>
      <c r="AB435" s="281"/>
      <c r="AC435" s="281"/>
      <c r="AD435" s="281"/>
      <c r="AE435" s="281"/>
      <c r="AF435" s="281"/>
      <c r="AG435" s="170"/>
      <c r="AH435" s="152"/>
      <c r="AI435" s="152"/>
      <c r="AJ435" s="152"/>
      <c r="AK435" s="152"/>
      <c r="AL435" s="152"/>
      <c r="AM435" s="152"/>
      <c r="AN435" s="152"/>
      <c r="AO435" s="152"/>
      <c r="AP435" s="152"/>
      <c r="AQ435" s="152"/>
      <c r="AR435" s="152"/>
    </row>
    <row r="436" ht="12.75" customHeight="1">
      <c r="A436" s="288"/>
      <c r="B436" s="288"/>
      <c r="C436" s="288"/>
      <c r="D436" s="152"/>
      <c r="E436" s="289"/>
      <c r="F436" s="288"/>
      <c r="G436" s="152"/>
      <c r="H436" s="152"/>
      <c r="I436" s="152"/>
      <c r="J436" s="152"/>
      <c r="K436" s="289"/>
      <c r="L436" s="289"/>
      <c r="M436" s="152"/>
      <c r="N436" s="152"/>
      <c r="O436" s="156"/>
      <c r="P436" s="152"/>
      <c r="Q436" s="152"/>
      <c r="R436" s="152"/>
      <c r="S436" s="152"/>
      <c r="T436" s="152"/>
      <c r="U436" s="152"/>
      <c r="V436" s="152"/>
      <c r="W436" s="152"/>
      <c r="X436" s="152"/>
      <c r="Y436" s="152"/>
      <c r="Z436" s="281"/>
      <c r="AA436" s="281"/>
      <c r="AB436" s="281"/>
      <c r="AC436" s="281"/>
      <c r="AD436" s="281"/>
      <c r="AE436" s="281"/>
      <c r="AF436" s="281"/>
      <c r="AG436" s="170"/>
      <c r="AH436" s="152"/>
      <c r="AI436" s="152"/>
      <c r="AJ436" s="152"/>
      <c r="AK436" s="152"/>
      <c r="AL436" s="152"/>
      <c r="AM436" s="152"/>
      <c r="AN436" s="152"/>
      <c r="AO436" s="152"/>
      <c r="AP436" s="152"/>
      <c r="AQ436" s="152"/>
      <c r="AR436" s="152"/>
    </row>
    <row r="437" ht="12.75" customHeight="1">
      <c r="A437" s="288"/>
      <c r="B437" s="288"/>
      <c r="C437" s="288"/>
      <c r="D437" s="152"/>
      <c r="E437" s="289"/>
      <c r="F437" s="288"/>
      <c r="G437" s="152"/>
      <c r="H437" s="152"/>
      <c r="I437" s="152"/>
      <c r="J437" s="152"/>
      <c r="K437" s="289"/>
      <c r="L437" s="289"/>
      <c r="M437" s="152"/>
      <c r="N437" s="152"/>
      <c r="O437" s="156"/>
      <c r="P437" s="152"/>
      <c r="Q437" s="152"/>
      <c r="R437" s="152"/>
      <c r="S437" s="152"/>
      <c r="T437" s="152"/>
      <c r="U437" s="152"/>
      <c r="V437" s="152"/>
      <c r="W437" s="152"/>
      <c r="X437" s="152"/>
      <c r="Y437" s="152"/>
      <c r="Z437" s="281"/>
      <c r="AA437" s="281"/>
      <c r="AB437" s="281"/>
      <c r="AC437" s="281"/>
      <c r="AD437" s="281"/>
      <c r="AE437" s="281"/>
      <c r="AF437" s="281"/>
      <c r="AG437" s="170"/>
      <c r="AH437" s="152"/>
      <c r="AI437" s="152"/>
      <c r="AJ437" s="152"/>
      <c r="AK437" s="152"/>
      <c r="AL437" s="152"/>
      <c r="AM437" s="152"/>
      <c r="AN437" s="152"/>
      <c r="AO437" s="152"/>
      <c r="AP437" s="152"/>
      <c r="AQ437" s="152"/>
      <c r="AR437" s="152"/>
    </row>
    <row r="438" ht="12.75" customHeight="1">
      <c r="A438" s="288"/>
      <c r="B438" s="288"/>
      <c r="C438" s="288"/>
      <c r="D438" s="152"/>
      <c r="E438" s="289"/>
      <c r="F438" s="288"/>
      <c r="G438" s="152"/>
      <c r="H438" s="152"/>
      <c r="I438" s="152"/>
      <c r="J438" s="152"/>
      <c r="K438" s="289"/>
      <c r="L438" s="289"/>
      <c r="M438" s="152"/>
      <c r="N438" s="152"/>
      <c r="O438" s="156"/>
      <c r="P438" s="152"/>
      <c r="Q438" s="152"/>
      <c r="R438" s="152"/>
      <c r="S438" s="152"/>
      <c r="T438" s="152"/>
      <c r="U438" s="152"/>
      <c r="V438" s="152"/>
      <c r="W438" s="152"/>
      <c r="X438" s="152"/>
      <c r="Y438" s="152"/>
      <c r="Z438" s="281"/>
      <c r="AA438" s="281"/>
      <c r="AB438" s="281"/>
      <c r="AC438" s="281"/>
      <c r="AD438" s="281"/>
      <c r="AE438" s="281"/>
      <c r="AF438" s="281"/>
      <c r="AG438" s="170"/>
      <c r="AH438" s="152"/>
      <c r="AI438" s="152"/>
      <c r="AJ438" s="152"/>
      <c r="AK438" s="152"/>
      <c r="AL438" s="152"/>
      <c r="AM438" s="152"/>
      <c r="AN438" s="152"/>
      <c r="AO438" s="152"/>
      <c r="AP438" s="152"/>
      <c r="AQ438" s="152"/>
      <c r="AR438" s="152"/>
    </row>
    <row r="439" ht="12.75" customHeight="1">
      <c r="A439" s="288"/>
      <c r="B439" s="288"/>
      <c r="C439" s="288"/>
      <c r="D439" s="152"/>
      <c r="E439" s="289"/>
      <c r="F439" s="288"/>
      <c r="G439" s="152"/>
      <c r="H439" s="152"/>
      <c r="I439" s="152"/>
      <c r="J439" s="152"/>
      <c r="K439" s="289"/>
      <c r="L439" s="289"/>
      <c r="M439" s="152"/>
      <c r="N439" s="152"/>
      <c r="O439" s="156"/>
      <c r="P439" s="152"/>
      <c r="Q439" s="152"/>
      <c r="R439" s="152"/>
      <c r="S439" s="152"/>
      <c r="T439" s="152"/>
      <c r="U439" s="152"/>
      <c r="V439" s="152"/>
      <c r="W439" s="152"/>
      <c r="X439" s="152"/>
      <c r="Y439" s="152"/>
      <c r="Z439" s="281"/>
      <c r="AA439" s="281"/>
      <c r="AB439" s="281"/>
      <c r="AC439" s="281"/>
      <c r="AD439" s="281"/>
      <c r="AE439" s="281"/>
      <c r="AF439" s="281"/>
      <c r="AG439" s="170"/>
      <c r="AH439" s="152"/>
      <c r="AI439" s="152"/>
      <c r="AJ439" s="152"/>
      <c r="AK439" s="152"/>
      <c r="AL439" s="152"/>
      <c r="AM439" s="152"/>
      <c r="AN439" s="152"/>
      <c r="AO439" s="152"/>
      <c r="AP439" s="152"/>
      <c r="AQ439" s="152"/>
      <c r="AR439" s="152"/>
    </row>
    <row r="440" ht="12.75" customHeight="1">
      <c r="A440" s="288"/>
      <c r="B440" s="288"/>
      <c r="C440" s="288"/>
      <c r="D440" s="152"/>
      <c r="E440" s="289"/>
      <c r="F440" s="288"/>
      <c r="G440" s="152"/>
      <c r="H440" s="152"/>
      <c r="I440" s="152"/>
      <c r="J440" s="152"/>
      <c r="K440" s="289"/>
      <c r="L440" s="289"/>
      <c r="M440" s="152"/>
      <c r="N440" s="152"/>
      <c r="O440" s="156"/>
      <c r="P440" s="152"/>
      <c r="Q440" s="152"/>
      <c r="R440" s="152"/>
      <c r="S440" s="152"/>
      <c r="T440" s="152"/>
      <c r="U440" s="152"/>
      <c r="V440" s="152"/>
      <c r="W440" s="152"/>
      <c r="X440" s="152"/>
      <c r="Y440" s="152"/>
      <c r="Z440" s="281"/>
      <c r="AA440" s="281"/>
      <c r="AB440" s="281"/>
      <c r="AC440" s="281"/>
      <c r="AD440" s="281"/>
      <c r="AE440" s="281"/>
      <c r="AF440" s="281"/>
      <c r="AG440" s="170"/>
      <c r="AH440" s="152"/>
      <c r="AI440" s="152"/>
      <c r="AJ440" s="152"/>
      <c r="AK440" s="152"/>
      <c r="AL440" s="152"/>
      <c r="AM440" s="152"/>
      <c r="AN440" s="152"/>
      <c r="AO440" s="152"/>
      <c r="AP440" s="152"/>
      <c r="AQ440" s="152"/>
      <c r="AR440" s="152"/>
    </row>
    <row r="441" ht="12.75" customHeight="1">
      <c r="A441" s="288"/>
      <c r="B441" s="288"/>
      <c r="C441" s="288"/>
      <c r="D441" s="152"/>
      <c r="E441" s="289"/>
      <c r="F441" s="288"/>
      <c r="G441" s="152"/>
      <c r="H441" s="152"/>
      <c r="I441" s="152"/>
      <c r="J441" s="152"/>
      <c r="K441" s="289"/>
      <c r="L441" s="289"/>
      <c r="M441" s="152"/>
      <c r="N441" s="152"/>
      <c r="O441" s="156"/>
      <c r="P441" s="152"/>
      <c r="Q441" s="152"/>
      <c r="R441" s="152"/>
      <c r="S441" s="152"/>
      <c r="T441" s="152"/>
      <c r="U441" s="152"/>
      <c r="V441" s="152"/>
      <c r="W441" s="152"/>
      <c r="X441" s="152"/>
      <c r="Y441" s="152"/>
      <c r="Z441" s="281"/>
      <c r="AA441" s="281"/>
      <c r="AB441" s="281"/>
      <c r="AC441" s="281"/>
      <c r="AD441" s="281"/>
      <c r="AE441" s="281"/>
      <c r="AF441" s="281"/>
      <c r="AG441" s="170"/>
      <c r="AH441" s="152"/>
      <c r="AI441" s="152"/>
      <c r="AJ441" s="152"/>
      <c r="AK441" s="152"/>
      <c r="AL441" s="152"/>
      <c r="AM441" s="152"/>
      <c r="AN441" s="152"/>
      <c r="AO441" s="152"/>
      <c r="AP441" s="152"/>
      <c r="AQ441" s="152"/>
      <c r="AR441" s="152"/>
    </row>
    <row r="442" ht="12.75" customHeight="1">
      <c r="A442" s="288"/>
      <c r="B442" s="288"/>
      <c r="C442" s="288"/>
      <c r="D442" s="152"/>
      <c r="E442" s="289"/>
      <c r="F442" s="288"/>
      <c r="G442" s="152"/>
      <c r="H442" s="152"/>
      <c r="I442" s="152"/>
      <c r="J442" s="152"/>
      <c r="K442" s="289"/>
      <c r="L442" s="289"/>
      <c r="M442" s="152"/>
      <c r="N442" s="152"/>
      <c r="O442" s="156"/>
      <c r="P442" s="152"/>
      <c r="Q442" s="152"/>
      <c r="R442" s="152"/>
      <c r="S442" s="152"/>
      <c r="T442" s="152"/>
      <c r="U442" s="152"/>
      <c r="V442" s="152"/>
      <c r="W442" s="152"/>
      <c r="X442" s="152"/>
      <c r="Y442" s="152"/>
      <c r="Z442" s="281"/>
      <c r="AA442" s="281"/>
      <c r="AB442" s="281"/>
      <c r="AC442" s="281"/>
      <c r="AD442" s="281"/>
      <c r="AE442" s="281"/>
      <c r="AF442" s="281"/>
      <c r="AG442" s="170"/>
      <c r="AH442" s="152"/>
      <c r="AI442" s="152"/>
      <c r="AJ442" s="152"/>
      <c r="AK442" s="152"/>
      <c r="AL442" s="152"/>
      <c r="AM442" s="152"/>
      <c r="AN442" s="152"/>
      <c r="AO442" s="152"/>
      <c r="AP442" s="152"/>
      <c r="AQ442" s="152"/>
      <c r="AR442" s="152"/>
    </row>
    <row r="443" ht="12.75" customHeight="1">
      <c r="A443" s="288"/>
      <c r="B443" s="288"/>
      <c r="C443" s="288"/>
      <c r="D443" s="152"/>
      <c r="E443" s="289"/>
      <c r="F443" s="288"/>
      <c r="G443" s="152"/>
      <c r="H443" s="152"/>
      <c r="I443" s="152"/>
      <c r="J443" s="152"/>
      <c r="K443" s="289"/>
      <c r="L443" s="289"/>
      <c r="M443" s="152"/>
      <c r="N443" s="152"/>
      <c r="O443" s="156"/>
      <c r="P443" s="152"/>
      <c r="Q443" s="152"/>
      <c r="R443" s="152"/>
      <c r="S443" s="152"/>
      <c r="T443" s="152"/>
      <c r="U443" s="152"/>
      <c r="V443" s="152"/>
      <c r="W443" s="152"/>
      <c r="X443" s="152"/>
      <c r="Y443" s="152"/>
      <c r="Z443" s="281"/>
      <c r="AA443" s="281"/>
      <c r="AB443" s="281"/>
      <c r="AC443" s="281"/>
      <c r="AD443" s="281"/>
      <c r="AE443" s="281"/>
      <c r="AF443" s="281"/>
      <c r="AG443" s="170"/>
      <c r="AH443" s="152"/>
      <c r="AI443" s="152"/>
      <c r="AJ443" s="152"/>
      <c r="AK443" s="152"/>
      <c r="AL443" s="152"/>
      <c r="AM443" s="152"/>
      <c r="AN443" s="152"/>
      <c r="AO443" s="152"/>
      <c r="AP443" s="152"/>
      <c r="AQ443" s="152"/>
      <c r="AR443" s="152"/>
    </row>
    <row r="444" ht="12.75" customHeight="1">
      <c r="A444" s="288"/>
      <c r="B444" s="288"/>
      <c r="C444" s="288"/>
      <c r="D444" s="152"/>
      <c r="E444" s="289"/>
      <c r="F444" s="288"/>
      <c r="G444" s="152"/>
      <c r="H444" s="152"/>
      <c r="I444" s="152"/>
      <c r="J444" s="152"/>
      <c r="K444" s="289"/>
      <c r="L444" s="289"/>
      <c r="M444" s="152"/>
      <c r="N444" s="152"/>
      <c r="O444" s="156"/>
      <c r="P444" s="152"/>
      <c r="Q444" s="152"/>
      <c r="R444" s="152"/>
      <c r="S444" s="152"/>
      <c r="T444" s="152"/>
      <c r="U444" s="152"/>
      <c r="V444" s="152"/>
      <c r="W444" s="152"/>
      <c r="X444" s="152"/>
      <c r="Y444" s="152"/>
      <c r="Z444" s="281"/>
      <c r="AA444" s="281"/>
      <c r="AB444" s="281"/>
      <c r="AC444" s="281"/>
      <c r="AD444" s="281"/>
      <c r="AE444" s="281"/>
      <c r="AF444" s="281"/>
      <c r="AG444" s="170"/>
      <c r="AH444" s="152"/>
      <c r="AI444" s="152"/>
      <c r="AJ444" s="152"/>
      <c r="AK444" s="152"/>
      <c r="AL444" s="152"/>
      <c r="AM444" s="152"/>
      <c r="AN444" s="152"/>
      <c r="AO444" s="152"/>
      <c r="AP444" s="152"/>
      <c r="AQ444" s="152"/>
      <c r="AR444" s="152"/>
    </row>
    <row r="445" ht="12.75" customHeight="1">
      <c r="A445" s="288"/>
      <c r="B445" s="288"/>
      <c r="C445" s="288"/>
      <c r="D445" s="152"/>
      <c r="E445" s="289"/>
      <c r="F445" s="288"/>
      <c r="G445" s="152"/>
      <c r="H445" s="152"/>
      <c r="I445" s="152"/>
      <c r="J445" s="152"/>
      <c r="K445" s="289"/>
      <c r="L445" s="289"/>
      <c r="M445" s="152"/>
      <c r="N445" s="152"/>
      <c r="O445" s="156"/>
      <c r="P445" s="152"/>
      <c r="Q445" s="152"/>
      <c r="R445" s="152"/>
      <c r="S445" s="152"/>
      <c r="T445" s="152"/>
      <c r="U445" s="152"/>
      <c r="V445" s="152"/>
      <c r="W445" s="152"/>
      <c r="X445" s="152"/>
      <c r="Y445" s="152"/>
      <c r="Z445" s="281"/>
      <c r="AA445" s="281"/>
      <c r="AB445" s="281"/>
      <c r="AC445" s="281"/>
      <c r="AD445" s="281"/>
      <c r="AE445" s="281"/>
      <c r="AF445" s="281"/>
      <c r="AG445" s="170"/>
      <c r="AH445" s="152"/>
      <c r="AI445" s="152"/>
      <c r="AJ445" s="152"/>
      <c r="AK445" s="152"/>
      <c r="AL445" s="152"/>
      <c r="AM445" s="152"/>
      <c r="AN445" s="152"/>
      <c r="AO445" s="152"/>
      <c r="AP445" s="152"/>
      <c r="AQ445" s="152"/>
      <c r="AR445" s="152"/>
    </row>
    <row r="446" ht="12.75" customHeight="1">
      <c r="A446" s="288"/>
      <c r="B446" s="288"/>
      <c r="C446" s="288"/>
      <c r="D446" s="152"/>
      <c r="E446" s="289"/>
      <c r="F446" s="288"/>
      <c r="G446" s="152"/>
      <c r="H446" s="152"/>
      <c r="I446" s="152"/>
      <c r="J446" s="152"/>
      <c r="K446" s="289"/>
      <c r="L446" s="289"/>
      <c r="M446" s="152"/>
      <c r="N446" s="152"/>
      <c r="O446" s="156"/>
      <c r="P446" s="152"/>
      <c r="Q446" s="152"/>
      <c r="R446" s="152"/>
      <c r="S446" s="152"/>
      <c r="T446" s="152"/>
      <c r="U446" s="152"/>
      <c r="V446" s="152"/>
      <c r="W446" s="152"/>
      <c r="X446" s="152"/>
      <c r="Y446" s="152"/>
      <c r="Z446" s="281"/>
      <c r="AA446" s="281"/>
      <c r="AB446" s="281"/>
      <c r="AC446" s="281"/>
      <c r="AD446" s="281"/>
      <c r="AE446" s="281"/>
      <c r="AF446" s="281"/>
      <c r="AG446" s="170"/>
      <c r="AH446" s="152"/>
      <c r="AI446" s="152"/>
      <c r="AJ446" s="152"/>
      <c r="AK446" s="152"/>
      <c r="AL446" s="152"/>
      <c r="AM446" s="152"/>
      <c r="AN446" s="152"/>
      <c r="AO446" s="152"/>
      <c r="AP446" s="152"/>
      <c r="AQ446" s="152"/>
      <c r="AR446" s="152"/>
    </row>
    <row r="447" ht="12.75" customHeight="1">
      <c r="A447" s="288"/>
      <c r="B447" s="288"/>
      <c r="C447" s="288"/>
      <c r="D447" s="152"/>
      <c r="E447" s="289"/>
      <c r="F447" s="288"/>
      <c r="G447" s="152"/>
      <c r="H447" s="152"/>
      <c r="I447" s="152"/>
      <c r="J447" s="152"/>
      <c r="K447" s="289"/>
      <c r="L447" s="289"/>
      <c r="M447" s="152"/>
      <c r="N447" s="152"/>
      <c r="O447" s="156"/>
      <c r="P447" s="152"/>
      <c r="Q447" s="152"/>
      <c r="R447" s="152"/>
      <c r="S447" s="152"/>
      <c r="T447" s="152"/>
      <c r="U447" s="152"/>
      <c r="V447" s="152"/>
      <c r="W447" s="152"/>
      <c r="X447" s="152"/>
      <c r="Y447" s="152"/>
      <c r="Z447" s="281"/>
      <c r="AA447" s="281"/>
      <c r="AB447" s="281"/>
      <c r="AC447" s="281"/>
      <c r="AD447" s="281"/>
      <c r="AE447" s="281"/>
      <c r="AF447" s="281"/>
      <c r="AG447" s="170"/>
      <c r="AH447" s="152"/>
      <c r="AI447" s="152"/>
      <c r="AJ447" s="152"/>
      <c r="AK447" s="152"/>
      <c r="AL447" s="152"/>
      <c r="AM447" s="152"/>
      <c r="AN447" s="152"/>
      <c r="AO447" s="152"/>
      <c r="AP447" s="152"/>
      <c r="AQ447" s="152"/>
      <c r="AR447" s="152"/>
    </row>
    <row r="448" ht="12.75" customHeight="1">
      <c r="A448" s="288"/>
      <c r="B448" s="288"/>
      <c r="C448" s="288"/>
      <c r="D448" s="152"/>
      <c r="E448" s="289"/>
      <c r="F448" s="288"/>
      <c r="G448" s="152"/>
      <c r="H448" s="152"/>
      <c r="I448" s="152"/>
      <c r="J448" s="152"/>
      <c r="K448" s="289"/>
      <c r="L448" s="289"/>
      <c r="M448" s="152"/>
      <c r="N448" s="152"/>
      <c r="O448" s="156"/>
      <c r="P448" s="152"/>
      <c r="Q448" s="152"/>
      <c r="R448" s="152"/>
      <c r="S448" s="152"/>
      <c r="T448" s="152"/>
      <c r="U448" s="152"/>
      <c r="V448" s="152"/>
      <c r="W448" s="152"/>
      <c r="X448" s="152"/>
      <c r="Y448" s="152"/>
      <c r="Z448" s="281"/>
      <c r="AA448" s="281"/>
      <c r="AB448" s="281"/>
      <c r="AC448" s="281"/>
      <c r="AD448" s="281"/>
      <c r="AE448" s="281"/>
      <c r="AF448" s="281"/>
      <c r="AG448" s="170"/>
      <c r="AH448" s="152"/>
      <c r="AI448" s="152"/>
      <c r="AJ448" s="152"/>
      <c r="AK448" s="152"/>
      <c r="AL448" s="152"/>
      <c r="AM448" s="152"/>
      <c r="AN448" s="152"/>
      <c r="AO448" s="152"/>
      <c r="AP448" s="152"/>
      <c r="AQ448" s="152"/>
      <c r="AR448" s="152"/>
    </row>
    <row r="449" ht="12.75" customHeight="1">
      <c r="A449" s="288"/>
      <c r="B449" s="288"/>
      <c r="C449" s="288"/>
      <c r="D449" s="152"/>
      <c r="E449" s="289"/>
      <c r="F449" s="288"/>
      <c r="G449" s="152"/>
      <c r="H449" s="152"/>
      <c r="I449" s="152"/>
      <c r="J449" s="152"/>
      <c r="K449" s="289"/>
      <c r="L449" s="289"/>
      <c r="M449" s="152"/>
      <c r="N449" s="152"/>
      <c r="O449" s="156"/>
      <c r="P449" s="152"/>
      <c r="Q449" s="152"/>
      <c r="R449" s="152"/>
      <c r="S449" s="152"/>
      <c r="T449" s="152"/>
      <c r="U449" s="152"/>
      <c r="V449" s="152"/>
      <c r="W449" s="152"/>
      <c r="X449" s="152"/>
      <c r="Y449" s="152"/>
      <c r="Z449" s="281"/>
      <c r="AA449" s="281"/>
      <c r="AB449" s="281"/>
      <c r="AC449" s="281"/>
      <c r="AD449" s="281"/>
      <c r="AE449" s="281"/>
      <c r="AF449" s="281"/>
      <c r="AG449" s="170"/>
      <c r="AH449" s="152"/>
      <c r="AI449" s="152"/>
      <c r="AJ449" s="152"/>
      <c r="AK449" s="152"/>
      <c r="AL449" s="152"/>
      <c r="AM449" s="152"/>
      <c r="AN449" s="152"/>
      <c r="AO449" s="152"/>
      <c r="AP449" s="152"/>
      <c r="AQ449" s="152"/>
      <c r="AR449" s="152"/>
    </row>
    <row r="450" ht="12.75" customHeight="1">
      <c r="A450" s="288"/>
      <c r="B450" s="288"/>
      <c r="C450" s="288"/>
      <c r="D450" s="152"/>
      <c r="E450" s="289"/>
      <c r="F450" s="288"/>
      <c r="G450" s="152"/>
      <c r="H450" s="152"/>
      <c r="I450" s="152"/>
      <c r="J450" s="152"/>
      <c r="K450" s="289"/>
      <c r="L450" s="289"/>
      <c r="M450" s="152"/>
      <c r="N450" s="152"/>
      <c r="O450" s="156"/>
      <c r="P450" s="152"/>
      <c r="Q450" s="152"/>
      <c r="R450" s="152"/>
      <c r="S450" s="152"/>
      <c r="T450" s="152"/>
      <c r="U450" s="152"/>
      <c r="V450" s="152"/>
      <c r="W450" s="152"/>
      <c r="X450" s="152"/>
      <c r="Y450" s="152"/>
      <c r="Z450" s="281"/>
      <c r="AA450" s="281"/>
      <c r="AB450" s="281"/>
      <c r="AC450" s="281"/>
      <c r="AD450" s="281"/>
      <c r="AE450" s="281"/>
      <c r="AF450" s="281"/>
      <c r="AG450" s="170"/>
      <c r="AH450" s="152"/>
      <c r="AI450" s="152"/>
      <c r="AJ450" s="152"/>
      <c r="AK450" s="152"/>
      <c r="AL450" s="152"/>
      <c r="AM450" s="152"/>
      <c r="AN450" s="152"/>
      <c r="AO450" s="152"/>
      <c r="AP450" s="152"/>
      <c r="AQ450" s="152"/>
      <c r="AR450" s="152"/>
    </row>
    <row r="451" ht="12.75" customHeight="1">
      <c r="A451" s="288"/>
      <c r="B451" s="288"/>
      <c r="C451" s="288"/>
      <c r="D451" s="152"/>
      <c r="E451" s="289"/>
      <c r="F451" s="288"/>
      <c r="G451" s="152"/>
      <c r="H451" s="152"/>
      <c r="I451" s="152"/>
      <c r="J451" s="152"/>
      <c r="K451" s="289"/>
      <c r="L451" s="289"/>
      <c r="M451" s="152"/>
      <c r="N451" s="152"/>
      <c r="O451" s="156"/>
      <c r="P451" s="152"/>
      <c r="Q451" s="152"/>
      <c r="R451" s="152"/>
      <c r="S451" s="152"/>
      <c r="T451" s="152"/>
      <c r="U451" s="152"/>
      <c r="V451" s="152"/>
      <c r="W451" s="152"/>
      <c r="X451" s="152"/>
      <c r="Y451" s="152"/>
      <c r="Z451" s="281"/>
      <c r="AA451" s="281"/>
      <c r="AB451" s="281"/>
      <c r="AC451" s="281"/>
      <c r="AD451" s="281"/>
      <c r="AE451" s="281"/>
      <c r="AF451" s="281"/>
      <c r="AG451" s="170"/>
      <c r="AH451" s="152"/>
      <c r="AI451" s="152"/>
      <c r="AJ451" s="152"/>
      <c r="AK451" s="152"/>
      <c r="AL451" s="152"/>
      <c r="AM451" s="152"/>
      <c r="AN451" s="152"/>
      <c r="AO451" s="152"/>
      <c r="AP451" s="152"/>
      <c r="AQ451" s="152"/>
      <c r="AR451" s="152"/>
    </row>
    <row r="452" ht="12.75" customHeight="1">
      <c r="A452" s="288"/>
      <c r="B452" s="288"/>
      <c r="C452" s="288"/>
      <c r="D452" s="152"/>
      <c r="E452" s="289"/>
      <c r="F452" s="288"/>
      <c r="G452" s="152"/>
      <c r="H452" s="152"/>
      <c r="I452" s="152"/>
      <c r="J452" s="152"/>
      <c r="K452" s="289"/>
      <c r="L452" s="289"/>
      <c r="M452" s="152"/>
      <c r="N452" s="152"/>
      <c r="O452" s="156"/>
      <c r="P452" s="152"/>
      <c r="Q452" s="152"/>
      <c r="R452" s="152"/>
      <c r="S452" s="152"/>
      <c r="T452" s="152"/>
      <c r="U452" s="152"/>
      <c r="V452" s="152"/>
      <c r="W452" s="152"/>
      <c r="X452" s="152"/>
      <c r="Y452" s="152"/>
      <c r="Z452" s="281"/>
      <c r="AA452" s="281"/>
      <c r="AB452" s="281"/>
      <c r="AC452" s="281"/>
      <c r="AD452" s="281"/>
      <c r="AE452" s="281"/>
      <c r="AF452" s="281"/>
      <c r="AG452" s="170"/>
      <c r="AH452" s="152"/>
      <c r="AI452" s="152"/>
      <c r="AJ452" s="152"/>
      <c r="AK452" s="152"/>
      <c r="AL452" s="152"/>
      <c r="AM452" s="152"/>
      <c r="AN452" s="152"/>
      <c r="AO452" s="152"/>
      <c r="AP452" s="152"/>
      <c r="AQ452" s="152"/>
      <c r="AR452" s="152"/>
    </row>
    <row r="453" ht="12.75" customHeight="1">
      <c r="A453" s="288"/>
      <c r="B453" s="288"/>
      <c r="C453" s="288"/>
      <c r="D453" s="152"/>
      <c r="E453" s="289"/>
      <c r="F453" s="288"/>
      <c r="G453" s="152"/>
      <c r="H453" s="152"/>
      <c r="I453" s="152"/>
      <c r="J453" s="152"/>
      <c r="K453" s="289"/>
      <c r="L453" s="289"/>
      <c r="M453" s="152"/>
      <c r="N453" s="152"/>
      <c r="O453" s="156"/>
      <c r="P453" s="152"/>
      <c r="Q453" s="152"/>
      <c r="R453" s="152"/>
      <c r="S453" s="152"/>
      <c r="T453" s="152"/>
      <c r="U453" s="152"/>
      <c r="V453" s="152"/>
      <c r="W453" s="152"/>
      <c r="X453" s="152"/>
      <c r="Y453" s="152"/>
      <c r="Z453" s="281"/>
      <c r="AA453" s="281"/>
      <c r="AB453" s="281"/>
      <c r="AC453" s="281"/>
      <c r="AD453" s="281"/>
      <c r="AE453" s="281"/>
      <c r="AF453" s="281"/>
      <c r="AG453" s="170"/>
      <c r="AH453" s="152"/>
      <c r="AI453" s="152"/>
      <c r="AJ453" s="152"/>
      <c r="AK453" s="152"/>
      <c r="AL453" s="152"/>
      <c r="AM453" s="152"/>
      <c r="AN453" s="152"/>
      <c r="AO453" s="152"/>
      <c r="AP453" s="152"/>
      <c r="AQ453" s="152"/>
      <c r="AR453" s="152"/>
    </row>
    <row r="454" ht="12.75" customHeight="1">
      <c r="A454" s="288"/>
      <c r="B454" s="288"/>
      <c r="C454" s="288"/>
      <c r="D454" s="152"/>
      <c r="E454" s="289"/>
      <c r="F454" s="288"/>
      <c r="G454" s="152"/>
      <c r="H454" s="152"/>
      <c r="I454" s="152"/>
      <c r="J454" s="152"/>
      <c r="K454" s="289"/>
      <c r="L454" s="289"/>
      <c r="M454" s="152"/>
      <c r="N454" s="152"/>
      <c r="O454" s="156"/>
      <c r="P454" s="152"/>
      <c r="Q454" s="152"/>
      <c r="R454" s="152"/>
      <c r="S454" s="152"/>
      <c r="T454" s="152"/>
      <c r="U454" s="152"/>
      <c r="V454" s="152"/>
      <c r="W454" s="152"/>
      <c r="X454" s="152"/>
      <c r="Y454" s="152"/>
      <c r="Z454" s="281"/>
      <c r="AA454" s="281"/>
      <c r="AB454" s="281"/>
      <c r="AC454" s="281"/>
      <c r="AD454" s="281"/>
      <c r="AE454" s="281"/>
      <c r="AF454" s="281"/>
      <c r="AG454" s="170"/>
      <c r="AH454" s="152"/>
      <c r="AI454" s="152"/>
      <c r="AJ454" s="152"/>
      <c r="AK454" s="152"/>
      <c r="AL454" s="152"/>
      <c r="AM454" s="152"/>
      <c r="AN454" s="152"/>
      <c r="AO454" s="152"/>
      <c r="AP454" s="152"/>
      <c r="AQ454" s="152"/>
      <c r="AR454" s="152"/>
    </row>
    <row r="455" ht="12.75" customHeight="1">
      <c r="A455" s="288"/>
      <c r="B455" s="288"/>
      <c r="C455" s="288"/>
      <c r="D455" s="152"/>
      <c r="E455" s="289"/>
      <c r="F455" s="288"/>
      <c r="G455" s="152"/>
      <c r="H455" s="152"/>
      <c r="I455" s="152"/>
      <c r="J455" s="152"/>
      <c r="K455" s="289"/>
      <c r="L455" s="289"/>
      <c r="M455" s="152"/>
      <c r="N455" s="152"/>
      <c r="O455" s="156"/>
      <c r="P455" s="152"/>
      <c r="Q455" s="152"/>
      <c r="R455" s="152"/>
      <c r="S455" s="152"/>
      <c r="T455" s="152"/>
      <c r="U455" s="152"/>
      <c r="V455" s="152"/>
      <c r="W455" s="152"/>
      <c r="X455" s="152"/>
      <c r="Y455" s="152"/>
      <c r="Z455" s="281"/>
      <c r="AA455" s="281"/>
      <c r="AB455" s="281"/>
      <c r="AC455" s="281"/>
      <c r="AD455" s="281"/>
      <c r="AE455" s="281"/>
      <c r="AF455" s="281"/>
      <c r="AG455" s="170"/>
      <c r="AH455" s="152"/>
      <c r="AI455" s="152"/>
      <c r="AJ455" s="152"/>
      <c r="AK455" s="152"/>
      <c r="AL455" s="152"/>
      <c r="AM455" s="152"/>
      <c r="AN455" s="152"/>
      <c r="AO455" s="152"/>
      <c r="AP455" s="152"/>
      <c r="AQ455" s="152"/>
      <c r="AR455" s="152"/>
    </row>
    <row r="456" ht="12.75" customHeight="1">
      <c r="A456" s="288"/>
      <c r="B456" s="288"/>
      <c r="C456" s="288"/>
      <c r="D456" s="152"/>
      <c r="E456" s="289"/>
      <c r="F456" s="288"/>
      <c r="G456" s="152"/>
      <c r="H456" s="152"/>
      <c r="I456" s="152"/>
      <c r="J456" s="152"/>
      <c r="K456" s="289"/>
      <c r="L456" s="289"/>
      <c r="M456" s="152"/>
      <c r="N456" s="152"/>
      <c r="O456" s="156"/>
      <c r="P456" s="152"/>
      <c r="Q456" s="152"/>
      <c r="R456" s="152"/>
      <c r="S456" s="152"/>
      <c r="T456" s="152"/>
      <c r="U456" s="152"/>
      <c r="V456" s="152"/>
      <c r="W456" s="152"/>
      <c r="X456" s="152"/>
      <c r="Y456" s="152"/>
      <c r="Z456" s="281"/>
      <c r="AA456" s="281"/>
      <c r="AB456" s="281"/>
      <c r="AC456" s="281"/>
      <c r="AD456" s="281"/>
      <c r="AE456" s="281"/>
      <c r="AF456" s="281"/>
      <c r="AG456" s="170"/>
      <c r="AH456" s="152"/>
      <c r="AI456" s="152"/>
      <c r="AJ456" s="152"/>
      <c r="AK456" s="152"/>
      <c r="AL456" s="152"/>
      <c r="AM456" s="152"/>
      <c r="AN456" s="152"/>
      <c r="AO456" s="152"/>
      <c r="AP456" s="152"/>
      <c r="AQ456" s="152"/>
      <c r="AR456" s="152"/>
    </row>
    <row r="457" ht="12.75" customHeight="1">
      <c r="A457" s="288"/>
      <c r="B457" s="288"/>
      <c r="C457" s="288"/>
      <c r="D457" s="152"/>
      <c r="E457" s="289"/>
      <c r="F457" s="288"/>
      <c r="G457" s="152"/>
      <c r="H457" s="152"/>
      <c r="I457" s="152"/>
      <c r="J457" s="152"/>
      <c r="K457" s="289"/>
      <c r="L457" s="289"/>
      <c r="M457" s="152"/>
      <c r="N457" s="152"/>
      <c r="O457" s="156"/>
      <c r="P457" s="152"/>
      <c r="Q457" s="152"/>
      <c r="R457" s="152"/>
      <c r="S457" s="152"/>
      <c r="T457" s="152"/>
      <c r="U457" s="152"/>
      <c r="V457" s="152"/>
      <c r="W457" s="152"/>
      <c r="X457" s="152"/>
      <c r="Y457" s="152"/>
      <c r="Z457" s="281"/>
      <c r="AA457" s="281"/>
      <c r="AB457" s="281"/>
      <c r="AC457" s="281"/>
      <c r="AD457" s="281"/>
      <c r="AE457" s="281"/>
      <c r="AF457" s="281"/>
      <c r="AG457" s="170"/>
      <c r="AH457" s="152"/>
      <c r="AI457" s="152"/>
      <c r="AJ457" s="152"/>
      <c r="AK457" s="152"/>
      <c r="AL457" s="152"/>
      <c r="AM457" s="152"/>
      <c r="AN457" s="152"/>
      <c r="AO457" s="152"/>
      <c r="AP457" s="152"/>
      <c r="AQ457" s="152"/>
      <c r="AR457" s="152"/>
    </row>
    <row r="458" ht="12.75" customHeight="1">
      <c r="A458" s="288"/>
      <c r="B458" s="288"/>
      <c r="C458" s="288"/>
      <c r="D458" s="152"/>
      <c r="E458" s="289"/>
      <c r="F458" s="288"/>
      <c r="G458" s="152"/>
      <c r="H458" s="152"/>
      <c r="I458" s="152"/>
      <c r="J458" s="152"/>
      <c r="K458" s="289"/>
      <c r="L458" s="289"/>
      <c r="M458" s="152"/>
      <c r="N458" s="152"/>
      <c r="O458" s="156"/>
      <c r="P458" s="152"/>
      <c r="Q458" s="152"/>
      <c r="R458" s="152"/>
      <c r="S458" s="152"/>
      <c r="T458" s="152"/>
      <c r="U458" s="152"/>
      <c r="V458" s="152"/>
      <c r="W458" s="152"/>
      <c r="X458" s="152"/>
      <c r="Y458" s="152"/>
      <c r="Z458" s="281"/>
      <c r="AA458" s="281"/>
      <c r="AB458" s="281"/>
      <c r="AC458" s="281"/>
      <c r="AD458" s="281"/>
      <c r="AE458" s="281"/>
      <c r="AF458" s="281"/>
      <c r="AG458" s="170"/>
      <c r="AH458" s="152"/>
      <c r="AI458" s="152"/>
      <c r="AJ458" s="152"/>
      <c r="AK458" s="152"/>
      <c r="AL458" s="152"/>
      <c r="AM458" s="152"/>
      <c r="AN458" s="152"/>
      <c r="AO458" s="152"/>
      <c r="AP458" s="152"/>
      <c r="AQ458" s="152"/>
      <c r="AR458" s="152"/>
    </row>
    <row r="459" ht="12.75" customHeight="1">
      <c r="A459" s="288"/>
      <c r="B459" s="288"/>
      <c r="C459" s="288"/>
      <c r="D459" s="152"/>
      <c r="E459" s="289"/>
      <c r="F459" s="288"/>
      <c r="G459" s="152"/>
      <c r="H459" s="152"/>
      <c r="I459" s="152"/>
      <c r="J459" s="152"/>
      <c r="K459" s="289"/>
      <c r="L459" s="289"/>
      <c r="M459" s="152"/>
      <c r="N459" s="152"/>
      <c r="O459" s="156"/>
      <c r="P459" s="152"/>
      <c r="Q459" s="152"/>
      <c r="R459" s="152"/>
      <c r="S459" s="152"/>
      <c r="T459" s="152"/>
      <c r="U459" s="152"/>
      <c r="V459" s="152"/>
      <c r="W459" s="152"/>
      <c r="X459" s="152"/>
      <c r="Y459" s="152"/>
      <c r="Z459" s="281"/>
      <c r="AA459" s="281"/>
      <c r="AB459" s="281"/>
      <c r="AC459" s="281"/>
      <c r="AD459" s="281"/>
      <c r="AE459" s="281"/>
      <c r="AF459" s="281"/>
      <c r="AG459" s="170"/>
      <c r="AH459" s="152"/>
      <c r="AI459" s="152"/>
      <c r="AJ459" s="152"/>
      <c r="AK459" s="152"/>
      <c r="AL459" s="152"/>
      <c r="AM459" s="152"/>
      <c r="AN459" s="152"/>
      <c r="AO459" s="152"/>
      <c r="AP459" s="152"/>
      <c r="AQ459" s="152"/>
      <c r="AR459" s="152"/>
    </row>
    <row r="460" ht="12.75" customHeight="1">
      <c r="A460" s="288"/>
      <c r="B460" s="288"/>
      <c r="C460" s="288"/>
      <c r="D460" s="152"/>
      <c r="E460" s="289"/>
      <c r="F460" s="288"/>
      <c r="G460" s="152"/>
      <c r="H460" s="152"/>
      <c r="I460" s="152"/>
      <c r="J460" s="152"/>
      <c r="K460" s="289"/>
      <c r="L460" s="289"/>
      <c r="M460" s="152"/>
      <c r="N460" s="152"/>
      <c r="O460" s="156"/>
      <c r="P460" s="152"/>
      <c r="Q460" s="152"/>
      <c r="R460" s="152"/>
      <c r="S460" s="152"/>
      <c r="T460" s="152"/>
      <c r="U460" s="152"/>
      <c r="V460" s="152"/>
      <c r="W460" s="152"/>
      <c r="X460" s="152"/>
      <c r="Y460" s="152"/>
      <c r="Z460" s="281"/>
      <c r="AA460" s="281"/>
      <c r="AB460" s="281"/>
      <c r="AC460" s="281"/>
      <c r="AD460" s="281"/>
      <c r="AE460" s="281"/>
      <c r="AF460" s="281"/>
      <c r="AG460" s="170"/>
      <c r="AH460" s="152"/>
      <c r="AI460" s="152"/>
      <c r="AJ460" s="152"/>
      <c r="AK460" s="152"/>
      <c r="AL460" s="152"/>
      <c r="AM460" s="152"/>
      <c r="AN460" s="152"/>
      <c r="AO460" s="152"/>
      <c r="AP460" s="152"/>
      <c r="AQ460" s="152"/>
      <c r="AR460" s="152"/>
    </row>
    <row r="461" ht="12.75" customHeight="1">
      <c r="A461" s="288"/>
      <c r="B461" s="288"/>
      <c r="C461" s="288"/>
      <c r="D461" s="152"/>
      <c r="E461" s="289"/>
      <c r="F461" s="288"/>
      <c r="G461" s="152"/>
      <c r="H461" s="152"/>
      <c r="I461" s="152"/>
      <c r="J461" s="152"/>
      <c r="K461" s="289"/>
      <c r="L461" s="289"/>
      <c r="M461" s="152"/>
      <c r="N461" s="152"/>
      <c r="O461" s="156"/>
      <c r="P461" s="152"/>
      <c r="Q461" s="152"/>
      <c r="R461" s="152"/>
      <c r="S461" s="152"/>
      <c r="T461" s="152"/>
      <c r="U461" s="152"/>
      <c r="V461" s="152"/>
      <c r="W461" s="152"/>
      <c r="X461" s="152"/>
      <c r="Y461" s="152"/>
      <c r="Z461" s="281"/>
      <c r="AA461" s="281"/>
      <c r="AB461" s="281"/>
      <c r="AC461" s="281"/>
      <c r="AD461" s="281"/>
      <c r="AE461" s="281"/>
      <c r="AF461" s="281"/>
      <c r="AG461" s="170"/>
      <c r="AH461" s="152"/>
      <c r="AI461" s="152"/>
      <c r="AJ461" s="152"/>
      <c r="AK461" s="152"/>
      <c r="AL461" s="152"/>
      <c r="AM461" s="152"/>
      <c r="AN461" s="152"/>
      <c r="AO461" s="152"/>
      <c r="AP461" s="152"/>
      <c r="AQ461" s="152"/>
      <c r="AR461" s="152"/>
    </row>
    <row r="462" ht="12.75" customHeight="1">
      <c r="A462" s="288"/>
      <c r="B462" s="288"/>
      <c r="C462" s="288"/>
      <c r="D462" s="152"/>
      <c r="E462" s="289"/>
      <c r="F462" s="288"/>
      <c r="G462" s="152"/>
      <c r="H462" s="152"/>
      <c r="I462" s="152"/>
      <c r="J462" s="152"/>
      <c r="K462" s="289"/>
      <c r="L462" s="289"/>
      <c r="M462" s="152"/>
      <c r="N462" s="152"/>
      <c r="O462" s="156"/>
      <c r="P462" s="152"/>
      <c r="Q462" s="152"/>
      <c r="R462" s="152"/>
      <c r="S462" s="152"/>
      <c r="T462" s="152"/>
      <c r="U462" s="152"/>
      <c r="V462" s="152"/>
      <c r="W462" s="152"/>
      <c r="X462" s="152"/>
      <c r="Y462" s="152"/>
      <c r="Z462" s="281"/>
      <c r="AA462" s="281"/>
      <c r="AB462" s="281"/>
      <c r="AC462" s="281"/>
      <c r="AD462" s="281"/>
      <c r="AE462" s="281"/>
      <c r="AF462" s="281"/>
      <c r="AG462" s="170"/>
      <c r="AH462" s="152"/>
      <c r="AI462" s="152"/>
      <c r="AJ462" s="152"/>
      <c r="AK462" s="152"/>
      <c r="AL462" s="152"/>
      <c r="AM462" s="152"/>
      <c r="AN462" s="152"/>
      <c r="AO462" s="152"/>
      <c r="AP462" s="152"/>
      <c r="AQ462" s="152"/>
      <c r="AR462" s="152"/>
    </row>
    <row r="463" ht="12.75" customHeight="1">
      <c r="A463" s="288"/>
      <c r="B463" s="288"/>
      <c r="C463" s="288"/>
      <c r="D463" s="152"/>
      <c r="E463" s="289"/>
      <c r="F463" s="288"/>
      <c r="G463" s="152"/>
      <c r="H463" s="152"/>
      <c r="I463" s="152"/>
      <c r="J463" s="152"/>
      <c r="K463" s="289"/>
      <c r="L463" s="289"/>
      <c r="M463" s="152"/>
      <c r="N463" s="152"/>
      <c r="O463" s="156"/>
      <c r="P463" s="152"/>
      <c r="Q463" s="152"/>
      <c r="R463" s="152"/>
      <c r="S463" s="152"/>
      <c r="T463" s="152"/>
      <c r="U463" s="152"/>
      <c r="V463" s="152"/>
      <c r="W463" s="152"/>
      <c r="X463" s="152"/>
      <c r="Y463" s="152"/>
      <c r="Z463" s="281"/>
      <c r="AA463" s="281"/>
      <c r="AB463" s="281"/>
      <c r="AC463" s="281"/>
      <c r="AD463" s="281"/>
      <c r="AE463" s="281"/>
      <c r="AF463" s="281"/>
      <c r="AG463" s="170"/>
      <c r="AH463" s="152"/>
      <c r="AI463" s="152"/>
      <c r="AJ463" s="152"/>
      <c r="AK463" s="152"/>
      <c r="AL463" s="152"/>
      <c r="AM463" s="152"/>
      <c r="AN463" s="152"/>
      <c r="AO463" s="152"/>
      <c r="AP463" s="152"/>
      <c r="AQ463" s="152"/>
      <c r="AR463" s="152"/>
    </row>
    <row r="464" ht="12.75" customHeight="1">
      <c r="A464" s="288"/>
      <c r="B464" s="288"/>
      <c r="C464" s="288"/>
      <c r="D464" s="152"/>
      <c r="E464" s="289"/>
      <c r="F464" s="288"/>
      <c r="G464" s="152"/>
      <c r="H464" s="152"/>
      <c r="I464" s="152"/>
      <c r="J464" s="152"/>
      <c r="K464" s="289"/>
      <c r="L464" s="289"/>
      <c r="M464" s="152"/>
      <c r="N464" s="152"/>
      <c r="O464" s="156"/>
      <c r="P464" s="152"/>
      <c r="Q464" s="152"/>
      <c r="R464" s="152"/>
      <c r="S464" s="152"/>
      <c r="T464" s="152"/>
      <c r="U464" s="152"/>
      <c r="V464" s="152"/>
      <c r="W464" s="152"/>
      <c r="X464" s="152"/>
      <c r="Y464" s="152"/>
      <c r="Z464" s="281"/>
      <c r="AA464" s="281"/>
      <c r="AB464" s="281"/>
      <c r="AC464" s="281"/>
      <c r="AD464" s="281"/>
      <c r="AE464" s="281"/>
      <c r="AF464" s="281"/>
      <c r="AG464" s="170"/>
      <c r="AH464" s="152"/>
      <c r="AI464" s="152"/>
      <c r="AJ464" s="152"/>
      <c r="AK464" s="152"/>
      <c r="AL464" s="152"/>
      <c r="AM464" s="152"/>
      <c r="AN464" s="152"/>
      <c r="AO464" s="152"/>
      <c r="AP464" s="152"/>
      <c r="AQ464" s="152"/>
      <c r="AR464" s="152"/>
    </row>
    <row r="465" ht="12.75" customHeight="1">
      <c r="A465" s="288"/>
      <c r="B465" s="288"/>
      <c r="C465" s="288"/>
      <c r="D465" s="152"/>
      <c r="E465" s="289"/>
      <c r="F465" s="288"/>
      <c r="G465" s="152"/>
      <c r="H465" s="152"/>
      <c r="I465" s="152"/>
      <c r="J465" s="152"/>
      <c r="K465" s="289"/>
      <c r="L465" s="289"/>
      <c r="M465" s="152"/>
      <c r="N465" s="152"/>
      <c r="O465" s="156"/>
      <c r="P465" s="152"/>
      <c r="Q465" s="152"/>
      <c r="R465" s="152"/>
      <c r="S465" s="152"/>
      <c r="T465" s="152"/>
      <c r="U465" s="152"/>
      <c r="V465" s="152"/>
      <c r="W465" s="152"/>
      <c r="X465" s="152"/>
      <c r="Y465" s="152"/>
      <c r="Z465" s="281"/>
      <c r="AA465" s="281"/>
      <c r="AB465" s="281"/>
      <c r="AC465" s="281"/>
      <c r="AD465" s="281"/>
      <c r="AE465" s="281"/>
      <c r="AF465" s="281"/>
      <c r="AG465" s="170"/>
      <c r="AH465" s="152"/>
      <c r="AI465" s="152"/>
      <c r="AJ465" s="152"/>
      <c r="AK465" s="152"/>
      <c r="AL465" s="152"/>
      <c r="AM465" s="152"/>
      <c r="AN465" s="152"/>
      <c r="AO465" s="152"/>
      <c r="AP465" s="152"/>
      <c r="AQ465" s="152"/>
      <c r="AR465" s="152"/>
    </row>
    <row r="466" ht="12.75" customHeight="1">
      <c r="A466" s="288"/>
      <c r="B466" s="288"/>
      <c r="C466" s="288"/>
      <c r="D466" s="152"/>
      <c r="E466" s="289"/>
      <c r="F466" s="288"/>
      <c r="G466" s="152"/>
      <c r="H466" s="152"/>
      <c r="I466" s="152"/>
      <c r="J466" s="152"/>
      <c r="K466" s="289"/>
      <c r="L466" s="289"/>
      <c r="M466" s="152"/>
      <c r="N466" s="152"/>
      <c r="O466" s="156"/>
      <c r="P466" s="152"/>
      <c r="Q466" s="152"/>
      <c r="R466" s="152"/>
      <c r="S466" s="152"/>
      <c r="T466" s="152"/>
      <c r="U466" s="152"/>
      <c r="V466" s="152"/>
      <c r="W466" s="152"/>
      <c r="X466" s="152"/>
      <c r="Y466" s="152"/>
      <c r="Z466" s="281"/>
      <c r="AA466" s="281"/>
      <c r="AB466" s="281"/>
      <c r="AC466" s="281"/>
      <c r="AD466" s="281"/>
      <c r="AE466" s="281"/>
      <c r="AF466" s="281"/>
      <c r="AG466" s="170"/>
      <c r="AH466" s="152"/>
      <c r="AI466" s="152"/>
      <c r="AJ466" s="152"/>
      <c r="AK466" s="152"/>
      <c r="AL466" s="152"/>
      <c r="AM466" s="152"/>
      <c r="AN466" s="152"/>
      <c r="AO466" s="152"/>
      <c r="AP466" s="152"/>
      <c r="AQ466" s="152"/>
      <c r="AR466" s="152"/>
    </row>
    <row r="467" ht="12.75" customHeight="1">
      <c r="A467" s="288"/>
      <c r="B467" s="288"/>
      <c r="C467" s="288"/>
      <c r="D467" s="152"/>
      <c r="E467" s="289"/>
      <c r="F467" s="288"/>
      <c r="G467" s="152"/>
      <c r="H467" s="152"/>
      <c r="I467" s="152"/>
      <c r="J467" s="152"/>
      <c r="K467" s="289"/>
      <c r="L467" s="289"/>
      <c r="M467" s="152"/>
      <c r="N467" s="152"/>
      <c r="O467" s="156"/>
      <c r="P467" s="152"/>
      <c r="Q467" s="152"/>
      <c r="R467" s="152"/>
      <c r="S467" s="152"/>
      <c r="T467" s="152"/>
      <c r="U467" s="152"/>
      <c r="V467" s="152"/>
      <c r="W467" s="152"/>
      <c r="X467" s="152"/>
      <c r="Y467" s="152"/>
      <c r="Z467" s="281"/>
      <c r="AA467" s="281"/>
      <c r="AB467" s="281"/>
      <c r="AC467" s="281"/>
      <c r="AD467" s="281"/>
      <c r="AE467" s="281"/>
      <c r="AF467" s="281"/>
      <c r="AG467" s="170"/>
      <c r="AH467" s="152"/>
      <c r="AI467" s="152"/>
      <c r="AJ467" s="152"/>
      <c r="AK467" s="152"/>
      <c r="AL467" s="152"/>
      <c r="AM467" s="152"/>
      <c r="AN467" s="152"/>
      <c r="AO467" s="152"/>
      <c r="AP467" s="152"/>
      <c r="AQ467" s="152"/>
      <c r="AR467" s="152"/>
    </row>
    <row r="468" ht="12.75" customHeight="1">
      <c r="A468" s="288"/>
      <c r="B468" s="288"/>
      <c r="C468" s="288"/>
      <c r="D468" s="152"/>
      <c r="E468" s="289"/>
      <c r="F468" s="288"/>
      <c r="G468" s="152"/>
      <c r="H468" s="152"/>
      <c r="I468" s="152"/>
      <c r="J468" s="152"/>
      <c r="K468" s="289"/>
      <c r="L468" s="289"/>
      <c r="M468" s="152"/>
      <c r="N468" s="152"/>
      <c r="O468" s="156"/>
      <c r="P468" s="152"/>
      <c r="Q468" s="152"/>
      <c r="R468" s="152"/>
      <c r="S468" s="152"/>
      <c r="T468" s="152"/>
      <c r="U468" s="152"/>
      <c r="V468" s="152"/>
      <c r="W468" s="152"/>
      <c r="X468" s="152"/>
      <c r="Y468" s="152"/>
      <c r="Z468" s="281"/>
      <c r="AA468" s="281"/>
      <c r="AB468" s="281"/>
      <c r="AC468" s="281"/>
      <c r="AD468" s="281"/>
      <c r="AE468" s="281"/>
      <c r="AF468" s="281"/>
      <c r="AG468" s="170"/>
      <c r="AH468" s="152"/>
      <c r="AI468" s="152"/>
      <c r="AJ468" s="152"/>
      <c r="AK468" s="152"/>
      <c r="AL468" s="152"/>
      <c r="AM468" s="152"/>
      <c r="AN468" s="152"/>
      <c r="AO468" s="152"/>
      <c r="AP468" s="152"/>
      <c r="AQ468" s="152"/>
      <c r="AR468" s="152"/>
    </row>
    <row r="469" ht="12.75" customHeight="1">
      <c r="A469" s="288"/>
      <c r="B469" s="288"/>
      <c r="C469" s="288"/>
      <c r="D469" s="152"/>
      <c r="E469" s="289"/>
      <c r="F469" s="288"/>
      <c r="G469" s="152"/>
      <c r="H469" s="152"/>
      <c r="I469" s="152"/>
      <c r="J469" s="152"/>
      <c r="K469" s="289"/>
      <c r="L469" s="289"/>
      <c r="M469" s="152"/>
      <c r="N469" s="152"/>
      <c r="O469" s="156"/>
      <c r="P469" s="152"/>
      <c r="Q469" s="152"/>
      <c r="R469" s="152"/>
      <c r="S469" s="152"/>
      <c r="T469" s="152"/>
      <c r="U469" s="152"/>
      <c r="V469" s="152"/>
      <c r="W469" s="152"/>
      <c r="X469" s="152"/>
      <c r="Y469" s="152"/>
      <c r="Z469" s="281"/>
      <c r="AA469" s="281"/>
      <c r="AB469" s="281"/>
      <c r="AC469" s="281"/>
      <c r="AD469" s="281"/>
      <c r="AE469" s="281"/>
      <c r="AF469" s="281"/>
      <c r="AG469" s="170"/>
      <c r="AH469" s="152"/>
      <c r="AI469" s="152"/>
      <c r="AJ469" s="152"/>
      <c r="AK469" s="152"/>
      <c r="AL469" s="152"/>
      <c r="AM469" s="152"/>
      <c r="AN469" s="152"/>
      <c r="AO469" s="152"/>
      <c r="AP469" s="152"/>
      <c r="AQ469" s="152"/>
      <c r="AR469" s="152"/>
    </row>
    <row r="470" ht="12.75" customHeight="1">
      <c r="A470" s="288"/>
      <c r="B470" s="288"/>
      <c r="C470" s="288"/>
      <c r="D470" s="152"/>
      <c r="E470" s="289"/>
      <c r="F470" s="288"/>
      <c r="G470" s="152"/>
      <c r="H470" s="152"/>
      <c r="I470" s="152"/>
      <c r="J470" s="152"/>
      <c r="K470" s="289"/>
      <c r="L470" s="289"/>
      <c r="M470" s="152"/>
      <c r="N470" s="152"/>
      <c r="O470" s="156"/>
      <c r="P470" s="152"/>
      <c r="Q470" s="152"/>
      <c r="R470" s="152"/>
      <c r="S470" s="152"/>
      <c r="T470" s="152"/>
      <c r="U470" s="152"/>
      <c r="V470" s="152"/>
      <c r="W470" s="152"/>
      <c r="X470" s="152"/>
      <c r="Y470" s="152"/>
      <c r="Z470" s="281"/>
      <c r="AA470" s="281"/>
      <c r="AB470" s="281"/>
      <c r="AC470" s="281"/>
      <c r="AD470" s="281"/>
      <c r="AE470" s="281"/>
      <c r="AF470" s="281"/>
      <c r="AG470" s="170"/>
      <c r="AH470" s="152"/>
      <c r="AI470" s="152"/>
      <c r="AJ470" s="152"/>
      <c r="AK470" s="152"/>
      <c r="AL470" s="152"/>
      <c r="AM470" s="152"/>
      <c r="AN470" s="152"/>
      <c r="AO470" s="152"/>
      <c r="AP470" s="152"/>
      <c r="AQ470" s="152"/>
      <c r="AR470" s="152"/>
    </row>
    <row r="471" ht="12.75" customHeight="1">
      <c r="A471" s="288"/>
      <c r="B471" s="288"/>
      <c r="C471" s="288"/>
      <c r="D471" s="152"/>
      <c r="E471" s="289"/>
      <c r="F471" s="288"/>
      <c r="G471" s="152"/>
      <c r="H471" s="152"/>
      <c r="I471" s="152"/>
      <c r="J471" s="152"/>
      <c r="K471" s="289"/>
      <c r="L471" s="289"/>
      <c r="M471" s="152"/>
      <c r="N471" s="152"/>
      <c r="O471" s="156"/>
      <c r="P471" s="152"/>
      <c r="Q471" s="152"/>
      <c r="R471" s="152"/>
      <c r="S471" s="152"/>
      <c r="T471" s="152"/>
      <c r="U471" s="152"/>
      <c r="V471" s="152"/>
      <c r="W471" s="152"/>
      <c r="X471" s="152"/>
      <c r="Y471" s="152"/>
      <c r="Z471" s="281"/>
      <c r="AA471" s="281"/>
      <c r="AB471" s="281"/>
      <c r="AC471" s="281"/>
      <c r="AD471" s="281"/>
      <c r="AE471" s="281"/>
      <c r="AF471" s="281"/>
      <c r="AG471" s="170"/>
      <c r="AH471" s="152"/>
      <c r="AI471" s="152"/>
      <c r="AJ471" s="152"/>
      <c r="AK471" s="152"/>
      <c r="AL471" s="152"/>
      <c r="AM471" s="152"/>
      <c r="AN471" s="152"/>
      <c r="AO471" s="152"/>
      <c r="AP471" s="152"/>
      <c r="AQ471" s="152"/>
      <c r="AR471" s="152"/>
    </row>
    <row r="472" ht="12.75" customHeight="1">
      <c r="A472" s="288"/>
      <c r="B472" s="288"/>
      <c r="C472" s="288"/>
      <c r="D472" s="152"/>
      <c r="E472" s="289"/>
      <c r="F472" s="288"/>
      <c r="G472" s="152"/>
      <c r="H472" s="152"/>
      <c r="I472" s="152"/>
      <c r="J472" s="152"/>
      <c r="K472" s="289"/>
      <c r="L472" s="289"/>
      <c r="M472" s="152"/>
      <c r="N472" s="152"/>
      <c r="O472" s="156"/>
      <c r="P472" s="152"/>
      <c r="Q472" s="152"/>
      <c r="R472" s="152"/>
      <c r="S472" s="152"/>
      <c r="T472" s="152"/>
      <c r="U472" s="152"/>
      <c r="V472" s="152"/>
      <c r="W472" s="152"/>
      <c r="X472" s="152"/>
      <c r="Y472" s="152"/>
      <c r="Z472" s="281"/>
      <c r="AA472" s="281"/>
      <c r="AB472" s="281"/>
      <c r="AC472" s="281"/>
      <c r="AD472" s="281"/>
      <c r="AE472" s="281"/>
      <c r="AF472" s="281"/>
      <c r="AG472" s="170"/>
      <c r="AH472" s="152"/>
      <c r="AI472" s="152"/>
      <c r="AJ472" s="152"/>
      <c r="AK472" s="152"/>
      <c r="AL472" s="152"/>
      <c r="AM472" s="152"/>
      <c r="AN472" s="152"/>
      <c r="AO472" s="152"/>
      <c r="AP472" s="152"/>
      <c r="AQ472" s="152"/>
      <c r="AR472" s="152"/>
    </row>
    <row r="473" ht="12.75" customHeight="1">
      <c r="A473" s="288"/>
      <c r="B473" s="288"/>
      <c r="C473" s="288"/>
      <c r="D473" s="152"/>
      <c r="E473" s="289"/>
      <c r="F473" s="288"/>
      <c r="G473" s="152"/>
      <c r="H473" s="152"/>
      <c r="I473" s="152"/>
      <c r="J473" s="152"/>
      <c r="K473" s="289"/>
      <c r="L473" s="289"/>
      <c r="M473" s="152"/>
      <c r="N473" s="152"/>
      <c r="O473" s="156"/>
      <c r="P473" s="152"/>
      <c r="Q473" s="152"/>
      <c r="R473" s="152"/>
      <c r="S473" s="152"/>
      <c r="T473" s="152"/>
      <c r="U473" s="152"/>
      <c r="V473" s="152"/>
      <c r="W473" s="152"/>
      <c r="X473" s="152"/>
      <c r="Y473" s="152"/>
      <c r="Z473" s="281"/>
      <c r="AA473" s="281"/>
      <c r="AB473" s="281"/>
      <c r="AC473" s="281"/>
      <c r="AD473" s="281"/>
      <c r="AE473" s="281"/>
      <c r="AF473" s="281"/>
      <c r="AG473" s="170"/>
      <c r="AH473" s="152"/>
      <c r="AI473" s="152"/>
      <c r="AJ473" s="152"/>
      <c r="AK473" s="152"/>
      <c r="AL473" s="152"/>
      <c r="AM473" s="152"/>
      <c r="AN473" s="152"/>
      <c r="AO473" s="152"/>
      <c r="AP473" s="152"/>
      <c r="AQ473" s="152"/>
      <c r="AR473" s="152"/>
    </row>
    <row r="474" ht="12.75" customHeight="1">
      <c r="A474" s="288"/>
      <c r="B474" s="288"/>
      <c r="C474" s="288"/>
      <c r="D474" s="152"/>
      <c r="E474" s="289"/>
      <c r="F474" s="288"/>
      <c r="G474" s="152"/>
      <c r="H474" s="152"/>
      <c r="I474" s="152"/>
      <c r="J474" s="152"/>
      <c r="K474" s="289"/>
      <c r="L474" s="289"/>
      <c r="M474" s="152"/>
      <c r="N474" s="152"/>
      <c r="O474" s="156"/>
      <c r="P474" s="152"/>
      <c r="Q474" s="152"/>
      <c r="R474" s="152"/>
      <c r="S474" s="152"/>
      <c r="T474" s="152"/>
      <c r="U474" s="152"/>
      <c r="V474" s="152"/>
      <c r="W474" s="152"/>
      <c r="X474" s="152"/>
      <c r="Y474" s="152"/>
      <c r="Z474" s="281"/>
      <c r="AA474" s="281"/>
      <c r="AB474" s="281"/>
      <c r="AC474" s="281"/>
      <c r="AD474" s="281"/>
      <c r="AE474" s="281"/>
      <c r="AF474" s="281"/>
      <c r="AG474" s="170"/>
      <c r="AH474" s="152"/>
      <c r="AI474" s="152"/>
      <c r="AJ474" s="152"/>
      <c r="AK474" s="152"/>
      <c r="AL474" s="152"/>
      <c r="AM474" s="152"/>
      <c r="AN474" s="152"/>
      <c r="AO474" s="152"/>
      <c r="AP474" s="152"/>
      <c r="AQ474" s="152"/>
      <c r="AR474" s="152"/>
    </row>
    <row r="475" ht="12.75" customHeight="1">
      <c r="A475" s="288"/>
      <c r="B475" s="288"/>
      <c r="C475" s="288"/>
      <c r="D475" s="152"/>
      <c r="E475" s="289"/>
      <c r="F475" s="288"/>
      <c r="G475" s="152"/>
      <c r="H475" s="152"/>
      <c r="I475" s="152"/>
      <c r="J475" s="152"/>
      <c r="K475" s="289"/>
      <c r="L475" s="289"/>
      <c r="M475" s="152"/>
      <c r="N475" s="152"/>
      <c r="O475" s="156"/>
      <c r="P475" s="152"/>
      <c r="Q475" s="152"/>
      <c r="R475" s="152"/>
      <c r="S475" s="152"/>
      <c r="T475" s="152"/>
      <c r="U475" s="152"/>
      <c r="V475" s="152"/>
      <c r="W475" s="152"/>
      <c r="X475" s="152"/>
      <c r="Y475" s="152"/>
      <c r="Z475" s="281"/>
      <c r="AA475" s="281"/>
      <c r="AB475" s="281"/>
      <c r="AC475" s="281"/>
      <c r="AD475" s="281"/>
      <c r="AE475" s="281"/>
      <c r="AF475" s="281"/>
      <c r="AG475" s="170"/>
      <c r="AH475" s="152"/>
      <c r="AI475" s="152"/>
      <c r="AJ475" s="152"/>
      <c r="AK475" s="152"/>
      <c r="AL475" s="152"/>
      <c r="AM475" s="152"/>
      <c r="AN475" s="152"/>
      <c r="AO475" s="152"/>
      <c r="AP475" s="152"/>
      <c r="AQ475" s="152"/>
      <c r="AR475" s="152"/>
    </row>
    <row r="476" ht="12.75" customHeight="1">
      <c r="A476" s="288"/>
      <c r="B476" s="288"/>
      <c r="C476" s="288"/>
      <c r="D476" s="152"/>
      <c r="E476" s="289"/>
      <c r="F476" s="288"/>
      <c r="G476" s="152"/>
      <c r="H476" s="152"/>
      <c r="I476" s="152"/>
      <c r="J476" s="152"/>
      <c r="K476" s="289"/>
      <c r="L476" s="289"/>
      <c r="M476" s="152"/>
      <c r="N476" s="152"/>
      <c r="O476" s="156"/>
      <c r="P476" s="152"/>
      <c r="Q476" s="152"/>
      <c r="R476" s="152"/>
      <c r="S476" s="152"/>
      <c r="T476" s="152"/>
      <c r="U476" s="152"/>
      <c r="V476" s="152"/>
      <c r="W476" s="152"/>
      <c r="X476" s="152"/>
      <c r="Y476" s="152"/>
      <c r="Z476" s="281"/>
      <c r="AA476" s="281"/>
      <c r="AB476" s="281"/>
      <c r="AC476" s="281"/>
      <c r="AD476" s="281"/>
      <c r="AE476" s="281"/>
      <c r="AF476" s="281"/>
      <c r="AG476" s="170"/>
      <c r="AH476" s="152"/>
      <c r="AI476" s="152"/>
      <c r="AJ476" s="152"/>
      <c r="AK476" s="152"/>
      <c r="AL476" s="152"/>
      <c r="AM476" s="152"/>
      <c r="AN476" s="152"/>
      <c r="AO476" s="152"/>
      <c r="AP476" s="152"/>
      <c r="AQ476" s="152"/>
      <c r="AR476" s="152"/>
    </row>
    <row r="477" ht="12.75" customHeight="1">
      <c r="A477" s="288"/>
      <c r="B477" s="288"/>
      <c r="C477" s="288"/>
      <c r="D477" s="152"/>
      <c r="E477" s="289"/>
      <c r="F477" s="288"/>
      <c r="G477" s="152"/>
      <c r="H477" s="152"/>
      <c r="I477" s="152"/>
      <c r="J477" s="152"/>
      <c r="K477" s="289"/>
      <c r="L477" s="289"/>
      <c r="M477" s="152"/>
      <c r="N477" s="152"/>
      <c r="O477" s="156"/>
      <c r="P477" s="152"/>
      <c r="Q477" s="152"/>
      <c r="R477" s="152"/>
      <c r="S477" s="152"/>
      <c r="T477" s="152"/>
      <c r="U477" s="152"/>
      <c r="V477" s="152"/>
      <c r="W477" s="152"/>
      <c r="X477" s="152"/>
      <c r="Y477" s="152"/>
      <c r="Z477" s="281"/>
      <c r="AA477" s="281"/>
      <c r="AB477" s="281"/>
      <c r="AC477" s="281"/>
      <c r="AD477" s="281"/>
      <c r="AE477" s="281"/>
      <c r="AF477" s="281"/>
      <c r="AG477" s="170"/>
      <c r="AH477" s="152"/>
      <c r="AI477" s="152"/>
      <c r="AJ477" s="152"/>
      <c r="AK477" s="152"/>
      <c r="AL477" s="152"/>
      <c r="AM477" s="152"/>
      <c r="AN477" s="152"/>
      <c r="AO477" s="152"/>
      <c r="AP477" s="152"/>
      <c r="AQ477" s="152"/>
      <c r="AR477" s="152"/>
    </row>
    <row r="478" ht="12.75" customHeight="1">
      <c r="A478" s="288"/>
      <c r="B478" s="288"/>
      <c r="C478" s="288"/>
      <c r="D478" s="152"/>
      <c r="E478" s="289"/>
      <c r="F478" s="288"/>
      <c r="G478" s="152"/>
      <c r="H478" s="152"/>
      <c r="I478" s="152"/>
      <c r="J478" s="152"/>
      <c r="K478" s="289"/>
      <c r="L478" s="289"/>
      <c r="M478" s="152"/>
      <c r="N478" s="152"/>
      <c r="O478" s="156"/>
      <c r="P478" s="152"/>
      <c r="Q478" s="152"/>
      <c r="R478" s="152"/>
      <c r="S478" s="152"/>
      <c r="T478" s="152"/>
      <c r="U478" s="152"/>
      <c r="V478" s="152"/>
      <c r="W478" s="152"/>
      <c r="X478" s="152"/>
      <c r="Y478" s="152"/>
      <c r="Z478" s="281"/>
      <c r="AA478" s="281"/>
      <c r="AB478" s="281"/>
      <c r="AC478" s="281"/>
      <c r="AD478" s="281"/>
      <c r="AE478" s="281"/>
      <c r="AF478" s="281"/>
      <c r="AG478" s="170"/>
      <c r="AH478" s="152"/>
      <c r="AI478" s="152"/>
      <c r="AJ478" s="152"/>
      <c r="AK478" s="152"/>
      <c r="AL478" s="152"/>
      <c r="AM478" s="152"/>
      <c r="AN478" s="152"/>
      <c r="AO478" s="152"/>
      <c r="AP478" s="152"/>
      <c r="AQ478" s="152"/>
      <c r="AR478" s="152"/>
    </row>
    <row r="479" ht="12.75" customHeight="1">
      <c r="A479" s="288"/>
      <c r="B479" s="288"/>
      <c r="C479" s="288"/>
      <c r="D479" s="152"/>
      <c r="E479" s="289"/>
      <c r="F479" s="288"/>
      <c r="G479" s="152"/>
      <c r="H479" s="152"/>
      <c r="I479" s="152"/>
      <c r="J479" s="152"/>
      <c r="K479" s="289"/>
      <c r="L479" s="289"/>
      <c r="M479" s="152"/>
      <c r="N479" s="152"/>
      <c r="O479" s="156"/>
      <c r="P479" s="152"/>
      <c r="Q479" s="152"/>
      <c r="R479" s="152"/>
      <c r="S479" s="152"/>
      <c r="T479" s="152"/>
      <c r="U479" s="152"/>
      <c r="V479" s="152"/>
      <c r="W479" s="152"/>
      <c r="X479" s="152"/>
      <c r="Y479" s="152"/>
      <c r="Z479" s="281"/>
      <c r="AA479" s="281"/>
      <c r="AB479" s="281"/>
      <c r="AC479" s="281"/>
      <c r="AD479" s="281"/>
      <c r="AE479" s="281"/>
      <c r="AF479" s="281"/>
      <c r="AG479" s="170"/>
      <c r="AH479" s="152"/>
      <c r="AI479" s="152"/>
      <c r="AJ479" s="152"/>
      <c r="AK479" s="152"/>
      <c r="AL479" s="152"/>
      <c r="AM479" s="152"/>
      <c r="AN479" s="152"/>
      <c r="AO479" s="152"/>
      <c r="AP479" s="152"/>
      <c r="AQ479" s="152"/>
      <c r="AR479" s="152"/>
    </row>
    <row r="480" ht="12.75" customHeight="1">
      <c r="A480" s="288"/>
      <c r="B480" s="288"/>
      <c r="C480" s="288"/>
      <c r="D480" s="152"/>
      <c r="E480" s="289"/>
      <c r="F480" s="288"/>
      <c r="G480" s="152"/>
      <c r="H480" s="152"/>
      <c r="I480" s="152"/>
      <c r="J480" s="152"/>
      <c r="K480" s="289"/>
      <c r="L480" s="289"/>
      <c r="M480" s="152"/>
      <c r="N480" s="152"/>
      <c r="O480" s="156"/>
      <c r="P480" s="152"/>
      <c r="Q480" s="152"/>
      <c r="R480" s="152"/>
      <c r="S480" s="152"/>
      <c r="T480" s="152"/>
      <c r="U480" s="152"/>
      <c r="V480" s="152"/>
      <c r="W480" s="152"/>
      <c r="X480" s="152"/>
      <c r="Y480" s="152"/>
      <c r="Z480" s="281"/>
      <c r="AA480" s="281"/>
      <c r="AB480" s="281"/>
      <c r="AC480" s="281"/>
      <c r="AD480" s="281"/>
      <c r="AE480" s="281"/>
      <c r="AF480" s="281"/>
      <c r="AG480" s="170"/>
      <c r="AH480" s="152"/>
      <c r="AI480" s="152"/>
      <c r="AJ480" s="152"/>
      <c r="AK480" s="152"/>
      <c r="AL480" s="152"/>
      <c r="AM480" s="152"/>
      <c r="AN480" s="152"/>
      <c r="AO480" s="152"/>
      <c r="AP480" s="152"/>
      <c r="AQ480" s="152"/>
      <c r="AR480" s="152"/>
    </row>
    <row r="481" ht="12.75" customHeight="1">
      <c r="A481" s="288"/>
      <c r="B481" s="288"/>
      <c r="C481" s="288"/>
      <c r="D481" s="152"/>
      <c r="E481" s="289"/>
      <c r="F481" s="288"/>
      <c r="G481" s="152"/>
      <c r="H481" s="152"/>
      <c r="I481" s="152"/>
      <c r="J481" s="152"/>
      <c r="K481" s="289"/>
      <c r="L481" s="289"/>
      <c r="M481" s="152"/>
      <c r="N481" s="152"/>
      <c r="O481" s="156"/>
      <c r="P481" s="152"/>
      <c r="Q481" s="152"/>
      <c r="R481" s="152"/>
      <c r="S481" s="152"/>
      <c r="T481" s="152"/>
      <c r="U481" s="152"/>
      <c r="V481" s="152"/>
      <c r="W481" s="152"/>
      <c r="X481" s="152"/>
      <c r="Y481" s="152"/>
      <c r="Z481" s="281"/>
      <c r="AA481" s="281"/>
      <c r="AB481" s="281"/>
      <c r="AC481" s="281"/>
      <c r="AD481" s="281"/>
      <c r="AE481" s="281"/>
      <c r="AF481" s="281"/>
      <c r="AG481" s="170"/>
      <c r="AH481" s="152"/>
      <c r="AI481" s="152"/>
      <c r="AJ481" s="152"/>
      <c r="AK481" s="152"/>
      <c r="AL481" s="152"/>
      <c r="AM481" s="152"/>
      <c r="AN481" s="152"/>
      <c r="AO481" s="152"/>
      <c r="AP481" s="152"/>
      <c r="AQ481" s="152"/>
      <c r="AR481" s="152"/>
    </row>
    <row r="482" ht="12.75" customHeight="1">
      <c r="A482" s="288"/>
      <c r="B482" s="288"/>
      <c r="C482" s="288"/>
      <c r="D482" s="152"/>
      <c r="E482" s="289"/>
      <c r="F482" s="288"/>
      <c r="G482" s="152"/>
      <c r="H482" s="152"/>
      <c r="I482" s="152"/>
      <c r="J482" s="152"/>
      <c r="K482" s="289"/>
      <c r="L482" s="289"/>
      <c r="M482" s="152"/>
      <c r="N482" s="152"/>
      <c r="O482" s="156"/>
      <c r="P482" s="152"/>
      <c r="Q482" s="152"/>
      <c r="R482" s="152"/>
      <c r="S482" s="152"/>
      <c r="T482" s="152"/>
      <c r="U482" s="152"/>
      <c r="V482" s="152"/>
      <c r="W482" s="152"/>
      <c r="X482" s="152"/>
      <c r="Y482" s="152"/>
      <c r="Z482" s="281"/>
      <c r="AA482" s="281"/>
      <c r="AB482" s="281"/>
      <c r="AC482" s="281"/>
      <c r="AD482" s="281"/>
      <c r="AE482" s="281"/>
      <c r="AF482" s="281"/>
      <c r="AG482" s="170"/>
      <c r="AH482" s="152"/>
      <c r="AI482" s="152"/>
      <c r="AJ482" s="152"/>
      <c r="AK482" s="152"/>
      <c r="AL482" s="152"/>
      <c r="AM482" s="152"/>
      <c r="AN482" s="152"/>
      <c r="AO482" s="152"/>
      <c r="AP482" s="152"/>
      <c r="AQ482" s="152"/>
      <c r="AR482" s="152"/>
    </row>
    <row r="483" ht="12.75" customHeight="1">
      <c r="A483" s="288"/>
      <c r="B483" s="288"/>
      <c r="C483" s="288"/>
      <c r="D483" s="152"/>
      <c r="E483" s="289"/>
      <c r="F483" s="288"/>
      <c r="G483" s="152"/>
      <c r="H483" s="152"/>
      <c r="I483" s="152"/>
      <c r="J483" s="152"/>
      <c r="K483" s="289"/>
      <c r="L483" s="289"/>
      <c r="M483" s="152"/>
      <c r="N483" s="152"/>
      <c r="O483" s="156"/>
      <c r="P483" s="152"/>
      <c r="Q483" s="152"/>
      <c r="R483" s="152"/>
      <c r="S483" s="152"/>
      <c r="T483" s="152"/>
      <c r="U483" s="152"/>
      <c r="V483" s="152"/>
      <c r="W483" s="152"/>
      <c r="X483" s="152"/>
      <c r="Y483" s="152"/>
      <c r="Z483" s="281"/>
      <c r="AA483" s="281"/>
      <c r="AB483" s="281"/>
      <c r="AC483" s="281"/>
      <c r="AD483" s="281"/>
      <c r="AE483" s="281"/>
      <c r="AF483" s="281"/>
      <c r="AG483" s="170"/>
      <c r="AH483" s="152"/>
      <c r="AI483" s="152"/>
      <c r="AJ483" s="152"/>
      <c r="AK483" s="152"/>
      <c r="AL483" s="152"/>
      <c r="AM483" s="152"/>
      <c r="AN483" s="152"/>
      <c r="AO483" s="152"/>
      <c r="AP483" s="152"/>
      <c r="AQ483" s="152"/>
      <c r="AR483" s="152"/>
    </row>
    <row r="484" ht="12.75" customHeight="1">
      <c r="A484" s="288"/>
      <c r="B484" s="288"/>
      <c r="C484" s="288"/>
      <c r="D484" s="152"/>
      <c r="E484" s="289"/>
      <c r="F484" s="288"/>
      <c r="G484" s="152"/>
      <c r="H484" s="152"/>
      <c r="I484" s="152"/>
      <c r="J484" s="152"/>
      <c r="K484" s="289"/>
      <c r="L484" s="289"/>
      <c r="M484" s="152"/>
      <c r="N484" s="152"/>
      <c r="O484" s="156"/>
      <c r="P484" s="152"/>
      <c r="Q484" s="152"/>
      <c r="R484" s="152"/>
      <c r="S484" s="152"/>
      <c r="T484" s="152"/>
      <c r="U484" s="152"/>
      <c r="V484" s="152"/>
      <c r="W484" s="152"/>
      <c r="X484" s="152"/>
      <c r="Y484" s="152"/>
      <c r="Z484" s="281"/>
      <c r="AA484" s="281"/>
      <c r="AB484" s="281"/>
      <c r="AC484" s="281"/>
      <c r="AD484" s="281"/>
      <c r="AE484" s="281"/>
      <c r="AF484" s="281"/>
      <c r="AG484" s="170"/>
      <c r="AH484" s="152"/>
      <c r="AI484" s="152"/>
      <c r="AJ484" s="152"/>
      <c r="AK484" s="152"/>
      <c r="AL484" s="152"/>
      <c r="AM484" s="152"/>
      <c r="AN484" s="152"/>
      <c r="AO484" s="152"/>
      <c r="AP484" s="152"/>
      <c r="AQ484" s="152"/>
      <c r="AR484" s="152"/>
    </row>
    <row r="485" ht="12.75" customHeight="1">
      <c r="A485" s="288"/>
      <c r="B485" s="288"/>
      <c r="C485" s="288"/>
      <c r="D485" s="152"/>
      <c r="E485" s="289"/>
      <c r="F485" s="288"/>
      <c r="G485" s="152"/>
      <c r="H485" s="152"/>
      <c r="I485" s="152"/>
      <c r="J485" s="152"/>
      <c r="K485" s="289"/>
      <c r="L485" s="289"/>
      <c r="M485" s="152"/>
      <c r="N485" s="152"/>
      <c r="O485" s="156"/>
      <c r="P485" s="152"/>
      <c r="Q485" s="152"/>
      <c r="R485" s="152"/>
      <c r="S485" s="152"/>
      <c r="T485" s="152"/>
      <c r="U485" s="152"/>
      <c r="V485" s="152"/>
      <c r="W485" s="152"/>
      <c r="X485" s="152"/>
      <c r="Y485" s="152"/>
      <c r="Z485" s="281"/>
      <c r="AA485" s="281"/>
      <c r="AB485" s="281"/>
      <c r="AC485" s="281"/>
      <c r="AD485" s="281"/>
      <c r="AE485" s="281"/>
      <c r="AF485" s="281"/>
      <c r="AG485" s="170"/>
      <c r="AH485" s="152"/>
      <c r="AI485" s="152"/>
      <c r="AJ485" s="152"/>
      <c r="AK485" s="152"/>
      <c r="AL485" s="152"/>
      <c r="AM485" s="152"/>
      <c r="AN485" s="152"/>
      <c r="AO485" s="152"/>
      <c r="AP485" s="152"/>
      <c r="AQ485" s="152"/>
      <c r="AR485" s="152"/>
    </row>
    <row r="486" ht="12.75" customHeight="1">
      <c r="A486" s="288"/>
      <c r="B486" s="288"/>
      <c r="C486" s="288"/>
      <c r="D486" s="152"/>
      <c r="E486" s="289"/>
      <c r="F486" s="288"/>
      <c r="G486" s="152"/>
      <c r="H486" s="152"/>
      <c r="I486" s="152"/>
      <c r="J486" s="152"/>
      <c r="K486" s="289"/>
      <c r="L486" s="289"/>
      <c r="M486" s="152"/>
      <c r="N486" s="152"/>
      <c r="O486" s="156"/>
      <c r="P486" s="152"/>
      <c r="Q486" s="152"/>
      <c r="R486" s="152"/>
      <c r="S486" s="152"/>
      <c r="T486" s="152"/>
      <c r="U486" s="152"/>
      <c r="V486" s="152"/>
      <c r="W486" s="152"/>
      <c r="X486" s="152"/>
      <c r="Y486" s="152"/>
      <c r="Z486" s="281"/>
      <c r="AA486" s="281"/>
      <c r="AB486" s="281"/>
      <c r="AC486" s="281"/>
      <c r="AD486" s="281"/>
      <c r="AE486" s="281"/>
      <c r="AF486" s="281"/>
      <c r="AG486" s="170"/>
      <c r="AH486" s="152"/>
      <c r="AI486" s="152"/>
      <c r="AJ486" s="152"/>
      <c r="AK486" s="152"/>
      <c r="AL486" s="152"/>
      <c r="AM486" s="152"/>
      <c r="AN486" s="152"/>
      <c r="AO486" s="152"/>
      <c r="AP486" s="152"/>
      <c r="AQ486" s="152"/>
      <c r="AR486" s="152"/>
    </row>
    <row r="487" ht="12.75" customHeight="1">
      <c r="A487" s="288"/>
      <c r="B487" s="288"/>
      <c r="C487" s="288"/>
      <c r="D487" s="152"/>
      <c r="E487" s="289"/>
      <c r="F487" s="288"/>
      <c r="G487" s="152"/>
      <c r="H487" s="152"/>
      <c r="I487" s="152"/>
      <c r="J487" s="152"/>
      <c r="K487" s="289"/>
      <c r="L487" s="289"/>
      <c r="M487" s="152"/>
      <c r="N487" s="152"/>
      <c r="O487" s="156"/>
      <c r="P487" s="152"/>
      <c r="Q487" s="152"/>
      <c r="R487" s="152"/>
      <c r="S487" s="152"/>
      <c r="T487" s="152"/>
      <c r="U487" s="152"/>
      <c r="V487" s="152"/>
      <c r="W487" s="152"/>
      <c r="X487" s="152"/>
      <c r="Y487" s="152"/>
      <c r="Z487" s="281"/>
      <c r="AA487" s="281"/>
      <c r="AB487" s="281"/>
      <c r="AC487" s="281"/>
      <c r="AD487" s="281"/>
      <c r="AE487" s="281"/>
      <c r="AF487" s="281"/>
      <c r="AG487" s="170"/>
      <c r="AH487" s="152"/>
      <c r="AI487" s="152"/>
      <c r="AJ487" s="152"/>
      <c r="AK487" s="152"/>
      <c r="AL487" s="152"/>
      <c r="AM487" s="152"/>
      <c r="AN487" s="152"/>
      <c r="AO487" s="152"/>
      <c r="AP487" s="152"/>
      <c r="AQ487" s="152"/>
      <c r="AR487" s="152"/>
    </row>
    <row r="488" ht="12.75" customHeight="1">
      <c r="A488" s="288"/>
      <c r="B488" s="288"/>
      <c r="C488" s="288"/>
      <c r="D488" s="152"/>
      <c r="E488" s="289"/>
      <c r="F488" s="288"/>
      <c r="G488" s="152"/>
      <c r="H488" s="152"/>
      <c r="I488" s="152"/>
      <c r="J488" s="152"/>
      <c r="K488" s="289"/>
      <c r="L488" s="289"/>
      <c r="M488" s="152"/>
      <c r="N488" s="152"/>
      <c r="O488" s="156"/>
      <c r="P488" s="152"/>
      <c r="Q488" s="152"/>
      <c r="R488" s="152"/>
      <c r="S488" s="152"/>
      <c r="T488" s="152"/>
      <c r="U488" s="152"/>
      <c r="V488" s="152"/>
      <c r="W488" s="152"/>
      <c r="X488" s="152"/>
      <c r="Y488" s="152"/>
      <c r="Z488" s="281"/>
      <c r="AA488" s="281"/>
      <c r="AB488" s="281"/>
      <c r="AC488" s="281"/>
      <c r="AD488" s="281"/>
      <c r="AE488" s="281"/>
      <c r="AF488" s="281"/>
      <c r="AG488" s="170"/>
      <c r="AH488" s="152"/>
      <c r="AI488" s="152"/>
      <c r="AJ488" s="152"/>
      <c r="AK488" s="152"/>
      <c r="AL488" s="152"/>
      <c r="AM488" s="152"/>
      <c r="AN488" s="152"/>
      <c r="AO488" s="152"/>
      <c r="AP488" s="152"/>
      <c r="AQ488" s="152"/>
      <c r="AR488" s="152"/>
    </row>
    <row r="489" ht="12.75" customHeight="1">
      <c r="A489" s="288"/>
      <c r="B489" s="288"/>
      <c r="C489" s="288"/>
      <c r="D489" s="152"/>
      <c r="E489" s="289"/>
      <c r="F489" s="288"/>
      <c r="G489" s="152"/>
      <c r="H489" s="152"/>
      <c r="I489" s="152"/>
      <c r="J489" s="152"/>
      <c r="K489" s="289"/>
      <c r="L489" s="289"/>
      <c r="M489" s="152"/>
      <c r="N489" s="152"/>
      <c r="O489" s="156"/>
      <c r="P489" s="152"/>
      <c r="Q489" s="152"/>
      <c r="R489" s="152"/>
      <c r="S489" s="152"/>
      <c r="T489" s="152"/>
      <c r="U489" s="152"/>
      <c r="V489" s="152"/>
      <c r="W489" s="152"/>
      <c r="X489" s="152"/>
      <c r="Y489" s="152"/>
      <c r="Z489" s="281"/>
      <c r="AA489" s="281"/>
      <c r="AB489" s="281"/>
      <c r="AC489" s="281"/>
      <c r="AD489" s="281"/>
      <c r="AE489" s="281"/>
      <c r="AF489" s="281"/>
      <c r="AG489" s="170"/>
      <c r="AH489" s="152"/>
      <c r="AI489" s="152"/>
      <c r="AJ489" s="152"/>
      <c r="AK489" s="152"/>
      <c r="AL489" s="152"/>
      <c r="AM489" s="152"/>
      <c r="AN489" s="152"/>
      <c r="AO489" s="152"/>
      <c r="AP489" s="152"/>
      <c r="AQ489" s="152"/>
      <c r="AR489" s="152"/>
    </row>
    <row r="490" ht="12.75" customHeight="1">
      <c r="A490" s="288"/>
      <c r="B490" s="288"/>
      <c r="C490" s="288"/>
      <c r="D490" s="152"/>
      <c r="E490" s="289"/>
      <c r="F490" s="288"/>
      <c r="G490" s="152"/>
      <c r="H490" s="152"/>
      <c r="I490" s="152"/>
      <c r="J490" s="152"/>
      <c r="K490" s="289"/>
      <c r="L490" s="289"/>
      <c r="M490" s="152"/>
      <c r="N490" s="152"/>
      <c r="O490" s="156"/>
      <c r="P490" s="152"/>
      <c r="Q490" s="152"/>
      <c r="R490" s="152"/>
      <c r="S490" s="152"/>
      <c r="T490" s="152"/>
      <c r="U490" s="152"/>
      <c r="V490" s="152"/>
      <c r="W490" s="152"/>
      <c r="X490" s="152"/>
      <c r="Y490" s="152"/>
      <c r="Z490" s="281"/>
      <c r="AA490" s="281"/>
      <c r="AB490" s="281"/>
      <c r="AC490" s="281"/>
      <c r="AD490" s="281"/>
      <c r="AE490" s="281"/>
      <c r="AF490" s="281"/>
      <c r="AG490" s="170"/>
      <c r="AH490" s="152"/>
      <c r="AI490" s="152"/>
      <c r="AJ490" s="152"/>
      <c r="AK490" s="152"/>
      <c r="AL490" s="152"/>
      <c r="AM490" s="152"/>
      <c r="AN490" s="152"/>
      <c r="AO490" s="152"/>
      <c r="AP490" s="152"/>
      <c r="AQ490" s="152"/>
      <c r="AR490" s="152"/>
    </row>
    <row r="491" ht="12.75" customHeight="1">
      <c r="A491" s="288"/>
      <c r="B491" s="288"/>
      <c r="C491" s="288"/>
      <c r="D491" s="152"/>
      <c r="E491" s="289"/>
      <c r="F491" s="288"/>
      <c r="G491" s="152"/>
      <c r="H491" s="152"/>
      <c r="I491" s="152"/>
      <c r="J491" s="152"/>
      <c r="K491" s="289"/>
      <c r="L491" s="289"/>
      <c r="M491" s="152"/>
      <c r="N491" s="152"/>
      <c r="O491" s="156"/>
      <c r="P491" s="152"/>
      <c r="Q491" s="152"/>
      <c r="R491" s="152"/>
      <c r="S491" s="152"/>
      <c r="T491" s="152"/>
      <c r="U491" s="152"/>
      <c r="V491" s="152"/>
      <c r="W491" s="152"/>
      <c r="X491" s="152"/>
      <c r="Y491" s="152"/>
      <c r="Z491" s="281"/>
      <c r="AA491" s="281"/>
      <c r="AB491" s="281"/>
      <c r="AC491" s="281"/>
      <c r="AD491" s="281"/>
      <c r="AE491" s="281"/>
      <c r="AF491" s="281"/>
      <c r="AG491" s="170"/>
      <c r="AH491" s="152"/>
      <c r="AI491" s="152"/>
      <c r="AJ491" s="152"/>
      <c r="AK491" s="152"/>
      <c r="AL491" s="152"/>
      <c r="AM491" s="152"/>
      <c r="AN491" s="152"/>
      <c r="AO491" s="152"/>
      <c r="AP491" s="152"/>
      <c r="AQ491" s="152"/>
      <c r="AR491" s="152"/>
    </row>
    <row r="492" ht="12.75" customHeight="1">
      <c r="A492" s="288"/>
      <c r="B492" s="288"/>
      <c r="C492" s="288"/>
      <c r="D492" s="152"/>
      <c r="E492" s="289"/>
      <c r="F492" s="288"/>
      <c r="G492" s="152"/>
      <c r="H492" s="152"/>
      <c r="I492" s="152"/>
      <c r="J492" s="152"/>
      <c r="K492" s="289"/>
      <c r="L492" s="289"/>
      <c r="M492" s="152"/>
      <c r="N492" s="152"/>
      <c r="O492" s="156"/>
      <c r="P492" s="152"/>
      <c r="Q492" s="152"/>
      <c r="R492" s="152"/>
      <c r="S492" s="152"/>
      <c r="T492" s="152"/>
      <c r="U492" s="152"/>
      <c r="V492" s="152"/>
      <c r="W492" s="152"/>
      <c r="X492" s="152"/>
      <c r="Y492" s="152"/>
      <c r="Z492" s="281"/>
      <c r="AA492" s="281"/>
      <c r="AB492" s="281"/>
      <c r="AC492" s="281"/>
      <c r="AD492" s="281"/>
      <c r="AE492" s="281"/>
      <c r="AF492" s="281"/>
      <c r="AG492" s="170"/>
      <c r="AH492" s="152"/>
      <c r="AI492" s="152"/>
      <c r="AJ492" s="152"/>
      <c r="AK492" s="152"/>
      <c r="AL492" s="152"/>
      <c r="AM492" s="152"/>
      <c r="AN492" s="152"/>
      <c r="AO492" s="152"/>
      <c r="AP492" s="152"/>
      <c r="AQ492" s="152"/>
      <c r="AR492" s="152"/>
    </row>
    <row r="493" ht="12.75" customHeight="1">
      <c r="A493" s="288"/>
      <c r="B493" s="288"/>
      <c r="C493" s="288"/>
      <c r="D493" s="152"/>
      <c r="E493" s="289"/>
      <c r="F493" s="288"/>
      <c r="G493" s="152"/>
      <c r="H493" s="152"/>
      <c r="I493" s="152"/>
      <c r="J493" s="152"/>
      <c r="K493" s="289"/>
      <c r="L493" s="289"/>
      <c r="M493" s="152"/>
      <c r="N493" s="152"/>
      <c r="O493" s="156"/>
      <c r="P493" s="152"/>
      <c r="Q493" s="152"/>
      <c r="R493" s="152"/>
      <c r="S493" s="152"/>
      <c r="T493" s="152"/>
      <c r="U493" s="152"/>
      <c r="V493" s="152"/>
      <c r="W493" s="152"/>
      <c r="X493" s="152"/>
      <c r="Y493" s="152"/>
      <c r="Z493" s="281"/>
      <c r="AA493" s="281"/>
      <c r="AB493" s="281"/>
      <c r="AC493" s="281"/>
      <c r="AD493" s="281"/>
      <c r="AE493" s="281"/>
      <c r="AF493" s="281"/>
      <c r="AG493" s="170"/>
      <c r="AH493" s="152"/>
      <c r="AI493" s="152"/>
      <c r="AJ493" s="152"/>
      <c r="AK493" s="152"/>
      <c r="AL493" s="152"/>
      <c r="AM493" s="152"/>
      <c r="AN493" s="152"/>
      <c r="AO493" s="152"/>
      <c r="AP493" s="152"/>
      <c r="AQ493" s="152"/>
      <c r="AR493" s="152"/>
    </row>
    <row r="494" ht="12.75" customHeight="1">
      <c r="A494" s="288"/>
      <c r="B494" s="288"/>
      <c r="C494" s="288"/>
      <c r="D494" s="152"/>
      <c r="E494" s="289"/>
      <c r="F494" s="288"/>
      <c r="G494" s="152"/>
      <c r="H494" s="152"/>
      <c r="I494" s="152"/>
      <c r="J494" s="152"/>
      <c r="K494" s="289"/>
      <c r="L494" s="289"/>
      <c r="M494" s="152"/>
      <c r="N494" s="152"/>
      <c r="O494" s="156"/>
      <c r="P494" s="152"/>
      <c r="Q494" s="152"/>
      <c r="R494" s="152"/>
      <c r="S494" s="152"/>
      <c r="T494" s="152"/>
      <c r="U494" s="152"/>
      <c r="V494" s="152"/>
      <c r="W494" s="152"/>
      <c r="X494" s="152"/>
      <c r="Y494" s="152"/>
      <c r="Z494" s="281"/>
      <c r="AA494" s="281"/>
      <c r="AB494" s="281"/>
      <c r="AC494" s="281"/>
      <c r="AD494" s="281"/>
      <c r="AE494" s="281"/>
      <c r="AF494" s="281"/>
      <c r="AG494" s="170"/>
      <c r="AH494" s="152"/>
      <c r="AI494" s="152"/>
      <c r="AJ494" s="152"/>
      <c r="AK494" s="152"/>
      <c r="AL494" s="152"/>
      <c r="AM494" s="152"/>
      <c r="AN494" s="152"/>
      <c r="AO494" s="152"/>
      <c r="AP494" s="152"/>
      <c r="AQ494" s="152"/>
      <c r="AR494" s="152"/>
    </row>
    <row r="495" ht="12.75" customHeight="1">
      <c r="A495" s="288"/>
      <c r="B495" s="288"/>
      <c r="C495" s="288"/>
      <c r="D495" s="152"/>
      <c r="E495" s="289"/>
      <c r="F495" s="288"/>
      <c r="G495" s="152"/>
      <c r="H495" s="152"/>
      <c r="I495" s="152"/>
      <c r="J495" s="152"/>
      <c r="K495" s="289"/>
      <c r="L495" s="289"/>
      <c r="M495" s="152"/>
      <c r="N495" s="152"/>
      <c r="O495" s="156"/>
      <c r="P495" s="152"/>
      <c r="Q495" s="152"/>
      <c r="R495" s="152"/>
      <c r="S495" s="152"/>
      <c r="T495" s="152"/>
      <c r="U495" s="152"/>
      <c r="V495" s="152"/>
      <c r="W495" s="152"/>
      <c r="X495" s="152"/>
      <c r="Y495" s="152"/>
      <c r="Z495" s="281"/>
      <c r="AA495" s="281"/>
      <c r="AB495" s="281"/>
      <c r="AC495" s="281"/>
      <c r="AD495" s="281"/>
      <c r="AE495" s="281"/>
      <c r="AF495" s="281"/>
      <c r="AG495" s="170"/>
      <c r="AH495" s="152"/>
      <c r="AI495" s="152"/>
      <c r="AJ495" s="152"/>
      <c r="AK495" s="152"/>
      <c r="AL495" s="152"/>
      <c r="AM495" s="152"/>
      <c r="AN495" s="152"/>
      <c r="AO495" s="152"/>
      <c r="AP495" s="152"/>
      <c r="AQ495" s="152"/>
      <c r="AR495" s="152"/>
    </row>
    <row r="496" ht="12.75" customHeight="1">
      <c r="A496" s="288"/>
      <c r="B496" s="288"/>
      <c r="C496" s="288"/>
      <c r="D496" s="152"/>
      <c r="E496" s="289"/>
      <c r="F496" s="288"/>
      <c r="G496" s="152"/>
      <c r="H496" s="152"/>
      <c r="I496" s="152"/>
      <c r="J496" s="152"/>
      <c r="K496" s="289"/>
      <c r="L496" s="289"/>
      <c r="M496" s="152"/>
      <c r="N496" s="152"/>
      <c r="O496" s="156"/>
      <c r="P496" s="152"/>
      <c r="Q496" s="152"/>
      <c r="R496" s="152"/>
      <c r="S496" s="152"/>
      <c r="T496" s="152"/>
      <c r="U496" s="152"/>
      <c r="V496" s="152"/>
      <c r="W496" s="152"/>
      <c r="X496" s="152"/>
      <c r="Y496" s="152"/>
      <c r="Z496" s="281"/>
      <c r="AA496" s="281"/>
      <c r="AB496" s="281"/>
      <c r="AC496" s="281"/>
      <c r="AD496" s="281"/>
      <c r="AE496" s="281"/>
      <c r="AF496" s="281"/>
      <c r="AG496" s="170"/>
      <c r="AH496" s="152"/>
      <c r="AI496" s="152"/>
      <c r="AJ496" s="152"/>
      <c r="AK496" s="152"/>
      <c r="AL496" s="152"/>
      <c r="AM496" s="152"/>
      <c r="AN496" s="152"/>
      <c r="AO496" s="152"/>
      <c r="AP496" s="152"/>
      <c r="AQ496" s="152"/>
      <c r="AR496" s="152"/>
    </row>
    <row r="497" ht="12.75" customHeight="1">
      <c r="A497" s="288"/>
      <c r="B497" s="288"/>
      <c r="C497" s="288"/>
      <c r="D497" s="152"/>
      <c r="E497" s="289"/>
      <c r="F497" s="288"/>
      <c r="G497" s="152"/>
      <c r="H497" s="152"/>
      <c r="I497" s="152"/>
      <c r="J497" s="152"/>
      <c r="K497" s="289"/>
      <c r="L497" s="289"/>
      <c r="M497" s="152"/>
      <c r="N497" s="152"/>
      <c r="O497" s="156"/>
      <c r="P497" s="152"/>
      <c r="Q497" s="152"/>
      <c r="R497" s="152"/>
      <c r="S497" s="152"/>
      <c r="T497" s="152"/>
      <c r="U497" s="152"/>
      <c r="V497" s="152"/>
      <c r="W497" s="152"/>
      <c r="X497" s="152"/>
      <c r="Y497" s="152"/>
      <c r="Z497" s="281"/>
      <c r="AA497" s="281"/>
      <c r="AB497" s="281"/>
      <c r="AC497" s="281"/>
      <c r="AD497" s="281"/>
      <c r="AE497" s="281"/>
      <c r="AF497" s="281"/>
      <c r="AG497" s="170"/>
      <c r="AH497" s="152"/>
      <c r="AI497" s="152"/>
      <c r="AJ497" s="152"/>
      <c r="AK497" s="152"/>
      <c r="AL497" s="152"/>
      <c r="AM497" s="152"/>
      <c r="AN497" s="152"/>
      <c r="AO497" s="152"/>
      <c r="AP497" s="152"/>
      <c r="AQ497" s="152"/>
      <c r="AR497" s="152"/>
    </row>
    <row r="498" ht="12.75" customHeight="1">
      <c r="A498" s="288"/>
      <c r="B498" s="288"/>
      <c r="C498" s="288"/>
      <c r="D498" s="152"/>
      <c r="E498" s="289"/>
      <c r="F498" s="288"/>
      <c r="G498" s="152"/>
      <c r="H498" s="152"/>
      <c r="I498" s="152"/>
      <c r="J498" s="152"/>
      <c r="K498" s="289"/>
      <c r="L498" s="289"/>
      <c r="M498" s="152"/>
      <c r="N498" s="152"/>
      <c r="O498" s="156"/>
      <c r="P498" s="152"/>
      <c r="Q498" s="152"/>
      <c r="R498" s="152"/>
      <c r="S498" s="152"/>
      <c r="T498" s="152"/>
      <c r="U498" s="152"/>
      <c r="V498" s="152"/>
      <c r="W498" s="152"/>
      <c r="X498" s="152"/>
      <c r="Y498" s="152"/>
      <c r="Z498" s="281"/>
      <c r="AA498" s="281"/>
      <c r="AB498" s="281"/>
      <c r="AC498" s="281"/>
      <c r="AD498" s="281"/>
      <c r="AE498" s="281"/>
      <c r="AF498" s="281"/>
      <c r="AG498" s="170"/>
      <c r="AH498" s="152"/>
      <c r="AI498" s="152"/>
      <c r="AJ498" s="152"/>
      <c r="AK498" s="152"/>
      <c r="AL498" s="152"/>
      <c r="AM498" s="152"/>
      <c r="AN498" s="152"/>
      <c r="AO498" s="152"/>
      <c r="AP498" s="152"/>
      <c r="AQ498" s="152"/>
      <c r="AR498" s="152"/>
    </row>
    <row r="499" ht="12.75" customHeight="1">
      <c r="A499" s="288"/>
      <c r="B499" s="288"/>
      <c r="C499" s="288"/>
      <c r="D499" s="152"/>
      <c r="E499" s="289"/>
      <c r="F499" s="288"/>
      <c r="G499" s="152"/>
      <c r="H499" s="152"/>
      <c r="I499" s="152"/>
      <c r="J499" s="152"/>
      <c r="K499" s="289"/>
      <c r="L499" s="289"/>
      <c r="M499" s="152"/>
      <c r="N499" s="152"/>
      <c r="O499" s="156"/>
      <c r="P499" s="152"/>
      <c r="Q499" s="152"/>
      <c r="R499" s="152"/>
      <c r="S499" s="152"/>
      <c r="T499" s="152"/>
      <c r="U499" s="152"/>
      <c r="V499" s="152"/>
      <c r="W499" s="152"/>
      <c r="X499" s="152"/>
      <c r="Y499" s="152"/>
      <c r="Z499" s="281"/>
      <c r="AA499" s="281"/>
      <c r="AB499" s="281"/>
      <c r="AC499" s="281"/>
      <c r="AD499" s="281"/>
      <c r="AE499" s="281"/>
      <c r="AF499" s="281"/>
      <c r="AG499" s="170"/>
      <c r="AH499" s="152"/>
      <c r="AI499" s="152"/>
      <c r="AJ499" s="152"/>
      <c r="AK499" s="152"/>
      <c r="AL499" s="152"/>
      <c r="AM499" s="152"/>
      <c r="AN499" s="152"/>
      <c r="AO499" s="152"/>
      <c r="AP499" s="152"/>
      <c r="AQ499" s="152"/>
      <c r="AR499" s="152"/>
    </row>
    <row r="500" ht="12.75" customHeight="1">
      <c r="A500" s="288"/>
      <c r="B500" s="288"/>
      <c r="C500" s="288"/>
      <c r="D500" s="152"/>
      <c r="E500" s="289"/>
      <c r="F500" s="288"/>
      <c r="G500" s="152"/>
      <c r="H500" s="152"/>
      <c r="I500" s="152"/>
      <c r="J500" s="152"/>
      <c r="K500" s="289"/>
      <c r="L500" s="289"/>
      <c r="M500" s="152"/>
      <c r="N500" s="152"/>
      <c r="O500" s="156"/>
      <c r="P500" s="152"/>
      <c r="Q500" s="152"/>
      <c r="R500" s="152"/>
      <c r="S500" s="152"/>
      <c r="T500" s="152"/>
      <c r="U500" s="152"/>
      <c r="V500" s="152"/>
      <c r="W500" s="152"/>
      <c r="X500" s="152"/>
      <c r="Y500" s="152"/>
      <c r="Z500" s="281"/>
      <c r="AA500" s="281"/>
      <c r="AB500" s="281"/>
      <c r="AC500" s="281"/>
      <c r="AD500" s="281"/>
      <c r="AE500" s="281"/>
      <c r="AF500" s="281"/>
      <c r="AG500" s="170"/>
      <c r="AH500" s="152"/>
      <c r="AI500" s="152"/>
      <c r="AJ500" s="152"/>
      <c r="AK500" s="152"/>
      <c r="AL500" s="152"/>
      <c r="AM500" s="152"/>
      <c r="AN500" s="152"/>
      <c r="AO500" s="152"/>
      <c r="AP500" s="152"/>
      <c r="AQ500" s="152"/>
      <c r="AR500" s="152"/>
    </row>
    <row r="501" ht="12.75" customHeight="1">
      <c r="A501" s="288"/>
      <c r="B501" s="288"/>
      <c r="C501" s="288"/>
      <c r="D501" s="152"/>
      <c r="E501" s="289"/>
      <c r="F501" s="288"/>
      <c r="G501" s="152"/>
      <c r="H501" s="152"/>
      <c r="I501" s="152"/>
      <c r="J501" s="152"/>
      <c r="K501" s="289"/>
      <c r="L501" s="289"/>
      <c r="M501" s="152"/>
      <c r="N501" s="152"/>
      <c r="O501" s="156"/>
      <c r="P501" s="152"/>
      <c r="Q501" s="152"/>
      <c r="R501" s="152"/>
      <c r="S501" s="152"/>
      <c r="T501" s="152"/>
      <c r="U501" s="152"/>
      <c r="V501" s="152"/>
      <c r="W501" s="152"/>
      <c r="X501" s="152"/>
      <c r="Y501" s="152"/>
      <c r="Z501" s="281"/>
      <c r="AA501" s="281"/>
      <c r="AB501" s="281"/>
      <c r="AC501" s="281"/>
      <c r="AD501" s="281"/>
      <c r="AE501" s="281"/>
      <c r="AF501" s="281"/>
      <c r="AG501" s="170"/>
      <c r="AH501" s="152"/>
      <c r="AI501" s="152"/>
      <c r="AJ501" s="152"/>
      <c r="AK501" s="152"/>
      <c r="AL501" s="152"/>
      <c r="AM501" s="152"/>
      <c r="AN501" s="152"/>
      <c r="AO501" s="152"/>
      <c r="AP501" s="152"/>
      <c r="AQ501" s="152"/>
      <c r="AR501" s="152"/>
    </row>
    <row r="502" ht="12.75" customHeight="1">
      <c r="A502" s="288"/>
      <c r="B502" s="288"/>
      <c r="C502" s="288"/>
      <c r="D502" s="152"/>
      <c r="E502" s="289"/>
      <c r="F502" s="288"/>
      <c r="G502" s="152"/>
      <c r="H502" s="152"/>
      <c r="I502" s="152"/>
      <c r="J502" s="152"/>
      <c r="K502" s="289"/>
      <c r="L502" s="289"/>
      <c r="M502" s="152"/>
      <c r="N502" s="152"/>
      <c r="O502" s="156"/>
      <c r="P502" s="152"/>
      <c r="Q502" s="152"/>
      <c r="R502" s="152"/>
      <c r="S502" s="152"/>
      <c r="T502" s="152"/>
      <c r="U502" s="152"/>
      <c r="V502" s="152"/>
      <c r="W502" s="152"/>
      <c r="X502" s="152"/>
      <c r="Y502" s="152"/>
      <c r="Z502" s="281"/>
      <c r="AA502" s="281"/>
      <c r="AB502" s="281"/>
      <c r="AC502" s="281"/>
      <c r="AD502" s="281"/>
      <c r="AE502" s="281"/>
      <c r="AF502" s="281"/>
      <c r="AG502" s="170"/>
      <c r="AH502" s="152"/>
      <c r="AI502" s="152"/>
      <c r="AJ502" s="152"/>
      <c r="AK502" s="152"/>
      <c r="AL502" s="152"/>
      <c r="AM502" s="152"/>
      <c r="AN502" s="152"/>
      <c r="AO502" s="152"/>
      <c r="AP502" s="152"/>
      <c r="AQ502" s="152"/>
      <c r="AR502" s="152"/>
    </row>
    <row r="503" ht="12.75" customHeight="1">
      <c r="A503" s="288"/>
      <c r="B503" s="288"/>
      <c r="C503" s="288"/>
      <c r="D503" s="152"/>
      <c r="E503" s="289"/>
      <c r="F503" s="288"/>
      <c r="G503" s="152"/>
      <c r="H503" s="152"/>
      <c r="I503" s="152"/>
      <c r="J503" s="152"/>
      <c r="K503" s="289"/>
      <c r="L503" s="289"/>
      <c r="M503" s="152"/>
      <c r="N503" s="152"/>
      <c r="O503" s="156"/>
      <c r="P503" s="152"/>
      <c r="Q503" s="152"/>
      <c r="R503" s="152"/>
      <c r="S503" s="152"/>
      <c r="T503" s="152"/>
      <c r="U503" s="152"/>
      <c r="V503" s="152"/>
      <c r="W503" s="152"/>
      <c r="X503" s="152"/>
      <c r="Y503" s="152"/>
      <c r="Z503" s="281"/>
      <c r="AA503" s="281"/>
      <c r="AB503" s="281"/>
      <c r="AC503" s="281"/>
      <c r="AD503" s="281"/>
      <c r="AE503" s="281"/>
      <c r="AF503" s="281"/>
      <c r="AG503" s="170"/>
      <c r="AH503" s="152"/>
      <c r="AI503" s="152"/>
      <c r="AJ503" s="152"/>
      <c r="AK503" s="152"/>
      <c r="AL503" s="152"/>
      <c r="AM503" s="152"/>
      <c r="AN503" s="152"/>
      <c r="AO503" s="152"/>
      <c r="AP503" s="152"/>
      <c r="AQ503" s="152"/>
      <c r="AR503" s="152"/>
    </row>
    <row r="504" ht="12.75" customHeight="1">
      <c r="A504" s="288"/>
      <c r="B504" s="288"/>
      <c r="C504" s="288"/>
      <c r="D504" s="152"/>
      <c r="E504" s="289"/>
      <c r="F504" s="288"/>
      <c r="G504" s="152"/>
      <c r="H504" s="152"/>
      <c r="I504" s="152"/>
      <c r="J504" s="152"/>
      <c r="K504" s="289"/>
      <c r="L504" s="289"/>
      <c r="M504" s="152"/>
      <c r="N504" s="152"/>
      <c r="O504" s="156"/>
      <c r="P504" s="152"/>
      <c r="Q504" s="152"/>
      <c r="R504" s="152"/>
      <c r="S504" s="152"/>
      <c r="T504" s="152"/>
      <c r="U504" s="152"/>
      <c r="V504" s="152"/>
      <c r="W504" s="152"/>
      <c r="X504" s="152"/>
      <c r="Y504" s="152"/>
      <c r="Z504" s="281"/>
      <c r="AA504" s="281"/>
      <c r="AB504" s="281"/>
      <c r="AC504" s="281"/>
      <c r="AD504" s="281"/>
      <c r="AE504" s="281"/>
      <c r="AF504" s="281"/>
      <c r="AG504" s="170"/>
      <c r="AH504" s="152"/>
      <c r="AI504" s="152"/>
      <c r="AJ504" s="152"/>
      <c r="AK504" s="152"/>
      <c r="AL504" s="152"/>
      <c r="AM504" s="152"/>
      <c r="AN504" s="152"/>
      <c r="AO504" s="152"/>
      <c r="AP504" s="152"/>
      <c r="AQ504" s="152"/>
      <c r="AR504" s="152"/>
    </row>
    <row r="505" ht="12.75" customHeight="1">
      <c r="A505" s="288"/>
      <c r="B505" s="288"/>
      <c r="C505" s="288"/>
      <c r="D505" s="152"/>
      <c r="E505" s="289"/>
      <c r="F505" s="288"/>
      <c r="G505" s="152"/>
      <c r="H505" s="152"/>
      <c r="I505" s="152"/>
      <c r="J505" s="152"/>
      <c r="K505" s="289"/>
      <c r="L505" s="289"/>
      <c r="M505" s="152"/>
      <c r="N505" s="152"/>
      <c r="O505" s="156"/>
      <c r="P505" s="152"/>
      <c r="Q505" s="152"/>
      <c r="R505" s="152"/>
      <c r="S505" s="152"/>
      <c r="T505" s="152"/>
      <c r="U505" s="152"/>
      <c r="V505" s="152"/>
      <c r="W505" s="152"/>
      <c r="X505" s="152"/>
      <c r="Y505" s="152"/>
      <c r="Z505" s="281"/>
      <c r="AA505" s="281"/>
      <c r="AB505" s="281"/>
      <c r="AC505" s="281"/>
      <c r="AD505" s="281"/>
      <c r="AE505" s="281"/>
      <c r="AF505" s="281"/>
      <c r="AG505" s="170"/>
      <c r="AH505" s="152"/>
      <c r="AI505" s="152"/>
      <c r="AJ505" s="152"/>
      <c r="AK505" s="152"/>
      <c r="AL505" s="152"/>
      <c r="AM505" s="152"/>
      <c r="AN505" s="152"/>
      <c r="AO505" s="152"/>
      <c r="AP505" s="152"/>
      <c r="AQ505" s="152"/>
      <c r="AR505" s="152"/>
    </row>
    <row r="506" ht="12.75" customHeight="1">
      <c r="A506" s="288"/>
      <c r="B506" s="288"/>
      <c r="C506" s="288"/>
      <c r="D506" s="152"/>
      <c r="E506" s="289"/>
      <c r="F506" s="288"/>
      <c r="G506" s="152"/>
      <c r="H506" s="152"/>
      <c r="I506" s="152"/>
      <c r="J506" s="152"/>
      <c r="K506" s="289"/>
      <c r="L506" s="289"/>
      <c r="M506" s="152"/>
      <c r="N506" s="152"/>
      <c r="O506" s="156"/>
      <c r="P506" s="152"/>
      <c r="Q506" s="152"/>
      <c r="R506" s="152"/>
      <c r="S506" s="152"/>
      <c r="T506" s="152"/>
      <c r="U506" s="152"/>
      <c r="V506" s="152"/>
      <c r="W506" s="152"/>
      <c r="X506" s="152"/>
      <c r="Y506" s="152"/>
      <c r="Z506" s="281"/>
      <c r="AA506" s="281"/>
      <c r="AB506" s="281"/>
      <c r="AC506" s="281"/>
      <c r="AD506" s="281"/>
      <c r="AE506" s="281"/>
      <c r="AF506" s="281"/>
      <c r="AG506" s="170"/>
      <c r="AH506" s="152"/>
      <c r="AI506" s="152"/>
      <c r="AJ506" s="152"/>
      <c r="AK506" s="152"/>
      <c r="AL506" s="152"/>
      <c r="AM506" s="152"/>
      <c r="AN506" s="152"/>
      <c r="AO506" s="152"/>
      <c r="AP506" s="152"/>
      <c r="AQ506" s="152"/>
      <c r="AR506" s="152"/>
    </row>
    <row r="507" ht="12.75" customHeight="1">
      <c r="A507" s="288"/>
      <c r="B507" s="288"/>
      <c r="C507" s="288"/>
      <c r="D507" s="152"/>
      <c r="E507" s="289"/>
      <c r="F507" s="288"/>
      <c r="G507" s="152"/>
      <c r="H507" s="152"/>
      <c r="I507" s="152"/>
      <c r="J507" s="152"/>
      <c r="K507" s="289"/>
      <c r="L507" s="289"/>
      <c r="M507" s="152"/>
      <c r="N507" s="152"/>
      <c r="O507" s="156"/>
      <c r="P507" s="152"/>
      <c r="Q507" s="152"/>
      <c r="R507" s="152"/>
      <c r="S507" s="152"/>
      <c r="T507" s="152"/>
      <c r="U507" s="152"/>
      <c r="V507" s="152"/>
      <c r="W507" s="152"/>
      <c r="X507" s="152"/>
      <c r="Y507" s="152"/>
      <c r="Z507" s="281"/>
      <c r="AA507" s="281"/>
      <c r="AB507" s="281"/>
      <c r="AC507" s="281"/>
      <c r="AD507" s="281"/>
      <c r="AE507" s="281"/>
      <c r="AF507" s="281"/>
      <c r="AG507" s="170"/>
      <c r="AH507" s="152"/>
      <c r="AI507" s="152"/>
      <c r="AJ507" s="152"/>
      <c r="AK507" s="152"/>
      <c r="AL507" s="152"/>
      <c r="AM507" s="152"/>
      <c r="AN507" s="152"/>
      <c r="AO507" s="152"/>
      <c r="AP507" s="152"/>
      <c r="AQ507" s="152"/>
      <c r="AR507" s="152"/>
    </row>
    <row r="508" ht="12.75" customHeight="1">
      <c r="A508" s="288"/>
      <c r="B508" s="288"/>
      <c r="C508" s="288"/>
      <c r="D508" s="152"/>
      <c r="E508" s="289"/>
      <c r="F508" s="288"/>
      <c r="G508" s="152"/>
      <c r="H508" s="152"/>
      <c r="I508" s="152"/>
      <c r="J508" s="152"/>
      <c r="K508" s="289"/>
      <c r="L508" s="289"/>
      <c r="M508" s="152"/>
      <c r="N508" s="152"/>
      <c r="O508" s="156"/>
      <c r="P508" s="152"/>
      <c r="Q508" s="152"/>
      <c r="R508" s="152"/>
      <c r="S508" s="152"/>
      <c r="T508" s="152"/>
      <c r="U508" s="152"/>
      <c r="V508" s="152"/>
      <c r="W508" s="152"/>
      <c r="X508" s="152"/>
      <c r="Y508" s="152"/>
      <c r="Z508" s="281"/>
      <c r="AA508" s="281"/>
      <c r="AB508" s="281"/>
      <c r="AC508" s="281"/>
      <c r="AD508" s="281"/>
      <c r="AE508" s="281"/>
      <c r="AF508" s="281"/>
      <c r="AG508" s="170"/>
      <c r="AH508" s="152"/>
      <c r="AI508" s="152"/>
      <c r="AJ508" s="152"/>
      <c r="AK508" s="152"/>
      <c r="AL508" s="152"/>
      <c r="AM508" s="152"/>
      <c r="AN508" s="152"/>
      <c r="AO508" s="152"/>
      <c r="AP508" s="152"/>
      <c r="AQ508" s="152"/>
      <c r="AR508" s="152"/>
    </row>
    <row r="509" ht="12.75" customHeight="1">
      <c r="A509" s="288"/>
      <c r="B509" s="288"/>
      <c r="C509" s="288"/>
      <c r="D509" s="152"/>
      <c r="E509" s="289"/>
      <c r="F509" s="288"/>
      <c r="G509" s="152"/>
      <c r="H509" s="152"/>
      <c r="I509" s="152"/>
      <c r="J509" s="152"/>
      <c r="K509" s="289"/>
      <c r="L509" s="289"/>
      <c r="M509" s="152"/>
      <c r="N509" s="152"/>
      <c r="O509" s="156"/>
      <c r="P509" s="152"/>
      <c r="Q509" s="152"/>
      <c r="R509" s="152"/>
      <c r="S509" s="152"/>
      <c r="T509" s="152"/>
      <c r="U509" s="152"/>
      <c r="V509" s="152"/>
      <c r="W509" s="152"/>
      <c r="X509" s="152"/>
      <c r="Y509" s="152"/>
      <c r="Z509" s="281"/>
      <c r="AA509" s="281"/>
      <c r="AB509" s="281"/>
      <c r="AC509" s="281"/>
      <c r="AD509" s="281"/>
      <c r="AE509" s="281"/>
      <c r="AF509" s="281"/>
      <c r="AG509" s="170"/>
      <c r="AH509" s="152"/>
      <c r="AI509" s="152"/>
      <c r="AJ509" s="152"/>
      <c r="AK509" s="152"/>
      <c r="AL509" s="152"/>
      <c r="AM509" s="152"/>
      <c r="AN509" s="152"/>
      <c r="AO509" s="152"/>
      <c r="AP509" s="152"/>
      <c r="AQ509" s="152"/>
      <c r="AR509" s="152"/>
    </row>
    <row r="510" ht="12.75" customHeight="1">
      <c r="A510" s="288"/>
      <c r="B510" s="288"/>
      <c r="C510" s="288"/>
      <c r="D510" s="152"/>
      <c r="E510" s="289"/>
      <c r="F510" s="288"/>
      <c r="G510" s="152"/>
      <c r="H510" s="152"/>
      <c r="I510" s="152"/>
      <c r="J510" s="152"/>
      <c r="K510" s="289"/>
      <c r="L510" s="289"/>
      <c r="M510" s="152"/>
      <c r="N510" s="152"/>
      <c r="O510" s="156"/>
      <c r="P510" s="152"/>
      <c r="Q510" s="152"/>
      <c r="R510" s="152"/>
      <c r="S510" s="152"/>
      <c r="T510" s="152"/>
      <c r="U510" s="152"/>
      <c r="V510" s="152"/>
      <c r="W510" s="152"/>
      <c r="X510" s="152"/>
      <c r="Y510" s="152"/>
      <c r="Z510" s="281"/>
      <c r="AA510" s="281"/>
      <c r="AB510" s="281"/>
      <c r="AC510" s="281"/>
      <c r="AD510" s="281"/>
      <c r="AE510" s="281"/>
      <c r="AF510" s="281"/>
      <c r="AG510" s="170"/>
      <c r="AH510" s="152"/>
      <c r="AI510" s="152"/>
      <c r="AJ510" s="152"/>
      <c r="AK510" s="152"/>
      <c r="AL510" s="152"/>
      <c r="AM510" s="152"/>
      <c r="AN510" s="152"/>
      <c r="AO510" s="152"/>
      <c r="AP510" s="152"/>
      <c r="AQ510" s="152"/>
      <c r="AR510" s="152"/>
    </row>
    <row r="511" ht="12.75" customHeight="1">
      <c r="A511" s="288"/>
      <c r="B511" s="288"/>
      <c r="C511" s="288"/>
      <c r="D511" s="152"/>
      <c r="E511" s="289"/>
      <c r="F511" s="288"/>
      <c r="G511" s="152"/>
      <c r="H511" s="152"/>
      <c r="I511" s="152"/>
      <c r="J511" s="152"/>
      <c r="K511" s="289"/>
      <c r="L511" s="289"/>
      <c r="M511" s="152"/>
      <c r="N511" s="152"/>
      <c r="O511" s="156"/>
      <c r="P511" s="152"/>
      <c r="Q511" s="152"/>
      <c r="R511" s="152"/>
      <c r="S511" s="152"/>
      <c r="T511" s="152"/>
      <c r="U511" s="152"/>
      <c r="V511" s="152"/>
      <c r="W511" s="152"/>
      <c r="X511" s="152"/>
      <c r="Y511" s="152"/>
      <c r="Z511" s="281"/>
      <c r="AA511" s="281"/>
      <c r="AB511" s="281"/>
      <c r="AC511" s="281"/>
      <c r="AD511" s="281"/>
      <c r="AE511" s="281"/>
      <c r="AF511" s="281"/>
      <c r="AG511" s="170"/>
      <c r="AH511" s="152"/>
      <c r="AI511" s="152"/>
      <c r="AJ511" s="152"/>
      <c r="AK511" s="152"/>
      <c r="AL511" s="152"/>
      <c r="AM511" s="152"/>
      <c r="AN511" s="152"/>
      <c r="AO511" s="152"/>
      <c r="AP511" s="152"/>
      <c r="AQ511" s="152"/>
      <c r="AR511" s="152"/>
    </row>
    <row r="512" ht="12.75" customHeight="1">
      <c r="A512" s="288"/>
      <c r="B512" s="288"/>
      <c r="C512" s="288"/>
      <c r="D512" s="152"/>
      <c r="E512" s="289"/>
      <c r="F512" s="288"/>
      <c r="G512" s="152"/>
      <c r="H512" s="152"/>
      <c r="I512" s="152"/>
      <c r="J512" s="152"/>
      <c r="K512" s="289"/>
      <c r="L512" s="289"/>
      <c r="M512" s="152"/>
      <c r="N512" s="152"/>
      <c r="O512" s="156"/>
      <c r="P512" s="152"/>
      <c r="Q512" s="152"/>
      <c r="R512" s="152"/>
      <c r="S512" s="152"/>
      <c r="T512" s="152"/>
      <c r="U512" s="152"/>
      <c r="V512" s="152"/>
      <c r="W512" s="152"/>
      <c r="X512" s="152"/>
      <c r="Y512" s="152"/>
      <c r="Z512" s="281"/>
      <c r="AA512" s="281"/>
      <c r="AB512" s="281"/>
      <c r="AC512" s="281"/>
      <c r="AD512" s="281"/>
      <c r="AE512" s="281"/>
      <c r="AF512" s="281"/>
      <c r="AG512" s="170"/>
      <c r="AH512" s="152"/>
      <c r="AI512" s="152"/>
      <c r="AJ512" s="152"/>
      <c r="AK512" s="152"/>
      <c r="AL512" s="152"/>
      <c r="AM512" s="152"/>
      <c r="AN512" s="152"/>
      <c r="AO512" s="152"/>
      <c r="AP512" s="152"/>
      <c r="AQ512" s="152"/>
      <c r="AR512" s="152"/>
    </row>
    <row r="513" ht="12.75" customHeight="1">
      <c r="A513" s="288"/>
      <c r="B513" s="288"/>
      <c r="C513" s="288"/>
      <c r="D513" s="152"/>
      <c r="E513" s="289"/>
      <c r="F513" s="288"/>
      <c r="G513" s="152"/>
      <c r="H513" s="152"/>
      <c r="I513" s="152"/>
      <c r="J513" s="152"/>
      <c r="K513" s="289"/>
      <c r="L513" s="289"/>
      <c r="M513" s="152"/>
      <c r="N513" s="152"/>
      <c r="O513" s="156"/>
      <c r="P513" s="152"/>
      <c r="Q513" s="152"/>
      <c r="R513" s="152"/>
      <c r="S513" s="152"/>
      <c r="T513" s="152"/>
      <c r="U513" s="152"/>
      <c r="V513" s="152"/>
      <c r="W513" s="152"/>
      <c r="X513" s="152"/>
      <c r="Y513" s="152"/>
      <c r="Z513" s="281"/>
      <c r="AA513" s="281"/>
      <c r="AB513" s="281"/>
      <c r="AC513" s="281"/>
      <c r="AD513" s="281"/>
      <c r="AE513" s="281"/>
      <c r="AF513" s="281"/>
      <c r="AG513" s="170"/>
      <c r="AH513" s="152"/>
      <c r="AI513" s="152"/>
      <c r="AJ513" s="152"/>
      <c r="AK513" s="152"/>
      <c r="AL513" s="152"/>
      <c r="AM513" s="152"/>
      <c r="AN513" s="152"/>
      <c r="AO513" s="152"/>
      <c r="AP513" s="152"/>
      <c r="AQ513" s="152"/>
      <c r="AR513" s="152"/>
    </row>
    <row r="514" ht="12.75" customHeight="1">
      <c r="A514" s="288"/>
      <c r="B514" s="288"/>
      <c r="C514" s="288"/>
      <c r="D514" s="152"/>
      <c r="E514" s="289"/>
      <c r="F514" s="288"/>
      <c r="G514" s="152"/>
      <c r="H514" s="152"/>
      <c r="I514" s="152"/>
      <c r="J514" s="152"/>
      <c r="K514" s="289"/>
      <c r="L514" s="289"/>
      <c r="M514" s="152"/>
      <c r="N514" s="152"/>
      <c r="O514" s="156"/>
      <c r="P514" s="152"/>
      <c r="Q514" s="152"/>
      <c r="R514" s="152"/>
      <c r="S514" s="152"/>
      <c r="T514" s="152"/>
      <c r="U514" s="152"/>
      <c r="V514" s="152"/>
      <c r="W514" s="152"/>
      <c r="X514" s="152"/>
      <c r="Y514" s="152"/>
      <c r="Z514" s="281"/>
      <c r="AA514" s="281"/>
      <c r="AB514" s="281"/>
      <c r="AC514" s="281"/>
      <c r="AD514" s="281"/>
      <c r="AE514" s="281"/>
      <c r="AF514" s="281"/>
      <c r="AG514" s="170"/>
      <c r="AH514" s="152"/>
      <c r="AI514" s="152"/>
      <c r="AJ514" s="152"/>
      <c r="AK514" s="152"/>
      <c r="AL514" s="152"/>
      <c r="AM514" s="152"/>
      <c r="AN514" s="152"/>
      <c r="AO514" s="152"/>
      <c r="AP514" s="152"/>
      <c r="AQ514" s="152"/>
      <c r="AR514" s="152"/>
    </row>
    <row r="515" ht="12.75" customHeight="1">
      <c r="A515" s="288"/>
      <c r="B515" s="288"/>
      <c r="C515" s="288"/>
      <c r="D515" s="152"/>
      <c r="E515" s="289"/>
      <c r="F515" s="288"/>
      <c r="G515" s="152"/>
      <c r="H515" s="152"/>
      <c r="I515" s="152"/>
      <c r="J515" s="152"/>
      <c r="K515" s="289"/>
      <c r="L515" s="289"/>
      <c r="M515" s="152"/>
      <c r="N515" s="152"/>
      <c r="O515" s="156"/>
      <c r="P515" s="152"/>
      <c r="Q515" s="152"/>
      <c r="R515" s="152"/>
      <c r="S515" s="152"/>
      <c r="T515" s="152"/>
      <c r="U515" s="152"/>
      <c r="V515" s="152"/>
      <c r="W515" s="152"/>
      <c r="X515" s="152"/>
      <c r="Y515" s="152"/>
      <c r="Z515" s="281"/>
      <c r="AA515" s="281"/>
      <c r="AB515" s="281"/>
      <c r="AC515" s="281"/>
      <c r="AD515" s="281"/>
      <c r="AE515" s="281"/>
      <c r="AF515" s="281"/>
      <c r="AG515" s="170"/>
      <c r="AH515" s="152"/>
      <c r="AI515" s="152"/>
      <c r="AJ515" s="152"/>
      <c r="AK515" s="152"/>
      <c r="AL515" s="152"/>
      <c r="AM515" s="152"/>
      <c r="AN515" s="152"/>
      <c r="AO515" s="152"/>
      <c r="AP515" s="152"/>
      <c r="AQ515" s="152"/>
      <c r="AR515" s="152"/>
    </row>
    <row r="516" ht="12.75" customHeight="1">
      <c r="A516" s="288"/>
      <c r="B516" s="288"/>
      <c r="C516" s="288"/>
      <c r="D516" s="152"/>
      <c r="E516" s="289"/>
      <c r="F516" s="288"/>
      <c r="G516" s="152"/>
      <c r="H516" s="152"/>
      <c r="I516" s="152"/>
      <c r="J516" s="152"/>
      <c r="K516" s="289"/>
      <c r="L516" s="289"/>
      <c r="M516" s="152"/>
      <c r="N516" s="152"/>
      <c r="O516" s="156"/>
      <c r="P516" s="152"/>
      <c r="Q516" s="152"/>
      <c r="R516" s="152"/>
      <c r="S516" s="152"/>
      <c r="T516" s="152"/>
      <c r="U516" s="152"/>
      <c r="V516" s="152"/>
      <c r="W516" s="152"/>
      <c r="X516" s="152"/>
      <c r="Y516" s="152"/>
      <c r="Z516" s="281"/>
      <c r="AA516" s="281"/>
      <c r="AB516" s="281"/>
      <c r="AC516" s="281"/>
      <c r="AD516" s="281"/>
      <c r="AE516" s="281"/>
      <c r="AF516" s="281"/>
      <c r="AG516" s="170"/>
      <c r="AH516" s="152"/>
      <c r="AI516" s="152"/>
      <c r="AJ516" s="152"/>
      <c r="AK516" s="152"/>
      <c r="AL516" s="152"/>
      <c r="AM516" s="152"/>
      <c r="AN516" s="152"/>
      <c r="AO516" s="152"/>
      <c r="AP516" s="152"/>
      <c r="AQ516" s="152"/>
      <c r="AR516" s="152"/>
    </row>
    <row r="517" ht="12.75" customHeight="1">
      <c r="A517" s="288"/>
      <c r="B517" s="288"/>
      <c r="C517" s="288"/>
      <c r="D517" s="152"/>
      <c r="E517" s="289"/>
      <c r="F517" s="288"/>
      <c r="G517" s="152"/>
      <c r="H517" s="152"/>
      <c r="I517" s="152"/>
      <c r="J517" s="152"/>
      <c r="K517" s="289"/>
      <c r="L517" s="289"/>
      <c r="M517" s="152"/>
      <c r="N517" s="152"/>
      <c r="O517" s="156"/>
      <c r="P517" s="152"/>
      <c r="Q517" s="152"/>
      <c r="R517" s="152"/>
      <c r="S517" s="152"/>
      <c r="T517" s="152"/>
      <c r="U517" s="152"/>
      <c r="V517" s="152"/>
      <c r="W517" s="152"/>
      <c r="X517" s="152"/>
      <c r="Y517" s="152"/>
      <c r="Z517" s="281"/>
      <c r="AA517" s="281"/>
      <c r="AB517" s="281"/>
      <c r="AC517" s="281"/>
      <c r="AD517" s="281"/>
      <c r="AE517" s="281"/>
      <c r="AF517" s="281"/>
      <c r="AG517" s="170"/>
      <c r="AH517" s="152"/>
      <c r="AI517" s="152"/>
      <c r="AJ517" s="152"/>
      <c r="AK517" s="152"/>
      <c r="AL517" s="152"/>
      <c r="AM517" s="152"/>
      <c r="AN517" s="152"/>
      <c r="AO517" s="152"/>
      <c r="AP517" s="152"/>
      <c r="AQ517" s="152"/>
      <c r="AR517" s="152"/>
    </row>
    <row r="518" ht="12.75" customHeight="1">
      <c r="A518" s="288"/>
      <c r="B518" s="288"/>
      <c r="C518" s="288"/>
      <c r="D518" s="152"/>
      <c r="E518" s="289"/>
      <c r="F518" s="288"/>
      <c r="G518" s="152"/>
      <c r="H518" s="152"/>
      <c r="I518" s="152"/>
      <c r="J518" s="152"/>
      <c r="K518" s="289"/>
      <c r="L518" s="289"/>
      <c r="M518" s="152"/>
      <c r="N518" s="152"/>
      <c r="O518" s="156"/>
      <c r="P518" s="152"/>
      <c r="Q518" s="152"/>
      <c r="R518" s="152"/>
      <c r="S518" s="152"/>
      <c r="T518" s="152"/>
      <c r="U518" s="152"/>
      <c r="V518" s="152"/>
      <c r="W518" s="152"/>
      <c r="X518" s="152"/>
      <c r="Y518" s="152"/>
      <c r="Z518" s="281"/>
      <c r="AA518" s="281"/>
      <c r="AB518" s="281"/>
      <c r="AC518" s="281"/>
      <c r="AD518" s="281"/>
      <c r="AE518" s="281"/>
      <c r="AF518" s="281"/>
      <c r="AG518" s="170"/>
      <c r="AH518" s="152"/>
      <c r="AI518" s="152"/>
      <c r="AJ518" s="152"/>
      <c r="AK518" s="152"/>
      <c r="AL518" s="152"/>
      <c r="AM518" s="152"/>
      <c r="AN518" s="152"/>
      <c r="AO518" s="152"/>
      <c r="AP518" s="152"/>
      <c r="AQ518" s="152"/>
      <c r="AR518" s="152"/>
    </row>
    <row r="519" ht="12.75" customHeight="1">
      <c r="A519" s="288"/>
      <c r="B519" s="288"/>
      <c r="C519" s="288"/>
      <c r="D519" s="152"/>
      <c r="E519" s="289"/>
      <c r="F519" s="288"/>
      <c r="G519" s="152"/>
      <c r="H519" s="152"/>
      <c r="I519" s="152"/>
      <c r="J519" s="152"/>
      <c r="K519" s="289"/>
      <c r="L519" s="289"/>
      <c r="M519" s="152"/>
      <c r="N519" s="152"/>
      <c r="O519" s="156"/>
      <c r="P519" s="152"/>
      <c r="Q519" s="152"/>
      <c r="R519" s="152"/>
      <c r="S519" s="152"/>
      <c r="T519" s="152"/>
      <c r="U519" s="152"/>
      <c r="V519" s="152"/>
      <c r="W519" s="152"/>
      <c r="X519" s="152"/>
      <c r="Y519" s="152"/>
      <c r="Z519" s="281"/>
      <c r="AA519" s="281"/>
      <c r="AB519" s="281"/>
      <c r="AC519" s="281"/>
      <c r="AD519" s="281"/>
      <c r="AE519" s="281"/>
      <c r="AF519" s="281"/>
      <c r="AG519" s="170"/>
      <c r="AH519" s="152"/>
      <c r="AI519" s="152"/>
      <c r="AJ519" s="152"/>
      <c r="AK519" s="152"/>
      <c r="AL519" s="152"/>
      <c r="AM519" s="152"/>
      <c r="AN519" s="152"/>
      <c r="AO519" s="152"/>
      <c r="AP519" s="152"/>
      <c r="AQ519" s="152"/>
      <c r="AR519" s="152"/>
    </row>
    <row r="520" ht="12.75" customHeight="1">
      <c r="A520" s="288"/>
      <c r="B520" s="288"/>
      <c r="C520" s="288"/>
      <c r="D520" s="152"/>
      <c r="E520" s="289"/>
      <c r="F520" s="288"/>
      <c r="G520" s="152"/>
      <c r="H520" s="152"/>
      <c r="I520" s="152"/>
      <c r="J520" s="152"/>
      <c r="K520" s="289"/>
      <c r="L520" s="289"/>
      <c r="M520" s="152"/>
      <c r="N520" s="152"/>
      <c r="O520" s="156"/>
      <c r="P520" s="152"/>
      <c r="Q520" s="152"/>
      <c r="R520" s="152"/>
      <c r="S520" s="152"/>
      <c r="T520" s="152"/>
      <c r="U520" s="152"/>
      <c r="V520" s="152"/>
      <c r="W520" s="152"/>
      <c r="X520" s="152"/>
      <c r="Y520" s="152"/>
      <c r="Z520" s="281"/>
      <c r="AA520" s="281"/>
      <c r="AB520" s="281"/>
      <c r="AC520" s="281"/>
      <c r="AD520" s="281"/>
      <c r="AE520" s="281"/>
      <c r="AF520" s="281"/>
      <c r="AG520" s="170"/>
      <c r="AH520" s="152"/>
      <c r="AI520" s="152"/>
      <c r="AJ520" s="152"/>
      <c r="AK520" s="152"/>
      <c r="AL520" s="152"/>
      <c r="AM520" s="152"/>
      <c r="AN520" s="152"/>
      <c r="AO520" s="152"/>
      <c r="AP520" s="152"/>
      <c r="AQ520" s="152"/>
      <c r="AR520" s="152"/>
    </row>
    <row r="521" ht="12.75" customHeight="1">
      <c r="A521" s="288"/>
      <c r="B521" s="288"/>
      <c r="C521" s="288"/>
      <c r="D521" s="152"/>
      <c r="E521" s="289"/>
      <c r="F521" s="288"/>
      <c r="G521" s="152"/>
      <c r="H521" s="152"/>
      <c r="I521" s="152"/>
      <c r="J521" s="152"/>
      <c r="K521" s="289"/>
      <c r="L521" s="289"/>
      <c r="M521" s="152"/>
      <c r="N521" s="152"/>
      <c r="O521" s="156"/>
      <c r="P521" s="152"/>
      <c r="Q521" s="152"/>
      <c r="R521" s="152"/>
      <c r="S521" s="152"/>
      <c r="T521" s="152"/>
      <c r="U521" s="152"/>
      <c r="V521" s="152"/>
      <c r="W521" s="152"/>
      <c r="X521" s="152"/>
      <c r="Y521" s="152"/>
      <c r="Z521" s="281"/>
      <c r="AA521" s="281"/>
      <c r="AB521" s="281"/>
      <c r="AC521" s="281"/>
      <c r="AD521" s="281"/>
      <c r="AE521" s="281"/>
      <c r="AF521" s="281"/>
      <c r="AG521" s="170"/>
      <c r="AH521" s="152"/>
      <c r="AI521" s="152"/>
      <c r="AJ521" s="152"/>
      <c r="AK521" s="152"/>
      <c r="AL521" s="152"/>
      <c r="AM521" s="152"/>
      <c r="AN521" s="152"/>
      <c r="AO521" s="152"/>
      <c r="AP521" s="152"/>
      <c r="AQ521" s="152"/>
      <c r="AR521" s="152"/>
    </row>
    <row r="522" ht="12.75" customHeight="1">
      <c r="A522" s="288"/>
      <c r="B522" s="288"/>
      <c r="C522" s="288"/>
      <c r="D522" s="152"/>
      <c r="E522" s="289"/>
      <c r="F522" s="288"/>
      <c r="G522" s="152"/>
      <c r="H522" s="152"/>
      <c r="I522" s="152"/>
      <c r="J522" s="152"/>
      <c r="K522" s="289"/>
      <c r="L522" s="289"/>
      <c r="M522" s="152"/>
      <c r="N522" s="152"/>
      <c r="O522" s="156"/>
      <c r="P522" s="152"/>
      <c r="Q522" s="152"/>
      <c r="R522" s="152"/>
      <c r="S522" s="152"/>
      <c r="T522" s="152"/>
      <c r="U522" s="152"/>
      <c r="V522" s="152"/>
      <c r="W522" s="152"/>
      <c r="X522" s="152"/>
      <c r="Y522" s="152"/>
      <c r="Z522" s="281"/>
      <c r="AA522" s="281"/>
      <c r="AB522" s="281"/>
      <c r="AC522" s="281"/>
      <c r="AD522" s="281"/>
      <c r="AE522" s="281"/>
      <c r="AF522" s="281"/>
      <c r="AG522" s="170"/>
      <c r="AH522" s="152"/>
      <c r="AI522" s="152"/>
      <c r="AJ522" s="152"/>
      <c r="AK522" s="152"/>
      <c r="AL522" s="152"/>
      <c r="AM522" s="152"/>
      <c r="AN522" s="152"/>
      <c r="AO522" s="152"/>
      <c r="AP522" s="152"/>
      <c r="AQ522" s="152"/>
      <c r="AR522" s="152"/>
    </row>
    <row r="523" ht="12.75" customHeight="1">
      <c r="A523" s="288"/>
      <c r="B523" s="288"/>
      <c r="C523" s="288"/>
      <c r="D523" s="152"/>
      <c r="E523" s="289"/>
      <c r="F523" s="288"/>
      <c r="G523" s="152"/>
      <c r="H523" s="152"/>
      <c r="I523" s="152"/>
      <c r="J523" s="152"/>
      <c r="K523" s="289"/>
      <c r="L523" s="289"/>
      <c r="M523" s="152"/>
      <c r="N523" s="152"/>
      <c r="O523" s="156"/>
      <c r="P523" s="152"/>
      <c r="Q523" s="152"/>
      <c r="R523" s="152"/>
      <c r="S523" s="152"/>
      <c r="T523" s="152"/>
      <c r="U523" s="152"/>
      <c r="V523" s="152"/>
      <c r="W523" s="152"/>
      <c r="X523" s="152"/>
      <c r="Y523" s="152"/>
      <c r="Z523" s="281"/>
      <c r="AA523" s="281"/>
      <c r="AB523" s="281"/>
      <c r="AC523" s="281"/>
      <c r="AD523" s="281"/>
      <c r="AE523" s="281"/>
      <c r="AF523" s="281"/>
      <c r="AG523" s="170"/>
      <c r="AH523" s="152"/>
      <c r="AI523" s="152"/>
      <c r="AJ523" s="152"/>
      <c r="AK523" s="152"/>
      <c r="AL523" s="152"/>
      <c r="AM523" s="152"/>
      <c r="AN523" s="152"/>
      <c r="AO523" s="152"/>
      <c r="AP523" s="152"/>
      <c r="AQ523" s="152"/>
      <c r="AR523" s="152"/>
    </row>
    <row r="524" ht="12.75" customHeight="1">
      <c r="A524" s="288"/>
      <c r="B524" s="288"/>
      <c r="C524" s="288"/>
      <c r="D524" s="152"/>
      <c r="E524" s="289"/>
      <c r="F524" s="288"/>
      <c r="G524" s="152"/>
      <c r="H524" s="152"/>
      <c r="I524" s="152"/>
      <c r="J524" s="152"/>
      <c r="K524" s="289"/>
      <c r="L524" s="289"/>
      <c r="M524" s="152"/>
      <c r="N524" s="152"/>
      <c r="O524" s="156"/>
      <c r="P524" s="152"/>
      <c r="Q524" s="152"/>
      <c r="R524" s="152"/>
      <c r="S524" s="152"/>
      <c r="T524" s="152"/>
      <c r="U524" s="152"/>
      <c r="V524" s="152"/>
      <c r="W524" s="152"/>
      <c r="X524" s="152"/>
      <c r="Y524" s="152"/>
      <c r="Z524" s="281"/>
      <c r="AA524" s="281"/>
      <c r="AB524" s="281"/>
      <c r="AC524" s="281"/>
      <c r="AD524" s="281"/>
      <c r="AE524" s="281"/>
      <c r="AF524" s="281"/>
      <c r="AG524" s="170"/>
      <c r="AH524" s="152"/>
      <c r="AI524" s="152"/>
      <c r="AJ524" s="152"/>
      <c r="AK524" s="152"/>
      <c r="AL524" s="152"/>
      <c r="AM524" s="152"/>
      <c r="AN524" s="152"/>
      <c r="AO524" s="152"/>
      <c r="AP524" s="152"/>
      <c r="AQ524" s="152"/>
      <c r="AR524" s="152"/>
    </row>
    <row r="525" ht="12.75" customHeight="1">
      <c r="A525" s="288"/>
      <c r="B525" s="288"/>
      <c r="C525" s="288"/>
      <c r="D525" s="152"/>
      <c r="E525" s="289"/>
      <c r="F525" s="288"/>
      <c r="G525" s="152"/>
      <c r="H525" s="152"/>
      <c r="I525" s="152"/>
      <c r="J525" s="152"/>
      <c r="K525" s="289"/>
      <c r="L525" s="289"/>
      <c r="M525" s="152"/>
      <c r="N525" s="152"/>
      <c r="O525" s="156"/>
      <c r="P525" s="152"/>
      <c r="Q525" s="152"/>
      <c r="R525" s="152"/>
      <c r="S525" s="152"/>
      <c r="T525" s="152"/>
      <c r="U525" s="152"/>
      <c r="V525" s="152"/>
      <c r="W525" s="152"/>
      <c r="X525" s="152"/>
      <c r="Y525" s="152"/>
      <c r="Z525" s="281"/>
      <c r="AA525" s="281"/>
      <c r="AB525" s="281"/>
      <c r="AC525" s="281"/>
      <c r="AD525" s="281"/>
      <c r="AE525" s="281"/>
      <c r="AF525" s="281"/>
      <c r="AG525" s="170"/>
      <c r="AH525" s="152"/>
      <c r="AI525" s="152"/>
      <c r="AJ525" s="152"/>
      <c r="AK525" s="152"/>
      <c r="AL525" s="152"/>
      <c r="AM525" s="152"/>
      <c r="AN525" s="152"/>
      <c r="AO525" s="152"/>
      <c r="AP525" s="152"/>
      <c r="AQ525" s="152"/>
      <c r="AR525" s="152"/>
    </row>
    <row r="526" ht="12.75" customHeight="1">
      <c r="A526" s="288"/>
      <c r="B526" s="288"/>
      <c r="C526" s="288"/>
      <c r="D526" s="152"/>
      <c r="E526" s="289"/>
      <c r="F526" s="288"/>
      <c r="G526" s="152"/>
      <c r="H526" s="152"/>
      <c r="I526" s="152"/>
      <c r="J526" s="152"/>
      <c r="K526" s="289"/>
      <c r="L526" s="289"/>
      <c r="M526" s="152"/>
      <c r="N526" s="152"/>
      <c r="O526" s="156"/>
      <c r="P526" s="152"/>
      <c r="Q526" s="152"/>
      <c r="R526" s="152"/>
      <c r="S526" s="152"/>
      <c r="T526" s="152"/>
      <c r="U526" s="152"/>
      <c r="V526" s="152"/>
      <c r="W526" s="152"/>
      <c r="X526" s="152"/>
      <c r="Y526" s="152"/>
      <c r="Z526" s="281"/>
      <c r="AA526" s="281"/>
      <c r="AB526" s="281"/>
      <c r="AC526" s="281"/>
      <c r="AD526" s="281"/>
      <c r="AE526" s="281"/>
      <c r="AF526" s="281"/>
      <c r="AG526" s="170"/>
      <c r="AH526" s="152"/>
      <c r="AI526" s="152"/>
      <c r="AJ526" s="152"/>
      <c r="AK526" s="152"/>
      <c r="AL526" s="152"/>
      <c r="AM526" s="152"/>
      <c r="AN526" s="152"/>
      <c r="AO526" s="152"/>
      <c r="AP526" s="152"/>
      <c r="AQ526" s="152"/>
      <c r="AR526" s="152"/>
    </row>
    <row r="527" ht="12.75" customHeight="1">
      <c r="A527" s="288"/>
      <c r="B527" s="288"/>
      <c r="C527" s="288"/>
      <c r="D527" s="152"/>
      <c r="E527" s="289"/>
      <c r="F527" s="288"/>
      <c r="G527" s="152"/>
      <c r="H527" s="152"/>
      <c r="I527" s="152"/>
      <c r="J527" s="152"/>
      <c r="K527" s="289"/>
      <c r="L527" s="289"/>
      <c r="M527" s="152"/>
      <c r="N527" s="152"/>
      <c r="O527" s="156"/>
      <c r="P527" s="152"/>
      <c r="Q527" s="152"/>
      <c r="R527" s="152"/>
      <c r="S527" s="152"/>
      <c r="T527" s="152"/>
      <c r="U527" s="152"/>
      <c r="V527" s="152"/>
      <c r="W527" s="152"/>
      <c r="X527" s="152"/>
      <c r="Y527" s="152"/>
      <c r="Z527" s="281"/>
      <c r="AA527" s="281"/>
      <c r="AB527" s="281"/>
      <c r="AC527" s="281"/>
      <c r="AD527" s="281"/>
      <c r="AE527" s="281"/>
      <c r="AF527" s="281"/>
      <c r="AG527" s="170"/>
      <c r="AH527" s="152"/>
      <c r="AI527" s="152"/>
      <c r="AJ527" s="152"/>
      <c r="AK527" s="152"/>
      <c r="AL527" s="152"/>
      <c r="AM527" s="152"/>
      <c r="AN527" s="152"/>
      <c r="AO527" s="152"/>
      <c r="AP527" s="152"/>
      <c r="AQ527" s="152"/>
      <c r="AR527" s="152"/>
    </row>
    <row r="528" ht="12.75" customHeight="1">
      <c r="A528" s="288"/>
      <c r="B528" s="288"/>
      <c r="C528" s="288"/>
      <c r="D528" s="152"/>
      <c r="E528" s="289"/>
      <c r="F528" s="288"/>
      <c r="G528" s="152"/>
      <c r="H528" s="152"/>
      <c r="I528" s="152"/>
      <c r="J528" s="152"/>
      <c r="K528" s="289"/>
      <c r="L528" s="289"/>
      <c r="M528" s="152"/>
      <c r="N528" s="152"/>
      <c r="O528" s="156"/>
      <c r="P528" s="152"/>
      <c r="Q528" s="152"/>
      <c r="R528" s="152"/>
      <c r="S528" s="152"/>
      <c r="T528" s="152"/>
      <c r="U528" s="152"/>
      <c r="V528" s="152"/>
      <c r="W528" s="152"/>
      <c r="X528" s="152"/>
      <c r="Y528" s="152"/>
      <c r="Z528" s="281"/>
      <c r="AA528" s="281"/>
      <c r="AB528" s="281"/>
      <c r="AC528" s="281"/>
      <c r="AD528" s="281"/>
      <c r="AE528" s="281"/>
      <c r="AF528" s="281"/>
      <c r="AG528" s="170"/>
      <c r="AH528" s="152"/>
      <c r="AI528" s="152"/>
      <c r="AJ528" s="152"/>
      <c r="AK528" s="152"/>
      <c r="AL528" s="152"/>
      <c r="AM528" s="152"/>
      <c r="AN528" s="152"/>
      <c r="AO528" s="152"/>
      <c r="AP528" s="152"/>
      <c r="AQ528" s="152"/>
      <c r="AR528" s="152"/>
    </row>
    <row r="529" ht="12.75" customHeight="1">
      <c r="A529" s="288"/>
      <c r="B529" s="288"/>
      <c r="C529" s="288"/>
      <c r="D529" s="152"/>
      <c r="E529" s="289"/>
      <c r="F529" s="288"/>
      <c r="G529" s="152"/>
      <c r="H529" s="152"/>
      <c r="I529" s="152"/>
      <c r="J529" s="152"/>
      <c r="K529" s="289"/>
      <c r="L529" s="289"/>
      <c r="M529" s="152"/>
      <c r="N529" s="152"/>
      <c r="O529" s="156"/>
      <c r="P529" s="152"/>
      <c r="Q529" s="152"/>
      <c r="R529" s="152"/>
      <c r="S529" s="152"/>
      <c r="T529" s="152"/>
      <c r="U529" s="152"/>
      <c r="V529" s="152"/>
      <c r="W529" s="152"/>
      <c r="X529" s="152"/>
      <c r="Y529" s="152"/>
      <c r="Z529" s="281"/>
      <c r="AA529" s="281"/>
      <c r="AB529" s="281"/>
      <c r="AC529" s="281"/>
      <c r="AD529" s="281"/>
      <c r="AE529" s="281"/>
      <c r="AF529" s="281"/>
      <c r="AG529" s="170"/>
      <c r="AH529" s="152"/>
      <c r="AI529" s="152"/>
      <c r="AJ529" s="152"/>
      <c r="AK529" s="152"/>
      <c r="AL529" s="152"/>
      <c r="AM529" s="152"/>
      <c r="AN529" s="152"/>
      <c r="AO529" s="152"/>
      <c r="AP529" s="152"/>
      <c r="AQ529" s="152"/>
      <c r="AR529" s="152"/>
    </row>
    <row r="530" ht="12.75" customHeight="1">
      <c r="A530" s="288"/>
      <c r="B530" s="288"/>
      <c r="C530" s="288"/>
      <c r="D530" s="152"/>
      <c r="E530" s="289"/>
      <c r="F530" s="288"/>
      <c r="G530" s="152"/>
      <c r="H530" s="152"/>
      <c r="I530" s="152"/>
      <c r="J530" s="152"/>
      <c r="K530" s="289"/>
      <c r="L530" s="289"/>
      <c r="M530" s="152"/>
      <c r="N530" s="152"/>
      <c r="O530" s="156"/>
      <c r="P530" s="152"/>
      <c r="Q530" s="152"/>
      <c r="R530" s="152"/>
      <c r="S530" s="152"/>
      <c r="T530" s="152"/>
      <c r="U530" s="152"/>
      <c r="V530" s="152"/>
      <c r="W530" s="152"/>
      <c r="X530" s="152"/>
      <c r="Y530" s="152"/>
      <c r="Z530" s="281"/>
      <c r="AA530" s="281"/>
      <c r="AB530" s="281"/>
      <c r="AC530" s="281"/>
      <c r="AD530" s="281"/>
      <c r="AE530" s="281"/>
      <c r="AF530" s="281"/>
      <c r="AG530" s="170"/>
      <c r="AH530" s="152"/>
      <c r="AI530" s="152"/>
      <c r="AJ530" s="152"/>
      <c r="AK530" s="152"/>
      <c r="AL530" s="152"/>
      <c r="AM530" s="152"/>
      <c r="AN530" s="152"/>
      <c r="AO530" s="152"/>
      <c r="AP530" s="152"/>
      <c r="AQ530" s="152"/>
      <c r="AR530" s="152"/>
    </row>
    <row r="531" ht="12.75" customHeight="1">
      <c r="A531" s="288"/>
      <c r="B531" s="288"/>
      <c r="C531" s="288"/>
      <c r="D531" s="152"/>
      <c r="E531" s="289"/>
      <c r="F531" s="288"/>
      <c r="G531" s="152"/>
      <c r="H531" s="152"/>
      <c r="I531" s="152"/>
      <c r="J531" s="152"/>
      <c r="K531" s="289"/>
      <c r="L531" s="289"/>
      <c r="M531" s="152"/>
      <c r="N531" s="152"/>
      <c r="O531" s="156"/>
      <c r="P531" s="152"/>
      <c r="Q531" s="152"/>
      <c r="R531" s="152"/>
      <c r="S531" s="152"/>
      <c r="T531" s="152"/>
      <c r="U531" s="152"/>
      <c r="V531" s="152"/>
      <c r="W531" s="152"/>
      <c r="X531" s="152"/>
      <c r="Y531" s="152"/>
      <c r="Z531" s="281"/>
      <c r="AA531" s="281"/>
      <c r="AB531" s="281"/>
      <c r="AC531" s="281"/>
      <c r="AD531" s="281"/>
      <c r="AE531" s="281"/>
      <c r="AF531" s="281"/>
      <c r="AG531" s="170"/>
      <c r="AH531" s="152"/>
      <c r="AI531" s="152"/>
      <c r="AJ531" s="152"/>
      <c r="AK531" s="152"/>
      <c r="AL531" s="152"/>
      <c r="AM531" s="152"/>
      <c r="AN531" s="152"/>
      <c r="AO531" s="152"/>
      <c r="AP531" s="152"/>
      <c r="AQ531" s="152"/>
      <c r="AR531" s="152"/>
    </row>
    <row r="532" ht="12.75" customHeight="1">
      <c r="A532" s="288"/>
      <c r="B532" s="288"/>
      <c r="C532" s="288"/>
      <c r="D532" s="152"/>
      <c r="E532" s="289"/>
      <c r="F532" s="288"/>
      <c r="G532" s="152"/>
      <c r="H532" s="152"/>
      <c r="I532" s="152"/>
      <c r="J532" s="152"/>
      <c r="K532" s="289"/>
      <c r="L532" s="289"/>
      <c r="M532" s="152"/>
      <c r="N532" s="152"/>
      <c r="O532" s="156"/>
      <c r="P532" s="152"/>
      <c r="Q532" s="152"/>
      <c r="R532" s="152"/>
      <c r="S532" s="152"/>
      <c r="T532" s="152"/>
      <c r="U532" s="152"/>
      <c r="V532" s="152"/>
      <c r="W532" s="152"/>
      <c r="X532" s="152"/>
      <c r="Y532" s="152"/>
      <c r="Z532" s="281"/>
      <c r="AA532" s="281"/>
      <c r="AB532" s="281"/>
      <c r="AC532" s="281"/>
      <c r="AD532" s="281"/>
      <c r="AE532" s="281"/>
      <c r="AF532" s="281"/>
      <c r="AG532" s="170"/>
      <c r="AH532" s="152"/>
      <c r="AI532" s="152"/>
      <c r="AJ532" s="152"/>
      <c r="AK532" s="152"/>
      <c r="AL532" s="152"/>
      <c r="AM532" s="152"/>
      <c r="AN532" s="152"/>
      <c r="AO532" s="152"/>
      <c r="AP532" s="152"/>
      <c r="AQ532" s="152"/>
      <c r="AR532" s="152"/>
    </row>
    <row r="533" ht="12.75" customHeight="1">
      <c r="A533" s="288"/>
      <c r="B533" s="288"/>
      <c r="C533" s="288"/>
      <c r="D533" s="152"/>
      <c r="E533" s="289"/>
      <c r="F533" s="288"/>
      <c r="G533" s="152"/>
      <c r="H533" s="152"/>
      <c r="I533" s="152"/>
      <c r="J533" s="152"/>
      <c r="K533" s="289"/>
      <c r="L533" s="289"/>
      <c r="M533" s="152"/>
      <c r="N533" s="152"/>
      <c r="O533" s="156"/>
      <c r="P533" s="152"/>
      <c r="Q533" s="152"/>
      <c r="R533" s="152"/>
      <c r="S533" s="152"/>
      <c r="T533" s="152"/>
      <c r="U533" s="152"/>
      <c r="V533" s="152"/>
      <c r="W533" s="152"/>
      <c r="X533" s="152"/>
      <c r="Y533" s="152"/>
      <c r="Z533" s="281"/>
      <c r="AA533" s="281"/>
      <c r="AB533" s="281"/>
      <c r="AC533" s="281"/>
      <c r="AD533" s="281"/>
      <c r="AE533" s="281"/>
      <c r="AF533" s="281"/>
      <c r="AG533" s="170"/>
      <c r="AH533" s="152"/>
      <c r="AI533" s="152"/>
      <c r="AJ533" s="152"/>
      <c r="AK533" s="152"/>
      <c r="AL533" s="152"/>
      <c r="AM533" s="152"/>
      <c r="AN533" s="152"/>
      <c r="AO533" s="152"/>
      <c r="AP533" s="152"/>
      <c r="AQ533" s="152"/>
      <c r="AR533" s="152"/>
    </row>
    <row r="534" ht="12.75" customHeight="1">
      <c r="A534" s="288"/>
      <c r="B534" s="288"/>
      <c r="C534" s="288"/>
      <c r="D534" s="152"/>
      <c r="E534" s="289"/>
      <c r="F534" s="288"/>
      <c r="G534" s="152"/>
      <c r="H534" s="152"/>
      <c r="I534" s="152"/>
      <c r="J534" s="152"/>
      <c r="K534" s="289"/>
      <c r="L534" s="289"/>
      <c r="M534" s="152"/>
      <c r="N534" s="152"/>
      <c r="O534" s="156"/>
      <c r="P534" s="152"/>
      <c r="Q534" s="152"/>
      <c r="R534" s="152"/>
      <c r="S534" s="152"/>
      <c r="T534" s="152"/>
      <c r="U534" s="152"/>
      <c r="V534" s="152"/>
      <c r="W534" s="152"/>
      <c r="X534" s="152"/>
      <c r="Y534" s="152"/>
      <c r="Z534" s="281"/>
      <c r="AA534" s="281"/>
      <c r="AB534" s="281"/>
      <c r="AC534" s="281"/>
      <c r="AD534" s="281"/>
      <c r="AE534" s="281"/>
      <c r="AF534" s="281"/>
      <c r="AG534" s="170"/>
      <c r="AH534" s="152"/>
      <c r="AI534" s="152"/>
      <c r="AJ534" s="152"/>
      <c r="AK534" s="152"/>
      <c r="AL534" s="152"/>
      <c r="AM534" s="152"/>
      <c r="AN534" s="152"/>
      <c r="AO534" s="152"/>
      <c r="AP534" s="152"/>
      <c r="AQ534" s="152"/>
      <c r="AR534" s="152"/>
    </row>
    <row r="535" ht="12.75" customHeight="1">
      <c r="A535" s="288"/>
      <c r="B535" s="288"/>
      <c r="C535" s="288"/>
      <c r="D535" s="152"/>
      <c r="E535" s="289"/>
      <c r="F535" s="288"/>
      <c r="G535" s="152"/>
      <c r="H535" s="152"/>
      <c r="I535" s="152"/>
      <c r="J535" s="152"/>
      <c r="K535" s="289"/>
      <c r="L535" s="289"/>
      <c r="M535" s="152"/>
      <c r="N535" s="152"/>
      <c r="O535" s="156"/>
      <c r="P535" s="152"/>
      <c r="Q535" s="152"/>
      <c r="R535" s="152"/>
      <c r="S535" s="152"/>
      <c r="T535" s="152"/>
      <c r="U535" s="152"/>
      <c r="V535" s="152"/>
      <c r="W535" s="152"/>
      <c r="X535" s="152"/>
      <c r="Y535" s="152"/>
      <c r="Z535" s="281"/>
      <c r="AA535" s="281"/>
      <c r="AB535" s="281"/>
      <c r="AC535" s="281"/>
      <c r="AD535" s="281"/>
      <c r="AE535" s="281"/>
      <c r="AF535" s="281"/>
      <c r="AG535" s="170"/>
      <c r="AH535" s="152"/>
      <c r="AI535" s="152"/>
      <c r="AJ535" s="152"/>
      <c r="AK535" s="152"/>
      <c r="AL535" s="152"/>
      <c r="AM535" s="152"/>
      <c r="AN535" s="152"/>
      <c r="AO535" s="152"/>
      <c r="AP535" s="152"/>
      <c r="AQ535" s="152"/>
      <c r="AR535" s="152"/>
    </row>
    <row r="536" ht="12.75" customHeight="1">
      <c r="A536" s="288"/>
      <c r="B536" s="288"/>
      <c r="C536" s="288"/>
      <c r="D536" s="152"/>
      <c r="E536" s="289"/>
      <c r="F536" s="288"/>
      <c r="G536" s="152"/>
      <c r="H536" s="152"/>
      <c r="I536" s="152"/>
      <c r="J536" s="152"/>
      <c r="K536" s="289"/>
      <c r="L536" s="289"/>
      <c r="M536" s="152"/>
      <c r="N536" s="152"/>
      <c r="O536" s="156"/>
      <c r="P536" s="152"/>
      <c r="Q536" s="152"/>
      <c r="R536" s="152"/>
      <c r="S536" s="152"/>
      <c r="T536" s="152"/>
      <c r="U536" s="152"/>
      <c r="V536" s="152"/>
      <c r="W536" s="152"/>
      <c r="X536" s="152"/>
      <c r="Y536" s="152"/>
      <c r="Z536" s="281"/>
      <c r="AA536" s="281"/>
      <c r="AB536" s="281"/>
      <c r="AC536" s="281"/>
      <c r="AD536" s="281"/>
      <c r="AE536" s="281"/>
      <c r="AF536" s="281"/>
      <c r="AG536" s="170"/>
      <c r="AH536" s="152"/>
      <c r="AI536" s="152"/>
      <c r="AJ536" s="152"/>
      <c r="AK536" s="152"/>
      <c r="AL536" s="152"/>
      <c r="AM536" s="152"/>
      <c r="AN536" s="152"/>
      <c r="AO536" s="152"/>
      <c r="AP536" s="152"/>
      <c r="AQ536" s="152"/>
      <c r="AR536" s="152"/>
    </row>
    <row r="537" ht="12.75" customHeight="1">
      <c r="A537" s="288"/>
      <c r="B537" s="288"/>
      <c r="C537" s="288"/>
      <c r="D537" s="152"/>
      <c r="E537" s="289"/>
      <c r="F537" s="288"/>
      <c r="G537" s="152"/>
      <c r="H537" s="152"/>
      <c r="I537" s="152"/>
      <c r="J537" s="152"/>
      <c r="K537" s="289"/>
      <c r="L537" s="289"/>
      <c r="M537" s="152"/>
      <c r="N537" s="152"/>
      <c r="O537" s="156"/>
      <c r="P537" s="152"/>
      <c r="Q537" s="152"/>
      <c r="R537" s="152"/>
      <c r="S537" s="152"/>
      <c r="T537" s="152"/>
      <c r="U537" s="152"/>
      <c r="V537" s="152"/>
      <c r="W537" s="152"/>
      <c r="X537" s="152"/>
      <c r="Y537" s="152"/>
      <c r="Z537" s="281"/>
      <c r="AA537" s="281"/>
      <c r="AB537" s="281"/>
      <c r="AC537" s="281"/>
      <c r="AD537" s="281"/>
      <c r="AE537" s="281"/>
      <c r="AF537" s="281"/>
      <c r="AG537" s="170"/>
      <c r="AH537" s="152"/>
      <c r="AI537" s="152"/>
      <c r="AJ537" s="152"/>
      <c r="AK537" s="152"/>
      <c r="AL537" s="152"/>
      <c r="AM537" s="152"/>
      <c r="AN537" s="152"/>
      <c r="AO537" s="152"/>
      <c r="AP537" s="152"/>
      <c r="AQ537" s="152"/>
      <c r="AR537" s="152"/>
    </row>
    <row r="538" ht="12.75" customHeight="1">
      <c r="A538" s="288"/>
      <c r="B538" s="288"/>
      <c r="C538" s="288"/>
      <c r="D538" s="152"/>
      <c r="E538" s="289"/>
      <c r="F538" s="288"/>
      <c r="G538" s="152"/>
      <c r="H538" s="152"/>
      <c r="I538" s="152"/>
      <c r="J538" s="152"/>
      <c r="K538" s="289"/>
      <c r="L538" s="289"/>
      <c r="M538" s="152"/>
      <c r="N538" s="152"/>
      <c r="O538" s="156"/>
      <c r="P538" s="152"/>
      <c r="Q538" s="152"/>
      <c r="R538" s="152"/>
      <c r="S538" s="152"/>
      <c r="T538" s="152"/>
      <c r="U538" s="152"/>
      <c r="V538" s="152"/>
      <c r="W538" s="152"/>
      <c r="X538" s="152"/>
      <c r="Y538" s="152"/>
      <c r="Z538" s="281"/>
      <c r="AA538" s="281"/>
      <c r="AB538" s="281"/>
      <c r="AC538" s="281"/>
      <c r="AD538" s="281"/>
      <c r="AE538" s="281"/>
      <c r="AF538" s="281"/>
      <c r="AG538" s="170"/>
      <c r="AH538" s="152"/>
      <c r="AI538" s="152"/>
      <c r="AJ538" s="152"/>
      <c r="AK538" s="152"/>
      <c r="AL538" s="152"/>
      <c r="AM538" s="152"/>
      <c r="AN538" s="152"/>
      <c r="AO538" s="152"/>
      <c r="AP538" s="152"/>
      <c r="AQ538" s="152"/>
      <c r="AR538" s="152"/>
    </row>
    <row r="539" ht="12.75" customHeight="1">
      <c r="A539" s="288"/>
      <c r="B539" s="288"/>
      <c r="C539" s="288"/>
      <c r="D539" s="152"/>
      <c r="E539" s="289"/>
      <c r="F539" s="288"/>
      <c r="G539" s="152"/>
      <c r="H539" s="152"/>
      <c r="I539" s="152"/>
      <c r="J539" s="152"/>
      <c r="K539" s="289"/>
      <c r="L539" s="289"/>
      <c r="M539" s="152"/>
      <c r="N539" s="152"/>
      <c r="O539" s="156"/>
      <c r="P539" s="152"/>
      <c r="Q539" s="152"/>
      <c r="R539" s="152"/>
      <c r="S539" s="152"/>
      <c r="T539" s="152"/>
      <c r="U539" s="152"/>
      <c r="V539" s="152"/>
      <c r="W539" s="152"/>
      <c r="X539" s="152"/>
      <c r="Y539" s="152"/>
      <c r="Z539" s="281"/>
      <c r="AA539" s="281"/>
      <c r="AB539" s="281"/>
      <c r="AC539" s="281"/>
      <c r="AD539" s="281"/>
      <c r="AE539" s="281"/>
      <c r="AF539" s="281"/>
      <c r="AG539" s="170"/>
      <c r="AH539" s="152"/>
      <c r="AI539" s="152"/>
      <c r="AJ539" s="152"/>
      <c r="AK539" s="152"/>
      <c r="AL539" s="152"/>
      <c r="AM539" s="152"/>
      <c r="AN539" s="152"/>
      <c r="AO539" s="152"/>
      <c r="AP539" s="152"/>
      <c r="AQ539" s="152"/>
      <c r="AR539" s="152"/>
    </row>
    <row r="540" ht="12.75" customHeight="1">
      <c r="A540" s="288"/>
      <c r="B540" s="288"/>
      <c r="C540" s="288"/>
      <c r="D540" s="152"/>
      <c r="E540" s="289"/>
      <c r="F540" s="288"/>
      <c r="G540" s="152"/>
      <c r="H540" s="152"/>
      <c r="I540" s="152"/>
      <c r="J540" s="152"/>
      <c r="K540" s="289"/>
      <c r="L540" s="289"/>
      <c r="M540" s="152"/>
      <c r="N540" s="152"/>
      <c r="O540" s="156"/>
      <c r="P540" s="152"/>
      <c r="Q540" s="152"/>
      <c r="R540" s="152"/>
      <c r="S540" s="152"/>
      <c r="T540" s="152"/>
      <c r="U540" s="152"/>
      <c r="V540" s="152"/>
      <c r="W540" s="152"/>
      <c r="X540" s="152"/>
      <c r="Y540" s="152"/>
      <c r="Z540" s="281"/>
      <c r="AA540" s="281"/>
      <c r="AB540" s="281"/>
      <c r="AC540" s="281"/>
      <c r="AD540" s="281"/>
      <c r="AE540" s="281"/>
      <c r="AF540" s="281"/>
      <c r="AG540" s="170"/>
      <c r="AH540" s="152"/>
      <c r="AI540" s="152"/>
      <c r="AJ540" s="152"/>
      <c r="AK540" s="152"/>
      <c r="AL540" s="152"/>
      <c r="AM540" s="152"/>
      <c r="AN540" s="152"/>
      <c r="AO540" s="152"/>
      <c r="AP540" s="152"/>
      <c r="AQ540" s="152"/>
      <c r="AR540" s="152"/>
    </row>
    <row r="541" ht="12.75" customHeight="1">
      <c r="A541" s="288"/>
      <c r="B541" s="288"/>
      <c r="C541" s="288"/>
      <c r="D541" s="152"/>
      <c r="E541" s="289"/>
      <c r="F541" s="288"/>
      <c r="G541" s="152"/>
      <c r="H541" s="152"/>
      <c r="I541" s="152"/>
      <c r="J541" s="152"/>
      <c r="K541" s="289"/>
      <c r="L541" s="289"/>
      <c r="M541" s="152"/>
      <c r="N541" s="152"/>
      <c r="O541" s="156"/>
      <c r="P541" s="152"/>
      <c r="Q541" s="152"/>
      <c r="R541" s="152"/>
      <c r="S541" s="152"/>
      <c r="T541" s="152"/>
      <c r="U541" s="152"/>
      <c r="V541" s="152"/>
      <c r="W541" s="152"/>
      <c r="X541" s="152"/>
      <c r="Y541" s="152"/>
      <c r="Z541" s="281"/>
      <c r="AA541" s="281"/>
      <c r="AB541" s="281"/>
      <c r="AC541" s="281"/>
      <c r="AD541" s="281"/>
      <c r="AE541" s="281"/>
      <c r="AF541" s="281"/>
      <c r="AG541" s="170"/>
      <c r="AH541" s="152"/>
      <c r="AI541" s="152"/>
      <c r="AJ541" s="152"/>
      <c r="AK541" s="152"/>
      <c r="AL541" s="152"/>
      <c r="AM541" s="152"/>
      <c r="AN541" s="152"/>
      <c r="AO541" s="152"/>
      <c r="AP541" s="152"/>
      <c r="AQ541" s="152"/>
      <c r="AR541" s="152"/>
    </row>
    <row r="542" ht="12.75" customHeight="1">
      <c r="A542" s="288"/>
      <c r="B542" s="288"/>
      <c r="C542" s="288"/>
      <c r="D542" s="152"/>
      <c r="E542" s="289"/>
      <c r="F542" s="288"/>
      <c r="G542" s="152"/>
      <c r="H542" s="152"/>
      <c r="I542" s="152"/>
      <c r="J542" s="152"/>
      <c r="K542" s="289"/>
      <c r="L542" s="289"/>
      <c r="M542" s="152"/>
      <c r="N542" s="152"/>
      <c r="O542" s="156"/>
      <c r="P542" s="152"/>
      <c r="Q542" s="152"/>
      <c r="R542" s="152"/>
      <c r="S542" s="152"/>
      <c r="T542" s="152"/>
      <c r="U542" s="152"/>
      <c r="V542" s="152"/>
      <c r="W542" s="152"/>
      <c r="X542" s="152"/>
      <c r="Y542" s="152"/>
      <c r="Z542" s="281"/>
      <c r="AA542" s="281"/>
      <c r="AB542" s="281"/>
      <c r="AC542" s="281"/>
      <c r="AD542" s="281"/>
      <c r="AE542" s="281"/>
      <c r="AF542" s="281"/>
      <c r="AG542" s="170"/>
      <c r="AH542" s="152"/>
      <c r="AI542" s="152"/>
      <c r="AJ542" s="152"/>
      <c r="AK542" s="152"/>
      <c r="AL542" s="152"/>
      <c r="AM542" s="152"/>
      <c r="AN542" s="152"/>
      <c r="AO542" s="152"/>
      <c r="AP542" s="152"/>
      <c r="AQ542" s="152"/>
      <c r="AR542" s="152"/>
    </row>
    <row r="543" ht="12.75" customHeight="1">
      <c r="A543" s="288"/>
      <c r="B543" s="288"/>
      <c r="C543" s="288"/>
      <c r="D543" s="152"/>
      <c r="E543" s="289"/>
      <c r="F543" s="288"/>
      <c r="G543" s="152"/>
      <c r="H543" s="152"/>
      <c r="I543" s="152"/>
      <c r="J543" s="152"/>
      <c r="K543" s="289"/>
      <c r="L543" s="289"/>
      <c r="M543" s="152"/>
      <c r="N543" s="152"/>
      <c r="O543" s="156"/>
      <c r="P543" s="152"/>
      <c r="Q543" s="152"/>
      <c r="R543" s="152"/>
      <c r="S543" s="152"/>
      <c r="T543" s="152"/>
      <c r="U543" s="152"/>
      <c r="V543" s="152"/>
      <c r="W543" s="152"/>
      <c r="X543" s="152"/>
      <c r="Y543" s="152"/>
      <c r="Z543" s="281"/>
      <c r="AA543" s="281"/>
      <c r="AB543" s="281"/>
      <c r="AC543" s="281"/>
      <c r="AD543" s="281"/>
      <c r="AE543" s="281"/>
      <c r="AF543" s="281"/>
      <c r="AG543" s="170"/>
      <c r="AH543" s="152"/>
      <c r="AI543" s="152"/>
      <c r="AJ543" s="152"/>
      <c r="AK543" s="152"/>
      <c r="AL543" s="152"/>
      <c r="AM543" s="152"/>
      <c r="AN543" s="152"/>
      <c r="AO543" s="152"/>
      <c r="AP543" s="152"/>
      <c r="AQ543" s="152"/>
      <c r="AR543" s="152"/>
    </row>
    <row r="544" ht="12.75" customHeight="1">
      <c r="A544" s="288"/>
      <c r="B544" s="288"/>
      <c r="C544" s="288"/>
      <c r="D544" s="152"/>
      <c r="E544" s="289"/>
      <c r="F544" s="288"/>
      <c r="G544" s="152"/>
      <c r="H544" s="152"/>
      <c r="I544" s="152"/>
      <c r="J544" s="152"/>
      <c r="K544" s="289"/>
      <c r="L544" s="289"/>
      <c r="M544" s="152"/>
      <c r="N544" s="152"/>
      <c r="O544" s="156"/>
      <c r="P544" s="152"/>
      <c r="Q544" s="152"/>
      <c r="R544" s="152"/>
      <c r="S544" s="152"/>
      <c r="T544" s="152"/>
      <c r="U544" s="152"/>
      <c r="V544" s="152"/>
      <c r="W544" s="152"/>
      <c r="X544" s="152"/>
      <c r="Y544" s="152"/>
      <c r="Z544" s="281"/>
      <c r="AA544" s="281"/>
      <c r="AB544" s="281"/>
      <c r="AC544" s="281"/>
      <c r="AD544" s="281"/>
      <c r="AE544" s="281"/>
      <c r="AF544" s="281"/>
      <c r="AG544" s="170"/>
      <c r="AH544" s="152"/>
      <c r="AI544" s="152"/>
      <c r="AJ544" s="152"/>
      <c r="AK544" s="152"/>
      <c r="AL544" s="152"/>
      <c r="AM544" s="152"/>
      <c r="AN544" s="152"/>
      <c r="AO544" s="152"/>
      <c r="AP544" s="152"/>
      <c r="AQ544" s="152"/>
      <c r="AR544" s="152"/>
    </row>
    <row r="545" ht="12.75" customHeight="1">
      <c r="A545" s="288"/>
      <c r="B545" s="288"/>
      <c r="C545" s="288"/>
      <c r="D545" s="152"/>
      <c r="E545" s="289"/>
      <c r="F545" s="288"/>
      <c r="G545" s="152"/>
      <c r="H545" s="152"/>
      <c r="I545" s="152"/>
      <c r="J545" s="152"/>
      <c r="K545" s="289"/>
      <c r="L545" s="289"/>
      <c r="M545" s="152"/>
      <c r="N545" s="152"/>
      <c r="O545" s="156"/>
      <c r="P545" s="152"/>
      <c r="Q545" s="152"/>
      <c r="R545" s="152"/>
      <c r="S545" s="152"/>
      <c r="T545" s="152"/>
      <c r="U545" s="152"/>
      <c r="V545" s="152"/>
      <c r="W545" s="152"/>
      <c r="X545" s="152"/>
      <c r="Y545" s="152"/>
      <c r="Z545" s="281"/>
      <c r="AA545" s="281"/>
      <c r="AB545" s="281"/>
      <c r="AC545" s="281"/>
      <c r="AD545" s="281"/>
      <c r="AE545" s="281"/>
      <c r="AF545" s="281"/>
      <c r="AG545" s="170"/>
      <c r="AH545" s="152"/>
      <c r="AI545" s="152"/>
      <c r="AJ545" s="152"/>
      <c r="AK545" s="152"/>
      <c r="AL545" s="152"/>
      <c r="AM545" s="152"/>
      <c r="AN545" s="152"/>
      <c r="AO545" s="152"/>
      <c r="AP545" s="152"/>
      <c r="AQ545" s="152"/>
      <c r="AR545" s="152"/>
    </row>
    <row r="546" ht="12.75" customHeight="1">
      <c r="A546" s="288"/>
      <c r="B546" s="288"/>
      <c r="C546" s="288"/>
      <c r="D546" s="152"/>
      <c r="E546" s="289"/>
      <c r="F546" s="288"/>
      <c r="G546" s="152"/>
      <c r="H546" s="152"/>
      <c r="I546" s="152"/>
      <c r="J546" s="152"/>
      <c r="K546" s="289"/>
      <c r="L546" s="289"/>
      <c r="M546" s="152"/>
      <c r="N546" s="152"/>
      <c r="O546" s="156"/>
      <c r="P546" s="152"/>
      <c r="Q546" s="152"/>
      <c r="R546" s="152"/>
      <c r="S546" s="152"/>
      <c r="T546" s="152"/>
      <c r="U546" s="152"/>
      <c r="V546" s="152"/>
      <c r="W546" s="152"/>
      <c r="X546" s="152"/>
      <c r="Y546" s="152"/>
      <c r="Z546" s="281"/>
      <c r="AA546" s="281"/>
      <c r="AB546" s="281"/>
      <c r="AC546" s="281"/>
      <c r="AD546" s="281"/>
      <c r="AE546" s="281"/>
      <c r="AF546" s="281"/>
      <c r="AG546" s="170"/>
      <c r="AH546" s="152"/>
      <c r="AI546" s="152"/>
      <c r="AJ546" s="152"/>
      <c r="AK546" s="152"/>
      <c r="AL546" s="152"/>
      <c r="AM546" s="152"/>
      <c r="AN546" s="152"/>
      <c r="AO546" s="152"/>
      <c r="AP546" s="152"/>
      <c r="AQ546" s="152"/>
      <c r="AR546" s="152"/>
    </row>
    <row r="547" ht="12.75" customHeight="1">
      <c r="A547" s="288"/>
      <c r="B547" s="288"/>
      <c r="C547" s="288"/>
      <c r="D547" s="152"/>
      <c r="E547" s="289"/>
      <c r="F547" s="288"/>
      <c r="G547" s="152"/>
      <c r="H547" s="152"/>
      <c r="I547" s="152"/>
      <c r="J547" s="152"/>
      <c r="K547" s="289"/>
      <c r="L547" s="289"/>
      <c r="M547" s="152"/>
      <c r="N547" s="152"/>
      <c r="O547" s="156"/>
      <c r="P547" s="152"/>
      <c r="Q547" s="152"/>
      <c r="R547" s="152"/>
      <c r="S547" s="152"/>
      <c r="T547" s="152"/>
      <c r="U547" s="152"/>
      <c r="V547" s="152"/>
      <c r="W547" s="152"/>
      <c r="X547" s="152"/>
      <c r="Y547" s="152"/>
      <c r="Z547" s="281"/>
      <c r="AA547" s="281"/>
      <c r="AB547" s="281"/>
      <c r="AC547" s="281"/>
      <c r="AD547" s="281"/>
      <c r="AE547" s="281"/>
      <c r="AF547" s="281"/>
      <c r="AG547" s="170"/>
      <c r="AH547" s="152"/>
      <c r="AI547" s="152"/>
      <c r="AJ547" s="152"/>
      <c r="AK547" s="152"/>
      <c r="AL547" s="152"/>
      <c r="AM547" s="152"/>
      <c r="AN547" s="152"/>
      <c r="AO547" s="152"/>
      <c r="AP547" s="152"/>
      <c r="AQ547" s="152"/>
      <c r="AR547" s="152"/>
    </row>
    <row r="548" ht="12.75" customHeight="1">
      <c r="A548" s="288"/>
      <c r="B548" s="288"/>
      <c r="C548" s="288"/>
      <c r="D548" s="152"/>
      <c r="E548" s="289"/>
      <c r="F548" s="288"/>
      <c r="G548" s="152"/>
      <c r="H548" s="152"/>
      <c r="I548" s="152"/>
      <c r="J548" s="152"/>
      <c r="K548" s="289"/>
      <c r="L548" s="289"/>
      <c r="M548" s="152"/>
      <c r="N548" s="152"/>
      <c r="O548" s="156"/>
      <c r="P548" s="152"/>
      <c r="Q548" s="152"/>
      <c r="R548" s="152"/>
      <c r="S548" s="152"/>
      <c r="T548" s="152"/>
      <c r="U548" s="152"/>
      <c r="V548" s="152"/>
      <c r="W548" s="152"/>
      <c r="X548" s="152"/>
      <c r="Y548" s="152"/>
      <c r="Z548" s="281"/>
      <c r="AA548" s="281"/>
      <c r="AB548" s="281"/>
      <c r="AC548" s="281"/>
      <c r="AD548" s="281"/>
      <c r="AE548" s="281"/>
      <c r="AF548" s="281"/>
      <c r="AG548" s="170"/>
      <c r="AH548" s="152"/>
      <c r="AI548" s="152"/>
      <c r="AJ548" s="152"/>
      <c r="AK548" s="152"/>
      <c r="AL548" s="152"/>
      <c r="AM548" s="152"/>
      <c r="AN548" s="152"/>
      <c r="AO548" s="152"/>
      <c r="AP548" s="152"/>
      <c r="AQ548" s="152"/>
      <c r="AR548" s="152"/>
    </row>
    <row r="549" ht="12.75" customHeight="1">
      <c r="A549" s="288"/>
      <c r="B549" s="288"/>
      <c r="C549" s="288"/>
      <c r="D549" s="152"/>
      <c r="E549" s="289"/>
      <c r="F549" s="288"/>
      <c r="G549" s="152"/>
      <c r="H549" s="152"/>
      <c r="I549" s="152"/>
      <c r="J549" s="152"/>
      <c r="K549" s="289"/>
      <c r="L549" s="289"/>
      <c r="M549" s="152"/>
      <c r="N549" s="152"/>
      <c r="O549" s="156"/>
      <c r="P549" s="152"/>
      <c r="Q549" s="152"/>
      <c r="R549" s="152"/>
      <c r="S549" s="152"/>
      <c r="T549" s="152"/>
      <c r="U549" s="152"/>
      <c r="V549" s="152"/>
      <c r="W549" s="152"/>
      <c r="X549" s="152"/>
      <c r="Y549" s="152"/>
      <c r="Z549" s="281"/>
      <c r="AA549" s="281"/>
      <c r="AB549" s="281"/>
      <c r="AC549" s="281"/>
      <c r="AD549" s="281"/>
      <c r="AE549" s="281"/>
      <c r="AF549" s="281"/>
      <c r="AG549" s="170"/>
      <c r="AH549" s="152"/>
      <c r="AI549" s="152"/>
      <c r="AJ549" s="152"/>
      <c r="AK549" s="152"/>
      <c r="AL549" s="152"/>
      <c r="AM549" s="152"/>
      <c r="AN549" s="152"/>
      <c r="AO549" s="152"/>
      <c r="AP549" s="152"/>
      <c r="AQ549" s="152"/>
      <c r="AR549" s="152"/>
    </row>
    <row r="550" ht="12.75" customHeight="1">
      <c r="A550" s="288"/>
      <c r="B550" s="288"/>
      <c r="C550" s="288"/>
      <c r="D550" s="152"/>
      <c r="E550" s="289"/>
      <c r="F550" s="288"/>
      <c r="G550" s="152"/>
      <c r="H550" s="152"/>
      <c r="I550" s="152"/>
      <c r="J550" s="152"/>
      <c r="K550" s="289"/>
      <c r="L550" s="289"/>
      <c r="M550" s="152"/>
      <c r="N550" s="152"/>
      <c r="O550" s="156"/>
      <c r="P550" s="152"/>
      <c r="Q550" s="152"/>
      <c r="R550" s="152"/>
      <c r="S550" s="152"/>
      <c r="T550" s="152"/>
      <c r="U550" s="152"/>
      <c r="V550" s="152"/>
      <c r="W550" s="152"/>
      <c r="X550" s="152"/>
      <c r="Y550" s="152"/>
      <c r="Z550" s="281"/>
      <c r="AA550" s="281"/>
      <c r="AB550" s="281"/>
      <c r="AC550" s="281"/>
      <c r="AD550" s="281"/>
      <c r="AE550" s="281"/>
      <c r="AF550" s="281"/>
      <c r="AG550" s="170"/>
      <c r="AH550" s="152"/>
      <c r="AI550" s="152"/>
      <c r="AJ550" s="152"/>
      <c r="AK550" s="152"/>
      <c r="AL550" s="152"/>
      <c r="AM550" s="152"/>
      <c r="AN550" s="152"/>
      <c r="AO550" s="152"/>
      <c r="AP550" s="152"/>
      <c r="AQ550" s="152"/>
      <c r="AR550" s="152"/>
    </row>
    <row r="551" ht="12.75" customHeight="1">
      <c r="A551" s="288"/>
      <c r="B551" s="288"/>
      <c r="C551" s="288"/>
      <c r="D551" s="152"/>
      <c r="E551" s="289"/>
      <c r="F551" s="288"/>
      <c r="G551" s="152"/>
      <c r="H551" s="152"/>
      <c r="I551" s="152"/>
      <c r="J551" s="152"/>
      <c r="K551" s="289"/>
      <c r="L551" s="289"/>
      <c r="M551" s="152"/>
      <c r="N551" s="152"/>
      <c r="O551" s="156"/>
      <c r="P551" s="152"/>
      <c r="Q551" s="152"/>
      <c r="R551" s="152"/>
      <c r="S551" s="152"/>
      <c r="T551" s="152"/>
      <c r="U551" s="152"/>
      <c r="V551" s="152"/>
      <c r="W551" s="152"/>
      <c r="X551" s="152"/>
      <c r="Y551" s="152"/>
      <c r="Z551" s="281"/>
      <c r="AA551" s="281"/>
      <c r="AB551" s="281"/>
      <c r="AC551" s="281"/>
      <c r="AD551" s="281"/>
      <c r="AE551" s="281"/>
      <c r="AF551" s="281"/>
      <c r="AG551" s="170"/>
      <c r="AH551" s="152"/>
      <c r="AI551" s="152"/>
      <c r="AJ551" s="152"/>
      <c r="AK551" s="152"/>
      <c r="AL551" s="152"/>
      <c r="AM551" s="152"/>
      <c r="AN551" s="152"/>
      <c r="AO551" s="152"/>
      <c r="AP551" s="152"/>
      <c r="AQ551" s="152"/>
      <c r="AR551" s="152"/>
    </row>
    <row r="552" ht="12.75" customHeight="1">
      <c r="A552" s="288"/>
      <c r="B552" s="288"/>
      <c r="C552" s="288"/>
      <c r="D552" s="152"/>
      <c r="E552" s="289"/>
      <c r="F552" s="288"/>
      <c r="G552" s="152"/>
      <c r="H552" s="152"/>
      <c r="I552" s="152"/>
      <c r="J552" s="152"/>
      <c r="K552" s="289"/>
      <c r="L552" s="289"/>
      <c r="M552" s="152"/>
      <c r="N552" s="152"/>
      <c r="O552" s="156"/>
      <c r="P552" s="152"/>
      <c r="Q552" s="152"/>
      <c r="R552" s="152"/>
      <c r="S552" s="152"/>
      <c r="T552" s="152"/>
      <c r="U552" s="152"/>
      <c r="V552" s="152"/>
      <c r="W552" s="152"/>
      <c r="X552" s="152"/>
      <c r="Y552" s="152"/>
      <c r="Z552" s="281"/>
      <c r="AA552" s="281"/>
      <c r="AB552" s="281"/>
      <c r="AC552" s="281"/>
      <c r="AD552" s="281"/>
      <c r="AE552" s="281"/>
      <c r="AF552" s="281"/>
      <c r="AG552" s="170"/>
      <c r="AH552" s="152"/>
      <c r="AI552" s="152"/>
      <c r="AJ552" s="152"/>
      <c r="AK552" s="152"/>
      <c r="AL552" s="152"/>
      <c r="AM552" s="152"/>
      <c r="AN552" s="152"/>
      <c r="AO552" s="152"/>
      <c r="AP552" s="152"/>
      <c r="AQ552" s="152"/>
      <c r="AR552" s="152"/>
    </row>
    <row r="553" ht="12.75" customHeight="1">
      <c r="A553" s="288"/>
      <c r="B553" s="288"/>
      <c r="C553" s="288"/>
      <c r="D553" s="152"/>
      <c r="E553" s="289"/>
      <c r="F553" s="288"/>
      <c r="G553" s="152"/>
      <c r="H553" s="152"/>
      <c r="I553" s="152"/>
      <c r="J553" s="152"/>
      <c r="K553" s="289"/>
      <c r="L553" s="289"/>
      <c r="M553" s="152"/>
      <c r="N553" s="152"/>
      <c r="O553" s="156"/>
      <c r="P553" s="152"/>
      <c r="Q553" s="152"/>
      <c r="R553" s="152"/>
      <c r="S553" s="152"/>
      <c r="T553" s="152"/>
      <c r="U553" s="152"/>
      <c r="V553" s="152"/>
      <c r="W553" s="152"/>
      <c r="X553" s="152"/>
      <c r="Y553" s="152"/>
      <c r="Z553" s="281"/>
      <c r="AA553" s="281"/>
      <c r="AB553" s="281"/>
      <c r="AC553" s="281"/>
      <c r="AD553" s="281"/>
      <c r="AE553" s="281"/>
      <c r="AF553" s="281"/>
      <c r="AG553" s="170"/>
      <c r="AH553" s="152"/>
      <c r="AI553" s="152"/>
      <c r="AJ553" s="152"/>
      <c r="AK553" s="152"/>
      <c r="AL553" s="152"/>
      <c r="AM553" s="152"/>
      <c r="AN553" s="152"/>
      <c r="AO553" s="152"/>
      <c r="AP553" s="152"/>
      <c r="AQ553" s="152"/>
      <c r="AR553" s="152"/>
    </row>
    <row r="554" ht="12.75" customHeight="1">
      <c r="A554" s="288"/>
      <c r="B554" s="288"/>
      <c r="C554" s="288"/>
      <c r="D554" s="152"/>
      <c r="E554" s="289"/>
      <c r="F554" s="288"/>
      <c r="G554" s="152"/>
      <c r="H554" s="152"/>
      <c r="I554" s="152"/>
      <c r="J554" s="152"/>
      <c r="K554" s="289"/>
      <c r="L554" s="289"/>
      <c r="M554" s="152"/>
      <c r="N554" s="152"/>
      <c r="O554" s="156"/>
      <c r="P554" s="152"/>
      <c r="Q554" s="152"/>
      <c r="R554" s="152"/>
      <c r="S554" s="152"/>
      <c r="T554" s="152"/>
      <c r="U554" s="152"/>
      <c r="V554" s="152"/>
      <c r="W554" s="152"/>
      <c r="X554" s="152"/>
      <c r="Y554" s="152"/>
      <c r="Z554" s="281"/>
      <c r="AA554" s="281"/>
      <c r="AB554" s="281"/>
      <c r="AC554" s="281"/>
      <c r="AD554" s="281"/>
      <c r="AE554" s="281"/>
      <c r="AF554" s="281"/>
      <c r="AG554" s="170"/>
      <c r="AH554" s="152"/>
      <c r="AI554" s="152"/>
      <c r="AJ554" s="152"/>
      <c r="AK554" s="152"/>
      <c r="AL554" s="152"/>
      <c r="AM554" s="152"/>
      <c r="AN554" s="152"/>
      <c r="AO554" s="152"/>
      <c r="AP554" s="152"/>
      <c r="AQ554" s="152"/>
      <c r="AR554" s="152"/>
    </row>
    <row r="555" ht="12.75" customHeight="1">
      <c r="A555" s="288"/>
      <c r="B555" s="288"/>
      <c r="C555" s="288"/>
      <c r="D555" s="152"/>
      <c r="E555" s="289"/>
      <c r="F555" s="288"/>
      <c r="G555" s="152"/>
      <c r="H555" s="152"/>
      <c r="I555" s="152"/>
      <c r="J555" s="152"/>
      <c r="K555" s="289"/>
      <c r="L555" s="289"/>
      <c r="M555" s="152"/>
      <c r="N555" s="152"/>
      <c r="O555" s="156"/>
      <c r="P555" s="152"/>
      <c r="Q555" s="152"/>
      <c r="R555" s="152"/>
      <c r="S555" s="152"/>
      <c r="T555" s="152"/>
      <c r="U555" s="152"/>
      <c r="V555" s="152"/>
      <c r="W555" s="152"/>
      <c r="X555" s="152"/>
      <c r="Y555" s="152"/>
      <c r="Z555" s="281"/>
      <c r="AA555" s="281"/>
      <c r="AB555" s="281"/>
      <c r="AC555" s="281"/>
      <c r="AD555" s="281"/>
      <c r="AE555" s="281"/>
      <c r="AF555" s="281"/>
      <c r="AG555" s="170"/>
      <c r="AH555" s="152"/>
      <c r="AI555" s="152"/>
      <c r="AJ555" s="152"/>
      <c r="AK555" s="152"/>
      <c r="AL555" s="152"/>
      <c r="AM555" s="152"/>
      <c r="AN555" s="152"/>
      <c r="AO555" s="152"/>
      <c r="AP555" s="152"/>
      <c r="AQ555" s="152"/>
      <c r="AR555" s="152"/>
    </row>
    <row r="556" ht="12.75" customHeight="1">
      <c r="A556" s="288"/>
      <c r="B556" s="288"/>
      <c r="C556" s="288"/>
      <c r="D556" s="152"/>
      <c r="E556" s="289"/>
      <c r="F556" s="288"/>
      <c r="G556" s="152"/>
      <c r="H556" s="152"/>
      <c r="I556" s="152"/>
      <c r="J556" s="152"/>
      <c r="K556" s="289"/>
      <c r="L556" s="289"/>
      <c r="M556" s="152"/>
      <c r="N556" s="152"/>
      <c r="O556" s="156"/>
      <c r="P556" s="152"/>
      <c r="Q556" s="152"/>
      <c r="R556" s="152"/>
      <c r="S556" s="152"/>
      <c r="T556" s="152"/>
      <c r="U556" s="152"/>
      <c r="V556" s="152"/>
      <c r="W556" s="152"/>
      <c r="X556" s="152"/>
      <c r="Y556" s="152"/>
      <c r="Z556" s="281"/>
      <c r="AA556" s="281"/>
      <c r="AB556" s="281"/>
      <c r="AC556" s="281"/>
      <c r="AD556" s="281"/>
      <c r="AE556" s="281"/>
      <c r="AF556" s="281"/>
      <c r="AG556" s="170"/>
      <c r="AH556" s="152"/>
      <c r="AI556" s="152"/>
      <c r="AJ556" s="152"/>
      <c r="AK556" s="152"/>
      <c r="AL556" s="152"/>
      <c r="AM556" s="152"/>
      <c r="AN556" s="152"/>
      <c r="AO556" s="152"/>
      <c r="AP556" s="152"/>
      <c r="AQ556" s="152"/>
      <c r="AR556" s="152"/>
    </row>
    <row r="557" ht="12.75" customHeight="1">
      <c r="A557" s="288"/>
      <c r="B557" s="288"/>
      <c r="C557" s="288"/>
      <c r="D557" s="152"/>
      <c r="E557" s="289"/>
      <c r="F557" s="288"/>
      <c r="G557" s="152"/>
      <c r="H557" s="152"/>
      <c r="I557" s="152"/>
      <c r="J557" s="152"/>
      <c r="K557" s="289"/>
      <c r="L557" s="289"/>
      <c r="M557" s="152"/>
      <c r="N557" s="152"/>
      <c r="O557" s="156"/>
      <c r="P557" s="152"/>
      <c r="Q557" s="152"/>
      <c r="R557" s="152"/>
      <c r="S557" s="152"/>
      <c r="T557" s="152"/>
      <c r="U557" s="152"/>
      <c r="V557" s="152"/>
      <c r="W557" s="152"/>
      <c r="X557" s="152"/>
      <c r="Y557" s="152"/>
      <c r="Z557" s="281"/>
      <c r="AA557" s="281"/>
      <c r="AB557" s="281"/>
      <c r="AC557" s="281"/>
      <c r="AD557" s="281"/>
      <c r="AE557" s="281"/>
      <c r="AF557" s="281"/>
      <c r="AG557" s="170"/>
      <c r="AH557" s="152"/>
      <c r="AI557" s="152"/>
      <c r="AJ557" s="152"/>
      <c r="AK557" s="152"/>
      <c r="AL557" s="152"/>
      <c r="AM557" s="152"/>
      <c r="AN557" s="152"/>
      <c r="AO557" s="152"/>
      <c r="AP557" s="152"/>
      <c r="AQ557" s="152"/>
      <c r="AR557" s="152"/>
    </row>
    <row r="558" ht="12.75" customHeight="1">
      <c r="A558" s="288"/>
      <c r="B558" s="288"/>
      <c r="C558" s="288"/>
      <c r="D558" s="152"/>
      <c r="E558" s="289"/>
      <c r="F558" s="288"/>
      <c r="G558" s="152"/>
      <c r="H558" s="152"/>
      <c r="I558" s="152"/>
      <c r="J558" s="152"/>
      <c r="K558" s="289"/>
      <c r="L558" s="289"/>
      <c r="M558" s="152"/>
      <c r="N558" s="152"/>
      <c r="O558" s="156"/>
      <c r="P558" s="152"/>
      <c r="Q558" s="152"/>
      <c r="R558" s="152"/>
      <c r="S558" s="152"/>
      <c r="T558" s="152"/>
      <c r="U558" s="152"/>
      <c r="V558" s="152"/>
      <c r="W558" s="152"/>
      <c r="X558" s="152"/>
      <c r="Y558" s="152"/>
      <c r="Z558" s="281"/>
      <c r="AA558" s="281"/>
      <c r="AB558" s="281"/>
      <c r="AC558" s="281"/>
      <c r="AD558" s="281"/>
      <c r="AE558" s="281"/>
      <c r="AF558" s="281"/>
      <c r="AG558" s="170"/>
      <c r="AH558" s="152"/>
      <c r="AI558" s="152"/>
      <c r="AJ558" s="152"/>
      <c r="AK558" s="152"/>
      <c r="AL558" s="152"/>
      <c r="AM558" s="152"/>
      <c r="AN558" s="152"/>
      <c r="AO558" s="152"/>
      <c r="AP558" s="152"/>
      <c r="AQ558" s="152"/>
      <c r="AR558" s="152"/>
    </row>
    <row r="559" ht="12.75" customHeight="1">
      <c r="A559" s="288"/>
      <c r="B559" s="288"/>
      <c r="C559" s="288"/>
      <c r="D559" s="152"/>
      <c r="E559" s="289"/>
      <c r="F559" s="288"/>
      <c r="G559" s="152"/>
      <c r="H559" s="152"/>
      <c r="I559" s="152"/>
      <c r="J559" s="152"/>
      <c r="K559" s="289"/>
      <c r="L559" s="289"/>
      <c r="M559" s="152"/>
      <c r="N559" s="152"/>
      <c r="O559" s="156"/>
      <c r="P559" s="152"/>
      <c r="Q559" s="152"/>
      <c r="R559" s="152"/>
      <c r="S559" s="152"/>
      <c r="T559" s="152"/>
      <c r="U559" s="152"/>
      <c r="V559" s="152"/>
      <c r="W559" s="152"/>
      <c r="X559" s="152"/>
      <c r="Y559" s="152"/>
      <c r="Z559" s="281"/>
      <c r="AA559" s="281"/>
      <c r="AB559" s="281"/>
      <c r="AC559" s="281"/>
      <c r="AD559" s="281"/>
      <c r="AE559" s="281"/>
      <c r="AF559" s="281"/>
      <c r="AG559" s="170"/>
      <c r="AH559" s="152"/>
      <c r="AI559" s="152"/>
      <c r="AJ559" s="152"/>
      <c r="AK559" s="152"/>
      <c r="AL559" s="152"/>
      <c r="AM559" s="152"/>
      <c r="AN559" s="152"/>
      <c r="AO559" s="152"/>
      <c r="AP559" s="152"/>
      <c r="AQ559" s="152"/>
      <c r="AR559" s="152"/>
    </row>
    <row r="560" ht="12.75" customHeight="1">
      <c r="A560" s="288"/>
      <c r="B560" s="288"/>
      <c r="C560" s="288"/>
      <c r="D560" s="152"/>
      <c r="E560" s="289"/>
      <c r="F560" s="288"/>
      <c r="G560" s="152"/>
      <c r="H560" s="152"/>
      <c r="I560" s="152"/>
      <c r="J560" s="152"/>
      <c r="K560" s="289"/>
      <c r="L560" s="289"/>
      <c r="M560" s="152"/>
      <c r="N560" s="152"/>
      <c r="O560" s="156"/>
      <c r="P560" s="152"/>
      <c r="Q560" s="152"/>
      <c r="R560" s="152"/>
      <c r="S560" s="152"/>
      <c r="T560" s="152"/>
      <c r="U560" s="152"/>
      <c r="V560" s="152"/>
      <c r="W560" s="152"/>
      <c r="X560" s="152"/>
      <c r="Y560" s="152"/>
      <c r="Z560" s="281"/>
      <c r="AA560" s="281"/>
      <c r="AB560" s="281"/>
      <c r="AC560" s="281"/>
      <c r="AD560" s="281"/>
      <c r="AE560" s="281"/>
      <c r="AF560" s="281"/>
      <c r="AG560" s="170"/>
      <c r="AH560" s="152"/>
      <c r="AI560" s="152"/>
      <c r="AJ560" s="152"/>
      <c r="AK560" s="152"/>
      <c r="AL560" s="152"/>
      <c r="AM560" s="152"/>
      <c r="AN560" s="152"/>
      <c r="AO560" s="152"/>
      <c r="AP560" s="152"/>
      <c r="AQ560" s="152"/>
      <c r="AR560" s="152"/>
    </row>
    <row r="561" ht="12.75" customHeight="1">
      <c r="A561" s="288"/>
      <c r="B561" s="288"/>
      <c r="C561" s="288"/>
      <c r="D561" s="152"/>
      <c r="E561" s="289"/>
      <c r="F561" s="288"/>
      <c r="G561" s="152"/>
      <c r="H561" s="152"/>
      <c r="I561" s="152"/>
      <c r="J561" s="152"/>
      <c r="K561" s="289"/>
      <c r="L561" s="289"/>
      <c r="M561" s="152"/>
      <c r="N561" s="152"/>
      <c r="O561" s="156"/>
      <c r="P561" s="152"/>
      <c r="Q561" s="152"/>
      <c r="R561" s="152"/>
      <c r="S561" s="152"/>
      <c r="T561" s="152"/>
      <c r="U561" s="152"/>
      <c r="V561" s="152"/>
      <c r="W561" s="152"/>
      <c r="X561" s="152"/>
      <c r="Y561" s="152"/>
      <c r="Z561" s="281"/>
      <c r="AA561" s="281"/>
      <c r="AB561" s="281"/>
      <c r="AC561" s="281"/>
      <c r="AD561" s="281"/>
      <c r="AE561" s="281"/>
      <c r="AF561" s="281"/>
      <c r="AG561" s="170"/>
      <c r="AH561" s="152"/>
      <c r="AI561" s="152"/>
      <c r="AJ561" s="152"/>
      <c r="AK561" s="152"/>
      <c r="AL561" s="152"/>
      <c r="AM561" s="152"/>
      <c r="AN561" s="152"/>
      <c r="AO561" s="152"/>
      <c r="AP561" s="152"/>
      <c r="AQ561" s="152"/>
      <c r="AR561" s="152"/>
    </row>
    <row r="562" ht="12.75" customHeight="1">
      <c r="A562" s="288"/>
      <c r="B562" s="288"/>
      <c r="C562" s="288"/>
      <c r="D562" s="152"/>
      <c r="E562" s="289"/>
      <c r="F562" s="288"/>
      <c r="G562" s="152"/>
      <c r="H562" s="152"/>
      <c r="I562" s="152"/>
      <c r="J562" s="152"/>
      <c r="K562" s="289"/>
      <c r="L562" s="289"/>
      <c r="M562" s="152"/>
      <c r="N562" s="152"/>
      <c r="O562" s="156"/>
      <c r="P562" s="152"/>
      <c r="Q562" s="152"/>
      <c r="R562" s="152"/>
      <c r="S562" s="152"/>
      <c r="T562" s="152"/>
      <c r="U562" s="152"/>
      <c r="V562" s="152"/>
      <c r="W562" s="152"/>
      <c r="X562" s="152"/>
      <c r="Y562" s="152"/>
      <c r="Z562" s="281"/>
      <c r="AA562" s="281"/>
      <c r="AB562" s="281"/>
      <c r="AC562" s="281"/>
      <c r="AD562" s="281"/>
      <c r="AE562" s="281"/>
      <c r="AF562" s="281"/>
      <c r="AG562" s="170"/>
      <c r="AH562" s="152"/>
      <c r="AI562" s="152"/>
      <c r="AJ562" s="152"/>
      <c r="AK562" s="152"/>
      <c r="AL562" s="152"/>
      <c r="AM562" s="152"/>
      <c r="AN562" s="152"/>
      <c r="AO562" s="152"/>
      <c r="AP562" s="152"/>
      <c r="AQ562" s="152"/>
      <c r="AR562" s="152"/>
    </row>
    <row r="563" ht="12.75" customHeight="1">
      <c r="A563" s="288"/>
      <c r="B563" s="288"/>
      <c r="C563" s="288"/>
      <c r="D563" s="152"/>
      <c r="E563" s="289"/>
      <c r="F563" s="288"/>
      <c r="G563" s="152"/>
      <c r="H563" s="152"/>
      <c r="I563" s="152"/>
      <c r="J563" s="152"/>
      <c r="K563" s="289"/>
      <c r="L563" s="289"/>
      <c r="M563" s="152"/>
      <c r="N563" s="152"/>
      <c r="O563" s="156"/>
      <c r="P563" s="152"/>
      <c r="Q563" s="152"/>
      <c r="R563" s="152"/>
      <c r="S563" s="152"/>
      <c r="T563" s="152"/>
      <c r="U563" s="152"/>
      <c r="V563" s="152"/>
      <c r="W563" s="152"/>
      <c r="X563" s="152"/>
      <c r="Y563" s="152"/>
      <c r="Z563" s="281"/>
      <c r="AA563" s="281"/>
      <c r="AB563" s="281"/>
      <c r="AC563" s="281"/>
      <c r="AD563" s="281"/>
      <c r="AE563" s="281"/>
      <c r="AF563" s="281"/>
      <c r="AG563" s="170"/>
      <c r="AH563" s="152"/>
      <c r="AI563" s="152"/>
      <c r="AJ563" s="152"/>
      <c r="AK563" s="152"/>
      <c r="AL563" s="152"/>
      <c r="AM563" s="152"/>
      <c r="AN563" s="152"/>
      <c r="AO563" s="152"/>
      <c r="AP563" s="152"/>
      <c r="AQ563" s="152"/>
      <c r="AR563" s="152"/>
    </row>
    <row r="564" ht="12.75" customHeight="1">
      <c r="A564" s="288"/>
      <c r="B564" s="288"/>
      <c r="C564" s="288"/>
      <c r="D564" s="152"/>
      <c r="E564" s="289"/>
      <c r="F564" s="288"/>
      <c r="G564" s="152"/>
      <c r="H564" s="152"/>
      <c r="I564" s="152"/>
      <c r="J564" s="152"/>
      <c r="K564" s="289"/>
      <c r="L564" s="289"/>
      <c r="M564" s="152"/>
      <c r="N564" s="152"/>
      <c r="O564" s="156"/>
      <c r="P564" s="152"/>
      <c r="Q564" s="152"/>
      <c r="R564" s="152"/>
      <c r="S564" s="152"/>
      <c r="T564" s="152"/>
      <c r="U564" s="152"/>
      <c r="V564" s="152"/>
      <c r="W564" s="152"/>
      <c r="X564" s="152"/>
      <c r="Y564" s="152"/>
      <c r="Z564" s="281"/>
      <c r="AA564" s="281"/>
      <c r="AB564" s="281"/>
      <c r="AC564" s="281"/>
      <c r="AD564" s="281"/>
      <c r="AE564" s="281"/>
      <c r="AF564" s="281"/>
      <c r="AG564" s="170"/>
      <c r="AH564" s="152"/>
      <c r="AI564" s="152"/>
      <c r="AJ564" s="152"/>
      <c r="AK564" s="152"/>
      <c r="AL564" s="152"/>
      <c r="AM564" s="152"/>
      <c r="AN564" s="152"/>
      <c r="AO564" s="152"/>
      <c r="AP564" s="152"/>
      <c r="AQ564" s="152"/>
      <c r="AR564" s="152"/>
    </row>
    <row r="565" ht="12.75" customHeight="1">
      <c r="A565" s="288"/>
      <c r="B565" s="288"/>
      <c r="C565" s="288"/>
      <c r="D565" s="152"/>
      <c r="E565" s="289"/>
      <c r="F565" s="288"/>
      <c r="G565" s="152"/>
      <c r="H565" s="152"/>
      <c r="I565" s="152"/>
      <c r="J565" s="152"/>
      <c r="K565" s="289"/>
      <c r="L565" s="289"/>
      <c r="M565" s="152"/>
      <c r="N565" s="152"/>
      <c r="O565" s="156"/>
      <c r="P565" s="152"/>
      <c r="Q565" s="152"/>
      <c r="R565" s="152"/>
      <c r="S565" s="152"/>
      <c r="T565" s="152"/>
      <c r="U565" s="152"/>
      <c r="V565" s="152"/>
      <c r="W565" s="152"/>
      <c r="X565" s="152"/>
      <c r="Y565" s="152"/>
      <c r="Z565" s="281"/>
      <c r="AA565" s="281"/>
      <c r="AB565" s="281"/>
      <c r="AC565" s="281"/>
      <c r="AD565" s="281"/>
      <c r="AE565" s="281"/>
      <c r="AF565" s="281"/>
      <c r="AG565" s="170"/>
      <c r="AH565" s="152"/>
      <c r="AI565" s="152"/>
      <c r="AJ565" s="152"/>
      <c r="AK565" s="152"/>
      <c r="AL565" s="152"/>
      <c r="AM565" s="152"/>
      <c r="AN565" s="152"/>
      <c r="AO565" s="152"/>
      <c r="AP565" s="152"/>
      <c r="AQ565" s="152"/>
      <c r="AR565" s="152"/>
    </row>
    <row r="566" ht="12.75" customHeight="1">
      <c r="A566" s="288"/>
      <c r="B566" s="288"/>
      <c r="C566" s="288"/>
      <c r="D566" s="152"/>
      <c r="E566" s="289"/>
      <c r="F566" s="288"/>
      <c r="G566" s="152"/>
      <c r="H566" s="152"/>
      <c r="I566" s="152"/>
      <c r="J566" s="152"/>
      <c r="K566" s="289"/>
      <c r="L566" s="289"/>
      <c r="M566" s="152"/>
      <c r="N566" s="152"/>
      <c r="O566" s="156"/>
      <c r="P566" s="152"/>
      <c r="Q566" s="152"/>
      <c r="R566" s="152"/>
      <c r="S566" s="152"/>
      <c r="T566" s="152"/>
      <c r="U566" s="152"/>
      <c r="V566" s="152"/>
      <c r="W566" s="152"/>
      <c r="X566" s="152"/>
      <c r="Y566" s="152"/>
      <c r="Z566" s="281"/>
      <c r="AA566" s="281"/>
      <c r="AB566" s="281"/>
      <c r="AC566" s="281"/>
      <c r="AD566" s="281"/>
      <c r="AE566" s="281"/>
      <c r="AF566" s="281"/>
      <c r="AG566" s="170"/>
      <c r="AH566" s="152"/>
      <c r="AI566" s="152"/>
      <c r="AJ566" s="152"/>
      <c r="AK566" s="152"/>
      <c r="AL566" s="152"/>
      <c r="AM566" s="152"/>
      <c r="AN566" s="152"/>
      <c r="AO566" s="152"/>
      <c r="AP566" s="152"/>
      <c r="AQ566" s="152"/>
      <c r="AR566" s="152"/>
    </row>
    <row r="567" ht="12.75" customHeight="1">
      <c r="A567" s="288"/>
      <c r="B567" s="288"/>
      <c r="C567" s="288"/>
      <c r="D567" s="152"/>
      <c r="E567" s="289"/>
      <c r="F567" s="288"/>
      <c r="G567" s="152"/>
      <c r="H567" s="152"/>
      <c r="I567" s="152"/>
      <c r="J567" s="152"/>
      <c r="K567" s="289"/>
      <c r="L567" s="289"/>
      <c r="M567" s="152"/>
      <c r="N567" s="152"/>
      <c r="O567" s="156"/>
      <c r="P567" s="152"/>
      <c r="Q567" s="152"/>
      <c r="R567" s="152"/>
      <c r="S567" s="152"/>
      <c r="T567" s="152"/>
      <c r="U567" s="152"/>
      <c r="V567" s="152"/>
      <c r="W567" s="152"/>
      <c r="X567" s="152"/>
      <c r="Y567" s="152"/>
      <c r="Z567" s="281"/>
      <c r="AA567" s="281"/>
      <c r="AB567" s="281"/>
      <c r="AC567" s="281"/>
      <c r="AD567" s="281"/>
      <c r="AE567" s="281"/>
      <c r="AF567" s="281"/>
      <c r="AG567" s="170"/>
      <c r="AH567" s="152"/>
      <c r="AI567" s="152"/>
      <c r="AJ567" s="152"/>
      <c r="AK567" s="152"/>
      <c r="AL567" s="152"/>
      <c r="AM567" s="152"/>
      <c r="AN567" s="152"/>
      <c r="AO567" s="152"/>
      <c r="AP567" s="152"/>
      <c r="AQ567" s="152"/>
      <c r="AR567" s="152"/>
    </row>
    <row r="568" ht="12.75" customHeight="1">
      <c r="A568" s="288"/>
      <c r="B568" s="288"/>
      <c r="C568" s="288"/>
      <c r="D568" s="152"/>
      <c r="E568" s="289"/>
      <c r="F568" s="288"/>
      <c r="G568" s="152"/>
      <c r="H568" s="152"/>
      <c r="I568" s="152"/>
      <c r="J568" s="152"/>
      <c r="K568" s="289"/>
      <c r="L568" s="289"/>
      <c r="M568" s="152"/>
      <c r="N568" s="152"/>
      <c r="O568" s="156"/>
      <c r="P568" s="152"/>
      <c r="Q568" s="152"/>
      <c r="R568" s="152"/>
      <c r="S568" s="152"/>
      <c r="T568" s="152"/>
      <c r="U568" s="152"/>
      <c r="V568" s="152"/>
      <c r="W568" s="152"/>
      <c r="X568" s="152"/>
      <c r="Y568" s="152"/>
      <c r="Z568" s="281"/>
      <c r="AA568" s="281"/>
      <c r="AB568" s="281"/>
      <c r="AC568" s="281"/>
      <c r="AD568" s="281"/>
      <c r="AE568" s="281"/>
      <c r="AF568" s="281"/>
      <c r="AG568" s="170"/>
      <c r="AH568" s="152"/>
      <c r="AI568" s="152"/>
      <c r="AJ568" s="152"/>
      <c r="AK568" s="152"/>
      <c r="AL568" s="152"/>
      <c r="AM568" s="152"/>
      <c r="AN568" s="152"/>
      <c r="AO568" s="152"/>
      <c r="AP568" s="152"/>
      <c r="AQ568" s="152"/>
      <c r="AR568" s="152"/>
    </row>
    <row r="569" ht="12.75" customHeight="1">
      <c r="A569" s="288"/>
      <c r="B569" s="288"/>
      <c r="C569" s="288"/>
      <c r="D569" s="152"/>
      <c r="E569" s="289"/>
      <c r="F569" s="288"/>
      <c r="G569" s="152"/>
      <c r="H569" s="152"/>
      <c r="I569" s="152"/>
      <c r="J569" s="152"/>
      <c r="K569" s="289"/>
      <c r="L569" s="289"/>
      <c r="M569" s="152"/>
      <c r="N569" s="152"/>
      <c r="O569" s="156"/>
      <c r="P569" s="152"/>
      <c r="Q569" s="152"/>
      <c r="R569" s="152"/>
      <c r="S569" s="152"/>
      <c r="T569" s="152"/>
      <c r="U569" s="152"/>
      <c r="V569" s="152"/>
      <c r="W569" s="152"/>
      <c r="X569" s="152"/>
      <c r="Y569" s="152"/>
      <c r="Z569" s="281"/>
      <c r="AA569" s="281"/>
      <c r="AB569" s="281"/>
      <c r="AC569" s="281"/>
      <c r="AD569" s="281"/>
      <c r="AE569" s="281"/>
      <c r="AF569" s="281"/>
      <c r="AG569" s="170"/>
      <c r="AH569" s="152"/>
      <c r="AI569" s="152"/>
      <c r="AJ569" s="152"/>
      <c r="AK569" s="152"/>
      <c r="AL569" s="152"/>
      <c r="AM569" s="152"/>
      <c r="AN569" s="152"/>
      <c r="AO569" s="152"/>
      <c r="AP569" s="152"/>
      <c r="AQ569" s="152"/>
      <c r="AR569" s="152"/>
    </row>
    <row r="570" ht="12.75" customHeight="1">
      <c r="A570" s="288"/>
      <c r="B570" s="288"/>
      <c r="C570" s="288"/>
      <c r="D570" s="152"/>
      <c r="E570" s="289"/>
      <c r="F570" s="288"/>
      <c r="G570" s="152"/>
      <c r="H570" s="152"/>
      <c r="I570" s="152"/>
      <c r="J570" s="152"/>
      <c r="K570" s="289"/>
      <c r="L570" s="289"/>
      <c r="M570" s="152"/>
      <c r="N570" s="152"/>
      <c r="O570" s="156"/>
      <c r="P570" s="152"/>
      <c r="Q570" s="152"/>
      <c r="R570" s="152"/>
      <c r="S570" s="152"/>
      <c r="T570" s="152"/>
      <c r="U570" s="152"/>
      <c r="V570" s="152"/>
      <c r="W570" s="152"/>
      <c r="X570" s="152"/>
      <c r="Y570" s="152"/>
      <c r="Z570" s="281"/>
      <c r="AA570" s="281"/>
      <c r="AB570" s="281"/>
      <c r="AC570" s="281"/>
      <c r="AD570" s="281"/>
      <c r="AE570" s="281"/>
      <c r="AF570" s="281"/>
      <c r="AG570" s="170"/>
      <c r="AH570" s="152"/>
      <c r="AI570" s="152"/>
      <c r="AJ570" s="152"/>
      <c r="AK570" s="152"/>
      <c r="AL570" s="152"/>
      <c r="AM570" s="152"/>
      <c r="AN570" s="152"/>
      <c r="AO570" s="152"/>
      <c r="AP570" s="152"/>
      <c r="AQ570" s="152"/>
      <c r="AR570" s="152"/>
    </row>
    <row r="571" ht="12.75" customHeight="1">
      <c r="A571" s="288"/>
      <c r="B571" s="288"/>
      <c r="C571" s="288"/>
      <c r="D571" s="152"/>
      <c r="E571" s="289"/>
      <c r="F571" s="288"/>
      <c r="G571" s="152"/>
      <c r="H571" s="152"/>
      <c r="I571" s="152"/>
      <c r="J571" s="152"/>
      <c r="K571" s="289"/>
      <c r="L571" s="289"/>
      <c r="M571" s="152"/>
      <c r="N571" s="152"/>
      <c r="O571" s="156"/>
      <c r="P571" s="152"/>
      <c r="Q571" s="152"/>
      <c r="R571" s="152"/>
      <c r="S571" s="152"/>
      <c r="T571" s="152"/>
      <c r="U571" s="152"/>
      <c r="V571" s="152"/>
      <c r="W571" s="152"/>
      <c r="X571" s="152"/>
      <c r="Y571" s="152"/>
      <c r="Z571" s="281"/>
      <c r="AA571" s="281"/>
      <c r="AB571" s="281"/>
      <c r="AC571" s="281"/>
      <c r="AD571" s="281"/>
      <c r="AE571" s="281"/>
      <c r="AF571" s="281"/>
      <c r="AG571" s="170"/>
      <c r="AH571" s="152"/>
      <c r="AI571" s="152"/>
      <c r="AJ571" s="152"/>
      <c r="AK571" s="152"/>
      <c r="AL571" s="152"/>
      <c r="AM571" s="152"/>
      <c r="AN571" s="152"/>
      <c r="AO571" s="152"/>
      <c r="AP571" s="152"/>
      <c r="AQ571" s="152"/>
      <c r="AR571" s="152"/>
    </row>
    <row r="572" ht="12.75" customHeight="1">
      <c r="A572" s="288"/>
      <c r="B572" s="288"/>
      <c r="C572" s="288"/>
      <c r="D572" s="152"/>
      <c r="E572" s="289"/>
      <c r="F572" s="288"/>
      <c r="G572" s="152"/>
      <c r="H572" s="152"/>
      <c r="I572" s="152"/>
      <c r="J572" s="152"/>
      <c r="K572" s="289"/>
      <c r="L572" s="289"/>
      <c r="M572" s="152"/>
      <c r="N572" s="152"/>
      <c r="O572" s="156"/>
      <c r="P572" s="152"/>
      <c r="Q572" s="152"/>
      <c r="R572" s="152"/>
      <c r="S572" s="152"/>
      <c r="T572" s="152"/>
      <c r="U572" s="152"/>
      <c r="V572" s="152"/>
      <c r="W572" s="152"/>
      <c r="X572" s="152"/>
      <c r="Y572" s="152"/>
      <c r="Z572" s="281"/>
      <c r="AA572" s="281"/>
      <c r="AB572" s="281"/>
      <c r="AC572" s="281"/>
      <c r="AD572" s="281"/>
      <c r="AE572" s="281"/>
      <c r="AF572" s="281"/>
      <c r="AG572" s="170"/>
      <c r="AH572" s="152"/>
      <c r="AI572" s="152"/>
      <c r="AJ572" s="152"/>
      <c r="AK572" s="152"/>
      <c r="AL572" s="152"/>
      <c r="AM572" s="152"/>
      <c r="AN572" s="152"/>
      <c r="AO572" s="152"/>
      <c r="AP572" s="152"/>
      <c r="AQ572" s="152"/>
      <c r="AR572" s="152"/>
    </row>
    <row r="573" ht="12.75" customHeight="1">
      <c r="A573" s="288"/>
      <c r="B573" s="288"/>
      <c r="C573" s="288"/>
      <c r="D573" s="152"/>
      <c r="E573" s="289"/>
      <c r="F573" s="288"/>
      <c r="G573" s="152"/>
      <c r="H573" s="152"/>
      <c r="I573" s="152"/>
      <c r="J573" s="152"/>
      <c r="K573" s="289"/>
      <c r="L573" s="289"/>
      <c r="M573" s="152"/>
      <c r="N573" s="152"/>
      <c r="O573" s="156"/>
      <c r="P573" s="152"/>
      <c r="Q573" s="152"/>
      <c r="R573" s="152"/>
      <c r="S573" s="152"/>
      <c r="T573" s="152"/>
      <c r="U573" s="152"/>
      <c r="V573" s="152"/>
      <c r="W573" s="152"/>
      <c r="X573" s="152"/>
      <c r="Y573" s="152"/>
      <c r="Z573" s="281"/>
      <c r="AA573" s="281"/>
      <c r="AB573" s="281"/>
      <c r="AC573" s="281"/>
      <c r="AD573" s="281"/>
      <c r="AE573" s="281"/>
      <c r="AF573" s="281"/>
      <c r="AG573" s="170"/>
      <c r="AH573" s="152"/>
      <c r="AI573" s="152"/>
      <c r="AJ573" s="152"/>
      <c r="AK573" s="152"/>
      <c r="AL573" s="152"/>
      <c r="AM573" s="152"/>
      <c r="AN573" s="152"/>
      <c r="AO573" s="152"/>
      <c r="AP573" s="152"/>
      <c r="AQ573" s="152"/>
      <c r="AR573" s="152"/>
    </row>
    <row r="574" ht="12.75" customHeight="1">
      <c r="A574" s="288"/>
      <c r="B574" s="288"/>
      <c r="C574" s="288"/>
      <c r="D574" s="152"/>
      <c r="E574" s="289"/>
      <c r="F574" s="288"/>
      <c r="G574" s="152"/>
      <c r="H574" s="152"/>
      <c r="I574" s="152"/>
      <c r="J574" s="152"/>
      <c r="K574" s="289"/>
      <c r="L574" s="289"/>
      <c r="M574" s="152"/>
      <c r="N574" s="152"/>
      <c r="O574" s="156"/>
      <c r="P574" s="152"/>
      <c r="Q574" s="152"/>
      <c r="R574" s="152"/>
      <c r="S574" s="152"/>
      <c r="T574" s="152"/>
      <c r="U574" s="152"/>
      <c r="V574" s="152"/>
      <c r="W574" s="152"/>
      <c r="X574" s="152"/>
      <c r="Y574" s="152"/>
      <c r="Z574" s="281"/>
      <c r="AA574" s="281"/>
      <c r="AB574" s="281"/>
      <c r="AC574" s="281"/>
      <c r="AD574" s="281"/>
      <c r="AE574" s="281"/>
      <c r="AF574" s="281"/>
      <c r="AG574" s="170"/>
      <c r="AH574" s="152"/>
      <c r="AI574" s="152"/>
      <c r="AJ574" s="152"/>
      <c r="AK574" s="152"/>
      <c r="AL574" s="152"/>
      <c r="AM574" s="152"/>
      <c r="AN574" s="152"/>
      <c r="AO574" s="152"/>
      <c r="AP574" s="152"/>
      <c r="AQ574" s="152"/>
      <c r="AR574" s="152"/>
    </row>
    <row r="575" ht="12.75" customHeight="1">
      <c r="A575" s="288"/>
      <c r="B575" s="288"/>
      <c r="C575" s="288"/>
      <c r="D575" s="152"/>
      <c r="E575" s="289"/>
      <c r="F575" s="288"/>
      <c r="G575" s="152"/>
      <c r="H575" s="152"/>
      <c r="I575" s="152"/>
      <c r="J575" s="152"/>
      <c r="K575" s="289"/>
      <c r="L575" s="289"/>
      <c r="M575" s="152"/>
      <c r="N575" s="152"/>
      <c r="O575" s="156"/>
      <c r="P575" s="152"/>
      <c r="Q575" s="152"/>
      <c r="R575" s="152"/>
      <c r="S575" s="152"/>
      <c r="T575" s="152"/>
      <c r="U575" s="152"/>
      <c r="V575" s="152"/>
      <c r="W575" s="152"/>
      <c r="X575" s="152"/>
      <c r="Y575" s="152"/>
      <c r="Z575" s="281"/>
      <c r="AA575" s="281"/>
      <c r="AB575" s="281"/>
      <c r="AC575" s="281"/>
      <c r="AD575" s="281"/>
      <c r="AE575" s="281"/>
      <c r="AF575" s="281"/>
      <c r="AG575" s="170"/>
      <c r="AH575" s="152"/>
      <c r="AI575" s="152"/>
      <c r="AJ575" s="152"/>
      <c r="AK575" s="152"/>
      <c r="AL575" s="152"/>
      <c r="AM575" s="152"/>
      <c r="AN575" s="152"/>
      <c r="AO575" s="152"/>
      <c r="AP575" s="152"/>
      <c r="AQ575" s="152"/>
      <c r="AR575" s="152"/>
    </row>
    <row r="576" ht="12.75" customHeight="1">
      <c r="A576" s="288"/>
      <c r="B576" s="288"/>
      <c r="C576" s="288"/>
      <c r="D576" s="152"/>
      <c r="E576" s="289"/>
      <c r="F576" s="288"/>
      <c r="G576" s="152"/>
      <c r="H576" s="152"/>
      <c r="I576" s="152"/>
      <c r="J576" s="152"/>
      <c r="K576" s="289"/>
      <c r="L576" s="289"/>
      <c r="M576" s="152"/>
      <c r="N576" s="152"/>
      <c r="O576" s="156"/>
      <c r="P576" s="152"/>
      <c r="Q576" s="152"/>
      <c r="R576" s="152"/>
      <c r="S576" s="152"/>
      <c r="T576" s="152"/>
      <c r="U576" s="152"/>
      <c r="V576" s="152"/>
      <c r="W576" s="152"/>
      <c r="X576" s="152"/>
      <c r="Y576" s="152"/>
      <c r="Z576" s="281"/>
      <c r="AA576" s="281"/>
      <c r="AB576" s="281"/>
      <c r="AC576" s="281"/>
      <c r="AD576" s="281"/>
      <c r="AE576" s="281"/>
      <c r="AF576" s="281"/>
      <c r="AG576" s="170"/>
      <c r="AH576" s="152"/>
      <c r="AI576" s="152"/>
      <c r="AJ576" s="152"/>
      <c r="AK576" s="152"/>
      <c r="AL576" s="152"/>
      <c r="AM576" s="152"/>
      <c r="AN576" s="152"/>
      <c r="AO576" s="152"/>
      <c r="AP576" s="152"/>
      <c r="AQ576" s="152"/>
      <c r="AR576" s="152"/>
    </row>
    <row r="577" ht="12.75" customHeight="1">
      <c r="A577" s="288"/>
      <c r="B577" s="288"/>
      <c r="C577" s="288"/>
      <c r="D577" s="152"/>
      <c r="E577" s="289"/>
      <c r="F577" s="288"/>
      <c r="G577" s="152"/>
      <c r="H577" s="152"/>
      <c r="I577" s="152"/>
      <c r="J577" s="152"/>
      <c r="K577" s="289"/>
      <c r="L577" s="289"/>
      <c r="M577" s="152"/>
      <c r="N577" s="152"/>
      <c r="O577" s="156"/>
      <c r="P577" s="152"/>
      <c r="Q577" s="152"/>
      <c r="R577" s="152"/>
      <c r="S577" s="152"/>
      <c r="T577" s="152"/>
      <c r="U577" s="152"/>
      <c r="V577" s="152"/>
      <c r="W577" s="152"/>
      <c r="X577" s="152"/>
      <c r="Y577" s="152"/>
      <c r="Z577" s="281"/>
      <c r="AA577" s="281"/>
      <c r="AB577" s="281"/>
      <c r="AC577" s="281"/>
      <c r="AD577" s="281"/>
      <c r="AE577" s="281"/>
      <c r="AF577" s="281"/>
      <c r="AG577" s="170"/>
      <c r="AH577" s="152"/>
      <c r="AI577" s="152"/>
      <c r="AJ577" s="152"/>
      <c r="AK577" s="152"/>
      <c r="AL577" s="152"/>
      <c r="AM577" s="152"/>
      <c r="AN577" s="152"/>
      <c r="AO577" s="152"/>
      <c r="AP577" s="152"/>
      <c r="AQ577" s="152"/>
      <c r="AR577" s="152"/>
    </row>
    <row r="578" ht="12.75" customHeight="1">
      <c r="A578" s="288"/>
      <c r="B578" s="288"/>
      <c r="C578" s="288"/>
      <c r="D578" s="152"/>
      <c r="E578" s="289"/>
      <c r="F578" s="288"/>
      <c r="G578" s="152"/>
      <c r="H578" s="152"/>
      <c r="I578" s="152"/>
      <c r="J578" s="152"/>
      <c r="K578" s="289"/>
      <c r="L578" s="289"/>
      <c r="M578" s="152"/>
      <c r="N578" s="152"/>
      <c r="O578" s="156"/>
      <c r="P578" s="152"/>
      <c r="Q578" s="152"/>
      <c r="R578" s="152"/>
      <c r="S578" s="152"/>
      <c r="T578" s="152"/>
      <c r="U578" s="152"/>
      <c r="V578" s="152"/>
      <c r="W578" s="152"/>
      <c r="X578" s="152"/>
      <c r="Y578" s="152"/>
      <c r="Z578" s="281"/>
      <c r="AA578" s="281"/>
      <c r="AB578" s="281"/>
      <c r="AC578" s="281"/>
      <c r="AD578" s="281"/>
      <c r="AE578" s="281"/>
      <c r="AF578" s="281"/>
      <c r="AG578" s="170"/>
      <c r="AH578" s="152"/>
      <c r="AI578" s="152"/>
      <c r="AJ578" s="152"/>
      <c r="AK578" s="152"/>
      <c r="AL578" s="152"/>
      <c r="AM578" s="152"/>
      <c r="AN578" s="152"/>
      <c r="AO578" s="152"/>
      <c r="AP578" s="152"/>
      <c r="AQ578" s="152"/>
      <c r="AR578" s="152"/>
    </row>
    <row r="579" ht="12.75" customHeight="1">
      <c r="A579" s="288"/>
      <c r="B579" s="288"/>
      <c r="C579" s="288"/>
      <c r="D579" s="152"/>
      <c r="E579" s="289"/>
      <c r="F579" s="288"/>
      <c r="G579" s="152"/>
      <c r="H579" s="152"/>
      <c r="I579" s="152"/>
      <c r="J579" s="152"/>
      <c r="K579" s="289"/>
      <c r="L579" s="289"/>
      <c r="M579" s="152"/>
      <c r="N579" s="152"/>
      <c r="O579" s="156"/>
      <c r="P579" s="152"/>
      <c r="Q579" s="152"/>
      <c r="R579" s="152"/>
      <c r="S579" s="152"/>
      <c r="T579" s="152"/>
      <c r="U579" s="152"/>
      <c r="V579" s="152"/>
      <c r="W579" s="152"/>
      <c r="X579" s="152"/>
      <c r="Y579" s="152"/>
      <c r="Z579" s="281"/>
      <c r="AA579" s="281"/>
      <c r="AB579" s="281"/>
      <c r="AC579" s="281"/>
      <c r="AD579" s="281"/>
      <c r="AE579" s="281"/>
      <c r="AF579" s="281"/>
      <c r="AG579" s="170"/>
      <c r="AH579" s="152"/>
      <c r="AI579" s="152"/>
      <c r="AJ579" s="152"/>
      <c r="AK579" s="152"/>
      <c r="AL579" s="152"/>
      <c r="AM579" s="152"/>
      <c r="AN579" s="152"/>
      <c r="AO579" s="152"/>
      <c r="AP579" s="152"/>
      <c r="AQ579" s="152"/>
      <c r="AR579" s="152"/>
    </row>
    <row r="580" ht="12.75" customHeight="1">
      <c r="A580" s="288"/>
      <c r="B580" s="288"/>
      <c r="C580" s="288"/>
      <c r="D580" s="152"/>
      <c r="E580" s="289"/>
      <c r="F580" s="288"/>
      <c r="G580" s="152"/>
      <c r="H580" s="152"/>
      <c r="I580" s="152"/>
      <c r="J580" s="152"/>
      <c r="K580" s="289"/>
      <c r="L580" s="289"/>
      <c r="M580" s="152"/>
      <c r="N580" s="152"/>
      <c r="O580" s="156"/>
      <c r="P580" s="152"/>
      <c r="Q580" s="152"/>
      <c r="R580" s="152"/>
      <c r="S580" s="152"/>
      <c r="T580" s="152"/>
      <c r="U580" s="152"/>
      <c r="V580" s="152"/>
      <c r="W580" s="152"/>
      <c r="X580" s="152"/>
      <c r="Y580" s="152"/>
      <c r="Z580" s="281"/>
      <c r="AA580" s="281"/>
      <c r="AB580" s="281"/>
      <c r="AC580" s="281"/>
      <c r="AD580" s="281"/>
      <c r="AE580" s="281"/>
      <c r="AF580" s="281"/>
      <c r="AG580" s="170"/>
      <c r="AH580" s="152"/>
      <c r="AI580" s="152"/>
      <c r="AJ580" s="152"/>
      <c r="AK580" s="152"/>
      <c r="AL580" s="152"/>
      <c r="AM580" s="152"/>
      <c r="AN580" s="152"/>
      <c r="AO580" s="152"/>
      <c r="AP580" s="152"/>
      <c r="AQ580" s="152"/>
      <c r="AR580" s="152"/>
    </row>
    <row r="581" ht="12.75" customHeight="1">
      <c r="A581" s="288"/>
      <c r="B581" s="288"/>
      <c r="C581" s="288"/>
      <c r="D581" s="152"/>
      <c r="E581" s="289"/>
      <c r="F581" s="288"/>
      <c r="G581" s="152"/>
      <c r="H581" s="152"/>
      <c r="I581" s="152"/>
      <c r="J581" s="152"/>
      <c r="K581" s="289"/>
      <c r="L581" s="289"/>
      <c r="M581" s="152"/>
      <c r="N581" s="152"/>
      <c r="O581" s="156"/>
      <c r="P581" s="152"/>
      <c r="Q581" s="152"/>
      <c r="R581" s="152"/>
      <c r="S581" s="152"/>
      <c r="T581" s="152"/>
      <c r="U581" s="152"/>
      <c r="V581" s="152"/>
      <c r="W581" s="152"/>
      <c r="X581" s="152"/>
      <c r="Y581" s="152"/>
      <c r="Z581" s="281"/>
      <c r="AA581" s="281"/>
      <c r="AB581" s="281"/>
      <c r="AC581" s="281"/>
      <c r="AD581" s="281"/>
      <c r="AE581" s="281"/>
      <c r="AF581" s="281"/>
      <c r="AG581" s="170"/>
      <c r="AH581" s="152"/>
      <c r="AI581" s="152"/>
      <c r="AJ581" s="152"/>
      <c r="AK581" s="152"/>
      <c r="AL581" s="152"/>
      <c r="AM581" s="152"/>
      <c r="AN581" s="152"/>
      <c r="AO581" s="152"/>
      <c r="AP581" s="152"/>
      <c r="AQ581" s="152"/>
      <c r="AR581" s="152"/>
    </row>
    <row r="582" ht="12.75" customHeight="1">
      <c r="A582" s="288"/>
      <c r="B582" s="288"/>
      <c r="C582" s="288"/>
      <c r="D582" s="152"/>
      <c r="E582" s="289"/>
      <c r="F582" s="288"/>
      <c r="G582" s="152"/>
      <c r="H582" s="152"/>
      <c r="I582" s="152"/>
      <c r="J582" s="152"/>
      <c r="K582" s="289"/>
      <c r="L582" s="289"/>
      <c r="M582" s="152"/>
      <c r="N582" s="152"/>
      <c r="O582" s="156"/>
      <c r="P582" s="152"/>
      <c r="Q582" s="152"/>
      <c r="R582" s="152"/>
      <c r="S582" s="152"/>
      <c r="T582" s="152"/>
      <c r="U582" s="152"/>
      <c r="V582" s="152"/>
      <c r="W582" s="152"/>
      <c r="X582" s="152"/>
      <c r="Y582" s="152"/>
      <c r="Z582" s="281"/>
      <c r="AA582" s="281"/>
      <c r="AB582" s="281"/>
      <c r="AC582" s="281"/>
      <c r="AD582" s="281"/>
      <c r="AE582" s="281"/>
      <c r="AF582" s="281"/>
      <c r="AG582" s="170"/>
      <c r="AH582" s="152"/>
      <c r="AI582" s="152"/>
      <c r="AJ582" s="152"/>
      <c r="AK582" s="152"/>
      <c r="AL582" s="152"/>
      <c r="AM582" s="152"/>
      <c r="AN582" s="152"/>
      <c r="AO582" s="152"/>
      <c r="AP582" s="152"/>
      <c r="AQ582" s="152"/>
      <c r="AR582" s="152"/>
    </row>
    <row r="583" ht="12.75" customHeight="1">
      <c r="A583" s="288"/>
      <c r="B583" s="288"/>
      <c r="C583" s="288"/>
      <c r="D583" s="152"/>
      <c r="E583" s="289"/>
      <c r="F583" s="288"/>
      <c r="G583" s="152"/>
      <c r="H583" s="152"/>
      <c r="I583" s="152"/>
      <c r="J583" s="152"/>
      <c r="K583" s="289"/>
      <c r="L583" s="289"/>
      <c r="M583" s="152"/>
      <c r="N583" s="152"/>
      <c r="O583" s="156"/>
      <c r="P583" s="152"/>
      <c r="Q583" s="152"/>
      <c r="R583" s="152"/>
      <c r="S583" s="152"/>
      <c r="T583" s="152"/>
      <c r="U583" s="152"/>
      <c r="V583" s="152"/>
      <c r="W583" s="152"/>
      <c r="X583" s="152"/>
      <c r="Y583" s="152"/>
      <c r="Z583" s="281"/>
      <c r="AA583" s="281"/>
      <c r="AB583" s="281"/>
      <c r="AC583" s="281"/>
      <c r="AD583" s="281"/>
      <c r="AE583" s="281"/>
      <c r="AF583" s="281"/>
      <c r="AG583" s="170"/>
      <c r="AH583" s="152"/>
      <c r="AI583" s="152"/>
      <c r="AJ583" s="152"/>
      <c r="AK583" s="152"/>
      <c r="AL583" s="152"/>
      <c r="AM583" s="152"/>
      <c r="AN583" s="152"/>
      <c r="AO583" s="152"/>
      <c r="AP583" s="152"/>
      <c r="AQ583" s="152"/>
      <c r="AR583" s="152"/>
    </row>
    <row r="584" ht="12.75" customHeight="1">
      <c r="A584" s="288"/>
      <c r="B584" s="288"/>
      <c r="C584" s="288"/>
      <c r="D584" s="152"/>
      <c r="E584" s="289"/>
      <c r="F584" s="288"/>
      <c r="G584" s="152"/>
      <c r="H584" s="152"/>
      <c r="I584" s="152"/>
      <c r="J584" s="152"/>
      <c r="K584" s="289"/>
      <c r="L584" s="289"/>
      <c r="M584" s="152"/>
      <c r="N584" s="152"/>
      <c r="O584" s="156"/>
      <c r="P584" s="152"/>
      <c r="Q584" s="152"/>
      <c r="R584" s="152"/>
      <c r="S584" s="152"/>
      <c r="T584" s="152"/>
      <c r="U584" s="152"/>
      <c r="V584" s="152"/>
      <c r="W584" s="152"/>
      <c r="X584" s="152"/>
      <c r="Y584" s="152"/>
      <c r="Z584" s="281"/>
      <c r="AA584" s="281"/>
      <c r="AB584" s="281"/>
      <c r="AC584" s="281"/>
      <c r="AD584" s="281"/>
      <c r="AE584" s="281"/>
      <c r="AF584" s="281"/>
      <c r="AG584" s="170"/>
      <c r="AH584" s="152"/>
      <c r="AI584" s="152"/>
      <c r="AJ584" s="152"/>
      <c r="AK584" s="152"/>
      <c r="AL584" s="152"/>
      <c r="AM584" s="152"/>
      <c r="AN584" s="152"/>
      <c r="AO584" s="152"/>
      <c r="AP584" s="152"/>
      <c r="AQ584" s="152"/>
      <c r="AR584" s="152"/>
    </row>
    <row r="585" ht="12.75" customHeight="1">
      <c r="A585" s="288"/>
      <c r="B585" s="288"/>
      <c r="C585" s="288"/>
      <c r="D585" s="152"/>
      <c r="E585" s="289"/>
      <c r="F585" s="288"/>
      <c r="G585" s="152"/>
      <c r="H585" s="152"/>
      <c r="I585" s="152"/>
      <c r="J585" s="152"/>
      <c r="K585" s="289"/>
      <c r="L585" s="289"/>
      <c r="M585" s="152"/>
      <c r="N585" s="152"/>
      <c r="O585" s="156"/>
      <c r="P585" s="152"/>
      <c r="Q585" s="152"/>
      <c r="R585" s="152"/>
      <c r="S585" s="152"/>
      <c r="T585" s="152"/>
      <c r="U585" s="152"/>
      <c r="V585" s="152"/>
      <c r="W585" s="152"/>
      <c r="X585" s="152"/>
      <c r="Y585" s="152"/>
      <c r="Z585" s="281"/>
      <c r="AA585" s="281"/>
      <c r="AB585" s="281"/>
      <c r="AC585" s="281"/>
      <c r="AD585" s="281"/>
      <c r="AE585" s="281"/>
      <c r="AF585" s="281"/>
      <c r="AG585" s="170"/>
      <c r="AH585" s="152"/>
      <c r="AI585" s="152"/>
      <c r="AJ585" s="152"/>
      <c r="AK585" s="152"/>
      <c r="AL585" s="152"/>
      <c r="AM585" s="152"/>
      <c r="AN585" s="152"/>
      <c r="AO585" s="152"/>
      <c r="AP585" s="152"/>
      <c r="AQ585" s="152"/>
      <c r="AR585" s="152"/>
    </row>
    <row r="586" ht="12.75" customHeight="1">
      <c r="A586" s="288"/>
      <c r="B586" s="288"/>
      <c r="C586" s="288"/>
      <c r="D586" s="152"/>
      <c r="E586" s="289"/>
      <c r="F586" s="288"/>
      <c r="G586" s="152"/>
      <c r="H586" s="152"/>
      <c r="I586" s="152"/>
      <c r="J586" s="152"/>
      <c r="K586" s="289"/>
      <c r="L586" s="289"/>
      <c r="M586" s="152"/>
      <c r="N586" s="152"/>
      <c r="O586" s="156"/>
      <c r="P586" s="152"/>
      <c r="Q586" s="152"/>
      <c r="R586" s="152"/>
      <c r="S586" s="152"/>
      <c r="T586" s="152"/>
      <c r="U586" s="152"/>
      <c r="V586" s="152"/>
      <c r="W586" s="152"/>
      <c r="X586" s="152"/>
      <c r="Y586" s="152"/>
      <c r="Z586" s="281"/>
      <c r="AA586" s="281"/>
      <c r="AB586" s="281"/>
      <c r="AC586" s="281"/>
      <c r="AD586" s="281"/>
      <c r="AE586" s="281"/>
      <c r="AF586" s="281"/>
      <c r="AG586" s="170"/>
      <c r="AH586" s="152"/>
      <c r="AI586" s="152"/>
      <c r="AJ586" s="152"/>
      <c r="AK586" s="152"/>
      <c r="AL586" s="152"/>
      <c r="AM586" s="152"/>
      <c r="AN586" s="152"/>
      <c r="AO586" s="152"/>
      <c r="AP586" s="152"/>
      <c r="AQ586" s="152"/>
      <c r="AR586" s="152"/>
    </row>
    <row r="587" ht="12.75" customHeight="1">
      <c r="A587" s="288"/>
      <c r="B587" s="288"/>
      <c r="C587" s="288"/>
      <c r="D587" s="152"/>
      <c r="E587" s="289"/>
      <c r="F587" s="288"/>
      <c r="G587" s="152"/>
      <c r="H587" s="152"/>
      <c r="I587" s="152"/>
      <c r="J587" s="152"/>
      <c r="K587" s="289"/>
      <c r="L587" s="289"/>
      <c r="M587" s="152"/>
      <c r="N587" s="152"/>
      <c r="O587" s="156"/>
      <c r="P587" s="152"/>
      <c r="Q587" s="152"/>
      <c r="R587" s="152"/>
      <c r="S587" s="152"/>
      <c r="T587" s="152"/>
      <c r="U587" s="152"/>
      <c r="V587" s="152"/>
      <c r="W587" s="152"/>
      <c r="X587" s="152"/>
      <c r="Y587" s="152"/>
      <c r="Z587" s="281"/>
      <c r="AA587" s="281"/>
      <c r="AB587" s="281"/>
      <c r="AC587" s="281"/>
      <c r="AD587" s="281"/>
      <c r="AE587" s="281"/>
      <c r="AF587" s="281"/>
      <c r="AG587" s="170"/>
      <c r="AH587" s="152"/>
      <c r="AI587" s="152"/>
      <c r="AJ587" s="152"/>
      <c r="AK587" s="152"/>
      <c r="AL587" s="152"/>
      <c r="AM587" s="152"/>
      <c r="AN587" s="152"/>
      <c r="AO587" s="152"/>
      <c r="AP587" s="152"/>
      <c r="AQ587" s="152"/>
      <c r="AR587" s="152"/>
    </row>
    <row r="588" ht="12.75" customHeight="1">
      <c r="A588" s="288"/>
      <c r="B588" s="288"/>
      <c r="C588" s="288"/>
      <c r="D588" s="152"/>
      <c r="E588" s="289"/>
      <c r="F588" s="288"/>
      <c r="G588" s="152"/>
      <c r="H588" s="152"/>
      <c r="I588" s="152"/>
      <c r="J588" s="152"/>
      <c r="K588" s="289"/>
      <c r="L588" s="289"/>
      <c r="M588" s="152"/>
      <c r="N588" s="152"/>
      <c r="O588" s="156"/>
      <c r="P588" s="152"/>
      <c r="Q588" s="152"/>
      <c r="R588" s="152"/>
      <c r="S588" s="152"/>
      <c r="T588" s="152"/>
      <c r="U588" s="152"/>
      <c r="V588" s="152"/>
      <c r="W588" s="152"/>
      <c r="X588" s="152"/>
      <c r="Y588" s="152"/>
      <c r="Z588" s="281"/>
      <c r="AA588" s="281"/>
      <c r="AB588" s="281"/>
      <c r="AC588" s="281"/>
      <c r="AD588" s="281"/>
      <c r="AE588" s="281"/>
      <c r="AF588" s="281"/>
      <c r="AG588" s="170"/>
      <c r="AH588" s="152"/>
      <c r="AI588" s="152"/>
      <c r="AJ588" s="152"/>
      <c r="AK588" s="152"/>
      <c r="AL588" s="152"/>
      <c r="AM588" s="152"/>
      <c r="AN588" s="152"/>
      <c r="AO588" s="152"/>
      <c r="AP588" s="152"/>
      <c r="AQ588" s="152"/>
      <c r="AR588" s="152"/>
    </row>
    <row r="589" ht="12.75" customHeight="1">
      <c r="A589" s="288"/>
      <c r="B589" s="288"/>
      <c r="C589" s="288"/>
      <c r="D589" s="152"/>
      <c r="E589" s="289"/>
      <c r="F589" s="288"/>
      <c r="G589" s="152"/>
      <c r="H589" s="152"/>
      <c r="I589" s="152"/>
      <c r="J589" s="152"/>
      <c r="K589" s="289"/>
      <c r="L589" s="289"/>
      <c r="M589" s="152"/>
      <c r="N589" s="152"/>
      <c r="O589" s="156"/>
      <c r="P589" s="152"/>
      <c r="Q589" s="152"/>
      <c r="R589" s="152"/>
      <c r="S589" s="152"/>
      <c r="T589" s="152"/>
      <c r="U589" s="152"/>
      <c r="V589" s="152"/>
      <c r="W589" s="152"/>
      <c r="X589" s="152"/>
      <c r="Y589" s="152"/>
      <c r="Z589" s="281"/>
      <c r="AA589" s="281"/>
      <c r="AB589" s="281"/>
      <c r="AC589" s="281"/>
      <c r="AD589" s="281"/>
      <c r="AE589" s="281"/>
      <c r="AF589" s="281"/>
      <c r="AG589" s="170"/>
      <c r="AH589" s="152"/>
      <c r="AI589" s="152"/>
      <c r="AJ589" s="152"/>
      <c r="AK589" s="152"/>
      <c r="AL589" s="152"/>
      <c r="AM589" s="152"/>
      <c r="AN589" s="152"/>
      <c r="AO589" s="152"/>
      <c r="AP589" s="152"/>
      <c r="AQ589" s="152"/>
      <c r="AR589" s="152"/>
    </row>
    <row r="590" ht="12.75" customHeight="1">
      <c r="A590" s="288"/>
      <c r="B590" s="288"/>
      <c r="C590" s="288"/>
      <c r="D590" s="152"/>
      <c r="E590" s="289"/>
      <c r="F590" s="288"/>
      <c r="G590" s="152"/>
      <c r="H590" s="152"/>
      <c r="I590" s="152"/>
      <c r="J590" s="152"/>
      <c r="K590" s="289"/>
      <c r="L590" s="289"/>
      <c r="M590" s="152"/>
      <c r="N590" s="152"/>
      <c r="O590" s="156"/>
      <c r="P590" s="152"/>
      <c r="Q590" s="152"/>
      <c r="R590" s="152"/>
      <c r="S590" s="152"/>
      <c r="T590" s="152"/>
      <c r="U590" s="152"/>
      <c r="V590" s="152"/>
      <c r="W590" s="152"/>
      <c r="X590" s="152"/>
      <c r="Y590" s="152"/>
      <c r="Z590" s="281"/>
      <c r="AA590" s="281"/>
      <c r="AB590" s="281"/>
      <c r="AC590" s="281"/>
      <c r="AD590" s="281"/>
      <c r="AE590" s="281"/>
      <c r="AF590" s="281"/>
      <c r="AG590" s="170"/>
      <c r="AH590" s="152"/>
      <c r="AI590" s="152"/>
      <c r="AJ590" s="152"/>
      <c r="AK590" s="152"/>
      <c r="AL590" s="152"/>
      <c r="AM590" s="152"/>
      <c r="AN590" s="152"/>
      <c r="AO590" s="152"/>
      <c r="AP590" s="152"/>
      <c r="AQ590" s="152"/>
      <c r="AR590" s="152"/>
    </row>
    <row r="591" ht="12.75" customHeight="1">
      <c r="A591" s="288"/>
      <c r="B591" s="288"/>
      <c r="C591" s="288"/>
      <c r="D591" s="152"/>
      <c r="E591" s="289"/>
      <c r="F591" s="288"/>
      <c r="G591" s="152"/>
      <c r="H591" s="152"/>
      <c r="I591" s="152"/>
      <c r="J591" s="152"/>
      <c r="K591" s="289"/>
      <c r="L591" s="289"/>
      <c r="M591" s="152"/>
      <c r="N591" s="152"/>
      <c r="O591" s="156"/>
      <c r="P591" s="152"/>
      <c r="Q591" s="152"/>
      <c r="R591" s="152"/>
      <c r="S591" s="152"/>
      <c r="T591" s="152"/>
      <c r="U591" s="152"/>
      <c r="V591" s="152"/>
      <c r="W591" s="152"/>
      <c r="X591" s="152"/>
      <c r="Y591" s="152"/>
      <c r="Z591" s="281"/>
      <c r="AA591" s="281"/>
      <c r="AB591" s="281"/>
      <c r="AC591" s="281"/>
      <c r="AD591" s="281"/>
      <c r="AE591" s="281"/>
      <c r="AF591" s="281"/>
      <c r="AG591" s="170"/>
      <c r="AH591" s="152"/>
      <c r="AI591" s="152"/>
      <c r="AJ591" s="152"/>
      <c r="AK591" s="152"/>
      <c r="AL591" s="152"/>
      <c r="AM591" s="152"/>
      <c r="AN591" s="152"/>
      <c r="AO591" s="152"/>
      <c r="AP591" s="152"/>
      <c r="AQ591" s="152"/>
      <c r="AR591" s="152"/>
    </row>
    <row r="592" ht="12.75" customHeight="1">
      <c r="A592" s="288"/>
      <c r="B592" s="288"/>
      <c r="C592" s="288"/>
      <c r="D592" s="152"/>
      <c r="E592" s="289"/>
      <c r="F592" s="288"/>
      <c r="G592" s="152"/>
      <c r="H592" s="152"/>
      <c r="I592" s="152"/>
      <c r="J592" s="152"/>
      <c r="K592" s="289"/>
      <c r="L592" s="289"/>
      <c r="M592" s="152"/>
      <c r="N592" s="152"/>
      <c r="O592" s="156"/>
      <c r="P592" s="152"/>
      <c r="Q592" s="152"/>
      <c r="R592" s="152"/>
      <c r="S592" s="152"/>
      <c r="T592" s="152"/>
      <c r="U592" s="152"/>
      <c r="V592" s="152"/>
      <c r="W592" s="152"/>
      <c r="X592" s="152"/>
      <c r="Y592" s="152"/>
      <c r="Z592" s="281"/>
      <c r="AA592" s="281"/>
      <c r="AB592" s="281"/>
      <c r="AC592" s="281"/>
      <c r="AD592" s="281"/>
      <c r="AE592" s="281"/>
      <c r="AF592" s="281"/>
      <c r="AG592" s="170"/>
      <c r="AH592" s="152"/>
      <c r="AI592" s="152"/>
      <c r="AJ592" s="152"/>
      <c r="AK592" s="152"/>
      <c r="AL592" s="152"/>
      <c r="AM592" s="152"/>
      <c r="AN592" s="152"/>
      <c r="AO592" s="152"/>
      <c r="AP592" s="152"/>
      <c r="AQ592" s="152"/>
      <c r="AR592" s="152"/>
    </row>
    <row r="593" ht="12.75" customHeight="1">
      <c r="A593" s="288"/>
      <c r="B593" s="288"/>
      <c r="C593" s="288"/>
      <c r="D593" s="152"/>
      <c r="E593" s="289"/>
      <c r="F593" s="288"/>
      <c r="G593" s="152"/>
      <c r="H593" s="152"/>
      <c r="I593" s="152"/>
      <c r="J593" s="152"/>
      <c r="K593" s="289"/>
      <c r="L593" s="289"/>
      <c r="M593" s="152"/>
      <c r="N593" s="152"/>
      <c r="O593" s="156"/>
      <c r="P593" s="152"/>
      <c r="Q593" s="152"/>
      <c r="R593" s="152"/>
      <c r="S593" s="152"/>
      <c r="T593" s="152"/>
      <c r="U593" s="152"/>
      <c r="V593" s="152"/>
      <c r="W593" s="152"/>
      <c r="X593" s="152"/>
      <c r="Y593" s="152"/>
      <c r="Z593" s="281"/>
      <c r="AA593" s="281"/>
      <c r="AB593" s="281"/>
      <c r="AC593" s="281"/>
      <c r="AD593" s="281"/>
      <c r="AE593" s="281"/>
      <c r="AF593" s="281"/>
      <c r="AG593" s="170"/>
      <c r="AH593" s="152"/>
      <c r="AI593" s="152"/>
      <c r="AJ593" s="152"/>
      <c r="AK593" s="152"/>
      <c r="AL593" s="152"/>
      <c r="AM593" s="152"/>
      <c r="AN593" s="152"/>
      <c r="AO593" s="152"/>
      <c r="AP593" s="152"/>
      <c r="AQ593" s="152"/>
      <c r="AR593" s="152"/>
    </row>
    <row r="594" ht="12.75" customHeight="1">
      <c r="A594" s="288"/>
      <c r="B594" s="288"/>
      <c r="C594" s="288"/>
      <c r="D594" s="152"/>
      <c r="E594" s="289"/>
      <c r="F594" s="288"/>
      <c r="G594" s="152"/>
      <c r="H594" s="152"/>
      <c r="I594" s="152"/>
      <c r="J594" s="152"/>
      <c r="K594" s="289"/>
      <c r="L594" s="289"/>
      <c r="M594" s="152"/>
      <c r="N594" s="152"/>
      <c r="O594" s="156"/>
      <c r="P594" s="152"/>
      <c r="Q594" s="152"/>
      <c r="R594" s="152"/>
      <c r="S594" s="152"/>
      <c r="T594" s="152"/>
      <c r="U594" s="152"/>
      <c r="V594" s="152"/>
      <c r="W594" s="152"/>
      <c r="X594" s="152"/>
      <c r="Y594" s="152"/>
      <c r="Z594" s="281"/>
      <c r="AA594" s="281"/>
      <c r="AB594" s="281"/>
      <c r="AC594" s="281"/>
      <c r="AD594" s="281"/>
      <c r="AE594" s="281"/>
      <c r="AF594" s="281"/>
      <c r="AG594" s="170"/>
      <c r="AH594" s="152"/>
      <c r="AI594" s="152"/>
      <c r="AJ594" s="152"/>
      <c r="AK594" s="152"/>
      <c r="AL594" s="152"/>
      <c r="AM594" s="152"/>
      <c r="AN594" s="152"/>
      <c r="AO594" s="152"/>
      <c r="AP594" s="152"/>
      <c r="AQ594" s="152"/>
      <c r="AR594" s="152"/>
    </row>
    <row r="595" ht="12.75" customHeight="1">
      <c r="A595" s="288"/>
      <c r="B595" s="288"/>
      <c r="C595" s="288"/>
      <c r="D595" s="152"/>
      <c r="E595" s="289"/>
      <c r="F595" s="288"/>
      <c r="G595" s="152"/>
      <c r="H595" s="152"/>
      <c r="I595" s="152"/>
      <c r="J595" s="152"/>
      <c r="K595" s="289"/>
      <c r="L595" s="289"/>
      <c r="M595" s="152"/>
      <c r="N595" s="152"/>
      <c r="O595" s="156"/>
      <c r="P595" s="152"/>
      <c r="Q595" s="152"/>
      <c r="R595" s="152"/>
      <c r="S595" s="152"/>
      <c r="T595" s="152"/>
      <c r="U595" s="152"/>
      <c r="V595" s="152"/>
      <c r="W595" s="152"/>
      <c r="X595" s="152"/>
      <c r="Y595" s="152"/>
      <c r="Z595" s="281"/>
      <c r="AA595" s="281"/>
      <c r="AB595" s="281"/>
      <c r="AC595" s="281"/>
      <c r="AD595" s="281"/>
      <c r="AE595" s="281"/>
      <c r="AF595" s="281"/>
      <c r="AG595" s="170"/>
      <c r="AH595" s="152"/>
      <c r="AI595" s="152"/>
      <c r="AJ595" s="152"/>
      <c r="AK595" s="152"/>
      <c r="AL595" s="152"/>
      <c r="AM595" s="152"/>
      <c r="AN595" s="152"/>
      <c r="AO595" s="152"/>
      <c r="AP595" s="152"/>
      <c r="AQ595" s="152"/>
      <c r="AR595" s="152"/>
    </row>
    <row r="596" ht="12.75" customHeight="1">
      <c r="A596" s="288"/>
      <c r="B596" s="288"/>
      <c r="C596" s="288"/>
      <c r="D596" s="152"/>
      <c r="E596" s="289"/>
      <c r="F596" s="288"/>
      <c r="G596" s="152"/>
      <c r="H596" s="152"/>
      <c r="I596" s="152"/>
      <c r="J596" s="152"/>
      <c r="K596" s="289"/>
      <c r="L596" s="289"/>
      <c r="M596" s="152"/>
      <c r="N596" s="152"/>
      <c r="O596" s="156"/>
      <c r="P596" s="152"/>
      <c r="Q596" s="152"/>
      <c r="R596" s="152"/>
      <c r="S596" s="152"/>
      <c r="T596" s="152"/>
      <c r="U596" s="152"/>
      <c r="V596" s="152"/>
      <c r="W596" s="152"/>
      <c r="X596" s="152"/>
      <c r="Y596" s="152"/>
      <c r="Z596" s="281"/>
      <c r="AA596" s="281"/>
      <c r="AB596" s="281"/>
      <c r="AC596" s="281"/>
      <c r="AD596" s="281"/>
      <c r="AE596" s="281"/>
      <c r="AF596" s="281"/>
      <c r="AG596" s="170"/>
      <c r="AH596" s="152"/>
      <c r="AI596" s="152"/>
      <c r="AJ596" s="152"/>
      <c r="AK596" s="152"/>
      <c r="AL596" s="152"/>
      <c r="AM596" s="152"/>
      <c r="AN596" s="152"/>
      <c r="AO596" s="152"/>
      <c r="AP596" s="152"/>
      <c r="AQ596" s="152"/>
      <c r="AR596" s="152"/>
    </row>
    <row r="597" ht="12.75" customHeight="1">
      <c r="A597" s="288"/>
      <c r="B597" s="288"/>
      <c r="C597" s="288"/>
      <c r="D597" s="152"/>
      <c r="E597" s="289"/>
      <c r="F597" s="288"/>
      <c r="G597" s="152"/>
      <c r="H597" s="152"/>
      <c r="I597" s="152"/>
      <c r="J597" s="152"/>
      <c r="K597" s="289"/>
      <c r="L597" s="289"/>
      <c r="M597" s="152"/>
      <c r="N597" s="152"/>
      <c r="O597" s="156"/>
      <c r="P597" s="152"/>
      <c r="Q597" s="152"/>
      <c r="R597" s="152"/>
      <c r="S597" s="152"/>
      <c r="T597" s="152"/>
      <c r="U597" s="152"/>
      <c r="V597" s="152"/>
      <c r="W597" s="152"/>
      <c r="X597" s="152"/>
      <c r="Y597" s="152"/>
      <c r="Z597" s="281"/>
      <c r="AA597" s="281"/>
      <c r="AB597" s="281"/>
      <c r="AC597" s="281"/>
      <c r="AD597" s="281"/>
      <c r="AE597" s="281"/>
      <c r="AF597" s="281"/>
      <c r="AG597" s="170"/>
      <c r="AH597" s="152"/>
      <c r="AI597" s="152"/>
      <c r="AJ597" s="152"/>
      <c r="AK597" s="152"/>
      <c r="AL597" s="152"/>
      <c r="AM597" s="152"/>
      <c r="AN597" s="152"/>
      <c r="AO597" s="152"/>
      <c r="AP597" s="152"/>
      <c r="AQ597" s="152"/>
      <c r="AR597" s="152"/>
    </row>
    <row r="598" ht="12.75" customHeight="1">
      <c r="A598" s="288"/>
      <c r="B598" s="288"/>
      <c r="C598" s="288"/>
      <c r="D598" s="152"/>
      <c r="E598" s="289"/>
      <c r="F598" s="288"/>
      <c r="G598" s="152"/>
      <c r="H598" s="152"/>
      <c r="I598" s="152"/>
      <c r="J598" s="152"/>
      <c r="K598" s="289"/>
      <c r="L598" s="289"/>
      <c r="M598" s="152"/>
      <c r="N598" s="152"/>
      <c r="O598" s="156"/>
      <c r="P598" s="152"/>
      <c r="Q598" s="152"/>
      <c r="R598" s="152"/>
      <c r="S598" s="152"/>
      <c r="T598" s="152"/>
      <c r="U598" s="152"/>
      <c r="V598" s="152"/>
      <c r="W598" s="152"/>
      <c r="X598" s="152"/>
      <c r="Y598" s="152"/>
      <c r="Z598" s="281"/>
      <c r="AA598" s="281"/>
      <c r="AB598" s="281"/>
      <c r="AC598" s="281"/>
      <c r="AD598" s="281"/>
      <c r="AE598" s="281"/>
      <c r="AF598" s="281"/>
      <c r="AG598" s="170"/>
      <c r="AH598" s="152"/>
      <c r="AI598" s="152"/>
      <c r="AJ598" s="152"/>
      <c r="AK598" s="152"/>
      <c r="AL598" s="152"/>
      <c r="AM598" s="152"/>
      <c r="AN598" s="152"/>
      <c r="AO598" s="152"/>
      <c r="AP598" s="152"/>
      <c r="AQ598" s="152"/>
      <c r="AR598" s="152"/>
    </row>
    <row r="599" ht="12.75" customHeight="1">
      <c r="A599" s="288"/>
      <c r="B599" s="288"/>
      <c r="C599" s="288"/>
      <c r="D599" s="152"/>
      <c r="E599" s="289"/>
      <c r="F599" s="288"/>
      <c r="G599" s="152"/>
      <c r="H599" s="152"/>
      <c r="I599" s="152"/>
      <c r="J599" s="152"/>
      <c r="K599" s="289"/>
      <c r="L599" s="289"/>
      <c r="M599" s="152"/>
      <c r="N599" s="152"/>
      <c r="O599" s="156"/>
      <c r="P599" s="152"/>
      <c r="Q599" s="152"/>
      <c r="R599" s="152"/>
      <c r="S599" s="152"/>
      <c r="T599" s="152"/>
      <c r="U599" s="152"/>
      <c r="V599" s="152"/>
      <c r="W599" s="152"/>
      <c r="X599" s="152"/>
      <c r="Y599" s="152"/>
      <c r="Z599" s="281"/>
      <c r="AA599" s="281"/>
      <c r="AB599" s="281"/>
      <c r="AC599" s="281"/>
      <c r="AD599" s="281"/>
      <c r="AE599" s="281"/>
      <c r="AF599" s="281"/>
      <c r="AG599" s="170"/>
      <c r="AH599" s="152"/>
      <c r="AI599" s="152"/>
      <c r="AJ599" s="152"/>
      <c r="AK599" s="152"/>
      <c r="AL599" s="152"/>
      <c r="AM599" s="152"/>
      <c r="AN599" s="152"/>
      <c r="AO599" s="152"/>
      <c r="AP599" s="152"/>
      <c r="AQ599" s="152"/>
      <c r="AR599" s="152"/>
    </row>
    <row r="600" ht="12.75" customHeight="1">
      <c r="A600" s="288"/>
      <c r="B600" s="288"/>
      <c r="C600" s="288"/>
      <c r="D600" s="152"/>
      <c r="E600" s="289"/>
      <c r="F600" s="288"/>
      <c r="G600" s="152"/>
      <c r="H600" s="152"/>
      <c r="I600" s="152"/>
      <c r="J600" s="152"/>
      <c r="K600" s="289"/>
      <c r="L600" s="289"/>
      <c r="M600" s="152"/>
      <c r="N600" s="152"/>
      <c r="O600" s="156"/>
      <c r="P600" s="152"/>
      <c r="Q600" s="152"/>
      <c r="R600" s="152"/>
      <c r="S600" s="152"/>
      <c r="T600" s="152"/>
      <c r="U600" s="152"/>
      <c r="V600" s="152"/>
      <c r="W600" s="152"/>
      <c r="X600" s="152"/>
      <c r="Y600" s="152"/>
      <c r="Z600" s="281"/>
      <c r="AA600" s="281"/>
      <c r="AB600" s="281"/>
      <c r="AC600" s="281"/>
      <c r="AD600" s="281"/>
      <c r="AE600" s="281"/>
      <c r="AF600" s="281"/>
      <c r="AG600" s="170"/>
      <c r="AH600" s="152"/>
      <c r="AI600" s="152"/>
      <c r="AJ600" s="152"/>
      <c r="AK600" s="152"/>
      <c r="AL600" s="152"/>
      <c r="AM600" s="152"/>
      <c r="AN600" s="152"/>
      <c r="AO600" s="152"/>
      <c r="AP600" s="152"/>
      <c r="AQ600" s="152"/>
      <c r="AR600" s="152"/>
    </row>
    <row r="601" ht="12.75" customHeight="1">
      <c r="A601" s="288"/>
      <c r="B601" s="288"/>
      <c r="C601" s="288"/>
      <c r="D601" s="152"/>
      <c r="E601" s="289"/>
      <c r="F601" s="288"/>
      <c r="G601" s="152"/>
      <c r="H601" s="152"/>
      <c r="I601" s="152"/>
      <c r="J601" s="152"/>
      <c r="K601" s="289"/>
      <c r="L601" s="289"/>
      <c r="M601" s="152"/>
      <c r="N601" s="152"/>
      <c r="O601" s="156"/>
      <c r="P601" s="152"/>
      <c r="Q601" s="152"/>
      <c r="R601" s="152"/>
      <c r="S601" s="152"/>
      <c r="T601" s="152"/>
      <c r="U601" s="152"/>
      <c r="V601" s="152"/>
      <c r="W601" s="152"/>
      <c r="X601" s="152"/>
      <c r="Y601" s="152"/>
      <c r="Z601" s="281"/>
      <c r="AA601" s="281"/>
      <c r="AB601" s="281"/>
      <c r="AC601" s="281"/>
      <c r="AD601" s="281"/>
      <c r="AE601" s="281"/>
      <c r="AF601" s="281"/>
      <c r="AG601" s="170"/>
      <c r="AH601" s="152"/>
      <c r="AI601" s="152"/>
      <c r="AJ601" s="152"/>
      <c r="AK601" s="152"/>
      <c r="AL601" s="152"/>
      <c r="AM601" s="152"/>
      <c r="AN601" s="152"/>
      <c r="AO601" s="152"/>
      <c r="AP601" s="152"/>
      <c r="AQ601" s="152"/>
      <c r="AR601" s="152"/>
    </row>
    <row r="602" ht="12.75" customHeight="1">
      <c r="A602" s="288"/>
      <c r="B602" s="288"/>
      <c r="C602" s="288"/>
      <c r="D602" s="152"/>
      <c r="E602" s="289"/>
      <c r="F602" s="288"/>
      <c r="G602" s="152"/>
      <c r="H602" s="152"/>
      <c r="I602" s="152"/>
      <c r="J602" s="152"/>
      <c r="K602" s="289"/>
      <c r="L602" s="289"/>
      <c r="M602" s="152"/>
      <c r="N602" s="152"/>
      <c r="O602" s="156"/>
      <c r="P602" s="152"/>
      <c r="Q602" s="152"/>
      <c r="R602" s="152"/>
      <c r="S602" s="152"/>
      <c r="T602" s="152"/>
      <c r="U602" s="152"/>
      <c r="V602" s="152"/>
      <c r="W602" s="152"/>
      <c r="X602" s="152"/>
      <c r="Y602" s="152"/>
      <c r="Z602" s="281"/>
      <c r="AA602" s="281"/>
      <c r="AB602" s="281"/>
      <c r="AC602" s="281"/>
      <c r="AD602" s="281"/>
      <c r="AE602" s="281"/>
      <c r="AF602" s="281"/>
      <c r="AG602" s="170"/>
      <c r="AH602" s="152"/>
      <c r="AI602" s="152"/>
      <c r="AJ602" s="152"/>
      <c r="AK602" s="152"/>
      <c r="AL602" s="152"/>
      <c r="AM602" s="152"/>
      <c r="AN602" s="152"/>
      <c r="AO602" s="152"/>
      <c r="AP602" s="152"/>
      <c r="AQ602" s="152"/>
      <c r="AR602" s="152"/>
    </row>
    <row r="603" ht="12.75" customHeight="1">
      <c r="A603" s="288"/>
      <c r="B603" s="288"/>
      <c r="C603" s="288"/>
      <c r="D603" s="152"/>
      <c r="E603" s="289"/>
      <c r="F603" s="288"/>
      <c r="G603" s="152"/>
      <c r="H603" s="152"/>
      <c r="I603" s="152"/>
      <c r="J603" s="152"/>
      <c r="K603" s="289"/>
      <c r="L603" s="289"/>
      <c r="M603" s="152"/>
      <c r="N603" s="152"/>
      <c r="O603" s="156"/>
      <c r="P603" s="152"/>
      <c r="Q603" s="152"/>
      <c r="R603" s="152"/>
      <c r="S603" s="152"/>
      <c r="T603" s="152"/>
      <c r="U603" s="152"/>
      <c r="V603" s="152"/>
      <c r="W603" s="152"/>
      <c r="X603" s="152"/>
      <c r="Y603" s="152"/>
      <c r="Z603" s="281"/>
      <c r="AA603" s="281"/>
      <c r="AB603" s="281"/>
      <c r="AC603" s="281"/>
      <c r="AD603" s="281"/>
      <c r="AE603" s="281"/>
      <c r="AF603" s="281"/>
      <c r="AG603" s="170"/>
      <c r="AH603" s="152"/>
      <c r="AI603" s="152"/>
      <c r="AJ603" s="152"/>
      <c r="AK603" s="152"/>
      <c r="AL603" s="152"/>
      <c r="AM603" s="152"/>
      <c r="AN603" s="152"/>
      <c r="AO603" s="152"/>
      <c r="AP603" s="152"/>
      <c r="AQ603" s="152"/>
      <c r="AR603" s="152"/>
    </row>
    <row r="604" ht="12.75" customHeight="1">
      <c r="A604" s="288"/>
      <c r="B604" s="288"/>
      <c r="C604" s="288"/>
      <c r="D604" s="152"/>
      <c r="E604" s="289"/>
      <c r="F604" s="288"/>
      <c r="G604" s="152"/>
      <c r="H604" s="152"/>
      <c r="I604" s="152"/>
      <c r="J604" s="152"/>
      <c r="K604" s="289"/>
      <c r="L604" s="289"/>
      <c r="M604" s="152"/>
      <c r="N604" s="152"/>
      <c r="O604" s="156"/>
      <c r="P604" s="152"/>
      <c r="Q604" s="152"/>
      <c r="R604" s="152"/>
      <c r="S604" s="152"/>
      <c r="T604" s="152"/>
      <c r="U604" s="152"/>
      <c r="V604" s="152"/>
      <c r="W604" s="152"/>
      <c r="X604" s="152"/>
      <c r="Y604" s="152"/>
      <c r="Z604" s="281"/>
      <c r="AA604" s="281"/>
      <c r="AB604" s="281"/>
      <c r="AC604" s="281"/>
      <c r="AD604" s="281"/>
      <c r="AE604" s="281"/>
      <c r="AF604" s="281"/>
      <c r="AG604" s="170"/>
      <c r="AH604" s="152"/>
      <c r="AI604" s="152"/>
      <c r="AJ604" s="152"/>
      <c r="AK604" s="152"/>
      <c r="AL604" s="152"/>
      <c r="AM604" s="152"/>
      <c r="AN604" s="152"/>
      <c r="AO604" s="152"/>
      <c r="AP604" s="152"/>
      <c r="AQ604" s="152"/>
      <c r="AR604" s="152"/>
    </row>
    <row r="605" ht="12.75" customHeight="1">
      <c r="A605" s="288"/>
      <c r="B605" s="288"/>
      <c r="C605" s="288"/>
      <c r="D605" s="152"/>
      <c r="E605" s="289"/>
      <c r="F605" s="288"/>
      <c r="G605" s="152"/>
      <c r="H605" s="152"/>
      <c r="I605" s="152"/>
      <c r="J605" s="152"/>
      <c r="K605" s="289"/>
      <c r="L605" s="289"/>
      <c r="M605" s="152"/>
      <c r="N605" s="152"/>
      <c r="O605" s="156"/>
      <c r="P605" s="152"/>
      <c r="Q605" s="152"/>
      <c r="R605" s="152"/>
      <c r="S605" s="152"/>
      <c r="T605" s="152"/>
      <c r="U605" s="152"/>
      <c r="V605" s="152"/>
      <c r="W605" s="152"/>
      <c r="X605" s="152"/>
      <c r="Y605" s="152"/>
      <c r="Z605" s="281"/>
      <c r="AA605" s="281"/>
      <c r="AB605" s="281"/>
      <c r="AC605" s="281"/>
      <c r="AD605" s="281"/>
      <c r="AE605" s="281"/>
      <c r="AF605" s="281"/>
      <c r="AG605" s="170"/>
      <c r="AH605" s="152"/>
      <c r="AI605" s="152"/>
      <c r="AJ605" s="152"/>
      <c r="AK605" s="152"/>
      <c r="AL605" s="152"/>
      <c r="AM605" s="152"/>
      <c r="AN605" s="152"/>
      <c r="AO605" s="152"/>
      <c r="AP605" s="152"/>
      <c r="AQ605" s="152"/>
      <c r="AR605" s="152"/>
    </row>
    <row r="606" ht="12.75" customHeight="1">
      <c r="A606" s="288"/>
      <c r="B606" s="288"/>
      <c r="C606" s="288"/>
      <c r="D606" s="152"/>
      <c r="E606" s="289"/>
      <c r="F606" s="288"/>
      <c r="G606" s="152"/>
      <c r="H606" s="152"/>
      <c r="I606" s="152"/>
      <c r="J606" s="152"/>
      <c r="K606" s="289"/>
      <c r="L606" s="289"/>
      <c r="M606" s="152"/>
      <c r="N606" s="152"/>
      <c r="O606" s="156"/>
      <c r="P606" s="152"/>
      <c r="Q606" s="152"/>
      <c r="R606" s="152"/>
      <c r="S606" s="152"/>
      <c r="T606" s="152"/>
      <c r="U606" s="152"/>
      <c r="V606" s="152"/>
      <c r="W606" s="152"/>
      <c r="X606" s="152"/>
      <c r="Y606" s="152"/>
      <c r="Z606" s="281"/>
      <c r="AA606" s="281"/>
      <c r="AB606" s="281"/>
      <c r="AC606" s="281"/>
      <c r="AD606" s="281"/>
      <c r="AE606" s="281"/>
      <c r="AF606" s="281"/>
      <c r="AG606" s="170"/>
      <c r="AH606" s="152"/>
      <c r="AI606" s="152"/>
      <c r="AJ606" s="152"/>
      <c r="AK606" s="152"/>
      <c r="AL606" s="152"/>
      <c r="AM606" s="152"/>
      <c r="AN606" s="152"/>
      <c r="AO606" s="152"/>
      <c r="AP606" s="152"/>
      <c r="AQ606" s="152"/>
      <c r="AR606" s="152"/>
    </row>
    <row r="607" ht="12.75" customHeight="1">
      <c r="A607" s="288"/>
      <c r="B607" s="288"/>
      <c r="C607" s="288"/>
      <c r="D607" s="152"/>
      <c r="E607" s="289"/>
      <c r="F607" s="288"/>
      <c r="G607" s="152"/>
      <c r="H607" s="152"/>
      <c r="I607" s="152"/>
      <c r="J607" s="152"/>
      <c r="K607" s="289"/>
      <c r="L607" s="289"/>
      <c r="M607" s="152"/>
      <c r="N607" s="152"/>
      <c r="O607" s="156"/>
      <c r="P607" s="152"/>
      <c r="Q607" s="152"/>
      <c r="R607" s="152"/>
      <c r="S607" s="152"/>
      <c r="T607" s="152"/>
      <c r="U607" s="152"/>
      <c r="V607" s="152"/>
      <c r="W607" s="152"/>
      <c r="X607" s="152"/>
      <c r="Y607" s="152"/>
      <c r="Z607" s="281"/>
      <c r="AA607" s="281"/>
      <c r="AB607" s="281"/>
      <c r="AC607" s="281"/>
      <c r="AD607" s="281"/>
      <c r="AE607" s="281"/>
      <c r="AF607" s="281"/>
      <c r="AG607" s="170"/>
      <c r="AH607" s="152"/>
      <c r="AI607" s="152"/>
      <c r="AJ607" s="152"/>
      <c r="AK607" s="152"/>
      <c r="AL607" s="152"/>
      <c r="AM607" s="152"/>
      <c r="AN607" s="152"/>
      <c r="AO607" s="152"/>
      <c r="AP607" s="152"/>
      <c r="AQ607" s="152"/>
      <c r="AR607" s="152"/>
    </row>
    <row r="608" ht="12.75" customHeight="1">
      <c r="A608" s="288"/>
      <c r="B608" s="288"/>
      <c r="C608" s="288"/>
      <c r="D608" s="152"/>
      <c r="E608" s="289"/>
      <c r="F608" s="288"/>
      <c r="G608" s="152"/>
      <c r="H608" s="152"/>
      <c r="I608" s="152"/>
      <c r="J608" s="152"/>
      <c r="K608" s="289"/>
      <c r="L608" s="289"/>
      <c r="M608" s="152"/>
      <c r="N608" s="152"/>
      <c r="O608" s="156"/>
      <c r="P608" s="152"/>
      <c r="Q608" s="152"/>
      <c r="R608" s="152"/>
      <c r="S608" s="152"/>
      <c r="T608" s="152"/>
      <c r="U608" s="152"/>
      <c r="V608" s="152"/>
      <c r="W608" s="152"/>
      <c r="X608" s="152"/>
      <c r="Y608" s="152"/>
      <c r="Z608" s="281"/>
      <c r="AA608" s="281"/>
      <c r="AB608" s="281"/>
      <c r="AC608" s="281"/>
      <c r="AD608" s="281"/>
      <c r="AE608" s="281"/>
      <c r="AF608" s="281"/>
      <c r="AG608" s="170"/>
      <c r="AH608" s="152"/>
      <c r="AI608" s="152"/>
      <c r="AJ608" s="152"/>
      <c r="AK608" s="152"/>
      <c r="AL608" s="152"/>
      <c r="AM608" s="152"/>
      <c r="AN608" s="152"/>
      <c r="AO608" s="152"/>
      <c r="AP608" s="152"/>
      <c r="AQ608" s="152"/>
      <c r="AR608" s="152"/>
    </row>
    <row r="609" ht="12.75" customHeight="1">
      <c r="A609" s="288"/>
      <c r="B609" s="288"/>
      <c r="C609" s="288"/>
      <c r="D609" s="152"/>
      <c r="E609" s="289"/>
      <c r="F609" s="288"/>
      <c r="G609" s="152"/>
      <c r="H609" s="152"/>
      <c r="I609" s="152"/>
      <c r="J609" s="152"/>
      <c r="K609" s="289"/>
      <c r="L609" s="289"/>
      <c r="M609" s="152"/>
      <c r="N609" s="152"/>
      <c r="O609" s="156"/>
      <c r="P609" s="152"/>
      <c r="Q609" s="152"/>
      <c r="R609" s="152"/>
      <c r="S609" s="152"/>
      <c r="T609" s="152"/>
      <c r="U609" s="152"/>
      <c r="V609" s="152"/>
      <c r="W609" s="152"/>
      <c r="X609" s="152"/>
      <c r="Y609" s="152"/>
      <c r="Z609" s="281"/>
      <c r="AA609" s="281"/>
      <c r="AB609" s="281"/>
      <c r="AC609" s="281"/>
      <c r="AD609" s="281"/>
      <c r="AE609" s="281"/>
      <c r="AF609" s="281"/>
      <c r="AG609" s="170"/>
      <c r="AH609" s="152"/>
      <c r="AI609" s="152"/>
      <c r="AJ609" s="152"/>
      <c r="AK609" s="152"/>
      <c r="AL609" s="152"/>
      <c r="AM609" s="152"/>
      <c r="AN609" s="152"/>
      <c r="AO609" s="152"/>
      <c r="AP609" s="152"/>
      <c r="AQ609" s="152"/>
      <c r="AR609" s="152"/>
    </row>
    <row r="610" ht="12.75" customHeight="1">
      <c r="A610" s="288"/>
      <c r="B610" s="288"/>
      <c r="C610" s="288"/>
      <c r="D610" s="152"/>
      <c r="E610" s="289"/>
      <c r="F610" s="288"/>
      <c r="G610" s="152"/>
      <c r="H610" s="152"/>
      <c r="I610" s="152"/>
      <c r="J610" s="152"/>
      <c r="K610" s="289"/>
      <c r="L610" s="289"/>
      <c r="M610" s="152"/>
      <c r="N610" s="152"/>
      <c r="O610" s="156"/>
      <c r="P610" s="152"/>
      <c r="Q610" s="152"/>
      <c r="R610" s="152"/>
      <c r="S610" s="152"/>
      <c r="T610" s="152"/>
      <c r="U610" s="152"/>
      <c r="V610" s="152"/>
      <c r="W610" s="152"/>
      <c r="X610" s="152"/>
      <c r="Y610" s="152"/>
      <c r="Z610" s="281"/>
      <c r="AA610" s="281"/>
      <c r="AB610" s="281"/>
      <c r="AC610" s="281"/>
      <c r="AD610" s="281"/>
      <c r="AE610" s="281"/>
      <c r="AF610" s="281"/>
      <c r="AG610" s="170"/>
      <c r="AH610" s="152"/>
      <c r="AI610" s="152"/>
      <c r="AJ610" s="152"/>
      <c r="AK610" s="152"/>
      <c r="AL610" s="152"/>
      <c r="AM610" s="152"/>
      <c r="AN610" s="152"/>
      <c r="AO610" s="152"/>
      <c r="AP610" s="152"/>
      <c r="AQ610" s="152"/>
      <c r="AR610" s="152"/>
    </row>
    <row r="611" ht="12.75" customHeight="1">
      <c r="A611" s="288"/>
      <c r="B611" s="288"/>
      <c r="C611" s="288"/>
      <c r="D611" s="152"/>
      <c r="E611" s="289"/>
      <c r="F611" s="288"/>
      <c r="G611" s="152"/>
      <c r="H611" s="152"/>
      <c r="I611" s="152"/>
      <c r="J611" s="152"/>
      <c r="K611" s="289"/>
      <c r="L611" s="289"/>
      <c r="M611" s="152"/>
      <c r="N611" s="152"/>
      <c r="O611" s="156"/>
      <c r="P611" s="152"/>
      <c r="Q611" s="152"/>
      <c r="R611" s="152"/>
      <c r="S611" s="152"/>
      <c r="T611" s="152"/>
      <c r="U611" s="152"/>
      <c r="V611" s="152"/>
      <c r="W611" s="152"/>
      <c r="X611" s="152"/>
      <c r="Y611" s="152"/>
      <c r="Z611" s="281"/>
      <c r="AA611" s="281"/>
      <c r="AB611" s="281"/>
      <c r="AC611" s="281"/>
      <c r="AD611" s="281"/>
      <c r="AE611" s="281"/>
      <c r="AF611" s="281"/>
      <c r="AG611" s="170"/>
      <c r="AH611" s="152"/>
      <c r="AI611" s="152"/>
      <c r="AJ611" s="152"/>
      <c r="AK611" s="152"/>
      <c r="AL611" s="152"/>
      <c r="AM611" s="152"/>
      <c r="AN611" s="152"/>
      <c r="AO611" s="152"/>
      <c r="AP611" s="152"/>
      <c r="AQ611" s="152"/>
      <c r="AR611" s="152"/>
    </row>
    <row r="612" ht="12.75" customHeight="1">
      <c r="A612" s="288"/>
      <c r="B612" s="288"/>
      <c r="C612" s="288"/>
      <c r="D612" s="152"/>
      <c r="E612" s="289"/>
      <c r="F612" s="288"/>
      <c r="G612" s="152"/>
      <c r="H612" s="152"/>
      <c r="I612" s="152"/>
      <c r="J612" s="152"/>
      <c r="K612" s="289"/>
      <c r="L612" s="289"/>
      <c r="M612" s="152"/>
      <c r="N612" s="152"/>
      <c r="O612" s="156"/>
      <c r="P612" s="152"/>
      <c r="Q612" s="152"/>
      <c r="R612" s="152"/>
      <c r="S612" s="152"/>
      <c r="T612" s="152"/>
      <c r="U612" s="152"/>
      <c r="V612" s="152"/>
      <c r="W612" s="152"/>
      <c r="X612" s="152"/>
      <c r="Y612" s="152"/>
      <c r="Z612" s="281"/>
      <c r="AA612" s="281"/>
      <c r="AB612" s="281"/>
      <c r="AC612" s="281"/>
      <c r="AD612" s="281"/>
      <c r="AE612" s="281"/>
      <c r="AF612" s="281"/>
      <c r="AG612" s="170"/>
      <c r="AH612" s="152"/>
      <c r="AI612" s="152"/>
      <c r="AJ612" s="152"/>
      <c r="AK612" s="152"/>
      <c r="AL612" s="152"/>
      <c r="AM612" s="152"/>
      <c r="AN612" s="152"/>
      <c r="AO612" s="152"/>
      <c r="AP612" s="152"/>
      <c r="AQ612" s="152"/>
      <c r="AR612" s="152"/>
    </row>
    <row r="613" ht="12.75" customHeight="1">
      <c r="A613" s="288"/>
      <c r="B613" s="288"/>
      <c r="C613" s="288"/>
      <c r="D613" s="152"/>
      <c r="E613" s="289"/>
      <c r="F613" s="288"/>
      <c r="G613" s="152"/>
      <c r="H613" s="152"/>
      <c r="I613" s="152"/>
      <c r="J613" s="152"/>
      <c r="K613" s="289"/>
      <c r="L613" s="289"/>
      <c r="M613" s="152"/>
      <c r="N613" s="152"/>
      <c r="O613" s="156"/>
      <c r="P613" s="152"/>
      <c r="Q613" s="152"/>
      <c r="R613" s="152"/>
      <c r="S613" s="152"/>
      <c r="T613" s="152"/>
      <c r="U613" s="152"/>
      <c r="V613" s="152"/>
      <c r="W613" s="152"/>
      <c r="X613" s="152"/>
      <c r="Y613" s="152"/>
      <c r="Z613" s="281"/>
      <c r="AA613" s="281"/>
      <c r="AB613" s="281"/>
      <c r="AC613" s="281"/>
      <c r="AD613" s="281"/>
      <c r="AE613" s="281"/>
      <c r="AF613" s="281"/>
      <c r="AG613" s="170"/>
      <c r="AH613" s="152"/>
      <c r="AI613" s="152"/>
      <c r="AJ613" s="152"/>
      <c r="AK613" s="152"/>
      <c r="AL613" s="152"/>
      <c r="AM613" s="152"/>
      <c r="AN613" s="152"/>
      <c r="AO613" s="152"/>
      <c r="AP613" s="152"/>
      <c r="AQ613" s="152"/>
      <c r="AR613" s="152"/>
    </row>
    <row r="614" ht="12.75" customHeight="1">
      <c r="A614" s="288"/>
      <c r="B614" s="288"/>
      <c r="C614" s="288"/>
      <c r="D614" s="152"/>
      <c r="E614" s="289"/>
      <c r="F614" s="288"/>
      <c r="G614" s="152"/>
      <c r="H614" s="152"/>
      <c r="I614" s="152"/>
      <c r="J614" s="152"/>
      <c r="K614" s="289"/>
      <c r="L614" s="289"/>
      <c r="M614" s="152"/>
      <c r="N614" s="152"/>
      <c r="O614" s="156"/>
      <c r="P614" s="152"/>
      <c r="Q614" s="152"/>
      <c r="R614" s="152"/>
      <c r="S614" s="152"/>
      <c r="T614" s="152"/>
      <c r="U614" s="152"/>
      <c r="V614" s="152"/>
      <c r="W614" s="152"/>
      <c r="X614" s="152"/>
      <c r="Y614" s="152"/>
      <c r="Z614" s="281"/>
      <c r="AA614" s="281"/>
      <c r="AB614" s="281"/>
      <c r="AC614" s="281"/>
      <c r="AD614" s="281"/>
      <c r="AE614" s="281"/>
      <c r="AF614" s="281"/>
      <c r="AG614" s="170"/>
      <c r="AH614" s="152"/>
      <c r="AI614" s="152"/>
      <c r="AJ614" s="152"/>
      <c r="AK614" s="152"/>
      <c r="AL614" s="152"/>
      <c r="AM614" s="152"/>
      <c r="AN614" s="152"/>
      <c r="AO614" s="152"/>
      <c r="AP614" s="152"/>
      <c r="AQ614" s="152"/>
      <c r="AR614" s="152"/>
    </row>
    <row r="615" ht="12.75" customHeight="1">
      <c r="A615" s="288"/>
      <c r="B615" s="288"/>
      <c r="C615" s="288"/>
      <c r="D615" s="152"/>
      <c r="E615" s="289"/>
      <c r="F615" s="288"/>
      <c r="G615" s="152"/>
      <c r="H615" s="152"/>
      <c r="I615" s="152"/>
      <c r="J615" s="152"/>
      <c r="K615" s="289"/>
      <c r="L615" s="289"/>
      <c r="M615" s="152"/>
      <c r="N615" s="152"/>
      <c r="O615" s="156"/>
      <c r="P615" s="152"/>
      <c r="Q615" s="152"/>
      <c r="R615" s="152"/>
      <c r="S615" s="152"/>
      <c r="T615" s="152"/>
      <c r="U615" s="152"/>
      <c r="V615" s="152"/>
      <c r="W615" s="152"/>
      <c r="X615" s="152"/>
      <c r="Y615" s="152"/>
      <c r="Z615" s="281"/>
      <c r="AA615" s="281"/>
      <c r="AB615" s="281"/>
      <c r="AC615" s="281"/>
      <c r="AD615" s="281"/>
      <c r="AE615" s="281"/>
      <c r="AF615" s="281"/>
      <c r="AG615" s="170"/>
      <c r="AH615" s="152"/>
      <c r="AI615" s="152"/>
      <c r="AJ615" s="152"/>
      <c r="AK615" s="152"/>
      <c r="AL615" s="152"/>
      <c r="AM615" s="152"/>
      <c r="AN615" s="152"/>
      <c r="AO615" s="152"/>
      <c r="AP615" s="152"/>
      <c r="AQ615" s="152"/>
      <c r="AR615" s="152"/>
    </row>
    <row r="616" ht="12.75" customHeight="1">
      <c r="A616" s="288"/>
      <c r="B616" s="288"/>
      <c r="C616" s="288"/>
      <c r="D616" s="152"/>
      <c r="E616" s="289"/>
      <c r="F616" s="288"/>
      <c r="G616" s="152"/>
      <c r="H616" s="152"/>
      <c r="I616" s="152"/>
      <c r="J616" s="152"/>
      <c r="K616" s="289"/>
      <c r="L616" s="289"/>
      <c r="M616" s="152"/>
      <c r="N616" s="152"/>
      <c r="O616" s="156"/>
      <c r="P616" s="152"/>
      <c r="Q616" s="152"/>
      <c r="R616" s="152"/>
      <c r="S616" s="152"/>
      <c r="T616" s="152"/>
      <c r="U616" s="152"/>
      <c r="V616" s="152"/>
      <c r="W616" s="152"/>
      <c r="X616" s="152"/>
      <c r="Y616" s="152"/>
      <c r="Z616" s="281"/>
      <c r="AA616" s="281"/>
      <c r="AB616" s="281"/>
      <c r="AC616" s="281"/>
      <c r="AD616" s="281"/>
      <c r="AE616" s="281"/>
      <c r="AF616" s="281"/>
      <c r="AG616" s="170"/>
      <c r="AH616" s="152"/>
      <c r="AI616" s="152"/>
      <c r="AJ616" s="152"/>
      <c r="AK616" s="152"/>
      <c r="AL616" s="152"/>
      <c r="AM616" s="152"/>
      <c r="AN616" s="152"/>
      <c r="AO616" s="152"/>
      <c r="AP616" s="152"/>
      <c r="AQ616" s="152"/>
      <c r="AR616" s="152"/>
    </row>
    <row r="617" ht="12.75" customHeight="1">
      <c r="A617" s="288"/>
      <c r="B617" s="288"/>
      <c r="C617" s="288"/>
      <c r="D617" s="152"/>
      <c r="E617" s="289"/>
      <c r="F617" s="288"/>
      <c r="G617" s="152"/>
      <c r="H617" s="152"/>
      <c r="I617" s="152"/>
      <c r="J617" s="152"/>
      <c r="K617" s="289"/>
      <c r="L617" s="289"/>
      <c r="M617" s="152"/>
      <c r="N617" s="152"/>
      <c r="O617" s="156"/>
      <c r="P617" s="152"/>
      <c r="Q617" s="152"/>
      <c r="R617" s="152"/>
      <c r="S617" s="152"/>
      <c r="T617" s="152"/>
      <c r="U617" s="152"/>
      <c r="V617" s="152"/>
      <c r="W617" s="152"/>
      <c r="X617" s="152"/>
      <c r="Y617" s="152"/>
      <c r="Z617" s="281"/>
      <c r="AA617" s="281"/>
      <c r="AB617" s="281"/>
      <c r="AC617" s="281"/>
      <c r="AD617" s="281"/>
      <c r="AE617" s="281"/>
      <c r="AF617" s="281"/>
      <c r="AG617" s="170"/>
      <c r="AH617" s="152"/>
      <c r="AI617" s="152"/>
      <c r="AJ617" s="152"/>
      <c r="AK617" s="152"/>
      <c r="AL617" s="152"/>
      <c r="AM617" s="152"/>
      <c r="AN617" s="152"/>
      <c r="AO617" s="152"/>
      <c r="AP617" s="152"/>
      <c r="AQ617" s="152"/>
      <c r="AR617" s="152"/>
    </row>
    <row r="618" ht="12.75" customHeight="1">
      <c r="A618" s="288"/>
      <c r="B618" s="288"/>
      <c r="C618" s="288"/>
      <c r="D618" s="152"/>
      <c r="E618" s="289"/>
      <c r="F618" s="288"/>
      <c r="G618" s="152"/>
      <c r="H618" s="152"/>
      <c r="I618" s="152"/>
      <c r="J618" s="152"/>
      <c r="K618" s="289"/>
      <c r="L618" s="289"/>
      <c r="M618" s="152"/>
      <c r="N618" s="152"/>
      <c r="O618" s="156"/>
      <c r="P618" s="152"/>
      <c r="Q618" s="152"/>
      <c r="R618" s="152"/>
      <c r="S618" s="152"/>
      <c r="T618" s="152"/>
      <c r="U618" s="152"/>
      <c r="V618" s="152"/>
      <c r="W618" s="152"/>
      <c r="X618" s="152"/>
      <c r="Y618" s="152"/>
      <c r="Z618" s="281"/>
      <c r="AA618" s="281"/>
      <c r="AB618" s="281"/>
      <c r="AC618" s="281"/>
      <c r="AD618" s="281"/>
      <c r="AE618" s="281"/>
      <c r="AF618" s="281"/>
      <c r="AG618" s="170"/>
      <c r="AH618" s="152"/>
      <c r="AI618" s="152"/>
      <c r="AJ618" s="152"/>
      <c r="AK618" s="152"/>
      <c r="AL618" s="152"/>
      <c r="AM618" s="152"/>
      <c r="AN618" s="152"/>
      <c r="AO618" s="152"/>
      <c r="AP618" s="152"/>
      <c r="AQ618" s="152"/>
      <c r="AR618" s="152"/>
    </row>
    <row r="619" ht="12.75" customHeight="1">
      <c r="A619" s="288"/>
      <c r="B619" s="288"/>
      <c r="C619" s="288"/>
      <c r="D619" s="152"/>
      <c r="E619" s="289"/>
      <c r="F619" s="288"/>
      <c r="G619" s="152"/>
      <c r="H619" s="152"/>
      <c r="I619" s="152"/>
      <c r="J619" s="152"/>
      <c r="K619" s="289"/>
      <c r="L619" s="289"/>
      <c r="M619" s="152"/>
      <c r="N619" s="152"/>
      <c r="O619" s="156"/>
      <c r="P619" s="152"/>
      <c r="Q619" s="152"/>
      <c r="R619" s="152"/>
      <c r="S619" s="152"/>
      <c r="T619" s="152"/>
      <c r="U619" s="152"/>
      <c r="V619" s="152"/>
      <c r="W619" s="152"/>
      <c r="X619" s="152"/>
      <c r="Y619" s="152"/>
      <c r="Z619" s="281"/>
      <c r="AA619" s="281"/>
      <c r="AB619" s="281"/>
      <c r="AC619" s="281"/>
      <c r="AD619" s="281"/>
      <c r="AE619" s="281"/>
      <c r="AF619" s="281"/>
      <c r="AG619" s="170"/>
      <c r="AH619" s="152"/>
      <c r="AI619" s="152"/>
      <c r="AJ619" s="152"/>
      <c r="AK619" s="152"/>
      <c r="AL619" s="152"/>
      <c r="AM619" s="152"/>
      <c r="AN619" s="152"/>
      <c r="AO619" s="152"/>
      <c r="AP619" s="152"/>
      <c r="AQ619" s="152"/>
      <c r="AR619" s="152"/>
    </row>
    <row r="620" ht="12.75" customHeight="1">
      <c r="A620" s="288"/>
      <c r="B620" s="288"/>
      <c r="C620" s="288"/>
      <c r="D620" s="152"/>
      <c r="E620" s="289"/>
      <c r="F620" s="288"/>
      <c r="G620" s="152"/>
      <c r="H620" s="152"/>
      <c r="I620" s="152"/>
      <c r="J620" s="152"/>
      <c r="K620" s="289"/>
      <c r="L620" s="289"/>
      <c r="M620" s="152"/>
      <c r="N620" s="152"/>
      <c r="O620" s="156"/>
      <c r="P620" s="152"/>
      <c r="Q620" s="152"/>
      <c r="R620" s="152"/>
      <c r="S620" s="152"/>
      <c r="T620" s="152"/>
      <c r="U620" s="152"/>
      <c r="V620" s="152"/>
      <c r="W620" s="152"/>
      <c r="X620" s="152"/>
      <c r="Y620" s="152"/>
      <c r="Z620" s="281"/>
      <c r="AA620" s="281"/>
      <c r="AB620" s="281"/>
      <c r="AC620" s="281"/>
      <c r="AD620" s="281"/>
      <c r="AE620" s="281"/>
      <c r="AF620" s="281"/>
      <c r="AG620" s="170"/>
      <c r="AH620" s="152"/>
      <c r="AI620" s="152"/>
      <c r="AJ620" s="152"/>
      <c r="AK620" s="152"/>
      <c r="AL620" s="152"/>
      <c r="AM620" s="152"/>
      <c r="AN620" s="152"/>
      <c r="AO620" s="152"/>
      <c r="AP620" s="152"/>
      <c r="AQ620" s="152"/>
      <c r="AR620" s="152"/>
    </row>
    <row r="621" ht="12.75" customHeight="1">
      <c r="A621" s="288"/>
      <c r="B621" s="288"/>
      <c r="C621" s="288"/>
      <c r="D621" s="152"/>
      <c r="E621" s="289"/>
      <c r="F621" s="288"/>
      <c r="G621" s="152"/>
      <c r="H621" s="152"/>
      <c r="I621" s="152"/>
      <c r="J621" s="152"/>
      <c r="K621" s="289"/>
      <c r="L621" s="289"/>
      <c r="M621" s="152"/>
      <c r="N621" s="152"/>
      <c r="O621" s="156"/>
      <c r="P621" s="152"/>
      <c r="Q621" s="152"/>
      <c r="R621" s="152"/>
      <c r="S621" s="152"/>
      <c r="T621" s="152"/>
      <c r="U621" s="152"/>
      <c r="V621" s="152"/>
      <c r="W621" s="152"/>
      <c r="X621" s="152"/>
      <c r="Y621" s="152"/>
      <c r="Z621" s="281"/>
      <c r="AA621" s="281"/>
      <c r="AB621" s="281"/>
      <c r="AC621" s="281"/>
      <c r="AD621" s="281"/>
      <c r="AE621" s="281"/>
      <c r="AF621" s="281"/>
      <c r="AG621" s="170"/>
      <c r="AH621" s="152"/>
      <c r="AI621" s="152"/>
      <c r="AJ621" s="152"/>
      <c r="AK621" s="152"/>
      <c r="AL621" s="152"/>
      <c r="AM621" s="152"/>
      <c r="AN621" s="152"/>
      <c r="AO621" s="152"/>
      <c r="AP621" s="152"/>
      <c r="AQ621" s="152"/>
      <c r="AR621" s="152"/>
    </row>
    <row r="622" ht="12.75" customHeight="1">
      <c r="A622" s="288"/>
      <c r="B622" s="288"/>
      <c r="C622" s="288"/>
      <c r="D622" s="152"/>
      <c r="E622" s="289"/>
      <c r="F622" s="288"/>
      <c r="G622" s="152"/>
      <c r="H622" s="152"/>
      <c r="I622" s="152"/>
      <c r="J622" s="152"/>
      <c r="K622" s="289"/>
      <c r="L622" s="289"/>
      <c r="M622" s="152"/>
      <c r="N622" s="152"/>
      <c r="O622" s="156"/>
      <c r="P622" s="152"/>
      <c r="Q622" s="152"/>
      <c r="R622" s="152"/>
      <c r="S622" s="152"/>
      <c r="T622" s="152"/>
      <c r="U622" s="152"/>
      <c r="V622" s="152"/>
      <c r="W622" s="152"/>
      <c r="X622" s="152"/>
      <c r="Y622" s="152"/>
      <c r="Z622" s="281"/>
      <c r="AA622" s="281"/>
      <c r="AB622" s="281"/>
      <c r="AC622" s="281"/>
      <c r="AD622" s="281"/>
      <c r="AE622" s="281"/>
      <c r="AF622" s="281"/>
      <c r="AG622" s="170"/>
      <c r="AH622" s="152"/>
      <c r="AI622" s="152"/>
      <c r="AJ622" s="152"/>
      <c r="AK622" s="152"/>
      <c r="AL622" s="152"/>
      <c r="AM622" s="152"/>
      <c r="AN622" s="152"/>
      <c r="AO622" s="152"/>
      <c r="AP622" s="152"/>
      <c r="AQ622" s="152"/>
      <c r="AR622" s="152"/>
    </row>
    <row r="623" ht="12.75" customHeight="1">
      <c r="A623" s="288"/>
      <c r="B623" s="288"/>
      <c r="C623" s="288"/>
      <c r="D623" s="152"/>
      <c r="E623" s="289"/>
      <c r="F623" s="288"/>
      <c r="G623" s="152"/>
      <c r="H623" s="152"/>
      <c r="I623" s="152"/>
      <c r="J623" s="152"/>
      <c r="K623" s="289"/>
      <c r="L623" s="289"/>
      <c r="M623" s="152"/>
      <c r="N623" s="152"/>
      <c r="O623" s="156"/>
      <c r="P623" s="152"/>
      <c r="Q623" s="152"/>
      <c r="R623" s="152"/>
      <c r="S623" s="152"/>
      <c r="T623" s="152"/>
      <c r="U623" s="152"/>
      <c r="V623" s="152"/>
      <c r="W623" s="152"/>
      <c r="X623" s="152"/>
      <c r="Y623" s="152"/>
      <c r="Z623" s="281"/>
      <c r="AA623" s="281"/>
      <c r="AB623" s="281"/>
      <c r="AC623" s="281"/>
      <c r="AD623" s="281"/>
      <c r="AE623" s="281"/>
      <c r="AF623" s="281"/>
      <c r="AG623" s="170"/>
      <c r="AH623" s="152"/>
      <c r="AI623" s="152"/>
      <c r="AJ623" s="152"/>
      <c r="AK623" s="152"/>
      <c r="AL623" s="152"/>
      <c r="AM623" s="152"/>
      <c r="AN623" s="152"/>
      <c r="AO623" s="152"/>
      <c r="AP623" s="152"/>
      <c r="AQ623" s="152"/>
      <c r="AR623" s="152"/>
    </row>
    <row r="624" ht="12.75" customHeight="1">
      <c r="A624" s="288"/>
      <c r="B624" s="288"/>
      <c r="C624" s="288"/>
      <c r="D624" s="152"/>
      <c r="E624" s="289"/>
      <c r="F624" s="288"/>
      <c r="G624" s="152"/>
      <c r="H624" s="152"/>
      <c r="I624" s="152"/>
      <c r="J624" s="152"/>
      <c r="K624" s="289"/>
      <c r="L624" s="289"/>
      <c r="M624" s="152"/>
      <c r="N624" s="152"/>
      <c r="O624" s="156"/>
      <c r="P624" s="152"/>
      <c r="Q624" s="152"/>
      <c r="R624" s="152"/>
      <c r="S624" s="152"/>
      <c r="T624" s="152"/>
      <c r="U624" s="152"/>
      <c r="V624" s="152"/>
      <c r="W624" s="152"/>
      <c r="X624" s="152"/>
      <c r="Y624" s="152"/>
      <c r="Z624" s="281"/>
      <c r="AA624" s="281"/>
      <c r="AB624" s="281"/>
      <c r="AC624" s="281"/>
      <c r="AD624" s="281"/>
      <c r="AE624" s="281"/>
      <c r="AF624" s="281"/>
      <c r="AG624" s="170"/>
      <c r="AH624" s="152"/>
      <c r="AI624" s="152"/>
      <c r="AJ624" s="152"/>
      <c r="AK624" s="152"/>
      <c r="AL624" s="152"/>
      <c r="AM624" s="152"/>
      <c r="AN624" s="152"/>
      <c r="AO624" s="152"/>
      <c r="AP624" s="152"/>
      <c r="AQ624" s="152"/>
      <c r="AR624" s="152"/>
    </row>
    <row r="625" ht="12.75" customHeight="1">
      <c r="A625" s="288"/>
      <c r="B625" s="288"/>
      <c r="C625" s="288"/>
      <c r="D625" s="152"/>
      <c r="E625" s="289"/>
      <c r="F625" s="288"/>
      <c r="G625" s="152"/>
      <c r="H625" s="152"/>
      <c r="I625" s="152"/>
      <c r="J625" s="152"/>
      <c r="K625" s="289"/>
      <c r="L625" s="289"/>
      <c r="M625" s="152"/>
      <c r="N625" s="152"/>
      <c r="O625" s="156"/>
      <c r="P625" s="152"/>
      <c r="Q625" s="152"/>
      <c r="R625" s="152"/>
      <c r="S625" s="152"/>
      <c r="T625" s="152"/>
      <c r="U625" s="152"/>
      <c r="V625" s="152"/>
      <c r="W625" s="152"/>
      <c r="X625" s="152"/>
      <c r="Y625" s="152"/>
      <c r="Z625" s="281"/>
      <c r="AA625" s="281"/>
      <c r="AB625" s="281"/>
      <c r="AC625" s="281"/>
      <c r="AD625" s="281"/>
      <c r="AE625" s="281"/>
      <c r="AF625" s="281"/>
      <c r="AG625" s="170"/>
      <c r="AH625" s="152"/>
      <c r="AI625" s="152"/>
      <c r="AJ625" s="152"/>
      <c r="AK625" s="152"/>
      <c r="AL625" s="152"/>
      <c r="AM625" s="152"/>
      <c r="AN625" s="152"/>
      <c r="AO625" s="152"/>
      <c r="AP625" s="152"/>
      <c r="AQ625" s="152"/>
      <c r="AR625" s="152"/>
    </row>
    <row r="626" ht="12.75" customHeight="1">
      <c r="A626" s="288"/>
      <c r="B626" s="288"/>
      <c r="C626" s="288"/>
      <c r="D626" s="152"/>
      <c r="E626" s="289"/>
      <c r="F626" s="288"/>
      <c r="G626" s="152"/>
      <c r="H626" s="152"/>
      <c r="I626" s="152"/>
      <c r="J626" s="152"/>
      <c r="K626" s="289"/>
      <c r="L626" s="289"/>
      <c r="M626" s="152"/>
      <c r="N626" s="152"/>
      <c r="O626" s="156"/>
      <c r="P626" s="152"/>
      <c r="Q626" s="152"/>
      <c r="R626" s="152"/>
      <c r="S626" s="152"/>
      <c r="T626" s="152"/>
      <c r="U626" s="152"/>
      <c r="V626" s="152"/>
      <c r="W626" s="152"/>
      <c r="X626" s="152"/>
      <c r="Y626" s="152"/>
      <c r="Z626" s="281"/>
      <c r="AA626" s="281"/>
      <c r="AB626" s="281"/>
      <c r="AC626" s="281"/>
      <c r="AD626" s="281"/>
      <c r="AE626" s="281"/>
      <c r="AF626" s="281"/>
      <c r="AG626" s="170"/>
      <c r="AH626" s="152"/>
      <c r="AI626" s="152"/>
      <c r="AJ626" s="152"/>
      <c r="AK626" s="152"/>
      <c r="AL626" s="152"/>
      <c r="AM626" s="152"/>
      <c r="AN626" s="152"/>
      <c r="AO626" s="152"/>
      <c r="AP626" s="152"/>
      <c r="AQ626" s="152"/>
      <c r="AR626" s="152"/>
    </row>
    <row r="627" ht="12.75" customHeight="1">
      <c r="A627" s="288"/>
      <c r="B627" s="288"/>
      <c r="C627" s="288"/>
      <c r="D627" s="152"/>
      <c r="E627" s="289"/>
      <c r="F627" s="288"/>
      <c r="G627" s="152"/>
      <c r="H627" s="152"/>
      <c r="I627" s="152"/>
      <c r="J627" s="152"/>
      <c r="K627" s="289"/>
      <c r="L627" s="289"/>
      <c r="M627" s="152"/>
      <c r="N627" s="152"/>
      <c r="O627" s="156"/>
      <c r="P627" s="152"/>
      <c r="Q627" s="152"/>
      <c r="R627" s="152"/>
      <c r="S627" s="152"/>
      <c r="T627" s="152"/>
      <c r="U627" s="152"/>
      <c r="V627" s="152"/>
      <c r="W627" s="152"/>
      <c r="X627" s="152"/>
      <c r="Y627" s="152"/>
      <c r="Z627" s="281"/>
      <c r="AA627" s="281"/>
      <c r="AB627" s="281"/>
      <c r="AC627" s="281"/>
      <c r="AD627" s="281"/>
      <c r="AE627" s="281"/>
      <c r="AF627" s="281"/>
      <c r="AG627" s="170"/>
      <c r="AH627" s="152"/>
      <c r="AI627" s="152"/>
      <c r="AJ627" s="152"/>
      <c r="AK627" s="152"/>
      <c r="AL627" s="152"/>
      <c r="AM627" s="152"/>
      <c r="AN627" s="152"/>
      <c r="AO627" s="152"/>
      <c r="AP627" s="152"/>
      <c r="AQ627" s="152"/>
      <c r="AR627" s="152"/>
    </row>
    <row r="628" ht="12.75" customHeight="1">
      <c r="A628" s="288"/>
      <c r="B628" s="288"/>
      <c r="C628" s="288"/>
      <c r="D628" s="152"/>
      <c r="E628" s="289"/>
      <c r="F628" s="288"/>
      <c r="G628" s="152"/>
      <c r="H628" s="152"/>
      <c r="I628" s="152"/>
      <c r="J628" s="152"/>
      <c r="K628" s="289"/>
      <c r="L628" s="289"/>
      <c r="M628" s="152"/>
      <c r="N628" s="152"/>
      <c r="O628" s="156"/>
      <c r="P628" s="152"/>
      <c r="Q628" s="152"/>
      <c r="R628" s="152"/>
      <c r="S628" s="152"/>
      <c r="T628" s="152"/>
      <c r="U628" s="152"/>
      <c r="V628" s="152"/>
      <c r="W628" s="152"/>
      <c r="X628" s="152"/>
      <c r="Y628" s="152"/>
      <c r="Z628" s="281"/>
      <c r="AA628" s="281"/>
      <c r="AB628" s="281"/>
      <c r="AC628" s="281"/>
      <c r="AD628" s="281"/>
      <c r="AE628" s="281"/>
      <c r="AF628" s="281"/>
      <c r="AG628" s="170"/>
      <c r="AH628" s="152"/>
      <c r="AI628" s="152"/>
      <c r="AJ628" s="152"/>
      <c r="AK628" s="152"/>
      <c r="AL628" s="152"/>
      <c r="AM628" s="152"/>
      <c r="AN628" s="152"/>
      <c r="AO628" s="152"/>
      <c r="AP628" s="152"/>
      <c r="AQ628" s="152"/>
      <c r="AR628" s="152"/>
    </row>
    <row r="629" ht="12.75" customHeight="1">
      <c r="A629" s="288"/>
      <c r="B629" s="288"/>
      <c r="C629" s="288"/>
      <c r="D629" s="152"/>
      <c r="E629" s="289"/>
      <c r="F629" s="288"/>
      <c r="G629" s="152"/>
      <c r="H629" s="152"/>
      <c r="I629" s="152"/>
      <c r="J629" s="152"/>
      <c r="K629" s="289"/>
      <c r="L629" s="289"/>
      <c r="M629" s="152"/>
      <c r="N629" s="152"/>
      <c r="O629" s="156"/>
      <c r="P629" s="152"/>
      <c r="Q629" s="152"/>
      <c r="R629" s="152"/>
      <c r="S629" s="152"/>
      <c r="T629" s="152"/>
      <c r="U629" s="152"/>
      <c r="V629" s="152"/>
      <c r="W629" s="152"/>
      <c r="X629" s="152"/>
      <c r="Y629" s="152"/>
      <c r="Z629" s="281"/>
      <c r="AA629" s="281"/>
      <c r="AB629" s="281"/>
      <c r="AC629" s="281"/>
      <c r="AD629" s="281"/>
      <c r="AE629" s="281"/>
      <c r="AF629" s="281"/>
      <c r="AG629" s="170"/>
      <c r="AH629" s="152"/>
      <c r="AI629" s="152"/>
      <c r="AJ629" s="152"/>
      <c r="AK629" s="152"/>
      <c r="AL629" s="152"/>
      <c r="AM629" s="152"/>
      <c r="AN629" s="152"/>
      <c r="AO629" s="152"/>
      <c r="AP629" s="152"/>
      <c r="AQ629" s="152"/>
      <c r="AR629" s="152"/>
    </row>
    <row r="630" ht="12.75" customHeight="1">
      <c r="A630" s="288"/>
      <c r="B630" s="288"/>
      <c r="C630" s="288"/>
      <c r="D630" s="152"/>
      <c r="E630" s="289"/>
      <c r="F630" s="288"/>
      <c r="G630" s="152"/>
      <c r="H630" s="152"/>
      <c r="I630" s="152"/>
      <c r="J630" s="152"/>
      <c r="K630" s="289"/>
      <c r="L630" s="289"/>
      <c r="M630" s="152"/>
      <c r="N630" s="152"/>
      <c r="O630" s="156"/>
      <c r="P630" s="152"/>
      <c r="Q630" s="152"/>
      <c r="R630" s="152"/>
      <c r="S630" s="152"/>
      <c r="T630" s="152"/>
      <c r="U630" s="152"/>
      <c r="V630" s="152"/>
      <c r="W630" s="152"/>
      <c r="X630" s="152"/>
      <c r="Y630" s="152"/>
      <c r="Z630" s="281"/>
      <c r="AA630" s="281"/>
      <c r="AB630" s="281"/>
      <c r="AC630" s="281"/>
      <c r="AD630" s="281"/>
      <c r="AE630" s="281"/>
      <c r="AF630" s="281"/>
      <c r="AG630" s="170"/>
      <c r="AH630" s="152"/>
      <c r="AI630" s="152"/>
      <c r="AJ630" s="152"/>
      <c r="AK630" s="152"/>
      <c r="AL630" s="152"/>
      <c r="AM630" s="152"/>
      <c r="AN630" s="152"/>
      <c r="AO630" s="152"/>
      <c r="AP630" s="152"/>
      <c r="AQ630" s="152"/>
      <c r="AR630" s="152"/>
    </row>
    <row r="631" ht="12.75" customHeight="1">
      <c r="A631" s="288"/>
      <c r="B631" s="288"/>
      <c r="C631" s="288"/>
      <c r="D631" s="152"/>
      <c r="E631" s="289"/>
      <c r="F631" s="288"/>
      <c r="G631" s="152"/>
      <c r="H631" s="152"/>
      <c r="I631" s="152"/>
      <c r="J631" s="152"/>
      <c r="K631" s="289"/>
      <c r="L631" s="289"/>
      <c r="M631" s="152"/>
      <c r="N631" s="152"/>
      <c r="O631" s="156"/>
      <c r="P631" s="152"/>
      <c r="Q631" s="152"/>
      <c r="R631" s="152"/>
      <c r="S631" s="152"/>
      <c r="T631" s="152"/>
      <c r="U631" s="152"/>
      <c r="V631" s="152"/>
      <c r="W631" s="152"/>
      <c r="X631" s="152"/>
      <c r="Y631" s="152"/>
      <c r="Z631" s="281"/>
      <c r="AA631" s="281"/>
      <c r="AB631" s="281"/>
      <c r="AC631" s="281"/>
      <c r="AD631" s="281"/>
      <c r="AE631" s="281"/>
      <c r="AF631" s="281"/>
      <c r="AG631" s="170"/>
      <c r="AH631" s="152"/>
      <c r="AI631" s="152"/>
      <c r="AJ631" s="152"/>
      <c r="AK631" s="152"/>
      <c r="AL631" s="152"/>
      <c r="AM631" s="152"/>
      <c r="AN631" s="152"/>
      <c r="AO631" s="152"/>
      <c r="AP631" s="152"/>
      <c r="AQ631" s="152"/>
      <c r="AR631" s="152"/>
    </row>
    <row r="632" ht="12.75" customHeight="1">
      <c r="A632" s="288"/>
      <c r="B632" s="288"/>
      <c r="C632" s="288"/>
      <c r="D632" s="152"/>
      <c r="E632" s="289"/>
      <c r="F632" s="288"/>
      <c r="G632" s="152"/>
      <c r="H632" s="152"/>
      <c r="I632" s="152"/>
      <c r="J632" s="152"/>
      <c r="K632" s="289"/>
      <c r="L632" s="289"/>
      <c r="M632" s="152"/>
      <c r="N632" s="152"/>
      <c r="O632" s="156"/>
      <c r="P632" s="152"/>
      <c r="Q632" s="152"/>
      <c r="R632" s="152"/>
      <c r="S632" s="152"/>
      <c r="T632" s="152"/>
      <c r="U632" s="152"/>
      <c r="V632" s="152"/>
      <c r="W632" s="152"/>
      <c r="X632" s="152"/>
      <c r="Y632" s="152"/>
      <c r="Z632" s="281"/>
      <c r="AA632" s="281"/>
      <c r="AB632" s="281"/>
      <c r="AC632" s="281"/>
      <c r="AD632" s="281"/>
      <c r="AE632" s="281"/>
      <c r="AF632" s="281"/>
      <c r="AG632" s="170"/>
      <c r="AH632" s="152"/>
      <c r="AI632" s="152"/>
      <c r="AJ632" s="152"/>
      <c r="AK632" s="152"/>
      <c r="AL632" s="152"/>
      <c r="AM632" s="152"/>
      <c r="AN632" s="152"/>
      <c r="AO632" s="152"/>
      <c r="AP632" s="152"/>
      <c r="AQ632" s="152"/>
      <c r="AR632" s="152"/>
    </row>
    <row r="633" ht="12.75" customHeight="1">
      <c r="A633" s="288"/>
      <c r="B633" s="288"/>
      <c r="C633" s="288"/>
      <c r="D633" s="152"/>
      <c r="E633" s="289"/>
      <c r="F633" s="288"/>
      <c r="G633" s="152"/>
      <c r="H633" s="152"/>
      <c r="I633" s="152"/>
      <c r="J633" s="152"/>
      <c r="K633" s="289"/>
      <c r="L633" s="289"/>
      <c r="M633" s="152"/>
      <c r="N633" s="152"/>
      <c r="O633" s="156"/>
      <c r="P633" s="152"/>
      <c r="Q633" s="152"/>
      <c r="R633" s="152"/>
      <c r="S633" s="152"/>
      <c r="T633" s="152"/>
      <c r="U633" s="152"/>
      <c r="V633" s="152"/>
      <c r="W633" s="152"/>
      <c r="X633" s="152"/>
      <c r="Y633" s="152"/>
      <c r="Z633" s="281"/>
      <c r="AA633" s="281"/>
      <c r="AB633" s="281"/>
      <c r="AC633" s="281"/>
      <c r="AD633" s="281"/>
      <c r="AE633" s="281"/>
      <c r="AF633" s="281"/>
      <c r="AG633" s="170"/>
      <c r="AH633" s="152"/>
      <c r="AI633" s="152"/>
      <c r="AJ633" s="152"/>
      <c r="AK633" s="152"/>
      <c r="AL633" s="152"/>
      <c r="AM633" s="152"/>
      <c r="AN633" s="152"/>
      <c r="AO633" s="152"/>
      <c r="AP633" s="152"/>
      <c r="AQ633" s="152"/>
      <c r="AR633" s="152"/>
    </row>
    <row r="634" ht="12.75" customHeight="1">
      <c r="A634" s="288"/>
      <c r="B634" s="288"/>
      <c r="C634" s="288"/>
      <c r="D634" s="152"/>
      <c r="E634" s="289"/>
      <c r="F634" s="288"/>
      <c r="G634" s="152"/>
      <c r="H634" s="152"/>
      <c r="I634" s="152"/>
      <c r="J634" s="152"/>
      <c r="K634" s="289"/>
      <c r="L634" s="289"/>
      <c r="M634" s="152"/>
      <c r="N634" s="152"/>
      <c r="O634" s="156"/>
      <c r="P634" s="152"/>
      <c r="Q634" s="152"/>
      <c r="R634" s="152"/>
      <c r="S634" s="152"/>
      <c r="T634" s="152"/>
      <c r="U634" s="152"/>
      <c r="V634" s="152"/>
      <c r="W634" s="152"/>
      <c r="X634" s="152"/>
      <c r="Y634" s="152"/>
      <c r="Z634" s="281"/>
      <c r="AA634" s="281"/>
      <c r="AB634" s="281"/>
      <c r="AC634" s="281"/>
      <c r="AD634" s="281"/>
      <c r="AE634" s="281"/>
      <c r="AF634" s="281"/>
      <c r="AG634" s="170"/>
      <c r="AH634" s="152"/>
      <c r="AI634" s="152"/>
      <c r="AJ634" s="152"/>
      <c r="AK634" s="152"/>
      <c r="AL634" s="152"/>
      <c r="AM634" s="152"/>
      <c r="AN634" s="152"/>
      <c r="AO634" s="152"/>
      <c r="AP634" s="152"/>
      <c r="AQ634" s="152"/>
      <c r="AR634" s="152"/>
    </row>
    <row r="635" ht="12.75" customHeight="1">
      <c r="A635" s="288"/>
      <c r="B635" s="288"/>
      <c r="C635" s="288"/>
      <c r="D635" s="152"/>
      <c r="E635" s="289"/>
      <c r="F635" s="288"/>
      <c r="G635" s="152"/>
      <c r="H635" s="152"/>
      <c r="I635" s="152"/>
      <c r="J635" s="152"/>
      <c r="K635" s="289"/>
      <c r="L635" s="289"/>
      <c r="M635" s="152"/>
      <c r="N635" s="152"/>
      <c r="O635" s="156"/>
      <c r="P635" s="152"/>
      <c r="Q635" s="152"/>
      <c r="R635" s="152"/>
      <c r="S635" s="152"/>
      <c r="T635" s="152"/>
      <c r="U635" s="152"/>
      <c r="V635" s="152"/>
      <c r="W635" s="152"/>
      <c r="X635" s="152"/>
      <c r="Y635" s="152"/>
      <c r="Z635" s="281"/>
      <c r="AA635" s="281"/>
      <c r="AB635" s="281"/>
      <c r="AC635" s="281"/>
      <c r="AD635" s="281"/>
      <c r="AE635" s="281"/>
      <c r="AF635" s="281"/>
      <c r="AG635" s="170"/>
      <c r="AH635" s="152"/>
      <c r="AI635" s="152"/>
      <c r="AJ635" s="152"/>
      <c r="AK635" s="152"/>
      <c r="AL635" s="152"/>
      <c r="AM635" s="152"/>
      <c r="AN635" s="152"/>
      <c r="AO635" s="152"/>
      <c r="AP635" s="152"/>
      <c r="AQ635" s="152"/>
      <c r="AR635" s="152"/>
    </row>
    <row r="636" ht="12.75" customHeight="1">
      <c r="A636" s="288"/>
      <c r="B636" s="288"/>
      <c r="C636" s="288"/>
      <c r="D636" s="152"/>
      <c r="E636" s="289"/>
      <c r="F636" s="288"/>
      <c r="G636" s="152"/>
      <c r="H636" s="152"/>
      <c r="I636" s="152"/>
      <c r="J636" s="152"/>
      <c r="K636" s="289"/>
      <c r="L636" s="289"/>
      <c r="M636" s="152"/>
      <c r="N636" s="152"/>
      <c r="O636" s="156"/>
      <c r="P636" s="152"/>
      <c r="Q636" s="152"/>
      <c r="R636" s="152"/>
      <c r="S636" s="152"/>
      <c r="T636" s="152"/>
      <c r="U636" s="152"/>
      <c r="V636" s="152"/>
      <c r="W636" s="152"/>
      <c r="X636" s="152"/>
      <c r="Y636" s="152"/>
      <c r="Z636" s="281"/>
      <c r="AA636" s="281"/>
      <c r="AB636" s="281"/>
      <c r="AC636" s="281"/>
      <c r="AD636" s="281"/>
      <c r="AE636" s="281"/>
      <c r="AF636" s="281"/>
      <c r="AG636" s="170"/>
      <c r="AH636" s="152"/>
      <c r="AI636" s="152"/>
      <c r="AJ636" s="152"/>
      <c r="AK636" s="152"/>
      <c r="AL636" s="152"/>
      <c r="AM636" s="152"/>
      <c r="AN636" s="152"/>
      <c r="AO636" s="152"/>
      <c r="AP636" s="152"/>
      <c r="AQ636" s="152"/>
      <c r="AR636" s="152"/>
    </row>
    <row r="637" ht="12.75" customHeight="1">
      <c r="A637" s="288"/>
      <c r="B637" s="288"/>
      <c r="C637" s="288"/>
      <c r="D637" s="152"/>
      <c r="E637" s="289"/>
      <c r="F637" s="288"/>
      <c r="G637" s="152"/>
      <c r="H637" s="152"/>
      <c r="I637" s="152"/>
      <c r="J637" s="152"/>
      <c r="K637" s="289"/>
      <c r="L637" s="289"/>
      <c r="M637" s="152"/>
      <c r="N637" s="152"/>
      <c r="O637" s="156"/>
      <c r="P637" s="152"/>
      <c r="Q637" s="152"/>
      <c r="R637" s="152"/>
      <c r="S637" s="152"/>
      <c r="T637" s="152"/>
      <c r="U637" s="152"/>
      <c r="V637" s="152"/>
      <c r="W637" s="152"/>
      <c r="X637" s="152"/>
      <c r="Y637" s="152"/>
      <c r="Z637" s="281"/>
      <c r="AA637" s="281"/>
      <c r="AB637" s="281"/>
      <c r="AC637" s="281"/>
      <c r="AD637" s="281"/>
      <c r="AE637" s="281"/>
      <c r="AF637" s="281"/>
      <c r="AG637" s="170"/>
      <c r="AH637" s="152"/>
      <c r="AI637" s="152"/>
      <c r="AJ637" s="152"/>
      <c r="AK637" s="152"/>
      <c r="AL637" s="152"/>
      <c r="AM637" s="152"/>
      <c r="AN637" s="152"/>
      <c r="AO637" s="152"/>
      <c r="AP637" s="152"/>
      <c r="AQ637" s="152"/>
      <c r="AR637" s="152"/>
    </row>
    <row r="638" ht="12.75" customHeight="1">
      <c r="A638" s="288"/>
      <c r="B638" s="288"/>
      <c r="C638" s="288"/>
      <c r="D638" s="152"/>
      <c r="E638" s="289"/>
      <c r="F638" s="288"/>
      <c r="G638" s="152"/>
      <c r="H638" s="152"/>
      <c r="I638" s="152"/>
      <c r="J638" s="152"/>
      <c r="K638" s="289"/>
      <c r="L638" s="289"/>
      <c r="M638" s="152"/>
      <c r="N638" s="152"/>
      <c r="O638" s="156"/>
      <c r="P638" s="152"/>
      <c r="Q638" s="152"/>
      <c r="R638" s="152"/>
      <c r="S638" s="152"/>
      <c r="T638" s="152"/>
      <c r="U638" s="152"/>
      <c r="V638" s="152"/>
      <c r="W638" s="152"/>
      <c r="X638" s="152"/>
      <c r="Y638" s="152"/>
      <c r="Z638" s="281"/>
      <c r="AA638" s="281"/>
      <c r="AB638" s="281"/>
      <c r="AC638" s="281"/>
      <c r="AD638" s="281"/>
      <c r="AE638" s="281"/>
      <c r="AF638" s="281"/>
      <c r="AG638" s="170"/>
      <c r="AH638" s="152"/>
      <c r="AI638" s="152"/>
      <c r="AJ638" s="152"/>
      <c r="AK638" s="152"/>
      <c r="AL638" s="152"/>
      <c r="AM638" s="152"/>
      <c r="AN638" s="152"/>
      <c r="AO638" s="152"/>
      <c r="AP638" s="152"/>
      <c r="AQ638" s="152"/>
      <c r="AR638" s="152"/>
    </row>
    <row r="639" ht="12.75" customHeight="1">
      <c r="A639" s="288"/>
      <c r="B639" s="288"/>
      <c r="C639" s="288"/>
      <c r="D639" s="152"/>
      <c r="E639" s="289"/>
      <c r="F639" s="288"/>
      <c r="G639" s="152"/>
      <c r="H639" s="152"/>
      <c r="I639" s="152"/>
      <c r="J639" s="152"/>
      <c r="K639" s="289"/>
      <c r="L639" s="289"/>
      <c r="M639" s="152"/>
      <c r="N639" s="152"/>
      <c r="O639" s="156"/>
      <c r="P639" s="152"/>
      <c r="Q639" s="152"/>
      <c r="R639" s="152"/>
      <c r="S639" s="152"/>
      <c r="T639" s="152"/>
      <c r="U639" s="152"/>
      <c r="V639" s="152"/>
      <c r="W639" s="152"/>
      <c r="X639" s="152"/>
      <c r="Y639" s="152"/>
      <c r="Z639" s="281"/>
      <c r="AA639" s="281"/>
      <c r="AB639" s="281"/>
      <c r="AC639" s="281"/>
      <c r="AD639" s="281"/>
      <c r="AE639" s="281"/>
      <c r="AF639" s="281"/>
      <c r="AG639" s="170"/>
      <c r="AH639" s="152"/>
      <c r="AI639" s="152"/>
      <c r="AJ639" s="152"/>
      <c r="AK639" s="152"/>
      <c r="AL639" s="152"/>
      <c r="AM639" s="152"/>
      <c r="AN639" s="152"/>
      <c r="AO639" s="152"/>
      <c r="AP639" s="152"/>
      <c r="AQ639" s="152"/>
      <c r="AR639" s="152"/>
    </row>
    <row r="640" ht="12.75" customHeight="1">
      <c r="A640" s="288"/>
      <c r="B640" s="288"/>
      <c r="C640" s="288"/>
      <c r="D640" s="152"/>
      <c r="E640" s="289"/>
      <c r="F640" s="288"/>
      <c r="G640" s="152"/>
      <c r="H640" s="152"/>
      <c r="I640" s="152"/>
      <c r="J640" s="152"/>
      <c r="K640" s="289"/>
      <c r="L640" s="289"/>
      <c r="M640" s="152"/>
      <c r="N640" s="152"/>
      <c r="O640" s="156"/>
      <c r="P640" s="152"/>
      <c r="Q640" s="152"/>
      <c r="R640" s="152"/>
      <c r="S640" s="152"/>
      <c r="T640" s="152"/>
      <c r="U640" s="152"/>
      <c r="V640" s="152"/>
      <c r="W640" s="152"/>
      <c r="X640" s="152"/>
      <c r="Y640" s="152"/>
      <c r="Z640" s="281"/>
      <c r="AA640" s="281"/>
      <c r="AB640" s="281"/>
      <c r="AC640" s="281"/>
      <c r="AD640" s="281"/>
      <c r="AE640" s="281"/>
      <c r="AF640" s="281"/>
      <c r="AG640" s="170"/>
      <c r="AH640" s="152"/>
      <c r="AI640" s="152"/>
      <c r="AJ640" s="152"/>
      <c r="AK640" s="152"/>
      <c r="AL640" s="152"/>
      <c r="AM640" s="152"/>
      <c r="AN640" s="152"/>
      <c r="AO640" s="152"/>
      <c r="AP640" s="152"/>
      <c r="AQ640" s="152"/>
      <c r="AR640" s="152"/>
    </row>
    <row r="641" ht="12.75" customHeight="1">
      <c r="A641" s="288"/>
      <c r="B641" s="288"/>
      <c r="C641" s="288"/>
      <c r="D641" s="152"/>
      <c r="E641" s="289"/>
      <c r="F641" s="288"/>
      <c r="G641" s="152"/>
      <c r="H641" s="152"/>
      <c r="I641" s="152"/>
      <c r="J641" s="152"/>
      <c r="K641" s="289"/>
      <c r="L641" s="289"/>
      <c r="M641" s="152"/>
      <c r="N641" s="152"/>
      <c r="O641" s="156"/>
      <c r="P641" s="152"/>
      <c r="Q641" s="152"/>
      <c r="R641" s="152"/>
      <c r="S641" s="152"/>
      <c r="T641" s="152"/>
      <c r="U641" s="152"/>
      <c r="V641" s="152"/>
      <c r="W641" s="152"/>
      <c r="X641" s="152"/>
      <c r="Y641" s="152"/>
      <c r="Z641" s="281"/>
      <c r="AA641" s="281"/>
      <c r="AB641" s="281"/>
      <c r="AC641" s="281"/>
      <c r="AD641" s="281"/>
      <c r="AE641" s="281"/>
      <c r="AF641" s="281"/>
      <c r="AG641" s="170"/>
      <c r="AH641" s="152"/>
      <c r="AI641" s="152"/>
      <c r="AJ641" s="152"/>
      <c r="AK641" s="152"/>
      <c r="AL641" s="152"/>
      <c r="AM641" s="152"/>
      <c r="AN641" s="152"/>
      <c r="AO641" s="152"/>
      <c r="AP641" s="152"/>
      <c r="AQ641" s="152"/>
      <c r="AR641" s="152"/>
    </row>
    <row r="642" ht="12.75" customHeight="1">
      <c r="A642" s="288"/>
      <c r="B642" s="288"/>
      <c r="C642" s="288"/>
      <c r="D642" s="152"/>
      <c r="E642" s="289"/>
      <c r="F642" s="288"/>
      <c r="G642" s="152"/>
      <c r="H642" s="152"/>
      <c r="I642" s="152"/>
      <c r="J642" s="152"/>
      <c r="K642" s="289"/>
      <c r="L642" s="289"/>
      <c r="M642" s="152"/>
      <c r="N642" s="152"/>
      <c r="O642" s="156"/>
      <c r="P642" s="152"/>
      <c r="Q642" s="152"/>
      <c r="R642" s="152"/>
      <c r="S642" s="152"/>
      <c r="T642" s="152"/>
      <c r="U642" s="152"/>
      <c r="V642" s="152"/>
      <c r="W642" s="152"/>
      <c r="X642" s="152"/>
      <c r="Y642" s="152"/>
      <c r="Z642" s="281"/>
      <c r="AA642" s="281"/>
      <c r="AB642" s="281"/>
      <c r="AC642" s="281"/>
      <c r="AD642" s="281"/>
      <c r="AE642" s="281"/>
      <c r="AF642" s="281"/>
      <c r="AG642" s="170"/>
      <c r="AH642" s="152"/>
      <c r="AI642" s="152"/>
      <c r="AJ642" s="152"/>
      <c r="AK642" s="152"/>
      <c r="AL642" s="152"/>
      <c r="AM642" s="152"/>
      <c r="AN642" s="152"/>
      <c r="AO642" s="152"/>
      <c r="AP642" s="152"/>
      <c r="AQ642" s="152"/>
      <c r="AR642" s="152"/>
    </row>
    <row r="643" ht="12.75" customHeight="1">
      <c r="A643" s="288"/>
      <c r="B643" s="288"/>
      <c r="C643" s="288"/>
      <c r="D643" s="152"/>
      <c r="E643" s="289"/>
      <c r="F643" s="288"/>
      <c r="G643" s="152"/>
      <c r="H643" s="152"/>
      <c r="I643" s="152"/>
      <c r="J643" s="152"/>
      <c r="K643" s="289"/>
      <c r="L643" s="289"/>
      <c r="M643" s="152"/>
      <c r="N643" s="152"/>
      <c r="O643" s="156"/>
      <c r="P643" s="152"/>
      <c r="Q643" s="152"/>
      <c r="R643" s="152"/>
      <c r="S643" s="152"/>
      <c r="T643" s="152"/>
      <c r="U643" s="152"/>
      <c r="V643" s="152"/>
      <c r="W643" s="152"/>
      <c r="X643" s="152"/>
      <c r="Y643" s="152"/>
      <c r="Z643" s="281"/>
      <c r="AA643" s="281"/>
      <c r="AB643" s="281"/>
      <c r="AC643" s="281"/>
      <c r="AD643" s="281"/>
      <c r="AE643" s="281"/>
      <c r="AF643" s="281"/>
      <c r="AG643" s="170"/>
      <c r="AH643" s="152"/>
      <c r="AI643" s="152"/>
      <c r="AJ643" s="152"/>
      <c r="AK643" s="152"/>
      <c r="AL643" s="152"/>
      <c r="AM643" s="152"/>
      <c r="AN643" s="152"/>
      <c r="AO643" s="152"/>
      <c r="AP643" s="152"/>
      <c r="AQ643" s="152"/>
      <c r="AR643" s="152"/>
    </row>
    <row r="644" ht="12.75" customHeight="1">
      <c r="A644" s="288"/>
      <c r="B644" s="288"/>
      <c r="C644" s="288"/>
      <c r="D644" s="152"/>
      <c r="E644" s="289"/>
      <c r="F644" s="288"/>
      <c r="G644" s="152"/>
      <c r="H644" s="152"/>
      <c r="I644" s="152"/>
      <c r="J644" s="152"/>
      <c r="K644" s="289"/>
      <c r="L644" s="289"/>
      <c r="M644" s="152"/>
      <c r="N644" s="152"/>
      <c r="O644" s="156"/>
      <c r="P644" s="152"/>
      <c r="Q644" s="152"/>
      <c r="R644" s="152"/>
      <c r="S644" s="152"/>
      <c r="T644" s="152"/>
      <c r="U644" s="152"/>
      <c r="V644" s="152"/>
      <c r="W644" s="152"/>
      <c r="X644" s="152"/>
      <c r="Y644" s="152"/>
      <c r="Z644" s="281"/>
      <c r="AA644" s="281"/>
      <c r="AB644" s="281"/>
      <c r="AC644" s="281"/>
      <c r="AD644" s="281"/>
      <c r="AE644" s="281"/>
      <c r="AF644" s="281"/>
      <c r="AG644" s="170"/>
      <c r="AH644" s="152"/>
      <c r="AI644" s="152"/>
      <c r="AJ644" s="152"/>
      <c r="AK644" s="152"/>
      <c r="AL644" s="152"/>
      <c r="AM644" s="152"/>
      <c r="AN644" s="152"/>
      <c r="AO644" s="152"/>
      <c r="AP644" s="152"/>
      <c r="AQ644" s="152"/>
      <c r="AR644" s="152"/>
    </row>
    <row r="645" ht="12.75" customHeight="1">
      <c r="A645" s="288"/>
      <c r="B645" s="288"/>
      <c r="C645" s="288"/>
      <c r="D645" s="152"/>
      <c r="E645" s="289"/>
      <c r="F645" s="288"/>
      <c r="G645" s="152"/>
      <c r="H645" s="152"/>
      <c r="I645" s="152"/>
      <c r="J645" s="152"/>
      <c r="K645" s="289"/>
      <c r="L645" s="289"/>
      <c r="M645" s="152"/>
      <c r="N645" s="152"/>
      <c r="O645" s="156"/>
      <c r="P645" s="152"/>
      <c r="Q645" s="152"/>
      <c r="R645" s="152"/>
      <c r="S645" s="152"/>
      <c r="T645" s="152"/>
      <c r="U645" s="152"/>
      <c r="V645" s="152"/>
      <c r="W645" s="152"/>
      <c r="X645" s="152"/>
      <c r="Y645" s="152"/>
      <c r="Z645" s="281"/>
      <c r="AA645" s="281"/>
      <c r="AB645" s="281"/>
      <c r="AC645" s="281"/>
      <c r="AD645" s="281"/>
      <c r="AE645" s="281"/>
      <c r="AF645" s="281"/>
      <c r="AG645" s="170"/>
      <c r="AH645" s="152"/>
      <c r="AI645" s="152"/>
      <c r="AJ645" s="152"/>
      <c r="AK645" s="152"/>
      <c r="AL645" s="152"/>
      <c r="AM645" s="152"/>
      <c r="AN645" s="152"/>
      <c r="AO645" s="152"/>
      <c r="AP645" s="152"/>
      <c r="AQ645" s="152"/>
      <c r="AR645" s="152"/>
    </row>
    <row r="646" ht="12.75" customHeight="1">
      <c r="A646" s="288"/>
      <c r="B646" s="288"/>
      <c r="C646" s="288"/>
      <c r="D646" s="152"/>
      <c r="E646" s="289"/>
      <c r="F646" s="288"/>
      <c r="G646" s="152"/>
      <c r="H646" s="152"/>
      <c r="I646" s="152"/>
      <c r="J646" s="152"/>
      <c r="K646" s="289"/>
      <c r="L646" s="289"/>
      <c r="M646" s="152"/>
      <c r="N646" s="152"/>
      <c r="O646" s="156"/>
      <c r="P646" s="152"/>
      <c r="Q646" s="152"/>
      <c r="R646" s="152"/>
      <c r="S646" s="152"/>
      <c r="T646" s="152"/>
      <c r="U646" s="152"/>
      <c r="V646" s="152"/>
      <c r="W646" s="152"/>
      <c r="X646" s="152"/>
      <c r="Y646" s="152"/>
      <c r="Z646" s="281"/>
      <c r="AA646" s="281"/>
      <c r="AB646" s="281"/>
      <c r="AC646" s="281"/>
      <c r="AD646" s="281"/>
      <c r="AE646" s="281"/>
      <c r="AF646" s="281"/>
      <c r="AG646" s="170"/>
      <c r="AH646" s="152"/>
      <c r="AI646" s="152"/>
      <c r="AJ646" s="152"/>
      <c r="AK646" s="152"/>
      <c r="AL646" s="152"/>
      <c r="AM646" s="152"/>
      <c r="AN646" s="152"/>
      <c r="AO646" s="152"/>
      <c r="AP646" s="152"/>
      <c r="AQ646" s="152"/>
      <c r="AR646" s="152"/>
    </row>
    <row r="647" ht="12.75" customHeight="1">
      <c r="A647" s="288"/>
      <c r="B647" s="288"/>
      <c r="C647" s="288"/>
      <c r="D647" s="152"/>
      <c r="E647" s="289"/>
      <c r="F647" s="288"/>
      <c r="G647" s="152"/>
      <c r="H647" s="152"/>
      <c r="I647" s="152"/>
      <c r="J647" s="152"/>
      <c r="K647" s="289"/>
      <c r="L647" s="289"/>
      <c r="M647" s="152"/>
      <c r="N647" s="152"/>
      <c r="O647" s="156"/>
      <c r="P647" s="152"/>
      <c r="Q647" s="152"/>
      <c r="R647" s="152"/>
      <c r="S647" s="152"/>
      <c r="T647" s="152"/>
      <c r="U647" s="152"/>
      <c r="V647" s="152"/>
      <c r="W647" s="152"/>
      <c r="X647" s="152"/>
      <c r="Y647" s="152"/>
      <c r="Z647" s="281"/>
      <c r="AA647" s="281"/>
      <c r="AB647" s="281"/>
      <c r="AC647" s="281"/>
      <c r="AD647" s="281"/>
      <c r="AE647" s="281"/>
      <c r="AF647" s="281"/>
      <c r="AG647" s="170"/>
      <c r="AH647" s="152"/>
      <c r="AI647" s="152"/>
      <c r="AJ647" s="152"/>
      <c r="AK647" s="152"/>
      <c r="AL647" s="152"/>
      <c r="AM647" s="152"/>
      <c r="AN647" s="152"/>
      <c r="AO647" s="152"/>
      <c r="AP647" s="152"/>
      <c r="AQ647" s="152"/>
      <c r="AR647" s="152"/>
    </row>
    <row r="648" ht="12.75" customHeight="1">
      <c r="A648" s="288"/>
      <c r="B648" s="288"/>
      <c r="C648" s="288"/>
      <c r="D648" s="152"/>
      <c r="E648" s="289"/>
      <c r="F648" s="288"/>
      <c r="G648" s="152"/>
      <c r="H648" s="152"/>
      <c r="I648" s="152"/>
      <c r="J648" s="152"/>
      <c r="K648" s="289"/>
      <c r="L648" s="289"/>
      <c r="M648" s="152"/>
      <c r="N648" s="152"/>
      <c r="O648" s="156"/>
      <c r="P648" s="152"/>
      <c r="Q648" s="152"/>
      <c r="R648" s="152"/>
      <c r="S648" s="152"/>
      <c r="T648" s="152"/>
      <c r="U648" s="152"/>
      <c r="V648" s="152"/>
      <c r="W648" s="152"/>
      <c r="X648" s="152"/>
      <c r="Y648" s="152"/>
      <c r="Z648" s="281"/>
      <c r="AA648" s="281"/>
      <c r="AB648" s="281"/>
      <c r="AC648" s="281"/>
      <c r="AD648" s="281"/>
      <c r="AE648" s="281"/>
      <c r="AF648" s="281"/>
      <c r="AG648" s="170"/>
      <c r="AH648" s="152"/>
      <c r="AI648" s="152"/>
      <c r="AJ648" s="152"/>
      <c r="AK648" s="152"/>
      <c r="AL648" s="152"/>
      <c r="AM648" s="152"/>
      <c r="AN648" s="152"/>
      <c r="AO648" s="152"/>
      <c r="AP648" s="152"/>
      <c r="AQ648" s="152"/>
      <c r="AR648" s="152"/>
    </row>
    <row r="649" ht="12.75" customHeight="1">
      <c r="A649" s="288"/>
      <c r="B649" s="288"/>
      <c r="C649" s="288"/>
      <c r="D649" s="152"/>
      <c r="E649" s="289"/>
      <c r="F649" s="288"/>
      <c r="G649" s="152"/>
      <c r="H649" s="152"/>
      <c r="I649" s="152"/>
      <c r="J649" s="152"/>
      <c r="K649" s="289"/>
      <c r="L649" s="289"/>
      <c r="M649" s="152"/>
      <c r="N649" s="152"/>
      <c r="O649" s="156"/>
      <c r="P649" s="152"/>
      <c r="Q649" s="152"/>
      <c r="R649" s="152"/>
      <c r="S649" s="152"/>
      <c r="T649" s="152"/>
      <c r="U649" s="152"/>
      <c r="V649" s="152"/>
      <c r="W649" s="152"/>
      <c r="X649" s="152"/>
      <c r="Y649" s="152"/>
      <c r="Z649" s="281"/>
      <c r="AA649" s="281"/>
      <c r="AB649" s="281"/>
      <c r="AC649" s="281"/>
      <c r="AD649" s="281"/>
      <c r="AE649" s="281"/>
      <c r="AF649" s="281"/>
      <c r="AG649" s="170"/>
      <c r="AH649" s="152"/>
      <c r="AI649" s="152"/>
      <c r="AJ649" s="152"/>
      <c r="AK649" s="152"/>
      <c r="AL649" s="152"/>
      <c r="AM649" s="152"/>
      <c r="AN649" s="152"/>
      <c r="AO649" s="152"/>
      <c r="AP649" s="152"/>
      <c r="AQ649" s="152"/>
      <c r="AR649" s="152"/>
    </row>
    <row r="650" ht="12.75" customHeight="1">
      <c r="A650" s="288"/>
      <c r="B650" s="288"/>
      <c r="C650" s="288"/>
      <c r="D650" s="152"/>
      <c r="E650" s="289"/>
      <c r="F650" s="288"/>
      <c r="G650" s="152"/>
      <c r="H650" s="152"/>
      <c r="I650" s="152"/>
      <c r="J650" s="152"/>
      <c r="K650" s="289"/>
      <c r="L650" s="289"/>
      <c r="M650" s="152"/>
      <c r="N650" s="152"/>
      <c r="O650" s="156"/>
      <c r="P650" s="152"/>
      <c r="Q650" s="152"/>
      <c r="R650" s="152"/>
      <c r="S650" s="152"/>
      <c r="T650" s="152"/>
      <c r="U650" s="152"/>
      <c r="V650" s="152"/>
      <c r="W650" s="152"/>
      <c r="X650" s="152"/>
      <c r="Y650" s="152"/>
      <c r="Z650" s="281"/>
      <c r="AA650" s="281"/>
      <c r="AB650" s="281"/>
      <c r="AC650" s="281"/>
      <c r="AD650" s="281"/>
      <c r="AE650" s="281"/>
      <c r="AF650" s="281"/>
      <c r="AG650" s="170"/>
      <c r="AH650" s="152"/>
      <c r="AI650" s="152"/>
      <c r="AJ650" s="152"/>
      <c r="AK650" s="152"/>
      <c r="AL650" s="152"/>
      <c r="AM650" s="152"/>
      <c r="AN650" s="152"/>
      <c r="AO650" s="152"/>
      <c r="AP650" s="152"/>
      <c r="AQ650" s="152"/>
      <c r="AR650" s="152"/>
    </row>
    <row r="651" ht="12.75" customHeight="1">
      <c r="A651" s="288"/>
      <c r="B651" s="288"/>
      <c r="C651" s="288"/>
      <c r="D651" s="152"/>
      <c r="E651" s="289"/>
      <c r="F651" s="288"/>
      <c r="G651" s="152"/>
      <c r="H651" s="152"/>
      <c r="I651" s="152"/>
      <c r="J651" s="152"/>
      <c r="K651" s="289"/>
      <c r="L651" s="289"/>
      <c r="M651" s="152"/>
      <c r="N651" s="152"/>
      <c r="O651" s="156"/>
      <c r="P651" s="152"/>
      <c r="Q651" s="152"/>
      <c r="R651" s="152"/>
      <c r="S651" s="152"/>
      <c r="T651" s="152"/>
      <c r="U651" s="152"/>
      <c r="V651" s="152"/>
      <c r="W651" s="152"/>
      <c r="X651" s="152"/>
      <c r="Y651" s="152"/>
      <c r="Z651" s="281"/>
      <c r="AA651" s="281"/>
      <c r="AB651" s="281"/>
      <c r="AC651" s="281"/>
      <c r="AD651" s="281"/>
      <c r="AE651" s="281"/>
      <c r="AF651" s="281"/>
      <c r="AG651" s="170"/>
      <c r="AH651" s="152"/>
      <c r="AI651" s="152"/>
      <c r="AJ651" s="152"/>
      <c r="AK651" s="152"/>
      <c r="AL651" s="152"/>
      <c r="AM651" s="152"/>
      <c r="AN651" s="152"/>
      <c r="AO651" s="152"/>
      <c r="AP651" s="152"/>
      <c r="AQ651" s="152"/>
      <c r="AR651" s="152"/>
    </row>
    <row r="652" ht="12.75" customHeight="1">
      <c r="A652" s="288"/>
      <c r="B652" s="288"/>
      <c r="C652" s="288"/>
      <c r="D652" s="152"/>
      <c r="E652" s="289"/>
      <c r="F652" s="288"/>
      <c r="G652" s="152"/>
      <c r="H652" s="152"/>
      <c r="I652" s="152"/>
      <c r="J652" s="152"/>
      <c r="K652" s="289"/>
      <c r="L652" s="289"/>
      <c r="M652" s="152"/>
      <c r="N652" s="152"/>
      <c r="O652" s="156"/>
      <c r="P652" s="152"/>
      <c r="Q652" s="152"/>
      <c r="R652" s="152"/>
      <c r="S652" s="152"/>
      <c r="T652" s="152"/>
      <c r="U652" s="152"/>
      <c r="V652" s="152"/>
      <c r="W652" s="152"/>
      <c r="X652" s="152"/>
      <c r="Y652" s="152"/>
      <c r="Z652" s="281"/>
      <c r="AA652" s="281"/>
      <c r="AB652" s="281"/>
      <c r="AC652" s="281"/>
      <c r="AD652" s="281"/>
      <c r="AE652" s="281"/>
      <c r="AF652" s="281"/>
      <c r="AG652" s="170"/>
      <c r="AH652" s="152"/>
      <c r="AI652" s="152"/>
      <c r="AJ652" s="152"/>
      <c r="AK652" s="152"/>
      <c r="AL652" s="152"/>
      <c r="AM652" s="152"/>
      <c r="AN652" s="152"/>
      <c r="AO652" s="152"/>
      <c r="AP652" s="152"/>
      <c r="AQ652" s="152"/>
      <c r="AR652" s="152"/>
    </row>
    <row r="653" ht="12.75" customHeight="1">
      <c r="A653" s="288"/>
      <c r="B653" s="288"/>
      <c r="C653" s="288"/>
      <c r="D653" s="152"/>
      <c r="E653" s="289"/>
      <c r="F653" s="288"/>
      <c r="G653" s="152"/>
      <c r="H653" s="152"/>
      <c r="I653" s="152"/>
      <c r="J653" s="152"/>
      <c r="K653" s="289"/>
      <c r="L653" s="289"/>
      <c r="M653" s="152"/>
      <c r="N653" s="152"/>
      <c r="O653" s="156"/>
      <c r="P653" s="152"/>
      <c r="Q653" s="152"/>
      <c r="R653" s="152"/>
      <c r="S653" s="152"/>
      <c r="T653" s="152"/>
      <c r="U653" s="152"/>
      <c r="V653" s="152"/>
      <c r="W653" s="152"/>
      <c r="X653" s="152"/>
      <c r="Y653" s="152"/>
      <c r="Z653" s="281"/>
      <c r="AA653" s="281"/>
      <c r="AB653" s="281"/>
      <c r="AC653" s="281"/>
      <c r="AD653" s="281"/>
      <c r="AE653" s="281"/>
      <c r="AF653" s="281"/>
      <c r="AG653" s="170"/>
      <c r="AH653" s="152"/>
      <c r="AI653" s="152"/>
      <c r="AJ653" s="152"/>
      <c r="AK653" s="152"/>
      <c r="AL653" s="152"/>
      <c r="AM653" s="152"/>
      <c r="AN653" s="152"/>
      <c r="AO653" s="152"/>
      <c r="AP653" s="152"/>
      <c r="AQ653" s="152"/>
      <c r="AR653" s="152"/>
    </row>
    <row r="654" ht="12.75" customHeight="1">
      <c r="A654" s="288"/>
      <c r="B654" s="288"/>
      <c r="C654" s="288"/>
      <c r="D654" s="152"/>
      <c r="E654" s="289"/>
      <c r="F654" s="288"/>
      <c r="G654" s="152"/>
      <c r="H654" s="152"/>
      <c r="I654" s="152"/>
      <c r="J654" s="152"/>
      <c r="K654" s="289"/>
      <c r="L654" s="289"/>
      <c r="M654" s="152"/>
      <c r="N654" s="152"/>
      <c r="O654" s="156"/>
      <c r="P654" s="152"/>
      <c r="Q654" s="152"/>
      <c r="R654" s="152"/>
      <c r="S654" s="152"/>
      <c r="T654" s="152"/>
      <c r="U654" s="152"/>
      <c r="V654" s="152"/>
      <c r="W654" s="152"/>
      <c r="X654" s="152"/>
      <c r="Y654" s="152"/>
      <c r="Z654" s="281"/>
      <c r="AA654" s="281"/>
      <c r="AB654" s="281"/>
      <c r="AC654" s="281"/>
      <c r="AD654" s="281"/>
      <c r="AE654" s="281"/>
      <c r="AF654" s="281"/>
      <c r="AG654" s="170"/>
      <c r="AH654" s="152"/>
      <c r="AI654" s="152"/>
      <c r="AJ654" s="152"/>
      <c r="AK654" s="152"/>
      <c r="AL654" s="152"/>
      <c r="AM654" s="152"/>
      <c r="AN654" s="152"/>
      <c r="AO654" s="152"/>
      <c r="AP654" s="152"/>
      <c r="AQ654" s="152"/>
      <c r="AR654" s="152"/>
    </row>
    <row r="655" ht="12.75" customHeight="1">
      <c r="A655" s="288"/>
      <c r="B655" s="288"/>
      <c r="C655" s="288"/>
      <c r="D655" s="152"/>
      <c r="E655" s="289"/>
      <c r="F655" s="288"/>
      <c r="G655" s="152"/>
      <c r="H655" s="152"/>
      <c r="I655" s="152"/>
      <c r="J655" s="152"/>
      <c r="K655" s="289"/>
      <c r="L655" s="289"/>
      <c r="M655" s="152"/>
      <c r="N655" s="152"/>
      <c r="O655" s="156"/>
      <c r="P655" s="152"/>
      <c r="Q655" s="152"/>
      <c r="R655" s="152"/>
      <c r="S655" s="152"/>
      <c r="T655" s="152"/>
      <c r="U655" s="152"/>
      <c r="V655" s="152"/>
      <c r="W655" s="152"/>
      <c r="X655" s="152"/>
      <c r="Y655" s="152"/>
      <c r="Z655" s="281"/>
      <c r="AA655" s="281"/>
      <c r="AB655" s="281"/>
      <c r="AC655" s="281"/>
      <c r="AD655" s="281"/>
      <c r="AE655" s="281"/>
      <c r="AF655" s="281"/>
      <c r="AG655" s="170"/>
      <c r="AH655" s="152"/>
      <c r="AI655" s="152"/>
      <c r="AJ655" s="152"/>
      <c r="AK655" s="152"/>
      <c r="AL655" s="152"/>
      <c r="AM655" s="152"/>
      <c r="AN655" s="152"/>
      <c r="AO655" s="152"/>
      <c r="AP655" s="152"/>
      <c r="AQ655" s="152"/>
      <c r="AR655" s="152"/>
    </row>
    <row r="656" ht="12.75" customHeight="1">
      <c r="A656" s="288"/>
      <c r="B656" s="288"/>
      <c r="C656" s="288"/>
      <c r="D656" s="152"/>
      <c r="E656" s="289"/>
      <c r="F656" s="288"/>
      <c r="G656" s="152"/>
      <c r="H656" s="152"/>
      <c r="I656" s="152"/>
      <c r="J656" s="152"/>
      <c r="K656" s="289"/>
      <c r="L656" s="289"/>
      <c r="M656" s="152"/>
      <c r="N656" s="152"/>
      <c r="O656" s="156"/>
      <c r="P656" s="152"/>
      <c r="Q656" s="152"/>
      <c r="R656" s="152"/>
      <c r="S656" s="152"/>
      <c r="T656" s="152"/>
      <c r="U656" s="152"/>
      <c r="V656" s="152"/>
      <c r="W656" s="152"/>
      <c r="X656" s="152"/>
      <c r="Y656" s="152"/>
      <c r="Z656" s="281"/>
      <c r="AA656" s="281"/>
      <c r="AB656" s="281"/>
      <c r="AC656" s="281"/>
      <c r="AD656" s="281"/>
      <c r="AE656" s="281"/>
      <c r="AF656" s="281"/>
      <c r="AG656" s="170"/>
      <c r="AH656" s="152"/>
      <c r="AI656" s="152"/>
      <c r="AJ656" s="152"/>
      <c r="AK656" s="152"/>
      <c r="AL656" s="152"/>
      <c r="AM656" s="152"/>
      <c r="AN656" s="152"/>
      <c r="AO656" s="152"/>
      <c r="AP656" s="152"/>
      <c r="AQ656" s="152"/>
      <c r="AR656" s="152"/>
    </row>
    <row r="657" ht="12.75" customHeight="1">
      <c r="A657" s="288"/>
      <c r="B657" s="288"/>
      <c r="C657" s="288"/>
      <c r="D657" s="152"/>
      <c r="E657" s="289"/>
      <c r="F657" s="288"/>
      <c r="G657" s="152"/>
      <c r="H657" s="152"/>
      <c r="I657" s="152"/>
      <c r="J657" s="152"/>
      <c r="K657" s="289"/>
      <c r="L657" s="289"/>
      <c r="M657" s="152"/>
      <c r="N657" s="152"/>
      <c r="O657" s="156"/>
      <c r="P657" s="152"/>
      <c r="Q657" s="152"/>
      <c r="R657" s="152"/>
      <c r="S657" s="152"/>
      <c r="T657" s="152"/>
      <c r="U657" s="152"/>
      <c r="V657" s="152"/>
      <c r="W657" s="152"/>
      <c r="X657" s="152"/>
      <c r="Y657" s="152"/>
      <c r="Z657" s="281"/>
      <c r="AA657" s="281"/>
      <c r="AB657" s="281"/>
      <c r="AC657" s="281"/>
      <c r="AD657" s="281"/>
      <c r="AE657" s="281"/>
      <c r="AF657" s="281"/>
      <c r="AG657" s="170"/>
      <c r="AH657" s="152"/>
      <c r="AI657" s="152"/>
      <c r="AJ657" s="152"/>
      <c r="AK657" s="152"/>
      <c r="AL657" s="152"/>
      <c r="AM657" s="152"/>
      <c r="AN657" s="152"/>
      <c r="AO657" s="152"/>
      <c r="AP657" s="152"/>
      <c r="AQ657" s="152"/>
      <c r="AR657" s="152"/>
    </row>
    <row r="658" ht="12.75" customHeight="1">
      <c r="A658" s="288"/>
      <c r="B658" s="288"/>
      <c r="C658" s="288"/>
      <c r="D658" s="152"/>
      <c r="E658" s="289"/>
      <c r="F658" s="288"/>
      <c r="G658" s="152"/>
      <c r="H658" s="152"/>
      <c r="I658" s="152"/>
      <c r="J658" s="152"/>
      <c r="K658" s="289"/>
      <c r="L658" s="289"/>
      <c r="M658" s="152"/>
      <c r="N658" s="152"/>
      <c r="O658" s="156"/>
      <c r="P658" s="152"/>
      <c r="Q658" s="152"/>
      <c r="R658" s="152"/>
      <c r="S658" s="152"/>
      <c r="T658" s="152"/>
      <c r="U658" s="152"/>
      <c r="V658" s="152"/>
      <c r="W658" s="152"/>
      <c r="X658" s="152"/>
      <c r="Y658" s="152"/>
      <c r="Z658" s="281"/>
      <c r="AA658" s="281"/>
      <c r="AB658" s="281"/>
      <c r="AC658" s="281"/>
      <c r="AD658" s="281"/>
      <c r="AE658" s="281"/>
      <c r="AF658" s="281"/>
      <c r="AG658" s="170"/>
      <c r="AH658" s="152"/>
      <c r="AI658" s="152"/>
      <c r="AJ658" s="152"/>
      <c r="AK658" s="152"/>
      <c r="AL658" s="152"/>
      <c r="AM658" s="152"/>
      <c r="AN658" s="152"/>
      <c r="AO658" s="152"/>
      <c r="AP658" s="152"/>
      <c r="AQ658" s="152"/>
      <c r="AR658" s="152"/>
    </row>
    <row r="659" ht="12.75" customHeight="1">
      <c r="A659" s="288"/>
      <c r="B659" s="288"/>
      <c r="C659" s="288"/>
      <c r="D659" s="152"/>
      <c r="E659" s="289"/>
      <c r="F659" s="288"/>
      <c r="G659" s="152"/>
      <c r="H659" s="152"/>
      <c r="I659" s="152"/>
      <c r="J659" s="152"/>
      <c r="K659" s="289"/>
      <c r="L659" s="289"/>
      <c r="M659" s="152"/>
      <c r="N659" s="152"/>
      <c r="O659" s="156"/>
      <c r="P659" s="152"/>
      <c r="Q659" s="152"/>
      <c r="R659" s="152"/>
      <c r="S659" s="152"/>
      <c r="T659" s="152"/>
      <c r="U659" s="152"/>
      <c r="V659" s="152"/>
      <c r="W659" s="152"/>
      <c r="X659" s="152"/>
      <c r="Y659" s="152"/>
      <c r="Z659" s="281"/>
      <c r="AA659" s="281"/>
      <c r="AB659" s="281"/>
      <c r="AC659" s="281"/>
      <c r="AD659" s="281"/>
      <c r="AE659" s="281"/>
      <c r="AF659" s="281"/>
      <c r="AG659" s="170"/>
      <c r="AH659" s="152"/>
      <c r="AI659" s="152"/>
      <c r="AJ659" s="152"/>
      <c r="AK659" s="152"/>
      <c r="AL659" s="152"/>
      <c r="AM659" s="152"/>
      <c r="AN659" s="152"/>
      <c r="AO659" s="152"/>
      <c r="AP659" s="152"/>
      <c r="AQ659" s="152"/>
      <c r="AR659" s="152"/>
    </row>
    <row r="660" ht="12.75" customHeight="1">
      <c r="A660" s="288"/>
      <c r="B660" s="288"/>
      <c r="C660" s="288"/>
      <c r="D660" s="152"/>
      <c r="E660" s="289"/>
      <c r="F660" s="288"/>
      <c r="G660" s="152"/>
      <c r="H660" s="152"/>
      <c r="I660" s="152"/>
      <c r="J660" s="152"/>
      <c r="K660" s="289"/>
      <c r="L660" s="289"/>
      <c r="M660" s="152"/>
      <c r="N660" s="152"/>
      <c r="O660" s="156"/>
      <c r="P660" s="152"/>
      <c r="Q660" s="152"/>
      <c r="R660" s="152"/>
      <c r="S660" s="152"/>
      <c r="T660" s="152"/>
      <c r="U660" s="152"/>
      <c r="V660" s="152"/>
      <c r="W660" s="152"/>
      <c r="X660" s="152"/>
      <c r="Y660" s="152"/>
      <c r="Z660" s="281"/>
      <c r="AA660" s="281"/>
      <c r="AB660" s="281"/>
      <c r="AC660" s="281"/>
      <c r="AD660" s="281"/>
      <c r="AE660" s="281"/>
      <c r="AF660" s="281"/>
      <c r="AG660" s="170"/>
      <c r="AH660" s="152"/>
      <c r="AI660" s="152"/>
      <c r="AJ660" s="152"/>
      <c r="AK660" s="152"/>
      <c r="AL660" s="152"/>
      <c r="AM660" s="152"/>
      <c r="AN660" s="152"/>
      <c r="AO660" s="152"/>
      <c r="AP660" s="152"/>
      <c r="AQ660" s="152"/>
      <c r="AR660" s="152"/>
    </row>
    <row r="661" ht="12.75" customHeight="1">
      <c r="A661" s="288"/>
      <c r="B661" s="288"/>
      <c r="C661" s="288"/>
      <c r="D661" s="152"/>
      <c r="E661" s="289"/>
      <c r="F661" s="288"/>
      <c r="G661" s="152"/>
      <c r="H661" s="152"/>
      <c r="I661" s="152"/>
      <c r="J661" s="152"/>
      <c r="K661" s="289"/>
      <c r="L661" s="289"/>
      <c r="M661" s="152"/>
      <c r="N661" s="152"/>
      <c r="O661" s="156"/>
      <c r="P661" s="152"/>
      <c r="Q661" s="152"/>
      <c r="R661" s="152"/>
      <c r="S661" s="152"/>
      <c r="T661" s="152"/>
      <c r="U661" s="152"/>
      <c r="V661" s="152"/>
      <c r="W661" s="152"/>
      <c r="X661" s="152"/>
      <c r="Y661" s="152"/>
      <c r="Z661" s="281"/>
      <c r="AA661" s="281"/>
      <c r="AB661" s="281"/>
      <c r="AC661" s="281"/>
      <c r="AD661" s="281"/>
      <c r="AE661" s="281"/>
      <c r="AF661" s="281"/>
      <c r="AG661" s="170"/>
      <c r="AH661" s="152"/>
      <c r="AI661" s="152"/>
      <c r="AJ661" s="152"/>
      <c r="AK661" s="152"/>
      <c r="AL661" s="152"/>
      <c r="AM661" s="152"/>
      <c r="AN661" s="152"/>
      <c r="AO661" s="152"/>
      <c r="AP661" s="152"/>
      <c r="AQ661" s="152"/>
      <c r="AR661" s="152"/>
    </row>
    <row r="662" ht="12.75" customHeight="1">
      <c r="A662" s="288"/>
      <c r="B662" s="288"/>
      <c r="C662" s="288"/>
      <c r="D662" s="152"/>
      <c r="E662" s="289"/>
      <c r="F662" s="288"/>
      <c r="G662" s="152"/>
      <c r="H662" s="152"/>
      <c r="I662" s="152"/>
      <c r="J662" s="152"/>
      <c r="K662" s="289"/>
      <c r="L662" s="289"/>
      <c r="M662" s="152"/>
      <c r="N662" s="152"/>
      <c r="O662" s="156"/>
      <c r="P662" s="152"/>
      <c r="Q662" s="152"/>
      <c r="R662" s="152"/>
      <c r="S662" s="152"/>
      <c r="T662" s="152"/>
      <c r="U662" s="152"/>
      <c r="V662" s="152"/>
      <c r="W662" s="152"/>
      <c r="X662" s="152"/>
      <c r="Y662" s="152"/>
      <c r="Z662" s="281"/>
      <c r="AA662" s="281"/>
      <c r="AB662" s="281"/>
      <c r="AC662" s="281"/>
      <c r="AD662" s="281"/>
      <c r="AE662" s="281"/>
      <c r="AF662" s="281"/>
      <c r="AG662" s="170"/>
      <c r="AH662" s="152"/>
      <c r="AI662" s="152"/>
      <c r="AJ662" s="152"/>
      <c r="AK662" s="152"/>
      <c r="AL662" s="152"/>
      <c r="AM662" s="152"/>
      <c r="AN662" s="152"/>
      <c r="AO662" s="152"/>
      <c r="AP662" s="152"/>
      <c r="AQ662" s="152"/>
      <c r="AR662" s="152"/>
    </row>
    <row r="663" ht="12.75" customHeight="1">
      <c r="A663" s="288"/>
      <c r="B663" s="288"/>
      <c r="C663" s="288"/>
      <c r="D663" s="152"/>
      <c r="E663" s="289"/>
      <c r="F663" s="288"/>
      <c r="G663" s="152"/>
      <c r="H663" s="152"/>
      <c r="I663" s="152"/>
      <c r="J663" s="152"/>
      <c r="K663" s="289"/>
      <c r="L663" s="289"/>
      <c r="M663" s="152"/>
      <c r="N663" s="152"/>
      <c r="O663" s="156"/>
      <c r="P663" s="152"/>
      <c r="Q663" s="152"/>
      <c r="R663" s="152"/>
      <c r="S663" s="152"/>
      <c r="T663" s="152"/>
      <c r="U663" s="152"/>
      <c r="V663" s="152"/>
      <c r="W663" s="152"/>
      <c r="X663" s="152"/>
      <c r="Y663" s="152"/>
      <c r="Z663" s="281"/>
      <c r="AA663" s="281"/>
      <c r="AB663" s="281"/>
      <c r="AC663" s="281"/>
      <c r="AD663" s="281"/>
      <c r="AE663" s="281"/>
      <c r="AF663" s="281"/>
      <c r="AG663" s="170"/>
      <c r="AH663" s="152"/>
      <c r="AI663" s="152"/>
      <c r="AJ663" s="152"/>
      <c r="AK663" s="152"/>
      <c r="AL663" s="152"/>
      <c r="AM663" s="152"/>
      <c r="AN663" s="152"/>
      <c r="AO663" s="152"/>
      <c r="AP663" s="152"/>
      <c r="AQ663" s="152"/>
      <c r="AR663" s="152"/>
    </row>
    <row r="664" ht="12.75" customHeight="1">
      <c r="A664" s="288"/>
      <c r="B664" s="288"/>
      <c r="C664" s="288"/>
      <c r="D664" s="152"/>
      <c r="E664" s="289"/>
      <c r="F664" s="288"/>
      <c r="G664" s="152"/>
      <c r="H664" s="152"/>
      <c r="I664" s="152"/>
      <c r="J664" s="152"/>
      <c r="K664" s="289"/>
      <c r="L664" s="289"/>
      <c r="M664" s="152"/>
      <c r="N664" s="152"/>
      <c r="O664" s="156"/>
      <c r="P664" s="152"/>
      <c r="Q664" s="152"/>
      <c r="R664" s="152"/>
      <c r="S664" s="152"/>
      <c r="T664" s="152"/>
      <c r="U664" s="152"/>
      <c r="V664" s="152"/>
      <c r="W664" s="152"/>
      <c r="X664" s="152"/>
      <c r="Y664" s="152"/>
      <c r="Z664" s="281"/>
      <c r="AA664" s="281"/>
      <c r="AB664" s="281"/>
      <c r="AC664" s="281"/>
      <c r="AD664" s="281"/>
      <c r="AE664" s="281"/>
      <c r="AF664" s="281"/>
      <c r="AG664" s="170"/>
      <c r="AH664" s="152"/>
      <c r="AI664" s="152"/>
      <c r="AJ664" s="152"/>
      <c r="AK664" s="152"/>
      <c r="AL664" s="152"/>
      <c r="AM664" s="152"/>
      <c r="AN664" s="152"/>
      <c r="AO664" s="152"/>
      <c r="AP664" s="152"/>
      <c r="AQ664" s="152"/>
      <c r="AR664" s="152"/>
    </row>
    <row r="665" ht="12.75" customHeight="1">
      <c r="A665" s="288"/>
      <c r="B665" s="288"/>
      <c r="C665" s="288"/>
      <c r="D665" s="152"/>
      <c r="E665" s="289"/>
      <c r="F665" s="288"/>
      <c r="G665" s="152"/>
      <c r="H665" s="152"/>
      <c r="I665" s="152"/>
      <c r="J665" s="152"/>
      <c r="K665" s="289"/>
      <c r="L665" s="289"/>
      <c r="M665" s="152"/>
      <c r="N665" s="152"/>
      <c r="O665" s="156"/>
      <c r="P665" s="152"/>
      <c r="Q665" s="152"/>
      <c r="R665" s="152"/>
      <c r="S665" s="152"/>
      <c r="T665" s="152"/>
      <c r="U665" s="152"/>
      <c r="V665" s="152"/>
      <c r="W665" s="152"/>
      <c r="X665" s="152"/>
      <c r="Y665" s="152"/>
      <c r="Z665" s="281"/>
      <c r="AA665" s="281"/>
      <c r="AB665" s="281"/>
      <c r="AC665" s="281"/>
      <c r="AD665" s="281"/>
      <c r="AE665" s="281"/>
      <c r="AF665" s="281"/>
      <c r="AG665" s="170"/>
      <c r="AH665" s="152"/>
      <c r="AI665" s="152"/>
      <c r="AJ665" s="152"/>
      <c r="AK665" s="152"/>
      <c r="AL665" s="152"/>
      <c r="AM665" s="152"/>
      <c r="AN665" s="152"/>
      <c r="AO665" s="152"/>
      <c r="AP665" s="152"/>
      <c r="AQ665" s="152"/>
      <c r="AR665" s="152"/>
    </row>
    <row r="666" ht="12.75" customHeight="1">
      <c r="A666" s="288"/>
      <c r="B666" s="288"/>
      <c r="C666" s="288"/>
      <c r="D666" s="152"/>
      <c r="E666" s="289"/>
      <c r="F666" s="288"/>
      <c r="G666" s="152"/>
      <c r="H666" s="152"/>
      <c r="I666" s="152"/>
      <c r="J666" s="152"/>
      <c r="K666" s="289"/>
      <c r="L666" s="289"/>
      <c r="M666" s="152"/>
      <c r="N666" s="152"/>
      <c r="O666" s="156"/>
      <c r="P666" s="152"/>
      <c r="Q666" s="152"/>
      <c r="R666" s="152"/>
      <c r="S666" s="152"/>
      <c r="T666" s="152"/>
      <c r="U666" s="152"/>
      <c r="V666" s="152"/>
      <c r="W666" s="152"/>
      <c r="X666" s="152"/>
      <c r="Y666" s="152"/>
      <c r="Z666" s="281"/>
      <c r="AA666" s="281"/>
      <c r="AB666" s="281"/>
      <c r="AC666" s="281"/>
      <c r="AD666" s="281"/>
      <c r="AE666" s="281"/>
      <c r="AF666" s="281"/>
      <c r="AG666" s="170"/>
      <c r="AH666" s="152"/>
      <c r="AI666" s="152"/>
      <c r="AJ666" s="152"/>
      <c r="AK666" s="152"/>
      <c r="AL666" s="152"/>
      <c r="AM666" s="152"/>
      <c r="AN666" s="152"/>
      <c r="AO666" s="152"/>
      <c r="AP666" s="152"/>
      <c r="AQ666" s="152"/>
      <c r="AR666" s="152"/>
    </row>
    <row r="667" ht="12.75" customHeight="1">
      <c r="A667" s="288"/>
      <c r="B667" s="288"/>
      <c r="C667" s="288"/>
      <c r="D667" s="152"/>
      <c r="E667" s="289"/>
      <c r="F667" s="288"/>
      <c r="G667" s="152"/>
      <c r="H667" s="152"/>
      <c r="I667" s="152"/>
      <c r="J667" s="152"/>
      <c r="K667" s="289"/>
      <c r="L667" s="289"/>
      <c r="M667" s="152"/>
      <c r="N667" s="152"/>
      <c r="O667" s="156"/>
      <c r="P667" s="152"/>
      <c r="Q667" s="152"/>
      <c r="R667" s="152"/>
      <c r="S667" s="152"/>
      <c r="T667" s="152"/>
      <c r="U667" s="152"/>
      <c r="V667" s="152"/>
      <c r="W667" s="152"/>
      <c r="X667" s="152"/>
      <c r="Y667" s="152"/>
      <c r="Z667" s="281"/>
      <c r="AA667" s="281"/>
      <c r="AB667" s="281"/>
      <c r="AC667" s="281"/>
      <c r="AD667" s="281"/>
      <c r="AE667" s="281"/>
      <c r="AF667" s="281"/>
      <c r="AG667" s="170"/>
      <c r="AH667" s="152"/>
      <c r="AI667" s="152"/>
      <c r="AJ667" s="152"/>
      <c r="AK667" s="152"/>
      <c r="AL667" s="152"/>
      <c r="AM667" s="152"/>
      <c r="AN667" s="152"/>
      <c r="AO667" s="152"/>
      <c r="AP667" s="152"/>
      <c r="AQ667" s="152"/>
      <c r="AR667" s="152"/>
    </row>
    <row r="668" ht="12.75" customHeight="1">
      <c r="A668" s="288"/>
      <c r="B668" s="288"/>
      <c r="C668" s="288"/>
      <c r="D668" s="152"/>
      <c r="E668" s="289"/>
      <c r="F668" s="288"/>
      <c r="G668" s="152"/>
      <c r="H668" s="152"/>
      <c r="I668" s="152"/>
      <c r="J668" s="152"/>
      <c r="K668" s="289"/>
      <c r="L668" s="289"/>
      <c r="M668" s="152"/>
      <c r="N668" s="152"/>
      <c r="O668" s="156"/>
      <c r="P668" s="152"/>
      <c r="Q668" s="152"/>
      <c r="R668" s="152"/>
      <c r="S668" s="152"/>
      <c r="T668" s="152"/>
      <c r="U668" s="152"/>
      <c r="V668" s="152"/>
      <c r="W668" s="152"/>
      <c r="X668" s="152"/>
      <c r="Y668" s="152"/>
      <c r="Z668" s="281"/>
      <c r="AA668" s="281"/>
      <c r="AB668" s="281"/>
      <c r="AC668" s="281"/>
      <c r="AD668" s="281"/>
      <c r="AE668" s="281"/>
      <c r="AF668" s="281"/>
      <c r="AG668" s="170"/>
      <c r="AH668" s="152"/>
      <c r="AI668" s="152"/>
      <c r="AJ668" s="152"/>
      <c r="AK668" s="152"/>
      <c r="AL668" s="152"/>
      <c r="AM668" s="152"/>
      <c r="AN668" s="152"/>
      <c r="AO668" s="152"/>
      <c r="AP668" s="152"/>
      <c r="AQ668" s="152"/>
      <c r="AR668" s="152"/>
    </row>
    <row r="669" ht="12.75" customHeight="1">
      <c r="A669" s="288"/>
      <c r="B669" s="288"/>
      <c r="C669" s="288"/>
      <c r="D669" s="152"/>
      <c r="E669" s="289"/>
      <c r="F669" s="288"/>
      <c r="G669" s="152"/>
      <c r="H669" s="152"/>
      <c r="I669" s="152"/>
      <c r="J669" s="152"/>
      <c r="K669" s="289"/>
      <c r="L669" s="289"/>
      <c r="M669" s="152"/>
      <c r="N669" s="152"/>
      <c r="O669" s="156"/>
      <c r="P669" s="152"/>
      <c r="Q669" s="152"/>
      <c r="R669" s="152"/>
      <c r="S669" s="152"/>
      <c r="T669" s="152"/>
      <c r="U669" s="152"/>
      <c r="V669" s="152"/>
      <c r="W669" s="152"/>
      <c r="X669" s="152"/>
      <c r="Y669" s="152"/>
      <c r="Z669" s="281"/>
      <c r="AA669" s="281"/>
      <c r="AB669" s="281"/>
      <c r="AC669" s="281"/>
      <c r="AD669" s="281"/>
      <c r="AE669" s="281"/>
      <c r="AF669" s="281"/>
      <c r="AG669" s="170"/>
      <c r="AH669" s="152"/>
      <c r="AI669" s="152"/>
      <c r="AJ669" s="152"/>
      <c r="AK669" s="152"/>
      <c r="AL669" s="152"/>
      <c r="AM669" s="152"/>
      <c r="AN669" s="152"/>
      <c r="AO669" s="152"/>
      <c r="AP669" s="152"/>
      <c r="AQ669" s="152"/>
      <c r="AR669" s="152"/>
    </row>
    <row r="670" ht="12.75" customHeight="1">
      <c r="A670" s="288"/>
      <c r="B670" s="288"/>
      <c r="C670" s="288"/>
      <c r="D670" s="152"/>
      <c r="E670" s="289"/>
      <c r="F670" s="288"/>
      <c r="G670" s="152"/>
      <c r="H670" s="152"/>
      <c r="I670" s="152"/>
      <c r="J670" s="152"/>
      <c r="K670" s="289"/>
      <c r="L670" s="289"/>
      <c r="M670" s="152"/>
      <c r="N670" s="152"/>
      <c r="O670" s="156"/>
      <c r="P670" s="152"/>
      <c r="Q670" s="152"/>
      <c r="R670" s="152"/>
      <c r="S670" s="152"/>
      <c r="T670" s="152"/>
      <c r="U670" s="152"/>
      <c r="V670" s="152"/>
      <c r="W670" s="152"/>
      <c r="X670" s="152"/>
      <c r="Y670" s="152"/>
      <c r="Z670" s="281"/>
      <c r="AA670" s="281"/>
      <c r="AB670" s="281"/>
      <c r="AC670" s="281"/>
      <c r="AD670" s="281"/>
      <c r="AE670" s="281"/>
      <c r="AF670" s="281"/>
      <c r="AG670" s="170"/>
      <c r="AH670" s="152"/>
      <c r="AI670" s="152"/>
      <c r="AJ670" s="152"/>
      <c r="AK670" s="152"/>
      <c r="AL670" s="152"/>
      <c r="AM670" s="152"/>
      <c r="AN670" s="152"/>
      <c r="AO670" s="152"/>
      <c r="AP670" s="152"/>
      <c r="AQ670" s="152"/>
      <c r="AR670" s="152"/>
    </row>
    <row r="671" ht="12.75" customHeight="1">
      <c r="A671" s="288"/>
      <c r="B671" s="288"/>
      <c r="C671" s="288"/>
      <c r="D671" s="152"/>
      <c r="E671" s="289"/>
      <c r="F671" s="288"/>
      <c r="G671" s="152"/>
      <c r="H671" s="152"/>
      <c r="I671" s="152"/>
      <c r="J671" s="152"/>
      <c r="K671" s="289"/>
      <c r="L671" s="289"/>
      <c r="M671" s="152"/>
      <c r="N671" s="152"/>
      <c r="O671" s="156"/>
      <c r="P671" s="152"/>
      <c r="Q671" s="152"/>
      <c r="R671" s="152"/>
      <c r="S671" s="152"/>
      <c r="T671" s="152"/>
      <c r="U671" s="152"/>
      <c r="V671" s="152"/>
      <c r="W671" s="152"/>
      <c r="X671" s="152"/>
      <c r="Y671" s="152"/>
      <c r="Z671" s="281"/>
      <c r="AA671" s="281"/>
      <c r="AB671" s="281"/>
      <c r="AC671" s="281"/>
      <c r="AD671" s="281"/>
      <c r="AE671" s="281"/>
      <c r="AF671" s="281"/>
      <c r="AG671" s="170"/>
      <c r="AH671" s="152"/>
      <c r="AI671" s="152"/>
      <c r="AJ671" s="152"/>
      <c r="AK671" s="152"/>
      <c r="AL671" s="152"/>
      <c r="AM671" s="152"/>
      <c r="AN671" s="152"/>
      <c r="AO671" s="152"/>
      <c r="AP671" s="152"/>
      <c r="AQ671" s="152"/>
      <c r="AR671" s="152"/>
    </row>
    <row r="672" ht="12.75" customHeight="1">
      <c r="A672" s="288"/>
      <c r="B672" s="288"/>
      <c r="C672" s="288"/>
      <c r="D672" s="152"/>
      <c r="E672" s="289"/>
      <c r="F672" s="288"/>
      <c r="G672" s="152"/>
      <c r="H672" s="152"/>
      <c r="I672" s="152"/>
      <c r="J672" s="152"/>
      <c r="K672" s="289"/>
      <c r="L672" s="289"/>
      <c r="M672" s="152"/>
      <c r="N672" s="152"/>
      <c r="O672" s="156"/>
      <c r="P672" s="152"/>
      <c r="Q672" s="152"/>
      <c r="R672" s="152"/>
      <c r="S672" s="152"/>
      <c r="T672" s="152"/>
      <c r="U672" s="152"/>
      <c r="V672" s="152"/>
      <c r="W672" s="152"/>
      <c r="X672" s="152"/>
      <c r="Y672" s="152"/>
      <c r="Z672" s="281"/>
      <c r="AA672" s="281"/>
      <c r="AB672" s="281"/>
      <c r="AC672" s="281"/>
      <c r="AD672" s="281"/>
      <c r="AE672" s="281"/>
      <c r="AF672" s="281"/>
      <c r="AG672" s="170"/>
      <c r="AH672" s="152"/>
      <c r="AI672" s="152"/>
      <c r="AJ672" s="152"/>
      <c r="AK672" s="152"/>
      <c r="AL672" s="152"/>
      <c r="AM672" s="152"/>
      <c r="AN672" s="152"/>
      <c r="AO672" s="152"/>
      <c r="AP672" s="152"/>
      <c r="AQ672" s="152"/>
      <c r="AR672" s="152"/>
    </row>
    <row r="673" ht="12.75" customHeight="1">
      <c r="A673" s="288"/>
      <c r="B673" s="288"/>
      <c r="C673" s="288"/>
      <c r="D673" s="152"/>
      <c r="E673" s="289"/>
      <c r="F673" s="288"/>
      <c r="G673" s="152"/>
      <c r="H673" s="152"/>
      <c r="I673" s="152"/>
      <c r="J673" s="152"/>
      <c r="K673" s="289"/>
      <c r="L673" s="289"/>
      <c r="M673" s="152"/>
      <c r="N673" s="152"/>
      <c r="O673" s="156"/>
      <c r="P673" s="152"/>
      <c r="Q673" s="152"/>
      <c r="R673" s="152"/>
      <c r="S673" s="152"/>
      <c r="T673" s="152"/>
      <c r="U673" s="152"/>
      <c r="V673" s="152"/>
      <c r="W673" s="152"/>
      <c r="X673" s="152"/>
      <c r="Y673" s="152"/>
      <c r="Z673" s="281"/>
      <c r="AA673" s="281"/>
      <c r="AB673" s="281"/>
      <c r="AC673" s="281"/>
      <c r="AD673" s="281"/>
      <c r="AE673" s="281"/>
      <c r="AF673" s="281"/>
      <c r="AG673" s="170"/>
      <c r="AH673" s="152"/>
      <c r="AI673" s="152"/>
      <c r="AJ673" s="152"/>
      <c r="AK673" s="152"/>
      <c r="AL673" s="152"/>
      <c r="AM673" s="152"/>
      <c r="AN673" s="152"/>
      <c r="AO673" s="152"/>
      <c r="AP673" s="152"/>
      <c r="AQ673" s="152"/>
      <c r="AR673" s="152"/>
    </row>
    <row r="674" ht="12.75" customHeight="1">
      <c r="A674" s="288"/>
      <c r="B674" s="288"/>
      <c r="C674" s="288"/>
      <c r="D674" s="152"/>
      <c r="E674" s="289"/>
      <c r="F674" s="288"/>
      <c r="G674" s="152"/>
      <c r="H674" s="152"/>
      <c r="I674" s="152"/>
      <c r="J674" s="152"/>
      <c r="K674" s="289"/>
      <c r="L674" s="289"/>
      <c r="M674" s="152"/>
      <c r="N674" s="152"/>
      <c r="O674" s="156"/>
      <c r="P674" s="152"/>
      <c r="Q674" s="152"/>
      <c r="R674" s="152"/>
      <c r="S674" s="152"/>
      <c r="T674" s="152"/>
      <c r="U674" s="152"/>
      <c r="V674" s="152"/>
      <c r="W674" s="152"/>
      <c r="X674" s="152"/>
      <c r="Y674" s="152"/>
      <c r="Z674" s="281"/>
      <c r="AA674" s="281"/>
      <c r="AB674" s="281"/>
      <c r="AC674" s="281"/>
      <c r="AD674" s="281"/>
      <c r="AE674" s="281"/>
      <c r="AF674" s="281"/>
      <c r="AG674" s="170"/>
      <c r="AH674" s="152"/>
      <c r="AI674" s="152"/>
      <c r="AJ674" s="152"/>
      <c r="AK674" s="152"/>
      <c r="AL674" s="152"/>
      <c r="AM674" s="152"/>
      <c r="AN674" s="152"/>
      <c r="AO674" s="152"/>
      <c r="AP674" s="152"/>
      <c r="AQ674" s="152"/>
      <c r="AR674" s="152"/>
    </row>
    <row r="675" ht="12.75" customHeight="1">
      <c r="A675" s="288"/>
      <c r="B675" s="288"/>
      <c r="C675" s="288"/>
      <c r="D675" s="152"/>
      <c r="E675" s="289"/>
      <c r="F675" s="288"/>
      <c r="G675" s="152"/>
      <c r="H675" s="152"/>
      <c r="I675" s="152"/>
      <c r="J675" s="152"/>
      <c r="K675" s="289"/>
      <c r="L675" s="289"/>
      <c r="M675" s="152"/>
      <c r="N675" s="152"/>
      <c r="O675" s="156"/>
      <c r="P675" s="152"/>
      <c r="Q675" s="152"/>
      <c r="R675" s="152"/>
      <c r="S675" s="152"/>
      <c r="T675" s="152"/>
      <c r="U675" s="152"/>
      <c r="V675" s="152"/>
      <c r="W675" s="152"/>
      <c r="X675" s="152"/>
      <c r="Y675" s="152"/>
      <c r="Z675" s="281"/>
      <c r="AA675" s="281"/>
      <c r="AB675" s="281"/>
      <c r="AC675" s="281"/>
      <c r="AD675" s="281"/>
      <c r="AE675" s="281"/>
      <c r="AF675" s="281"/>
      <c r="AG675" s="170"/>
      <c r="AH675" s="152"/>
      <c r="AI675" s="152"/>
      <c r="AJ675" s="152"/>
      <c r="AK675" s="152"/>
      <c r="AL675" s="152"/>
      <c r="AM675" s="152"/>
      <c r="AN675" s="152"/>
      <c r="AO675" s="152"/>
      <c r="AP675" s="152"/>
      <c r="AQ675" s="152"/>
      <c r="AR675" s="152"/>
    </row>
    <row r="676" ht="12.75" customHeight="1">
      <c r="A676" s="288"/>
      <c r="B676" s="288"/>
      <c r="C676" s="288"/>
      <c r="D676" s="152"/>
      <c r="E676" s="289"/>
      <c r="F676" s="288"/>
      <c r="G676" s="152"/>
      <c r="H676" s="152"/>
      <c r="I676" s="152"/>
      <c r="J676" s="152"/>
      <c r="K676" s="289"/>
      <c r="L676" s="289"/>
      <c r="M676" s="152"/>
      <c r="N676" s="152"/>
      <c r="O676" s="156"/>
      <c r="P676" s="152"/>
      <c r="Q676" s="152"/>
      <c r="R676" s="152"/>
      <c r="S676" s="152"/>
      <c r="T676" s="152"/>
      <c r="U676" s="152"/>
      <c r="V676" s="152"/>
      <c r="W676" s="152"/>
      <c r="X676" s="152"/>
      <c r="Y676" s="152"/>
      <c r="Z676" s="281"/>
      <c r="AA676" s="281"/>
      <c r="AB676" s="281"/>
      <c r="AC676" s="281"/>
      <c r="AD676" s="281"/>
      <c r="AE676" s="281"/>
      <c r="AF676" s="281"/>
      <c r="AG676" s="170"/>
      <c r="AH676" s="152"/>
      <c r="AI676" s="152"/>
      <c r="AJ676" s="152"/>
      <c r="AK676" s="152"/>
      <c r="AL676" s="152"/>
      <c r="AM676" s="152"/>
      <c r="AN676" s="152"/>
      <c r="AO676" s="152"/>
      <c r="AP676" s="152"/>
      <c r="AQ676" s="152"/>
      <c r="AR676" s="152"/>
    </row>
    <row r="677" ht="12.75" customHeight="1">
      <c r="A677" s="288"/>
      <c r="B677" s="288"/>
      <c r="C677" s="288"/>
      <c r="D677" s="152"/>
      <c r="E677" s="289"/>
      <c r="F677" s="288"/>
      <c r="G677" s="152"/>
      <c r="H677" s="152"/>
      <c r="I677" s="152"/>
      <c r="J677" s="152"/>
      <c r="K677" s="289"/>
      <c r="L677" s="289"/>
      <c r="M677" s="152"/>
      <c r="N677" s="152"/>
      <c r="O677" s="156"/>
      <c r="P677" s="152"/>
      <c r="Q677" s="152"/>
      <c r="R677" s="152"/>
      <c r="S677" s="152"/>
      <c r="T677" s="152"/>
      <c r="U677" s="152"/>
      <c r="V677" s="152"/>
      <c r="W677" s="152"/>
      <c r="X677" s="152"/>
      <c r="Y677" s="152"/>
      <c r="Z677" s="281"/>
      <c r="AA677" s="281"/>
      <c r="AB677" s="281"/>
      <c r="AC677" s="281"/>
      <c r="AD677" s="281"/>
      <c r="AE677" s="281"/>
      <c r="AF677" s="281"/>
      <c r="AG677" s="170"/>
      <c r="AH677" s="152"/>
      <c r="AI677" s="152"/>
      <c r="AJ677" s="152"/>
      <c r="AK677" s="152"/>
      <c r="AL677" s="152"/>
      <c r="AM677" s="152"/>
      <c r="AN677" s="152"/>
      <c r="AO677" s="152"/>
      <c r="AP677" s="152"/>
      <c r="AQ677" s="152"/>
      <c r="AR677" s="152"/>
    </row>
    <row r="678" ht="12.75" customHeight="1">
      <c r="A678" s="288"/>
      <c r="B678" s="288"/>
      <c r="C678" s="288"/>
      <c r="D678" s="152"/>
      <c r="E678" s="289"/>
      <c r="F678" s="288"/>
      <c r="G678" s="152"/>
      <c r="H678" s="152"/>
      <c r="I678" s="152"/>
      <c r="J678" s="152"/>
      <c r="K678" s="289"/>
      <c r="L678" s="289"/>
      <c r="M678" s="152"/>
      <c r="N678" s="152"/>
      <c r="O678" s="156"/>
      <c r="P678" s="152"/>
      <c r="Q678" s="152"/>
      <c r="R678" s="152"/>
      <c r="S678" s="152"/>
      <c r="T678" s="152"/>
      <c r="U678" s="152"/>
      <c r="V678" s="152"/>
      <c r="W678" s="152"/>
      <c r="X678" s="152"/>
      <c r="Y678" s="152"/>
      <c r="Z678" s="281"/>
      <c r="AA678" s="281"/>
      <c r="AB678" s="281"/>
      <c r="AC678" s="281"/>
      <c r="AD678" s="281"/>
      <c r="AE678" s="281"/>
      <c r="AF678" s="281"/>
      <c r="AG678" s="170"/>
      <c r="AH678" s="152"/>
      <c r="AI678" s="152"/>
      <c r="AJ678" s="152"/>
      <c r="AK678" s="152"/>
      <c r="AL678" s="152"/>
      <c r="AM678" s="152"/>
      <c r="AN678" s="152"/>
      <c r="AO678" s="152"/>
      <c r="AP678" s="152"/>
      <c r="AQ678" s="152"/>
      <c r="AR678" s="152"/>
    </row>
    <row r="679" ht="12.75" customHeight="1">
      <c r="A679" s="288"/>
      <c r="B679" s="288"/>
      <c r="C679" s="288"/>
      <c r="D679" s="152"/>
      <c r="E679" s="289"/>
      <c r="F679" s="288"/>
      <c r="G679" s="152"/>
      <c r="H679" s="152"/>
      <c r="I679" s="152"/>
      <c r="J679" s="152"/>
      <c r="K679" s="289"/>
      <c r="L679" s="289"/>
      <c r="M679" s="152"/>
      <c r="N679" s="152"/>
      <c r="O679" s="156"/>
      <c r="P679" s="152"/>
      <c r="Q679" s="152"/>
      <c r="R679" s="152"/>
      <c r="S679" s="152"/>
      <c r="T679" s="152"/>
      <c r="U679" s="152"/>
      <c r="V679" s="152"/>
      <c r="W679" s="152"/>
      <c r="X679" s="152"/>
      <c r="Y679" s="152"/>
      <c r="Z679" s="281"/>
      <c r="AA679" s="281"/>
      <c r="AB679" s="281"/>
      <c r="AC679" s="281"/>
      <c r="AD679" s="281"/>
      <c r="AE679" s="281"/>
      <c r="AF679" s="281"/>
      <c r="AG679" s="170"/>
      <c r="AH679" s="152"/>
      <c r="AI679" s="152"/>
      <c r="AJ679" s="152"/>
      <c r="AK679" s="152"/>
      <c r="AL679" s="152"/>
      <c r="AM679" s="152"/>
      <c r="AN679" s="152"/>
      <c r="AO679" s="152"/>
      <c r="AP679" s="152"/>
      <c r="AQ679" s="152"/>
      <c r="AR679" s="152"/>
    </row>
    <row r="680" ht="12.75" customHeight="1">
      <c r="A680" s="288"/>
      <c r="B680" s="288"/>
      <c r="C680" s="288"/>
      <c r="D680" s="152"/>
      <c r="E680" s="289"/>
      <c r="F680" s="288"/>
      <c r="G680" s="152"/>
      <c r="H680" s="152"/>
      <c r="I680" s="152"/>
      <c r="J680" s="152"/>
      <c r="K680" s="289"/>
      <c r="L680" s="289"/>
      <c r="M680" s="152"/>
      <c r="N680" s="152"/>
      <c r="O680" s="156"/>
      <c r="P680" s="152"/>
      <c r="Q680" s="152"/>
      <c r="R680" s="152"/>
      <c r="S680" s="152"/>
      <c r="T680" s="152"/>
      <c r="U680" s="152"/>
      <c r="V680" s="152"/>
      <c r="W680" s="152"/>
      <c r="X680" s="152"/>
      <c r="Y680" s="152"/>
      <c r="Z680" s="281"/>
      <c r="AA680" s="281"/>
      <c r="AB680" s="281"/>
      <c r="AC680" s="281"/>
      <c r="AD680" s="281"/>
      <c r="AE680" s="281"/>
      <c r="AF680" s="281"/>
      <c r="AG680" s="170"/>
      <c r="AH680" s="152"/>
      <c r="AI680" s="152"/>
      <c r="AJ680" s="152"/>
      <c r="AK680" s="152"/>
      <c r="AL680" s="152"/>
      <c r="AM680" s="152"/>
      <c r="AN680" s="152"/>
      <c r="AO680" s="152"/>
      <c r="AP680" s="152"/>
      <c r="AQ680" s="152"/>
      <c r="AR680" s="152"/>
    </row>
    <row r="681" ht="12.75" customHeight="1">
      <c r="A681" s="288"/>
      <c r="B681" s="288"/>
      <c r="C681" s="288"/>
      <c r="D681" s="152"/>
      <c r="E681" s="289"/>
      <c r="F681" s="288"/>
      <c r="G681" s="152"/>
      <c r="H681" s="152"/>
      <c r="I681" s="152"/>
      <c r="J681" s="152"/>
      <c r="K681" s="289"/>
      <c r="L681" s="289"/>
      <c r="M681" s="152"/>
      <c r="N681" s="152"/>
      <c r="O681" s="156"/>
      <c r="P681" s="152"/>
      <c r="Q681" s="152"/>
      <c r="R681" s="152"/>
      <c r="S681" s="152"/>
      <c r="T681" s="152"/>
      <c r="U681" s="152"/>
      <c r="V681" s="152"/>
      <c r="W681" s="152"/>
      <c r="X681" s="152"/>
      <c r="Y681" s="152"/>
      <c r="Z681" s="281"/>
      <c r="AA681" s="281"/>
      <c r="AB681" s="281"/>
      <c r="AC681" s="281"/>
      <c r="AD681" s="281"/>
      <c r="AE681" s="281"/>
      <c r="AF681" s="281"/>
      <c r="AG681" s="170"/>
      <c r="AH681" s="152"/>
      <c r="AI681" s="152"/>
      <c r="AJ681" s="152"/>
      <c r="AK681" s="152"/>
      <c r="AL681" s="152"/>
      <c r="AM681" s="152"/>
      <c r="AN681" s="152"/>
      <c r="AO681" s="152"/>
      <c r="AP681" s="152"/>
      <c r="AQ681" s="152"/>
      <c r="AR681" s="152"/>
    </row>
    <row r="682" ht="12.75" customHeight="1">
      <c r="A682" s="288"/>
      <c r="B682" s="288"/>
      <c r="C682" s="288"/>
      <c r="D682" s="152"/>
      <c r="E682" s="289"/>
      <c r="F682" s="288"/>
      <c r="G682" s="152"/>
      <c r="H682" s="152"/>
      <c r="I682" s="152"/>
      <c r="J682" s="152"/>
      <c r="K682" s="289"/>
      <c r="L682" s="289"/>
      <c r="M682" s="152"/>
      <c r="N682" s="152"/>
      <c r="O682" s="156"/>
      <c r="P682" s="152"/>
      <c r="Q682" s="152"/>
      <c r="R682" s="152"/>
      <c r="S682" s="152"/>
      <c r="T682" s="152"/>
      <c r="U682" s="152"/>
      <c r="V682" s="152"/>
      <c r="W682" s="152"/>
      <c r="X682" s="152"/>
      <c r="Y682" s="152"/>
      <c r="Z682" s="281"/>
      <c r="AA682" s="281"/>
      <c r="AB682" s="281"/>
      <c r="AC682" s="281"/>
      <c r="AD682" s="281"/>
      <c r="AE682" s="281"/>
      <c r="AF682" s="281"/>
      <c r="AG682" s="170"/>
      <c r="AH682" s="152"/>
      <c r="AI682" s="152"/>
      <c r="AJ682" s="152"/>
      <c r="AK682" s="152"/>
      <c r="AL682" s="152"/>
      <c r="AM682" s="152"/>
      <c r="AN682" s="152"/>
      <c r="AO682" s="152"/>
      <c r="AP682" s="152"/>
      <c r="AQ682" s="152"/>
      <c r="AR682" s="152"/>
    </row>
    <row r="683" ht="12.75" customHeight="1">
      <c r="A683" s="288"/>
      <c r="B683" s="288"/>
      <c r="C683" s="288"/>
      <c r="D683" s="152"/>
      <c r="E683" s="289"/>
      <c r="F683" s="288"/>
      <c r="G683" s="152"/>
      <c r="H683" s="152"/>
      <c r="I683" s="152"/>
      <c r="J683" s="152"/>
      <c r="K683" s="289"/>
      <c r="L683" s="289"/>
      <c r="M683" s="152"/>
      <c r="N683" s="152"/>
      <c r="O683" s="156"/>
      <c r="P683" s="152"/>
      <c r="Q683" s="152"/>
      <c r="R683" s="152"/>
      <c r="S683" s="152"/>
      <c r="T683" s="152"/>
      <c r="U683" s="152"/>
      <c r="V683" s="152"/>
      <c r="W683" s="152"/>
      <c r="X683" s="152"/>
      <c r="Y683" s="152"/>
      <c r="Z683" s="281"/>
      <c r="AA683" s="281"/>
      <c r="AB683" s="281"/>
      <c r="AC683" s="281"/>
      <c r="AD683" s="281"/>
      <c r="AE683" s="281"/>
      <c r="AF683" s="281"/>
      <c r="AG683" s="170"/>
      <c r="AH683" s="152"/>
      <c r="AI683" s="152"/>
      <c r="AJ683" s="152"/>
      <c r="AK683" s="152"/>
      <c r="AL683" s="152"/>
      <c r="AM683" s="152"/>
      <c r="AN683" s="152"/>
      <c r="AO683" s="152"/>
      <c r="AP683" s="152"/>
      <c r="AQ683" s="152"/>
      <c r="AR683" s="152"/>
    </row>
    <row r="684" ht="12.75" customHeight="1">
      <c r="A684" s="288"/>
      <c r="B684" s="288"/>
      <c r="C684" s="288"/>
      <c r="D684" s="152"/>
      <c r="E684" s="289"/>
      <c r="F684" s="288"/>
      <c r="G684" s="152"/>
      <c r="H684" s="152"/>
      <c r="I684" s="152"/>
      <c r="J684" s="152"/>
      <c r="K684" s="289"/>
      <c r="L684" s="289"/>
      <c r="M684" s="152"/>
      <c r="N684" s="152"/>
      <c r="O684" s="156"/>
      <c r="P684" s="152"/>
      <c r="Q684" s="152"/>
      <c r="R684" s="152"/>
      <c r="S684" s="152"/>
      <c r="T684" s="152"/>
      <c r="U684" s="152"/>
      <c r="V684" s="152"/>
      <c r="W684" s="152"/>
      <c r="X684" s="152"/>
      <c r="Y684" s="152"/>
      <c r="Z684" s="281"/>
      <c r="AA684" s="281"/>
      <c r="AB684" s="281"/>
      <c r="AC684" s="281"/>
      <c r="AD684" s="281"/>
      <c r="AE684" s="281"/>
      <c r="AF684" s="281"/>
      <c r="AG684" s="170"/>
      <c r="AH684" s="152"/>
      <c r="AI684" s="152"/>
      <c r="AJ684" s="152"/>
      <c r="AK684" s="152"/>
      <c r="AL684" s="152"/>
      <c r="AM684" s="152"/>
      <c r="AN684" s="152"/>
      <c r="AO684" s="152"/>
      <c r="AP684" s="152"/>
      <c r="AQ684" s="152"/>
      <c r="AR684" s="152"/>
    </row>
    <row r="685" ht="12.75" customHeight="1">
      <c r="A685" s="288"/>
      <c r="B685" s="288"/>
      <c r="C685" s="288"/>
      <c r="D685" s="152"/>
      <c r="E685" s="289"/>
      <c r="F685" s="288"/>
      <c r="G685" s="152"/>
      <c r="H685" s="152"/>
      <c r="I685" s="152"/>
      <c r="J685" s="152"/>
      <c r="K685" s="289"/>
      <c r="L685" s="289"/>
      <c r="M685" s="152"/>
      <c r="N685" s="152"/>
      <c r="O685" s="156"/>
      <c r="P685" s="152"/>
      <c r="Q685" s="152"/>
      <c r="R685" s="152"/>
      <c r="S685" s="152"/>
      <c r="T685" s="152"/>
      <c r="U685" s="152"/>
      <c r="V685" s="152"/>
      <c r="W685" s="152"/>
      <c r="X685" s="152"/>
      <c r="Y685" s="152"/>
      <c r="Z685" s="281"/>
      <c r="AA685" s="281"/>
      <c r="AB685" s="281"/>
      <c r="AC685" s="281"/>
      <c r="AD685" s="281"/>
      <c r="AE685" s="281"/>
      <c r="AF685" s="281"/>
      <c r="AG685" s="170"/>
      <c r="AH685" s="152"/>
      <c r="AI685" s="152"/>
      <c r="AJ685" s="152"/>
      <c r="AK685" s="152"/>
      <c r="AL685" s="152"/>
      <c r="AM685" s="152"/>
      <c r="AN685" s="152"/>
      <c r="AO685" s="152"/>
      <c r="AP685" s="152"/>
      <c r="AQ685" s="152"/>
      <c r="AR685" s="152"/>
    </row>
    <row r="686" ht="12.75" customHeight="1">
      <c r="A686" s="288"/>
      <c r="B686" s="288"/>
      <c r="C686" s="288"/>
      <c r="D686" s="152"/>
      <c r="E686" s="289"/>
      <c r="F686" s="288"/>
      <c r="G686" s="152"/>
      <c r="H686" s="152"/>
      <c r="I686" s="152"/>
      <c r="J686" s="152"/>
      <c r="K686" s="289"/>
      <c r="L686" s="289"/>
      <c r="M686" s="152"/>
      <c r="N686" s="152"/>
      <c r="O686" s="156"/>
      <c r="P686" s="152"/>
      <c r="Q686" s="152"/>
      <c r="R686" s="152"/>
      <c r="S686" s="152"/>
      <c r="T686" s="152"/>
      <c r="U686" s="152"/>
      <c r="V686" s="152"/>
      <c r="W686" s="152"/>
      <c r="X686" s="152"/>
      <c r="Y686" s="152"/>
      <c r="Z686" s="281"/>
      <c r="AA686" s="281"/>
      <c r="AB686" s="281"/>
      <c r="AC686" s="281"/>
      <c r="AD686" s="281"/>
      <c r="AE686" s="281"/>
      <c r="AF686" s="281"/>
      <c r="AG686" s="170"/>
      <c r="AH686" s="152"/>
      <c r="AI686" s="152"/>
      <c r="AJ686" s="152"/>
      <c r="AK686" s="152"/>
      <c r="AL686" s="152"/>
      <c r="AM686" s="152"/>
      <c r="AN686" s="152"/>
      <c r="AO686" s="152"/>
      <c r="AP686" s="152"/>
      <c r="AQ686" s="152"/>
      <c r="AR686" s="152"/>
    </row>
    <row r="687" ht="12.75" customHeight="1">
      <c r="A687" s="288"/>
      <c r="B687" s="288"/>
      <c r="C687" s="288"/>
      <c r="D687" s="152"/>
      <c r="E687" s="289"/>
      <c r="F687" s="288"/>
      <c r="G687" s="152"/>
      <c r="H687" s="152"/>
      <c r="I687" s="152"/>
      <c r="J687" s="152"/>
      <c r="K687" s="289"/>
      <c r="L687" s="289"/>
      <c r="M687" s="152"/>
      <c r="N687" s="152"/>
      <c r="O687" s="156"/>
      <c r="P687" s="152"/>
      <c r="Q687" s="152"/>
      <c r="R687" s="152"/>
      <c r="S687" s="152"/>
      <c r="T687" s="152"/>
      <c r="U687" s="152"/>
      <c r="V687" s="152"/>
      <c r="W687" s="152"/>
      <c r="X687" s="152"/>
      <c r="Y687" s="152"/>
      <c r="Z687" s="281"/>
      <c r="AA687" s="281"/>
      <c r="AB687" s="281"/>
      <c r="AC687" s="281"/>
      <c r="AD687" s="281"/>
      <c r="AE687" s="281"/>
      <c r="AF687" s="281"/>
      <c r="AG687" s="170"/>
      <c r="AH687" s="152"/>
      <c r="AI687" s="152"/>
      <c r="AJ687" s="152"/>
      <c r="AK687" s="152"/>
      <c r="AL687" s="152"/>
      <c r="AM687" s="152"/>
      <c r="AN687" s="152"/>
      <c r="AO687" s="152"/>
      <c r="AP687" s="152"/>
      <c r="AQ687" s="152"/>
      <c r="AR687" s="152"/>
    </row>
    <row r="688" ht="12.75" customHeight="1">
      <c r="A688" s="288"/>
      <c r="B688" s="288"/>
      <c r="C688" s="288"/>
      <c r="D688" s="152"/>
      <c r="E688" s="289"/>
      <c r="F688" s="288"/>
      <c r="G688" s="152"/>
      <c r="H688" s="152"/>
      <c r="I688" s="152"/>
      <c r="J688" s="152"/>
      <c r="K688" s="289"/>
      <c r="L688" s="289"/>
      <c r="M688" s="152"/>
      <c r="N688" s="152"/>
      <c r="O688" s="156"/>
      <c r="P688" s="152"/>
      <c r="Q688" s="152"/>
      <c r="R688" s="152"/>
      <c r="S688" s="152"/>
      <c r="T688" s="152"/>
      <c r="U688" s="152"/>
      <c r="V688" s="152"/>
      <c r="W688" s="152"/>
      <c r="X688" s="152"/>
      <c r="Y688" s="152"/>
      <c r="Z688" s="281"/>
      <c r="AA688" s="281"/>
      <c r="AB688" s="281"/>
      <c r="AC688" s="281"/>
      <c r="AD688" s="281"/>
      <c r="AE688" s="281"/>
      <c r="AF688" s="281"/>
      <c r="AG688" s="170"/>
      <c r="AH688" s="152"/>
      <c r="AI688" s="152"/>
      <c r="AJ688" s="152"/>
      <c r="AK688" s="152"/>
      <c r="AL688" s="152"/>
      <c r="AM688" s="152"/>
      <c r="AN688" s="152"/>
      <c r="AO688" s="152"/>
      <c r="AP688" s="152"/>
      <c r="AQ688" s="152"/>
      <c r="AR688" s="152"/>
    </row>
    <row r="689" ht="12.75" customHeight="1">
      <c r="A689" s="288"/>
      <c r="B689" s="288"/>
      <c r="C689" s="288"/>
      <c r="D689" s="152"/>
      <c r="E689" s="289"/>
      <c r="F689" s="288"/>
      <c r="G689" s="152"/>
      <c r="H689" s="152"/>
      <c r="I689" s="152"/>
      <c r="J689" s="152"/>
      <c r="K689" s="289"/>
      <c r="L689" s="289"/>
      <c r="M689" s="152"/>
      <c r="N689" s="152"/>
      <c r="O689" s="156"/>
      <c r="P689" s="152"/>
      <c r="Q689" s="152"/>
      <c r="R689" s="152"/>
      <c r="S689" s="152"/>
      <c r="T689" s="152"/>
      <c r="U689" s="152"/>
      <c r="V689" s="152"/>
      <c r="W689" s="152"/>
      <c r="X689" s="152"/>
      <c r="Y689" s="152"/>
      <c r="Z689" s="281"/>
      <c r="AA689" s="281"/>
      <c r="AB689" s="281"/>
      <c r="AC689" s="281"/>
      <c r="AD689" s="281"/>
      <c r="AE689" s="281"/>
      <c r="AF689" s="281"/>
      <c r="AG689" s="170"/>
      <c r="AH689" s="152"/>
      <c r="AI689" s="152"/>
      <c r="AJ689" s="152"/>
      <c r="AK689" s="152"/>
      <c r="AL689" s="152"/>
      <c r="AM689" s="152"/>
      <c r="AN689" s="152"/>
      <c r="AO689" s="152"/>
      <c r="AP689" s="152"/>
      <c r="AQ689" s="152"/>
      <c r="AR689" s="152"/>
    </row>
    <row r="690" ht="12.75" customHeight="1">
      <c r="A690" s="288"/>
      <c r="B690" s="288"/>
      <c r="C690" s="288"/>
      <c r="D690" s="152"/>
      <c r="E690" s="289"/>
      <c r="F690" s="288"/>
      <c r="G690" s="152"/>
      <c r="H690" s="152"/>
      <c r="I690" s="152"/>
      <c r="J690" s="152"/>
      <c r="K690" s="289"/>
      <c r="L690" s="289"/>
      <c r="M690" s="152"/>
      <c r="N690" s="152"/>
      <c r="O690" s="156"/>
      <c r="P690" s="152"/>
      <c r="Q690" s="152"/>
      <c r="R690" s="152"/>
      <c r="S690" s="152"/>
      <c r="T690" s="152"/>
      <c r="U690" s="152"/>
      <c r="V690" s="152"/>
      <c r="W690" s="152"/>
      <c r="X690" s="152"/>
      <c r="Y690" s="152"/>
      <c r="Z690" s="281"/>
      <c r="AA690" s="281"/>
      <c r="AB690" s="281"/>
      <c r="AC690" s="281"/>
      <c r="AD690" s="281"/>
      <c r="AE690" s="281"/>
      <c r="AF690" s="281"/>
      <c r="AG690" s="170"/>
      <c r="AH690" s="152"/>
      <c r="AI690" s="152"/>
      <c r="AJ690" s="152"/>
      <c r="AK690" s="152"/>
      <c r="AL690" s="152"/>
      <c r="AM690" s="152"/>
      <c r="AN690" s="152"/>
      <c r="AO690" s="152"/>
      <c r="AP690" s="152"/>
      <c r="AQ690" s="152"/>
      <c r="AR690" s="152"/>
    </row>
    <row r="691" ht="12.75" customHeight="1">
      <c r="A691" s="288"/>
      <c r="B691" s="288"/>
      <c r="C691" s="288"/>
      <c r="D691" s="152"/>
      <c r="E691" s="289"/>
      <c r="F691" s="288"/>
      <c r="G691" s="152"/>
      <c r="H691" s="152"/>
      <c r="I691" s="152"/>
      <c r="J691" s="152"/>
      <c r="K691" s="289"/>
      <c r="L691" s="289"/>
      <c r="M691" s="152"/>
      <c r="N691" s="152"/>
      <c r="O691" s="156"/>
      <c r="P691" s="152"/>
      <c r="Q691" s="152"/>
      <c r="R691" s="152"/>
      <c r="S691" s="152"/>
      <c r="T691" s="152"/>
      <c r="U691" s="152"/>
      <c r="V691" s="152"/>
      <c r="W691" s="152"/>
      <c r="X691" s="152"/>
      <c r="Y691" s="152"/>
      <c r="Z691" s="281"/>
      <c r="AA691" s="281"/>
      <c r="AB691" s="281"/>
      <c r="AC691" s="281"/>
      <c r="AD691" s="281"/>
      <c r="AE691" s="281"/>
      <c r="AF691" s="281"/>
      <c r="AG691" s="170"/>
      <c r="AH691" s="152"/>
      <c r="AI691" s="152"/>
      <c r="AJ691" s="152"/>
      <c r="AK691" s="152"/>
      <c r="AL691" s="152"/>
      <c r="AM691" s="152"/>
      <c r="AN691" s="152"/>
      <c r="AO691" s="152"/>
      <c r="AP691" s="152"/>
      <c r="AQ691" s="152"/>
      <c r="AR691" s="152"/>
    </row>
    <row r="692" ht="12.75" customHeight="1">
      <c r="A692" s="288"/>
      <c r="B692" s="288"/>
      <c r="C692" s="288"/>
      <c r="D692" s="152"/>
      <c r="E692" s="289"/>
      <c r="F692" s="288"/>
      <c r="G692" s="152"/>
      <c r="H692" s="152"/>
      <c r="I692" s="152"/>
      <c r="J692" s="152"/>
      <c r="K692" s="289"/>
      <c r="L692" s="289"/>
      <c r="M692" s="152"/>
      <c r="N692" s="152"/>
      <c r="O692" s="156"/>
      <c r="P692" s="152"/>
      <c r="Q692" s="152"/>
      <c r="R692" s="152"/>
      <c r="S692" s="152"/>
      <c r="T692" s="152"/>
      <c r="U692" s="152"/>
      <c r="V692" s="152"/>
      <c r="W692" s="152"/>
      <c r="X692" s="152"/>
      <c r="Y692" s="152"/>
      <c r="Z692" s="281"/>
      <c r="AA692" s="281"/>
      <c r="AB692" s="281"/>
      <c r="AC692" s="281"/>
      <c r="AD692" s="281"/>
      <c r="AE692" s="281"/>
      <c r="AF692" s="281"/>
      <c r="AG692" s="170"/>
      <c r="AH692" s="152"/>
      <c r="AI692" s="152"/>
      <c r="AJ692" s="152"/>
      <c r="AK692" s="152"/>
      <c r="AL692" s="152"/>
      <c r="AM692" s="152"/>
      <c r="AN692" s="152"/>
      <c r="AO692" s="152"/>
      <c r="AP692" s="152"/>
      <c r="AQ692" s="152"/>
      <c r="AR692" s="152"/>
    </row>
    <row r="693" ht="12.75" customHeight="1">
      <c r="A693" s="288"/>
      <c r="B693" s="288"/>
      <c r="C693" s="288"/>
      <c r="D693" s="152"/>
      <c r="E693" s="289"/>
      <c r="F693" s="288"/>
      <c r="G693" s="152"/>
      <c r="H693" s="152"/>
      <c r="I693" s="152"/>
      <c r="J693" s="152"/>
      <c r="K693" s="289"/>
      <c r="L693" s="289"/>
      <c r="M693" s="152"/>
      <c r="N693" s="152"/>
      <c r="O693" s="156"/>
      <c r="P693" s="152"/>
      <c r="Q693" s="152"/>
      <c r="R693" s="152"/>
      <c r="S693" s="152"/>
      <c r="T693" s="152"/>
      <c r="U693" s="152"/>
      <c r="V693" s="152"/>
      <c r="W693" s="152"/>
      <c r="X693" s="152"/>
      <c r="Y693" s="152"/>
      <c r="Z693" s="281"/>
      <c r="AA693" s="281"/>
      <c r="AB693" s="281"/>
      <c r="AC693" s="281"/>
      <c r="AD693" s="281"/>
      <c r="AE693" s="281"/>
      <c r="AF693" s="281"/>
      <c r="AG693" s="170"/>
      <c r="AH693" s="152"/>
      <c r="AI693" s="152"/>
      <c r="AJ693" s="152"/>
      <c r="AK693" s="152"/>
      <c r="AL693" s="152"/>
      <c r="AM693" s="152"/>
      <c r="AN693" s="152"/>
      <c r="AO693" s="152"/>
      <c r="AP693" s="152"/>
      <c r="AQ693" s="152"/>
      <c r="AR693" s="152"/>
    </row>
    <row r="694" ht="12.75" customHeight="1">
      <c r="A694" s="288"/>
      <c r="B694" s="288"/>
      <c r="C694" s="288"/>
      <c r="D694" s="152"/>
      <c r="E694" s="289"/>
      <c r="F694" s="288"/>
      <c r="G694" s="152"/>
      <c r="H694" s="152"/>
      <c r="I694" s="152"/>
      <c r="J694" s="152"/>
      <c r="K694" s="289"/>
      <c r="L694" s="289"/>
      <c r="M694" s="152"/>
      <c r="N694" s="152"/>
      <c r="O694" s="156"/>
      <c r="P694" s="152"/>
      <c r="Q694" s="152"/>
      <c r="R694" s="152"/>
      <c r="S694" s="152"/>
      <c r="T694" s="152"/>
      <c r="U694" s="152"/>
      <c r="V694" s="152"/>
      <c r="W694" s="152"/>
      <c r="X694" s="152"/>
      <c r="Y694" s="152"/>
      <c r="Z694" s="281"/>
      <c r="AA694" s="281"/>
      <c r="AB694" s="281"/>
      <c r="AC694" s="281"/>
      <c r="AD694" s="281"/>
      <c r="AE694" s="281"/>
      <c r="AF694" s="281"/>
      <c r="AG694" s="170"/>
      <c r="AH694" s="152"/>
      <c r="AI694" s="152"/>
      <c r="AJ694" s="152"/>
      <c r="AK694" s="152"/>
      <c r="AL694" s="152"/>
      <c r="AM694" s="152"/>
      <c r="AN694" s="152"/>
      <c r="AO694" s="152"/>
      <c r="AP694" s="152"/>
      <c r="AQ694" s="152"/>
      <c r="AR694" s="152"/>
    </row>
    <row r="695" ht="12.75" customHeight="1">
      <c r="A695" s="288"/>
      <c r="B695" s="288"/>
      <c r="C695" s="288"/>
      <c r="D695" s="152"/>
      <c r="E695" s="289"/>
      <c r="F695" s="288"/>
      <c r="G695" s="152"/>
      <c r="H695" s="152"/>
      <c r="I695" s="152"/>
      <c r="J695" s="152"/>
      <c r="K695" s="289"/>
      <c r="L695" s="289"/>
      <c r="M695" s="152"/>
      <c r="N695" s="152"/>
      <c r="O695" s="156"/>
      <c r="P695" s="152"/>
      <c r="Q695" s="152"/>
      <c r="R695" s="152"/>
      <c r="S695" s="152"/>
      <c r="T695" s="152"/>
      <c r="U695" s="152"/>
      <c r="V695" s="152"/>
      <c r="W695" s="152"/>
      <c r="X695" s="152"/>
      <c r="Y695" s="152"/>
      <c r="Z695" s="281"/>
      <c r="AA695" s="281"/>
      <c r="AB695" s="281"/>
      <c r="AC695" s="281"/>
      <c r="AD695" s="281"/>
      <c r="AE695" s="281"/>
      <c r="AF695" s="281"/>
      <c r="AG695" s="170"/>
      <c r="AH695" s="152"/>
      <c r="AI695" s="152"/>
      <c r="AJ695" s="152"/>
      <c r="AK695" s="152"/>
      <c r="AL695" s="152"/>
      <c r="AM695" s="152"/>
      <c r="AN695" s="152"/>
      <c r="AO695" s="152"/>
      <c r="AP695" s="152"/>
      <c r="AQ695" s="152"/>
      <c r="AR695" s="152"/>
    </row>
    <row r="696" ht="12.75" customHeight="1">
      <c r="A696" s="288"/>
      <c r="B696" s="288"/>
      <c r="C696" s="288"/>
      <c r="D696" s="152"/>
      <c r="E696" s="289"/>
      <c r="F696" s="288"/>
      <c r="G696" s="152"/>
      <c r="H696" s="152"/>
      <c r="I696" s="152"/>
      <c r="J696" s="152"/>
      <c r="K696" s="289"/>
      <c r="L696" s="289"/>
      <c r="M696" s="152"/>
      <c r="N696" s="152"/>
      <c r="O696" s="156"/>
      <c r="P696" s="152"/>
      <c r="Q696" s="152"/>
      <c r="R696" s="152"/>
      <c r="S696" s="152"/>
      <c r="T696" s="152"/>
      <c r="U696" s="152"/>
      <c r="V696" s="152"/>
      <c r="W696" s="152"/>
      <c r="X696" s="152"/>
      <c r="Y696" s="152"/>
      <c r="Z696" s="281"/>
      <c r="AA696" s="281"/>
      <c r="AB696" s="281"/>
      <c r="AC696" s="281"/>
      <c r="AD696" s="281"/>
      <c r="AE696" s="281"/>
      <c r="AF696" s="281"/>
      <c r="AG696" s="170"/>
      <c r="AH696" s="152"/>
      <c r="AI696" s="152"/>
      <c r="AJ696" s="152"/>
      <c r="AK696" s="152"/>
      <c r="AL696" s="152"/>
      <c r="AM696" s="152"/>
      <c r="AN696" s="152"/>
      <c r="AO696" s="152"/>
      <c r="AP696" s="152"/>
      <c r="AQ696" s="152"/>
      <c r="AR696" s="152"/>
    </row>
    <row r="697" ht="12.75" customHeight="1">
      <c r="A697" s="288"/>
      <c r="B697" s="288"/>
      <c r="C697" s="288"/>
      <c r="D697" s="152"/>
      <c r="E697" s="289"/>
      <c r="F697" s="288"/>
      <c r="G697" s="152"/>
      <c r="H697" s="152"/>
      <c r="I697" s="152"/>
      <c r="J697" s="152"/>
      <c r="K697" s="289"/>
      <c r="L697" s="289"/>
      <c r="M697" s="152"/>
      <c r="N697" s="152"/>
      <c r="O697" s="156"/>
      <c r="P697" s="152"/>
      <c r="Q697" s="152"/>
      <c r="R697" s="152"/>
      <c r="S697" s="152"/>
      <c r="T697" s="152"/>
      <c r="U697" s="152"/>
      <c r="V697" s="152"/>
      <c r="W697" s="152"/>
      <c r="X697" s="152"/>
      <c r="Y697" s="152"/>
      <c r="Z697" s="281"/>
      <c r="AA697" s="281"/>
      <c r="AB697" s="281"/>
      <c r="AC697" s="281"/>
      <c r="AD697" s="281"/>
      <c r="AE697" s="281"/>
      <c r="AF697" s="281"/>
      <c r="AG697" s="170"/>
      <c r="AH697" s="152"/>
      <c r="AI697" s="152"/>
      <c r="AJ697" s="152"/>
      <c r="AK697" s="152"/>
      <c r="AL697" s="152"/>
      <c r="AM697" s="152"/>
      <c r="AN697" s="152"/>
      <c r="AO697" s="152"/>
      <c r="AP697" s="152"/>
      <c r="AQ697" s="152"/>
      <c r="AR697" s="152"/>
    </row>
    <row r="698" ht="12.75" customHeight="1">
      <c r="A698" s="288"/>
      <c r="B698" s="288"/>
      <c r="C698" s="288"/>
      <c r="D698" s="152"/>
      <c r="E698" s="289"/>
      <c r="F698" s="288"/>
      <c r="G698" s="152"/>
      <c r="H698" s="152"/>
      <c r="I698" s="152"/>
      <c r="J698" s="152"/>
      <c r="K698" s="289"/>
      <c r="L698" s="289"/>
      <c r="M698" s="152"/>
      <c r="N698" s="152"/>
      <c r="O698" s="156"/>
      <c r="P698" s="152"/>
      <c r="Q698" s="152"/>
      <c r="R698" s="152"/>
      <c r="S698" s="152"/>
      <c r="T698" s="152"/>
      <c r="U698" s="152"/>
      <c r="V698" s="152"/>
      <c r="W698" s="152"/>
      <c r="X698" s="152"/>
      <c r="Y698" s="152"/>
      <c r="Z698" s="281"/>
      <c r="AA698" s="281"/>
      <c r="AB698" s="281"/>
      <c r="AC698" s="281"/>
      <c r="AD698" s="281"/>
      <c r="AE698" s="281"/>
      <c r="AF698" s="281"/>
      <c r="AG698" s="170"/>
      <c r="AH698" s="152"/>
      <c r="AI698" s="152"/>
      <c r="AJ698" s="152"/>
      <c r="AK698" s="152"/>
      <c r="AL698" s="152"/>
      <c r="AM698" s="152"/>
      <c r="AN698" s="152"/>
      <c r="AO698" s="152"/>
      <c r="AP698" s="152"/>
      <c r="AQ698" s="152"/>
      <c r="AR698" s="152"/>
    </row>
    <row r="699" ht="12.75" customHeight="1">
      <c r="A699" s="288"/>
      <c r="B699" s="288"/>
      <c r="C699" s="288"/>
      <c r="D699" s="152"/>
      <c r="E699" s="289"/>
      <c r="F699" s="288"/>
      <c r="G699" s="152"/>
      <c r="H699" s="152"/>
      <c r="I699" s="152"/>
      <c r="J699" s="152"/>
      <c r="K699" s="289"/>
      <c r="L699" s="289"/>
      <c r="M699" s="152"/>
      <c r="N699" s="152"/>
      <c r="O699" s="156"/>
      <c r="P699" s="152"/>
      <c r="Q699" s="152"/>
      <c r="R699" s="152"/>
      <c r="S699" s="152"/>
      <c r="T699" s="152"/>
      <c r="U699" s="152"/>
      <c r="V699" s="152"/>
      <c r="W699" s="152"/>
      <c r="X699" s="152"/>
      <c r="Y699" s="152"/>
      <c r="Z699" s="281"/>
      <c r="AA699" s="281"/>
      <c r="AB699" s="281"/>
      <c r="AC699" s="281"/>
      <c r="AD699" s="281"/>
      <c r="AE699" s="281"/>
      <c r="AF699" s="281"/>
      <c r="AG699" s="170"/>
      <c r="AH699" s="152"/>
      <c r="AI699" s="152"/>
      <c r="AJ699" s="152"/>
      <c r="AK699" s="152"/>
      <c r="AL699" s="152"/>
      <c r="AM699" s="152"/>
      <c r="AN699" s="152"/>
      <c r="AO699" s="152"/>
      <c r="AP699" s="152"/>
      <c r="AQ699" s="152"/>
      <c r="AR699" s="152"/>
    </row>
    <row r="700" ht="12.75" customHeight="1">
      <c r="A700" s="288"/>
      <c r="B700" s="288"/>
      <c r="C700" s="288"/>
      <c r="D700" s="152"/>
      <c r="E700" s="289"/>
      <c r="F700" s="288"/>
      <c r="G700" s="152"/>
      <c r="H700" s="152"/>
      <c r="I700" s="152"/>
      <c r="J700" s="152"/>
      <c r="K700" s="289"/>
      <c r="L700" s="289"/>
      <c r="M700" s="152"/>
      <c r="N700" s="152"/>
      <c r="O700" s="156"/>
      <c r="P700" s="152"/>
      <c r="Q700" s="152"/>
      <c r="R700" s="152"/>
      <c r="S700" s="152"/>
      <c r="T700" s="152"/>
      <c r="U700" s="152"/>
      <c r="V700" s="152"/>
      <c r="W700" s="152"/>
      <c r="X700" s="152"/>
      <c r="Y700" s="152"/>
      <c r="Z700" s="281"/>
      <c r="AA700" s="281"/>
      <c r="AB700" s="281"/>
      <c r="AC700" s="281"/>
      <c r="AD700" s="281"/>
      <c r="AE700" s="281"/>
      <c r="AF700" s="281"/>
      <c r="AG700" s="170"/>
      <c r="AH700" s="152"/>
      <c r="AI700" s="152"/>
      <c r="AJ700" s="152"/>
      <c r="AK700" s="152"/>
      <c r="AL700" s="152"/>
      <c r="AM700" s="152"/>
      <c r="AN700" s="152"/>
      <c r="AO700" s="152"/>
      <c r="AP700" s="152"/>
      <c r="AQ700" s="152"/>
      <c r="AR700" s="152"/>
    </row>
    <row r="701" ht="12.75" customHeight="1">
      <c r="A701" s="288"/>
      <c r="B701" s="288"/>
      <c r="C701" s="288"/>
      <c r="D701" s="152"/>
      <c r="E701" s="289"/>
      <c r="F701" s="288"/>
      <c r="G701" s="152"/>
      <c r="H701" s="152"/>
      <c r="I701" s="152"/>
      <c r="J701" s="152"/>
      <c r="K701" s="289"/>
      <c r="L701" s="289"/>
      <c r="M701" s="152"/>
      <c r="N701" s="152"/>
      <c r="O701" s="156"/>
      <c r="P701" s="152"/>
      <c r="Q701" s="152"/>
      <c r="R701" s="152"/>
      <c r="S701" s="152"/>
      <c r="T701" s="152"/>
      <c r="U701" s="152"/>
      <c r="V701" s="152"/>
      <c r="W701" s="152"/>
      <c r="X701" s="152"/>
      <c r="Y701" s="152"/>
      <c r="Z701" s="281"/>
      <c r="AA701" s="281"/>
      <c r="AB701" s="281"/>
      <c r="AC701" s="281"/>
      <c r="AD701" s="281"/>
      <c r="AE701" s="281"/>
      <c r="AF701" s="281"/>
      <c r="AG701" s="170"/>
      <c r="AH701" s="152"/>
      <c r="AI701" s="152"/>
      <c r="AJ701" s="152"/>
      <c r="AK701" s="152"/>
      <c r="AL701" s="152"/>
      <c r="AM701" s="152"/>
      <c r="AN701" s="152"/>
      <c r="AO701" s="152"/>
      <c r="AP701" s="152"/>
      <c r="AQ701" s="152"/>
      <c r="AR701" s="152"/>
    </row>
    <row r="702" ht="12.75" customHeight="1">
      <c r="A702" s="288"/>
      <c r="B702" s="288"/>
      <c r="C702" s="288"/>
      <c r="D702" s="152"/>
      <c r="E702" s="289"/>
      <c r="F702" s="288"/>
      <c r="G702" s="152"/>
      <c r="H702" s="152"/>
      <c r="I702" s="152"/>
      <c r="J702" s="152"/>
      <c r="K702" s="289"/>
      <c r="L702" s="289"/>
      <c r="M702" s="152"/>
      <c r="N702" s="152"/>
      <c r="O702" s="156"/>
      <c r="P702" s="152"/>
      <c r="Q702" s="152"/>
      <c r="R702" s="152"/>
      <c r="S702" s="152"/>
      <c r="T702" s="152"/>
      <c r="U702" s="152"/>
      <c r="V702" s="152"/>
      <c r="W702" s="152"/>
      <c r="X702" s="152"/>
      <c r="Y702" s="152"/>
      <c r="Z702" s="281"/>
      <c r="AA702" s="281"/>
      <c r="AB702" s="281"/>
      <c r="AC702" s="281"/>
      <c r="AD702" s="281"/>
      <c r="AE702" s="281"/>
      <c r="AF702" s="281"/>
      <c r="AG702" s="170"/>
      <c r="AH702" s="152"/>
      <c r="AI702" s="152"/>
      <c r="AJ702" s="152"/>
      <c r="AK702" s="152"/>
      <c r="AL702" s="152"/>
      <c r="AM702" s="152"/>
      <c r="AN702" s="152"/>
      <c r="AO702" s="152"/>
      <c r="AP702" s="152"/>
      <c r="AQ702" s="152"/>
      <c r="AR702" s="152"/>
    </row>
    <row r="703" ht="12.75" customHeight="1">
      <c r="A703" s="288"/>
      <c r="B703" s="288"/>
      <c r="C703" s="288"/>
      <c r="D703" s="152"/>
      <c r="E703" s="289"/>
      <c r="F703" s="288"/>
      <c r="G703" s="152"/>
      <c r="H703" s="152"/>
      <c r="I703" s="152"/>
      <c r="J703" s="152"/>
      <c r="K703" s="289"/>
      <c r="L703" s="289"/>
      <c r="M703" s="152"/>
      <c r="N703" s="152"/>
      <c r="O703" s="156"/>
      <c r="P703" s="152"/>
      <c r="Q703" s="152"/>
      <c r="R703" s="152"/>
      <c r="S703" s="152"/>
      <c r="T703" s="152"/>
      <c r="U703" s="152"/>
      <c r="V703" s="152"/>
      <c r="W703" s="152"/>
      <c r="X703" s="152"/>
      <c r="Y703" s="152"/>
      <c r="Z703" s="281"/>
      <c r="AA703" s="281"/>
      <c r="AB703" s="281"/>
      <c r="AC703" s="281"/>
      <c r="AD703" s="281"/>
      <c r="AE703" s="281"/>
      <c r="AF703" s="281"/>
      <c r="AG703" s="170"/>
      <c r="AH703" s="152"/>
      <c r="AI703" s="152"/>
      <c r="AJ703" s="152"/>
      <c r="AK703" s="152"/>
      <c r="AL703" s="152"/>
      <c r="AM703" s="152"/>
      <c r="AN703" s="152"/>
      <c r="AO703" s="152"/>
      <c r="AP703" s="152"/>
      <c r="AQ703" s="152"/>
      <c r="AR703" s="152"/>
    </row>
    <row r="704" ht="12.75" customHeight="1">
      <c r="A704" s="288"/>
      <c r="B704" s="288"/>
      <c r="C704" s="288"/>
      <c r="D704" s="152"/>
      <c r="E704" s="289"/>
      <c r="F704" s="288"/>
      <c r="G704" s="152"/>
      <c r="H704" s="152"/>
      <c r="I704" s="152"/>
      <c r="J704" s="152"/>
      <c r="K704" s="289"/>
      <c r="L704" s="289"/>
      <c r="M704" s="152"/>
      <c r="N704" s="152"/>
      <c r="O704" s="156"/>
      <c r="P704" s="152"/>
      <c r="Q704" s="152"/>
      <c r="R704" s="152"/>
      <c r="S704" s="152"/>
      <c r="T704" s="152"/>
      <c r="U704" s="152"/>
      <c r="V704" s="152"/>
      <c r="W704" s="152"/>
      <c r="X704" s="152"/>
      <c r="Y704" s="152"/>
      <c r="Z704" s="281"/>
      <c r="AA704" s="281"/>
      <c r="AB704" s="281"/>
      <c r="AC704" s="281"/>
      <c r="AD704" s="281"/>
      <c r="AE704" s="281"/>
      <c r="AF704" s="281"/>
      <c r="AG704" s="170"/>
      <c r="AH704" s="152"/>
      <c r="AI704" s="152"/>
      <c r="AJ704" s="152"/>
      <c r="AK704" s="152"/>
      <c r="AL704" s="152"/>
      <c r="AM704" s="152"/>
      <c r="AN704" s="152"/>
      <c r="AO704" s="152"/>
      <c r="AP704" s="152"/>
      <c r="AQ704" s="152"/>
      <c r="AR704" s="152"/>
    </row>
    <row r="705" ht="12.75" customHeight="1">
      <c r="A705" s="288"/>
      <c r="B705" s="288"/>
      <c r="C705" s="288"/>
      <c r="D705" s="152"/>
      <c r="E705" s="289"/>
      <c r="F705" s="288"/>
      <c r="G705" s="152"/>
      <c r="H705" s="152"/>
      <c r="I705" s="152"/>
      <c r="J705" s="152"/>
      <c r="K705" s="289"/>
      <c r="L705" s="289"/>
      <c r="M705" s="152"/>
      <c r="N705" s="152"/>
      <c r="O705" s="156"/>
      <c r="P705" s="152"/>
      <c r="Q705" s="152"/>
      <c r="R705" s="152"/>
      <c r="S705" s="152"/>
      <c r="T705" s="152"/>
      <c r="U705" s="152"/>
      <c r="V705" s="152"/>
      <c r="W705" s="152"/>
      <c r="X705" s="152"/>
      <c r="Y705" s="152"/>
      <c r="Z705" s="281"/>
      <c r="AA705" s="281"/>
      <c r="AB705" s="281"/>
      <c r="AC705" s="281"/>
      <c r="AD705" s="281"/>
      <c r="AE705" s="281"/>
      <c r="AF705" s="281"/>
      <c r="AG705" s="170"/>
      <c r="AH705" s="152"/>
      <c r="AI705" s="152"/>
      <c r="AJ705" s="152"/>
      <c r="AK705" s="152"/>
      <c r="AL705" s="152"/>
      <c r="AM705" s="152"/>
      <c r="AN705" s="152"/>
      <c r="AO705" s="152"/>
      <c r="AP705" s="152"/>
      <c r="AQ705" s="152"/>
      <c r="AR705" s="152"/>
    </row>
    <row r="706" ht="12.75" customHeight="1">
      <c r="A706" s="288"/>
      <c r="B706" s="288"/>
      <c r="C706" s="288"/>
      <c r="D706" s="152"/>
      <c r="E706" s="289"/>
      <c r="F706" s="288"/>
      <c r="G706" s="152"/>
      <c r="H706" s="152"/>
      <c r="I706" s="152"/>
      <c r="J706" s="152"/>
      <c r="K706" s="289"/>
      <c r="L706" s="289"/>
      <c r="M706" s="152"/>
      <c r="N706" s="152"/>
      <c r="O706" s="156"/>
      <c r="P706" s="152"/>
      <c r="Q706" s="152"/>
      <c r="R706" s="152"/>
      <c r="S706" s="152"/>
      <c r="T706" s="152"/>
      <c r="U706" s="152"/>
      <c r="V706" s="152"/>
      <c r="W706" s="152"/>
      <c r="X706" s="152"/>
      <c r="Y706" s="152"/>
      <c r="Z706" s="281"/>
      <c r="AA706" s="281"/>
      <c r="AB706" s="281"/>
      <c r="AC706" s="281"/>
      <c r="AD706" s="281"/>
      <c r="AE706" s="281"/>
      <c r="AF706" s="281"/>
      <c r="AG706" s="170"/>
      <c r="AH706" s="152"/>
      <c r="AI706" s="152"/>
      <c r="AJ706" s="152"/>
      <c r="AK706" s="152"/>
      <c r="AL706" s="152"/>
      <c r="AM706" s="152"/>
      <c r="AN706" s="152"/>
      <c r="AO706" s="152"/>
      <c r="AP706" s="152"/>
      <c r="AQ706" s="152"/>
      <c r="AR706" s="152"/>
    </row>
    <row r="707" ht="12.75" customHeight="1">
      <c r="A707" s="288"/>
      <c r="B707" s="288"/>
      <c r="C707" s="288"/>
      <c r="D707" s="152"/>
      <c r="E707" s="289"/>
      <c r="F707" s="288"/>
      <c r="G707" s="152"/>
      <c r="H707" s="152"/>
      <c r="I707" s="152"/>
      <c r="J707" s="152"/>
      <c r="K707" s="289"/>
      <c r="L707" s="289"/>
      <c r="M707" s="152"/>
      <c r="N707" s="152"/>
      <c r="O707" s="156"/>
      <c r="P707" s="152"/>
      <c r="Q707" s="152"/>
      <c r="R707" s="152"/>
      <c r="S707" s="152"/>
      <c r="T707" s="152"/>
      <c r="U707" s="152"/>
      <c r="V707" s="152"/>
      <c r="W707" s="152"/>
      <c r="X707" s="152"/>
      <c r="Y707" s="152"/>
      <c r="Z707" s="281"/>
      <c r="AA707" s="281"/>
      <c r="AB707" s="281"/>
      <c r="AC707" s="281"/>
      <c r="AD707" s="281"/>
      <c r="AE707" s="281"/>
      <c r="AF707" s="281"/>
      <c r="AG707" s="170"/>
      <c r="AH707" s="152"/>
      <c r="AI707" s="152"/>
      <c r="AJ707" s="152"/>
      <c r="AK707" s="152"/>
      <c r="AL707" s="152"/>
      <c r="AM707" s="152"/>
      <c r="AN707" s="152"/>
      <c r="AO707" s="152"/>
      <c r="AP707" s="152"/>
      <c r="AQ707" s="152"/>
      <c r="AR707" s="152"/>
    </row>
    <row r="708" ht="12.75" customHeight="1">
      <c r="A708" s="288"/>
      <c r="B708" s="288"/>
      <c r="C708" s="288"/>
      <c r="D708" s="152"/>
      <c r="E708" s="289"/>
      <c r="F708" s="288"/>
      <c r="G708" s="152"/>
      <c r="H708" s="152"/>
      <c r="I708" s="152"/>
      <c r="J708" s="152"/>
      <c r="K708" s="289"/>
      <c r="L708" s="289"/>
      <c r="M708" s="152"/>
      <c r="N708" s="152"/>
      <c r="O708" s="156"/>
      <c r="P708" s="152"/>
      <c r="Q708" s="152"/>
      <c r="R708" s="152"/>
      <c r="S708" s="152"/>
      <c r="T708" s="152"/>
      <c r="U708" s="152"/>
      <c r="V708" s="152"/>
      <c r="W708" s="152"/>
      <c r="X708" s="152"/>
      <c r="Y708" s="152"/>
      <c r="Z708" s="281"/>
      <c r="AA708" s="281"/>
      <c r="AB708" s="281"/>
      <c r="AC708" s="281"/>
      <c r="AD708" s="281"/>
      <c r="AE708" s="281"/>
      <c r="AF708" s="281"/>
      <c r="AG708" s="170"/>
      <c r="AH708" s="152"/>
      <c r="AI708" s="152"/>
      <c r="AJ708" s="152"/>
      <c r="AK708" s="152"/>
      <c r="AL708" s="152"/>
      <c r="AM708" s="152"/>
      <c r="AN708" s="152"/>
      <c r="AO708" s="152"/>
      <c r="AP708" s="152"/>
      <c r="AQ708" s="152"/>
      <c r="AR708" s="152"/>
    </row>
    <row r="709" ht="12.75" customHeight="1">
      <c r="A709" s="288"/>
      <c r="B709" s="288"/>
      <c r="C709" s="288"/>
      <c r="D709" s="152"/>
      <c r="E709" s="289"/>
      <c r="F709" s="288"/>
      <c r="G709" s="152"/>
      <c r="H709" s="152"/>
      <c r="I709" s="152"/>
      <c r="J709" s="152"/>
      <c r="K709" s="289"/>
      <c r="L709" s="289"/>
      <c r="M709" s="152"/>
      <c r="N709" s="152"/>
      <c r="O709" s="156"/>
      <c r="P709" s="152"/>
      <c r="Q709" s="152"/>
      <c r="R709" s="152"/>
      <c r="S709" s="152"/>
      <c r="T709" s="152"/>
      <c r="U709" s="152"/>
      <c r="V709" s="152"/>
      <c r="W709" s="152"/>
      <c r="X709" s="152"/>
      <c r="Y709" s="152"/>
      <c r="Z709" s="281"/>
      <c r="AA709" s="281"/>
      <c r="AB709" s="281"/>
      <c r="AC709" s="281"/>
      <c r="AD709" s="281"/>
      <c r="AE709" s="281"/>
      <c r="AF709" s="281"/>
      <c r="AG709" s="170"/>
      <c r="AH709" s="152"/>
      <c r="AI709" s="152"/>
      <c r="AJ709" s="152"/>
      <c r="AK709" s="152"/>
      <c r="AL709" s="152"/>
      <c r="AM709" s="152"/>
      <c r="AN709" s="152"/>
      <c r="AO709" s="152"/>
      <c r="AP709" s="152"/>
      <c r="AQ709" s="152"/>
      <c r="AR709" s="152"/>
    </row>
    <row r="710" ht="12.75" customHeight="1">
      <c r="A710" s="288"/>
      <c r="B710" s="288"/>
      <c r="C710" s="288"/>
      <c r="D710" s="152"/>
      <c r="E710" s="289"/>
      <c r="F710" s="288"/>
      <c r="G710" s="152"/>
      <c r="H710" s="152"/>
      <c r="I710" s="152"/>
      <c r="J710" s="152"/>
      <c r="K710" s="289"/>
      <c r="L710" s="289"/>
      <c r="M710" s="152"/>
      <c r="N710" s="152"/>
      <c r="O710" s="156"/>
      <c r="P710" s="152"/>
      <c r="Q710" s="152"/>
      <c r="R710" s="152"/>
      <c r="S710" s="152"/>
      <c r="T710" s="152"/>
      <c r="U710" s="152"/>
      <c r="V710" s="152"/>
      <c r="W710" s="152"/>
      <c r="X710" s="152"/>
      <c r="Y710" s="152"/>
      <c r="Z710" s="281"/>
      <c r="AA710" s="281"/>
      <c r="AB710" s="281"/>
      <c r="AC710" s="281"/>
      <c r="AD710" s="281"/>
      <c r="AE710" s="281"/>
      <c r="AF710" s="281"/>
      <c r="AG710" s="170"/>
      <c r="AH710" s="152"/>
      <c r="AI710" s="152"/>
      <c r="AJ710" s="152"/>
      <c r="AK710" s="152"/>
      <c r="AL710" s="152"/>
      <c r="AM710" s="152"/>
      <c r="AN710" s="152"/>
      <c r="AO710" s="152"/>
      <c r="AP710" s="152"/>
      <c r="AQ710" s="152"/>
      <c r="AR710" s="152"/>
    </row>
    <row r="711" ht="12.75" customHeight="1">
      <c r="A711" s="288"/>
      <c r="B711" s="288"/>
      <c r="C711" s="288"/>
      <c r="D711" s="152"/>
      <c r="E711" s="289"/>
      <c r="F711" s="288"/>
      <c r="G711" s="152"/>
      <c r="H711" s="152"/>
      <c r="I711" s="152"/>
      <c r="J711" s="152"/>
      <c r="K711" s="289"/>
      <c r="L711" s="289"/>
      <c r="M711" s="152"/>
      <c r="N711" s="152"/>
      <c r="O711" s="156"/>
      <c r="P711" s="152"/>
      <c r="Q711" s="152"/>
      <c r="R711" s="152"/>
      <c r="S711" s="152"/>
      <c r="T711" s="152"/>
      <c r="U711" s="152"/>
      <c r="V711" s="152"/>
      <c r="W711" s="152"/>
      <c r="X711" s="152"/>
      <c r="Y711" s="152"/>
      <c r="Z711" s="281"/>
      <c r="AA711" s="281"/>
      <c r="AB711" s="281"/>
      <c r="AC711" s="281"/>
      <c r="AD711" s="281"/>
      <c r="AE711" s="281"/>
      <c r="AF711" s="281"/>
      <c r="AG711" s="170"/>
      <c r="AH711" s="152"/>
      <c r="AI711" s="152"/>
      <c r="AJ711" s="152"/>
      <c r="AK711" s="152"/>
      <c r="AL711" s="152"/>
      <c r="AM711" s="152"/>
      <c r="AN711" s="152"/>
      <c r="AO711" s="152"/>
      <c r="AP711" s="152"/>
      <c r="AQ711" s="152"/>
      <c r="AR711" s="152"/>
    </row>
    <row r="712" ht="12.75" customHeight="1">
      <c r="A712" s="288"/>
      <c r="B712" s="288"/>
      <c r="C712" s="288"/>
      <c r="D712" s="152"/>
      <c r="E712" s="289"/>
      <c r="F712" s="288"/>
      <c r="G712" s="152"/>
      <c r="H712" s="152"/>
      <c r="I712" s="152"/>
      <c r="J712" s="152"/>
      <c r="K712" s="289"/>
      <c r="L712" s="289"/>
      <c r="M712" s="152"/>
      <c r="N712" s="152"/>
      <c r="O712" s="156"/>
      <c r="P712" s="152"/>
      <c r="Q712" s="152"/>
      <c r="R712" s="152"/>
      <c r="S712" s="152"/>
      <c r="T712" s="152"/>
      <c r="U712" s="152"/>
      <c r="V712" s="152"/>
      <c r="W712" s="152"/>
      <c r="X712" s="152"/>
      <c r="Y712" s="152"/>
      <c r="Z712" s="281"/>
      <c r="AA712" s="281"/>
      <c r="AB712" s="281"/>
      <c r="AC712" s="281"/>
      <c r="AD712" s="281"/>
      <c r="AE712" s="281"/>
      <c r="AF712" s="281"/>
      <c r="AG712" s="170"/>
      <c r="AH712" s="152"/>
      <c r="AI712" s="152"/>
      <c r="AJ712" s="152"/>
      <c r="AK712" s="152"/>
      <c r="AL712" s="152"/>
      <c r="AM712" s="152"/>
      <c r="AN712" s="152"/>
      <c r="AO712" s="152"/>
      <c r="AP712" s="152"/>
      <c r="AQ712" s="152"/>
      <c r="AR712" s="152"/>
    </row>
    <row r="713" ht="12.75" customHeight="1">
      <c r="A713" s="288"/>
      <c r="B713" s="288"/>
      <c r="C713" s="288"/>
      <c r="D713" s="152"/>
      <c r="E713" s="289"/>
      <c r="F713" s="288"/>
      <c r="G713" s="152"/>
      <c r="H713" s="152"/>
      <c r="I713" s="152"/>
      <c r="J713" s="152"/>
      <c r="K713" s="289"/>
      <c r="L713" s="289"/>
      <c r="M713" s="152"/>
      <c r="N713" s="152"/>
      <c r="O713" s="156"/>
      <c r="P713" s="152"/>
      <c r="Q713" s="152"/>
      <c r="R713" s="152"/>
      <c r="S713" s="152"/>
      <c r="T713" s="152"/>
      <c r="U713" s="152"/>
      <c r="V713" s="152"/>
      <c r="W713" s="152"/>
      <c r="X713" s="152"/>
      <c r="Y713" s="152"/>
      <c r="Z713" s="281"/>
      <c r="AA713" s="281"/>
      <c r="AB713" s="281"/>
      <c r="AC713" s="281"/>
      <c r="AD713" s="281"/>
      <c r="AE713" s="281"/>
      <c r="AF713" s="281"/>
      <c r="AG713" s="170"/>
      <c r="AH713" s="152"/>
      <c r="AI713" s="152"/>
      <c r="AJ713" s="152"/>
      <c r="AK713" s="152"/>
      <c r="AL713" s="152"/>
      <c r="AM713" s="152"/>
      <c r="AN713" s="152"/>
      <c r="AO713" s="152"/>
      <c r="AP713" s="152"/>
      <c r="AQ713" s="152"/>
      <c r="AR713" s="152"/>
    </row>
    <row r="714" ht="12.75" customHeight="1">
      <c r="A714" s="288"/>
      <c r="B714" s="288"/>
      <c r="C714" s="288"/>
      <c r="D714" s="152"/>
      <c r="E714" s="289"/>
      <c r="F714" s="288"/>
      <c r="G714" s="152"/>
      <c r="H714" s="152"/>
      <c r="I714" s="152"/>
      <c r="J714" s="152"/>
      <c r="K714" s="289"/>
      <c r="L714" s="289"/>
      <c r="M714" s="152"/>
      <c r="N714" s="152"/>
      <c r="O714" s="156"/>
      <c r="P714" s="152"/>
      <c r="Q714" s="152"/>
      <c r="R714" s="152"/>
      <c r="S714" s="152"/>
      <c r="T714" s="152"/>
      <c r="U714" s="152"/>
      <c r="V714" s="152"/>
      <c r="W714" s="152"/>
      <c r="X714" s="152"/>
      <c r="Y714" s="152"/>
      <c r="Z714" s="281"/>
      <c r="AA714" s="281"/>
      <c r="AB714" s="281"/>
      <c r="AC714" s="281"/>
      <c r="AD714" s="281"/>
      <c r="AE714" s="281"/>
      <c r="AF714" s="281"/>
      <c r="AG714" s="170"/>
      <c r="AH714" s="152"/>
      <c r="AI714" s="152"/>
      <c r="AJ714" s="152"/>
      <c r="AK714" s="152"/>
      <c r="AL714" s="152"/>
      <c r="AM714" s="152"/>
      <c r="AN714" s="152"/>
      <c r="AO714" s="152"/>
      <c r="AP714" s="152"/>
      <c r="AQ714" s="152"/>
      <c r="AR714" s="152"/>
    </row>
    <row r="715" ht="12.75" customHeight="1">
      <c r="A715" s="288"/>
      <c r="B715" s="288"/>
      <c r="C715" s="288"/>
      <c r="D715" s="152"/>
      <c r="E715" s="289"/>
      <c r="F715" s="288"/>
      <c r="G715" s="152"/>
      <c r="H715" s="152"/>
      <c r="I715" s="152"/>
      <c r="J715" s="152"/>
      <c r="K715" s="289"/>
      <c r="L715" s="289"/>
      <c r="M715" s="152"/>
      <c r="N715" s="152"/>
      <c r="O715" s="156"/>
      <c r="P715" s="152"/>
      <c r="Q715" s="152"/>
      <c r="R715" s="152"/>
      <c r="S715" s="152"/>
      <c r="T715" s="152"/>
      <c r="U715" s="152"/>
      <c r="V715" s="152"/>
      <c r="W715" s="152"/>
      <c r="X715" s="152"/>
      <c r="Y715" s="152"/>
      <c r="Z715" s="281"/>
      <c r="AA715" s="281"/>
      <c r="AB715" s="281"/>
      <c r="AC715" s="281"/>
      <c r="AD715" s="281"/>
      <c r="AE715" s="281"/>
      <c r="AF715" s="281"/>
      <c r="AG715" s="170"/>
      <c r="AH715" s="152"/>
      <c r="AI715" s="152"/>
      <c r="AJ715" s="152"/>
      <c r="AK715" s="152"/>
      <c r="AL715" s="152"/>
      <c r="AM715" s="152"/>
      <c r="AN715" s="152"/>
      <c r="AO715" s="152"/>
      <c r="AP715" s="152"/>
      <c r="AQ715" s="152"/>
      <c r="AR715" s="152"/>
    </row>
    <row r="716" ht="12.75" customHeight="1">
      <c r="A716" s="288"/>
      <c r="B716" s="288"/>
      <c r="C716" s="288"/>
      <c r="D716" s="152"/>
      <c r="E716" s="289"/>
      <c r="F716" s="288"/>
      <c r="G716" s="152"/>
      <c r="H716" s="152"/>
      <c r="I716" s="152"/>
      <c r="J716" s="152"/>
      <c r="K716" s="289"/>
      <c r="L716" s="289"/>
      <c r="M716" s="152"/>
      <c r="N716" s="152"/>
      <c r="O716" s="156"/>
      <c r="P716" s="152"/>
      <c r="Q716" s="152"/>
      <c r="R716" s="152"/>
      <c r="S716" s="152"/>
      <c r="T716" s="152"/>
      <c r="U716" s="152"/>
      <c r="V716" s="152"/>
      <c r="W716" s="152"/>
      <c r="X716" s="152"/>
      <c r="Y716" s="152"/>
      <c r="Z716" s="281"/>
      <c r="AA716" s="281"/>
      <c r="AB716" s="281"/>
      <c r="AC716" s="281"/>
      <c r="AD716" s="281"/>
      <c r="AE716" s="281"/>
      <c r="AF716" s="281"/>
      <c r="AG716" s="170"/>
      <c r="AH716" s="152"/>
      <c r="AI716" s="152"/>
      <c r="AJ716" s="152"/>
      <c r="AK716" s="152"/>
      <c r="AL716" s="152"/>
      <c r="AM716" s="152"/>
      <c r="AN716" s="152"/>
      <c r="AO716" s="152"/>
      <c r="AP716" s="152"/>
      <c r="AQ716" s="152"/>
      <c r="AR716" s="152"/>
    </row>
    <row r="717" ht="12.75" customHeight="1">
      <c r="A717" s="288"/>
      <c r="B717" s="288"/>
      <c r="C717" s="288"/>
      <c r="D717" s="152"/>
      <c r="E717" s="289"/>
      <c r="F717" s="288"/>
      <c r="G717" s="152"/>
      <c r="H717" s="152"/>
      <c r="I717" s="152"/>
      <c r="J717" s="152"/>
      <c r="K717" s="289"/>
      <c r="L717" s="289"/>
      <c r="M717" s="152"/>
      <c r="N717" s="152"/>
      <c r="O717" s="156"/>
      <c r="P717" s="152"/>
      <c r="Q717" s="152"/>
      <c r="R717" s="152"/>
      <c r="S717" s="152"/>
      <c r="T717" s="152"/>
      <c r="U717" s="152"/>
      <c r="V717" s="152"/>
      <c r="W717" s="152"/>
      <c r="X717" s="152"/>
      <c r="Y717" s="152"/>
      <c r="Z717" s="281"/>
      <c r="AA717" s="281"/>
      <c r="AB717" s="281"/>
      <c r="AC717" s="281"/>
      <c r="AD717" s="281"/>
      <c r="AE717" s="281"/>
      <c r="AF717" s="281"/>
      <c r="AG717" s="170"/>
      <c r="AH717" s="152"/>
      <c r="AI717" s="152"/>
      <c r="AJ717" s="152"/>
      <c r="AK717" s="152"/>
      <c r="AL717" s="152"/>
      <c r="AM717" s="152"/>
      <c r="AN717" s="152"/>
      <c r="AO717" s="152"/>
      <c r="AP717" s="152"/>
      <c r="AQ717" s="152"/>
      <c r="AR717" s="152"/>
    </row>
    <row r="718" ht="12.75" customHeight="1">
      <c r="A718" s="288"/>
      <c r="B718" s="288"/>
      <c r="C718" s="288"/>
      <c r="D718" s="152"/>
      <c r="E718" s="289"/>
      <c r="F718" s="288"/>
      <c r="G718" s="152"/>
      <c r="H718" s="152"/>
      <c r="I718" s="152"/>
      <c r="J718" s="152"/>
      <c r="K718" s="289"/>
      <c r="L718" s="289"/>
      <c r="M718" s="152"/>
      <c r="N718" s="152"/>
      <c r="O718" s="156"/>
      <c r="P718" s="152"/>
      <c r="Q718" s="152"/>
      <c r="R718" s="152"/>
      <c r="S718" s="152"/>
      <c r="T718" s="152"/>
      <c r="U718" s="152"/>
      <c r="V718" s="152"/>
      <c r="W718" s="152"/>
      <c r="X718" s="152"/>
      <c r="Y718" s="152"/>
      <c r="Z718" s="281"/>
      <c r="AA718" s="281"/>
      <c r="AB718" s="281"/>
      <c r="AC718" s="281"/>
      <c r="AD718" s="281"/>
      <c r="AE718" s="281"/>
      <c r="AF718" s="281"/>
      <c r="AG718" s="170"/>
      <c r="AH718" s="152"/>
      <c r="AI718" s="152"/>
      <c r="AJ718" s="152"/>
      <c r="AK718" s="152"/>
      <c r="AL718" s="152"/>
      <c r="AM718" s="152"/>
      <c r="AN718" s="152"/>
      <c r="AO718" s="152"/>
      <c r="AP718" s="152"/>
      <c r="AQ718" s="152"/>
      <c r="AR718" s="152"/>
    </row>
    <row r="719" ht="12.75" customHeight="1">
      <c r="A719" s="288"/>
      <c r="B719" s="288"/>
      <c r="C719" s="288"/>
      <c r="D719" s="152"/>
      <c r="E719" s="289"/>
      <c r="F719" s="288"/>
      <c r="G719" s="152"/>
      <c r="H719" s="152"/>
      <c r="I719" s="152"/>
      <c r="J719" s="152"/>
      <c r="K719" s="289"/>
      <c r="L719" s="289"/>
      <c r="M719" s="152"/>
      <c r="N719" s="152"/>
      <c r="O719" s="156"/>
      <c r="P719" s="152"/>
      <c r="Q719" s="152"/>
      <c r="R719" s="152"/>
      <c r="S719" s="152"/>
      <c r="T719" s="152"/>
      <c r="U719" s="152"/>
      <c r="V719" s="152"/>
      <c r="W719" s="152"/>
      <c r="X719" s="152"/>
      <c r="Y719" s="152"/>
      <c r="Z719" s="281"/>
      <c r="AA719" s="281"/>
      <c r="AB719" s="281"/>
      <c r="AC719" s="281"/>
      <c r="AD719" s="281"/>
      <c r="AE719" s="281"/>
      <c r="AF719" s="281"/>
      <c r="AG719" s="170"/>
      <c r="AH719" s="152"/>
      <c r="AI719" s="152"/>
      <c r="AJ719" s="152"/>
      <c r="AK719" s="152"/>
      <c r="AL719" s="152"/>
      <c r="AM719" s="152"/>
      <c r="AN719" s="152"/>
      <c r="AO719" s="152"/>
      <c r="AP719" s="152"/>
      <c r="AQ719" s="152"/>
      <c r="AR719" s="152"/>
    </row>
    <row r="720" ht="12.75" customHeight="1">
      <c r="A720" s="288"/>
      <c r="B720" s="288"/>
      <c r="C720" s="288"/>
      <c r="D720" s="152"/>
      <c r="E720" s="289"/>
      <c r="F720" s="288"/>
      <c r="G720" s="152"/>
      <c r="H720" s="152"/>
      <c r="I720" s="152"/>
      <c r="J720" s="152"/>
      <c r="K720" s="289"/>
      <c r="L720" s="289"/>
      <c r="M720" s="152"/>
      <c r="N720" s="152"/>
      <c r="O720" s="156"/>
      <c r="P720" s="152"/>
      <c r="Q720" s="152"/>
      <c r="R720" s="152"/>
      <c r="S720" s="152"/>
      <c r="T720" s="152"/>
      <c r="U720" s="152"/>
      <c r="V720" s="152"/>
      <c r="W720" s="152"/>
      <c r="X720" s="152"/>
      <c r="Y720" s="152"/>
      <c r="Z720" s="281"/>
      <c r="AA720" s="281"/>
      <c r="AB720" s="281"/>
      <c r="AC720" s="281"/>
      <c r="AD720" s="281"/>
      <c r="AE720" s="281"/>
      <c r="AF720" s="281"/>
      <c r="AG720" s="170"/>
      <c r="AH720" s="152"/>
      <c r="AI720" s="152"/>
      <c r="AJ720" s="152"/>
      <c r="AK720" s="152"/>
      <c r="AL720" s="152"/>
      <c r="AM720" s="152"/>
      <c r="AN720" s="152"/>
      <c r="AO720" s="152"/>
      <c r="AP720" s="152"/>
      <c r="AQ720" s="152"/>
      <c r="AR720" s="152"/>
    </row>
    <row r="721" ht="12.75" customHeight="1">
      <c r="A721" s="288"/>
      <c r="B721" s="288"/>
      <c r="C721" s="288"/>
      <c r="D721" s="152"/>
      <c r="E721" s="289"/>
      <c r="F721" s="288"/>
      <c r="G721" s="152"/>
      <c r="H721" s="152"/>
      <c r="I721" s="152"/>
      <c r="J721" s="152"/>
      <c r="K721" s="289"/>
      <c r="L721" s="289"/>
      <c r="M721" s="152"/>
      <c r="N721" s="152"/>
      <c r="O721" s="156"/>
      <c r="P721" s="152"/>
      <c r="Q721" s="152"/>
      <c r="R721" s="152"/>
      <c r="S721" s="152"/>
      <c r="T721" s="152"/>
      <c r="U721" s="152"/>
      <c r="V721" s="152"/>
      <c r="W721" s="152"/>
      <c r="X721" s="152"/>
      <c r="Y721" s="152"/>
      <c r="Z721" s="281"/>
      <c r="AA721" s="281"/>
      <c r="AB721" s="281"/>
      <c r="AC721" s="281"/>
      <c r="AD721" s="281"/>
      <c r="AE721" s="281"/>
      <c r="AF721" s="281"/>
      <c r="AG721" s="170"/>
      <c r="AH721" s="152"/>
      <c r="AI721" s="152"/>
      <c r="AJ721" s="152"/>
      <c r="AK721" s="152"/>
      <c r="AL721" s="152"/>
      <c r="AM721" s="152"/>
      <c r="AN721" s="152"/>
      <c r="AO721" s="152"/>
      <c r="AP721" s="152"/>
      <c r="AQ721" s="152"/>
      <c r="AR721" s="152"/>
    </row>
    <row r="722" ht="12.75" customHeight="1">
      <c r="A722" s="288"/>
      <c r="B722" s="288"/>
      <c r="C722" s="288"/>
      <c r="D722" s="152"/>
      <c r="E722" s="289"/>
      <c r="F722" s="288"/>
      <c r="G722" s="152"/>
      <c r="H722" s="152"/>
      <c r="I722" s="152"/>
      <c r="J722" s="152"/>
      <c r="K722" s="289"/>
      <c r="L722" s="289"/>
      <c r="M722" s="152"/>
      <c r="N722" s="152"/>
      <c r="O722" s="156"/>
      <c r="P722" s="152"/>
      <c r="Q722" s="152"/>
      <c r="R722" s="152"/>
      <c r="S722" s="152"/>
      <c r="T722" s="152"/>
      <c r="U722" s="152"/>
      <c r="V722" s="152"/>
      <c r="W722" s="152"/>
      <c r="X722" s="152"/>
      <c r="Y722" s="152"/>
      <c r="Z722" s="281"/>
      <c r="AA722" s="281"/>
      <c r="AB722" s="281"/>
      <c r="AC722" s="281"/>
      <c r="AD722" s="281"/>
      <c r="AE722" s="281"/>
      <c r="AF722" s="281"/>
      <c r="AG722" s="170"/>
      <c r="AH722" s="152"/>
      <c r="AI722" s="152"/>
      <c r="AJ722" s="152"/>
      <c r="AK722" s="152"/>
      <c r="AL722" s="152"/>
      <c r="AM722" s="152"/>
      <c r="AN722" s="152"/>
      <c r="AO722" s="152"/>
      <c r="AP722" s="152"/>
      <c r="AQ722" s="152"/>
      <c r="AR722" s="152"/>
    </row>
    <row r="723" ht="12.75" customHeight="1">
      <c r="A723" s="288"/>
      <c r="B723" s="288"/>
      <c r="C723" s="288"/>
      <c r="D723" s="152"/>
      <c r="E723" s="289"/>
      <c r="F723" s="288"/>
      <c r="G723" s="152"/>
      <c r="H723" s="152"/>
      <c r="I723" s="152"/>
      <c r="J723" s="152"/>
      <c r="K723" s="289"/>
      <c r="L723" s="289"/>
      <c r="M723" s="152"/>
      <c r="N723" s="152"/>
      <c r="O723" s="156"/>
      <c r="P723" s="152"/>
      <c r="Q723" s="152"/>
      <c r="R723" s="152"/>
      <c r="S723" s="152"/>
      <c r="T723" s="152"/>
      <c r="U723" s="152"/>
      <c r="V723" s="152"/>
      <c r="W723" s="152"/>
      <c r="X723" s="152"/>
      <c r="Y723" s="152"/>
      <c r="Z723" s="281"/>
      <c r="AA723" s="281"/>
      <c r="AB723" s="281"/>
      <c r="AC723" s="281"/>
      <c r="AD723" s="281"/>
      <c r="AE723" s="281"/>
      <c r="AF723" s="281"/>
      <c r="AG723" s="170"/>
      <c r="AH723" s="152"/>
      <c r="AI723" s="152"/>
      <c r="AJ723" s="152"/>
      <c r="AK723" s="152"/>
      <c r="AL723" s="152"/>
      <c r="AM723" s="152"/>
      <c r="AN723" s="152"/>
      <c r="AO723" s="152"/>
      <c r="AP723" s="152"/>
      <c r="AQ723" s="152"/>
      <c r="AR723" s="152"/>
    </row>
    <row r="724" ht="12.75" customHeight="1">
      <c r="A724" s="288"/>
      <c r="B724" s="288"/>
      <c r="C724" s="288"/>
      <c r="D724" s="152"/>
      <c r="E724" s="289"/>
      <c r="F724" s="288"/>
      <c r="G724" s="152"/>
      <c r="H724" s="152"/>
      <c r="I724" s="152"/>
      <c r="J724" s="152"/>
      <c r="K724" s="289"/>
      <c r="L724" s="289"/>
      <c r="M724" s="152"/>
      <c r="N724" s="152"/>
      <c r="O724" s="156"/>
      <c r="P724" s="152"/>
      <c r="Q724" s="152"/>
      <c r="R724" s="152"/>
      <c r="S724" s="152"/>
      <c r="T724" s="152"/>
      <c r="U724" s="152"/>
      <c r="V724" s="152"/>
      <c r="W724" s="152"/>
      <c r="X724" s="152"/>
      <c r="Y724" s="152"/>
      <c r="Z724" s="281"/>
      <c r="AA724" s="281"/>
      <c r="AB724" s="281"/>
      <c r="AC724" s="281"/>
      <c r="AD724" s="281"/>
      <c r="AE724" s="281"/>
      <c r="AF724" s="281"/>
      <c r="AG724" s="170"/>
      <c r="AH724" s="152"/>
      <c r="AI724" s="152"/>
      <c r="AJ724" s="152"/>
      <c r="AK724" s="152"/>
      <c r="AL724" s="152"/>
      <c r="AM724" s="152"/>
      <c r="AN724" s="152"/>
      <c r="AO724" s="152"/>
      <c r="AP724" s="152"/>
      <c r="AQ724" s="152"/>
      <c r="AR724" s="152"/>
    </row>
    <row r="725" ht="12.75" customHeight="1">
      <c r="A725" s="288"/>
      <c r="B725" s="288"/>
      <c r="C725" s="288"/>
      <c r="D725" s="152"/>
      <c r="E725" s="289"/>
      <c r="F725" s="288"/>
      <c r="G725" s="152"/>
      <c r="H725" s="152"/>
      <c r="I725" s="152"/>
      <c r="J725" s="152"/>
      <c r="K725" s="289"/>
      <c r="L725" s="289"/>
      <c r="M725" s="152"/>
      <c r="N725" s="152"/>
      <c r="O725" s="156"/>
      <c r="P725" s="152"/>
      <c r="Q725" s="152"/>
      <c r="R725" s="152"/>
      <c r="S725" s="152"/>
      <c r="T725" s="152"/>
      <c r="U725" s="152"/>
      <c r="V725" s="152"/>
      <c r="W725" s="152"/>
      <c r="X725" s="152"/>
      <c r="Y725" s="152"/>
      <c r="Z725" s="281"/>
      <c r="AA725" s="281"/>
      <c r="AB725" s="281"/>
      <c r="AC725" s="281"/>
      <c r="AD725" s="281"/>
      <c r="AE725" s="281"/>
      <c r="AF725" s="281"/>
      <c r="AG725" s="170"/>
      <c r="AH725" s="152"/>
      <c r="AI725" s="152"/>
      <c r="AJ725" s="152"/>
      <c r="AK725" s="152"/>
      <c r="AL725" s="152"/>
      <c r="AM725" s="152"/>
      <c r="AN725" s="152"/>
      <c r="AO725" s="152"/>
      <c r="AP725" s="152"/>
      <c r="AQ725" s="152"/>
      <c r="AR725" s="152"/>
    </row>
    <row r="726" ht="12.75" customHeight="1">
      <c r="A726" s="288"/>
      <c r="B726" s="288"/>
      <c r="C726" s="288"/>
      <c r="D726" s="152"/>
      <c r="E726" s="289"/>
      <c r="F726" s="288"/>
      <c r="G726" s="152"/>
      <c r="H726" s="152"/>
      <c r="I726" s="152"/>
      <c r="J726" s="152"/>
      <c r="K726" s="289"/>
      <c r="L726" s="289"/>
      <c r="M726" s="152"/>
      <c r="N726" s="152"/>
      <c r="O726" s="156"/>
      <c r="P726" s="152"/>
      <c r="Q726" s="152"/>
      <c r="R726" s="152"/>
      <c r="S726" s="152"/>
      <c r="T726" s="152"/>
      <c r="U726" s="152"/>
      <c r="V726" s="152"/>
      <c r="W726" s="152"/>
      <c r="X726" s="152"/>
      <c r="Y726" s="152"/>
      <c r="Z726" s="281"/>
      <c r="AA726" s="281"/>
      <c r="AB726" s="281"/>
      <c r="AC726" s="281"/>
      <c r="AD726" s="281"/>
      <c r="AE726" s="281"/>
      <c r="AF726" s="281"/>
      <c r="AG726" s="170"/>
      <c r="AH726" s="152"/>
      <c r="AI726" s="152"/>
      <c r="AJ726" s="152"/>
      <c r="AK726" s="152"/>
      <c r="AL726" s="152"/>
      <c r="AM726" s="152"/>
      <c r="AN726" s="152"/>
      <c r="AO726" s="152"/>
      <c r="AP726" s="152"/>
      <c r="AQ726" s="152"/>
      <c r="AR726" s="152"/>
    </row>
    <row r="727" ht="12.75" customHeight="1">
      <c r="A727" s="288"/>
      <c r="B727" s="288"/>
      <c r="C727" s="288"/>
      <c r="D727" s="152"/>
      <c r="E727" s="289"/>
      <c r="F727" s="288"/>
      <c r="G727" s="152"/>
      <c r="H727" s="152"/>
      <c r="I727" s="152"/>
      <c r="J727" s="152"/>
      <c r="K727" s="289"/>
      <c r="L727" s="289"/>
      <c r="M727" s="152"/>
      <c r="N727" s="152"/>
      <c r="O727" s="156"/>
      <c r="P727" s="152"/>
      <c r="Q727" s="152"/>
      <c r="R727" s="152"/>
      <c r="S727" s="152"/>
      <c r="T727" s="152"/>
      <c r="U727" s="152"/>
      <c r="V727" s="152"/>
      <c r="W727" s="152"/>
      <c r="X727" s="152"/>
      <c r="Y727" s="152"/>
      <c r="Z727" s="281"/>
      <c r="AA727" s="281"/>
      <c r="AB727" s="281"/>
      <c r="AC727" s="281"/>
      <c r="AD727" s="281"/>
      <c r="AE727" s="281"/>
      <c r="AF727" s="281"/>
      <c r="AG727" s="170"/>
      <c r="AH727" s="152"/>
      <c r="AI727" s="152"/>
      <c r="AJ727" s="152"/>
      <c r="AK727" s="152"/>
      <c r="AL727" s="152"/>
      <c r="AM727" s="152"/>
      <c r="AN727" s="152"/>
      <c r="AO727" s="152"/>
      <c r="AP727" s="152"/>
      <c r="AQ727" s="152"/>
      <c r="AR727" s="152"/>
    </row>
    <row r="728" ht="12.75" customHeight="1">
      <c r="A728" s="288"/>
      <c r="B728" s="288"/>
      <c r="C728" s="288"/>
      <c r="D728" s="152"/>
      <c r="E728" s="289"/>
      <c r="F728" s="288"/>
      <c r="G728" s="152"/>
      <c r="H728" s="152"/>
      <c r="I728" s="152"/>
      <c r="J728" s="152"/>
      <c r="K728" s="289"/>
      <c r="L728" s="289"/>
      <c r="M728" s="152"/>
      <c r="N728" s="152"/>
      <c r="O728" s="156"/>
      <c r="P728" s="152"/>
      <c r="Q728" s="152"/>
      <c r="R728" s="152"/>
      <c r="S728" s="152"/>
      <c r="T728" s="152"/>
      <c r="U728" s="152"/>
      <c r="V728" s="152"/>
      <c r="W728" s="152"/>
      <c r="X728" s="152"/>
      <c r="Y728" s="152"/>
      <c r="Z728" s="281"/>
      <c r="AA728" s="281"/>
      <c r="AB728" s="281"/>
      <c r="AC728" s="281"/>
      <c r="AD728" s="281"/>
      <c r="AE728" s="281"/>
      <c r="AF728" s="281"/>
      <c r="AG728" s="170"/>
      <c r="AH728" s="152"/>
      <c r="AI728" s="152"/>
      <c r="AJ728" s="152"/>
      <c r="AK728" s="152"/>
      <c r="AL728" s="152"/>
      <c r="AM728" s="152"/>
      <c r="AN728" s="152"/>
      <c r="AO728" s="152"/>
      <c r="AP728" s="152"/>
      <c r="AQ728" s="152"/>
      <c r="AR728" s="152"/>
    </row>
    <row r="729" ht="12.75" customHeight="1">
      <c r="A729" s="288"/>
      <c r="B729" s="288"/>
      <c r="C729" s="288"/>
      <c r="D729" s="152"/>
      <c r="E729" s="289"/>
      <c r="F729" s="288"/>
      <c r="G729" s="152"/>
      <c r="H729" s="152"/>
      <c r="I729" s="152"/>
      <c r="J729" s="152"/>
      <c r="K729" s="289"/>
      <c r="L729" s="289"/>
      <c r="M729" s="152"/>
      <c r="N729" s="152"/>
      <c r="O729" s="156"/>
      <c r="P729" s="152"/>
      <c r="Q729" s="152"/>
      <c r="R729" s="152"/>
      <c r="S729" s="152"/>
      <c r="T729" s="152"/>
      <c r="U729" s="152"/>
      <c r="V729" s="152"/>
      <c r="W729" s="152"/>
      <c r="X729" s="152"/>
      <c r="Y729" s="152"/>
      <c r="Z729" s="281"/>
      <c r="AA729" s="281"/>
      <c r="AB729" s="281"/>
      <c r="AC729" s="281"/>
      <c r="AD729" s="281"/>
      <c r="AE729" s="281"/>
      <c r="AF729" s="281"/>
      <c r="AG729" s="170"/>
      <c r="AH729" s="152"/>
      <c r="AI729" s="152"/>
      <c r="AJ729" s="152"/>
      <c r="AK729" s="152"/>
      <c r="AL729" s="152"/>
      <c r="AM729" s="152"/>
      <c r="AN729" s="152"/>
      <c r="AO729" s="152"/>
      <c r="AP729" s="152"/>
      <c r="AQ729" s="152"/>
      <c r="AR729" s="152"/>
    </row>
    <row r="730" ht="12.75" customHeight="1">
      <c r="A730" s="288"/>
      <c r="B730" s="288"/>
      <c r="C730" s="288"/>
      <c r="D730" s="152"/>
      <c r="E730" s="289"/>
      <c r="F730" s="288"/>
      <c r="G730" s="152"/>
      <c r="H730" s="152"/>
      <c r="I730" s="152"/>
      <c r="J730" s="152"/>
      <c r="K730" s="289"/>
      <c r="L730" s="289"/>
      <c r="M730" s="152"/>
      <c r="N730" s="152"/>
      <c r="O730" s="156"/>
      <c r="P730" s="152"/>
      <c r="Q730" s="152"/>
      <c r="R730" s="152"/>
      <c r="S730" s="152"/>
      <c r="T730" s="152"/>
      <c r="U730" s="152"/>
      <c r="V730" s="152"/>
      <c r="W730" s="152"/>
      <c r="X730" s="152"/>
      <c r="Y730" s="152"/>
      <c r="Z730" s="281"/>
      <c r="AA730" s="281"/>
      <c r="AB730" s="281"/>
      <c r="AC730" s="281"/>
      <c r="AD730" s="281"/>
      <c r="AE730" s="281"/>
      <c r="AF730" s="281"/>
      <c r="AG730" s="170"/>
      <c r="AH730" s="152"/>
      <c r="AI730" s="152"/>
      <c r="AJ730" s="152"/>
      <c r="AK730" s="152"/>
      <c r="AL730" s="152"/>
      <c r="AM730" s="152"/>
      <c r="AN730" s="152"/>
      <c r="AO730" s="152"/>
      <c r="AP730" s="152"/>
      <c r="AQ730" s="152"/>
      <c r="AR730" s="152"/>
    </row>
    <row r="731" ht="12.75" customHeight="1">
      <c r="A731" s="288"/>
      <c r="B731" s="288"/>
      <c r="C731" s="288"/>
      <c r="D731" s="152"/>
      <c r="E731" s="289"/>
      <c r="F731" s="288"/>
      <c r="G731" s="152"/>
      <c r="H731" s="152"/>
      <c r="I731" s="152"/>
      <c r="J731" s="152"/>
      <c r="K731" s="289"/>
      <c r="L731" s="289"/>
      <c r="M731" s="152"/>
      <c r="N731" s="152"/>
      <c r="O731" s="156"/>
      <c r="P731" s="152"/>
      <c r="Q731" s="152"/>
      <c r="R731" s="152"/>
      <c r="S731" s="152"/>
      <c r="T731" s="152"/>
      <c r="U731" s="152"/>
      <c r="V731" s="152"/>
      <c r="W731" s="152"/>
      <c r="X731" s="152"/>
      <c r="Y731" s="152"/>
      <c r="Z731" s="281"/>
      <c r="AA731" s="281"/>
      <c r="AB731" s="281"/>
      <c r="AC731" s="281"/>
      <c r="AD731" s="281"/>
      <c r="AE731" s="281"/>
      <c r="AF731" s="281"/>
      <c r="AG731" s="170"/>
      <c r="AH731" s="152"/>
      <c r="AI731" s="152"/>
      <c r="AJ731" s="152"/>
      <c r="AK731" s="152"/>
      <c r="AL731" s="152"/>
      <c r="AM731" s="152"/>
      <c r="AN731" s="152"/>
      <c r="AO731" s="152"/>
      <c r="AP731" s="152"/>
      <c r="AQ731" s="152"/>
      <c r="AR731" s="152"/>
    </row>
    <row r="732" ht="12.75" customHeight="1">
      <c r="A732" s="288"/>
      <c r="B732" s="288"/>
      <c r="C732" s="288"/>
      <c r="D732" s="152"/>
      <c r="E732" s="289"/>
      <c r="F732" s="288"/>
      <c r="G732" s="152"/>
      <c r="H732" s="152"/>
      <c r="I732" s="152"/>
      <c r="J732" s="152"/>
      <c r="K732" s="289"/>
      <c r="L732" s="289"/>
      <c r="M732" s="152"/>
      <c r="N732" s="152"/>
      <c r="O732" s="156"/>
      <c r="P732" s="152"/>
      <c r="Q732" s="152"/>
      <c r="R732" s="152"/>
      <c r="S732" s="152"/>
      <c r="T732" s="152"/>
      <c r="U732" s="152"/>
      <c r="V732" s="152"/>
      <c r="W732" s="152"/>
      <c r="X732" s="152"/>
      <c r="Y732" s="152"/>
      <c r="Z732" s="281"/>
      <c r="AA732" s="281"/>
      <c r="AB732" s="281"/>
      <c r="AC732" s="281"/>
      <c r="AD732" s="281"/>
      <c r="AE732" s="281"/>
      <c r="AF732" s="281"/>
      <c r="AG732" s="170"/>
      <c r="AH732" s="152"/>
      <c r="AI732" s="152"/>
      <c r="AJ732" s="152"/>
      <c r="AK732" s="152"/>
      <c r="AL732" s="152"/>
      <c r="AM732" s="152"/>
      <c r="AN732" s="152"/>
      <c r="AO732" s="152"/>
      <c r="AP732" s="152"/>
      <c r="AQ732" s="152"/>
      <c r="AR732" s="152"/>
    </row>
    <row r="733" ht="12.75" customHeight="1">
      <c r="A733" s="288"/>
      <c r="B733" s="288"/>
      <c r="C733" s="288"/>
      <c r="D733" s="152"/>
      <c r="E733" s="289"/>
      <c r="F733" s="288"/>
      <c r="G733" s="152"/>
      <c r="H733" s="152"/>
      <c r="I733" s="152"/>
      <c r="J733" s="152"/>
      <c r="K733" s="289"/>
      <c r="L733" s="289"/>
      <c r="M733" s="152"/>
      <c r="N733" s="152"/>
      <c r="O733" s="156"/>
      <c r="P733" s="152"/>
      <c r="Q733" s="152"/>
      <c r="R733" s="152"/>
      <c r="S733" s="152"/>
      <c r="T733" s="152"/>
      <c r="U733" s="152"/>
      <c r="V733" s="152"/>
      <c r="W733" s="152"/>
      <c r="X733" s="152"/>
      <c r="Y733" s="152"/>
      <c r="Z733" s="281"/>
      <c r="AA733" s="281"/>
      <c r="AB733" s="281"/>
      <c r="AC733" s="281"/>
      <c r="AD733" s="281"/>
      <c r="AE733" s="281"/>
      <c r="AF733" s="281"/>
      <c r="AG733" s="170"/>
      <c r="AH733" s="152"/>
      <c r="AI733" s="152"/>
      <c r="AJ733" s="152"/>
      <c r="AK733" s="152"/>
      <c r="AL733" s="152"/>
      <c r="AM733" s="152"/>
      <c r="AN733" s="152"/>
      <c r="AO733" s="152"/>
      <c r="AP733" s="152"/>
      <c r="AQ733" s="152"/>
      <c r="AR733" s="152"/>
    </row>
    <row r="734" ht="12.75" customHeight="1">
      <c r="A734" s="288"/>
      <c r="B734" s="288"/>
      <c r="C734" s="288"/>
      <c r="D734" s="152"/>
      <c r="E734" s="289"/>
      <c r="F734" s="288"/>
      <c r="G734" s="152"/>
      <c r="H734" s="152"/>
      <c r="I734" s="152"/>
      <c r="J734" s="152"/>
      <c r="K734" s="289"/>
      <c r="L734" s="289"/>
      <c r="M734" s="152"/>
      <c r="N734" s="152"/>
      <c r="O734" s="156"/>
      <c r="P734" s="152"/>
      <c r="Q734" s="152"/>
      <c r="R734" s="152"/>
      <c r="S734" s="152"/>
      <c r="T734" s="152"/>
      <c r="U734" s="152"/>
      <c r="V734" s="152"/>
      <c r="W734" s="152"/>
      <c r="X734" s="152"/>
      <c r="Y734" s="152"/>
      <c r="Z734" s="281"/>
      <c r="AA734" s="281"/>
      <c r="AB734" s="281"/>
      <c r="AC734" s="281"/>
      <c r="AD734" s="281"/>
      <c r="AE734" s="281"/>
      <c r="AF734" s="281"/>
      <c r="AG734" s="170"/>
      <c r="AH734" s="152"/>
      <c r="AI734" s="152"/>
      <c r="AJ734" s="152"/>
      <c r="AK734" s="152"/>
      <c r="AL734" s="152"/>
      <c r="AM734" s="152"/>
      <c r="AN734" s="152"/>
      <c r="AO734" s="152"/>
      <c r="AP734" s="152"/>
      <c r="AQ734" s="152"/>
      <c r="AR734" s="152"/>
    </row>
    <row r="735" ht="12.75" customHeight="1">
      <c r="A735" s="288"/>
      <c r="B735" s="288"/>
      <c r="C735" s="288"/>
      <c r="D735" s="152"/>
      <c r="E735" s="289"/>
      <c r="F735" s="288"/>
      <c r="G735" s="152"/>
      <c r="H735" s="152"/>
      <c r="I735" s="152"/>
      <c r="J735" s="152"/>
      <c r="K735" s="289"/>
      <c r="L735" s="289"/>
      <c r="M735" s="152"/>
      <c r="N735" s="152"/>
      <c r="O735" s="156"/>
      <c r="P735" s="152"/>
      <c r="Q735" s="152"/>
      <c r="R735" s="152"/>
      <c r="S735" s="152"/>
      <c r="T735" s="152"/>
      <c r="U735" s="152"/>
      <c r="V735" s="152"/>
      <c r="W735" s="152"/>
      <c r="X735" s="152"/>
      <c r="Y735" s="152"/>
      <c r="Z735" s="281"/>
      <c r="AA735" s="281"/>
      <c r="AB735" s="281"/>
      <c r="AC735" s="281"/>
      <c r="AD735" s="281"/>
      <c r="AE735" s="281"/>
      <c r="AF735" s="281"/>
      <c r="AG735" s="170"/>
      <c r="AH735" s="152"/>
      <c r="AI735" s="152"/>
      <c r="AJ735" s="152"/>
      <c r="AK735" s="152"/>
      <c r="AL735" s="152"/>
      <c r="AM735" s="152"/>
      <c r="AN735" s="152"/>
      <c r="AO735" s="152"/>
      <c r="AP735" s="152"/>
      <c r="AQ735" s="152"/>
      <c r="AR735" s="152"/>
    </row>
    <row r="736" ht="12.75" customHeight="1">
      <c r="A736" s="288"/>
      <c r="B736" s="288"/>
      <c r="C736" s="288"/>
      <c r="D736" s="152"/>
      <c r="E736" s="289"/>
      <c r="F736" s="288"/>
      <c r="G736" s="152"/>
      <c r="H736" s="152"/>
      <c r="I736" s="152"/>
      <c r="J736" s="152"/>
      <c r="K736" s="289"/>
      <c r="L736" s="289"/>
      <c r="M736" s="152"/>
      <c r="N736" s="152"/>
      <c r="O736" s="156"/>
      <c r="P736" s="152"/>
      <c r="Q736" s="152"/>
      <c r="R736" s="152"/>
      <c r="S736" s="152"/>
      <c r="T736" s="152"/>
      <c r="U736" s="152"/>
      <c r="V736" s="152"/>
      <c r="W736" s="152"/>
      <c r="X736" s="152"/>
      <c r="Y736" s="152"/>
      <c r="Z736" s="281"/>
      <c r="AA736" s="281"/>
      <c r="AB736" s="281"/>
      <c r="AC736" s="281"/>
      <c r="AD736" s="281"/>
      <c r="AE736" s="281"/>
      <c r="AF736" s="281"/>
      <c r="AG736" s="170"/>
      <c r="AH736" s="152"/>
      <c r="AI736" s="152"/>
      <c r="AJ736" s="152"/>
      <c r="AK736" s="152"/>
      <c r="AL736" s="152"/>
      <c r="AM736" s="152"/>
      <c r="AN736" s="152"/>
      <c r="AO736" s="152"/>
      <c r="AP736" s="152"/>
      <c r="AQ736" s="152"/>
      <c r="AR736" s="152"/>
    </row>
    <row r="737" ht="12.75" customHeight="1">
      <c r="A737" s="288"/>
      <c r="B737" s="288"/>
      <c r="C737" s="288"/>
      <c r="D737" s="152"/>
      <c r="E737" s="289"/>
      <c r="F737" s="288"/>
      <c r="G737" s="152"/>
      <c r="H737" s="152"/>
      <c r="I737" s="152"/>
      <c r="J737" s="152"/>
      <c r="K737" s="289"/>
      <c r="L737" s="289"/>
      <c r="M737" s="152"/>
      <c r="N737" s="152"/>
      <c r="O737" s="156"/>
      <c r="P737" s="152"/>
      <c r="Q737" s="152"/>
      <c r="R737" s="152"/>
      <c r="S737" s="152"/>
      <c r="T737" s="152"/>
      <c r="U737" s="152"/>
      <c r="V737" s="152"/>
      <c r="W737" s="152"/>
      <c r="X737" s="152"/>
      <c r="Y737" s="152"/>
      <c r="Z737" s="281"/>
      <c r="AA737" s="281"/>
      <c r="AB737" s="281"/>
      <c r="AC737" s="281"/>
      <c r="AD737" s="281"/>
      <c r="AE737" s="281"/>
      <c r="AF737" s="281"/>
      <c r="AG737" s="170"/>
      <c r="AH737" s="152"/>
      <c r="AI737" s="152"/>
      <c r="AJ737" s="152"/>
      <c r="AK737" s="152"/>
      <c r="AL737" s="152"/>
      <c r="AM737" s="152"/>
      <c r="AN737" s="152"/>
      <c r="AO737" s="152"/>
      <c r="AP737" s="152"/>
      <c r="AQ737" s="152"/>
      <c r="AR737" s="152"/>
    </row>
    <row r="738" ht="12.75" customHeight="1">
      <c r="A738" s="288"/>
      <c r="B738" s="288"/>
      <c r="C738" s="288"/>
      <c r="D738" s="152"/>
      <c r="E738" s="289"/>
      <c r="F738" s="288"/>
      <c r="G738" s="152"/>
      <c r="H738" s="152"/>
      <c r="I738" s="152"/>
      <c r="J738" s="152"/>
      <c r="K738" s="289"/>
      <c r="L738" s="289"/>
      <c r="M738" s="152"/>
      <c r="N738" s="152"/>
      <c r="O738" s="156"/>
      <c r="P738" s="152"/>
      <c r="Q738" s="152"/>
      <c r="R738" s="152"/>
      <c r="S738" s="152"/>
      <c r="T738" s="152"/>
      <c r="U738" s="152"/>
      <c r="V738" s="152"/>
      <c r="W738" s="152"/>
      <c r="X738" s="152"/>
      <c r="Y738" s="152"/>
      <c r="Z738" s="281"/>
      <c r="AA738" s="281"/>
      <c r="AB738" s="281"/>
      <c r="AC738" s="281"/>
      <c r="AD738" s="281"/>
      <c r="AE738" s="281"/>
      <c r="AF738" s="281"/>
      <c r="AG738" s="170"/>
      <c r="AH738" s="152"/>
      <c r="AI738" s="152"/>
      <c r="AJ738" s="152"/>
      <c r="AK738" s="152"/>
      <c r="AL738" s="152"/>
      <c r="AM738" s="152"/>
      <c r="AN738" s="152"/>
      <c r="AO738" s="152"/>
      <c r="AP738" s="152"/>
      <c r="AQ738" s="152"/>
      <c r="AR738" s="152"/>
    </row>
    <row r="739" ht="12.75" customHeight="1">
      <c r="A739" s="288"/>
      <c r="B739" s="288"/>
      <c r="C739" s="288"/>
      <c r="D739" s="152"/>
      <c r="E739" s="289"/>
      <c r="F739" s="288"/>
      <c r="G739" s="152"/>
      <c r="H739" s="152"/>
      <c r="I739" s="152"/>
      <c r="J739" s="152"/>
      <c r="K739" s="289"/>
      <c r="L739" s="289"/>
      <c r="M739" s="152"/>
      <c r="N739" s="152"/>
      <c r="O739" s="156"/>
      <c r="P739" s="152"/>
      <c r="Q739" s="152"/>
      <c r="R739" s="152"/>
      <c r="S739" s="152"/>
      <c r="T739" s="152"/>
      <c r="U739" s="152"/>
      <c r="V739" s="152"/>
      <c r="W739" s="152"/>
      <c r="X739" s="152"/>
      <c r="Y739" s="152"/>
      <c r="Z739" s="281"/>
      <c r="AA739" s="281"/>
      <c r="AB739" s="281"/>
      <c r="AC739" s="281"/>
      <c r="AD739" s="281"/>
      <c r="AE739" s="281"/>
      <c r="AF739" s="281"/>
      <c r="AG739" s="170"/>
      <c r="AH739" s="152"/>
      <c r="AI739" s="152"/>
      <c r="AJ739" s="152"/>
      <c r="AK739" s="152"/>
      <c r="AL739" s="152"/>
      <c r="AM739" s="152"/>
      <c r="AN739" s="152"/>
      <c r="AO739" s="152"/>
      <c r="AP739" s="152"/>
      <c r="AQ739" s="152"/>
      <c r="AR739" s="152"/>
    </row>
    <row r="740" ht="12.75" customHeight="1">
      <c r="A740" s="288"/>
      <c r="B740" s="288"/>
      <c r="C740" s="288"/>
      <c r="D740" s="152"/>
      <c r="E740" s="289"/>
      <c r="F740" s="288"/>
      <c r="G740" s="152"/>
      <c r="H740" s="152"/>
      <c r="I740" s="152"/>
      <c r="J740" s="152"/>
      <c r="K740" s="289"/>
      <c r="L740" s="289"/>
      <c r="M740" s="152"/>
      <c r="N740" s="152"/>
      <c r="O740" s="156"/>
      <c r="P740" s="152"/>
      <c r="Q740" s="152"/>
      <c r="R740" s="152"/>
      <c r="S740" s="152"/>
      <c r="T740" s="152"/>
      <c r="U740" s="152"/>
      <c r="V740" s="152"/>
      <c r="W740" s="152"/>
      <c r="X740" s="152"/>
      <c r="Y740" s="152"/>
      <c r="Z740" s="281"/>
      <c r="AA740" s="281"/>
      <c r="AB740" s="281"/>
      <c r="AC740" s="281"/>
      <c r="AD740" s="281"/>
      <c r="AE740" s="281"/>
      <c r="AF740" s="281"/>
      <c r="AG740" s="170"/>
      <c r="AH740" s="152"/>
      <c r="AI740" s="152"/>
      <c r="AJ740" s="152"/>
      <c r="AK740" s="152"/>
      <c r="AL740" s="152"/>
      <c r="AM740" s="152"/>
      <c r="AN740" s="152"/>
      <c r="AO740" s="152"/>
      <c r="AP740" s="152"/>
      <c r="AQ740" s="152"/>
      <c r="AR740" s="152"/>
    </row>
    <row r="741" ht="12.75" customHeight="1">
      <c r="A741" s="288"/>
      <c r="B741" s="288"/>
      <c r="C741" s="288"/>
      <c r="D741" s="152"/>
      <c r="E741" s="289"/>
      <c r="F741" s="288"/>
      <c r="G741" s="152"/>
      <c r="H741" s="152"/>
      <c r="I741" s="152"/>
      <c r="J741" s="152"/>
      <c r="K741" s="289"/>
      <c r="L741" s="289"/>
      <c r="M741" s="152"/>
      <c r="N741" s="152"/>
      <c r="O741" s="156"/>
      <c r="P741" s="152"/>
      <c r="Q741" s="152"/>
      <c r="R741" s="152"/>
      <c r="S741" s="152"/>
      <c r="T741" s="152"/>
      <c r="U741" s="152"/>
      <c r="V741" s="152"/>
      <c r="W741" s="152"/>
      <c r="X741" s="152"/>
      <c r="Y741" s="152"/>
      <c r="Z741" s="281"/>
      <c r="AA741" s="281"/>
      <c r="AB741" s="281"/>
      <c r="AC741" s="281"/>
      <c r="AD741" s="281"/>
      <c r="AE741" s="281"/>
      <c r="AF741" s="281"/>
      <c r="AG741" s="170"/>
      <c r="AH741" s="152"/>
      <c r="AI741" s="152"/>
      <c r="AJ741" s="152"/>
      <c r="AK741" s="152"/>
      <c r="AL741" s="152"/>
      <c r="AM741" s="152"/>
      <c r="AN741" s="152"/>
      <c r="AO741" s="152"/>
      <c r="AP741" s="152"/>
      <c r="AQ741" s="152"/>
      <c r="AR741" s="152"/>
    </row>
    <row r="742" ht="12.75" customHeight="1">
      <c r="A742" s="288"/>
      <c r="B742" s="288"/>
      <c r="C742" s="288"/>
      <c r="D742" s="152"/>
      <c r="E742" s="289"/>
      <c r="F742" s="288"/>
      <c r="G742" s="152"/>
      <c r="H742" s="152"/>
      <c r="I742" s="152"/>
      <c r="J742" s="152"/>
      <c r="K742" s="289"/>
      <c r="L742" s="289"/>
      <c r="M742" s="152"/>
      <c r="N742" s="152"/>
      <c r="O742" s="156"/>
      <c r="P742" s="152"/>
      <c r="Q742" s="152"/>
      <c r="R742" s="152"/>
      <c r="S742" s="152"/>
      <c r="T742" s="152"/>
      <c r="U742" s="152"/>
      <c r="V742" s="152"/>
      <c r="W742" s="152"/>
      <c r="X742" s="152"/>
      <c r="Y742" s="152"/>
      <c r="Z742" s="281"/>
      <c r="AA742" s="281"/>
      <c r="AB742" s="281"/>
      <c r="AC742" s="281"/>
      <c r="AD742" s="281"/>
      <c r="AE742" s="281"/>
      <c r="AF742" s="281"/>
      <c r="AG742" s="170"/>
      <c r="AH742" s="152"/>
      <c r="AI742" s="152"/>
      <c r="AJ742" s="152"/>
      <c r="AK742" s="152"/>
      <c r="AL742" s="152"/>
      <c r="AM742" s="152"/>
      <c r="AN742" s="152"/>
      <c r="AO742" s="152"/>
      <c r="AP742" s="152"/>
      <c r="AQ742" s="152"/>
      <c r="AR742" s="152"/>
    </row>
    <row r="743" ht="12.75" customHeight="1">
      <c r="A743" s="288"/>
      <c r="B743" s="288"/>
      <c r="C743" s="288"/>
      <c r="D743" s="152"/>
      <c r="E743" s="289"/>
      <c r="F743" s="288"/>
      <c r="G743" s="152"/>
      <c r="H743" s="152"/>
      <c r="I743" s="152"/>
      <c r="J743" s="152"/>
      <c r="K743" s="289"/>
      <c r="L743" s="289"/>
      <c r="M743" s="152"/>
      <c r="N743" s="152"/>
      <c r="O743" s="156"/>
      <c r="P743" s="152"/>
      <c r="Q743" s="152"/>
      <c r="R743" s="152"/>
      <c r="S743" s="152"/>
      <c r="T743" s="152"/>
      <c r="U743" s="152"/>
      <c r="V743" s="152"/>
      <c r="W743" s="152"/>
      <c r="X743" s="152"/>
      <c r="Y743" s="152"/>
      <c r="Z743" s="281"/>
      <c r="AA743" s="281"/>
      <c r="AB743" s="281"/>
      <c r="AC743" s="281"/>
      <c r="AD743" s="281"/>
      <c r="AE743" s="281"/>
      <c r="AF743" s="281"/>
      <c r="AG743" s="170"/>
      <c r="AH743" s="152"/>
      <c r="AI743" s="152"/>
      <c r="AJ743" s="152"/>
      <c r="AK743" s="152"/>
      <c r="AL743" s="152"/>
      <c r="AM743" s="152"/>
      <c r="AN743" s="152"/>
      <c r="AO743" s="152"/>
      <c r="AP743" s="152"/>
      <c r="AQ743" s="152"/>
      <c r="AR743" s="152"/>
    </row>
    <row r="744" ht="12.75" customHeight="1">
      <c r="A744" s="288"/>
      <c r="B744" s="288"/>
      <c r="C744" s="288"/>
      <c r="D744" s="152"/>
      <c r="E744" s="289"/>
      <c r="F744" s="288"/>
      <c r="G744" s="152"/>
      <c r="H744" s="152"/>
      <c r="I744" s="152"/>
      <c r="J744" s="152"/>
      <c r="K744" s="289"/>
      <c r="L744" s="289"/>
      <c r="M744" s="152"/>
      <c r="N744" s="152"/>
      <c r="O744" s="156"/>
      <c r="P744" s="152"/>
      <c r="Q744" s="152"/>
      <c r="R744" s="152"/>
      <c r="S744" s="152"/>
      <c r="T744" s="152"/>
      <c r="U744" s="152"/>
      <c r="V744" s="152"/>
      <c r="W744" s="152"/>
      <c r="X744" s="152"/>
      <c r="Y744" s="152"/>
      <c r="Z744" s="281"/>
      <c r="AA744" s="281"/>
      <c r="AB744" s="281"/>
      <c r="AC744" s="281"/>
      <c r="AD744" s="281"/>
      <c r="AE744" s="281"/>
      <c r="AF744" s="281"/>
      <c r="AG744" s="170"/>
      <c r="AH744" s="152"/>
      <c r="AI744" s="152"/>
      <c r="AJ744" s="152"/>
      <c r="AK744" s="152"/>
      <c r="AL744" s="152"/>
      <c r="AM744" s="152"/>
      <c r="AN744" s="152"/>
      <c r="AO744" s="152"/>
      <c r="AP744" s="152"/>
      <c r="AQ744" s="152"/>
      <c r="AR744" s="152"/>
    </row>
    <row r="745" ht="12.75" customHeight="1">
      <c r="A745" s="288"/>
      <c r="B745" s="288"/>
      <c r="C745" s="288"/>
      <c r="D745" s="152"/>
      <c r="E745" s="289"/>
      <c r="F745" s="288"/>
      <c r="G745" s="152"/>
      <c r="H745" s="152"/>
      <c r="I745" s="152"/>
      <c r="J745" s="152"/>
      <c r="K745" s="289"/>
      <c r="L745" s="289"/>
      <c r="M745" s="152"/>
      <c r="N745" s="152"/>
      <c r="O745" s="156"/>
      <c r="P745" s="152"/>
      <c r="Q745" s="152"/>
      <c r="R745" s="152"/>
      <c r="S745" s="152"/>
      <c r="T745" s="152"/>
      <c r="U745" s="152"/>
      <c r="V745" s="152"/>
      <c r="W745" s="152"/>
      <c r="X745" s="152"/>
      <c r="Y745" s="152"/>
      <c r="Z745" s="281"/>
      <c r="AA745" s="281"/>
      <c r="AB745" s="281"/>
      <c r="AC745" s="281"/>
      <c r="AD745" s="281"/>
      <c r="AE745" s="281"/>
      <c r="AF745" s="281"/>
      <c r="AG745" s="170"/>
      <c r="AH745" s="152"/>
      <c r="AI745" s="152"/>
      <c r="AJ745" s="152"/>
      <c r="AK745" s="152"/>
      <c r="AL745" s="152"/>
      <c r="AM745" s="152"/>
      <c r="AN745" s="152"/>
      <c r="AO745" s="152"/>
      <c r="AP745" s="152"/>
      <c r="AQ745" s="152"/>
      <c r="AR745" s="152"/>
    </row>
    <row r="746" ht="12.75" customHeight="1">
      <c r="A746" s="288"/>
      <c r="B746" s="288"/>
      <c r="C746" s="288"/>
      <c r="D746" s="152"/>
      <c r="E746" s="289"/>
      <c r="F746" s="288"/>
      <c r="G746" s="152"/>
      <c r="H746" s="152"/>
      <c r="I746" s="152"/>
      <c r="J746" s="152"/>
      <c r="K746" s="289"/>
      <c r="L746" s="289"/>
      <c r="M746" s="152"/>
      <c r="N746" s="152"/>
      <c r="O746" s="156"/>
      <c r="P746" s="152"/>
      <c r="Q746" s="152"/>
      <c r="R746" s="152"/>
      <c r="S746" s="152"/>
      <c r="T746" s="152"/>
      <c r="U746" s="152"/>
      <c r="V746" s="152"/>
      <c r="W746" s="152"/>
      <c r="X746" s="152"/>
      <c r="Y746" s="152"/>
      <c r="Z746" s="281"/>
      <c r="AA746" s="281"/>
      <c r="AB746" s="281"/>
      <c r="AC746" s="281"/>
      <c r="AD746" s="281"/>
      <c r="AE746" s="281"/>
      <c r="AF746" s="281"/>
      <c r="AG746" s="170"/>
      <c r="AH746" s="152"/>
      <c r="AI746" s="152"/>
      <c r="AJ746" s="152"/>
      <c r="AK746" s="152"/>
      <c r="AL746" s="152"/>
      <c r="AM746" s="152"/>
      <c r="AN746" s="152"/>
      <c r="AO746" s="152"/>
      <c r="AP746" s="152"/>
      <c r="AQ746" s="152"/>
      <c r="AR746" s="152"/>
    </row>
    <row r="747" ht="12.75" customHeight="1">
      <c r="A747" s="288"/>
      <c r="B747" s="288"/>
      <c r="C747" s="288"/>
      <c r="D747" s="152"/>
      <c r="E747" s="289"/>
      <c r="F747" s="288"/>
      <c r="G747" s="152"/>
      <c r="H747" s="152"/>
      <c r="I747" s="152"/>
      <c r="J747" s="152"/>
      <c r="K747" s="289"/>
      <c r="L747" s="289"/>
      <c r="M747" s="152"/>
      <c r="N747" s="152"/>
      <c r="O747" s="156"/>
      <c r="P747" s="152"/>
      <c r="Q747" s="152"/>
      <c r="R747" s="152"/>
      <c r="S747" s="152"/>
      <c r="T747" s="152"/>
      <c r="U747" s="152"/>
      <c r="V747" s="152"/>
      <c r="W747" s="152"/>
      <c r="X747" s="152"/>
      <c r="Y747" s="152"/>
      <c r="Z747" s="281"/>
      <c r="AA747" s="281"/>
      <c r="AB747" s="281"/>
      <c r="AC747" s="281"/>
      <c r="AD747" s="281"/>
      <c r="AE747" s="281"/>
      <c r="AF747" s="281"/>
      <c r="AG747" s="170"/>
      <c r="AH747" s="152"/>
      <c r="AI747" s="152"/>
      <c r="AJ747" s="152"/>
      <c r="AK747" s="152"/>
      <c r="AL747" s="152"/>
      <c r="AM747" s="152"/>
      <c r="AN747" s="152"/>
      <c r="AO747" s="152"/>
      <c r="AP747" s="152"/>
      <c r="AQ747" s="152"/>
      <c r="AR747" s="152"/>
    </row>
    <row r="748" ht="12.75" customHeight="1">
      <c r="A748" s="288"/>
      <c r="B748" s="288"/>
      <c r="C748" s="288"/>
      <c r="D748" s="152"/>
      <c r="E748" s="289"/>
      <c r="F748" s="288"/>
      <c r="G748" s="152"/>
      <c r="H748" s="152"/>
      <c r="I748" s="152"/>
      <c r="J748" s="152"/>
      <c r="K748" s="289"/>
      <c r="L748" s="289"/>
      <c r="M748" s="152"/>
      <c r="N748" s="152"/>
      <c r="O748" s="156"/>
      <c r="P748" s="152"/>
      <c r="Q748" s="152"/>
      <c r="R748" s="152"/>
      <c r="S748" s="152"/>
      <c r="T748" s="152"/>
      <c r="U748" s="152"/>
      <c r="V748" s="152"/>
      <c r="W748" s="152"/>
      <c r="X748" s="152"/>
      <c r="Y748" s="152"/>
      <c r="Z748" s="281"/>
      <c r="AA748" s="281"/>
      <c r="AB748" s="281"/>
      <c r="AC748" s="281"/>
      <c r="AD748" s="281"/>
      <c r="AE748" s="281"/>
      <c r="AF748" s="281"/>
      <c r="AG748" s="170"/>
      <c r="AH748" s="152"/>
      <c r="AI748" s="152"/>
      <c r="AJ748" s="152"/>
      <c r="AK748" s="152"/>
      <c r="AL748" s="152"/>
      <c r="AM748" s="152"/>
      <c r="AN748" s="152"/>
      <c r="AO748" s="152"/>
      <c r="AP748" s="152"/>
      <c r="AQ748" s="152"/>
      <c r="AR748" s="152"/>
    </row>
    <row r="749" ht="12.75" customHeight="1">
      <c r="A749" s="288"/>
      <c r="B749" s="288"/>
      <c r="C749" s="288"/>
      <c r="D749" s="152"/>
      <c r="E749" s="289"/>
      <c r="F749" s="288"/>
      <c r="G749" s="152"/>
      <c r="H749" s="152"/>
      <c r="I749" s="152"/>
      <c r="J749" s="152"/>
      <c r="K749" s="289"/>
      <c r="L749" s="289"/>
      <c r="M749" s="152"/>
      <c r="N749" s="152"/>
      <c r="O749" s="156"/>
      <c r="P749" s="152"/>
      <c r="Q749" s="152"/>
      <c r="R749" s="152"/>
      <c r="S749" s="152"/>
      <c r="T749" s="152"/>
      <c r="U749" s="152"/>
      <c r="V749" s="152"/>
      <c r="W749" s="152"/>
      <c r="X749" s="152"/>
      <c r="Y749" s="152"/>
      <c r="Z749" s="281"/>
      <c r="AA749" s="281"/>
      <c r="AB749" s="281"/>
      <c r="AC749" s="281"/>
      <c r="AD749" s="281"/>
      <c r="AE749" s="281"/>
      <c r="AF749" s="281"/>
      <c r="AG749" s="170"/>
      <c r="AH749" s="152"/>
      <c r="AI749" s="152"/>
      <c r="AJ749" s="152"/>
      <c r="AK749" s="152"/>
      <c r="AL749" s="152"/>
      <c r="AM749" s="152"/>
      <c r="AN749" s="152"/>
      <c r="AO749" s="152"/>
      <c r="AP749" s="152"/>
      <c r="AQ749" s="152"/>
      <c r="AR749" s="152"/>
    </row>
    <row r="750" ht="12.75" customHeight="1">
      <c r="A750" s="288"/>
      <c r="B750" s="288"/>
      <c r="C750" s="288"/>
      <c r="D750" s="152"/>
      <c r="E750" s="289"/>
      <c r="F750" s="288"/>
      <c r="G750" s="152"/>
      <c r="H750" s="152"/>
      <c r="I750" s="152"/>
      <c r="J750" s="152"/>
      <c r="K750" s="289"/>
      <c r="L750" s="289"/>
      <c r="M750" s="152"/>
      <c r="N750" s="152"/>
      <c r="O750" s="156"/>
      <c r="P750" s="152"/>
      <c r="Q750" s="152"/>
      <c r="R750" s="152"/>
      <c r="S750" s="152"/>
      <c r="T750" s="152"/>
      <c r="U750" s="152"/>
      <c r="V750" s="152"/>
      <c r="W750" s="152"/>
      <c r="X750" s="152"/>
      <c r="Y750" s="152"/>
      <c r="Z750" s="281"/>
      <c r="AA750" s="281"/>
      <c r="AB750" s="281"/>
      <c r="AC750" s="281"/>
      <c r="AD750" s="281"/>
      <c r="AE750" s="281"/>
      <c r="AF750" s="281"/>
      <c r="AG750" s="170"/>
      <c r="AH750" s="152"/>
      <c r="AI750" s="152"/>
      <c r="AJ750" s="152"/>
      <c r="AK750" s="152"/>
      <c r="AL750" s="152"/>
      <c r="AM750" s="152"/>
      <c r="AN750" s="152"/>
      <c r="AO750" s="152"/>
      <c r="AP750" s="152"/>
      <c r="AQ750" s="152"/>
      <c r="AR750" s="152"/>
    </row>
    <row r="751" ht="12.75" customHeight="1">
      <c r="A751" s="288"/>
      <c r="B751" s="288"/>
      <c r="C751" s="288"/>
      <c r="D751" s="152"/>
      <c r="E751" s="289"/>
      <c r="F751" s="288"/>
      <c r="G751" s="152"/>
      <c r="H751" s="152"/>
      <c r="I751" s="152"/>
      <c r="J751" s="152"/>
      <c r="K751" s="289"/>
      <c r="L751" s="289"/>
      <c r="M751" s="152"/>
      <c r="N751" s="152"/>
      <c r="O751" s="156"/>
      <c r="P751" s="152"/>
      <c r="Q751" s="152"/>
      <c r="R751" s="152"/>
      <c r="S751" s="152"/>
      <c r="T751" s="152"/>
      <c r="U751" s="152"/>
      <c r="V751" s="152"/>
      <c r="W751" s="152"/>
      <c r="X751" s="152"/>
      <c r="Y751" s="152"/>
      <c r="Z751" s="281"/>
      <c r="AA751" s="281"/>
      <c r="AB751" s="281"/>
      <c r="AC751" s="281"/>
      <c r="AD751" s="281"/>
      <c r="AE751" s="281"/>
      <c r="AF751" s="281"/>
      <c r="AG751" s="170"/>
      <c r="AH751" s="152"/>
      <c r="AI751" s="152"/>
      <c r="AJ751" s="152"/>
      <c r="AK751" s="152"/>
      <c r="AL751" s="152"/>
      <c r="AM751" s="152"/>
      <c r="AN751" s="152"/>
      <c r="AO751" s="152"/>
      <c r="AP751" s="152"/>
      <c r="AQ751" s="152"/>
      <c r="AR751" s="152"/>
    </row>
    <row r="752" ht="12.75" customHeight="1">
      <c r="A752" s="288"/>
      <c r="B752" s="288"/>
      <c r="C752" s="288"/>
      <c r="D752" s="152"/>
      <c r="E752" s="289"/>
      <c r="F752" s="288"/>
      <c r="G752" s="152"/>
      <c r="H752" s="152"/>
      <c r="I752" s="152"/>
      <c r="J752" s="152"/>
      <c r="K752" s="289"/>
      <c r="L752" s="289"/>
      <c r="M752" s="152"/>
      <c r="N752" s="152"/>
      <c r="O752" s="156"/>
      <c r="P752" s="152"/>
      <c r="Q752" s="152"/>
      <c r="R752" s="152"/>
      <c r="S752" s="152"/>
      <c r="T752" s="152"/>
      <c r="U752" s="152"/>
      <c r="V752" s="152"/>
      <c r="W752" s="152"/>
      <c r="X752" s="152"/>
      <c r="Y752" s="152"/>
      <c r="Z752" s="281"/>
      <c r="AA752" s="281"/>
      <c r="AB752" s="281"/>
      <c r="AC752" s="281"/>
      <c r="AD752" s="281"/>
      <c r="AE752" s="281"/>
      <c r="AF752" s="281"/>
      <c r="AG752" s="170"/>
      <c r="AH752" s="152"/>
      <c r="AI752" s="152"/>
      <c r="AJ752" s="152"/>
      <c r="AK752" s="152"/>
      <c r="AL752" s="152"/>
      <c r="AM752" s="152"/>
      <c r="AN752" s="152"/>
      <c r="AO752" s="152"/>
      <c r="AP752" s="152"/>
      <c r="AQ752" s="152"/>
      <c r="AR752" s="152"/>
    </row>
    <row r="753" ht="12.75" customHeight="1">
      <c r="A753" s="288"/>
      <c r="B753" s="288"/>
      <c r="C753" s="288"/>
      <c r="D753" s="152"/>
      <c r="E753" s="289"/>
      <c r="F753" s="288"/>
      <c r="G753" s="152"/>
      <c r="H753" s="152"/>
      <c r="I753" s="152"/>
      <c r="J753" s="152"/>
      <c r="K753" s="289"/>
      <c r="L753" s="289"/>
      <c r="M753" s="152"/>
      <c r="N753" s="152"/>
      <c r="O753" s="156"/>
      <c r="P753" s="152"/>
      <c r="Q753" s="152"/>
      <c r="R753" s="152"/>
      <c r="S753" s="152"/>
      <c r="T753" s="152"/>
      <c r="U753" s="152"/>
      <c r="V753" s="152"/>
      <c r="W753" s="152"/>
      <c r="X753" s="152"/>
      <c r="Y753" s="152"/>
      <c r="Z753" s="281"/>
      <c r="AA753" s="281"/>
      <c r="AB753" s="281"/>
      <c r="AC753" s="281"/>
      <c r="AD753" s="281"/>
      <c r="AE753" s="281"/>
      <c r="AF753" s="281"/>
      <c r="AG753" s="170"/>
      <c r="AH753" s="152"/>
      <c r="AI753" s="152"/>
      <c r="AJ753" s="152"/>
      <c r="AK753" s="152"/>
      <c r="AL753" s="152"/>
      <c r="AM753" s="152"/>
      <c r="AN753" s="152"/>
      <c r="AO753" s="152"/>
      <c r="AP753" s="152"/>
      <c r="AQ753" s="152"/>
      <c r="AR753" s="152"/>
    </row>
    <row r="754" ht="12.75" customHeight="1">
      <c r="A754" s="288"/>
      <c r="B754" s="288"/>
      <c r="C754" s="288"/>
      <c r="D754" s="152"/>
      <c r="E754" s="289"/>
      <c r="F754" s="288"/>
      <c r="G754" s="152"/>
      <c r="H754" s="152"/>
      <c r="I754" s="152"/>
      <c r="J754" s="152"/>
      <c r="K754" s="289"/>
      <c r="L754" s="289"/>
      <c r="M754" s="152"/>
      <c r="N754" s="152"/>
      <c r="O754" s="156"/>
      <c r="P754" s="152"/>
      <c r="Q754" s="152"/>
      <c r="R754" s="152"/>
      <c r="S754" s="152"/>
      <c r="T754" s="152"/>
      <c r="U754" s="152"/>
      <c r="V754" s="152"/>
      <c r="W754" s="152"/>
      <c r="X754" s="152"/>
      <c r="Y754" s="152"/>
      <c r="Z754" s="281"/>
      <c r="AA754" s="281"/>
      <c r="AB754" s="281"/>
      <c r="AC754" s="281"/>
      <c r="AD754" s="281"/>
      <c r="AE754" s="281"/>
      <c r="AF754" s="281"/>
      <c r="AG754" s="170"/>
      <c r="AH754" s="152"/>
      <c r="AI754" s="152"/>
      <c r="AJ754" s="152"/>
      <c r="AK754" s="152"/>
      <c r="AL754" s="152"/>
      <c r="AM754" s="152"/>
      <c r="AN754" s="152"/>
      <c r="AO754" s="152"/>
      <c r="AP754" s="152"/>
      <c r="AQ754" s="152"/>
      <c r="AR754" s="152"/>
    </row>
    <row r="755" ht="12.75" customHeight="1">
      <c r="A755" s="288"/>
      <c r="B755" s="288"/>
      <c r="C755" s="288"/>
      <c r="D755" s="152"/>
      <c r="E755" s="289"/>
      <c r="F755" s="288"/>
      <c r="G755" s="152"/>
      <c r="H755" s="152"/>
      <c r="I755" s="152"/>
      <c r="J755" s="152"/>
      <c r="K755" s="289"/>
      <c r="L755" s="289"/>
      <c r="M755" s="152"/>
      <c r="N755" s="152"/>
      <c r="O755" s="156"/>
      <c r="P755" s="152"/>
      <c r="Q755" s="152"/>
      <c r="R755" s="152"/>
      <c r="S755" s="152"/>
      <c r="T755" s="152"/>
      <c r="U755" s="152"/>
      <c r="V755" s="152"/>
      <c r="W755" s="152"/>
      <c r="X755" s="152"/>
      <c r="Y755" s="152"/>
      <c r="Z755" s="281"/>
      <c r="AA755" s="281"/>
      <c r="AB755" s="281"/>
      <c r="AC755" s="281"/>
      <c r="AD755" s="281"/>
      <c r="AE755" s="281"/>
      <c r="AF755" s="281"/>
      <c r="AG755" s="170"/>
      <c r="AH755" s="152"/>
      <c r="AI755" s="152"/>
      <c r="AJ755" s="152"/>
      <c r="AK755" s="152"/>
      <c r="AL755" s="152"/>
      <c r="AM755" s="152"/>
      <c r="AN755" s="152"/>
      <c r="AO755" s="152"/>
      <c r="AP755" s="152"/>
      <c r="AQ755" s="152"/>
      <c r="AR755" s="152"/>
    </row>
    <row r="756" ht="12.75" customHeight="1">
      <c r="A756" s="288"/>
      <c r="B756" s="288"/>
      <c r="C756" s="288"/>
      <c r="D756" s="152"/>
      <c r="E756" s="289"/>
      <c r="F756" s="288"/>
      <c r="G756" s="152"/>
      <c r="H756" s="152"/>
      <c r="I756" s="152"/>
      <c r="J756" s="152"/>
      <c r="K756" s="289"/>
      <c r="L756" s="289"/>
      <c r="M756" s="152"/>
      <c r="N756" s="152"/>
      <c r="O756" s="156"/>
      <c r="P756" s="152"/>
      <c r="Q756" s="152"/>
      <c r="R756" s="152"/>
      <c r="S756" s="152"/>
      <c r="T756" s="152"/>
      <c r="U756" s="152"/>
      <c r="V756" s="152"/>
      <c r="W756" s="152"/>
      <c r="X756" s="152"/>
      <c r="Y756" s="152"/>
      <c r="Z756" s="281"/>
      <c r="AA756" s="281"/>
      <c r="AB756" s="281"/>
      <c r="AC756" s="281"/>
      <c r="AD756" s="281"/>
      <c r="AE756" s="281"/>
      <c r="AF756" s="281"/>
      <c r="AG756" s="170"/>
      <c r="AH756" s="152"/>
      <c r="AI756" s="152"/>
      <c r="AJ756" s="152"/>
      <c r="AK756" s="152"/>
      <c r="AL756" s="152"/>
      <c r="AM756" s="152"/>
      <c r="AN756" s="152"/>
      <c r="AO756" s="152"/>
      <c r="AP756" s="152"/>
      <c r="AQ756" s="152"/>
      <c r="AR756" s="152"/>
    </row>
    <row r="757" ht="12.75" customHeight="1">
      <c r="A757" s="288"/>
      <c r="B757" s="288"/>
      <c r="C757" s="288"/>
      <c r="D757" s="152"/>
      <c r="E757" s="289"/>
      <c r="F757" s="288"/>
      <c r="G757" s="152"/>
      <c r="H757" s="152"/>
      <c r="I757" s="152"/>
      <c r="J757" s="152"/>
      <c r="K757" s="289"/>
      <c r="L757" s="289"/>
      <c r="M757" s="152"/>
      <c r="N757" s="152"/>
      <c r="O757" s="156"/>
      <c r="P757" s="152"/>
      <c r="Q757" s="152"/>
      <c r="R757" s="152"/>
      <c r="S757" s="152"/>
      <c r="T757" s="152"/>
      <c r="U757" s="152"/>
      <c r="V757" s="152"/>
      <c r="W757" s="152"/>
      <c r="X757" s="152"/>
      <c r="Y757" s="152"/>
      <c r="Z757" s="281"/>
      <c r="AA757" s="281"/>
      <c r="AB757" s="281"/>
      <c r="AC757" s="281"/>
      <c r="AD757" s="281"/>
      <c r="AE757" s="281"/>
      <c r="AF757" s="281"/>
      <c r="AG757" s="170"/>
      <c r="AH757" s="152"/>
      <c r="AI757" s="152"/>
      <c r="AJ757" s="152"/>
      <c r="AK757" s="152"/>
      <c r="AL757" s="152"/>
      <c r="AM757" s="152"/>
      <c r="AN757" s="152"/>
      <c r="AO757" s="152"/>
      <c r="AP757" s="152"/>
      <c r="AQ757" s="152"/>
      <c r="AR757" s="152"/>
    </row>
    <row r="758" ht="12.75" customHeight="1">
      <c r="A758" s="288"/>
      <c r="B758" s="288"/>
      <c r="C758" s="288"/>
      <c r="D758" s="152"/>
      <c r="E758" s="289"/>
      <c r="F758" s="288"/>
      <c r="G758" s="152"/>
      <c r="H758" s="152"/>
      <c r="I758" s="152"/>
      <c r="J758" s="152"/>
      <c r="K758" s="289"/>
      <c r="L758" s="289"/>
      <c r="M758" s="152"/>
      <c r="N758" s="152"/>
      <c r="O758" s="156"/>
      <c r="P758" s="152"/>
      <c r="Q758" s="152"/>
      <c r="R758" s="152"/>
      <c r="S758" s="152"/>
      <c r="T758" s="152"/>
      <c r="U758" s="152"/>
      <c r="V758" s="152"/>
      <c r="W758" s="152"/>
      <c r="X758" s="152"/>
      <c r="Y758" s="152"/>
      <c r="Z758" s="281"/>
      <c r="AA758" s="281"/>
      <c r="AB758" s="281"/>
      <c r="AC758" s="281"/>
      <c r="AD758" s="281"/>
      <c r="AE758" s="281"/>
      <c r="AF758" s="281"/>
      <c r="AG758" s="170"/>
      <c r="AH758" s="152"/>
      <c r="AI758" s="152"/>
      <c r="AJ758" s="152"/>
      <c r="AK758" s="152"/>
      <c r="AL758" s="152"/>
      <c r="AM758" s="152"/>
      <c r="AN758" s="152"/>
      <c r="AO758" s="152"/>
      <c r="AP758" s="152"/>
      <c r="AQ758" s="152"/>
      <c r="AR758" s="152"/>
    </row>
    <row r="759" ht="12.75" customHeight="1">
      <c r="A759" s="288"/>
      <c r="B759" s="288"/>
      <c r="C759" s="288"/>
      <c r="D759" s="152"/>
      <c r="E759" s="289"/>
      <c r="F759" s="288"/>
      <c r="G759" s="152"/>
      <c r="H759" s="152"/>
      <c r="I759" s="152"/>
      <c r="J759" s="152"/>
      <c r="K759" s="289"/>
      <c r="L759" s="289"/>
      <c r="M759" s="152"/>
      <c r="N759" s="152"/>
      <c r="O759" s="156"/>
      <c r="P759" s="152"/>
      <c r="Q759" s="152"/>
      <c r="R759" s="152"/>
      <c r="S759" s="152"/>
      <c r="T759" s="152"/>
      <c r="U759" s="152"/>
      <c r="V759" s="152"/>
      <c r="W759" s="152"/>
      <c r="X759" s="152"/>
      <c r="Y759" s="152"/>
      <c r="Z759" s="281"/>
      <c r="AA759" s="281"/>
      <c r="AB759" s="281"/>
      <c r="AC759" s="281"/>
      <c r="AD759" s="281"/>
      <c r="AE759" s="281"/>
      <c r="AF759" s="281"/>
      <c r="AG759" s="170"/>
      <c r="AH759" s="152"/>
      <c r="AI759" s="152"/>
      <c r="AJ759" s="152"/>
      <c r="AK759" s="152"/>
      <c r="AL759" s="152"/>
      <c r="AM759" s="152"/>
      <c r="AN759" s="152"/>
      <c r="AO759" s="152"/>
      <c r="AP759" s="152"/>
      <c r="AQ759" s="152"/>
      <c r="AR759" s="152"/>
    </row>
    <row r="760" ht="12.75" customHeight="1">
      <c r="A760" s="288"/>
      <c r="B760" s="288"/>
      <c r="C760" s="288"/>
      <c r="D760" s="152"/>
      <c r="E760" s="289"/>
      <c r="F760" s="288"/>
      <c r="G760" s="152"/>
      <c r="H760" s="152"/>
      <c r="I760" s="152"/>
      <c r="J760" s="152"/>
      <c r="K760" s="289"/>
      <c r="L760" s="289"/>
      <c r="M760" s="152"/>
      <c r="N760" s="152"/>
      <c r="O760" s="156"/>
      <c r="P760" s="152"/>
      <c r="Q760" s="152"/>
      <c r="R760" s="152"/>
      <c r="S760" s="152"/>
      <c r="T760" s="152"/>
      <c r="U760" s="152"/>
      <c r="V760" s="152"/>
      <c r="W760" s="152"/>
      <c r="X760" s="152"/>
      <c r="Y760" s="152"/>
      <c r="Z760" s="281"/>
      <c r="AA760" s="281"/>
      <c r="AB760" s="281"/>
      <c r="AC760" s="281"/>
      <c r="AD760" s="281"/>
      <c r="AE760" s="281"/>
      <c r="AF760" s="281"/>
      <c r="AG760" s="170"/>
      <c r="AH760" s="152"/>
      <c r="AI760" s="152"/>
      <c r="AJ760" s="152"/>
      <c r="AK760" s="152"/>
      <c r="AL760" s="152"/>
      <c r="AM760" s="152"/>
      <c r="AN760" s="152"/>
      <c r="AO760" s="152"/>
      <c r="AP760" s="152"/>
      <c r="AQ760" s="152"/>
      <c r="AR760" s="152"/>
    </row>
    <row r="761" ht="12.75" customHeight="1">
      <c r="A761" s="288"/>
      <c r="B761" s="288"/>
      <c r="C761" s="288"/>
      <c r="D761" s="152"/>
      <c r="E761" s="289"/>
      <c r="F761" s="288"/>
      <c r="G761" s="152"/>
      <c r="H761" s="152"/>
      <c r="I761" s="152"/>
      <c r="J761" s="152"/>
      <c r="K761" s="289"/>
      <c r="L761" s="289"/>
      <c r="M761" s="152"/>
      <c r="N761" s="152"/>
      <c r="O761" s="156"/>
      <c r="P761" s="152"/>
      <c r="Q761" s="152"/>
      <c r="R761" s="152"/>
      <c r="S761" s="152"/>
      <c r="T761" s="152"/>
      <c r="U761" s="152"/>
      <c r="V761" s="152"/>
      <c r="W761" s="152"/>
      <c r="X761" s="152"/>
      <c r="Y761" s="152"/>
      <c r="Z761" s="281"/>
      <c r="AA761" s="281"/>
      <c r="AB761" s="281"/>
      <c r="AC761" s="281"/>
      <c r="AD761" s="281"/>
      <c r="AE761" s="281"/>
      <c r="AF761" s="281"/>
      <c r="AG761" s="170"/>
      <c r="AH761" s="152"/>
      <c r="AI761" s="152"/>
      <c r="AJ761" s="152"/>
      <c r="AK761" s="152"/>
      <c r="AL761" s="152"/>
      <c r="AM761" s="152"/>
      <c r="AN761" s="152"/>
      <c r="AO761" s="152"/>
      <c r="AP761" s="152"/>
      <c r="AQ761" s="152"/>
      <c r="AR761" s="152"/>
    </row>
    <row r="762" ht="12.75" customHeight="1">
      <c r="A762" s="288"/>
      <c r="B762" s="288"/>
      <c r="C762" s="288"/>
      <c r="D762" s="152"/>
      <c r="E762" s="289"/>
      <c r="F762" s="288"/>
      <c r="G762" s="152"/>
      <c r="H762" s="152"/>
      <c r="I762" s="152"/>
      <c r="J762" s="152"/>
      <c r="K762" s="289"/>
      <c r="L762" s="289"/>
      <c r="M762" s="152"/>
      <c r="N762" s="152"/>
      <c r="O762" s="156"/>
      <c r="P762" s="152"/>
      <c r="Q762" s="152"/>
      <c r="R762" s="152"/>
      <c r="S762" s="152"/>
      <c r="T762" s="152"/>
      <c r="U762" s="152"/>
      <c r="V762" s="152"/>
      <c r="W762" s="152"/>
      <c r="X762" s="152"/>
      <c r="Y762" s="152"/>
      <c r="Z762" s="281"/>
      <c r="AA762" s="281"/>
      <c r="AB762" s="281"/>
      <c r="AC762" s="281"/>
      <c r="AD762" s="281"/>
      <c r="AE762" s="281"/>
      <c r="AF762" s="281"/>
      <c r="AG762" s="170"/>
      <c r="AH762" s="152"/>
      <c r="AI762" s="152"/>
      <c r="AJ762" s="152"/>
      <c r="AK762" s="152"/>
      <c r="AL762" s="152"/>
      <c r="AM762" s="152"/>
      <c r="AN762" s="152"/>
      <c r="AO762" s="152"/>
      <c r="AP762" s="152"/>
      <c r="AQ762" s="152"/>
      <c r="AR762" s="152"/>
    </row>
    <row r="763" ht="12.75" customHeight="1">
      <c r="A763" s="288"/>
      <c r="B763" s="288"/>
      <c r="C763" s="288"/>
      <c r="D763" s="152"/>
      <c r="E763" s="289"/>
      <c r="F763" s="288"/>
      <c r="G763" s="152"/>
      <c r="H763" s="152"/>
      <c r="I763" s="152"/>
      <c r="J763" s="152"/>
      <c r="K763" s="289"/>
      <c r="L763" s="289"/>
      <c r="M763" s="152"/>
      <c r="N763" s="152"/>
      <c r="O763" s="156"/>
      <c r="P763" s="152"/>
      <c r="Q763" s="152"/>
      <c r="R763" s="152"/>
      <c r="S763" s="152"/>
      <c r="T763" s="152"/>
      <c r="U763" s="152"/>
      <c r="V763" s="152"/>
      <c r="W763" s="152"/>
      <c r="X763" s="152"/>
      <c r="Y763" s="152"/>
      <c r="Z763" s="281"/>
      <c r="AA763" s="281"/>
      <c r="AB763" s="281"/>
      <c r="AC763" s="281"/>
      <c r="AD763" s="281"/>
      <c r="AE763" s="281"/>
      <c r="AF763" s="281"/>
      <c r="AG763" s="170"/>
      <c r="AH763" s="152"/>
      <c r="AI763" s="152"/>
      <c r="AJ763" s="152"/>
      <c r="AK763" s="152"/>
      <c r="AL763" s="152"/>
      <c r="AM763" s="152"/>
      <c r="AN763" s="152"/>
      <c r="AO763" s="152"/>
      <c r="AP763" s="152"/>
      <c r="AQ763" s="152"/>
      <c r="AR763" s="152"/>
    </row>
    <row r="764" ht="12.75" customHeight="1">
      <c r="A764" s="288"/>
      <c r="B764" s="288"/>
      <c r="C764" s="288"/>
      <c r="D764" s="152"/>
      <c r="E764" s="289"/>
      <c r="F764" s="288"/>
      <c r="G764" s="152"/>
      <c r="H764" s="152"/>
      <c r="I764" s="152"/>
      <c r="J764" s="152"/>
      <c r="K764" s="289"/>
      <c r="L764" s="289"/>
      <c r="M764" s="152"/>
      <c r="N764" s="152"/>
      <c r="O764" s="156"/>
      <c r="P764" s="152"/>
      <c r="Q764" s="152"/>
      <c r="R764" s="152"/>
      <c r="S764" s="152"/>
      <c r="T764" s="152"/>
      <c r="U764" s="152"/>
      <c r="V764" s="152"/>
      <c r="W764" s="152"/>
      <c r="X764" s="152"/>
      <c r="Y764" s="152"/>
      <c r="Z764" s="281"/>
      <c r="AA764" s="281"/>
      <c r="AB764" s="281"/>
      <c r="AC764" s="281"/>
      <c r="AD764" s="281"/>
      <c r="AE764" s="281"/>
      <c r="AF764" s="281"/>
      <c r="AG764" s="170"/>
      <c r="AH764" s="152"/>
      <c r="AI764" s="152"/>
      <c r="AJ764" s="152"/>
      <c r="AK764" s="152"/>
      <c r="AL764" s="152"/>
      <c r="AM764" s="152"/>
      <c r="AN764" s="152"/>
      <c r="AO764" s="152"/>
      <c r="AP764" s="152"/>
      <c r="AQ764" s="152"/>
      <c r="AR764" s="152"/>
    </row>
    <row r="765" ht="12.75" customHeight="1">
      <c r="A765" s="288"/>
      <c r="B765" s="288"/>
      <c r="C765" s="288"/>
      <c r="D765" s="152"/>
      <c r="E765" s="289"/>
      <c r="F765" s="288"/>
      <c r="G765" s="152"/>
      <c r="H765" s="152"/>
      <c r="I765" s="152"/>
      <c r="J765" s="152"/>
      <c r="K765" s="289"/>
      <c r="L765" s="289"/>
      <c r="M765" s="152"/>
      <c r="N765" s="152"/>
      <c r="O765" s="156"/>
      <c r="P765" s="152"/>
      <c r="Q765" s="152"/>
      <c r="R765" s="152"/>
      <c r="S765" s="152"/>
      <c r="T765" s="152"/>
      <c r="U765" s="152"/>
      <c r="V765" s="152"/>
      <c r="W765" s="152"/>
      <c r="X765" s="152"/>
      <c r="Y765" s="152"/>
      <c r="Z765" s="281"/>
      <c r="AA765" s="281"/>
      <c r="AB765" s="281"/>
      <c r="AC765" s="281"/>
      <c r="AD765" s="281"/>
      <c r="AE765" s="281"/>
      <c r="AF765" s="281"/>
      <c r="AG765" s="170"/>
      <c r="AH765" s="152"/>
      <c r="AI765" s="152"/>
      <c r="AJ765" s="152"/>
      <c r="AK765" s="152"/>
      <c r="AL765" s="152"/>
      <c r="AM765" s="152"/>
      <c r="AN765" s="152"/>
      <c r="AO765" s="152"/>
      <c r="AP765" s="152"/>
      <c r="AQ765" s="152"/>
      <c r="AR765" s="152"/>
    </row>
    <row r="766" ht="12.75" customHeight="1">
      <c r="A766" s="288"/>
      <c r="B766" s="288"/>
      <c r="C766" s="288"/>
      <c r="D766" s="152"/>
      <c r="E766" s="289"/>
      <c r="F766" s="288"/>
      <c r="G766" s="152"/>
      <c r="H766" s="152"/>
      <c r="I766" s="152"/>
      <c r="J766" s="152"/>
      <c r="K766" s="289"/>
      <c r="L766" s="289"/>
      <c r="M766" s="152"/>
      <c r="N766" s="152"/>
      <c r="O766" s="156"/>
      <c r="P766" s="152"/>
      <c r="Q766" s="152"/>
      <c r="R766" s="152"/>
      <c r="S766" s="152"/>
      <c r="T766" s="152"/>
      <c r="U766" s="152"/>
      <c r="V766" s="152"/>
      <c r="W766" s="152"/>
      <c r="X766" s="152"/>
      <c r="Y766" s="152"/>
      <c r="Z766" s="281"/>
      <c r="AA766" s="281"/>
      <c r="AB766" s="281"/>
      <c r="AC766" s="281"/>
      <c r="AD766" s="281"/>
      <c r="AE766" s="281"/>
      <c r="AF766" s="281"/>
      <c r="AG766" s="170"/>
      <c r="AH766" s="152"/>
      <c r="AI766" s="152"/>
      <c r="AJ766" s="152"/>
      <c r="AK766" s="152"/>
      <c r="AL766" s="152"/>
      <c r="AM766" s="152"/>
      <c r="AN766" s="152"/>
      <c r="AO766" s="152"/>
      <c r="AP766" s="152"/>
      <c r="AQ766" s="152"/>
      <c r="AR766" s="152"/>
    </row>
    <row r="767" ht="12.75" customHeight="1">
      <c r="A767" s="288"/>
      <c r="B767" s="288"/>
      <c r="C767" s="288"/>
      <c r="D767" s="152"/>
      <c r="E767" s="289"/>
      <c r="F767" s="288"/>
      <c r="G767" s="152"/>
      <c r="H767" s="152"/>
      <c r="I767" s="152"/>
      <c r="J767" s="152"/>
      <c r="K767" s="289"/>
      <c r="L767" s="289"/>
      <c r="M767" s="152"/>
      <c r="N767" s="152"/>
      <c r="O767" s="156"/>
      <c r="P767" s="152"/>
      <c r="Q767" s="152"/>
      <c r="R767" s="152"/>
      <c r="S767" s="152"/>
      <c r="T767" s="152"/>
      <c r="U767" s="152"/>
      <c r="V767" s="152"/>
      <c r="W767" s="152"/>
      <c r="X767" s="152"/>
      <c r="Y767" s="152"/>
      <c r="Z767" s="281"/>
      <c r="AA767" s="281"/>
      <c r="AB767" s="281"/>
      <c r="AC767" s="281"/>
      <c r="AD767" s="281"/>
      <c r="AE767" s="281"/>
      <c r="AF767" s="281"/>
      <c r="AG767" s="170"/>
      <c r="AH767" s="152"/>
      <c r="AI767" s="152"/>
      <c r="AJ767" s="152"/>
      <c r="AK767" s="152"/>
      <c r="AL767" s="152"/>
      <c r="AM767" s="152"/>
      <c r="AN767" s="152"/>
      <c r="AO767" s="152"/>
      <c r="AP767" s="152"/>
      <c r="AQ767" s="152"/>
      <c r="AR767" s="152"/>
    </row>
    <row r="768" ht="12.75" customHeight="1">
      <c r="A768" s="288"/>
      <c r="B768" s="288"/>
      <c r="C768" s="288"/>
      <c r="D768" s="152"/>
      <c r="E768" s="289"/>
      <c r="F768" s="288"/>
      <c r="G768" s="152"/>
      <c r="H768" s="152"/>
      <c r="I768" s="152"/>
      <c r="J768" s="152"/>
      <c r="K768" s="289"/>
      <c r="L768" s="289"/>
      <c r="M768" s="152"/>
      <c r="N768" s="152"/>
      <c r="O768" s="156"/>
      <c r="P768" s="152"/>
      <c r="Q768" s="152"/>
      <c r="R768" s="152"/>
      <c r="S768" s="152"/>
      <c r="T768" s="152"/>
      <c r="U768" s="152"/>
      <c r="V768" s="152"/>
      <c r="W768" s="152"/>
      <c r="X768" s="152"/>
      <c r="Y768" s="152"/>
      <c r="Z768" s="281"/>
      <c r="AA768" s="281"/>
      <c r="AB768" s="281"/>
      <c r="AC768" s="281"/>
      <c r="AD768" s="281"/>
      <c r="AE768" s="281"/>
      <c r="AF768" s="281"/>
      <c r="AG768" s="170"/>
      <c r="AH768" s="152"/>
      <c r="AI768" s="152"/>
      <c r="AJ768" s="152"/>
      <c r="AK768" s="152"/>
      <c r="AL768" s="152"/>
      <c r="AM768" s="152"/>
      <c r="AN768" s="152"/>
      <c r="AO768" s="152"/>
      <c r="AP768" s="152"/>
      <c r="AQ768" s="152"/>
      <c r="AR768" s="152"/>
    </row>
    <row r="769" ht="12.75" customHeight="1">
      <c r="A769" s="288"/>
      <c r="B769" s="288"/>
      <c r="C769" s="288"/>
      <c r="D769" s="152"/>
      <c r="E769" s="289"/>
      <c r="F769" s="288"/>
      <c r="G769" s="152"/>
      <c r="H769" s="152"/>
      <c r="I769" s="152"/>
      <c r="J769" s="152"/>
      <c r="K769" s="289"/>
      <c r="L769" s="289"/>
      <c r="M769" s="152"/>
      <c r="N769" s="152"/>
      <c r="O769" s="156"/>
      <c r="P769" s="152"/>
      <c r="Q769" s="152"/>
      <c r="R769" s="152"/>
      <c r="S769" s="152"/>
      <c r="T769" s="152"/>
      <c r="U769" s="152"/>
      <c r="V769" s="152"/>
      <c r="W769" s="152"/>
      <c r="X769" s="152"/>
      <c r="Y769" s="152"/>
      <c r="Z769" s="281"/>
      <c r="AA769" s="281"/>
      <c r="AB769" s="281"/>
      <c r="AC769" s="281"/>
      <c r="AD769" s="281"/>
      <c r="AE769" s="281"/>
      <c r="AF769" s="281"/>
      <c r="AG769" s="170"/>
      <c r="AH769" s="152"/>
      <c r="AI769" s="152"/>
      <c r="AJ769" s="152"/>
      <c r="AK769" s="152"/>
      <c r="AL769" s="152"/>
      <c r="AM769" s="152"/>
      <c r="AN769" s="152"/>
      <c r="AO769" s="152"/>
      <c r="AP769" s="152"/>
      <c r="AQ769" s="152"/>
      <c r="AR769" s="152"/>
    </row>
    <row r="770" ht="12.75" customHeight="1">
      <c r="A770" s="288"/>
      <c r="B770" s="288"/>
      <c r="C770" s="288"/>
      <c r="D770" s="152"/>
      <c r="E770" s="289"/>
      <c r="F770" s="288"/>
      <c r="G770" s="152"/>
      <c r="H770" s="152"/>
      <c r="I770" s="152"/>
      <c r="J770" s="152"/>
      <c r="K770" s="289"/>
      <c r="L770" s="289"/>
      <c r="M770" s="152"/>
      <c r="N770" s="152"/>
      <c r="O770" s="156"/>
      <c r="P770" s="152"/>
      <c r="Q770" s="152"/>
      <c r="R770" s="152"/>
      <c r="S770" s="152"/>
      <c r="T770" s="152"/>
      <c r="U770" s="152"/>
      <c r="V770" s="152"/>
      <c r="W770" s="152"/>
      <c r="X770" s="152"/>
      <c r="Y770" s="152"/>
      <c r="Z770" s="281"/>
      <c r="AA770" s="281"/>
      <c r="AB770" s="281"/>
      <c r="AC770" s="281"/>
      <c r="AD770" s="281"/>
      <c r="AE770" s="281"/>
      <c r="AF770" s="281"/>
      <c r="AG770" s="170"/>
      <c r="AH770" s="152"/>
      <c r="AI770" s="152"/>
      <c r="AJ770" s="152"/>
      <c r="AK770" s="152"/>
      <c r="AL770" s="152"/>
      <c r="AM770" s="152"/>
      <c r="AN770" s="152"/>
      <c r="AO770" s="152"/>
      <c r="AP770" s="152"/>
      <c r="AQ770" s="152"/>
      <c r="AR770" s="152"/>
    </row>
    <row r="771" ht="12.75" customHeight="1">
      <c r="A771" s="288"/>
      <c r="B771" s="288"/>
      <c r="C771" s="288"/>
      <c r="D771" s="152"/>
      <c r="E771" s="289"/>
      <c r="F771" s="288"/>
      <c r="G771" s="152"/>
      <c r="H771" s="152"/>
      <c r="I771" s="152"/>
      <c r="J771" s="152"/>
      <c r="K771" s="289"/>
      <c r="L771" s="289"/>
      <c r="M771" s="152"/>
      <c r="N771" s="152"/>
      <c r="O771" s="156"/>
      <c r="P771" s="152"/>
      <c r="Q771" s="152"/>
      <c r="R771" s="152"/>
      <c r="S771" s="152"/>
      <c r="T771" s="152"/>
      <c r="U771" s="152"/>
      <c r="V771" s="152"/>
      <c r="W771" s="152"/>
      <c r="X771" s="152"/>
      <c r="Y771" s="152"/>
      <c r="Z771" s="281"/>
      <c r="AA771" s="281"/>
      <c r="AB771" s="281"/>
      <c r="AC771" s="281"/>
      <c r="AD771" s="281"/>
      <c r="AE771" s="281"/>
      <c r="AF771" s="281"/>
      <c r="AG771" s="170"/>
      <c r="AH771" s="152"/>
      <c r="AI771" s="152"/>
      <c r="AJ771" s="152"/>
      <c r="AK771" s="152"/>
      <c r="AL771" s="152"/>
      <c r="AM771" s="152"/>
      <c r="AN771" s="152"/>
      <c r="AO771" s="152"/>
      <c r="AP771" s="152"/>
      <c r="AQ771" s="152"/>
      <c r="AR771" s="152"/>
    </row>
    <row r="772" ht="12.75" customHeight="1">
      <c r="A772" s="288"/>
      <c r="B772" s="288"/>
      <c r="C772" s="288"/>
      <c r="D772" s="152"/>
      <c r="E772" s="289"/>
      <c r="F772" s="288"/>
      <c r="G772" s="152"/>
      <c r="H772" s="152"/>
      <c r="I772" s="152"/>
      <c r="J772" s="152"/>
      <c r="K772" s="289"/>
      <c r="L772" s="289"/>
      <c r="M772" s="152"/>
      <c r="N772" s="152"/>
      <c r="O772" s="156"/>
      <c r="P772" s="152"/>
      <c r="Q772" s="152"/>
      <c r="R772" s="152"/>
      <c r="S772" s="152"/>
      <c r="T772" s="152"/>
      <c r="U772" s="152"/>
      <c r="V772" s="152"/>
      <c r="W772" s="152"/>
      <c r="X772" s="152"/>
      <c r="Y772" s="152"/>
      <c r="Z772" s="281"/>
      <c r="AA772" s="281"/>
      <c r="AB772" s="281"/>
      <c r="AC772" s="281"/>
      <c r="AD772" s="281"/>
      <c r="AE772" s="281"/>
      <c r="AF772" s="281"/>
      <c r="AG772" s="170"/>
      <c r="AH772" s="152"/>
      <c r="AI772" s="152"/>
      <c r="AJ772" s="152"/>
      <c r="AK772" s="152"/>
      <c r="AL772" s="152"/>
      <c r="AM772" s="152"/>
      <c r="AN772" s="152"/>
      <c r="AO772" s="152"/>
      <c r="AP772" s="152"/>
      <c r="AQ772" s="152"/>
      <c r="AR772" s="152"/>
    </row>
    <row r="773" ht="12.75" customHeight="1">
      <c r="A773" s="288"/>
      <c r="B773" s="288"/>
      <c r="C773" s="288"/>
      <c r="D773" s="152"/>
      <c r="E773" s="289"/>
      <c r="F773" s="288"/>
      <c r="G773" s="152"/>
      <c r="H773" s="152"/>
      <c r="I773" s="152"/>
      <c r="J773" s="152"/>
      <c r="K773" s="289"/>
      <c r="L773" s="289"/>
      <c r="M773" s="152"/>
      <c r="N773" s="152"/>
      <c r="O773" s="156"/>
      <c r="P773" s="152"/>
      <c r="Q773" s="152"/>
      <c r="R773" s="152"/>
      <c r="S773" s="152"/>
      <c r="T773" s="152"/>
      <c r="U773" s="152"/>
      <c r="V773" s="152"/>
      <c r="W773" s="152"/>
      <c r="X773" s="152"/>
      <c r="Y773" s="152"/>
      <c r="Z773" s="281"/>
      <c r="AA773" s="281"/>
      <c r="AB773" s="281"/>
      <c r="AC773" s="281"/>
      <c r="AD773" s="281"/>
      <c r="AE773" s="281"/>
      <c r="AF773" s="281"/>
      <c r="AG773" s="170"/>
      <c r="AH773" s="152"/>
      <c r="AI773" s="152"/>
      <c r="AJ773" s="152"/>
      <c r="AK773" s="152"/>
      <c r="AL773" s="152"/>
      <c r="AM773" s="152"/>
      <c r="AN773" s="152"/>
      <c r="AO773" s="152"/>
      <c r="AP773" s="152"/>
      <c r="AQ773" s="152"/>
      <c r="AR773" s="152"/>
    </row>
    <row r="774" ht="12.75" customHeight="1">
      <c r="A774" s="288"/>
      <c r="B774" s="288"/>
      <c r="C774" s="288"/>
      <c r="D774" s="152"/>
      <c r="E774" s="289"/>
      <c r="F774" s="288"/>
      <c r="G774" s="152"/>
      <c r="H774" s="152"/>
      <c r="I774" s="152"/>
      <c r="J774" s="152"/>
      <c r="K774" s="289"/>
      <c r="L774" s="289"/>
      <c r="M774" s="152"/>
      <c r="N774" s="152"/>
      <c r="O774" s="156"/>
      <c r="P774" s="152"/>
      <c r="Q774" s="152"/>
      <c r="R774" s="152"/>
      <c r="S774" s="152"/>
      <c r="T774" s="152"/>
      <c r="U774" s="152"/>
      <c r="V774" s="152"/>
      <c r="W774" s="152"/>
      <c r="X774" s="152"/>
      <c r="Y774" s="152"/>
      <c r="Z774" s="281"/>
      <c r="AA774" s="281"/>
      <c r="AB774" s="281"/>
      <c r="AC774" s="281"/>
      <c r="AD774" s="281"/>
      <c r="AE774" s="281"/>
      <c r="AF774" s="281"/>
      <c r="AG774" s="170"/>
      <c r="AH774" s="152"/>
      <c r="AI774" s="152"/>
      <c r="AJ774" s="152"/>
      <c r="AK774" s="152"/>
      <c r="AL774" s="152"/>
      <c r="AM774" s="152"/>
      <c r="AN774" s="152"/>
      <c r="AO774" s="152"/>
      <c r="AP774" s="152"/>
      <c r="AQ774" s="152"/>
      <c r="AR774" s="152"/>
    </row>
    <row r="775" ht="12.75" customHeight="1">
      <c r="A775" s="288"/>
      <c r="B775" s="288"/>
      <c r="C775" s="288"/>
      <c r="D775" s="152"/>
      <c r="E775" s="289"/>
      <c r="F775" s="288"/>
      <c r="G775" s="152"/>
      <c r="H775" s="152"/>
      <c r="I775" s="152"/>
      <c r="J775" s="152"/>
      <c r="K775" s="289"/>
      <c r="L775" s="289"/>
      <c r="M775" s="152"/>
      <c r="N775" s="152"/>
      <c r="O775" s="156"/>
      <c r="P775" s="152"/>
      <c r="Q775" s="152"/>
      <c r="R775" s="152"/>
      <c r="S775" s="152"/>
      <c r="T775" s="152"/>
      <c r="U775" s="152"/>
      <c r="V775" s="152"/>
      <c r="W775" s="152"/>
      <c r="X775" s="152"/>
      <c r="Y775" s="152"/>
      <c r="Z775" s="281"/>
      <c r="AA775" s="281"/>
      <c r="AB775" s="281"/>
      <c r="AC775" s="281"/>
      <c r="AD775" s="281"/>
      <c r="AE775" s="281"/>
      <c r="AF775" s="281"/>
      <c r="AG775" s="170"/>
      <c r="AH775" s="152"/>
      <c r="AI775" s="152"/>
      <c r="AJ775" s="152"/>
      <c r="AK775" s="152"/>
      <c r="AL775" s="152"/>
      <c r="AM775" s="152"/>
      <c r="AN775" s="152"/>
      <c r="AO775" s="152"/>
      <c r="AP775" s="152"/>
      <c r="AQ775" s="152"/>
      <c r="AR775" s="152"/>
    </row>
    <row r="776" ht="12.75" customHeight="1">
      <c r="A776" s="288"/>
      <c r="B776" s="288"/>
      <c r="C776" s="288"/>
      <c r="D776" s="152"/>
      <c r="E776" s="289"/>
      <c r="F776" s="288"/>
      <c r="G776" s="152"/>
      <c r="H776" s="152"/>
      <c r="I776" s="152"/>
      <c r="J776" s="152"/>
      <c r="K776" s="289"/>
      <c r="L776" s="289"/>
      <c r="M776" s="152"/>
      <c r="N776" s="152"/>
      <c r="O776" s="156"/>
      <c r="P776" s="152"/>
      <c r="Q776" s="152"/>
      <c r="R776" s="152"/>
      <c r="S776" s="152"/>
      <c r="T776" s="152"/>
      <c r="U776" s="152"/>
      <c r="V776" s="152"/>
      <c r="W776" s="152"/>
      <c r="X776" s="152"/>
      <c r="Y776" s="152"/>
      <c r="Z776" s="281"/>
      <c r="AA776" s="281"/>
      <c r="AB776" s="281"/>
      <c r="AC776" s="281"/>
      <c r="AD776" s="281"/>
      <c r="AE776" s="281"/>
      <c r="AF776" s="281"/>
      <c r="AG776" s="170"/>
      <c r="AH776" s="152"/>
      <c r="AI776" s="152"/>
      <c r="AJ776" s="152"/>
      <c r="AK776" s="152"/>
      <c r="AL776" s="152"/>
      <c r="AM776" s="152"/>
      <c r="AN776" s="152"/>
      <c r="AO776" s="152"/>
      <c r="AP776" s="152"/>
      <c r="AQ776" s="152"/>
      <c r="AR776" s="152"/>
    </row>
    <row r="777" ht="12.75" customHeight="1">
      <c r="A777" s="288"/>
      <c r="B777" s="288"/>
      <c r="C777" s="288"/>
      <c r="D777" s="152"/>
      <c r="E777" s="289"/>
      <c r="F777" s="288"/>
      <c r="G777" s="152"/>
      <c r="H777" s="152"/>
      <c r="I777" s="152"/>
      <c r="J777" s="152"/>
      <c r="K777" s="289"/>
      <c r="L777" s="289"/>
      <c r="M777" s="152"/>
      <c r="N777" s="152"/>
      <c r="O777" s="156"/>
      <c r="P777" s="152"/>
      <c r="Q777" s="152"/>
      <c r="R777" s="152"/>
      <c r="S777" s="152"/>
      <c r="T777" s="152"/>
      <c r="U777" s="152"/>
      <c r="V777" s="152"/>
      <c r="W777" s="152"/>
      <c r="X777" s="152"/>
      <c r="Y777" s="152"/>
      <c r="Z777" s="281"/>
      <c r="AA777" s="281"/>
      <c r="AB777" s="281"/>
      <c r="AC777" s="281"/>
      <c r="AD777" s="281"/>
      <c r="AE777" s="281"/>
      <c r="AF777" s="281"/>
      <c r="AG777" s="170"/>
      <c r="AH777" s="152"/>
      <c r="AI777" s="152"/>
      <c r="AJ777" s="152"/>
      <c r="AK777" s="152"/>
      <c r="AL777" s="152"/>
      <c r="AM777" s="152"/>
      <c r="AN777" s="152"/>
      <c r="AO777" s="152"/>
      <c r="AP777" s="152"/>
      <c r="AQ777" s="152"/>
      <c r="AR777" s="152"/>
    </row>
    <row r="778" ht="12.75" customHeight="1">
      <c r="A778" s="288"/>
      <c r="B778" s="288"/>
      <c r="C778" s="288"/>
      <c r="D778" s="152"/>
      <c r="E778" s="289"/>
      <c r="F778" s="288"/>
      <c r="G778" s="152"/>
      <c r="H778" s="152"/>
      <c r="I778" s="152"/>
      <c r="J778" s="152"/>
      <c r="K778" s="289"/>
      <c r="L778" s="289"/>
      <c r="M778" s="152"/>
      <c r="N778" s="152"/>
      <c r="O778" s="156"/>
      <c r="P778" s="152"/>
      <c r="Q778" s="152"/>
      <c r="R778" s="152"/>
      <c r="S778" s="152"/>
      <c r="T778" s="152"/>
      <c r="U778" s="152"/>
      <c r="V778" s="152"/>
      <c r="W778" s="152"/>
      <c r="X778" s="152"/>
      <c r="Y778" s="152"/>
      <c r="Z778" s="281"/>
      <c r="AA778" s="281"/>
      <c r="AB778" s="281"/>
      <c r="AC778" s="281"/>
      <c r="AD778" s="281"/>
      <c r="AE778" s="281"/>
      <c r="AF778" s="281"/>
      <c r="AG778" s="170"/>
      <c r="AH778" s="152"/>
      <c r="AI778" s="152"/>
      <c r="AJ778" s="152"/>
      <c r="AK778" s="152"/>
      <c r="AL778" s="152"/>
      <c r="AM778" s="152"/>
      <c r="AN778" s="152"/>
      <c r="AO778" s="152"/>
      <c r="AP778" s="152"/>
      <c r="AQ778" s="152"/>
      <c r="AR778" s="152"/>
    </row>
    <row r="779" ht="12.75" customHeight="1">
      <c r="A779" s="288"/>
      <c r="B779" s="288"/>
      <c r="C779" s="288"/>
      <c r="D779" s="152"/>
      <c r="E779" s="289"/>
      <c r="F779" s="288"/>
      <c r="G779" s="152"/>
      <c r="H779" s="152"/>
      <c r="I779" s="152"/>
      <c r="J779" s="152"/>
      <c r="K779" s="289"/>
      <c r="L779" s="289"/>
      <c r="M779" s="152"/>
      <c r="N779" s="152"/>
      <c r="O779" s="156"/>
      <c r="P779" s="152"/>
      <c r="Q779" s="152"/>
      <c r="R779" s="152"/>
      <c r="S779" s="152"/>
      <c r="T779" s="152"/>
      <c r="U779" s="152"/>
      <c r="V779" s="152"/>
      <c r="W779" s="152"/>
      <c r="X779" s="152"/>
      <c r="Y779" s="152"/>
      <c r="Z779" s="281"/>
      <c r="AA779" s="281"/>
      <c r="AB779" s="281"/>
      <c r="AC779" s="281"/>
      <c r="AD779" s="281"/>
      <c r="AE779" s="281"/>
      <c r="AF779" s="281"/>
      <c r="AG779" s="170"/>
      <c r="AH779" s="152"/>
      <c r="AI779" s="152"/>
      <c r="AJ779" s="152"/>
      <c r="AK779" s="152"/>
      <c r="AL779" s="152"/>
      <c r="AM779" s="152"/>
      <c r="AN779" s="152"/>
      <c r="AO779" s="152"/>
      <c r="AP779" s="152"/>
      <c r="AQ779" s="152"/>
      <c r="AR779" s="152"/>
    </row>
    <row r="780" ht="12.75" customHeight="1">
      <c r="A780" s="288"/>
      <c r="B780" s="288"/>
      <c r="C780" s="288"/>
      <c r="D780" s="152"/>
      <c r="E780" s="289"/>
      <c r="F780" s="288"/>
      <c r="G780" s="152"/>
      <c r="H780" s="152"/>
      <c r="I780" s="152"/>
      <c r="J780" s="152"/>
      <c r="K780" s="289"/>
      <c r="L780" s="289"/>
      <c r="M780" s="152"/>
      <c r="N780" s="152"/>
      <c r="O780" s="156"/>
      <c r="P780" s="152"/>
      <c r="Q780" s="152"/>
      <c r="R780" s="152"/>
      <c r="S780" s="152"/>
      <c r="T780" s="152"/>
      <c r="U780" s="152"/>
      <c r="V780" s="152"/>
      <c r="W780" s="152"/>
      <c r="X780" s="152"/>
      <c r="Y780" s="152"/>
      <c r="Z780" s="281"/>
      <c r="AA780" s="281"/>
      <c r="AB780" s="281"/>
      <c r="AC780" s="281"/>
      <c r="AD780" s="281"/>
      <c r="AE780" s="281"/>
      <c r="AF780" s="281"/>
      <c r="AG780" s="170"/>
      <c r="AH780" s="152"/>
      <c r="AI780" s="152"/>
      <c r="AJ780" s="152"/>
      <c r="AK780" s="152"/>
      <c r="AL780" s="152"/>
      <c r="AM780" s="152"/>
      <c r="AN780" s="152"/>
      <c r="AO780" s="152"/>
      <c r="AP780" s="152"/>
      <c r="AQ780" s="152"/>
      <c r="AR780" s="152"/>
    </row>
    <row r="781" ht="12.75" customHeight="1">
      <c r="A781" s="288"/>
      <c r="B781" s="288"/>
      <c r="C781" s="288"/>
      <c r="D781" s="152"/>
      <c r="E781" s="289"/>
      <c r="F781" s="288"/>
      <c r="G781" s="152"/>
      <c r="H781" s="152"/>
      <c r="I781" s="152"/>
      <c r="J781" s="152"/>
      <c r="K781" s="289"/>
      <c r="L781" s="289"/>
      <c r="M781" s="152"/>
      <c r="N781" s="152"/>
      <c r="O781" s="156"/>
      <c r="P781" s="152"/>
      <c r="Q781" s="152"/>
      <c r="R781" s="152"/>
      <c r="S781" s="152"/>
      <c r="T781" s="152"/>
      <c r="U781" s="152"/>
      <c r="V781" s="152"/>
      <c r="W781" s="152"/>
      <c r="X781" s="152"/>
      <c r="Y781" s="152"/>
      <c r="Z781" s="281"/>
      <c r="AA781" s="281"/>
      <c r="AB781" s="281"/>
      <c r="AC781" s="281"/>
      <c r="AD781" s="281"/>
      <c r="AE781" s="281"/>
      <c r="AF781" s="281"/>
      <c r="AG781" s="170"/>
      <c r="AH781" s="152"/>
      <c r="AI781" s="152"/>
      <c r="AJ781" s="152"/>
      <c r="AK781" s="152"/>
      <c r="AL781" s="152"/>
      <c r="AM781" s="152"/>
      <c r="AN781" s="152"/>
      <c r="AO781" s="152"/>
      <c r="AP781" s="152"/>
      <c r="AQ781" s="152"/>
      <c r="AR781" s="152"/>
    </row>
    <row r="782" ht="12.75" customHeight="1">
      <c r="A782" s="288"/>
      <c r="B782" s="288"/>
      <c r="C782" s="288"/>
      <c r="D782" s="152"/>
      <c r="E782" s="289"/>
      <c r="F782" s="288"/>
      <c r="G782" s="152"/>
      <c r="H782" s="152"/>
      <c r="I782" s="152"/>
      <c r="J782" s="152"/>
      <c r="K782" s="289"/>
      <c r="L782" s="289"/>
      <c r="M782" s="152"/>
      <c r="N782" s="152"/>
      <c r="O782" s="156"/>
      <c r="P782" s="152"/>
      <c r="Q782" s="152"/>
      <c r="R782" s="152"/>
      <c r="S782" s="152"/>
      <c r="T782" s="152"/>
      <c r="U782" s="152"/>
      <c r="V782" s="152"/>
      <c r="W782" s="152"/>
      <c r="X782" s="152"/>
      <c r="Y782" s="152"/>
      <c r="Z782" s="281"/>
      <c r="AA782" s="281"/>
      <c r="AB782" s="281"/>
      <c r="AC782" s="281"/>
      <c r="AD782" s="281"/>
      <c r="AE782" s="281"/>
      <c r="AF782" s="281"/>
      <c r="AG782" s="170"/>
      <c r="AH782" s="152"/>
      <c r="AI782" s="152"/>
      <c r="AJ782" s="152"/>
      <c r="AK782" s="152"/>
      <c r="AL782" s="152"/>
      <c r="AM782" s="152"/>
      <c r="AN782" s="152"/>
      <c r="AO782" s="152"/>
      <c r="AP782" s="152"/>
      <c r="AQ782" s="152"/>
      <c r="AR782" s="152"/>
    </row>
    <row r="783" ht="12.75" customHeight="1">
      <c r="A783" s="288"/>
      <c r="B783" s="288"/>
      <c r="C783" s="288"/>
      <c r="D783" s="152"/>
      <c r="E783" s="289"/>
      <c r="F783" s="288"/>
      <c r="G783" s="152"/>
      <c r="H783" s="152"/>
      <c r="I783" s="152"/>
      <c r="J783" s="152"/>
      <c r="K783" s="289"/>
      <c r="L783" s="289"/>
      <c r="M783" s="152"/>
      <c r="N783" s="152"/>
      <c r="O783" s="156"/>
      <c r="P783" s="152"/>
      <c r="Q783" s="152"/>
      <c r="R783" s="152"/>
      <c r="S783" s="152"/>
      <c r="T783" s="152"/>
      <c r="U783" s="152"/>
      <c r="V783" s="152"/>
      <c r="W783" s="152"/>
      <c r="X783" s="152"/>
      <c r="Y783" s="152"/>
      <c r="Z783" s="281"/>
      <c r="AA783" s="281"/>
      <c r="AB783" s="281"/>
      <c r="AC783" s="281"/>
      <c r="AD783" s="281"/>
      <c r="AE783" s="281"/>
      <c r="AF783" s="281"/>
      <c r="AG783" s="170"/>
      <c r="AH783" s="152"/>
      <c r="AI783" s="152"/>
      <c r="AJ783" s="152"/>
      <c r="AK783" s="152"/>
      <c r="AL783" s="152"/>
      <c r="AM783" s="152"/>
      <c r="AN783" s="152"/>
      <c r="AO783" s="152"/>
      <c r="AP783" s="152"/>
      <c r="AQ783" s="152"/>
      <c r="AR783" s="152"/>
    </row>
    <row r="784" ht="12.75" customHeight="1">
      <c r="A784" s="288"/>
      <c r="B784" s="288"/>
      <c r="C784" s="288"/>
      <c r="D784" s="152"/>
      <c r="E784" s="289"/>
      <c r="F784" s="288"/>
      <c r="G784" s="152"/>
      <c r="H784" s="152"/>
      <c r="I784" s="152"/>
      <c r="J784" s="152"/>
      <c r="K784" s="289"/>
      <c r="L784" s="289"/>
      <c r="M784" s="152"/>
      <c r="N784" s="152"/>
      <c r="O784" s="156"/>
      <c r="P784" s="152"/>
      <c r="Q784" s="152"/>
      <c r="R784" s="152"/>
      <c r="S784" s="152"/>
      <c r="T784" s="152"/>
      <c r="U784" s="152"/>
      <c r="V784" s="152"/>
      <c r="W784" s="152"/>
      <c r="X784" s="152"/>
      <c r="Y784" s="152"/>
      <c r="Z784" s="281"/>
      <c r="AA784" s="281"/>
      <c r="AB784" s="281"/>
      <c r="AC784" s="281"/>
      <c r="AD784" s="281"/>
      <c r="AE784" s="281"/>
      <c r="AF784" s="281"/>
      <c r="AG784" s="170"/>
      <c r="AH784" s="152"/>
      <c r="AI784" s="152"/>
      <c r="AJ784" s="152"/>
      <c r="AK784" s="152"/>
      <c r="AL784" s="152"/>
      <c r="AM784" s="152"/>
      <c r="AN784" s="152"/>
      <c r="AO784" s="152"/>
      <c r="AP784" s="152"/>
      <c r="AQ784" s="152"/>
      <c r="AR784" s="152"/>
    </row>
    <row r="785" ht="12.75" customHeight="1">
      <c r="A785" s="288"/>
      <c r="B785" s="288"/>
      <c r="C785" s="288"/>
      <c r="D785" s="152"/>
      <c r="E785" s="289"/>
      <c r="F785" s="288"/>
      <c r="G785" s="152"/>
      <c r="H785" s="152"/>
      <c r="I785" s="152"/>
      <c r="J785" s="152"/>
      <c r="K785" s="289"/>
      <c r="L785" s="289"/>
      <c r="M785" s="152"/>
      <c r="N785" s="152"/>
      <c r="O785" s="156"/>
      <c r="P785" s="152"/>
      <c r="Q785" s="152"/>
      <c r="R785" s="152"/>
      <c r="S785" s="152"/>
      <c r="T785" s="152"/>
      <c r="U785" s="152"/>
      <c r="V785" s="152"/>
      <c r="W785" s="152"/>
      <c r="X785" s="152"/>
      <c r="Y785" s="152"/>
      <c r="Z785" s="281"/>
      <c r="AA785" s="281"/>
      <c r="AB785" s="281"/>
      <c r="AC785" s="281"/>
      <c r="AD785" s="281"/>
      <c r="AE785" s="281"/>
      <c r="AF785" s="281"/>
      <c r="AG785" s="170"/>
      <c r="AH785" s="152"/>
      <c r="AI785" s="152"/>
      <c r="AJ785" s="152"/>
      <c r="AK785" s="152"/>
      <c r="AL785" s="152"/>
      <c r="AM785" s="152"/>
      <c r="AN785" s="152"/>
      <c r="AO785" s="152"/>
      <c r="AP785" s="152"/>
      <c r="AQ785" s="152"/>
      <c r="AR785" s="152"/>
    </row>
    <row r="786" ht="12.75" customHeight="1">
      <c r="A786" s="288"/>
      <c r="B786" s="288"/>
      <c r="C786" s="288"/>
      <c r="D786" s="152"/>
      <c r="E786" s="289"/>
      <c r="F786" s="288"/>
      <c r="G786" s="152"/>
      <c r="H786" s="152"/>
      <c r="I786" s="152"/>
      <c r="J786" s="152"/>
      <c r="K786" s="289"/>
      <c r="L786" s="289"/>
      <c r="M786" s="152"/>
      <c r="N786" s="152"/>
      <c r="O786" s="156"/>
      <c r="P786" s="152"/>
      <c r="Q786" s="152"/>
      <c r="R786" s="152"/>
      <c r="S786" s="152"/>
      <c r="T786" s="152"/>
      <c r="U786" s="152"/>
      <c r="V786" s="152"/>
      <c r="W786" s="152"/>
      <c r="X786" s="152"/>
      <c r="Y786" s="152"/>
      <c r="Z786" s="281"/>
      <c r="AA786" s="281"/>
      <c r="AB786" s="281"/>
      <c r="AC786" s="281"/>
      <c r="AD786" s="281"/>
      <c r="AE786" s="281"/>
      <c r="AF786" s="281"/>
      <c r="AG786" s="170"/>
      <c r="AH786" s="152"/>
      <c r="AI786" s="152"/>
      <c r="AJ786" s="152"/>
      <c r="AK786" s="152"/>
      <c r="AL786" s="152"/>
      <c r="AM786" s="152"/>
      <c r="AN786" s="152"/>
      <c r="AO786" s="152"/>
      <c r="AP786" s="152"/>
      <c r="AQ786" s="152"/>
      <c r="AR786" s="152"/>
    </row>
    <row r="787" ht="12.75" customHeight="1">
      <c r="A787" s="288"/>
      <c r="B787" s="288"/>
      <c r="C787" s="288"/>
      <c r="D787" s="152"/>
      <c r="E787" s="289"/>
      <c r="F787" s="288"/>
      <c r="G787" s="152"/>
      <c r="H787" s="152"/>
      <c r="I787" s="152"/>
      <c r="J787" s="152"/>
      <c r="K787" s="289"/>
      <c r="L787" s="289"/>
      <c r="M787" s="152"/>
      <c r="N787" s="152"/>
      <c r="O787" s="156"/>
      <c r="P787" s="152"/>
      <c r="Q787" s="152"/>
      <c r="R787" s="152"/>
      <c r="S787" s="152"/>
      <c r="T787" s="152"/>
      <c r="U787" s="152"/>
      <c r="V787" s="152"/>
      <c r="W787" s="152"/>
      <c r="X787" s="152"/>
      <c r="Y787" s="152"/>
      <c r="Z787" s="281"/>
      <c r="AA787" s="281"/>
      <c r="AB787" s="281"/>
      <c r="AC787" s="281"/>
      <c r="AD787" s="281"/>
      <c r="AE787" s="281"/>
      <c r="AF787" s="281"/>
      <c r="AG787" s="170"/>
      <c r="AH787" s="152"/>
      <c r="AI787" s="152"/>
      <c r="AJ787" s="152"/>
      <c r="AK787" s="152"/>
      <c r="AL787" s="152"/>
      <c r="AM787" s="152"/>
      <c r="AN787" s="152"/>
      <c r="AO787" s="152"/>
      <c r="AP787" s="152"/>
      <c r="AQ787" s="152"/>
      <c r="AR787" s="152"/>
    </row>
    <row r="788" ht="12.75" customHeight="1">
      <c r="A788" s="288"/>
      <c r="B788" s="288"/>
      <c r="C788" s="288"/>
      <c r="D788" s="152"/>
      <c r="E788" s="289"/>
      <c r="F788" s="288"/>
      <c r="G788" s="152"/>
      <c r="H788" s="152"/>
      <c r="I788" s="152"/>
      <c r="J788" s="152"/>
      <c r="K788" s="289"/>
      <c r="L788" s="289"/>
      <c r="M788" s="152"/>
      <c r="N788" s="152"/>
      <c r="O788" s="156"/>
      <c r="P788" s="152"/>
      <c r="Q788" s="152"/>
      <c r="R788" s="152"/>
      <c r="S788" s="152"/>
      <c r="T788" s="152"/>
      <c r="U788" s="152"/>
      <c r="V788" s="152"/>
      <c r="W788" s="152"/>
      <c r="X788" s="152"/>
      <c r="Y788" s="152"/>
      <c r="Z788" s="281"/>
      <c r="AA788" s="281"/>
      <c r="AB788" s="281"/>
      <c r="AC788" s="281"/>
      <c r="AD788" s="281"/>
      <c r="AE788" s="281"/>
      <c r="AF788" s="281"/>
      <c r="AG788" s="170"/>
      <c r="AH788" s="152"/>
      <c r="AI788" s="152"/>
      <c r="AJ788" s="152"/>
      <c r="AK788" s="152"/>
      <c r="AL788" s="152"/>
      <c r="AM788" s="152"/>
      <c r="AN788" s="152"/>
      <c r="AO788" s="152"/>
      <c r="AP788" s="152"/>
      <c r="AQ788" s="152"/>
      <c r="AR788" s="152"/>
    </row>
    <row r="789" ht="12.75" customHeight="1">
      <c r="A789" s="288"/>
      <c r="B789" s="288"/>
      <c r="C789" s="288"/>
      <c r="D789" s="152"/>
      <c r="E789" s="289"/>
      <c r="F789" s="288"/>
      <c r="G789" s="152"/>
      <c r="H789" s="152"/>
      <c r="I789" s="152"/>
      <c r="J789" s="152"/>
      <c r="K789" s="289"/>
      <c r="L789" s="289"/>
      <c r="M789" s="152"/>
      <c r="N789" s="152"/>
      <c r="O789" s="156"/>
      <c r="P789" s="152"/>
      <c r="Q789" s="152"/>
      <c r="R789" s="152"/>
      <c r="S789" s="152"/>
      <c r="T789" s="152"/>
      <c r="U789" s="152"/>
      <c r="V789" s="152"/>
      <c r="W789" s="152"/>
      <c r="X789" s="152"/>
      <c r="Y789" s="152"/>
      <c r="Z789" s="281"/>
      <c r="AA789" s="281"/>
      <c r="AB789" s="281"/>
      <c r="AC789" s="281"/>
      <c r="AD789" s="281"/>
      <c r="AE789" s="281"/>
      <c r="AF789" s="281"/>
      <c r="AG789" s="170"/>
      <c r="AH789" s="152"/>
      <c r="AI789" s="152"/>
      <c r="AJ789" s="152"/>
      <c r="AK789" s="152"/>
      <c r="AL789" s="152"/>
      <c r="AM789" s="152"/>
      <c r="AN789" s="152"/>
      <c r="AO789" s="152"/>
      <c r="AP789" s="152"/>
      <c r="AQ789" s="152"/>
      <c r="AR789" s="152"/>
    </row>
    <row r="790" ht="12.75" customHeight="1">
      <c r="A790" s="288"/>
      <c r="B790" s="288"/>
      <c r="C790" s="288"/>
      <c r="D790" s="152"/>
      <c r="E790" s="289"/>
      <c r="F790" s="288"/>
      <c r="G790" s="152"/>
      <c r="H790" s="152"/>
      <c r="I790" s="152"/>
      <c r="J790" s="152"/>
      <c r="K790" s="289"/>
      <c r="L790" s="289"/>
      <c r="M790" s="152"/>
      <c r="N790" s="152"/>
      <c r="O790" s="156"/>
      <c r="P790" s="152"/>
      <c r="Q790" s="152"/>
      <c r="R790" s="152"/>
      <c r="S790" s="152"/>
      <c r="T790" s="152"/>
      <c r="U790" s="152"/>
      <c r="V790" s="152"/>
      <c r="W790" s="152"/>
      <c r="X790" s="152"/>
      <c r="Y790" s="152"/>
      <c r="Z790" s="281"/>
      <c r="AA790" s="281"/>
      <c r="AB790" s="281"/>
      <c r="AC790" s="281"/>
      <c r="AD790" s="281"/>
      <c r="AE790" s="281"/>
      <c r="AF790" s="281"/>
      <c r="AG790" s="170"/>
      <c r="AH790" s="152"/>
      <c r="AI790" s="152"/>
      <c r="AJ790" s="152"/>
      <c r="AK790" s="152"/>
      <c r="AL790" s="152"/>
      <c r="AM790" s="152"/>
      <c r="AN790" s="152"/>
      <c r="AO790" s="152"/>
      <c r="AP790" s="152"/>
      <c r="AQ790" s="152"/>
      <c r="AR790" s="152"/>
    </row>
    <row r="791" ht="12.75" customHeight="1">
      <c r="A791" s="288"/>
      <c r="B791" s="288"/>
      <c r="C791" s="288"/>
      <c r="D791" s="152"/>
      <c r="E791" s="289"/>
      <c r="F791" s="288"/>
      <c r="G791" s="152"/>
      <c r="H791" s="152"/>
      <c r="I791" s="152"/>
      <c r="J791" s="152"/>
      <c r="K791" s="289"/>
      <c r="L791" s="289"/>
      <c r="M791" s="152"/>
      <c r="N791" s="152"/>
      <c r="O791" s="156"/>
      <c r="P791" s="152"/>
      <c r="Q791" s="152"/>
      <c r="R791" s="152"/>
      <c r="S791" s="152"/>
      <c r="T791" s="152"/>
      <c r="U791" s="152"/>
      <c r="V791" s="152"/>
      <c r="W791" s="152"/>
      <c r="X791" s="152"/>
      <c r="Y791" s="152"/>
      <c r="Z791" s="281"/>
      <c r="AA791" s="281"/>
      <c r="AB791" s="281"/>
      <c r="AC791" s="281"/>
      <c r="AD791" s="281"/>
      <c r="AE791" s="281"/>
      <c r="AF791" s="281"/>
      <c r="AG791" s="170"/>
      <c r="AH791" s="152"/>
      <c r="AI791" s="152"/>
      <c r="AJ791" s="152"/>
      <c r="AK791" s="152"/>
      <c r="AL791" s="152"/>
      <c r="AM791" s="152"/>
      <c r="AN791" s="152"/>
      <c r="AO791" s="152"/>
      <c r="AP791" s="152"/>
      <c r="AQ791" s="152"/>
      <c r="AR791" s="152"/>
    </row>
    <row r="792" ht="12.75" customHeight="1">
      <c r="A792" s="288"/>
      <c r="B792" s="288"/>
      <c r="C792" s="288"/>
      <c r="D792" s="152"/>
      <c r="E792" s="289"/>
      <c r="F792" s="288"/>
      <c r="G792" s="152"/>
      <c r="H792" s="152"/>
      <c r="I792" s="152"/>
      <c r="J792" s="152"/>
      <c r="K792" s="289"/>
      <c r="L792" s="289"/>
      <c r="M792" s="152"/>
      <c r="N792" s="152"/>
      <c r="O792" s="156"/>
      <c r="P792" s="152"/>
      <c r="Q792" s="152"/>
      <c r="R792" s="152"/>
      <c r="S792" s="152"/>
      <c r="T792" s="152"/>
      <c r="U792" s="152"/>
      <c r="V792" s="152"/>
      <c r="W792" s="152"/>
      <c r="X792" s="152"/>
      <c r="Y792" s="152"/>
      <c r="Z792" s="281"/>
      <c r="AA792" s="281"/>
      <c r="AB792" s="281"/>
      <c r="AC792" s="281"/>
      <c r="AD792" s="281"/>
      <c r="AE792" s="281"/>
      <c r="AF792" s="281"/>
      <c r="AG792" s="170"/>
      <c r="AH792" s="152"/>
      <c r="AI792" s="152"/>
      <c r="AJ792" s="152"/>
      <c r="AK792" s="152"/>
      <c r="AL792" s="152"/>
      <c r="AM792" s="152"/>
      <c r="AN792" s="152"/>
      <c r="AO792" s="152"/>
      <c r="AP792" s="152"/>
      <c r="AQ792" s="152"/>
      <c r="AR792" s="152"/>
    </row>
    <row r="793" ht="12.75" customHeight="1">
      <c r="A793" s="288"/>
      <c r="B793" s="288"/>
      <c r="C793" s="288"/>
      <c r="D793" s="152"/>
      <c r="E793" s="289"/>
      <c r="F793" s="288"/>
      <c r="G793" s="152"/>
      <c r="H793" s="152"/>
      <c r="I793" s="152"/>
      <c r="J793" s="152"/>
      <c r="K793" s="289"/>
      <c r="L793" s="289"/>
      <c r="M793" s="152"/>
      <c r="N793" s="152"/>
      <c r="O793" s="156"/>
      <c r="P793" s="152"/>
      <c r="Q793" s="152"/>
      <c r="R793" s="152"/>
      <c r="S793" s="152"/>
      <c r="T793" s="152"/>
      <c r="U793" s="152"/>
      <c r="V793" s="152"/>
      <c r="W793" s="152"/>
      <c r="X793" s="152"/>
      <c r="Y793" s="152"/>
      <c r="Z793" s="281"/>
      <c r="AA793" s="281"/>
      <c r="AB793" s="281"/>
      <c r="AC793" s="281"/>
      <c r="AD793" s="281"/>
      <c r="AE793" s="281"/>
      <c r="AF793" s="281"/>
      <c r="AG793" s="170"/>
      <c r="AH793" s="152"/>
      <c r="AI793" s="152"/>
      <c r="AJ793" s="152"/>
      <c r="AK793" s="152"/>
      <c r="AL793" s="152"/>
      <c r="AM793" s="152"/>
      <c r="AN793" s="152"/>
      <c r="AO793" s="152"/>
      <c r="AP793" s="152"/>
      <c r="AQ793" s="152"/>
      <c r="AR793" s="152"/>
    </row>
    <row r="794" ht="12.75" customHeight="1">
      <c r="A794" s="288"/>
      <c r="B794" s="288"/>
      <c r="C794" s="288"/>
      <c r="D794" s="152"/>
      <c r="E794" s="289"/>
      <c r="F794" s="288"/>
      <c r="G794" s="152"/>
      <c r="H794" s="152"/>
      <c r="I794" s="152"/>
      <c r="J794" s="152"/>
      <c r="K794" s="289"/>
      <c r="L794" s="289"/>
      <c r="M794" s="152"/>
      <c r="N794" s="152"/>
      <c r="O794" s="156"/>
      <c r="P794" s="152"/>
      <c r="Q794" s="152"/>
      <c r="R794" s="152"/>
      <c r="S794" s="152"/>
      <c r="T794" s="152"/>
      <c r="U794" s="152"/>
      <c r="V794" s="152"/>
      <c r="W794" s="152"/>
      <c r="X794" s="152"/>
      <c r="Y794" s="152"/>
      <c r="Z794" s="281"/>
      <c r="AA794" s="281"/>
      <c r="AB794" s="281"/>
      <c r="AC794" s="281"/>
      <c r="AD794" s="281"/>
      <c r="AE794" s="281"/>
      <c r="AF794" s="281"/>
      <c r="AG794" s="170"/>
      <c r="AH794" s="152"/>
      <c r="AI794" s="152"/>
      <c r="AJ794" s="152"/>
      <c r="AK794" s="152"/>
      <c r="AL794" s="152"/>
      <c r="AM794" s="152"/>
      <c r="AN794" s="152"/>
      <c r="AO794" s="152"/>
      <c r="AP794" s="152"/>
      <c r="AQ794" s="152"/>
      <c r="AR794" s="152"/>
    </row>
    <row r="795" ht="12.75" customHeight="1">
      <c r="A795" s="288"/>
      <c r="B795" s="288"/>
      <c r="C795" s="288"/>
      <c r="D795" s="152"/>
      <c r="E795" s="289"/>
      <c r="F795" s="288"/>
      <c r="G795" s="152"/>
      <c r="H795" s="152"/>
      <c r="I795" s="152"/>
      <c r="J795" s="152"/>
      <c r="K795" s="289"/>
      <c r="L795" s="289"/>
      <c r="M795" s="152"/>
      <c r="N795" s="152"/>
      <c r="O795" s="156"/>
      <c r="P795" s="152"/>
      <c r="Q795" s="152"/>
      <c r="R795" s="152"/>
      <c r="S795" s="152"/>
      <c r="T795" s="152"/>
      <c r="U795" s="152"/>
      <c r="V795" s="152"/>
      <c r="W795" s="152"/>
      <c r="X795" s="152"/>
      <c r="Y795" s="152"/>
      <c r="Z795" s="281"/>
      <c r="AA795" s="281"/>
      <c r="AB795" s="281"/>
      <c r="AC795" s="281"/>
      <c r="AD795" s="281"/>
      <c r="AE795" s="281"/>
      <c r="AF795" s="281"/>
      <c r="AG795" s="170"/>
      <c r="AH795" s="152"/>
      <c r="AI795" s="152"/>
      <c r="AJ795" s="152"/>
      <c r="AK795" s="152"/>
      <c r="AL795" s="152"/>
      <c r="AM795" s="152"/>
      <c r="AN795" s="152"/>
      <c r="AO795" s="152"/>
      <c r="AP795" s="152"/>
      <c r="AQ795" s="152"/>
      <c r="AR795" s="152"/>
    </row>
    <row r="796" ht="12.75" customHeight="1">
      <c r="A796" s="288"/>
      <c r="B796" s="288"/>
      <c r="C796" s="288"/>
      <c r="D796" s="152"/>
      <c r="E796" s="289"/>
      <c r="F796" s="288"/>
      <c r="G796" s="152"/>
      <c r="H796" s="152"/>
      <c r="I796" s="152"/>
      <c r="J796" s="152"/>
      <c r="K796" s="289"/>
      <c r="L796" s="289"/>
      <c r="M796" s="152"/>
      <c r="N796" s="152"/>
      <c r="O796" s="156"/>
      <c r="P796" s="152"/>
      <c r="Q796" s="152"/>
      <c r="R796" s="152"/>
      <c r="S796" s="152"/>
      <c r="T796" s="152"/>
      <c r="U796" s="152"/>
      <c r="V796" s="152"/>
      <c r="W796" s="152"/>
      <c r="X796" s="152"/>
      <c r="Y796" s="152"/>
      <c r="Z796" s="281"/>
      <c r="AA796" s="281"/>
      <c r="AB796" s="281"/>
      <c r="AC796" s="281"/>
      <c r="AD796" s="281"/>
      <c r="AE796" s="281"/>
      <c r="AF796" s="281"/>
      <c r="AG796" s="170"/>
      <c r="AH796" s="152"/>
      <c r="AI796" s="152"/>
      <c r="AJ796" s="152"/>
      <c r="AK796" s="152"/>
      <c r="AL796" s="152"/>
      <c r="AM796" s="152"/>
      <c r="AN796" s="152"/>
      <c r="AO796" s="152"/>
      <c r="AP796" s="152"/>
      <c r="AQ796" s="152"/>
      <c r="AR796" s="152"/>
    </row>
    <row r="797" ht="12.75" customHeight="1">
      <c r="A797" s="288"/>
      <c r="B797" s="288"/>
      <c r="C797" s="288"/>
      <c r="D797" s="152"/>
      <c r="E797" s="289"/>
      <c r="F797" s="288"/>
      <c r="G797" s="152"/>
      <c r="H797" s="152"/>
      <c r="I797" s="152"/>
      <c r="J797" s="152"/>
      <c r="K797" s="289"/>
      <c r="L797" s="289"/>
      <c r="M797" s="152"/>
      <c r="N797" s="152"/>
      <c r="O797" s="156"/>
      <c r="P797" s="152"/>
      <c r="Q797" s="152"/>
      <c r="R797" s="152"/>
      <c r="S797" s="152"/>
      <c r="T797" s="152"/>
      <c r="U797" s="152"/>
      <c r="V797" s="152"/>
      <c r="W797" s="152"/>
      <c r="X797" s="152"/>
      <c r="Y797" s="152"/>
      <c r="Z797" s="281"/>
      <c r="AA797" s="281"/>
      <c r="AB797" s="281"/>
      <c r="AC797" s="281"/>
      <c r="AD797" s="281"/>
      <c r="AE797" s="281"/>
      <c r="AF797" s="281"/>
      <c r="AG797" s="170"/>
      <c r="AH797" s="152"/>
      <c r="AI797" s="152"/>
      <c r="AJ797" s="152"/>
      <c r="AK797" s="152"/>
      <c r="AL797" s="152"/>
      <c r="AM797" s="152"/>
      <c r="AN797" s="152"/>
      <c r="AO797" s="152"/>
      <c r="AP797" s="152"/>
      <c r="AQ797" s="152"/>
      <c r="AR797" s="152"/>
    </row>
    <row r="798" ht="12.75" customHeight="1">
      <c r="A798" s="288"/>
      <c r="B798" s="288"/>
      <c r="C798" s="288"/>
      <c r="D798" s="152"/>
      <c r="E798" s="289"/>
      <c r="F798" s="288"/>
      <c r="G798" s="152"/>
      <c r="H798" s="152"/>
      <c r="I798" s="152"/>
      <c r="J798" s="152"/>
      <c r="K798" s="289"/>
      <c r="L798" s="289"/>
      <c r="M798" s="152"/>
      <c r="N798" s="152"/>
      <c r="O798" s="156"/>
      <c r="P798" s="152"/>
      <c r="Q798" s="152"/>
      <c r="R798" s="152"/>
      <c r="S798" s="152"/>
      <c r="T798" s="152"/>
      <c r="U798" s="152"/>
      <c r="V798" s="152"/>
      <c r="W798" s="152"/>
      <c r="X798" s="152"/>
      <c r="Y798" s="152"/>
      <c r="Z798" s="281"/>
      <c r="AA798" s="281"/>
      <c r="AB798" s="281"/>
      <c r="AC798" s="281"/>
      <c r="AD798" s="281"/>
      <c r="AE798" s="281"/>
      <c r="AF798" s="281"/>
      <c r="AG798" s="170"/>
      <c r="AH798" s="152"/>
      <c r="AI798" s="152"/>
      <c r="AJ798" s="152"/>
      <c r="AK798" s="152"/>
      <c r="AL798" s="152"/>
      <c r="AM798" s="152"/>
      <c r="AN798" s="152"/>
      <c r="AO798" s="152"/>
      <c r="AP798" s="152"/>
      <c r="AQ798" s="152"/>
      <c r="AR798" s="152"/>
    </row>
    <row r="799" ht="12.75" customHeight="1">
      <c r="A799" s="288"/>
      <c r="B799" s="288"/>
      <c r="C799" s="288"/>
      <c r="D799" s="152"/>
      <c r="E799" s="289"/>
      <c r="F799" s="288"/>
      <c r="G799" s="152"/>
      <c r="H799" s="152"/>
      <c r="I799" s="152"/>
      <c r="J799" s="152"/>
      <c r="K799" s="289"/>
      <c r="L799" s="289"/>
      <c r="M799" s="152"/>
      <c r="N799" s="152"/>
      <c r="O799" s="156"/>
      <c r="P799" s="152"/>
      <c r="Q799" s="152"/>
      <c r="R799" s="152"/>
      <c r="S799" s="152"/>
      <c r="T799" s="152"/>
      <c r="U799" s="152"/>
      <c r="V799" s="152"/>
      <c r="W799" s="152"/>
      <c r="X799" s="152"/>
      <c r="Y799" s="152"/>
      <c r="Z799" s="281"/>
      <c r="AA799" s="281"/>
      <c r="AB799" s="281"/>
      <c r="AC799" s="281"/>
      <c r="AD799" s="281"/>
      <c r="AE799" s="281"/>
      <c r="AF799" s="281"/>
      <c r="AG799" s="170"/>
      <c r="AH799" s="152"/>
      <c r="AI799" s="152"/>
      <c r="AJ799" s="152"/>
      <c r="AK799" s="152"/>
      <c r="AL799" s="152"/>
      <c r="AM799" s="152"/>
      <c r="AN799" s="152"/>
      <c r="AO799" s="152"/>
      <c r="AP799" s="152"/>
      <c r="AQ799" s="152"/>
      <c r="AR799" s="152"/>
    </row>
    <row r="800" ht="12.75" customHeight="1">
      <c r="A800" s="288"/>
      <c r="B800" s="288"/>
      <c r="C800" s="288"/>
      <c r="D800" s="152"/>
      <c r="E800" s="289"/>
      <c r="F800" s="288"/>
      <c r="G800" s="152"/>
      <c r="H800" s="152"/>
      <c r="I800" s="152"/>
      <c r="J800" s="152"/>
      <c r="K800" s="289"/>
      <c r="L800" s="289"/>
      <c r="M800" s="152"/>
      <c r="N800" s="152"/>
      <c r="O800" s="156"/>
      <c r="P800" s="152"/>
      <c r="Q800" s="152"/>
      <c r="R800" s="152"/>
      <c r="S800" s="152"/>
      <c r="T800" s="152"/>
      <c r="U800" s="152"/>
      <c r="V800" s="152"/>
      <c r="W800" s="152"/>
      <c r="X800" s="152"/>
      <c r="Y800" s="152"/>
      <c r="Z800" s="281"/>
      <c r="AA800" s="281"/>
      <c r="AB800" s="281"/>
      <c r="AC800" s="281"/>
      <c r="AD800" s="281"/>
      <c r="AE800" s="281"/>
      <c r="AF800" s="281"/>
      <c r="AG800" s="170"/>
      <c r="AH800" s="152"/>
      <c r="AI800" s="152"/>
      <c r="AJ800" s="152"/>
      <c r="AK800" s="152"/>
      <c r="AL800" s="152"/>
      <c r="AM800" s="152"/>
      <c r="AN800" s="152"/>
      <c r="AO800" s="152"/>
      <c r="AP800" s="152"/>
      <c r="AQ800" s="152"/>
      <c r="AR800" s="152"/>
    </row>
    <row r="801" ht="12.75" customHeight="1">
      <c r="A801" s="288"/>
      <c r="B801" s="288"/>
      <c r="C801" s="288"/>
      <c r="D801" s="152"/>
      <c r="E801" s="289"/>
      <c r="F801" s="288"/>
      <c r="G801" s="152"/>
      <c r="H801" s="152"/>
      <c r="I801" s="152"/>
      <c r="J801" s="152"/>
      <c r="K801" s="289"/>
      <c r="L801" s="289"/>
      <c r="M801" s="152"/>
      <c r="N801" s="152"/>
      <c r="O801" s="156"/>
      <c r="P801" s="152"/>
      <c r="Q801" s="152"/>
      <c r="R801" s="152"/>
      <c r="S801" s="152"/>
      <c r="T801" s="152"/>
      <c r="U801" s="152"/>
      <c r="V801" s="152"/>
      <c r="W801" s="152"/>
      <c r="X801" s="152"/>
      <c r="Y801" s="152"/>
      <c r="Z801" s="281"/>
      <c r="AA801" s="281"/>
      <c r="AB801" s="281"/>
      <c r="AC801" s="281"/>
      <c r="AD801" s="281"/>
      <c r="AE801" s="281"/>
      <c r="AF801" s="281"/>
      <c r="AG801" s="170"/>
      <c r="AH801" s="152"/>
      <c r="AI801" s="152"/>
      <c r="AJ801" s="152"/>
      <c r="AK801" s="152"/>
      <c r="AL801" s="152"/>
      <c r="AM801" s="152"/>
      <c r="AN801" s="152"/>
      <c r="AO801" s="152"/>
      <c r="AP801" s="152"/>
      <c r="AQ801" s="152"/>
      <c r="AR801" s="152"/>
    </row>
    <row r="802" ht="12.75" customHeight="1">
      <c r="A802" s="288"/>
      <c r="B802" s="288"/>
      <c r="C802" s="288"/>
      <c r="D802" s="152"/>
      <c r="E802" s="289"/>
      <c r="F802" s="288"/>
      <c r="G802" s="152"/>
      <c r="H802" s="152"/>
      <c r="I802" s="152"/>
      <c r="J802" s="152"/>
      <c r="K802" s="289"/>
      <c r="L802" s="289"/>
      <c r="M802" s="152"/>
      <c r="N802" s="152"/>
      <c r="O802" s="156"/>
      <c r="P802" s="152"/>
      <c r="Q802" s="152"/>
      <c r="R802" s="152"/>
      <c r="S802" s="152"/>
      <c r="T802" s="152"/>
      <c r="U802" s="152"/>
      <c r="V802" s="152"/>
      <c r="W802" s="152"/>
      <c r="X802" s="152"/>
      <c r="Y802" s="152"/>
      <c r="Z802" s="281"/>
      <c r="AA802" s="281"/>
      <c r="AB802" s="281"/>
      <c r="AC802" s="281"/>
      <c r="AD802" s="281"/>
      <c r="AE802" s="281"/>
      <c r="AF802" s="281"/>
      <c r="AG802" s="170"/>
      <c r="AH802" s="152"/>
      <c r="AI802" s="152"/>
      <c r="AJ802" s="152"/>
      <c r="AK802" s="152"/>
      <c r="AL802" s="152"/>
      <c r="AM802" s="152"/>
      <c r="AN802" s="152"/>
      <c r="AO802" s="152"/>
      <c r="AP802" s="152"/>
      <c r="AQ802" s="152"/>
      <c r="AR802" s="152"/>
    </row>
    <row r="803" ht="12.75" customHeight="1">
      <c r="A803" s="288"/>
      <c r="B803" s="288"/>
      <c r="C803" s="288"/>
      <c r="D803" s="152"/>
      <c r="E803" s="289"/>
      <c r="F803" s="288"/>
      <c r="G803" s="152"/>
      <c r="H803" s="152"/>
      <c r="I803" s="152"/>
      <c r="J803" s="152"/>
      <c r="K803" s="289"/>
      <c r="L803" s="289"/>
      <c r="M803" s="152"/>
      <c r="N803" s="152"/>
      <c r="O803" s="156"/>
      <c r="P803" s="152"/>
      <c r="Q803" s="152"/>
      <c r="R803" s="152"/>
      <c r="S803" s="152"/>
      <c r="T803" s="152"/>
      <c r="U803" s="152"/>
      <c r="V803" s="152"/>
      <c r="W803" s="152"/>
      <c r="X803" s="152"/>
      <c r="Y803" s="152"/>
      <c r="Z803" s="281"/>
      <c r="AA803" s="281"/>
      <c r="AB803" s="281"/>
      <c r="AC803" s="281"/>
      <c r="AD803" s="281"/>
      <c r="AE803" s="281"/>
      <c r="AF803" s="281"/>
      <c r="AG803" s="170"/>
      <c r="AH803" s="152"/>
      <c r="AI803" s="152"/>
      <c r="AJ803" s="152"/>
      <c r="AK803" s="152"/>
      <c r="AL803" s="152"/>
      <c r="AM803" s="152"/>
      <c r="AN803" s="152"/>
      <c r="AO803" s="152"/>
      <c r="AP803" s="152"/>
      <c r="AQ803" s="152"/>
      <c r="AR803" s="152"/>
    </row>
    <row r="804" ht="12.75" customHeight="1">
      <c r="A804" s="288"/>
      <c r="B804" s="288"/>
      <c r="C804" s="288"/>
      <c r="D804" s="152"/>
      <c r="E804" s="289"/>
      <c r="F804" s="288"/>
      <c r="G804" s="152"/>
      <c r="H804" s="152"/>
      <c r="I804" s="152"/>
      <c r="J804" s="152"/>
      <c r="K804" s="289"/>
      <c r="L804" s="289"/>
      <c r="M804" s="152"/>
      <c r="N804" s="152"/>
      <c r="O804" s="156"/>
      <c r="P804" s="152"/>
      <c r="Q804" s="152"/>
      <c r="R804" s="152"/>
      <c r="S804" s="152"/>
      <c r="T804" s="152"/>
      <c r="U804" s="152"/>
      <c r="V804" s="152"/>
      <c r="W804" s="152"/>
      <c r="X804" s="152"/>
      <c r="Y804" s="152"/>
      <c r="Z804" s="281"/>
      <c r="AA804" s="281"/>
      <c r="AB804" s="281"/>
      <c r="AC804" s="281"/>
      <c r="AD804" s="281"/>
      <c r="AE804" s="281"/>
      <c r="AF804" s="281"/>
      <c r="AG804" s="170"/>
      <c r="AH804" s="152"/>
      <c r="AI804" s="152"/>
      <c r="AJ804" s="152"/>
      <c r="AK804" s="152"/>
      <c r="AL804" s="152"/>
      <c r="AM804" s="152"/>
      <c r="AN804" s="152"/>
      <c r="AO804" s="152"/>
      <c r="AP804" s="152"/>
      <c r="AQ804" s="152"/>
      <c r="AR804" s="152"/>
    </row>
    <row r="805" ht="12.75" customHeight="1">
      <c r="A805" s="288"/>
      <c r="B805" s="288"/>
      <c r="C805" s="288"/>
      <c r="D805" s="152"/>
      <c r="E805" s="289"/>
      <c r="F805" s="288"/>
      <c r="G805" s="152"/>
      <c r="H805" s="152"/>
      <c r="I805" s="152"/>
      <c r="J805" s="152"/>
      <c r="K805" s="289"/>
      <c r="L805" s="289"/>
      <c r="M805" s="152"/>
      <c r="N805" s="152"/>
      <c r="O805" s="156"/>
      <c r="P805" s="152"/>
      <c r="Q805" s="152"/>
      <c r="R805" s="152"/>
      <c r="S805" s="152"/>
      <c r="T805" s="152"/>
      <c r="U805" s="152"/>
      <c r="V805" s="152"/>
      <c r="W805" s="152"/>
      <c r="X805" s="152"/>
      <c r="Y805" s="152"/>
      <c r="Z805" s="281"/>
      <c r="AA805" s="281"/>
      <c r="AB805" s="281"/>
      <c r="AC805" s="281"/>
      <c r="AD805" s="281"/>
      <c r="AE805" s="281"/>
      <c r="AF805" s="281"/>
      <c r="AG805" s="170"/>
      <c r="AH805" s="152"/>
      <c r="AI805" s="152"/>
      <c r="AJ805" s="152"/>
      <c r="AK805" s="152"/>
      <c r="AL805" s="152"/>
      <c r="AM805" s="152"/>
      <c r="AN805" s="152"/>
      <c r="AO805" s="152"/>
      <c r="AP805" s="152"/>
      <c r="AQ805" s="152"/>
      <c r="AR805" s="152"/>
    </row>
    <row r="806" ht="12.75" customHeight="1">
      <c r="A806" s="288"/>
      <c r="B806" s="288"/>
      <c r="C806" s="288"/>
      <c r="D806" s="152"/>
      <c r="E806" s="289"/>
      <c r="F806" s="288"/>
      <c r="G806" s="152"/>
      <c r="H806" s="152"/>
      <c r="I806" s="152"/>
      <c r="J806" s="152"/>
      <c r="K806" s="289"/>
      <c r="L806" s="289"/>
      <c r="M806" s="152"/>
      <c r="N806" s="152"/>
      <c r="O806" s="156"/>
      <c r="P806" s="152"/>
      <c r="Q806" s="152"/>
      <c r="R806" s="152"/>
      <c r="S806" s="152"/>
      <c r="T806" s="152"/>
      <c r="U806" s="152"/>
      <c r="V806" s="152"/>
      <c r="W806" s="152"/>
      <c r="X806" s="152"/>
      <c r="Y806" s="152"/>
      <c r="Z806" s="281"/>
      <c r="AA806" s="281"/>
      <c r="AB806" s="281"/>
      <c r="AC806" s="281"/>
      <c r="AD806" s="281"/>
      <c r="AE806" s="281"/>
      <c r="AF806" s="281"/>
      <c r="AG806" s="170"/>
      <c r="AH806" s="152"/>
      <c r="AI806" s="152"/>
      <c r="AJ806" s="152"/>
      <c r="AK806" s="152"/>
      <c r="AL806" s="152"/>
      <c r="AM806" s="152"/>
      <c r="AN806" s="152"/>
      <c r="AO806" s="152"/>
      <c r="AP806" s="152"/>
      <c r="AQ806" s="152"/>
      <c r="AR806" s="152"/>
    </row>
    <row r="807" ht="12.75" customHeight="1">
      <c r="A807" s="288"/>
      <c r="B807" s="288"/>
      <c r="C807" s="288"/>
      <c r="D807" s="152"/>
      <c r="E807" s="289"/>
      <c r="F807" s="288"/>
      <c r="G807" s="152"/>
      <c r="H807" s="152"/>
      <c r="I807" s="152"/>
      <c r="J807" s="152"/>
      <c r="K807" s="289"/>
      <c r="L807" s="289"/>
      <c r="M807" s="152"/>
      <c r="N807" s="152"/>
      <c r="O807" s="156"/>
      <c r="P807" s="152"/>
      <c r="Q807" s="152"/>
      <c r="R807" s="152"/>
      <c r="S807" s="152"/>
      <c r="T807" s="152"/>
      <c r="U807" s="152"/>
      <c r="V807" s="152"/>
      <c r="W807" s="152"/>
      <c r="X807" s="152"/>
      <c r="Y807" s="152"/>
      <c r="Z807" s="281"/>
      <c r="AA807" s="281"/>
      <c r="AB807" s="281"/>
      <c r="AC807" s="281"/>
      <c r="AD807" s="281"/>
      <c r="AE807" s="281"/>
      <c r="AF807" s="281"/>
      <c r="AG807" s="170"/>
      <c r="AH807" s="152"/>
      <c r="AI807" s="152"/>
      <c r="AJ807" s="152"/>
      <c r="AK807" s="152"/>
      <c r="AL807" s="152"/>
      <c r="AM807" s="152"/>
      <c r="AN807" s="152"/>
      <c r="AO807" s="152"/>
      <c r="AP807" s="152"/>
      <c r="AQ807" s="152"/>
      <c r="AR807" s="152"/>
    </row>
    <row r="808" ht="12.75" customHeight="1">
      <c r="A808" s="288"/>
      <c r="B808" s="288"/>
      <c r="C808" s="288"/>
      <c r="D808" s="152"/>
      <c r="E808" s="289"/>
      <c r="F808" s="288"/>
      <c r="G808" s="152"/>
      <c r="H808" s="152"/>
      <c r="I808" s="152"/>
      <c r="J808" s="152"/>
      <c r="K808" s="289"/>
      <c r="L808" s="289"/>
      <c r="M808" s="152"/>
      <c r="N808" s="152"/>
      <c r="O808" s="156"/>
      <c r="P808" s="152"/>
      <c r="Q808" s="152"/>
      <c r="R808" s="152"/>
      <c r="S808" s="152"/>
      <c r="T808" s="152"/>
      <c r="U808" s="152"/>
      <c r="V808" s="152"/>
      <c r="W808" s="152"/>
      <c r="X808" s="152"/>
      <c r="Y808" s="152"/>
      <c r="Z808" s="281"/>
      <c r="AA808" s="281"/>
      <c r="AB808" s="281"/>
      <c r="AC808" s="281"/>
      <c r="AD808" s="281"/>
      <c r="AE808" s="281"/>
      <c r="AF808" s="281"/>
      <c r="AG808" s="170"/>
      <c r="AH808" s="152"/>
      <c r="AI808" s="152"/>
      <c r="AJ808" s="152"/>
      <c r="AK808" s="152"/>
      <c r="AL808" s="152"/>
      <c r="AM808" s="152"/>
      <c r="AN808" s="152"/>
      <c r="AO808" s="152"/>
      <c r="AP808" s="152"/>
      <c r="AQ808" s="152"/>
      <c r="AR808" s="152"/>
    </row>
    <row r="809" ht="12.75" customHeight="1">
      <c r="A809" s="288"/>
      <c r="B809" s="288"/>
      <c r="C809" s="288"/>
      <c r="D809" s="152"/>
      <c r="E809" s="289"/>
      <c r="F809" s="288"/>
      <c r="G809" s="152"/>
      <c r="H809" s="152"/>
      <c r="I809" s="152"/>
      <c r="J809" s="152"/>
      <c r="K809" s="289"/>
      <c r="L809" s="289"/>
      <c r="M809" s="152"/>
      <c r="N809" s="152"/>
      <c r="O809" s="156"/>
      <c r="P809" s="152"/>
      <c r="Q809" s="152"/>
      <c r="R809" s="152"/>
      <c r="S809" s="152"/>
      <c r="T809" s="152"/>
      <c r="U809" s="152"/>
      <c r="V809" s="152"/>
      <c r="W809" s="152"/>
      <c r="X809" s="152"/>
      <c r="Y809" s="152"/>
      <c r="Z809" s="281"/>
      <c r="AA809" s="281"/>
      <c r="AB809" s="281"/>
      <c r="AC809" s="281"/>
      <c r="AD809" s="281"/>
      <c r="AE809" s="281"/>
      <c r="AF809" s="281"/>
      <c r="AG809" s="170"/>
      <c r="AH809" s="152"/>
      <c r="AI809" s="152"/>
      <c r="AJ809" s="152"/>
      <c r="AK809" s="152"/>
      <c r="AL809" s="152"/>
      <c r="AM809" s="152"/>
      <c r="AN809" s="152"/>
      <c r="AO809" s="152"/>
      <c r="AP809" s="152"/>
      <c r="AQ809" s="152"/>
      <c r="AR809" s="152"/>
    </row>
    <row r="810" ht="12.75" customHeight="1">
      <c r="A810" s="288"/>
      <c r="B810" s="288"/>
      <c r="C810" s="288"/>
      <c r="D810" s="152"/>
      <c r="E810" s="289"/>
      <c r="F810" s="288"/>
      <c r="G810" s="152"/>
      <c r="H810" s="152"/>
      <c r="I810" s="152"/>
      <c r="J810" s="152"/>
      <c r="K810" s="289"/>
      <c r="L810" s="289"/>
      <c r="M810" s="152"/>
      <c r="N810" s="152"/>
      <c r="O810" s="156"/>
      <c r="P810" s="152"/>
      <c r="Q810" s="152"/>
      <c r="R810" s="152"/>
      <c r="S810" s="152"/>
      <c r="T810" s="152"/>
      <c r="U810" s="152"/>
      <c r="V810" s="152"/>
      <c r="W810" s="152"/>
      <c r="X810" s="152"/>
      <c r="Y810" s="152"/>
      <c r="Z810" s="281"/>
      <c r="AA810" s="281"/>
      <c r="AB810" s="281"/>
      <c r="AC810" s="281"/>
      <c r="AD810" s="281"/>
      <c r="AE810" s="281"/>
      <c r="AF810" s="281"/>
      <c r="AG810" s="170"/>
      <c r="AH810" s="152"/>
      <c r="AI810" s="152"/>
      <c r="AJ810" s="152"/>
      <c r="AK810" s="152"/>
      <c r="AL810" s="152"/>
      <c r="AM810" s="152"/>
      <c r="AN810" s="152"/>
      <c r="AO810" s="152"/>
      <c r="AP810" s="152"/>
      <c r="AQ810" s="152"/>
      <c r="AR810" s="152"/>
    </row>
    <row r="811" ht="12.75" customHeight="1">
      <c r="A811" s="288"/>
      <c r="B811" s="288"/>
      <c r="C811" s="288"/>
      <c r="D811" s="152"/>
      <c r="E811" s="289"/>
      <c r="F811" s="288"/>
      <c r="G811" s="152"/>
      <c r="H811" s="152"/>
      <c r="I811" s="152"/>
      <c r="J811" s="152"/>
      <c r="K811" s="289"/>
      <c r="L811" s="289"/>
      <c r="M811" s="152"/>
      <c r="N811" s="152"/>
      <c r="O811" s="156"/>
      <c r="P811" s="152"/>
      <c r="Q811" s="152"/>
      <c r="R811" s="152"/>
      <c r="S811" s="152"/>
      <c r="T811" s="152"/>
      <c r="U811" s="152"/>
      <c r="V811" s="152"/>
      <c r="W811" s="152"/>
      <c r="X811" s="152"/>
      <c r="Y811" s="152"/>
      <c r="Z811" s="281"/>
      <c r="AA811" s="281"/>
      <c r="AB811" s="281"/>
      <c r="AC811" s="281"/>
      <c r="AD811" s="281"/>
      <c r="AE811" s="281"/>
      <c r="AF811" s="281"/>
      <c r="AG811" s="170"/>
      <c r="AH811" s="152"/>
      <c r="AI811" s="152"/>
      <c r="AJ811" s="152"/>
      <c r="AK811" s="152"/>
      <c r="AL811" s="152"/>
      <c r="AM811" s="152"/>
      <c r="AN811" s="152"/>
      <c r="AO811" s="152"/>
      <c r="AP811" s="152"/>
      <c r="AQ811" s="152"/>
      <c r="AR811" s="152"/>
    </row>
    <row r="812" ht="12.75" customHeight="1">
      <c r="A812" s="288"/>
      <c r="B812" s="288"/>
      <c r="C812" s="288"/>
      <c r="D812" s="152"/>
      <c r="E812" s="289"/>
      <c r="F812" s="288"/>
      <c r="G812" s="152"/>
      <c r="H812" s="152"/>
      <c r="I812" s="152"/>
      <c r="J812" s="152"/>
      <c r="K812" s="289"/>
      <c r="L812" s="289"/>
      <c r="M812" s="152"/>
      <c r="N812" s="152"/>
      <c r="O812" s="156"/>
      <c r="P812" s="152"/>
      <c r="Q812" s="152"/>
      <c r="R812" s="152"/>
      <c r="S812" s="152"/>
      <c r="T812" s="152"/>
      <c r="U812" s="152"/>
      <c r="V812" s="152"/>
      <c r="W812" s="152"/>
      <c r="X812" s="152"/>
      <c r="Y812" s="152"/>
      <c r="Z812" s="281"/>
      <c r="AA812" s="281"/>
      <c r="AB812" s="281"/>
      <c r="AC812" s="281"/>
      <c r="AD812" s="281"/>
      <c r="AE812" s="281"/>
      <c r="AF812" s="281"/>
      <c r="AG812" s="170"/>
      <c r="AH812" s="152"/>
      <c r="AI812" s="152"/>
      <c r="AJ812" s="152"/>
      <c r="AK812" s="152"/>
      <c r="AL812" s="152"/>
      <c r="AM812" s="152"/>
      <c r="AN812" s="152"/>
      <c r="AO812" s="152"/>
      <c r="AP812" s="152"/>
      <c r="AQ812" s="152"/>
      <c r="AR812" s="152"/>
    </row>
    <row r="813" ht="12.75" customHeight="1">
      <c r="A813" s="288"/>
      <c r="B813" s="288"/>
      <c r="C813" s="288"/>
      <c r="D813" s="152"/>
      <c r="E813" s="289"/>
      <c r="F813" s="288"/>
      <c r="G813" s="152"/>
      <c r="H813" s="152"/>
      <c r="I813" s="152"/>
      <c r="J813" s="152"/>
      <c r="K813" s="289"/>
      <c r="L813" s="289"/>
      <c r="M813" s="152"/>
      <c r="N813" s="152"/>
      <c r="O813" s="156"/>
      <c r="P813" s="152"/>
      <c r="Q813" s="152"/>
      <c r="R813" s="152"/>
      <c r="S813" s="152"/>
      <c r="T813" s="152"/>
      <c r="U813" s="152"/>
      <c r="V813" s="152"/>
      <c r="W813" s="152"/>
      <c r="X813" s="152"/>
      <c r="Y813" s="152"/>
      <c r="Z813" s="281"/>
      <c r="AA813" s="281"/>
      <c r="AB813" s="281"/>
      <c r="AC813" s="281"/>
      <c r="AD813" s="281"/>
      <c r="AE813" s="281"/>
      <c r="AF813" s="281"/>
      <c r="AG813" s="170"/>
      <c r="AH813" s="152"/>
      <c r="AI813" s="152"/>
      <c r="AJ813" s="152"/>
      <c r="AK813" s="152"/>
      <c r="AL813" s="152"/>
      <c r="AM813" s="152"/>
      <c r="AN813" s="152"/>
      <c r="AO813" s="152"/>
      <c r="AP813" s="152"/>
      <c r="AQ813" s="152"/>
      <c r="AR813" s="152"/>
    </row>
    <row r="814" ht="12.75" customHeight="1">
      <c r="A814" s="288"/>
      <c r="B814" s="288"/>
      <c r="C814" s="288"/>
      <c r="D814" s="152"/>
      <c r="E814" s="289"/>
      <c r="F814" s="288"/>
      <c r="G814" s="152"/>
      <c r="H814" s="152"/>
      <c r="I814" s="152"/>
      <c r="J814" s="152"/>
      <c r="K814" s="289"/>
      <c r="L814" s="289"/>
      <c r="M814" s="152"/>
      <c r="N814" s="152"/>
      <c r="O814" s="156"/>
      <c r="P814" s="152"/>
      <c r="Q814" s="152"/>
      <c r="R814" s="152"/>
      <c r="S814" s="152"/>
      <c r="T814" s="152"/>
      <c r="U814" s="152"/>
      <c r="V814" s="152"/>
      <c r="W814" s="152"/>
      <c r="X814" s="152"/>
      <c r="Y814" s="152"/>
      <c r="Z814" s="281"/>
      <c r="AA814" s="281"/>
      <c r="AB814" s="281"/>
      <c r="AC814" s="281"/>
      <c r="AD814" s="281"/>
      <c r="AE814" s="281"/>
      <c r="AF814" s="281"/>
      <c r="AG814" s="170"/>
      <c r="AH814" s="152"/>
      <c r="AI814" s="152"/>
      <c r="AJ814" s="152"/>
      <c r="AK814" s="152"/>
      <c r="AL814" s="152"/>
      <c r="AM814" s="152"/>
      <c r="AN814" s="152"/>
      <c r="AO814" s="152"/>
      <c r="AP814" s="152"/>
      <c r="AQ814" s="152"/>
      <c r="AR814" s="152"/>
    </row>
    <row r="815" ht="12.75" customHeight="1">
      <c r="A815" s="288"/>
      <c r="B815" s="288"/>
      <c r="C815" s="288"/>
      <c r="D815" s="152"/>
      <c r="E815" s="289"/>
      <c r="F815" s="288"/>
      <c r="G815" s="152"/>
      <c r="H815" s="152"/>
      <c r="I815" s="152"/>
      <c r="J815" s="152"/>
      <c r="K815" s="289"/>
      <c r="L815" s="289"/>
      <c r="M815" s="152"/>
      <c r="N815" s="152"/>
      <c r="O815" s="156"/>
      <c r="P815" s="152"/>
      <c r="Q815" s="152"/>
      <c r="R815" s="152"/>
      <c r="S815" s="152"/>
      <c r="T815" s="152"/>
      <c r="U815" s="152"/>
      <c r="V815" s="152"/>
      <c r="W815" s="152"/>
      <c r="X815" s="152"/>
      <c r="Y815" s="152"/>
      <c r="Z815" s="281"/>
      <c r="AA815" s="281"/>
      <c r="AB815" s="281"/>
      <c r="AC815" s="281"/>
      <c r="AD815" s="281"/>
      <c r="AE815" s="281"/>
      <c r="AF815" s="281"/>
      <c r="AG815" s="170"/>
      <c r="AH815" s="152"/>
      <c r="AI815" s="152"/>
      <c r="AJ815" s="152"/>
      <c r="AK815" s="152"/>
      <c r="AL815" s="152"/>
      <c r="AM815" s="152"/>
      <c r="AN815" s="152"/>
      <c r="AO815" s="152"/>
      <c r="AP815" s="152"/>
      <c r="AQ815" s="152"/>
      <c r="AR815" s="152"/>
    </row>
    <row r="816" ht="12.75" customHeight="1">
      <c r="A816" s="288"/>
      <c r="B816" s="288"/>
      <c r="C816" s="288"/>
      <c r="D816" s="152"/>
      <c r="E816" s="289"/>
      <c r="F816" s="288"/>
      <c r="G816" s="152"/>
      <c r="H816" s="152"/>
      <c r="I816" s="152"/>
      <c r="J816" s="152"/>
      <c r="K816" s="289"/>
      <c r="L816" s="289"/>
      <c r="M816" s="152"/>
      <c r="N816" s="152"/>
      <c r="O816" s="156"/>
      <c r="P816" s="152"/>
      <c r="Q816" s="152"/>
      <c r="R816" s="152"/>
      <c r="S816" s="152"/>
      <c r="T816" s="152"/>
      <c r="U816" s="152"/>
      <c r="V816" s="152"/>
      <c r="W816" s="152"/>
      <c r="X816" s="152"/>
      <c r="Y816" s="152"/>
      <c r="Z816" s="281"/>
      <c r="AA816" s="281"/>
      <c r="AB816" s="281"/>
      <c r="AC816" s="281"/>
      <c r="AD816" s="281"/>
      <c r="AE816" s="281"/>
      <c r="AF816" s="281"/>
      <c r="AG816" s="170"/>
      <c r="AH816" s="152"/>
      <c r="AI816" s="152"/>
      <c r="AJ816" s="152"/>
      <c r="AK816" s="152"/>
      <c r="AL816" s="152"/>
      <c r="AM816" s="152"/>
      <c r="AN816" s="152"/>
      <c r="AO816" s="152"/>
      <c r="AP816" s="152"/>
      <c r="AQ816" s="152"/>
      <c r="AR816" s="152"/>
    </row>
    <row r="817" ht="12.75" customHeight="1">
      <c r="A817" s="288"/>
      <c r="B817" s="288"/>
      <c r="C817" s="288"/>
      <c r="D817" s="152"/>
      <c r="E817" s="289"/>
      <c r="F817" s="288"/>
      <c r="G817" s="152"/>
      <c r="H817" s="152"/>
      <c r="I817" s="152"/>
      <c r="J817" s="152"/>
      <c r="K817" s="289"/>
      <c r="L817" s="289"/>
      <c r="M817" s="152"/>
      <c r="N817" s="152"/>
      <c r="O817" s="156"/>
      <c r="P817" s="152"/>
      <c r="Q817" s="152"/>
      <c r="R817" s="152"/>
      <c r="S817" s="152"/>
      <c r="T817" s="152"/>
      <c r="U817" s="152"/>
      <c r="V817" s="152"/>
      <c r="W817" s="152"/>
      <c r="X817" s="152"/>
      <c r="Y817" s="152"/>
      <c r="Z817" s="281"/>
      <c r="AA817" s="281"/>
      <c r="AB817" s="281"/>
      <c r="AC817" s="281"/>
      <c r="AD817" s="281"/>
      <c r="AE817" s="281"/>
      <c r="AF817" s="281"/>
      <c r="AG817" s="170"/>
      <c r="AH817" s="152"/>
      <c r="AI817" s="152"/>
      <c r="AJ817" s="152"/>
      <c r="AK817" s="152"/>
      <c r="AL817" s="152"/>
      <c r="AM817" s="152"/>
      <c r="AN817" s="152"/>
      <c r="AO817" s="152"/>
      <c r="AP817" s="152"/>
      <c r="AQ817" s="152"/>
      <c r="AR817" s="152"/>
    </row>
    <row r="818" ht="12.75" customHeight="1">
      <c r="A818" s="288"/>
      <c r="B818" s="288"/>
      <c r="C818" s="288"/>
      <c r="D818" s="152"/>
      <c r="E818" s="289"/>
      <c r="F818" s="288"/>
      <c r="G818" s="152"/>
      <c r="H818" s="152"/>
      <c r="I818" s="152"/>
      <c r="J818" s="152"/>
      <c r="K818" s="289"/>
      <c r="L818" s="289"/>
      <c r="M818" s="152"/>
      <c r="N818" s="152"/>
      <c r="O818" s="156"/>
      <c r="P818" s="152"/>
      <c r="Q818" s="152"/>
      <c r="R818" s="152"/>
      <c r="S818" s="152"/>
      <c r="T818" s="152"/>
      <c r="U818" s="152"/>
      <c r="V818" s="152"/>
      <c r="W818" s="152"/>
      <c r="X818" s="152"/>
      <c r="Y818" s="152"/>
      <c r="Z818" s="281"/>
      <c r="AA818" s="281"/>
      <c r="AB818" s="281"/>
      <c r="AC818" s="281"/>
      <c r="AD818" s="281"/>
      <c r="AE818" s="281"/>
      <c r="AF818" s="281"/>
      <c r="AG818" s="170"/>
      <c r="AH818" s="152"/>
      <c r="AI818" s="152"/>
      <c r="AJ818" s="152"/>
      <c r="AK818" s="152"/>
      <c r="AL818" s="152"/>
      <c r="AM818" s="152"/>
      <c r="AN818" s="152"/>
      <c r="AO818" s="152"/>
      <c r="AP818" s="152"/>
      <c r="AQ818" s="152"/>
      <c r="AR818" s="152"/>
    </row>
    <row r="819" ht="12.75" customHeight="1">
      <c r="A819" s="288"/>
      <c r="B819" s="288"/>
      <c r="C819" s="288"/>
      <c r="D819" s="152"/>
      <c r="E819" s="289"/>
      <c r="F819" s="288"/>
      <c r="G819" s="152"/>
      <c r="H819" s="152"/>
      <c r="I819" s="152"/>
      <c r="J819" s="152"/>
      <c r="K819" s="289"/>
      <c r="L819" s="289"/>
      <c r="M819" s="152"/>
      <c r="N819" s="152"/>
      <c r="O819" s="156"/>
      <c r="P819" s="152"/>
      <c r="Q819" s="152"/>
      <c r="R819" s="152"/>
      <c r="S819" s="152"/>
      <c r="T819" s="152"/>
      <c r="U819" s="152"/>
      <c r="V819" s="152"/>
      <c r="W819" s="152"/>
      <c r="X819" s="152"/>
      <c r="Y819" s="152"/>
      <c r="Z819" s="281"/>
      <c r="AA819" s="281"/>
      <c r="AB819" s="281"/>
      <c r="AC819" s="281"/>
      <c r="AD819" s="281"/>
      <c r="AE819" s="281"/>
      <c r="AF819" s="281"/>
      <c r="AG819" s="170"/>
      <c r="AH819" s="152"/>
      <c r="AI819" s="152"/>
      <c r="AJ819" s="152"/>
      <c r="AK819" s="152"/>
      <c r="AL819" s="152"/>
      <c r="AM819" s="152"/>
      <c r="AN819" s="152"/>
      <c r="AO819" s="152"/>
      <c r="AP819" s="152"/>
      <c r="AQ819" s="152"/>
      <c r="AR819" s="152"/>
    </row>
    <row r="820" ht="12.75" customHeight="1">
      <c r="A820" s="288"/>
      <c r="B820" s="288"/>
      <c r="C820" s="288"/>
      <c r="D820" s="152"/>
      <c r="E820" s="289"/>
      <c r="F820" s="288"/>
      <c r="G820" s="152"/>
      <c r="H820" s="152"/>
      <c r="I820" s="152"/>
      <c r="J820" s="152"/>
      <c r="K820" s="289"/>
      <c r="L820" s="289"/>
      <c r="M820" s="152"/>
      <c r="N820" s="152"/>
      <c r="O820" s="156"/>
      <c r="P820" s="152"/>
      <c r="Q820" s="152"/>
      <c r="R820" s="152"/>
      <c r="S820" s="152"/>
      <c r="T820" s="152"/>
      <c r="U820" s="152"/>
      <c r="V820" s="152"/>
      <c r="W820" s="152"/>
      <c r="X820" s="152"/>
      <c r="Y820" s="152"/>
      <c r="Z820" s="281"/>
      <c r="AA820" s="281"/>
      <c r="AB820" s="281"/>
      <c r="AC820" s="281"/>
      <c r="AD820" s="281"/>
      <c r="AE820" s="281"/>
      <c r="AF820" s="281"/>
      <c r="AG820" s="170"/>
      <c r="AH820" s="152"/>
      <c r="AI820" s="152"/>
      <c r="AJ820" s="152"/>
      <c r="AK820" s="152"/>
      <c r="AL820" s="152"/>
      <c r="AM820" s="152"/>
      <c r="AN820" s="152"/>
      <c r="AO820" s="152"/>
      <c r="AP820" s="152"/>
      <c r="AQ820" s="152"/>
      <c r="AR820" s="152"/>
    </row>
    <row r="821" ht="12.75" customHeight="1">
      <c r="A821" s="288"/>
      <c r="B821" s="288"/>
      <c r="C821" s="288"/>
      <c r="D821" s="152"/>
      <c r="E821" s="289"/>
      <c r="F821" s="288"/>
      <c r="G821" s="152"/>
      <c r="H821" s="152"/>
      <c r="I821" s="152"/>
      <c r="J821" s="152"/>
      <c r="K821" s="289"/>
      <c r="L821" s="289"/>
      <c r="M821" s="152"/>
      <c r="N821" s="152"/>
      <c r="O821" s="156"/>
      <c r="P821" s="152"/>
      <c r="Q821" s="152"/>
      <c r="R821" s="152"/>
      <c r="S821" s="152"/>
      <c r="T821" s="152"/>
      <c r="U821" s="152"/>
      <c r="V821" s="152"/>
      <c r="W821" s="152"/>
      <c r="X821" s="152"/>
      <c r="Y821" s="152"/>
      <c r="Z821" s="281"/>
      <c r="AA821" s="281"/>
      <c r="AB821" s="281"/>
      <c r="AC821" s="281"/>
      <c r="AD821" s="281"/>
      <c r="AE821" s="281"/>
      <c r="AF821" s="281"/>
      <c r="AG821" s="170"/>
      <c r="AH821" s="152"/>
      <c r="AI821" s="152"/>
      <c r="AJ821" s="152"/>
      <c r="AK821" s="152"/>
      <c r="AL821" s="152"/>
      <c r="AM821" s="152"/>
      <c r="AN821" s="152"/>
      <c r="AO821" s="152"/>
      <c r="AP821" s="152"/>
      <c r="AQ821" s="152"/>
      <c r="AR821" s="152"/>
    </row>
    <row r="822" ht="12.75" customHeight="1">
      <c r="A822" s="288"/>
      <c r="B822" s="288"/>
      <c r="C822" s="288"/>
      <c r="D822" s="152"/>
      <c r="E822" s="289"/>
      <c r="F822" s="288"/>
      <c r="G822" s="152"/>
      <c r="H822" s="152"/>
      <c r="I822" s="152"/>
      <c r="J822" s="152"/>
      <c r="K822" s="289"/>
      <c r="L822" s="289"/>
      <c r="M822" s="152"/>
      <c r="N822" s="152"/>
      <c r="O822" s="156"/>
      <c r="P822" s="152"/>
      <c r="Q822" s="152"/>
      <c r="R822" s="152"/>
      <c r="S822" s="152"/>
      <c r="T822" s="152"/>
      <c r="U822" s="152"/>
      <c r="V822" s="152"/>
      <c r="W822" s="152"/>
      <c r="X822" s="152"/>
      <c r="Y822" s="152"/>
      <c r="Z822" s="281"/>
      <c r="AA822" s="281"/>
      <c r="AB822" s="281"/>
      <c r="AC822" s="281"/>
      <c r="AD822" s="281"/>
      <c r="AE822" s="281"/>
      <c r="AF822" s="281"/>
      <c r="AG822" s="170"/>
      <c r="AH822" s="152"/>
      <c r="AI822" s="152"/>
      <c r="AJ822" s="152"/>
      <c r="AK822" s="152"/>
      <c r="AL822" s="152"/>
      <c r="AM822" s="152"/>
      <c r="AN822" s="152"/>
      <c r="AO822" s="152"/>
      <c r="AP822" s="152"/>
      <c r="AQ822" s="152"/>
      <c r="AR822" s="152"/>
    </row>
    <row r="823" ht="12.75" customHeight="1">
      <c r="A823" s="288"/>
      <c r="B823" s="288"/>
      <c r="C823" s="288"/>
      <c r="D823" s="152"/>
      <c r="E823" s="289"/>
      <c r="F823" s="288"/>
      <c r="G823" s="152"/>
      <c r="H823" s="152"/>
      <c r="I823" s="152"/>
      <c r="J823" s="152"/>
      <c r="K823" s="289"/>
      <c r="L823" s="289"/>
      <c r="M823" s="152"/>
      <c r="N823" s="152"/>
      <c r="O823" s="156"/>
      <c r="P823" s="152"/>
      <c r="Q823" s="152"/>
      <c r="R823" s="152"/>
      <c r="S823" s="152"/>
      <c r="T823" s="152"/>
      <c r="U823" s="152"/>
      <c r="V823" s="152"/>
      <c r="W823" s="152"/>
      <c r="X823" s="152"/>
      <c r="Y823" s="152"/>
      <c r="Z823" s="281"/>
      <c r="AA823" s="281"/>
      <c r="AB823" s="281"/>
      <c r="AC823" s="281"/>
      <c r="AD823" s="281"/>
      <c r="AE823" s="281"/>
      <c r="AF823" s="281"/>
      <c r="AG823" s="170"/>
      <c r="AH823" s="152"/>
      <c r="AI823" s="152"/>
      <c r="AJ823" s="152"/>
      <c r="AK823" s="152"/>
      <c r="AL823" s="152"/>
      <c r="AM823" s="152"/>
      <c r="AN823" s="152"/>
      <c r="AO823" s="152"/>
      <c r="AP823" s="152"/>
      <c r="AQ823" s="152"/>
      <c r="AR823" s="152"/>
    </row>
    <row r="824" ht="12.75" customHeight="1">
      <c r="A824" s="288"/>
      <c r="B824" s="288"/>
      <c r="C824" s="288"/>
      <c r="D824" s="152"/>
      <c r="E824" s="289"/>
      <c r="F824" s="288"/>
      <c r="G824" s="152"/>
      <c r="H824" s="152"/>
      <c r="I824" s="152"/>
      <c r="J824" s="152"/>
      <c r="K824" s="289"/>
      <c r="L824" s="289"/>
      <c r="M824" s="152"/>
      <c r="N824" s="152"/>
      <c r="O824" s="156"/>
      <c r="P824" s="152"/>
      <c r="Q824" s="152"/>
      <c r="R824" s="152"/>
      <c r="S824" s="152"/>
      <c r="T824" s="152"/>
      <c r="U824" s="152"/>
      <c r="V824" s="152"/>
      <c r="W824" s="152"/>
      <c r="X824" s="152"/>
      <c r="Y824" s="152"/>
      <c r="Z824" s="281"/>
      <c r="AA824" s="281"/>
      <c r="AB824" s="281"/>
      <c r="AC824" s="281"/>
      <c r="AD824" s="281"/>
      <c r="AE824" s="281"/>
      <c r="AF824" s="281"/>
      <c r="AG824" s="170"/>
      <c r="AH824" s="152"/>
      <c r="AI824" s="152"/>
      <c r="AJ824" s="152"/>
      <c r="AK824" s="152"/>
      <c r="AL824" s="152"/>
      <c r="AM824" s="152"/>
      <c r="AN824" s="152"/>
      <c r="AO824" s="152"/>
      <c r="AP824" s="152"/>
      <c r="AQ824" s="152"/>
      <c r="AR824" s="152"/>
    </row>
    <row r="825" ht="12.75" customHeight="1">
      <c r="A825" s="288"/>
      <c r="B825" s="288"/>
      <c r="C825" s="288"/>
      <c r="D825" s="152"/>
      <c r="E825" s="289"/>
      <c r="F825" s="288"/>
      <c r="G825" s="152"/>
      <c r="H825" s="152"/>
      <c r="I825" s="152"/>
      <c r="J825" s="152"/>
      <c r="K825" s="289"/>
      <c r="L825" s="289"/>
      <c r="M825" s="152"/>
      <c r="N825" s="152"/>
      <c r="O825" s="156"/>
      <c r="P825" s="152"/>
      <c r="Q825" s="152"/>
      <c r="R825" s="152"/>
      <c r="S825" s="152"/>
      <c r="T825" s="152"/>
      <c r="U825" s="152"/>
      <c r="V825" s="152"/>
      <c r="W825" s="152"/>
      <c r="X825" s="152"/>
      <c r="Y825" s="152"/>
      <c r="Z825" s="281"/>
      <c r="AA825" s="281"/>
      <c r="AB825" s="281"/>
      <c r="AC825" s="281"/>
      <c r="AD825" s="281"/>
      <c r="AE825" s="281"/>
      <c r="AF825" s="281"/>
      <c r="AG825" s="170"/>
      <c r="AH825" s="152"/>
      <c r="AI825" s="152"/>
      <c r="AJ825" s="152"/>
      <c r="AK825" s="152"/>
      <c r="AL825" s="152"/>
      <c r="AM825" s="152"/>
      <c r="AN825" s="152"/>
      <c r="AO825" s="152"/>
      <c r="AP825" s="152"/>
      <c r="AQ825" s="152"/>
      <c r="AR825" s="152"/>
    </row>
    <row r="826" ht="12.75" customHeight="1">
      <c r="A826" s="288"/>
      <c r="B826" s="288"/>
      <c r="C826" s="288"/>
      <c r="D826" s="152"/>
      <c r="E826" s="289"/>
      <c r="F826" s="288"/>
      <c r="G826" s="152"/>
      <c r="H826" s="152"/>
      <c r="I826" s="152"/>
      <c r="J826" s="152"/>
      <c r="K826" s="289"/>
      <c r="L826" s="289"/>
      <c r="M826" s="152"/>
      <c r="N826" s="152"/>
      <c r="O826" s="156"/>
      <c r="P826" s="152"/>
      <c r="Q826" s="152"/>
      <c r="R826" s="152"/>
      <c r="S826" s="152"/>
      <c r="T826" s="152"/>
      <c r="U826" s="152"/>
      <c r="V826" s="152"/>
      <c r="W826" s="152"/>
      <c r="X826" s="152"/>
      <c r="Y826" s="152"/>
      <c r="Z826" s="281"/>
      <c r="AA826" s="281"/>
      <c r="AB826" s="281"/>
      <c r="AC826" s="281"/>
      <c r="AD826" s="281"/>
      <c r="AE826" s="281"/>
      <c r="AF826" s="281"/>
      <c r="AG826" s="170"/>
      <c r="AH826" s="152"/>
      <c r="AI826" s="152"/>
      <c r="AJ826" s="152"/>
      <c r="AK826" s="152"/>
      <c r="AL826" s="152"/>
      <c r="AM826" s="152"/>
      <c r="AN826" s="152"/>
      <c r="AO826" s="152"/>
      <c r="AP826" s="152"/>
      <c r="AQ826" s="152"/>
      <c r="AR826" s="152"/>
    </row>
    <row r="827" ht="12.75" customHeight="1">
      <c r="A827" s="288"/>
      <c r="B827" s="288"/>
      <c r="C827" s="288"/>
      <c r="D827" s="152"/>
      <c r="E827" s="289"/>
      <c r="F827" s="288"/>
      <c r="G827" s="152"/>
      <c r="H827" s="152"/>
      <c r="I827" s="152"/>
      <c r="J827" s="152"/>
      <c r="K827" s="289"/>
      <c r="L827" s="289"/>
      <c r="M827" s="152"/>
      <c r="N827" s="152"/>
      <c r="O827" s="156"/>
      <c r="P827" s="152"/>
      <c r="Q827" s="152"/>
      <c r="R827" s="152"/>
      <c r="S827" s="152"/>
      <c r="T827" s="152"/>
      <c r="U827" s="152"/>
      <c r="V827" s="152"/>
      <c r="W827" s="152"/>
      <c r="X827" s="152"/>
      <c r="Y827" s="152"/>
      <c r="Z827" s="281"/>
      <c r="AA827" s="281"/>
      <c r="AB827" s="281"/>
      <c r="AC827" s="281"/>
      <c r="AD827" s="281"/>
      <c r="AE827" s="281"/>
      <c r="AF827" s="281"/>
      <c r="AG827" s="170"/>
      <c r="AH827" s="152"/>
      <c r="AI827" s="152"/>
      <c r="AJ827" s="152"/>
      <c r="AK827" s="152"/>
      <c r="AL827" s="152"/>
      <c r="AM827" s="152"/>
      <c r="AN827" s="152"/>
      <c r="AO827" s="152"/>
      <c r="AP827" s="152"/>
      <c r="AQ827" s="152"/>
      <c r="AR827" s="152"/>
    </row>
    <row r="828" ht="12.75" customHeight="1">
      <c r="A828" s="288"/>
      <c r="B828" s="288"/>
      <c r="C828" s="288"/>
      <c r="D828" s="152"/>
      <c r="E828" s="289"/>
      <c r="F828" s="288"/>
      <c r="G828" s="152"/>
      <c r="H828" s="152"/>
      <c r="I828" s="152"/>
      <c r="J828" s="152"/>
      <c r="K828" s="289"/>
      <c r="L828" s="289"/>
      <c r="M828" s="152"/>
      <c r="N828" s="152"/>
      <c r="O828" s="156"/>
      <c r="P828" s="152"/>
      <c r="Q828" s="152"/>
      <c r="R828" s="152"/>
      <c r="S828" s="152"/>
      <c r="T828" s="152"/>
      <c r="U828" s="152"/>
      <c r="V828" s="152"/>
      <c r="W828" s="152"/>
      <c r="X828" s="152"/>
      <c r="Y828" s="152"/>
      <c r="Z828" s="281"/>
      <c r="AA828" s="281"/>
      <c r="AB828" s="281"/>
      <c r="AC828" s="281"/>
      <c r="AD828" s="281"/>
      <c r="AE828" s="281"/>
      <c r="AF828" s="281"/>
      <c r="AG828" s="170"/>
      <c r="AH828" s="152"/>
      <c r="AI828" s="152"/>
      <c r="AJ828" s="152"/>
      <c r="AK828" s="152"/>
      <c r="AL828" s="152"/>
      <c r="AM828" s="152"/>
      <c r="AN828" s="152"/>
      <c r="AO828" s="152"/>
      <c r="AP828" s="152"/>
      <c r="AQ828" s="152"/>
      <c r="AR828" s="152"/>
    </row>
    <row r="829" ht="12.75" customHeight="1">
      <c r="A829" s="288"/>
      <c r="B829" s="288"/>
      <c r="C829" s="288"/>
      <c r="D829" s="152"/>
      <c r="E829" s="289"/>
      <c r="F829" s="288"/>
      <c r="G829" s="152"/>
      <c r="H829" s="152"/>
      <c r="I829" s="152"/>
      <c r="J829" s="152"/>
      <c r="K829" s="289"/>
      <c r="L829" s="289"/>
      <c r="M829" s="152"/>
      <c r="N829" s="152"/>
      <c r="O829" s="156"/>
      <c r="P829" s="152"/>
      <c r="Q829" s="152"/>
      <c r="R829" s="152"/>
      <c r="S829" s="152"/>
      <c r="T829" s="152"/>
      <c r="U829" s="152"/>
      <c r="V829" s="152"/>
      <c r="W829" s="152"/>
      <c r="X829" s="152"/>
      <c r="Y829" s="152"/>
      <c r="Z829" s="281"/>
      <c r="AA829" s="281"/>
      <c r="AB829" s="281"/>
      <c r="AC829" s="281"/>
      <c r="AD829" s="281"/>
      <c r="AE829" s="281"/>
      <c r="AF829" s="281"/>
      <c r="AG829" s="170"/>
      <c r="AH829" s="152"/>
      <c r="AI829" s="152"/>
      <c r="AJ829" s="152"/>
      <c r="AK829" s="152"/>
      <c r="AL829" s="152"/>
      <c r="AM829" s="152"/>
      <c r="AN829" s="152"/>
      <c r="AO829" s="152"/>
      <c r="AP829" s="152"/>
      <c r="AQ829" s="152"/>
      <c r="AR829" s="152"/>
    </row>
    <row r="830" ht="12.75" customHeight="1">
      <c r="A830" s="288"/>
      <c r="B830" s="288"/>
      <c r="C830" s="288"/>
      <c r="D830" s="152"/>
      <c r="E830" s="289"/>
      <c r="F830" s="288"/>
      <c r="G830" s="152"/>
      <c r="H830" s="152"/>
      <c r="I830" s="152"/>
      <c r="J830" s="152"/>
      <c r="K830" s="289"/>
      <c r="L830" s="289"/>
      <c r="M830" s="152"/>
      <c r="N830" s="152"/>
      <c r="O830" s="156"/>
      <c r="P830" s="152"/>
      <c r="Q830" s="152"/>
      <c r="R830" s="152"/>
      <c r="S830" s="152"/>
      <c r="T830" s="152"/>
      <c r="U830" s="152"/>
      <c r="V830" s="152"/>
      <c r="W830" s="152"/>
      <c r="X830" s="152"/>
      <c r="Y830" s="152"/>
      <c r="Z830" s="281"/>
      <c r="AA830" s="281"/>
      <c r="AB830" s="281"/>
      <c r="AC830" s="281"/>
      <c r="AD830" s="281"/>
      <c r="AE830" s="281"/>
      <c r="AF830" s="281"/>
      <c r="AG830" s="170"/>
      <c r="AH830" s="152"/>
      <c r="AI830" s="152"/>
      <c r="AJ830" s="152"/>
      <c r="AK830" s="152"/>
      <c r="AL830" s="152"/>
      <c r="AM830" s="152"/>
      <c r="AN830" s="152"/>
      <c r="AO830" s="152"/>
      <c r="AP830" s="152"/>
      <c r="AQ830" s="152"/>
      <c r="AR830" s="152"/>
    </row>
    <row r="831" ht="12.75" customHeight="1">
      <c r="A831" s="288"/>
      <c r="B831" s="288"/>
      <c r="C831" s="288"/>
      <c r="D831" s="152"/>
      <c r="E831" s="289"/>
      <c r="F831" s="288"/>
      <c r="G831" s="152"/>
      <c r="H831" s="152"/>
      <c r="I831" s="152"/>
      <c r="J831" s="152"/>
      <c r="K831" s="289"/>
      <c r="L831" s="289"/>
      <c r="M831" s="152"/>
      <c r="N831" s="152"/>
      <c r="O831" s="156"/>
      <c r="P831" s="152"/>
      <c r="Q831" s="152"/>
      <c r="R831" s="152"/>
      <c r="S831" s="152"/>
      <c r="T831" s="152"/>
      <c r="U831" s="152"/>
      <c r="V831" s="152"/>
      <c r="W831" s="152"/>
      <c r="X831" s="152"/>
      <c r="Y831" s="152"/>
      <c r="Z831" s="281"/>
      <c r="AA831" s="281"/>
      <c r="AB831" s="281"/>
      <c r="AC831" s="281"/>
      <c r="AD831" s="281"/>
      <c r="AE831" s="281"/>
      <c r="AF831" s="281"/>
      <c r="AG831" s="170"/>
      <c r="AH831" s="152"/>
      <c r="AI831" s="152"/>
      <c r="AJ831" s="152"/>
      <c r="AK831" s="152"/>
      <c r="AL831" s="152"/>
      <c r="AM831" s="152"/>
      <c r="AN831" s="152"/>
      <c r="AO831" s="152"/>
      <c r="AP831" s="152"/>
      <c r="AQ831" s="152"/>
      <c r="AR831" s="152"/>
    </row>
    <row r="832" ht="12.75" customHeight="1">
      <c r="A832" s="288"/>
      <c r="B832" s="288"/>
      <c r="C832" s="288"/>
      <c r="D832" s="152"/>
      <c r="E832" s="289"/>
      <c r="F832" s="288"/>
      <c r="G832" s="152"/>
      <c r="H832" s="152"/>
      <c r="I832" s="152"/>
      <c r="J832" s="152"/>
      <c r="K832" s="289"/>
      <c r="L832" s="289"/>
      <c r="M832" s="152"/>
      <c r="N832" s="152"/>
      <c r="O832" s="156"/>
      <c r="P832" s="152"/>
      <c r="Q832" s="152"/>
      <c r="R832" s="152"/>
      <c r="S832" s="152"/>
      <c r="T832" s="152"/>
      <c r="U832" s="152"/>
      <c r="V832" s="152"/>
      <c r="W832" s="152"/>
      <c r="X832" s="152"/>
      <c r="Y832" s="152"/>
      <c r="Z832" s="281"/>
      <c r="AA832" s="281"/>
      <c r="AB832" s="281"/>
      <c r="AC832" s="281"/>
      <c r="AD832" s="281"/>
      <c r="AE832" s="281"/>
      <c r="AF832" s="281"/>
      <c r="AG832" s="170"/>
      <c r="AH832" s="152"/>
      <c r="AI832" s="152"/>
      <c r="AJ832" s="152"/>
      <c r="AK832" s="152"/>
      <c r="AL832" s="152"/>
      <c r="AM832" s="152"/>
      <c r="AN832" s="152"/>
      <c r="AO832" s="152"/>
      <c r="AP832" s="152"/>
      <c r="AQ832" s="152"/>
      <c r="AR832" s="152"/>
    </row>
    <row r="833" ht="12.75" customHeight="1">
      <c r="A833" s="288"/>
      <c r="B833" s="288"/>
      <c r="C833" s="288"/>
      <c r="D833" s="152"/>
      <c r="E833" s="289"/>
      <c r="F833" s="288"/>
      <c r="G833" s="152"/>
      <c r="H833" s="152"/>
      <c r="I833" s="152"/>
      <c r="J833" s="152"/>
      <c r="K833" s="289"/>
      <c r="L833" s="289"/>
      <c r="M833" s="152"/>
      <c r="N833" s="152"/>
      <c r="O833" s="156"/>
      <c r="P833" s="152"/>
      <c r="Q833" s="152"/>
      <c r="R833" s="152"/>
      <c r="S833" s="152"/>
      <c r="T833" s="152"/>
      <c r="U833" s="152"/>
      <c r="V833" s="152"/>
      <c r="W833" s="152"/>
      <c r="X833" s="152"/>
      <c r="Y833" s="152"/>
      <c r="Z833" s="281"/>
      <c r="AA833" s="281"/>
      <c r="AB833" s="281"/>
      <c r="AC833" s="281"/>
      <c r="AD833" s="281"/>
      <c r="AE833" s="281"/>
      <c r="AF833" s="281"/>
      <c r="AG833" s="170"/>
      <c r="AH833" s="152"/>
      <c r="AI833" s="152"/>
      <c r="AJ833" s="152"/>
      <c r="AK833" s="152"/>
      <c r="AL833" s="152"/>
      <c r="AM833" s="152"/>
      <c r="AN833" s="152"/>
      <c r="AO833" s="152"/>
      <c r="AP833" s="152"/>
      <c r="AQ833" s="152"/>
      <c r="AR833" s="152"/>
    </row>
    <row r="834" ht="12.75" customHeight="1">
      <c r="A834" s="288"/>
      <c r="B834" s="288"/>
      <c r="C834" s="288"/>
      <c r="D834" s="152"/>
      <c r="E834" s="289"/>
      <c r="F834" s="288"/>
      <c r="G834" s="152"/>
      <c r="H834" s="152"/>
      <c r="I834" s="152"/>
      <c r="J834" s="152"/>
      <c r="K834" s="289"/>
      <c r="L834" s="289"/>
      <c r="M834" s="152"/>
      <c r="N834" s="152"/>
      <c r="O834" s="156"/>
      <c r="P834" s="152"/>
      <c r="Q834" s="152"/>
      <c r="R834" s="152"/>
      <c r="S834" s="152"/>
      <c r="T834" s="152"/>
      <c r="U834" s="152"/>
      <c r="V834" s="152"/>
      <c r="W834" s="152"/>
      <c r="X834" s="152"/>
      <c r="Y834" s="152"/>
      <c r="Z834" s="281"/>
      <c r="AA834" s="281"/>
      <c r="AB834" s="281"/>
      <c r="AC834" s="281"/>
      <c r="AD834" s="281"/>
      <c r="AE834" s="281"/>
      <c r="AF834" s="281"/>
      <c r="AG834" s="170"/>
      <c r="AH834" s="152"/>
      <c r="AI834" s="152"/>
      <c r="AJ834" s="152"/>
      <c r="AK834" s="152"/>
      <c r="AL834" s="152"/>
      <c r="AM834" s="152"/>
      <c r="AN834" s="152"/>
      <c r="AO834" s="152"/>
      <c r="AP834" s="152"/>
      <c r="AQ834" s="152"/>
      <c r="AR834" s="152"/>
    </row>
    <row r="835" ht="12.75" customHeight="1">
      <c r="A835" s="288"/>
      <c r="B835" s="288"/>
      <c r="C835" s="288"/>
      <c r="D835" s="152"/>
      <c r="E835" s="289"/>
      <c r="F835" s="288"/>
      <c r="G835" s="152"/>
      <c r="H835" s="152"/>
      <c r="I835" s="152"/>
      <c r="J835" s="152"/>
      <c r="K835" s="289"/>
      <c r="L835" s="289"/>
      <c r="M835" s="152"/>
      <c r="N835" s="152"/>
      <c r="O835" s="156"/>
      <c r="P835" s="152"/>
      <c r="Q835" s="152"/>
      <c r="R835" s="152"/>
      <c r="S835" s="152"/>
      <c r="T835" s="152"/>
      <c r="U835" s="152"/>
      <c r="V835" s="152"/>
      <c r="W835" s="152"/>
      <c r="X835" s="152"/>
      <c r="Y835" s="152"/>
      <c r="Z835" s="281"/>
      <c r="AA835" s="281"/>
      <c r="AB835" s="281"/>
      <c r="AC835" s="281"/>
      <c r="AD835" s="281"/>
      <c r="AE835" s="281"/>
      <c r="AF835" s="281"/>
      <c r="AG835" s="170"/>
      <c r="AH835" s="152"/>
      <c r="AI835" s="152"/>
      <c r="AJ835" s="152"/>
      <c r="AK835" s="152"/>
      <c r="AL835" s="152"/>
      <c r="AM835" s="152"/>
      <c r="AN835" s="152"/>
      <c r="AO835" s="152"/>
      <c r="AP835" s="152"/>
      <c r="AQ835" s="152"/>
      <c r="AR835" s="152"/>
    </row>
    <row r="836" ht="12.75" customHeight="1">
      <c r="A836" s="288"/>
      <c r="B836" s="288"/>
      <c r="C836" s="288"/>
      <c r="D836" s="152"/>
      <c r="E836" s="289"/>
      <c r="F836" s="288"/>
      <c r="G836" s="152"/>
      <c r="H836" s="152"/>
      <c r="I836" s="152"/>
      <c r="J836" s="152"/>
      <c r="K836" s="289"/>
      <c r="L836" s="289"/>
      <c r="M836" s="152"/>
      <c r="N836" s="152"/>
      <c r="O836" s="156"/>
      <c r="P836" s="152"/>
      <c r="Q836" s="152"/>
      <c r="R836" s="152"/>
      <c r="S836" s="152"/>
      <c r="T836" s="152"/>
      <c r="U836" s="152"/>
      <c r="V836" s="152"/>
      <c r="W836" s="152"/>
      <c r="X836" s="152"/>
      <c r="Y836" s="152"/>
      <c r="Z836" s="281"/>
      <c r="AA836" s="281"/>
      <c r="AB836" s="281"/>
      <c r="AC836" s="281"/>
      <c r="AD836" s="281"/>
      <c r="AE836" s="281"/>
      <c r="AF836" s="281"/>
      <c r="AG836" s="170"/>
      <c r="AH836" s="152"/>
      <c r="AI836" s="152"/>
      <c r="AJ836" s="152"/>
      <c r="AK836" s="152"/>
      <c r="AL836" s="152"/>
      <c r="AM836" s="152"/>
      <c r="AN836" s="152"/>
      <c r="AO836" s="152"/>
      <c r="AP836" s="152"/>
      <c r="AQ836" s="152"/>
      <c r="AR836" s="152"/>
    </row>
    <row r="837" ht="12.75" customHeight="1">
      <c r="A837" s="288"/>
      <c r="B837" s="288"/>
      <c r="C837" s="288"/>
      <c r="D837" s="152"/>
      <c r="E837" s="289"/>
      <c r="F837" s="288"/>
      <c r="G837" s="152"/>
      <c r="H837" s="152"/>
      <c r="I837" s="152"/>
      <c r="J837" s="152"/>
      <c r="K837" s="289"/>
      <c r="L837" s="289"/>
      <c r="M837" s="152"/>
      <c r="N837" s="152"/>
      <c r="O837" s="156"/>
      <c r="P837" s="152"/>
      <c r="Q837" s="152"/>
      <c r="R837" s="152"/>
      <c r="S837" s="152"/>
      <c r="T837" s="152"/>
      <c r="U837" s="152"/>
      <c r="V837" s="152"/>
      <c r="W837" s="152"/>
      <c r="X837" s="152"/>
      <c r="Y837" s="152"/>
      <c r="Z837" s="281"/>
      <c r="AA837" s="281"/>
      <c r="AB837" s="281"/>
      <c r="AC837" s="281"/>
      <c r="AD837" s="281"/>
      <c r="AE837" s="281"/>
      <c r="AF837" s="281"/>
      <c r="AG837" s="170"/>
      <c r="AH837" s="152"/>
      <c r="AI837" s="152"/>
      <c r="AJ837" s="152"/>
      <c r="AK837" s="152"/>
      <c r="AL837" s="152"/>
      <c r="AM837" s="152"/>
      <c r="AN837" s="152"/>
      <c r="AO837" s="152"/>
      <c r="AP837" s="152"/>
      <c r="AQ837" s="152"/>
      <c r="AR837" s="152"/>
    </row>
    <row r="838" ht="12.75" customHeight="1">
      <c r="A838" s="288"/>
      <c r="B838" s="288"/>
      <c r="C838" s="288"/>
      <c r="D838" s="152"/>
      <c r="E838" s="289"/>
      <c r="F838" s="288"/>
      <c r="G838" s="152"/>
      <c r="H838" s="152"/>
      <c r="I838" s="152"/>
      <c r="J838" s="152"/>
      <c r="K838" s="289"/>
      <c r="L838" s="289"/>
      <c r="M838" s="152"/>
      <c r="N838" s="152"/>
      <c r="O838" s="156"/>
      <c r="P838" s="152"/>
      <c r="Q838" s="152"/>
      <c r="R838" s="152"/>
      <c r="S838" s="152"/>
      <c r="T838" s="152"/>
      <c r="U838" s="152"/>
      <c r="V838" s="152"/>
      <c r="W838" s="152"/>
      <c r="X838" s="152"/>
      <c r="Y838" s="152"/>
      <c r="Z838" s="281"/>
      <c r="AA838" s="281"/>
      <c r="AB838" s="281"/>
      <c r="AC838" s="281"/>
      <c r="AD838" s="281"/>
      <c r="AE838" s="281"/>
      <c r="AF838" s="281"/>
      <c r="AG838" s="170"/>
      <c r="AH838" s="152"/>
      <c r="AI838" s="152"/>
      <c r="AJ838" s="152"/>
      <c r="AK838" s="152"/>
      <c r="AL838" s="152"/>
      <c r="AM838" s="152"/>
      <c r="AN838" s="152"/>
      <c r="AO838" s="152"/>
      <c r="AP838" s="152"/>
      <c r="AQ838" s="152"/>
      <c r="AR838" s="152"/>
    </row>
    <row r="839" ht="12.75" customHeight="1">
      <c r="A839" s="288"/>
      <c r="B839" s="288"/>
      <c r="C839" s="288"/>
      <c r="D839" s="152"/>
      <c r="E839" s="289"/>
      <c r="F839" s="288"/>
      <c r="G839" s="152"/>
      <c r="H839" s="152"/>
      <c r="I839" s="152"/>
      <c r="J839" s="152"/>
      <c r="K839" s="289"/>
      <c r="L839" s="289"/>
      <c r="M839" s="152"/>
      <c r="N839" s="152"/>
      <c r="O839" s="156"/>
      <c r="P839" s="152"/>
      <c r="Q839" s="152"/>
      <c r="R839" s="152"/>
      <c r="S839" s="152"/>
      <c r="T839" s="152"/>
      <c r="U839" s="152"/>
      <c r="V839" s="152"/>
      <c r="W839" s="152"/>
      <c r="X839" s="152"/>
      <c r="Y839" s="152"/>
      <c r="Z839" s="281"/>
      <c r="AA839" s="281"/>
      <c r="AB839" s="281"/>
      <c r="AC839" s="281"/>
      <c r="AD839" s="281"/>
      <c r="AE839" s="281"/>
      <c r="AF839" s="281"/>
      <c r="AG839" s="170"/>
      <c r="AH839" s="152"/>
      <c r="AI839" s="152"/>
      <c r="AJ839" s="152"/>
      <c r="AK839" s="152"/>
      <c r="AL839" s="152"/>
      <c r="AM839" s="152"/>
      <c r="AN839" s="152"/>
      <c r="AO839" s="152"/>
      <c r="AP839" s="152"/>
      <c r="AQ839" s="152"/>
      <c r="AR839" s="152"/>
    </row>
    <row r="840" ht="12.75" customHeight="1">
      <c r="A840" s="288"/>
      <c r="B840" s="288"/>
      <c r="C840" s="288"/>
      <c r="D840" s="152"/>
      <c r="E840" s="289"/>
      <c r="F840" s="288"/>
      <c r="G840" s="152"/>
      <c r="H840" s="152"/>
      <c r="I840" s="152"/>
      <c r="J840" s="152"/>
      <c r="K840" s="289"/>
      <c r="L840" s="289"/>
      <c r="M840" s="152"/>
      <c r="N840" s="152"/>
      <c r="O840" s="156"/>
      <c r="P840" s="152"/>
      <c r="Q840" s="152"/>
      <c r="R840" s="152"/>
      <c r="S840" s="152"/>
      <c r="T840" s="152"/>
      <c r="U840" s="152"/>
      <c r="V840" s="152"/>
      <c r="W840" s="152"/>
      <c r="X840" s="152"/>
      <c r="Y840" s="152"/>
      <c r="Z840" s="281"/>
      <c r="AA840" s="281"/>
      <c r="AB840" s="281"/>
      <c r="AC840" s="281"/>
      <c r="AD840" s="281"/>
      <c r="AE840" s="281"/>
      <c r="AF840" s="281"/>
      <c r="AG840" s="170"/>
      <c r="AH840" s="152"/>
      <c r="AI840" s="152"/>
      <c r="AJ840" s="152"/>
      <c r="AK840" s="152"/>
      <c r="AL840" s="152"/>
      <c r="AM840" s="152"/>
      <c r="AN840" s="152"/>
      <c r="AO840" s="152"/>
      <c r="AP840" s="152"/>
      <c r="AQ840" s="152"/>
      <c r="AR840" s="152"/>
    </row>
    <row r="841" ht="12.75" customHeight="1">
      <c r="A841" s="288"/>
      <c r="B841" s="288"/>
      <c r="C841" s="288"/>
      <c r="D841" s="152"/>
      <c r="E841" s="289"/>
      <c r="F841" s="288"/>
      <c r="G841" s="152"/>
      <c r="H841" s="152"/>
      <c r="I841" s="152"/>
      <c r="J841" s="152"/>
      <c r="K841" s="289"/>
      <c r="L841" s="289"/>
      <c r="M841" s="152"/>
      <c r="N841" s="152"/>
      <c r="O841" s="156"/>
      <c r="P841" s="152"/>
      <c r="Q841" s="152"/>
      <c r="R841" s="152"/>
      <c r="S841" s="152"/>
      <c r="T841" s="152"/>
      <c r="U841" s="152"/>
      <c r="V841" s="152"/>
      <c r="W841" s="152"/>
      <c r="X841" s="152"/>
      <c r="Y841" s="152"/>
      <c r="Z841" s="281"/>
      <c r="AA841" s="281"/>
      <c r="AB841" s="281"/>
      <c r="AC841" s="281"/>
      <c r="AD841" s="281"/>
      <c r="AE841" s="281"/>
      <c r="AF841" s="281"/>
      <c r="AG841" s="170"/>
      <c r="AH841" s="152"/>
      <c r="AI841" s="152"/>
      <c r="AJ841" s="152"/>
      <c r="AK841" s="152"/>
      <c r="AL841" s="152"/>
      <c r="AM841" s="152"/>
      <c r="AN841" s="152"/>
      <c r="AO841" s="152"/>
      <c r="AP841" s="152"/>
      <c r="AQ841" s="152"/>
      <c r="AR841" s="152"/>
    </row>
    <row r="842" ht="12.75" customHeight="1">
      <c r="A842" s="288"/>
      <c r="B842" s="288"/>
      <c r="C842" s="288"/>
      <c r="D842" s="152"/>
      <c r="E842" s="289"/>
      <c r="F842" s="288"/>
      <c r="G842" s="152"/>
      <c r="H842" s="152"/>
      <c r="I842" s="152"/>
      <c r="J842" s="152"/>
      <c r="K842" s="289"/>
      <c r="L842" s="289"/>
      <c r="M842" s="152"/>
      <c r="N842" s="152"/>
      <c r="O842" s="156"/>
      <c r="P842" s="152"/>
      <c r="Q842" s="152"/>
      <c r="R842" s="152"/>
      <c r="S842" s="152"/>
      <c r="T842" s="152"/>
      <c r="U842" s="152"/>
      <c r="V842" s="152"/>
      <c r="W842" s="152"/>
      <c r="X842" s="152"/>
      <c r="Y842" s="152"/>
      <c r="Z842" s="281"/>
      <c r="AA842" s="281"/>
      <c r="AB842" s="281"/>
      <c r="AC842" s="281"/>
      <c r="AD842" s="281"/>
      <c r="AE842" s="281"/>
      <c r="AF842" s="281"/>
      <c r="AG842" s="170"/>
      <c r="AH842" s="152"/>
      <c r="AI842" s="152"/>
      <c r="AJ842" s="152"/>
      <c r="AK842" s="152"/>
      <c r="AL842" s="152"/>
      <c r="AM842" s="152"/>
      <c r="AN842" s="152"/>
      <c r="AO842" s="152"/>
      <c r="AP842" s="152"/>
      <c r="AQ842" s="152"/>
      <c r="AR842" s="152"/>
    </row>
    <row r="843" ht="12.75" customHeight="1">
      <c r="A843" s="288"/>
      <c r="B843" s="288"/>
      <c r="C843" s="288"/>
      <c r="D843" s="152"/>
      <c r="E843" s="289"/>
      <c r="F843" s="288"/>
      <c r="G843" s="152"/>
      <c r="H843" s="152"/>
      <c r="I843" s="152"/>
      <c r="J843" s="152"/>
      <c r="K843" s="289"/>
      <c r="L843" s="289"/>
      <c r="M843" s="152"/>
      <c r="N843" s="152"/>
      <c r="O843" s="156"/>
      <c r="P843" s="152"/>
      <c r="Q843" s="152"/>
      <c r="R843" s="152"/>
      <c r="S843" s="152"/>
      <c r="T843" s="152"/>
      <c r="U843" s="152"/>
      <c r="V843" s="152"/>
      <c r="W843" s="152"/>
      <c r="X843" s="152"/>
      <c r="Y843" s="152"/>
      <c r="Z843" s="281"/>
      <c r="AA843" s="281"/>
      <c r="AB843" s="281"/>
      <c r="AC843" s="281"/>
      <c r="AD843" s="281"/>
      <c r="AE843" s="281"/>
      <c r="AF843" s="281"/>
      <c r="AG843" s="170"/>
      <c r="AH843" s="152"/>
      <c r="AI843" s="152"/>
      <c r="AJ843" s="152"/>
      <c r="AK843" s="152"/>
      <c r="AL843" s="152"/>
      <c r="AM843" s="152"/>
      <c r="AN843" s="152"/>
      <c r="AO843" s="152"/>
      <c r="AP843" s="152"/>
      <c r="AQ843" s="152"/>
      <c r="AR843" s="152"/>
    </row>
    <row r="844" ht="12.75" customHeight="1">
      <c r="A844" s="288"/>
      <c r="B844" s="288"/>
      <c r="C844" s="288"/>
      <c r="D844" s="152"/>
      <c r="E844" s="289"/>
      <c r="F844" s="288"/>
      <c r="G844" s="152"/>
      <c r="H844" s="152"/>
      <c r="I844" s="152"/>
      <c r="J844" s="152"/>
      <c r="K844" s="289"/>
      <c r="L844" s="289"/>
      <c r="M844" s="152"/>
      <c r="N844" s="152"/>
      <c r="O844" s="156"/>
      <c r="P844" s="152"/>
      <c r="Q844" s="152"/>
      <c r="R844" s="152"/>
      <c r="S844" s="152"/>
      <c r="T844" s="152"/>
      <c r="U844" s="152"/>
      <c r="V844" s="152"/>
      <c r="W844" s="152"/>
      <c r="X844" s="152"/>
      <c r="Y844" s="152"/>
      <c r="Z844" s="281"/>
      <c r="AA844" s="281"/>
      <c r="AB844" s="281"/>
      <c r="AC844" s="281"/>
      <c r="AD844" s="281"/>
      <c r="AE844" s="281"/>
      <c r="AF844" s="281"/>
      <c r="AG844" s="170"/>
      <c r="AH844" s="152"/>
      <c r="AI844" s="152"/>
      <c r="AJ844" s="152"/>
      <c r="AK844" s="152"/>
      <c r="AL844" s="152"/>
      <c r="AM844" s="152"/>
      <c r="AN844" s="152"/>
      <c r="AO844" s="152"/>
      <c r="AP844" s="152"/>
      <c r="AQ844" s="152"/>
      <c r="AR844" s="152"/>
    </row>
    <row r="845" ht="12.75" customHeight="1">
      <c r="A845" s="288"/>
      <c r="B845" s="288"/>
      <c r="C845" s="288"/>
      <c r="D845" s="152"/>
      <c r="E845" s="289"/>
      <c r="F845" s="288"/>
      <c r="G845" s="152"/>
      <c r="H845" s="152"/>
      <c r="I845" s="152"/>
      <c r="J845" s="152"/>
      <c r="K845" s="289"/>
      <c r="L845" s="289"/>
      <c r="M845" s="152"/>
      <c r="N845" s="152"/>
      <c r="O845" s="156"/>
      <c r="P845" s="152"/>
      <c r="Q845" s="152"/>
      <c r="R845" s="152"/>
      <c r="S845" s="152"/>
      <c r="T845" s="152"/>
      <c r="U845" s="152"/>
      <c r="V845" s="152"/>
      <c r="W845" s="152"/>
      <c r="X845" s="152"/>
      <c r="Y845" s="152"/>
      <c r="Z845" s="281"/>
      <c r="AA845" s="281"/>
      <c r="AB845" s="281"/>
      <c r="AC845" s="281"/>
      <c r="AD845" s="281"/>
      <c r="AE845" s="281"/>
      <c r="AF845" s="281"/>
      <c r="AG845" s="170"/>
      <c r="AH845" s="152"/>
      <c r="AI845" s="152"/>
      <c r="AJ845" s="152"/>
      <c r="AK845" s="152"/>
      <c r="AL845" s="152"/>
      <c r="AM845" s="152"/>
      <c r="AN845" s="152"/>
      <c r="AO845" s="152"/>
      <c r="AP845" s="152"/>
      <c r="AQ845" s="152"/>
      <c r="AR845" s="152"/>
    </row>
    <row r="846" ht="12.75" customHeight="1">
      <c r="A846" s="288"/>
      <c r="B846" s="288"/>
      <c r="C846" s="288"/>
      <c r="D846" s="152"/>
      <c r="E846" s="289"/>
      <c r="F846" s="288"/>
      <c r="G846" s="152"/>
      <c r="H846" s="152"/>
      <c r="I846" s="152"/>
      <c r="J846" s="152"/>
      <c r="K846" s="289"/>
      <c r="L846" s="289"/>
      <c r="M846" s="152"/>
      <c r="N846" s="152"/>
      <c r="O846" s="156"/>
      <c r="P846" s="152"/>
      <c r="Q846" s="152"/>
      <c r="R846" s="152"/>
      <c r="S846" s="152"/>
      <c r="T846" s="152"/>
      <c r="U846" s="152"/>
      <c r="V846" s="152"/>
      <c r="W846" s="152"/>
      <c r="X846" s="152"/>
      <c r="Y846" s="152"/>
      <c r="Z846" s="281"/>
      <c r="AA846" s="281"/>
      <c r="AB846" s="281"/>
      <c r="AC846" s="281"/>
      <c r="AD846" s="281"/>
      <c r="AE846" s="281"/>
      <c r="AF846" s="281"/>
      <c r="AG846" s="170"/>
      <c r="AH846" s="152"/>
      <c r="AI846" s="152"/>
      <c r="AJ846" s="152"/>
      <c r="AK846" s="152"/>
      <c r="AL846" s="152"/>
      <c r="AM846" s="152"/>
      <c r="AN846" s="152"/>
      <c r="AO846" s="152"/>
      <c r="AP846" s="152"/>
      <c r="AQ846" s="152"/>
      <c r="AR846" s="152"/>
    </row>
    <row r="847" ht="12.75" customHeight="1">
      <c r="A847" s="288"/>
      <c r="B847" s="288"/>
      <c r="C847" s="288"/>
      <c r="D847" s="152"/>
      <c r="E847" s="289"/>
      <c r="F847" s="288"/>
      <c r="G847" s="152"/>
      <c r="H847" s="152"/>
      <c r="I847" s="152"/>
      <c r="J847" s="152"/>
      <c r="K847" s="289"/>
      <c r="L847" s="289"/>
      <c r="M847" s="152"/>
      <c r="N847" s="152"/>
      <c r="O847" s="156"/>
      <c r="P847" s="152"/>
      <c r="Q847" s="152"/>
      <c r="R847" s="152"/>
      <c r="S847" s="152"/>
      <c r="T847" s="152"/>
      <c r="U847" s="152"/>
      <c r="V847" s="152"/>
      <c r="W847" s="152"/>
      <c r="X847" s="152"/>
      <c r="Y847" s="152"/>
      <c r="Z847" s="281"/>
      <c r="AA847" s="281"/>
      <c r="AB847" s="281"/>
      <c r="AC847" s="281"/>
      <c r="AD847" s="281"/>
      <c r="AE847" s="281"/>
      <c r="AF847" s="281"/>
      <c r="AG847" s="170"/>
      <c r="AH847" s="152"/>
      <c r="AI847" s="152"/>
      <c r="AJ847" s="152"/>
      <c r="AK847" s="152"/>
      <c r="AL847" s="152"/>
      <c r="AM847" s="152"/>
      <c r="AN847" s="152"/>
      <c r="AO847" s="152"/>
      <c r="AP847" s="152"/>
      <c r="AQ847" s="152"/>
      <c r="AR847" s="152"/>
    </row>
    <row r="848" ht="12.75" customHeight="1">
      <c r="A848" s="288"/>
      <c r="B848" s="288"/>
      <c r="C848" s="288"/>
      <c r="D848" s="152"/>
      <c r="E848" s="289"/>
      <c r="F848" s="288"/>
      <c r="G848" s="152"/>
      <c r="H848" s="152"/>
      <c r="I848" s="152"/>
      <c r="J848" s="152"/>
      <c r="K848" s="289"/>
      <c r="L848" s="289"/>
      <c r="M848" s="152"/>
      <c r="N848" s="152"/>
      <c r="O848" s="156"/>
      <c r="P848" s="152"/>
      <c r="Q848" s="152"/>
      <c r="R848" s="152"/>
      <c r="S848" s="152"/>
      <c r="T848" s="152"/>
      <c r="U848" s="152"/>
      <c r="V848" s="152"/>
      <c r="W848" s="152"/>
      <c r="X848" s="152"/>
      <c r="Y848" s="152"/>
      <c r="Z848" s="281"/>
      <c r="AA848" s="281"/>
      <c r="AB848" s="281"/>
      <c r="AC848" s="281"/>
      <c r="AD848" s="281"/>
      <c r="AE848" s="281"/>
      <c r="AF848" s="281"/>
      <c r="AG848" s="170"/>
      <c r="AH848" s="152"/>
      <c r="AI848" s="152"/>
      <c r="AJ848" s="152"/>
      <c r="AK848" s="152"/>
      <c r="AL848" s="152"/>
      <c r="AM848" s="152"/>
      <c r="AN848" s="152"/>
      <c r="AO848" s="152"/>
      <c r="AP848" s="152"/>
      <c r="AQ848" s="152"/>
      <c r="AR848" s="152"/>
    </row>
    <row r="849" ht="12.75" customHeight="1">
      <c r="A849" s="288"/>
      <c r="B849" s="288"/>
      <c r="C849" s="288"/>
      <c r="D849" s="152"/>
      <c r="E849" s="289"/>
      <c r="F849" s="288"/>
      <c r="G849" s="152"/>
      <c r="H849" s="152"/>
      <c r="I849" s="152"/>
      <c r="J849" s="152"/>
      <c r="K849" s="289"/>
      <c r="L849" s="289"/>
      <c r="M849" s="152"/>
      <c r="N849" s="152"/>
      <c r="O849" s="156"/>
      <c r="P849" s="152"/>
      <c r="Q849" s="152"/>
      <c r="R849" s="152"/>
      <c r="S849" s="152"/>
      <c r="T849" s="152"/>
      <c r="U849" s="152"/>
      <c r="V849" s="152"/>
      <c r="W849" s="152"/>
      <c r="X849" s="152"/>
      <c r="Y849" s="152"/>
      <c r="Z849" s="281"/>
      <c r="AA849" s="281"/>
      <c r="AB849" s="281"/>
      <c r="AC849" s="281"/>
      <c r="AD849" s="281"/>
      <c r="AE849" s="281"/>
      <c r="AF849" s="281"/>
      <c r="AG849" s="170"/>
      <c r="AH849" s="152"/>
      <c r="AI849" s="152"/>
      <c r="AJ849" s="152"/>
      <c r="AK849" s="152"/>
      <c r="AL849" s="152"/>
      <c r="AM849" s="152"/>
      <c r="AN849" s="152"/>
      <c r="AO849" s="152"/>
      <c r="AP849" s="152"/>
      <c r="AQ849" s="152"/>
      <c r="AR849" s="152"/>
    </row>
    <row r="850" ht="12.75" customHeight="1">
      <c r="A850" s="288"/>
      <c r="B850" s="288"/>
      <c r="C850" s="288"/>
      <c r="D850" s="152"/>
      <c r="E850" s="289"/>
      <c r="F850" s="288"/>
      <c r="G850" s="152"/>
      <c r="H850" s="152"/>
      <c r="I850" s="152"/>
      <c r="J850" s="152"/>
      <c r="K850" s="289"/>
      <c r="L850" s="289"/>
      <c r="M850" s="152"/>
      <c r="N850" s="152"/>
      <c r="O850" s="156"/>
      <c r="P850" s="152"/>
      <c r="Q850" s="152"/>
      <c r="R850" s="152"/>
      <c r="S850" s="152"/>
      <c r="T850" s="152"/>
      <c r="U850" s="152"/>
      <c r="V850" s="152"/>
      <c r="W850" s="152"/>
      <c r="X850" s="152"/>
      <c r="Y850" s="152"/>
      <c r="Z850" s="281"/>
      <c r="AA850" s="281"/>
      <c r="AB850" s="281"/>
      <c r="AC850" s="281"/>
      <c r="AD850" s="281"/>
      <c r="AE850" s="281"/>
      <c r="AF850" s="281"/>
      <c r="AG850" s="170"/>
      <c r="AH850" s="152"/>
      <c r="AI850" s="152"/>
      <c r="AJ850" s="152"/>
      <c r="AK850" s="152"/>
      <c r="AL850" s="152"/>
      <c r="AM850" s="152"/>
      <c r="AN850" s="152"/>
      <c r="AO850" s="152"/>
      <c r="AP850" s="152"/>
      <c r="AQ850" s="152"/>
      <c r="AR850" s="152"/>
    </row>
    <row r="851" ht="12.75" customHeight="1">
      <c r="A851" s="288"/>
      <c r="B851" s="288"/>
      <c r="C851" s="288"/>
      <c r="D851" s="152"/>
      <c r="E851" s="289"/>
      <c r="F851" s="288"/>
      <c r="G851" s="152"/>
      <c r="H851" s="152"/>
      <c r="I851" s="152"/>
      <c r="J851" s="152"/>
      <c r="K851" s="289"/>
      <c r="L851" s="289"/>
      <c r="M851" s="152"/>
      <c r="N851" s="152"/>
      <c r="O851" s="156"/>
      <c r="P851" s="152"/>
      <c r="Q851" s="152"/>
      <c r="R851" s="152"/>
      <c r="S851" s="152"/>
      <c r="T851" s="152"/>
      <c r="U851" s="152"/>
      <c r="V851" s="152"/>
      <c r="W851" s="152"/>
      <c r="X851" s="152"/>
      <c r="Y851" s="152"/>
      <c r="Z851" s="281"/>
      <c r="AA851" s="281"/>
      <c r="AB851" s="281"/>
      <c r="AC851" s="281"/>
      <c r="AD851" s="281"/>
      <c r="AE851" s="281"/>
      <c r="AF851" s="281"/>
      <c r="AG851" s="170"/>
      <c r="AH851" s="152"/>
      <c r="AI851" s="152"/>
      <c r="AJ851" s="152"/>
      <c r="AK851" s="152"/>
      <c r="AL851" s="152"/>
      <c r="AM851" s="152"/>
      <c r="AN851" s="152"/>
      <c r="AO851" s="152"/>
      <c r="AP851" s="152"/>
      <c r="AQ851" s="152"/>
      <c r="AR851" s="152"/>
    </row>
    <row r="852" ht="12.75" customHeight="1">
      <c r="A852" s="288"/>
      <c r="B852" s="288"/>
      <c r="C852" s="288"/>
      <c r="D852" s="152"/>
      <c r="E852" s="289"/>
      <c r="F852" s="288"/>
      <c r="G852" s="152"/>
      <c r="H852" s="152"/>
      <c r="I852" s="152"/>
      <c r="J852" s="152"/>
      <c r="K852" s="289"/>
      <c r="L852" s="289"/>
      <c r="M852" s="152"/>
      <c r="N852" s="152"/>
      <c r="O852" s="156"/>
      <c r="P852" s="152"/>
      <c r="Q852" s="152"/>
      <c r="R852" s="152"/>
      <c r="S852" s="152"/>
      <c r="T852" s="152"/>
      <c r="U852" s="152"/>
      <c r="V852" s="152"/>
      <c r="W852" s="152"/>
      <c r="X852" s="152"/>
      <c r="Y852" s="152"/>
      <c r="Z852" s="281"/>
      <c r="AA852" s="281"/>
      <c r="AB852" s="281"/>
      <c r="AC852" s="281"/>
      <c r="AD852" s="281"/>
      <c r="AE852" s="281"/>
      <c r="AF852" s="281"/>
      <c r="AG852" s="170"/>
      <c r="AH852" s="152"/>
      <c r="AI852" s="152"/>
      <c r="AJ852" s="152"/>
      <c r="AK852" s="152"/>
      <c r="AL852" s="152"/>
      <c r="AM852" s="152"/>
      <c r="AN852" s="152"/>
      <c r="AO852" s="152"/>
      <c r="AP852" s="152"/>
      <c r="AQ852" s="152"/>
      <c r="AR852" s="152"/>
    </row>
    <row r="853" ht="12.75" customHeight="1">
      <c r="A853" s="288"/>
      <c r="B853" s="288"/>
      <c r="C853" s="288"/>
      <c r="D853" s="152"/>
      <c r="E853" s="289"/>
      <c r="F853" s="288"/>
      <c r="G853" s="152"/>
      <c r="H853" s="152"/>
      <c r="I853" s="152"/>
      <c r="J853" s="152"/>
      <c r="K853" s="289"/>
      <c r="L853" s="289"/>
      <c r="M853" s="152"/>
      <c r="N853" s="152"/>
      <c r="O853" s="156"/>
      <c r="P853" s="152"/>
      <c r="Q853" s="152"/>
      <c r="R853" s="152"/>
      <c r="S853" s="152"/>
      <c r="T853" s="152"/>
      <c r="U853" s="152"/>
      <c r="V853" s="152"/>
      <c r="W853" s="152"/>
      <c r="X853" s="152"/>
      <c r="Y853" s="152"/>
      <c r="Z853" s="281"/>
      <c r="AA853" s="281"/>
      <c r="AB853" s="281"/>
      <c r="AC853" s="281"/>
      <c r="AD853" s="281"/>
      <c r="AE853" s="281"/>
      <c r="AF853" s="281"/>
      <c r="AG853" s="170"/>
      <c r="AH853" s="152"/>
      <c r="AI853" s="152"/>
      <c r="AJ853" s="152"/>
      <c r="AK853" s="152"/>
      <c r="AL853" s="152"/>
      <c r="AM853" s="152"/>
      <c r="AN853" s="152"/>
      <c r="AO853" s="152"/>
      <c r="AP853" s="152"/>
      <c r="AQ853" s="152"/>
      <c r="AR853" s="152"/>
    </row>
    <row r="854" ht="12.75" customHeight="1">
      <c r="A854" s="288"/>
      <c r="B854" s="288"/>
      <c r="C854" s="288"/>
      <c r="D854" s="152"/>
      <c r="E854" s="289"/>
      <c r="F854" s="288"/>
      <c r="G854" s="152"/>
      <c r="H854" s="152"/>
      <c r="I854" s="152"/>
      <c r="J854" s="152"/>
      <c r="K854" s="289"/>
      <c r="L854" s="289"/>
      <c r="M854" s="152"/>
      <c r="N854" s="152"/>
      <c r="O854" s="156"/>
      <c r="P854" s="152"/>
      <c r="Q854" s="152"/>
      <c r="R854" s="152"/>
      <c r="S854" s="152"/>
      <c r="T854" s="152"/>
      <c r="U854" s="152"/>
      <c r="V854" s="152"/>
      <c r="W854" s="152"/>
      <c r="X854" s="152"/>
      <c r="Y854" s="152"/>
      <c r="Z854" s="281"/>
      <c r="AA854" s="281"/>
      <c r="AB854" s="281"/>
      <c r="AC854" s="281"/>
      <c r="AD854" s="281"/>
      <c r="AE854" s="281"/>
      <c r="AF854" s="281"/>
      <c r="AG854" s="170"/>
      <c r="AH854" s="152"/>
      <c r="AI854" s="152"/>
      <c r="AJ854" s="152"/>
      <c r="AK854" s="152"/>
      <c r="AL854" s="152"/>
      <c r="AM854" s="152"/>
      <c r="AN854" s="152"/>
      <c r="AO854" s="152"/>
      <c r="AP854" s="152"/>
      <c r="AQ854" s="152"/>
      <c r="AR854" s="152"/>
    </row>
    <row r="855" ht="12.75" customHeight="1">
      <c r="A855" s="288"/>
      <c r="B855" s="288"/>
      <c r="C855" s="288"/>
      <c r="D855" s="152"/>
      <c r="E855" s="289"/>
      <c r="F855" s="288"/>
      <c r="G855" s="152"/>
      <c r="H855" s="152"/>
      <c r="I855" s="152"/>
      <c r="J855" s="152"/>
      <c r="K855" s="289"/>
      <c r="L855" s="289"/>
      <c r="M855" s="152"/>
      <c r="N855" s="152"/>
      <c r="O855" s="156"/>
      <c r="P855" s="152"/>
      <c r="Q855" s="152"/>
      <c r="R855" s="152"/>
      <c r="S855" s="152"/>
      <c r="T855" s="152"/>
      <c r="U855" s="152"/>
      <c r="V855" s="152"/>
      <c r="W855" s="152"/>
      <c r="X855" s="152"/>
      <c r="Y855" s="152"/>
      <c r="Z855" s="281"/>
      <c r="AA855" s="281"/>
      <c r="AB855" s="281"/>
      <c r="AC855" s="281"/>
      <c r="AD855" s="281"/>
      <c r="AE855" s="281"/>
      <c r="AF855" s="281"/>
      <c r="AG855" s="170"/>
      <c r="AH855" s="152"/>
      <c r="AI855" s="152"/>
      <c r="AJ855" s="152"/>
      <c r="AK855" s="152"/>
      <c r="AL855" s="152"/>
      <c r="AM855" s="152"/>
      <c r="AN855" s="152"/>
      <c r="AO855" s="152"/>
      <c r="AP855" s="152"/>
      <c r="AQ855" s="152"/>
      <c r="AR855" s="152"/>
    </row>
    <row r="856" ht="12.75" customHeight="1">
      <c r="A856" s="288"/>
      <c r="B856" s="288"/>
      <c r="C856" s="288"/>
      <c r="D856" s="152"/>
      <c r="E856" s="289"/>
      <c r="F856" s="288"/>
      <c r="G856" s="152"/>
      <c r="H856" s="152"/>
      <c r="I856" s="152"/>
      <c r="J856" s="152"/>
      <c r="K856" s="289"/>
      <c r="L856" s="289"/>
      <c r="M856" s="152"/>
      <c r="N856" s="152"/>
      <c r="O856" s="156"/>
      <c r="P856" s="152"/>
      <c r="Q856" s="152"/>
      <c r="R856" s="152"/>
      <c r="S856" s="152"/>
      <c r="T856" s="152"/>
      <c r="U856" s="152"/>
      <c r="V856" s="152"/>
      <c r="W856" s="152"/>
      <c r="X856" s="152"/>
      <c r="Y856" s="152"/>
      <c r="Z856" s="281"/>
      <c r="AA856" s="281"/>
      <c r="AB856" s="281"/>
      <c r="AC856" s="281"/>
      <c r="AD856" s="281"/>
      <c r="AE856" s="281"/>
      <c r="AF856" s="281"/>
      <c r="AG856" s="170"/>
      <c r="AH856" s="152"/>
      <c r="AI856" s="152"/>
      <c r="AJ856" s="152"/>
      <c r="AK856" s="152"/>
      <c r="AL856" s="152"/>
      <c r="AM856" s="152"/>
      <c r="AN856" s="152"/>
      <c r="AO856" s="152"/>
      <c r="AP856" s="152"/>
      <c r="AQ856" s="152"/>
      <c r="AR856" s="152"/>
    </row>
    <row r="857" ht="12.75" customHeight="1">
      <c r="A857" s="288"/>
      <c r="B857" s="288"/>
      <c r="C857" s="288"/>
      <c r="D857" s="152"/>
      <c r="E857" s="289"/>
      <c r="F857" s="288"/>
      <c r="G857" s="152"/>
      <c r="H857" s="152"/>
      <c r="I857" s="152"/>
      <c r="J857" s="152"/>
      <c r="K857" s="289"/>
      <c r="L857" s="289"/>
      <c r="M857" s="152"/>
      <c r="N857" s="152"/>
      <c r="O857" s="156"/>
      <c r="P857" s="152"/>
      <c r="Q857" s="152"/>
      <c r="R857" s="152"/>
      <c r="S857" s="152"/>
      <c r="T857" s="152"/>
      <c r="U857" s="152"/>
      <c r="V857" s="152"/>
      <c r="W857" s="152"/>
      <c r="X857" s="152"/>
      <c r="Y857" s="152"/>
      <c r="Z857" s="281"/>
      <c r="AA857" s="281"/>
      <c r="AB857" s="281"/>
      <c r="AC857" s="281"/>
      <c r="AD857" s="281"/>
      <c r="AE857" s="281"/>
      <c r="AF857" s="281"/>
      <c r="AG857" s="170"/>
      <c r="AH857" s="152"/>
      <c r="AI857" s="152"/>
      <c r="AJ857" s="152"/>
      <c r="AK857" s="152"/>
      <c r="AL857" s="152"/>
      <c r="AM857" s="152"/>
      <c r="AN857" s="152"/>
      <c r="AO857" s="152"/>
      <c r="AP857" s="152"/>
      <c r="AQ857" s="152"/>
      <c r="AR857" s="152"/>
    </row>
    <row r="858" ht="12.75" customHeight="1">
      <c r="A858" s="288"/>
      <c r="B858" s="288"/>
      <c r="C858" s="288"/>
      <c r="D858" s="152"/>
      <c r="E858" s="289"/>
      <c r="F858" s="288"/>
      <c r="G858" s="152"/>
      <c r="H858" s="152"/>
      <c r="I858" s="152"/>
      <c r="J858" s="152"/>
      <c r="K858" s="289"/>
      <c r="L858" s="289"/>
      <c r="M858" s="152"/>
      <c r="N858" s="152"/>
      <c r="O858" s="156"/>
      <c r="P858" s="152"/>
      <c r="Q858" s="152"/>
      <c r="R858" s="152"/>
      <c r="S858" s="152"/>
      <c r="T858" s="152"/>
      <c r="U858" s="152"/>
      <c r="V858" s="152"/>
      <c r="W858" s="152"/>
      <c r="X858" s="152"/>
      <c r="Y858" s="152"/>
      <c r="Z858" s="281"/>
      <c r="AA858" s="281"/>
      <c r="AB858" s="281"/>
      <c r="AC858" s="281"/>
      <c r="AD858" s="281"/>
      <c r="AE858" s="281"/>
      <c r="AF858" s="281"/>
      <c r="AG858" s="170"/>
      <c r="AH858" s="152"/>
      <c r="AI858" s="152"/>
      <c r="AJ858" s="152"/>
      <c r="AK858" s="152"/>
      <c r="AL858" s="152"/>
      <c r="AM858" s="152"/>
      <c r="AN858" s="152"/>
      <c r="AO858" s="152"/>
      <c r="AP858" s="152"/>
      <c r="AQ858" s="152"/>
      <c r="AR858" s="152"/>
    </row>
    <row r="859" ht="12.75" customHeight="1">
      <c r="A859" s="288"/>
      <c r="B859" s="288"/>
      <c r="C859" s="288"/>
      <c r="D859" s="152"/>
      <c r="E859" s="289"/>
      <c r="F859" s="288"/>
      <c r="G859" s="152"/>
      <c r="H859" s="152"/>
      <c r="I859" s="152"/>
      <c r="J859" s="152"/>
      <c r="K859" s="289"/>
      <c r="L859" s="289"/>
      <c r="M859" s="152"/>
      <c r="N859" s="152"/>
      <c r="O859" s="156"/>
      <c r="P859" s="152"/>
      <c r="Q859" s="152"/>
      <c r="R859" s="152"/>
      <c r="S859" s="152"/>
      <c r="T859" s="152"/>
      <c r="U859" s="152"/>
      <c r="V859" s="152"/>
      <c r="W859" s="152"/>
      <c r="X859" s="152"/>
      <c r="Y859" s="152"/>
      <c r="Z859" s="281"/>
      <c r="AA859" s="281"/>
      <c r="AB859" s="281"/>
      <c r="AC859" s="281"/>
      <c r="AD859" s="281"/>
      <c r="AE859" s="281"/>
      <c r="AF859" s="281"/>
      <c r="AG859" s="170"/>
      <c r="AH859" s="152"/>
      <c r="AI859" s="152"/>
      <c r="AJ859" s="152"/>
      <c r="AK859" s="152"/>
      <c r="AL859" s="152"/>
      <c r="AM859" s="152"/>
      <c r="AN859" s="152"/>
      <c r="AO859" s="152"/>
      <c r="AP859" s="152"/>
      <c r="AQ859" s="152"/>
      <c r="AR859" s="152"/>
    </row>
    <row r="860" ht="12.75" customHeight="1">
      <c r="A860" s="288"/>
      <c r="B860" s="288"/>
      <c r="C860" s="288"/>
      <c r="D860" s="152"/>
      <c r="E860" s="289"/>
      <c r="F860" s="288"/>
      <c r="G860" s="152"/>
      <c r="H860" s="152"/>
      <c r="I860" s="152"/>
      <c r="J860" s="152"/>
      <c r="K860" s="289"/>
      <c r="L860" s="289"/>
      <c r="M860" s="152"/>
      <c r="N860" s="152"/>
      <c r="O860" s="156"/>
      <c r="P860" s="152"/>
      <c r="Q860" s="152"/>
      <c r="R860" s="152"/>
      <c r="S860" s="152"/>
      <c r="T860" s="152"/>
      <c r="U860" s="152"/>
      <c r="V860" s="152"/>
      <c r="W860" s="152"/>
      <c r="X860" s="152"/>
      <c r="Y860" s="152"/>
      <c r="Z860" s="281"/>
      <c r="AA860" s="281"/>
      <c r="AB860" s="281"/>
      <c r="AC860" s="281"/>
      <c r="AD860" s="281"/>
      <c r="AE860" s="281"/>
      <c r="AF860" s="281"/>
      <c r="AG860" s="170"/>
      <c r="AH860" s="152"/>
      <c r="AI860" s="152"/>
      <c r="AJ860" s="152"/>
      <c r="AK860" s="152"/>
      <c r="AL860" s="152"/>
      <c r="AM860" s="152"/>
      <c r="AN860" s="152"/>
      <c r="AO860" s="152"/>
      <c r="AP860" s="152"/>
      <c r="AQ860" s="152"/>
      <c r="AR860" s="152"/>
    </row>
    <row r="861" ht="12.75" customHeight="1">
      <c r="A861" s="288"/>
      <c r="B861" s="288"/>
      <c r="C861" s="288"/>
      <c r="D861" s="152"/>
      <c r="E861" s="289"/>
      <c r="F861" s="288"/>
      <c r="G861" s="152"/>
      <c r="H861" s="152"/>
      <c r="I861" s="152"/>
      <c r="J861" s="152"/>
      <c r="K861" s="289"/>
      <c r="L861" s="289"/>
      <c r="M861" s="152"/>
      <c r="N861" s="152"/>
      <c r="O861" s="156"/>
      <c r="P861" s="152"/>
      <c r="Q861" s="152"/>
      <c r="R861" s="152"/>
      <c r="S861" s="152"/>
      <c r="T861" s="152"/>
      <c r="U861" s="152"/>
      <c r="V861" s="152"/>
      <c r="W861" s="152"/>
      <c r="X861" s="152"/>
      <c r="Y861" s="152"/>
      <c r="Z861" s="281"/>
      <c r="AA861" s="281"/>
      <c r="AB861" s="281"/>
      <c r="AC861" s="281"/>
      <c r="AD861" s="281"/>
      <c r="AE861" s="281"/>
      <c r="AF861" s="281"/>
      <c r="AG861" s="170"/>
      <c r="AH861" s="152"/>
      <c r="AI861" s="152"/>
      <c r="AJ861" s="152"/>
      <c r="AK861" s="152"/>
      <c r="AL861" s="152"/>
      <c r="AM861" s="152"/>
      <c r="AN861" s="152"/>
      <c r="AO861" s="152"/>
      <c r="AP861" s="152"/>
      <c r="AQ861" s="152"/>
      <c r="AR861" s="152"/>
    </row>
    <row r="862" ht="12.75" customHeight="1">
      <c r="A862" s="288"/>
      <c r="B862" s="288"/>
      <c r="C862" s="288"/>
      <c r="D862" s="152"/>
      <c r="E862" s="289"/>
      <c r="F862" s="288"/>
      <c r="G862" s="152"/>
      <c r="H862" s="152"/>
      <c r="I862" s="152"/>
      <c r="J862" s="152"/>
      <c r="K862" s="289"/>
      <c r="L862" s="289"/>
      <c r="M862" s="152"/>
      <c r="N862" s="152"/>
      <c r="O862" s="156"/>
      <c r="P862" s="152"/>
      <c r="Q862" s="152"/>
      <c r="R862" s="152"/>
      <c r="S862" s="152"/>
      <c r="T862" s="152"/>
      <c r="U862" s="152"/>
      <c r="V862" s="152"/>
      <c r="W862" s="152"/>
      <c r="X862" s="152"/>
      <c r="Y862" s="152"/>
      <c r="Z862" s="281"/>
      <c r="AA862" s="281"/>
      <c r="AB862" s="281"/>
      <c r="AC862" s="281"/>
      <c r="AD862" s="281"/>
      <c r="AE862" s="281"/>
      <c r="AF862" s="281"/>
      <c r="AG862" s="170"/>
      <c r="AH862" s="152"/>
      <c r="AI862" s="152"/>
      <c r="AJ862" s="152"/>
      <c r="AK862" s="152"/>
      <c r="AL862" s="152"/>
      <c r="AM862" s="152"/>
      <c r="AN862" s="152"/>
      <c r="AO862" s="152"/>
      <c r="AP862" s="152"/>
      <c r="AQ862" s="152"/>
      <c r="AR862" s="152"/>
    </row>
    <row r="863" ht="12.75" customHeight="1">
      <c r="A863" s="288"/>
      <c r="B863" s="288"/>
      <c r="C863" s="288"/>
      <c r="D863" s="152"/>
      <c r="E863" s="289"/>
      <c r="F863" s="288"/>
      <c r="G863" s="152"/>
      <c r="H863" s="152"/>
      <c r="I863" s="152"/>
      <c r="J863" s="152"/>
      <c r="K863" s="289"/>
      <c r="L863" s="289"/>
      <c r="M863" s="152"/>
      <c r="N863" s="152"/>
      <c r="O863" s="156"/>
      <c r="P863" s="152"/>
      <c r="Q863" s="152"/>
      <c r="R863" s="152"/>
      <c r="S863" s="152"/>
      <c r="T863" s="152"/>
      <c r="U863" s="152"/>
      <c r="V863" s="152"/>
      <c r="W863" s="152"/>
      <c r="X863" s="152"/>
      <c r="Y863" s="152"/>
      <c r="Z863" s="281"/>
      <c r="AA863" s="281"/>
      <c r="AB863" s="281"/>
      <c r="AC863" s="281"/>
      <c r="AD863" s="281"/>
      <c r="AE863" s="281"/>
      <c r="AF863" s="281"/>
      <c r="AG863" s="170"/>
      <c r="AH863" s="152"/>
      <c r="AI863" s="152"/>
      <c r="AJ863" s="152"/>
      <c r="AK863" s="152"/>
      <c r="AL863" s="152"/>
      <c r="AM863" s="152"/>
      <c r="AN863" s="152"/>
      <c r="AO863" s="152"/>
      <c r="AP863" s="152"/>
      <c r="AQ863" s="152"/>
      <c r="AR863" s="152"/>
    </row>
    <row r="864" ht="12.75" customHeight="1">
      <c r="A864" s="288"/>
      <c r="B864" s="288"/>
      <c r="C864" s="288"/>
      <c r="D864" s="152"/>
      <c r="E864" s="289"/>
      <c r="F864" s="288"/>
      <c r="G864" s="152"/>
      <c r="H864" s="152"/>
      <c r="I864" s="152"/>
      <c r="J864" s="152"/>
      <c r="K864" s="289"/>
      <c r="L864" s="289"/>
      <c r="M864" s="152"/>
      <c r="N864" s="152"/>
      <c r="O864" s="156"/>
      <c r="P864" s="152"/>
      <c r="Q864" s="152"/>
      <c r="R864" s="152"/>
      <c r="S864" s="152"/>
      <c r="T864" s="152"/>
      <c r="U864" s="152"/>
      <c r="V864" s="152"/>
      <c r="W864" s="152"/>
      <c r="X864" s="152"/>
      <c r="Y864" s="152"/>
      <c r="Z864" s="281"/>
      <c r="AA864" s="281"/>
      <c r="AB864" s="281"/>
      <c r="AC864" s="281"/>
      <c r="AD864" s="281"/>
      <c r="AE864" s="281"/>
      <c r="AF864" s="281"/>
      <c r="AG864" s="170"/>
      <c r="AH864" s="152"/>
      <c r="AI864" s="152"/>
      <c r="AJ864" s="152"/>
      <c r="AK864" s="152"/>
      <c r="AL864" s="152"/>
      <c r="AM864" s="152"/>
      <c r="AN864" s="152"/>
      <c r="AO864" s="152"/>
      <c r="AP864" s="152"/>
      <c r="AQ864" s="152"/>
      <c r="AR864" s="152"/>
    </row>
    <row r="865" ht="12.75" customHeight="1">
      <c r="A865" s="288"/>
      <c r="B865" s="288"/>
      <c r="C865" s="288"/>
      <c r="D865" s="152"/>
      <c r="E865" s="289"/>
      <c r="F865" s="288"/>
      <c r="G865" s="152"/>
      <c r="H865" s="152"/>
      <c r="I865" s="152"/>
      <c r="J865" s="152"/>
      <c r="K865" s="289"/>
      <c r="L865" s="289"/>
      <c r="M865" s="152"/>
      <c r="N865" s="152"/>
      <c r="O865" s="156"/>
      <c r="P865" s="152"/>
      <c r="Q865" s="152"/>
      <c r="R865" s="152"/>
      <c r="S865" s="152"/>
      <c r="T865" s="152"/>
      <c r="U865" s="152"/>
      <c r="V865" s="152"/>
      <c r="W865" s="152"/>
      <c r="X865" s="152"/>
      <c r="Y865" s="152"/>
      <c r="Z865" s="281"/>
      <c r="AA865" s="281"/>
      <c r="AB865" s="281"/>
      <c r="AC865" s="281"/>
      <c r="AD865" s="281"/>
      <c r="AE865" s="281"/>
      <c r="AF865" s="281"/>
      <c r="AG865" s="170"/>
      <c r="AH865" s="152"/>
      <c r="AI865" s="152"/>
      <c r="AJ865" s="152"/>
      <c r="AK865" s="152"/>
      <c r="AL865" s="152"/>
      <c r="AM865" s="152"/>
      <c r="AN865" s="152"/>
      <c r="AO865" s="152"/>
      <c r="AP865" s="152"/>
      <c r="AQ865" s="152"/>
      <c r="AR865" s="152"/>
    </row>
    <row r="866" ht="12.75" customHeight="1">
      <c r="A866" s="288"/>
      <c r="B866" s="288"/>
      <c r="C866" s="288"/>
      <c r="D866" s="152"/>
      <c r="E866" s="289"/>
      <c r="F866" s="288"/>
      <c r="G866" s="152"/>
      <c r="H866" s="152"/>
      <c r="I866" s="152"/>
      <c r="J866" s="152"/>
      <c r="K866" s="289"/>
      <c r="L866" s="289"/>
      <c r="M866" s="152"/>
      <c r="N866" s="152"/>
      <c r="O866" s="156"/>
      <c r="P866" s="152"/>
      <c r="Q866" s="152"/>
      <c r="R866" s="152"/>
      <c r="S866" s="152"/>
      <c r="T866" s="152"/>
      <c r="U866" s="152"/>
      <c r="V866" s="152"/>
      <c r="W866" s="152"/>
      <c r="X866" s="152"/>
      <c r="Y866" s="152"/>
      <c r="Z866" s="281"/>
      <c r="AA866" s="281"/>
      <c r="AB866" s="281"/>
      <c r="AC866" s="281"/>
      <c r="AD866" s="281"/>
      <c r="AE866" s="281"/>
      <c r="AF866" s="281"/>
      <c r="AG866" s="170"/>
      <c r="AH866" s="152"/>
      <c r="AI866" s="152"/>
      <c r="AJ866" s="152"/>
      <c r="AK866" s="152"/>
      <c r="AL866" s="152"/>
      <c r="AM866" s="152"/>
      <c r="AN866" s="152"/>
      <c r="AO866" s="152"/>
      <c r="AP866" s="152"/>
      <c r="AQ866" s="152"/>
      <c r="AR866" s="152"/>
    </row>
    <row r="867" ht="12.75" customHeight="1">
      <c r="A867" s="288"/>
      <c r="B867" s="288"/>
      <c r="C867" s="288"/>
      <c r="D867" s="152"/>
      <c r="E867" s="289"/>
      <c r="F867" s="288"/>
      <c r="G867" s="152"/>
      <c r="H867" s="152"/>
      <c r="I867" s="152"/>
      <c r="J867" s="152"/>
      <c r="K867" s="289"/>
      <c r="L867" s="289"/>
      <c r="M867" s="152"/>
      <c r="N867" s="152"/>
      <c r="O867" s="156"/>
      <c r="P867" s="152"/>
      <c r="Q867" s="152"/>
      <c r="R867" s="152"/>
      <c r="S867" s="152"/>
      <c r="T867" s="152"/>
      <c r="U867" s="152"/>
      <c r="V867" s="152"/>
      <c r="W867" s="152"/>
      <c r="X867" s="152"/>
      <c r="Y867" s="152"/>
      <c r="Z867" s="281"/>
      <c r="AA867" s="281"/>
      <c r="AB867" s="281"/>
      <c r="AC867" s="281"/>
      <c r="AD867" s="281"/>
      <c r="AE867" s="281"/>
      <c r="AF867" s="281"/>
      <c r="AG867" s="170"/>
      <c r="AH867" s="152"/>
      <c r="AI867" s="152"/>
      <c r="AJ867" s="152"/>
      <c r="AK867" s="152"/>
      <c r="AL867" s="152"/>
      <c r="AM867" s="152"/>
      <c r="AN867" s="152"/>
      <c r="AO867" s="152"/>
      <c r="AP867" s="152"/>
      <c r="AQ867" s="152"/>
      <c r="AR867" s="152"/>
    </row>
    <row r="868" ht="12.75" customHeight="1">
      <c r="A868" s="288"/>
      <c r="B868" s="288"/>
      <c r="C868" s="288"/>
      <c r="D868" s="152"/>
      <c r="E868" s="289"/>
      <c r="F868" s="288"/>
      <c r="G868" s="152"/>
      <c r="H868" s="152"/>
      <c r="I868" s="152"/>
      <c r="J868" s="152"/>
      <c r="K868" s="289"/>
      <c r="L868" s="289"/>
      <c r="M868" s="152"/>
      <c r="N868" s="152"/>
      <c r="O868" s="156"/>
      <c r="P868" s="152"/>
      <c r="Q868" s="152"/>
      <c r="R868" s="152"/>
      <c r="S868" s="152"/>
      <c r="T868" s="152"/>
      <c r="U868" s="152"/>
      <c r="V868" s="152"/>
      <c r="W868" s="152"/>
      <c r="X868" s="152"/>
      <c r="Y868" s="152"/>
      <c r="Z868" s="281"/>
      <c r="AA868" s="281"/>
      <c r="AB868" s="281"/>
      <c r="AC868" s="281"/>
      <c r="AD868" s="281"/>
      <c r="AE868" s="281"/>
      <c r="AF868" s="281"/>
      <c r="AG868" s="170"/>
      <c r="AH868" s="152"/>
      <c r="AI868" s="152"/>
      <c r="AJ868" s="152"/>
      <c r="AK868" s="152"/>
      <c r="AL868" s="152"/>
      <c r="AM868" s="152"/>
      <c r="AN868" s="152"/>
      <c r="AO868" s="152"/>
      <c r="AP868" s="152"/>
      <c r="AQ868" s="152"/>
      <c r="AR868" s="152"/>
    </row>
    <row r="869" ht="12.75" customHeight="1">
      <c r="A869" s="288"/>
      <c r="B869" s="288"/>
      <c r="C869" s="288"/>
      <c r="D869" s="152"/>
      <c r="E869" s="289"/>
      <c r="F869" s="288"/>
      <c r="G869" s="152"/>
      <c r="H869" s="152"/>
      <c r="I869" s="152"/>
      <c r="J869" s="152"/>
      <c r="K869" s="289"/>
      <c r="L869" s="289"/>
      <c r="M869" s="152"/>
      <c r="N869" s="152"/>
      <c r="O869" s="156"/>
      <c r="P869" s="152"/>
      <c r="Q869" s="152"/>
      <c r="R869" s="152"/>
      <c r="S869" s="152"/>
      <c r="T869" s="152"/>
      <c r="U869" s="152"/>
      <c r="V869" s="152"/>
      <c r="W869" s="152"/>
      <c r="X869" s="152"/>
      <c r="Y869" s="152"/>
      <c r="Z869" s="281"/>
      <c r="AA869" s="281"/>
      <c r="AB869" s="281"/>
      <c r="AC869" s="281"/>
      <c r="AD869" s="281"/>
      <c r="AE869" s="281"/>
      <c r="AF869" s="281"/>
      <c r="AG869" s="170"/>
      <c r="AH869" s="152"/>
      <c r="AI869" s="152"/>
      <c r="AJ869" s="152"/>
      <c r="AK869" s="152"/>
      <c r="AL869" s="152"/>
      <c r="AM869" s="152"/>
      <c r="AN869" s="152"/>
      <c r="AO869" s="152"/>
      <c r="AP869" s="152"/>
      <c r="AQ869" s="152"/>
      <c r="AR869" s="152"/>
    </row>
    <row r="870" ht="12.75" customHeight="1">
      <c r="A870" s="288"/>
      <c r="B870" s="288"/>
      <c r="C870" s="288"/>
      <c r="D870" s="152"/>
      <c r="E870" s="289"/>
      <c r="F870" s="288"/>
      <c r="G870" s="152"/>
      <c r="H870" s="152"/>
      <c r="I870" s="152"/>
      <c r="J870" s="152"/>
      <c r="K870" s="289"/>
      <c r="L870" s="289"/>
      <c r="M870" s="152"/>
      <c r="N870" s="152"/>
      <c r="O870" s="156"/>
      <c r="P870" s="152"/>
      <c r="Q870" s="152"/>
      <c r="R870" s="152"/>
      <c r="S870" s="152"/>
      <c r="T870" s="152"/>
      <c r="U870" s="152"/>
      <c r="V870" s="152"/>
      <c r="W870" s="152"/>
      <c r="X870" s="152"/>
      <c r="Y870" s="152"/>
      <c r="Z870" s="281"/>
      <c r="AA870" s="281"/>
      <c r="AB870" s="281"/>
      <c r="AC870" s="281"/>
      <c r="AD870" s="281"/>
      <c r="AE870" s="281"/>
      <c r="AF870" s="281"/>
      <c r="AG870" s="170"/>
      <c r="AH870" s="152"/>
      <c r="AI870" s="152"/>
      <c r="AJ870" s="152"/>
      <c r="AK870" s="152"/>
      <c r="AL870" s="152"/>
      <c r="AM870" s="152"/>
      <c r="AN870" s="152"/>
      <c r="AO870" s="152"/>
      <c r="AP870" s="152"/>
      <c r="AQ870" s="152"/>
      <c r="AR870" s="152"/>
    </row>
    <row r="871" ht="12.75" customHeight="1">
      <c r="A871" s="288"/>
      <c r="B871" s="288"/>
      <c r="C871" s="288"/>
      <c r="D871" s="152"/>
      <c r="E871" s="289"/>
      <c r="F871" s="288"/>
      <c r="G871" s="152"/>
      <c r="H871" s="152"/>
      <c r="I871" s="152"/>
      <c r="J871" s="152"/>
      <c r="K871" s="289"/>
      <c r="L871" s="289"/>
      <c r="M871" s="152"/>
      <c r="N871" s="152"/>
      <c r="O871" s="156"/>
      <c r="P871" s="152"/>
      <c r="Q871" s="152"/>
      <c r="R871" s="152"/>
      <c r="S871" s="152"/>
      <c r="T871" s="152"/>
      <c r="U871" s="152"/>
      <c r="V871" s="152"/>
      <c r="W871" s="152"/>
      <c r="X871" s="152"/>
      <c r="Y871" s="152"/>
      <c r="Z871" s="281"/>
      <c r="AA871" s="281"/>
      <c r="AB871" s="281"/>
      <c r="AC871" s="281"/>
      <c r="AD871" s="281"/>
      <c r="AE871" s="281"/>
      <c r="AF871" s="281"/>
      <c r="AG871" s="170"/>
      <c r="AH871" s="152"/>
      <c r="AI871" s="152"/>
      <c r="AJ871" s="152"/>
      <c r="AK871" s="152"/>
      <c r="AL871" s="152"/>
      <c r="AM871" s="152"/>
      <c r="AN871" s="152"/>
      <c r="AO871" s="152"/>
      <c r="AP871" s="152"/>
      <c r="AQ871" s="152"/>
      <c r="AR871" s="152"/>
    </row>
    <row r="872" ht="12.75" customHeight="1">
      <c r="A872" s="288"/>
      <c r="B872" s="288"/>
      <c r="C872" s="288"/>
      <c r="D872" s="152"/>
      <c r="E872" s="289"/>
      <c r="F872" s="288"/>
      <c r="G872" s="152"/>
      <c r="H872" s="152"/>
      <c r="I872" s="152"/>
      <c r="J872" s="152"/>
      <c r="K872" s="289"/>
      <c r="L872" s="289"/>
      <c r="M872" s="152"/>
      <c r="N872" s="152"/>
      <c r="O872" s="156"/>
      <c r="P872" s="152"/>
      <c r="Q872" s="152"/>
      <c r="R872" s="152"/>
      <c r="S872" s="152"/>
      <c r="T872" s="152"/>
      <c r="U872" s="152"/>
      <c r="V872" s="152"/>
      <c r="W872" s="152"/>
      <c r="X872" s="152"/>
      <c r="Y872" s="152"/>
      <c r="Z872" s="281"/>
      <c r="AA872" s="281"/>
      <c r="AB872" s="281"/>
      <c r="AC872" s="281"/>
      <c r="AD872" s="281"/>
      <c r="AE872" s="281"/>
      <c r="AF872" s="281"/>
      <c r="AG872" s="170"/>
      <c r="AH872" s="152"/>
      <c r="AI872" s="152"/>
      <c r="AJ872" s="152"/>
      <c r="AK872" s="152"/>
      <c r="AL872" s="152"/>
      <c r="AM872" s="152"/>
      <c r="AN872" s="152"/>
      <c r="AO872" s="152"/>
      <c r="AP872" s="152"/>
      <c r="AQ872" s="152"/>
      <c r="AR872" s="152"/>
    </row>
    <row r="873" ht="12.75" customHeight="1">
      <c r="A873" s="288"/>
      <c r="B873" s="288"/>
      <c r="C873" s="288"/>
      <c r="D873" s="152"/>
      <c r="E873" s="289"/>
      <c r="F873" s="288"/>
      <c r="G873" s="152"/>
      <c r="H873" s="152"/>
      <c r="I873" s="152"/>
      <c r="J873" s="152"/>
      <c r="K873" s="289"/>
      <c r="L873" s="289"/>
      <c r="M873" s="152"/>
      <c r="N873" s="152"/>
      <c r="O873" s="156"/>
      <c r="P873" s="152"/>
      <c r="Q873" s="152"/>
      <c r="R873" s="152"/>
      <c r="S873" s="152"/>
      <c r="T873" s="152"/>
      <c r="U873" s="152"/>
      <c r="V873" s="152"/>
      <c r="W873" s="152"/>
      <c r="X873" s="152"/>
      <c r="Y873" s="152"/>
      <c r="Z873" s="281"/>
      <c r="AA873" s="281"/>
      <c r="AB873" s="281"/>
      <c r="AC873" s="281"/>
      <c r="AD873" s="281"/>
      <c r="AE873" s="281"/>
      <c r="AF873" s="281"/>
      <c r="AG873" s="170"/>
      <c r="AH873" s="152"/>
      <c r="AI873" s="152"/>
      <c r="AJ873" s="152"/>
      <c r="AK873" s="152"/>
      <c r="AL873" s="152"/>
      <c r="AM873" s="152"/>
      <c r="AN873" s="152"/>
      <c r="AO873" s="152"/>
      <c r="AP873" s="152"/>
      <c r="AQ873" s="152"/>
      <c r="AR873" s="152"/>
    </row>
    <row r="874" ht="12.75" customHeight="1">
      <c r="A874" s="288"/>
      <c r="B874" s="288"/>
      <c r="C874" s="288"/>
      <c r="D874" s="152"/>
      <c r="E874" s="289"/>
      <c r="F874" s="288"/>
      <c r="G874" s="152"/>
      <c r="H874" s="152"/>
      <c r="I874" s="152"/>
      <c r="J874" s="152"/>
      <c r="K874" s="289"/>
      <c r="L874" s="289"/>
      <c r="M874" s="152"/>
      <c r="N874" s="152"/>
      <c r="O874" s="156"/>
      <c r="P874" s="152"/>
      <c r="Q874" s="152"/>
      <c r="R874" s="152"/>
      <c r="S874" s="152"/>
      <c r="T874" s="152"/>
      <c r="U874" s="152"/>
      <c r="V874" s="152"/>
      <c r="W874" s="152"/>
      <c r="X874" s="152"/>
      <c r="Y874" s="152"/>
      <c r="Z874" s="281"/>
      <c r="AA874" s="281"/>
      <c r="AB874" s="281"/>
      <c r="AC874" s="281"/>
      <c r="AD874" s="281"/>
      <c r="AE874" s="281"/>
      <c r="AF874" s="281"/>
      <c r="AG874" s="170"/>
      <c r="AH874" s="152"/>
      <c r="AI874" s="152"/>
      <c r="AJ874" s="152"/>
      <c r="AK874" s="152"/>
      <c r="AL874" s="152"/>
      <c r="AM874" s="152"/>
      <c r="AN874" s="152"/>
      <c r="AO874" s="152"/>
      <c r="AP874" s="152"/>
      <c r="AQ874" s="152"/>
      <c r="AR874" s="152"/>
    </row>
    <row r="875" ht="12.75" customHeight="1">
      <c r="A875" s="288"/>
      <c r="B875" s="288"/>
      <c r="C875" s="288"/>
      <c r="D875" s="152"/>
      <c r="E875" s="289"/>
      <c r="F875" s="288"/>
      <c r="G875" s="152"/>
      <c r="H875" s="152"/>
      <c r="I875" s="152"/>
      <c r="J875" s="152"/>
      <c r="K875" s="289"/>
      <c r="L875" s="289"/>
      <c r="M875" s="152"/>
      <c r="N875" s="152"/>
      <c r="O875" s="156"/>
      <c r="P875" s="152"/>
      <c r="Q875" s="152"/>
      <c r="R875" s="152"/>
      <c r="S875" s="152"/>
      <c r="T875" s="152"/>
      <c r="U875" s="152"/>
      <c r="V875" s="152"/>
      <c r="W875" s="152"/>
      <c r="X875" s="152"/>
      <c r="Y875" s="152"/>
      <c r="Z875" s="281"/>
      <c r="AA875" s="281"/>
      <c r="AB875" s="281"/>
      <c r="AC875" s="281"/>
      <c r="AD875" s="281"/>
      <c r="AE875" s="281"/>
      <c r="AF875" s="281"/>
      <c r="AG875" s="170"/>
      <c r="AH875" s="152"/>
      <c r="AI875" s="152"/>
      <c r="AJ875" s="152"/>
      <c r="AK875" s="152"/>
      <c r="AL875" s="152"/>
      <c r="AM875" s="152"/>
      <c r="AN875" s="152"/>
      <c r="AO875" s="152"/>
      <c r="AP875" s="152"/>
      <c r="AQ875" s="152"/>
      <c r="AR875" s="152"/>
    </row>
    <row r="876" ht="12.75" customHeight="1">
      <c r="A876" s="288"/>
      <c r="B876" s="288"/>
      <c r="C876" s="288"/>
      <c r="D876" s="152"/>
      <c r="E876" s="289"/>
      <c r="F876" s="288"/>
      <c r="G876" s="152"/>
      <c r="H876" s="152"/>
      <c r="I876" s="152"/>
      <c r="J876" s="152"/>
      <c r="K876" s="289"/>
      <c r="L876" s="289"/>
      <c r="M876" s="152"/>
      <c r="N876" s="152"/>
      <c r="O876" s="156"/>
      <c r="P876" s="152"/>
      <c r="Q876" s="152"/>
      <c r="R876" s="152"/>
      <c r="S876" s="152"/>
      <c r="T876" s="152"/>
      <c r="U876" s="152"/>
      <c r="V876" s="152"/>
      <c r="W876" s="152"/>
      <c r="X876" s="152"/>
      <c r="Y876" s="152"/>
      <c r="Z876" s="281"/>
      <c r="AA876" s="281"/>
      <c r="AB876" s="281"/>
      <c r="AC876" s="281"/>
      <c r="AD876" s="281"/>
      <c r="AE876" s="281"/>
      <c r="AF876" s="281"/>
      <c r="AG876" s="170"/>
      <c r="AH876" s="152"/>
      <c r="AI876" s="152"/>
      <c r="AJ876" s="152"/>
      <c r="AK876" s="152"/>
      <c r="AL876" s="152"/>
      <c r="AM876" s="152"/>
      <c r="AN876" s="152"/>
      <c r="AO876" s="152"/>
      <c r="AP876" s="152"/>
      <c r="AQ876" s="152"/>
      <c r="AR876" s="152"/>
    </row>
    <row r="877" ht="12.75" customHeight="1">
      <c r="A877" s="288"/>
      <c r="B877" s="288"/>
      <c r="C877" s="288"/>
      <c r="D877" s="152"/>
      <c r="E877" s="289"/>
      <c r="F877" s="288"/>
      <c r="G877" s="152"/>
      <c r="H877" s="152"/>
      <c r="I877" s="152"/>
      <c r="J877" s="152"/>
      <c r="K877" s="289"/>
      <c r="L877" s="289"/>
      <c r="M877" s="152"/>
      <c r="N877" s="152"/>
      <c r="O877" s="156"/>
      <c r="P877" s="152"/>
      <c r="Q877" s="152"/>
      <c r="R877" s="152"/>
      <c r="S877" s="152"/>
      <c r="T877" s="152"/>
      <c r="U877" s="152"/>
      <c r="V877" s="152"/>
      <c r="W877" s="152"/>
      <c r="X877" s="152"/>
      <c r="Y877" s="152"/>
      <c r="Z877" s="281"/>
      <c r="AA877" s="281"/>
      <c r="AB877" s="281"/>
      <c r="AC877" s="281"/>
      <c r="AD877" s="281"/>
      <c r="AE877" s="281"/>
      <c r="AF877" s="281"/>
      <c r="AG877" s="170"/>
      <c r="AH877" s="152"/>
      <c r="AI877" s="152"/>
      <c r="AJ877" s="152"/>
      <c r="AK877" s="152"/>
      <c r="AL877" s="152"/>
      <c r="AM877" s="152"/>
      <c r="AN877" s="152"/>
      <c r="AO877" s="152"/>
      <c r="AP877" s="152"/>
      <c r="AQ877" s="152"/>
      <c r="AR877" s="152"/>
    </row>
    <row r="878" ht="12.75" customHeight="1">
      <c r="A878" s="288"/>
      <c r="B878" s="288"/>
      <c r="C878" s="288"/>
      <c r="D878" s="152"/>
      <c r="E878" s="289"/>
      <c r="F878" s="288"/>
      <c r="G878" s="152"/>
      <c r="H878" s="152"/>
      <c r="I878" s="152"/>
      <c r="J878" s="152"/>
      <c r="K878" s="289"/>
      <c r="L878" s="289"/>
      <c r="M878" s="152"/>
      <c r="N878" s="152"/>
      <c r="O878" s="156"/>
      <c r="P878" s="152"/>
      <c r="Q878" s="152"/>
      <c r="R878" s="152"/>
      <c r="S878" s="152"/>
      <c r="T878" s="152"/>
      <c r="U878" s="152"/>
      <c r="V878" s="152"/>
      <c r="W878" s="152"/>
      <c r="X878" s="152"/>
      <c r="Y878" s="152"/>
      <c r="Z878" s="281"/>
      <c r="AA878" s="281"/>
      <c r="AB878" s="281"/>
      <c r="AC878" s="281"/>
      <c r="AD878" s="281"/>
      <c r="AE878" s="281"/>
      <c r="AF878" s="281"/>
      <c r="AG878" s="170"/>
      <c r="AH878" s="152"/>
      <c r="AI878" s="152"/>
      <c r="AJ878" s="152"/>
      <c r="AK878" s="152"/>
      <c r="AL878" s="152"/>
      <c r="AM878" s="152"/>
      <c r="AN878" s="152"/>
      <c r="AO878" s="152"/>
      <c r="AP878" s="152"/>
      <c r="AQ878" s="152"/>
      <c r="AR878" s="152"/>
    </row>
    <row r="879" ht="12.75" customHeight="1">
      <c r="A879" s="288"/>
      <c r="B879" s="288"/>
      <c r="C879" s="288"/>
      <c r="D879" s="152"/>
      <c r="E879" s="289"/>
      <c r="F879" s="288"/>
      <c r="G879" s="152"/>
      <c r="H879" s="152"/>
      <c r="I879" s="152"/>
      <c r="J879" s="152"/>
      <c r="K879" s="289"/>
      <c r="L879" s="289"/>
      <c r="M879" s="152"/>
      <c r="N879" s="152"/>
      <c r="O879" s="156"/>
      <c r="P879" s="152"/>
      <c r="Q879" s="152"/>
      <c r="R879" s="152"/>
      <c r="S879" s="152"/>
      <c r="T879" s="152"/>
      <c r="U879" s="152"/>
      <c r="V879" s="152"/>
      <c r="W879" s="152"/>
      <c r="X879" s="152"/>
      <c r="Y879" s="152"/>
      <c r="Z879" s="281"/>
      <c r="AA879" s="281"/>
      <c r="AB879" s="281"/>
      <c r="AC879" s="281"/>
      <c r="AD879" s="281"/>
      <c r="AE879" s="281"/>
      <c r="AF879" s="281"/>
      <c r="AG879" s="170"/>
      <c r="AH879" s="152"/>
      <c r="AI879" s="152"/>
      <c r="AJ879" s="152"/>
      <c r="AK879" s="152"/>
      <c r="AL879" s="152"/>
      <c r="AM879" s="152"/>
      <c r="AN879" s="152"/>
      <c r="AO879" s="152"/>
      <c r="AP879" s="152"/>
      <c r="AQ879" s="152"/>
      <c r="AR879" s="152"/>
    </row>
    <row r="880" ht="12.75" customHeight="1">
      <c r="A880" s="288"/>
      <c r="B880" s="288"/>
      <c r="C880" s="288"/>
      <c r="D880" s="152"/>
      <c r="E880" s="289"/>
      <c r="F880" s="288"/>
      <c r="G880" s="152"/>
      <c r="H880" s="152"/>
      <c r="I880" s="152"/>
      <c r="J880" s="152"/>
      <c r="K880" s="289"/>
      <c r="L880" s="289"/>
      <c r="M880" s="152"/>
      <c r="N880" s="152"/>
      <c r="O880" s="156"/>
      <c r="P880" s="152"/>
      <c r="Q880" s="152"/>
      <c r="R880" s="152"/>
      <c r="S880" s="152"/>
      <c r="T880" s="152"/>
      <c r="U880" s="152"/>
      <c r="V880" s="152"/>
      <c r="W880" s="152"/>
      <c r="X880" s="152"/>
      <c r="Y880" s="152"/>
      <c r="Z880" s="281"/>
      <c r="AA880" s="281"/>
      <c r="AB880" s="281"/>
      <c r="AC880" s="281"/>
      <c r="AD880" s="281"/>
      <c r="AE880" s="281"/>
      <c r="AF880" s="281"/>
      <c r="AG880" s="170"/>
      <c r="AH880" s="152"/>
      <c r="AI880" s="152"/>
      <c r="AJ880" s="152"/>
      <c r="AK880" s="152"/>
      <c r="AL880" s="152"/>
      <c r="AM880" s="152"/>
      <c r="AN880" s="152"/>
      <c r="AO880" s="152"/>
      <c r="AP880" s="152"/>
      <c r="AQ880" s="152"/>
      <c r="AR880" s="152"/>
    </row>
    <row r="881" ht="12.75" customHeight="1">
      <c r="A881" s="288"/>
      <c r="B881" s="288"/>
      <c r="C881" s="288"/>
      <c r="D881" s="152"/>
      <c r="E881" s="289"/>
      <c r="F881" s="288"/>
      <c r="G881" s="152"/>
      <c r="H881" s="152"/>
      <c r="I881" s="152"/>
      <c r="J881" s="152"/>
      <c r="K881" s="289"/>
      <c r="L881" s="289"/>
      <c r="M881" s="152"/>
      <c r="N881" s="152"/>
      <c r="O881" s="156"/>
      <c r="P881" s="152"/>
      <c r="Q881" s="152"/>
      <c r="R881" s="152"/>
      <c r="S881" s="152"/>
      <c r="T881" s="152"/>
      <c r="U881" s="152"/>
      <c r="V881" s="152"/>
      <c r="W881" s="152"/>
      <c r="X881" s="152"/>
      <c r="Y881" s="152"/>
      <c r="Z881" s="281"/>
      <c r="AA881" s="281"/>
      <c r="AB881" s="281"/>
      <c r="AC881" s="281"/>
      <c r="AD881" s="281"/>
      <c r="AE881" s="281"/>
      <c r="AF881" s="281"/>
      <c r="AG881" s="170"/>
      <c r="AH881" s="152"/>
      <c r="AI881" s="152"/>
      <c r="AJ881" s="152"/>
      <c r="AK881" s="152"/>
      <c r="AL881" s="152"/>
      <c r="AM881" s="152"/>
      <c r="AN881" s="152"/>
      <c r="AO881" s="152"/>
      <c r="AP881" s="152"/>
      <c r="AQ881" s="152"/>
      <c r="AR881" s="152"/>
    </row>
    <row r="882" ht="12.75" customHeight="1">
      <c r="A882" s="288"/>
      <c r="B882" s="288"/>
      <c r="C882" s="288"/>
      <c r="D882" s="152"/>
      <c r="E882" s="289"/>
      <c r="F882" s="288"/>
      <c r="G882" s="152"/>
      <c r="H882" s="152"/>
      <c r="I882" s="152"/>
      <c r="J882" s="152"/>
      <c r="K882" s="289"/>
      <c r="L882" s="289"/>
      <c r="M882" s="152"/>
      <c r="N882" s="152"/>
      <c r="O882" s="156"/>
      <c r="P882" s="152"/>
      <c r="Q882" s="152"/>
      <c r="R882" s="152"/>
      <c r="S882" s="152"/>
      <c r="T882" s="152"/>
      <c r="U882" s="152"/>
      <c r="V882" s="152"/>
      <c r="W882" s="152"/>
      <c r="X882" s="152"/>
      <c r="Y882" s="152"/>
      <c r="Z882" s="281"/>
      <c r="AA882" s="281"/>
      <c r="AB882" s="281"/>
      <c r="AC882" s="281"/>
      <c r="AD882" s="281"/>
      <c r="AE882" s="281"/>
      <c r="AF882" s="281"/>
      <c r="AG882" s="170"/>
      <c r="AH882" s="152"/>
      <c r="AI882" s="152"/>
      <c r="AJ882" s="152"/>
      <c r="AK882" s="152"/>
      <c r="AL882" s="152"/>
      <c r="AM882" s="152"/>
      <c r="AN882" s="152"/>
      <c r="AO882" s="152"/>
      <c r="AP882" s="152"/>
      <c r="AQ882" s="152"/>
      <c r="AR882" s="152"/>
    </row>
    <row r="883" ht="12.75" customHeight="1">
      <c r="A883" s="288"/>
      <c r="B883" s="288"/>
      <c r="C883" s="288"/>
      <c r="D883" s="152"/>
      <c r="E883" s="289"/>
      <c r="F883" s="288"/>
      <c r="G883" s="152"/>
      <c r="H883" s="152"/>
      <c r="I883" s="152"/>
      <c r="J883" s="152"/>
      <c r="K883" s="289"/>
      <c r="L883" s="289"/>
      <c r="M883" s="152"/>
      <c r="N883" s="152"/>
      <c r="O883" s="156"/>
      <c r="P883" s="152"/>
      <c r="Q883" s="152"/>
      <c r="R883" s="152"/>
      <c r="S883" s="152"/>
      <c r="T883" s="152"/>
      <c r="U883" s="152"/>
      <c r="V883" s="152"/>
      <c r="W883" s="152"/>
      <c r="X883" s="152"/>
      <c r="Y883" s="152"/>
      <c r="Z883" s="281"/>
      <c r="AA883" s="281"/>
      <c r="AB883" s="281"/>
      <c r="AC883" s="281"/>
      <c r="AD883" s="281"/>
      <c r="AE883" s="281"/>
      <c r="AF883" s="281"/>
      <c r="AG883" s="170"/>
      <c r="AH883" s="152"/>
      <c r="AI883" s="152"/>
      <c r="AJ883" s="152"/>
      <c r="AK883" s="152"/>
      <c r="AL883" s="152"/>
      <c r="AM883" s="152"/>
      <c r="AN883" s="152"/>
      <c r="AO883" s="152"/>
      <c r="AP883" s="152"/>
      <c r="AQ883" s="152"/>
      <c r="AR883" s="152"/>
    </row>
    <row r="884" ht="12.75" customHeight="1">
      <c r="A884" s="288"/>
      <c r="B884" s="288"/>
      <c r="C884" s="288"/>
      <c r="D884" s="152"/>
      <c r="E884" s="289"/>
      <c r="F884" s="288"/>
      <c r="G884" s="152"/>
      <c r="H884" s="152"/>
      <c r="I884" s="152"/>
      <c r="J884" s="152"/>
      <c r="K884" s="289"/>
      <c r="L884" s="289"/>
      <c r="M884" s="152"/>
      <c r="N884" s="152"/>
      <c r="O884" s="156"/>
      <c r="P884" s="152"/>
      <c r="Q884" s="152"/>
      <c r="R884" s="152"/>
      <c r="S884" s="152"/>
      <c r="T884" s="152"/>
      <c r="U884" s="152"/>
      <c r="V884" s="152"/>
      <c r="W884" s="152"/>
      <c r="X884" s="152"/>
      <c r="Y884" s="152"/>
      <c r="Z884" s="281"/>
      <c r="AA884" s="281"/>
      <c r="AB884" s="281"/>
      <c r="AC884" s="281"/>
      <c r="AD884" s="281"/>
      <c r="AE884" s="281"/>
      <c r="AF884" s="281"/>
      <c r="AG884" s="170"/>
      <c r="AH884" s="152"/>
      <c r="AI884" s="152"/>
      <c r="AJ884" s="152"/>
      <c r="AK884" s="152"/>
      <c r="AL884" s="152"/>
      <c r="AM884" s="152"/>
      <c r="AN884" s="152"/>
      <c r="AO884" s="152"/>
      <c r="AP884" s="152"/>
      <c r="AQ884" s="152"/>
      <c r="AR884" s="152"/>
    </row>
    <row r="885" ht="12.75" customHeight="1">
      <c r="A885" s="288"/>
      <c r="B885" s="288"/>
      <c r="C885" s="288"/>
      <c r="D885" s="152"/>
      <c r="E885" s="289"/>
      <c r="F885" s="288"/>
      <c r="G885" s="152"/>
      <c r="H885" s="152"/>
      <c r="I885" s="152"/>
      <c r="J885" s="152"/>
      <c r="K885" s="289"/>
      <c r="L885" s="289"/>
      <c r="M885" s="152"/>
      <c r="N885" s="152"/>
      <c r="O885" s="156"/>
      <c r="P885" s="152"/>
      <c r="Q885" s="152"/>
      <c r="R885" s="152"/>
      <c r="S885" s="152"/>
      <c r="T885" s="152"/>
      <c r="U885" s="152"/>
      <c r="V885" s="152"/>
      <c r="W885" s="152"/>
      <c r="X885" s="152"/>
      <c r="Y885" s="152"/>
      <c r="Z885" s="281"/>
      <c r="AA885" s="281"/>
      <c r="AB885" s="281"/>
      <c r="AC885" s="281"/>
      <c r="AD885" s="281"/>
      <c r="AE885" s="281"/>
      <c r="AF885" s="281"/>
      <c r="AG885" s="170"/>
      <c r="AH885" s="152"/>
      <c r="AI885" s="152"/>
      <c r="AJ885" s="152"/>
      <c r="AK885" s="152"/>
      <c r="AL885" s="152"/>
      <c r="AM885" s="152"/>
      <c r="AN885" s="152"/>
      <c r="AO885" s="152"/>
      <c r="AP885" s="152"/>
      <c r="AQ885" s="152"/>
      <c r="AR885" s="152"/>
    </row>
    <row r="886" ht="12.75" customHeight="1">
      <c r="A886" s="288"/>
      <c r="B886" s="288"/>
      <c r="C886" s="288"/>
      <c r="D886" s="152"/>
      <c r="E886" s="289"/>
      <c r="F886" s="288"/>
      <c r="G886" s="152"/>
      <c r="H886" s="152"/>
      <c r="I886" s="152"/>
      <c r="J886" s="152"/>
      <c r="K886" s="289"/>
      <c r="L886" s="289"/>
      <c r="M886" s="152"/>
      <c r="N886" s="152"/>
      <c r="O886" s="156"/>
      <c r="P886" s="152"/>
      <c r="Q886" s="152"/>
      <c r="R886" s="152"/>
      <c r="S886" s="152"/>
      <c r="T886" s="152"/>
      <c r="U886" s="152"/>
      <c r="V886" s="152"/>
      <c r="W886" s="152"/>
      <c r="X886" s="152"/>
      <c r="Y886" s="152"/>
      <c r="Z886" s="281"/>
      <c r="AA886" s="281"/>
      <c r="AB886" s="281"/>
      <c r="AC886" s="281"/>
      <c r="AD886" s="281"/>
      <c r="AE886" s="281"/>
      <c r="AF886" s="281"/>
      <c r="AG886" s="170"/>
      <c r="AH886" s="152"/>
      <c r="AI886" s="152"/>
      <c r="AJ886" s="152"/>
      <c r="AK886" s="152"/>
      <c r="AL886" s="152"/>
      <c r="AM886" s="152"/>
      <c r="AN886" s="152"/>
      <c r="AO886" s="152"/>
      <c r="AP886" s="152"/>
      <c r="AQ886" s="152"/>
      <c r="AR886" s="152"/>
    </row>
    <row r="887" ht="12.75" customHeight="1">
      <c r="A887" s="288"/>
      <c r="B887" s="288"/>
      <c r="C887" s="288"/>
      <c r="D887" s="152"/>
      <c r="E887" s="289"/>
      <c r="F887" s="288"/>
      <c r="G887" s="152"/>
      <c r="H887" s="152"/>
      <c r="I887" s="152"/>
      <c r="J887" s="152"/>
      <c r="K887" s="289"/>
      <c r="L887" s="289"/>
      <c r="M887" s="152"/>
      <c r="N887" s="152"/>
      <c r="O887" s="156"/>
      <c r="P887" s="152"/>
      <c r="Q887" s="152"/>
      <c r="R887" s="152"/>
      <c r="S887" s="152"/>
      <c r="T887" s="152"/>
      <c r="U887" s="152"/>
      <c r="V887" s="152"/>
      <c r="W887" s="152"/>
      <c r="X887" s="152"/>
      <c r="Y887" s="152"/>
      <c r="Z887" s="281"/>
      <c r="AA887" s="281"/>
      <c r="AB887" s="281"/>
      <c r="AC887" s="281"/>
      <c r="AD887" s="281"/>
      <c r="AE887" s="281"/>
      <c r="AF887" s="281"/>
      <c r="AG887" s="170"/>
      <c r="AH887" s="152"/>
      <c r="AI887" s="152"/>
      <c r="AJ887" s="152"/>
      <c r="AK887" s="152"/>
      <c r="AL887" s="152"/>
      <c r="AM887" s="152"/>
      <c r="AN887" s="152"/>
      <c r="AO887" s="152"/>
      <c r="AP887" s="152"/>
      <c r="AQ887" s="152"/>
      <c r="AR887" s="152"/>
    </row>
    <row r="888" ht="12.75" customHeight="1">
      <c r="A888" s="288"/>
      <c r="B888" s="288"/>
      <c r="C888" s="288"/>
      <c r="D888" s="152"/>
      <c r="E888" s="289"/>
      <c r="F888" s="288"/>
      <c r="G888" s="152"/>
      <c r="H888" s="152"/>
      <c r="I888" s="152"/>
      <c r="J888" s="152"/>
      <c r="K888" s="289"/>
      <c r="L888" s="289"/>
      <c r="M888" s="152"/>
      <c r="N888" s="152"/>
      <c r="O888" s="156"/>
      <c r="P888" s="152"/>
      <c r="Q888" s="152"/>
      <c r="R888" s="152"/>
      <c r="S888" s="152"/>
      <c r="T888" s="152"/>
      <c r="U888" s="152"/>
      <c r="V888" s="152"/>
      <c r="W888" s="152"/>
      <c r="X888" s="152"/>
      <c r="Y888" s="152"/>
      <c r="Z888" s="281"/>
      <c r="AA888" s="281"/>
      <c r="AB888" s="281"/>
      <c r="AC888" s="281"/>
      <c r="AD888" s="281"/>
      <c r="AE888" s="281"/>
      <c r="AF888" s="281"/>
      <c r="AG888" s="170"/>
      <c r="AH888" s="152"/>
      <c r="AI888" s="152"/>
      <c r="AJ888" s="152"/>
      <c r="AK888" s="152"/>
      <c r="AL888" s="152"/>
      <c r="AM888" s="152"/>
      <c r="AN888" s="152"/>
      <c r="AO888" s="152"/>
      <c r="AP888" s="152"/>
      <c r="AQ888" s="152"/>
      <c r="AR888" s="152"/>
    </row>
    <row r="889" ht="12.75" customHeight="1">
      <c r="A889" s="288"/>
      <c r="B889" s="288"/>
      <c r="C889" s="288"/>
      <c r="D889" s="152"/>
      <c r="E889" s="289"/>
      <c r="F889" s="288"/>
      <c r="G889" s="152"/>
      <c r="H889" s="152"/>
      <c r="I889" s="152"/>
      <c r="J889" s="152"/>
      <c r="K889" s="289"/>
      <c r="L889" s="289"/>
      <c r="M889" s="152"/>
      <c r="N889" s="152"/>
      <c r="O889" s="156"/>
      <c r="P889" s="152"/>
      <c r="Q889" s="152"/>
      <c r="R889" s="152"/>
      <c r="S889" s="152"/>
      <c r="T889" s="152"/>
      <c r="U889" s="152"/>
      <c r="V889" s="152"/>
      <c r="W889" s="152"/>
      <c r="X889" s="152"/>
      <c r="Y889" s="152"/>
      <c r="Z889" s="281"/>
      <c r="AA889" s="281"/>
      <c r="AB889" s="281"/>
      <c r="AC889" s="281"/>
      <c r="AD889" s="281"/>
      <c r="AE889" s="281"/>
      <c r="AF889" s="281"/>
      <c r="AG889" s="170"/>
      <c r="AH889" s="152"/>
      <c r="AI889" s="152"/>
      <c r="AJ889" s="152"/>
      <c r="AK889" s="152"/>
      <c r="AL889" s="152"/>
      <c r="AM889" s="152"/>
      <c r="AN889" s="152"/>
      <c r="AO889" s="152"/>
      <c r="AP889" s="152"/>
      <c r="AQ889" s="152"/>
      <c r="AR889" s="152"/>
    </row>
    <row r="890" ht="12.75" customHeight="1">
      <c r="A890" s="288"/>
      <c r="B890" s="288"/>
      <c r="C890" s="288"/>
      <c r="D890" s="152"/>
      <c r="E890" s="289"/>
      <c r="F890" s="288"/>
      <c r="G890" s="152"/>
      <c r="H890" s="152"/>
      <c r="I890" s="152"/>
      <c r="J890" s="152"/>
      <c r="K890" s="289"/>
      <c r="L890" s="289"/>
      <c r="M890" s="152"/>
      <c r="N890" s="152"/>
      <c r="O890" s="156"/>
      <c r="P890" s="152"/>
      <c r="Q890" s="152"/>
      <c r="R890" s="152"/>
      <c r="S890" s="152"/>
      <c r="T890" s="152"/>
      <c r="U890" s="152"/>
      <c r="V890" s="152"/>
      <c r="W890" s="152"/>
      <c r="X890" s="152"/>
      <c r="Y890" s="152"/>
      <c r="Z890" s="281"/>
      <c r="AA890" s="281"/>
      <c r="AB890" s="281"/>
      <c r="AC890" s="281"/>
      <c r="AD890" s="281"/>
      <c r="AE890" s="281"/>
      <c r="AF890" s="281"/>
      <c r="AG890" s="170"/>
      <c r="AH890" s="152"/>
      <c r="AI890" s="152"/>
      <c r="AJ890" s="152"/>
      <c r="AK890" s="152"/>
      <c r="AL890" s="152"/>
      <c r="AM890" s="152"/>
      <c r="AN890" s="152"/>
      <c r="AO890" s="152"/>
      <c r="AP890" s="152"/>
      <c r="AQ890" s="152"/>
      <c r="AR890" s="152"/>
    </row>
    <row r="891" ht="12.75" customHeight="1">
      <c r="A891" s="288"/>
      <c r="B891" s="288"/>
      <c r="C891" s="288"/>
      <c r="D891" s="152"/>
      <c r="E891" s="289"/>
      <c r="F891" s="288"/>
      <c r="G891" s="152"/>
      <c r="H891" s="152"/>
      <c r="I891" s="152"/>
      <c r="J891" s="152"/>
      <c r="K891" s="289"/>
      <c r="L891" s="289"/>
      <c r="M891" s="152"/>
      <c r="N891" s="152"/>
      <c r="O891" s="156"/>
      <c r="P891" s="152"/>
      <c r="Q891" s="152"/>
      <c r="R891" s="152"/>
      <c r="S891" s="152"/>
      <c r="T891" s="152"/>
      <c r="U891" s="152"/>
      <c r="V891" s="152"/>
      <c r="W891" s="152"/>
      <c r="X891" s="152"/>
      <c r="Y891" s="152"/>
      <c r="Z891" s="281"/>
      <c r="AA891" s="281"/>
      <c r="AB891" s="281"/>
      <c r="AC891" s="281"/>
      <c r="AD891" s="281"/>
      <c r="AE891" s="281"/>
      <c r="AF891" s="281"/>
      <c r="AG891" s="170"/>
      <c r="AH891" s="152"/>
      <c r="AI891" s="152"/>
      <c r="AJ891" s="152"/>
      <c r="AK891" s="152"/>
      <c r="AL891" s="152"/>
      <c r="AM891" s="152"/>
      <c r="AN891" s="152"/>
      <c r="AO891" s="152"/>
      <c r="AP891" s="152"/>
      <c r="AQ891" s="152"/>
      <c r="AR891" s="152"/>
    </row>
    <row r="892" ht="12.75" customHeight="1">
      <c r="A892" s="288"/>
      <c r="B892" s="288"/>
      <c r="C892" s="288"/>
      <c r="D892" s="152"/>
      <c r="E892" s="289"/>
      <c r="F892" s="288"/>
      <c r="G892" s="152"/>
      <c r="H892" s="152"/>
      <c r="I892" s="152"/>
      <c r="J892" s="152"/>
      <c r="K892" s="289"/>
      <c r="L892" s="289"/>
      <c r="M892" s="152"/>
      <c r="N892" s="152"/>
      <c r="O892" s="156"/>
      <c r="P892" s="152"/>
      <c r="Q892" s="152"/>
      <c r="R892" s="152"/>
      <c r="S892" s="152"/>
      <c r="T892" s="152"/>
      <c r="U892" s="152"/>
      <c r="V892" s="152"/>
      <c r="W892" s="152"/>
      <c r="X892" s="152"/>
      <c r="Y892" s="152"/>
      <c r="Z892" s="281"/>
      <c r="AA892" s="281"/>
      <c r="AB892" s="281"/>
      <c r="AC892" s="281"/>
      <c r="AD892" s="281"/>
      <c r="AE892" s="281"/>
      <c r="AF892" s="281"/>
      <c r="AG892" s="170"/>
      <c r="AH892" s="152"/>
      <c r="AI892" s="152"/>
      <c r="AJ892" s="152"/>
      <c r="AK892" s="152"/>
      <c r="AL892" s="152"/>
      <c r="AM892" s="152"/>
      <c r="AN892" s="152"/>
      <c r="AO892" s="152"/>
      <c r="AP892" s="152"/>
      <c r="AQ892" s="152"/>
      <c r="AR892" s="152"/>
    </row>
    <row r="893" ht="12.75" customHeight="1">
      <c r="A893" s="288"/>
      <c r="B893" s="288"/>
      <c r="C893" s="288"/>
      <c r="D893" s="152"/>
      <c r="E893" s="289"/>
      <c r="F893" s="288"/>
      <c r="G893" s="152"/>
      <c r="H893" s="152"/>
      <c r="I893" s="152"/>
      <c r="J893" s="152"/>
      <c r="K893" s="289"/>
      <c r="L893" s="289"/>
      <c r="M893" s="152"/>
      <c r="N893" s="152"/>
      <c r="O893" s="156"/>
      <c r="P893" s="152"/>
      <c r="Q893" s="152"/>
      <c r="R893" s="152"/>
      <c r="S893" s="152"/>
      <c r="T893" s="152"/>
      <c r="U893" s="152"/>
      <c r="V893" s="152"/>
      <c r="W893" s="152"/>
      <c r="X893" s="152"/>
      <c r="Y893" s="152"/>
      <c r="Z893" s="281"/>
      <c r="AA893" s="281"/>
      <c r="AB893" s="281"/>
      <c r="AC893" s="281"/>
      <c r="AD893" s="281"/>
      <c r="AE893" s="281"/>
      <c r="AF893" s="281"/>
      <c r="AG893" s="170"/>
      <c r="AH893" s="152"/>
      <c r="AI893" s="152"/>
      <c r="AJ893" s="152"/>
      <c r="AK893" s="152"/>
      <c r="AL893" s="152"/>
      <c r="AM893" s="152"/>
      <c r="AN893" s="152"/>
      <c r="AO893" s="152"/>
      <c r="AP893" s="152"/>
      <c r="AQ893" s="152"/>
      <c r="AR893" s="152"/>
    </row>
    <row r="894" ht="12.75" customHeight="1">
      <c r="A894" s="288"/>
      <c r="B894" s="288"/>
      <c r="C894" s="288"/>
      <c r="D894" s="152"/>
      <c r="E894" s="289"/>
      <c r="F894" s="288"/>
      <c r="G894" s="152"/>
      <c r="H894" s="152"/>
      <c r="I894" s="152"/>
      <c r="J894" s="152"/>
      <c r="K894" s="289"/>
      <c r="L894" s="289"/>
      <c r="M894" s="152"/>
      <c r="N894" s="152"/>
      <c r="O894" s="156"/>
      <c r="P894" s="152"/>
      <c r="Q894" s="152"/>
      <c r="R894" s="152"/>
      <c r="S894" s="152"/>
      <c r="T894" s="152"/>
      <c r="U894" s="152"/>
      <c r="V894" s="152"/>
      <c r="W894" s="152"/>
      <c r="X894" s="152"/>
      <c r="Y894" s="152"/>
      <c r="Z894" s="281"/>
      <c r="AA894" s="281"/>
      <c r="AB894" s="281"/>
      <c r="AC894" s="281"/>
      <c r="AD894" s="281"/>
      <c r="AE894" s="281"/>
      <c r="AF894" s="281"/>
      <c r="AG894" s="170"/>
      <c r="AH894" s="152"/>
      <c r="AI894" s="152"/>
      <c r="AJ894" s="152"/>
      <c r="AK894" s="152"/>
      <c r="AL894" s="152"/>
      <c r="AM894" s="152"/>
      <c r="AN894" s="152"/>
      <c r="AO894" s="152"/>
      <c r="AP894" s="152"/>
      <c r="AQ894" s="152"/>
      <c r="AR894" s="152"/>
    </row>
    <row r="895" ht="12.75" customHeight="1">
      <c r="A895" s="288"/>
      <c r="B895" s="288"/>
      <c r="C895" s="288"/>
      <c r="D895" s="152"/>
      <c r="E895" s="289"/>
      <c r="F895" s="288"/>
      <c r="G895" s="152"/>
      <c r="H895" s="152"/>
      <c r="I895" s="152"/>
      <c r="J895" s="152"/>
      <c r="K895" s="289"/>
      <c r="L895" s="289"/>
      <c r="M895" s="152"/>
      <c r="N895" s="152"/>
      <c r="O895" s="156"/>
      <c r="P895" s="152"/>
      <c r="Q895" s="152"/>
      <c r="R895" s="152"/>
      <c r="S895" s="152"/>
      <c r="T895" s="152"/>
      <c r="U895" s="152"/>
      <c r="V895" s="152"/>
      <c r="W895" s="152"/>
      <c r="X895" s="152"/>
      <c r="Y895" s="152"/>
      <c r="Z895" s="281"/>
      <c r="AA895" s="281"/>
      <c r="AB895" s="281"/>
      <c r="AC895" s="281"/>
      <c r="AD895" s="281"/>
      <c r="AE895" s="281"/>
      <c r="AF895" s="281"/>
      <c r="AG895" s="170"/>
      <c r="AH895" s="152"/>
      <c r="AI895" s="152"/>
      <c r="AJ895" s="152"/>
      <c r="AK895" s="152"/>
      <c r="AL895" s="152"/>
      <c r="AM895" s="152"/>
      <c r="AN895" s="152"/>
      <c r="AO895" s="152"/>
      <c r="AP895" s="152"/>
      <c r="AQ895" s="152"/>
      <c r="AR895" s="152"/>
    </row>
    <row r="896" ht="12.75" customHeight="1">
      <c r="A896" s="288"/>
      <c r="B896" s="288"/>
      <c r="C896" s="288"/>
      <c r="D896" s="152"/>
      <c r="E896" s="289"/>
      <c r="F896" s="288"/>
      <c r="G896" s="152"/>
      <c r="H896" s="152"/>
      <c r="I896" s="152"/>
      <c r="J896" s="152"/>
      <c r="K896" s="289"/>
      <c r="L896" s="289"/>
      <c r="M896" s="152"/>
      <c r="N896" s="152"/>
      <c r="O896" s="156"/>
      <c r="P896" s="152"/>
      <c r="Q896" s="152"/>
      <c r="R896" s="152"/>
      <c r="S896" s="152"/>
      <c r="T896" s="152"/>
      <c r="U896" s="152"/>
      <c r="V896" s="152"/>
      <c r="W896" s="152"/>
      <c r="X896" s="152"/>
      <c r="Y896" s="152"/>
      <c r="Z896" s="281"/>
      <c r="AA896" s="281"/>
      <c r="AB896" s="281"/>
      <c r="AC896" s="281"/>
      <c r="AD896" s="281"/>
      <c r="AE896" s="281"/>
      <c r="AF896" s="281"/>
      <c r="AG896" s="170"/>
      <c r="AH896" s="152"/>
      <c r="AI896" s="152"/>
      <c r="AJ896" s="152"/>
      <c r="AK896" s="152"/>
      <c r="AL896" s="152"/>
      <c r="AM896" s="152"/>
      <c r="AN896" s="152"/>
      <c r="AO896" s="152"/>
      <c r="AP896" s="152"/>
      <c r="AQ896" s="152"/>
      <c r="AR896" s="152"/>
    </row>
    <row r="897" ht="12.75" customHeight="1">
      <c r="A897" s="288"/>
      <c r="B897" s="288"/>
      <c r="C897" s="288"/>
      <c r="D897" s="152"/>
      <c r="E897" s="289"/>
      <c r="F897" s="288"/>
      <c r="G897" s="152"/>
      <c r="H897" s="152"/>
      <c r="I897" s="152"/>
      <c r="J897" s="152"/>
      <c r="K897" s="289"/>
      <c r="L897" s="289"/>
      <c r="M897" s="152"/>
      <c r="N897" s="152"/>
      <c r="O897" s="156"/>
      <c r="P897" s="152"/>
      <c r="Q897" s="152"/>
      <c r="R897" s="152"/>
      <c r="S897" s="152"/>
      <c r="T897" s="152"/>
      <c r="U897" s="152"/>
      <c r="V897" s="152"/>
      <c r="W897" s="152"/>
      <c r="X897" s="152"/>
      <c r="Y897" s="152"/>
      <c r="Z897" s="281"/>
      <c r="AA897" s="281"/>
      <c r="AB897" s="281"/>
      <c r="AC897" s="281"/>
      <c r="AD897" s="281"/>
      <c r="AE897" s="281"/>
      <c r="AF897" s="281"/>
      <c r="AG897" s="170"/>
      <c r="AH897" s="152"/>
      <c r="AI897" s="152"/>
      <c r="AJ897" s="152"/>
      <c r="AK897" s="152"/>
      <c r="AL897" s="152"/>
      <c r="AM897" s="152"/>
      <c r="AN897" s="152"/>
      <c r="AO897" s="152"/>
      <c r="AP897" s="152"/>
      <c r="AQ897" s="152"/>
      <c r="AR897" s="152"/>
    </row>
    <row r="898" ht="12.75" customHeight="1">
      <c r="A898" s="288"/>
      <c r="B898" s="288"/>
      <c r="C898" s="288"/>
      <c r="D898" s="152"/>
      <c r="E898" s="289"/>
      <c r="F898" s="288"/>
      <c r="G898" s="152"/>
      <c r="H898" s="152"/>
      <c r="I898" s="152"/>
      <c r="J898" s="152"/>
      <c r="K898" s="289"/>
      <c r="L898" s="289"/>
      <c r="M898" s="152"/>
      <c r="N898" s="152"/>
      <c r="O898" s="156"/>
      <c r="P898" s="152"/>
      <c r="Q898" s="152"/>
      <c r="R898" s="152"/>
      <c r="S898" s="152"/>
      <c r="T898" s="152"/>
      <c r="U898" s="152"/>
      <c r="V898" s="152"/>
      <c r="W898" s="152"/>
      <c r="X898" s="152"/>
      <c r="Y898" s="152"/>
      <c r="Z898" s="281"/>
      <c r="AA898" s="281"/>
      <c r="AB898" s="281"/>
      <c r="AC898" s="281"/>
      <c r="AD898" s="281"/>
      <c r="AE898" s="281"/>
      <c r="AF898" s="281"/>
      <c r="AG898" s="170"/>
      <c r="AH898" s="152"/>
      <c r="AI898" s="152"/>
      <c r="AJ898" s="152"/>
      <c r="AK898" s="152"/>
      <c r="AL898" s="152"/>
      <c r="AM898" s="152"/>
      <c r="AN898" s="152"/>
      <c r="AO898" s="152"/>
      <c r="AP898" s="152"/>
      <c r="AQ898" s="152"/>
      <c r="AR898" s="152"/>
    </row>
    <row r="899" ht="12.75" customHeight="1">
      <c r="A899" s="288"/>
      <c r="B899" s="288"/>
      <c r="C899" s="288"/>
      <c r="D899" s="152"/>
      <c r="E899" s="289"/>
      <c r="F899" s="288"/>
      <c r="G899" s="152"/>
      <c r="H899" s="152"/>
      <c r="I899" s="152"/>
      <c r="J899" s="152"/>
      <c r="K899" s="289"/>
      <c r="L899" s="289"/>
      <c r="M899" s="152"/>
      <c r="N899" s="152"/>
      <c r="O899" s="156"/>
      <c r="P899" s="152"/>
      <c r="Q899" s="152"/>
      <c r="R899" s="152"/>
      <c r="S899" s="152"/>
      <c r="T899" s="152"/>
      <c r="U899" s="152"/>
      <c r="V899" s="152"/>
      <c r="W899" s="152"/>
      <c r="X899" s="152"/>
      <c r="Y899" s="152"/>
      <c r="Z899" s="281"/>
      <c r="AA899" s="281"/>
      <c r="AB899" s="281"/>
      <c r="AC899" s="281"/>
      <c r="AD899" s="281"/>
      <c r="AE899" s="281"/>
      <c r="AF899" s="281"/>
      <c r="AG899" s="170"/>
      <c r="AH899" s="152"/>
      <c r="AI899" s="152"/>
      <c r="AJ899" s="152"/>
      <c r="AK899" s="152"/>
      <c r="AL899" s="152"/>
      <c r="AM899" s="152"/>
      <c r="AN899" s="152"/>
      <c r="AO899" s="152"/>
      <c r="AP899" s="152"/>
      <c r="AQ899" s="152"/>
      <c r="AR899" s="152"/>
    </row>
    <row r="900" ht="12.75" customHeight="1">
      <c r="A900" s="288"/>
      <c r="B900" s="288"/>
      <c r="C900" s="288"/>
      <c r="D900" s="152"/>
      <c r="E900" s="289"/>
      <c r="F900" s="288"/>
      <c r="G900" s="152"/>
      <c r="H900" s="152"/>
      <c r="I900" s="152"/>
      <c r="J900" s="152"/>
      <c r="K900" s="289"/>
      <c r="L900" s="289"/>
      <c r="M900" s="152"/>
      <c r="N900" s="152"/>
      <c r="O900" s="156"/>
      <c r="P900" s="152"/>
      <c r="Q900" s="152"/>
      <c r="R900" s="152"/>
      <c r="S900" s="152"/>
      <c r="T900" s="152"/>
      <c r="U900" s="152"/>
      <c r="V900" s="152"/>
      <c r="W900" s="152"/>
      <c r="X900" s="152"/>
      <c r="Y900" s="152"/>
      <c r="Z900" s="281"/>
      <c r="AA900" s="281"/>
      <c r="AB900" s="281"/>
      <c r="AC900" s="281"/>
      <c r="AD900" s="281"/>
      <c r="AE900" s="281"/>
      <c r="AF900" s="281"/>
      <c r="AG900" s="170"/>
      <c r="AH900" s="152"/>
      <c r="AI900" s="152"/>
      <c r="AJ900" s="152"/>
      <c r="AK900" s="152"/>
      <c r="AL900" s="152"/>
      <c r="AM900" s="152"/>
      <c r="AN900" s="152"/>
      <c r="AO900" s="152"/>
      <c r="AP900" s="152"/>
      <c r="AQ900" s="152"/>
      <c r="AR900" s="152"/>
    </row>
    <row r="901" ht="12.75" customHeight="1">
      <c r="A901" s="288"/>
      <c r="B901" s="288"/>
      <c r="C901" s="288"/>
      <c r="D901" s="152"/>
      <c r="E901" s="289"/>
      <c r="F901" s="288"/>
      <c r="G901" s="152"/>
      <c r="H901" s="152"/>
      <c r="I901" s="152"/>
      <c r="J901" s="152"/>
      <c r="K901" s="289"/>
      <c r="L901" s="289"/>
      <c r="M901" s="152"/>
      <c r="N901" s="152"/>
      <c r="O901" s="156"/>
      <c r="P901" s="152"/>
      <c r="Q901" s="152"/>
      <c r="R901" s="152"/>
      <c r="S901" s="152"/>
      <c r="T901" s="152"/>
      <c r="U901" s="152"/>
      <c r="V901" s="152"/>
      <c r="W901" s="152"/>
      <c r="X901" s="152"/>
      <c r="Y901" s="152"/>
      <c r="Z901" s="281"/>
      <c r="AA901" s="281"/>
      <c r="AB901" s="281"/>
      <c r="AC901" s="281"/>
      <c r="AD901" s="281"/>
      <c r="AE901" s="281"/>
      <c r="AF901" s="281"/>
      <c r="AG901" s="170"/>
      <c r="AH901" s="152"/>
      <c r="AI901" s="152"/>
      <c r="AJ901" s="152"/>
      <c r="AK901" s="152"/>
      <c r="AL901" s="152"/>
      <c r="AM901" s="152"/>
      <c r="AN901" s="152"/>
      <c r="AO901" s="152"/>
      <c r="AP901" s="152"/>
      <c r="AQ901" s="152"/>
      <c r="AR901" s="152"/>
    </row>
    <row r="902" ht="12.75" customHeight="1">
      <c r="A902" s="288"/>
      <c r="B902" s="288"/>
      <c r="C902" s="288"/>
      <c r="D902" s="152"/>
      <c r="E902" s="289"/>
      <c r="F902" s="288"/>
      <c r="G902" s="152"/>
      <c r="H902" s="152"/>
      <c r="I902" s="152"/>
      <c r="J902" s="152"/>
      <c r="K902" s="289"/>
      <c r="L902" s="289"/>
      <c r="M902" s="152"/>
      <c r="N902" s="152"/>
      <c r="O902" s="156"/>
      <c r="P902" s="152"/>
      <c r="Q902" s="152"/>
      <c r="R902" s="152"/>
      <c r="S902" s="152"/>
      <c r="T902" s="152"/>
      <c r="U902" s="152"/>
      <c r="V902" s="152"/>
      <c r="W902" s="152"/>
      <c r="X902" s="152"/>
      <c r="Y902" s="152"/>
      <c r="Z902" s="281"/>
      <c r="AA902" s="281"/>
      <c r="AB902" s="281"/>
      <c r="AC902" s="281"/>
      <c r="AD902" s="281"/>
      <c r="AE902" s="281"/>
      <c r="AF902" s="281"/>
      <c r="AG902" s="170"/>
      <c r="AH902" s="152"/>
      <c r="AI902" s="152"/>
      <c r="AJ902" s="152"/>
      <c r="AK902" s="152"/>
      <c r="AL902" s="152"/>
      <c r="AM902" s="152"/>
      <c r="AN902" s="152"/>
      <c r="AO902" s="152"/>
      <c r="AP902" s="152"/>
      <c r="AQ902" s="152"/>
      <c r="AR902" s="152"/>
    </row>
    <row r="903" ht="12.75" customHeight="1">
      <c r="A903" s="288"/>
      <c r="B903" s="288"/>
      <c r="C903" s="288"/>
      <c r="D903" s="152"/>
      <c r="E903" s="289"/>
      <c r="F903" s="288"/>
      <c r="G903" s="152"/>
      <c r="H903" s="152"/>
      <c r="I903" s="152"/>
      <c r="J903" s="152"/>
      <c r="K903" s="289"/>
      <c r="L903" s="289"/>
      <c r="M903" s="152"/>
      <c r="N903" s="152"/>
      <c r="O903" s="156"/>
      <c r="P903" s="152"/>
      <c r="Q903" s="152"/>
      <c r="R903" s="152"/>
      <c r="S903" s="152"/>
      <c r="T903" s="152"/>
      <c r="U903" s="152"/>
      <c r="V903" s="152"/>
      <c r="W903" s="152"/>
      <c r="X903" s="152"/>
      <c r="Y903" s="152"/>
      <c r="Z903" s="281"/>
      <c r="AA903" s="281"/>
      <c r="AB903" s="281"/>
      <c r="AC903" s="281"/>
      <c r="AD903" s="281"/>
      <c r="AE903" s="281"/>
      <c r="AF903" s="281"/>
      <c r="AG903" s="170"/>
      <c r="AH903" s="152"/>
      <c r="AI903" s="152"/>
      <c r="AJ903" s="152"/>
      <c r="AK903" s="152"/>
      <c r="AL903" s="152"/>
      <c r="AM903" s="152"/>
      <c r="AN903" s="152"/>
      <c r="AO903" s="152"/>
      <c r="AP903" s="152"/>
      <c r="AQ903" s="152"/>
      <c r="AR903" s="152"/>
    </row>
    <row r="904" ht="12.75" customHeight="1">
      <c r="A904" s="288"/>
      <c r="B904" s="288"/>
      <c r="C904" s="288"/>
      <c r="D904" s="152"/>
      <c r="E904" s="289"/>
      <c r="F904" s="288"/>
      <c r="G904" s="152"/>
      <c r="H904" s="152"/>
      <c r="I904" s="152"/>
      <c r="J904" s="152"/>
      <c r="K904" s="289"/>
      <c r="L904" s="289"/>
      <c r="M904" s="152"/>
      <c r="N904" s="152"/>
      <c r="O904" s="156"/>
      <c r="P904" s="152"/>
      <c r="Q904" s="152"/>
      <c r="R904" s="152"/>
      <c r="S904" s="152"/>
      <c r="T904" s="152"/>
      <c r="U904" s="152"/>
      <c r="V904" s="152"/>
      <c r="W904" s="152"/>
      <c r="X904" s="152"/>
      <c r="Y904" s="152"/>
      <c r="Z904" s="281"/>
      <c r="AA904" s="281"/>
      <c r="AB904" s="281"/>
      <c r="AC904" s="281"/>
      <c r="AD904" s="281"/>
      <c r="AE904" s="281"/>
      <c r="AF904" s="281"/>
      <c r="AG904" s="170"/>
      <c r="AH904" s="152"/>
      <c r="AI904" s="152"/>
      <c r="AJ904" s="152"/>
      <c r="AK904" s="152"/>
      <c r="AL904" s="152"/>
      <c r="AM904" s="152"/>
      <c r="AN904" s="152"/>
      <c r="AO904" s="152"/>
      <c r="AP904" s="152"/>
      <c r="AQ904" s="152"/>
      <c r="AR904" s="152"/>
    </row>
    <row r="905" ht="12.75" customHeight="1">
      <c r="A905" s="288"/>
      <c r="B905" s="288"/>
      <c r="C905" s="288"/>
      <c r="D905" s="152"/>
      <c r="E905" s="289"/>
      <c r="F905" s="288"/>
      <c r="G905" s="152"/>
      <c r="H905" s="152"/>
      <c r="I905" s="152"/>
      <c r="J905" s="152"/>
      <c r="K905" s="289"/>
      <c r="L905" s="289"/>
      <c r="M905" s="152"/>
      <c r="N905" s="152"/>
      <c r="O905" s="156"/>
      <c r="P905" s="152"/>
      <c r="Q905" s="152"/>
      <c r="R905" s="152"/>
      <c r="S905" s="152"/>
      <c r="T905" s="152"/>
      <c r="U905" s="152"/>
      <c r="V905" s="152"/>
      <c r="W905" s="152"/>
      <c r="X905" s="152"/>
      <c r="Y905" s="152"/>
      <c r="Z905" s="281"/>
      <c r="AA905" s="281"/>
      <c r="AB905" s="281"/>
      <c r="AC905" s="281"/>
      <c r="AD905" s="281"/>
      <c r="AE905" s="281"/>
      <c r="AF905" s="281"/>
      <c r="AG905" s="170"/>
      <c r="AH905" s="152"/>
      <c r="AI905" s="152"/>
      <c r="AJ905" s="152"/>
      <c r="AK905" s="152"/>
      <c r="AL905" s="152"/>
      <c r="AM905" s="152"/>
      <c r="AN905" s="152"/>
      <c r="AO905" s="152"/>
      <c r="AP905" s="152"/>
      <c r="AQ905" s="152"/>
      <c r="AR905" s="152"/>
    </row>
    <row r="906" ht="12.75" customHeight="1">
      <c r="A906" s="288"/>
      <c r="B906" s="288"/>
      <c r="C906" s="288"/>
      <c r="D906" s="152"/>
      <c r="E906" s="289"/>
      <c r="F906" s="288"/>
      <c r="G906" s="152"/>
      <c r="H906" s="152"/>
      <c r="I906" s="152"/>
      <c r="J906" s="152"/>
      <c r="K906" s="289"/>
      <c r="L906" s="289"/>
      <c r="M906" s="152"/>
      <c r="N906" s="152"/>
      <c r="O906" s="156"/>
      <c r="P906" s="152"/>
      <c r="Q906" s="152"/>
      <c r="R906" s="152"/>
      <c r="S906" s="152"/>
      <c r="T906" s="152"/>
      <c r="U906" s="152"/>
      <c r="V906" s="152"/>
      <c r="W906" s="152"/>
      <c r="X906" s="152"/>
      <c r="Y906" s="152"/>
      <c r="Z906" s="281"/>
      <c r="AA906" s="281"/>
      <c r="AB906" s="281"/>
      <c r="AC906" s="281"/>
      <c r="AD906" s="281"/>
      <c r="AE906" s="281"/>
      <c r="AF906" s="281"/>
      <c r="AG906" s="170"/>
      <c r="AH906" s="152"/>
      <c r="AI906" s="152"/>
      <c r="AJ906" s="152"/>
      <c r="AK906" s="152"/>
      <c r="AL906" s="152"/>
      <c r="AM906" s="152"/>
      <c r="AN906" s="152"/>
      <c r="AO906" s="152"/>
      <c r="AP906" s="152"/>
      <c r="AQ906" s="152"/>
      <c r="AR906" s="152"/>
    </row>
    <row r="907" ht="12.75" customHeight="1">
      <c r="A907" s="288"/>
      <c r="B907" s="288"/>
      <c r="C907" s="288"/>
      <c r="D907" s="152"/>
      <c r="E907" s="289"/>
      <c r="F907" s="288"/>
      <c r="G907" s="152"/>
      <c r="H907" s="152"/>
      <c r="I907" s="152"/>
      <c r="J907" s="152"/>
      <c r="K907" s="289"/>
      <c r="L907" s="289"/>
      <c r="M907" s="152"/>
      <c r="N907" s="152"/>
      <c r="O907" s="156"/>
      <c r="P907" s="152"/>
      <c r="Q907" s="152"/>
      <c r="R907" s="152"/>
      <c r="S907" s="152"/>
      <c r="T907" s="152"/>
      <c r="U907" s="152"/>
      <c r="V907" s="152"/>
      <c r="W907" s="152"/>
      <c r="X907" s="152"/>
      <c r="Y907" s="152"/>
      <c r="Z907" s="281"/>
      <c r="AA907" s="281"/>
      <c r="AB907" s="281"/>
      <c r="AC907" s="281"/>
      <c r="AD907" s="281"/>
      <c r="AE907" s="281"/>
      <c r="AF907" s="281"/>
      <c r="AG907" s="170"/>
      <c r="AH907" s="152"/>
      <c r="AI907" s="152"/>
      <c r="AJ907" s="152"/>
      <c r="AK907" s="152"/>
      <c r="AL907" s="152"/>
      <c r="AM907" s="152"/>
      <c r="AN907" s="152"/>
      <c r="AO907" s="152"/>
      <c r="AP907" s="152"/>
      <c r="AQ907" s="152"/>
      <c r="AR907" s="152"/>
    </row>
    <row r="908" ht="12.75" customHeight="1">
      <c r="A908" s="288"/>
      <c r="B908" s="288"/>
      <c r="C908" s="288"/>
      <c r="D908" s="152"/>
      <c r="E908" s="289"/>
      <c r="F908" s="288"/>
      <c r="G908" s="152"/>
      <c r="H908" s="152"/>
      <c r="I908" s="152"/>
      <c r="J908" s="152"/>
      <c r="K908" s="289"/>
      <c r="L908" s="289"/>
      <c r="M908" s="152"/>
      <c r="N908" s="152"/>
      <c r="O908" s="156"/>
      <c r="P908" s="152"/>
      <c r="Q908" s="152"/>
      <c r="R908" s="152"/>
      <c r="S908" s="152"/>
      <c r="T908" s="152"/>
      <c r="U908" s="152"/>
      <c r="V908" s="152"/>
      <c r="W908" s="152"/>
      <c r="X908" s="152"/>
      <c r="Y908" s="152"/>
      <c r="Z908" s="281"/>
      <c r="AA908" s="281"/>
      <c r="AB908" s="281"/>
      <c r="AC908" s="281"/>
      <c r="AD908" s="281"/>
      <c r="AE908" s="281"/>
      <c r="AF908" s="281"/>
      <c r="AG908" s="170"/>
      <c r="AH908" s="152"/>
      <c r="AI908" s="152"/>
      <c r="AJ908" s="152"/>
      <c r="AK908" s="152"/>
      <c r="AL908" s="152"/>
      <c r="AM908" s="152"/>
      <c r="AN908" s="152"/>
      <c r="AO908" s="152"/>
      <c r="AP908" s="152"/>
      <c r="AQ908" s="152"/>
      <c r="AR908" s="152"/>
    </row>
    <row r="909" ht="12.75" customHeight="1">
      <c r="A909" s="288"/>
      <c r="B909" s="288"/>
      <c r="C909" s="288"/>
      <c r="D909" s="152"/>
      <c r="E909" s="289"/>
      <c r="F909" s="288"/>
      <c r="G909" s="152"/>
      <c r="H909" s="152"/>
      <c r="I909" s="152"/>
      <c r="J909" s="152"/>
      <c r="K909" s="289"/>
      <c r="L909" s="289"/>
      <c r="M909" s="152"/>
      <c r="N909" s="152"/>
      <c r="O909" s="156"/>
      <c r="P909" s="152"/>
      <c r="Q909" s="152"/>
      <c r="R909" s="152"/>
      <c r="S909" s="152"/>
      <c r="T909" s="152"/>
      <c r="U909" s="152"/>
      <c r="V909" s="152"/>
      <c r="W909" s="152"/>
      <c r="X909" s="152"/>
      <c r="Y909" s="152"/>
      <c r="Z909" s="281"/>
      <c r="AA909" s="281"/>
      <c r="AB909" s="281"/>
      <c r="AC909" s="281"/>
      <c r="AD909" s="281"/>
      <c r="AE909" s="281"/>
      <c r="AF909" s="281"/>
      <c r="AG909" s="170"/>
      <c r="AH909" s="152"/>
      <c r="AI909" s="152"/>
      <c r="AJ909" s="152"/>
      <c r="AK909" s="152"/>
      <c r="AL909" s="152"/>
      <c r="AM909" s="152"/>
      <c r="AN909" s="152"/>
      <c r="AO909" s="152"/>
      <c r="AP909" s="152"/>
      <c r="AQ909" s="152"/>
      <c r="AR909" s="152"/>
    </row>
    <row r="910" ht="12.75" customHeight="1">
      <c r="A910" s="288"/>
      <c r="B910" s="288"/>
      <c r="C910" s="288"/>
      <c r="D910" s="152"/>
      <c r="E910" s="289"/>
      <c r="F910" s="288"/>
      <c r="G910" s="152"/>
      <c r="H910" s="152"/>
      <c r="I910" s="152"/>
      <c r="J910" s="152"/>
      <c r="K910" s="289"/>
      <c r="L910" s="289"/>
      <c r="M910" s="152"/>
      <c r="N910" s="152"/>
      <c r="O910" s="156"/>
      <c r="P910" s="152"/>
      <c r="Q910" s="152"/>
      <c r="R910" s="152"/>
      <c r="S910" s="152"/>
      <c r="T910" s="152"/>
      <c r="U910" s="152"/>
      <c r="V910" s="152"/>
      <c r="W910" s="152"/>
      <c r="X910" s="152"/>
      <c r="Y910" s="152"/>
      <c r="Z910" s="281"/>
      <c r="AA910" s="281"/>
      <c r="AB910" s="281"/>
      <c r="AC910" s="281"/>
      <c r="AD910" s="281"/>
      <c r="AE910" s="281"/>
      <c r="AF910" s="281"/>
      <c r="AG910" s="170"/>
      <c r="AH910" s="152"/>
      <c r="AI910" s="152"/>
      <c r="AJ910" s="152"/>
      <c r="AK910" s="152"/>
      <c r="AL910" s="152"/>
      <c r="AM910" s="152"/>
      <c r="AN910" s="152"/>
      <c r="AO910" s="152"/>
      <c r="AP910" s="152"/>
      <c r="AQ910" s="152"/>
      <c r="AR910" s="152"/>
    </row>
    <row r="911" ht="12.75" customHeight="1">
      <c r="A911" s="288"/>
      <c r="B911" s="288"/>
      <c r="C911" s="288"/>
      <c r="D911" s="152"/>
      <c r="E911" s="289"/>
      <c r="F911" s="288"/>
      <c r="G911" s="152"/>
      <c r="H911" s="152"/>
      <c r="I911" s="152"/>
      <c r="J911" s="152"/>
      <c r="K911" s="289"/>
      <c r="L911" s="289"/>
      <c r="M911" s="152"/>
      <c r="N911" s="152"/>
      <c r="O911" s="156"/>
      <c r="P911" s="152"/>
      <c r="Q911" s="152"/>
      <c r="R911" s="152"/>
      <c r="S911" s="152"/>
      <c r="T911" s="152"/>
      <c r="U911" s="152"/>
      <c r="V911" s="152"/>
      <c r="W911" s="152"/>
      <c r="X911" s="152"/>
      <c r="Y911" s="152"/>
      <c r="Z911" s="281"/>
      <c r="AA911" s="281"/>
      <c r="AB911" s="281"/>
      <c r="AC911" s="281"/>
      <c r="AD911" s="281"/>
      <c r="AE911" s="281"/>
      <c r="AF911" s="281"/>
      <c r="AG911" s="170"/>
      <c r="AH911" s="152"/>
      <c r="AI911" s="152"/>
      <c r="AJ911" s="152"/>
      <c r="AK911" s="152"/>
      <c r="AL911" s="152"/>
      <c r="AM911" s="152"/>
      <c r="AN911" s="152"/>
      <c r="AO911" s="152"/>
      <c r="AP911" s="152"/>
      <c r="AQ911" s="152"/>
      <c r="AR911" s="152"/>
    </row>
    <row r="912" ht="12.75" customHeight="1">
      <c r="A912" s="288"/>
      <c r="B912" s="288"/>
      <c r="C912" s="288"/>
      <c r="D912" s="152"/>
      <c r="E912" s="289"/>
      <c r="F912" s="288"/>
      <c r="G912" s="152"/>
      <c r="H912" s="152"/>
      <c r="I912" s="152"/>
      <c r="J912" s="152"/>
      <c r="K912" s="289"/>
      <c r="L912" s="289"/>
      <c r="M912" s="152"/>
      <c r="N912" s="152"/>
      <c r="O912" s="156"/>
      <c r="P912" s="152"/>
      <c r="Q912" s="152"/>
      <c r="R912" s="152"/>
      <c r="S912" s="152"/>
      <c r="T912" s="152"/>
      <c r="U912" s="152"/>
      <c r="V912" s="152"/>
      <c r="W912" s="152"/>
      <c r="X912" s="152"/>
      <c r="Y912" s="152"/>
      <c r="Z912" s="281"/>
      <c r="AA912" s="281"/>
      <c r="AB912" s="281"/>
      <c r="AC912" s="281"/>
      <c r="AD912" s="281"/>
      <c r="AE912" s="281"/>
      <c r="AF912" s="281"/>
      <c r="AG912" s="170"/>
      <c r="AH912" s="152"/>
      <c r="AI912" s="152"/>
      <c r="AJ912" s="152"/>
      <c r="AK912" s="152"/>
      <c r="AL912" s="152"/>
      <c r="AM912" s="152"/>
      <c r="AN912" s="152"/>
      <c r="AO912" s="152"/>
      <c r="AP912" s="152"/>
      <c r="AQ912" s="152"/>
      <c r="AR912" s="152"/>
    </row>
    <row r="913" ht="12.75" customHeight="1">
      <c r="A913" s="288"/>
      <c r="B913" s="288"/>
      <c r="C913" s="288"/>
      <c r="D913" s="152"/>
      <c r="E913" s="289"/>
      <c r="F913" s="288"/>
      <c r="G913" s="152"/>
      <c r="H913" s="152"/>
      <c r="I913" s="152"/>
      <c r="J913" s="152"/>
      <c r="K913" s="289"/>
      <c r="L913" s="289"/>
      <c r="M913" s="152"/>
      <c r="N913" s="152"/>
      <c r="O913" s="156"/>
      <c r="P913" s="152"/>
      <c r="Q913" s="152"/>
      <c r="R913" s="152"/>
      <c r="S913" s="152"/>
      <c r="T913" s="152"/>
      <c r="U913" s="152"/>
      <c r="V913" s="152"/>
      <c r="W913" s="152"/>
      <c r="X913" s="152"/>
      <c r="Y913" s="152"/>
      <c r="Z913" s="281"/>
      <c r="AA913" s="281"/>
      <c r="AB913" s="281"/>
      <c r="AC913" s="281"/>
      <c r="AD913" s="281"/>
      <c r="AE913" s="281"/>
      <c r="AF913" s="281"/>
      <c r="AG913" s="170"/>
      <c r="AH913" s="152"/>
      <c r="AI913" s="152"/>
      <c r="AJ913" s="152"/>
      <c r="AK913" s="152"/>
      <c r="AL913" s="152"/>
      <c r="AM913" s="152"/>
      <c r="AN913" s="152"/>
      <c r="AO913" s="152"/>
      <c r="AP913" s="152"/>
      <c r="AQ913" s="152"/>
      <c r="AR913" s="152"/>
    </row>
    <row r="914" ht="12.75" customHeight="1">
      <c r="A914" s="288"/>
      <c r="B914" s="288"/>
      <c r="C914" s="288"/>
      <c r="D914" s="152"/>
      <c r="E914" s="289"/>
      <c r="F914" s="288"/>
      <c r="G914" s="152"/>
      <c r="H914" s="152"/>
      <c r="I914" s="152"/>
      <c r="J914" s="152"/>
      <c r="K914" s="289"/>
      <c r="L914" s="289"/>
      <c r="M914" s="152"/>
      <c r="N914" s="152"/>
      <c r="O914" s="156"/>
      <c r="P914" s="152"/>
      <c r="Q914" s="152"/>
      <c r="R914" s="152"/>
      <c r="S914" s="152"/>
      <c r="T914" s="152"/>
      <c r="U914" s="152"/>
      <c r="V914" s="152"/>
      <c r="W914" s="152"/>
      <c r="X914" s="152"/>
      <c r="Y914" s="152"/>
      <c r="Z914" s="281"/>
      <c r="AA914" s="281"/>
      <c r="AB914" s="281"/>
      <c r="AC914" s="281"/>
      <c r="AD914" s="281"/>
      <c r="AE914" s="281"/>
      <c r="AF914" s="281"/>
      <c r="AG914" s="170"/>
      <c r="AH914" s="152"/>
      <c r="AI914" s="152"/>
      <c r="AJ914" s="152"/>
      <c r="AK914" s="152"/>
      <c r="AL914" s="152"/>
      <c r="AM914" s="152"/>
      <c r="AN914" s="152"/>
      <c r="AO914" s="152"/>
      <c r="AP914" s="152"/>
      <c r="AQ914" s="152"/>
      <c r="AR914" s="152"/>
    </row>
    <row r="915" ht="12.75" customHeight="1">
      <c r="A915" s="288"/>
      <c r="B915" s="288"/>
      <c r="C915" s="288"/>
      <c r="D915" s="152"/>
      <c r="E915" s="289"/>
      <c r="F915" s="288"/>
      <c r="G915" s="152"/>
      <c r="H915" s="152"/>
      <c r="I915" s="152"/>
      <c r="J915" s="152"/>
      <c r="K915" s="289"/>
      <c r="L915" s="289"/>
      <c r="M915" s="152"/>
      <c r="N915" s="152"/>
      <c r="O915" s="156"/>
      <c r="P915" s="152"/>
      <c r="Q915" s="152"/>
      <c r="R915" s="152"/>
      <c r="S915" s="152"/>
      <c r="T915" s="152"/>
      <c r="U915" s="152"/>
      <c r="V915" s="152"/>
      <c r="W915" s="152"/>
      <c r="X915" s="152"/>
      <c r="Y915" s="152"/>
      <c r="Z915" s="281"/>
      <c r="AA915" s="281"/>
      <c r="AB915" s="281"/>
      <c r="AC915" s="281"/>
      <c r="AD915" s="281"/>
      <c r="AE915" s="281"/>
      <c r="AF915" s="281"/>
      <c r="AG915" s="170"/>
      <c r="AH915" s="152"/>
      <c r="AI915" s="152"/>
      <c r="AJ915" s="152"/>
      <c r="AK915" s="152"/>
      <c r="AL915" s="152"/>
      <c r="AM915" s="152"/>
      <c r="AN915" s="152"/>
      <c r="AO915" s="152"/>
      <c r="AP915" s="152"/>
      <c r="AQ915" s="152"/>
      <c r="AR915" s="152"/>
    </row>
    <row r="916" ht="12.75" customHeight="1">
      <c r="A916" s="288"/>
      <c r="B916" s="288"/>
      <c r="C916" s="288"/>
      <c r="D916" s="152"/>
      <c r="E916" s="289"/>
      <c r="F916" s="288"/>
      <c r="G916" s="152"/>
      <c r="H916" s="152"/>
      <c r="I916" s="152"/>
      <c r="J916" s="152"/>
      <c r="K916" s="289"/>
      <c r="L916" s="289"/>
      <c r="M916" s="152"/>
      <c r="N916" s="152"/>
      <c r="O916" s="156"/>
      <c r="P916" s="152"/>
      <c r="Q916" s="152"/>
      <c r="R916" s="152"/>
      <c r="S916" s="152"/>
      <c r="T916" s="152"/>
      <c r="U916" s="152"/>
      <c r="V916" s="152"/>
      <c r="W916" s="152"/>
      <c r="X916" s="152"/>
      <c r="Y916" s="152"/>
      <c r="Z916" s="281"/>
      <c r="AA916" s="281"/>
      <c r="AB916" s="281"/>
      <c r="AC916" s="281"/>
      <c r="AD916" s="281"/>
      <c r="AE916" s="281"/>
      <c r="AF916" s="281"/>
      <c r="AG916" s="170"/>
      <c r="AH916" s="152"/>
      <c r="AI916" s="152"/>
      <c r="AJ916" s="152"/>
      <c r="AK916" s="152"/>
      <c r="AL916" s="152"/>
      <c r="AM916" s="152"/>
      <c r="AN916" s="152"/>
      <c r="AO916" s="152"/>
      <c r="AP916" s="152"/>
      <c r="AQ916" s="152"/>
      <c r="AR916" s="152"/>
    </row>
    <row r="917" ht="12.75" customHeight="1">
      <c r="A917" s="288"/>
      <c r="B917" s="288"/>
      <c r="C917" s="288"/>
      <c r="D917" s="152"/>
      <c r="E917" s="289"/>
      <c r="F917" s="288"/>
      <c r="G917" s="152"/>
      <c r="H917" s="152"/>
      <c r="I917" s="152"/>
      <c r="J917" s="152"/>
      <c r="K917" s="289"/>
      <c r="L917" s="289"/>
      <c r="M917" s="152"/>
      <c r="N917" s="152"/>
      <c r="O917" s="156"/>
      <c r="P917" s="152"/>
      <c r="Q917" s="152"/>
      <c r="R917" s="152"/>
      <c r="S917" s="152"/>
      <c r="T917" s="152"/>
      <c r="U917" s="152"/>
      <c r="V917" s="152"/>
      <c r="W917" s="152"/>
      <c r="X917" s="152"/>
      <c r="Y917" s="152"/>
      <c r="Z917" s="281"/>
      <c r="AA917" s="281"/>
      <c r="AB917" s="281"/>
      <c r="AC917" s="281"/>
      <c r="AD917" s="281"/>
      <c r="AE917" s="281"/>
      <c r="AF917" s="281"/>
      <c r="AG917" s="170"/>
      <c r="AH917" s="152"/>
      <c r="AI917" s="152"/>
      <c r="AJ917" s="152"/>
      <c r="AK917" s="152"/>
      <c r="AL917" s="152"/>
      <c r="AM917" s="152"/>
      <c r="AN917" s="152"/>
      <c r="AO917" s="152"/>
      <c r="AP917" s="152"/>
      <c r="AQ917" s="152"/>
      <c r="AR917" s="152"/>
    </row>
    <row r="918" ht="12.75" customHeight="1">
      <c r="A918" s="288"/>
      <c r="B918" s="288"/>
      <c r="C918" s="288"/>
      <c r="D918" s="152"/>
      <c r="E918" s="289"/>
      <c r="F918" s="288"/>
      <c r="G918" s="152"/>
      <c r="H918" s="152"/>
      <c r="I918" s="152"/>
      <c r="J918" s="152"/>
      <c r="K918" s="289"/>
      <c r="L918" s="289"/>
      <c r="M918" s="152"/>
      <c r="N918" s="152"/>
      <c r="O918" s="156"/>
      <c r="P918" s="152"/>
      <c r="Q918" s="152"/>
      <c r="R918" s="152"/>
      <c r="S918" s="152"/>
      <c r="T918" s="152"/>
      <c r="U918" s="152"/>
      <c r="V918" s="152"/>
      <c r="W918" s="152"/>
      <c r="X918" s="152"/>
      <c r="Y918" s="152"/>
      <c r="Z918" s="281"/>
      <c r="AA918" s="281"/>
      <c r="AB918" s="281"/>
      <c r="AC918" s="281"/>
      <c r="AD918" s="281"/>
      <c r="AE918" s="281"/>
      <c r="AF918" s="281"/>
      <c r="AG918" s="170"/>
      <c r="AH918" s="152"/>
      <c r="AI918" s="152"/>
      <c r="AJ918" s="152"/>
      <c r="AK918" s="152"/>
      <c r="AL918" s="152"/>
      <c r="AM918" s="152"/>
      <c r="AN918" s="152"/>
      <c r="AO918" s="152"/>
      <c r="AP918" s="152"/>
      <c r="AQ918" s="152"/>
      <c r="AR918" s="152"/>
    </row>
    <row r="919" ht="12.75" customHeight="1">
      <c r="A919" s="288"/>
      <c r="B919" s="288"/>
      <c r="C919" s="288"/>
      <c r="D919" s="152"/>
      <c r="E919" s="289"/>
      <c r="F919" s="288"/>
      <c r="G919" s="152"/>
      <c r="H919" s="152"/>
      <c r="I919" s="152"/>
      <c r="J919" s="152"/>
      <c r="K919" s="289"/>
      <c r="L919" s="289"/>
      <c r="M919" s="152"/>
      <c r="N919" s="152"/>
      <c r="O919" s="156"/>
      <c r="P919" s="152"/>
      <c r="Q919" s="152"/>
      <c r="R919" s="152"/>
      <c r="S919" s="152"/>
      <c r="T919" s="152"/>
      <c r="U919" s="152"/>
      <c r="V919" s="152"/>
      <c r="W919" s="152"/>
      <c r="X919" s="152"/>
      <c r="Y919" s="152"/>
      <c r="Z919" s="281"/>
      <c r="AA919" s="281"/>
      <c r="AB919" s="281"/>
      <c r="AC919" s="281"/>
      <c r="AD919" s="281"/>
      <c r="AE919" s="281"/>
      <c r="AF919" s="281"/>
      <c r="AG919" s="170"/>
      <c r="AH919" s="152"/>
      <c r="AI919" s="152"/>
      <c r="AJ919" s="152"/>
      <c r="AK919" s="152"/>
      <c r="AL919" s="152"/>
      <c r="AM919" s="152"/>
      <c r="AN919" s="152"/>
      <c r="AO919" s="152"/>
      <c r="AP919" s="152"/>
      <c r="AQ919" s="152"/>
      <c r="AR919" s="152"/>
    </row>
    <row r="920" ht="12.75" customHeight="1">
      <c r="A920" s="288"/>
      <c r="B920" s="288"/>
      <c r="C920" s="288"/>
      <c r="D920" s="152"/>
      <c r="E920" s="289"/>
      <c r="F920" s="288"/>
      <c r="G920" s="152"/>
      <c r="H920" s="152"/>
      <c r="I920" s="152"/>
      <c r="J920" s="152"/>
      <c r="K920" s="289"/>
      <c r="L920" s="289"/>
      <c r="M920" s="152"/>
      <c r="N920" s="152"/>
      <c r="O920" s="156"/>
      <c r="P920" s="152"/>
      <c r="Q920" s="152"/>
      <c r="R920" s="152"/>
      <c r="S920" s="152"/>
      <c r="T920" s="152"/>
      <c r="U920" s="152"/>
      <c r="V920" s="152"/>
      <c r="W920" s="152"/>
      <c r="X920" s="152"/>
      <c r="Y920" s="152"/>
      <c r="Z920" s="281"/>
      <c r="AA920" s="281"/>
      <c r="AB920" s="281"/>
      <c r="AC920" s="281"/>
      <c r="AD920" s="281"/>
      <c r="AE920" s="281"/>
      <c r="AF920" s="281"/>
      <c r="AG920" s="170"/>
      <c r="AH920" s="152"/>
      <c r="AI920" s="152"/>
      <c r="AJ920" s="152"/>
      <c r="AK920" s="152"/>
      <c r="AL920" s="152"/>
      <c r="AM920" s="152"/>
      <c r="AN920" s="152"/>
      <c r="AO920" s="152"/>
      <c r="AP920" s="152"/>
      <c r="AQ920" s="152"/>
      <c r="AR920" s="152"/>
    </row>
    <row r="921" ht="12.75" customHeight="1">
      <c r="A921" s="288"/>
      <c r="B921" s="288"/>
      <c r="C921" s="288"/>
      <c r="D921" s="152"/>
      <c r="E921" s="289"/>
      <c r="F921" s="288"/>
      <c r="G921" s="152"/>
      <c r="H921" s="152"/>
      <c r="I921" s="152"/>
      <c r="J921" s="152"/>
      <c r="K921" s="289"/>
      <c r="L921" s="289"/>
      <c r="M921" s="152"/>
      <c r="N921" s="152"/>
      <c r="O921" s="156"/>
      <c r="P921" s="152"/>
      <c r="Q921" s="152"/>
      <c r="R921" s="152"/>
      <c r="S921" s="152"/>
      <c r="T921" s="152"/>
      <c r="U921" s="152"/>
      <c r="V921" s="152"/>
      <c r="W921" s="152"/>
      <c r="X921" s="152"/>
      <c r="Y921" s="152"/>
      <c r="Z921" s="281"/>
      <c r="AA921" s="281"/>
      <c r="AB921" s="281"/>
      <c r="AC921" s="281"/>
      <c r="AD921" s="281"/>
      <c r="AE921" s="281"/>
      <c r="AF921" s="281"/>
      <c r="AG921" s="170"/>
      <c r="AH921" s="152"/>
      <c r="AI921" s="152"/>
      <c r="AJ921" s="152"/>
      <c r="AK921" s="152"/>
      <c r="AL921" s="152"/>
      <c r="AM921" s="152"/>
      <c r="AN921" s="152"/>
      <c r="AO921" s="152"/>
      <c r="AP921" s="152"/>
      <c r="AQ921" s="152"/>
      <c r="AR921" s="152"/>
    </row>
    <row r="922" ht="12.75" customHeight="1">
      <c r="A922" s="288"/>
      <c r="B922" s="288"/>
      <c r="C922" s="288"/>
      <c r="D922" s="152"/>
      <c r="E922" s="289"/>
      <c r="F922" s="288"/>
      <c r="G922" s="152"/>
      <c r="H922" s="152"/>
      <c r="I922" s="152"/>
      <c r="J922" s="152"/>
      <c r="K922" s="289"/>
      <c r="L922" s="289"/>
      <c r="M922" s="152"/>
      <c r="N922" s="152"/>
      <c r="O922" s="156"/>
      <c r="P922" s="152"/>
      <c r="Q922" s="152"/>
      <c r="R922" s="152"/>
      <c r="S922" s="152"/>
      <c r="T922" s="152"/>
      <c r="U922" s="152"/>
      <c r="V922" s="152"/>
      <c r="W922" s="152"/>
      <c r="X922" s="152"/>
      <c r="Y922" s="152"/>
      <c r="Z922" s="281"/>
      <c r="AA922" s="281"/>
      <c r="AB922" s="281"/>
      <c r="AC922" s="281"/>
      <c r="AD922" s="281"/>
      <c r="AE922" s="281"/>
      <c r="AF922" s="281"/>
      <c r="AG922" s="170"/>
      <c r="AH922" s="152"/>
      <c r="AI922" s="152"/>
      <c r="AJ922" s="152"/>
      <c r="AK922" s="152"/>
      <c r="AL922" s="152"/>
      <c r="AM922" s="152"/>
      <c r="AN922" s="152"/>
      <c r="AO922" s="152"/>
      <c r="AP922" s="152"/>
      <c r="AQ922" s="152"/>
      <c r="AR922" s="152"/>
    </row>
    <row r="923" ht="12.75" customHeight="1">
      <c r="A923" s="288"/>
      <c r="B923" s="288"/>
      <c r="C923" s="288"/>
      <c r="D923" s="152"/>
      <c r="E923" s="289"/>
      <c r="F923" s="288"/>
      <c r="G923" s="152"/>
      <c r="H923" s="152"/>
      <c r="I923" s="152"/>
      <c r="J923" s="152"/>
      <c r="K923" s="289"/>
      <c r="L923" s="289"/>
      <c r="M923" s="152"/>
      <c r="N923" s="152"/>
      <c r="O923" s="156"/>
      <c r="P923" s="152"/>
      <c r="Q923" s="152"/>
      <c r="R923" s="152"/>
      <c r="S923" s="152"/>
      <c r="T923" s="152"/>
      <c r="U923" s="152"/>
      <c r="V923" s="152"/>
      <c r="W923" s="152"/>
      <c r="X923" s="152"/>
      <c r="Y923" s="152"/>
      <c r="Z923" s="281"/>
      <c r="AA923" s="281"/>
      <c r="AB923" s="281"/>
      <c r="AC923" s="281"/>
      <c r="AD923" s="281"/>
      <c r="AE923" s="281"/>
      <c r="AF923" s="281"/>
      <c r="AG923" s="170"/>
      <c r="AH923" s="152"/>
      <c r="AI923" s="152"/>
      <c r="AJ923" s="152"/>
      <c r="AK923" s="152"/>
      <c r="AL923" s="152"/>
      <c r="AM923" s="152"/>
      <c r="AN923" s="152"/>
      <c r="AO923" s="152"/>
      <c r="AP923" s="152"/>
      <c r="AQ923" s="152"/>
      <c r="AR923" s="152"/>
    </row>
    <row r="924" ht="12.75" customHeight="1">
      <c r="A924" s="288"/>
      <c r="B924" s="288"/>
      <c r="C924" s="288"/>
      <c r="D924" s="152"/>
      <c r="E924" s="289"/>
      <c r="F924" s="288"/>
      <c r="G924" s="152"/>
      <c r="H924" s="152"/>
      <c r="I924" s="152"/>
      <c r="J924" s="152"/>
      <c r="K924" s="289"/>
      <c r="L924" s="289"/>
      <c r="M924" s="152"/>
      <c r="N924" s="152"/>
      <c r="O924" s="156"/>
      <c r="P924" s="152"/>
      <c r="Q924" s="152"/>
      <c r="R924" s="152"/>
      <c r="S924" s="152"/>
      <c r="T924" s="152"/>
      <c r="U924" s="152"/>
      <c r="V924" s="152"/>
      <c r="W924" s="152"/>
      <c r="X924" s="152"/>
      <c r="Y924" s="152"/>
      <c r="Z924" s="281"/>
      <c r="AA924" s="281"/>
      <c r="AB924" s="281"/>
      <c r="AC924" s="281"/>
      <c r="AD924" s="281"/>
      <c r="AE924" s="281"/>
      <c r="AF924" s="281"/>
      <c r="AG924" s="170"/>
      <c r="AH924" s="152"/>
      <c r="AI924" s="152"/>
      <c r="AJ924" s="152"/>
      <c r="AK924" s="152"/>
      <c r="AL924" s="152"/>
      <c r="AM924" s="152"/>
      <c r="AN924" s="152"/>
      <c r="AO924" s="152"/>
      <c r="AP924" s="152"/>
      <c r="AQ924" s="152"/>
      <c r="AR924" s="152"/>
    </row>
    <row r="925" ht="12.75" customHeight="1">
      <c r="A925" s="288"/>
      <c r="B925" s="288"/>
      <c r="C925" s="288"/>
      <c r="D925" s="152"/>
      <c r="E925" s="289"/>
      <c r="F925" s="288"/>
      <c r="G925" s="152"/>
      <c r="H925" s="152"/>
      <c r="I925" s="152"/>
      <c r="J925" s="152"/>
      <c r="K925" s="289"/>
      <c r="L925" s="289"/>
      <c r="M925" s="152"/>
      <c r="N925" s="152"/>
      <c r="O925" s="156"/>
      <c r="P925" s="152"/>
      <c r="Q925" s="152"/>
      <c r="R925" s="152"/>
      <c r="S925" s="152"/>
      <c r="T925" s="152"/>
      <c r="U925" s="152"/>
      <c r="V925" s="152"/>
      <c r="W925" s="152"/>
      <c r="X925" s="152"/>
      <c r="Y925" s="152"/>
      <c r="Z925" s="281"/>
      <c r="AA925" s="281"/>
      <c r="AB925" s="281"/>
      <c r="AC925" s="281"/>
      <c r="AD925" s="281"/>
      <c r="AE925" s="281"/>
      <c r="AF925" s="281"/>
      <c r="AG925" s="170"/>
      <c r="AH925" s="152"/>
      <c r="AI925" s="152"/>
      <c r="AJ925" s="152"/>
      <c r="AK925" s="152"/>
      <c r="AL925" s="152"/>
      <c r="AM925" s="152"/>
      <c r="AN925" s="152"/>
      <c r="AO925" s="152"/>
      <c r="AP925" s="152"/>
      <c r="AQ925" s="152"/>
      <c r="AR925" s="152"/>
    </row>
    <row r="926" ht="12.75" customHeight="1">
      <c r="A926" s="288"/>
      <c r="B926" s="288"/>
      <c r="C926" s="288"/>
      <c r="D926" s="152"/>
      <c r="E926" s="289"/>
      <c r="F926" s="288"/>
      <c r="G926" s="152"/>
      <c r="H926" s="152"/>
      <c r="I926" s="152"/>
      <c r="J926" s="152"/>
      <c r="K926" s="289"/>
      <c r="L926" s="289"/>
      <c r="M926" s="152"/>
      <c r="N926" s="152"/>
      <c r="O926" s="156"/>
      <c r="P926" s="152"/>
      <c r="Q926" s="152"/>
      <c r="R926" s="152"/>
      <c r="S926" s="152"/>
      <c r="T926" s="152"/>
      <c r="U926" s="152"/>
      <c r="V926" s="152"/>
      <c r="W926" s="152"/>
      <c r="X926" s="152"/>
      <c r="Y926" s="152"/>
      <c r="Z926" s="281"/>
      <c r="AA926" s="281"/>
      <c r="AB926" s="281"/>
      <c r="AC926" s="281"/>
      <c r="AD926" s="281"/>
      <c r="AE926" s="281"/>
      <c r="AF926" s="281"/>
      <c r="AG926" s="170"/>
      <c r="AH926" s="152"/>
      <c r="AI926" s="152"/>
      <c r="AJ926" s="152"/>
      <c r="AK926" s="152"/>
      <c r="AL926" s="152"/>
      <c r="AM926" s="152"/>
      <c r="AN926" s="152"/>
      <c r="AO926" s="152"/>
      <c r="AP926" s="152"/>
      <c r="AQ926" s="152"/>
      <c r="AR926" s="152"/>
    </row>
    <row r="927" ht="12.75" customHeight="1">
      <c r="A927" s="288"/>
      <c r="B927" s="288"/>
      <c r="C927" s="288"/>
      <c r="D927" s="152"/>
      <c r="E927" s="289"/>
      <c r="F927" s="288"/>
      <c r="G927" s="152"/>
      <c r="H927" s="152"/>
      <c r="I927" s="152"/>
      <c r="J927" s="152"/>
      <c r="K927" s="289"/>
      <c r="L927" s="289"/>
      <c r="M927" s="152"/>
      <c r="N927" s="152"/>
      <c r="O927" s="156"/>
      <c r="P927" s="152"/>
      <c r="Q927" s="152"/>
      <c r="R927" s="152"/>
      <c r="S927" s="152"/>
      <c r="T927" s="152"/>
      <c r="U927" s="152"/>
      <c r="V927" s="152"/>
      <c r="W927" s="152"/>
      <c r="X927" s="152"/>
      <c r="Y927" s="152"/>
      <c r="Z927" s="281"/>
      <c r="AA927" s="281"/>
      <c r="AB927" s="281"/>
      <c r="AC927" s="281"/>
      <c r="AD927" s="281"/>
      <c r="AE927" s="281"/>
      <c r="AF927" s="281"/>
      <c r="AG927" s="170"/>
      <c r="AH927" s="152"/>
      <c r="AI927" s="152"/>
      <c r="AJ927" s="152"/>
      <c r="AK927" s="152"/>
      <c r="AL927" s="152"/>
      <c r="AM927" s="152"/>
      <c r="AN927" s="152"/>
      <c r="AO927" s="152"/>
      <c r="AP927" s="152"/>
      <c r="AQ927" s="152"/>
      <c r="AR927" s="152"/>
    </row>
    <row r="928" ht="12.75" customHeight="1">
      <c r="A928" s="288"/>
      <c r="B928" s="288"/>
      <c r="C928" s="288"/>
      <c r="D928" s="152"/>
      <c r="E928" s="289"/>
      <c r="F928" s="288"/>
      <c r="G928" s="152"/>
      <c r="H928" s="152"/>
      <c r="I928" s="152"/>
      <c r="J928" s="152"/>
      <c r="K928" s="289"/>
      <c r="L928" s="289"/>
      <c r="M928" s="152"/>
      <c r="N928" s="152"/>
      <c r="O928" s="156"/>
      <c r="P928" s="152"/>
      <c r="Q928" s="152"/>
      <c r="R928" s="152"/>
      <c r="S928" s="152"/>
      <c r="T928" s="152"/>
      <c r="U928" s="152"/>
      <c r="V928" s="152"/>
      <c r="W928" s="152"/>
      <c r="X928" s="152"/>
      <c r="Y928" s="152"/>
      <c r="Z928" s="281"/>
      <c r="AA928" s="281"/>
      <c r="AB928" s="281"/>
      <c r="AC928" s="281"/>
      <c r="AD928" s="281"/>
      <c r="AE928" s="281"/>
      <c r="AF928" s="281"/>
      <c r="AG928" s="170"/>
      <c r="AH928" s="152"/>
      <c r="AI928" s="152"/>
      <c r="AJ928" s="152"/>
      <c r="AK928" s="152"/>
      <c r="AL928" s="152"/>
      <c r="AM928" s="152"/>
      <c r="AN928" s="152"/>
      <c r="AO928" s="152"/>
      <c r="AP928" s="152"/>
      <c r="AQ928" s="152"/>
      <c r="AR928" s="152"/>
    </row>
    <row r="929" ht="12.75" customHeight="1">
      <c r="A929" s="288"/>
      <c r="B929" s="288"/>
      <c r="C929" s="288"/>
      <c r="D929" s="152"/>
      <c r="E929" s="289"/>
      <c r="F929" s="288"/>
      <c r="G929" s="152"/>
      <c r="H929" s="152"/>
      <c r="I929" s="152"/>
      <c r="J929" s="152"/>
      <c r="K929" s="289"/>
      <c r="L929" s="289"/>
      <c r="M929" s="152"/>
      <c r="N929" s="152"/>
      <c r="O929" s="156"/>
      <c r="P929" s="152"/>
      <c r="Q929" s="152"/>
      <c r="R929" s="152"/>
      <c r="S929" s="152"/>
      <c r="T929" s="152"/>
      <c r="U929" s="152"/>
      <c r="V929" s="152"/>
      <c r="W929" s="152"/>
      <c r="X929" s="152"/>
      <c r="Y929" s="152"/>
      <c r="Z929" s="281"/>
      <c r="AA929" s="281"/>
      <c r="AB929" s="281"/>
      <c r="AC929" s="281"/>
      <c r="AD929" s="281"/>
      <c r="AE929" s="281"/>
      <c r="AF929" s="281"/>
      <c r="AG929" s="170"/>
      <c r="AH929" s="152"/>
      <c r="AI929" s="152"/>
      <c r="AJ929" s="152"/>
      <c r="AK929" s="152"/>
      <c r="AL929" s="152"/>
      <c r="AM929" s="152"/>
      <c r="AN929" s="152"/>
      <c r="AO929" s="152"/>
      <c r="AP929" s="152"/>
      <c r="AQ929" s="152"/>
      <c r="AR929" s="152"/>
    </row>
    <row r="930" ht="12.75" customHeight="1">
      <c r="A930" s="288"/>
      <c r="B930" s="288"/>
      <c r="C930" s="288"/>
      <c r="D930" s="152"/>
      <c r="E930" s="289"/>
      <c r="F930" s="288"/>
      <c r="G930" s="152"/>
      <c r="H930" s="152"/>
      <c r="I930" s="152"/>
      <c r="J930" s="152"/>
      <c r="K930" s="289"/>
      <c r="L930" s="289"/>
      <c r="M930" s="152"/>
      <c r="N930" s="152"/>
      <c r="O930" s="156"/>
      <c r="P930" s="152"/>
      <c r="Q930" s="152"/>
      <c r="R930" s="152"/>
      <c r="S930" s="152"/>
      <c r="T930" s="152"/>
      <c r="U930" s="152"/>
      <c r="V930" s="152"/>
      <c r="W930" s="152"/>
      <c r="X930" s="152"/>
      <c r="Y930" s="152"/>
      <c r="Z930" s="281"/>
      <c r="AA930" s="281"/>
      <c r="AB930" s="281"/>
      <c r="AC930" s="281"/>
      <c r="AD930" s="281"/>
      <c r="AE930" s="281"/>
      <c r="AF930" s="281"/>
      <c r="AG930" s="170"/>
      <c r="AH930" s="152"/>
      <c r="AI930" s="152"/>
      <c r="AJ930" s="152"/>
      <c r="AK930" s="152"/>
      <c r="AL930" s="152"/>
      <c r="AM930" s="152"/>
      <c r="AN930" s="152"/>
      <c r="AO930" s="152"/>
      <c r="AP930" s="152"/>
      <c r="AQ930" s="152"/>
      <c r="AR930" s="152"/>
    </row>
    <row r="931" ht="12.75" customHeight="1">
      <c r="A931" s="288"/>
      <c r="B931" s="288"/>
      <c r="C931" s="288"/>
      <c r="D931" s="152"/>
      <c r="E931" s="289"/>
      <c r="F931" s="288"/>
      <c r="G931" s="152"/>
      <c r="H931" s="152"/>
      <c r="I931" s="152"/>
      <c r="J931" s="152"/>
      <c r="K931" s="289"/>
      <c r="L931" s="289"/>
      <c r="M931" s="152"/>
      <c r="N931" s="152"/>
      <c r="O931" s="156"/>
      <c r="P931" s="152"/>
      <c r="Q931" s="152"/>
      <c r="R931" s="152"/>
      <c r="S931" s="152"/>
      <c r="T931" s="152"/>
      <c r="U931" s="152"/>
      <c r="V931" s="152"/>
      <c r="W931" s="152"/>
      <c r="X931" s="152"/>
      <c r="Y931" s="152"/>
      <c r="Z931" s="281"/>
      <c r="AA931" s="281"/>
      <c r="AB931" s="281"/>
      <c r="AC931" s="281"/>
      <c r="AD931" s="281"/>
      <c r="AE931" s="281"/>
      <c r="AF931" s="281"/>
      <c r="AG931" s="170"/>
      <c r="AH931" s="152"/>
      <c r="AI931" s="152"/>
      <c r="AJ931" s="152"/>
      <c r="AK931" s="152"/>
      <c r="AL931" s="152"/>
      <c r="AM931" s="152"/>
      <c r="AN931" s="152"/>
      <c r="AO931" s="152"/>
      <c r="AP931" s="152"/>
      <c r="AQ931" s="152"/>
      <c r="AR931" s="152"/>
    </row>
    <row r="932" ht="12.75" customHeight="1">
      <c r="A932" s="288"/>
      <c r="B932" s="288"/>
      <c r="C932" s="288"/>
      <c r="D932" s="152"/>
      <c r="E932" s="289"/>
      <c r="F932" s="288"/>
      <c r="G932" s="152"/>
      <c r="H932" s="152"/>
      <c r="I932" s="152"/>
      <c r="J932" s="152"/>
      <c r="K932" s="289"/>
      <c r="L932" s="289"/>
      <c r="M932" s="152"/>
      <c r="N932" s="152"/>
      <c r="O932" s="156"/>
      <c r="P932" s="152"/>
      <c r="Q932" s="152"/>
      <c r="R932" s="152"/>
      <c r="S932" s="152"/>
      <c r="T932" s="152"/>
      <c r="U932" s="152"/>
      <c r="V932" s="152"/>
      <c r="W932" s="152"/>
      <c r="X932" s="152"/>
      <c r="Y932" s="152"/>
      <c r="Z932" s="281"/>
      <c r="AA932" s="281"/>
      <c r="AB932" s="281"/>
      <c r="AC932" s="281"/>
      <c r="AD932" s="281"/>
      <c r="AE932" s="281"/>
      <c r="AF932" s="281"/>
      <c r="AG932" s="170"/>
      <c r="AH932" s="152"/>
      <c r="AI932" s="152"/>
      <c r="AJ932" s="152"/>
      <c r="AK932" s="152"/>
      <c r="AL932" s="152"/>
      <c r="AM932" s="152"/>
      <c r="AN932" s="152"/>
      <c r="AO932" s="152"/>
      <c r="AP932" s="152"/>
      <c r="AQ932" s="152"/>
      <c r="AR932" s="152"/>
    </row>
    <row r="933" ht="12.75" customHeight="1">
      <c r="A933" s="288"/>
      <c r="B933" s="288"/>
      <c r="C933" s="288"/>
      <c r="D933" s="152"/>
      <c r="E933" s="289"/>
      <c r="F933" s="288"/>
      <c r="G933" s="152"/>
      <c r="H933" s="152"/>
      <c r="I933" s="152"/>
      <c r="J933" s="152"/>
      <c r="K933" s="289"/>
      <c r="L933" s="289"/>
      <c r="M933" s="152"/>
      <c r="N933" s="152"/>
      <c r="O933" s="156"/>
      <c r="P933" s="152"/>
      <c r="Q933" s="152"/>
      <c r="R933" s="152"/>
      <c r="S933" s="152"/>
      <c r="T933" s="152"/>
      <c r="U933" s="152"/>
      <c r="V933" s="152"/>
      <c r="W933" s="152"/>
      <c r="X933" s="152"/>
      <c r="Y933" s="152"/>
      <c r="Z933" s="281"/>
      <c r="AA933" s="281"/>
      <c r="AB933" s="281"/>
      <c r="AC933" s="281"/>
      <c r="AD933" s="281"/>
      <c r="AE933" s="281"/>
      <c r="AF933" s="281"/>
      <c r="AG933" s="170"/>
      <c r="AH933" s="152"/>
      <c r="AI933" s="152"/>
      <c r="AJ933" s="152"/>
      <c r="AK933" s="152"/>
      <c r="AL933" s="152"/>
      <c r="AM933" s="152"/>
      <c r="AN933" s="152"/>
      <c r="AO933" s="152"/>
      <c r="AP933" s="152"/>
      <c r="AQ933" s="152"/>
      <c r="AR933" s="152"/>
    </row>
    <row r="934" ht="12.75" customHeight="1">
      <c r="A934" s="288"/>
      <c r="B934" s="288"/>
      <c r="C934" s="288"/>
      <c r="D934" s="152"/>
      <c r="E934" s="289"/>
      <c r="F934" s="288"/>
      <c r="G934" s="152"/>
      <c r="H934" s="152"/>
      <c r="I934" s="152"/>
      <c r="J934" s="152"/>
      <c r="K934" s="289"/>
      <c r="L934" s="289"/>
      <c r="M934" s="152"/>
      <c r="N934" s="152"/>
      <c r="O934" s="156"/>
      <c r="P934" s="152"/>
      <c r="Q934" s="152"/>
      <c r="R934" s="152"/>
      <c r="S934" s="152"/>
      <c r="T934" s="152"/>
      <c r="U934" s="152"/>
      <c r="V934" s="152"/>
      <c r="W934" s="152"/>
      <c r="X934" s="152"/>
      <c r="Y934" s="152"/>
      <c r="Z934" s="281"/>
      <c r="AA934" s="281"/>
      <c r="AB934" s="281"/>
      <c r="AC934" s="281"/>
      <c r="AD934" s="281"/>
      <c r="AE934" s="281"/>
      <c r="AF934" s="281"/>
      <c r="AG934" s="170"/>
      <c r="AH934" s="152"/>
      <c r="AI934" s="152"/>
      <c r="AJ934" s="152"/>
      <c r="AK934" s="152"/>
      <c r="AL934" s="152"/>
      <c r="AM934" s="152"/>
      <c r="AN934" s="152"/>
      <c r="AO934" s="152"/>
      <c r="AP934" s="152"/>
      <c r="AQ934" s="152"/>
      <c r="AR934" s="152"/>
    </row>
    <row r="935" ht="12.75" customHeight="1">
      <c r="A935" s="288"/>
      <c r="B935" s="288"/>
      <c r="C935" s="288"/>
      <c r="D935" s="152"/>
      <c r="E935" s="289"/>
      <c r="F935" s="288"/>
      <c r="G935" s="152"/>
      <c r="H935" s="152"/>
      <c r="I935" s="152"/>
      <c r="J935" s="152"/>
      <c r="K935" s="289"/>
      <c r="L935" s="289"/>
      <c r="M935" s="152"/>
      <c r="N935" s="152"/>
      <c r="O935" s="156"/>
      <c r="P935" s="152"/>
      <c r="Q935" s="152"/>
      <c r="R935" s="152"/>
      <c r="S935" s="152"/>
      <c r="T935" s="152"/>
      <c r="U935" s="152"/>
      <c r="V935" s="152"/>
      <c r="W935" s="152"/>
      <c r="X935" s="152"/>
      <c r="Y935" s="152"/>
      <c r="Z935" s="281"/>
      <c r="AA935" s="281"/>
      <c r="AB935" s="281"/>
      <c r="AC935" s="281"/>
      <c r="AD935" s="281"/>
      <c r="AE935" s="281"/>
      <c r="AF935" s="281"/>
      <c r="AG935" s="170"/>
      <c r="AH935" s="152"/>
      <c r="AI935" s="152"/>
      <c r="AJ935" s="152"/>
      <c r="AK935" s="152"/>
      <c r="AL935" s="152"/>
      <c r="AM935" s="152"/>
      <c r="AN935" s="152"/>
      <c r="AO935" s="152"/>
      <c r="AP935" s="152"/>
      <c r="AQ935" s="152"/>
      <c r="AR935" s="152"/>
    </row>
    <row r="936" ht="12.75" customHeight="1">
      <c r="A936" s="288"/>
      <c r="B936" s="288"/>
      <c r="C936" s="288"/>
      <c r="D936" s="152"/>
      <c r="E936" s="289"/>
      <c r="F936" s="288"/>
      <c r="G936" s="152"/>
      <c r="H936" s="152"/>
      <c r="I936" s="152"/>
      <c r="J936" s="152"/>
      <c r="K936" s="289"/>
      <c r="L936" s="289"/>
      <c r="M936" s="152"/>
      <c r="N936" s="152"/>
      <c r="O936" s="156"/>
      <c r="P936" s="152"/>
      <c r="Q936" s="152"/>
      <c r="R936" s="152"/>
      <c r="S936" s="152"/>
      <c r="T936" s="152"/>
      <c r="U936" s="152"/>
      <c r="V936" s="152"/>
      <c r="W936" s="152"/>
      <c r="X936" s="152"/>
      <c r="Y936" s="152"/>
      <c r="Z936" s="281"/>
      <c r="AA936" s="281"/>
      <c r="AB936" s="281"/>
      <c r="AC936" s="281"/>
      <c r="AD936" s="281"/>
      <c r="AE936" s="281"/>
      <c r="AF936" s="281"/>
      <c r="AG936" s="170"/>
      <c r="AH936" s="152"/>
      <c r="AI936" s="152"/>
      <c r="AJ936" s="152"/>
      <c r="AK936" s="152"/>
      <c r="AL936" s="152"/>
      <c r="AM936" s="152"/>
      <c r="AN936" s="152"/>
      <c r="AO936" s="152"/>
      <c r="AP936" s="152"/>
      <c r="AQ936" s="152"/>
      <c r="AR936" s="152"/>
    </row>
    <row r="937" ht="12.75" customHeight="1">
      <c r="A937" s="288"/>
      <c r="B937" s="288"/>
      <c r="C937" s="288"/>
      <c r="D937" s="152"/>
      <c r="E937" s="289"/>
      <c r="F937" s="288"/>
      <c r="G937" s="152"/>
      <c r="H937" s="152"/>
      <c r="I937" s="152"/>
      <c r="J937" s="152"/>
      <c r="K937" s="289"/>
      <c r="L937" s="289"/>
      <c r="M937" s="152"/>
      <c r="N937" s="152"/>
      <c r="O937" s="156"/>
      <c r="P937" s="152"/>
      <c r="Q937" s="152"/>
      <c r="R937" s="152"/>
      <c r="S937" s="152"/>
      <c r="T937" s="152"/>
      <c r="U937" s="152"/>
      <c r="V937" s="152"/>
      <c r="W937" s="152"/>
      <c r="X937" s="152"/>
      <c r="Y937" s="152"/>
      <c r="Z937" s="281"/>
      <c r="AA937" s="281"/>
      <c r="AB937" s="281"/>
      <c r="AC937" s="281"/>
      <c r="AD937" s="281"/>
      <c r="AE937" s="281"/>
      <c r="AF937" s="281"/>
      <c r="AG937" s="170"/>
      <c r="AH937" s="152"/>
      <c r="AI937" s="152"/>
      <c r="AJ937" s="152"/>
      <c r="AK937" s="152"/>
      <c r="AL937" s="152"/>
      <c r="AM937" s="152"/>
      <c r="AN937" s="152"/>
      <c r="AO937" s="152"/>
      <c r="AP937" s="152"/>
      <c r="AQ937" s="152"/>
      <c r="AR937" s="152"/>
    </row>
    <row r="938" ht="12.75" customHeight="1">
      <c r="A938" s="288"/>
      <c r="B938" s="288"/>
      <c r="C938" s="288"/>
      <c r="D938" s="152"/>
      <c r="E938" s="289"/>
      <c r="F938" s="288"/>
      <c r="G938" s="152"/>
      <c r="H938" s="152"/>
      <c r="I938" s="152"/>
      <c r="J938" s="152"/>
      <c r="K938" s="289"/>
      <c r="L938" s="289"/>
      <c r="M938" s="152"/>
      <c r="N938" s="152"/>
      <c r="O938" s="156"/>
      <c r="P938" s="152"/>
      <c r="Q938" s="152"/>
      <c r="R938" s="152"/>
      <c r="S938" s="152"/>
      <c r="T938" s="152"/>
      <c r="U938" s="152"/>
      <c r="V938" s="152"/>
      <c r="W938" s="152"/>
      <c r="X938" s="152"/>
      <c r="Y938" s="152"/>
      <c r="Z938" s="281"/>
      <c r="AA938" s="281"/>
      <c r="AB938" s="281"/>
      <c r="AC938" s="281"/>
      <c r="AD938" s="281"/>
      <c r="AE938" s="281"/>
      <c r="AF938" s="281"/>
      <c r="AG938" s="170"/>
      <c r="AH938" s="152"/>
      <c r="AI938" s="152"/>
      <c r="AJ938" s="152"/>
      <c r="AK938" s="152"/>
      <c r="AL938" s="152"/>
      <c r="AM938" s="152"/>
      <c r="AN938" s="152"/>
      <c r="AO938" s="152"/>
      <c r="AP938" s="152"/>
      <c r="AQ938" s="152"/>
      <c r="AR938" s="152"/>
    </row>
    <row r="939" ht="12.75" customHeight="1">
      <c r="A939" s="288"/>
      <c r="B939" s="288"/>
      <c r="C939" s="288"/>
      <c r="D939" s="152"/>
      <c r="E939" s="289"/>
      <c r="F939" s="288"/>
      <c r="G939" s="152"/>
      <c r="H939" s="152"/>
      <c r="I939" s="152"/>
      <c r="J939" s="152"/>
      <c r="K939" s="289"/>
      <c r="L939" s="289"/>
      <c r="M939" s="152"/>
      <c r="N939" s="152"/>
      <c r="O939" s="156"/>
      <c r="P939" s="152"/>
      <c r="Q939" s="152"/>
      <c r="R939" s="152"/>
      <c r="S939" s="152"/>
      <c r="T939" s="152"/>
      <c r="U939" s="152"/>
      <c r="V939" s="152"/>
      <c r="W939" s="152"/>
      <c r="X939" s="152"/>
      <c r="Y939" s="152"/>
      <c r="Z939" s="281"/>
      <c r="AA939" s="281"/>
      <c r="AB939" s="281"/>
      <c r="AC939" s="281"/>
      <c r="AD939" s="281"/>
      <c r="AE939" s="281"/>
      <c r="AF939" s="281"/>
      <c r="AG939" s="170"/>
      <c r="AH939" s="152"/>
      <c r="AI939" s="152"/>
      <c r="AJ939" s="152"/>
      <c r="AK939" s="152"/>
      <c r="AL939" s="152"/>
      <c r="AM939" s="152"/>
      <c r="AN939" s="152"/>
      <c r="AO939" s="152"/>
      <c r="AP939" s="152"/>
      <c r="AQ939" s="152"/>
      <c r="AR939" s="152"/>
    </row>
    <row r="940" ht="12.75" customHeight="1">
      <c r="A940" s="288"/>
      <c r="B940" s="288"/>
      <c r="C940" s="288"/>
      <c r="D940" s="152"/>
      <c r="E940" s="289"/>
      <c r="F940" s="288"/>
      <c r="G940" s="152"/>
      <c r="H940" s="152"/>
      <c r="I940" s="152"/>
      <c r="J940" s="152"/>
      <c r="K940" s="289"/>
      <c r="L940" s="289"/>
      <c r="M940" s="152"/>
      <c r="N940" s="152"/>
      <c r="O940" s="156"/>
      <c r="P940" s="152"/>
      <c r="Q940" s="152"/>
      <c r="R940" s="152"/>
      <c r="S940" s="152"/>
      <c r="T940" s="152"/>
      <c r="U940" s="152"/>
      <c r="V940" s="152"/>
      <c r="W940" s="152"/>
      <c r="X940" s="152"/>
      <c r="Y940" s="152"/>
      <c r="Z940" s="281"/>
      <c r="AA940" s="281"/>
      <c r="AB940" s="281"/>
      <c r="AC940" s="281"/>
      <c r="AD940" s="281"/>
      <c r="AE940" s="281"/>
      <c r="AF940" s="281"/>
      <c r="AG940" s="170"/>
      <c r="AH940" s="152"/>
      <c r="AI940" s="152"/>
      <c r="AJ940" s="152"/>
      <c r="AK940" s="152"/>
      <c r="AL940" s="152"/>
      <c r="AM940" s="152"/>
      <c r="AN940" s="152"/>
      <c r="AO940" s="152"/>
      <c r="AP940" s="152"/>
      <c r="AQ940" s="152"/>
      <c r="AR940" s="152"/>
    </row>
    <row r="941" ht="12.75" customHeight="1">
      <c r="A941" s="288"/>
      <c r="B941" s="288"/>
      <c r="C941" s="288"/>
      <c r="D941" s="152"/>
      <c r="E941" s="289"/>
      <c r="F941" s="288"/>
      <c r="G941" s="152"/>
      <c r="H941" s="152"/>
      <c r="I941" s="152"/>
      <c r="J941" s="152"/>
      <c r="K941" s="289"/>
      <c r="L941" s="289"/>
      <c r="M941" s="152"/>
      <c r="N941" s="152"/>
      <c r="O941" s="156"/>
      <c r="P941" s="152"/>
      <c r="Q941" s="152"/>
      <c r="R941" s="152"/>
      <c r="S941" s="152"/>
      <c r="T941" s="152"/>
      <c r="U941" s="152"/>
      <c r="V941" s="152"/>
      <c r="W941" s="152"/>
      <c r="X941" s="152"/>
      <c r="Y941" s="152"/>
      <c r="Z941" s="281"/>
      <c r="AA941" s="281"/>
      <c r="AB941" s="281"/>
      <c r="AC941" s="281"/>
      <c r="AD941" s="281"/>
      <c r="AE941" s="281"/>
      <c r="AF941" s="281"/>
      <c r="AG941" s="170"/>
      <c r="AH941" s="152"/>
      <c r="AI941" s="152"/>
      <c r="AJ941" s="152"/>
      <c r="AK941" s="152"/>
      <c r="AL941" s="152"/>
      <c r="AM941" s="152"/>
      <c r="AN941" s="152"/>
      <c r="AO941" s="152"/>
      <c r="AP941" s="152"/>
      <c r="AQ941" s="152"/>
      <c r="AR941" s="152"/>
    </row>
    <row r="942" ht="12.75" customHeight="1">
      <c r="A942" s="288"/>
      <c r="B942" s="288"/>
      <c r="C942" s="288"/>
      <c r="D942" s="152"/>
      <c r="E942" s="289"/>
      <c r="F942" s="288"/>
      <c r="G942" s="152"/>
      <c r="H942" s="152"/>
      <c r="I942" s="152"/>
      <c r="J942" s="152"/>
      <c r="K942" s="289"/>
      <c r="L942" s="289"/>
      <c r="M942" s="152"/>
      <c r="N942" s="152"/>
      <c r="O942" s="156"/>
      <c r="P942" s="152"/>
      <c r="Q942" s="152"/>
      <c r="R942" s="152"/>
      <c r="S942" s="152"/>
      <c r="T942" s="152"/>
      <c r="U942" s="152"/>
      <c r="V942" s="152"/>
      <c r="W942" s="152"/>
      <c r="X942" s="152"/>
      <c r="Y942" s="152"/>
      <c r="Z942" s="281"/>
      <c r="AA942" s="281"/>
      <c r="AB942" s="281"/>
      <c r="AC942" s="281"/>
      <c r="AD942" s="281"/>
      <c r="AE942" s="281"/>
      <c r="AF942" s="281"/>
      <c r="AG942" s="170"/>
      <c r="AH942" s="152"/>
      <c r="AI942" s="152"/>
      <c r="AJ942" s="152"/>
      <c r="AK942" s="152"/>
      <c r="AL942" s="152"/>
      <c r="AM942" s="152"/>
      <c r="AN942" s="152"/>
      <c r="AO942" s="152"/>
      <c r="AP942" s="152"/>
      <c r="AQ942" s="152"/>
      <c r="AR942" s="152"/>
    </row>
    <row r="943" ht="12.75" customHeight="1">
      <c r="A943" s="288"/>
      <c r="B943" s="288"/>
      <c r="C943" s="288"/>
      <c r="D943" s="152"/>
      <c r="E943" s="289"/>
      <c r="F943" s="288"/>
      <c r="G943" s="152"/>
      <c r="H943" s="152"/>
      <c r="I943" s="152"/>
      <c r="J943" s="152"/>
      <c r="K943" s="289"/>
      <c r="L943" s="289"/>
      <c r="M943" s="152"/>
      <c r="N943" s="152"/>
      <c r="O943" s="156"/>
      <c r="P943" s="152"/>
      <c r="Q943" s="152"/>
      <c r="R943" s="152"/>
      <c r="S943" s="152"/>
      <c r="T943" s="152"/>
      <c r="U943" s="152"/>
      <c r="V943" s="152"/>
      <c r="W943" s="152"/>
      <c r="X943" s="152"/>
      <c r="Y943" s="152"/>
      <c r="Z943" s="281"/>
      <c r="AA943" s="281"/>
      <c r="AB943" s="281"/>
      <c r="AC943" s="281"/>
      <c r="AD943" s="281"/>
      <c r="AE943" s="281"/>
      <c r="AF943" s="281"/>
      <c r="AG943" s="170"/>
      <c r="AH943" s="152"/>
      <c r="AI943" s="152"/>
      <c r="AJ943" s="152"/>
      <c r="AK943" s="152"/>
      <c r="AL943" s="152"/>
      <c r="AM943" s="152"/>
      <c r="AN943" s="152"/>
      <c r="AO943" s="152"/>
      <c r="AP943" s="152"/>
      <c r="AQ943" s="152"/>
      <c r="AR943" s="152"/>
    </row>
    <row r="944" ht="12.75" customHeight="1">
      <c r="A944" s="288"/>
      <c r="B944" s="288"/>
      <c r="C944" s="288"/>
      <c r="D944" s="152"/>
      <c r="E944" s="289"/>
      <c r="F944" s="288"/>
      <c r="G944" s="152"/>
      <c r="H944" s="152"/>
      <c r="I944" s="152"/>
      <c r="J944" s="152"/>
      <c r="K944" s="289"/>
      <c r="L944" s="289"/>
      <c r="M944" s="152"/>
      <c r="N944" s="152"/>
      <c r="O944" s="156"/>
      <c r="P944" s="152"/>
      <c r="Q944" s="152"/>
      <c r="R944" s="152"/>
      <c r="S944" s="152"/>
      <c r="T944" s="152"/>
      <c r="U944" s="152"/>
      <c r="V944" s="152"/>
      <c r="W944" s="152"/>
      <c r="X944" s="152"/>
      <c r="Y944" s="152"/>
      <c r="Z944" s="281"/>
      <c r="AA944" s="281"/>
      <c r="AB944" s="281"/>
      <c r="AC944" s="281"/>
      <c r="AD944" s="281"/>
      <c r="AE944" s="281"/>
      <c r="AF944" s="281"/>
      <c r="AG944" s="170"/>
      <c r="AH944" s="152"/>
      <c r="AI944" s="152"/>
      <c r="AJ944" s="152"/>
      <c r="AK944" s="152"/>
      <c r="AL944" s="152"/>
      <c r="AM944" s="152"/>
      <c r="AN944" s="152"/>
      <c r="AO944" s="152"/>
      <c r="AP944" s="152"/>
      <c r="AQ944" s="152"/>
      <c r="AR944" s="152"/>
    </row>
    <row r="945" ht="12.75" customHeight="1">
      <c r="A945" s="288"/>
      <c r="B945" s="288"/>
      <c r="C945" s="288"/>
      <c r="D945" s="152"/>
      <c r="E945" s="289"/>
      <c r="F945" s="288"/>
      <c r="G945" s="152"/>
      <c r="H945" s="152"/>
      <c r="I945" s="152"/>
      <c r="J945" s="152"/>
      <c r="K945" s="289"/>
      <c r="L945" s="289"/>
      <c r="M945" s="152"/>
      <c r="N945" s="152"/>
      <c r="O945" s="156"/>
      <c r="P945" s="152"/>
      <c r="Q945" s="152"/>
      <c r="R945" s="152"/>
      <c r="S945" s="152"/>
      <c r="T945" s="152"/>
      <c r="U945" s="152"/>
      <c r="V945" s="152"/>
      <c r="W945" s="152"/>
      <c r="X945" s="152"/>
      <c r="Y945" s="152"/>
      <c r="Z945" s="281"/>
      <c r="AA945" s="281"/>
      <c r="AB945" s="281"/>
      <c r="AC945" s="281"/>
      <c r="AD945" s="281"/>
      <c r="AE945" s="281"/>
      <c r="AF945" s="281"/>
      <c r="AG945" s="170"/>
      <c r="AH945" s="152"/>
      <c r="AI945" s="152"/>
      <c r="AJ945" s="152"/>
      <c r="AK945" s="152"/>
      <c r="AL945" s="152"/>
      <c r="AM945" s="152"/>
      <c r="AN945" s="152"/>
      <c r="AO945" s="152"/>
      <c r="AP945" s="152"/>
      <c r="AQ945" s="152"/>
      <c r="AR945" s="152"/>
    </row>
    <row r="946" ht="12.75" customHeight="1">
      <c r="A946" s="288"/>
      <c r="B946" s="288"/>
      <c r="C946" s="288"/>
      <c r="D946" s="152"/>
      <c r="E946" s="289"/>
      <c r="F946" s="288"/>
      <c r="G946" s="152"/>
      <c r="H946" s="152"/>
      <c r="I946" s="152"/>
      <c r="J946" s="152"/>
      <c r="K946" s="289"/>
      <c r="L946" s="289"/>
      <c r="M946" s="152"/>
      <c r="N946" s="152"/>
      <c r="O946" s="156"/>
      <c r="P946" s="152"/>
      <c r="Q946" s="152"/>
      <c r="R946" s="152"/>
      <c r="S946" s="152"/>
      <c r="T946" s="152"/>
      <c r="U946" s="152"/>
      <c r="V946" s="152"/>
      <c r="W946" s="152"/>
      <c r="X946" s="152"/>
      <c r="Y946" s="152"/>
      <c r="Z946" s="281"/>
      <c r="AA946" s="281"/>
      <c r="AB946" s="281"/>
      <c r="AC946" s="281"/>
      <c r="AD946" s="281"/>
      <c r="AE946" s="281"/>
      <c r="AF946" s="281"/>
      <c r="AG946" s="170"/>
      <c r="AH946" s="152"/>
      <c r="AI946" s="152"/>
      <c r="AJ946" s="152"/>
      <c r="AK946" s="152"/>
      <c r="AL946" s="152"/>
      <c r="AM946" s="152"/>
      <c r="AN946" s="152"/>
      <c r="AO946" s="152"/>
      <c r="AP946" s="152"/>
      <c r="AQ946" s="152"/>
      <c r="AR946" s="152"/>
    </row>
    <row r="947" ht="12.75" customHeight="1">
      <c r="A947" s="288"/>
      <c r="B947" s="288"/>
      <c r="C947" s="288"/>
      <c r="D947" s="152"/>
      <c r="E947" s="289"/>
      <c r="F947" s="288"/>
      <c r="G947" s="152"/>
      <c r="H947" s="152"/>
      <c r="I947" s="152"/>
      <c r="J947" s="152"/>
      <c r="K947" s="289"/>
      <c r="L947" s="289"/>
      <c r="M947" s="152"/>
      <c r="N947" s="152"/>
      <c r="O947" s="156"/>
      <c r="P947" s="152"/>
      <c r="Q947" s="152"/>
      <c r="R947" s="152"/>
      <c r="S947" s="152"/>
      <c r="T947" s="152"/>
      <c r="U947" s="152"/>
      <c r="V947" s="152"/>
      <c r="W947" s="152"/>
      <c r="X947" s="152"/>
      <c r="Y947" s="152"/>
      <c r="Z947" s="281"/>
      <c r="AA947" s="281"/>
      <c r="AB947" s="281"/>
      <c r="AC947" s="281"/>
      <c r="AD947" s="281"/>
      <c r="AE947" s="281"/>
      <c r="AF947" s="281"/>
      <c r="AG947" s="170"/>
      <c r="AH947" s="152"/>
      <c r="AI947" s="152"/>
      <c r="AJ947" s="152"/>
      <c r="AK947" s="152"/>
      <c r="AL947" s="152"/>
      <c r="AM947" s="152"/>
      <c r="AN947" s="152"/>
      <c r="AO947" s="152"/>
      <c r="AP947" s="152"/>
      <c r="AQ947" s="152"/>
      <c r="AR947" s="152"/>
    </row>
    <row r="948" ht="12.75" customHeight="1">
      <c r="A948" s="288"/>
      <c r="B948" s="288"/>
      <c r="C948" s="288"/>
      <c r="D948" s="152"/>
      <c r="E948" s="289"/>
      <c r="F948" s="288"/>
      <c r="G948" s="152"/>
      <c r="H948" s="152"/>
      <c r="I948" s="152"/>
      <c r="J948" s="152"/>
      <c r="K948" s="289"/>
      <c r="L948" s="289"/>
      <c r="M948" s="152"/>
      <c r="N948" s="152"/>
      <c r="O948" s="156"/>
      <c r="P948" s="152"/>
      <c r="Q948" s="152"/>
      <c r="R948" s="152"/>
      <c r="S948" s="152"/>
      <c r="T948" s="152"/>
      <c r="U948" s="152"/>
      <c r="V948" s="152"/>
      <c r="W948" s="152"/>
      <c r="X948" s="152"/>
      <c r="Y948" s="152"/>
      <c r="Z948" s="281"/>
      <c r="AA948" s="281"/>
      <c r="AB948" s="281"/>
      <c r="AC948" s="281"/>
      <c r="AD948" s="281"/>
      <c r="AE948" s="281"/>
      <c r="AF948" s="281"/>
      <c r="AG948" s="170"/>
      <c r="AH948" s="152"/>
      <c r="AI948" s="152"/>
      <c r="AJ948" s="152"/>
      <c r="AK948" s="152"/>
      <c r="AL948" s="152"/>
      <c r="AM948" s="152"/>
      <c r="AN948" s="152"/>
      <c r="AO948" s="152"/>
      <c r="AP948" s="152"/>
      <c r="AQ948" s="152"/>
      <c r="AR948" s="152"/>
    </row>
    <row r="949" ht="12.75" customHeight="1">
      <c r="A949" s="288"/>
      <c r="B949" s="288"/>
      <c r="C949" s="288"/>
      <c r="D949" s="152"/>
      <c r="E949" s="289"/>
      <c r="F949" s="288"/>
      <c r="G949" s="152"/>
      <c r="H949" s="152"/>
      <c r="I949" s="152"/>
      <c r="J949" s="152"/>
      <c r="K949" s="289"/>
      <c r="L949" s="289"/>
      <c r="M949" s="152"/>
      <c r="N949" s="152"/>
      <c r="O949" s="156"/>
      <c r="P949" s="152"/>
      <c r="Q949" s="152"/>
      <c r="R949" s="152"/>
      <c r="S949" s="152"/>
      <c r="T949" s="152"/>
      <c r="U949" s="152"/>
      <c r="V949" s="152"/>
      <c r="W949" s="152"/>
      <c r="X949" s="152"/>
      <c r="Y949" s="152"/>
      <c r="Z949" s="281"/>
      <c r="AA949" s="281"/>
      <c r="AB949" s="281"/>
      <c r="AC949" s="281"/>
      <c r="AD949" s="281"/>
      <c r="AE949" s="281"/>
      <c r="AF949" s="281"/>
      <c r="AG949" s="170"/>
      <c r="AH949" s="152"/>
      <c r="AI949" s="152"/>
      <c r="AJ949" s="152"/>
      <c r="AK949" s="152"/>
      <c r="AL949" s="152"/>
      <c r="AM949" s="152"/>
      <c r="AN949" s="152"/>
      <c r="AO949" s="152"/>
      <c r="AP949" s="152"/>
      <c r="AQ949" s="152"/>
      <c r="AR949" s="152"/>
    </row>
    <row r="950" ht="12.75" customHeight="1">
      <c r="A950" s="288"/>
      <c r="B950" s="288"/>
      <c r="C950" s="288"/>
      <c r="D950" s="152"/>
      <c r="E950" s="289"/>
      <c r="F950" s="288"/>
      <c r="G950" s="152"/>
      <c r="H950" s="152"/>
      <c r="I950" s="152"/>
      <c r="J950" s="152"/>
      <c r="K950" s="289"/>
      <c r="L950" s="289"/>
      <c r="M950" s="152"/>
      <c r="N950" s="152"/>
      <c r="O950" s="156"/>
      <c r="P950" s="152"/>
      <c r="Q950" s="152"/>
      <c r="R950" s="152"/>
      <c r="S950" s="152"/>
      <c r="T950" s="152"/>
      <c r="U950" s="152"/>
      <c r="V950" s="152"/>
      <c r="W950" s="152"/>
      <c r="X950" s="152"/>
      <c r="Y950" s="152"/>
      <c r="Z950" s="281"/>
      <c r="AA950" s="281"/>
      <c r="AB950" s="281"/>
      <c r="AC950" s="281"/>
      <c r="AD950" s="281"/>
      <c r="AE950" s="281"/>
      <c r="AF950" s="281"/>
      <c r="AG950" s="170"/>
      <c r="AH950" s="152"/>
      <c r="AI950" s="152"/>
      <c r="AJ950" s="152"/>
      <c r="AK950" s="152"/>
      <c r="AL950" s="152"/>
      <c r="AM950" s="152"/>
      <c r="AN950" s="152"/>
      <c r="AO950" s="152"/>
      <c r="AP950" s="152"/>
      <c r="AQ950" s="152"/>
      <c r="AR950" s="152"/>
    </row>
    <row r="951" ht="12.75" customHeight="1">
      <c r="A951" s="288"/>
      <c r="B951" s="288"/>
      <c r="C951" s="288"/>
      <c r="D951" s="152"/>
      <c r="E951" s="289"/>
      <c r="F951" s="288"/>
      <c r="G951" s="152"/>
      <c r="H951" s="152"/>
      <c r="I951" s="152"/>
      <c r="J951" s="152"/>
      <c r="K951" s="289"/>
      <c r="L951" s="289"/>
      <c r="M951" s="152"/>
      <c r="N951" s="152"/>
      <c r="O951" s="156"/>
      <c r="P951" s="152"/>
      <c r="Q951" s="152"/>
      <c r="R951" s="152"/>
      <c r="S951" s="152"/>
      <c r="T951" s="152"/>
      <c r="U951" s="152"/>
      <c r="V951" s="152"/>
      <c r="W951" s="152"/>
      <c r="X951" s="152"/>
      <c r="Y951" s="152"/>
      <c r="Z951" s="281"/>
      <c r="AA951" s="281"/>
      <c r="AB951" s="281"/>
      <c r="AC951" s="281"/>
      <c r="AD951" s="281"/>
      <c r="AE951" s="281"/>
      <c r="AF951" s="281"/>
      <c r="AG951" s="170"/>
      <c r="AH951" s="152"/>
      <c r="AI951" s="152"/>
      <c r="AJ951" s="152"/>
      <c r="AK951" s="152"/>
      <c r="AL951" s="152"/>
      <c r="AM951" s="152"/>
      <c r="AN951" s="152"/>
      <c r="AO951" s="152"/>
      <c r="AP951" s="152"/>
      <c r="AQ951" s="152"/>
      <c r="AR951" s="152"/>
    </row>
    <row r="952" ht="12.75" customHeight="1">
      <c r="A952" s="288"/>
      <c r="B952" s="288"/>
      <c r="C952" s="288"/>
      <c r="D952" s="152"/>
      <c r="E952" s="289"/>
      <c r="F952" s="288"/>
      <c r="G952" s="152"/>
      <c r="H952" s="152"/>
      <c r="I952" s="152"/>
      <c r="J952" s="152"/>
      <c r="K952" s="289"/>
      <c r="L952" s="289"/>
      <c r="M952" s="152"/>
      <c r="N952" s="152"/>
      <c r="O952" s="156"/>
      <c r="P952" s="152"/>
      <c r="Q952" s="152"/>
      <c r="R952" s="152"/>
      <c r="S952" s="152"/>
      <c r="T952" s="152"/>
      <c r="U952" s="152"/>
      <c r="V952" s="152"/>
      <c r="W952" s="152"/>
      <c r="X952" s="152"/>
      <c r="Y952" s="152"/>
      <c r="Z952" s="281"/>
      <c r="AA952" s="281"/>
      <c r="AB952" s="281"/>
      <c r="AC952" s="281"/>
      <c r="AD952" s="281"/>
      <c r="AE952" s="281"/>
      <c r="AF952" s="281"/>
      <c r="AG952" s="170"/>
      <c r="AH952" s="152"/>
      <c r="AI952" s="152"/>
      <c r="AJ952" s="152"/>
      <c r="AK952" s="152"/>
      <c r="AL952" s="152"/>
      <c r="AM952" s="152"/>
      <c r="AN952" s="152"/>
      <c r="AO952" s="152"/>
      <c r="AP952" s="152"/>
      <c r="AQ952" s="152"/>
      <c r="AR952" s="152"/>
    </row>
    <row r="953" ht="12.75" customHeight="1">
      <c r="A953" s="288"/>
      <c r="B953" s="288"/>
      <c r="C953" s="288"/>
      <c r="D953" s="152"/>
      <c r="E953" s="289"/>
      <c r="F953" s="288"/>
      <c r="G953" s="152"/>
      <c r="H953" s="152"/>
      <c r="I953" s="152"/>
      <c r="J953" s="152"/>
      <c r="K953" s="289"/>
      <c r="L953" s="289"/>
      <c r="M953" s="152"/>
      <c r="N953" s="152"/>
      <c r="O953" s="156"/>
      <c r="P953" s="152"/>
      <c r="Q953" s="152"/>
      <c r="R953" s="152"/>
      <c r="S953" s="152"/>
      <c r="T953" s="152"/>
      <c r="U953" s="152"/>
      <c r="V953" s="152"/>
      <c r="W953" s="152"/>
      <c r="X953" s="152"/>
      <c r="Y953" s="152"/>
      <c r="Z953" s="281"/>
      <c r="AA953" s="281"/>
      <c r="AB953" s="281"/>
      <c r="AC953" s="281"/>
      <c r="AD953" s="281"/>
      <c r="AE953" s="281"/>
      <c r="AF953" s="281"/>
      <c r="AG953" s="170"/>
      <c r="AH953" s="152"/>
      <c r="AI953" s="152"/>
      <c r="AJ953" s="152"/>
      <c r="AK953" s="152"/>
      <c r="AL953" s="152"/>
      <c r="AM953" s="152"/>
      <c r="AN953" s="152"/>
      <c r="AO953" s="152"/>
      <c r="AP953" s="152"/>
      <c r="AQ953" s="152"/>
      <c r="AR953" s="152"/>
    </row>
    <row r="954" ht="12.75" customHeight="1">
      <c r="A954" s="288"/>
      <c r="B954" s="288"/>
      <c r="C954" s="288"/>
      <c r="D954" s="152"/>
      <c r="E954" s="289"/>
      <c r="F954" s="288"/>
      <c r="G954" s="152"/>
      <c r="H954" s="152"/>
      <c r="I954" s="152"/>
      <c r="J954" s="152"/>
      <c r="K954" s="289"/>
      <c r="L954" s="289"/>
      <c r="M954" s="152"/>
      <c r="N954" s="152"/>
      <c r="O954" s="156"/>
      <c r="P954" s="152"/>
      <c r="Q954" s="152"/>
      <c r="R954" s="152"/>
      <c r="S954" s="152"/>
      <c r="T954" s="152"/>
      <c r="U954" s="152"/>
      <c r="V954" s="152"/>
      <c r="W954" s="152"/>
      <c r="X954" s="152"/>
      <c r="Y954" s="152"/>
      <c r="Z954" s="281"/>
      <c r="AA954" s="281"/>
      <c r="AB954" s="281"/>
      <c r="AC954" s="281"/>
      <c r="AD954" s="281"/>
      <c r="AE954" s="281"/>
      <c r="AF954" s="281"/>
      <c r="AG954" s="170"/>
      <c r="AH954" s="152"/>
      <c r="AI954" s="152"/>
      <c r="AJ954" s="152"/>
      <c r="AK954" s="152"/>
      <c r="AL954" s="152"/>
      <c r="AM954" s="152"/>
      <c r="AN954" s="152"/>
      <c r="AO954" s="152"/>
      <c r="AP954" s="152"/>
      <c r="AQ954" s="152"/>
      <c r="AR954" s="152"/>
    </row>
    <row r="955" ht="12.75" customHeight="1">
      <c r="A955" s="288"/>
      <c r="B955" s="288"/>
      <c r="C955" s="288"/>
      <c r="D955" s="152"/>
      <c r="E955" s="289"/>
      <c r="F955" s="288"/>
      <c r="G955" s="152"/>
      <c r="H955" s="152"/>
      <c r="I955" s="152"/>
      <c r="J955" s="152"/>
      <c r="K955" s="289"/>
      <c r="L955" s="289"/>
      <c r="M955" s="152"/>
      <c r="N955" s="152"/>
      <c r="O955" s="156"/>
      <c r="P955" s="152"/>
      <c r="Q955" s="152"/>
      <c r="R955" s="152"/>
      <c r="S955" s="152"/>
      <c r="T955" s="152"/>
      <c r="U955" s="152"/>
      <c r="V955" s="152"/>
      <c r="W955" s="152"/>
      <c r="X955" s="152"/>
      <c r="Y955" s="152"/>
      <c r="Z955" s="281"/>
      <c r="AA955" s="281"/>
      <c r="AB955" s="281"/>
      <c r="AC955" s="281"/>
      <c r="AD955" s="281"/>
      <c r="AE955" s="281"/>
      <c r="AF955" s="281"/>
      <c r="AG955" s="170"/>
      <c r="AH955" s="152"/>
      <c r="AI955" s="152"/>
      <c r="AJ955" s="152"/>
      <c r="AK955" s="152"/>
      <c r="AL955" s="152"/>
      <c r="AM955" s="152"/>
      <c r="AN955" s="152"/>
      <c r="AO955" s="152"/>
      <c r="AP955" s="152"/>
      <c r="AQ955" s="152"/>
      <c r="AR955" s="152"/>
    </row>
    <row r="956" ht="12.75" customHeight="1">
      <c r="A956" s="288"/>
      <c r="B956" s="288"/>
      <c r="C956" s="288"/>
      <c r="D956" s="152"/>
      <c r="E956" s="289"/>
      <c r="F956" s="288"/>
      <c r="G956" s="152"/>
      <c r="H956" s="152"/>
      <c r="I956" s="152"/>
      <c r="J956" s="152"/>
      <c r="K956" s="289"/>
      <c r="L956" s="289"/>
      <c r="M956" s="152"/>
      <c r="N956" s="152"/>
      <c r="O956" s="156"/>
      <c r="P956" s="152"/>
      <c r="Q956" s="152"/>
      <c r="R956" s="152"/>
      <c r="S956" s="152"/>
      <c r="T956" s="152"/>
      <c r="U956" s="152"/>
      <c r="V956" s="152"/>
      <c r="W956" s="152"/>
      <c r="X956" s="152"/>
      <c r="Y956" s="152"/>
      <c r="Z956" s="281"/>
      <c r="AA956" s="281"/>
      <c r="AB956" s="281"/>
      <c r="AC956" s="281"/>
      <c r="AD956" s="281"/>
      <c r="AE956" s="281"/>
      <c r="AF956" s="281"/>
      <c r="AG956" s="170"/>
      <c r="AH956" s="152"/>
      <c r="AI956" s="152"/>
      <c r="AJ956" s="152"/>
      <c r="AK956" s="152"/>
      <c r="AL956" s="152"/>
      <c r="AM956" s="152"/>
      <c r="AN956" s="152"/>
      <c r="AO956" s="152"/>
      <c r="AP956" s="152"/>
      <c r="AQ956" s="152"/>
      <c r="AR956" s="152"/>
    </row>
    <row r="957" ht="12.75" customHeight="1">
      <c r="A957" s="288"/>
      <c r="B957" s="288"/>
      <c r="C957" s="288"/>
      <c r="D957" s="152"/>
      <c r="E957" s="289"/>
      <c r="F957" s="288"/>
      <c r="G957" s="152"/>
      <c r="H957" s="152"/>
      <c r="I957" s="152"/>
      <c r="J957" s="152"/>
      <c r="K957" s="289"/>
      <c r="L957" s="289"/>
      <c r="M957" s="152"/>
      <c r="N957" s="152"/>
      <c r="O957" s="156"/>
      <c r="P957" s="152"/>
      <c r="Q957" s="152"/>
      <c r="R957" s="152"/>
      <c r="S957" s="152"/>
      <c r="T957" s="152"/>
      <c r="U957" s="152"/>
      <c r="V957" s="152"/>
      <c r="W957" s="152"/>
      <c r="X957" s="152"/>
      <c r="Y957" s="152"/>
      <c r="Z957" s="281"/>
      <c r="AA957" s="281"/>
      <c r="AB957" s="281"/>
      <c r="AC957" s="281"/>
      <c r="AD957" s="281"/>
      <c r="AE957" s="281"/>
      <c r="AF957" s="281"/>
      <c r="AG957" s="170"/>
      <c r="AH957" s="152"/>
      <c r="AI957" s="152"/>
      <c r="AJ957" s="152"/>
      <c r="AK957" s="152"/>
      <c r="AL957" s="152"/>
      <c r="AM957" s="152"/>
      <c r="AN957" s="152"/>
      <c r="AO957" s="152"/>
      <c r="AP957" s="152"/>
      <c r="AQ957" s="152"/>
      <c r="AR957" s="152"/>
    </row>
    <row r="958" ht="12.75" customHeight="1">
      <c r="A958" s="288"/>
      <c r="B958" s="288"/>
      <c r="C958" s="288"/>
      <c r="D958" s="152"/>
      <c r="E958" s="289"/>
      <c r="F958" s="288"/>
      <c r="G958" s="152"/>
      <c r="H958" s="152"/>
      <c r="I958" s="152"/>
      <c r="J958" s="152"/>
      <c r="K958" s="289"/>
      <c r="L958" s="289"/>
      <c r="M958" s="152"/>
      <c r="N958" s="152"/>
      <c r="O958" s="156"/>
      <c r="P958" s="152"/>
      <c r="Q958" s="152"/>
      <c r="R958" s="152"/>
      <c r="S958" s="152"/>
      <c r="T958" s="152"/>
      <c r="U958" s="152"/>
      <c r="V958" s="152"/>
      <c r="W958" s="152"/>
      <c r="X958" s="152"/>
      <c r="Y958" s="152"/>
      <c r="Z958" s="281"/>
      <c r="AA958" s="281"/>
      <c r="AB958" s="281"/>
      <c r="AC958" s="281"/>
      <c r="AD958" s="281"/>
      <c r="AE958" s="281"/>
      <c r="AF958" s="281"/>
      <c r="AG958" s="170"/>
      <c r="AH958" s="152"/>
      <c r="AI958" s="152"/>
      <c r="AJ958" s="152"/>
      <c r="AK958" s="152"/>
      <c r="AL958" s="152"/>
      <c r="AM958" s="152"/>
      <c r="AN958" s="152"/>
      <c r="AO958" s="152"/>
      <c r="AP958" s="152"/>
      <c r="AQ958" s="152"/>
      <c r="AR958" s="152"/>
    </row>
    <row r="959" ht="12.75" customHeight="1">
      <c r="A959" s="288"/>
      <c r="B959" s="288"/>
      <c r="C959" s="288"/>
      <c r="D959" s="152"/>
      <c r="E959" s="289"/>
      <c r="F959" s="288"/>
      <c r="G959" s="152"/>
      <c r="H959" s="152"/>
      <c r="I959" s="152"/>
      <c r="J959" s="152"/>
      <c r="K959" s="289"/>
      <c r="L959" s="289"/>
      <c r="M959" s="152"/>
      <c r="N959" s="152"/>
      <c r="O959" s="156"/>
      <c r="P959" s="152"/>
      <c r="Q959" s="152"/>
      <c r="R959" s="152"/>
      <c r="S959" s="152"/>
      <c r="T959" s="152"/>
      <c r="U959" s="152"/>
      <c r="V959" s="152"/>
      <c r="W959" s="152"/>
      <c r="X959" s="152"/>
      <c r="Y959" s="152"/>
      <c r="Z959" s="281"/>
      <c r="AA959" s="281"/>
      <c r="AB959" s="281"/>
      <c r="AC959" s="281"/>
      <c r="AD959" s="281"/>
      <c r="AE959" s="281"/>
      <c r="AF959" s="281"/>
      <c r="AG959" s="170"/>
      <c r="AH959" s="152"/>
      <c r="AI959" s="152"/>
      <c r="AJ959" s="152"/>
      <c r="AK959" s="152"/>
      <c r="AL959" s="152"/>
      <c r="AM959" s="152"/>
      <c r="AN959" s="152"/>
      <c r="AO959" s="152"/>
      <c r="AP959" s="152"/>
      <c r="AQ959" s="152"/>
      <c r="AR959" s="152"/>
    </row>
    <row r="960" ht="12.75" customHeight="1">
      <c r="A960" s="288"/>
      <c r="B960" s="288"/>
      <c r="C960" s="288"/>
      <c r="D960" s="152"/>
      <c r="E960" s="289"/>
      <c r="F960" s="288"/>
      <c r="G960" s="152"/>
      <c r="H960" s="152"/>
      <c r="I960" s="152"/>
      <c r="J960" s="152"/>
      <c r="K960" s="289"/>
      <c r="L960" s="289"/>
      <c r="M960" s="152"/>
      <c r="N960" s="152"/>
      <c r="O960" s="156"/>
      <c r="P960" s="152"/>
      <c r="Q960" s="152"/>
      <c r="R960" s="152"/>
      <c r="S960" s="152"/>
      <c r="T960" s="152"/>
      <c r="U960" s="152"/>
      <c r="V960" s="152"/>
      <c r="W960" s="152"/>
      <c r="X960" s="152"/>
      <c r="Y960" s="152"/>
      <c r="Z960" s="281"/>
      <c r="AA960" s="281"/>
      <c r="AB960" s="281"/>
      <c r="AC960" s="281"/>
      <c r="AD960" s="281"/>
      <c r="AE960" s="281"/>
      <c r="AF960" s="281"/>
      <c r="AG960" s="170"/>
      <c r="AH960" s="152"/>
      <c r="AI960" s="152"/>
      <c r="AJ960" s="152"/>
      <c r="AK960" s="152"/>
      <c r="AL960" s="152"/>
      <c r="AM960" s="152"/>
      <c r="AN960" s="152"/>
      <c r="AO960" s="152"/>
      <c r="AP960" s="152"/>
      <c r="AQ960" s="152"/>
      <c r="AR960" s="152"/>
    </row>
    <row r="961" ht="12.75" customHeight="1">
      <c r="A961" s="288"/>
      <c r="B961" s="288"/>
      <c r="C961" s="288"/>
      <c r="D961" s="152"/>
      <c r="E961" s="289"/>
      <c r="F961" s="288"/>
      <c r="G961" s="152"/>
      <c r="H961" s="152"/>
      <c r="I961" s="152"/>
      <c r="J961" s="152"/>
      <c r="K961" s="289"/>
      <c r="L961" s="289"/>
      <c r="M961" s="152"/>
      <c r="N961" s="152"/>
      <c r="O961" s="156"/>
      <c r="P961" s="152"/>
      <c r="Q961" s="152"/>
      <c r="R961" s="152"/>
      <c r="S961" s="152"/>
      <c r="T961" s="152"/>
      <c r="U961" s="152"/>
      <c r="V961" s="152"/>
      <c r="W961" s="152"/>
      <c r="X961" s="152"/>
      <c r="Y961" s="152"/>
      <c r="Z961" s="281"/>
      <c r="AA961" s="281"/>
      <c r="AB961" s="281"/>
      <c r="AC961" s="281"/>
      <c r="AD961" s="281"/>
      <c r="AE961" s="281"/>
      <c r="AF961" s="281"/>
      <c r="AG961" s="170"/>
      <c r="AH961" s="152"/>
      <c r="AI961" s="152"/>
      <c r="AJ961" s="152"/>
      <c r="AK961" s="152"/>
      <c r="AL961" s="152"/>
      <c r="AM961" s="152"/>
      <c r="AN961" s="152"/>
      <c r="AO961" s="152"/>
      <c r="AP961" s="152"/>
      <c r="AQ961" s="152"/>
      <c r="AR961" s="152"/>
    </row>
    <row r="962" ht="12.75" customHeight="1">
      <c r="A962" s="288"/>
      <c r="B962" s="288"/>
      <c r="C962" s="288"/>
      <c r="D962" s="152"/>
      <c r="E962" s="289"/>
      <c r="F962" s="288"/>
      <c r="G962" s="152"/>
      <c r="H962" s="152"/>
      <c r="I962" s="152"/>
      <c r="J962" s="152"/>
      <c r="K962" s="289"/>
      <c r="L962" s="289"/>
      <c r="M962" s="152"/>
      <c r="N962" s="152"/>
      <c r="O962" s="156"/>
      <c r="P962" s="152"/>
      <c r="Q962" s="152"/>
      <c r="R962" s="152"/>
      <c r="S962" s="152"/>
      <c r="T962" s="152"/>
      <c r="U962" s="152"/>
      <c r="V962" s="152"/>
      <c r="W962" s="152"/>
      <c r="X962" s="152"/>
      <c r="Y962" s="152"/>
      <c r="Z962" s="281"/>
      <c r="AA962" s="281"/>
      <c r="AB962" s="281"/>
      <c r="AC962" s="281"/>
      <c r="AD962" s="281"/>
      <c r="AE962" s="281"/>
      <c r="AF962" s="281"/>
      <c r="AG962" s="170"/>
      <c r="AH962" s="152"/>
      <c r="AI962" s="152"/>
      <c r="AJ962" s="152"/>
      <c r="AK962" s="152"/>
      <c r="AL962" s="152"/>
      <c r="AM962" s="152"/>
      <c r="AN962" s="152"/>
      <c r="AO962" s="152"/>
      <c r="AP962" s="152"/>
      <c r="AQ962" s="152"/>
      <c r="AR962" s="152"/>
    </row>
    <row r="963" ht="12.75" customHeight="1">
      <c r="A963" s="288"/>
      <c r="B963" s="288"/>
      <c r="C963" s="288"/>
      <c r="D963" s="152"/>
      <c r="E963" s="289"/>
      <c r="F963" s="288"/>
      <c r="G963" s="152"/>
      <c r="H963" s="152"/>
      <c r="I963" s="152"/>
      <c r="J963" s="152"/>
      <c r="K963" s="289"/>
      <c r="L963" s="289"/>
      <c r="M963" s="152"/>
      <c r="N963" s="152"/>
      <c r="O963" s="156"/>
      <c r="P963" s="152"/>
      <c r="Q963" s="152"/>
      <c r="R963" s="152"/>
      <c r="S963" s="152"/>
      <c r="T963" s="152"/>
      <c r="U963" s="152"/>
      <c r="V963" s="152"/>
      <c r="W963" s="152"/>
      <c r="X963" s="152"/>
      <c r="Y963" s="152"/>
      <c r="Z963" s="281"/>
      <c r="AA963" s="281"/>
      <c r="AB963" s="281"/>
      <c r="AC963" s="281"/>
      <c r="AD963" s="281"/>
      <c r="AE963" s="281"/>
      <c r="AF963" s="281"/>
      <c r="AG963" s="170"/>
      <c r="AH963" s="152"/>
      <c r="AI963" s="152"/>
      <c r="AJ963" s="152"/>
      <c r="AK963" s="152"/>
      <c r="AL963" s="152"/>
      <c r="AM963" s="152"/>
      <c r="AN963" s="152"/>
      <c r="AO963" s="152"/>
      <c r="AP963" s="152"/>
      <c r="AQ963" s="152"/>
      <c r="AR963" s="152"/>
    </row>
    <row r="964" ht="12.75" customHeight="1">
      <c r="A964" s="288"/>
      <c r="B964" s="288"/>
      <c r="C964" s="288"/>
      <c r="D964" s="152"/>
      <c r="E964" s="289"/>
      <c r="F964" s="288"/>
      <c r="G964" s="152"/>
      <c r="H964" s="152"/>
      <c r="I964" s="152"/>
      <c r="J964" s="152"/>
      <c r="K964" s="289"/>
      <c r="L964" s="289"/>
      <c r="M964" s="152"/>
      <c r="N964" s="152"/>
      <c r="O964" s="156"/>
      <c r="P964" s="152"/>
      <c r="Q964" s="152"/>
      <c r="R964" s="152"/>
      <c r="S964" s="152"/>
      <c r="T964" s="152"/>
      <c r="U964" s="152"/>
      <c r="V964" s="152"/>
      <c r="W964" s="152"/>
      <c r="X964" s="152"/>
      <c r="Y964" s="152"/>
      <c r="Z964" s="281"/>
      <c r="AA964" s="281"/>
      <c r="AB964" s="281"/>
      <c r="AC964" s="281"/>
      <c r="AD964" s="281"/>
      <c r="AE964" s="281"/>
      <c r="AF964" s="281"/>
      <c r="AG964" s="170"/>
      <c r="AH964" s="152"/>
      <c r="AI964" s="152"/>
      <c r="AJ964" s="152"/>
      <c r="AK964" s="152"/>
      <c r="AL964" s="152"/>
      <c r="AM964" s="152"/>
      <c r="AN964" s="152"/>
      <c r="AO964" s="152"/>
      <c r="AP964" s="152"/>
      <c r="AQ964" s="152"/>
      <c r="AR964" s="152"/>
    </row>
    <row r="965" ht="12.75" customHeight="1">
      <c r="A965" s="288"/>
      <c r="B965" s="288"/>
      <c r="C965" s="288"/>
      <c r="D965" s="152"/>
      <c r="E965" s="289"/>
      <c r="F965" s="288"/>
      <c r="G965" s="152"/>
      <c r="H965" s="152"/>
      <c r="I965" s="152"/>
      <c r="J965" s="152"/>
      <c r="K965" s="289"/>
      <c r="L965" s="289"/>
      <c r="M965" s="152"/>
      <c r="N965" s="152"/>
      <c r="O965" s="156"/>
      <c r="P965" s="152"/>
      <c r="Q965" s="152"/>
      <c r="R965" s="152"/>
      <c r="S965" s="152"/>
      <c r="T965" s="152"/>
      <c r="U965" s="152"/>
      <c r="V965" s="152"/>
      <c r="W965" s="152"/>
      <c r="X965" s="152"/>
      <c r="Y965" s="152"/>
      <c r="Z965" s="281"/>
      <c r="AA965" s="281"/>
      <c r="AB965" s="281"/>
      <c r="AC965" s="281"/>
      <c r="AD965" s="281"/>
      <c r="AE965" s="281"/>
      <c r="AF965" s="281"/>
      <c r="AG965" s="170"/>
      <c r="AH965" s="152"/>
      <c r="AI965" s="152"/>
      <c r="AJ965" s="152"/>
      <c r="AK965" s="152"/>
      <c r="AL965" s="152"/>
      <c r="AM965" s="152"/>
      <c r="AN965" s="152"/>
      <c r="AO965" s="152"/>
      <c r="AP965" s="152"/>
      <c r="AQ965" s="152"/>
      <c r="AR965" s="152"/>
    </row>
    <row r="966" ht="12.75" customHeight="1">
      <c r="A966" s="288"/>
      <c r="B966" s="288"/>
      <c r="C966" s="288"/>
      <c r="D966" s="152"/>
      <c r="E966" s="289"/>
      <c r="F966" s="288"/>
      <c r="G966" s="152"/>
      <c r="H966" s="152"/>
      <c r="I966" s="152"/>
      <c r="J966" s="152"/>
      <c r="K966" s="289"/>
      <c r="L966" s="289"/>
      <c r="M966" s="152"/>
      <c r="N966" s="152"/>
      <c r="O966" s="156"/>
      <c r="P966" s="152"/>
      <c r="Q966" s="152"/>
      <c r="R966" s="152"/>
      <c r="S966" s="152"/>
      <c r="T966" s="152"/>
      <c r="U966" s="152"/>
      <c r="V966" s="152"/>
      <c r="W966" s="152"/>
      <c r="X966" s="152"/>
      <c r="Y966" s="152"/>
      <c r="Z966" s="281"/>
      <c r="AA966" s="281"/>
      <c r="AB966" s="281"/>
      <c r="AC966" s="281"/>
      <c r="AD966" s="281"/>
      <c r="AE966" s="281"/>
      <c r="AF966" s="281"/>
      <c r="AG966" s="170"/>
      <c r="AH966" s="152"/>
      <c r="AI966" s="152"/>
      <c r="AJ966" s="152"/>
      <c r="AK966" s="152"/>
      <c r="AL966" s="152"/>
      <c r="AM966" s="152"/>
      <c r="AN966" s="152"/>
      <c r="AO966" s="152"/>
      <c r="AP966" s="152"/>
      <c r="AQ966" s="152"/>
      <c r="AR966" s="152"/>
    </row>
    <row r="967" ht="12.75" customHeight="1">
      <c r="A967" s="288"/>
      <c r="B967" s="288"/>
      <c r="C967" s="288"/>
      <c r="D967" s="152"/>
      <c r="E967" s="289"/>
      <c r="F967" s="288"/>
      <c r="G967" s="152"/>
      <c r="H967" s="152"/>
      <c r="I967" s="152"/>
      <c r="J967" s="152"/>
      <c r="K967" s="289"/>
      <c r="L967" s="289"/>
      <c r="M967" s="152"/>
      <c r="N967" s="152"/>
      <c r="O967" s="156"/>
      <c r="P967" s="152"/>
      <c r="Q967" s="152"/>
      <c r="R967" s="152"/>
      <c r="S967" s="152"/>
      <c r="T967" s="152"/>
      <c r="U967" s="152"/>
      <c r="V967" s="152"/>
      <c r="W967" s="152"/>
      <c r="X967" s="152"/>
      <c r="Y967" s="152"/>
      <c r="Z967" s="281"/>
      <c r="AA967" s="281"/>
      <c r="AB967" s="281"/>
      <c r="AC967" s="281"/>
      <c r="AD967" s="281"/>
      <c r="AE967" s="281"/>
      <c r="AF967" s="281"/>
      <c r="AG967" s="170"/>
      <c r="AH967" s="152"/>
      <c r="AI967" s="152"/>
      <c r="AJ967" s="152"/>
      <c r="AK967" s="152"/>
      <c r="AL967" s="152"/>
      <c r="AM967" s="152"/>
      <c r="AN967" s="152"/>
      <c r="AO967" s="152"/>
      <c r="AP967" s="152"/>
      <c r="AQ967" s="152"/>
      <c r="AR967" s="152"/>
    </row>
    <row r="968" ht="12.75" customHeight="1">
      <c r="A968" s="288"/>
      <c r="B968" s="288"/>
      <c r="C968" s="288"/>
      <c r="D968" s="152"/>
      <c r="E968" s="289"/>
      <c r="F968" s="288"/>
      <c r="G968" s="152"/>
      <c r="H968" s="152"/>
      <c r="I968" s="152"/>
      <c r="J968" s="152"/>
      <c r="K968" s="289"/>
      <c r="L968" s="289"/>
      <c r="M968" s="152"/>
      <c r="N968" s="152"/>
      <c r="O968" s="156"/>
      <c r="P968" s="152"/>
      <c r="Q968" s="152"/>
      <c r="R968" s="152"/>
      <c r="S968" s="152"/>
      <c r="T968" s="152"/>
      <c r="U968" s="152"/>
      <c r="V968" s="152"/>
      <c r="W968" s="152"/>
      <c r="X968" s="152"/>
      <c r="Y968" s="152"/>
      <c r="Z968" s="281"/>
      <c r="AA968" s="281"/>
      <c r="AB968" s="281"/>
      <c r="AC968" s="281"/>
      <c r="AD968" s="281"/>
      <c r="AE968" s="281"/>
      <c r="AF968" s="281"/>
      <c r="AG968" s="170"/>
      <c r="AH968" s="152"/>
      <c r="AI968" s="152"/>
      <c r="AJ968" s="152"/>
      <c r="AK968" s="152"/>
      <c r="AL968" s="152"/>
      <c r="AM968" s="152"/>
      <c r="AN968" s="152"/>
      <c r="AO968" s="152"/>
      <c r="AP968" s="152"/>
      <c r="AQ968" s="152"/>
      <c r="AR968" s="152"/>
    </row>
    <row r="969" ht="12.75" customHeight="1">
      <c r="A969" s="288"/>
      <c r="B969" s="288"/>
      <c r="C969" s="288"/>
      <c r="D969" s="152"/>
      <c r="E969" s="289"/>
      <c r="F969" s="288"/>
      <c r="G969" s="152"/>
      <c r="H969" s="152"/>
      <c r="I969" s="152"/>
      <c r="J969" s="152"/>
      <c r="K969" s="289"/>
      <c r="L969" s="289"/>
      <c r="M969" s="152"/>
      <c r="N969" s="152"/>
      <c r="O969" s="156"/>
      <c r="P969" s="152"/>
      <c r="Q969" s="152"/>
      <c r="R969" s="152"/>
      <c r="S969" s="152"/>
      <c r="T969" s="152"/>
      <c r="U969" s="152"/>
      <c r="V969" s="152"/>
      <c r="W969" s="152"/>
      <c r="X969" s="152"/>
      <c r="Y969" s="152"/>
      <c r="Z969" s="281"/>
      <c r="AA969" s="281"/>
      <c r="AB969" s="281"/>
      <c r="AC969" s="281"/>
      <c r="AD969" s="281"/>
      <c r="AE969" s="281"/>
      <c r="AF969" s="281"/>
      <c r="AG969" s="170"/>
      <c r="AH969" s="152"/>
      <c r="AI969" s="152"/>
      <c r="AJ969" s="152"/>
      <c r="AK969" s="152"/>
      <c r="AL969" s="152"/>
      <c r="AM969" s="152"/>
      <c r="AN969" s="152"/>
      <c r="AO969" s="152"/>
      <c r="AP969" s="152"/>
      <c r="AQ969" s="152"/>
      <c r="AR969" s="152"/>
    </row>
    <row r="970" ht="12.75" customHeight="1">
      <c r="A970" s="288"/>
      <c r="B970" s="288"/>
      <c r="C970" s="288"/>
      <c r="D970" s="152"/>
      <c r="E970" s="289"/>
      <c r="F970" s="288"/>
      <c r="G970" s="152"/>
      <c r="H970" s="152"/>
      <c r="I970" s="152"/>
      <c r="J970" s="152"/>
      <c r="K970" s="289"/>
      <c r="L970" s="289"/>
      <c r="M970" s="152"/>
      <c r="N970" s="152"/>
      <c r="O970" s="156"/>
      <c r="P970" s="152"/>
      <c r="Q970" s="152"/>
      <c r="R970" s="152"/>
      <c r="S970" s="152"/>
      <c r="T970" s="152"/>
      <c r="U970" s="152"/>
      <c r="V970" s="152"/>
      <c r="W970" s="152"/>
      <c r="X970" s="152"/>
      <c r="Y970" s="152"/>
      <c r="Z970" s="281"/>
      <c r="AA970" s="281"/>
      <c r="AB970" s="281"/>
      <c r="AC970" s="281"/>
      <c r="AD970" s="281"/>
      <c r="AE970" s="281"/>
      <c r="AF970" s="281"/>
      <c r="AG970" s="170"/>
      <c r="AH970" s="152"/>
      <c r="AI970" s="152"/>
      <c r="AJ970" s="152"/>
      <c r="AK970" s="152"/>
      <c r="AL970" s="152"/>
      <c r="AM970" s="152"/>
      <c r="AN970" s="152"/>
      <c r="AO970" s="152"/>
      <c r="AP970" s="152"/>
      <c r="AQ970" s="152"/>
      <c r="AR970" s="152"/>
    </row>
    <row r="971" ht="12.75" customHeight="1">
      <c r="A971" s="288"/>
      <c r="B971" s="288"/>
      <c r="C971" s="288"/>
      <c r="D971" s="152"/>
      <c r="E971" s="289"/>
      <c r="F971" s="288"/>
      <c r="G971" s="152"/>
      <c r="H971" s="152"/>
      <c r="I971" s="152"/>
      <c r="J971" s="152"/>
      <c r="K971" s="289"/>
      <c r="L971" s="289"/>
      <c r="M971" s="152"/>
      <c r="N971" s="152"/>
      <c r="O971" s="156"/>
      <c r="P971" s="152"/>
      <c r="Q971" s="152"/>
      <c r="R971" s="152"/>
      <c r="S971" s="152"/>
      <c r="T971" s="152"/>
      <c r="U971" s="152"/>
      <c r="V971" s="152"/>
      <c r="W971" s="152"/>
      <c r="X971" s="152"/>
      <c r="Y971" s="152"/>
      <c r="Z971" s="281"/>
      <c r="AA971" s="281"/>
      <c r="AB971" s="281"/>
      <c r="AC971" s="281"/>
      <c r="AD971" s="281"/>
      <c r="AE971" s="281"/>
      <c r="AF971" s="281"/>
      <c r="AG971" s="170"/>
      <c r="AH971" s="152"/>
      <c r="AI971" s="152"/>
      <c r="AJ971" s="152"/>
      <c r="AK971" s="152"/>
      <c r="AL971" s="152"/>
      <c r="AM971" s="152"/>
      <c r="AN971" s="152"/>
      <c r="AO971" s="152"/>
      <c r="AP971" s="152"/>
      <c r="AQ971" s="152"/>
      <c r="AR971" s="152"/>
    </row>
    <row r="972" ht="12.75" customHeight="1">
      <c r="A972" s="288"/>
      <c r="B972" s="288"/>
      <c r="C972" s="288"/>
      <c r="D972" s="152"/>
      <c r="E972" s="289"/>
      <c r="F972" s="288"/>
      <c r="G972" s="152"/>
      <c r="H972" s="152"/>
      <c r="I972" s="152"/>
      <c r="J972" s="152"/>
      <c r="K972" s="289"/>
      <c r="L972" s="289"/>
      <c r="M972" s="152"/>
      <c r="N972" s="152"/>
      <c r="O972" s="156"/>
      <c r="P972" s="152"/>
      <c r="Q972" s="152"/>
      <c r="R972" s="152"/>
      <c r="S972" s="152"/>
      <c r="T972" s="152"/>
      <c r="U972" s="152"/>
      <c r="V972" s="152"/>
      <c r="W972" s="152"/>
      <c r="X972" s="152"/>
      <c r="Y972" s="152"/>
      <c r="Z972" s="281"/>
      <c r="AA972" s="281"/>
      <c r="AB972" s="281"/>
      <c r="AC972" s="281"/>
      <c r="AD972" s="281"/>
      <c r="AE972" s="281"/>
      <c r="AF972" s="281"/>
      <c r="AG972" s="170"/>
      <c r="AH972" s="152"/>
      <c r="AI972" s="152"/>
      <c r="AJ972" s="152"/>
      <c r="AK972" s="152"/>
      <c r="AL972" s="152"/>
      <c r="AM972" s="152"/>
      <c r="AN972" s="152"/>
      <c r="AO972" s="152"/>
      <c r="AP972" s="152"/>
      <c r="AQ972" s="152"/>
      <c r="AR972" s="152"/>
    </row>
    <row r="973" ht="12.75" customHeight="1">
      <c r="A973" s="288"/>
      <c r="B973" s="288"/>
      <c r="C973" s="288"/>
      <c r="D973" s="152"/>
      <c r="E973" s="289"/>
      <c r="F973" s="288"/>
      <c r="G973" s="152"/>
      <c r="H973" s="152"/>
      <c r="I973" s="152"/>
      <c r="J973" s="152"/>
      <c r="K973" s="289"/>
      <c r="L973" s="289"/>
      <c r="M973" s="152"/>
      <c r="N973" s="152"/>
      <c r="O973" s="156"/>
      <c r="P973" s="152"/>
      <c r="Q973" s="152"/>
      <c r="R973" s="152"/>
      <c r="S973" s="152"/>
      <c r="T973" s="152"/>
      <c r="U973" s="152"/>
      <c r="V973" s="152"/>
      <c r="W973" s="152"/>
      <c r="X973" s="152"/>
      <c r="Y973" s="152"/>
      <c r="Z973" s="281"/>
      <c r="AA973" s="281"/>
      <c r="AB973" s="281"/>
      <c r="AC973" s="281"/>
      <c r="AD973" s="281"/>
      <c r="AE973" s="281"/>
      <c r="AF973" s="281"/>
      <c r="AG973" s="170"/>
      <c r="AH973" s="152"/>
      <c r="AI973" s="152"/>
      <c r="AJ973" s="152"/>
      <c r="AK973" s="152"/>
      <c r="AL973" s="152"/>
      <c r="AM973" s="152"/>
      <c r="AN973" s="152"/>
      <c r="AO973" s="152"/>
      <c r="AP973" s="152"/>
      <c r="AQ973" s="152"/>
      <c r="AR973" s="152"/>
    </row>
    <row r="974" ht="12.75" customHeight="1">
      <c r="A974" s="288"/>
      <c r="B974" s="288"/>
      <c r="C974" s="288"/>
      <c r="D974" s="152"/>
      <c r="E974" s="289"/>
      <c r="F974" s="288"/>
      <c r="G974" s="152"/>
      <c r="H974" s="152"/>
      <c r="I974" s="152"/>
      <c r="J974" s="152"/>
      <c r="K974" s="289"/>
      <c r="L974" s="289"/>
      <c r="M974" s="152"/>
      <c r="N974" s="152"/>
      <c r="O974" s="156"/>
      <c r="P974" s="152"/>
      <c r="Q974" s="152"/>
      <c r="R974" s="152"/>
      <c r="S974" s="152"/>
      <c r="T974" s="152"/>
      <c r="U974" s="152"/>
      <c r="V974" s="152"/>
      <c r="W974" s="152"/>
      <c r="X974" s="152"/>
      <c r="Y974" s="152"/>
      <c r="Z974" s="281"/>
      <c r="AA974" s="281"/>
      <c r="AB974" s="281"/>
      <c r="AC974" s="281"/>
      <c r="AD974" s="281"/>
      <c r="AE974" s="281"/>
      <c r="AF974" s="281"/>
      <c r="AG974" s="170"/>
      <c r="AH974" s="152"/>
      <c r="AI974" s="152"/>
      <c r="AJ974" s="152"/>
      <c r="AK974" s="152"/>
      <c r="AL974" s="152"/>
      <c r="AM974" s="152"/>
      <c r="AN974" s="152"/>
      <c r="AO974" s="152"/>
      <c r="AP974" s="152"/>
      <c r="AQ974" s="152"/>
      <c r="AR974" s="152"/>
    </row>
    <row r="975" ht="12.75" customHeight="1">
      <c r="A975" s="288"/>
      <c r="B975" s="288"/>
      <c r="C975" s="288"/>
      <c r="D975" s="152"/>
      <c r="E975" s="289"/>
      <c r="F975" s="288"/>
      <c r="G975" s="152"/>
      <c r="H975" s="152"/>
      <c r="I975" s="152"/>
      <c r="J975" s="152"/>
      <c r="K975" s="289"/>
      <c r="L975" s="289"/>
      <c r="M975" s="152"/>
      <c r="N975" s="152"/>
      <c r="O975" s="156"/>
      <c r="P975" s="152"/>
      <c r="Q975" s="152"/>
      <c r="R975" s="152"/>
      <c r="S975" s="152"/>
      <c r="T975" s="152"/>
      <c r="U975" s="152"/>
      <c r="V975" s="152"/>
      <c r="W975" s="152"/>
      <c r="X975" s="152"/>
      <c r="Y975" s="152"/>
      <c r="Z975" s="281"/>
      <c r="AA975" s="281"/>
      <c r="AB975" s="281"/>
      <c r="AC975" s="281"/>
      <c r="AD975" s="281"/>
      <c r="AE975" s="281"/>
      <c r="AF975" s="281"/>
      <c r="AG975" s="170"/>
      <c r="AH975" s="152"/>
      <c r="AI975" s="152"/>
      <c r="AJ975" s="152"/>
      <c r="AK975" s="152"/>
      <c r="AL975" s="152"/>
      <c r="AM975" s="152"/>
      <c r="AN975" s="152"/>
      <c r="AO975" s="152"/>
      <c r="AP975" s="152"/>
      <c r="AQ975" s="152"/>
      <c r="AR975" s="152"/>
    </row>
    <row r="976" ht="12.75" customHeight="1">
      <c r="A976" s="288"/>
      <c r="B976" s="288"/>
      <c r="C976" s="288"/>
      <c r="D976" s="152"/>
      <c r="E976" s="289"/>
      <c r="F976" s="288"/>
      <c r="G976" s="152"/>
      <c r="H976" s="152"/>
      <c r="I976" s="152"/>
      <c r="J976" s="152"/>
      <c r="K976" s="289"/>
      <c r="L976" s="289"/>
      <c r="M976" s="152"/>
      <c r="N976" s="152"/>
      <c r="O976" s="156"/>
      <c r="P976" s="152"/>
      <c r="Q976" s="152"/>
      <c r="R976" s="152"/>
      <c r="S976" s="152"/>
      <c r="T976" s="152"/>
      <c r="U976" s="152"/>
      <c r="V976" s="152"/>
      <c r="W976" s="152"/>
      <c r="X976" s="152"/>
      <c r="Y976" s="152"/>
      <c r="Z976" s="281"/>
      <c r="AA976" s="281"/>
      <c r="AB976" s="281"/>
      <c r="AC976" s="281"/>
      <c r="AD976" s="281"/>
      <c r="AE976" s="281"/>
      <c r="AF976" s="281"/>
      <c r="AG976" s="170"/>
      <c r="AH976" s="152"/>
      <c r="AI976" s="152"/>
      <c r="AJ976" s="152"/>
      <c r="AK976" s="152"/>
      <c r="AL976" s="152"/>
      <c r="AM976" s="152"/>
      <c r="AN976" s="152"/>
      <c r="AO976" s="152"/>
      <c r="AP976" s="152"/>
      <c r="AQ976" s="152"/>
      <c r="AR976" s="152"/>
    </row>
    <row r="977" ht="12.75" customHeight="1">
      <c r="A977" s="288"/>
      <c r="B977" s="288"/>
      <c r="C977" s="288"/>
      <c r="D977" s="152"/>
      <c r="E977" s="289"/>
      <c r="F977" s="288"/>
      <c r="G977" s="152"/>
      <c r="H977" s="152"/>
      <c r="I977" s="152"/>
      <c r="J977" s="152"/>
      <c r="K977" s="289"/>
      <c r="L977" s="289"/>
      <c r="M977" s="152"/>
      <c r="N977" s="152"/>
      <c r="O977" s="156"/>
      <c r="P977" s="152"/>
      <c r="Q977" s="152"/>
      <c r="R977" s="152"/>
      <c r="S977" s="152"/>
      <c r="T977" s="152"/>
      <c r="U977" s="152"/>
      <c r="V977" s="152"/>
      <c r="W977" s="152"/>
      <c r="X977" s="152"/>
      <c r="Y977" s="152"/>
      <c r="Z977" s="281"/>
      <c r="AA977" s="281"/>
      <c r="AB977" s="281"/>
      <c r="AC977" s="281"/>
      <c r="AD977" s="281"/>
      <c r="AE977" s="281"/>
      <c r="AF977" s="281"/>
      <c r="AG977" s="170"/>
      <c r="AH977" s="152"/>
      <c r="AI977" s="152"/>
      <c r="AJ977" s="152"/>
      <c r="AK977" s="152"/>
      <c r="AL977" s="152"/>
      <c r="AM977" s="152"/>
      <c r="AN977" s="152"/>
      <c r="AO977" s="152"/>
      <c r="AP977" s="152"/>
      <c r="AQ977" s="152"/>
      <c r="AR977" s="152"/>
    </row>
    <row r="978" ht="12.75" customHeight="1">
      <c r="A978" s="288"/>
      <c r="B978" s="288"/>
      <c r="C978" s="288"/>
      <c r="D978" s="152"/>
      <c r="E978" s="289"/>
      <c r="F978" s="288"/>
      <c r="G978" s="152"/>
      <c r="H978" s="152"/>
      <c r="I978" s="152"/>
      <c r="J978" s="152"/>
      <c r="K978" s="289"/>
      <c r="L978" s="289"/>
      <c r="M978" s="152"/>
      <c r="N978" s="152"/>
      <c r="O978" s="156"/>
      <c r="P978" s="152"/>
      <c r="Q978" s="152"/>
      <c r="R978" s="152"/>
      <c r="S978" s="152"/>
      <c r="T978" s="152"/>
      <c r="U978" s="152"/>
      <c r="V978" s="152"/>
      <c r="W978" s="152"/>
      <c r="X978" s="152"/>
      <c r="Y978" s="152"/>
      <c r="Z978" s="281"/>
      <c r="AA978" s="281"/>
      <c r="AB978" s="281"/>
      <c r="AC978" s="281"/>
      <c r="AD978" s="281"/>
      <c r="AE978" s="281"/>
      <c r="AF978" s="281"/>
      <c r="AG978" s="170"/>
      <c r="AH978" s="152"/>
      <c r="AI978" s="152"/>
      <c r="AJ978" s="152"/>
      <c r="AK978" s="152"/>
      <c r="AL978" s="152"/>
      <c r="AM978" s="152"/>
      <c r="AN978" s="152"/>
      <c r="AO978" s="152"/>
      <c r="AP978" s="152"/>
      <c r="AQ978" s="152"/>
      <c r="AR978" s="152"/>
    </row>
    <row r="979" ht="12.75" customHeight="1">
      <c r="A979" s="288"/>
      <c r="B979" s="288"/>
      <c r="C979" s="288"/>
      <c r="D979" s="152"/>
      <c r="E979" s="289"/>
      <c r="F979" s="288"/>
      <c r="G979" s="152"/>
      <c r="H979" s="152"/>
      <c r="I979" s="152"/>
      <c r="J979" s="152"/>
      <c r="K979" s="289"/>
      <c r="L979" s="289"/>
      <c r="M979" s="152"/>
      <c r="N979" s="152"/>
      <c r="O979" s="156"/>
      <c r="P979" s="152"/>
      <c r="Q979" s="152"/>
      <c r="R979" s="152"/>
      <c r="S979" s="152"/>
      <c r="T979" s="152"/>
      <c r="U979" s="152"/>
      <c r="V979" s="152"/>
      <c r="W979" s="152"/>
      <c r="X979" s="152"/>
      <c r="Y979" s="152"/>
      <c r="Z979" s="281"/>
      <c r="AA979" s="281"/>
      <c r="AB979" s="281"/>
      <c r="AC979" s="281"/>
      <c r="AD979" s="281"/>
      <c r="AE979" s="281"/>
      <c r="AF979" s="281"/>
      <c r="AG979" s="170"/>
      <c r="AH979" s="152"/>
      <c r="AI979" s="152"/>
      <c r="AJ979" s="152"/>
      <c r="AK979" s="152"/>
      <c r="AL979" s="152"/>
      <c r="AM979" s="152"/>
      <c r="AN979" s="152"/>
      <c r="AO979" s="152"/>
      <c r="AP979" s="152"/>
      <c r="AQ979" s="152"/>
      <c r="AR979" s="152"/>
    </row>
    <row r="980" ht="12.75" customHeight="1">
      <c r="A980" s="288"/>
      <c r="B980" s="288"/>
      <c r="C980" s="288"/>
      <c r="D980" s="152"/>
      <c r="E980" s="289"/>
      <c r="F980" s="288"/>
      <c r="G980" s="152"/>
      <c r="H980" s="152"/>
      <c r="I980" s="152"/>
      <c r="J980" s="152"/>
      <c r="K980" s="289"/>
      <c r="L980" s="289"/>
      <c r="M980" s="152"/>
      <c r="N980" s="152"/>
      <c r="O980" s="156"/>
      <c r="P980" s="152"/>
      <c r="Q980" s="152"/>
      <c r="R980" s="152"/>
      <c r="S980" s="152"/>
      <c r="T980" s="152"/>
      <c r="U980" s="152"/>
      <c r="V980" s="152"/>
      <c r="W980" s="152"/>
      <c r="X980" s="152"/>
      <c r="Y980" s="152"/>
      <c r="Z980" s="281"/>
      <c r="AA980" s="281"/>
      <c r="AB980" s="281"/>
      <c r="AC980" s="281"/>
      <c r="AD980" s="281"/>
      <c r="AE980" s="281"/>
      <c r="AF980" s="281"/>
      <c r="AG980" s="170"/>
      <c r="AH980" s="152"/>
      <c r="AI980" s="152"/>
      <c r="AJ980" s="152"/>
      <c r="AK980" s="152"/>
      <c r="AL980" s="152"/>
      <c r="AM980" s="152"/>
      <c r="AN980" s="152"/>
      <c r="AO980" s="152"/>
      <c r="AP980" s="152"/>
      <c r="AQ980" s="152"/>
      <c r="AR980" s="152"/>
    </row>
    <row r="981" ht="12.75" customHeight="1">
      <c r="A981" s="288"/>
      <c r="B981" s="288"/>
      <c r="C981" s="288"/>
      <c r="D981" s="152"/>
      <c r="E981" s="289"/>
      <c r="F981" s="288"/>
      <c r="G981" s="152"/>
      <c r="H981" s="152"/>
      <c r="I981" s="152"/>
      <c r="J981" s="152"/>
      <c r="K981" s="289"/>
      <c r="L981" s="289"/>
      <c r="M981" s="152"/>
      <c r="N981" s="152"/>
      <c r="O981" s="156"/>
      <c r="P981" s="152"/>
      <c r="Q981" s="152"/>
      <c r="R981" s="152"/>
      <c r="S981" s="152"/>
      <c r="T981" s="152"/>
      <c r="U981" s="152"/>
      <c r="V981" s="152"/>
      <c r="W981" s="152"/>
      <c r="X981" s="152"/>
      <c r="Y981" s="152"/>
      <c r="Z981" s="281"/>
      <c r="AA981" s="281"/>
      <c r="AB981" s="281"/>
      <c r="AC981" s="281"/>
      <c r="AD981" s="281"/>
      <c r="AE981" s="281"/>
      <c r="AF981" s="281"/>
      <c r="AG981" s="170"/>
      <c r="AH981" s="152"/>
      <c r="AI981" s="152"/>
      <c r="AJ981" s="152"/>
      <c r="AK981" s="152"/>
      <c r="AL981" s="152"/>
      <c r="AM981" s="152"/>
      <c r="AN981" s="152"/>
      <c r="AO981" s="152"/>
      <c r="AP981" s="152"/>
      <c r="AQ981" s="152"/>
      <c r="AR981" s="152"/>
    </row>
    <row r="982" ht="12.75" customHeight="1">
      <c r="A982" s="288"/>
      <c r="B982" s="288"/>
      <c r="C982" s="288"/>
      <c r="D982" s="152"/>
      <c r="E982" s="289"/>
      <c r="F982" s="288"/>
      <c r="G982" s="152"/>
      <c r="H982" s="152"/>
      <c r="I982" s="152"/>
      <c r="J982" s="152"/>
      <c r="K982" s="289"/>
      <c r="L982" s="289"/>
      <c r="M982" s="152"/>
      <c r="N982" s="152"/>
      <c r="O982" s="156"/>
      <c r="P982" s="152"/>
      <c r="Q982" s="152"/>
      <c r="R982" s="152"/>
      <c r="S982" s="152"/>
      <c r="T982" s="152"/>
      <c r="U982" s="152"/>
      <c r="V982" s="152"/>
      <c r="W982" s="152"/>
      <c r="X982" s="152"/>
      <c r="Y982" s="152"/>
      <c r="Z982" s="281"/>
      <c r="AA982" s="281"/>
      <c r="AB982" s="281"/>
      <c r="AC982" s="281"/>
      <c r="AD982" s="281"/>
      <c r="AE982" s="281"/>
      <c r="AF982" s="281"/>
      <c r="AG982" s="170"/>
      <c r="AH982" s="152"/>
      <c r="AI982" s="152"/>
      <c r="AJ982" s="152"/>
      <c r="AK982" s="152"/>
      <c r="AL982" s="152"/>
      <c r="AM982" s="152"/>
      <c r="AN982" s="152"/>
      <c r="AO982" s="152"/>
      <c r="AP982" s="152"/>
      <c r="AQ982" s="152"/>
      <c r="AR982" s="152"/>
    </row>
    <row r="983" ht="12.75" customHeight="1">
      <c r="A983" s="288"/>
      <c r="B983" s="288"/>
      <c r="C983" s="288"/>
      <c r="D983" s="152"/>
      <c r="E983" s="289"/>
      <c r="F983" s="288"/>
      <c r="G983" s="152"/>
      <c r="H983" s="152"/>
      <c r="I983" s="152"/>
      <c r="J983" s="152"/>
      <c r="K983" s="289"/>
      <c r="L983" s="289"/>
      <c r="M983" s="152"/>
      <c r="N983" s="152"/>
      <c r="O983" s="156"/>
      <c r="P983" s="152"/>
      <c r="Q983" s="152"/>
      <c r="R983" s="152"/>
      <c r="S983" s="152"/>
      <c r="T983" s="152"/>
      <c r="U983" s="152"/>
      <c r="V983" s="152"/>
      <c r="W983" s="152"/>
      <c r="X983" s="152"/>
      <c r="Y983" s="152"/>
      <c r="Z983" s="281"/>
      <c r="AA983" s="281"/>
      <c r="AB983" s="281"/>
      <c r="AC983" s="281"/>
      <c r="AD983" s="281"/>
      <c r="AE983" s="281"/>
      <c r="AF983" s="281"/>
      <c r="AG983" s="170"/>
      <c r="AH983" s="152"/>
      <c r="AI983" s="152"/>
      <c r="AJ983" s="152"/>
      <c r="AK983" s="152"/>
      <c r="AL983" s="152"/>
      <c r="AM983" s="152"/>
      <c r="AN983" s="152"/>
      <c r="AO983" s="152"/>
      <c r="AP983" s="152"/>
      <c r="AQ983" s="152"/>
      <c r="AR983" s="152"/>
    </row>
    <row r="984" ht="12.75" customHeight="1">
      <c r="A984" s="288"/>
      <c r="B984" s="288"/>
      <c r="C984" s="288"/>
      <c r="D984" s="152"/>
      <c r="E984" s="289"/>
      <c r="F984" s="288"/>
      <c r="G984" s="152"/>
      <c r="H984" s="152"/>
      <c r="I984" s="152"/>
      <c r="J984" s="152"/>
      <c r="K984" s="289"/>
      <c r="L984" s="289"/>
      <c r="M984" s="152"/>
      <c r="N984" s="152"/>
      <c r="O984" s="156"/>
      <c r="P984" s="152"/>
      <c r="Q984" s="152"/>
      <c r="R984" s="152"/>
      <c r="S984" s="152"/>
      <c r="T984" s="152"/>
      <c r="U984" s="152"/>
      <c r="V984" s="152"/>
      <c r="W984" s="152"/>
      <c r="X984" s="152"/>
      <c r="Y984" s="152"/>
      <c r="Z984" s="281"/>
      <c r="AA984" s="281"/>
      <c r="AB984" s="281"/>
      <c r="AC984" s="281"/>
      <c r="AD984" s="281"/>
      <c r="AE984" s="281"/>
      <c r="AF984" s="281"/>
      <c r="AG984" s="170"/>
      <c r="AH984" s="152"/>
      <c r="AI984" s="152"/>
      <c r="AJ984" s="152"/>
      <c r="AK984" s="152"/>
      <c r="AL984" s="152"/>
      <c r="AM984" s="152"/>
      <c r="AN984" s="152"/>
      <c r="AO984" s="152"/>
      <c r="AP984" s="152"/>
      <c r="AQ984" s="152"/>
      <c r="AR984" s="152"/>
    </row>
    <row r="985" ht="12.75" customHeight="1">
      <c r="A985" s="288"/>
      <c r="B985" s="288"/>
      <c r="C985" s="288"/>
      <c r="D985" s="152"/>
      <c r="E985" s="289"/>
      <c r="F985" s="288"/>
      <c r="G985" s="152"/>
      <c r="H985" s="152"/>
      <c r="I985" s="152"/>
      <c r="J985" s="152"/>
      <c r="K985" s="289"/>
      <c r="L985" s="289"/>
      <c r="M985" s="152"/>
      <c r="N985" s="152"/>
      <c r="O985" s="156"/>
      <c r="P985" s="152"/>
      <c r="Q985" s="152"/>
      <c r="R985" s="152"/>
      <c r="S985" s="152"/>
      <c r="T985" s="152"/>
      <c r="U985" s="152"/>
      <c r="V985" s="152"/>
      <c r="W985" s="152"/>
      <c r="X985" s="152"/>
      <c r="Y985" s="152"/>
      <c r="Z985" s="281"/>
      <c r="AA985" s="281"/>
      <c r="AB985" s="281"/>
      <c r="AC985" s="281"/>
      <c r="AD985" s="281"/>
      <c r="AE985" s="281"/>
      <c r="AF985" s="281"/>
      <c r="AG985" s="170"/>
      <c r="AH985" s="152"/>
      <c r="AI985" s="152"/>
      <c r="AJ985" s="152"/>
      <c r="AK985" s="152"/>
      <c r="AL985" s="152"/>
      <c r="AM985" s="152"/>
      <c r="AN985" s="152"/>
      <c r="AO985" s="152"/>
      <c r="AP985" s="152"/>
      <c r="AQ985" s="152"/>
      <c r="AR985" s="152"/>
    </row>
    <row r="986" ht="12.75" customHeight="1">
      <c r="A986" s="288"/>
      <c r="B986" s="288"/>
      <c r="C986" s="288"/>
      <c r="D986" s="152"/>
      <c r="E986" s="289"/>
      <c r="F986" s="288"/>
      <c r="G986" s="152"/>
      <c r="H986" s="152"/>
      <c r="I986" s="152"/>
      <c r="J986" s="152"/>
      <c r="K986" s="289"/>
      <c r="L986" s="289"/>
      <c r="M986" s="152"/>
      <c r="N986" s="152"/>
      <c r="O986" s="156"/>
      <c r="P986" s="152"/>
      <c r="Q986" s="152"/>
      <c r="R986" s="152"/>
      <c r="S986" s="152"/>
      <c r="T986" s="152"/>
      <c r="U986" s="152"/>
      <c r="V986" s="152"/>
      <c r="W986" s="152"/>
      <c r="X986" s="152"/>
      <c r="Y986" s="152"/>
      <c r="Z986" s="281"/>
      <c r="AA986" s="281"/>
      <c r="AB986" s="281"/>
      <c r="AC986" s="281"/>
      <c r="AD986" s="281"/>
      <c r="AE986" s="281"/>
      <c r="AF986" s="281"/>
      <c r="AG986" s="170"/>
      <c r="AH986" s="152"/>
      <c r="AI986" s="152"/>
      <c r="AJ986" s="152"/>
      <c r="AK986" s="152"/>
      <c r="AL986" s="152"/>
      <c r="AM986" s="152"/>
      <c r="AN986" s="152"/>
      <c r="AO986" s="152"/>
      <c r="AP986" s="152"/>
      <c r="AQ986" s="152"/>
      <c r="AR986" s="152"/>
    </row>
    <row r="987" ht="12.75" customHeight="1">
      <c r="A987" s="288"/>
      <c r="B987" s="288"/>
      <c r="C987" s="288"/>
      <c r="D987" s="152"/>
      <c r="E987" s="289"/>
      <c r="F987" s="288"/>
      <c r="G987" s="152"/>
      <c r="H987" s="152"/>
      <c r="I987" s="152"/>
      <c r="J987" s="152"/>
      <c r="K987" s="289"/>
      <c r="L987" s="289"/>
      <c r="M987" s="152"/>
      <c r="N987" s="152"/>
      <c r="O987" s="156"/>
      <c r="P987" s="152"/>
      <c r="Q987" s="152"/>
      <c r="R987" s="152"/>
      <c r="S987" s="152"/>
      <c r="T987" s="152"/>
      <c r="U987" s="152"/>
      <c r="V987" s="152"/>
      <c r="W987" s="152"/>
      <c r="X987" s="152"/>
      <c r="Y987" s="152"/>
      <c r="Z987" s="281"/>
      <c r="AA987" s="281"/>
      <c r="AB987" s="281"/>
      <c r="AC987" s="281"/>
      <c r="AD987" s="281"/>
      <c r="AE987" s="281"/>
      <c r="AF987" s="281"/>
      <c r="AG987" s="170"/>
      <c r="AH987" s="152"/>
      <c r="AI987" s="152"/>
      <c r="AJ987" s="152"/>
      <c r="AK987" s="152"/>
      <c r="AL987" s="152"/>
      <c r="AM987" s="152"/>
      <c r="AN987" s="152"/>
      <c r="AO987" s="152"/>
      <c r="AP987" s="152"/>
      <c r="AQ987" s="152"/>
      <c r="AR987" s="152"/>
    </row>
    <row r="988" ht="12.75" customHeight="1">
      <c r="A988" s="288"/>
      <c r="B988" s="288"/>
      <c r="C988" s="288"/>
      <c r="D988" s="152"/>
      <c r="E988" s="289"/>
      <c r="F988" s="288"/>
      <c r="G988" s="152"/>
      <c r="H988" s="152"/>
      <c r="I988" s="152"/>
      <c r="J988" s="152"/>
      <c r="K988" s="289"/>
      <c r="L988" s="289"/>
      <c r="M988" s="152"/>
      <c r="N988" s="152"/>
      <c r="O988" s="156"/>
      <c r="P988" s="152"/>
      <c r="Q988" s="152"/>
      <c r="R988" s="152"/>
      <c r="S988" s="152"/>
      <c r="T988" s="152"/>
      <c r="U988" s="152"/>
      <c r="V988" s="152"/>
      <c r="W988" s="152"/>
      <c r="X988" s="152"/>
      <c r="Y988" s="152"/>
      <c r="Z988" s="281"/>
      <c r="AA988" s="281"/>
      <c r="AB988" s="281"/>
      <c r="AC988" s="281"/>
      <c r="AD988" s="281"/>
      <c r="AE988" s="281"/>
      <c r="AF988" s="281"/>
      <c r="AG988" s="170"/>
      <c r="AH988" s="152"/>
      <c r="AI988" s="152"/>
      <c r="AJ988" s="152"/>
      <c r="AK988" s="152"/>
      <c r="AL988" s="152"/>
      <c r="AM988" s="152"/>
      <c r="AN988" s="152"/>
      <c r="AO988" s="152"/>
      <c r="AP988" s="152"/>
      <c r="AQ988" s="152"/>
      <c r="AR988" s="152"/>
    </row>
    <row r="989" ht="12.75" customHeight="1">
      <c r="A989" s="288"/>
      <c r="B989" s="288"/>
      <c r="C989" s="288"/>
      <c r="D989" s="152"/>
      <c r="E989" s="289"/>
      <c r="F989" s="288"/>
      <c r="G989" s="152"/>
      <c r="H989" s="152"/>
      <c r="I989" s="152"/>
      <c r="J989" s="152"/>
      <c r="K989" s="289"/>
      <c r="L989" s="289"/>
      <c r="M989" s="152"/>
      <c r="N989" s="152"/>
      <c r="O989" s="156"/>
      <c r="P989" s="152"/>
      <c r="Q989" s="152"/>
      <c r="R989" s="152"/>
      <c r="S989" s="152"/>
      <c r="T989" s="152"/>
      <c r="U989" s="152"/>
      <c r="V989" s="152"/>
      <c r="W989" s="152"/>
      <c r="X989" s="152"/>
      <c r="Y989" s="152"/>
      <c r="Z989" s="281"/>
      <c r="AA989" s="281"/>
      <c r="AB989" s="281"/>
      <c r="AC989" s="281"/>
      <c r="AD989" s="281"/>
      <c r="AE989" s="281"/>
      <c r="AF989" s="281"/>
      <c r="AG989" s="170"/>
      <c r="AH989" s="152"/>
      <c r="AI989" s="152"/>
      <c r="AJ989" s="152"/>
      <c r="AK989" s="152"/>
      <c r="AL989" s="152"/>
      <c r="AM989" s="152"/>
      <c r="AN989" s="152"/>
      <c r="AO989" s="152"/>
      <c r="AP989" s="152"/>
      <c r="AQ989" s="152"/>
      <c r="AR989" s="152"/>
    </row>
    <row r="990" ht="12.75" customHeight="1">
      <c r="A990" s="288"/>
      <c r="B990" s="288"/>
      <c r="C990" s="288"/>
      <c r="D990" s="152"/>
      <c r="E990" s="289"/>
      <c r="F990" s="288"/>
      <c r="G990" s="152"/>
      <c r="H990" s="152"/>
      <c r="I990" s="152"/>
      <c r="J990" s="152"/>
      <c r="K990" s="289"/>
      <c r="L990" s="289"/>
      <c r="M990" s="152"/>
      <c r="N990" s="152"/>
      <c r="O990" s="156"/>
      <c r="P990" s="152"/>
      <c r="Q990" s="152"/>
      <c r="R990" s="152"/>
      <c r="S990" s="152"/>
      <c r="T990" s="152"/>
      <c r="U990" s="152"/>
      <c r="V990" s="152"/>
      <c r="W990" s="152"/>
      <c r="X990" s="152"/>
      <c r="Y990" s="152"/>
      <c r="Z990" s="281"/>
      <c r="AA990" s="281"/>
      <c r="AB990" s="281"/>
      <c r="AC990" s="281"/>
      <c r="AD990" s="281"/>
      <c r="AE990" s="281"/>
      <c r="AF990" s="281"/>
      <c r="AG990" s="170"/>
      <c r="AH990" s="152"/>
      <c r="AI990" s="152"/>
      <c r="AJ990" s="152"/>
      <c r="AK990" s="152"/>
      <c r="AL990" s="152"/>
      <c r="AM990" s="152"/>
      <c r="AN990" s="152"/>
      <c r="AO990" s="152"/>
      <c r="AP990" s="152"/>
      <c r="AQ990" s="152"/>
      <c r="AR990" s="152"/>
    </row>
    <row r="991" ht="12.75" customHeight="1">
      <c r="A991" s="288"/>
      <c r="B991" s="288"/>
      <c r="C991" s="288"/>
      <c r="D991" s="152"/>
      <c r="E991" s="289"/>
      <c r="F991" s="288"/>
      <c r="G991" s="152"/>
      <c r="H991" s="152"/>
      <c r="I991" s="152"/>
      <c r="J991" s="152"/>
      <c r="K991" s="289"/>
      <c r="L991" s="289"/>
      <c r="M991" s="152"/>
      <c r="N991" s="152"/>
      <c r="O991" s="156"/>
      <c r="P991" s="152"/>
      <c r="Q991" s="152"/>
      <c r="R991" s="152"/>
      <c r="S991" s="152"/>
      <c r="T991" s="152"/>
      <c r="U991" s="152"/>
      <c r="V991" s="152"/>
      <c r="W991" s="152"/>
      <c r="X991" s="152"/>
      <c r="Y991" s="152"/>
      <c r="Z991" s="281"/>
      <c r="AA991" s="281"/>
      <c r="AB991" s="281"/>
      <c r="AC991" s="281"/>
      <c r="AD991" s="281"/>
      <c r="AE991" s="281"/>
      <c r="AF991" s="281"/>
      <c r="AG991" s="170"/>
      <c r="AH991" s="152"/>
      <c r="AI991" s="152"/>
      <c r="AJ991" s="152"/>
      <c r="AK991" s="152"/>
      <c r="AL991" s="152"/>
      <c r="AM991" s="152"/>
      <c r="AN991" s="152"/>
      <c r="AO991" s="152"/>
      <c r="AP991" s="152"/>
      <c r="AQ991" s="152"/>
      <c r="AR991" s="152"/>
    </row>
    <row r="992" ht="12.75" customHeight="1">
      <c r="A992" s="288"/>
      <c r="B992" s="288"/>
      <c r="C992" s="288"/>
      <c r="D992" s="152"/>
      <c r="E992" s="289"/>
      <c r="F992" s="288"/>
      <c r="G992" s="152"/>
      <c r="H992" s="152"/>
      <c r="I992" s="152"/>
      <c r="J992" s="152"/>
      <c r="K992" s="289"/>
      <c r="L992" s="289"/>
      <c r="M992" s="152"/>
      <c r="N992" s="152"/>
      <c r="O992" s="156"/>
      <c r="P992" s="152"/>
      <c r="Q992" s="152"/>
      <c r="R992" s="152"/>
      <c r="S992" s="152"/>
      <c r="T992" s="152"/>
      <c r="U992" s="152"/>
      <c r="V992" s="152"/>
      <c r="W992" s="152"/>
      <c r="X992" s="152"/>
      <c r="Y992" s="152"/>
      <c r="Z992" s="281"/>
      <c r="AA992" s="281"/>
      <c r="AB992" s="281"/>
      <c r="AC992" s="281"/>
      <c r="AD992" s="281"/>
      <c r="AE992" s="281"/>
      <c r="AF992" s="281"/>
      <c r="AG992" s="170"/>
      <c r="AH992" s="152"/>
      <c r="AI992" s="152"/>
      <c r="AJ992" s="152"/>
      <c r="AK992" s="152"/>
      <c r="AL992" s="152"/>
      <c r="AM992" s="152"/>
      <c r="AN992" s="152"/>
      <c r="AO992" s="152"/>
      <c r="AP992" s="152"/>
      <c r="AQ992" s="152"/>
      <c r="AR992" s="152"/>
    </row>
    <row r="993" ht="12.75" customHeight="1">
      <c r="A993" s="288"/>
      <c r="B993" s="288"/>
      <c r="C993" s="288"/>
      <c r="D993" s="152"/>
      <c r="E993" s="289"/>
      <c r="F993" s="288"/>
      <c r="G993" s="152"/>
      <c r="H993" s="152"/>
      <c r="I993" s="152"/>
      <c r="J993" s="152"/>
      <c r="K993" s="289"/>
      <c r="L993" s="289"/>
      <c r="M993" s="152"/>
      <c r="N993" s="152"/>
      <c r="O993" s="156"/>
      <c r="P993" s="152"/>
      <c r="Q993" s="152"/>
      <c r="R993" s="152"/>
      <c r="S993" s="152"/>
      <c r="T993" s="152"/>
      <c r="U993" s="152"/>
      <c r="V993" s="152"/>
      <c r="W993" s="152"/>
      <c r="X993" s="152"/>
      <c r="Y993" s="152"/>
      <c r="Z993" s="281"/>
      <c r="AA993" s="281"/>
      <c r="AB993" s="281"/>
      <c r="AC993" s="281"/>
      <c r="AD993" s="281"/>
      <c r="AE993" s="281"/>
      <c r="AF993" s="281"/>
      <c r="AG993" s="170"/>
      <c r="AH993" s="152"/>
      <c r="AI993" s="152"/>
      <c r="AJ993" s="152"/>
      <c r="AK993" s="152"/>
      <c r="AL993" s="152"/>
      <c r="AM993" s="152"/>
      <c r="AN993" s="152"/>
      <c r="AO993" s="152"/>
      <c r="AP993" s="152"/>
      <c r="AQ993" s="152"/>
      <c r="AR993" s="152"/>
    </row>
    <row r="994" ht="12.75" customHeight="1">
      <c r="A994" s="288"/>
      <c r="B994" s="288"/>
      <c r="C994" s="288"/>
      <c r="D994" s="152"/>
      <c r="E994" s="289"/>
      <c r="F994" s="288"/>
      <c r="G994" s="152"/>
      <c r="H994" s="152"/>
      <c r="I994" s="152"/>
      <c r="J994" s="152"/>
      <c r="K994" s="289"/>
      <c r="L994" s="289"/>
      <c r="M994" s="152"/>
      <c r="N994" s="152"/>
      <c r="O994" s="156"/>
      <c r="P994" s="152"/>
      <c r="Q994" s="152"/>
      <c r="R994" s="152"/>
      <c r="S994" s="152"/>
      <c r="T994" s="152"/>
      <c r="U994" s="152"/>
      <c r="V994" s="152"/>
      <c r="W994" s="152"/>
      <c r="X994" s="152"/>
      <c r="Y994" s="152"/>
      <c r="Z994" s="281"/>
      <c r="AA994" s="281"/>
      <c r="AB994" s="281"/>
      <c r="AC994" s="281"/>
      <c r="AD994" s="281"/>
      <c r="AE994" s="281"/>
      <c r="AF994" s="281"/>
      <c r="AG994" s="170"/>
      <c r="AH994" s="152"/>
      <c r="AI994" s="152"/>
      <c r="AJ994" s="152"/>
      <c r="AK994" s="152"/>
      <c r="AL994" s="152"/>
      <c r="AM994" s="152"/>
      <c r="AN994" s="152"/>
      <c r="AO994" s="152"/>
      <c r="AP994" s="152"/>
      <c r="AQ994" s="152"/>
      <c r="AR994" s="152"/>
    </row>
    <row r="995" ht="12.75" customHeight="1">
      <c r="A995" s="288"/>
      <c r="B995" s="288"/>
      <c r="C995" s="288"/>
      <c r="D995" s="152"/>
      <c r="E995" s="289"/>
      <c r="F995" s="288"/>
      <c r="G995" s="152"/>
      <c r="H995" s="152"/>
      <c r="I995" s="152"/>
      <c r="J995" s="152"/>
      <c r="K995" s="289"/>
      <c r="L995" s="289"/>
      <c r="M995" s="152"/>
      <c r="N995" s="152"/>
      <c r="O995" s="156"/>
      <c r="P995" s="152"/>
      <c r="Q995" s="152"/>
      <c r="R995" s="152"/>
      <c r="S995" s="152"/>
      <c r="T995" s="152"/>
      <c r="U995" s="152"/>
      <c r="V995" s="152"/>
      <c r="W995" s="152"/>
      <c r="X995" s="152"/>
      <c r="Y995" s="152"/>
      <c r="Z995" s="281"/>
      <c r="AA995" s="281"/>
      <c r="AB995" s="281"/>
      <c r="AC995" s="281"/>
      <c r="AD995" s="281"/>
      <c r="AE995" s="281"/>
      <c r="AF995" s="281"/>
      <c r="AG995" s="170"/>
      <c r="AH995" s="152"/>
      <c r="AI995" s="152"/>
      <c r="AJ995" s="152"/>
      <c r="AK995" s="152"/>
      <c r="AL995" s="152"/>
      <c r="AM995" s="152"/>
      <c r="AN995" s="152"/>
      <c r="AO995" s="152"/>
      <c r="AP995" s="152"/>
      <c r="AQ995" s="152"/>
      <c r="AR995" s="152"/>
    </row>
    <row r="996" ht="12.75" customHeight="1">
      <c r="A996" s="288"/>
      <c r="B996" s="288"/>
      <c r="C996" s="288"/>
      <c r="D996" s="152"/>
      <c r="E996" s="289"/>
      <c r="F996" s="288"/>
      <c r="G996" s="152"/>
      <c r="H996" s="152"/>
      <c r="I996" s="152"/>
      <c r="J996" s="152"/>
      <c r="K996" s="289"/>
      <c r="L996" s="289"/>
      <c r="M996" s="152"/>
      <c r="N996" s="152"/>
      <c r="O996" s="156"/>
      <c r="P996" s="152"/>
      <c r="Q996" s="152"/>
      <c r="R996" s="152"/>
      <c r="S996" s="152"/>
      <c r="T996" s="152"/>
      <c r="U996" s="152"/>
      <c r="V996" s="152"/>
      <c r="W996" s="152"/>
      <c r="X996" s="152"/>
      <c r="Y996" s="152"/>
      <c r="Z996" s="281"/>
      <c r="AA996" s="281"/>
      <c r="AB996" s="281"/>
      <c r="AC996" s="281"/>
      <c r="AD996" s="281"/>
      <c r="AE996" s="281"/>
      <c r="AF996" s="281"/>
      <c r="AG996" s="170"/>
      <c r="AH996" s="152"/>
      <c r="AI996" s="152"/>
      <c r="AJ996" s="152"/>
      <c r="AK996" s="152"/>
      <c r="AL996" s="152"/>
      <c r="AM996" s="152"/>
      <c r="AN996" s="152"/>
      <c r="AO996" s="152"/>
      <c r="AP996" s="152"/>
      <c r="AQ996" s="152"/>
      <c r="AR996" s="152"/>
    </row>
    <row r="997" ht="12.75" customHeight="1">
      <c r="A997" s="288"/>
      <c r="B997" s="288"/>
      <c r="C997" s="288"/>
      <c r="D997" s="152"/>
      <c r="E997" s="289"/>
      <c r="F997" s="288"/>
      <c r="G997" s="152"/>
      <c r="H997" s="152"/>
      <c r="I997" s="152"/>
      <c r="J997" s="152"/>
      <c r="K997" s="289"/>
      <c r="L997" s="289"/>
      <c r="M997" s="152"/>
      <c r="N997" s="152"/>
      <c r="O997" s="156"/>
      <c r="P997" s="152"/>
      <c r="Q997" s="152"/>
      <c r="R997" s="152"/>
      <c r="S997" s="152"/>
      <c r="T997" s="152"/>
      <c r="U997" s="152"/>
      <c r="V997" s="152"/>
      <c r="W997" s="152"/>
      <c r="X997" s="152"/>
      <c r="Y997" s="152"/>
      <c r="Z997" s="281"/>
      <c r="AA997" s="281"/>
      <c r="AB997" s="281"/>
      <c r="AC997" s="281"/>
      <c r="AD997" s="281"/>
      <c r="AE997" s="281"/>
      <c r="AF997" s="281"/>
      <c r="AG997" s="170"/>
      <c r="AH997" s="152"/>
      <c r="AI997" s="152"/>
      <c r="AJ997" s="152"/>
      <c r="AK997" s="152"/>
      <c r="AL997" s="152"/>
      <c r="AM997" s="152"/>
      <c r="AN997" s="152"/>
      <c r="AO997" s="152"/>
      <c r="AP997" s="152"/>
      <c r="AQ997" s="152"/>
      <c r="AR997" s="152"/>
    </row>
    <row r="998" ht="12.75" customHeight="1">
      <c r="A998" s="288"/>
      <c r="B998" s="288"/>
      <c r="C998" s="288"/>
      <c r="D998" s="152"/>
      <c r="E998" s="289"/>
      <c r="F998" s="288"/>
      <c r="G998" s="152"/>
      <c r="H998" s="152"/>
      <c r="I998" s="152"/>
      <c r="J998" s="152"/>
      <c r="K998" s="289"/>
      <c r="L998" s="289"/>
      <c r="M998" s="152"/>
      <c r="N998" s="152"/>
      <c r="O998" s="156"/>
      <c r="P998" s="152"/>
      <c r="Q998" s="152"/>
      <c r="R998" s="152"/>
      <c r="S998" s="152"/>
      <c r="T998" s="152"/>
      <c r="U998" s="152"/>
      <c r="V998" s="152"/>
      <c r="W998" s="152"/>
      <c r="X998" s="152"/>
      <c r="Y998" s="152"/>
      <c r="Z998" s="281"/>
      <c r="AA998" s="281"/>
      <c r="AB998" s="281"/>
      <c r="AC998" s="281"/>
      <c r="AD998" s="281"/>
      <c r="AE998" s="281"/>
      <c r="AF998" s="281"/>
      <c r="AG998" s="170"/>
      <c r="AH998" s="152"/>
      <c r="AI998" s="152"/>
      <c r="AJ998" s="152"/>
      <c r="AK998" s="152"/>
      <c r="AL998" s="152"/>
      <c r="AM998" s="152"/>
      <c r="AN998" s="152"/>
      <c r="AO998" s="152"/>
      <c r="AP998" s="152"/>
      <c r="AQ998" s="152"/>
      <c r="AR998" s="152"/>
    </row>
    <row r="999" ht="12.75" customHeight="1">
      <c r="A999" s="288"/>
      <c r="B999" s="288"/>
      <c r="C999" s="288"/>
      <c r="D999" s="152"/>
      <c r="E999" s="289"/>
      <c r="F999" s="288"/>
      <c r="G999" s="152"/>
      <c r="H999" s="152"/>
      <c r="I999" s="152"/>
      <c r="J999" s="152"/>
      <c r="K999" s="289"/>
      <c r="L999" s="289"/>
      <c r="M999" s="152"/>
      <c r="N999" s="152"/>
      <c r="O999" s="156"/>
      <c r="P999" s="152"/>
      <c r="Q999" s="152"/>
      <c r="R999" s="152"/>
      <c r="S999" s="152"/>
      <c r="T999" s="152"/>
      <c r="U999" s="152"/>
      <c r="V999" s="152"/>
      <c r="W999" s="152"/>
      <c r="X999" s="152"/>
      <c r="Y999" s="152"/>
      <c r="Z999" s="281"/>
      <c r="AA999" s="281"/>
      <c r="AB999" s="281"/>
      <c r="AC999" s="281"/>
      <c r="AD999" s="281"/>
      <c r="AE999" s="281"/>
      <c r="AF999" s="281"/>
      <c r="AG999" s="170"/>
      <c r="AH999" s="152"/>
      <c r="AI999" s="152"/>
      <c r="AJ999" s="152"/>
      <c r="AK999" s="152"/>
      <c r="AL999" s="152"/>
      <c r="AM999" s="152"/>
      <c r="AN999" s="152"/>
      <c r="AO999" s="152"/>
      <c r="AP999" s="152"/>
      <c r="AQ999" s="152"/>
      <c r="AR999" s="152"/>
    </row>
    <row r="1000" ht="12.75" customHeight="1">
      <c r="A1000" s="288"/>
      <c r="B1000" s="288"/>
      <c r="C1000" s="288"/>
      <c r="D1000" s="152"/>
      <c r="E1000" s="289"/>
      <c r="F1000" s="288"/>
      <c r="G1000" s="152"/>
      <c r="H1000" s="152"/>
      <c r="I1000" s="152"/>
      <c r="J1000" s="152"/>
      <c r="K1000" s="289"/>
      <c r="L1000" s="289"/>
      <c r="M1000" s="152"/>
      <c r="N1000" s="152"/>
      <c r="O1000" s="156"/>
      <c r="P1000" s="152"/>
      <c r="Q1000" s="152"/>
      <c r="R1000" s="152"/>
      <c r="S1000" s="152"/>
      <c r="T1000" s="152"/>
      <c r="U1000" s="152"/>
      <c r="V1000" s="152"/>
      <c r="W1000" s="152"/>
      <c r="X1000" s="152"/>
      <c r="Y1000" s="152"/>
      <c r="Z1000" s="281"/>
      <c r="AA1000" s="281"/>
      <c r="AB1000" s="281"/>
      <c r="AC1000" s="281"/>
      <c r="AD1000" s="281"/>
      <c r="AE1000" s="281"/>
      <c r="AF1000" s="281"/>
      <c r="AG1000" s="170"/>
      <c r="AH1000" s="152"/>
      <c r="AI1000" s="152"/>
      <c r="AJ1000" s="152"/>
      <c r="AK1000" s="152"/>
      <c r="AL1000" s="152"/>
      <c r="AM1000" s="152"/>
      <c r="AN1000" s="152"/>
      <c r="AO1000" s="152"/>
      <c r="AP1000" s="152"/>
      <c r="AQ1000" s="152"/>
      <c r="AR1000" s="152"/>
    </row>
  </sheetData>
  <autoFilter ref="$A$1:$AG$1000"/>
  <conditionalFormatting sqref="F1 K1:L1 O1:Y1">
    <cfRule type="expression" dxfId="3" priority="1" stopIfTrue="1">
      <formula>"$D5=$Q5"</formula>
    </cfRule>
  </conditionalFormatting>
  <conditionalFormatting sqref="M1:N1">
    <cfRule type="expression" dxfId="3" priority="2" stopIfTrue="1">
      <formula>"$D5=$Q5"</formula>
    </cfRule>
  </conditionalFormatting>
  <conditionalFormatting sqref="O2:O305">
    <cfRule type="notContainsBlanks" dxfId="4" priority="3">
      <formula>LEN(TRIM(O2))&gt;0</formula>
    </cfRule>
  </conditionalFormatting>
  <dataValidations>
    <dataValidation type="custom" allowBlank="1" showInputMessage="1" showErrorMessage="1" prompt="Error - Do not enter Compliance Statements in headlines or comments!" sqref="M2:M3 M59 M142 M239 M296">
      <formula1>"Not Applicable"</formula1>
    </dataValidation>
    <dataValidation type="list" allowBlank="1" showInputMessage="1" showErrorMessage="1" prompt="Compliance Statement Selection - Invalid value, please reselect" sqref="M4:M58 M60:M141 M143:M238 M240:M295 M297:M305">
      <formula1>"Complies,Partially Complies,Does Not Comply,Not Applicable"</formula1>
    </dataValidation>
    <dataValidation type="custom" allowBlank="1" showInputMessage="1" showErrorMessage="1" prompt="Error - Do not enter comments here!" sqref="N2:N3">
      <formula1>"Not Applicable"</formula1>
    </dataValidation>
  </dataValidation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0"/>
  <cols>
    <col customWidth="1" min="1" max="1" width="9.14"/>
    <col customWidth="1" min="2" max="2" width="9.86"/>
    <col customWidth="1" min="3" max="3" width="10.86"/>
    <col customWidth="1" min="4" max="4" width="8.0"/>
    <col customWidth="1" min="5" max="5" width="4.14"/>
    <col customWidth="1" min="6" max="6" width="14.71"/>
    <col customWidth="1" min="7" max="7" width="70.71"/>
    <col customWidth="1" min="8" max="8" width="16.71"/>
    <col customWidth="1" min="9" max="9" width="15.29"/>
    <col customWidth="1" min="10" max="10" width="17.86"/>
    <col customWidth="1" min="11" max="11" width="13.29"/>
    <col customWidth="1" min="12" max="12" width="9.71"/>
    <col customWidth="1" hidden="1" min="13" max="13" width="15.43"/>
    <col customWidth="1" hidden="1" min="14" max="14" width="10.57"/>
    <col customWidth="1" min="15" max="15" width="16.57"/>
    <col customWidth="1" min="16" max="16" width="25.86"/>
    <col customWidth="1" min="17" max="17" width="20.29"/>
    <col customWidth="1" hidden="1" min="18" max="35" width="9.14"/>
  </cols>
  <sheetData>
    <row r="1" ht="30.0" customHeight="1">
      <c r="A1" s="283" t="s">
        <v>363</v>
      </c>
      <c r="B1" s="283" t="s">
        <v>364</v>
      </c>
      <c r="C1" s="283" t="s">
        <v>365</v>
      </c>
      <c r="D1" s="284" t="s">
        <v>366</v>
      </c>
      <c r="E1" s="285" t="s">
        <v>367</v>
      </c>
      <c r="F1" s="286" t="s">
        <v>56</v>
      </c>
      <c r="G1" s="233" t="s">
        <v>368</v>
      </c>
      <c r="H1" s="233" t="s">
        <v>6752</v>
      </c>
      <c r="I1" s="233" t="s">
        <v>6753</v>
      </c>
      <c r="J1" s="233" t="s">
        <v>5722</v>
      </c>
      <c r="K1" s="233" t="s">
        <v>6754</v>
      </c>
      <c r="L1" s="233" t="s">
        <v>5723</v>
      </c>
      <c r="M1" s="233" t="s">
        <v>132</v>
      </c>
      <c r="N1" s="233" t="s">
        <v>369</v>
      </c>
      <c r="O1" s="290" t="s">
        <v>370</v>
      </c>
      <c r="P1" s="290" t="s">
        <v>62</v>
      </c>
      <c r="Q1" s="233" t="s">
        <v>371</v>
      </c>
      <c r="R1" s="234" t="s">
        <v>133</v>
      </c>
      <c r="S1" s="234" t="s">
        <v>134</v>
      </c>
      <c r="T1" s="234" t="s">
        <v>135</v>
      </c>
      <c r="U1" s="234" t="s">
        <v>136</v>
      </c>
      <c r="V1" s="234" t="s">
        <v>137</v>
      </c>
      <c r="W1" s="234" t="s">
        <v>9</v>
      </c>
      <c r="X1" s="234" t="s">
        <v>138</v>
      </c>
      <c r="Y1" s="234" t="s">
        <v>139</v>
      </c>
      <c r="Z1" s="234" t="s">
        <v>140</v>
      </c>
      <c r="AA1" s="233" t="s">
        <v>377</v>
      </c>
      <c r="AB1" s="234" t="s">
        <v>378</v>
      </c>
      <c r="AC1" s="283" t="s">
        <v>379</v>
      </c>
      <c r="AD1" s="283" t="s">
        <v>380</v>
      </c>
      <c r="AE1" s="283" t="s">
        <v>381</v>
      </c>
      <c r="AF1" s="283" t="s">
        <v>382</v>
      </c>
      <c r="AG1" s="283" t="s">
        <v>383</v>
      </c>
      <c r="AH1" s="283" t="s">
        <v>384</v>
      </c>
      <c r="AI1" s="234" t="s">
        <v>385</v>
      </c>
    </row>
    <row r="2" ht="12.75" customHeight="1">
      <c r="A2" s="238" t="s">
        <v>5158</v>
      </c>
      <c r="B2" s="238" t="s">
        <v>232</v>
      </c>
      <c r="C2" s="238" t="s">
        <v>1349</v>
      </c>
      <c r="D2" s="240"/>
      <c r="E2" s="240" t="s">
        <v>92</v>
      </c>
      <c r="F2" s="240" t="str">
        <f t="array" ref="F2">XLOOKUP(Cover!$D$12,$R$1:$Z$1,$R2:$Z2)</f>
        <v>Heading</v>
      </c>
      <c r="G2" s="239" t="s">
        <v>6755</v>
      </c>
      <c r="H2" s="240"/>
      <c r="I2" s="240"/>
      <c r="J2" s="240"/>
      <c r="K2" s="240"/>
      <c r="L2" s="240"/>
      <c r="M2" s="240"/>
      <c r="N2" s="240" t="s">
        <v>759</v>
      </c>
      <c r="O2" s="240"/>
      <c r="P2" s="240"/>
      <c r="Q2" s="240" t="str">
        <f t="shared" ref="Q2:Q2458" si="1">AI2</f>
        <v/>
      </c>
      <c r="R2" s="240" t="s">
        <v>390</v>
      </c>
      <c r="S2" s="240" t="s">
        <v>390</v>
      </c>
      <c r="T2" s="240" t="s">
        <v>390</v>
      </c>
      <c r="U2" s="240" t="s">
        <v>390</v>
      </c>
      <c r="V2" s="240" t="s">
        <v>390</v>
      </c>
      <c r="W2" s="240" t="s">
        <v>390</v>
      </c>
      <c r="X2" s="240" t="s">
        <v>390</v>
      </c>
      <c r="Y2" s="240" t="s">
        <v>390</v>
      </c>
      <c r="Z2" s="240" t="s">
        <v>390</v>
      </c>
      <c r="AA2" s="240"/>
      <c r="AB2" s="242" t="str">
        <f t="shared" ref="AB2:AB2458" si="2">OR(O2=COM,O2=PC,O2=DNC,O2=NA,OR(AH2=DNC,AH2=NA,AD2))</f>
        <v>#ERROR!</v>
      </c>
      <c r="AC2" s="240" t="s">
        <v>391</v>
      </c>
      <c r="AD2" s="242" t="b">
        <f t="shared" ref="AD2:AD2458" si="3">IF(F2="Comments Vendor",TRUE,FALSE)</f>
        <v>0</v>
      </c>
      <c r="AE2" s="240"/>
      <c r="AF2" s="242" t="str">
        <f t="shared" ref="AF2:AF2458" si="4">IF(AE2&lt;&gt;"",AND(O2&lt;&gt;NA,OR(NOT(ISERROR(FIND("xx",P2))),P2="",P2="tbd")),AND(P2="",OR(NOT(ISERROR(FIND(AC2,O2,1))),O2=PC,AND(AD2,O2&lt;&gt;NA)),OR(AH2=COM,AH2=PC,AH2="N/A")))</f>
        <v>#ERROR!</v>
      </c>
      <c r="AG2" s="240"/>
      <c r="AH2" s="242" t="str">
        <f>IF(AG2="","N/A",INDIRECT("MTR!"&amp;ADDRESS(MATCH(LEFT(AG2,9),[1]MTR!C:C,0),COLUMN(J2)),TRUE) &amp; "")</f>
        <v>#ERROR!</v>
      </c>
      <c r="AI2" s="157" t="str">
        <f t="shared" ref="AI2:AI2458" si="5">IF(OR(F2="Heading",F2="Comment",F2="N/A"),"",IF(AH2="","FilterCheck analysis not possible as answer to " &amp; AG2 &amp; " outstanding.",IF(AB2,IF(AF2,IF(O2=PC,"Why is this partially compliant?","Comments Vendor missing!")&amp;"
",""),"Compliance Statement "&amp;IF(O2="","missing!","wrong!")) &amp; IF(AND(OR(AH2=DNC,AH2=NA),OR(O2=COM,O2=PC)),"Inconsistent answer, as " &amp; AG2 &amp; " not supported!","")))</f>
        <v/>
      </c>
    </row>
    <row r="3" ht="12.75" customHeight="1">
      <c r="A3" s="244" t="s">
        <v>5158</v>
      </c>
      <c r="B3" s="244" t="s">
        <v>231</v>
      </c>
      <c r="C3" s="245" t="s">
        <v>6756</v>
      </c>
      <c r="D3" s="155" t="s">
        <v>781</v>
      </c>
      <c r="E3" s="155" t="s">
        <v>92</v>
      </c>
      <c r="F3" s="154" t="str">
        <f t="array" ref="F3">XLOOKUP(Cover!$D$12,$R$1:$Z$1,$R3:$Z3)</f>
        <v>Comment</v>
      </c>
      <c r="G3" s="153" t="s">
        <v>6757</v>
      </c>
      <c r="H3" s="154"/>
      <c r="I3" s="154"/>
      <c r="J3" s="154"/>
      <c r="K3" s="154"/>
      <c r="L3" s="154"/>
      <c r="M3" s="154"/>
      <c r="N3" s="154" t="s">
        <v>759</v>
      </c>
      <c r="O3" s="154"/>
      <c r="P3" s="154"/>
      <c r="Q3" s="240" t="str">
        <f t="shared" si="1"/>
        <v/>
      </c>
      <c r="R3" s="154" t="s">
        <v>35</v>
      </c>
      <c r="S3" s="154" t="s">
        <v>35</v>
      </c>
      <c r="T3" s="154" t="s">
        <v>35</v>
      </c>
      <c r="U3" s="154" t="s">
        <v>35</v>
      </c>
      <c r="V3" s="154" t="s">
        <v>35</v>
      </c>
      <c r="W3" s="154" t="s">
        <v>35</v>
      </c>
      <c r="X3" s="154" t="s">
        <v>35</v>
      </c>
      <c r="Y3" s="154" t="s">
        <v>35</v>
      </c>
      <c r="Z3" s="154" t="s">
        <v>35</v>
      </c>
      <c r="AA3" s="154"/>
      <c r="AB3" s="242" t="str">
        <f t="shared" si="2"/>
        <v>#ERROR!</v>
      </c>
      <c r="AC3" s="154" t="s">
        <v>391</v>
      </c>
      <c r="AD3" s="242" t="b">
        <f t="shared" si="3"/>
        <v>0</v>
      </c>
      <c r="AE3" s="154"/>
      <c r="AF3" s="242" t="str">
        <f t="shared" si="4"/>
        <v>#ERROR!</v>
      </c>
      <c r="AG3" s="154" t="s">
        <v>652</v>
      </c>
      <c r="AH3" s="242" t="str">
        <f>IF(AG3="","N/A",INDIRECT("MTR!"&amp;ADDRESS(MATCH(LEFT(AG3,9),[1]MTR!C:C,0),COLUMN(J3)),TRUE) &amp; "")</f>
        <v>#ERROR!</v>
      </c>
      <c r="AI3" s="157" t="str">
        <f t="shared" si="5"/>
        <v/>
      </c>
    </row>
    <row r="4" ht="12.75" customHeight="1">
      <c r="A4" s="244" t="s">
        <v>5158</v>
      </c>
      <c r="B4" s="244" t="s">
        <v>231</v>
      </c>
      <c r="C4" s="245" t="s">
        <v>6758</v>
      </c>
      <c r="D4" s="155" t="s">
        <v>781</v>
      </c>
      <c r="E4" s="155" t="s">
        <v>92</v>
      </c>
      <c r="F4" s="154" t="str">
        <f t="array" ref="F4">XLOOKUP(Cover!$D$12,$R$1:$Z$1,$R4:$Z4)</f>
        <v>Mandatory</v>
      </c>
      <c r="G4" s="153" t="s">
        <v>6759</v>
      </c>
      <c r="H4" s="154"/>
      <c r="I4" s="154"/>
      <c r="J4" s="154"/>
      <c r="K4" s="154"/>
      <c r="L4" s="154"/>
      <c r="M4" s="154" t="s">
        <v>6760</v>
      </c>
      <c r="N4" s="154" t="s">
        <v>759</v>
      </c>
      <c r="O4" s="154"/>
      <c r="P4" s="154"/>
      <c r="Q4" s="154" t="str">
        <f t="shared" si="1"/>
        <v>#ERROR!</v>
      </c>
      <c r="R4" s="154" t="s">
        <v>66</v>
      </c>
      <c r="S4" s="154" t="s">
        <v>66</v>
      </c>
      <c r="T4" s="154" t="s">
        <v>60</v>
      </c>
      <c r="U4" s="154" t="s">
        <v>60</v>
      </c>
      <c r="V4" s="154" t="s">
        <v>60</v>
      </c>
      <c r="W4" s="154" t="s">
        <v>60</v>
      </c>
      <c r="X4" s="154" t="s">
        <v>66</v>
      </c>
      <c r="Y4" s="154" t="s">
        <v>60</v>
      </c>
      <c r="Z4" s="154" t="s">
        <v>60</v>
      </c>
      <c r="AA4" s="154"/>
      <c r="AB4" s="242" t="str">
        <f t="shared" si="2"/>
        <v>#ERROR!</v>
      </c>
      <c r="AC4" s="154" t="s">
        <v>516</v>
      </c>
      <c r="AD4" s="242" t="b">
        <f t="shared" si="3"/>
        <v>0</v>
      </c>
      <c r="AE4" s="154"/>
      <c r="AF4" s="242" t="str">
        <f t="shared" si="4"/>
        <v>#ERROR!</v>
      </c>
      <c r="AG4" s="154" t="s">
        <v>652</v>
      </c>
      <c r="AH4" s="242" t="str">
        <f>IF(AG4="","N/A",INDIRECT("MTR!"&amp;ADDRESS(MATCH(LEFT(AG4,9),[1]MTR!C:C,0),COLUMN(J4)),TRUE) &amp; "")</f>
        <v>#ERROR!</v>
      </c>
      <c r="AI4" s="157" t="str">
        <f t="shared" si="5"/>
        <v>#ERROR!</v>
      </c>
    </row>
    <row r="5" ht="12.75" customHeight="1">
      <c r="A5" s="238" t="s">
        <v>5158</v>
      </c>
      <c r="B5" s="238" t="s">
        <v>231</v>
      </c>
      <c r="C5" s="238" t="s">
        <v>6761</v>
      </c>
      <c r="D5" s="240"/>
      <c r="E5" s="240" t="s">
        <v>92</v>
      </c>
      <c r="F5" s="240" t="str">
        <f t="array" ref="F5">XLOOKUP(Cover!$D$12,$R$1:$Z$1,$R5:$Z5)</f>
        <v>Heading</v>
      </c>
      <c r="G5" s="239" t="s">
        <v>6762</v>
      </c>
      <c r="H5" s="240"/>
      <c r="I5" s="240"/>
      <c r="J5" s="240"/>
      <c r="K5" s="240"/>
      <c r="L5" s="240"/>
      <c r="M5" s="240"/>
      <c r="N5" s="240" t="s">
        <v>759</v>
      </c>
      <c r="O5" s="240"/>
      <c r="P5" s="240"/>
      <c r="Q5" s="240" t="str">
        <f t="shared" si="1"/>
        <v/>
      </c>
      <c r="R5" s="240" t="s">
        <v>390</v>
      </c>
      <c r="S5" s="240" t="s">
        <v>390</v>
      </c>
      <c r="T5" s="240" t="s">
        <v>390</v>
      </c>
      <c r="U5" s="240" t="s">
        <v>390</v>
      </c>
      <c r="V5" s="240" t="s">
        <v>390</v>
      </c>
      <c r="W5" s="240" t="s">
        <v>390</v>
      </c>
      <c r="X5" s="240" t="s">
        <v>390</v>
      </c>
      <c r="Y5" s="240" t="s">
        <v>390</v>
      </c>
      <c r="Z5" s="240" t="s">
        <v>390</v>
      </c>
      <c r="AA5" s="240"/>
      <c r="AB5" s="242" t="str">
        <f t="shared" si="2"/>
        <v>#ERROR!</v>
      </c>
      <c r="AC5" s="240" t="s">
        <v>391</v>
      </c>
      <c r="AD5" s="242" t="b">
        <f t="shared" si="3"/>
        <v>0</v>
      </c>
      <c r="AE5" s="240"/>
      <c r="AF5" s="242" t="str">
        <f t="shared" si="4"/>
        <v>#ERROR!</v>
      </c>
      <c r="AG5" s="240"/>
      <c r="AH5" s="242" t="str">
        <f>IF(AG5="","N/A",INDIRECT("MTR!"&amp;ADDRESS(MATCH(LEFT(AG5,9),[1]MTR!C:C,0),COLUMN(J5)),TRUE) &amp; "")</f>
        <v>#ERROR!</v>
      </c>
      <c r="AI5" s="157" t="str">
        <f t="shared" si="5"/>
        <v/>
      </c>
    </row>
    <row r="6" ht="12.75" customHeight="1">
      <c r="A6" s="238" t="s">
        <v>5158</v>
      </c>
      <c r="B6" s="238" t="s">
        <v>231</v>
      </c>
      <c r="C6" s="238" t="s">
        <v>6763</v>
      </c>
      <c r="D6" s="240"/>
      <c r="E6" s="240" t="s">
        <v>92</v>
      </c>
      <c r="F6" s="240" t="str">
        <f t="array" ref="F6">XLOOKUP(Cover!$D$12,$R$1:$Z$1,$R6:$Z6)</f>
        <v>Heading</v>
      </c>
      <c r="G6" s="239" t="s">
        <v>6764</v>
      </c>
      <c r="H6" s="240"/>
      <c r="I6" s="240"/>
      <c r="J6" s="240"/>
      <c r="K6" s="240"/>
      <c r="L6" s="240"/>
      <c r="M6" s="240"/>
      <c r="N6" s="240" t="s">
        <v>759</v>
      </c>
      <c r="O6" s="240"/>
      <c r="P6" s="240"/>
      <c r="Q6" s="240" t="str">
        <f t="shared" si="1"/>
        <v/>
      </c>
      <c r="R6" s="240" t="s">
        <v>390</v>
      </c>
      <c r="S6" s="240" t="s">
        <v>390</v>
      </c>
      <c r="T6" s="240" t="s">
        <v>390</v>
      </c>
      <c r="U6" s="240" t="s">
        <v>390</v>
      </c>
      <c r="V6" s="240" t="s">
        <v>390</v>
      </c>
      <c r="W6" s="240" t="s">
        <v>390</v>
      </c>
      <c r="X6" s="240" t="s">
        <v>390</v>
      </c>
      <c r="Y6" s="240" t="s">
        <v>390</v>
      </c>
      <c r="Z6" s="240" t="s">
        <v>390</v>
      </c>
      <c r="AA6" s="240"/>
      <c r="AB6" s="242" t="str">
        <f t="shared" si="2"/>
        <v>#ERROR!</v>
      </c>
      <c r="AC6" s="240" t="s">
        <v>391</v>
      </c>
      <c r="AD6" s="242" t="b">
        <f t="shared" si="3"/>
        <v>0</v>
      </c>
      <c r="AE6" s="240"/>
      <c r="AF6" s="242" t="str">
        <f t="shared" si="4"/>
        <v>#ERROR!</v>
      </c>
      <c r="AG6" s="240"/>
      <c r="AH6" s="242" t="str">
        <f>IF(AG6="","N/A",INDIRECT("MTR!"&amp;ADDRESS(MATCH(LEFT(AG6,9),[1]MTR!C:C,0),COLUMN(J6)),TRUE) &amp; "")</f>
        <v>#ERROR!</v>
      </c>
      <c r="AI6" s="157" t="str">
        <f t="shared" si="5"/>
        <v/>
      </c>
    </row>
    <row r="7" ht="12.75" customHeight="1">
      <c r="A7" s="244" t="s">
        <v>5158</v>
      </c>
      <c r="B7" s="244" t="s">
        <v>231</v>
      </c>
      <c r="C7" s="244" t="s">
        <v>6765</v>
      </c>
      <c r="D7" s="154" t="s">
        <v>503</v>
      </c>
      <c r="E7" s="154"/>
      <c r="F7" s="154" t="str">
        <f t="array" ref="F7">XLOOKUP(Cover!$D$12,$R$1:$Z$1,$R7:$Z7)</f>
        <v>Information</v>
      </c>
      <c r="G7" s="154" t="s">
        <v>6766</v>
      </c>
      <c r="H7" s="154" t="s">
        <v>6767</v>
      </c>
      <c r="I7" s="154" t="s">
        <v>6767</v>
      </c>
      <c r="J7" s="154" t="s">
        <v>5730</v>
      </c>
      <c r="K7" s="154" t="s">
        <v>6768</v>
      </c>
      <c r="L7" s="154" t="s">
        <v>6463</v>
      </c>
      <c r="M7" s="154"/>
      <c r="N7" s="154" t="s">
        <v>759</v>
      </c>
      <c r="O7" s="247" t="s">
        <v>506</v>
      </c>
      <c r="P7" s="247" t="s">
        <v>6722</v>
      </c>
      <c r="Q7" s="154" t="str">
        <f t="shared" si="1"/>
        <v>#ERROR!</v>
      </c>
      <c r="R7" s="154" t="s">
        <v>66</v>
      </c>
      <c r="S7" s="154" t="s">
        <v>66</v>
      </c>
      <c r="T7" s="154" t="s">
        <v>66</v>
      </c>
      <c r="U7" s="154" t="s">
        <v>66</v>
      </c>
      <c r="V7" s="154" t="s">
        <v>66</v>
      </c>
      <c r="W7" s="154" t="s">
        <v>66</v>
      </c>
      <c r="X7" s="154" t="s">
        <v>66</v>
      </c>
      <c r="Y7" s="154" t="s">
        <v>66</v>
      </c>
      <c r="Z7" s="154" t="s">
        <v>66</v>
      </c>
      <c r="AA7" s="154"/>
      <c r="AB7" s="242" t="str">
        <f t="shared" si="2"/>
        <v>#ERROR!</v>
      </c>
      <c r="AC7" s="154" t="s">
        <v>391</v>
      </c>
      <c r="AD7" s="242" t="b">
        <f t="shared" si="3"/>
        <v>0</v>
      </c>
      <c r="AE7" s="154"/>
      <c r="AF7" s="242" t="str">
        <f t="shared" si="4"/>
        <v>#ERROR!</v>
      </c>
      <c r="AG7" s="154" t="s">
        <v>652</v>
      </c>
      <c r="AH7" s="242" t="str">
        <f>IF(AG7="","N/A",INDIRECT("MTR!"&amp;ADDRESS(MATCH(LEFT(AG7,9),[1]MTR!C:C,0),COLUMN(J7)),TRUE) &amp; "")</f>
        <v>#ERROR!</v>
      </c>
      <c r="AI7" s="157" t="str">
        <f t="shared" si="5"/>
        <v>#ERROR!</v>
      </c>
    </row>
    <row r="8" ht="12.75" customHeight="1">
      <c r="A8" s="244" t="s">
        <v>5158</v>
      </c>
      <c r="B8" s="244" t="s">
        <v>231</v>
      </c>
      <c r="C8" s="244" t="s">
        <v>6769</v>
      </c>
      <c r="D8" s="154" t="s">
        <v>542</v>
      </c>
      <c r="E8" s="154"/>
      <c r="F8" s="154" t="str">
        <f t="array" ref="F8">XLOOKUP(Cover!$D$12,$R$1:$Z$1,$R8:$Z8)</f>
        <v>Mandatory</v>
      </c>
      <c r="G8" s="154" t="s">
        <v>6770</v>
      </c>
      <c r="H8" s="154" t="s">
        <v>6771</v>
      </c>
      <c r="I8" s="154" t="s">
        <v>6771</v>
      </c>
      <c r="J8" s="154" t="s">
        <v>5782</v>
      </c>
      <c r="K8" s="154" t="s">
        <v>6768</v>
      </c>
      <c r="L8" s="154" t="s">
        <v>6525</v>
      </c>
      <c r="M8" s="154" t="s">
        <v>1122</v>
      </c>
      <c r="N8" s="154" t="s">
        <v>759</v>
      </c>
      <c r="O8" s="247" t="s">
        <v>445</v>
      </c>
      <c r="P8" s="247" t="s">
        <v>6772</v>
      </c>
      <c r="Q8" s="154" t="str">
        <f t="shared" si="1"/>
        <v>#ERROR!</v>
      </c>
      <c r="R8" s="154" t="s">
        <v>66</v>
      </c>
      <c r="S8" s="154" t="s">
        <v>66</v>
      </c>
      <c r="T8" s="154" t="s">
        <v>60</v>
      </c>
      <c r="U8" s="154" t="s">
        <v>60</v>
      </c>
      <c r="V8" s="154" t="s">
        <v>60</v>
      </c>
      <c r="W8" s="154" t="s">
        <v>60</v>
      </c>
      <c r="X8" s="154" t="s">
        <v>66</v>
      </c>
      <c r="Y8" s="154" t="s">
        <v>60</v>
      </c>
      <c r="Z8" s="154" t="s">
        <v>60</v>
      </c>
      <c r="AA8" s="154"/>
      <c r="AB8" s="242" t="str">
        <f t="shared" si="2"/>
        <v>#ERROR!</v>
      </c>
      <c r="AC8" s="154" t="s">
        <v>391</v>
      </c>
      <c r="AD8" s="242" t="b">
        <f t="shared" si="3"/>
        <v>0</v>
      </c>
      <c r="AE8" s="154"/>
      <c r="AF8" s="242" t="str">
        <f t="shared" si="4"/>
        <v>#ERROR!</v>
      </c>
      <c r="AG8" s="154" t="s">
        <v>652</v>
      </c>
      <c r="AH8" s="242" t="str">
        <f>IF(AG8="","N/A",INDIRECT("MTR!"&amp;ADDRESS(MATCH(LEFT(AG8,9),[1]MTR!C:C,0),COLUMN(J8)),TRUE) &amp; "")</f>
        <v>#ERROR!</v>
      </c>
      <c r="AI8" s="157" t="str">
        <f t="shared" si="5"/>
        <v>#ERROR!</v>
      </c>
    </row>
    <row r="9" ht="12.75" customHeight="1">
      <c r="A9" s="244" t="s">
        <v>5158</v>
      </c>
      <c r="B9" s="244" t="s">
        <v>231</v>
      </c>
      <c r="C9" s="244" t="s">
        <v>6773</v>
      </c>
      <c r="D9" s="154" t="s">
        <v>542</v>
      </c>
      <c r="E9" s="154"/>
      <c r="F9" s="154" t="str">
        <f t="array" ref="F9">XLOOKUP(Cover!$D$12,$R$1:$Z$1,$R9:$Z9)</f>
        <v>Mandatory</v>
      </c>
      <c r="G9" s="154" t="s">
        <v>6774</v>
      </c>
      <c r="H9" s="154" t="s">
        <v>6775</v>
      </c>
      <c r="I9" s="154" t="s">
        <v>6775</v>
      </c>
      <c r="J9" s="154" t="s">
        <v>5830</v>
      </c>
      <c r="K9" s="154" t="s">
        <v>6768</v>
      </c>
      <c r="L9" s="154" t="s">
        <v>6525</v>
      </c>
      <c r="M9" s="154" t="s">
        <v>1122</v>
      </c>
      <c r="N9" s="154" t="s">
        <v>759</v>
      </c>
      <c r="O9" s="247" t="s">
        <v>516</v>
      </c>
      <c r="P9" s="247" t="s">
        <v>6776</v>
      </c>
      <c r="Q9" s="154" t="str">
        <f t="shared" si="1"/>
        <v>#ERROR!</v>
      </c>
      <c r="R9" s="154" t="s">
        <v>66</v>
      </c>
      <c r="S9" s="154" t="s">
        <v>66</v>
      </c>
      <c r="T9" s="154" t="s">
        <v>60</v>
      </c>
      <c r="U9" s="154" t="s">
        <v>60</v>
      </c>
      <c r="V9" s="154" t="s">
        <v>60</v>
      </c>
      <c r="W9" s="154" t="s">
        <v>60</v>
      </c>
      <c r="X9" s="154" t="s">
        <v>66</v>
      </c>
      <c r="Y9" s="154" t="s">
        <v>60</v>
      </c>
      <c r="Z9" s="154" t="s">
        <v>60</v>
      </c>
      <c r="AA9" s="154"/>
      <c r="AB9" s="242" t="str">
        <f t="shared" si="2"/>
        <v>#ERROR!</v>
      </c>
      <c r="AC9" s="154" t="s">
        <v>391</v>
      </c>
      <c r="AD9" s="242" t="b">
        <f t="shared" si="3"/>
        <v>0</v>
      </c>
      <c r="AE9" s="154"/>
      <c r="AF9" s="242" t="str">
        <f t="shared" si="4"/>
        <v>#ERROR!</v>
      </c>
      <c r="AG9" s="154" t="s">
        <v>652</v>
      </c>
      <c r="AH9" s="242" t="str">
        <f>IF(AG9="","N/A",INDIRECT("MTR!"&amp;ADDRESS(MATCH(LEFT(AG9,9),[1]MTR!C:C,0),COLUMN(J9)),TRUE) &amp; "")</f>
        <v>#ERROR!</v>
      </c>
      <c r="AI9" s="157" t="str">
        <f t="shared" si="5"/>
        <v>#ERROR!</v>
      </c>
    </row>
    <row r="10" ht="12.75" customHeight="1">
      <c r="A10" s="244" t="s">
        <v>5158</v>
      </c>
      <c r="B10" s="244" t="s">
        <v>231</v>
      </c>
      <c r="C10" s="244" t="s">
        <v>6777</v>
      </c>
      <c r="D10" s="154" t="s">
        <v>747</v>
      </c>
      <c r="E10" s="154"/>
      <c r="F10" s="154" t="str">
        <f t="array" ref="F10">XLOOKUP(Cover!$D$12,$R$1:$Z$1,$R10:$Z10)</f>
        <v>Mandatory</v>
      </c>
      <c r="G10" s="154" t="s">
        <v>6778</v>
      </c>
      <c r="H10" s="154" t="s">
        <v>6779</v>
      </c>
      <c r="I10" s="154" t="s">
        <v>6779</v>
      </c>
      <c r="J10" s="154" t="s">
        <v>5888</v>
      </c>
      <c r="K10" s="154" t="s">
        <v>6768</v>
      </c>
      <c r="L10" s="154" t="s">
        <v>6525</v>
      </c>
      <c r="M10" s="154" t="s">
        <v>1122</v>
      </c>
      <c r="N10" s="154" t="s">
        <v>759</v>
      </c>
      <c r="O10" s="247" t="s">
        <v>445</v>
      </c>
      <c r="P10" s="247" t="s">
        <v>6772</v>
      </c>
      <c r="Q10" s="154" t="str">
        <f t="shared" si="1"/>
        <v>#ERROR!</v>
      </c>
      <c r="R10" s="154" t="s">
        <v>66</v>
      </c>
      <c r="S10" s="154" t="s">
        <v>66</v>
      </c>
      <c r="T10" s="154" t="s">
        <v>60</v>
      </c>
      <c r="U10" s="154" t="s">
        <v>60</v>
      </c>
      <c r="V10" s="154" t="s">
        <v>60</v>
      </c>
      <c r="W10" s="154" t="s">
        <v>60</v>
      </c>
      <c r="X10" s="154" t="s">
        <v>66</v>
      </c>
      <c r="Y10" s="154" t="s">
        <v>60</v>
      </c>
      <c r="Z10" s="154" t="s">
        <v>60</v>
      </c>
      <c r="AA10" s="154"/>
      <c r="AB10" s="242" t="str">
        <f t="shared" si="2"/>
        <v>#ERROR!</v>
      </c>
      <c r="AC10" s="154" t="s">
        <v>391</v>
      </c>
      <c r="AD10" s="242" t="b">
        <f t="shared" si="3"/>
        <v>0</v>
      </c>
      <c r="AE10" s="154"/>
      <c r="AF10" s="242" t="str">
        <f t="shared" si="4"/>
        <v>#ERROR!</v>
      </c>
      <c r="AG10" s="154" t="s">
        <v>652</v>
      </c>
      <c r="AH10" s="242" t="str">
        <f>IF(AG10="","N/A",INDIRECT("MTR!"&amp;ADDRESS(MATCH(LEFT(AG10,9),[1]MTR!C:C,0),COLUMN(J10)),TRUE) &amp; "")</f>
        <v>#ERROR!</v>
      </c>
      <c r="AI10" s="157" t="str">
        <f t="shared" si="5"/>
        <v>#ERROR!</v>
      </c>
    </row>
    <row r="11" ht="12.75" customHeight="1">
      <c r="A11" s="244" t="s">
        <v>5158</v>
      </c>
      <c r="B11" s="244" t="s">
        <v>231</v>
      </c>
      <c r="C11" s="244" t="s">
        <v>6780</v>
      </c>
      <c r="D11" s="154" t="s">
        <v>542</v>
      </c>
      <c r="E11" s="154"/>
      <c r="F11" s="154" t="str">
        <f t="array" ref="F11">XLOOKUP(Cover!$D$12,$R$1:$Z$1,$R11:$Z11)</f>
        <v>Mandatory</v>
      </c>
      <c r="G11" s="154" t="s">
        <v>6781</v>
      </c>
      <c r="H11" s="154" t="s">
        <v>6782</v>
      </c>
      <c r="I11" s="154" t="s">
        <v>6782</v>
      </c>
      <c r="J11" s="154" t="s">
        <v>5897</v>
      </c>
      <c r="K11" s="154" t="s">
        <v>6768</v>
      </c>
      <c r="L11" s="154" t="s">
        <v>6525</v>
      </c>
      <c r="M11" s="154" t="s">
        <v>1122</v>
      </c>
      <c r="N11" s="154" t="s">
        <v>759</v>
      </c>
      <c r="O11" s="247" t="s">
        <v>445</v>
      </c>
      <c r="P11" s="247" t="s">
        <v>6772</v>
      </c>
      <c r="Q11" s="154" t="str">
        <f t="shared" si="1"/>
        <v>#ERROR!</v>
      </c>
      <c r="R11" s="154" t="s">
        <v>66</v>
      </c>
      <c r="S11" s="154" t="s">
        <v>66</v>
      </c>
      <c r="T11" s="154" t="s">
        <v>60</v>
      </c>
      <c r="U11" s="154" t="s">
        <v>60</v>
      </c>
      <c r="V11" s="154" t="s">
        <v>60</v>
      </c>
      <c r="W11" s="154" t="s">
        <v>60</v>
      </c>
      <c r="X11" s="154" t="s">
        <v>66</v>
      </c>
      <c r="Y11" s="154" t="s">
        <v>60</v>
      </c>
      <c r="Z11" s="154" t="s">
        <v>60</v>
      </c>
      <c r="AA11" s="154"/>
      <c r="AB11" s="242" t="str">
        <f t="shared" si="2"/>
        <v>#ERROR!</v>
      </c>
      <c r="AC11" s="154" t="s">
        <v>391</v>
      </c>
      <c r="AD11" s="242" t="b">
        <f t="shared" si="3"/>
        <v>0</v>
      </c>
      <c r="AE11" s="154"/>
      <c r="AF11" s="242" t="str">
        <f t="shared" si="4"/>
        <v>#ERROR!</v>
      </c>
      <c r="AG11" s="154" t="s">
        <v>652</v>
      </c>
      <c r="AH11" s="242" t="str">
        <f>IF(AG11="","N/A",INDIRECT("MTR!"&amp;ADDRESS(MATCH(LEFT(AG11,9),[1]MTR!C:C,0),COLUMN(J11)),TRUE) &amp; "")</f>
        <v>#ERROR!</v>
      </c>
      <c r="AI11" s="157" t="str">
        <f t="shared" si="5"/>
        <v>#ERROR!</v>
      </c>
    </row>
    <row r="12" ht="12.75" customHeight="1">
      <c r="A12" s="244" t="s">
        <v>5158</v>
      </c>
      <c r="B12" s="244" t="s">
        <v>231</v>
      </c>
      <c r="C12" s="244" t="s">
        <v>6783</v>
      </c>
      <c r="D12" s="154" t="s">
        <v>861</v>
      </c>
      <c r="E12" s="154"/>
      <c r="F12" s="154" t="str">
        <f t="array" ref="F12">XLOOKUP(Cover!$D$12,$R$1:$Z$1,$R12:$Z12)</f>
        <v>Mandatory</v>
      </c>
      <c r="G12" s="154" t="s">
        <v>6784</v>
      </c>
      <c r="H12" s="154" t="s">
        <v>6785</v>
      </c>
      <c r="I12" s="154" t="s">
        <v>6785</v>
      </c>
      <c r="J12" s="154" t="s">
        <v>5903</v>
      </c>
      <c r="K12" s="154" t="s">
        <v>6768</v>
      </c>
      <c r="L12" s="154" t="s">
        <v>6428</v>
      </c>
      <c r="M12" s="154" t="s">
        <v>1122</v>
      </c>
      <c r="N12" s="154" t="s">
        <v>759</v>
      </c>
      <c r="O12" s="247" t="s">
        <v>445</v>
      </c>
      <c r="P12" s="247" t="s">
        <v>6772</v>
      </c>
      <c r="Q12" s="154" t="str">
        <f t="shared" si="1"/>
        <v>#ERROR!</v>
      </c>
      <c r="R12" s="154" t="s">
        <v>66</v>
      </c>
      <c r="S12" s="154" t="s">
        <v>66</v>
      </c>
      <c r="T12" s="154" t="s">
        <v>60</v>
      </c>
      <c r="U12" s="154" t="s">
        <v>60</v>
      </c>
      <c r="V12" s="154" t="s">
        <v>60</v>
      </c>
      <c r="W12" s="154" t="s">
        <v>60</v>
      </c>
      <c r="X12" s="154" t="s">
        <v>66</v>
      </c>
      <c r="Y12" s="154" t="s">
        <v>60</v>
      </c>
      <c r="Z12" s="154" t="s">
        <v>60</v>
      </c>
      <c r="AA12" s="154"/>
      <c r="AB12" s="242" t="str">
        <f t="shared" si="2"/>
        <v>#ERROR!</v>
      </c>
      <c r="AC12" s="154" t="s">
        <v>391</v>
      </c>
      <c r="AD12" s="242" t="b">
        <f t="shared" si="3"/>
        <v>0</v>
      </c>
      <c r="AE12" s="154"/>
      <c r="AF12" s="242" t="str">
        <f t="shared" si="4"/>
        <v>#ERROR!</v>
      </c>
      <c r="AG12" s="154" t="s">
        <v>652</v>
      </c>
      <c r="AH12" s="242" t="str">
        <f>IF(AG12="","N/A",INDIRECT("MTR!"&amp;ADDRESS(MATCH(LEFT(AG12,9),[1]MTR!C:C,0),COLUMN(J12)),TRUE) &amp; "")</f>
        <v>#ERROR!</v>
      </c>
      <c r="AI12" s="157" t="str">
        <f t="shared" si="5"/>
        <v>#ERROR!</v>
      </c>
    </row>
    <row r="13" ht="12.75" customHeight="1">
      <c r="A13" s="238" t="s">
        <v>5158</v>
      </c>
      <c r="B13" s="238" t="s">
        <v>231</v>
      </c>
      <c r="C13" s="238" t="s">
        <v>6786</v>
      </c>
      <c r="D13" s="240"/>
      <c r="E13" s="240" t="s">
        <v>92</v>
      </c>
      <c r="F13" s="240" t="str">
        <f t="array" ref="F13">XLOOKUP(Cover!$D$12,$R$1:$Z$1,$R13:$Z13)</f>
        <v>Heading</v>
      </c>
      <c r="G13" s="239" t="s">
        <v>6787</v>
      </c>
      <c r="H13" s="240"/>
      <c r="I13" s="240"/>
      <c r="J13" s="240"/>
      <c r="K13" s="240"/>
      <c r="L13" s="240"/>
      <c r="M13" s="240"/>
      <c r="N13" s="240" t="s">
        <v>759</v>
      </c>
      <c r="O13" s="240"/>
      <c r="P13" s="240"/>
      <c r="Q13" s="240" t="str">
        <f t="shared" si="1"/>
        <v/>
      </c>
      <c r="R13" s="240" t="s">
        <v>390</v>
      </c>
      <c r="S13" s="240" t="s">
        <v>390</v>
      </c>
      <c r="T13" s="240" t="s">
        <v>390</v>
      </c>
      <c r="U13" s="240" t="s">
        <v>390</v>
      </c>
      <c r="V13" s="240" t="s">
        <v>390</v>
      </c>
      <c r="W13" s="240" t="s">
        <v>390</v>
      </c>
      <c r="X13" s="240" t="s">
        <v>390</v>
      </c>
      <c r="Y13" s="240" t="s">
        <v>390</v>
      </c>
      <c r="Z13" s="240" t="s">
        <v>390</v>
      </c>
      <c r="AA13" s="240"/>
      <c r="AB13" s="242" t="str">
        <f t="shared" si="2"/>
        <v>#ERROR!</v>
      </c>
      <c r="AC13" s="240" t="s">
        <v>391</v>
      </c>
      <c r="AD13" s="242" t="b">
        <f t="shared" si="3"/>
        <v>0</v>
      </c>
      <c r="AE13" s="240"/>
      <c r="AF13" s="242" t="str">
        <f t="shared" si="4"/>
        <v>#ERROR!</v>
      </c>
      <c r="AG13" s="240"/>
      <c r="AH13" s="242" t="str">
        <f>IF(AG13="","N/A",INDIRECT("MTR!"&amp;ADDRESS(MATCH(LEFT(AG13,9),[1]MTR!C:C,0),COLUMN(J13)),TRUE) &amp; "")</f>
        <v>#ERROR!</v>
      </c>
      <c r="AI13" s="157" t="str">
        <f t="shared" si="5"/>
        <v/>
      </c>
    </row>
    <row r="14" ht="12.75" customHeight="1">
      <c r="A14" s="244" t="s">
        <v>5158</v>
      </c>
      <c r="B14" s="244" t="s">
        <v>231</v>
      </c>
      <c r="C14" s="244" t="s">
        <v>6788</v>
      </c>
      <c r="D14" s="154" t="s">
        <v>503</v>
      </c>
      <c r="E14" s="154"/>
      <c r="F14" s="154" t="str">
        <f t="array" ref="F14">XLOOKUP(Cover!$D$12,$R$1:$Z$1,$R14:$Z14)</f>
        <v>Information</v>
      </c>
      <c r="G14" s="154" t="s">
        <v>6789</v>
      </c>
      <c r="H14" s="154" t="s">
        <v>6767</v>
      </c>
      <c r="I14" s="154" t="s">
        <v>6790</v>
      </c>
      <c r="J14" s="154" t="s">
        <v>6791</v>
      </c>
      <c r="K14" s="154" t="s">
        <v>6768</v>
      </c>
      <c r="L14" s="154" t="s">
        <v>6463</v>
      </c>
      <c r="M14" s="154"/>
      <c r="N14" s="154" t="s">
        <v>759</v>
      </c>
      <c r="O14" s="247" t="s">
        <v>506</v>
      </c>
      <c r="P14" s="247" t="s">
        <v>6722</v>
      </c>
      <c r="Q14" s="154" t="str">
        <f t="shared" si="1"/>
        <v>#ERROR!</v>
      </c>
      <c r="R14" s="154" t="s">
        <v>66</v>
      </c>
      <c r="S14" s="154" t="s">
        <v>66</v>
      </c>
      <c r="T14" s="154" t="s">
        <v>66</v>
      </c>
      <c r="U14" s="154" t="s">
        <v>66</v>
      </c>
      <c r="V14" s="154" t="s">
        <v>66</v>
      </c>
      <c r="W14" s="154" t="s">
        <v>66</v>
      </c>
      <c r="X14" s="154" t="s">
        <v>66</v>
      </c>
      <c r="Y14" s="154" t="s">
        <v>66</v>
      </c>
      <c r="Z14" s="154" t="s">
        <v>66</v>
      </c>
      <c r="AA14" s="154"/>
      <c r="AB14" s="242" t="str">
        <f t="shared" si="2"/>
        <v>#ERROR!</v>
      </c>
      <c r="AC14" s="154" t="s">
        <v>391</v>
      </c>
      <c r="AD14" s="242" t="b">
        <f t="shared" si="3"/>
        <v>0</v>
      </c>
      <c r="AE14" s="154"/>
      <c r="AF14" s="242" t="str">
        <f t="shared" si="4"/>
        <v>#ERROR!</v>
      </c>
      <c r="AG14" s="154" t="s">
        <v>652</v>
      </c>
      <c r="AH14" s="242" t="str">
        <f>IF(AG14="","N/A",INDIRECT("MTR!"&amp;ADDRESS(MATCH(LEFT(AG14,9),[1]MTR!C:C,0),COLUMN(J14)),TRUE) &amp; "")</f>
        <v>#ERROR!</v>
      </c>
      <c r="AI14" s="157" t="str">
        <f t="shared" si="5"/>
        <v>#ERROR!</v>
      </c>
    </row>
    <row r="15" ht="12.75" customHeight="1">
      <c r="A15" s="244" t="s">
        <v>5158</v>
      </c>
      <c r="B15" s="244" t="s">
        <v>231</v>
      </c>
      <c r="C15" s="244" t="s">
        <v>6792</v>
      </c>
      <c r="D15" s="154" t="s">
        <v>503</v>
      </c>
      <c r="E15" s="154"/>
      <c r="F15" s="154" t="str">
        <f t="array" ref="F15">XLOOKUP(Cover!$D$12,$R$1:$Z$1,$R15:$Z15)</f>
        <v>Information</v>
      </c>
      <c r="G15" s="154" t="s">
        <v>6793</v>
      </c>
      <c r="H15" s="154" t="s">
        <v>6771</v>
      </c>
      <c r="I15" s="154" t="s">
        <v>6790</v>
      </c>
      <c r="J15" s="154" t="s">
        <v>6791</v>
      </c>
      <c r="K15" s="154" t="s">
        <v>6768</v>
      </c>
      <c r="L15" s="154" t="s">
        <v>6463</v>
      </c>
      <c r="M15" s="154"/>
      <c r="N15" s="154" t="s">
        <v>759</v>
      </c>
      <c r="O15" s="247" t="s">
        <v>506</v>
      </c>
      <c r="P15" s="247" t="s">
        <v>6722</v>
      </c>
      <c r="Q15" s="154" t="str">
        <f t="shared" si="1"/>
        <v>#ERROR!</v>
      </c>
      <c r="R15" s="154" t="s">
        <v>66</v>
      </c>
      <c r="S15" s="154" t="s">
        <v>66</v>
      </c>
      <c r="T15" s="154" t="s">
        <v>66</v>
      </c>
      <c r="U15" s="154" t="s">
        <v>66</v>
      </c>
      <c r="V15" s="154" t="s">
        <v>66</v>
      </c>
      <c r="W15" s="154" t="s">
        <v>66</v>
      </c>
      <c r="X15" s="154" t="s">
        <v>66</v>
      </c>
      <c r="Y15" s="154" t="s">
        <v>66</v>
      </c>
      <c r="Z15" s="154" t="s">
        <v>66</v>
      </c>
      <c r="AA15" s="154"/>
      <c r="AB15" s="242" t="str">
        <f t="shared" si="2"/>
        <v>#ERROR!</v>
      </c>
      <c r="AC15" s="154" t="s">
        <v>391</v>
      </c>
      <c r="AD15" s="242" t="b">
        <f t="shared" si="3"/>
        <v>0</v>
      </c>
      <c r="AE15" s="154"/>
      <c r="AF15" s="242" t="str">
        <f t="shared" si="4"/>
        <v>#ERROR!</v>
      </c>
      <c r="AG15" s="154" t="s">
        <v>652</v>
      </c>
      <c r="AH15" s="242" t="str">
        <f>IF(AG15="","N/A",INDIRECT("MTR!"&amp;ADDRESS(MATCH(LEFT(AG15,9),[1]MTR!C:C,0),COLUMN(J15)),TRUE) &amp; "")</f>
        <v>#ERROR!</v>
      </c>
      <c r="AI15" s="157" t="str">
        <f t="shared" si="5"/>
        <v>#ERROR!</v>
      </c>
    </row>
    <row r="16" ht="12.75" customHeight="1">
      <c r="A16" s="244" t="s">
        <v>5158</v>
      </c>
      <c r="B16" s="244" t="s">
        <v>231</v>
      </c>
      <c r="C16" s="244" t="s">
        <v>6794</v>
      </c>
      <c r="D16" s="154" t="s">
        <v>503</v>
      </c>
      <c r="E16" s="154"/>
      <c r="F16" s="154" t="str">
        <f t="array" ref="F16">XLOOKUP(Cover!$D$12,$R$1:$Z$1,$R16:$Z16)</f>
        <v>Information</v>
      </c>
      <c r="G16" s="154" t="s">
        <v>6795</v>
      </c>
      <c r="H16" s="154" t="s">
        <v>6767</v>
      </c>
      <c r="I16" s="154" t="s">
        <v>6796</v>
      </c>
      <c r="J16" s="154" t="s">
        <v>6797</v>
      </c>
      <c r="K16" s="154" t="s">
        <v>6768</v>
      </c>
      <c r="L16" s="154" t="s">
        <v>6463</v>
      </c>
      <c r="M16" s="154"/>
      <c r="N16" s="154" t="s">
        <v>759</v>
      </c>
      <c r="O16" s="247" t="s">
        <v>506</v>
      </c>
      <c r="P16" s="247" t="s">
        <v>6722</v>
      </c>
      <c r="Q16" s="154" t="str">
        <f t="shared" si="1"/>
        <v>#ERROR!</v>
      </c>
      <c r="R16" s="154" t="s">
        <v>66</v>
      </c>
      <c r="S16" s="154" t="s">
        <v>66</v>
      </c>
      <c r="T16" s="154" t="s">
        <v>66</v>
      </c>
      <c r="U16" s="154" t="s">
        <v>66</v>
      </c>
      <c r="V16" s="154" t="s">
        <v>66</v>
      </c>
      <c r="W16" s="154" t="s">
        <v>66</v>
      </c>
      <c r="X16" s="154" t="s">
        <v>66</v>
      </c>
      <c r="Y16" s="154" t="s">
        <v>66</v>
      </c>
      <c r="Z16" s="154" t="s">
        <v>66</v>
      </c>
      <c r="AA16" s="154"/>
      <c r="AB16" s="242" t="str">
        <f t="shared" si="2"/>
        <v>#ERROR!</v>
      </c>
      <c r="AC16" s="154" t="s">
        <v>391</v>
      </c>
      <c r="AD16" s="242" t="b">
        <f t="shared" si="3"/>
        <v>0</v>
      </c>
      <c r="AE16" s="154"/>
      <c r="AF16" s="242" t="str">
        <f t="shared" si="4"/>
        <v>#ERROR!</v>
      </c>
      <c r="AG16" s="154" t="s">
        <v>652</v>
      </c>
      <c r="AH16" s="242" t="str">
        <f>IF(AG16="","N/A",INDIRECT("MTR!"&amp;ADDRESS(MATCH(LEFT(AG16,9),[1]MTR!C:C,0),COLUMN(J16)),TRUE) &amp; "")</f>
        <v>#ERROR!</v>
      </c>
      <c r="AI16" s="157" t="str">
        <f t="shared" si="5"/>
        <v>#ERROR!</v>
      </c>
    </row>
    <row r="17" ht="12.75" customHeight="1">
      <c r="A17" s="244" t="s">
        <v>5158</v>
      </c>
      <c r="B17" s="244" t="s">
        <v>231</v>
      </c>
      <c r="C17" s="244" t="s">
        <v>6798</v>
      </c>
      <c r="D17" s="154" t="s">
        <v>503</v>
      </c>
      <c r="E17" s="154"/>
      <c r="F17" s="154" t="str">
        <f t="array" ref="F17">XLOOKUP(Cover!$D$12,$R$1:$Z$1,$R17:$Z17)</f>
        <v>Information</v>
      </c>
      <c r="G17" s="154" t="s">
        <v>6799</v>
      </c>
      <c r="H17" s="154" t="s">
        <v>6775</v>
      </c>
      <c r="I17" s="154" t="s">
        <v>6796</v>
      </c>
      <c r="J17" s="154" t="s">
        <v>6797</v>
      </c>
      <c r="K17" s="154" t="s">
        <v>6768</v>
      </c>
      <c r="L17" s="154" t="s">
        <v>6463</v>
      </c>
      <c r="M17" s="154"/>
      <c r="N17" s="154" t="s">
        <v>759</v>
      </c>
      <c r="O17" s="247" t="s">
        <v>516</v>
      </c>
      <c r="P17" s="247" t="s">
        <v>6776</v>
      </c>
      <c r="Q17" s="154" t="str">
        <f t="shared" si="1"/>
        <v>#ERROR!</v>
      </c>
      <c r="R17" s="154" t="s">
        <v>66</v>
      </c>
      <c r="S17" s="154" t="s">
        <v>66</v>
      </c>
      <c r="T17" s="154" t="s">
        <v>66</v>
      </c>
      <c r="U17" s="154" t="s">
        <v>66</v>
      </c>
      <c r="V17" s="154" t="s">
        <v>66</v>
      </c>
      <c r="W17" s="154" t="s">
        <v>66</v>
      </c>
      <c r="X17" s="154" t="s">
        <v>66</v>
      </c>
      <c r="Y17" s="154" t="s">
        <v>66</v>
      </c>
      <c r="Z17" s="154" t="s">
        <v>66</v>
      </c>
      <c r="AA17" s="154"/>
      <c r="AB17" s="242" t="str">
        <f t="shared" si="2"/>
        <v>#ERROR!</v>
      </c>
      <c r="AC17" s="154" t="s">
        <v>391</v>
      </c>
      <c r="AD17" s="242" t="b">
        <f t="shared" si="3"/>
        <v>0</v>
      </c>
      <c r="AE17" s="154"/>
      <c r="AF17" s="242" t="str">
        <f t="shared" si="4"/>
        <v>#ERROR!</v>
      </c>
      <c r="AG17" s="154" t="s">
        <v>652</v>
      </c>
      <c r="AH17" s="242" t="str">
        <f>IF(AG17="","N/A",INDIRECT("MTR!"&amp;ADDRESS(MATCH(LEFT(AG17,9),[1]MTR!C:C,0),COLUMN(J17)),TRUE) &amp; "")</f>
        <v>#ERROR!</v>
      </c>
      <c r="AI17" s="157" t="str">
        <f t="shared" si="5"/>
        <v>#ERROR!</v>
      </c>
    </row>
    <row r="18" ht="12.75" customHeight="1">
      <c r="A18" s="244" t="s">
        <v>5158</v>
      </c>
      <c r="B18" s="244" t="s">
        <v>231</v>
      </c>
      <c r="C18" s="244" t="s">
        <v>6800</v>
      </c>
      <c r="D18" s="154" t="s">
        <v>503</v>
      </c>
      <c r="E18" s="154"/>
      <c r="F18" s="154" t="str">
        <f t="array" ref="F18">XLOOKUP(Cover!$D$12,$R$1:$Z$1,$R18:$Z18)</f>
        <v>Information</v>
      </c>
      <c r="G18" s="154" t="s">
        <v>6801</v>
      </c>
      <c r="H18" s="154" t="s">
        <v>6767</v>
      </c>
      <c r="I18" s="154" t="s">
        <v>6802</v>
      </c>
      <c r="J18" s="154" t="s">
        <v>6803</v>
      </c>
      <c r="K18" s="154" t="s">
        <v>6768</v>
      </c>
      <c r="L18" s="154" t="s">
        <v>6463</v>
      </c>
      <c r="M18" s="154"/>
      <c r="N18" s="154" t="s">
        <v>759</v>
      </c>
      <c r="O18" s="247" t="s">
        <v>506</v>
      </c>
      <c r="P18" s="247" t="s">
        <v>6722</v>
      </c>
      <c r="Q18" s="154" t="str">
        <f t="shared" si="1"/>
        <v>#ERROR!</v>
      </c>
      <c r="R18" s="154" t="s">
        <v>66</v>
      </c>
      <c r="S18" s="154" t="s">
        <v>66</v>
      </c>
      <c r="T18" s="154" t="s">
        <v>66</v>
      </c>
      <c r="U18" s="154" t="s">
        <v>66</v>
      </c>
      <c r="V18" s="154" t="s">
        <v>66</v>
      </c>
      <c r="W18" s="154" t="s">
        <v>66</v>
      </c>
      <c r="X18" s="154" t="s">
        <v>66</v>
      </c>
      <c r="Y18" s="154" t="s">
        <v>66</v>
      </c>
      <c r="Z18" s="154" t="s">
        <v>66</v>
      </c>
      <c r="AA18" s="154"/>
      <c r="AB18" s="242" t="str">
        <f t="shared" si="2"/>
        <v>#ERROR!</v>
      </c>
      <c r="AC18" s="154" t="s">
        <v>391</v>
      </c>
      <c r="AD18" s="242" t="b">
        <f t="shared" si="3"/>
        <v>0</v>
      </c>
      <c r="AE18" s="154"/>
      <c r="AF18" s="242" t="str">
        <f t="shared" si="4"/>
        <v>#ERROR!</v>
      </c>
      <c r="AG18" s="154" t="s">
        <v>652</v>
      </c>
      <c r="AH18" s="242" t="str">
        <f>IF(AG18="","N/A",INDIRECT("MTR!"&amp;ADDRESS(MATCH(LEFT(AG18,9),[1]MTR!C:C,0),COLUMN(J18)),TRUE) &amp; "")</f>
        <v>#ERROR!</v>
      </c>
      <c r="AI18" s="157" t="str">
        <f t="shared" si="5"/>
        <v>#ERROR!</v>
      </c>
    </row>
    <row r="19" ht="12.75" customHeight="1">
      <c r="A19" s="244" t="s">
        <v>5158</v>
      </c>
      <c r="B19" s="244" t="s">
        <v>231</v>
      </c>
      <c r="C19" s="244" t="s">
        <v>6804</v>
      </c>
      <c r="D19" s="154" t="s">
        <v>503</v>
      </c>
      <c r="E19" s="154"/>
      <c r="F19" s="154" t="str">
        <f t="array" ref="F19">XLOOKUP(Cover!$D$12,$R$1:$Z$1,$R19:$Z19)</f>
        <v>Information</v>
      </c>
      <c r="G19" s="154" t="s">
        <v>6805</v>
      </c>
      <c r="H19" s="154" t="s">
        <v>6782</v>
      </c>
      <c r="I19" s="154" t="s">
        <v>6802</v>
      </c>
      <c r="J19" s="154" t="s">
        <v>6803</v>
      </c>
      <c r="K19" s="154" t="s">
        <v>6768</v>
      </c>
      <c r="L19" s="154" t="s">
        <v>6463</v>
      </c>
      <c r="M19" s="154"/>
      <c r="N19" s="154" t="s">
        <v>759</v>
      </c>
      <c r="O19" s="247" t="s">
        <v>506</v>
      </c>
      <c r="P19" s="247" t="s">
        <v>6722</v>
      </c>
      <c r="Q19" s="154" t="str">
        <f t="shared" si="1"/>
        <v>#ERROR!</v>
      </c>
      <c r="R19" s="154" t="s">
        <v>66</v>
      </c>
      <c r="S19" s="154" t="s">
        <v>66</v>
      </c>
      <c r="T19" s="154" t="s">
        <v>66</v>
      </c>
      <c r="U19" s="154" t="s">
        <v>66</v>
      </c>
      <c r="V19" s="154" t="s">
        <v>66</v>
      </c>
      <c r="W19" s="154" t="s">
        <v>66</v>
      </c>
      <c r="X19" s="154" t="s">
        <v>66</v>
      </c>
      <c r="Y19" s="154" t="s">
        <v>66</v>
      </c>
      <c r="Z19" s="154" t="s">
        <v>66</v>
      </c>
      <c r="AA19" s="154"/>
      <c r="AB19" s="242" t="str">
        <f t="shared" si="2"/>
        <v>#ERROR!</v>
      </c>
      <c r="AC19" s="154" t="s">
        <v>391</v>
      </c>
      <c r="AD19" s="242" t="b">
        <f t="shared" si="3"/>
        <v>0</v>
      </c>
      <c r="AE19" s="154"/>
      <c r="AF19" s="242" t="str">
        <f t="shared" si="4"/>
        <v>#ERROR!</v>
      </c>
      <c r="AG19" s="154" t="s">
        <v>652</v>
      </c>
      <c r="AH19" s="242" t="str">
        <f>IF(AG19="","N/A",INDIRECT("MTR!"&amp;ADDRESS(MATCH(LEFT(AG19,9),[1]MTR!C:C,0),COLUMN(J19)),TRUE) &amp; "")</f>
        <v>#ERROR!</v>
      </c>
      <c r="AI19" s="157" t="str">
        <f t="shared" si="5"/>
        <v>#ERROR!</v>
      </c>
    </row>
    <row r="20" ht="12.75" customHeight="1">
      <c r="A20" s="244" t="s">
        <v>5158</v>
      </c>
      <c r="B20" s="244" t="s">
        <v>231</v>
      </c>
      <c r="C20" s="244" t="s">
        <v>6806</v>
      </c>
      <c r="D20" s="154" t="s">
        <v>747</v>
      </c>
      <c r="E20" s="154"/>
      <c r="F20" s="154" t="str">
        <f t="array" ref="F20">XLOOKUP(Cover!$D$12,$R$1:$Z$1,$R20:$Z20)</f>
        <v>Mandatory</v>
      </c>
      <c r="G20" s="154" t="s">
        <v>6807</v>
      </c>
      <c r="H20" s="154" t="s">
        <v>6771</v>
      </c>
      <c r="I20" s="154" t="s">
        <v>6808</v>
      </c>
      <c r="J20" s="154" t="s">
        <v>6809</v>
      </c>
      <c r="K20" s="154" t="s">
        <v>6768</v>
      </c>
      <c r="L20" s="154" t="s">
        <v>6140</v>
      </c>
      <c r="M20" s="154" t="s">
        <v>1122</v>
      </c>
      <c r="N20" s="154" t="s">
        <v>759</v>
      </c>
      <c r="O20" s="247" t="s">
        <v>445</v>
      </c>
      <c r="P20" s="247" t="s">
        <v>6772</v>
      </c>
      <c r="Q20" s="154" t="str">
        <f t="shared" si="1"/>
        <v>#ERROR!</v>
      </c>
      <c r="R20" s="154" t="s">
        <v>66</v>
      </c>
      <c r="S20" s="154" t="s">
        <v>66</v>
      </c>
      <c r="T20" s="154" t="s">
        <v>60</v>
      </c>
      <c r="U20" s="154" t="s">
        <v>60</v>
      </c>
      <c r="V20" s="154" t="s">
        <v>60</v>
      </c>
      <c r="W20" s="154" t="s">
        <v>60</v>
      </c>
      <c r="X20" s="154" t="s">
        <v>66</v>
      </c>
      <c r="Y20" s="154" t="s">
        <v>60</v>
      </c>
      <c r="Z20" s="154" t="s">
        <v>60</v>
      </c>
      <c r="AA20" s="154"/>
      <c r="AB20" s="242" t="str">
        <f t="shared" si="2"/>
        <v>#ERROR!</v>
      </c>
      <c r="AC20" s="154" t="s">
        <v>391</v>
      </c>
      <c r="AD20" s="242" t="b">
        <f t="shared" si="3"/>
        <v>0</v>
      </c>
      <c r="AE20" s="154"/>
      <c r="AF20" s="242" t="str">
        <f t="shared" si="4"/>
        <v>#ERROR!</v>
      </c>
      <c r="AG20" s="154" t="s">
        <v>652</v>
      </c>
      <c r="AH20" s="242" t="str">
        <f>IF(AG20="","N/A",INDIRECT("MTR!"&amp;ADDRESS(MATCH(LEFT(AG20,9),[1]MTR!C:C,0),COLUMN(J20)),TRUE) &amp; "")</f>
        <v>#ERROR!</v>
      </c>
      <c r="AI20" s="157" t="str">
        <f t="shared" si="5"/>
        <v>#ERROR!</v>
      </c>
    </row>
    <row r="21" ht="12.75" customHeight="1">
      <c r="A21" s="244" t="s">
        <v>5158</v>
      </c>
      <c r="B21" s="244" t="s">
        <v>231</v>
      </c>
      <c r="C21" s="244" t="s">
        <v>6810</v>
      </c>
      <c r="D21" s="154" t="s">
        <v>542</v>
      </c>
      <c r="E21" s="154"/>
      <c r="F21" s="154" t="str">
        <f t="array" ref="F21">XLOOKUP(Cover!$D$12,$R$1:$Z$1,$R21:$Z21)</f>
        <v>Mandatory</v>
      </c>
      <c r="G21" s="154" t="s">
        <v>6811</v>
      </c>
      <c r="H21" s="154" t="s">
        <v>6808</v>
      </c>
      <c r="I21" s="154" t="s">
        <v>6808</v>
      </c>
      <c r="J21" s="154" t="s">
        <v>6809</v>
      </c>
      <c r="K21" s="154" t="s">
        <v>6768</v>
      </c>
      <c r="L21" s="154" t="s">
        <v>6140</v>
      </c>
      <c r="M21" s="154" t="s">
        <v>1122</v>
      </c>
      <c r="N21" s="154" t="s">
        <v>759</v>
      </c>
      <c r="O21" s="247" t="s">
        <v>516</v>
      </c>
      <c r="P21" s="247" t="s">
        <v>1575</v>
      </c>
      <c r="Q21" s="154" t="str">
        <f t="shared" si="1"/>
        <v>#ERROR!</v>
      </c>
      <c r="R21" s="154" t="s">
        <v>66</v>
      </c>
      <c r="S21" s="154" t="s">
        <v>66</v>
      </c>
      <c r="T21" s="154" t="s">
        <v>60</v>
      </c>
      <c r="U21" s="154" t="s">
        <v>60</v>
      </c>
      <c r="V21" s="154" t="s">
        <v>60</v>
      </c>
      <c r="W21" s="154" t="s">
        <v>60</v>
      </c>
      <c r="X21" s="154" t="s">
        <v>66</v>
      </c>
      <c r="Y21" s="154" t="s">
        <v>60</v>
      </c>
      <c r="Z21" s="154" t="s">
        <v>60</v>
      </c>
      <c r="AA21" s="154"/>
      <c r="AB21" s="242" t="str">
        <f t="shared" si="2"/>
        <v>#ERROR!</v>
      </c>
      <c r="AC21" s="154" t="s">
        <v>391</v>
      </c>
      <c r="AD21" s="242" t="b">
        <f t="shared" si="3"/>
        <v>0</v>
      </c>
      <c r="AE21" s="154"/>
      <c r="AF21" s="242" t="str">
        <f t="shared" si="4"/>
        <v>#ERROR!</v>
      </c>
      <c r="AG21" s="154" t="s">
        <v>652</v>
      </c>
      <c r="AH21" s="242" t="str">
        <f>IF(AG21="","N/A",INDIRECT("MTR!"&amp;ADDRESS(MATCH(LEFT(AG21,9),[1]MTR!C:C,0),COLUMN(J21)),TRUE) &amp; "")</f>
        <v>#ERROR!</v>
      </c>
      <c r="AI21" s="157" t="str">
        <f t="shared" si="5"/>
        <v>#ERROR!</v>
      </c>
    </row>
    <row r="22" ht="12.75" customHeight="1">
      <c r="A22" s="244" t="s">
        <v>5158</v>
      </c>
      <c r="B22" s="244" t="s">
        <v>231</v>
      </c>
      <c r="C22" s="245" t="s">
        <v>6812</v>
      </c>
      <c r="D22" s="155" t="s">
        <v>747</v>
      </c>
      <c r="E22" s="155" t="s">
        <v>92</v>
      </c>
      <c r="F22" s="154" t="str">
        <f t="array" ref="F22">XLOOKUP(Cover!$D$12,$R$1:$Z$1,$R22:$Z22)</f>
        <v>Information</v>
      </c>
      <c r="G22" s="154" t="s">
        <v>6813</v>
      </c>
      <c r="H22" s="154" t="s">
        <v>6771</v>
      </c>
      <c r="I22" s="154" t="s">
        <v>6814</v>
      </c>
      <c r="J22" s="154" t="s">
        <v>6815</v>
      </c>
      <c r="K22" s="154" t="s">
        <v>6768</v>
      </c>
      <c r="L22" s="154" t="s">
        <v>6525</v>
      </c>
      <c r="M22" s="154"/>
      <c r="N22" s="154" t="s">
        <v>759</v>
      </c>
      <c r="O22" s="247" t="s">
        <v>445</v>
      </c>
      <c r="P22" s="247" t="s">
        <v>6772</v>
      </c>
      <c r="Q22" s="154" t="str">
        <f t="shared" si="1"/>
        <v>#ERROR!</v>
      </c>
      <c r="R22" s="154" t="s">
        <v>66</v>
      </c>
      <c r="S22" s="154" t="s">
        <v>66</v>
      </c>
      <c r="T22" s="154" t="s">
        <v>66</v>
      </c>
      <c r="U22" s="154" t="s">
        <v>66</v>
      </c>
      <c r="V22" s="154" t="s">
        <v>66</v>
      </c>
      <c r="W22" s="154" t="s">
        <v>66</v>
      </c>
      <c r="X22" s="154" t="s">
        <v>66</v>
      </c>
      <c r="Y22" s="154" t="s">
        <v>66</v>
      </c>
      <c r="Z22" s="154" t="s">
        <v>66</v>
      </c>
      <c r="AA22" s="154"/>
      <c r="AB22" s="242" t="str">
        <f t="shared" si="2"/>
        <v>#ERROR!</v>
      </c>
      <c r="AC22" s="154" t="s">
        <v>391</v>
      </c>
      <c r="AD22" s="242" t="b">
        <f t="shared" si="3"/>
        <v>0</v>
      </c>
      <c r="AE22" s="154"/>
      <c r="AF22" s="242" t="str">
        <f t="shared" si="4"/>
        <v>#ERROR!</v>
      </c>
      <c r="AG22" s="154" t="s">
        <v>652</v>
      </c>
      <c r="AH22" s="242" t="str">
        <f>IF(AG22="","N/A",INDIRECT("MTR!"&amp;ADDRESS(MATCH(LEFT(AG22,9),[1]MTR!C:C,0),COLUMN(J22)),TRUE) &amp; "")</f>
        <v>#ERROR!</v>
      </c>
      <c r="AI22" s="157" t="str">
        <f t="shared" si="5"/>
        <v>#ERROR!</v>
      </c>
    </row>
    <row r="23" ht="12.75" customHeight="1">
      <c r="A23" s="244" t="s">
        <v>5158</v>
      </c>
      <c r="B23" s="244" t="s">
        <v>231</v>
      </c>
      <c r="C23" s="244" t="s">
        <v>6816</v>
      </c>
      <c r="D23" s="154" t="s">
        <v>747</v>
      </c>
      <c r="E23" s="154"/>
      <c r="F23" s="154" t="str">
        <f t="array" ref="F23">XLOOKUP(Cover!$D$12,$R$1:$Z$1,$R23:$Z23)</f>
        <v>Mandatory</v>
      </c>
      <c r="G23" s="154" t="s">
        <v>6817</v>
      </c>
      <c r="H23" s="154" t="s">
        <v>6771</v>
      </c>
      <c r="I23" s="154" t="s">
        <v>6818</v>
      </c>
      <c r="J23" s="154" t="s">
        <v>6819</v>
      </c>
      <c r="K23" s="154" t="s">
        <v>6768</v>
      </c>
      <c r="L23" s="154" t="s">
        <v>6525</v>
      </c>
      <c r="M23" s="154" t="s">
        <v>1122</v>
      </c>
      <c r="N23" s="154" t="s">
        <v>759</v>
      </c>
      <c r="O23" s="247" t="s">
        <v>445</v>
      </c>
      <c r="P23" s="247" t="s">
        <v>89</v>
      </c>
      <c r="Q23" s="154" t="str">
        <f t="shared" si="1"/>
        <v>#ERROR!</v>
      </c>
      <c r="R23" s="154" t="s">
        <v>66</v>
      </c>
      <c r="S23" s="154" t="s">
        <v>66</v>
      </c>
      <c r="T23" s="154" t="s">
        <v>60</v>
      </c>
      <c r="U23" s="154" t="s">
        <v>60</v>
      </c>
      <c r="V23" s="154" t="s">
        <v>60</v>
      </c>
      <c r="W23" s="154" t="s">
        <v>60</v>
      </c>
      <c r="X23" s="154" t="s">
        <v>66</v>
      </c>
      <c r="Y23" s="154" t="s">
        <v>60</v>
      </c>
      <c r="Z23" s="154" t="s">
        <v>60</v>
      </c>
      <c r="AA23" s="154"/>
      <c r="AB23" s="242" t="str">
        <f t="shared" si="2"/>
        <v>#ERROR!</v>
      </c>
      <c r="AC23" s="154" t="s">
        <v>391</v>
      </c>
      <c r="AD23" s="242" t="b">
        <f t="shared" si="3"/>
        <v>0</v>
      </c>
      <c r="AE23" s="154"/>
      <c r="AF23" s="242" t="str">
        <f t="shared" si="4"/>
        <v>#ERROR!</v>
      </c>
      <c r="AG23" s="154" t="s">
        <v>652</v>
      </c>
      <c r="AH23" s="242" t="str">
        <f>IF(AG23="","N/A",INDIRECT("MTR!"&amp;ADDRESS(MATCH(LEFT(AG23,9),[1]MTR!C:C,0),COLUMN(J23)),TRUE) &amp; "")</f>
        <v>#ERROR!</v>
      </c>
      <c r="AI23" s="157" t="str">
        <f t="shared" si="5"/>
        <v>#ERROR!</v>
      </c>
    </row>
    <row r="24" ht="12.75" customHeight="1">
      <c r="A24" s="244" t="s">
        <v>5158</v>
      </c>
      <c r="B24" s="244" t="s">
        <v>231</v>
      </c>
      <c r="C24" s="244" t="s">
        <v>6820</v>
      </c>
      <c r="D24" s="154" t="s">
        <v>747</v>
      </c>
      <c r="E24" s="154"/>
      <c r="F24" s="154" t="str">
        <f t="array" ref="F24">XLOOKUP(Cover!$D$12,$R$1:$Z$1,$R24:$Z24)</f>
        <v>Mandatory</v>
      </c>
      <c r="G24" s="154" t="s">
        <v>6821</v>
      </c>
      <c r="H24" s="154" t="s">
        <v>6775</v>
      </c>
      <c r="I24" s="154" t="s">
        <v>6818</v>
      </c>
      <c r="J24" s="154" t="s">
        <v>6819</v>
      </c>
      <c r="K24" s="154" t="s">
        <v>6768</v>
      </c>
      <c r="L24" s="154" t="s">
        <v>6525</v>
      </c>
      <c r="M24" s="154" t="s">
        <v>1122</v>
      </c>
      <c r="N24" s="154" t="s">
        <v>759</v>
      </c>
      <c r="O24" s="247" t="s">
        <v>516</v>
      </c>
      <c r="P24" s="247" t="s">
        <v>6822</v>
      </c>
      <c r="Q24" s="154" t="str">
        <f t="shared" si="1"/>
        <v>#ERROR!</v>
      </c>
      <c r="R24" s="154" t="s">
        <v>66</v>
      </c>
      <c r="S24" s="154" t="s">
        <v>66</v>
      </c>
      <c r="T24" s="154" t="s">
        <v>60</v>
      </c>
      <c r="U24" s="154" t="s">
        <v>60</v>
      </c>
      <c r="V24" s="154" t="s">
        <v>60</v>
      </c>
      <c r="W24" s="154" t="s">
        <v>60</v>
      </c>
      <c r="X24" s="154" t="s">
        <v>66</v>
      </c>
      <c r="Y24" s="154" t="s">
        <v>60</v>
      </c>
      <c r="Z24" s="154" t="s">
        <v>60</v>
      </c>
      <c r="AA24" s="154"/>
      <c r="AB24" s="242" t="str">
        <f t="shared" si="2"/>
        <v>#ERROR!</v>
      </c>
      <c r="AC24" s="154" t="s">
        <v>391</v>
      </c>
      <c r="AD24" s="242" t="b">
        <f t="shared" si="3"/>
        <v>0</v>
      </c>
      <c r="AE24" s="154"/>
      <c r="AF24" s="242" t="str">
        <f t="shared" si="4"/>
        <v>#ERROR!</v>
      </c>
      <c r="AG24" s="154" t="s">
        <v>652</v>
      </c>
      <c r="AH24" s="242" t="str">
        <f>IF(AG24="","N/A",INDIRECT("MTR!"&amp;ADDRESS(MATCH(LEFT(AG24,9),[1]MTR!C:C,0),COLUMN(J24)),TRUE) &amp; "")</f>
        <v>#ERROR!</v>
      </c>
      <c r="AI24" s="157" t="str">
        <f t="shared" si="5"/>
        <v>#ERROR!</v>
      </c>
    </row>
    <row r="25" ht="12.75" customHeight="1">
      <c r="A25" s="244" t="s">
        <v>5158</v>
      </c>
      <c r="B25" s="244" t="s">
        <v>231</v>
      </c>
      <c r="C25" s="244" t="s">
        <v>6823</v>
      </c>
      <c r="D25" s="154" t="s">
        <v>747</v>
      </c>
      <c r="E25" s="154"/>
      <c r="F25" s="154" t="str">
        <f t="array" ref="F25">XLOOKUP(Cover!$D$12,$R$1:$Z$1,$R25:$Z25)</f>
        <v>Mandatory</v>
      </c>
      <c r="G25" s="154" t="s">
        <v>6824</v>
      </c>
      <c r="H25" s="154" t="s">
        <v>6771</v>
      </c>
      <c r="I25" s="154" t="s">
        <v>6825</v>
      </c>
      <c r="J25" s="154" t="s">
        <v>6826</v>
      </c>
      <c r="K25" s="154" t="s">
        <v>6768</v>
      </c>
      <c r="L25" s="154" t="s">
        <v>6140</v>
      </c>
      <c r="M25" s="154" t="s">
        <v>1122</v>
      </c>
      <c r="N25" s="154" t="s">
        <v>759</v>
      </c>
      <c r="O25" s="247" t="s">
        <v>445</v>
      </c>
      <c r="P25" s="247" t="s">
        <v>6772</v>
      </c>
      <c r="Q25" s="154" t="str">
        <f t="shared" si="1"/>
        <v>#ERROR!</v>
      </c>
      <c r="R25" s="154" t="s">
        <v>66</v>
      </c>
      <c r="S25" s="154" t="s">
        <v>66</v>
      </c>
      <c r="T25" s="154" t="s">
        <v>60</v>
      </c>
      <c r="U25" s="154" t="s">
        <v>60</v>
      </c>
      <c r="V25" s="154" t="s">
        <v>60</v>
      </c>
      <c r="W25" s="154" t="s">
        <v>60</v>
      </c>
      <c r="X25" s="154" t="s">
        <v>66</v>
      </c>
      <c r="Y25" s="154" t="s">
        <v>60</v>
      </c>
      <c r="Z25" s="154" t="s">
        <v>60</v>
      </c>
      <c r="AA25" s="154"/>
      <c r="AB25" s="242" t="str">
        <f t="shared" si="2"/>
        <v>#ERROR!</v>
      </c>
      <c r="AC25" s="154" t="s">
        <v>391</v>
      </c>
      <c r="AD25" s="242" t="b">
        <f t="shared" si="3"/>
        <v>0</v>
      </c>
      <c r="AE25" s="154"/>
      <c r="AF25" s="242" t="str">
        <f t="shared" si="4"/>
        <v>#ERROR!</v>
      </c>
      <c r="AG25" s="154" t="s">
        <v>652</v>
      </c>
      <c r="AH25" s="242" t="str">
        <f>IF(AG25="","N/A",INDIRECT("MTR!"&amp;ADDRESS(MATCH(LEFT(AG25,9),[1]MTR!C:C,0),COLUMN(J25)),TRUE) &amp; "")</f>
        <v>#ERROR!</v>
      </c>
      <c r="AI25" s="157" t="str">
        <f t="shared" si="5"/>
        <v>#ERROR!</v>
      </c>
    </row>
    <row r="26" ht="12.75" customHeight="1">
      <c r="A26" s="244" t="s">
        <v>5158</v>
      </c>
      <c r="B26" s="244" t="s">
        <v>231</v>
      </c>
      <c r="C26" s="244" t="s">
        <v>6827</v>
      </c>
      <c r="D26" s="154" t="s">
        <v>747</v>
      </c>
      <c r="E26" s="154"/>
      <c r="F26" s="154" t="str">
        <f t="array" ref="F26">XLOOKUP(Cover!$D$12,$R$1:$Z$1,$R26:$Z26)</f>
        <v>Mandatory</v>
      </c>
      <c r="G26" s="154" t="s">
        <v>6828</v>
      </c>
      <c r="H26" s="154" t="s">
        <v>6779</v>
      </c>
      <c r="I26" s="154" t="s">
        <v>6825</v>
      </c>
      <c r="J26" s="154" t="s">
        <v>6826</v>
      </c>
      <c r="K26" s="154" t="s">
        <v>6768</v>
      </c>
      <c r="L26" s="154" t="s">
        <v>6140</v>
      </c>
      <c r="M26" s="154" t="s">
        <v>1122</v>
      </c>
      <c r="N26" s="154" t="s">
        <v>759</v>
      </c>
      <c r="O26" s="247" t="s">
        <v>445</v>
      </c>
      <c r="P26" s="247" t="s">
        <v>6772</v>
      </c>
      <c r="Q26" s="154" t="str">
        <f t="shared" si="1"/>
        <v>#ERROR!</v>
      </c>
      <c r="R26" s="154" t="s">
        <v>66</v>
      </c>
      <c r="S26" s="154" t="s">
        <v>66</v>
      </c>
      <c r="T26" s="154" t="s">
        <v>60</v>
      </c>
      <c r="U26" s="154" t="s">
        <v>60</v>
      </c>
      <c r="V26" s="154" t="s">
        <v>60</v>
      </c>
      <c r="W26" s="154" t="s">
        <v>60</v>
      </c>
      <c r="X26" s="154" t="s">
        <v>66</v>
      </c>
      <c r="Y26" s="154" t="s">
        <v>60</v>
      </c>
      <c r="Z26" s="154" t="s">
        <v>60</v>
      </c>
      <c r="AA26" s="154"/>
      <c r="AB26" s="242" t="str">
        <f t="shared" si="2"/>
        <v>#ERROR!</v>
      </c>
      <c r="AC26" s="154" t="s">
        <v>391</v>
      </c>
      <c r="AD26" s="242" t="b">
        <f t="shared" si="3"/>
        <v>0</v>
      </c>
      <c r="AE26" s="154"/>
      <c r="AF26" s="242" t="str">
        <f t="shared" si="4"/>
        <v>#ERROR!</v>
      </c>
      <c r="AG26" s="154" t="s">
        <v>652</v>
      </c>
      <c r="AH26" s="242" t="str">
        <f>IF(AG26="","N/A",INDIRECT("MTR!"&amp;ADDRESS(MATCH(LEFT(AG26,9),[1]MTR!C:C,0),COLUMN(J26)),TRUE) &amp; "")</f>
        <v>#ERROR!</v>
      </c>
      <c r="AI26" s="157" t="str">
        <f t="shared" si="5"/>
        <v>#ERROR!</v>
      </c>
    </row>
    <row r="27" ht="12.75" customHeight="1">
      <c r="A27" s="244" t="s">
        <v>5158</v>
      </c>
      <c r="B27" s="244" t="s">
        <v>231</v>
      </c>
      <c r="C27" s="244" t="s">
        <v>6829</v>
      </c>
      <c r="D27" s="154" t="s">
        <v>747</v>
      </c>
      <c r="E27" s="154"/>
      <c r="F27" s="154" t="str">
        <f t="array" ref="F27">XLOOKUP(Cover!$D$12,$R$1:$Z$1,$R27:$Z27)</f>
        <v>Mandatory</v>
      </c>
      <c r="G27" s="154" t="s">
        <v>6830</v>
      </c>
      <c r="H27" s="154" t="s">
        <v>6771</v>
      </c>
      <c r="I27" s="154" t="s">
        <v>6831</v>
      </c>
      <c r="J27" s="154" t="s">
        <v>6832</v>
      </c>
      <c r="K27" s="154" t="s">
        <v>6768</v>
      </c>
      <c r="L27" s="154" t="s">
        <v>6525</v>
      </c>
      <c r="M27" s="154" t="s">
        <v>1122</v>
      </c>
      <c r="N27" s="154" t="s">
        <v>759</v>
      </c>
      <c r="O27" s="247" t="s">
        <v>445</v>
      </c>
      <c r="P27" s="247" t="s">
        <v>6772</v>
      </c>
      <c r="Q27" s="154" t="str">
        <f t="shared" si="1"/>
        <v>#ERROR!</v>
      </c>
      <c r="R27" s="154" t="s">
        <v>66</v>
      </c>
      <c r="S27" s="154" t="s">
        <v>66</v>
      </c>
      <c r="T27" s="154" t="s">
        <v>60</v>
      </c>
      <c r="U27" s="154" t="s">
        <v>60</v>
      </c>
      <c r="V27" s="154" t="s">
        <v>60</v>
      </c>
      <c r="W27" s="154" t="s">
        <v>60</v>
      </c>
      <c r="X27" s="154" t="s">
        <v>66</v>
      </c>
      <c r="Y27" s="154" t="s">
        <v>60</v>
      </c>
      <c r="Z27" s="154" t="s">
        <v>60</v>
      </c>
      <c r="AA27" s="154"/>
      <c r="AB27" s="242" t="str">
        <f t="shared" si="2"/>
        <v>#ERROR!</v>
      </c>
      <c r="AC27" s="154" t="s">
        <v>391</v>
      </c>
      <c r="AD27" s="242" t="b">
        <f t="shared" si="3"/>
        <v>0</v>
      </c>
      <c r="AE27" s="154"/>
      <c r="AF27" s="242" t="str">
        <f t="shared" si="4"/>
        <v>#ERROR!</v>
      </c>
      <c r="AG27" s="154" t="s">
        <v>652</v>
      </c>
      <c r="AH27" s="242" t="str">
        <f>IF(AG27="","N/A",INDIRECT("MTR!"&amp;ADDRESS(MATCH(LEFT(AG27,9),[1]MTR!C:C,0),COLUMN(J27)),TRUE) &amp; "")</f>
        <v>#ERROR!</v>
      </c>
      <c r="AI27" s="157" t="str">
        <f t="shared" si="5"/>
        <v>#ERROR!</v>
      </c>
    </row>
    <row r="28" ht="12.75" customHeight="1">
      <c r="A28" s="244" t="s">
        <v>5158</v>
      </c>
      <c r="B28" s="244" t="s">
        <v>231</v>
      </c>
      <c r="C28" s="244" t="s">
        <v>6833</v>
      </c>
      <c r="D28" s="154" t="s">
        <v>747</v>
      </c>
      <c r="E28" s="154"/>
      <c r="F28" s="154" t="str">
        <f t="array" ref="F28">XLOOKUP(Cover!$D$12,$R$1:$Z$1,$R28:$Z28)</f>
        <v>Mandatory</v>
      </c>
      <c r="G28" s="154" t="s">
        <v>6834</v>
      </c>
      <c r="H28" s="154" t="s">
        <v>6782</v>
      </c>
      <c r="I28" s="154" t="s">
        <v>6831</v>
      </c>
      <c r="J28" s="154" t="s">
        <v>6832</v>
      </c>
      <c r="K28" s="154" t="s">
        <v>6768</v>
      </c>
      <c r="L28" s="154" t="s">
        <v>6525</v>
      </c>
      <c r="M28" s="154" t="s">
        <v>1122</v>
      </c>
      <c r="N28" s="154" t="s">
        <v>759</v>
      </c>
      <c r="O28" s="247" t="s">
        <v>445</v>
      </c>
      <c r="P28" s="247" t="s">
        <v>6772</v>
      </c>
      <c r="Q28" s="154" t="str">
        <f t="shared" si="1"/>
        <v>#ERROR!</v>
      </c>
      <c r="R28" s="154" t="s">
        <v>66</v>
      </c>
      <c r="S28" s="154" t="s">
        <v>66</v>
      </c>
      <c r="T28" s="154" t="s">
        <v>60</v>
      </c>
      <c r="U28" s="154" t="s">
        <v>60</v>
      </c>
      <c r="V28" s="154" t="s">
        <v>60</v>
      </c>
      <c r="W28" s="154" t="s">
        <v>60</v>
      </c>
      <c r="X28" s="154" t="s">
        <v>66</v>
      </c>
      <c r="Y28" s="154" t="s">
        <v>60</v>
      </c>
      <c r="Z28" s="154" t="s">
        <v>60</v>
      </c>
      <c r="AA28" s="154"/>
      <c r="AB28" s="242" t="str">
        <f t="shared" si="2"/>
        <v>#ERROR!</v>
      </c>
      <c r="AC28" s="154" t="s">
        <v>391</v>
      </c>
      <c r="AD28" s="242" t="b">
        <f t="shared" si="3"/>
        <v>0</v>
      </c>
      <c r="AE28" s="154"/>
      <c r="AF28" s="242" t="str">
        <f t="shared" si="4"/>
        <v>#ERROR!</v>
      </c>
      <c r="AG28" s="154" t="s">
        <v>652</v>
      </c>
      <c r="AH28" s="242" t="str">
        <f>IF(AG28="","N/A",INDIRECT("MTR!"&amp;ADDRESS(MATCH(LEFT(AG28,9),[1]MTR!C:C,0),COLUMN(J28)),TRUE) &amp; "")</f>
        <v>#ERROR!</v>
      </c>
      <c r="AI28" s="157" t="str">
        <f t="shared" si="5"/>
        <v>#ERROR!</v>
      </c>
    </row>
    <row r="29" ht="12.75" customHeight="1">
      <c r="A29" s="244" t="s">
        <v>5158</v>
      </c>
      <c r="B29" s="244" t="s">
        <v>231</v>
      </c>
      <c r="C29" s="244" t="s">
        <v>6835</v>
      </c>
      <c r="D29" s="154" t="s">
        <v>861</v>
      </c>
      <c r="E29" s="154"/>
      <c r="F29" s="154" t="str">
        <f t="array" ref="F29">XLOOKUP(Cover!$D$12,$R$1:$Z$1,$R29:$Z29)</f>
        <v>Mandatory</v>
      </c>
      <c r="G29" s="154" t="s">
        <v>6836</v>
      </c>
      <c r="H29" s="154" t="s">
        <v>6771</v>
      </c>
      <c r="I29" s="154" t="s">
        <v>6837</v>
      </c>
      <c r="J29" s="154" t="s">
        <v>6838</v>
      </c>
      <c r="K29" s="154" t="s">
        <v>6768</v>
      </c>
      <c r="L29" s="154" t="s">
        <v>6428</v>
      </c>
      <c r="M29" s="154" t="s">
        <v>1122</v>
      </c>
      <c r="N29" s="154" t="s">
        <v>759</v>
      </c>
      <c r="O29" s="247" t="s">
        <v>445</v>
      </c>
      <c r="P29" s="247" t="s">
        <v>6772</v>
      </c>
      <c r="Q29" s="154" t="str">
        <f t="shared" si="1"/>
        <v>#ERROR!</v>
      </c>
      <c r="R29" s="154" t="s">
        <v>66</v>
      </c>
      <c r="S29" s="154" t="s">
        <v>66</v>
      </c>
      <c r="T29" s="154" t="s">
        <v>60</v>
      </c>
      <c r="U29" s="154" t="s">
        <v>60</v>
      </c>
      <c r="V29" s="154" t="s">
        <v>60</v>
      </c>
      <c r="W29" s="154" t="s">
        <v>60</v>
      </c>
      <c r="X29" s="154" t="s">
        <v>66</v>
      </c>
      <c r="Y29" s="154" t="s">
        <v>60</v>
      </c>
      <c r="Z29" s="154" t="s">
        <v>60</v>
      </c>
      <c r="AA29" s="154"/>
      <c r="AB29" s="242" t="str">
        <f t="shared" si="2"/>
        <v>#ERROR!</v>
      </c>
      <c r="AC29" s="154" t="s">
        <v>391</v>
      </c>
      <c r="AD29" s="242" t="b">
        <f t="shared" si="3"/>
        <v>0</v>
      </c>
      <c r="AE29" s="154"/>
      <c r="AF29" s="242" t="str">
        <f t="shared" si="4"/>
        <v>#ERROR!</v>
      </c>
      <c r="AG29" s="154" t="s">
        <v>652</v>
      </c>
      <c r="AH29" s="242" t="str">
        <f>IF(AG29="","N/A",INDIRECT("MTR!"&amp;ADDRESS(MATCH(LEFT(AG29,9),[1]MTR!C:C,0),COLUMN(J29)),TRUE) &amp; "")</f>
        <v>#ERROR!</v>
      </c>
      <c r="AI29" s="157" t="str">
        <f t="shared" si="5"/>
        <v>#ERROR!</v>
      </c>
    </row>
    <row r="30" ht="12.75" customHeight="1">
      <c r="A30" s="244" t="s">
        <v>5158</v>
      </c>
      <c r="B30" s="244" t="s">
        <v>231</v>
      </c>
      <c r="C30" s="244" t="s">
        <v>6839</v>
      </c>
      <c r="D30" s="154" t="s">
        <v>861</v>
      </c>
      <c r="E30" s="154"/>
      <c r="F30" s="154" t="str">
        <f t="array" ref="F30">XLOOKUP(Cover!$D$12,$R$1:$Z$1,$R30:$Z30)</f>
        <v>Mandatory</v>
      </c>
      <c r="G30" s="154" t="s">
        <v>6840</v>
      </c>
      <c r="H30" s="154" t="s">
        <v>6785</v>
      </c>
      <c r="I30" s="154" t="s">
        <v>6837</v>
      </c>
      <c r="J30" s="154" t="s">
        <v>6838</v>
      </c>
      <c r="K30" s="154" t="s">
        <v>6768</v>
      </c>
      <c r="L30" s="154" t="s">
        <v>6428</v>
      </c>
      <c r="M30" s="154" t="s">
        <v>1122</v>
      </c>
      <c r="N30" s="154" t="s">
        <v>759</v>
      </c>
      <c r="O30" s="247" t="s">
        <v>445</v>
      </c>
      <c r="P30" s="247" t="s">
        <v>6772</v>
      </c>
      <c r="Q30" s="154" t="str">
        <f t="shared" si="1"/>
        <v>#ERROR!</v>
      </c>
      <c r="R30" s="154" t="s">
        <v>66</v>
      </c>
      <c r="S30" s="154" t="s">
        <v>66</v>
      </c>
      <c r="T30" s="154" t="s">
        <v>60</v>
      </c>
      <c r="U30" s="154" t="s">
        <v>60</v>
      </c>
      <c r="V30" s="154" t="s">
        <v>60</v>
      </c>
      <c r="W30" s="154" t="s">
        <v>60</v>
      </c>
      <c r="X30" s="154" t="s">
        <v>66</v>
      </c>
      <c r="Y30" s="154" t="s">
        <v>60</v>
      </c>
      <c r="Z30" s="154" t="s">
        <v>60</v>
      </c>
      <c r="AA30" s="154"/>
      <c r="AB30" s="242" t="str">
        <f t="shared" si="2"/>
        <v>#ERROR!</v>
      </c>
      <c r="AC30" s="154" t="s">
        <v>391</v>
      </c>
      <c r="AD30" s="242" t="b">
        <f t="shared" si="3"/>
        <v>0</v>
      </c>
      <c r="AE30" s="154"/>
      <c r="AF30" s="242" t="str">
        <f t="shared" si="4"/>
        <v>#ERROR!</v>
      </c>
      <c r="AG30" s="154" t="s">
        <v>652</v>
      </c>
      <c r="AH30" s="242" t="str">
        <f>IF(AG30="","N/A",INDIRECT("MTR!"&amp;ADDRESS(MATCH(LEFT(AG30,9),[1]MTR!C:C,0),COLUMN(J30)),TRUE) &amp; "")</f>
        <v>#ERROR!</v>
      </c>
      <c r="AI30" s="157" t="str">
        <f t="shared" si="5"/>
        <v>#ERROR!</v>
      </c>
    </row>
    <row r="31" ht="12.75" customHeight="1">
      <c r="A31" s="244" t="s">
        <v>5158</v>
      </c>
      <c r="B31" s="244" t="s">
        <v>231</v>
      </c>
      <c r="C31" s="244" t="s">
        <v>6841</v>
      </c>
      <c r="D31" s="154" t="s">
        <v>861</v>
      </c>
      <c r="E31" s="154"/>
      <c r="F31" s="154" t="str">
        <f t="array" ref="F31">XLOOKUP(Cover!$D$12,$R$1:$Z$1,$R31:$Z31)</f>
        <v>Mandatory</v>
      </c>
      <c r="G31" s="154" t="s">
        <v>6842</v>
      </c>
      <c r="H31" s="154" t="s">
        <v>6771</v>
      </c>
      <c r="I31" s="154" t="s">
        <v>6843</v>
      </c>
      <c r="J31" s="154" t="s">
        <v>6844</v>
      </c>
      <c r="K31" s="154" t="s">
        <v>6768</v>
      </c>
      <c r="L31" s="154" t="s">
        <v>6428</v>
      </c>
      <c r="M31" s="154" t="s">
        <v>1122</v>
      </c>
      <c r="N31" s="154" t="s">
        <v>759</v>
      </c>
      <c r="O31" s="247" t="s">
        <v>445</v>
      </c>
      <c r="P31" s="247" t="s">
        <v>6772</v>
      </c>
      <c r="Q31" s="154" t="str">
        <f t="shared" si="1"/>
        <v>#ERROR!</v>
      </c>
      <c r="R31" s="154" t="s">
        <v>66</v>
      </c>
      <c r="S31" s="154" t="s">
        <v>66</v>
      </c>
      <c r="T31" s="154" t="s">
        <v>60</v>
      </c>
      <c r="U31" s="154" t="s">
        <v>60</v>
      </c>
      <c r="V31" s="154" t="s">
        <v>60</v>
      </c>
      <c r="W31" s="154" t="s">
        <v>60</v>
      </c>
      <c r="X31" s="154" t="s">
        <v>66</v>
      </c>
      <c r="Y31" s="154" t="s">
        <v>60</v>
      </c>
      <c r="Z31" s="154" t="s">
        <v>60</v>
      </c>
      <c r="AA31" s="154"/>
      <c r="AB31" s="242" t="str">
        <f t="shared" si="2"/>
        <v>#ERROR!</v>
      </c>
      <c r="AC31" s="154" t="s">
        <v>391</v>
      </c>
      <c r="AD31" s="242" t="b">
        <f t="shared" si="3"/>
        <v>0</v>
      </c>
      <c r="AE31" s="154"/>
      <c r="AF31" s="242" t="str">
        <f t="shared" si="4"/>
        <v>#ERROR!</v>
      </c>
      <c r="AG31" s="154" t="s">
        <v>652</v>
      </c>
      <c r="AH31" s="242" t="str">
        <f>IF(AG31="","N/A",INDIRECT("MTR!"&amp;ADDRESS(MATCH(LEFT(AG31,9),[1]MTR!C:C,0),COLUMN(J31)),TRUE) &amp; "")</f>
        <v>#ERROR!</v>
      </c>
      <c r="AI31" s="157" t="str">
        <f t="shared" si="5"/>
        <v>#ERROR!</v>
      </c>
    </row>
    <row r="32" ht="12.75" customHeight="1">
      <c r="A32" s="244" t="s">
        <v>5158</v>
      </c>
      <c r="B32" s="244" t="s">
        <v>231</v>
      </c>
      <c r="C32" s="244" t="s">
        <v>6845</v>
      </c>
      <c r="D32" s="154" t="s">
        <v>781</v>
      </c>
      <c r="E32" s="154"/>
      <c r="F32" s="154" t="str">
        <f t="array" ref="F32">XLOOKUP(Cover!$D$12,$R$1:$Z$1,$R32:$Z32)</f>
        <v>Recommended</v>
      </c>
      <c r="G32" s="154" t="s">
        <v>6846</v>
      </c>
      <c r="H32" s="154" t="s">
        <v>6775</v>
      </c>
      <c r="I32" s="154" t="s">
        <v>6847</v>
      </c>
      <c r="J32" s="154" t="s">
        <v>6848</v>
      </c>
      <c r="K32" s="154" t="s">
        <v>6768</v>
      </c>
      <c r="L32" s="154" t="s">
        <v>6140</v>
      </c>
      <c r="M32" s="154"/>
      <c r="N32" s="154" t="s">
        <v>759</v>
      </c>
      <c r="O32" s="247" t="s">
        <v>516</v>
      </c>
      <c r="P32" s="291" t="s">
        <v>6776</v>
      </c>
      <c r="Q32" s="154" t="str">
        <f t="shared" si="1"/>
        <v>#ERROR!</v>
      </c>
      <c r="R32" s="154" t="s">
        <v>66</v>
      </c>
      <c r="S32" s="154" t="s">
        <v>66</v>
      </c>
      <c r="T32" s="154" t="s">
        <v>64</v>
      </c>
      <c r="U32" s="154" t="s">
        <v>64</v>
      </c>
      <c r="V32" s="154" t="s">
        <v>64</v>
      </c>
      <c r="W32" s="154" t="s">
        <v>64</v>
      </c>
      <c r="X32" s="154" t="s">
        <v>66</v>
      </c>
      <c r="Y32" s="154" t="s">
        <v>64</v>
      </c>
      <c r="Z32" s="154" t="s">
        <v>64</v>
      </c>
      <c r="AA32" s="154"/>
      <c r="AB32" s="242" t="str">
        <f t="shared" si="2"/>
        <v>#ERROR!</v>
      </c>
      <c r="AC32" s="154" t="s">
        <v>391</v>
      </c>
      <c r="AD32" s="242" t="b">
        <f t="shared" si="3"/>
        <v>0</v>
      </c>
      <c r="AE32" s="154"/>
      <c r="AF32" s="242" t="str">
        <f t="shared" si="4"/>
        <v>#ERROR!</v>
      </c>
      <c r="AG32" s="154" t="s">
        <v>652</v>
      </c>
      <c r="AH32" s="242" t="str">
        <f>IF(AG32="","N/A",INDIRECT("MTR!"&amp;ADDRESS(MATCH(LEFT(AG32,9),[1]MTR!C:C,0),COLUMN(J32)),TRUE) &amp; "")</f>
        <v>#ERROR!</v>
      </c>
      <c r="AI32" s="157" t="str">
        <f t="shared" si="5"/>
        <v>#ERROR!</v>
      </c>
    </row>
    <row r="33" ht="12.75" customHeight="1">
      <c r="A33" s="244" t="s">
        <v>5158</v>
      </c>
      <c r="B33" s="244" t="s">
        <v>231</v>
      </c>
      <c r="C33" s="244" t="s">
        <v>6849</v>
      </c>
      <c r="D33" s="154" t="s">
        <v>781</v>
      </c>
      <c r="E33" s="154"/>
      <c r="F33" s="154" t="str">
        <f t="array" ref="F33">XLOOKUP(Cover!$D$12,$R$1:$Z$1,$R33:$Z33)</f>
        <v>Recommended</v>
      </c>
      <c r="G33" s="154" t="s">
        <v>6850</v>
      </c>
      <c r="H33" s="154" t="s">
        <v>6847</v>
      </c>
      <c r="I33" s="154" t="s">
        <v>6847</v>
      </c>
      <c r="J33" s="154" t="s">
        <v>6848</v>
      </c>
      <c r="K33" s="154" t="s">
        <v>6768</v>
      </c>
      <c r="L33" s="154" t="s">
        <v>6140</v>
      </c>
      <c r="M33" s="154"/>
      <c r="N33" s="154" t="s">
        <v>759</v>
      </c>
      <c r="O33" s="247" t="s">
        <v>516</v>
      </c>
      <c r="P33" s="291" t="s">
        <v>6776</v>
      </c>
      <c r="Q33" s="154" t="str">
        <f t="shared" si="1"/>
        <v>#ERROR!</v>
      </c>
      <c r="R33" s="154" t="s">
        <v>66</v>
      </c>
      <c r="S33" s="154" t="s">
        <v>66</v>
      </c>
      <c r="T33" s="154" t="s">
        <v>64</v>
      </c>
      <c r="U33" s="154" t="s">
        <v>64</v>
      </c>
      <c r="V33" s="154" t="s">
        <v>64</v>
      </c>
      <c r="W33" s="154" t="s">
        <v>64</v>
      </c>
      <c r="X33" s="154" t="s">
        <v>66</v>
      </c>
      <c r="Y33" s="154" t="s">
        <v>64</v>
      </c>
      <c r="Z33" s="154" t="s">
        <v>64</v>
      </c>
      <c r="AA33" s="154"/>
      <c r="AB33" s="242" t="str">
        <f t="shared" si="2"/>
        <v>#ERROR!</v>
      </c>
      <c r="AC33" s="154" t="s">
        <v>391</v>
      </c>
      <c r="AD33" s="242" t="b">
        <f t="shared" si="3"/>
        <v>0</v>
      </c>
      <c r="AE33" s="154"/>
      <c r="AF33" s="242" t="str">
        <f t="shared" si="4"/>
        <v>#ERROR!</v>
      </c>
      <c r="AG33" s="154" t="s">
        <v>652</v>
      </c>
      <c r="AH33" s="242" t="str">
        <f>IF(AG33="","N/A",INDIRECT("MTR!"&amp;ADDRESS(MATCH(LEFT(AG33,9),[1]MTR!C:C,0),COLUMN(J33)),TRUE) &amp; "")</f>
        <v>#ERROR!</v>
      </c>
      <c r="AI33" s="157" t="str">
        <f t="shared" si="5"/>
        <v>#ERROR!</v>
      </c>
    </row>
    <row r="34" ht="12.75" customHeight="1">
      <c r="A34" s="244" t="s">
        <v>5158</v>
      </c>
      <c r="B34" s="244" t="s">
        <v>231</v>
      </c>
      <c r="C34" s="244" t="s">
        <v>6851</v>
      </c>
      <c r="D34" s="154" t="s">
        <v>747</v>
      </c>
      <c r="E34" s="154"/>
      <c r="F34" s="154" t="str">
        <f t="array" ref="F34">XLOOKUP(Cover!$D$12,$R$1:$Z$1,$R34:$Z34)</f>
        <v>Information</v>
      </c>
      <c r="G34" s="154" t="s">
        <v>6852</v>
      </c>
      <c r="H34" s="154" t="s">
        <v>6775</v>
      </c>
      <c r="I34" s="154" t="s">
        <v>6853</v>
      </c>
      <c r="J34" s="154" t="s">
        <v>6854</v>
      </c>
      <c r="K34" s="154" t="s">
        <v>6768</v>
      </c>
      <c r="L34" s="154" t="s">
        <v>6525</v>
      </c>
      <c r="M34" s="154"/>
      <c r="N34" s="154" t="s">
        <v>759</v>
      </c>
      <c r="O34" s="247" t="s">
        <v>516</v>
      </c>
      <c r="P34" s="291" t="s">
        <v>6776</v>
      </c>
      <c r="Q34" s="154" t="str">
        <f t="shared" si="1"/>
        <v>#ERROR!</v>
      </c>
      <c r="R34" s="154" t="s">
        <v>66</v>
      </c>
      <c r="S34" s="154" t="s">
        <v>66</v>
      </c>
      <c r="T34" s="154" t="s">
        <v>66</v>
      </c>
      <c r="U34" s="154" t="s">
        <v>66</v>
      </c>
      <c r="V34" s="154" t="s">
        <v>66</v>
      </c>
      <c r="W34" s="154" t="s">
        <v>66</v>
      </c>
      <c r="X34" s="154" t="s">
        <v>66</v>
      </c>
      <c r="Y34" s="154" t="s">
        <v>66</v>
      </c>
      <c r="Z34" s="154" t="s">
        <v>66</v>
      </c>
      <c r="AA34" s="154"/>
      <c r="AB34" s="242" t="str">
        <f t="shared" si="2"/>
        <v>#ERROR!</v>
      </c>
      <c r="AC34" s="154" t="s">
        <v>391</v>
      </c>
      <c r="AD34" s="242" t="b">
        <f t="shared" si="3"/>
        <v>0</v>
      </c>
      <c r="AE34" s="154"/>
      <c r="AF34" s="242" t="str">
        <f t="shared" si="4"/>
        <v>#ERROR!</v>
      </c>
      <c r="AG34" s="154" t="s">
        <v>652</v>
      </c>
      <c r="AH34" s="242" t="str">
        <f>IF(AG34="","N/A",INDIRECT("MTR!"&amp;ADDRESS(MATCH(LEFT(AG34,9),[1]MTR!C:C,0),COLUMN(J34)),TRUE) &amp; "")</f>
        <v>#ERROR!</v>
      </c>
      <c r="AI34" s="157" t="str">
        <f t="shared" si="5"/>
        <v>#ERROR!</v>
      </c>
    </row>
    <row r="35" ht="12.75" customHeight="1">
      <c r="A35" s="244" t="s">
        <v>5158</v>
      </c>
      <c r="B35" s="244" t="s">
        <v>231</v>
      </c>
      <c r="C35" s="244" t="s">
        <v>6855</v>
      </c>
      <c r="D35" s="154" t="s">
        <v>747</v>
      </c>
      <c r="E35" s="154"/>
      <c r="F35" s="154" t="str">
        <f t="array" ref="F35">XLOOKUP(Cover!$D$12,$R$1:$Z$1,$R35:$Z35)</f>
        <v>Mandatory</v>
      </c>
      <c r="G35" s="154" t="s">
        <v>6856</v>
      </c>
      <c r="H35" s="154" t="s">
        <v>6775</v>
      </c>
      <c r="I35" s="154" t="s">
        <v>6857</v>
      </c>
      <c r="J35" s="154" t="s">
        <v>6858</v>
      </c>
      <c r="K35" s="154" t="s">
        <v>6768</v>
      </c>
      <c r="L35" s="154" t="s">
        <v>6140</v>
      </c>
      <c r="M35" s="154" t="s">
        <v>1122</v>
      </c>
      <c r="N35" s="154" t="s">
        <v>759</v>
      </c>
      <c r="O35" s="247" t="s">
        <v>516</v>
      </c>
      <c r="P35" s="247" t="s">
        <v>6859</v>
      </c>
      <c r="Q35" s="154" t="str">
        <f t="shared" si="1"/>
        <v>#ERROR!</v>
      </c>
      <c r="R35" s="154" t="s">
        <v>66</v>
      </c>
      <c r="S35" s="154" t="s">
        <v>66</v>
      </c>
      <c r="T35" s="154" t="s">
        <v>60</v>
      </c>
      <c r="U35" s="154" t="s">
        <v>60</v>
      </c>
      <c r="V35" s="154" t="s">
        <v>60</v>
      </c>
      <c r="W35" s="154" t="s">
        <v>60</v>
      </c>
      <c r="X35" s="154" t="s">
        <v>66</v>
      </c>
      <c r="Y35" s="154" t="s">
        <v>60</v>
      </c>
      <c r="Z35" s="154" t="s">
        <v>60</v>
      </c>
      <c r="AA35" s="154"/>
      <c r="AB35" s="242" t="str">
        <f t="shared" si="2"/>
        <v>#ERROR!</v>
      </c>
      <c r="AC35" s="154" t="s">
        <v>391</v>
      </c>
      <c r="AD35" s="242" t="b">
        <f t="shared" si="3"/>
        <v>0</v>
      </c>
      <c r="AE35" s="154"/>
      <c r="AF35" s="242" t="str">
        <f t="shared" si="4"/>
        <v>#ERROR!</v>
      </c>
      <c r="AG35" s="154" t="s">
        <v>652</v>
      </c>
      <c r="AH35" s="242" t="str">
        <f>IF(AG35="","N/A",INDIRECT("MTR!"&amp;ADDRESS(MATCH(LEFT(AG35,9),[1]MTR!C:C,0),COLUMN(J35)),TRUE) &amp; "")</f>
        <v>#ERROR!</v>
      </c>
      <c r="AI35" s="157" t="str">
        <f t="shared" si="5"/>
        <v>#ERROR!</v>
      </c>
    </row>
    <row r="36" ht="12.75" customHeight="1">
      <c r="A36" s="244" t="s">
        <v>5158</v>
      </c>
      <c r="B36" s="244" t="s">
        <v>231</v>
      </c>
      <c r="C36" s="244" t="s">
        <v>6860</v>
      </c>
      <c r="D36" s="154" t="s">
        <v>747</v>
      </c>
      <c r="E36" s="154"/>
      <c r="F36" s="154" t="str">
        <f t="array" ref="F36">XLOOKUP(Cover!$D$12,$R$1:$Z$1,$R36:$Z36)</f>
        <v>Mandatory</v>
      </c>
      <c r="G36" s="154" t="s">
        <v>6861</v>
      </c>
      <c r="H36" s="154" t="s">
        <v>6779</v>
      </c>
      <c r="I36" s="154" t="s">
        <v>6857</v>
      </c>
      <c r="J36" s="154" t="s">
        <v>6858</v>
      </c>
      <c r="K36" s="154" t="s">
        <v>6768</v>
      </c>
      <c r="L36" s="154" t="s">
        <v>6140</v>
      </c>
      <c r="M36" s="154" t="s">
        <v>1122</v>
      </c>
      <c r="N36" s="154" t="s">
        <v>759</v>
      </c>
      <c r="O36" s="247" t="s">
        <v>445</v>
      </c>
      <c r="P36" s="247" t="s">
        <v>89</v>
      </c>
      <c r="Q36" s="154" t="str">
        <f t="shared" si="1"/>
        <v>#ERROR!</v>
      </c>
      <c r="R36" s="154" t="s">
        <v>66</v>
      </c>
      <c r="S36" s="154" t="s">
        <v>66</v>
      </c>
      <c r="T36" s="154" t="s">
        <v>60</v>
      </c>
      <c r="U36" s="154" t="s">
        <v>60</v>
      </c>
      <c r="V36" s="154" t="s">
        <v>60</v>
      </c>
      <c r="W36" s="154" t="s">
        <v>60</v>
      </c>
      <c r="X36" s="154" t="s">
        <v>66</v>
      </c>
      <c r="Y36" s="154" t="s">
        <v>60</v>
      </c>
      <c r="Z36" s="154" t="s">
        <v>60</v>
      </c>
      <c r="AA36" s="154"/>
      <c r="AB36" s="242" t="str">
        <f t="shared" si="2"/>
        <v>#ERROR!</v>
      </c>
      <c r="AC36" s="154" t="s">
        <v>391</v>
      </c>
      <c r="AD36" s="242" t="b">
        <f t="shared" si="3"/>
        <v>0</v>
      </c>
      <c r="AE36" s="154"/>
      <c r="AF36" s="242" t="str">
        <f t="shared" si="4"/>
        <v>#ERROR!</v>
      </c>
      <c r="AG36" s="154" t="s">
        <v>652</v>
      </c>
      <c r="AH36" s="242" t="str">
        <f>IF(AG36="","N/A",INDIRECT("MTR!"&amp;ADDRESS(MATCH(LEFT(AG36,9),[1]MTR!C:C,0),COLUMN(J36)),TRUE) &amp; "")</f>
        <v>#ERROR!</v>
      </c>
      <c r="AI36" s="157" t="str">
        <f t="shared" si="5"/>
        <v>#ERROR!</v>
      </c>
    </row>
    <row r="37" ht="12.75" customHeight="1">
      <c r="A37" s="244" t="s">
        <v>5158</v>
      </c>
      <c r="B37" s="244" t="s">
        <v>231</v>
      </c>
      <c r="C37" s="244" t="s">
        <v>6862</v>
      </c>
      <c r="D37" s="154" t="s">
        <v>781</v>
      </c>
      <c r="E37" s="154"/>
      <c r="F37" s="154" t="str">
        <f t="array" ref="F37">XLOOKUP(Cover!$D$12,$R$1:$Z$1,$R37:$Z37)</f>
        <v>Mandatory</v>
      </c>
      <c r="G37" s="154" t="s">
        <v>6863</v>
      </c>
      <c r="H37" s="154" t="s">
        <v>6775</v>
      </c>
      <c r="I37" s="154" t="s">
        <v>6864</v>
      </c>
      <c r="J37" s="154" t="s">
        <v>6865</v>
      </c>
      <c r="K37" s="154" t="s">
        <v>6768</v>
      </c>
      <c r="L37" s="154" t="s">
        <v>6140</v>
      </c>
      <c r="M37" s="154" t="s">
        <v>1122</v>
      </c>
      <c r="N37" s="154" t="s">
        <v>759</v>
      </c>
      <c r="O37" s="247" t="s">
        <v>516</v>
      </c>
      <c r="P37" s="247" t="s">
        <v>6866</v>
      </c>
      <c r="Q37" s="154" t="str">
        <f t="shared" si="1"/>
        <v>#ERROR!</v>
      </c>
      <c r="R37" s="154" t="s">
        <v>66</v>
      </c>
      <c r="S37" s="154" t="s">
        <v>66</v>
      </c>
      <c r="T37" s="154" t="s">
        <v>60</v>
      </c>
      <c r="U37" s="154" t="s">
        <v>60</v>
      </c>
      <c r="V37" s="154" t="s">
        <v>60</v>
      </c>
      <c r="W37" s="154" t="s">
        <v>60</v>
      </c>
      <c r="X37" s="154" t="s">
        <v>66</v>
      </c>
      <c r="Y37" s="154" t="s">
        <v>60</v>
      </c>
      <c r="Z37" s="154" t="s">
        <v>60</v>
      </c>
      <c r="AA37" s="154"/>
      <c r="AB37" s="242" t="str">
        <f t="shared" si="2"/>
        <v>#ERROR!</v>
      </c>
      <c r="AC37" s="154" t="s">
        <v>391</v>
      </c>
      <c r="AD37" s="242" t="b">
        <f t="shared" si="3"/>
        <v>0</v>
      </c>
      <c r="AE37" s="154"/>
      <c r="AF37" s="242" t="str">
        <f t="shared" si="4"/>
        <v>#ERROR!</v>
      </c>
      <c r="AG37" s="154" t="s">
        <v>652</v>
      </c>
      <c r="AH37" s="242" t="str">
        <f>IF(AG37="","N/A",INDIRECT("MTR!"&amp;ADDRESS(MATCH(LEFT(AG37,9),[1]MTR!C:C,0),COLUMN(J37)),TRUE) &amp; "")</f>
        <v>#ERROR!</v>
      </c>
      <c r="AI37" s="157" t="str">
        <f t="shared" si="5"/>
        <v>#ERROR!</v>
      </c>
    </row>
    <row r="38" ht="12.75" customHeight="1">
      <c r="A38" s="244" t="s">
        <v>5158</v>
      </c>
      <c r="B38" s="244" t="s">
        <v>231</v>
      </c>
      <c r="C38" s="244" t="s">
        <v>6867</v>
      </c>
      <c r="D38" s="154" t="s">
        <v>781</v>
      </c>
      <c r="E38" s="154"/>
      <c r="F38" s="154" t="str">
        <f t="array" ref="F38">XLOOKUP(Cover!$D$12,$R$1:$Z$1,$R38:$Z38)</f>
        <v>Mandatory</v>
      </c>
      <c r="G38" s="154" t="s">
        <v>6868</v>
      </c>
      <c r="H38" s="154" t="s">
        <v>6782</v>
      </c>
      <c r="I38" s="154" t="s">
        <v>6864</v>
      </c>
      <c r="J38" s="154" t="s">
        <v>6865</v>
      </c>
      <c r="K38" s="154" t="s">
        <v>6768</v>
      </c>
      <c r="L38" s="154" t="s">
        <v>6140</v>
      </c>
      <c r="M38" s="154" t="s">
        <v>1122</v>
      </c>
      <c r="N38" s="154" t="s">
        <v>759</v>
      </c>
      <c r="O38" s="247" t="s">
        <v>445</v>
      </c>
      <c r="P38" s="247" t="s">
        <v>89</v>
      </c>
      <c r="Q38" s="154" t="str">
        <f t="shared" si="1"/>
        <v>#ERROR!</v>
      </c>
      <c r="R38" s="154" t="s">
        <v>66</v>
      </c>
      <c r="S38" s="154" t="s">
        <v>66</v>
      </c>
      <c r="T38" s="154" t="s">
        <v>60</v>
      </c>
      <c r="U38" s="154" t="s">
        <v>60</v>
      </c>
      <c r="V38" s="154" t="s">
        <v>60</v>
      </c>
      <c r="W38" s="154" t="s">
        <v>60</v>
      </c>
      <c r="X38" s="154" t="s">
        <v>66</v>
      </c>
      <c r="Y38" s="154" t="s">
        <v>60</v>
      </c>
      <c r="Z38" s="154" t="s">
        <v>60</v>
      </c>
      <c r="AA38" s="154"/>
      <c r="AB38" s="242" t="str">
        <f t="shared" si="2"/>
        <v>#ERROR!</v>
      </c>
      <c r="AC38" s="154" t="s">
        <v>391</v>
      </c>
      <c r="AD38" s="242" t="b">
        <f t="shared" si="3"/>
        <v>0</v>
      </c>
      <c r="AE38" s="154"/>
      <c r="AF38" s="242" t="str">
        <f t="shared" si="4"/>
        <v>#ERROR!</v>
      </c>
      <c r="AG38" s="154" t="s">
        <v>652</v>
      </c>
      <c r="AH38" s="242" t="str">
        <f>IF(AG38="","N/A",INDIRECT("MTR!"&amp;ADDRESS(MATCH(LEFT(AG38,9),[1]MTR!C:C,0),COLUMN(J38)),TRUE) &amp; "")</f>
        <v>#ERROR!</v>
      </c>
      <c r="AI38" s="157" t="str">
        <f t="shared" si="5"/>
        <v>#ERROR!</v>
      </c>
    </row>
    <row r="39" ht="12.75" customHeight="1">
      <c r="A39" s="244" t="s">
        <v>5158</v>
      </c>
      <c r="B39" s="244" t="s">
        <v>231</v>
      </c>
      <c r="C39" s="244" t="s">
        <v>6869</v>
      </c>
      <c r="D39" s="154" t="s">
        <v>861</v>
      </c>
      <c r="E39" s="154"/>
      <c r="F39" s="154" t="str">
        <f t="array" ref="F39">XLOOKUP(Cover!$D$12,$R$1:$Z$1,$R39:$Z39)</f>
        <v>Recommended</v>
      </c>
      <c r="G39" s="154" t="s">
        <v>6870</v>
      </c>
      <c r="H39" s="154" t="s">
        <v>6775</v>
      </c>
      <c r="I39" s="154" t="s">
        <v>6871</v>
      </c>
      <c r="J39" s="154" t="s">
        <v>6872</v>
      </c>
      <c r="K39" s="154" t="s">
        <v>6768</v>
      </c>
      <c r="L39" s="154" t="s">
        <v>6428</v>
      </c>
      <c r="M39" s="154"/>
      <c r="N39" s="154" t="s">
        <v>759</v>
      </c>
      <c r="O39" s="247" t="s">
        <v>516</v>
      </c>
      <c r="P39" s="247" t="s">
        <v>6873</v>
      </c>
      <c r="Q39" s="154" t="str">
        <f t="shared" si="1"/>
        <v>#ERROR!</v>
      </c>
      <c r="R39" s="154" t="s">
        <v>66</v>
      </c>
      <c r="S39" s="154" t="s">
        <v>66</v>
      </c>
      <c r="T39" s="154" t="s">
        <v>64</v>
      </c>
      <c r="U39" s="154" t="s">
        <v>64</v>
      </c>
      <c r="V39" s="154" t="s">
        <v>64</v>
      </c>
      <c r="W39" s="154" t="s">
        <v>64</v>
      </c>
      <c r="X39" s="154" t="s">
        <v>66</v>
      </c>
      <c r="Y39" s="154" t="s">
        <v>64</v>
      </c>
      <c r="Z39" s="154" t="s">
        <v>64</v>
      </c>
      <c r="AA39" s="154"/>
      <c r="AB39" s="242" t="str">
        <f t="shared" si="2"/>
        <v>#ERROR!</v>
      </c>
      <c r="AC39" s="154" t="s">
        <v>391</v>
      </c>
      <c r="AD39" s="242" t="b">
        <f t="shared" si="3"/>
        <v>0</v>
      </c>
      <c r="AE39" s="154"/>
      <c r="AF39" s="242" t="str">
        <f t="shared" si="4"/>
        <v>#ERROR!</v>
      </c>
      <c r="AG39" s="154" t="s">
        <v>652</v>
      </c>
      <c r="AH39" s="242" t="str">
        <f>IF(AG39="","N/A",INDIRECT("MTR!"&amp;ADDRESS(MATCH(LEFT(AG39,9),[1]MTR!C:C,0),COLUMN(J39)),TRUE) &amp; "")</f>
        <v>#ERROR!</v>
      </c>
      <c r="AI39" s="157" t="str">
        <f t="shared" si="5"/>
        <v>#ERROR!</v>
      </c>
    </row>
    <row r="40" ht="12.75" customHeight="1">
      <c r="A40" s="244" t="s">
        <v>5158</v>
      </c>
      <c r="B40" s="244" t="s">
        <v>231</v>
      </c>
      <c r="C40" s="244" t="s">
        <v>6874</v>
      </c>
      <c r="D40" s="154" t="s">
        <v>861</v>
      </c>
      <c r="E40" s="154"/>
      <c r="F40" s="154" t="str">
        <f t="array" ref="F40">XLOOKUP(Cover!$D$12,$R$1:$Z$1,$R40:$Z40)</f>
        <v>Mandatory</v>
      </c>
      <c r="G40" s="154" t="s">
        <v>6875</v>
      </c>
      <c r="H40" s="154" t="s">
        <v>6785</v>
      </c>
      <c r="I40" s="154" t="s">
        <v>6871</v>
      </c>
      <c r="J40" s="154" t="s">
        <v>6872</v>
      </c>
      <c r="K40" s="154" t="s">
        <v>6768</v>
      </c>
      <c r="L40" s="154" t="s">
        <v>6428</v>
      </c>
      <c r="M40" s="154" t="s">
        <v>1122</v>
      </c>
      <c r="N40" s="154" t="s">
        <v>759</v>
      </c>
      <c r="O40" s="247" t="s">
        <v>445</v>
      </c>
      <c r="P40" s="247" t="s">
        <v>89</v>
      </c>
      <c r="Q40" s="154" t="str">
        <f t="shared" si="1"/>
        <v>#ERROR!</v>
      </c>
      <c r="R40" s="154" t="s">
        <v>66</v>
      </c>
      <c r="S40" s="154" t="s">
        <v>66</v>
      </c>
      <c r="T40" s="154" t="s">
        <v>60</v>
      </c>
      <c r="U40" s="154" t="s">
        <v>60</v>
      </c>
      <c r="V40" s="154" t="s">
        <v>60</v>
      </c>
      <c r="W40" s="154" t="s">
        <v>60</v>
      </c>
      <c r="X40" s="154" t="s">
        <v>66</v>
      </c>
      <c r="Y40" s="154" t="s">
        <v>60</v>
      </c>
      <c r="Z40" s="154" t="s">
        <v>60</v>
      </c>
      <c r="AA40" s="154"/>
      <c r="AB40" s="242" t="str">
        <f t="shared" si="2"/>
        <v>#ERROR!</v>
      </c>
      <c r="AC40" s="154" t="s">
        <v>391</v>
      </c>
      <c r="AD40" s="242" t="b">
        <f t="shared" si="3"/>
        <v>0</v>
      </c>
      <c r="AE40" s="154"/>
      <c r="AF40" s="242" t="str">
        <f t="shared" si="4"/>
        <v>#ERROR!</v>
      </c>
      <c r="AG40" s="154" t="s">
        <v>652</v>
      </c>
      <c r="AH40" s="242" t="str">
        <f>IF(AG40="","N/A",INDIRECT("MTR!"&amp;ADDRESS(MATCH(LEFT(AG40,9),[1]MTR!C:C,0),COLUMN(J40)),TRUE) &amp; "")</f>
        <v>#ERROR!</v>
      </c>
      <c r="AI40" s="157" t="str">
        <f t="shared" si="5"/>
        <v>#ERROR!</v>
      </c>
    </row>
    <row r="41" ht="12.75" customHeight="1">
      <c r="A41" s="244" t="s">
        <v>5158</v>
      </c>
      <c r="B41" s="244" t="s">
        <v>231</v>
      </c>
      <c r="C41" s="244" t="s">
        <v>6876</v>
      </c>
      <c r="D41" s="154" t="s">
        <v>861</v>
      </c>
      <c r="E41" s="154"/>
      <c r="F41" s="154" t="str">
        <f t="array" ref="F41">XLOOKUP(Cover!$D$12,$R$1:$Z$1,$R41:$Z41)</f>
        <v>Mandatory</v>
      </c>
      <c r="G41" s="154" t="s">
        <v>6877</v>
      </c>
      <c r="H41" s="154" t="s">
        <v>6775</v>
      </c>
      <c r="I41" s="154" t="s">
        <v>6878</v>
      </c>
      <c r="J41" s="154" t="s">
        <v>6879</v>
      </c>
      <c r="K41" s="154" t="s">
        <v>6768</v>
      </c>
      <c r="L41" s="154" t="s">
        <v>6428</v>
      </c>
      <c r="M41" s="154" t="s">
        <v>1122</v>
      </c>
      <c r="N41" s="154" t="s">
        <v>759</v>
      </c>
      <c r="O41" s="247" t="s">
        <v>516</v>
      </c>
      <c r="P41" s="247" t="s">
        <v>6776</v>
      </c>
      <c r="Q41" s="154" t="str">
        <f t="shared" si="1"/>
        <v>#ERROR!</v>
      </c>
      <c r="R41" s="154" t="s">
        <v>66</v>
      </c>
      <c r="S41" s="154" t="s">
        <v>66</v>
      </c>
      <c r="T41" s="154" t="s">
        <v>60</v>
      </c>
      <c r="U41" s="154" t="s">
        <v>60</v>
      </c>
      <c r="V41" s="154" t="s">
        <v>60</v>
      </c>
      <c r="W41" s="154" t="s">
        <v>60</v>
      </c>
      <c r="X41" s="154" t="s">
        <v>66</v>
      </c>
      <c r="Y41" s="154" t="s">
        <v>60</v>
      </c>
      <c r="Z41" s="154" t="s">
        <v>60</v>
      </c>
      <c r="AA41" s="154"/>
      <c r="AB41" s="242" t="str">
        <f t="shared" si="2"/>
        <v>#ERROR!</v>
      </c>
      <c r="AC41" s="154" t="s">
        <v>391</v>
      </c>
      <c r="AD41" s="242" t="b">
        <f t="shared" si="3"/>
        <v>0</v>
      </c>
      <c r="AE41" s="154"/>
      <c r="AF41" s="242" t="str">
        <f t="shared" si="4"/>
        <v>#ERROR!</v>
      </c>
      <c r="AG41" s="154" t="s">
        <v>652</v>
      </c>
      <c r="AH41" s="242" t="str">
        <f>IF(AG41="","N/A",INDIRECT("MTR!"&amp;ADDRESS(MATCH(LEFT(AG41,9),[1]MTR!C:C,0),COLUMN(J41)),TRUE) &amp; "")</f>
        <v>#ERROR!</v>
      </c>
      <c r="AI41" s="157" t="str">
        <f t="shared" si="5"/>
        <v>#ERROR!</v>
      </c>
    </row>
    <row r="42" ht="12.75" customHeight="1">
      <c r="A42" s="244" t="s">
        <v>5158</v>
      </c>
      <c r="B42" s="244" t="s">
        <v>231</v>
      </c>
      <c r="C42" s="244" t="s">
        <v>6880</v>
      </c>
      <c r="D42" s="154" t="s">
        <v>1315</v>
      </c>
      <c r="E42" s="154"/>
      <c r="F42" s="154" t="str">
        <f t="array" ref="F42">XLOOKUP(Cover!$D$12,$R$1:$Z$1,$R42:$Z42)</f>
        <v>Recommended</v>
      </c>
      <c r="G42" s="154" t="s">
        <v>6881</v>
      </c>
      <c r="H42" s="154" t="s">
        <v>6779</v>
      </c>
      <c r="I42" s="154" t="s">
        <v>6882</v>
      </c>
      <c r="J42" s="154" t="s">
        <v>6883</v>
      </c>
      <c r="K42" s="154" t="s">
        <v>6768</v>
      </c>
      <c r="L42" s="154" t="s">
        <v>6884</v>
      </c>
      <c r="M42" s="154"/>
      <c r="N42" s="154" t="s">
        <v>759</v>
      </c>
      <c r="O42" s="247" t="s">
        <v>516</v>
      </c>
      <c r="P42" s="247" t="s">
        <v>6776</v>
      </c>
      <c r="Q42" s="154" t="str">
        <f t="shared" si="1"/>
        <v>#ERROR!</v>
      </c>
      <c r="R42" s="154" t="s">
        <v>66</v>
      </c>
      <c r="S42" s="154" t="s">
        <v>66</v>
      </c>
      <c r="T42" s="154" t="s">
        <v>64</v>
      </c>
      <c r="U42" s="154" t="s">
        <v>64</v>
      </c>
      <c r="V42" s="154" t="s">
        <v>64</v>
      </c>
      <c r="W42" s="154" t="s">
        <v>64</v>
      </c>
      <c r="X42" s="154" t="s">
        <v>66</v>
      </c>
      <c r="Y42" s="154" t="s">
        <v>64</v>
      </c>
      <c r="Z42" s="154" t="s">
        <v>64</v>
      </c>
      <c r="AA42" s="154"/>
      <c r="AB42" s="242" t="str">
        <f t="shared" si="2"/>
        <v>#ERROR!</v>
      </c>
      <c r="AC42" s="154" t="s">
        <v>391</v>
      </c>
      <c r="AD42" s="242" t="b">
        <f t="shared" si="3"/>
        <v>0</v>
      </c>
      <c r="AE42" s="154"/>
      <c r="AF42" s="242" t="str">
        <f t="shared" si="4"/>
        <v>#ERROR!</v>
      </c>
      <c r="AG42" s="154" t="s">
        <v>652</v>
      </c>
      <c r="AH42" s="242" t="str">
        <f>IF(AG42="","N/A",INDIRECT("MTR!"&amp;ADDRESS(MATCH(LEFT(AG42,9),[1]MTR!C:C,0),COLUMN(J42)),TRUE) &amp; "")</f>
        <v>#ERROR!</v>
      </c>
      <c r="AI42" s="157" t="str">
        <f t="shared" si="5"/>
        <v>#ERROR!</v>
      </c>
    </row>
    <row r="43" ht="12.75" customHeight="1">
      <c r="A43" s="244" t="s">
        <v>5158</v>
      </c>
      <c r="B43" s="244" t="s">
        <v>231</v>
      </c>
      <c r="C43" s="244" t="s">
        <v>6885</v>
      </c>
      <c r="D43" s="154" t="s">
        <v>1315</v>
      </c>
      <c r="E43" s="154"/>
      <c r="F43" s="154" t="str">
        <f t="array" ref="F43">XLOOKUP(Cover!$D$12,$R$1:$Z$1,$R43:$Z43)</f>
        <v>Recommended</v>
      </c>
      <c r="G43" s="154" t="s">
        <v>6886</v>
      </c>
      <c r="H43" s="154" t="s">
        <v>6782</v>
      </c>
      <c r="I43" s="154" t="s">
        <v>6882</v>
      </c>
      <c r="J43" s="154" t="s">
        <v>6883</v>
      </c>
      <c r="K43" s="154" t="s">
        <v>6768</v>
      </c>
      <c r="L43" s="154" t="s">
        <v>6884</v>
      </c>
      <c r="M43" s="154"/>
      <c r="N43" s="154" t="s">
        <v>759</v>
      </c>
      <c r="O43" s="247" t="s">
        <v>516</v>
      </c>
      <c r="P43" s="247" t="s">
        <v>6776</v>
      </c>
      <c r="Q43" s="154" t="str">
        <f t="shared" si="1"/>
        <v>#ERROR!</v>
      </c>
      <c r="R43" s="154" t="s">
        <v>66</v>
      </c>
      <c r="S43" s="154" t="s">
        <v>66</v>
      </c>
      <c r="T43" s="154" t="s">
        <v>64</v>
      </c>
      <c r="U43" s="154" t="s">
        <v>64</v>
      </c>
      <c r="V43" s="154" t="s">
        <v>64</v>
      </c>
      <c r="W43" s="154" t="s">
        <v>64</v>
      </c>
      <c r="X43" s="154" t="s">
        <v>66</v>
      </c>
      <c r="Y43" s="154" t="s">
        <v>64</v>
      </c>
      <c r="Z43" s="154" t="s">
        <v>64</v>
      </c>
      <c r="AA43" s="154"/>
      <c r="AB43" s="242" t="str">
        <f t="shared" si="2"/>
        <v>#ERROR!</v>
      </c>
      <c r="AC43" s="154" t="s">
        <v>391</v>
      </c>
      <c r="AD43" s="242" t="b">
        <f t="shared" si="3"/>
        <v>0</v>
      </c>
      <c r="AE43" s="154"/>
      <c r="AF43" s="242" t="str">
        <f t="shared" si="4"/>
        <v>#ERROR!</v>
      </c>
      <c r="AG43" s="154" t="s">
        <v>652</v>
      </c>
      <c r="AH43" s="242" t="str">
        <f>IF(AG43="","N/A",INDIRECT("MTR!"&amp;ADDRESS(MATCH(LEFT(AG43,9),[1]MTR!C:C,0),COLUMN(J43)),TRUE) &amp; "")</f>
        <v>#ERROR!</v>
      </c>
      <c r="AI43" s="157" t="str">
        <f t="shared" si="5"/>
        <v>#ERROR!</v>
      </c>
    </row>
    <row r="44" ht="12.75" customHeight="1">
      <c r="A44" s="244" t="s">
        <v>5158</v>
      </c>
      <c r="B44" s="244" t="s">
        <v>231</v>
      </c>
      <c r="C44" s="244" t="s">
        <v>6887</v>
      </c>
      <c r="D44" s="154" t="s">
        <v>1315</v>
      </c>
      <c r="E44" s="154"/>
      <c r="F44" s="154" t="str">
        <f t="array" ref="F44">XLOOKUP(Cover!$D$12,$R$1:$Z$1,$R44:$Z44)</f>
        <v>Mandatory</v>
      </c>
      <c r="G44" s="154" t="s">
        <v>6888</v>
      </c>
      <c r="H44" s="154" t="s">
        <v>6779</v>
      </c>
      <c r="I44" s="154" t="s">
        <v>6889</v>
      </c>
      <c r="J44" s="154" t="s">
        <v>6890</v>
      </c>
      <c r="K44" s="154" t="s">
        <v>6768</v>
      </c>
      <c r="L44" s="154" t="s">
        <v>6022</v>
      </c>
      <c r="M44" s="154" t="s">
        <v>1122</v>
      </c>
      <c r="N44" s="154" t="s">
        <v>759</v>
      </c>
      <c r="O44" s="247" t="s">
        <v>445</v>
      </c>
      <c r="P44" s="247" t="s">
        <v>6772</v>
      </c>
      <c r="Q44" s="154" t="str">
        <f t="shared" si="1"/>
        <v>#ERROR!</v>
      </c>
      <c r="R44" s="154" t="s">
        <v>66</v>
      </c>
      <c r="S44" s="154" t="s">
        <v>66</v>
      </c>
      <c r="T44" s="154" t="s">
        <v>60</v>
      </c>
      <c r="U44" s="154" t="s">
        <v>60</v>
      </c>
      <c r="V44" s="154" t="s">
        <v>60</v>
      </c>
      <c r="W44" s="154" t="s">
        <v>60</v>
      </c>
      <c r="X44" s="154" t="s">
        <v>66</v>
      </c>
      <c r="Y44" s="154" t="s">
        <v>60</v>
      </c>
      <c r="Z44" s="154" t="s">
        <v>60</v>
      </c>
      <c r="AA44" s="154"/>
      <c r="AB44" s="242" t="str">
        <f t="shared" si="2"/>
        <v>#ERROR!</v>
      </c>
      <c r="AC44" s="154" t="s">
        <v>391</v>
      </c>
      <c r="AD44" s="242" t="b">
        <f t="shared" si="3"/>
        <v>0</v>
      </c>
      <c r="AE44" s="154"/>
      <c r="AF44" s="242" t="str">
        <f t="shared" si="4"/>
        <v>#ERROR!</v>
      </c>
      <c r="AG44" s="154" t="s">
        <v>652</v>
      </c>
      <c r="AH44" s="242" t="str">
        <f>IF(AG44="","N/A",INDIRECT("MTR!"&amp;ADDRESS(MATCH(LEFT(AG44,9),[1]MTR!C:C,0),COLUMN(J44)),TRUE) &amp; "")</f>
        <v>#ERROR!</v>
      </c>
      <c r="AI44" s="157" t="str">
        <f t="shared" si="5"/>
        <v>#ERROR!</v>
      </c>
    </row>
    <row r="45" ht="12.75" customHeight="1">
      <c r="A45" s="244" t="s">
        <v>5158</v>
      </c>
      <c r="B45" s="244" t="s">
        <v>231</v>
      </c>
      <c r="C45" s="245" t="s">
        <v>6891</v>
      </c>
      <c r="D45" s="155" t="s">
        <v>1315</v>
      </c>
      <c r="E45" s="155" t="s">
        <v>92</v>
      </c>
      <c r="F45" s="154" t="str">
        <f t="array" ref="F45">XLOOKUP(Cover!$D$12,$R$1:$Z$1,$R45:$Z45)</f>
        <v>Recommended</v>
      </c>
      <c r="G45" s="154" t="s">
        <v>6892</v>
      </c>
      <c r="H45" s="154" t="s">
        <v>6782</v>
      </c>
      <c r="I45" s="154" t="s">
        <v>6893</v>
      </c>
      <c r="J45" s="154" t="s">
        <v>6894</v>
      </c>
      <c r="K45" s="154" t="s">
        <v>6768</v>
      </c>
      <c r="L45" s="154" t="s">
        <v>6884</v>
      </c>
      <c r="M45" s="154"/>
      <c r="N45" s="154" t="s">
        <v>759</v>
      </c>
      <c r="O45" s="247" t="s">
        <v>445</v>
      </c>
      <c r="P45" s="247" t="s">
        <v>6772</v>
      </c>
      <c r="Q45" s="154" t="str">
        <f t="shared" si="1"/>
        <v>#ERROR!</v>
      </c>
      <c r="R45" s="154" t="s">
        <v>66</v>
      </c>
      <c r="S45" s="154" t="s">
        <v>66</v>
      </c>
      <c r="T45" s="154" t="s">
        <v>64</v>
      </c>
      <c r="U45" s="154" t="s">
        <v>64</v>
      </c>
      <c r="V45" s="154" t="s">
        <v>64</v>
      </c>
      <c r="W45" s="154" t="s">
        <v>64</v>
      </c>
      <c r="X45" s="154" t="s">
        <v>66</v>
      </c>
      <c r="Y45" s="154" t="s">
        <v>64</v>
      </c>
      <c r="Z45" s="154" t="s">
        <v>64</v>
      </c>
      <c r="AA45" s="154"/>
      <c r="AB45" s="242" t="str">
        <f t="shared" si="2"/>
        <v>#ERROR!</v>
      </c>
      <c r="AC45" s="154" t="s">
        <v>391</v>
      </c>
      <c r="AD45" s="242" t="b">
        <f t="shared" si="3"/>
        <v>0</v>
      </c>
      <c r="AE45" s="154"/>
      <c r="AF45" s="242" t="str">
        <f t="shared" si="4"/>
        <v>#ERROR!</v>
      </c>
      <c r="AG45" s="154" t="s">
        <v>652</v>
      </c>
      <c r="AH45" s="242" t="str">
        <f>IF(AG45="","N/A",INDIRECT("MTR!"&amp;ADDRESS(MATCH(LEFT(AG45,9),[1]MTR!C:C,0),COLUMN(J45)),TRUE) &amp; "")</f>
        <v>#ERROR!</v>
      </c>
      <c r="AI45" s="157" t="str">
        <f t="shared" si="5"/>
        <v>#ERROR!</v>
      </c>
    </row>
    <row r="46" ht="12.75" customHeight="1">
      <c r="A46" s="244" t="s">
        <v>5158</v>
      </c>
      <c r="B46" s="244" t="s">
        <v>231</v>
      </c>
      <c r="C46" s="245" t="s">
        <v>6895</v>
      </c>
      <c r="D46" s="155" t="s">
        <v>1315</v>
      </c>
      <c r="E46" s="155" t="s">
        <v>92</v>
      </c>
      <c r="F46" s="154" t="str">
        <f t="array" ref="F46">XLOOKUP(Cover!$D$12,$R$1:$Z$1,$R46:$Z46)</f>
        <v>Recommended</v>
      </c>
      <c r="G46" s="154" t="s">
        <v>6896</v>
      </c>
      <c r="H46" s="154" t="s">
        <v>6785</v>
      </c>
      <c r="I46" s="154" t="s">
        <v>6893</v>
      </c>
      <c r="J46" s="154" t="s">
        <v>6894</v>
      </c>
      <c r="K46" s="154" t="s">
        <v>6768</v>
      </c>
      <c r="L46" s="154" t="s">
        <v>6884</v>
      </c>
      <c r="M46" s="154"/>
      <c r="N46" s="154" t="s">
        <v>759</v>
      </c>
      <c r="O46" s="247" t="s">
        <v>445</v>
      </c>
      <c r="P46" s="247" t="s">
        <v>6772</v>
      </c>
      <c r="Q46" s="154" t="str">
        <f t="shared" si="1"/>
        <v>#ERROR!</v>
      </c>
      <c r="R46" s="154" t="s">
        <v>66</v>
      </c>
      <c r="S46" s="154" t="s">
        <v>66</v>
      </c>
      <c r="T46" s="154" t="s">
        <v>64</v>
      </c>
      <c r="U46" s="154" t="s">
        <v>64</v>
      </c>
      <c r="V46" s="154" t="s">
        <v>64</v>
      </c>
      <c r="W46" s="154" t="s">
        <v>64</v>
      </c>
      <c r="X46" s="154" t="s">
        <v>66</v>
      </c>
      <c r="Y46" s="154" t="s">
        <v>64</v>
      </c>
      <c r="Z46" s="154" t="s">
        <v>64</v>
      </c>
      <c r="AA46" s="154"/>
      <c r="AB46" s="242" t="str">
        <f t="shared" si="2"/>
        <v>#ERROR!</v>
      </c>
      <c r="AC46" s="154" t="s">
        <v>391</v>
      </c>
      <c r="AD46" s="242" t="b">
        <f t="shared" si="3"/>
        <v>0</v>
      </c>
      <c r="AE46" s="154"/>
      <c r="AF46" s="242" t="str">
        <f t="shared" si="4"/>
        <v>#ERROR!</v>
      </c>
      <c r="AG46" s="154" t="s">
        <v>652</v>
      </c>
      <c r="AH46" s="242" t="str">
        <f>IF(AG46="","N/A",INDIRECT("MTR!"&amp;ADDRESS(MATCH(LEFT(AG46,9),[1]MTR!C:C,0),COLUMN(J46)),TRUE) &amp; "")</f>
        <v>#ERROR!</v>
      </c>
      <c r="AI46" s="157" t="str">
        <f t="shared" si="5"/>
        <v>#ERROR!</v>
      </c>
    </row>
    <row r="47" ht="12.75" customHeight="1">
      <c r="A47" s="244" t="s">
        <v>5158</v>
      </c>
      <c r="B47" s="244" t="s">
        <v>231</v>
      </c>
      <c r="C47" s="244" t="s">
        <v>6897</v>
      </c>
      <c r="D47" s="154" t="s">
        <v>861</v>
      </c>
      <c r="E47" s="154"/>
      <c r="F47" s="154" t="str">
        <f t="array" ref="F47">XLOOKUP(Cover!$D$12,$R$1:$Z$1,$R47:$Z47)</f>
        <v>Mandatory</v>
      </c>
      <c r="G47" s="154" t="s">
        <v>6898</v>
      </c>
      <c r="H47" s="154" t="s">
        <v>6782</v>
      </c>
      <c r="I47" s="154" t="s">
        <v>6899</v>
      </c>
      <c r="J47" s="154" t="s">
        <v>6900</v>
      </c>
      <c r="K47" s="154" t="s">
        <v>6768</v>
      </c>
      <c r="L47" s="154" t="s">
        <v>6428</v>
      </c>
      <c r="M47" s="154" t="s">
        <v>1122</v>
      </c>
      <c r="N47" s="154" t="s">
        <v>759</v>
      </c>
      <c r="O47" s="247" t="s">
        <v>445</v>
      </c>
      <c r="P47" s="247" t="s">
        <v>6772</v>
      </c>
      <c r="Q47" s="154" t="str">
        <f t="shared" si="1"/>
        <v>#ERROR!</v>
      </c>
      <c r="R47" s="154" t="s">
        <v>66</v>
      </c>
      <c r="S47" s="154" t="s">
        <v>66</v>
      </c>
      <c r="T47" s="154" t="s">
        <v>60</v>
      </c>
      <c r="U47" s="154" t="s">
        <v>60</v>
      </c>
      <c r="V47" s="154" t="s">
        <v>60</v>
      </c>
      <c r="W47" s="154" t="s">
        <v>60</v>
      </c>
      <c r="X47" s="154" t="s">
        <v>66</v>
      </c>
      <c r="Y47" s="154" t="s">
        <v>60</v>
      </c>
      <c r="Z47" s="154" t="s">
        <v>60</v>
      </c>
      <c r="AA47" s="154"/>
      <c r="AB47" s="242" t="str">
        <f t="shared" si="2"/>
        <v>#ERROR!</v>
      </c>
      <c r="AC47" s="154" t="s">
        <v>391</v>
      </c>
      <c r="AD47" s="242" t="b">
        <f t="shared" si="3"/>
        <v>0</v>
      </c>
      <c r="AE47" s="154"/>
      <c r="AF47" s="242" t="str">
        <f t="shared" si="4"/>
        <v>#ERROR!</v>
      </c>
      <c r="AG47" s="154" t="s">
        <v>652</v>
      </c>
      <c r="AH47" s="242" t="str">
        <f>IF(AG47="","N/A",INDIRECT("MTR!"&amp;ADDRESS(MATCH(LEFT(AG47,9),[1]MTR!C:C,0),COLUMN(J47)),TRUE) &amp; "")</f>
        <v>#ERROR!</v>
      </c>
      <c r="AI47" s="157" t="str">
        <f t="shared" si="5"/>
        <v>#ERROR!</v>
      </c>
    </row>
    <row r="48" ht="12.75" customHeight="1">
      <c r="A48" s="244" t="s">
        <v>5158</v>
      </c>
      <c r="B48" s="244" t="s">
        <v>231</v>
      </c>
      <c r="C48" s="244" t="s">
        <v>6901</v>
      </c>
      <c r="D48" s="154" t="s">
        <v>1315</v>
      </c>
      <c r="E48" s="154"/>
      <c r="F48" s="154" t="str">
        <f t="array" ref="F48">XLOOKUP(Cover!$D$12,$R$1:$Z$1,$R48:$Z48)</f>
        <v>Information</v>
      </c>
      <c r="G48" s="154" t="s">
        <v>6902</v>
      </c>
      <c r="H48" s="154" t="s">
        <v>6785</v>
      </c>
      <c r="I48" s="154" t="s">
        <v>6903</v>
      </c>
      <c r="J48" s="154" t="s">
        <v>6904</v>
      </c>
      <c r="K48" s="154" t="s">
        <v>6768</v>
      </c>
      <c r="L48" s="154" t="s">
        <v>6905</v>
      </c>
      <c r="M48" s="154"/>
      <c r="N48" s="154" t="s">
        <v>759</v>
      </c>
      <c r="O48" s="247" t="s">
        <v>445</v>
      </c>
      <c r="P48" s="247" t="s">
        <v>6772</v>
      </c>
      <c r="Q48" s="154" t="str">
        <f t="shared" si="1"/>
        <v>#ERROR!</v>
      </c>
      <c r="R48" s="154" t="s">
        <v>66</v>
      </c>
      <c r="S48" s="154" t="s">
        <v>66</v>
      </c>
      <c r="T48" s="154" t="s">
        <v>66</v>
      </c>
      <c r="U48" s="154" t="s">
        <v>66</v>
      </c>
      <c r="V48" s="154" t="s">
        <v>66</v>
      </c>
      <c r="W48" s="154" t="s">
        <v>66</v>
      </c>
      <c r="X48" s="154" t="s">
        <v>66</v>
      </c>
      <c r="Y48" s="154" t="s">
        <v>66</v>
      </c>
      <c r="Z48" s="154" t="s">
        <v>66</v>
      </c>
      <c r="AA48" s="154"/>
      <c r="AB48" s="242" t="str">
        <f t="shared" si="2"/>
        <v>#ERROR!</v>
      </c>
      <c r="AC48" s="154" t="s">
        <v>391</v>
      </c>
      <c r="AD48" s="242" t="b">
        <f t="shared" si="3"/>
        <v>0</v>
      </c>
      <c r="AE48" s="154"/>
      <c r="AF48" s="242" t="str">
        <f t="shared" si="4"/>
        <v>#ERROR!</v>
      </c>
      <c r="AG48" s="154" t="s">
        <v>652</v>
      </c>
      <c r="AH48" s="242" t="str">
        <f>IF(AG48="","N/A",INDIRECT("MTR!"&amp;ADDRESS(MATCH(LEFT(AG48,9),[1]MTR!C:C,0),COLUMN(J48)),TRUE) &amp; "")</f>
        <v>#ERROR!</v>
      </c>
      <c r="AI48" s="157" t="str">
        <f t="shared" si="5"/>
        <v>#ERROR!</v>
      </c>
    </row>
    <row r="49" ht="12.75" customHeight="1">
      <c r="A49" s="238" t="s">
        <v>5158</v>
      </c>
      <c r="B49" s="238" t="s">
        <v>231</v>
      </c>
      <c r="C49" s="238" t="s">
        <v>6906</v>
      </c>
      <c r="D49" s="240"/>
      <c r="E49" s="240" t="s">
        <v>92</v>
      </c>
      <c r="F49" s="240" t="str">
        <f t="array" ref="F49">XLOOKUP(Cover!$D$12,$R$1:$Z$1,$R49:$Z49)</f>
        <v>Heading</v>
      </c>
      <c r="G49" s="239" t="s">
        <v>6907</v>
      </c>
      <c r="H49" s="240"/>
      <c r="I49" s="240"/>
      <c r="J49" s="240"/>
      <c r="K49" s="240"/>
      <c r="L49" s="240"/>
      <c r="M49" s="240"/>
      <c r="N49" s="240" t="s">
        <v>759</v>
      </c>
      <c r="O49" s="240"/>
      <c r="P49" s="240"/>
      <c r="Q49" s="240" t="str">
        <f t="shared" si="1"/>
        <v/>
      </c>
      <c r="R49" s="240" t="s">
        <v>390</v>
      </c>
      <c r="S49" s="240" t="s">
        <v>390</v>
      </c>
      <c r="T49" s="240" t="s">
        <v>390</v>
      </c>
      <c r="U49" s="240" t="s">
        <v>390</v>
      </c>
      <c r="V49" s="240" t="s">
        <v>390</v>
      </c>
      <c r="W49" s="240" t="s">
        <v>390</v>
      </c>
      <c r="X49" s="240" t="s">
        <v>390</v>
      </c>
      <c r="Y49" s="240" t="s">
        <v>390</v>
      </c>
      <c r="Z49" s="240" t="s">
        <v>390</v>
      </c>
      <c r="AA49" s="240"/>
      <c r="AB49" s="242" t="str">
        <f t="shared" si="2"/>
        <v>#ERROR!</v>
      </c>
      <c r="AC49" s="240" t="s">
        <v>391</v>
      </c>
      <c r="AD49" s="242" t="b">
        <f t="shared" si="3"/>
        <v>0</v>
      </c>
      <c r="AE49" s="240"/>
      <c r="AF49" s="242" t="str">
        <f t="shared" si="4"/>
        <v>#ERROR!</v>
      </c>
      <c r="AG49" s="240"/>
      <c r="AH49" s="242" t="str">
        <f>IF(AG49="","N/A",INDIRECT("MTR!"&amp;ADDRESS(MATCH(LEFT(AG49,9),[1]MTR!C:C,0),COLUMN(J49)),TRUE) &amp; "")</f>
        <v>#ERROR!</v>
      </c>
      <c r="AI49" s="157" t="str">
        <f t="shared" si="5"/>
        <v/>
      </c>
    </row>
    <row r="50" ht="12.75" customHeight="1">
      <c r="A50" s="244" t="s">
        <v>5158</v>
      </c>
      <c r="B50" s="244" t="s">
        <v>231</v>
      </c>
      <c r="C50" s="244" t="s">
        <v>6908</v>
      </c>
      <c r="D50" s="154" t="s">
        <v>503</v>
      </c>
      <c r="E50" s="154"/>
      <c r="F50" s="154" t="str">
        <f t="array" ref="F50">XLOOKUP(Cover!$D$12,$R$1:$Z$1,$R50:$Z50)</f>
        <v>Information</v>
      </c>
      <c r="G50" s="154" t="s">
        <v>6909</v>
      </c>
      <c r="H50" s="154" t="s">
        <v>6767</v>
      </c>
      <c r="I50" s="154" t="s">
        <v>6910</v>
      </c>
      <c r="J50" s="154" t="s">
        <v>6911</v>
      </c>
      <c r="K50" s="154" t="s">
        <v>6768</v>
      </c>
      <c r="L50" s="154" t="s">
        <v>6463</v>
      </c>
      <c r="M50" s="154"/>
      <c r="N50" s="154" t="s">
        <v>759</v>
      </c>
      <c r="O50" s="247" t="s">
        <v>516</v>
      </c>
      <c r="P50" s="247" t="s">
        <v>6776</v>
      </c>
      <c r="Q50" s="154" t="str">
        <f t="shared" si="1"/>
        <v>#ERROR!</v>
      </c>
      <c r="R50" s="154" t="s">
        <v>66</v>
      </c>
      <c r="S50" s="154" t="s">
        <v>66</v>
      </c>
      <c r="T50" s="154" t="s">
        <v>66</v>
      </c>
      <c r="U50" s="154" t="s">
        <v>66</v>
      </c>
      <c r="V50" s="154" t="s">
        <v>66</v>
      </c>
      <c r="W50" s="154" t="s">
        <v>66</v>
      </c>
      <c r="X50" s="154" t="s">
        <v>66</v>
      </c>
      <c r="Y50" s="154" t="s">
        <v>66</v>
      </c>
      <c r="Z50" s="154" t="s">
        <v>66</v>
      </c>
      <c r="AA50" s="154"/>
      <c r="AB50" s="242" t="str">
        <f t="shared" si="2"/>
        <v>#ERROR!</v>
      </c>
      <c r="AC50" s="154" t="s">
        <v>391</v>
      </c>
      <c r="AD50" s="242" t="b">
        <f t="shared" si="3"/>
        <v>0</v>
      </c>
      <c r="AE50" s="154"/>
      <c r="AF50" s="242" t="str">
        <f t="shared" si="4"/>
        <v>#ERROR!</v>
      </c>
      <c r="AG50" s="154" t="s">
        <v>652</v>
      </c>
      <c r="AH50" s="242" t="str">
        <f>IF(AG50="","N/A",INDIRECT("MTR!"&amp;ADDRESS(MATCH(LEFT(AG50,9),[1]MTR!C:C,0),COLUMN(J50)),TRUE) &amp; "")</f>
        <v>#ERROR!</v>
      </c>
      <c r="AI50" s="157" t="str">
        <f t="shared" si="5"/>
        <v>#ERROR!</v>
      </c>
    </row>
    <row r="51" ht="12.75" customHeight="1">
      <c r="A51" s="244" t="s">
        <v>5158</v>
      </c>
      <c r="B51" s="244" t="s">
        <v>231</v>
      </c>
      <c r="C51" s="244" t="s">
        <v>6912</v>
      </c>
      <c r="D51" s="154" t="s">
        <v>503</v>
      </c>
      <c r="E51" s="154"/>
      <c r="F51" s="154" t="str">
        <f t="array" ref="F51">XLOOKUP(Cover!$D$12,$R$1:$Z$1,$R51:$Z51)</f>
        <v>Information</v>
      </c>
      <c r="G51" s="154" t="s">
        <v>6913</v>
      </c>
      <c r="H51" s="154" t="s">
        <v>6771</v>
      </c>
      <c r="I51" s="154" t="s">
        <v>6910</v>
      </c>
      <c r="J51" s="154" t="s">
        <v>6911</v>
      </c>
      <c r="K51" s="154" t="s">
        <v>6768</v>
      </c>
      <c r="L51" s="154" t="s">
        <v>6463</v>
      </c>
      <c r="M51" s="154"/>
      <c r="N51" s="154" t="s">
        <v>759</v>
      </c>
      <c r="O51" s="247" t="s">
        <v>516</v>
      </c>
      <c r="P51" s="247" t="s">
        <v>6776</v>
      </c>
      <c r="Q51" s="154" t="str">
        <f t="shared" si="1"/>
        <v>#ERROR!</v>
      </c>
      <c r="R51" s="154" t="s">
        <v>66</v>
      </c>
      <c r="S51" s="154" t="s">
        <v>66</v>
      </c>
      <c r="T51" s="154" t="s">
        <v>66</v>
      </c>
      <c r="U51" s="154" t="s">
        <v>66</v>
      </c>
      <c r="V51" s="154" t="s">
        <v>66</v>
      </c>
      <c r="W51" s="154" t="s">
        <v>66</v>
      </c>
      <c r="X51" s="154" t="s">
        <v>66</v>
      </c>
      <c r="Y51" s="154" t="s">
        <v>66</v>
      </c>
      <c r="Z51" s="154" t="s">
        <v>66</v>
      </c>
      <c r="AA51" s="154"/>
      <c r="AB51" s="242" t="str">
        <f t="shared" si="2"/>
        <v>#ERROR!</v>
      </c>
      <c r="AC51" s="154" t="s">
        <v>391</v>
      </c>
      <c r="AD51" s="242" t="b">
        <f t="shared" si="3"/>
        <v>0</v>
      </c>
      <c r="AE51" s="154"/>
      <c r="AF51" s="242" t="str">
        <f t="shared" si="4"/>
        <v>#ERROR!</v>
      </c>
      <c r="AG51" s="154" t="s">
        <v>652</v>
      </c>
      <c r="AH51" s="242" t="str">
        <f>IF(AG51="","N/A",INDIRECT("MTR!"&amp;ADDRESS(MATCH(LEFT(AG51,9),[1]MTR!C:C,0),COLUMN(J51)),TRUE) &amp; "")</f>
        <v>#ERROR!</v>
      </c>
      <c r="AI51" s="157" t="str">
        <f t="shared" si="5"/>
        <v>#ERROR!</v>
      </c>
    </row>
    <row r="52" ht="12.75" customHeight="1">
      <c r="A52" s="244" t="s">
        <v>5158</v>
      </c>
      <c r="B52" s="244" t="s">
        <v>231</v>
      </c>
      <c r="C52" s="244" t="s">
        <v>6914</v>
      </c>
      <c r="D52" s="154" t="s">
        <v>503</v>
      </c>
      <c r="E52" s="154"/>
      <c r="F52" s="154" t="str">
        <f t="array" ref="F52">XLOOKUP(Cover!$D$12,$R$1:$Z$1,$R52:$Z52)</f>
        <v>Information</v>
      </c>
      <c r="G52" s="154" t="s">
        <v>6915</v>
      </c>
      <c r="H52" s="154" t="s">
        <v>6775</v>
      </c>
      <c r="I52" s="154" t="s">
        <v>6910</v>
      </c>
      <c r="J52" s="154" t="s">
        <v>6911</v>
      </c>
      <c r="K52" s="154" t="s">
        <v>6768</v>
      </c>
      <c r="L52" s="154" t="s">
        <v>6463</v>
      </c>
      <c r="M52" s="154"/>
      <c r="N52" s="154" t="s">
        <v>759</v>
      </c>
      <c r="O52" s="247" t="s">
        <v>516</v>
      </c>
      <c r="P52" s="247" t="s">
        <v>6776</v>
      </c>
      <c r="Q52" s="154" t="str">
        <f t="shared" si="1"/>
        <v>#ERROR!</v>
      </c>
      <c r="R52" s="154" t="s">
        <v>66</v>
      </c>
      <c r="S52" s="154" t="s">
        <v>66</v>
      </c>
      <c r="T52" s="154" t="s">
        <v>66</v>
      </c>
      <c r="U52" s="154" t="s">
        <v>66</v>
      </c>
      <c r="V52" s="154" t="s">
        <v>66</v>
      </c>
      <c r="W52" s="154" t="s">
        <v>66</v>
      </c>
      <c r="X52" s="154" t="s">
        <v>66</v>
      </c>
      <c r="Y52" s="154" t="s">
        <v>66</v>
      </c>
      <c r="Z52" s="154" t="s">
        <v>66</v>
      </c>
      <c r="AA52" s="154"/>
      <c r="AB52" s="242" t="str">
        <f t="shared" si="2"/>
        <v>#ERROR!</v>
      </c>
      <c r="AC52" s="154" t="s">
        <v>391</v>
      </c>
      <c r="AD52" s="242" t="b">
        <f t="shared" si="3"/>
        <v>0</v>
      </c>
      <c r="AE52" s="154"/>
      <c r="AF52" s="242" t="str">
        <f t="shared" si="4"/>
        <v>#ERROR!</v>
      </c>
      <c r="AG52" s="154" t="s">
        <v>652</v>
      </c>
      <c r="AH52" s="242" t="str">
        <f>IF(AG52="","N/A",INDIRECT("MTR!"&amp;ADDRESS(MATCH(LEFT(AG52,9),[1]MTR!C:C,0),COLUMN(J52)),TRUE) &amp; "")</f>
        <v>#ERROR!</v>
      </c>
      <c r="AI52" s="157" t="str">
        <f t="shared" si="5"/>
        <v>#ERROR!</v>
      </c>
    </row>
    <row r="53" ht="12.75" customHeight="1">
      <c r="A53" s="244" t="s">
        <v>5158</v>
      </c>
      <c r="B53" s="244" t="s">
        <v>231</v>
      </c>
      <c r="C53" s="244" t="s">
        <v>6916</v>
      </c>
      <c r="D53" s="154" t="s">
        <v>503</v>
      </c>
      <c r="E53" s="154"/>
      <c r="F53" s="154" t="str">
        <f t="array" ref="F53">XLOOKUP(Cover!$D$12,$R$1:$Z$1,$R53:$Z53)</f>
        <v>Information</v>
      </c>
      <c r="G53" s="154" t="s">
        <v>6917</v>
      </c>
      <c r="H53" s="154" t="s">
        <v>6767</v>
      </c>
      <c r="I53" s="154" t="s">
        <v>6918</v>
      </c>
      <c r="J53" s="154" t="s">
        <v>6919</v>
      </c>
      <c r="K53" s="154" t="s">
        <v>6768</v>
      </c>
      <c r="L53" s="154" t="s">
        <v>6463</v>
      </c>
      <c r="M53" s="154"/>
      <c r="N53" s="154" t="s">
        <v>759</v>
      </c>
      <c r="O53" s="247" t="s">
        <v>516</v>
      </c>
      <c r="P53" s="247" t="s">
        <v>6776</v>
      </c>
      <c r="Q53" s="154" t="str">
        <f t="shared" si="1"/>
        <v>#ERROR!</v>
      </c>
      <c r="R53" s="154" t="s">
        <v>66</v>
      </c>
      <c r="S53" s="154" t="s">
        <v>66</v>
      </c>
      <c r="T53" s="154" t="s">
        <v>66</v>
      </c>
      <c r="U53" s="154" t="s">
        <v>66</v>
      </c>
      <c r="V53" s="154" t="s">
        <v>66</v>
      </c>
      <c r="W53" s="154" t="s">
        <v>66</v>
      </c>
      <c r="X53" s="154" t="s">
        <v>66</v>
      </c>
      <c r="Y53" s="154" t="s">
        <v>66</v>
      </c>
      <c r="Z53" s="154" t="s">
        <v>66</v>
      </c>
      <c r="AA53" s="154"/>
      <c r="AB53" s="242" t="str">
        <f t="shared" si="2"/>
        <v>#ERROR!</v>
      </c>
      <c r="AC53" s="154" t="s">
        <v>391</v>
      </c>
      <c r="AD53" s="242" t="b">
        <f t="shared" si="3"/>
        <v>0</v>
      </c>
      <c r="AE53" s="154"/>
      <c r="AF53" s="242" t="str">
        <f t="shared" si="4"/>
        <v>#ERROR!</v>
      </c>
      <c r="AG53" s="154" t="s">
        <v>652</v>
      </c>
      <c r="AH53" s="242" t="str">
        <f>IF(AG53="","N/A",INDIRECT("MTR!"&amp;ADDRESS(MATCH(LEFT(AG53,9),[1]MTR!C:C,0),COLUMN(J53)),TRUE) &amp; "")</f>
        <v>#ERROR!</v>
      </c>
      <c r="AI53" s="157" t="str">
        <f t="shared" si="5"/>
        <v>#ERROR!</v>
      </c>
    </row>
    <row r="54" ht="12.75" customHeight="1">
      <c r="A54" s="244" t="s">
        <v>5158</v>
      </c>
      <c r="B54" s="244" t="s">
        <v>231</v>
      </c>
      <c r="C54" s="244" t="s">
        <v>6920</v>
      </c>
      <c r="D54" s="154" t="s">
        <v>503</v>
      </c>
      <c r="E54" s="154"/>
      <c r="F54" s="154" t="str">
        <f t="array" ref="F54">XLOOKUP(Cover!$D$12,$R$1:$Z$1,$R54:$Z54)</f>
        <v>Information</v>
      </c>
      <c r="G54" s="154" t="s">
        <v>6921</v>
      </c>
      <c r="H54" s="154" t="s">
        <v>6771</v>
      </c>
      <c r="I54" s="154" t="s">
        <v>6918</v>
      </c>
      <c r="J54" s="154" t="s">
        <v>6919</v>
      </c>
      <c r="K54" s="154" t="s">
        <v>6768</v>
      </c>
      <c r="L54" s="154" t="s">
        <v>6463</v>
      </c>
      <c r="M54" s="154"/>
      <c r="N54" s="154" t="s">
        <v>759</v>
      </c>
      <c r="O54" s="247" t="s">
        <v>516</v>
      </c>
      <c r="P54" s="247" t="s">
        <v>6776</v>
      </c>
      <c r="Q54" s="154" t="str">
        <f t="shared" si="1"/>
        <v>#ERROR!</v>
      </c>
      <c r="R54" s="154" t="s">
        <v>66</v>
      </c>
      <c r="S54" s="154" t="s">
        <v>66</v>
      </c>
      <c r="T54" s="154" t="s">
        <v>66</v>
      </c>
      <c r="U54" s="154" t="s">
        <v>66</v>
      </c>
      <c r="V54" s="154" t="s">
        <v>66</v>
      </c>
      <c r="W54" s="154" t="s">
        <v>66</v>
      </c>
      <c r="X54" s="154" t="s">
        <v>66</v>
      </c>
      <c r="Y54" s="154" t="s">
        <v>66</v>
      </c>
      <c r="Z54" s="154" t="s">
        <v>66</v>
      </c>
      <c r="AA54" s="154"/>
      <c r="AB54" s="242" t="str">
        <f t="shared" si="2"/>
        <v>#ERROR!</v>
      </c>
      <c r="AC54" s="154" t="s">
        <v>391</v>
      </c>
      <c r="AD54" s="242" t="b">
        <f t="shared" si="3"/>
        <v>0</v>
      </c>
      <c r="AE54" s="154"/>
      <c r="AF54" s="242" t="str">
        <f t="shared" si="4"/>
        <v>#ERROR!</v>
      </c>
      <c r="AG54" s="154" t="s">
        <v>652</v>
      </c>
      <c r="AH54" s="242" t="str">
        <f>IF(AG54="","N/A",INDIRECT("MTR!"&amp;ADDRESS(MATCH(LEFT(AG54,9),[1]MTR!C:C,0),COLUMN(J54)),TRUE) &amp; "")</f>
        <v>#ERROR!</v>
      </c>
      <c r="AI54" s="157" t="str">
        <f t="shared" si="5"/>
        <v>#ERROR!</v>
      </c>
    </row>
    <row r="55" ht="12.75" customHeight="1">
      <c r="A55" s="244" t="s">
        <v>5158</v>
      </c>
      <c r="B55" s="244" t="s">
        <v>231</v>
      </c>
      <c r="C55" s="244" t="s">
        <v>6922</v>
      </c>
      <c r="D55" s="154" t="s">
        <v>503</v>
      </c>
      <c r="E55" s="154"/>
      <c r="F55" s="154" t="str">
        <f t="array" ref="F55">XLOOKUP(Cover!$D$12,$R$1:$Z$1,$R55:$Z55)</f>
        <v>Information</v>
      </c>
      <c r="G55" s="154" t="s">
        <v>6923</v>
      </c>
      <c r="H55" s="154" t="s">
        <v>6782</v>
      </c>
      <c r="I55" s="154" t="s">
        <v>6918</v>
      </c>
      <c r="J55" s="154" t="s">
        <v>6919</v>
      </c>
      <c r="K55" s="154" t="s">
        <v>6768</v>
      </c>
      <c r="L55" s="154" t="s">
        <v>6463</v>
      </c>
      <c r="M55" s="154"/>
      <c r="N55" s="154" t="s">
        <v>759</v>
      </c>
      <c r="O55" s="247" t="s">
        <v>516</v>
      </c>
      <c r="P55" s="247" t="s">
        <v>6776</v>
      </c>
      <c r="Q55" s="154" t="str">
        <f t="shared" si="1"/>
        <v>#ERROR!</v>
      </c>
      <c r="R55" s="154" t="s">
        <v>66</v>
      </c>
      <c r="S55" s="154" t="s">
        <v>66</v>
      </c>
      <c r="T55" s="154" t="s">
        <v>66</v>
      </c>
      <c r="U55" s="154" t="s">
        <v>66</v>
      </c>
      <c r="V55" s="154" t="s">
        <v>66</v>
      </c>
      <c r="W55" s="154" t="s">
        <v>66</v>
      </c>
      <c r="X55" s="154" t="s">
        <v>66</v>
      </c>
      <c r="Y55" s="154" t="s">
        <v>66</v>
      </c>
      <c r="Z55" s="154" t="s">
        <v>66</v>
      </c>
      <c r="AA55" s="154"/>
      <c r="AB55" s="242" t="str">
        <f t="shared" si="2"/>
        <v>#ERROR!</v>
      </c>
      <c r="AC55" s="154" t="s">
        <v>391</v>
      </c>
      <c r="AD55" s="242" t="b">
        <f t="shared" si="3"/>
        <v>0</v>
      </c>
      <c r="AE55" s="154"/>
      <c r="AF55" s="242" t="str">
        <f t="shared" si="4"/>
        <v>#ERROR!</v>
      </c>
      <c r="AG55" s="154" t="s">
        <v>652</v>
      </c>
      <c r="AH55" s="242" t="str">
        <f>IF(AG55="","N/A",INDIRECT("MTR!"&amp;ADDRESS(MATCH(LEFT(AG55,9),[1]MTR!C:C,0),COLUMN(J55)),TRUE) &amp; "")</f>
        <v>#ERROR!</v>
      </c>
      <c r="AI55" s="157" t="str">
        <f t="shared" si="5"/>
        <v>#ERROR!</v>
      </c>
    </row>
    <row r="56" ht="12.75" customHeight="1">
      <c r="A56" s="244" t="s">
        <v>5158</v>
      </c>
      <c r="B56" s="244" t="s">
        <v>231</v>
      </c>
      <c r="C56" s="244" t="s">
        <v>6924</v>
      </c>
      <c r="D56" s="154" t="s">
        <v>747</v>
      </c>
      <c r="E56" s="154"/>
      <c r="F56" s="154" t="str">
        <f t="array" ref="F56">XLOOKUP(Cover!$D$12,$R$1:$Z$1,$R56:$Z56)</f>
        <v>Mandatory</v>
      </c>
      <c r="G56" s="154" t="s">
        <v>6925</v>
      </c>
      <c r="H56" s="154" t="s">
        <v>6771</v>
      </c>
      <c r="I56" s="154" t="s">
        <v>6926</v>
      </c>
      <c r="J56" s="154" t="s">
        <v>6927</v>
      </c>
      <c r="K56" s="154" t="s">
        <v>6768</v>
      </c>
      <c r="L56" s="154" t="s">
        <v>6525</v>
      </c>
      <c r="M56" s="154" t="s">
        <v>1018</v>
      </c>
      <c r="N56" s="154" t="s">
        <v>759</v>
      </c>
      <c r="O56" s="247" t="s">
        <v>445</v>
      </c>
      <c r="P56" s="247" t="s">
        <v>89</v>
      </c>
      <c r="Q56" s="154" t="str">
        <f t="shared" si="1"/>
        <v>#ERROR!</v>
      </c>
      <c r="R56" s="154" t="s">
        <v>66</v>
      </c>
      <c r="S56" s="154" t="s">
        <v>66</v>
      </c>
      <c r="T56" s="154" t="s">
        <v>66</v>
      </c>
      <c r="U56" s="154" t="s">
        <v>66</v>
      </c>
      <c r="V56" s="154" t="s">
        <v>60</v>
      </c>
      <c r="W56" s="154" t="s">
        <v>60</v>
      </c>
      <c r="X56" s="154" t="s">
        <v>66</v>
      </c>
      <c r="Y56" s="154" t="s">
        <v>66</v>
      </c>
      <c r="Z56" s="154" t="s">
        <v>60</v>
      </c>
      <c r="AA56" s="154"/>
      <c r="AB56" s="242" t="str">
        <f t="shared" si="2"/>
        <v>#ERROR!</v>
      </c>
      <c r="AC56" s="154" t="s">
        <v>391</v>
      </c>
      <c r="AD56" s="242" t="b">
        <f t="shared" si="3"/>
        <v>0</v>
      </c>
      <c r="AE56" s="154"/>
      <c r="AF56" s="242" t="str">
        <f t="shared" si="4"/>
        <v>#ERROR!</v>
      </c>
      <c r="AG56" s="154" t="s">
        <v>652</v>
      </c>
      <c r="AH56" s="242" t="str">
        <f>IF(AG56="","N/A",INDIRECT("MTR!"&amp;ADDRESS(MATCH(LEFT(AG56,9),[1]MTR!C:C,0),COLUMN(J56)),TRUE) &amp; "")</f>
        <v>#ERROR!</v>
      </c>
      <c r="AI56" s="157" t="str">
        <f t="shared" si="5"/>
        <v>#ERROR!</v>
      </c>
    </row>
    <row r="57" ht="12.75" customHeight="1">
      <c r="A57" s="244" t="s">
        <v>5158</v>
      </c>
      <c r="B57" s="244" t="s">
        <v>231</v>
      </c>
      <c r="C57" s="244" t="s">
        <v>6928</v>
      </c>
      <c r="D57" s="154" t="s">
        <v>747</v>
      </c>
      <c r="E57" s="154"/>
      <c r="F57" s="154" t="str">
        <f t="array" ref="F57">XLOOKUP(Cover!$D$12,$R$1:$Z$1,$R57:$Z57)</f>
        <v>Mandatory</v>
      </c>
      <c r="G57" s="154" t="s">
        <v>6929</v>
      </c>
      <c r="H57" s="154" t="s">
        <v>6808</v>
      </c>
      <c r="I57" s="154" t="s">
        <v>6926</v>
      </c>
      <c r="J57" s="154" t="s">
        <v>6927</v>
      </c>
      <c r="K57" s="154" t="s">
        <v>6768</v>
      </c>
      <c r="L57" s="154" t="s">
        <v>6525</v>
      </c>
      <c r="M57" s="154" t="s">
        <v>1018</v>
      </c>
      <c r="N57" s="154" t="s">
        <v>759</v>
      </c>
      <c r="O57" s="247" t="s">
        <v>516</v>
      </c>
      <c r="P57" s="247" t="s">
        <v>1575</v>
      </c>
      <c r="Q57" s="154" t="str">
        <f t="shared" si="1"/>
        <v>#ERROR!</v>
      </c>
      <c r="R57" s="154" t="s">
        <v>66</v>
      </c>
      <c r="S57" s="154" t="s">
        <v>66</v>
      </c>
      <c r="T57" s="154" t="s">
        <v>66</v>
      </c>
      <c r="U57" s="154" t="s">
        <v>66</v>
      </c>
      <c r="V57" s="154" t="s">
        <v>60</v>
      </c>
      <c r="W57" s="154" t="s">
        <v>60</v>
      </c>
      <c r="X57" s="154" t="s">
        <v>66</v>
      </c>
      <c r="Y57" s="154" t="s">
        <v>66</v>
      </c>
      <c r="Z57" s="154" t="s">
        <v>60</v>
      </c>
      <c r="AA57" s="154"/>
      <c r="AB57" s="242" t="str">
        <f t="shared" si="2"/>
        <v>#ERROR!</v>
      </c>
      <c r="AC57" s="154" t="s">
        <v>391</v>
      </c>
      <c r="AD57" s="242" t="b">
        <f t="shared" si="3"/>
        <v>0</v>
      </c>
      <c r="AE57" s="154"/>
      <c r="AF57" s="242" t="str">
        <f t="shared" si="4"/>
        <v>#ERROR!</v>
      </c>
      <c r="AG57" s="154" t="s">
        <v>652</v>
      </c>
      <c r="AH57" s="242" t="str">
        <f>IF(AG57="","N/A",INDIRECT("MTR!"&amp;ADDRESS(MATCH(LEFT(AG57,9),[1]MTR!C:C,0),COLUMN(J57)),TRUE) &amp; "")</f>
        <v>#ERROR!</v>
      </c>
      <c r="AI57" s="157" t="str">
        <f t="shared" si="5"/>
        <v>#ERROR!</v>
      </c>
    </row>
    <row r="58" ht="12.75" customHeight="1">
      <c r="A58" s="244" t="s">
        <v>5158</v>
      </c>
      <c r="B58" s="244" t="s">
        <v>231</v>
      </c>
      <c r="C58" s="244" t="s">
        <v>6930</v>
      </c>
      <c r="D58" s="154" t="s">
        <v>747</v>
      </c>
      <c r="E58" s="154"/>
      <c r="F58" s="154" t="str">
        <f t="array" ref="F58">XLOOKUP(Cover!$D$12,$R$1:$Z$1,$R58:$Z58)</f>
        <v>Mandatory</v>
      </c>
      <c r="G58" s="154" t="s">
        <v>6931</v>
      </c>
      <c r="H58" s="154" t="s">
        <v>6775</v>
      </c>
      <c r="I58" s="154" t="s">
        <v>6926</v>
      </c>
      <c r="J58" s="154" t="s">
        <v>6927</v>
      </c>
      <c r="K58" s="154" t="s">
        <v>6768</v>
      </c>
      <c r="L58" s="154" t="s">
        <v>6525</v>
      </c>
      <c r="M58" s="154" t="s">
        <v>1018</v>
      </c>
      <c r="N58" s="154" t="s">
        <v>759</v>
      </c>
      <c r="O58" s="247" t="s">
        <v>516</v>
      </c>
      <c r="P58" s="247" t="s">
        <v>6822</v>
      </c>
      <c r="Q58" s="154" t="str">
        <f t="shared" si="1"/>
        <v>#ERROR!</v>
      </c>
      <c r="R58" s="154" t="s">
        <v>66</v>
      </c>
      <c r="S58" s="154" t="s">
        <v>66</v>
      </c>
      <c r="T58" s="154" t="s">
        <v>66</v>
      </c>
      <c r="U58" s="154" t="s">
        <v>66</v>
      </c>
      <c r="V58" s="154" t="s">
        <v>60</v>
      </c>
      <c r="W58" s="154" t="s">
        <v>60</v>
      </c>
      <c r="X58" s="154" t="s">
        <v>66</v>
      </c>
      <c r="Y58" s="154" t="s">
        <v>66</v>
      </c>
      <c r="Z58" s="154" t="s">
        <v>60</v>
      </c>
      <c r="AA58" s="154"/>
      <c r="AB58" s="242" t="str">
        <f t="shared" si="2"/>
        <v>#ERROR!</v>
      </c>
      <c r="AC58" s="154" t="s">
        <v>391</v>
      </c>
      <c r="AD58" s="242" t="b">
        <f t="shared" si="3"/>
        <v>0</v>
      </c>
      <c r="AE58" s="154"/>
      <c r="AF58" s="242" t="str">
        <f t="shared" si="4"/>
        <v>#ERROR!</v>
      </c>
      <c r="AG58" s="154" t="s">
        <v>652</v>
      </c>
      <c r="AH58" s="242" t="str">
        <f>IF(AG58="","N/A",INDIRECT("MTR!"&amp;ADDRESS(MATCH(LEFT(AG58,9),[1]MTR!C:C,0),COLUMN(J58)),TRUE) &amp; "")</f>
        <v>#ERROR!</v>
      </c>
      <c r="AI58" s="157" t="str">
        <f t="shared" si="5"/>
        <v>#ERROR!</v>
      </c>
    </row>
    <row r="59" ht="12.75" customHeight="1">
      <c r="A59" s="244" t="s">
        <v>5158</v>
      </c>
      <c r="B59" s="244" t="s">
        <v>231</v>
      </c>
      <c r="C59" s="245" t="s">
        <v>6932</v>
      </c>
      <c r="D59" s="155" t="s">
        <v>747</v>
      </c>
      <c r="E59" s="155" t="s">
        <v>92</v>
      </c>
      <c r="F59" s="154" t="str">
        <f t="array" ref="F59">XLOOKUP(Cover!$D$12,$R$1:$Z$1,$R59:$Z59)</f>
        <v>Information</v>
      </c>
      <c r="G59" s="154" t="s">
        <v>6933</v>
      </c>
      <c r="H59" s="154" t="s">
        <v>6771</v>
      </c>
      <c r="I59" s="154" t="s">
        <v>6934</v>
      </c>
      <c r="J59" s="154" t="s">
        <v>6935</v>
      </c>
      <c r="K59" s="154" t="s">
        <v>6768</v>
      </c>
      <c r="L59" s="154" t="s">
        <v>6525</v>
      </c>
      <c r="M59" s="154"/>
      <c r="N59" s="154" t="s">
        <v>759</v>
      </c>
      <c r="O59" s="247" t="s">
        <v>445</v>
      </c>
      <c r="P59" s="247" t="s">
        <v>89</v>
      </c>
      <c r="Q59" s="154" t="str">
        <f t="shared" si="1"/>
        <v>#ERROR!</v>
      </c>
      <c r="R59" s="154" t="s">
        <v>66</v>
      </c>
      <c r="S59" s="154" t="s">
        <v>66</v>
      </c>
      <c r="T59" s="154" t="s">
        <v>66</v>
      </c>
      <c r="U59" s="154" t="s">
        <v>66</v>
      </c>
      <c r="V59" s="154" t="s">
        <v>66</v>
      </c>
      <c r="W59" s="154" t="s">
        <v>66</v>
      </c>
      <c r="X59" s="154" t="s">
        <v>66</v>
      </c>
      <c r="Y59" s="154" t="s">
        <v>66</v>
      </c>
      <c r="Z59" s="154" t="s">
        <v>66</v>
      </c>
      <c r="AA59" s="154"/>
      <c r="AB59" s="242" t="str">
        <f t="shared" si="2"/>
        <v>#ERROR!</v>
      </c>
      <c r="AC59" s="154" t="s">
        <v>391</v>
      </c>
      <c r="AD59" s="242" t="b">
        <f t="shared" si="3"/>
        <v>0</v>
      </c>
      <c r="AE59" s="154"/>
      <c r="AF59" s="242" t="str">
        <f t="shared" si="4"/>
        <v>#ERROR!</v>
      </c>
      <c r="AG59" s="154" t="s">
        <v>652</v>
      </c>
      <c r="AH59" s="242" t="str">
        <f>IF(AG59="","N/A",INDIRECT("MTR!"&amp;ADDRESS(MATCH(LEFT(AG59,9),[1]MTR!C:C,0),COLUMN(J59)),TRUE) &amp; "")</f>
        <v>#ERROR!</v>
      </c>
      <c r="AI59" s="157" t="str">
        <f t="shared" si="5"/>
        <v>#ERROR!</v>
      </c>
    </row>
    <row r="60" ht="12.75" customHeight="1">
      <c r="A60" s="244" t="s">
        <v>5158</v>
      </c>
      <c r="B60" s="244" t="s">
        <v>231</v>
      </c>
      <c r="C60" s="245" t="s">
        <v>6936</v>
      </c>
      <c r="D60" s="155" t="s">
        <v>747</v>
      </c>
      <c r="E60" s="155" t="s">
        <v>92</v>
      </c>
      <c r="F60" s="154" t="str">
        <f t="array" ref="F60">XLOOKUP(Cover!$D$12,$R$1:$Z$1,$R60:$Z60)</f>
        <v>Information</v>
      </c>
      <c r="G60" s="154" t="s">
        <v>6937</v>
      </c>
      <c r="H60" s="154" t="s">
        <v>6775</v>
      </c>
      <c r="I60" s="154" t="s">
        <v>6934</v>
      </c>
      <c r="J60" s="154" t="s">
        <v>6935</v>
      </c>
      <c r="K60" s="154" t="s">
        <v>6768</v>
      </c>
      <c r="L60" s="154" t="s">
        <v>6525</v>
      </c>
      <c r="M60" s="154"/>
      <c r="N60" s="154" t="s">
        <v>759</v>
      </c>
      <c r="O60" s="247" t="s">
        <v>516</v>
      </c>
      <c r="P60" s="247" t="s">
        <v>6822</v>
      </c>
      <c r="Q60" s="154" t="str">
        <f t="shared" si="1"/>
        <v>#ERROR!</v>
      </c>
      <c r="R60" s="154" t="s">
        <v>66</v>
      </c>
      <c r="S60" s="154" t="s">
        <v>66</v>
      </c>
      <c r="T60" s="154" t="s">
        <v>66</v>
      </c>
      <c r="U60" s="154" t="s">
        <v>66</v>
      </c>
      <c r="V60" s="154" t="s">
        <v>66</v>
      </c>
      <c r="W60" s="154" t="s">
        <v>66</v>
      </c>
      <c r="X60" s="154" t="s">
        <v>66</v>
      </c>
      <c r="Y60" s="154" t="s">
        <v>66</v>
      </c>
      <c r="Z60" s="154" t="s">
        <v>66</v>
      </c>
      <c r="AA60" s="154"/>
      <c r="AB60" s="242" t="str">
        <f t="shared" si="2"/>
        <v>#ERROR!</v>
      </c>
      <c r="AC60" s="154" t="s">
        <v>391</v>
      </c>
      <c r="AD60" s="242" t="b">
        <f t="shared" si="3"/>
        <v>0</v>
      </c>
      <c r="AE60" s="154"/>
      <c r="AF60" s="242" t="str">
        <f t="shared" si="4"/>
        <v>#ERROR!</v>
      </c>
      <c r="AG60" s="154" t="s">
        <v>652</v>
      </c>
      <c r="AH60" s="242" t="str">
        <f>IF(AG60="","N/A",INDIRECT("MTR!"&amp;ADDRESS(MATCH(LEFT(AG60,9),[1]MTR!C:C,0),COLUMN(J60)),TRUE) &amp; "")</f>
        <v>#ERROR!</v>
      </c>
      <c r="AI60" s="157" t="str">
        <f t="shared" si="5"/>
        <v>#ERROR!</v>
      </c>
    </row>
    <row r="61" ht="12.75" customHeight="1">
      <c r="A61" s="244" t="s">
        <v>5158</v>
      </c>
      <c r="B61" s="244" t="s">
        <v>231</v>
      </c>
      <c r="C61" s="244" t="s">
        <v>6938</v>
      </c>
      <c r="D61" s="154" t="s">
        <v>747</v>
      </c>
      <c r="E61" s="154"/>
      <c r="F61" s="154" t="str">
        <f t="array" ref="F61">XLOOKUP(Cover!$D$12,$R$1:$Z$1,$R61:$Z61)</f>
        <v>Mandatory</v>
      </c>
      <c r="G61" s="154" t="s">
        <v>6939</v>
      </c>
      <c r="H61" s="154" t="s">
        <v>6771</v>
      </c>
      <c r="I61" s="154" t="s">
        <v>6940</v>
      </c>
      <c r="J61" s="154" t="s">
        <v>6941</v>
      </c>
      <c r="K61" s="154" t="s">
        <v>6768</v>
      </c>
      <c r="L61" s="154" t="s">
        <v>6942</v>
      </c>
      <c r="M61" s="154" t="s">
        <v>1018</v>
      </c>
      <c r="N61" s="154" t="s">
        <v>759</v>
      </c>
      <c r="O61" s="247" t="s">
        <v>445</v>
      </c>
      <c r="P61" s="247" t="s">
        <v>6772</v>
      </c>
      <c r="Q61" s="154" t="str">
        <f t="shared" si="1"/>
        <v>#ERROR!</v>
      </c>
      <c r="R61" s="154" t="s">
        <v>66</v>
      </c>
      <c r="S61" s="154" t="s">
        <v>66</v>
      </c>
      <c r="T61" s="154" t="s">
        <v>66</v>
      </c>
      <c r="U61" s="154" t="s">
        <v>66</v>
      </c>
      <c r="V61" s="154" t="s">
        <v>60</v>
      </c>
      <c r="W61" s="154" t="s">
        <v>60</v>
      </c>
      <c r="X61" s="154" t="s">
        <v>66</v>
      </c>
      <c r="Y61" s="154" t="s">
        <v>66</v>
      </c>
      <c r="Z61" s="154" t="s">
        <v>60</v>
      </c>
      <c r="AA61" s="154"/>
      <c r="AB61" s="242" t="str">
        <f t="shared" si="2"/>
        <v>#ERROR!</v>
      </c>
      <c r="AC61" s="154" t="s">
        <v>391</v>
      </c>
      <c r="AD61" s="242" t="b">
        <f t="shared" si="3"/>
        <v>0</v>
      </c>
      <c r="AE61" s="154"/>
      <c r="AF61" s="242" t="str">
        <f t="shared" si="4"/>
        <v>#ERROR!</v>
      </c>
      <c r="AG61" s="154" t="s">
        <v>652</v>
      </c>
      <c r="AH61" s="242" t="str">
        <f>IF(AG61="","N/A",INDIRECT("MTR!"&amp;ADDRESS(MATCH(LEFT(AG61,9),[1]MTR!C:C,0),COLUMN(J61)),TRUE) &amp; "")</f>
        <v>#ERROR!</v>
      </c>
      <c r="AI61" s="157" t="str">
        <f t="shared" si="5"/>
        <v>#ERROR!</v>
      </c>
    </row>
    <row r="62" ht="12.75" customHeight="1">
      <c r="A62" s="244" t="s">
        <v>5158</v>
      </c>
      <c r="B62" s="244" t="s">
        <v>231</v>
      </c>
      <c r="C62" s="244" t="s">
        <v>6943</v>
      </c>
      <c r="D62" s="154" t="s">
        <v>747</v>
      </c>
      <c r="E62" s="154"/>
      <c r="F62" s="154" t="str">
        <f t="array" ref="F62">XLOOKUP(Cover!$D$12,$R$1:$Z$1,$R62:$Z62)</f>
        <v>Mandatory</v>
      </c>
      <c r="G62" s="154" t="s">
        <v>6944</v>
      </c>
      <c r="H62" s="154" t="s">
        <v>6808</v>
      </c>
      <c r="I62" s="154" t="s">
        <v>6940</v>
      </c>
      <c r="J62" s="154" t="s">
        <v>6941</v>
      </c>
      <c r="K62" s="154" t="s">
        <v>6768</v>
      </c>
      <c r="L62" s="154" t="s">
        <v>6942</v>
      </c>
      <c r="M62" s="154" t="s">
        <v>1018</v>
      </c>
      <c r="N62" s="154" t="s">
        <v>759</v>
      </c>
      <c r="O62" s="247" t="s">
        <v>516</v>
      </c>
      <c r="P62" s="247" t="s">
        <v>1575</v>
      </c>
      <c r="Q62" s="154" t="str">
        <f t="shared" si="1"/>
        <v>#ERROR!</v>
      </c>
      <c r="R62" s="154" t="s">
        <v>66</v>
      </c>
      <c r="S62" s="154" t="s">
        <v>66</v>
      </c>
      <c r="T62" s="154" t="s">
        <v>66</v>
      </c>
      <c r="U62" s="154" t="s">
        <v>66</v>
      </c>
      <c r="V62" s="154" t="s">
        <v>60</v>
      </c>
      <c r="W62" s="154" t="s">
        <v>60</v>
      </c>
      <c r="X62" s="154" t="s">
        <v>66</v>
      </c>
      <c r="Y62" s="154" t="s">
        <v>66</v>
      </c>
      <c r="Z62" s="154" t="s">
        <v>60</v>
      </c>
      <c r="AA62" s="154"/>
      <c r="AB62" s="242" t="str">
        <f t="shared" si="2"/>
        <v>#ERROR!</v>
      </c>
      <c r="AC62" s="154" t="s">
        <v>391</v>
      </c>
      <c r="AD62" s="242" t="b">
        <f t="shared" si="3"/>
        <v>0</v>
      </c>
      <c r="AE62" s="154"/>
      <c r="AF62" s="242" t="str">
        <f t="shared" si="4"/>
        <v>#ERROR!</v>
      </c>
      <c r="AG62" s="154" t="s">
        <v>652</v>
      </c>
      <c r="AH62" s="242" t="str">
        <f>IF(AG62="","N/A",INDIRECT("MTR!"&amp;ADDRESS(MATCH(LEFT(AG62,9),[1]MTR!C:C,0),COLUMN(J62)),TRUE) &amp; "")</f>
        <v>#ERROR!</v>
      </c>
      <c r="AI62" s="157" t="str">
        <f t="shared" si="5"/>
        <v>#ERROR!</v>
      </c>
    </row>
    <row r="63" ht="12.75" customHeight="1">
      <c r="A63" s="244" t="s">
        <v>5158</v>
      </c>
      <c r="B63" s="244" t="s">
        <v>231</v>
      </c>
      <c r="C63" s="244" t="s">
        <v>6945</v>
      </c>
      <c r="D63" s="154" t="s">
        <v>747</v>
      </c>
      <c r="E63" s="154"/>
      <c r="F63" s="154" t="str">
        <f t="array" ref="F63">XLOOKUP(Cover!$D$12,$R$1:$Z$1,$R63:$Z63)</f>
        <v>Mandatory</v>
      </c>
      <c r="G63" s="154" t="s">
        <v>6946</v>
      </c>
      <c r="H63" s="154" t="s">
        <v>6779</v>
      </c>
      <c r="I63" s="154" t="s">
        <v>6940</v>
      </c>
      <c r="J63" s="154" t="s">
        <v>6941</v>
      </c>
      <c r="K63" s="154" t="s">
        <v>6768</v>
      </c>
      <c r="L63" s="154" t="s">
        <v>6942</v>
      </c>
      <c r="M63" s="154" t="s">
        <v>1018</v>
      </c>
      <c r="N63" s="154" t="s">
        <v>759</v>
      </c>
      <c r="O63" s="247" t="s">
        <v>445</v>
      </c>
      <c r="P63" s="247" t="s">
        <v>6772</v>
      </c>
      <c r="Q63" s="154" t="str">
        <f t="shared" si="1"/>
        <v>#ERROR!</v>
      </c>
      <c r="R63" s="154" t="s">
        <v>66</v>
      </c>
      <c r="S63" s="154" t="s">
        <v>66</v>
      </c>
      <c r="T63" s="154" t="s">
        <v>66</v>
      </c>
      <c r="U63" s="154" t="s">
        <v>66</v>
      </c>
      <c r="V63" s="154" t="s">
        <v>60</v>
      </c>
      <c r="W63" s="154" t="s">
        <v>60</v>
      </c>
      <c r="X63" s="154" t="s">
        <v>66</v>
      </c>
      <c r="Y63" s="154" t="s">
        <v>66</v>
      </c>
      <c r="Z63" s="154" t="s">
        <v>60</v>
      </c>
      <c r="AA63" s="154"/>
      <c r="AB63" s="242" t="str">
        <f t="shared" si="2"/>
        <v>#ERROR!</v>
      </c>
      <c r="AC63" s="154" t="s">
        <v>391</v>
      </c>
      <c r="AD63" s="242" t="b">
        <f t="shared" si="3"/>
        <v>0</v>
      </c>
      <c r="AE63" s="154"/>
      <c r="AF63" s="242" t="str">
        <f t="shared" si="4"/>
        <v>#ERROR!</v>
      </c>
      <c r="AG63" s="154" t="s">
        <v>652</v>
      </c>
      <c r="AH63" s="242" t="str">
        <f>IF(AG63="","N/A",INDIRECT("MTR!"&amp;ADDRESS(MATCH(LEFT(AG63,9),[1]MTR!C:C,0),COLUMN(J63)),TRUE) &amp; "")</f>
        <v>#ERROR!</v>
      </c>
      <c r="AI63" s="157" t="str">
        <f t="shared" si="5"/>
        <v>#ERROR!</v>
      </c>
    </row>
    <row r="64" ht="12.75" customHeight="1">
      <c r="A64" s="244" t="s">
        <v>5158</v>
      </c>
      <c r="B64" s="244" t="s">
        <v>231</v>
      </c>
      <c r="C64" s="244" t="s">
        <v>6947</v>
      </c>
      <c r="D64" s="154" t="s">
        <v>781</v>
      </c>
      <c r="E64" s="154"/>
      <c r="F64" s="154" t="str">
        <f t="array" ref="F64">XLOOKUP(Cover!$D$12,$R$1:$Z$1,$R64:$Z64)</f>
        <v>Information</v>
      </c>
      <c r="G64" s="154" t="s">
        <v>6948</v>
      </c>
      <c r="H64" s="154" t="s">
        <v>6771</v>
      </c>
      <c r="I64" s="154" t="s">
        <v>6949</v>
      </c>
      <c r="J64" s="154" t="s">
        <v>6950</v>
      </c>
      <c r="K64" s="154" t="s">
        <v>6768</v>
      </c>
      <c r="L64" s="154" t="s">
        <v>6140</v>
      </c>
      <c r="M64" s="154"/>
      <c r="N64" s="154" t="s">
        <v>759</v>
      </c>
      <c r="O64" s="247" t="s">
        <v>445</v>
      </c>
      <c r="P64" s="247" t="s">
        <v>6772</v>
      </c>
      <c r="Q64" s="154" t="str">
        <f t="shared" si="1"/>
        <v>#ERROR!</v>
      </c>
      <c r="R64" s="154" t="s">
        <v>66</v>
      </c>
      <c r="S64" s="154" t="s">
        <v>66</v>
      </c>
      <c r="T64" s="154" t="s">
        <v>66</v>
      </c>
      <c r="U64" s="154" t="s">
        <v>66</v>
      </c>
      <c r="V64" s="154" t="s">
        <v>66</v>
      </c>
      <c r="W64" s="154" t="s">
        <v>66</v>
      </c>
      <c r="X64" s="154" t="s">
        <v>66</v>
      </c>
      <c r="Y64" s="154" t="s">
        <v>66</v>
      </c>
      <c r="Z64" s="154" t="s">
        <v>66</v>
      </c>
      <c r="AA64" s="154"/>
      <c r="AB64" s="242" t="str">
        <f t="shared" si="2"/>
        <v>#ERROR!</v>
      </c>
      <c r="AC64" s="154" t="s">
        <v>391</v>
      </c>
      <c r="AD64" s="242" t="b">
        <f t="shared" si="3"/>
        <v>0</v>
      </c>
      <c r="AE64" s="154"/>
      <c r="AF64" s="242" t="str">
        <f t="shared" si="4"/>
        <v>#ERROR!</v>
      </c>
      <c r="AG64" s="154" t="s">
        <v>652</v>
      </c>
      <c r="AH64" s="242" t="str">
        <f>IF(AG64="","N/A",INDIRECT("MTR!"&amp;ADDRESS(MATCH(LEFT(AG64,9),[1]MTR!C:C,0),COLUMN(J64)),TRUE) &amp; "")</f>
        <v>#ERROR!</v>
      </c>
      <c r="AI64" s="157" t="str">
        <f t="shared" si="5"/>
        <v>#ERROR!</v>
      </c>
    </row>
    <row r="65" ht="12.75" customHeight="1">
      <c r="A65" s="244" t="s">
        <v>5158</v>
      </c>
      <c r="B65" s="244" t="s">
        <v>231</v>
      </c>
      <c r="C65" s="244" t="s">
        <v>6951</v>
      </c>
      <c r="D65" s="154" t="s">
        <v>781</v>
      </c>
      <c r="E65" s="154"/>
      <c r="F65" s="154" t="str">
        <f t="array" ref="F65">XLOOKUP(Cover!$D$12,$R$1:$Z$1,$R65:$Z65)</f>
        <v>Information</v>
      </c>
      <c r="G65" s="154" t="s">
        <v>6952</v>
      </c>
      <c r="H65" s="154" t="s">
        <v>6779</v>
      </c>
      <c r="I65" s="154" t="s">
        <v>6949</v>
      </c>
      <c r="J65" s="154" t="s">
        <v>6950</v>
      </c>
      <c r="K65" s="154" t="s">
        <v>6768</v>
      </c>
      <c r="L65" s="154" t="s">
        <v>6140</v>
      </c>
      <c r="M65" s="154"/>
      <c r="N65" s="154" t="s">
        <v>759</v>
      </c>
      <c r="O65" s="247" t="s">
        <v>445</v>
      </c>
      <c r="P65" s="247" t="s">
        <v>6772</v>
      </c>
      <c r="Q65" s="154" t="str">
        <f t="shared" si="1"/>
        <v>#ERROR!</v>
      </c>
      <c r="R65" s="154" t="s">
        <v>66</v>
      </c>
      <c r="S65" s="154" t="s">
        <v>66</v>
      </c>
      <c r="T65" s="154" t="s">
        <v>66</v>
      </c>
      <c r="U65" s="154" t="s">
        <v>66</v>
      </c>
      <c r="V65" s="154" t="s">
        <v>66</v>
      </c>
      <c r="W65" s="154" t="s">
        <v>66</v>
      </c>
      <c r="X65" s="154" t="s">
        <v>66</v>
      </c>
      <c r="Y65" s="154" t="s">
        <v>66</v>
      </c>
      <c r="Z65" s="154" t="s">
        <v>66</v>
      </c>
      <c r="AA65" s="154"/>
      <c r="AB65" s="242" t="str">
        <f t="shared" si="2"/>
        <v>#ERROR!</v>
      </c>
      <c r="AC65" s="154" t="s">
        <v>391</v>
      </c>
      <c r="AD65" s="242" t="b">
        <f t="shared" si="3"/>
        <v>0</v>
      </c>
      <c r="AE65" s="154"/>
      <c r="AF65" s="242" t="str">
        <f t="shared" si="4"/>
        <v>#ERROR!</v>
      </c>
      <c r="AG65" s="154" t="s">
        <v>652</v>
      </c>
      <c r="AH65" s="242" t="str">
        <f>IF(AG65="","N/A",INDIRECT("MTR!"&amp;ADDRESS(MATCH(LEFT(AG65,9),[1]MTR!C:C,0),COLUMN(J65)),TRUE) &amp; "")</f>
        <v>#ERROR!</v>
      </c>
      <c r="AI65" s="157" t="str">
        <f t="shared" si="5"/>
        <v>#ERROR!</v>
      </c>
    </row>
    <row r="66" ht="12.75" customHeight="1">
      <c r="A66" s="244" t="s">
        <v>5158</v>
      </c>
      <c r="B66" s="244" t="s">
        <v>231</v>
      </c>
      <c r="C66" s="244" t="s">
        <v>6953</v>
      </c>
      <c r="D66" s="154" t="s">
        <v>747</v>
      </c>
      <c r="E66" s="154"/>
      <c r="F66" s="154" t="str">
        <f t="array" ref="F66">XLOOKUP(Cover!$D$12,$R$1:$Z$1,$R66:$Z66)</f>
        <v>Mandatory</v>
      </c>
      <c r="G66" s="154" t="s">
        <v>6954</v>
      </c>
      <c r="H66" s="154" t="s">
        <v>6771</v>
      </c>
      <c r="I66" s="154" t="s">
        <v>6955</v>
      </c>
      <c r="J66" s="154" t="s">
        <v>6956</v>
      </c>
      <c r="K66" s="154" t="s">
        <v>6768</v>
      </c>
      <c r="L66" s="154" t="s">
        <v>6140</v>
      </c>
      <c r="M66" s="154" t="s">
        <v>1018</v>
      </c>
      <c r="N66" s="154" t="s">
        <v>759</v>
      </c>
      <c r="O66" s="247" t="s">
        <v>445</v>
      </c>
      <c r="P66" s="247" t="s">
        <v>6772</v>
      </c>
      <c r="Q66" s="154" t="str">
        <f t="shared" si="1"/>
        <v>#ERROR!</v>
      </c>
      <c r="R66" s="154" t="s">
        <v>66</v>
      </c>
      <c r="S66" s="154" t="s">
        <v>66</v>
      </c>
      <c r="T66" s="154" t="s">
        <v>66</v>
      </c>
      <c r="U66" s="154" t="s">
        <v>66</v>
      </c>
      <c r="V66" s="154" t="s">
        <v>60</v>
      </c>
      <c r="W66" s="154" t="s">
        <v>60</v>
      </c>
      <c r="X66" s="154" t="s">
        <v>66</v>
      </c>
      <c r="Y66" s="154" t="s">
        <v>66</v>
      </c>
      <c r="Z66" s="154" t="s">
        <v>60</v>
      </c>
      <c r="AA66" s="154"/>
      <c r="AB66" s="242" t="str">
        <f t="shared" si="2"/>
        <v>#ERROR!</v>
      </c>
      <c r="AC66" s="154" t="s">
        <v>391</v>
      </c>
      <c r="AD66" s="242" t="b">
        <f t="shared" si="3"/>
        <v>0</v>
      </c>
      <c r="AE66" s="154"/>
      <c r="AF66" s="242" t="str">
        <f t="shared" si="4"/>
        <v>#ERROR!</v>
      </c>
      <c r="AG66" s="154" t="s">
        <v>652</v>
      </c>
      <c r="AH66" s="242" t="str">
        <f>IF(AG66="","N/A",INDIRECT("MTR!"&amp;ADDRESS(MATCH(LEFT(AG66,9),[1]MTR!C:C,0),COLUMN(J66)),TRUE) &amp; "")</f>
        <v>#ERROR!</v>
      </c>
      <c r="AI66" s="157" t="str">
        <f t="shared" si="5"/>
        <v>#ERROR!</v>
      </c>
    </row>
    <row r="67" ht="12.75" customHeight="1">
      <c r="A67" s="244" t="s">
        <v>5158</v>
      </c>
      <c r="B67" s="244" t="s">
        <v>231</v>
      </c>
      <c r="C67" s="244" t="s">
        <v>6957</v>
      </c>
      <c r="D67" s="154" t="s">
        <v>747</v>
      </c>
      <c r="E67" s="154"/>
      <c r="F67" s="154" t="str">
        <f t="array" ref="F67">XLOOKUP(Cover!$D$12,$R$1:$Z$1,$R67:$Z67)</f>
        <v>Mandatory</v>
      </c>
      <c r="G67" s="154" t="s">
        <v>6958</v>
      </c>
      <c r="H67" s="154" t="s">
        <v>6808</v>
      </c>
      <c r="I67" s="154" t="s">
        <v>6955</v>
      </c>
      <c r="J67" s="154" t="s">
        <v>6956</v>
      </c>
      <c r="K67" s="154" t="s">
        <v>6768</v>
      </c>
      <c r="L67" s="154" t="s">
        <v>6140</v>
      </c>
      <c r="M67" s="154" t="s">
        <v>1018</v>
      </c>
      <c r="N67" s="154" t="s">
        <v>759</v>
      </c>
      <c r="O67" s="247" t="s">
        <v>516</v>
      </c>
      <c r="P67" s="247" t="s">
        <v>1575</v>
      </c>
      <c r="Q67" s="154" t="str">
        <f t="shared" si="1"/>
        <v>#ERROR!</v>
      </c>
      <c r="R67" s="154" t="s">
        <v>66</v>
      </c>
      <c r="S67" s="154" t="s">
        <v>66</v>
      </c>
      <c r="T67" s="154" t="s">
        <v>66</v>
      </c>
      <c r="U67" s="154" t="s">
        <v>66</v>
      </c>
      <c r="V67" s="154" t="s">
        <v>60</v>
      </c>
      <c r="W67" s="154" t="s">
        <v>60</v>
      </c>
      <c r="X67" s="154" t="s">
        <v>66</v>
      </c>
      <c r="Y67" s="154" t="s">
        <v>66</v>
      </c>
      <c r="Z67" s="154" t="s">
        <v>60</v>
      </c>
      <c r="AA67" s="154"/>
      <c r="AB67" s="242" t="str">
        <f t="shared" si="2"/>
        <v>#ERROR!</v>
      </c>
      <c r="AC67" s="154" t="s">
        <v>391</v>
      </c>
      <c r="AD67" s="242" t="b">
        <f t="shared" si="3"/>
        <v>0</v>
      </c>
      <c r="AE67" s="154"/>
      <c r="AF67" s="242" t="str">
        <f t="shared" si="4"/>
        <v>#ERROR!</v>
      </c>
      <c r="AG67" s="154" t="s">
        <v>652</v>
      </c>
      <c r="AH67" s="242" t="str">
        <f>IF(AG67="","N/A",INDIRECT("MTR!"&amp;ADDRESS(MATCH(LEFT(AG67,9),[1]MTR!C:C,0),COLUMN(J67)),TRUE) &amp; "")</f>
        <v>#ERROR!</v>
      </c>
      <c r="AI67" s="157" t="str">
        <f t="shared" si="5"/>
        <v>#ERROR!</v>
      </c>
    </row>
    <row r="68" ht="12.75" customHeight="1">
      <c r="A68" s="244" t="s">
        <v>5158</v>
      </c>
      <c r="B68" s="244" t="s">
        <v>231</v>
      </c>
      <c r="C68" s="244" t="s">
        <v>6959</v>
      </c>
      <c r="D68" s="154" t="s">
        <v>747</v>
      </c>
      <c r="E68" s="154"/>
      <c r="F68" s="154" t="str">
        <f t="array" ref="F68">XLOOKUP(Cover!$D$12,$R$1:$Z$1,$R68:$Z68)</f>
        <v>Mandatory</v>
      </c>
      <c r="G68" s="154" t="s">
        <v>6960</v>
      </c>
      <c r="H68" s="154" t="s">
        <v>6782</v>
      </c>
      <c r="I68" s="154" t="s">
        <v>6955</v>
      </c>
      <c r="J68" s="154" t="s">
        <v>6956</v>
      </c>
      <c r="K68" s="154" t="s">
        <v>6768</v>
      </c>
      <c r="L68" s="154" t="s">
        <v>6140</v>
      </c>
      <c r="M68" s="154" t="s">
        <v>1018</v>
      </c>
      <c r="N68" s="154" t="s">
        <v>759</v>
      </c>
      <c r="O68" s="247" t="s">
        <v>445</v>
      </c>
      <c r="P68" s="247" t="s">
        <v>6772</v>
      </c>
      <c r="Q68" s="154" t="str">
        <f t="shared" si="1"/>
        <v>#ERROR!</v>
      </c>
      <c r="R68" s="154" t="s">
        <v>66</v>
      </c>
      <c r="S68" s="154" t="s">
        <v>66</v>
      </c>
      <c r="T68" s="154" t="s">
        <v>66</v>
      </c>
      <c r="U68" s="154" t="s">
        <v>66</v>
      </c>
      <c r="V68" s="154" t="s">
        <v>60</v>
      </c>
      <c r="W68" s="154" t="s">
        <v>60</v>
      </c>
      <c r="X68" s="154" t="s">
        <v>66</v>
      </c>
      <c r="Y68" s="154" t="s">
        <v>66</v>
      </c>
      <c r="Z68" s="154" t="s">
        <v>60</v>
      </c>
      <c r="AA68" s="154"/>
      <c r="AB68" s="242" t="str">
        <f t="shared" si="2"/>
        <v>#ERROR!</v>
      </c>
      <c r="AC68" s="154" t="s">
        <v>391</v>
      </c>
      <c r="AD68" s="242" t="b">
        <f t="shared" si="3"/>
        <v>0</v>
      </c>
      <c r="AE68" s="154"/>
      <c r="AF68" s="242" t="str">
        <f t="shared" si="4"/>
        <v>#ERROR!</v>
      </c>
      <c r="AG68" s="154" t="s">
        <v>652</v>
      </c>
      <c r="AH68" s="242" t="str">
        <f>IF(AG68="","N/A",INDIRECT("MTR!"&amp;ADDRESS(MATCH(LEFT(AG68,9),[1]MTR!C:C,0),COLUMN(J68)),TRUE) &amp; "")</f>
        <v>#ERROR!</v>
      </c>
      <c r="AI68" s="157" t="str">
        <f t="shared" si="5"/>
        <v>#ERROR!</v>
      </c>
    </row>
    <row r="69" ht="12.75" customHeight="1">
      <c r="A69" s="244" t="s">
        <v>5158</v>
      </c>
      <c r="B69" s="244" t="s">
        <v>231</v>
      </c>
      <c r="C69" s="245" t="s">
        <v>6961</v>
      </c>
      <c r="D69" s="155" t="s">
        <v>503</v>
      </c>
      <c r="E69" s="155" t="s">
        <v>92</v>
      </c>
      <c r="F69" s="154" t="str">
        <f t="array" ref="F69">XLOOKUP(Cover!$D$12,$R$1:$Z$1,$R69:$Z69)</f>
        <v>Information</v>
      </c>
      <c r="G69" s="154" t="s">
        <v>6962</v>
      </c>
      <c r="H69" s="154" t="s">
        <v>6771</v>
      </c>
      <c r="I69" s="154" t="s">
        <v>6963</v>
      </c>
      <c r="J69" s="154" t="s">
        <v>6964</v>
      </c>
      <c r="K69" s="154" t="s">
        <v>6768</v>
      </c>
      <c r="L69" s="154" t="s">
        <v>6463</v>
      </c>
      <c r="M69" s="154"/>
      <c r="N69" s="154" t="s">
        <v>759</v>
      </c>
      <c r="O69" s="247" t="s">
        <v>516</v>
      </c>
      <c r="P69" s="247" t="s">
        <v>6776</v>
      </c>
      <c r="Q69" s="154" t="str">
        <f t="shared" si="1"/>
        <v>#ERROR!</v>
      </c>
      <c r="R69" s="154" t="s">
        <v>66</v>
      </c>
      <c r="S69" s="154" t="s">
        <v>66</v>
      </c>
      <c r="T69" s="154" t="s">
        <v>66</v>
      </c>
      <c r="U69" s="154" t="s">
        <v>66</v>
      </c>
      <c r="V69" s="154" t="s">
        <v>66</v>
      </c>
      <c r="W69" s="154" t="s">
        <v>66</v>
      </c>
      <c r="X69" s="154" t="s">
        <v>66</v>
      </c>
      <c r="Y69" s="154" t="s">
        <v>66</v>
      </c>
      <c r="Z69" s="154" t="s">
        <v>66</v>
      </c>
      <c r="AA69" s="154"/>
      <c r="AB69" s="242" t="str">
        <f t="shared" si="2"/>
        <v>#ERROR!</v>
      </c>
      <c r="AC69" s="154" t="s">
        <v>391</v>
      </c>
      <c r="AD69" s="242" t="b">
        <f t="shared" si="3"/>
        <v>0</v>
      </c>
      <c r="AE69" s="154"/>
      <c r="AF69" s="242" t="str">
        <f t="shared" si="4"/>
        <v>#ERROR!</v>
      </c>
      <c r="AG69" s="154" t="s">
        <v>652</v>
      </c>
      <c r="AH69" s="242" t="str">
        <f>IF(AG69="","N/A",INDIRECT("MTR!"&amp;ADDRESS(MATCH(LEFT(AG69,9),[1]MTR!C:C,0),COLUMN(J69)),TRUE) &amp; "")</f>
        <v>#ERROR!</v>
      </c>
      <c r="AI69" s="157" t="str">
        <f t="shared" si="5"/>
        <v>#ERROR!</v>
      </c>
    </row>
    <row r="70" ht="12.75" customHeight="1">
      <c r="A70" s="244" t="s">
        <v>5158</v>
      </c>
      <c r="B70" s="244" t="s">
        <v>231</v>
      </c>
      <c r="C70" s="245" t="s">
        <v>6965</v>
      </c>
      <c r="D70" s="155" t="s">
        <v>503</v>
      </c>
      <c r="E70" s="155" t="s">
        <v>92</v>
      </c>
      <c r="F70" s="154" t="str">
        <f t="array" ref="F70">XLOOKUP(Cover!$D$12,$R$1:$Z$1,$R70:$Z70)</f>
        <v>Information</v>
      </c>
      <c r="G70" s="154" t="s">
        <v>6966</v>
      </c>
      <c r="H70" s="154" t="s">
        <v>6782</v>
      </c>
      <c r="I70" s="154" t="s">
        <v>6963</v>
      </c>
      <c r="J70" s="154" t="s">
        <v>6964</v>
      </c>
      <c r="K70" s="154" t="s">
        <v>6768</v>
      </c>
      <c r="L70" s="154" t="s">
        <v>6463</v>
      </c>
      <c r="M70" s="154"/>
      <c r="N70" s="154" t="s">
        <v>759</v>
      </c>
      <c r="O70" s="247" t="s">
        <v>516</v>
      </c>
      <c r="P70" s="247" t="s">
        <v>6776</v>
      </c>
      <c r="Q70" s="154" t="str">
        <f t="shared" si="1"/>
        <v>#ERROR!</v>
      </c>
      <c r="R70" s="154" t="s">
        <v>66</v>
      </c>
      <c r="S70" s="154" t="s">
        <v>66</v>
      </c>
      <c r="T70" s="154" t="s">
        <v>66</v>
      </c>
      <c r="U70" s="154" t="s">
        <v>66</v>
      </c>
      <c r="V70" s="154" t="s">
        <v>66</v>
      </c>
      <c r="W70" s="154" t="s">
        <v>66</v>
      </c>
      <c r="X70" s="154" t="s">
        <v>66</v>
      </c>
      <c r="Y70" s="154" t="s">
        <v>66</v>
      </c>
      <c r="Z70" s="154" t="s">
        <v>66</v>
      </c>
      <c r="AA70" s="154"/>
      <c r="AB70" s="242" t="str">
        <f t="shared" si="2"/>
        <v>#ERROR!</v>
      </c>
      <c r="AC70" s="154" t="s">
        <v>391</v>
      </c>
      <c r="AD70" s="242" t="b">
        <f t="shared" si="3"/>
        <v>0</v>
      </c>
      <c r="AE70" s="154"/>
      <c r="AF70" s="242" t="str">
        <f t="shared" si="4"/>
        <v>#ERROR!</v>
      </c>
      <c r="AG70" s="154" t="s">
        <v>652</v>
      </c>
      <c r="AH70" s="242" t="str">
        <f>IF(AG70="","N/A",INDIRECT("MTR!"&amp;ADDRESS(MATCH(LEFT(AG70,9),[1]MTR!C:C,0),COLUMN(J70)),TRUE) &amp; "")</f>
        <v>#ERROR!</v>
      </c>
      <c r="AI70" s="157" t="str">
        <f t="shared" si="5"/>
        <v>#ERROR!</v>
      </c>
    </row>
    <row r="71" ht="12.75" customHeight="1">
      <c r="A71" s="244" t="s">
        <v>5158</v>
      </c>
      <c r="B71" s="244" t="s">
        <v>231</v>
      </c>
      <c r="C71" s="244" t="s">
        <v>6967</v>
      </c>
      <c r="D71" s="154" t="s">
        <v>1069</v>
      </c>
      <c r="E71" s="154"/>
      <c r="F71" s="154" t="str">
        <f t="array" ref="F71">XLOOKUP(Cover!$D$12,$R$1:$Z$1,$R71:$Z71)</f>
        <v>Recommended</v>
      </c>
      <c r="G71" s="154" t="s">
        <v>6968</v>
      </c>
      <c r="H71" s="154" t="s">
        <v>6771</v>
      </c>
      <c r="I71" s="154" t="s">
        <v>6969</v>
      </c>
      <c r="J71" s="154" t="s">
        <v>6970</v>
      </c>
      <c r="K71" s="154" t="s">
        <v>6768</v>
      </c>
      <c r="L71" s="154" t="s">
        <v>5927</v>
      </c>
      <c r="M71" s="154"/>
      <c r="N71" s="154" t="s">
        <v>759</v>
      </c>
      <c r="O71" s="247" t="s">
        <v>445</v>
      </c>
      <c r="P71" s="247" t="s">
        <v>6772</v>
      </c>
      <c r="Q71" s="154" t="str">
        <f t="shared" si="1"/>
        <v>#ERROR!</v>
      </c>
      <c r="R71" s="154" t="s">
        <v>66</v>
      </c>
      <c r="S71" s="154" t="s">
        <v>66</v>
      </c>
      <c r="T71" s="154" t="s">
        <v>66</v>
      </c>
      <c r="U71" s="154" t="s">
        <v>66</v>
      </c>
      <c r="V71" s="154" t="s">
        <v>64</v>
      </c>
      <c r="W71" s="154" t="s">
        <v>64</v>
      </c>
      <c r="X71" s="154" t="s">
        <v>66</v>
      </c>
      <c r="Y71" s="154" t="s">
        <v>66</v>
      </c>
      <c r="Z71" s="154" t="s">
        <v>64</v>
      </c>
      <c r="AA71" s="154"/>
      <c r="AB71" s="242" t="str">
        <f t="shared" si="2"/>
        <v>#ERROR!</v>
      </c>
      <c r="AC71" s="154" t="s">
        <v>391</v>
      </c>
      <c r="AD71" s="242" t="b">
        <f t="shared" si="3"/>
        <v>0</v>
      </c>
      <c r="AE71" s="154"/>
      <c r="AF71" s="242" t="str">
        <f t="shared" si="4"/>
        <v>#ERROR!</v>
      </c>
      <c r="AG71" s="154" t="s">
        <v>652</v>
      </c>
      <c r="AH71" s="242" t="str">
        <f>IF(AG71="","N/A",INDIRECT("MTR!"&amp;ADDRESS(MATCH(LEFT(AG71,9),[1]MTR!C:C,0),COLUMN(J71)),TRUE) &amp; "")</f>
        <v>#ERROR!</v>
      </c>
      <c r="AI71" s="157" t="str">
        <f t="shared" si="5"/>
        <v>#ERROR!</v>
      </c>
    </row>
    <row r="72" ht="12.75" customHeight="1">
      <c r="A72" s="244" t="s">
        <v>5158</v>
      </c>
      <c r="B72" s="244" t="s">
        <v>231</v>
      </c>
      <c r="C72" s="255" t="s">
        <v>6971</v>
      </c>
      <c r="D72" s="256" t="s">
        <v>42</v>
      </c>
      <c r="E72" s="256" t="s">
        <v>489</v>
      </c>
      <c r="F72" s="154" t="str">
        <f t="array" ref="F72">XLOOKUP(Cover!$D$12,$R$1:$Z$1,$R72:$Z72)</f>
        <v>Recommended</v>
      </c>
      <c r="G72" s="154" t="s">
        <v>6972</v>
      </c>
      <c r="H72" s="154" t="s">
        <v>6808</v>
      </c>
      <c r="I72" s="154" t="s">
        <v>6969</v>
      </c>
      <c r="J72" s="154" t="s">
        <v>6970</v>
      </c>
      <c r="K72" s="154" t="s">
        <v>6768</v>
      </c>
      <c r="L72" s="154" t="s">
        <v>5931</v>
      </c>
      <c r="M72" s="154"/>
      <c r="N72" s="154" t="s">
        <v>759</v>
      </c>
      <c r="O72" s="247" t="s">
        <v>516</v>
      </c>
      <c r="P72" s="247" t="s">
        <v>1575</v>
      </c>
      <c r="Q72" s="154" t="str">
        <f t="shared" si="1"/>
        <v>#ERROR!</v>
      </c>
      <c r="R72" s="154" t="s">
        <v>66</v>
      </c>
      <c r="S72" s="154" t="s">
        <v>66</v>
      </c>
      <c r="T72" s="154" t="s">
        <v>66</v>
      </c>
      <c r="U72" s="154" t="s">
        <v>66</v>
      </c>
      <c r="V72" s="154" t="s">
        <v>64</v>
      </c>
      <c r="W72" s="154" t="s">
        <v>64</v>
      </c>
      <c r="X72" s="154" t="s">
        <v>66</v>
      </c>
      <c r="Y72" s="154" t="s">
        <v>66</v>
      </c>
      <c r="Z72" s="154" t="s">
        <v>64</v>
      </c>
      <c r="AA72" s="154"/>
      <c r="AB72" s="242" t="str">
        <f t="shared" si="2"/>
        <v>#ERROR!</v>
      </c>
      <c r="AC72" s="154" t="s">
        <v>391</v>
      </c>
      <c r="AD72" s="242" t="b">
        <f t="shared" si="3"/>
        <v>0</v>
      </c>
      <c r="AE72" s="154"/>
      <c r="AF72" s="242" t="str">
        <f t="shared" si="4"/>
        <v>#ERROR!</v>
      </c>
      <c r="AG72" s="154" t="s">
        <v>652</v>
      </c>
      <c r="AH72" s="242" t="str">
        <f>IF(AG72="","N/A",INDIRECT("MTR!"&amp;ADDRESS(MATCH(LEFT(AG72,9),[1]MTR!C:C,0),COLUMN(J72)),TRUE) &amp; "")</f>
        <v>#ERROR!</v>
      </c>
      <c r="AI72" s="157" t="str">
        <f t="shared" si="5"/>
        <v>#ERROR!</v>
      </c>
    </row>
    <row r="73" ht="12.75" customHeight="1">
      <c r="A73" s="244" t="s">
        <v>5158</v>
      </c>
      <c r="B73" s="244" t="s">
        <v>231</v>
      </c>
      <c r="C73" s="244" t="s">
        <v>6973</v>
      </c>
      <c r="D73" s="154" t="s">
        <v>1069</v>
      </c>
      <c r="E73" s="154"/>
      <c r="F73" s="154" t="str">
        <f t="array" ref="F73">XLOOKUP(Cover!$D$12,$R$1:$Z$1,$R73:$Z73)</f>
        <v>Recommended</v>
      </c>
      <c r="G73" s="154" t="s">
        <v>6974</v>
      </c>
      <c r="H73" s="154" t="s">
        <v>6785</v>
      </c>
      <c r="I73" s="154" t="s">
        <v>6969</v>
      </c>
      <c r="J73" s="154" t="s">
        <v>6970</v>
      </c>
      <c r="K73" s="154" t="s">
        <v>6768</v>
      </c>
      <c r="L73" s="154" t="s">
        <v>5927</v>
      </c>
      <c r="M73" s="154"/>
      <c r="N73" s="154" t="s">
        <v>759</v>
      </c>
      <c r="O73" s="247" t="s">
        <v>445</v>
      </c>
      <c r="P73" s="247" t="s">
        <v>6772</v>
      </c>
      <c r="Q73" s="154" t="str">
        <f t="shared" si="1"/>
        <v>#ERROR!</v>
      </c>
      <c r="R73" s="154" t="s">
        <v>66</v>
      </c>
      <c r="S73" s="154" t="s">
        <v>66</v>
      </c>
      <c r="T73" s="154" t="s">
        <v>66</v>
      </c>
      <c r="U73" s="154" t="s">
        <v>66</v>
      </c>
      <c r="V73" s="154" t="s">
        <v>64</v>
      </c>
      <c r="W73" s="154" t="s">
        <v>64</v>
      </c>
      <c r="X73" s="154" t="s">
        <v>66</v>
      </c>
      <c r="Y73" s="154" t="s">
        <v>66</v>
      </c>
      <c r="Z73" s="154" t="s">
        <v>64</v>
      </c>
      <c r="AA73" s="154"/>
      <c r="AB73" s="242" t="str">
        <f t="shared" si="2"/>
        <v>#ERROR!</v>
      </c>
      <c r="AC73" s="154" t="s">
        <v>391</v>
      </c>
      <c r="AD73" s="242" t="b">
        <f t="shared" si="3"/>
        <v>0</v>
      </c>
      <c r="AE73" s="154"/>
      <c r="AF73" s="242" t="str">
        <f t="shared" si="4"/>
        <v>#ERROR!</v>
      </c>
      <c r="AG73" s="154" t="s">
        <v>652</v>
      </c>
      <c r="AH73" s="242" t="str">
        <f>IF(AG73="","N/A",INDIRECT("MTR!"&amp;ADDRESS(MATCH(LEFT(AG73,9),[1]MTR!C:C,0),COLUMN(J73)),TRUE) &amp; "")</f>
        <v>#ERROR!</v>
      </c>
      <c r="AI73" s="157" t="str">
        <f t="shared" si="5"/>
        <v>#ERROR!</v>
      </c>
    </row>
    <row r="74" ht="12.75" customHeight="1">
      <c r="A74" s="244" t="s">
        <v>5158</v>
      </c>
      <c r="B74" s="244" t="s">
        <v>231</v>
      </c>
      <c r="C74" s="244" t="s">
        <v>6975</v>
      </c>
      <c r="D74" s="154" t="s">
        <v>1315</v>
      </c>
      <c r="E74" s="154"/>
      <c r="F74" s="154" t="str">
        <f t="array" ref="F74">XLOOKUP(Cover!$D$12,$R$1:$Z$1,$R74:$Z74)</f>
        <v>Mandatory</v>
      </c>
      <c r="G74" s="154" t="s">
        <v>6976</v>
      </c>
      <c r="H74" s="154" t="s">
        <v>6771</v>
      </c>
      <c r="I74" s="154" t="s">
        <v>6977</v>
      </c>
      <c r="J74" s="154" t="s">
        <v>6978</v>
      </c>
      <c r="K74" s="154" t="s">
        <v>6768</v>
      </c>
      <c r="L74" s="154" t="s">
        <v>6905</v>
      </c>
      <c r="M74" s="154" t="s">
        <v>1018</v>
      </c>
      <c r="N74" s="154" t="s">
        <v>759</v>
      </c>
      <c r="O74" s="247" t="s">
        <v>445</v>
      </c>
      <c r="P74" s="247" t="s">
        <v>6772</v>
      </c>
      <c r="Q74" s="154" t="str">
        <f t="shared" si="1"/>
        <v>#ERROR!</v>
      </c>
      <c r="R74" s="154" t="s">
        <v>66</v>
      </c>
      <c r="S74" s="154" t="s">
        <v>66</v>
      </c>
      <c r="T74" s="154" t="s">
        <v>66</v>
      </c>
      <c r="U74" s="154" t="s">
        <v>66</v>
      </c>
      <c r="V74" s="154" t="s">
        <v>60</v>
      </c>
      <c r="W74" s="154" t="s">
        <v>60</v>
      </c>
      <c r="X74" s="154" t="s">
        <v>66</v>
      </c>
      <c r="Y74" s="154" t="s">
        <v>66</v>
      </c>
      <c r="Z74" s="154" t="s">
        <v>60</v>
      </c>
      <c r="AA74" s="154"/>
      <c r="AB74" s="242" t="str">
        <f t="shared" si="2"/>
        <v>#ERROR!</v>
      </c>
      <c r="AC74" s="154" t="s">
        <v>391</v>
      </c>
      <c r="AD74" s="242" t="b">
        <f t="shared" si="3"/>
        <v>0</v>
      </c>
      <c r="AE74" s="154"/>
      <c r="AF74" s="242" t="str">
        <f t="shared" si="4"/>
        <v>#ERROR!</v>
      </c>
      <c r="AG74" s="154" t="s">
        <v>652</v>
      </c>
      <c r="AH74" s="242" t="str">
        <f>IF(AG74="","N/A",INDIRECT("MTR!"&amp;ADDRESS(MATCH(LEFT(AG74,9),[1]MTR!C:C,0),COLUMN(J74)),TRUE) &amp; "")</f>
        <v>#ERROR!</v>
      </c>
      <c r="AI74" s="157" t="str">
        <f t="shared" si="5"/>
        <v>#ERROR!</v>
      </c>
    </row>
    <row r="75" ht="12.75" customHeight="1">
      <c r="A75" s="244" t="s">
        <v>5158</v>
      </c>
      <c r="B75" s="244" t="s">
        <v>231</v>
      </c>
      <c r="C75" s="244" t="s">
        <v>6979</v>
      </c>
      <c r="D75" s="154" t="s">
        <v>1315</v>
      </c>
      <c r="E75" s="154"/>
      <c r="F75" s="154" t="str">
        <f t="array" ref="F75">XLOOKUP(Cover!$D$12,$R$1:$Z$1,$R75:$Z75)</f>
        <v>Mandatory</v>
      </c>
      <c r="G75" s="154" t="s">
        <v>6980</v>
      </c>
      <c r="H75" s="154" t="s">
        <v>6808</v>
      </c>
      <c r="I75" s="154" t="s">
        <v>6977</v>
      </c>
      <c r="J75" s="154" t="s">
        <v>6978</v>
      </c>
      <c r="K75" s="154" t="s">
        <v>6768</v>
      </c>
      <c r="L75" s="154" t="s">
        <v>6905</v>
      </c>
      <c r="M75" s="154" t="s">
        <v>1018</v>
      </c>
      <c r="N75" s="154" t="s">
        <v>759</v>
      </c>
      <c r="O75" s="247" t="s">
        <v>516</v>
      </c>
      <c r="P75" s="247" t="s">
        <v>1575</v>
      </c>
      <c r="Q75" s="154" t="str">
        <f t="shared" si="1"/>
        <v>#ERROR!</v>
      </c>
      <c r="R75" s="154" t="s">
        <v>66</v>
      </c>
      <c r="S75" s="154" t="s">
        <v>66</v>
      </c>
      <c r="T75" s="154" t="s">
        <v>66</v>
      </c>
      <c r="U75" s="154" t="s">
        <v>66</v>
      </c>
      <c r="V75" s="154" t="s">
        <v>60</v>
      </c>
      <c r="W75" s="154" t="s">
        <v>60</v>
      </c>
      <c r="X75" s="154" t="s">
        <v>66</v>
      </c>
      <c r="Y75" s="154" t="s">
        <v>66</v>
      </c>
      <c r="Z75" s="154" t="s">
        <v>60</v>
      </c>
      <c r="AA75" s="154"/>
      <c r="AB75" s="242" t="str">
        <f t="shared" si="2"/>
        <v>#ERROR!</v>
      </c>
      <c r="AC75" s="154" t="s">
        <v>391</v>
      </c>
      <c r="AD75" s="242" t="b">
        <f t="shared" si="3"/>
        <v>0</v>
      </c>
      <c r="AE75" s="154"/>
      <c r="AF75" s="242" t="str">
        <f t="shared" si="4"/>
        <v>#ERROR!</v>
      </c>
      <c r="AG75" s="154" t="s">
        <v>652</v>
      </c>
      <c r="AH75" s="242" t="str">
        <f>IF(AG75="","N/A",INDIRECT("MTR!"&amp;ADDRESS(MATCH(LEFT(AG75,9),[1]MTR!C:C,0),COLUMN(J75)),TRUE) &amp; "")</f>
        <v>#ERROR!</v>
      </c>
      <c r="AI75" s="157" t="str">
        <f t="shared" si="5"/>
        <v>#ERROR!</v>
      </c>
    </row>
    <row r="76" ht="12.75" customHeight="1">
      <c r="A76" s="244" t="s">
        <v>5158</v>
      </c>
      <c r="B76" s="244" t="s">
        <v>231</v>
      </c>
      <c r="C76" s="244" t="s">
        <v>6981</v>
      </c>
      <c r="D76" s="154" t="s">
        <v>781</v>
      </c>
      <c r="E76" s="154"/>
      <c r="F76" s="154" t="str">
        <f t="array" ref="F76">XLOOKUP(Cover!$D$12,$R$1:$Z$1,$R76:$Z76)</f>
        <v>Mandatory</v>
      </c>
      <c r="G76" s="154" t="s">
        <v>6982</v>
      </c>
      <c r="H76" s="154" t="s">
        <v>6771</v>
      </c>
      <c r="I76" s="154" t="s">
        <v>6983</v>
      </c>
      <c r="J76" s="154" t="s">
        <v>6984</v>
      </c>
      <c r="K76" s="154" t="s">
        <v>6768</v>
      </c>
      <c r="L76" s="154" t="s">
        <v>6140</v>
      </c>
      <c r="M76" s="154" t="s">
        <v>1018</v>
      </c>
      <c r="N76" s="154" t="s">
        <v>759</v>
      </c>
      <c r="O76" s="247" t="s">
        <v>445</v>
      </c>
      <c r="P76" s="247" t="s">
        <v>89</v>
      </c>
      <c r="Q76" s="154" t="str">
        <f t="shared" si="1"/>
        <v>#ERROR!</v>
      </c>
      <c r="R76" s="154" t="s">
        <v>66</v>
      </c>
      <c r="S76" s="154" t="s">
        <v>66</v>
      </c>
      <c r="T76" s="154" t="s">
        <v>66</v>
      </c>
      <c r="U76" s="154" t="s">
        <v>66</v>
      </c>
      <c r="V76" s="154" t="s">
        <v>60</v>
      </c>
      <c r="W76" s="154" t="s">
        <v>60</v>
      </c>
      <c r="X76" s="154" t="s">
        <v>66</v>
      </c>
      <c r="Y76" s="154" t="s">
        <v>66</v>
      </c>
      <c r="Z76" s="154" t="s">
        <v>60</v>
      </c>
      <c r="AA76" s="154"/>
      <c r="AB76" s="242" t="str">
        <f t="shared" si="2"/>
        <v>#ERROR!</v>
      </c>
      <c r="AC76" s="154" t="s">
        <v>391</v>
      </c>
      <c r="AD76" s="242" t="b">
        <f t="shared" si="3"/>
        <v>0</v>
      </c>
      <c r="AE76" s="154"/>
      <c r="AF76" s="242" t="str">
        <f t="shared" si="4"/>
        <v>#ERROR!</v>
      </c>
      <c r="AG76" s="154" t="s">
        <v>652</v>
      </c>
      <c r="AH76" s="242" t="str">
        <f>IF(AG76="","N/A",INDIRECT("MTR!"&amp;ADDRESS(MATCH(LEFT(AG76,9),[1]MTR!C:C,0),COLUMN(J76)),TRUE) &amp; "")</f>
        <v>#ERROR!</v>
      </c>
      <c r="AI76" s="157" t="str">
        <f t="shared" si="5"/>
        <v>#ERROR!</v>
      </c>
    </row>
    <row r="77" ht="12.75" customHeight="1">
      <c r="A77" s="244" t="s">
        <v>5158</v>
      </c>
      <c r="B77" s="244" t="s">
        <v>231</v>
      </c>
      <c r="C77" s="244" t="s">
        <v>6985</v>
      </c>
      <c r="D77" s="154" t="s">
        <v>781</v>
      </c>
      <c r="E77" s="154"/>
      <c r="F77" s="154" t="str">
        <f t="array" ref="F77">XLOOKUP(Cover!$D$12,$R$1:$Z$1,$R77:$Z77)</f>
        <v>Recommended</v>
      </c>
      <c r="G77" s="154" t="s">
        <v>6986</v>
      </c>
      <c r="H77" s="154" t="s">
        <v>6775</v>
      </c>
      <c r="I77" s="154" t="s">
        <v>6983</v>
      </c>
      <c r="J77" s="154" t="s">
        <v>6984</v>
      </c>
      <c r="K77" s="154" t="s">
        <v>6768</v>
      </c>
      <c r="L77" s="154" t="s">
        <v>6140</v>
      </c>
      <c r="M77" s="154"/>
      <c r="N77" s="154" t="s">
        <v>759</v>
      </c>
      <c r="O77" s="247" t="s">
        <v>516</v>
      </c>
      <c r="P77" s="247" t="s">
        <v>6822</v>
      </c>
      <c r="Q77" s="154" t="str">
        <f t="shared" si="1"/>
        <v>#ERROR!</v>
      </c>
      <c r="R77" s="154" t="s">
        <v>66</v>
      </c>
      <c r="S77" s="154" t="s">
        <v>66</v>
      </c>
      <c r="T77" s="154" t="s">
        <v>66</v>
      </c>
      <c r="U77" s="154" t="s">
        <v>66</v>
      </c>
      <c r="V77" s="154" t="s">
        <v>64</v>
      </c>
      <c r="W77" s="154" t="s">
        <v>64</v>
      </c>
      <c r="X77" s="154" t="s">
        <v>66</v>
      </c>
      <c r="Y77" s="154" t="s">
        <v>66</v>
      </c>
      <c r="Z77" s="154" t="s">
        <v>64</v>
      </c>
      <c r="AA77" s="154"/>
      <c r="AB77" s="242" t="str">
        <f t="shared" si="2"/>
        <v>#ERROR!</v>
      </c>
      <c r="AC77" s="154" t="s">
        <v>391</v>
      </c>
      <c r="AD77" s="242" t="b">
        <f t="shared" si="3"/>
        <v>0</v>
      </c>
      <c r="AE77" s="154"/>
      <c r="AF77" s="242" t="str">
        <f t="shared" si="4"/>
        <v>#ERROR!</v>
      </c>
      <c r="AG77" s="154" t="s">
        <v>652</v>
      </c>
      <c r="AH77" s="242" t="str">
        <f>IF(AG77="","N/A",INDIRECT("MTR!"&amp;ADDRESS(MATCH(LEFT(AG77,9),[1]MTR!C:C,0),COLUMN(J77)),TRUE) &amp; "")</f>
        <v>#ERROR!</v>
      </c>
      <c r="AI77" s="157" t="str">
        <f t="shared" si="5"/>
        <v>#ERROR!</v>
      </c>
    </row>
    <row r="78" ht="12.75" customHeight="1">
      <c r="A78" s="244" t="s">
        <v>5158</v>
      </c>
      <c r="B78" s="244" t="s">
        <v>231</v>
      </c>
      <c r="C78" s="244" t="s">
        <v>6987</v>
      </c>
      <c r="D78" s="154" t="s">
        <v>781</v>
      </c>
      <c r="E78" s="154"/>
      <c r="F78" s="154" t="str">
        <f t="array" ref="F78">XLOOKUP(Cover!$D$12,$R$1:$Z$1,$R78:$Z78)</f>
        <v>Recommended</v>
      </c>
      <c r="G78" s="154" t="s">
        <v>6988</v>
      </c>
      <c r="H78" s="154" t="s">
        <v>6847</v>
      </c>
      <c r="I78" s="154" t="s">
        <v>6983</v>
      </c>
      <c r="J78" s="154" t="s">
        <v>6984</v>
      </c>
      <c r="K78" s="154" t="s">
        <v>6768</v>
      </c>
      <c r="L78" s="154" t="s">
        <v>6140</v>
      </c>
      <c r="M78" s="154"/>
      <c r="N78" s="154" t="s">
        <v>759</v>
      </c>
      <c r="O78" s="247" t="s">
        <v>516</v>
      </c>
      <c r="P78" s="247" t="s">
        <v>1575</v>
      </c>
      <c r="Q78" s="154" t="str">
        <f t="shared" si="1"/>
        <v>#ERROR!</v>
      </c>
      <c r="R78" s="154" t="s">
        <v>66</v>
      </c>
      <c r="S78" s="154" t="s">
        <v>66</v>
      </c>
      <c r="T78" s="154" t="s">
        <v>66</v>
      </c>
      <c r="U78" s="154" t="s">
        <v>66</v>
      </c>
      <c r="V78" s="154" t="s">
        <v>64</v>
      </c>
      <c r="W78" s="154" t="s">
        <v>64</v>
      </c>
      <c r="X78" s="154" t="s">
        <v>66</v>
      </c>
      <c r="Y78" s="154" t="s">
        <v>66</v>
      </c>
      <c r="Z78" s="154" t="s">
        <v>64</v>
      </c>
      <c r="AA78" s="154"/>
      <c r="AB78" s="242" t="str">
        <f t="shared" si="2"/>
        <v>#ERROR!</v>
      </c>
      <c r="AC78" s="154" t="s">
        <v>391</v>
      </c>
      <c r="AD78" s="242" t="b">
        <f t="shared" si="3"/>
        <v>0</v>
      </c>
      <c r="AE78" s="154"/>
      <c r="AF78" s="242" t="str">
        <f t="shared" si="4"/>
        <v>#ERROR!</v>
      </c>
      <c r="AG78" s="154" t="s">
        <v>652</v>
      </c>
      <c r="AH78" s="242" t="str">
        <f>IF(AG78="","N/A",INDIRECT("MTR!"&amp;ADDRESS(MATCH(LEFT(AG78,9),[1]MTR!C:C,0),COLUMN(J78)),TRUE) &amp; "")</f>
        <v>#ERROR!</v>
      </c>
      <c r="AI78" s="157" t="str">
        <f t="shared" si="5"/>
        <v>#ERROR!</v>
      </c>
    </row>
    <row r="79" ht="12.75" customHeight="1">
      <c r="A79" s="244" t="s">
        <v>5158</v>
      </c>
      <c r="B79" s="244" t="s">
        <v>231</v>
      </c>
      <c r="C79" s="244" t="s">
        <v>6989</v>
      </c>
      <c r="D79" s="154" t="s">
        <v>747</v>
      </c>
      <c r="E79" s="154"/>
      <c r="F79" s="154" t="str">
        <f t="array" ref="F79">XLOOKUP(Cover!$D$12,$R$1:$Z$1,$R79:$Z79)</f>
        <v>Information</v>
      </c>
      <c r="G79" s="154" t="s">
        <v>6990</v>
      </c>
      <c r="H79" s="154" t="s">
        <v>6771</v>
      </c>
      <c r="I79" s="154" t="s">
        <v>6991</v>
      </c>
      <c r="J79" s="154" t="s">
        <v>6992</v>
      </c>
      <c r="K79" s="154" t="s">
        <v>6768</v>
      </c>
      <c r="L79" s="154" t="s">
        <v>6525</v>
      </c>
      <c r="M79" s="154"/>
      <c r="N79" s="154" t="s">
        <v>759</v>
      </c>
      <c r="O79" s="247" t="s">
        <v>445</v>
      </c>
      <c r="P79" s="247" t="s">
        <v>89</v>
      </c>
      <c r="Q79" s="154" t="str">
        <f t="shared" si="1"/>
        <v>#ERROR!</v>
      </c>
      <c r="R79" s="154" t="s">
        <v>66</v>
      </c>
      <c r="S79" s="154" t="s">
        <v>66</v>
      </c>
      <c r="T79" s="154" t="s">
        <v>66</v>
      </c>
      <c r="U79" s="154" t="s">
        <v>66</v>
      </c>
      <c r="V79" s="154" t="s">
        <v>66</v>
      </c>
      <c r="W79" s="154" t="s">
        <v>66</v>
      </c>
      <c r="X79" s="154" t="s">
        <v>66</v>
      </c>
      <c r="Y79" s="154" t="s">
        <v>66</v>
      </c>
      <c r="Z79" s="154" t="s">
        <v>66</v>
      </c>
      <c r="AA79" s="154"/>
      <c r="AB79" s="242" t="str">
        <f t="shared" si="2"/>
        <v>#ERROR!</v>
      </c>
      <c r="AC79" s="154" t="s">
        <v>391</v>
      </c>
      <c r="AD79" s="242" t="b">
        <f t="shared" si="3"/>
        <v>0</v>
      </c>
      <c r="AE79" s="154"/>
      <c r="AF79" s="242" t="str">
        <f t="shared" si="4"/>
        <v>#ERROR!</v>
      </c>
      <c r="AG79" s="154" t="s">
        <v>652</v>
      </c>
      <c r="AH79" s="242" t="str">
        <f>IF(AG79="","N/A",INDIRECT("MTR!"&amp;ADDRESS(MATCH(LEFT(AG79,9),[1]MTR!C:C,0),COLUMN(J79)),TRUE) &amp; "")</f>
        <v>#ERROR!</v>
      </c>
      <c r="AI79" s="157" t="str">
        <f t="shared" si="5"/>
        <v>#ERROR!</v>
      </c>
    </row>
    <row r="80" ht="12.75" customHeight="1">
      <c r="A80" s="244" t="s">
        <v>5158</v>
      </c>
      <c r="B80" s="244" t="s">
        <v>231</v>
      </c>
      <c r="C80" s="244" t="s">
        <v>6993</v>
      </c>
      <c r="D80" s="154" t="s">
        <v>747</v>
      </c>
      <c r="E80" s="154"/>
      <c r="F80" s="154" t="str">
        <f t="array" ref="F80">XLOOKUP(Cover!$D$12,$R$1:$Z$1,$R80:$Z80)</f>
        <v>Information</v>
      </c>
      <c r="G80" s="154" t="s">
        <v>6994</v>
      </c>
      <c r="H80" s="154" t="s">
        <v>6775</v>
      </c>
      <c r="I80" s="154" t="s">
        <v>6991</v>
      </c>
      <c r="J80" s="154" t="s">
        <v>6992</v>
      </c>
      <c r="K80" s="154" t="s">
        <v>6768</v>
      </c>
      <c r="L80" s="154" t="s">
        <v>6525</v>
      </c>
      <c r="M80" s="154"/>
      <c r="N80" s="154" t="s">
        <v>759</v>
      </c>
      <c r="O80" s="247" t="s">
        <v>516</v>
      </c>
      <c r="P80" s="247" t="s">
        <v>6822</v>
      </c>
      <c r="Q80" s="154" t="str">
        <f t="shared" si="1"/>
        <v>#ERROR!</v>
      </c>
      <c r="R80" s="154" t="s">
        <v>66</v>
      </c>
      <c r="S80" s="154" t="s">
        <v>66</v>
      </c>
      <c r="T80" s="154" t="s">
        <v>66</v>
      </c>
      <c r="U80" s="154" t="s">
        <v>66</v>
      </c>
      <c r="V80" s="154" t="s">
        <v>66</v>
      </c>
      <c r="W80" s="154" t="s">
        <v>66</v>
      </c>
      <c r="X80" s="154" t="s">
        <v>66</v>
      </c>
      <c r="Y80" s="154" t="s">
        <v>66</v>
      </c>
      <c r="Z80" s="154" t="s">
        <v>66</v>
      </c>
      <c r="AA80" s="154"/>
      <c r="AB80" s="242" t="str">
        <f t="shared" si="2"/>
        <v>#ERROR!</v>
      </c>
      <c r="AC80" s="154" t="s">
        <v>391</v>
      </c>
      <c r="AD80" s="242" t="b">
        <f t="shared" si="3"/>
        <v>0</v>
      </c>
      <c r="AE80" s="154"/>
      <c r="AF80" s="242" t="str">
        <f t="shared" si="4"/>
        <v>#ERROR!</v>
      </c>
      <c r="AG80" s="154" t="s">
        <v>652</v>
      </c>
      <c r="AH80" s="242" t="str">
        <f>IF(AG80="","N/A",INDIRECT("MTR!"&amp;ADDRESS(MATCH(LEFT(AG80,9),[1]MTR!C:C,0),COLUMN(J80)),TRUE) &amp; "")</f>
        <v>#ERROR!</v>
      </c>
      <c r="AI80" s="157" t="str">
        <f t="shared" si="5"/>
        <v>#ERROR!</v>
      </c>
    </row>
    <row r="81" ht="12.75" customHeight="1">
      <c r="A81" s="244" t="s">
        <v>5158</v>
      </c>
      <c r="B81" s="244" t="s">
        <v>231</v>
      </c>
      <c r="C81" s="244" t="s">
        <v>6995</v>
      </c>
      <c r="D81" s="154" t="s">
        <v>747</v>
      </c>
      <c r="E81" s="154"/>
      <c r="F81" s="154" t="str">
        <f t="array" ref="F81">XLOOKUP(Cover!$D$12,$R$1:$Z$1,$R81:$Z81)</f>
        <v>Mandatory</v>
      </c>
      <c r="G81" s="154" t="s">
        <v>6996</v>
      </c>
      <c r="H81" s="154" t="s">
        <v>6771</v>
      </c>
      <c r="I81" s="154" t="s">
        <v>6997</v>
      </c>
      <c r="J81" s="154" t="s">
        <v>6998</v>
      </c>
      <c r="K81" s="154" t="s">
        <v>6768</v>
      </c>
      <c r="L81" s="154" t="s">
        <v>6140</v>
      </c>
      <c r="M81" s="154" t="s">
        <v>1018</v>
      </c>
      <c r="N81" s="154" t="s">
        <v>759</v>
      </c>
      <c r="O81" s="247" t="s">
        <v>516</v>
      </c>
      <c r="P81" s="247" t="s">
        <v>6776</v>
      </c>
      <c r="Q81" s="154" t="str">
        <f t="shared" si="1"/>
        <v>#ERROR!</v>
      </c>
      <c r="R81" s="154" t="s">
        <v>66</v>
      </c>
      <c r="S81" s="154" t="s">
        <v>66</v>
      </c>
      <c r="T81" s="154" t="s">
        <v>66</v>
      </c>
      <c r="U81" s="154" t="s">
        <v>66</v>
      </c>
      <c r="V81" s="154" t="s">
        <v>60</v>
      </c>
      <c r="W81" s="154" t="s">
        <v>60</v>
      </c>
      <c r="X81" s="154" t="s">
        <v>66</v>
      </c>
      <c r="Y81" s="154" t="s">
        <v>66</v>
      </c>
      <c r="Z81" s="154" t="s">
        <v>60</v>
      </c>
      <c r="AA81" s="154"/>
      <c r="AB81" s="242" t="str">
        <f t="shared" si="2"/>
        <v>#ERROR!</v>
      </c>
      <c r="AC81" s="154" t="s">
        <v>391</v>
      </c>
      <c r="AD81" s="242" t="b">
        <f t="shared" si="3"/>
        <v>0</v>
      </c>
      <c r="AE81" s="154"/>
      <c r="AF81" s="242" t="str">
        <f t="shared" si="4"/>
        <v>#ERROR!</v>
      </c>
      <c r="AG81" s="154" t="s">
        <v>652</v>
      </c>
      <c r="AH81" s="242" t="str">
        <f>IF(AG81="","N/A",INDIRECT("MTR!"&amp;ADDRESS(MATCH(LEFT(AG81,9),[1]MTR!C:C,0),COLUMN(J81)),TRUE) &amp; "")</f>
        <v>#ERROR!</v>
      </c>
      <c r="AI81" s="157" t="str">
        <f t="shared" si="5"/>
        <v>#ERROR!</v>
      </c>
    </row>
    <row r="82" ht="12.75" customHeight="1">
      <c r="A82" s="244" t="s">
        <v>5158</v>
      </c>
      <c r="B82" s="244" t="s">
        <v>231</v>
      </c>
      <c r="C82" s="244" t="s">
        <v>6999</v>
      </c>
      <c r="D82" s="154" t="s">
        <v>747</v>
      </c>
      <c r="E82" s="154"/>
      <c r="F82" s="154" t="str">
        <f t="array" ref="F82">XLOOKUP(Cover!$D$12,$R$1:$Z$1,$R82:$Z82)</f>
        <v>Mandatory</v>
      </c>
      <c r="G82" s="154" t="s">
        <v>7000</v>
      </c>
      <c r="H82" s="154" t="s">
        <v>6775</v>
      </c>
      <c r="I82" s="154" t="s">
        <v>6997</v>
      </c>
      <c r="J82" s="154" t="s">
        <v>6998</v>
      </c>
      <c r="K82" s="154" t="s">
        <v>6768</v>
      </c>
      <c r="L82" s="154" t="s">
        <v>6140</v>
      </c>
      <c r="M82" s="154" t="s">
        <v>1018</v>
      </c>
      <c r="N82" s="154" t="s">
        <v>759</v>
      </c>
      <c r="O82" s="247" t="s">
        <v>516</v>
      </c>
      <c r="P82" s="247" t="s">
        <v>6776</v>
      </c>
      <c r="Q82" s="154" t="str">
        <f t="shared" si="1"/>
        <v>#ERROR!</v>
      </c>
      <c r="R82" s="154" t="s">
        <v>66</v>
      </c>
      <c r="S82" s="154" t="s">
        <v>66</v>
      </c>
      <c r="T82" s="154" t="s">
        <v>66</v>
      </c>
      <c r="U82" s="154" t="s">
        <v>66</v>
      </c>
      <c r="V82" s="154" t="s">
        <v>60</v>
      </c>
      <c r="W82" s="154" t="s">
        <v>60</v>
      </c>
      <c r="X82" s="154" t="s">
        <v>66</v>
      </c>
      <c r="Y82" s="154" t="s">
        <v>66</v>
      </c>
      <c r="Z82" s="154" t="s">
        <v>60</v>
      </c>
      <c r="AA82" s="154"/>
      <c r="AB82" s="242" t="str">
        <f t="shared" si="2"/>
        <v>#ERROR!</v>
      </c>
      <c r="AC82" s="154" t="s">
        <v>391</v>
      </c>
      <c r="AD82" s="242" t="b">
        <f t="shared" si="3"/>
        <v>0</v>
      </c>
      <c r="AE82" s="154"/>
      <c r="AF82" s="242" t="str">
        <f t="shared" si="4"/>
        <v>#ERROR!</v>
      </c>
      <c r="AG82" s="154" t="s">
        <v>652</v>
      </c>
      <c r="AH82" s="242" t="str">
        <f>IF(AG82="","N/A",INDIRECT("MTR!"&amp;ADDRESS(MATCH(LEFT(AG82,9),[1]MTR!C:C,0),COLUMN(J82)),TRUE) &amp; "")</f>
        <v>#ERROR!</v>
      </c>
      <c r="AI82" s="157" t="str">
        <f t="shared" si="5"/>
        <v>#ERROR!</v>
      </c>
    </row>
    <row r="83" ht="12.75" customHeight="1">
      <c r="A83" s="244" t="s">
        <v>5158</v>
      </c>
      <c r="B83" s="244" t="s">
        <v>231</v>
      </c>
      <c r="C83" s="244" t="s">
        <v>7001</v>
      </c>
      <c r="D83" s="154" t="s">
        <v>747</v>
      </c>
      <c r="E83" s="154"/>
      <c r="F83" s="154" t="str">
        <f t="array" ref="F83">XLOOKUP(Cover!$D$12,$R$1:$Z$1,$R83:$Z83)</f>
        <v>Mandatory</v>
      </c>
      <c r="G83" s="154" t="s">
        <v>7002</v>
      </c>
      <c r="H83" s="154" t="s">
        <v>6779</v>
      </c>
      <c r="I83" s="154" t="s">
        <v>6997</v>
      </c>
      <c r="J83" s="154" t="s">
        <v>6998</v>
      </c>
      <c r="K83" s="154" t="s">
        <v>6768</v>
      </c>
      <c r="L83" s="154" t="s">
        <v>6140</v>
      </c>
      <c r="M83" s="154" t="s">
        <v>1018</v>
      </c>
      <c r="N83" s="154" t="s">
        <v>759</v>
      </c>
      <c r="O83" s="247" t="s">
        <v>516</v>
      </c>
      <c r="P83" s="247" t="s">
        <v>6776</v>
      </c>
      <c r="Q83" s="154" t="str">
        <f t="shared" si="1"/>
        <v>#ERROR!</v>
      </c>
      <c r="R83" s="154" t="s">
        <v>66</v>
      </c>
      <c r="S83" s="154" t="s">
        <v>66</v>
      </c>
      <c r="T83" s="154" t="s">
        <v>66</v>
      </c>
      <c r="U83" s="154" t="s">
        <v>66</v>
      </c>
      <c r="V83" s="154" t="s">
        <v>60</v>
      </c>
      <c r="W83" s="154" t="s">
        <v>60</v>
      </c>
      <c r="X83" s="154" t="s">
        <v>66</v>
      </c>
      <c r="Y83" s="154" t="s">
        <v>66</v>
      </c>
      <c r="Z83" s="154" t="s">
        <v>60</v>
      </c>
      <c r="AA83" s="154"/>
      <c r="AB83" s="242" t="str">
        <f t="shared" si="2"/>
        <v>#ERROR!</v>
      </c>
      <c r="AC83" s="154" t="s">
        <v>391</v>
      </c>
      <c r="AD83" s="242" t="b">
        <f t="shared" si="3"/>
        <v>0</v>
      </c>
      <c r="AE83" s="154"/>
      <c r="AF83" s="242" t="str">
        <f t="shared" si="4"/>
        <v>#ERROR!</v>
      </c>
      <c r="AG83" s="154" t="s">
        <v>652</v>
      </c>
      <c r="AH83" s="242" t="str">
        <f>IF(AG83="","N/A",INDIRECT("MTR!"&amp;ADDRESS(MATCH(LEFT(AG83,9),[1]MTR!C:C,0),COLUMN(J83)),TRUE) &amp; "")</f>
        <v>#ERROR!</v>
      </c>
      <c r="AI83" s="157" t="str">
        <f t="shared" si="5"/>
        <v>#ERROR!</v>
      </c>
    </row>
    <row r="84" ht="12.75" customHeight="1">
      <c r="A84" s="244" t="s">
        <v>5158</v>
      </c>
      <c r="B84" s="244" t="s">
        <v>231</v>
      </c>
      <c r="C84" s="244" t="s">
        <v>7003</v>
      </c>
      <c r="D84" s="154" t="s">
        <v>747</v>
      </c>
      <c r="E84" s="154"/>
      <c r="F84" s="154" t="str">
        <f t="array" ref="F84">XLOOKUP(Cover!$D$12,$R$1:$Z$1,$R84:$Z84)</f>
        <v>Mandatory</v>
      </c>
      <c r="G84" s="154" t="s">
        <v>7004</v>
      </c>
      <c r="H84" s="154" t="s">
        <v>6771</v>
      </c>
      <c r="I84" s="154" t="s">
        <v>7005</v>
      </c>
      <c r="J84" s="154" t="s">
        <v>7006</v>
      </c>
      <c r="K84" s="154" t="s">
        <v>6768</v>
      </c>
      <c r="L84" s="154" t="s">
        <v>6140</v>
      </c>
      <c r="M84" s="154" t="s">
        <v>1018</v>
      </c>
      <c r="N84" s="154" t="s">
        <v>759</v>
      </c>
      <c r="O84" s="247" t="s">
        <v>516</v>
      </c>
      <c r="P84" s="247" t="s">
        <v>6776</v>
      </c>
      <c r="Q84" s="154" t="str">
        <f t="shared" si="1"/>
        <v>#ERROR!</v>
      </c>
      <c r="R84" s="154" t="s">
        <v>66</v>
      </c>
      <c r="S84" s="154" t="s">
        <v>66</v>
      </c>
      <c r="T84" s="154" t="s">
        <v>66</v>
      </c>
      <c r="U84" s="154" t="s">
        <v>66</v>
      </c>
      <c r="V84" s="154" t="s">
        <v>60</v>
      </c>
      <c r="W84" s="154" t="s">
        <v>60</v>
      </c>
      <c r="X84" s="154" t="s">
        <v>66</v>
      </c>
      <c r="Y84" s="154" t="s">
        <v>66</v>
      </c>
      <c r="Z84" s="154" t="s">
        <v>60</v>
      </c>
      <c r="AA84" s="154"/>
      <c r="AB84" s="242" t="str">
        <f t="shared" si="2"/>
        <v>#ERROR!</v>
      </c>
      <c r="AC84" s="154" t="s">
        <v>391</v>
      </c>
      <c r="AD84" s="242" t="b">
        <f t="shared" si="3"/>
        <v>0</v>
      </c>
      <c r="AE84" s="154"/>
      <c r="AF84" s="242" t="str">
        <f t="shared" si="4"/>
        <v>#ERROR!</v>
      </c>
      <c r="AG84" s="154" t="s">
        <v>652</v>
      </c>
      <c r="AH84" s="242" t="str">
        <f>IF(AG84="","N/A",INDIRECT("MTR!"&amp;ADDRESS(MATCH(LEFT(AG84,9),[1]MTR!C:C,0),COLUMN(J84)),TRUE) &amp; "")</f>
        <v>#ERROR!</v>
      </c>
      <c r="AI84" s="157" t="str">
        <f t="shared" si="5"/>
        <v>#ERROR!</v>
      </c>
    </row>
    <row r="85" ht="12.75" customHeight="1">
      <c r="A85" s="244" t="s">
        <v>5158</v>
      </c>
      <c r="B85" s="244" t="s">
        <v>231</v>
      </c>
      <c r="C85" s="244" t="s">
        <v>7007</v>
      </c>
      <c r="D85" s="154" t="s">
        <v>747</v>
      </c>
      <c r="E85" s="154"/>
      <c r="F85" s="154" t="str">
        <f t="array" ref="F85">XLOOKUP(Cover!$D$12,$R$1:$Z$1,$R85:$Z85)</f>
        <v>Mandatory</v>
      </c>
      <c r="G85" s="154" t="s">
        <v>7008</v>
      </c>
      <c r="H85" s="154" t="s">
        <v>6775</v>
      </c>
      <c r="I85" s="154" t="s">
        <v>7005</v>
      </c>
      <c r="J85" s="154" t="s">
        <v>7006</v>
      </c>
      <c r="K85" s="154" t="s">
        <v>6768</v>
      </c>
      <c r="L85" s="154" t="s">
        <v>6140</v>
      </c>
      <c r="M85" s="154" t="s">
        <v>1018</v>
      </c>
      <c r="N85" s="154" t="s">
        <v>759</v>
      </c>
      <c r="O85" s="247" t="s">
        <v>516</v>
      </c>
      <c r="P85" s="247" t="s">
        <v>6776</v>
      </c>
      <c r="Q85" s="154" t="str">
        <f t="shared" si="1"/>
        <v>#ERROR!</v>
      </c>
      <c r="R85" s="154" t="s">
        <v>66</v>
      </c>
      <c r="S85" s="154" t="s">
        <v>66</v>
      </c>
      <c r="T85" s="154" t="s">
        <v>66</v>
      </c>
      <c r="U85" s="154" t="s">
        <v>66</v>
      </c>
      <c r="V85" s="154" t="s">
        <v>60</v>
      </c>
      <c r="W85" s="154" t="s">
        <v>60</v>
      </c>
      <c r="X85" s="154" t="s">
        <v>66</v>
      </c>
      <c r="Y85" s="154" t="s">
        <v>66</v>
      </c>
      <c r="Z85" s="154" t="s">
        <v>60</v>
      </c>
      <c r="AA85" s="154"/>
      <c r="AB85" s="242" t="str">
        <f t="shared" si="2"/>
        <v>#ERROR!</v>
      </c>
      <c r="AC85" s="154" t="s">
        <v>391</v>
      </c>
      <c r="AD85" s="242" t="b">
        <f t="shared" si="3"/>
        <v>0</v>
      </c>
      <c r="AE85" s="154"/>
      <c r="AF85" s="242" t="str">
        <f t="shared" si="4"/>
        <v>#ERROR!</v>
      </c>
      <c r="AG85" s="154" t="s">
        <v>652</v>
      </c>
      <c r="AH85" s="242" t="str">
        <f>IF(AG85="","N/A",INDIRECT("MTR!"&amp;ADDRESS(MATCH(LEFT(AG85,9),[1]MTR!C:C,0),COLUMN(J85)),TRUE) &amp; "")</f>
        <v>#ERROR!</v>
      </c>
      <c r="AI85" s="157" t="str">
        <f t="shared" si="5"/>
        <v>#ERROR!</v>
      </c>
    </row>
    <row r="86" ht="12.75" customHeight="1">
      <c r="A86" s="244" t="s">
        <v>5158</v>
      </c>
      <c r="B86" s="244" t="s">
        <v>231</v>
      </c>
      <c r="C86" s="244" t="s">
        <v>7009</v>
      </c>
      <c r="D86" s="154" t="s">
        <v>747</v>
      </c>
      <c r="E86" s="154"/>
      <c r="F86" s="154" t="str">
        <f t="array" ref="F86">XLOOKUP(Cover!$D$12,$R$1:$Z$1,$R86:$Z86)</f>
        <v>Mandatory</v>
      </c>
      <c r="G86" s="154" t="s">
        <v>7010</v>
      </c>
      <c r="H86" s="154" t="s">
        <v>6782</v>
      </c>
      <c r="I86" s="154" t="s">
        <v>7005</v>
      </c>
      <c r="J86" s="154" t="s">
        <v>7006</v>
      </c>
      <c r="K86" s="154" t="s">
        <v>6768</v>
      </c>
      <c r="L86" s="154" t="s">
        <v>6140</v>
      </c>
      <c r="M86" s="154" t="s">
        <v>1018</v>
      </c>
      <c r="N86" s="154" t="s">
        <v>759</v>
      </c>
      <c r="O86" s="247" t="s">
        <v>516</v>
      </c>
      <c r="P86" s="247" t="s">
        <v>6776</v>
      </c>
      <c r="Q86" s="154" t="str">
        <f t="shared" si="1"/>
        <v>#ERROR!</v>
      </c>
      <c r="R86" s="154" t="s">
        <v>66</v>
      </c>
      <c r="S86" s="154" t="s">
        <v>66</v>
      </c>
      <c r="T86" s="154" t="s">
        <v>66</v>
      </c>
      <c r="U86" s="154" t="s">
        <v>66</v>
      </c>
      <c r="V86" s="154" t="s">
        <v>60</v>
      </c>
      <c r="W86" s="154" t="s">
        <v>60</v>
      </c>
      <c r="X86" s="154" t="s">
        <v>66</v>
      </c>
      <c r="Y86" s="154" t="s">
        <v>66</v>
      </c>
      <c r="Z86" s="154" t="s">
        <v>60</v>
      </c>
      <c r="AA86" s="154"/>
      <c r="AB86" s="242" t="str">
        <f t="shared" si="2"/>
        <v>#ERROR!</v>
      </c>
      <c r="AC86" s="154" t="s">
        <v>391</v>
      </c>
      <c r="AD86" s="242" t="b">
        <f t="shared" si="3"/>
        <v>0</v>
      </c>
      <c r="AE86" s="154"/>
      <c r="AF86" s="242" t="str">
        <f t="shared" si="4"/>
        <v>#ERROR!</v>
      </c>
      <c r="AG86" s="154" t="s">
        <v>652</v>
      </c>
      <c r="AH86" s="242" t="str">
        <f>IF(AG86="","N/A",INDIRECT("MTR!"&amp;ADDRESS(MATCH(LEFT(AG86,9),[1]MTR!C:C,0),COLUMN(J86)),TRUE) &amp; "")</f>
        <v>#ERROR!</v>
      </c>
      <c r="AI86" s="157" t="str">
        <f t="shared" si="5"/>
        <v>#ERROR!</v>
      </c>
    </row>
    <row r="87" ht="12.75" customHeight="1">
      <c r="A87" s="244" t="s">
        <v>5158</v>
      </c>
      <c r="B87" s="244" t="s">
        <v>231</v>
      </c>
      <c r="C87" s="244" t="s">
        <v>7011</v>
      </c>
      <c r="D87" s="154" t="s">
        <v>861</v>
      </c>
      <c r="E87" s="154"/>
      <c r="F87" s="154" t="str">
        <f t="array" ref="F87">XLOOKUP(Cover!$D$12,$R$1:$Z$1,$R87:$Z87)</f>
        <v>Mandatory</v>
      </c>
      <c r="G87" s="154" t="s">
        <v>7012</v>
      </c>
      <c r="H87" s="154" t="s">
        <v>6785</v>
      </c>
      <c r="I87" s="154" t="s">
        <v>7013</v>
      </c>
      <c r="J87" s="154" t="s">
        <v>7014</v>
      </c>
      <c r="K87" s="154" t="s">
        <v>6768</v>
      </c>
      <c r="L87" s="154" t="s">
        <v>6428</v>
      </c>
      <c r="M87" s="154" t="s">
        <v>1018</v>
      </c>
      <c r="N87" s="154" t="s">
        <v>759</v>
      </c>
      <c r="O87" s="247" t="s">
        <v>516</v>
      </c>
      <c r="P87" s="247" t="s">
        <v>6776</v>
      </c>
      <c r="Q87" s="154" t="str">
        <f t="shared" si="1"/>
        <v>#ERROR!</v>
      </c>
      <c r="R87" s="154" t="s">
        <v>66</v>
      </c>
      <c r="S87" s="154" t="s">
        <v>66</v>
      </c>
      <c r="T87" s="154" t="s">
        <v>66</v>
      </c>
      <c r="U87" s="154" t="s">
        <v>66</v>
      </c>
      <c r="V87" s="154" t="s">
        <v>60</v>
      </c>
      <c r="W87" s="154" t="s">
        <v>60</v>
      </c>
      <c r="X87" s="154" t="s">
        <v>66</v>
      </c>
      <c r="Y87" s="154" t="s">
        <v>66</v>
      </c>
      <c r="Z87" s="154" t="s">
        <v>60</v>
      </c>
      <c r="AA87" s="154"/>
      <c r="AB87" s="242" t="str">
        <f t="shared" si="2"/>
        <v>#ERROR!</v>
      </c>
      <c r="AC87" s="154" t="s">
        <v>391</v>
      </c>
      <c r="AD87" s="242" t="b">
        <f t="shared" si="3"/>
        <v>0</v>
      </c>
      <c r="AE87" s="154"/>
      <c r="AF87" s="242" t="str">
        <f t="shared" si="4"/>
        <v>#ERROR!</v>
      </c>
      <c r="AG87" s="154" t="s">
        <v>652</v>
      </c>
      <c r="AH87" s="242" t="str">
        <f>IF(AG87="","N/A",INDIRECT("MTR!"&amp;ADDRESS(MATCH(LEFT(AG87,9),[1]MTR!C:C,0),COLUMN(J87)),TRUE) &amp; "")</f>
        <v>#ERROR!</v>
      </c>
      <c r="AI87" s="157" t="str">
        <f t="shared" si="5"/>
        <v>#ERROR!</v>
      </c>
    </row>
    <row r="88" ht="12.75" customHeight="1">
      <c r="A88" s="244" t="s">
        <v>5158</v>
      </c>
      <c r="B88" s="244" t="s">
        <v>231</v>
      </c>
      <c r="C88" s="244" t="s">
        <v>7015</v>
      </c>
      <c r="D88" s="154" t="s">
        <v>861</v>
      </c>
      <c r="E88" s="154"/>
      <c r="F88" s="154" t="str">
        <f t="array" ref="F88">XLOOKUP(Cover!$D$12,$R$1:$Z$1,$R88:$Z88)</f>
        <v>Mandatory</v>
      </c>
      <c r="G88" s="154" t="s">
        <v>7016</v>
      </c>
      <c r="H88" s="154" t="s">
        <v>6771</v>
      </c>
      <c r="I88" s="154" t="s">
        <v>7013</v>
      </c>
      <c r="J88" s="154" t="s">
        <v>7014</v>
      </c>
      <c r="K88" s="154" t="s">
        <v>6768</v>
      </c>
      <c r="L88" s="154" t="s">
        <v>6428</v>
      </c>
      <c r="M88" s="154" t="s">
        <v>1018</v>
      </c>
      <c r="N88" s="154" t="s">
        <v>759</v>
      </c>
      <c r="O88" s="247" t="s">
        <v>516</v>
      </c>
      <c r="P88" s="247" t="s">
        <v>6776</v>
      </c>
      <c r="Q88" s="154" t="str">
        <f t="shared" si="1"/>
        <v>#ERROR!</v>
      </c>
      <c r="R88" s="154" t="s">
        <v>66</v>
      </c>
      <c r="S88" s="154" t="s">
        <v>66</v>
      </c>
      <c r="T88" s="154" t="s">
        <v>66</v>
      </c>
      <c r="U88" s="154" t="s">
        <v>66</v>
      </c>
      <c r="V88" s="154" t="s">
        <v>60</v>
      </c>
      <c r="W88" s="154" t="s">
        <v>60</v>
      </c>
      <c r="X88" s="154" t="s">
        <v>66</v>
      </c>
      <c r="Y88" s="154" t="s">
        <v>66</v>
      </c>
      <c r="Z88" s="154" t="s">
        <v>60</v>
      </c>
      <c r="AA88" s="154"/>
      <c r="AB88" s="242" t="str">
        <f t="shared" si="2"/>
        <v>#ERROR!</v>
      </c>
      <c r="AC88" s="154" t="s">
        <v>391</v>
      </c>
      <c r="AD88" s="242" t="b">
        <f t="shared" si="3"/>
        <v>0</v>
      </c>
      <c r="AE88" s="154"/>
      <c r="AF88" s="242" t="str">
        <f t="shared" si="4"/>
        <v>#ERROR!</v>
      </c>
      <c r="AG88" s="154" t="s">
        <v>652</v>
      </c>
      <c r="AH88" s="242" t="str">
        <f>IF(AG88="","N/A",INDIRECT("MTR!"&amp;ADDRESS(MATCH(LEFT(AG88,9),[1]MTR!C:C,0),COLUMN(J88)),TRUE) &amp; "")</f>
        <v>#ERROR!</v>
      </c>
      <c r="AI88" s="157" t="str">
        <f t="shared" si="5"/>
        <v>#ERROR!</v>
      </c>
    </row>
    <row r="89" ht="12.75" customHeight="1">
      <c r="A89" s="244" t="s">
        <v>5158</v>
      </c>
      <c r="B89" s="244" t="s">
        <v>231</v>
      </c>
      <c r="C89" s="244" t="s">
        <v>7017</v>
      </c>
      <c r="D89" s="154" t="s">
        <v>861</v>
      </c>
      <c r="E89" s="154"/>
      <c r="F89" s="154" t="str">
        <f t="array" ref="F89">XLOOKUP(Cover!$D$12,$R$1:$Z$1,$R89:$Z89)</f>
        <v>Recommended</v>
      </c>
      <c r="G89" s="154" t="s">
        <v>7018</v>
      </c>
      <c r="H89" s="154" t="s">
        <v>6775</v>
      </c>
      <c r="I89" s="154" t="s">
        <v>7013</v>
      </c>
      <c r="J89" s="154" t="s">
        <v>7014</v>
      </c>
      <c r="K89" s="154" t="s">
        <v>6768</v>
      </c>
      <c r="L89" s="154" t="s">
        <v>6428</v>
      </c>
      <c r="M89" s="154"/>
      <c r="N89" s="154" t="s">
        <v>759</v>
      </c>
      <c r="O89" s="247" t="s">
        <v>516</v>
      </c>
      <c r="P89" s="247" t="s">
        <v>6776</v>
      </c>
      <c r="Q89" s="154" t="str">
        <f t="shared" si="1"/>
        <v>#ERROR!</v>
      </c>
      <c r="R89" s="154" t="s">
        <v>66</v>
      </c>
      <c r="S89" s="154" t="s">
        <v>66</v>
      </c>
      <c r="T89" s="154" t="s">
        <v>66</v>
      </c>
      <c r="U89" s="154" t="s">
        <v>66</v>
      </c>
      <c r="V89" s="154" t="s">
        <v>64</v>
      </c>
      <c r="W89" s="154" t="s">
        <v>64</v>
      </c>
      <c r="X89" s="154" t="s">
        <v>66</v>
      </c>
      <c r="Y89" s="154" t="s">
        <v>66</v>
      </c>
      <c r="Z89" s="154" t="s">
        <v>64</v>
      </c>
      <c r="AA89" s="154"/>
      <c r="AB89" s="242" t="str">
        <f t="shared" si="2"/>
        <v>#ERROR!</v>
      </c>
      <c r="AC89" s="154" t="s">
        <v>391</v>
      </c>
      <c r="AD89" s="242" t="b">
        <f t="shared" si="3"/>
        <v>0</v>
      </c>
      <c r="AE89" s="154"/>
      <c r="AF89" s="242" t="str">
        <f t="shared" si="4"/>
        <v>#ERROR!</v>
      </c>
      <c r="AG89" s="154" t="s">
        <v>652</v>
      </c>
      <c r="AH89" s="242" t="str">
        <f>IF(AG89="","N/A",INDIRECT("MTR!"&amp;ADDRESS(MATCH(LEFT(AG89,9),[1]MTR!C:C,0),COLUMN(J89)),TRUE) &amp; "")</f>
        <v>#ERROR!</v>
      </c>
      <c r="AI89" s="157" t="str">
        <f t="shared" si="5"/>
        <v>#ERROR!</v>
      </c>
    </row>
    <row r="90" ht="12.75" customHeight="1">
      <c r="A90" s="244" t="s">
        <v>5158</v>
      </c>
      <c r="B90" s="244" t="s">
        <v>231</v>
      </c>
      <c r="C90" s="244" t="s">
        <v>7019</v>
      </c>
      <c r="D90" s="154" t="s">
        <v>1315</v>
      </c>
      <c r="E90" s="154"/>
      <c r="F90" s="154" t="str">
        <f t="array" ref="F90">XLOOKUP(Cover!$D$12,$R$1:$Z$1,$R90:$Z90)</f>
        <v>Mandatory</v>
      </c>
      <c r="G90" s="154" t="s">
        <v>7020</v>
      </c>
      <c r="H90" s="154" t="s">
        <v>6771</v>
      </c>
      <c r="I90" s="154" t="s">
        <v>7021</v>
      </c>
      <c r="J90" s="154" t="s">
        <v>7022</v>
      </c>
      <c r="K90" s="154" t="s">
        <v>6768</v>
      </c>
      <c r="L90" s="154" t="s">
        <v>6905</v>
      </c>
      <c r="M90" s="154" t="s">
        <v>1018</v>
      </c>
      <c r="N90" s="154" t="s">
        <v>759</v>
      </c>
      <c r="O90" s="247" t="s">
        <v>516</v>
      </c>
      <c r="P90" s="247" t="s">
        <v>6776</v>
      </c>
      <c r="Q90" s="154" t="str">
        <f t="shared" si="1"/>
        <v>#ERROR!</v>
      </c>
      <c r="R90" s="154" t="s">
        <v>66</v>
      </c>
      <c r="S90" s="154" t="s">
        <v>66</v>
      </c>
      <c r="T90" s="154" t="s">
        <v>66</v>
      </c>
      <c r="U90" s="154" t="s">
        <v>66</v>
      </c>
      <c r="V90" s="154" t="s">
        <v>60</v>
      </c>
      <c r="W90" s="154" t="s">
        <v>60</v>
      </c>
      <c r="X90" s="154" t="s">
        <v>66</v>
      </c>
      <c r="Y90" s="154" t="s">
        <v>66</v>
      </c>
      <c r="Z90" s="154" t="s">
        <v>60</v>
      </c>
      <c r="AA90" s="154"/>
      <c r="AB90" s="242" t="str">
        <f t="shared" si="2"/>
        <v>#ERROR!</v>
      </c>
      <c r="AC90" s="154" t="s">
        <v>391</v>
      </c>
      <c r="AD90" s="242" t="b">
        <f t="shared" si="3"/>
        <v>0</v>
      </c>
      <c r="AE90" s="154"/>
      <c r="AF90" s="242" t="str">
        <f t="shared" si="4"/>
        <v>#ERROR!</v>
      </c>
      <c r="AG90" s="154" t="s">
        <v>652</v>
      </c>
      <c r="AH90" s="242" t="str">
        <f>IF(AG90="","N/A",INDIRECT("MTR!"&amp;ADDRESS(MATCH(LEFT(AG90,9),[1]MTR!C:C,0),COLUMN(J90)),TRUE) &amp; "")</f>
        <v>#ERROR!</v>
      </c>
      <c r="AI90" s="157" t="str">
        <f t="shared" si="5"/>
        <v>#ERROR!</v>
      </c>
    </row>
    <row r="91" ht="12.75" customHeight="1">
      <c r="A91" s="244" t="s">
        <v>5158</v>
      </c>
      <c r="B91" s="244" t="s">
        <v>231</v>
      </c>
      <c r="C91" s="244" t="s">
        <v>7023</v>
      </c>
      <c r="D91" s="154" t="s">
        <v>1315</v>
      </c>
      <c r="E91" s="154"/>
      <c r="F91" s="154" t="str">
        <f t="array" ref="F91">XLOOKUP(Cover!$D$12,$R$1:$Z$1,$R91:$Z91)</f>
        <v>Mandatory</v>
      </c>
      <c r="G91" s="154" t="s">
        <v>7024</v>
      </c>
      <c r="H91" s="154" t="s">
        <v>6775</v>
      </c>
      <c r="I91" s="154" t="s">
        <v>7021</v>
      </c>
      <c r="J91" s="154" t="s">
        <v>7022</v>
      </c>
      <c r="K91" s="154" t="s">
        <v>6768</v>
      </c>
      <c r="L91" s="154" t="s">
        <v>6905</v>
      </c>
      <c r="M91" s="154" t="s">
        <v>1018</v>
      </c>
      <c r="N91" s="154" t="s">
        <v>759</v>
      </c>
      <c r="O91" s="247" t="s">
        <v>516</v>
      </c>
      <c r="P91" s="247" t="s">
        <v>6776</v>
      </c>
      <c r="Q91" s="154" t="str">
        <f t="shared" si="1"/>
        <v>#ERROR!</v>
      </c>
      <c r="R91" s="154" t="s">
        <v>66</v>
      </c>
      <c r="S91" s="154" t="s">
        <v>66</v>
      </c>
      <c r="T91" s="154" t="s">
        <v>66</v>
      </c>
      <c r="U91" s="154" t="s">
        <v>66</v>
      </c>
      <c r="V91" s="154" t="s">
        <v>60</v>
      </c>
      <c r="W91" s="154" t="s">
        <v>60</v>
      </c>
      <c r="X91" s="154" t="s">
        <v>66</v>
      </c>
      <c r="Y91" s="154" t="s">
        <v>66</v>
      </c>
      <c r="Z91" s="154" t="s">
        <v>60</v>
      </c>
      <c r="AA91" s="154"/>
      <c r="AB91" s="242" t="str">
        <f t="shared" si="2"/>
        <v>#ERROR!</v>
      </c>
      <c r="AC91" s="154" t="s">
        <v>391</v>
      </c>
      <c r="AD91" s="242" t="b">
        <f t="shared" si="3"/>
        <v>0</v>
      </c>
      <c r="AE91" s="154"/>
      <c r="AF91" s="242" t="str">
        <f t="shared" si="4"/>
        <v>#ERROR!</v>
      </c>
      <c r="AG91" s="154" t="s">
        <v>652</v>
      </c>
      <c r="AH91" s="242" t="str">
        <f>IF(AG91="","N/A",INDIRECT("MTR!"&amp;ADDRESS(MATCH(LEFT(AG91,9),[1]MTR!C:C,0),COLUMN(J91)),TRUE) &amp; "")</f>
        <v>#ERROR!</v>
      </c>
      <c r="AI91" s="157" t="str">
        <f t="shared" si="5"/>
        <v>#ERROR!</v>
      </c>
    </row>
    <row r="92" ht="12.75" customHeight="1">
      <c r="A92" s="244" t="s">
        <v>5158</v>
      </c>
      <c r="B92" s="244" t="s">
        <v>231</v>
      </c>
      <c r="C92" s="244" t="s">
        <v>7025</v>
      </c>
      <c r="D92" s="154" t="s">
        <v>1315</v>
      </c>
      <c r="E92" s="154"/>
      <c r="F92" s="154" t="str">
        <f t="array" ref="F92">XLOOKUP(Cover!$D$12,$R$1:$Z$1,$R92:$Z92)</f>
        <v>Recommended</v>
      </c>
      <c r="G92" s="154" t="s">
        <v>7026</v>
      </c>
      <c r="H92" s="154" t="s">
        <v>6771</v>
      </c>
      <c r="I92" s="154" t="s">
        <v>7027</v>
      </c>
      <c r="J92" s="154" t="s">
        <v>7028</v>
      </c>
      <c r="K92" s="154" t="s">
        <v>6768</v>
      </c>
      <c r="L92" s="154" t="s">
        <v>6905</v>
      </c>
      <c r="M92" s="154"/>
      <c r="N92" s="154" t="s">
        <v>759</v>
      </c>
      <c r="O92" s="247" t="s">
        <v>516</v>
      </c>
      <c r="P92" s="247" t="s">
        <v>6776</v>
      </c>
      <c r="Q92" s="154" t="str">
        <f t="shared" si="1"/>
        <v>#ERROR!</v>
      </c>
      <c r="R92" s="154" t="s">
        <v>66</v>
      </c>
      <c r="S92" s="154" t="s">
        <v>66</v>
      </c>
      <c r="T92" s="154" t="s">
        <v>66</v>
      </c>
      <c r="U92" s="154" t="s">
        <v>66</v>
      </c>
      <c r="V92" s="154" t="s">
        <v>64</v>
      </c>
      <c r="W92" s="154" t="s">
        <v>64</v>
      </c>
      <c r="X92" s="154" t="s">
        <v>66</v>
      </c>
      <c r="Y92" s="154" t="s">
        <v>66</v>
      </c>
      <c r="Z92" s="154" t="s">
        <v>64</v>
      </c>
      <c r="AA92" s="154"/>
      <c r="AB92" s="242" t="str">
        <f t="shared" si="2"/>
        <v>#ERROR!</v>
      </c>
      <c r="AC92" s="154" t="s">
        <v>391</v>
      </c>
      <c r="AD92" s="242" t="b">
        <f t="shared" si="3"/>
        <v>0</v>
      </c>
      <c r="AE92" s="154"/>
      <c r="AF92" s="242" t="str">
        <f t="shared" si="4"/>
        <v>#ERROR!</v>
      </c>
      <c r="AG92" s="154" t="s">
        <v>652</v>
      </c>
      <c r="AH92" s="242" t="str">
        <f>IF(AG92="","N/A",INDIRECT("MTR!"&amp;ADDRESS(MATCH(LEFT(AG92,9),[1]MTR!C:C,0),COLUMN(J92)),TRUE) &amp; "")</f>
        <v>#ERROR!</v>
      </c>
      <c r="AI92" s="157" t="str">
        <f t="shared" si="5"/>
        <v>#ERROR!</v>
      </c>
    </row>
    <row r="93" ht="12.75" customHeight="1">
      <c r="A93" s="244" t="s">
        <v>5158</v>
      </c>
      <c r="B93" s="244" t="s">
        <v>231</v>
      </c>
      <c r="C93" s="244" t="s">
        <v>7029</v>
      </c>
      <c r="D93" s="154" t="s">
        <v>1315</v>
      </c>
      <c r="E93" s="154"/>
      <c r="F93" s="154" t="str">
        <f t="array" ref="F93">XLOOKUP(Cover!$D$12,$R$1:$Z$1,$R93:$Z93)</f>
        <v>Recommended</v>
      </c>
      <c r="G93" s="154" t="s">
        <v>7030</v>
      </c>
      <c r="H93" s="154" t="s">
        <v>6779</v>
      </c>
      <c r="I93" s="154" t="s">
        <v>7027</v>
      </c>
      <c r="J93" s="154" t="s">
        <v>7028</v>
      </c>
      <c r="K93" s="154" t="s">
        <v>6768</v>
      </c>
      <c r="L93" s="154" t="s">
        <v>6905</v>
      </c>
      <c r="M93" s="154"/>
      <c r="N93" s="154" t="s">
        <v>759</v>
      </c>
      <c r="O93" s="247" t="s">
        <v>516</v>
      </c>
      <c r="P93" s="247" t="s">
        <v>6776</v>
      </c>
      <c r="Q93" s="154" t="str">
        <f t="shared" si="1"/>
        <v>#ERROR!</v>
      </c>
      <c r="R93" s="154" t="s">
        <v>66</v>
      </c>
      <c r="S93" s="154" t="s">
        <v>66</v>
      </c>
      <c r="T93" s="154" t="s">
        <v>66</v>
      </c>
      <c r="U93" s="154" t="s">
        <v>66</v>
      </c>
      <c r="V93" s="154" t="s">
        <v>64</v>
      </c>
      <c r="W93" s="154" t="s">
        <v>64</v>
      </c>
      <c r="X93" s="154" t="s">
        <v>66</v>
      </c>
      <c r="Y93" s="154" t="s">
        <v>66</v>
      </c>
      <c r="Z93" s="154" t="s">
        <v>64</v>
      </c>
      <c r="AA93" s="154"/>
      <c r="AB93" s="242" t="str">
        <f t="shared" si="2"/>
        <v>#ERROR!</v>
      </c>
      <c r="AC93" s="154" t="s">
        <v>391</v>
      </c>
      <c r="AD93" s="242" t="b">
        <f t="shared" si="3"/>
        <v>0</v>
      </c>
      <c r="AE93" s="154"/>
      <c r="AF93" s="242" t="str">
        <f t="shared" si="4"/>
        <v>#ERROR!</v>
      </c>
      <c r="AG93" s="154" t="s">
        <v>652</v>
      </c>
      <c r="AH93" s="242" t="str">
        <f>IF(AG93="","N/A",INDIRECT("MTR!"&amp;ADDRESS(MATCH(LEFT(AG93,9),[1]MTR!C:C,0),COLUMN(J93)),TRUE) &amp; "")</f>
        <v>#ERROR!</v>
      </c>
      <c r="AI93" s="157" t="str">
        <f t="shared" si="5"/>
        <v>#ERROR!</v>
      </c>
    </row>
    <row r="94" ht="12.75" customHeight="1">
      <c r="A94" s="244" t="s">
        <v>5158</v>
      </c>
      <c r="B94" s="244" t="s">
        <v>231</v>
      </c>
      <c r="C94" s="244" t="s">
        <v>7031</v>
      </c>
      <c r="D94" s="154" t="s">
        <v>1315</v>
      </c>
      <c r="E94" s="154"/>
      <c r="F94" s="154" t="str">
        <f t="array" ref="F94">XLOOKUP(Cover!$D$12,$R$1:$Z$1,$R94:$Z94)</f>
        <v>Recommended</v>
      </c>
      <c r="G94" s="154" t="s">
        <v>7032</v>
      </c>
      <c r="H94" s="154" t="s">
        <v>6782</v>
      </c>
      <c r="I94" s="154" t="s">
        <v>7027</v>
      </c>
      <c r="J94" s="154" t="s">
        <v>7028</v>
      </c>
      <c r="K94" s="154" t="s">
        <v>6768</v>
      </c>
      <c r="L94" s="154" t="s">
        <v>6905</v>
      </c>
      <c r="M94" s="154"/>
      <c r="N94" s="154" t="s">
        <v>759</v>
      </c>
      <c r="O94" s="247" t="s">
        <v>516</v>
      </c>
      <c r="P94" s="247" t="s">
        <v>6776</v>
      </c>
      <c r="Q94" s="154" t="str">
        <f t="shared" si="1"/>
        <v>#ERROR!</v>
      </c>
      <c r="R94" s="154" t="s">
        <v>66</v>
      </c>
      <c r="S94" s="154" t="s">
        <v>66</v>
      </c>
      <c r="T94" s="154" t="s">
        <v>66</v>
      </c>
      <c r="U94" s="154" t="s">
        <v>66</v>
      </c>
      <c r="V94" s="154" t="s">
        <v>64</v>
      </c>
      <c r="W94" s="154" t="s">
        <v>64</v>
      </c>
      <c r="X94" s="154" t="s">
        <v>66</v>
      </c>
      <c r="Y94" s="154" t="s">
        <v>66</v>
      </c>
      <c r="Z94" s="154" t="s">
        <v>64</v>
      </c>
      <c r="AA94" s="154"/>
      <c r="AB94" s="242" t="str">
        <f t="shared" si="2"/>
        <v>#ERROR!</v>
      </c>
      <c r="AC94" s="154" t="s">
        <v>391</v>
      </c>
      <c r="AD94" s="242" t="b">
        <f t="shared" si="3"/>
        <v>0</v>
      </c>
      <c r="AE94" s="154"/>
      <c r="AF94" s="242" t="str">
        <f t="shared" si="4"/>
        <v>#ERROR!</v>
      </c>
      <c r="AG94" s="154" t="s">
        <v>652</v>
      </c>
      <c r="AH94" s="242" t="str">
        <f>IF(AG94="","N/A",INDIRECT("MTR!"&amp;ADDRESS(MATCH(LEFT(AG94,9),[1]MTR!C:C,0),COLUMN(J94)),TRUE) &amp; "")</f>
        <v>#ERROR!</v>
      </c>
      <c r="AI94" s="157" t="str">
        <f t="shared" si="5"/>
        <v>#ERROR!</v>
      </c>
    </row>
    <row r="95" ht="12.75" customHeight="1">
      <c r="A95" s="244" t="s">
        <v>5158</v>
      </c>
      <c r="B95" s="244" t="s">
        <v>231</v>
      </c>
      <c r="C95" s="244" t="s">
        <v>7033</v>
      </c>
      <c r="D95" s="154" t="s">
        <v>1069</v>
      </c>
      <c r="E95" s="154"/>
      <c r="F95" s="154" t="str">
        <f t="array" ref="F95">XLOOKUP(Cover!$D$12,$R$1:$Z$1,$R95:$Z95)</f>
        <v>Mandatory</v>
      </c>
      <c r="G95" s="154" t="s">
        <v>7034</v>
      </c>
      <c r="H95" s="154" t="s">
        <v>6771</v>
      </c>
      <c r="I95" s="154" t="s">
        <v>7035</v>
      </c>
      <c r="J95" s="154" t="s">
        <v>7036</v>
      </c>
      <c r="K95" s="154" t="s">
        <v>6768</v>
      </c>
      <c r="L95" s="154" t="s">
        <v>5927</v>
      </c>
      <c r="M95" s="154" t="s">
        <v>1018</v>
      </c>
      <c r="N95" s="154" t="s">
        <v>759</v>
      </c>
      <c r="O95" s="247" t="s">
        <v>516</v>
      </c>
      <c r="P95" s="247" t="s">
        <v>6776</v>
      </c>
      <c r="Q95" s="154" t="str">
        <f t="shared" si="1"/>
        <v>#ERROR!</v>
      </c>
      <c r="R95" s="154" t="s">
        <v>66</v>
      </c>
      <c r="S95" s="154" t="s">
        <v>66</v>
      </c>
      <c r="T95" s="154" t="s">
        <v>66</v>
      </c>
      <c r="U95" s="154" t="s">
        <v>66</v>
      </c>
      <c r="V95" s="154" t="s">
        <v>60</v>
      </c>
      <c r="W95" s="154" t="s">
        <v>60</v>
      </c>
      <c r="X95" s="154" t="s">
        <v>66</v>
      </c>
      <c r="Y95" s="154" t="s">
        <v>66</v>
      </c>
      <c r="Z95" s="154" t="s">
        <v>60</v>
      </c>
      <c r="AA95" s="154"/>
      <c r="AB95" s="242" t="str">
        <f t="shared" si="2"/>
        <v>#ERROR!</v>
      </c>
      <c r="AC95" s="154" t="s">
        <v>391</v>
      </c>
      <c r="AD95" s="242" t="b">
        <f t="shared" si="3"/>
        <v>0</v>
      </c>
      <c r="AE95" s="154"/>
      <c r="AF95" s="242" t="str">
        <f t="shared" si="4"/>
        <v>#ERROR!</v>
      </c>
      <c r="AG95" s="154" t="s">
        <v>652</v>
      </c>
      <c r="AH95" s="242" t="str">
        <f>IF(AG95="","N/A",INDIRECT("MTR!"&amp;ADDRESS(MATCH(LEFT(AG95,9),[1]MTR!C:C,0),COLUMN(J95)),TRUE) &amp; "")</f>
        <v>#ERROR!</v>
      </c>
      <c r="AI95" s="157" t="str">
        <f t="shared" si="5"/>
        <v>#ERROR!</v>
      </c>
    </row>
    <row r="96" ht="12.75" customHeight="1">
      <c r="A96" s="244" t="s">
        <v>5158</v>
      </c>
      <c r="B96" s="244" t="s">
        <v>231</v>
      </c>
      <c r="C96" s="244" t="s">
        <v>7037</v>
      </c>
      <c r="D96" s="154" t="s">
        <v>1069</v>
      </c>
      <c r="E96" s="154"/>
      <c r="F96" s="154" t="str">
        <f t="array" ref="F96">XLOOKUP(Cover!$D$12,$R$1:$Z$1,$R96:$Z96)</f>
        <v>Mandatory</v>
      </c>
      <c r="G96" s="154" t="s">
        <v>7038</v>
      </c>
      <c r="H96" s="154" t="s">
        <v>6779</v>
      </c>
      <c r="I96" s="154" t="s">
        <v>7035</v>
      </c>
      <c r="J96" s="154" t="s">
        <v>7036</v>
      </c>
      <c r="K96" s="154" t="s">
        <v>6768</v>
      </c>
      <c r="L96" s="154" t="s">
        <v>5927</v>
      </c>
      <c r="M96" s="154" t="s">
        <v>1018</v>
      </c>
      <c r="N96" s="154" t="s">
        <v>759</v>
      </c>
      <c r="O96" s="247" t="s">
        <v>516</v>
      </c>
      <c r="P96" s="247" t="s">
        <v>6776</v>
      </c>
      <c r="Q96" s="154" t="str">
        <f t="shared" si="1"/>
        <v>#ERROR!</v>
      </c>
      <c r="R96" s="154" t="s">
        <v>66</v>
      </c>
      <c r="S96" s="154" t="s">
        <v>66</v>
      </c>
      <c r="T96" s="154" t="s">
        <v>66</v>
      </c>
      <c r="U96" s="154" t="s">
        <v>66</v>
      </c>
      <c r="V96" s="154" t="s">
        <v>60</v>
      </c>
      <c r="W96" s="154" t="s">
        <v>60</v>
      </c>
      <c r="X96" s="154" t="s">
        <v>66</v>
      </c>
      <c r="Y96" s="154" t="s">
        <v>66</v>
      </c>
      <c r="Z96" s="154" t="s">
        <v>60</v>
      </c>
      <c r="AA96" s="154"/>
      <c r="AB96" s="242" t="str">
        <f t="shared" si="2"/>
        <v>#ERROR!</v>
      </c>
      <c r="AC96" s="154" t="s">
        <v>391</v>
      </c>
      <c r="AD96" s="242" t="b">
        <f t="shared" si="3"/>
        <v>0</v>
      </c>
      <c r="AE96" s="154"/>
      <c r="AF96" s="242" t="str">
        <f t="shared" si="4"/>
        <v>#ERROR!</v>
      </c>
      <c r="AG96" s="154" t="s">
        <v>652</v>
      </c>
      <c r="AH96" s="242" t="str">
        <f>IF(AG96="","N/A",INDIRECT("MTR!"&amp;ADDRESS(MATCH(LEFT(AG96,9),[1]MTR!C:C,0),COLUMN(J96)),TRUE) &amp; "")</f>
        <v>#ERROR!</v>
      </c>
      <c r="AI96" s="157" t="str">
        <f t="shared" si="5"/>
        <v>#ERROR!</v>
      </c>
    </row>
    <row r="97" ht="12.75" customHeight="1">
      <c r="A97" s="244" t="s">
        <v>5158</v>
      </c>
      <c r="B97" s="244" t="s">
        <v>231</v>
      </c>
      <c r="C97" s="245" t="s">
        <v>7039</v>
      </c>
      <c r="D97" s="155" t="s">
        <v>1315</v>
      </c>
      <c r="E97" s="155" t="s">
        <v>92</v>
      </c>
      <c r="F97" s="154" t="str">
        <f t="array" ref="F97">XLOOKUP(Cover!$D$12,$R$1:$Z$1,$R97:$Z97)</f>
        <v>Recommended</v>
      </c>
      <c r="G97" s="154" t="s">
        <v>7040</v>
      </c>
      <c r="H97" s="154" t="s">
        <v>6771</v>
      </c>
      <c r="I97" s="154" t="s">
        <v>7041</v>
      </c>
      <c r="J97" s="154" t="s">
        <v>7042</v>
      </c>
      <c r="K97" s="154" t="s">
        <v>6768</v>
      </c>
      <c r="L97" s="154" t="s">
        <v>6884</v>
      </c>
      <c r="M97" s="154"/>
      <c r="N97" s="154" t="s">
        <v>759</v>
      </c>
      <c r="O97" s="247" t="s">
        <v>516</v>
      </c>
      <c r="P97" s="247" t="s">
        <v>6776</v>
      </c>
      <c r="Q97" s="154" t="str">
        <f t="shared" si="1"/>
        <v>#ERROR!</v>
      </c>
      <c r="R97" s="154" t="s">
        <v>66</v>
      </c>
      <c r="S97" s="154" t="s">
        <v>66</v>
      </c>
      <c r="T97" s="154" t="s">
        <v>66</v>
      </c>
      <c r="U97" s="154" t="s">
        <v>66</v>
      </c>
      <c r="V97" s="154" t="s">
        <v>64</v>
      </c>
      <c r="W97" s="154" t="s">
        <v>64</v>
      </c>
      <c r="X97" s="154" t="s">
        <v>66</v>
      </c>
      <c r="Y97" s="154" t="s">
        <v>66</v>
      </c>
      <c r="Z97" s="154" t="s">
        <v>64</v>
      </c>
      <c r="AA97" s="154"/>
      <c r="AB97" s="242" t="str">
        <f t="shared" si="2"/>
        <v>#ERROR!</v>
      </c>
      <c r="AC97" s="154" t="s">
        <v>391</v>
      </c>
      <c r="AD97" s="242" t="b">
        <f t="shared" si="3"/>
        <v>0</v>
      </c>
      <c r="AE97" s="154"/>
      <c r="AF97" s="242" t="str">
        <f t="shared" si="4"/>
        <v>#ERROR!</v>
      </c>
      <c r="AG97" s="154" t="s">
        <v>652</v>
      </c>
      <c r="AH97" s="242" t="str">
        <f>IF(AG97="","N/A",INDIRECT("MTR!"&amp;ADDRESS(MATCH(LEFT(AG97,9),[1]MTR!C:C,0),COLUMN(J97)),TRUE) &amp; "")</f>
        <v>#ERROR!</v>
      </c>
      <c r="AI97" s="157" t="str">
        <f t="shared" si="5"/>
        <v>#ERROR!</v>
      </c>
    </row>
    <row r="98" ht="12.75" customHeight="1">
      <c r="A98" s="244" t="s">
        <v>5158</v>
      </c>
      <c r="B98" s="244" t="s">
        <v>231</v>
      </c>
      <c r="C98" s="245" t="s">
        <v>7043</v>
      </c>
      <c r="D98" s="155" t="s">
        <v>1315</v>
      </c>
      <c r="E98" s="155" t="s">
        <v>92</v>
      </c>
      <c r="F98" s="154" t="str">
        <f t="array" ref="F98">XLOOKUP(Cover!$D$12,$R$1:$Z$1,$R98:$Z98)</f>
        <v>Recommended</v>
      </c>
      <c r="G98" s="154" t="s">
        <v>7044</v>
      </c>
      <c r="H98" s="154" t="s">
        <v>6782</v>
      </c>
      <c r="I98" s="154" t="s">
        <v>7041</v>
      </c>
      <c r="J98" s="154" t="s">
        <v>7042</v>
      </c>
      <c r="K98" s="154" t="s">
        <v>6768</v>
      </c>
      <c r="L98" s="154" t="s">
        <v>6884</v>
      </c>
      <c r="M98" s="154"/>
      <c r="N98" s="154" t="s">
        <v>759</v>
      </c>
      <c r="O98" s="247" t="s">
        <v>516</v>
      </c>
      <c r="P98" s="247" t="s">
        <v>6776</v>
      </c>
      <c r="Q98" s="154" t="str">
        <f t="shared" si="1"/>
        <v>#ERROR!</v>
      </c>
      <c r="R98" s="154" t="s">
        <v>66</v>
      </c>
      <c r="S98" s="154" t="s">
        <v>66</v>
      </c>
      <c r="T98" s="154" t="s">
        <v>66</v>
      </c>
      <c r="U98" s="154" t="s">
        <v>66</v>
      </c>
      <c r="V98" s="154" t="s">
        <v>64</v>
      </c>
      <c r="W98" s="154" t="s">
        <v>64</v>
      </c>
      <c r="X98" s="154" t="s">
        <v>66</v>
      </c>
      <c r="Y98" s="154" t="s">
        <v>66</v>
      </c>
      <c r="Z98" s="154" t="s">
        <v>64</v>
      </c>
      <c r="AA98" s="154"/>
      <c r="AB98" s="242" t="str">
        <f t="shared" si="2"/>
        <v>#ERROR!</v>
      </c>
      <c r="AC98" s="154" t="s">
        <v>391</v>
      </c>
      <c r="AD98" s="242" t="b">
        <f t="shared" si="3"/>
        <v>0</v>
      </c>
      <c r="AE98" s="154"/>
      <c r="AF98" s="242" t="str">
        <f t="shared" si="4"/>
        <v>#ERROR!</v>
      </c>
      <c r="AG98" s="154" t="s">
        <v>652</v>
      </c>
      <c r="AH98" s="242" t="str">
        <f>IF(AG98="","N/A",INDIRECT("MTR!"&amp;ADDRESS(MATCH(LEFT(AG98,9),[1]MTR!C:C,0),COLUMN(J98)),TRUE) &amp; "")</f>
        <v>#ERROR!</v>
      </c>
      <c r="AI98" s="157" t="str">
        <f t="shared" si="5"/>
        <v>#ERROR!</v>
      </c>
    </row>
    <row r="99" ht="12.75" customHeight="1">
      <c r="A99" s="244" t="s">
        <v>5158</v>
      </c>
      <c r="B99" s="244" t="s">
        <v>231</v>
      </c>
      <c r="C99" s="245" t="s">
        <v>7045</v>
      </c>
      <c r="D99" s="155" t="s">
        <v>1315</v>
      </c>
      <c r="E99" s="155" t="s">
        <v>92</v>
      </c>
      <c r="F99" s="154" t="str">
        <f t="array" ref="F99">XLOOKUP(Cover!$D$12,$R$1:$Z$1,$R99:$Z99)</f>
        <v>Recommended</v>
      </c>
      <c r="G99" s="154" t="s">
        <v>7046</v>
      </c>
      <c r="H99" s="154" t="s">
        <v>6785</v>
      </c>
      <c r="I99" s="154" t="s">
        <v>7041</v>
      </c>
      <c r="J99" s="154" t="s">
        <v>7042</v>
      </c>
      <c r="K99" s="154" t="s">
        <v>6768</v>
      </c>
      <c r="L99" s="154" t="s">
        <v>6884</v>
      </c>
      <c r="M99" s="154"/>
      <c r="N99" s="154" t="s">
        <v>759</v>
      </c>
      <c r="O99" s="247" t="s">
        <v>516</v>
      </c>
      <c r="P99" s="247" t="s">
        <v>6776</v>
      </c>
      <c r="Q99" s="154" t="str">
        <f t="shared" si="1"/>
        <v>#ERROR!</v>
      </c>
      <c r="R99" s="154" t="s">
        <v>66</v>
      </c>
      <c r="S99" s="154" t="s">
        <v>66</v>
      </c>
      <c r="T99" s="154" t="s">
        <v>66</v>
      </c>
      <c r="U99" s="154" t="s">
        <v>66</v>
      </c>
      <c r="V99" s="154" t="s">
        <v>64</v>
      </c>
      <c r="W99" s="154" t="s">
        <v>64</v>
      </c>
      <c r="X99" s="154" t="s">
        <v>66</v>
      </c>
      <c r="Y99" s="154" t="s">
        <v>66</v>
      </c>
      <c r="Z99" s="154" t="s">
        <v>64</v>
      </c>
      <c r="AA99" s="154"/>
      <c r="AB99" s="242" t="str">
        <f t="shared" si="2"/>
        <v>#ERROR!</v>
      </c>
      <c r="AC99" s="154" t="s">
        <v>391</v>
      </c>
      <c r="AD99" s="242" t="b">
        <f t="shared" si="3"/>
        <v>0</v>
      </c>
      <c r="AE99" s="154"/>
      <c r="AF99" s="242" t="str">
        <f t="shared" si="4"/>
        <v>#ERROR!</v>
      </c>
      <c r="AG99" s="154" t="s">
        <v>652</v>
      </c>
      <c r="AH99" s="242" t="str">
        <f>IF(AG99="","N/A",INDIRECT("MTR!"&amp;ADDRESS(MATCH(LEFT(AG99,9),[1]MTR!C:C,0),COLUMN(J99)),TRUE) &amp; "")</f>
        <v>#ERROR!</v>
      </c>
      <c r="AI99" s="157" t="str">
        <f t="shared" si="5"/>
        <v>#ERROR!</v>
      </c>
    </row>
    <row r="100" ht="12.75" customHeight="1">
      <c r="A100" s="244" t="s">
        <v>5158</v>
      </c>
      <c r="B100" s="244" t="s">
        <v>231</v>
      </c>
      <c r="C100" s="244" t="s">
        <v>7047</v>
      </c>
      <c r="D100" s="154" t="s">
        <v>861</v>
      </c>
      <c r="E100" s="154"/>
      <c r="F100" s="154" t="str">
        <f t="array" ref="F100">XLOOKUP(Cover!$D$12,$R$1:$Z$1,$R100:$Z100)</f>
        <v>Mandatory</v>
      </c>
      <c r="G100" s="154" t="s">
        <v>7048</v>
      </c>
      <c r="H100" s="154" t="s">
        <v>6782</v>
      </c>
      <c r="I100" s="154" t="s">
        <v>7049</v>
      </c>
      <c r="J100" s="154" t="s">
        <v>7050</v>
      </c>
      <c r="K100" s="154" t="s">
        <v>6768</v>
      </c>
      <c r="L100" s="154" t="s">
        <v>6428</v>
      </c>
      <c r="M100" s="154" t="s">
        <v>1018</v>
      </c>
      <c r="N100" s="154" t="s">
        <v>759</v>
      </c>
      <c r="O100" s="247" t="s">
        <v>516</v>
      </c>
      <c r="P100" s="247" t="s">
        <v>6776</v>
      </c>
      <c r="Q100" s="154" t="str">
        <f t="shared" si="1"/>
        <v>#ERROR!</v>
      </c>
      <c r="R100" s="154" t="s">
        <v>66</v>
      </c>
      <c r="S100" s="154" t="s">
        <v>66</v>
      </c>
      <c r="T100" s="154" t="s">
        <v>66</v>
      </c>
      <c r="U100" s="154" t="s">
        <v>66</v>
      </c>
      <c r="V100" s="154" t="s">
        <v>60</v>
      </c>
      <c r="W100" s="154" t="s">
        <v>60</v>
      </c>
      <c r="X100" s="154" t="s">
        <v>66</v>
      </c>
      <c r="Y100" s="154" t="s">
        <v>66</v>
      </c>
      <c r="Z100" s="154" t="s">
        <v>60</v>
      </c>
      <c r="AA100" s="154"/>
      <c r="AB100" s="242" t="str">
        <f t="shared" si="2"/>
        <v>#ERROR!</v>
      </c>
      <c r="AC100" s="154" t="s">
        <v>391</v>
      </c>
      <c r="AD100" s="242" t="b">
        <f t="shared" si="3"/>
        <v>0</v>
      </c>
      <c r="AE100" s="154"/>
      <c r="AF100" s="242" t="str">
        <f t="shared" si="4"/>
        <v>#ERROR!</v>
      </c>
      <c r="AG100" s="154" t="s">
        <v>652</v>
      </c>
      <c r="AH100" s="242" t="str">
        <f>IF(AG100="","N/A",INDIRECT("MTR!"&amp;ADDRESS(MATCH(LEFT(AG100,9),[1]MTR!C:C,0),COLUMN(J100)),TRUE) &amp; "")</f>
        <v>#ERROR!</v>
      </c>
      <c r="AI100" s="157" t="str">
        <f t="shared" si="5"/>
        <v>#ERROR!</v>
      </c>
    </row>
    <row r="101" ht="12.75" customHeight="1">
      <c r="A101" s="244" t="s">
        <v>5158</v>
      </c>
      <c r="B101" s="244" t="s">
        <v>231</v>
      </c>
      <c r="C101" s="244" t="s">
        <v>7051</v>
      </c>
      <c r="D101" s="154" t="s">
        <v>861</v>
      </c>
      <c r="E101" s="154"/>
      <c r="F101" s="154" t="str">
        <f t="array" ref="F101">XLOOKUP(Cover!$D$12,$R$1:$Z$1,$R101:$Z101)</f>
        <v>Mandatory</v>
      </c>
      <c r="G101" s="154" t="s">
        <v>7052</v>
      </c>
      <c r="H101" s="154" t="s">
        <v>6771</v>
      </c>
      <c r="I101" s="154" t="s">
        <v>7049</v>
      </c>
      <c r="J101" s="154" t="s">
        <v>7050</v>
      </c>
      <c r="K101" s="154" t="s">
        <v>6768</v>
      </c>
      <c r="L101" s="154" t="s">
        <v>6428</v>
      </c>
      <c r="M101" s="154" t="s">
        <v>1018</v>
      </c>
      <c r="N101" s="154" t="s">
        <v>759</v>
      </c>
      <c r="O101" s="247" t="s">
        <v>516</v>
      </c>
      <c r="P101" s="247" t="s">
        <v>6776</v>
      </c>
      <c r="Q101" s="154" t="str">
        <f t="shared" si="1"/>
        <v>#ERROR!</v>
      </c>
      <c r="R101" s="154" t="s">
        <v>66</v>
      </c>
      <c r="S101" s="154" t="s">
        <v>66</v>
      </c>
      <c r="T101" s="154" t="s">
        <v>66</v>
      </c>
      <c r="U101" s="154" t="s">
        <v>66</v>
      </c>
      <c r="V101" s="154" t="s">
        <v>60</v>
      </c>
      <c r="W101" s="154" t="s">
        <v>60</v>
      </c>
      <c r="X101" s="154" t="s">
        <v>66</v>
      </c>
      <c r="Y101" s="154" t="s">
        <v>66</v>
      </c>
      <c r="Z101" s="154" t="s">
        <v>60</v>
      </c>
      <c r="AA101" s="154"/>
      <c r="AB101" s="242" t="str">
        <f t="shared" si="2"/>
        <v>#ERROR!</v>
      </c>
      <c r="AC101" s="154" t="s">
        <v>391</v>
      </c>
      <c r="AD101" s="242" t="b">
        <f t="shared" si="3"/>
        <v>0</v>
      </c>
      <c r="AE101" s="154"/>
      <c r="AF101" s="242" t="str">
        <f t="shared" si="4"/>
        <v>#ERROR!</v>
      </c>
      <c r="AG101" s="154" t="s">
        <v>652</v>
      </c>
      <c r="AH101" s="242" t="str">
        <f>IF(AG101="","N/A",INDIRECT("MTR!"&amp;ADDRESS(MATCH(LEFT(AG101,9),[1]MTR!C:C,0),COLUMN(J101)),TRUE) &amp; "")</f>
        <v>#ERROR!</v>
      </c>
      <c r="AI101" s="157" t="str">
        <f t="shared" si="5"/>
        <v>#ERROR!</v>
      </c>
    </row>
    <row r="102" ht="12.75" customHeight="1">
      <c r="A102" s="244" t="s">
        <v>5158</v>
      </c>
      <c r="B102" s="244" t="s">
        <v>231</v>
      </c>
      <c r="C102" s="244" t="s">
        <v>7053</v>
      </c>
      <c r="D102" s="154" t="s">
        <v>1773</v>
      </c>
      <c r="E102" s="154"/>
      <c r="F102" s="154" t="str">
        <f t="array" ref="F102">XLOOKUP(Cover!$D$12,$R$1:$Z$1,$R102:$Z102)</f>
        <v>Information</v>
      </c>
      <c r="G102" s="154" t="s">
        <v>7054</v>
      </c>
      <c r="H102" s="154" t="s">
        <v>6771</v>
      </c>
      <c r="I102" s="154" t="s">
        <v>7055</v>
      </c>
      <c r="J102" s="154" t="s">
        <v>7056</v>
      </c>
      <c r="K102" s="154" t="s">
        <v>6768</v>
      </c>
      <c r="L102" s="154" t="s">
        <v>6126</v>
      </c>
      <c r="M102" s="154"/>
      <c r="N102" s="154" t="s">
        <v>759</v>
      </c>
      <c r="O102" s="247" t="s">
        <v>516</v>
      </c>
      <c r="P102" s="247" t="s">
        <v>6776</v>
      </c>
      <c r="Q102" s="154" t="str">
        <f t="shared" si="1"/>
        <v>#ERROR!</v>
      </c>
      <c r="R102" s="154" t="s">
        <v>66</v>
      </c>
      <c r="S102" s="154" t="s">
        <v>66</v>
      </c>
      <c r="T102" s="154" t="s">
        <v>66</v>
      </c>
      <c r="U102" s="154" t="s">
        <v>66</v>
      </c>
      <c r="V102" s="154" t="s">
        <v>66</v>
      </c>
      <c r="W102" s="154" t="s">
        <v>66</v>
      </c>
      <c r="X102" s="154" t="s">
        <v>66</v>
      </c>
      <c r="Y102" s="154" t="s">
        <v>66</v>
      </c>
      <c r="Z102" s="154" t="s">
        <v>66</v>
      </c>
      <c r="AA102" s="154"/>
      <c r="AB102" s="242" t="str">
        <f t="shared" si="2"/>
        <v>#ERROR!</v>
      </c>
      <c r="AC102" s="154" t="s">
        <v>391</v>
      </c>
      <c r="AD102" s="242" t="b">
        <f t="shared" si="3"/>
        <v>0</v>
      </c>
      <c r="AE102" s="154"/>
      <c r="AF102" s="242" t="str">
        <f t="shared" si="4"/>
        <v>#ERROR!</v>
      </c>
      <c r="AG102" s="154" t="s">
        <v>652</v>
      </c>
      <c r="AH102" s="242" t="str">
        <f>IF(AG102="","N/A",INDIRECT("MTR!"&amp;ADDRESS(MATCH(LEFT(AG102,9),[1]MTR!C:C,0),COLUMN(J102)),TRUE) &amp; "")</f>
        <v>#ERROR!</v>
      </c>
      <c r="AI102" s="157" t="str">
        <f t="shared" si="5"/>
        <v>#ERROR!</v>
      </c>
    </row>
    <row r="103" ht="12.75" customHeight="1">
      <c r="A103" s="244" t="s">
        <v>5158</v>
      </c>
      <c r="B103" s="244" t="s">
        <v>231</v>
      </c>
      <c r="C103" s="244" t="s">
        <v>7057</v>
      </c>
      <c r="D103" s="154" t="s">
        <v>1773</v>
      </c>
      <c r="E103" s="154"/>
      <c r="F103" s="154" t="str">
        <f t="array" ref="F103">XLOOKUP(Cover!$D$12,$R$1:$Z$1,$R103:$Z103)</f>
        <v>Information</v>
      </c>
      <c r="G103" s="154" t="s">
        <v>7058</v>
      </c>
      <c r="H103" s="154" t="s">
        <v>6785</v>
      </c>
      <c r="I103" s="154" t="s">
        <v>7055</v>
      </c>
      <c r="J103" s="154" t="s">
        <v>7056</v>
      </c>
      <c r="K103" s="154" t="s">
        <v>6768</v>
      </c>
      <c r="L103" s="154" t="s">
        <v>6126</v>
      </c>
      <c r="M103" s="154"/>
      <c r="N103" s="154" t="s">
        <v>759</v>
      </c>
      <c r="O103" s="247" t="s">
        <v>516</v>
      </c>
      <c r="P103" s="247" t="s">
        <v>6776</v>
      </c>
      <c r="Q103" s="154" t="str">
        <f t="shared" si="1"/>
        <v>#ERROR!</v>
      </c>
      <c r="R103" s="154" t="s">
        <v>66</v>
      </c>
      <c r="S103" s="154" t="s">
        <v>66</v>
      </c>
      <c r="T103" s="154" t="s">
        <v>66</v>
      </c>
      <c r="U103" s="154" t="s">
        <v>66</v>
      </c>
      <c r="V103" s="154" t="s">
        <v>66</v>
      </c>
      <c r="W103" s="154" t="s">
        <v>66</v>
      </c>
      <c r="X103" s="154" t="s">
        <v>66</v>
      </c>
      <c r="Y103" s="154" t="s">
        <v>66</v>
      </c>
      <c r="Z103" s="154" t="s">
        <v>66</v>
      </c>
      <c r="AA103" s="154"/>
      <c r="AB103" s="242" t="str">
        <f t="shared" si="2"/>
        <v>#ERROR!</v>
      </c>
      <c r="AC103" s="154" t="s">
        <v>391</v>
      </c>
      <c r="AD103" s="242" t="b">
        <f t="shared" si="3"/>
        <v>0</v>
      </c>
      <c r="AE103" s="154"/>
      <c r="AF103" s="242" t="str">
        <f t="shared" si="4"/>
        <v>#ERROR!</v>
      </c>
      <c r="AG103" s="154" t="s">
        <v>652</v>
      </c>
      <c r="AH103" s="242" t="str">
        <f>IF(AG103="","N/A",INDIRECT("MTR!"&amp;ADDRESS(MATCH(LEFT(AG103,9),[1]MTR!C:C,0),COLUMN(J103)),TRUE) &amp; "")</f>
        <v>#ERROR!</v>
      </c>
      <c r="AI103" s="157" t="str">
        <f t="shared" si="5"/>
        <v>#ERROR!</v>
      </c>
    </row>
    <row r="104" ht="12.75" customHeight="1">
      <c r="A104" s="244" t="s">
        <v>5158</v>
      </c>
      <c r="B104" s="244" t="s">
        <v>231</v>
      </c>
      <c r="C104" s="244" t="s">
        <v>7059</v>
      </c>
      <c r="D104" s="154" t="s">
        <v>781</v>
      </c>
      <c r="E104" s="154"/>
      <c r="F104" s="154" t="str">
        <f t="array" ref="F104">XLOOKUP(Cover!$D$12,$R$1:$Z$1,$R104:$Z104)</f>
        <v>Information</v>
      </c>
      <c r="G104" s="154" t="s">
        <v>7060</v>
      </c>
      <c r="H104" s="154" t="s">
        <v>6775</v>
      </c>
      <c r="I104" s="154" t="s">
        <v>7061</v>
      </c>
      <c r="J104" s="154" t="s">
        <v>7062</v>
      </c>
      <c r="K104" s="154" t="s">
        <v>6768</v>
      </c>
      <c r="L104" s="154" t="s">
        <v>6140</v>
      </c>
      <c r="M104" s="154"/>
      <c r="N104" s="154" t="s">
        <v>759</v>
      </c>
      <c r="O104" s="247" t="s">
        <v>516</v>
      </c>
      <c r="P104" s="247" t="s">
        <v>6859</v>
      </c>
      <c r="Q104" s="154" t="str">
        <f t="shared" si="1"/>
        <v>#ERROR!</v>
      </c>
      <c r="R104" s="154" t="s">
        <v>66</v>
      </c>
      <c r="S104" s="154" t="s">
        <v>66</v>
      </c>
      <c r="T104" s="154" t="s">
        <v>66</v>
      </c>
      <c r="U104" s="154" t="s">
        <v>66</v>
      </c>
      <c r="V104" s="154" t="s">
        <v>66</v>
      </c>
      <c r="W104" s="154" t="s">
        <v>66</v>
      </c>
      <c r="X104" s="154" t="s">
        <v>66</v>
      </c>
      <c r="Y104" s="154" t="s">
        <v>66</v>
      </c>
      <c r="Z104" s="154" t="s">
        <v>66</v>
      </c>
      <c r="AA104" s="154"/>
      <c r="AB104" s="242" t="str">
        <f t="shared" si="2"/>
        <v>#ERROR!</v>
      </c>
      <c r="AC104" s="154" t="s">
        <v>391</v>
      </c>
      <c r="AD104" s="242" t="b">
        <f t="shared" si="3"/>
        <v>0</v>
      </c>
      <c r="AE104" s="154"/>
      <c r="AF104" s="242" t="str">
        <f t="shared" si="4"/>
        <v>#ERROR!</v>
      </c>
      <c r="AG104" s="154" t="s">
        <v>652</v>
      </c>
      <c r="AH104" s="242" t="str">
        <f>IF(AG104="","N/A",INDIRECT("MTR!"&amp;ADDRESS(MATCH(LEFT(AG104,9),[1]MTR!C:C,0),COLUMN(J104)),TRUE) &amp; "")</f>
        <v>#ERROR!</v>
      </c>
      <c r="AI104" s="157" t="str">
        <f t="shared" si="5"/>
        <v>#ERROR!</v>
      </c>
    </row>
    <row r="105" ht="12.75" customHeight="1">
      <c r="A105" s="244" t="s">
        <v>5158</v>
      </c>
      <c r="B105" s="244" t="s">
        <v>231</v>
      </c>
      <c r="C105" s="244" t="s">
        <v>7063</v>
      </c>
      <c r="D105" s="154" t="s">
        <v>781</v>
      </c>
      <c r="E105" s="154"/>
      <c r="F105" s="154" t="str">
        <f t="array" ref="F105">XLOOKUP(Cover!$D$12,$R$1:$Z$1,$R105:$Z105)</f>
        <v>Information</v>
      </c>
      <c r="G105" s="154" t="s">
        <v>7064</v>
      </c>
      <c r="H105" s="154" t="s">
        <v>6779</v>
      </c>
      <c r="I105" s="154" t="s">
        <v>7061</v>
      </c>
      <c r="J105" s="154" t="s">
        <v>7062</v>
      </c>
      <c r="K105" s="154" t="s">
        <v>6768</v>
      </c>
      <c r="L105" s="154" t="s">
        <v>6140</v>
      </c>
      <c r="M105" s="154"/>
      <c r="N105" s="154" t="s">
        <v>759</v>
      </c>
      <c r="O105" s="247" t="s">
        <v>445</v>
      </c>
      <c r="P105" s="247" t="s">
        <v>89</v>
      </c>
      <c r="Q105" s="154" t="str">
        <f t="shared" si="1"/>
        <v>#ERROR!</v>
      </c>
      <c r="R105" s="154" t="s">
        <v>66</v>
      </c>
      <c r="S105" s="154" t="s">
        <v>66</v>
      </c>
      <c r="T105" s="154" t="s">
        <v>66</v>
      </c>
      <c r="U105" s="154" t="s">
        <v>66</v>
      </c>
      <c r="V105" s="154" t="s">
        <v>66</v>
      </c>
      <c r="W105" s="154" t="s">
        <v>66</v>
      </c>
      <c r="X105" s="154" t="s">
        <v>66</v>
      </c>
      <c r="Y105" s="154" t="s">
        <v>66</v>
      </c>
      <c r="Z105" s="154" t="s">
        <v>66</v>
      </c>
      <c r="AA105" s="154"/>
      <c r="AB105" s="242" t="str">
        <f t="shared" si="2"/>
        <v>#ERROR!</v>
      </c>
      <c r="AC105" s="154" t="s">
        <v>391</v>
      </c>
      <c r="AD105" s="242" t="b">
        <f t="shared" si="3"/>
        <v>0</v>
      </c>
      <c r="AE105" s="154"/>
      <c r="AF105" s="242" t="str">
        <f t="shared" si="4"/>
        <v>#ERROR!</v>
      </c>
      <c r="AG105" s="154" t="s">
        <v>652</v>
      </c>
      <c r="AH105" s="242" t="str">
        <f>IF(AG105="","N/A",INDIRECT("MTR!"&amp;ADDRESS(MATCH(LEFT(AG105,9),[1]MTR!C:C,0),COLUMN(J105)),TRUE) &amp; "")</f>
        <v>#ERROR!</v>
      </c>
      <c r="AI105" s="157" t="str">
        <f t="shared" si="5"/>
        <v>#ERROR!</v>
      </c>
    </row>
    <row r="106" ht="12.75" customHeight="1">
      <c r="A106" s="244" t="s">
        <v>5158</v>
      </c>
      <c r="B106" s="244" t="s">
        <v>231</v>
      </c>
      <c r="C106" s="244" t="s">
        <v>7065</v>
      </c>
      <c r="D106" s="154" t="s">
        <v>781</v>
      </c>
      <c r="E106" s="154"/>
      <c r="F106" s="154" t="str">
        <f t="array" ref="F106">XLOOKUP(Cover!$D$12,$R$1:$Z$1,$R106:$Z106)</f>
        <v>Recommended</v>
      </c>
      <c r="G106" s="154" t="s">
        <v>7066</v>
      </c>
      <c r="H106" s="154" t="s">
        <v>6775</v>
      </c>
      <c r="I106" s="154" t="s">
        <v>7067</v>
      </c>
      <c r="J106" s="154" t="s">
        <v>7068</v>
      </c>
      <c r="K106" s="154" t="s">
        <v>6768</v>
      </c>
      <c r="L106" s="154" t="s">
        <v>6942</v>
      </c>
      <c r="M106" s="154"/>
      <c r="N106" s="154" t="s">
        <v>759</v>
      </c>
      <c r="O106" s="247" t="s">
        <v>516</v>
      </c>
      <c r="P106" s="247" t="s">
        <v>6866</v>
      </c>
      <c r="Q106" s="154" t="str">
        <f t="shared" si="1"/>
        <v>#ERROR!</v>
      </c>
      <c r="R106" s="154" t="s">
        <v>66</v>
      </c>
      <c r="S106" s="154" t="s">
        <v>66</v>
      </c>
      <c r="T106" s="154" t="s">
        <v>66</v>
      </c>
      <c r="U106" s="154" t="s">
        <v>66</v>
      </c>
      <c r="V106" s="154" t="s">
        <v>64</v>
      </c>
      <c r="W106" s="154" t="s">
        <v>64</v>
      </c>
      <c r="X106" s="154" t="s">
        <v>66</v>
      </c>
      <c r="Y106" s="154" t="s">
        <v>66</v>
      </c>
      <c r="Z106" s="154" t="s">
        <v>64</v>
      </c>
      <c r="AA106" s="154"/>
      <c r="AB106" s="242" t="str">
        <f t="shared" si="2"/>
        <v>#ERROR!</v>
      </c>
      <c r="AC106" s="154" t="s">
        <v>391</v>
      </c>
      <c r="AD106" s="242" t="b">
        <f t="shared" si="3"/>
        <v>0</v>
      </c>
      <c r="AE106" s="154"/>
      <c r="AF106" s="242" t="str">
        <f t="shared" si="4"/>
        <v>#ERROR!</v>
      </c>
      <c r="AG106" s="154" t="s">
        <v>652</v>
      </c>
      <c r="AH106" s="242" t="str">
        <f>IF(AG106="","N/A",INDIRECT("MTR!"&amp;ADDRESS(MATCH(LEFT(AG106,9),[1]MTR!C:C,0),COLUMN(J106)),TRUE) &amp; "")</f>
        <v>#ERROR!</v>
      </c>
      <c r="AI106" s="157" t="str">
        <f t="shared" si="5"/>
        <v>#ERROR!</v>
      </c>
    </row>
    <row r="107" ht="12.75" customHeight="1">
      <c r="A107" s="244" t="s">
        <v>5158</v>
      </c>
      <c r="B107" s="244" t="s">
        <v>231</v>
      </c>
      <c r="C107" s="244" t="s">
        <v>7069</v>
      </c>
      <c r="D107" s="154" t="s">
        <v>781</v>
      </c>
      <c r="E107" s="154"/>
      <c r="F107" s="154" t="str">
        <f t="array" ref="F107">XLOOKUP(Cover!$D$12,$R$1:$Z$1,$R107:$Z107)</f>
        <v>Recommended</v>
      </c>
      <c r="G107" s="154" t="s">
        <v>7070</v>
      </c>
      <c r="H107" s="154" t="s">
        <v>6847</v>
      </c>
      <c r="I107" s="154" t="s">
        <v>7067</v>
      </c>
      <c r="J107" s="154" t="s">
        <v>7068</v>
      </c>
      <c r="K107" s="154" t="s">
        <v>6768</v>
      </c>
      <c r="L107" s="154" t="s">
        <v>6942</v>
      </c>
      <c r="M107" s="154"/>
      <c r="N107" s="154" t="s">
        <v>759</v>
      </c>
      <c r="O107" s="247" t="s">
        <v>516</v>
      </c>
      <c r="P107" s="247" t="s">
        <v>1575</v>
      </c>
      <c r="Q107" s="154" t="str">
        <f t="shared" si="1"/>
        <v>#ERROR!</v>
      </c>
      <c r="R107" s="154" t="s">
        <v>66</v>
      </c>
      <c r="S107" s="154" t="s">
        <v>66</v>
      </c>
      <c r="T107" s="154" t="s">
        <v>66</v>
      </c>
      <c r="U107" s="154" t="s">
        <v>66</v>
      </c>
      <c r="V107" s="154" t="s">
        <v>64</v>
      </c>
      <c r="W107" s="154" t="s">
        <v>64</v>
      </c>
      <c r="X107" s="154" t="s">
        <v>66</v>
      </c>
      <c r="Y107" s="154" t="s">
        <v>66</v>
      </c>
      <c r="Z107" s="154" t="s">
        <v>64</v>
      </c>
      <c r="AA107" s="154"/>
      <c r="AB107" s="242" t="str">
        <f t="shared" si="2"/>
        <v>#ERROR!</v>
      </c>
      <c r="AC107" s="154" t="s">
        <v>391</v>
      </c>
      <c r="AD107" s="242" t="b">
        <f t="shared" si="3"/>
        <v>0</v>
      </c>
      <c r="AE107" s="154"/>
      <c r="AF107" s="242" t="str">
        <f t="shared" si="4"/>
        <v>#ERROR!</v>
      </c>
      <c r="AG107" s="154" t="s">
        <v>652</v>
      </c>
      <c r="AH107" s="242" t="str">
        <f>IF(AG107="","N/A",INDIRECT("MTR!"&amp;ADDRESS(MATCH(LEFT(AG107,9),[1]MTR!C:C,0),COLUMN(J107)),TRUE) &amp; "")</f>
        <v>#ERROR!</v>
      </c>
      <c r="AI107" s="157" t="str">
        <f t="shared" si="5"/>
        <v>#ERROR!</v>
      </c>
    </row>
    <row r="108" ht="12.75" customHeight="1">
      <c r="A108" s="244" t="s">
        <v>5158</v>
      </c>
      <c r="B108" s="244" t="s">
        <v>231</v>
      </c>
      <c r="C108" s="244" t="s">
        <v>7071</v>
      </c>
      <c r="D108" s="154" t="s">
        <v>781</v>
      </c>
      <c r="E108" s="154"/>
      <c r="F108" s="154" t="str">
        <f t="array" ref="F108">XLOOKUP(Cover!$D$12,$R$1:$Z$1,$R108:$Z108)</f>
        <v>Mandatory</v>
      </c>
      <c r="G108" s="154" t="s">
        <v>7072</v>
      </c>
      <c r="H108" s="154" t="s">
        <v>6782</v>
      </c>
      <c r="I108" s="154" t="s">
        <v>7067</v>
      </c>
      <c r="J108" s="154" t="s">
        <v>7068</v>
      </c>
      <c r="K108" s="154" t="s">
        <v>6768</v>
      </c>
      <c r="L108" s="154" t="s">
        <v>6942</v>
      </c>
      <c r="M108" s="154" t="s">
        <v>1018</v>
      </c>
      <c r="N108" s="154" t="s">
        <v>759</v>
      </c>
      <c r="O108" s="247" t="s">
        <v>445</v>
      </c>
      <c r="P108" s="247" t="s">
        <v>89</v>
      </c>
      <c r="Q108" s="154" t="str">
        <f t="shared" si="1"/>
        <v>#ERROR!</v>
      </c>
      <c r="R108" s="154" t="s">
        <v>66</v>
      </c>
      <c r="S108" s="154" t="s">
        <v>66</v>
      </c>
      <c r="T108" s="154" t="s">
        <v>66</v>
      </c>
      <c r="U108" s="154" t="s">
        <v>66</v>
      </c>
      <c r="V108" s="154" t="s">
        <v>60</v>
      </c>
      <c r="W108" s="154" t="s">
        <v>60</v>
      </c>
      <c r="X108" s="154" t="s">
        <v>66</v>
      </c>
      <c r="Y108" s="154" t="s">
        <v>66</v>
      </c>
      <c r="Z108" s="154" t="s">
        <v>60</v>
      </c>
      <c r="AA108" s="154"/>
      <c r="AB108" s="242" t="str">
        <f t="shared" si="2"/>
        <v>#ERROR!</v>
      </c>
      <c r="AC108" s="154" t="s">
        <v>391</v>
      </c>
      <c r="AD108" s="242" t="b">
        <f t="shared" si="3"/>
        <v>0</v>
      </c>
      <c r="AE108" s="154"/>
      <c r="AF108" s="242" t="str">
        <f t="shared" si="4"/>
        <v>#ERROR!</v>
      </c>
      <c r="AG108" s="154" t="s">
        <v>652</v>
      </c>
      <c r="AH108" s="242" t="str">
        <f>IF(AG108="","N/A",INDIRECT("MTR!"&amp;ADDRESS(MATCH(LEFT(AG108,9),[1]MTR!C:C,0),COLUMN(J108)),TRUE) &amp; "")</f>
        <v>#ERROR!</v>
      </c>
      <c r="AI108" s="157" t="str">
        <f t="shared" si="5"/>
        <v>#ERROR!</v>
      </c>
    </row>
    <row r="109" ht="12.75" customHeight="1">
      <c r="A109" s="244" t="s">
        <v>5158</v>
      </c>
      <c r="B109" s="244" t="s">
        <v>231</v>
      </c>
      <c r="C109" s="244" t="s">
        <v>7073</v>
      </c>
      <c r="D109" s="154" t="s">
        <v>1315</v>
      </c>
      <c r="E109" s="154"/>
      <c r="F109" s="154" t="str">
        <f t="array" ref="F109">XLOOKUP(Cover!$D$12,$R$1:$Z$1,$R109:$Z109)</f>
        <v>Information</v>
      </c>
      <c r="G109" s="154" t="s">
        <v>7074</v>
      </c>
      <c r="H109" s="154" t="s">
        <v>6785</v>
      </c>
      <c r="I109" s="154" t="s">
        <v>7075</v>
      </c>
      <c r="J109" s="154" t="s">
        <v>7076</v>
      </c>
      <c r="K109" s="154" t="s">
        <v>6768</v>
      </c>
      <c r="L109" s="154" t="s">
        <v>6905</v>
      </c>
      <c r="M109" s="154"/>
      <c r="N109" s="154" t="s">
        <v>759</v>
      </c>
      <c r="O109" s="247" t="s">
        <v>516</v>
      </c>
      <c r="P109" s="247" t="s">
        <v>5876</v>
      </c>
      <c r="Q109" s="154" t="str">
        <f t="shared" si="1"/>
        <v>#ERROR!</v>
      </c>
      <c r="R109" s="154" t="s">
        <v>66</v>
      </c>
      <c r="S109" s="154" t="s">
        <v>66</v>
      </c>
      <c r="T109" s="154" t="s">
        <v>66</v>
      </c>
      <c r="U109" s="154" t="s">
        <v>66</v>
      </c>
      <c r="V109" s="154" t="s">
        <v>66</v>
      </c>
      <c r="W109" s="154" t="s">
        <v>66</v>
      </c>
      <c r="X109" s="154" t="s">
        <v>66</v>
      </c>
      <c r="Y109" s="154" t="s">
        <v>66</v>
      </c>
      <c r="Z109" s="154" t="s">
        <v>66</v>
      </c>
      <c r="AA109" s="154"/>
      <c r="AB109" s="242" t="str">
        <f t="shared" si="2"/>
        <v>#ERROR!</v>
      </c>
      <c r="AC109" s="154" t="s">
        <v>391</v>
      </c>
      <c r="AD109" s="242" t="b">
        <f t="shared" si="3"/>
        <v>0</v>
      </c>
      <c r="AE109" s="154"/>
      <c r="AF109" s="242" t="str">
        <f t="shared" si="4"/>
        <v>#ERROR!</v>
      </c>
      <c r="AG109" s="154" t="s">
        <v>652</v>
      </c>
      <c r="AH109" s="242" t="str">
        <f>IF(AG109="","N/A",INDIRECT("MTR!"&amp;ADDRESS(MATCH(LEFT(AG109,9),[1]MTR!C:C,0),COLUMN(J109)),TRUE) &amp; "")</f>
        <v>#ERROR!</v>
      </c>
      <c r="AI109" s="157" t="str">
        <f t="shared" si="5"/>
        <v>#ERROR!</v>
      </c>
    </row>
    <row r="110" ht="12.75" customHeight="1">
      <c r="A110" s="244" t="s">
        <v>5158</v>
      </c>
      <c r="B110" s="244" t="s">
        <v>231</v>
      </c>
      <c r="C110" s="244" t="s">
        <v>7077</v>
      </c>
      <c r="D110" s="154" t="s">
        <v>1315</v>
      </c>
      <c r="E110" s="154"/>
      <c r="F110" s="154" t="str">
        <f t="array" ref="F110">XLOOKUP(Cover!$D$12,$R$1:$Z$1,$R110:$Z110)</f>
        <v>Information</v>
      </c>
      <c r="G110" s="154" t="s">
        <v>7078</v>
      </c>
      <c r="H110" s="154" t="s">
        <v>6775</v>
      </c>
      <c r="I110" s="154" t="s">
        <v>7075</v>
      </c>
      <c r="J110" s="154" t="s">
        <v>7076</v>
      </c>
      <c r="K110" s="154" t="s">
        <v>6768</v>
      </c>
      <c r="L110" s="154" t="s">
        <v>6905</v>
      </c>
      <c r="M110" s="154"/>
      <c r="N110" s="154" t="s">
        <v>759</v>
      </c>
      <c r="O110" s="247" t="s">
        <v>516</v>
      </c>
      <c r="P110" s="247" t="s">
        <v>6776</v>
      </c>
      <c r="Q110" s="154" t="str">
        <f t="shared" si="1"/>
        <v>#ERROR!</v>
      </c>
      <c r="R110" s="154" t="s">
        <v>66</v>
      </c>
      <c r="S110" s="154" t="s">
        <v>66</v>
      </c>
      <c r="T110" s="154" t="s">
        <v>66</v>
      </c>
      <c r="U110" s="154" t="s">
        <v>66</v>
      </c>
      <c r="V110" s="154" t="s">
        <v>66</v>
      </c>
      <c r="W110" s="154" t="s">
        <v>66</v>
      </c>
      <c r="X110" s="154" t="s">
        <v>66</v>
      </c>
      <c r="Y110" s="154" t="s">
        <v>66</v>
      </c>
      <c r="Z110" s="154" t="s">
        <v>66</v>
      </c>
      <c r="AA110" s="154"/>
      <c r="AB110" s="242" t="str">
        <f t="shared" si="2"/>
        <v>#ERROR!</v>
      </c>
      <c r="AC110" s="154" t="s">
        <v>391</v>
      </c>
      <c r="AD110" s="242" t="b">
        <f t="shared" si="3"/>
        <v>0</v>
      </c>
      <c r="AE110" s="154"/>
      <c r="AF110" s="242" t="str">
        <f t="shared" si="4"/>
        <v>#ERROR!</v>
      </c>
      <c r="AG110" s="154" t="s">
        <v>652</v>
      </c>
      <c r="AH110" s="242" t="str">
        <f>IF(AG110="","N/A",INDIRECT("MTR!"&amp;ADDRESS(MATCH(LEFT(AG110,9),[1]MTR!C:C,0),COLUMN(J110)),TRUE) &amp; "")</f>
        <v>#ERROR!</v>
      </c>
      <c r="AI110" s="157" t="str">
        <f t="shared" si="5"/>
        <v>#ERROR!</v>
      </c>
    </row>
    <row r="111" ht="12.75" customHeight="1">
      <c r="A111" s="244" t="s">
        <v>5158</v>
      </c>
      <c r="B111" s="244" t="s">
        <v>231</v>
      </c>
      <c r="C111" s="244" t="s">
        <v>7079</v>
      </c>
      <c r="D111" s="154" t="s">
        <v>1315</v>
      </c>
      <c r="E111" s="154"/>
      <c r="F111" s="154" t="str">
        <f t="array" ref="F111">XLOOKUP(Cover!$D$12,$R$1:$Z$1,$R111:$Z111)</f>
        <v>Recommended</v>
      </c>
      <c r="G111" s="154" t="s">
        <v>7080</v>
      </c>
      <c r="H111" s="154" t="s">
        <v>6775</v>
      </c>
      <c r="I111" s="154" t="s">
        <v>7081</v>
      </c>
      <c r="J111" s="154" t="s">
        <v>7082</v>
      </c>
      <c r="K111" s="154" t="s">
        <v>6768</v>
      </c>
      <c r="L111" s="154" t="s">
        <v>6905</v>
      </c>
      <c r="M111" s="154"/>
      <c r="N111" s="154" t="s">
        <v>759</v>
      </c>
      <c r="O111" s="247" t="s">
        <v>516</v>
      </c>
      <c r="P111" s="247" t="s">
        <v>6776</v>
      </c>
      <c r="Q111" s="154" t="str">
        <f t="shared" si="1"/>
        <v>#ERROR!</v>
      </c>
      <c r="R111" s="154" t="s">
        <v>66</v>
      </c>
      <c r="S111" s="154" t="s">
        <v>66</v>
      </c>
      <c r="T111" s="154" t="s">
        <v>66</v>
      </c>
      <c r="U111" s="154" t="s">
        <v>66</v>
      </c>
      <c r="V111" s="154" t="s">
        <v>64</v>
      </c>
      <c r="W111" s="154" t="s">
        <v>64</v>
      </c>
      <c r="X111" s="154" t="s">
        <v>66</v>
      </c>
      <c r="Y111" s="154" t="s">
        <v>66</v>
      </c>
      <c r="Z111" s="154" t="s">
        <v>64</v>
      </c>
      <c r="AA111" s="154"/>
      <c r="AB111" s="242" t="str">
        <f t="shared" si="2"/>
        <v>#ERROR!</v>
      </c>
      <c r="AC111" s="154" t="s">
        <v>391</v>
      </c>
      <c r="AD111" s="242" t="b">
        <f t="shared" si="3"/>
        <v>0</v>
      </c>
      <c r="AE111" s="154"/>
      <c r="AF111" s="242" t="str">
        <f t="shared" si="4"/>
        <v>#ERROR!</v>
      </c>
      <c r="AG111" s="154" t="s">
        <v>652</v>
      </c>
      <c r="AH111" s="242" t="str">
        <f>IF(AG111="","N/A",INDIRECT("MTR!"&amp;ADDRESS(MATCH(LEFT(AG111,9),[1]MTR!C:C,0),COLUMN(J111)),TRUE) &amp; "")</f>
        <v>#ERROR!</v>
      </c>
      <c r="AI111" s="157" t="str">
        <f t="shared" si="5"/>
        <v>#ERROR!</v>
      </c>
    </row>
    <row r="112" ht="12.75" customHeight="1">
      <c r="A112" s="244" t="s">
        <v>5158</v>
      </c>
      <c r="B112" s="244" t="s">
        <v>231</v>
      </c>
      <c r="C112" s="244" t="s">
        <v>7083</v>
      </c>
      <c r="D112" s="154" t="s">
        <v>1315</v>
      </c>
      <c r="E112" s="154"/>
      <c r="F112" s="154" t="str">
        <f t="array" ref="F112">XLOOKUP(Cover!$D$12,$R$1:$Z$1,$R112:$Z112)</f>
        <v>Recommended</v>
      </c>
      <c r="G112" s="154" t="s">
        <v>7084</v>
      </c>
      <c r="H112" s="154" t="s">
        <v>6779</v>
      </c>
      <c r="I112" s="154" t="s">
        <v>7081</v>
      </c>
      <c r="J112" s="154" t="s">
        <v>7082</v>
      </c>
      <c r="K112" s="154" t="s">
        <v>6768</v>
      </c>
      <c r="L112" s="154" t="s">
        <v>6905</v>
      </c>
      <c r="M112" s="154"/>
      <c r="N112" s="154" t="s">
        <v>759</v>
      </c>
      <c r="O112" s="247" t="s">
        <v>516</v>
      </c>
      <c r="P112" s="247" t="s">
        <v>6776</v>
      </c>
      <c r="Q112" s="154" t="str">
        <f t="shared" si="1"/>
        <v>#ERROR!</v>
      </c>
      <c r="R112" s="154" t="s">
        <v>66</v>
      </c>
      <c r="S112" s="154" t="s">
        <v>66</v>
      </c>
      <c r="T112" s="154" t="s">
        <v>66</v>
      </c>
      <c r="U112" s="154" t="s">
        <v>66</v>
      </c>
      <c r="V112" s="154" t="s">
        <v>64</v>
      </c>
      <c r="W112" s="154" t="s">
        <v>64</v>
      </c>
      <c r="X112" s="154" t="s">
        <v>66</v>
      </c>
      <c r="Y112" s="154" t="s">
        <v>66</v>
      </c>
      <c r="Z112" s="154" t="s">
        <v>64</v>
      </c>
      <c r="AA112" s="154"/>
      <c r="AB112" s="242" t="str">
        <f t="shared" si="2"/>
        <v>#ERROR!</v>
      </c>
      <c r="AC112" s="154" t="s">
        <v>391</v>
      </c>
      <c r="AD112" s="242" t="b">
        <f t="shared" si="3"/>
        <v>0</v>
      </c>
      <c r="AE112" s="154"/>
      <c r="AF112" s="242" t="str">
        <f t="shared" si="4"/>
        <v>#ERROR!</v>
      </c>
      <c r="AG112" s="154" t="s">
        <v>652</v>
      </c>
      <c r="AH112" s="242" t="str">
        <f>IF(AG112="","N/A",INDIRECT("MTR!"&amp;ADDRESS(MATCH(LEFT(AG112,9),[1]MTR!C:C,0),COLUMN(J112)),TRUE) &amp; "")</f>
        <v>#ERROR!</v>
      </c>
      <c r="AI112" s="157" t="str">
        <f t="shared" si="5"/>
        <v>#ERROR!</v>
      </c>
    </row>
    <row r="113" ht="12.75" customHeight="1">
      <c r="A113" s="244" t="s">
        <v>5158</v>
      </c>
      <c r="B113" s="244" t="s">
        <v>231</v>
      </c>
      <c r="C113" s="244" t="s">
        <v>7085</v>
      </c>
      <c r="D113" s="154" t="s">
        <v>1315</v>
      </c>
      <c r="E113" s="154"/>
      <c r="F113" s="154" t="str">
        <f t="array" ref="F113">XLOOKUP(Cover!$D$12,$R$1:$Z$1,$R113:$Z113)</f>
        <v>Recommended</v>
      </c>
      <c r="G113" s="154" t="s">
        <v>7086</v>
      </c>
      <c r="H113" s="154" t="s">
        <v>6782</v>
      </c>
      <c r="I113" s="154" t="s">
        <v>7081</v>
      </c>
      <c r="J113" s="154" t="s">
        <v>7082</v>
      </c>
      <c r="K113" s="154" t="s">
        <v>6768</v>
      </c>
      <c r="L113" s="154" t="s">
        <v>6905</v>
      </c>
      <c r="M113" s="154"/>
      <c r="N113" s="154" t="s">
        <v>759</v>
      </c>
      <c r="O113" s="247" t="s">
        <v>516</v>
      </c>
      <c r="P113" s="247" t="s">
        <v>6776</v>
      </c>
      <c r="Q113" s="154" t="str">
        <f t="shared" si="1"/>
        <v>#ERROR!</v>
      </c>
      <c r="R113" s="154" t="s">
        <v>66</v>
      </c>
      <c r="S113" s="154" t="s">
        <v>66</v>
      </c>
      <c r="T113" s="154" t="s">
        <v>66</v>
      </c>
      <c r="U113" s="154" t="s">
        <v>66</v>
      </c>
      <c r="V113" s="154" t="s">
        <v>64</v>
      </c>
      <c r="W113" s="154" t="s">
        <v>64</v>
      </c>
      <c r="X113" s="154" t="s">
        <v>66</v>
      </c>
      <c r="Y113" s="154" t="s">
        <v>66</v>
      </c>
      <c r="Z113" s="154" t="s">
        <v>64</v>
      </c>
      <c r="AA113" s="154"/>
      <c r="AB113" s="242" t="str">
        <f t="shared" si="2"/>
        <v>#ERROR!</v>
      </c>
      <c r="AC113" s="154" t="s">
        <v>391</v>
      </c>
      <c r="AD113" s="242" t="b">
        <f t="shared" si="3"/>
        <v>0</v>
      </c>
      <c r="AE113" s="154"/>
      <c r="AF113" s="242" t="str">
        <f t="shared" si="4"/>
        <v>#ERROR!</v>
      </c>
      <c r="AG113" s="154" t="s">
        <v>652</v>
      </c>
      <c r="AH113" s="242" t="str">
        <f>IF(AG113="","N/A",INDIRECT("MTR!"&amp;ADDRESS(MATCH(LEFT(AG113,9),[1]MTR!C:C,0),COLUMN(J113)),TRUE) &amp; "")</f>
        <v>#ERROR!</v>
      </c>
      <c r="AI113" s="157" t="str">
        <f t="shared" si="5"/>
        <v>#ERROR!</v>
      </c>
    </row>
    <row r="114" ht="12.75" customHeight="1">
      <c r="A114" s="244" t="s">
        <v>5158</v>
      </c>
      <c r="B114" s="244" t="s">
        <v>231</v>
      </c>
      <c r="C114" s="244" t="s">
        <v>7087</v>
      </c>
      <c r="D114" s="154" t="s">
        <v>1315</v>
      </c>
      <c r="E114" s="154"/>
      <c r="F114" s="154" t="str">
        <f t="array" ref="F114">XLOOKUP(Cover!$D$12,$R$1:$Z$1,$R114:$Z114)</f>
        <v>Mandatory</v>
      </c>
      <c r="G114" s="154" t="s">
        <v>7088</v>
      </c>
      <c r="H114" s="154" t="s">
        <v>6775</v>
      </c>
      <c r="I114" s="154" t="s">
        <v>7089</v>
      </c>
      <c r="J114" s="154" t="s">
        <v>7090</v>
      </c>
      <c r="K114" s="154" t="s">
        <v>6768</v>
      </c>
      <c r="L114" s="154" t="s">
        <v>6022</v>
      </c>
      <c r="M114" s="154" t="s">
        <v>1018</v>
      </c>
      <c r="N114" s="154" t="s">
        <v>759</v>
      </c>
      <c r="O114" s="247" t="s">
        <v>516</v>
      </c>
      <c r="P114" s="247" t="s">
        <v>6776</v>
      </c>
      <c r="Q114" s="154" t="str">
        <f t="shared" si="1"/>
        <v>#ERROR!</v>
      </c>
      <c r="R114" s="154" t="s">
        <v>66</v>
      </c>
      <c r="S114" s="154" t="s">
        <v>66</v>
      </c>
      <c r="T114" s="154" t="s">
        <v>66</v>
      </c>
      <c r="U114" s="154" t="s">
        <v>66</v>
      </c>
      <c r="V114" s="154" t="s">
        <v>60</v>
      </c>
      <c r="W114" s="154" t="s">
        <v>60</v>
      </c>
      <c r="X114" s="154" t="s">
        <v>66</v>
      </c>
      <c r="Y114" s="154" t="s">
        <v>66</v>
      </c>
      <c r="Z114" s="154" t="s">
        <v>60</v>
      </c>
      <c r="AA114" s="154"/>
      <c r="AB114" s="242" t="str">
        <f t="shared" si="2"/>
        <v>#ERROR!</v>
      </c>
      <c r="AC114" s="154" t="s">
        <v>391</v>
      </c>
      <c r="AD114" s="242" t="b">
        <f t="shared" si="3"/>
        <v>0</v>
      </c>
      <c r="AE114" s="154"/>
      <c r="AF114" s="242" t="str">
        <f t="shared" si="4"/>
        <v>#ERROR!</v>
      </c>
      <c r="AG114" s="154" t="s">
        <v>652</v>
      </c>
      <c r="AH114" s="242" t="str">
        <f>IF(AG114="","N/A",INDIRECT("MTR!"&amp;ADDRESS(MATCH(LEFT(AG114,9),[1]MTR!C:C,0),COLUMN(J114)),TRUE) &amp; "")</f>
        <v>#ERROR!</v>
      </c>
      <c r="AI114" s="157" t="str">
        <f t="shared" si="5"/>
        <v>#ERROR!</v>
      </c>
    </row>
    <row r="115" ht="12.75" customHeight="1">
      <c r="A115" s="244" t="s">
        <v>5158</v>
      </c>
      <c r="B115" s="244" t="s">
        <v>231</v>
      </c>
      <c r="C115" s="244" t="s">
        <v>7091</v>
      </c>
      <c r="D115" s="154" t="s">
        <v>1315</v>
      </c>
      <c r="E115" s="154"/>
      <c r="F115" s="154" t="str">
        <f t="array" ref="F115">XLOOKUP(Cover!$D$12,$R$1:$Z$1,$R115:$Z115)</f>
        <v>Mandatory</v>
      </c>
      <c r="G115" s="154" t="s">
        <v>7092</v>
      </c>
      <c r="H115" s="154" t="s">
        <v>6779</v>
      </c>
      <c r="I115" s="154" t="s">
        <v>7089</v>
      </c>
      <c r="J115" s="154" t="s">
        <v>7090</v>
      </c>
      <c r="K115" s="154" t="s">
        <v>6768</v>
      </c>
      <c r="L115" s="154" t="s">
        <v>6022</v>
      </c>
      <c r="M115" s="154" t="s">
        <v>1018</v>
      </c>
      <c r="N115" s="154" t="s">
        <v>759</v>
      </c>
      <c r="O115" s="247" t="s">
        <v>516</v>
      </c>
      <c r="P115" s="247" t="s">
        <v>6776</v>
      </c>
      <c r="Q115" s="154" t="str">
        <f t="shared" si="1"/>
        <v>#ERROR!</v>
      </c>
      <c r="R115" s="154" t="s">
        <v>66</v>
      </c>
      <c r="S115" s="154" t="s">
        <v>66</v>
      </c>
      <c r="T115" s="154" t="s">
        <v>66</v>
      </c>
      <c r="U115" s="154" t="s">
        <v>66</v>
      </c>
      <c r="V115" s="154" t="s">
        <v>60</v>
      </c>
      <c r="W115" s="154" t="s">
        <v>60</v>
      </c>
      <c r="X115" s="154" t="s">
        <v>66</v>
      </c>
      <c r="Y115" s="154" t="s">
        <v>66</v>
      </c>
      <c r="Z115" s="154" t="s">
        <v>60</v>
      </c>
      <c r="AA115" s="154"/>
      <c r="AB115" s="242" t="str">
        <f t="shared" si="2"/>
        <v>#ERROR!</v>
      </c>
      <c r="AC115" s="154" t="s">
        <v>391</v>
      </c>
      <c r="AD115" s="242" t="b">
        <f t="shared" si="3"/>
        <v>0</v>
      </c>
      <c r="AE115" s="154"/>
      <c r="AF115" s="242" t="str">
        <f t="shared" si="4"/>
        <v>#ERROR!</v>
      </c>
      <c r="AG115" s="154" t="s">
        <v>652</v>
      </c>
      <c r="AH115" s="242" t="str">
        <f>IF(AG115="","N/A",INDIRECT("MTR!"&amp;ADDRESS(MATCH(LEFT(AG115,9),[1]MTR!C:C,0),COLUMN(J115)),TRUE) &amp; "")</f>
        <v>#ERROR!</v>
      </c>
      <c r="AI115" s="157" t="str">
        <f t="shared" si="5"/>
        <v>#ERROR!</v>
      </c>
    </row>
    <row r="116" ht="12.75" customHeight="1">
      <c r="A116" s="244" t="s">
        <v>5158</v>
      </c>
      <c r="B116" s="244" t="s">
        <v>231</v>
      </c>
      <c r="C116" s="245" t="s">
        <v>7093</v>
      </c>
      <c r="D116" s="155" t="s">
        <v>1315</v>
      </c>
      <c r="E116" s="155" t="s">
        <v>92</v>
      </c>
      <c r="F116" s="154" t="str">
        <f t="array" ref="F116">XLOOKUP(Cover!$D$12,$R$1:$Z$1,$R116:$Z116)</f>
        <v>Information</v>
      </c>
      <c r="G116" s="154" t="s">
        <v>7094</v>
      </c>
      <c r="H116" s="154" t="s">
        <v>6775</v>
      </c>
      <c r="I116" s="154" t="s">
        <v>7095</v>
      </c>
      <c r="J116" s="154" t="s">
        <v>7096</v>
      </c>
      <c r="K116" s="154" t="s">
        <v>6768</v>
      </c>
      <c r="L116" s="154" t="s">
        <v>6884</v>
      </c>
      <c r="M116" s="154"/>
      <c r="N116" s="154" t="s">
        <v>759</v>
      </c>
      <c r="O116" s="247" t="s">
        <v>516</v>
      </c>
      <c r="P116" s="247" t="s">
        <v>6776</v>
      </c>
      <c r="Q116" s="154" t="str">
        <f t="shared" si="1"/>
        <v>#ERROR!</v>
      </c>
      <c r="R116" s="154" t="s">
        <v>66</v>
      </c>
      <c r="S116" s="154" t="s">
        <v>66</v>
      </c>
      <c r="T116" s="154" t="s">
        <v>66</v>
      </c>
      <c r="U116" s="154" t="s">
        <v>66</v>
      </c>
      <c r="V116" s="154" t="s">
        <v>66</v>
      </c>
      <c r="W116" s="154" t="s">
        <v>66</v>
      </c>
      <c r="X116" s="154" t="s">
        <v>66</v>
      </c>
      <c r="Y116" s="154" t="s">
        <v>66</v>
      </c>
      <c r="Z116" s="154" t="s">
        <v>66</v>
      </c>
      <c r="AA116" s="154"/>
      <c r="AB116" s="242" t="str">
        <f t="shared" si="2"/>
        <v>#ERROR!</v>
      </c>
      <c r="AC116" s="154" t="s">
        <v>391</v>
      </c>
      <c r="AD116" s="242" t="b">
        <f t="shared" si="3"/>
        <v>0</v>
      </c>
      <c r="AE116" s="154"/>
      <c r="AF116" s="242" t="str">
        <f t="shared" si="4"/>
        <v>#ERROR!</v>
      </c>
      <c r="AG116" s="154" t="s">
        <v>652</v>
      </c>
      <c r="AH116" s="242" t="str">
        <f>IF(AG116="","N/A",INDIRECT("MTR!"&amp;ADDRESS(MATCH(LEFT(AG116,9),[1]MTR!C:C,0),COLUMN(J116)),TRUE) &amp; "")</f>
        <v>#ERROR!</v>
      </c>
      <c r="AI116" s="157" t="str">
        <f t="shared" si="5"/>
        <v>#ERROR!</v>
      </c>
    </row>
    <row r="117" ht="12.75" customHeight="1">
      <c r="A117" s="244" t="s">
        <v>5158</v>
      </c>
      <c r="B117" s="244" t="s">
        <v>231</v>
      </c>
      <c r="C117" s="245" t="s">
        <v>7097</v>
      </c>
      <c r="D117" s="155" t="s">
        <v>1315</v>
      </c>
      <c r="E117" s="155" t="s">
        <v>92</v>
      </c>
      <c r="F117" s="154" t="str">
        <f t="array" ref="F117">XLOOKUP(Cover!$D$12,$R$1:$Z$1,$R117:$Z117)</f>
        <v>Recommended</v>
      </c>
      <c r="G117" s="154" t="s">
        <v>7098</v>
      </c>
      <c r="H117" s="154" t="s">
        <v>6782</v>
      </c>
      <c r="I117" s="154" t="s">
        <v>7095</v>
      </c>
      <c r="J117" s="154" t="s">
        <v>7096</v>
      </c>
      <c r="K117" s="154" t="s">
        <v>6768</v>
      </c>
      <c r="L117" s="154" t="s">
        <v>6884</v>
      </c>
      <c r="M117" s="154"/>
      <c r="N117" s="154" t="s">
        <v>759</v>
      </c>
      <c r="O117" s="247" t="s">
        <v>516</v>
      </c>
      <c r="P117" s="247" t="s">
        <v>6776</v>
      </c>
      <c r="Q117" s="154" t="str">
        <f t="shared" si="1"/>
        <v>#ERROR!</v>
      </c>
      <c r="R117" s="154" t="s">
        <v>66</v>
      </c>
      <c r="S117" s="154" t="s">
        <v>66</v>
      </c>
      <c r="T117" s="154" t="s">
        <v>66</v>
      </c>
      <c r="U117" s="154" t="s">
        <v>66</v>
      </c>
      <c r="V117" s="154" t="s">
        <v>64</v>
      </c>
      <c r="W117" s="154" t="s">
        <v>64</v>
      </c>
      <c r="X117" s="154" t="s">
        <v>66</v>
      </c>
      <c r="Y117" s="154" t="s">
        <v>66</v>
      </c>
      <c r="Z117" s="154" t="s">
        <v>64</v>
      </c>
      <c r="AA117" s="154"/>
      <c r="AB117" s="242" t="str">
        <f t="shared" si="2"/>
        <v>#ERROR!</v>
      </c>
      <c r="AC117" s="154" t="s">
        <v>391</v>
      </c>
      <c r="AD117" s="242" t="b">
        <f t="shared" si="3"/>
        <v>0</v>
      </c>
      <c r="AE117" s="154"/>
      <c r="AF117" s="242" t="str">
        <f t="shared" si="4"/>
        <v>#ERROR!</v>
      </c>
      <c r="AG117" s="154" t="s">
        <v>652</v>
      </c>
      <c r="AH117" s="242" t="str">
        <f>IF(AG117="","N/A",INDIRECT("MTR!"&amp;ADDRESS(MATCH(LEFT(AG117,9),[1]MTR!C:C,0),COLUMN(J117)),TRUE) &amp; "")</f>
        <v>#ERROR!</v>
      </c>
      <c r="AI117" s="157" t="str">
        <f t="shared" si="5"/>
        <v>#ERROR!</v>
      </c>
    </row>
    <row r="118" ht="12.75" customHeight="1">
      <c r="A118" s="244" t="s">
        <v>5158</v>
      </c>
      <c r="B118" s="244" t="s">
        <v>231</v>
      </c>
      <c r="C118" s="245" t="s">
        <v>7099</v>
      </c>
      <c r="D118" s="155" t="s">
        <v>1315</v>
      </c>
      <c r="E118" s="155" t="s">
        <v>92</v>
      </c>
      <c r="F118" s="154" t="str">
        <f t="array" ref="F118">XLOOKUP(Cover!$D$12,$R$1:$Z$1,$R118:$Z118)</f>
        <v>Recommended</v>
      </c>
      <c r="G118" s="154" t="s">
        <v>7100</v>
      </c>
      <c r="H118" s="154" t="s">
        <v>6785</v>
      </c>
      <c r="I118" s="154" t="s">
        <v>7095</v>
      </c>
      <c r="J118" s="154" t="s">
        <v>7096</v>
      </c>
      <c r="K118" s="154" t="s">
        <v>6768</v>
      </c>
      <c r="L118" s="154" t="s">
        <v>6884</v>
      </c>
      <c r="M118" s="154"/>
      <c r="N118" s="154" t="s">
        <v>759</v>
      </c>
      <c r="O118" s="247" t="s">
        <v>516</v>
      </c>
      <c r="P118" s="247" t="s">
        <v>6776</v>
      </c>
      <c r="Q118" s="154" t="str">
        <f t="shared" si="1"/>
        <v>#ERROR!</v>
      </c>
      <c r="R118" s="154" t="s">
        <v>66</v>
      </c>
      <c r="S118" s="154" t="s">
        <v>66</v>
      </c>
      <c r="T118" s="154" t="s">
        <v>66</v>
      </c>
      <c r="U118" s="154" t="s">
        <v>66</v>
      </c>
      <c r="V118" s="154" t="s">
        <v>64</v>
      </c>
      <c r="W118" s="154" t="s">
        <v>64</v>
      </c>
      <c r="X118" s="154" t="s">
        <v>66</v>
      </c>
      <c r="Y118" s="154" t="s">
        <v>66</v>
      </c>
      <c r="Z118" s="154" t="s">
        <v>64</v>
      </c>
      <c r="AA118" s="154"/>
      <c r="AB118" s="242" t="str">
        <f t="shared" si="2"/>
        <v>#ERROR!</v>
      </c>
      <c r="AC118" s="154" t="s">
        <v>391</v>
      </c>
      <c r="AD118" s="242" t="b">
        <f t="shared" si="3"/>
        <v>0</v>
      </c>
      <c r="AE118" s="154"/>
      <c r="AF118" s="242" t="str">
        <f t="shared" si="4"/>
        <v>#ERROR!</v>
      </c>
      <c r="AG118" s="154" t="s">
        <v>652</v>
      </c>
      <c r="AH118" s="242" t="str">
        <f>IF(AG118="","N/A",INDIRECT("MTR!"&amp;ADDRESS(MATCH(LEFT(AG118,9),[1]MTR!C:C,0),COLUMN(J118)),TRUE) &amp; "")</f>
        <v>#ERROR!</v>
      </c>
      <c r="AI118" s="157" t="str">
        <f t="shared" si="5"/>
        <v>#ERROR!</v>
      </c>
    </row>
    <row r="119" ht="12.75" customHeight="1">
      <c r="A119" s="244" t="s">
        <v>5158</v>
      </c>
      <c r="B119" s="244" t="s">
        <v>231</v>
      </c>
      <c r="C119" s="244" t="s">
        <v>7101</v>
      </c>
      <c r="D119" s="154" t="s">
        <v>1315</v>
      </c>
      <c r="E119" s="154"/>
      <c r="F119" s="154" t="str">
        <f t="array" ref="F119">XLOOKUP(Cover!$D$12,$R$1:$Z$1,$R119:$Z119)</f>
        <v>Mandatory</v>
      </c>
      <c r="G119" s="154" t="s">
        <v>7102</v>
      </c>
      <c r="H119" s="154" t="s">
        <v>6775</v>
      </c>
      <c r="I119" s="154" t="s">
        <v>7103</v>
      </c>
      <c r="J119" s="154" t="s">
        <v>7104</v>
      </c>
      <c r="K119" s="154" t="s">
        <v>6768</v>
      </c>
      <c r="L119" s="154" t="s">
        <v>6884</v>
      </c>
      <c r="M119" s="154" t="s">
        <v>1018</v>
      </c>
      <c r="N119" s="154" t="s">
        <v>759</v>
      </c>
      <c r="O119" s="247" t="s">
        <v>516</v>
      </c>
      <c r="P119" s="247" t="s">
        <v>6776</v>
      </c>
      <c r="Q119" s="154" t="str">
        <f t="shared" si="1"/>
        <v>#ERROR!</v>
      </c>
      <c r="R119" s="154" t="s">
        <v>66</v>
      </c>
      <c r="S119" s="154" t="s">
        <v>66</v>
      </c>
      <c r="T119" s="154" t="s">
        <v>66</v>
      </c>
      <c r="U119" s="154" t="s">
        <v>66</v>
      </c>
      <c r="V119" s="154" t="s">
        <v>60</v>
      </c>
      <c r="W119" s="154" t="s">
        <v>60</v>
      </c>
      <c r="X119" s="154" t="s">
        <v>66</v>
      </c>
      <c r="Y119" s="154" t="s">
        <v>66</v>
      </c>
      <c r="Z119" s="154" t="s">
        <v>60</v>
      </c>
      <c r="AA119" s="154"/>
      <c r="AB119" s="242" t="str">
        <f t="shared" si="2"/>
        <v>#ERROR!</v>
      </c>
      <c r="AC119" s="154" t="s">
        <v>391</v>
      </c>
      <c r="AD119" s="242" t="b">
        <f t="shared" si="3"/>
        <v>0</v>
      </c>
      <c r="AE119" s="154"/>
      <c r="AF119" s="242" t="str">
        <f t="shared" si="4"/>
        <v>#ERROR!</v>
      </c>
      <c r="AG119" s="154" t="s">
        <v>652</v>
      </c>
      <c r="AH119" s="242" t="str">
        <f>IF(AG119="","N/A",INDIRECT("MTR!"&amp;ADDRESS(MATCH(LEFT(AG119,9),[1]MTR!C:C,0),COLUMN(J119)),TRUE) &amp; "")</f>
        <v>#ERROR!</v>
      </c>
      <c r="AI119" s="157" t="str">
        <f t="shared" si="5"/>
        <v>#ERROR!</v>
      </c>
    </row>
    <row r="120" ht="12.75" customHeight="1">
      <c r="A120" s="244" t="s">
        <v>5158</v>
      </c>
      <c r="B120" s="244" t="s">
        <v>231</v>
      </c>
      <c r="C120" s="244" t="s">
        <v>7105</v>
      </c>
      <c r="D120" s="154" t="s">
        <v>1315</v>
      </c>
      <c r="E120" s="154"/>
      <c r="F120" s="154" t="str">
        <f t="array" ref="F120">XLOOKUP(Cover!$D$12,$R$1:$Z$1,$R120:$Z120)</f>
        <v>Mandatory</v>
      </c>
      <c r="G120" s="154" t="s">
        <v>7106</v>
      </c>
      <c r="H120" s="154" t="s">
        <v>6782</v>
      </c>
      <c r="I120" s="154" t="s">
        <v>7103</v>
      </c>
      <c r="J120" s="154" t="s">
        <v>7104</v>
      </c>
      <c r="K120" s="154" t="s">
        <v>6768</v>
      </c>
      <c r="L120" s="154" t="s">
        <v>6884</v>
      </c>
      <c r="M120" s="154" t="s">
        <v>1018</v>
      </c>
      <c r="N120" s="154" t="s">
        <v>759</v>
      </c>
      <c r="O120" s="247" t="s">
        <v>516</v>
      </c>
      <c r="P120" s="247" t="s">
        <v>6776</v>
      </c>
      <c r="Q120" s="154" t="str">
        <f t="shared" si="1"/>
        <v>#ERROR!</v>
      </c>
      <c r="R120" s="154" t="s">
        <v>66</v>
      </c>
      <c r="S120" s="154" t="s">
        <v>66</v>
      </c>
      <c r="T120" s="154" t="s">
        <v>66</v>
      </c>
      <c r="U120" s="154" t="s">
        <v>66</v>
      </c>
      <c r="V120" s="154" t="s">
        <v>60</v>
      </c>
      <c r="W120" s="154" t="s">
        <v>60</v>
      </c>
      <c r="X120" s="154" t="s">
        <v>66</v>
      </c>
      <c r="Y120" s="154" t="s">
        <v>66</v>
      </c>
      <c r="Z120" s="154" t="s">
        <v>60</v>
      </c>
      <c r="AA120" s="154"/>
      <c r="AB120" s="242" t="str">
        <f t="shared" si="2"/>
        <v>#ERROR!</v>
      </c>
      <c r="AC120" s="154" t="s">
        <v>391</v>
      </c>
      <c r="AD120" s="242" t="b">
        <f t="shared" si="3"/>
        <v>0</v>
      </c>
      <c r="AE120" s="154"/>
      <c r="AF120" s="242" t="str">
        <f t="shared" si="4"/>
        <v>#ERROR!</v>
      </c>
      <c r="AG120" s="154" t="s">
        <v>652</v>
      </c>
      <c r="AH120" s="242" t="str">
        <f>IF(AG120="","N/A",INDIRECT("MTR!"&amp;ADDRESS(MATCH(LEFT(AG120,9),[1]MTR!C:C,0),COLUMN(J120)),TRUE) &amp; "")</f>
        <v>#ERROR!</v>
      </c>
      <c r="AI120" s="157" t="str">
        <f t="shared" si="5"/>
        <v>#ERROR!</v>
      </c>
    </row>
    <row r="121" ht="12.75" customHeight="1">
      <c r="A121" s="244" t="s">
        <v>5158</v>
      </c>
      <c r="B121" s="244" t="s">
        <v>231</v>
      </c>
      <c r="C121" s="244" t="s">
        <v>7107</v>
      </c>
      <c r="D121" s="154" t="s">
        <v>1315</v>
      </c>
      <c r="E121" s="154"/>
      <c r="F121" s="154" t="str">
        <f t="array" ref="F121">XLOOKUP(Cover!$D$12,$R$1:$Z$1,$R121:$Z121)</f>
        <v>Information</v>
      </c>
      <c r="G121" s="154" t="s">
        <v>7108</v>
      </c>
      <c r="H121" s="154" t="s">
        <v>6775</v>
      </c>
      <c r="I121" s="154" t="s">
        <v>7109</v>
      </c>
      <c r="J121" s="154" t="s">
        <v>7110</v>
      </c>
      <c r="K121" s="154" t="s">
        <v>6768</v>
      </c>
      <c r="L121" s="154" t="s">
        <v>6905</v>
      </c>
      <c r="M121" s="154"/>
      <c r="N121" s="154" t="s">
        <v>759</v>
      </c>
      <c r="O121" s="247" t="s">
        <v>516</v>
      </c>
      <c r="P121" s="247" t="s">
        <v>6776</v>
      </c>
      <c r="Q121" s="154" t="str">
        <f t="shared" si="1"/>
        <v>#ERROR!</v>
      </c>
      <c r="R121" s="154" t="s">
        <v>66</v>
      </c>
      <c r="S121" s="154" t="s">
        <v>66</v>
      </c>
      <c r="T121" s="154" t="s">
        <v>66</v>
      </c>
      <c r="U121" s="154" t="s">
        <v>66</v>
      </c>
      <c r="V121" s="154" t="s">
        <v>66</v>
      </c>
      <c r="W121" s="154" t="s">
        <v>66</v>
      </c>
      <c r="X121" s="154" t="s">
        <v>66</v>
      </c>
      <c r="Y121" s="154" t="s">
        <v>66</v>
      </c>
      <c r="Z121" s="154" t="s">
        <v>66</v>
      </c>
      <c r="AA121" s="154"/>
      <c r="AB121" s="242" t="str">
        <f t="shared" si="2"/>
        <v>#ERROR!</v>
      </c>
      <c r="AC121" s="154" t="s">
        <v>391</v>
      </c>
      <c r="AD121" s="242" t="b">
        <f t="shared" si="3"/>
        <v>0</v>
      </c>
      <c r="AE121" s="154"/>
      <c r="AF121" s="242" t="str">
        <f t="shared" si="4"/>
        <v>#ERROR!</v>
      </c>
      <c r="AG121" s="154" t="s">
        <v>652</v>
      </c>
      <c r="AH121" s="242" t="str">
        <f>IF(AG121="","N/A",INDIRECT("MTR!"&amp;ADDRESS(MATCH(LEFT(AG121,9),[1]MTR!C:C,0),COLUMN(J121)),TRUE) &amp; "")</f>
        <v>#ERROR!</v>
      </c>
      <c r="AI121" s="157" t="str">
        <f t="shared" si="5"/>
        <v>#ERROR!</v>
      </c>
    </row>
    <row r="122" ht="12.75" customHeight="1">
      <c r="A122" s="244" t="s">
        <v>5158</v>
      </c>
      <c r="B122" s="244" t="s">
        <v>231</v>
      </c>
      <c r="C122" s="244" t="s">
        <v>7111</v>
      </c>
      <c r="D122" s="154" t="s">
        <v>1315</v>
      </c>
      <c r="E122" s="154"/>
      <c r="F122" s="154" t="str">
        <f t="array" ref="F122">XLOOKUP(Cover!$D$12,$R$1:$Z$1,$R122:$Z122)</f>
        <v>Information</v>
      </c>
      <c r="G122" s="154" t="s">
        <v>7112</v>
      </c>
      <c r="H122" s="154" t="s">
        <v>6785</v>
      </c>
      <c r="I122" s="154" t="s">
        <v>7109</v>
      </c>
      <c r="J122" s="154" t="s">
        <v>7110</v>
      </c>
      <c r="K122" s="154" t="s">
        <v>6768</v>
      </c>
      <c r="L122" s="154" t="s">
        <v>6905</v>
      </c>
      <c r="M122" s="154"/>
      <c r="N122" s="154" t="s">
        <v>759</v>
      </c>
      <c r="O122" s="247" t="s">
        <v>516</v>
      </c>
      <c r="P122" s="247" t="s">
        <v>6776</v>
      </c>
      <c r="Q122" s="154" t="str">
        <f t="shared" si="1"/>
        <v>#ERROR!</v>
      </c>
      <c r="R122" s="154" t="s">
        <v>66</v>
      </c>
      <c r="S122" s="154" t="s">
        <v>66</v>
      </c>
      <c r="T122" s="154" t="s">
        <v>66</v>
      </c>
      <c r="U122" s="154" t="s">
        <v>66</v>
      </c>
      <c r="V122" s="154" t="s">
        <v>66</v>
      </c>
      <c r="W122" s="154" t="s">
        <v>66</v>
      </c>
      <c r="X122" s="154" t="s">
        <v>66</v>
      </c>
      <c r="Y122" s="154" t="s">
        <v>66</v>
      </c>
      <c r="Z122" s="154" t="s">
        <v>66</v>
      </c>
      <c r="AA122" s="154"/>
      <c r="AB122" s="242" t="str">
        <f t="shared" si="2"/>
        <v>#ERROR!</v>
      </c>
      <c r="AC122" s="154" t="s">
        <v>391</v>
      </c>
      <c r="AD122" s="242" t="b">
        <f t="shared" si="3"/>
        <v>0</v>
      </c>
      <c r="AE122" s="154"/>
      <c r="AF122" s="242" t="str">
        <f t="shared" si="4"/>
        <v>#ERROR!</v>
      </c>
      <c r="AG122" s="154" t="s">
        <v>652</v>
      </c>
      <c r="AH122" s="242" t="str">
        <f>IF(AG122="","N/A",INDIRECT("MTR!"&amp;ADDRESS(MATCH(LEFT(AG122,9),[1]MTR!C:C,0),COLUMN(J122)),TRUE) &amp; "")</f>
        <v>#ERROR!</v>
      </c>
      <c r="AI122" s="157" t="str">
        <f t="shared" si="5"/>
        <v>#ERROR!</v>
      </c>
    </row>
    <row r="123" ht="12.75" customHeight="1">
      <c r="A123" s="244" t="s">
        <v>5158</v>
      </c>
      <c r="B123" s="244" t="s">
        <v>231</v>
      </c>
      <c r="C123" s="244" t="s">
        <v>7113</v>
      </c>
      <c r="D123" s="154" t="s">
        <v>1315</v>
      </c>
      <c r="E123" s="154"/>
      <c r="F123" s="154" t="str">
        <f t="array" ref="F123">XLOOKUP(Cover!$D$12,$R$1:$Z$1,$R123:$Z123)</f>
        <v>Recommended</v>
      </c>
      <c r="G123" s="154" t="s">
        <v>7114</v>
      </c>
      <c r="H123" s="154" t="s">
        <v>6779</v>
      </c>
      <c r="I123" s="154" t="s">
        <v>7115</v>
      </c>
      <c r="J123" s="154" t="s">
        <v>7116</v>
      </c>
      <c r="K123" s="154" t="s">
        <v>6768</v>
      </c>
      <c r="L123" s="154" t="s">
        <v>6905</v>
      </c>
      <c r="M123" s="154"/>
      <c r="N123" s="154" t="s">
        <v>759</v>
      </c>
      <c r="O123" s="247" t="s">
        <v>516</v>
      </c>
      <c r="P123" s="247" t="s">
        <v>6776</v>
      </c>
      <c r="Q123" s="154" t="str">
        <f t="shared" si="1"/>
        <v>#ERROR!</v>
      </c>
      <c r="R123" s="154" t="s">
        <v>66</v>
      </c>
      <c r="S123" s="154" t="s">
        <v>66</v>
      </c>
      <c r="T123" s="154" t="s">
        <v>66</v>
      </c>
      <c r="U123" s="154" t="s">
        <v>66</v>
      </c>
      <c r="V123" s="154" t="s">
        <v>64</v>
      </c>
      <c r="W123" s="154" t="s">
        <v>64</v>
      </c>
      <c r="X123" s="154" t="s">
        <v>66</v>
      </c>
      <c r="Y123" s="154" t="s">
        <v>66</v>
      </c>
      <c r="Z123" s="154" t="s">
        <v>64</v>
      </c>
      <c r="AA123" s="154"/>
      <c r="AB123" s="242" t="str">
        <f t="shared" si="2"/>
        <v>#ERROR!</v>
      </c>
      <c r="AC123" s="154" t="s">
        <v>391</v>
      </c>
      <c r="AD123" s="242" t="b">
        <f t="shared" si="3"/>
        <v>0</v>
      </c>
      <c r="AE123" s="154"/>
      <c r="AF123" s="242" t="str">
        <f t="shared" si="4"/>
        <v>#ERROR!</v>
      </c>
      <c r="AG123" s="154" t="s">
        <v>652</v>
      </c>
      <c r="AH123" s="242" t="str">
        <f>IF(AG123="","N/A",INDIRECT("MTR!"&amp;ADDRESS(MATCH(LEFT(AG123,9),[1]MTR!C:C,0),COLUMN(J123)),TRUE) &amp; "")</f>
        <v>#ERROR!</v>
      </c>
      <c r="AI123" s="157" t="str">
        <f t="shared" si="5"/>
        <v>#ERROR!</v>
      </c>
    </row>
    <row r="124" ht="12.75" customHeight="1">
      <c r="A124" s="244" t="s">
        <v>5158</v>
      </c>
      <c r="B124" s="244" t="s">
        <v>231</v>
      </c>
      <c r="C124" s="244" t="s">
        <v>7117</v>
      </c>
      <c r="D124" s="154" t="s">
        <v>1315</v>
      </c>
      <c r="E124" s="154"/>
      <c r="F124" s="154" t="str">
        <f t="array" ref="F124">XLOOKUP(Cover!$D$12,$R$1:$Z$1,$R124:$Z124)</f>
        <v>Recommended</v>
      </c>
      <c r="G124" s="154" t="s">
        <v>7118</v>
      </c>
      <c r="H124" s="154" t="s">
        <v>6782</v>
      </c>
      <c r="I124" s="154" t="s">
        <v>7115</v>
      </c>
      <c r="J124" s="154" t="s">
        <v>7116</v>
      </c>
      <c r="K124" s="154" t="s">
        <v>6768</v>
      </c>
      <c r="L124" s="154" t="s">
        <v>6905</v>
      </c>
      <c r="M124" s="154"/>
      <c r="N124" s="154" t="s">
        <v>759</v>
      </c>
      <c r="O124" s="247" t="s">
        <v>516</v>
      </c>
      <c r="P124" s="247" t="s">
        <v>6776</v>
      </c>
      <c r="Q124" s="154" t="str">
        <f t="shared" si="1"/>
        <v>#ERROR!</v>
      </c>
      <c r="R124" s="154" t="s">
        <v>66</v>
      </c>
      <c r="S124" s="154" t="s">
        <v>66</v>
      </c>
      <c r="T124" s="154" t="s">
        <v>66</v>
      </c>
      <c r="U124" s="154" t="s">
        <v>66</v>
      </c>
      <c r="V124" s="154" t="s">
        <v>64</v>
      </c>
      <c r="W124" s="154" t="s">
        <v>64</v>
      </c>
      <c r="X124" s="154" t="s">
        <v>66</v>
      </c>
      <c r="Y124" s="154" t="s">
        <v>66</v>
      </c>
      <c r="Z124" s="154" t="s">
        <v>64</v>
      </c>
      <c r="AA124" s="154"/>
      <c r="AB124" s="242" t="str">
        <f t="shared" si="2"/>
        <v>#ERROR!</v>
      </c>
      <c r="AC124" s="154" t="s">
        <v>391</v>
      </c>
      <c r="AD124" s="242" t="b">
        <f t="shared" si="3"/>
        <v>0</v>
      </c>
      <c r="AE124" s="154"/>
      <c r="AF124" s="242" t="str">
        <f t="shared" si="4"/>
        <v>#ERROR!</v>
      </c>
      <c r="AG124" s="154" t="s">
        <v>652</v>
      </c>
      <c r="AH124" s="242" t="str">
        <f>IF(AG124="","N/A",INDIRECT("MTR!"&amp;ADDRESS(MATCH(LEFT(AG124,9),[1]MTR!C:C,0),COLUMN(J124)),TRUE) &amp; "")</f>
        <v>#ERROR!</v>
      </c>
      <c r="AI124" s="157" t="str">
        <f t="shared" si="5"/>
        <v>#ERROR!</v>
      </c>
    </row>
    <row r="125" ht="12.75" customHeight="1">
      <c r="A125" s="244" t="s">
        <v>5158</v>
      </c>
      <c r="B125" s="244" t="s">
        <v>231</v>
      </c>
      <c r="C125" s="244" t="s">
        <v>7119</v>
      </c>
      <c r="D125" s="154" t="s">
        <v>1315</v>
      </c>
      <c r="E125" s="154"/>
      <c r="F125" s="154" t="str">
        <f t="array" ref="F125">XLOOKUP(Cover!$D$12,$R$1:$Z$1,$R125:$Z125)</f>
        <v>Information</v>
      </c>
      <c r="G125" s="154" t="s">
        <v>7120</v>
      </c>
      <c r="H125" s="154" t="s">
        <v>6782</v>
      </c>
      <c r="I125" s="154" t="s">
        <v>7121</v>
      </c>
      <c r="J125" s="154" t="s">
        <v>7122</v>
      </c>
      <c r="K125" s="154" t="s">
        <v>6768</v>
      </c>
      <c r="L125" s="154" t="s">
        <v>6905</v>
      </c>
      <c r="M125" s="154"/>
      <c r="N125" s="154" t="s">
        <v>759</v>
      </c>
      <c r="O125" s="247" t="s">
        <v>516</v>
      </c>
      <c r="P125" s="247" t="s">
        <v>6776</v>
      </c>
      <c r="Q125" s="154" t="str">
        <f t="shared" si="1"/>
        <v>#ERROR!</v>
      </c>
      <c r="R125" s="154" t="s">
        <v>66</v>
      </c>
      <c r="S125" s="154" t="s">
        <v>66</v>
      </c>
      <c r="T125" s="154" t="s">
        <v>66</v>
      </c>
      <c r="U125" s="154" t="s">
        <v>66</v>
      </c>
      <c r="V125" s="154" t="s">
        <v>66</v>
      </c>
      <c r="W125" s="154" t="s">
        <v>66</v>
      </c>
      <c r="X125" s="154" t="s">
        <v>66</v>
      </c>
      <c r="Y125" s="154" t="s">
        <v>66</v>
      </c>
      <c r="Z125" s="154" t="s">
        <v>66</v>
      </c>
      <c r="AA125" s="154"/>
      <c r="AB125" s="242" t="str">
        <f t="shared" si="2"/>
        <v>#ERROR!</v>
      </c>
      <c r="AC125" s="154" t="s">
        <v>391</v>
      </c>
      <c r="AD125" s="242" t="b">
        <f t="shared" si="3"/>
        <v>0</v>
      </c>
      <c r="AE125" s="154"/>
      <c r="AF125" s="242" t="str">
        <f t="shared" si="4"/>
        <v>#ERROR!</v>
      </c>
      <c r="AG125" s="154" t="s">
        <v>652</v>
      </c>
      <c r="AH125" s="242" t="str">
        <f>IF(AG125="","N/A",INDIRECT("MTR!"&amp;ADDRESS(MATCH(LEFT(AG125,9),[1]MTR!C:C,0),COLUMN(J125)),TRUE) &amp; "")</f>
        <v>#ERROR!</v>
      </c>
      <c r="AI125" s="157" t="str">
        <f t="shared" si="5"/>
        <v>#ERROR!</v>
      </c>
    </row>
    <row r="126" ht="12.75" customHeight="1">
      <c r="A126" s="244" t="s">
        <v>5158</v>
      </c>
      <c r="B126" s="244" t="s">
        <v>231</v>
      </c>
      <c r="C126" s="244" t="s">
        <v>7123</v>
      </c>
      <c r="D126" s="154" t="s">
        <v>1315</v>
      </c>
      <c r="E126" s="154"/>
      <c r="F126" s="154" t="str">
        <f t="array" ref="F126">XLOOKUP(Cover!$D$12,$R$1:$Z$1,$R126:$Z126)</f>
        <v>Information</v>
      </c>
      <c r="G126" s="154" t="s">
        <v>7124</v>
      </c>
      <c r="H126" s="154" t="s">
        <v>6785</v>
      </c>
      <c r="I126" s="154" t="s">
        <v>7121</v>
      </c>
      <c r="J126" s="154" t="s">
        <v>7122</v>
      </c>
      <c r="K126" s="154" t="s">
        <v>6768</v>
      </c>
      <c r="L126" s="154" t="s">
        <v>6905</v>
      </c>
      <c r="M126" s="154"/>
      <c r="N126" s="154" t="s">
        <v>759</v>
      </c>
      <c r="O126" s="247" t="s">
        <v>516</v>
      </c>
      <c r="P126" s="247" t="s">
        <v>6776</v>
      </c>
      <c r="Q126" s="154" t="str">
        <f t="shared" si="1"/>
        <v>#ERROR!</v>
      </c>
      <c r="R126" s="154" t="s">
        <v>66</v>
      </c>
      <c r="S126" s="154" t="s">
        <v>66</v>
      </c>
      <c r="T126" s="154" t="s">
        <v>66</v>
      </c>
      <c r="U126" s="154" t="s">
        <v>66</v>
      </c>
      <c r="V126" s="154" t="s">
        <v>66</v>
      </c>
      <c r="W126" s="154" t="s">
        <v>66</v>
      </c>
      <c r="X126" s="154" t="s">
        <v>66</v>
      </c>
      <c r="Y126" s="154" t="s">
        <v>66</v>
      </c>
      <c r="Z126" s="154" t="s">
        <v>66</v>
      </c>
      <c r="AA126" s="154"/>
      <c r="AB126" s="242" t="str">
        <f t="shared" si="2"/>
        <v>#ERROR!</v>
      </c>
      <c r="AC126" s="154" t="s">
        <v>391</v>
      </c>
      <c r="AD126" s="242" t="b">
        <f t="shared" si="3"/>
        <v>0</v>
      </c>
      <c r="AE126" s="154"/>
      <c r="AF126" s="242" t="str">
        <f t="shared" si="4"/>
        <v>#ERROR!</v>
      </c>
      <c r="AG126" s="154" t="s">
        <v>652</v>
      </c>
      <c r="AH126" s="242" t="str">
        <f>IF(AG126="","N/A",INDIRECT("MTR!"&amp;ADDRESS(MATCH(LEFT(AG126,9),[1]MTR!C:C,0),COLUMN(J126)),TRUE) &amp; "")</f>
        <v>#ERROR!</v>
      </c>
      <c r="AI126" s="157" t="str">
        <f t="shared" si="5"/>
        <v>#ERROR!</v>
      </c>
    </row>
    <row r="127" ht="12.75" customHeight="1">
      <c r="A127" s="238" t="s">
        <v>5158</v>
      </c>
      <c r="B127" s="238" t="s">
        <v>231</v>
      </c>
      <c r="C127" s="238" t="s">
        <v>7125</v>
      </c>
      <c r="D127" s="240"/>
      <c r="E127" s="240" t="s">
        <v>92</v>
      </c>
      <c r="F127" s="240" t="str">
        <f t="array" ref="F127">XLOOKUP(Cover!$D$12,$R$1:$Z$1,$R127:$Z127)</f>
        <v>Heading</v>
      </c>
      <c r="G127" s="239" t="s">
        <v>7126</v>
      </c>
      <c r="H127" s="240"/>
      <c r="I127" s="240"/>
      <c r="J127" s="240"/>
      <c r="K127" s="240"/>
      <c r="L127" s="240"/>
      <c r="M127" s="240"/>
      <c r="N127" s="240" t="s">
        <v>759</v>
      </c>
      <c r="O127" s="240"/>
      <c r="P127" s="240"/>
      <c r="Q127" s="240" t="str">
        <f t="shared" si="1"/>
        <v/>
      </c>
      <c r="R127" s="240" t="s">
        <v>390</v>
      </c>
      <c r="S127" s="240" t="s">
        <v>390</v>
      </c>
      <c r="T127" s="240" t="s">
        <v>390</v>
      </c>
      <c r="U127" s="240" t="s">
        <v>390</v>
      </c>
      <c r="V127" s="240" t="s">
        <v>390</v>
      </c>
      <c r="W127" s="240" t="s">
        <v>390</v>
      </c>
      <c r="X127" s="240" t="s">
        <v>390</v>
      </c>
      <c r="Y127" s="240" t="s">
        <v>390</v>
      </c>
      <c r="Z127" s="240" t="s">
        <v>390</v>
      </c>
      <c r="AA127" s="240"/>
      <c r="AB127" s="242" t="str">
        <f t="shared" si="2"/>
        <v>#ERROR!</v>
      </c>
      <c r="AC127" s="240" t="s">
        <v>391</v>
      </c>
      <c r="AD127" s="242" t="b">
        <f t="shared" si="3"/>
        <v>0</v>
      </c>
      <c r="AE127" s="240"/>
      <c r="AF127" s="242" t="str">
        <f t="shared" si="4"/>
        <v>#ERROR!</v>
      </c>
      <c r="AG127" s="240"/>
      <c r="AH127" s="242" t="str">
        <f>IF(AG127="","N/A",INDIRECT("MTR!"&amp;ADDRESS(MATCH(LEFT(AG127,9),[1]MTR!C:C,0),COLUMN(J127)),TRUE) &amp; "")</f>
        <v>#ERROR!</v>
      </c>
      <c r="AI127" s="157" t="str">
        <f t="shared" si="5"/>
        <v/>
      </c>
    </row>
    <row r="128" ht="12.75" customHeight="1">
      <c r="A128" s="244" t="s">
        <v>5158</v>
      </c>
      <c r="B128" s="244" t="s">
        <v>231</v>
      </c>
      <c r="C128" s="244" t="s">
        <v>7127</v>
      </c>
      <c r="D128" s="154" t="s">
        <v>747</v>
      </c>
      <c r="E128" s="154"/>
      <c r="F128" s="154" t="str">
        <f t="array" ref="F128">XLOOKUP(Cover!$D$12,$R$1:$Z$1,$R128:$Z128)</f>
        <v>Information</v>
      </c>
      <c r="G128" s="154" t="s">
        <v>7128</v>
      </c>
      <c r="H128" s="154" t="s">
        <v>6771</v>
      </c>
      <c r="I128" s="154" t="s">
        <v>7129</v>
      </c>
      <c r="J128" s="154" t="s">
        <v>7130</v>
      </c>
      <c r="K128" s="154" t="s">
        <v>6768</v>
      </c>
      <c r="L128" s="154" t="s">
        <v>6140</v>
      </c>
      <c r="M128" s="154"/>
      <c r="N128" s="154" t="s">
        <v>759</v>
      </c>
      <c r="O128" s="247" t="s">
        <v>445</v>
      </c>
      <c r="P128" s="247" t="s">
        <v>89</v>
      </c>
      <c r="Q128" s="154" t="str">
        <f t="shared" si="1"/>
        <v>#ERROR!</v>
      </c>
      <c r="R128" s="154" t="s">
        <v>66</v>
      </c>
      <c r="S128" s="154" t="s">
        <v>66</v>
      </c>
      <c r="T128" s="154" t="s">
        <v>66</v>
      </c>
      <c r="U128" s="154" t="s">
        <v>66</v>
      </c>
      <c r="V128" s="154" t="s">
        <v>66</v>
      </c>
      <c r="W128" s="154" t="s">
        <v>66</v>
      </c>
      <c r="X128" s="154" t="s">
        <v>66</v>
      </c>
      <c r="Y128" s="154" t="s">
        <v>66</v>
      </c>
      <c r="Z128" s="154" t="s">
        <v>66</v>
      </c>
      <c r="AA128" s="154"/>
      <c r="AB128" s="242" t="str">
        <f t="shared" si="2"/>
        <v>#ERROR!</v>
      </c>
      <c r="AC128" s="154" t="s">
        <v>391</v>
      </c>
      <c r="AD128" s="242" t="b">
        <f t="shared" si="3"/>
        <v>0</v>
      </c>
      <c r="AE128" s="154"/>
      <c r="AF128" s="242" t="str">
        <f t="shared" si="4"/>
        <v>#ERROR!</v>
      </c>
      <c r="AG128" s="154" t="s">
        <v>652</v>
      </c>
      <c r="AH128" s="242" t="str">
        <f>IF(AG128="","N/A",INDIRECT("MTR!"&amp;ADDRESS(MATCH(LEFT(AG128,9),[1]MTR!C:C,0),COLUMN(J128)),TRUE) &amp; "")</f>
        <v>#ERROR!</v>
      </c>
      <c r="AI128" s="157" t="str">
        <f t="shared" si="5"/>
        <v>#ERROR!</v>
      </c>
    </row>
    <row r="129" ht="12.75" customHeight="1">
      <c r="A129" s="244" t="s">
        <v>5158</v>
      </c>
      <c r="B129" s="244" t="s">
        <v>231</v>
      </c>
      <c r="C129" s="244" t="s">
        <v>7131</v>
      </c>
      <c r="D129" s="154" t="s">
        <v>747</v>
      </c>
      <c r="E129" s="154"/>
      <c r="F129" s="154" t="str">
        <f t="array" ref="F129">XLOOKUP(Cover!$D$12,$R$1:$Z$1,$R129:$Z129)</f>
        <v>Information</v>
      </c>
      <c r="G129" s="154" t="s">
        <v>7132</v>
      </c>
      <c r="H129" s="154" t="s">
        <v>6775</v>
      </c>
      <c r="I129" s="154" t="s">
        <v>7129</v>
      </c>
      <c r="J129" s="154" t="s">
        <v>7130</v>
      </c>
      <c r="K129" s="154" t="s">
        <v>6768</v>
      </c>
      <c r="L129" s="154" t="s">
        <v>6140</v>
      </c>
      <c r="M129" s="154"/>
      <c r="N129" s="154" t="s">
        <v>759</v>
      </c>
      <c r="O129" s="247" t="s">
        <v>516</v>
      </c>
      <c r="P129" s="247" t="s">
        <v>6822</v>
      </c>
      <c r="Q129" s="154" t="str">
        <f t="shared" si="1"/>
        <v>#ERROR!</v>
      </c>
      <c r="R129" s="154" t="s">
        <v>66</v>
      </c>
      <c r="S129" s="154" t="s">
        <v>66</v>
      </c>
      <c r="T129" s="154" t="s">
        <v>66</v>
      </c>
      <c r="U129" s="154" t="s">
        <v>66</v>
      </c>
      <c r="V129" s="154" t="s">
        <v>66</v>
      </c>
      <c r="W129" s="154" t="s">
        <v>66</v>
      </c>
      <c r="X129" s="154" t="s">
        <v>66</v>
      </c>
      <c r="Y129" s="154" t="s">
        <v>66</v>
      </c>
      <c r="Z129" s="154" t="s">
        <v>66</v>
      </c>
      <c r="AA129" s="154"/>
      <c r="AB129" s="242" t="str">
        <f t="shared" si="2"/>
        <v>#ERROR!</v>
      </c>
      <c r="AC129" s="154" t="s">
        <v>391</v>
      </c>
      <c r="AD129" s="242" t="b">
        <f t="shared" si="3"/>
        <v>0</v>
      </c>
      <c r="AE129" s="154"/>
      <c r="AF129" s="242" t="str">
        <f t="shared" si="4"/>
        <v>#ERROR!</v>
      </c>
      <c r="AG129" s="154" t="s">
        <v>652</v>
      </c>
      <c r="AH129" s="242" t="str">
        <f>IF(AG129="","N/A",INDIRECT("MTR!"&amp;ADDRESS(MATCH(LEFT(AG129,9),[1]MTR!C:C,0),COLUMN(J129)),TRUE) &amp; "")</f>
        <v>#ERROR!</v>
      </c>
      <c r="AI129" s="157" t="str">
        <f t="shared" si="5"/>
        <v>#ERROR!</v>
      </c>
    </row>
    <row r="130" ht="12.75" customHeight="1">
      <c r="A130" s="244" t="s">
        <v>5158</v>
      </c>
      <c r="B130" s="244" t="s">
        <v>231</v>
      </c>
      <c r="C130" s="244" t="s">
        <v>7133</v>
      </c>
      <c r="D130" s="154" t="s">
        <v>781</v>
      </c>
      <c r="E130" s="154"/>
      <c r="F130" s="154" t="str">
        <f t="array" ref="F130">XLOOKUP(Cover!$D$12,$R$1:$Z$1,$R130:$Z130)</f>
        <v>Mandatory</v>
      </c>
      <c r="G130" s="154" t="s">
        <v>7134</v>
      </c>
      <c r="H130" s="154" t="s">
        <v>6771</v>
      </c>
      <c r="I130" s="154" t="s">
        <v>7135</v>
      </c>
      <c r="J130" s="154" t="s">
        <v>7136</v>
      </c>
      <c r="K130" s="154" t="s">
        <v>6768</v>
      </c>
      <c r="L130" s="154" t="s">
        <v>6140</v>
      </c>
      <c r="M130" s="154" t="s">
        <v>175</v>
      </c>
      <c r="N130" s="154" t="s">
        <v>759</v>
      </c>
      <c r="O130" s="247" t="s">
        <v>445</v>
      </c>
      <c r="P130" s="247" t="s">
        <v>89</v>
      </c>
      <c r="Q130" s="154" t="str">
        <f t="shared" si="1"/>
        <v>#ERROR!</v>
      </c>
      <c r="R130" s="154" t="s">
        <v>66</v>
      </c>
      <c r="S130" s="154" t="s">
        <v>66</v>
      </c>
      <c r="T130" s="154" t="s">
        <v>66</v>
      </c>
      <c r="U130" s="154" t="s">
        <v>66</v>
      </c>
      <c r="V130" s="154" t="s">
        <v>66</v>
      </c>
      <c r="W130" s="154" t="s">
        <v>60</v>
      </c>
      <c r="X130" s="154" t="s">
        <v>66</v>
      </c>
      <c r="Y130" s="154" t="s">
        <v>66</v>
      </c>
      <c r="Z130" s="154" t="s">
        <v>60</v>
      </c>
      <c r="AA130" s="154"/>
      <c r="AB130" s="242" t="str">
        <f t="shared" si="2"/>
        <v>#ERROR!</v>
      </c>
      <c r="AC130" s="154" t="s">
        <v>391</v>
      </c>
      <c r="AD130" s="242" t="b">
        <f t="shared" si="3"/>
        <v>0</v>
      </c>
      <c r="AE130" s="154"/>
      <c r="AF130" s="242" t="str">
        <f t="shared" si="4"/>
        <v>#ERROR!</v>
      </c>
      <c r="AG130" s="154" t="s">
        <v>652</v>
      </c>
      <c r="AH130" s="242" t="str">
        <f>IF(AG130="","N/A",INDIRECT("MTR!"&amp;ADDRESS(MATCH(LEFT(AG130,9),[1]MTR!C:C,0),COLUMN(J130)),TRUE) &amp; "")</f>
        <v>#ERROR!</v>
      </c>
      <c r="AI130" s="157" t="str">
        <f t="shared" si="5"/>
        <v>#ERROR!</v>
      </c>
    </row>
    <row r="131" ht="12.75" customHeight="1">
      <c r="A131" s="244" t="s">
        <v>5158</v>
      </c>
      <c r="B131" s="244" t="s">
        <v>231</v>
      </c>
      <c r="C131" s="244" t="s">
        <v>7137</v>
      </c>
      <c r="D131" s="154" t="s">
        <v>781</v>
      </c>
      <c r="E131" s="154"/>
      <c r="F131" s="154" t="str">
        <f t="array" ref="F131">XLOOKUP(Cover!$D$12,$R$1:$Z$1,$R131:$Z131)</f>
        <v>Mandatory</v>
      </c>
      <c r="G131" s="154" t="s">
        <v>7138</v>
      </c>
      <c r="H131" s="154" t="s">
        <v>6808</v>
      </c>
      <c r="I131" s="154" t="s">
        <v>7135</v>
      </c>
      <c r="J131" s="154" t="s">
        <v>7136</v>
      </c>
      <c r="K131" s="154" t="s">
        <v>6768</v>
      </c>
      <c r="L131" s="154" t="s">
        <v>6140</v>
      </c>
      <c r="M131" s="154" t="s">
        <v>175</v>
      </c>
      <c r="N131" s="154" t="s">
        <v>759</v>
      </c>
      <c r="O131" s="247" t="s">
        <v>516</v>
      </c>
      <c r="P131" s="247" t="s">
        <v>1575</v>
      </c>
      <c r="Q131" s="154" t="str">
        <f t="shared" si="1"/>
        <v>#ERROR!</v>
      </c>
      <c r="R131" s="154" t="s">
        <v>66</v>
      </c>
      <c r="S131" s="154" t="s">
        <v>66</v>
      </c>
      <c r="T131" s="154" t="s">
        <v>66</v>
      </c>
      <c r="U131" s="154" t="s">
        <v>66</v>
      </c>
      <c r="V131" s="154" t="s">
        <v>66</v>
      </c>
      <c r="W131" s="154" t="s">
        <v>60</v>
      </c>
      <c r="X131" s="154" t="s">
        <v>66</v>
      </c>
      <c r="Y131" s="154" t="s">
        <v>66</v>
      </c>
      <c r="Z131" s="154" t="s">
        <v>60</v>
      </c>
      <c r="AA131" s="154"/>
      <c r="AB131" s="242" t="str">
        <f t="shared" si="2"/>
        <v>#ERROR!</v>
      </c>
      <c r="AC131" s="154" t="s">
        <v>391</v>
      </c>
      <c r="AD131" s="242" t="b">
        <f t="shared" si="3"/>
        <v>0</v>
      </c>
      <c r="AE131" s="154"/>
      <c r="AF131" s="242" t="str">
        <f t="shared" si="4"/>
        <v>#ERROR!</v>
      </c>
      <c r="AG131" s="154" t="s">
        <v>652</v>
      </c>
      <c r="AH131" s="242" t="str">
        <f>IF(AG131="","N/A",INDIRECT("MTR!"&amp;ADDRESS(MATCH(LEFT(AG131,9),[1]MTR!C:C,0),COLUMN(J131)),TRUE) &amp; "")</f>
        <v>#ERROR!</v>
      </c>
      <c r="AI131" s="157" t="str">
        <f t="shared" si="5"/>
        <v>#ERROR!</v>
      </c>
    </row>
    <row r="132" ht="12.75" customHeight="1">
      <c r="A132" s="244" t="s">
        <v>5158</v>
      </c>
      <c r="B132" s="244" t="s">
        <v>231</v>
      </c>
      <c r="C132" s="244" t="s">
        <v>7139</v>
      </c>
      <c r="D132" s="154" t="s">
        <v>781</v>
      </c>
      <c r="E132" s="154"/>
      <c r="F132" s="154" t="str">
        <f t="array" ref="F132">XLOOKUP(Cover!$D$12,$R$1:$Z$1,$R132:$Z132)</f>
        <v>Recommended</v>
      </c>
      <c r="G132" s="154" t="s">
        <v>7140</v>
      </c>
      <c r="H132" s="154" t="s">
        <v>6775</v>
      </c>
      <c r="I132" s="154" t="s">
        <v>7135</v>
      </c>
      <c r="J132" s="154" t="s">
        <v>7136</v>
      </c>
      <c r="K132" s="154" t="s">
        <v>6768</v>
      </c>
      <c r="L132" s="154" t="s">
        <v>6140</v>
      </c>
      <c r="M132" s="154"/>
      <c r="N132" s="154" t="s">
        <v>759</v>
      </c>
      <c r="O132" s="247" t="s">
        <v>516</v>
      </c>
      <c r="P132" s="247" t="s">
        <v>6822</v>
      </c>
      <c r="Q132" s="154" t="str">
        <f t="shared" si="1"/>
        <v>#ERROR!</v>
      </c>
      <c r="R132" s="154" t="s">
        <v>66</v>
      </c>
      <c r="S132" s="154" t="s">
        <v>66</v>
      </c>
      <c r="T132" s="154" t="s">
        <v>66</v>
      </c>
      <c r="U132" s="154" t="s">
        <v>66</v>
      </c>
      <c r="V132" s="154" t="s">
        <v>66</v>
      </c>
      <c r="W132" s="154" t="s">
        <v>64</v>
      </c>
      <c r="X132" s="154" t="s">
        <v>66</v>
      </c>
      <c r="Y132" s="154" t="s">
        <v>66</v>
      </c>
      <c r="Z132" s="154" t="s">
        <v>64</v>
      </c>
      <c r="AA132" s="154"/>
      <c r="AB132" s="242" t="str">
        <f t="shared" si="2"/>
        <v>#ERROR!</v>
      </c>
      <c r="AC132" s="154" t="s">
        <v>391</v>
      </c>
      <c r="AD132" s="242" t="b">
        <f t="shared" si="3"/>
        <v>0</v>
      </c>
      <c r="AE132" s="154"/>
      <c r="AF132" s="242" t="str">
        <f t="shared" si="4"/>
        <v>#ERROR!</v>
      </c>
      <c r="AG132" s="154" t="s">
        <v>652</v>
      </c>
      <c r="AH132" s="242" t="str">
        <f>IF(AG132="","N/A",INDIRECT("MTR!"&amp;ADDRESS(MATCH(LEFT(AG132,9),[1]MTR!C:C,0),COLUMN(J132)),TRUE) &amp; "")</f>
        <v>#ERROR!</v>
      </c>
      <c r="AI132" s="157" t="str">
        <f t="shared" si="5"/>
        <v>#ERROR!</v>
      </c>
    </row>
    <row r="133" ht="12.75" customHeight="1">
      <c r="A133" s="244" t="s">
        <v>5158</v>
      </c>
      <c r="B133" s="244" t="s">
        <v>231</v>
      </c>
      <c r="C133" s="244" t="s">
        <v>7141</v>
      </c>
      <c r="D133" s="154" t="s">
        <v>781</v>
      </c>
      <c r="E133" s="154"/>
      <c r="F133" s="154" t="str">
        <f t="array" ref="F133">XLOOKUP(Cover!$D$12,$R$1:$Z$1,$R133:$Z133)</f>
        <v>Recommended</v>
      </c>
      <c r="G133" s="154" t="s">
        <v>7142</v>
      </c>
      <c r="H133" s="154" t="s">
        <v>6847</v>
      </c>
      <c r="I133" s="154" t="s">
        <v>7135</v>
      </c>
      <c r="J133" s="154" t="s">
        <v>7136</v>
      </c>
      <c r="K133" s="154" t="s">
        <v>6768</v>
      </c>
      <c r="L133" s="154" t="s">
        <v>6140</v>
      </c>
      <c r="M133" s="154"/>
      <c r="N133" s="154" t="s">
        <v>759</v>
      </c>
      <c r="O133" s="247" t="s">
        <v>516</v>
      </c>
      <c r="P133" s="247" t="s">
        <v>1575</v>
      </c>
      <c r="Q133" s="154" t="str">
        <f t="shared" si="1"/>
        <v>#ERROR!</v>
      </c>
      <c r="R133" s="154" t="s">
        <v>66</v>
      </c>
      <c r="S133" s="154" t="s">
        <v>66</v>
      </c>
      <c r="T133" s="154" t="s">
        <v>66</v>
      </c>
      <c r="U133" s="154" t="s">
        <v>66</v>
      </c>
      <c r="V133" s="154" t="s">
        <v>66</v>
      </c>
      <c r="W133" s="154" t="s">
        <v>64</v>
      </c>
      <c r="X133" s="154" t="s">
        <v>66</v>
      </c>
      <c r="Y133" s="154" t="s">
        <v>66</v>
      </c>
      <c r="Z133" s="154" t="s">
        <v>64</v>
      </c>
      <c r="AA133" s="154"/>
      <c r="AB133" s="242" t="str">
        <f t="shared" si="2"/>
        <v>#ERROR!</v>
      </c>
      <c r="AC133" s="154" t="s">
        <v>391</v>
      </c>
      <c r="AD133" s="242" t="b">
        <f t="shared" si="3"/>
        <v>0</v>
      </c>
      <c r="AE133" s="154"/>
      <c r="AF133" s="242" t="str">
        <f t="shared" si="4"/>
        <v>#ERROR!</v>
      </c>
      <c r="AG133" s="154" t="s">
        <v>652</v>
      </c>
      <c r="AH133" s="242" t="str">
        <f>IF(AG133="","N/A",INDIRECT("MTR!"&amp;ADDRESS(MATCH(LEFT(AG133,9),[1]MTR!C:C,0),COLUMN(J133)),TRUE) &amp; "")</f>
        <v>#ERROR!</v>
      </c>
      <c r="AI133" s="157" t="str">
        <f t="shared" si="5"/>
        <v>#ERROR!</v>
      </c>
    </row>
    <row r="134" ht="12.75" customHeight="1">
      <c r="A134" s="244" t="s">
        <v>5158</v>
      </c>
      <c r="B134" s="244" t="s">
        <v>231</v>
      </c>
      <c r="C134" s="244" t="s">
        <v>7143</v>
      </c>
      <c r="D134" s="154" t="s">
        <v>747</v>
      </c>
      <c r="E134" s="154"/>
      <c r="F134" s="154" t="str">
        <f t="array" ref="F134">XLOOKUP(Cover!$D$12,$R$1:$Z$1,$R134:$Z134)</f>
        <v>Mandatory</v>
      </c>
      <c r="G134" s="154" t="s">
        <v>7144</v>
      </c>
      <c r="H134" s="154" t="s">
        <v>6771</v>
      </c>
      <c r="I134" s="154" t="s">
        <v>7145</v>
      </c>
      <c r="J134" s="154" t="s">
        <v>7146</v>
      </c>
      <c r="K134" s="154" t="s">
        <v>6768</v>
      </c>
      <c r="L134" s="154" t="s">
        <v>6942</v>
      </c>
      <c r="M134" s="154" t="s">
        <v>175</v>
      </c>
      <c r="N134" s="154" t="s">
        <v>759</v>
      </c>
      <c r="O134" s="247" t="s">
        <v>516</v>
      </c>
      <c r="P134" s="247" t="s">
        <v>6776</v>
      </c>
      <c r="Q134" s="154" t="str">
        <f t="shared" si="1"/>
        <v>#ERROR!</v>
      </c>
      <c r="R134" s="154" t="s">
        <v>66</v>
      </c>
      <c r="S134" s="154" t="s">
        <v>66</v>
      </c>
      <c r="T134" s="154" t="s">
        <v>66</v>
      </c>
      <c r="U134" s="154" t="s">
        <v>66</v>
      </c>
      <c r="V134" s="154" t="s">
        <v>66</v>
      </c>
      <c r="W134" s="154" t="s">
        <v>60</v>
      </c>
      <c r="X134" s="154" t="s">
        <v>66</v>
      </c>
      <c r="Y134" s="154" t="s">
        <v>66</v>
      </c>
      <c r="Z134" s="154" t="s">
        <v>60</v>
      </c>
      <c r="AA134" s="154"/>
      <c r="AB134" s="242" t="str">
        <f t="shared" si="2"/>
        <v>#ERROR!</v>
      </c>
      <c r="AC134" s="154" t="s">
        <v>391</v>
      </c>
      <c r="AD134" s="242" t="b">
        <f t="shared" si="3"/>
        <v>0</v>
      </c>
      <c r="AE134" s="154"/>
      <c r="AF134" s="242" t="str">
        <f t="shared" si="4"/>
        <v>#ERROR!</v>
      </c>
      <c r="AG134" s="154" t="s">
        <v>652</v>
      </c>
      <c r="AH134" s="242" t="str">
        <f>IF(AG134="","N/A",INDIRECT("MTR!"&amp;ADDRESS(MATCH(LEFT(AG134,9),[1]MTR!C:C,0),COLUMN(J134)),TRUE) &amp; "")</f>
        <v>#ERROR!</v>
      </c>
      <c r="AI134" s="157" t="str">
        <f t="shared" si="5"/>
        <v>#ERROR!</v>
      </c>
    </row>
    <row r="135" ht="12.75" customHeight="1">
      <c r="A135" s="244" t="s">
        <v>5158</v>
      </c>
      <c r="B135" s="244" t="s">
        <v>231</v>
      </c>
      <c r="C135" s="244" t="s">
        <v>7147</v>
      </c>
      <c r="D135" s="154" t="s">
        <v>747</v>
      </c>
      <c r="E135" s="154"/>
      <c r="F135" s="154" t="str">
        <f t="array" ref="F135">XLOOKUP(Cover!$D$12,$R$1:$Z$1,$R135:$Z135)</f>
        <v>Mandatory</v>
      </c>
      <c r="G135" s="154" t="s">
        <v>7148</v>
      </c>
      <c r="H135" s="154" t="s">
        <v>6808</v>
      </c>
      <c r="I135" s="154" t="s">
        <v>7145</v>
      </c>
      <c r="J135" s="154" t="s">
        <v>7146</v>
      </c>
      <c r="K135" s="154" t="s">
        <v>6768</v>
      </c>
      <c r="L135" s="154" t="s">
        <v>6942</v>
      </c>
      <c r="M135" s="154" t="s">
        <v>175</v>
      </c>
      <c r="N135" s="154" t="s">
        <v>759</v>
      </c>
      <c r="O135" s="247" t="s">
        <v>516</v>
      </c>
      <c r="P135" s="247" t="s">
        <v>6776</v>
      </c>
      <c r="Q135" s="154" t="str">
        <f t="shared" si="1"/>
        <v>#ERROR!</v>
      </c>
      <c r="R135" s="154" t="s">
        <v>66</v>
      </c>
      <c r="S135" s="154" t="s">
        <v>66</v>
      </c>
      <c r="T135" s="154" t="s">
        <v>66</v>
      </c>
      <c r="U135" s="154" t="s">
        <v>66</v>
      </c>
      <c r="V135" s="154" t="s">
        <v>66</v>
      </c>
      <c r="W135" s="154" t="s">
        <v>60</v>
      </c>
      <c r="X135" s="154" t="s">
        <v>66</v>
      </c>
      <c r="Y135" s="154" t="s">
        <v>66</v>
      </c>
      <c r="Z135" s="154" t="s">
        <v>60</v>
      </c>
      <c r="AA135" s="154"/>
      <c r="AB135" s="242" t="str">
        <f t="shared" si="2"/>
        <v>#ERROR!</v>
      </c>
      <c r="AC135" s="154" t="s">
        <v>391</v>
      </c>
      <c r="AD135" s="242" t="b">
        <f t="shared" si="3"/>
        <v>0</v>
      </c>
      <c r="AE135" s="154"/>
      <c r="AF135" s="242" t="str">
        <f t="shared" si="4"/>
        <v>#ERROR!</v>
      </c>
      <c r="AG135" s="154" t="s">
        <v>652</v>
      </c>
      <c r="AH135" s="242" t="str">
        <f>IF(AG135="","N/A",INDIRECT("MTR!"&amp;ADDRESS(MATCH(LEFT(AG135,9),[1]MTR!C:C,0),COLUMN(J135)),TRUE) &amp; "")</f>
        <v>#ERROR!</v>
      </c>
      <c r="AI135" s="157" t="str">
        <f t="shared" si="5"/>
        <v>#ERROR!</v>
      </c>
    </row>
    <row r="136" ht="12.75" customHeight="1">
      <c r="A136" s="244" t="s">
        <v>5158</v>
      </c>
      <c r="B136" s="244" t="s">
        <v>231</v>
      </c>
      <c r="C136" s="244" t="s">
        <v>7149</v>
      </c>
      <c r="D136" s="154" t="s">
        <v>747</v>
      </c>
      <c r="E136" s="154"/>
      <c r="F136" s="154" t="str">
        <f t="array" ref="F136">XLOOKUP(Cover!$D$12,$R$1:$Z$1,$R136:$Z136)</f>
        <v>Mandatory</v>
      </c>
      <c r="G136" s="154" t="s">
        <v>7150</v>
      </c>
      <c r="H136" s="154" t="s">
        <v>6775</v>
      </c>
      <c r="I136" s="154" t="s">
        <v>7145</v>
      </c>
      <c r="J136" s="154" t="s">
        <v>7146</v>
      </c>
      <c r="K136" s="154" t="s">
        <v>6768</v>
      </c>
      <c r="L136" s="154" t="s">
        <v>6942</v>
      </c>
      <c r="M136" s="154" t="s">
        <v>175</v>
      </c>
      <c r="N136" s="154" t="s">
        <v>759</v>
      </c>
      <c r="O136" s="247" t="s">
        <v>516</v>
      </c>
      <c r="P136" s="247" t="s">
        <v>6776</v>
      </c>
      <c r="Q136" s="154" t="str">
        <f t="shared" si="1"/>
        <v>#ERROR!</v>
      </c>
      <c r="R136" s="154" t="s">
        <v>66</v>
      </c>
      <c r="S136" s="154" t="s">
        <v>66</v>
      </c>
      <c r="T136" s="154" t="s">
        <v>66</v>
      </c>
      <c r="U136" s="154" t="s">
        <v>66</v>
      </c>
      <c r="V136" s="154" t="s">
        <v>66</v>
      </c>
      <c r="W136" s="154" t="s">
        <v>60</v>
      </c>
      <c r="X136" s="154" t="s">
        <v>66</v>
      </c>
      <c r="Y136" s="154" t="s">
        <v>66</v>
      </c>
      <c r="Z136" s="154" t="s">
        <v>60</v>
      </c>
      <c r="AA136" s="154"/>
      <c r="AB136" s="242" t="str">
        <f t="shared" si="2"/>
        <v>#ERROR!</v>
      </c>
      <c r="AC136" s="154" t="s">
        <v>391</v>
      </c>
      <c r="AD136" s="242" t="b">
        <f t="shared" si="3"/>
        <v>0</v>
      </c>
      <c r="AE136" s="154"/>
      <c r="AF136" s="242" t="str">
        <f t="shared" si="4"/>
        <v>#ERROR!</v>
      </c>
      <c r="AG136" s="154" t="s">
        <v>652</v>
      </c>
      <c r="AH136" s="242" t="str">
        <f>IF(AG136="","N/A",INDIRECT("MTR!"&amp;ADDRESS(MATCH(LEFT(AG136,9),[1]MTR!C:C,0),COLUMN(J136)),TRUE) &amp; "")</f>
        <v>#ERROR!</v>
      </c>
      <c r="AI136" s="157" t="str">
        <f t="shared" si="5"/>
        <v>#ERROR!</v>
      </c>
    </row>
    <row r="137" ht="12.75" customHeight="1">
      <c r="A137" s="244" t="s">
        <v>5158</v>
      </c>
      <c r="B137" s="244" t="s">
        <v>231</v>
      </c>
      <c r="C137" s="244" t="s">
        <v>7151</v>
      </c>
      <c r="D137" s="154" t="s">
        <v>747</v>
      </c>
      <c r="E137" s="154"/>
      <c r="F137" s="154" t="str">
        <f t="array" ref="F137">XLOOKUP(Cover!$D$12,$R$1:$Z$1,$R137:$Z137)</f>
        <v>Mandatory</v>
      </c>
      <c r="G137" s="154" t="s">
        <v>7152</v>
      </c>
      <c r="H137" s="154" t="s">
        <v>6779</v>
      </c>
      <c r="I137" s="154" t="s">
        <v>7145</v>
      </c>
      <c r="J137" s="154" t="s">
        <v>7146</v>
      </c>
      <c r="K137" s="154" t="s">
        <v>6768</v>
      </c>
      <c r="L137" s="154" t="s">
        <v>6942</v>
      </c>
      <c r="M137" s="154" t="s">
        <v>175</v>
      </c>
      <c r="N137" s="154" t="s">
        <v>759</v>
      </c>
      <c r="O137" s="247" t="s">
        <v>516</v>
      </c>
      <c r="P137" s="247" t="s">
        <v>6776</v>
      </c>
      <c r="Q137" s="154" t="str">
        <f t="shared" si="1"/>
        <v>#ERROR!</v>
      </c>
      <c r="R137" s="154" t="s">
        <v>66</v>
      </c>
      <c r="S137" s="154" t="s">
        <v>66</v>
      </c>
      <c r="T137" s="154" t="s">
        <v>66</v>
      </c>
      <c r="U137" s="154" t="s">
        <v>66</v>
      </c>
      <c r="V137" s="154" t="s">
        <v>66</v>
      </c>
      <c r="W137" s="154" t="s">
        <v>60</v>
      </c>
      <c r="X137" s="154" t="s">
        <v>66</v>
      </c>
      <c r="Y137" s="154" t="s">
        <v>66</v>
      </c>
      <c r="Z137" s="154" t="s">
        <v>60</v>
      </c>
      <c r="AA137" s="154"/>
      <c r="AB137" s="242" t="str">
        <f t="shared" si="2"/>
        <v>#ERROR!</v>
      </c>
      <c r="AC137" s="154" t="s">
        <v>391</v>
      </c>
      <c r="AD137" s="242" t="b">
        <f t="shared" si="3"/>
        <v>0</v>
      </c>
      <c r="AE137" s="154"/>
      <c r="AF137" s="242" t="str">
        <f t="shared" si="4"/>
        <v>#ERROR!</v>
      </c>
      <c r="AG137" s="154" t="s">
        <v>652</v>
      </c>
      <c r="AH137" s="242" t="str">
        <f>IF(AG137="","N/A",INDIRECT("MTR!"&amp;ADDRESS(MATCH(LEFT(AG137,9),[1]MTR!C:C,0),COLUMN(J137)),TRUE) &amp; "")</f>
        <v>#ERROR!</v>
      </c>
      <c r="AI137" s="157" t="str">
        <f t="shared" si="5"/>
        <v>#ERROR!</v>
      </c>
    </row>
    <row r="138" ht="12.75" customHeight="1">
      <c r="A138" s="244" t="s">
        <v>5158</v>
      </c>
      <c r="B138" s="244" t="s">
        <v>231</v>
      </c>
      <c r="C138" s="244" t="s">
        <v>7153</v>
      </c>
      <c r="D138" s="154" t="s">
        <v>781</v>
      </c>
      <c r="E138" s="154"/>
      <c r="F138" s="154" t="str">
        <f t="array" ref="F138">XLOOKUP(Cover!$D$12,$R$1:$Z$1,$R138:$Z138)</f>
        <v>Information</v>
      </c>
      <c r="G138" s="154" t="s">
        <v>7154</v>
      </c>
      <c r="H138" s="154" t="s">
        <v>6771</v>
      </c>
      <c r="I138" s="154" t="s">
        <v>7155</v>
      </c>
      <c r="J138" s="154" t="s">
        <v>7156</v>
      </c>
      <c r="K138" s="154" t="s">
        <v>6768</v>
      </c>
      <c r="L138" s="154" t="s">
        <v>6140</v>
      </c>
      <c r="M138" s="154"/>
      <c r="N138" s="154" t="s">
        <v>759</v>
      </c>
      <c r="O138" s="247" t="s">
        <v>516</v>
      </c>
      <c r="P138" s="247" t="s">
        <v>6776</v>
      </c>
      <c r="Q138" s="154" t="str">
        <f t="shared" si="1"/>
        <v>#ERROR!</v>
      </c>
      <c r="R138" s="154" t="s">
        <v>66</v>
      </c>
      <c r="S138" s="154" t="s">
        <v>66</v>
      </c>
      <c r="T138" s="154" t="s">
        <v>66</v>
      </c>
      <c r="U138" s="154" t="s">
        <v>66</v>
      </c>
      <c r="V138" s="154" t="s">
        <v>66</v>
      </c>
      <c r="W138" s="154" t="s">
        <v>66</v>
      </c>
      <c r="X138" s="154" t="s">
        <v>66</v>
      </c>
      <c r="Y138" s="154" t="s">
        <v>66</v>
      </c>
      <c r="Z138" s="154" t="s">
        <v>66</v>
      </c>
      <c r="AA138" s="154"/>
      <c r="AB138" s="242" t="str">
        <f t="shared" si="2"/>
        <v>#ERROR!</v>
      </c>
      <c r="AC138" s="154" t="s">
        <v>391</v>
      </c>
      <c r="AD138" s="242" t="b">
        <f t="shared" si="3"/>
        <v>0</v>
      </c>
      <c r="AE138" s="154"/>
      <c r="AF138" s="242" t="str">
        <f t="shared" si="4"/>
        <v>#ERROR!</v>
      </c>
      <c r="AG138" s="154" t="s">
        <v>652</v>
      </c>
      <c r="AH138" s="242" t="str">
        <f>IF(AG138="","N/A",INDIRECT("MTR!"&amp;ADDRESS(MATCH(LEFT(AG138,9),[1]MTR!C:C,0),COLUMN(J138)),TRUE) &amp; "")</f>
        <v>#ERROR!</v>
      </c>
      <c r="AI138" s="157" t="str">
        <f t="shared" si="5"/>
        <v>#ERROR!</v>
      </c>
    </row>
    <row r="139" ht="12.75" customHeight="1">
      <c r="A139" s="244" t="s">
        <v>5158</v>
      </c>
      <c r="B139" s="244" t="s">
        <v>231</v>
      </c>
      <c r="C139" s="244" t="s">
        <v>7157</v>
      </c>
      <c r="D139" s="154" t="s">
        <v>781</v>
      </c>
      <c r="E139" s="154"/>
      <c r="F139" s="154" t="str">
        <f t="array" ref="F139">XLOOKUP(Cover!$D$12,$R$1:$Z$1,$R139:$Z139)</f>
        <v>Information</v>
      </c>
      <c r="G139" s="154" t="s">
        <v>7158</v>
      </c>
      <c r="H139" s="154" t="s">
        <v>6775</v>
      </c>
      <c r="I139" s="154" t="s">
        <v>7155</v>
      </c>
      <c r="J139" s="154" t="s">
        <v>7156</v>
      </c>
      <c r="K139" s="154" t="s">
        <v>6768</v>
      </c>
      <c r="L139" s="154" t="s">
        <v>6140</v>
      </c>
      <c r="M139" s="154"/>
      <c r="N139" s="154" t="s">
        <v>759</v>
      </c>
      <c r="O139" s="247" t="s">
        <v>516</v>
      </c>
      <c r="P139" s="247" t="s">
        <v>6776</v>
      </c>
      <c r="Q139" s="154" t="str">
        <f t="shared" si="1"/>
        <v>#ERROR!</v>
      </c>
      <c r="R139" s="154" t="s">
        <v>66</v>
      </c>
      <c r="S139" s="154" t="s">
        <v>66</v>
      </c>
      <c r="T139" s="154" t="s">
        <v>66</v>
      </c>
      <c r="U139" s="154" t="s">
        <v>66</v>
      </c>
      <c r="V139" s="154" t="s">
        <v>66</v>
      </c>
      <c r="W139" s="154" t="s">
        <v>66</v>
      </c>
      <c r="X139" s="154" t="s">
        <v>66</v>
      </c>
      <c r="Y139" s="154" t="s">
        <v>66</v>
      </c>
      <c r="Z139" s="154" t="s">
        <v>66</v>
      </c>
      <c r="AA139" s="154"/>
      <c r="AB139" s="242" t="str">
        <f t="shared" si="2"/>
        <v>#ERROR!</v>
      </c>
      <c r="AC139" s="154" t="s">
        <v>391</v>
      </c>
      <c r="AD139" s="242" t="b">
        <f t="shared" si="3"/>
        <v>0</v>
      </c>
      <c r="AE139" s="154"/>
      <c r="AF139" s="242" t="str">
        <f t="shared" si="4"/>
        <v>#ERROR!</v>
      </c>
      <c r="AG139" s="154" t="s">
        <v>652</v>
      </c>
      <c r="AH139" s="242" t="str">
        <f>IF(AG139="","N/A",INDIRECT("MTR!"&amp;ADDRESS(MATCH(LEFT(AG139,9),[1]MTR!C:C,0),COLUMN(J139)),TRUE) &amp; "")</f>
        <v>#ERROR!</v>
      </c>
      <c r="AI139" s="157" t="str">
        <f t="shared" si="5"/>
        <v>#ERROR!</v>
      </c>
    </row>
    <row r="140" ht="12.75" customHeight="1">
      <c r="A140" s="244" t="s">
        <v>5158</v>
      </c>
      <c r="B140" s="244" t="s">
        <v>231</v>
      </c>
      <c r="C140" s="244" t="s">
        <v>7159</v>
      </c>
      <c r="D140" s="154" t="s">
        <v>781</v>
      </c>
      <c r="E140" s="154"/>
      <c r="F140" s="154" t="str">
        <f t="array" ref="F140">XLOOKUP(Cover!$D$12,$R$1:$Z$1,$R140:$Z140)</f>
        <v>Information</v>
      </c>
      <c r="G140" s="154" t="s">
        <v>7160</v>
      </c>
      <c r="H140" s="154" t="s">
        <v>6779</v>
      </c>
      <c r="I140" s="154" t="s">
        <v>7155</v>
      </c>
      <c r="J140" s="154" t="s">
        <v>7156</v>
      </c>
      <c r="K140" s="154" t="s">
        <v>6768</v>
      </c>
      <c r="L140" s="154" t="s">
        <v>6140</v>
      </c>
      <c r="M140" s="154"/>
      <c r="N140" s="154" t="s">
        <v>759</v>
      </c>
      <c r="O140" s="247" t="s">
        <v>516</v>
      </c>
      <c r="P140" s="247" t="s">
        <v>6776</v>
      </c>
      <c r="Q140" s="154" t="str">
        <f t="shared" si="1"/>
        <v>#ERROR!</v>
      </c>
      <c r="R140" s="154" t="s">
        <v>66</v>
      </c>
      <c r="S140" s="154" t="s">
        <v>66</v>
      </c>
      <c r="T140" s="154" t="s">
        <v>66</v>
      </c>
      <c r="U140" s="154" t="s">
        <v>66</v>
      </c>
      <c r="V140" s="154" t="s">
        <v>66</v>
      </c>
      <c r="W140" s="154" t="s">
        <v>66</v>
      </c>
      <c r="X140" s="154" t="s">
        <v>66</v>
      </c>
      <c r="Y140" s="154" t="s">
        <v>66</v>
      </c>
      <c r="Z140" s="154" t="s">
        <v>66</v>
      </c>
      <c r="AA140" s="154"/>
      <c r="AB140" s="242" t="str">
        <f t="shared" si="2"/>
        <v>#ERROR!</v>
      </c>
      <c r="AC140" s="154" t="s">
        <v>391</v>
      </c>
      <c r="AD140" s="242" t="b">
        <f t="shared" si="3"/>
        <v>0</v>
      </c>
      <c r="AE140" s="154"/>
      <c r="AF140" s="242" t="str">
        <f t="shared" si="4"/>
        <v>#ERROR!</v>
      </c>
      <c r="AG140" s="154" t="s">
        <v>652</v>
      </c>
      <c r="AH140" s="242" t="str">
        <f>IF(AG140="","N/A",INDIRECT("MTR!"&amp;ADDRESS(MATCH(LEFT(AG140,9),[1]MTR!C:C,0),COLUMN(J140)),TRUE) &amp; "")</f>
        <v>#ERROR!</v>
      </c>
      <c r="AI140" s="157" t="str">
        <f t="shared" si="5"/>
        <v>#ERROR!</v>
      </c>
    </row>
    <row r="141" ht="12.75" customHeight="1">
      <c r="A141" s="244" t="s">
        <v>5158</v>
      </c>
      <c r="B141" s="244" t="s">
        <v>231</v>
      </c>
      <c r="C141" s="244" t="s">
        <v>7161</v>
      </c>
      <c r="D141" s="154" t="s">
        <v>747</v>
      </c>
      <c r="E141" s="154"/>
      <c r="F141" s="154" t="str">
        <f t="array" ref="F141">XLOOKUP(Cover!$D$12,$R$1:$Z$1,$R141:$Z141)</f>
        <v>Mandatory</v>
      </c>
      <c r="G141" s="154" t="s">
        <v>7162</v>
      </c>
      <c r="H141" s="154" t="s">
        <v>6771</v>
      </c>
      <c r="I141" s="154" t="s">
        <v>7163</v>
      </c>
      <c r="J141" s="154" t="s">
        <v>7164</v>
      </c>
      <c r="K141" s="154" t="s">
        <v>6768</v>
      </c>
      <c r="L141" s="154" t="s">
        <v>6140</v>
      </c>
      <c r="M141" s="154" t="s">
        <v>175</v>
      </c>
      <c r="N141" s="154" t="s">
        <v>759</v>
      </c>
      <c r="O141" s="247" t="s">
        <v>516</v>
      </c>
      <c r="P141" s="247" t="s">
        <v>6776</v>
      </c>
      <c r="Q141" s="154" t="str">
        <f t="shared" si="1"/>
        <v>#ERROR!</v>
      </c>
      <c r="R141" s="154" t="s">
        <v>66</v>
      </c>
      <c r="S141" s="154" t="s">
        <v>66</v>
      </c>
      <c r="T141" s="154" t="s">
        <v>66</v>
      </c>
      <c r="U141" s="154" t="s">
        <v>66</v>
      </c>
      <c r="V141" s="154" t="s">
        <v>66</v>
      </c>
      <c r="W141" s="154" t="s">
        <v>60</v>
      </c>
      <c r="X141" s="154" t="s">
        <v>66</v>
      </c>
      <c r="Y141" s="154" t="s">
        <v>66</v>
      </c>
      <c r="Z141" s="154" t="s">
        <v>60</v>
      </c>
      <c r="AA141" s="154"/>
      <c r="AB141" s="242" t="str">
        <f t="shared" si="2"/>
        <v>#ERROR!</v>
      </c>
      <c r="AC141" s="154" t="s">
        <v>391</v>
      </c>
      <c r="AD141" s="242" t="b">
        <f t="shared" si="3"/>
        <v>0</v>
      </c>
      <c r="AE141" s="154"/>
      <c r="AF141" s="242" t="str">
        <f t="shared" si="4"/>
        <v>#ERROR!</v>
      </c>
      <c r="AG141" s="154" t="s">
        <v>652</v>
      </c>
      <c r="AH141" s="242" t="str">
        <f>IF(AG141="","N/A",INDIRECT("MTR!"&amp;ADDRESS(MATCH(LEFT(AG141,9),[1]MTR!C:C,0),COLUMN(J141)),TRUE) &amp; "")</f>
        <v>#ERROR!</v>
      </c>
      <c r="AI141" s="157" t="str">
        <f t="shared" si="5"/>
        <v>#ERROR!</v>
      </c>
    </row>
    <row r="142" ht="12.75" customHeight="1">
      <c r="A142" s="244" t="s">
        <v>5158</v>
      </c>
      <c r="B142" s="244" t="s">
        <v>231</v>
      </c>
      <c r="C142" s="244" t="s">
        <v>7165</v>
      </c>
      <c r="D142" s="154" t="s">
        <v>747</v>
      </c>
      <c r="E142" s="154"/>
      <c r="F142" s="154" t="str">
        <f t="array" ref="F142">XLOOKUP(Cover!$D$12,$R$1:$Z$1,$R142:$Z142)</f>
        <v>Mandatory</v>
      </c>
      <c r="G142" s="154" t="s">
        <v>7166</v>
      </c>
      <c r="H142" s="154" t="s">
        <v>6808</v>
      </c>
      <c r="I142" s="154" t="s">
        <v>7163</v>
      </c>
      <c r="J142" s="154" t="s">
        <v>7164</v>
      </c>
      <c r="K142" s="154" t="s">
        <v>6768</v>
      </c>
      <c r="L142" s="154" t="s">
        <v>6140</v>
      </c>
      <c r="M142" s="154" t="s">
        <v>175</v>
      </c>
      <c r="N142" s="154" t="s">
        <v>759</v>
      </c>
      <c r="O142" s="247" t="s">
        <v>516</v>
      </c>
      <c r="P142" s="247" t="s">
        <v>6776</v>
      </c>
      <c r="Q142" s="154" t="str">
        <f t="shared" si="1"/>
        <v>#ERROR!</v>
      </c>
      <c r="R142" s="154" t="s">
        <v>66</v>
      </c>
      <c r="S142" s="154" t="s">
        <v>66</v>
      </c>
      <c r="T142" s="154" t="s">
        <v>66</v>
      </c>
      <c r="U142" s="154" t="s">
        <v>66</v>
      </c>
      <c r="V142" s="154" t="s">
        <v>66</v>
      </c>
      <c r="W142" s="154" t="s">
        <v>60</v>
      </c>
      <c r="X142" s="154" t="s">
        <v>66</v>
      </c>
      <c r="Y142" s="154" t="s">
        <v>66</v>
      </c>
      <c r="Z142" s="154" t="s">
        <v>60</v>
      </c>
      <c r="AA142" s="154"/>
      <c r="AB142" s="242" t="str">
        <f t="shared" si="2"/>
        <v>#ERROR!</v>
      </c>
      <c r="AC142" s="154" t="s">
        <v>391</v>
      </c>
      <c r="AD142" s="242" t="b">
        <f t="shared" si="3"/>
        <v>0</v>
      </c>
      <c r="AE142" s="154"/>
      <c r="AF142" s="242" t="str">
        <f t="shared" si="4"/>
        <v>#ERROR!</v>
      </c>
      <c r="AG142" s="154" t="s">
        <v>652</v>
      </c>
      <c r="AH142" s="242" t="str">
        <f>IF(AG142="","N/A",INDIRECT("MTR!"&amp;ADDRESS(MATCH(LEFT(AG142,9),[1]MTR!C:C,0),COLUMN(J142)),TRUE) &amp; "")</f>
        <v>#ERROR!</v>
      </c>
      <c r="AI142" s="157" t="str">
        <f t="shared" si="5"/>
        <v>#ERROR!</v>
      </c>
    </row>
    <row r="143" ht="12.75" customHeight="1">
      <c r="A143" s="244" t="s">
        <v>5158</v>
      </c>
      <c r="B143" s="244" t="s">
        <v>231</v>
      </c>
      <c r="C143" s="244" t="s">
        <v>7167</v>
      </c>
      <c r="D143" s="154" t="s">
        <v>747</v>
      </c>
      <c r="E143" s="154"/>
      <c r="F143" s="154" t="str">
        <f t="array" ref="F143">XLOOKUP(Cover!$D$12,$R$1:$Z$1,$R143:$Z143)</f>
        <v>Mandatory</v>
      </c>
      <c r="G143" s="154" t="s">
        <v>7168</v>
      </c>
      <c r="H143" s="154" t="s">
        <v>6775</v>
      </c>
      <c r="I143" s="154" t="s">
        <v>7163</v>
      </c>
      <c r="J143" s="154" t="s">
        <v>7164</v>
      </c>
      <c r="K143" s="154" t="s">
        <v>6768</v>
      </c>
      <c r="L143" s="154" t="s">
        <v>6140</v>
      </c>
      <c r="M143" s="154" t="s">
        <v>175</v>
      </c>
      <c r="N143" s="154" t="s">
        <v>759</v>
      </c>
      <c r="O143" s="247" t="s">
        <v>516</v>
      </c>
      <c r="P143" s="247" t="s">
        <v>6776</v>
      </c>
      <c r="Q143" s="154" t="str">
        <f t="shared" si="1"/>
        <v>#ERROR!</v>
      </c>
      <c r="R143" s="154" t="s">
        <v>66</v>
      </c>
      <c r="S143" s="154" t="s">
        <v>66</v>
      </c>
      <c r="T143" s="154" t="s">
        <v>66</v>
      </c>
      <c r="U143" s="154" t="s">
        <v>66</v>
      </c>
      <c r="V143" s="154" t="s">
        <v>66</v>
      </c>
      <c r="W143" s="154" t="s">
        <v>60</v>
      </c>
      <c r="X143" s="154" t="s">
        <v>66</v>
      </c>
      <c r="Y143" s="154" t="s">
        <v>66</v>
      </c>
      <c r="Z143" s="154" t="s">
        <v>60</v>
      </c>
      <c r="AA143" s="154"/>
      <c r="AB143" s="242" t="str">
        <f t="shared" si="2"/>
        <v>#ERROR!</v>
      </c>
      <c r="AC143" s="154" t="s">
        <v>391</v>
      </c>
      <c r="AD143" s="242" t="b">
        <f t="shared" si="3"/>
        <v>0</v>
      </c>
      <c r="AE143" s="154"/>
      <c r="AF143" s="242" t="str">
        <f t="shared" si="4"/>
        <v>#ERROR!</v>
      </c>
      <c r="AG143" s="154" t="s">
        <v>652</v>
      </c>
      <c r="AH143" s="242" t="str">
        <f>IF(AG143="","N/A",INDIRECT("MTR!"&amp;ADDRESS(MATCH(LEFT(AG143,9),[1]MTR!C:C,0),COLUMN(J143)),TRUE) &amp; "")</f>
        <v>#ERROR!</v>
      </c>
      <c r="AI143" s="157" t="str">
        <f t="shared" si="5"/>
        <v>#ERROR!</v>
      </c>
    </row>
    <row r="144" ht="12.75" customHeight="1">
      <c r="A144" s="244" t="s">
        <v>5158</v>
      </c>
      <c r="B144" s="244" t="s">
        <v>231</v>
      </c>
      <c r="C144" s="244" t="s">
        <v>7169</v>
      </c>
      <c r="D144" s="154" t="s">
        <v>747</v>
      </c>
      <c r="E144" s="154"/>
      <c r="F144" s="154" t="str">
        <f t="array" ref="F144">XLOOKUP(Cover!$D$12,$R$1:$Z$1,$R144:$Z144)</f>
        <v>Mandatory</v>
      </c>
      <c r="G144" s="154" t="s">
        <v>7170</v>
      </c>
      <c r="H144" s="154" t="s">
        <v>6782</v>
      </c>
      <c r="I144" s="154" t="s">
        <v>7163</v>
      </c>
      <c r="J144" s="154" t="s">
        <v>7164</v>
      </c>
      <c r="K144" s="154" t="s">
        <v>6768</v>
      </c>
      <c r="L144" s="154" t="s">
        <v>6140</v>
      </c>
      <c r="M144" s="154" t="s">
        <v>175</v>
      </c>
      <c r="N144" s="154" t="s">
        <v>759</v>
      </c>
      <c r="O144" s="247" t="s">
        <v>516</v>
      </c>
      <c r="P144" s="247" t="s">
        <v>6776</v>
      </c>
      <c r="Q144" s="154" t="str">
        <f t="shared" si="1"/>
        <v>#ERROR!</v>
      </c>
      <c r="R144" s="154" t="s">
        <v>66</v>
      </c>
      <c r="S144" s="154" t="s">
        <v>66</v>
      </c>
      <c r="T144" s="154" t="s">
        <v>66</v>
      </c>
      <c r="U144" s="154" t="s">
        <v>66</v>
      </c>
      <c r="V144" s="154" t="s">
        <v>66</v>
      </c>
      <c r="W144" s="154" t="s">
        <v>60</v>
      </c>
      <c r="X144" s="154" t="s">
        <v>66</v>
      </c>
      <c r="Y144" s="154" t="s">
        <v>66</v>
      </c>
      <c r="Z144" s="154" t="s">
        <v>60</v>
      </c>
      <c r="AA144" s="154"/>
      <c r="AB144" s="242" t="str">
        <f t="shared" si="2"/>
        <v>#ERROR!</v>
      </c>
      <c r="AC144" s="154" t="s">
        <v>391</v>
      </c>
      <c r="AD144" s="242" t="b">
        <f t="shared" si="3"/>
        <v>0</v>
      </c>
      <c r="AE144" s="154"/>
      <c r="AF144" s="242" t="str">
        <f t="shared" si="4"/>
        <v>#ERROR!</v>
      </c>
      <c r="AG144" s="154" t="s">
        <v>652</v>
      </c>
      <c r="AH144" s="242" t="str">
        <f>IF(AG144="","N/A",INDIRECT("MTR!"&amp;ADDRESS(MATCH(LEFT(AG144,9),[1]MTR!C:C,0),COLUMN(J144)),TRUE) &amp; "")</f>
        <v>#ERROR!</v>
      </c>
      <c r="AI144" s="157" t="str">
        <f t="shared" si="5"/>
        <v>#ERROR!</v>
      </c>
    </row>
    <row r="145" ht="12.75" customHeight="1">
      <c r="A145" s="244" t="s">
        <v>5158</v>
      </c>
      <c r="B145" s="244" t="s">
        <v>231</v>
      </c>
      <c r="C145" s="244" t="s">
        <v>7171</v>
      </c>
      <c r="D145" s="154" t="s">
        <v>1773</v>
      </c>
      <c r="E145" s="154"/>
      <c r="F145" s="154" t="str">
        <f t="array" ref="F145">XLOOKUP(Cover!$D$12,$R$1:$Z$1,$R145:$Z145)</f>
        <v>Recommended</v>
      </c>
      <c r="G145" s="154" t="s">
        <v>7172</v>
      </c>
      <c r="H145" s="154" t="s">
        <v>6771</v>
      </c>
      <c r="I145" s="154" t="s">
        <v>7173</v>
      </c>
      <c r="J145" s="154" t="s">
        <v>7174</v>
      </c>
      <c r="K145" s="154" t="s">
        <v>6768</v>
      </c>
      <c r="L145" s="154" t="s">
        <v>7175</v>
      </c>
      <c r="M145" s="154"/>
      <c r="N145" s="154" t="s">
        <v>759</v>
      </c>
      <c r="O145" s="247" t="s">
        <v>516</v>
      </c>
      <c r="P145" s="247" t="s">
        <v>6776</v>
      </c>
      <c r="Q145" s="154" t="str">
        <f t="shared" si="1"/>
        <v>#ERROR!</v>
      </c>
      <c r="R145" s="154" t="s">
        <v>66</v>
      </c>
      <c r="S145" s="154" t="s">
        <v>66</v>
      </c>
      <c r="T145" s="154" t="s">
        <v>66</v>
      </c>
      <c r="U145" s="154" t="s">
        <v>66</v>
      </c>
      <c r="V145" s="154" t="s">
        <v>66</v>
      </c>
      <c r="W145" s="154" t="s">
        <v>64</v>
      </c>
      <c r="X145" s="154" t="s">
        <v>66</v>
      </c>
      <c r="Y145" s="154" t="s">
        <v>66</v>
      </c>
      <c r="Z145" s="154" t="s">
        <v>64</v>
      </c>
      <c r="AA145" s="154"/>
      <c r="AB145" s="242" t="str">
        <f t="shared" si="2"/>
        <v>#ERROR!</v>
      </c>
      <c r="AC145" s="154" t="s">
        <v>391</v>
      </c>
      <c r="AD145" s="242" t="b">
        <f t="shared" si="3"/>
        <v>0</v>
      </c>
      <c r="AE145" s="154"/>
      <c r="AF145" s="242" t="str">
        <f t="shared" si="4"/>
        <v>#ERROR!</v>
      </c>
      <c r="AG145" s="154" t="s">
        <v>652</v>
      </c>
      <c r="AH145" s="242" t="str">
        <f>IF(AG145="","N/A",INDIRECT("MTR!"&amp;ADDRESS(MATCH(LEFT(AG145,9),[1]MTR!C:C,0),COLUMN(J145)),TRUE) &amp; "")</f>
        <v>#ERROR!</v>
      </c>
      <c r="AI145" s="157" t="str">
        <f t="shared" si="5"/>
        <v>#ERROR!</v>
      </c>
    </row>
    <row r="146" ht="12.75" customHeight="1">
      <c r="A146" s="244" t="s">
        <v>5158</v>
      </c>
      <c r="B146" s="244" t="s">
        <v>231</v>
      </c>
      <c r="C146" s="244" t="s">
        <v>7176</v>
      </c>
      <c r="D146" s="154" t="s">
        <v>1773</v>
      </c>
      <c r="E146" s="154"/>
      <c r="F146" s="154" t="str">
        <f t="array" ref="F146">XLOOKUP(Cover!$D$12,$R$1:$Z$1,$R146:$Z146)</f>
        <v>Recommended</v>
      </c>
      <c r="G146" s="154" t="s">
        <v>7177</v>
      </c>
      <c r="H146" s="154" t="s">
        <v>6808</v>
      </c>
      <c r="I146" s="154" t="s">
        <v>7173</v>
      </c>
      <c r="J146" s="154" t="s">
        <v>7174</v>
      </c>
      <c r="K146" s="154" t="s">
        <v>6768</v>
      </c>
      <c r="L146" s="154" t="s">
        <v>7175</v>
      </c>
      <c r="M146" s="154"/>
      <c r="N146" s="154" t="s">
        <v>759</v>
      </c>
      <c r="O146" s="247" t="s">
        <v>516</v>
      </c>
      <c r="P146" s="247" t="s">
        <v>6776</v>
      </c>
      <c r="Q146" s="154" t="str">
        <f t="shared" si="1"/>
        <v>#ERROR!</v>
      </c>
      <c r="R146" s="154" t="s">
        <v>66</v>
      </c>
      <c r="S146" s="154" t="s">
        <v>66</v>
      </c>
      <c r="T146" s="154" t="s">
        <v>66</v>
      </c>
      <c r="U146" s="154" t="s">
        <v>66</v>
      </c>
      <c r="V146" s="154" t="s">
        <v>66</v>
      </c>
      <c r="W146" s="154" t="s">
        <v>64</v>
      </c>
      <c r="X146" s="154" t="s">
        <v>66</v>
      </c>
      <c r="Y146" s="154" t="s">
        <v>66</v>
      </c>
      <c r="Z146" s="154" t="s">
        <v>64</v>
      </c>
      <c r="AA146" s="154"/>
      <c r="AB146" s="242" t="str">
        <f t="shared" si="2"/>
        <v>#ERROR!</v>
      </c>
      <c r="AC146" s="154" t="s">
        <v>391</v>
      </c>
      <c r="AD146" s="242" t="b">
        <f t="shared" si="3"/>
        <v>0</v>
      </c>
      <c r="AE146" s="154"/>
      <c r="AF146" s="242" t="str">
        <f t="shared" si="4"/>
        <v>#ERROR!</v>
      </c>
      <c r="AG146" s="154" t="s">
        <v>652</v>
      </c>
      <c r="AH146" s="242" t="str">
        <f>IF(AG146="","N/A",INDIRECT("MTR!"&amp;ADDRESS(MATCH(LEFT(AG146,9),[1]MTR!C:C,0),COLUMN(J146)),TRUE) &amp; "")</f>
        <v>#ERROR!</v>
      </c>
      <c r="AI146" s="157" t="str">
        <f t="shared" si="5"/>
        <v>#ERROR!</v>
      </c>
    </row>
    <row r="147" ht="12.75" customHeight="1">
      <c r="A147" s="244" t="s">
        <v>5158</v>
      </c>
      <c r="B147" s="244" t="s">
        <v>231</v>
      </c>
      <c r="C147" s="244" t="s">
        <v>7178</v>
      </c>
      <c r="D147" s="154" t="s">
        <v>1773</v>
      </c>
      <c r="E147" s="154"/>
      <c r="F147" s="154" t="str">
        <f t="array" ref="F147">XLOOKUP(Cover!$D$12,$R$1:$Z$1,$R147:$Z147)</f>
        <v>Information</v>
      </c>
      <c r="G147" s="154" t="s">
        <v>7179</v>
      </c>
      <c r="H147" s="154" t="s">
        <v>6775</v>
      </c>
      <c r="I147" s="154" t="s">
        <v>7173</v>
      </c>
      <c r="J147" s="154" t="s">
        <v>7174</v>
      </c>
      <c r="K147" s="154" t="s">
        <v>6768</v>
      </c>
      <c r="L147" s="154" t="s">
        <v>7175</v>
      </c>
      <c r="M147" s="154"/>
      <c r="N147" s="154" t="s">
        <v>759</v>
      </c>
      <c r="O147" s="247" t="s">
        <v>516</v>
      </c>
      <c r="P147" s="247" t="s">
        <v>6776</v>
      </c>
      <c r="Q147" s="154" t="str">
        <f t="shared" si="1"/>
        <v>#ERROR!</v>
      </c>
      <c r="R147" s="154" t="s">
        <v>66</v>
      </c>
      <c r="S147" s="154" t="s">
        <v>66</v>
      </c>
      <c r="T147" s="154" t="s">
        <v>66</v>
      </c>
      <c r="U147" s="154" t="s">
        <v>66</v>
      </c>
      <c r="V147" s="154" t="s">
        <v>66</v>
      </c>
      <c r="W147" s="154" t="s">
        <v>66</v>
      </c>
      <c r="X147" s="154" t="s">
        <v>66</v>
      </c>
      <c r="Y147" s="154" t="s">
        <v>66</v>
      </c>
      <c r="Z147" s="154" t="s">
        <v>66</v>
      </c>
      <c r="AA147" s="154"/>
      <c r="AB147" s="242" t="str">
        <f t="shared" si="2"/>
        <v>#ERROR!</v>
      </c>
      <c r="AC147" s="154" t="s">
        <v>391</v>
      </c>
      <c r="AD147" s="242" t="b">
        <f t="shared" si="3"/>
        <v>0</v>
      </c>
      <c r="AE147" s="154"/>
      <c r="AF147" s="242" t="str">
        <f t="shared" si="4"/>
        <v>#ERROR!</v>
      </c>
      <c r="AG147" s="154" t="s">
        <v>652</v>
      </c>
      <c r="AH147" s="242" t="str">
        <f>IF(AG147="","N/A",INDIRECT("MTR!"&amp;ADDRESS(MATCH(LEFT(AG147,9),[1]MTR!C:C,0),COLUMN(J147)),TRUE) &amp; "")</f>
        <v>#ERROR!</v>
      </c>
      <c r="AI147" s="157" t="str">
        <f t="shared" si="5"/>
        <v>#ERROR!</v>
      </c>
    </row>
    <row r="148" ht="12.75" customHeight="1">
      <c r="A148" s="244" t="s">
        <v>5158</v>
      </c>
      <c r="B148" s="244" t="s">
        <v>231</v>
      </c>
      <c r="C148" s="244" t="s">
        <v>7180</v>
      </c>
      <c r="D148" s="154" t="s">
        <v>1773</v>
      </c>
      <c r="E148" s="154"/>
      <c r="F148" s="154" t="str">
        <f t="array" ref="F148">XLOOKUP(Cover!$D$12,$R$1:$Z$1,$R148:$Z148)</f>
        <v>Recommended</v>
      </c>
      <c r="G148" s="154" t="s">
        <v>7181</v>
      </c>
      <c r="H148" s="154" t="s">
        <v>6785</v>
      </c>
      <c r="I148" s="154" t="s">
        <v>7173</v>
      </c>
      <c r="J148" s="154" t="s">
        <v>7174</v>
      </c>
      <c r="K148" s="154" t="s">
        <v>6768</v>
      </c>
      <c r="L148" s="154" t="s">
        <v>7175</v>
      </c>
      <c r="M148" s="154"/>
      <c r="N148" s="154" t="s">
        <v>759</v>
      </c>
      <c r="O148" s="247" t="s">
        <v>516</v>
      </c>
      <c r="P148" s="247" t="s">
        <v>6776</v>
      </c>
      <c r="Q148" s="154" t="str">
        <f t="shared" si="1"/>
        <v>#ERROR!</v>
      </c>
      <c r="R148" s="154" t="s">
        <v>66</v>
      </c>
      <c r="S148" s="154" t="s">
        <v>66</v>
      </c>
      <c r="T148" s="154" t="s">
        <v>66</v>
      </c>
      <c r="U148" s="154" t="s">
        <v>66</v>
      </c>
      <c r="V148" s="154" t="s">
        <v>66</v>
      </c>
      <c r="W148" s="154" t="s">
        <v>64</v>
      </c>
      <c r="X148" s="154" t="s">
        <v>66</v>
      </c>
      <c r="Y148" s="154" t="s">
        <v>66</v>
      </c>
      <c r="Z148" s="154" t="s">
        <v>64</v>
      </c>
      <c r="AA148" s="154"/>
      <c r="AB148" s="242" t="str">
        <f t="shared" si="2"/>
        <v>#ERROR!</v>
      </c>
      <c r="AC148" s="154" t="s">
        <v>391</v>
      </c>
      <c r="AD148" s="242" t="b">
        <f t="shared" si="3"/>
        <v>0</v>
      </c>
      <c r="AE148" s="154"/>
      <c r="AF148" s="242" t="str">
        <f t="shared" si="4"/>
        <v>#ERROR!</v>
      </c>
      <c r="AG148" s="154" t="s">
        <v>652</v>
      </c>
      <c r="AH148" s="242" t="str">
        <f>IF(AG148="","N/A",INDIRECT("MTR!"&amp;ADDRESS(MATCH(LEFT(AG148,9),[1]MTR!C:C,0),COLUMN(J148)),TRUE) &amp; "")</f>
        <v>#ERROR!</v>
      </c>
      <c r="AI148" s="157" t="str">
        <f t="shared" si="5"/>
        <v>#ERROR!</v>
      </c>
    </row>
    <row r="149" ht="12.75" customHeight="1">
      <c r="A149" s="244" t="s">
        <v>5158</v>
      </c>
      <c r="B149" s="244" t="s">
        <v>231</v>
      </c>
      <c r="C149" s="244" t="s">
        <v>7182</v>
      </c>
      <c r="D149" s="154" t="s">
        <v>45</v>
      </c>
      <c r="E149" s="154"/>
      <c r="F149" s="154" t="str">
        <f t="array" ref="F149">XLOOKUP(Cover!$D$12,$R$1:$Z$1,$R149:$Z149)</f>
        <v>Mandatory</v>
      </c>
      <c r="G149" s="154" t="s">
        <v>7183</v>
      </c>
      <c r="H149" s="154" t="s">
        <v>6771</v>
      </c>
      <c r="I149" s="154" t="s">
        <v>7184</v>
      </c>
      <c r="J149" s="154" t="s">
        <v>7185</v>
      </c>
      <c r="K149" s="154" t="s">
        <v>6768</v>
      </c>
      <c r="L149" s="154" t="s">
        <v>6655</v>
      </c>
      <c r="M149" s="154" t="s">
        <v>175</v>
      </c>
      <c r="N149" s="154" t="s">
        <v>759</v>
      </c>
      <c r="O149" s="247" t="s">
        <v>516</v>
      </c>
      <c r="P149" s="247" t="s">
        <v>6776</v>
      </c>
      <c r="Q149" s="154" t="str">
        <f t="shared" si="1"/>
        <v>#ERROR!</v>
      </c>
      <c r="R149" s="154" t="s">
        <v>66</v>
      </c>
      <c r="S149" s="154" t="s">
        <v>66</v>
      </c>
      <c r="T149" s="154" t="s">
        <v>66</v>
      </c>
      <c r="U149" s="154" t="s">
        <v>66</v>
      </c>
      <c r="V149" s="154" t="s">
        <v>66</v>
      </c>
      <c r="W149" s="154" t="s">
        <v>60</v>
      </c>
      <c r="X149" s="154" t="s">
        <v>66</v>
      </c>
      <c r="Y149" s="154" t="s">
        <v>66</v>
      </c>
      <c r="Z149" s="154" t="s">
        <v>60</v>
      </c>
      <c r="AA149" s="154"/>
      <c r="AB149" s="242" t="str">
        <f t="shared" si="2"/>
        <v>#ERROR!</v>
      </c>
      <c r="AC149" s="154" t="s">
        <v>391</v>
      </c>
      <c r="AD149" s="242" t="b">
        <f t="shared" si="3"/>
        <v>0</v>
      </c>
      <c r="AE149" s="154"/>
      <c r="AF149" s="242" t="str">
        <f t="shared" si="4"/>
        <v>#ERROR!</v>
      </c>
      <c r="AG149" s="154" t="s">
        <v>652</v>
      </c>
      <c r="AH149" s="242" t="str">
        <f>IF(AG149="","N/A",INDIRECT("MTR!"&amp;ADDRESS(MATCH(LEFT(AG149,9),[1]MTR!C:C,0),COLUMN(J149)),TRUE) &amp; "")</f>
        <v>#ERROR!</v>
      </c>
      <c r="AI149" s="157" t="str">
        <f t="shared" si="5"/>
        <v>#ERROR!</v>
      </c>
    </row>
    <row r="150" ht="12.75" customHeight="1">
      <c r="A150" s="244" t="s">
        <v>5158</v>
      </c>
      <c r="B150" s="244" t="s">
        <v>231</v>
      </c>
      <c r="C150" s="255" t="s">
        <v>7186</v>
      </c>
      <c r="D150" s="256" t="s">
        <v>42</v>
      </c>
      <c r="E150" s="256" t="s">
        <v>489</v>
      </c>
      <c r="F150" s="154" t="str">
        <f t="array" ref="F150">XLOOKUP(Cover!$D$12,$R$1:$Z$1,$R150:$Z150)</f>
        <v>Mandatory</v>
      </c>
      <c r="G150" s="154" t="s">
        <v>7187</v>
      </c>
      <c r="H150" s="154" t="s">
        <v>6808</v>
      </c>
      <c r="I150" s="154" t="s">
        <v>7184</v>
      </c>
      <c r="J150" s="154" t="s">
        <v>7185</v>
      </c>
      <c r="K150" s="154" t="s">
        <v>6768</v>
      </c>
      <c r="L150" s="154" t="s">
        <v>5931</v>
      </c>
      <c r="M150" s="154" t="s">
        <v>175</v>
      </c>
      <c r="N150" s="154" t="s">
        <v>759</v>
      </c>
      <c r="O150" s="247" t="s">
        <v>516</v>
      </c>
      <c r="P150" s="247" t="s">
        <v>6776</v>
      </c>
      <c r="Q150" s="154" t="str">
        <f t="shared" si="1"/>
        <v>#ERROR!</v>
      </c>
      <c r="R150" s="154" t="s">
        <v>66</v>
      </c>
      <c r="S150" s="154" t="s">
        <v>66</v>
      </c>
      <c r="T150" s="154" t="s">
        <v>66</v>
      </c>
      <c r="U150" s="154" t="s">
        <v>66</v>
      </c>
      <c r="V150" s="154" t="s">
        <v>66</v>
      </c>
      <c r="W150" s="154" t="s">
        <v>60</v>
      </c>
      <c r="X150" s="154" t="s">
        <v>66</v>
      </c>
      <c r="Y150" s="154" t="s">
        <v>66</v>
      </c>
      <c r="Z150" s="154" t="s">
        <v>60</v>
      </c>
      <c r="AA150" s="154"/>
      <c r="AB150" s="242" t="str">
        <f t="shared" si="2"/>
        <v>#ERROR!</v>
      </c>
      <c r="AC150" s="154" t="s">
        <v>391</v>
      </c>
      <c r="AD150" s="242" t="b">
        <f t="shared" si="3"/>
        <v>0</v>
      </c>
      <c r="AE150" s="154"/>
      <c r="AF150" s="242" t="str">
        <f t="shared" si="4"/>
        <v>#ERROR!</v>
      </c>
      <c r="AG150" s="154" t="s">
        <v>652</v>
      </c>
      <c r="AH150" s="242" t="str">
        <f>IF(AG150="","N/A",INDIRECT("MTR!"&amp;ADDRESS(MATCH(LEFT(AG150,9),[1]MTR!C:C,0),COLUMN(J150)),TRUE) &amp; "")</f>
        <v>#ERROR!</v>
      </c>
      <c r="AI150" s="157" t="str">
        <f t="shared" si="5"/>
        <v>#ERROR!</v>
      </c>
    </row>
    <row r="151" ht="12.75" customHeight="1">
      <c r="A151" s="244" t="s">
        <v>5158</v>
      </c>
      <c r="B151" s="244" t="s">
        <v>231</v>
      </c>
      <c r="C151" s="244" t="s">
        <v>7188</v>
      </c>
      <c r="D151" s="154" t="s">
        <v>45</v>
      </c>
      <c r="E151" s="154"/>
      <c r="F151" s="154" t="str">
        <f t="array" ref="F151">XLOOKUP(Cover!$D$12,$R$1:$Z$1,$R151:$Z151)</f>
        <v>Mandatory</v>
      </c>
      <c r="G151" s="154" t="s">
        <v>7189</v>
      </c>
      <c r="H151" s="154" t="s">
        <v>6775</v>
      </c>
      <c r="I151" s="154" t="s">
        <v>7184</v>
      </c>
      <c r="J151" s="154" t="s">
        <v>7185</v>
      </c>
      <c r="K151" s="154" t="s">
        <v>6768</v>
      </c>
      <c r="L151" s="154" t="s">
        <v>6655</v>
      </c>
      <c r="M151" s="154" t="s">
        <v>175</v>
      </c>
      <c r="N151" s="154" t="s">
        <v>759</v>
      </c>
      <c r="O151" s="247" t="s">
        <v>516</v>
      </c>
      <c r="P151" s="247" t="s">
        <v>6776</v>
      </c>
      <c r="Q151" s="154" t="str">
        <f t="shared" si="1"/>
        <v>#ERROR!</v>
      </c>
      <c r="R151" s="154" t="s">
        <v>66</v>
      </c>
      <c r="S151" s="154" t="s">
        <v>66</v>
      </c>
      <c r="T151" s="154" t="s">
        <v>66</v>
      </c>
      <c r="U151" s="154" t="s">
        <v>66</v>
      </c>
      <c r="V151" s="154" t="s">
        <v>66</v>
      </c>
      <c r="W151" s="154" t="s">
        <v>60</v>
      </c>
      <c r="X151" s="154" t="s">
        <v>66</v>
      </c>
      <c r="Y151" s="154" t="s">
        <v>66</v>
      </c>
      <c r="Z151" s="154" t="s">
        <v>60</v>
      </c>
      <c r="AA151" s="154"/>
      <c r="AB151" s="242" t="str">
        <f t="shared" si="2"/>
        <v>#ERROR!</v>
      </c>
      <c r="AC151" s="154" t="s">
        <v>391</v>
      </c>
      <c r="AD151" s="242" t="b">
        <f t="shared" si="3"/>
        <v>0</v>
      </c>
      <c r="AE151" s="154"/>
      <c r="AF151" s="242" t="str">
        <f t="shared" si="4"/>
        <v>#ERROR!</v>
      </c>
      <c r="AG151" s="154" t="s">
        <v>652</v>
      </c>
      <c r="AH151" s="242" t="str">
        <f>IF(AG151="","N/A",INDIRECT("MTR!"&amp;ADDRESS(MATCH(LEFT(AG151,9),[1]MTR!C:C,0),COLUMN(J151)),TRUE) &amp; "")</f>
        <v>#ERROR!</v>
      </c>
      <c r="AI151" s="157" t="str">
        <f t="shared" si="5"/>
        <v>#ERROR!</v>
      </c>
    </row>
    <row r="152" ht="12.75" customHeight="1">
      <c r="A152" s="244" t="s">
        <v>5158</v>
      </c>
      <c r="B152" s="244" t="s">
        <v>231</v>
      </c>
      <c r="C152" s="244" t="s">
        <v>7190</v>
      </c>
      <c r="D152" s="154" t="s">
        <v>1773</v>
      </c>
      <c r="E152" s="154"/>
      <c r="F152" s="154" t="str">
        <f t="array" ref="F152">XLOOKUP(Cover!$D$12,$R$1:$Z$1,$R152:$Z152)</f>
        <v>Mandatory</v>
      </c>
      <c r="G152" s="154" t="s">
        <v>7191</v>
      </c>
      <c r="H152" s="154" t="s">
        <v>6771</v>
      </c>
      <c r="I152" s="154" t="s">
        <v>7192</v>
      </c>
      <c r="J152" s="154" t="s">
        <v>7193</v>
      </c>
      <c r="K152" s="154" t="s">
        <v>6768</v>
      </c>
      <c r="L152" s="154" t="s">
        <v>7175</v>
      </c>
      <c r="M152" s="154" t="s">
        <v>175</v>
      </c>
      <c r="N152" s="154" t="s">
        <v>759</v>
      </c>
      <c r="O152" s="247" t="s">
        <v>516</v>
      </c>
      <c r="P152" s="247" t="s">
        <v>6776</v>
      </c>
      <c r="Q152" s="154" t="str">
        <f t="shared" si="1"/>
        <v>#ERROR!</v>
      </c>
      <c r="R152" s="154" t="s">
        <v>66</v>
      </c>
      <c r="S152" s="154" t="s">
        <v>66</v>
      </c>
      <c r="T152" s="154" t="s">
        <v>66</v>
      </c>
      <c r="U152" s="154" t="s">
        <v>66</v>
      </c>
      <c r="V152" s="154" t="s">
        <v>66</v>
      </c>
      <c r="W152" s="154" t="s">
        <v>60</v>
      </c>
      <c r="X152" s="154" t="s">
        <v>66</v>
      </c>
      <c r="Y152" s="154" t="s">
        <v>66</v>
      </c>
      <c r="Z152" s="154" t="s">
        <v>60</v>
      </c>
      <c r="AA152" s="154"/>
      <c r="AB152" s="242" t="str">
        <f t="shared" si="2"/>
        <v>#ERROR!</v>
      </c>
      <c r="AC152" s="154" t="s">
        <v>391</v>
      </c>
      <c r="AD152" s="242" t="b">
        <f t="shared" si="3"/>
        <v>0</v>
      </c>
      <c r="AE152" s="154"/>
      <c r="AF152" s="242" t="str">
        <f t="shared" si="4"/>
        <v>#ERROR!</v>
      </c>
      <c r="AG152" s="154" t="s">
        <v>652</v>
      </c>
      <c r="AH152" s="242" t="str">
        <f>IF(AG152="","N/A",INDIRECT("MTR!"&amp;ADDRESS(MATCH(LEFT(AG152,9),[1]MTR!C:C,0),COLUMN(J152)),TRUE) &amp; "")</f>
        <v>#ERROR!</v>
      </c>
      <c r="AI152" s="157" t="str">
        <f t="shared" si="5"/>
        <v>#ERROR!</v>
      </c>
    </row>
    <row r="153" ht="12.75" customHeight="1">
      <c r="A153" s="244" t="s">
        <v>5158</v>
      </c>
      <c r="B153" s="244" t="s">
        <v>231</v>
      </c>
      <c r="C153" s="244" t="s">
        <v>7194</v>
      </c>
      <c r="D153" s="154" t="s">
        <v>1773</v>
      </c>
      <c r="E153" s="154"/>
      <c r="F153" s="154" t="str">
        <f t="array" ref="F153">XLOOKUP(Cover!$D$12,$R$1:$Z$1,$R153:$Z153)</f>
        <v>Mandatory</v>
      </c>
      <c r="G153" s="154" t="s">
        <v>7195</v>
      </c>
      <c r="H153" s="154" t="s">
        <v>6808</v>
      </c>
      <c r="I153" s="154" t="s">
        <v>7192</v>
      </c>
      <c r="J153" s="154" t="s">
        <v>7193</v>
      </c>
      <c r="K153" s="154" t="s">
        <v>6768</v>
      </c>
      <c r="L153" s="154" t="s">
        <v>7175</v>
      </c>
      <c r="M153" s="154" t="s">
        <v>175</v>
      </c>
      <c r="N153" s="154" t="s">
        <v>759</v>
      </c>
      <c r="O153" s="247" t="s">
        <v>516</v>
      </c>
      <c r="P153" s="247" t="s">
        <v>6776</v>
      </c>
      <c r="Q153" s="154" t="str">
        <f t="shared" si="1"/>
        <v>#ERROR!</v>
      </c>
      <c r="R153" s="154" t="s">
        <v>66</v>
      </c>
      <c r="S153" s="154" t="s">
        <v>66</v>
      </c>
      <c r="T153" s="154" t="s">
        <v>66</v>
      </c>
      <c r="U153" s="154" t="s">
        <v>66</v>
      </c>
      <c r="V153" s="154" t="s">
        <v>66</v>
      </c>
      <c r="W153" s="154" t="s">
        <v>60</v>
      </c>
      <c r="X153" s="154" t="s">
        <v>66</v>
      </c>
      <c r="Y153" s="154" t="s">
        <v>66</v>
      </c>
      <c r="Z153" s="154" t="s">
        <v>60</v>
      </c>
      <c r="AA153" s="154"/>
      <c r="AB153" s="242" t="str">
        <f t="shared" si="2"/>
        <v>#ERROR!</v>
      </c>
      <c r="AC153" s="154" t="s">
        <v>391</v>
      </c>
      <c r="AD153" s="242" t="b">
        <f t="shared" si="3"/>
        <v>0</v>
      </c>
      <c r="AE153" s="154"/>
      <c r="AF153" s="242" t="str">
        <f t="shared" si="4"/>
        <v>#ERROR!</v>
      </c>
      <c r="AG153" s="154" t="s">
        <v>652</v>
      </c>
      <c r="AH153" s="242" t="str">
        <f>IF(AG153="","N/A",INDIRECT("MTR!"&amp;ADDRESS(MATCH(LEFT(AG153,9),[1]MTR!C:C,0),COLUMN(J153)),TRUE) &amp; "")</f>
        <v>#ERROR!</v>
      </c>
      <c r="AI153" s="157" t="str">
        <f t="shared" si="5"/>
        <v>#ERROR!</v>
      </c>
    </row>
    <row r="154" ht="12.75" customHeight="1">
      <c r="A154" s="244" t="s">
        <v>5158</v>
      </c>
      <c r="B154" s="244" t="s">
        <v>231</v>
      </c>
      <c r="C154" s="244" t="s">
        <v>7196</v>
      </c>
      <c r="D154" s="154" t="s">
        <v>1773</v>
      </c>
      <c r="E154" s="154"/>
      <c r="F154" s="154" t="str">
        <f t="array" ref="F154">XLOOKUP(Cover!$D$12,$R$1:$Z$1,$R154:$Z154)</f>
        <v>Mandatory</v>
      </c>
      <c r="G154" s="154" t="s">
        <v>7197</v>
      </c>
      <c r="H154" s="154" t="s">
        <v>6782</v>
      </c>
      <c r="I154" s="154" t="s">
        <v>7192</v>
      </c>
      <c r="J154" s="154" t="s">
        <v>7193</v>
      </c>
      <c r="K154" s="154" t="s">
        <v>6768</v>
      </c>
      <c r="L154" s="154" t="s">
        <v>7175</v>
      </c>
      <c r="M154" s="154" t="s">
        <v>175</v>
      </c>
      <c r="N154" s="154" t="s">
        <v>759</v>
      </c>
      <c r="O154" s="247" t="s">
        <v>516</v>
      </c>
      <c r="P154" s="247" t="s">
        <v>6776</v>
      </c>
      <c r="Q154" s="154" t="str">
        <f t="shared" si="1"/>
        <v>#ERROR!</v>
      </c>
      <c r="R154" s="154" t="s">
        <v>66</v>
      </c>
      <c r="S154" s="154" t="s">
        <v>66</v>
      </c>
      <c r="T154" s="154" t="s">
        <v>66</v>
      </c>
      <c r="U154" s="154" t="s">
        <v>66</v>
      </c>
      <c r="V154" s="154" t="s">
        <v>66</v>
      </c>
      <c r="W154" s="154" t="s">
        <v>60</v>
      </c>
      <c r="X154" s="154" t="s">
        <v>66</v>
      </c>
      <c r="Y154" s="154" t="s">
        <v>66</v>
      </c>
      <c r="Z154" s="154" t="s">
        <v>60</v>
      </c>
      <c r="AA154" s="154"/>
      <c r="AB154" s="242" t="str">
        <f t="shared" si="2"/>
        <v>#ERROR!</v>
      </c>
      <c r="AC154" s="154" t="s">
        <v>391</v>
      </c>
      <c r="AD154" s="242" t="b">
        <f t="shared" si="3"/>
        <v>0</v>
      </c>
      <c r="AE154" s="154"/>
      <c r="AF154" s="242" t="str">
        <f t="shared" si="4"/>
        <v>#ERROR!</v>
      </c>
      <c r="AG154" s="154" t="s">
        <v>652</v>
      </c>
      <c r="AH154" s="242" t="str">
        <f>IF(AG154="","N/A",INDIRECT("MTR!"&amp;ADDRESS(MATCH(LEFT(AG154,9),[1]MTR!C:C,0),COLUMN(J154)),TRUE) &amp; "")</f>
        <v>#ERROR!</v>
      </c>
      <c r="AI154" s="157" t="str">
        <f t="shared" si="5"/>
        <v>#ERROR!</v>
      </c>
    </row>
    <row r="155" ht="12.75" customHeight="1">
      <c r="A155" s="244" t="s">
        <v>5158</v>
      </c>
      <c r="B155" s="244" t="s">
        <v>231</v>
      </c>
      <c r="C155" s="244" t="s">
        <v>7198</v>
      </c>
      <c r="D155" s="154" t="s">
        <v>781</v>
      </c>
      <c r="E155" s="154"/>
      <c r="F155" s="154" t="str">
        <f t="array" ref="F155">XLOOKUP(Cover!$D$12,$R$1:$Z$1,$R155:$Z155)</f>
        <v>Information</v>
      </c>
      <c r="G155" s="154" t="s">
        <v>7199</v>
      </c>
      <c r="H155" s="154" t="s">
        <v>6771</v>
      </c>
      <c r="I155" s="154" t="s">
        <v>7200</v>
      </c>
      <c r="J155" s="154" t="s">
        <v>7201</v>
      </c>
      <c r="K155" s="154" t="s">
        <v>6768</v>
      </c>
      <c r="L155" s="154" t="s">
        <v>6140</v>
      </c>
      <c r="M155" s="154"/>
      <c r="N155" s="154" t="s">
        <v>759</v>
      </c>
      <c r="O155" s="247" t="s">
        <v>516</v>
      </c>
      <c r="P155" s="247" t="s">
        <v>6776</v>
      </c>
      <c r="Q155" s="154" t="str">
        <f t="shared" si="1"/>
        <v>#ERROR!</v>
      </c>
      <c r="R155" s="154" t="s">
        <v>66</v>
      </c>
      <c r="S155" s="154" t="s">
        <v>66</v>
      </c>
      <c r="T155" s="154" t="s">
        <v>66</v>
      </c>
      <c r="U155" s="154" t="s">
        <v>66</v>
      </c>
      <c r="V155" s="154" t="s">
        <v>66</v>
      </c>
      <c r="W155" s="154" t="s">
        <v>66</v>
      </c>
      <c r="X155" s="154" t="s">
        <v>66</v>
      </c>
      <c r="Y155" s="154" t="s">
        <v>66</v>
      </c>
      <c r="Z155" s="154" t="s">
        <v>66</v>
      </c>
      <c r="AA155" s="154"/>
      <c r="AB155" s="242" t="str">
        <f t="shared" si="2"/>
        <v>#ERROR!</v>
      </c>
      <c r="AC155" s="154" t="s">
        <v>391</v>
      </c>
      <c r="AD155" s="242" t="b">
        <f t="shared" si="3"/>
        <v>0</v>
      </c>
      <c r="AE155" s="154"/>
      <c r="AF155" s="242" t="str">
        <f t="shared" si="4"/>
        <v>#ERROR!</v>
      </c>
      <c r="AG155" s="154" t="s">
        <v>652</v>
      </c>
      <c r="AH155" s="242" t="str">
        <f>IF(AG155="","N/A",INDIRECT("MTR!"&amp;ADDRESS(MATCH(LEFT(AG155,9),[1]MTR!C:C,0),COLUMN(J155)),TRUE) &amp; "")</f>
        <v>#ERROR!</v>
      </c>
      <c r="AI155" s="157" t="str">
        <f t="shared" si="5"/>
        <v>#ERROR!</v>
      </c>
    </row>
    <row r="156" ht="12.75" customHeight="1">
      <c r="A156" s="244" t="s">
        <v>5158</v>
      </c>
      <c r="B156" s="244" t="s">
        <v>231</v>
      </c>
      <c r="C156" s="244" t="s">
        <v>7202</v>
      </c>
      <c r="D156" s="154" t="s">
        <v>781</v>
      </c>
      <c r="E156" s="154"/>
      <c r="F156" s="154" t="str">
        <f t="array" ref="F156">XLOOKUP(Cover!$D$12,$R$1:$Z$1,$R156:$Z156)</f>
        <v>Information</v>
      </c>
      <c r="G156" s="154" t="s">
        <v>7203</v>
      </c>
      <c r="H156" s="154" t="s">
        <v>6775</v>
      </c>
      <c r="I156" s="154" t="s">
        <v>7200</v>
      </c>
      <c r="J156" s="154" t="s">
        <v>7201</v>
      </c>
      <c r="K156" s="154" t="s">
        <v>6768</v>
      </c>
      <c r="L156" s="154" t="s">
        <v>6140</v>
      </c>
      <c r="M156" s="154"/>
      <c r="N156" s="154" t="s">
        <v>759</v>
      </c>
      <c r="O156" s="247" t="s">
        <v>516</v>
      </c>
      <c r="P156" s="247" t="s">
        <v>6776</v>
      </c>
      <c r="Q156" s="154" t="str">
        <f t="shared" si="1"/>
        <v>#ERROR!</v>
      </c>
      <c r="R156" s="154" t="s">
        <v>66</v>
      </c>
      <c r="S156" s="154" t="s">
        <v>66</v>
      </c>
      <c r="T156" s="154" t="s">
        <v>66</v>
      </c>
      <c r="U156" s="154" t="s">
        <v>66</v>
      </c>
      <c r="V156" s="154" t="s">
        <v>66</v>
      </c>
      <c r="W156" s="154" t="s">
        <v>66</v>
      </c>
      <c r="X156" s="154" t="s">
        <v>66</v>
      </c>
      <c r="Y156" s="154" t="s">
        <v>66</v>
      </c>
      <c r="Z156" s="154" t="s">
        <v>66</v>
      </c>
      <c r="AA156" s="154"/>
      <c r="AB156" s="242" t="str">
        <f t="shared" si="2"/>
        <v>#ERROR!</v>
      </c>
      <c r="AC156" s="154" t="s">
        <v>391</v>
      </c>
      <c r="AD156" s="242" t="b">
        <f t="shared" si="3"/>
        <v>0</v>
      </c>
      <c r="AE156" s="154"/>
      <c r="AF156" s="242" t="str">
        <f t="shared" si="4"/>
        <v>#ERROR!</v>
      </c>
      <c r="AG156" s="154" t="s">
        <v>652</v>
      </c>
      <c r="AH156" s="242" t="str">
        <f>IF(AG156="","N/A",INDIRECT("MTR!"&amp;ADDRESS(MATCH(LEFT(AG156,9),[1]MTR!C:C,0),COLUMN(J156)),TRUE) &amp; "")</f>
        <v>#ERROR!</v>
      </c>
      <c r="AI156" s="157" t="str">
        <f t="shared" si="5"/>
        <v>#ERROR!</v>
      </c>
    </row>
    <row r="157" ht="12.75" customHeight="1">
      <c r="A157" s="244" t="s">
        <v>5158</v>
      </c>
      <c r="B157" s="244" t="s">
        <v>231</v>
      </c>
      <c r="C157" s="244" t="s">
        <v>7204</v>
      </c>
      <c r="D157" s="154" t="s">
        <v>781</v>
      </c>
      <c r="E157" s="154"/>
      <c r="F157" s="154" t="str">
        <f t="array" ref="F157">XLOOKUP(Cover!$D$12,$R$1:$Z$1,$R157:$Z157)</f>
        <v>Information</v>
      </c>
      <c r="G157" s="154" t="s">
        <v>7205</v>
      </c>
      <c r="H157" s="154" t="s">
        <v>6779</v>
      </c>
      <c r="I157" s="154" t="s">
        <v>7200</v>
      </c>
      <c r="J157" s="154" t="s">
        <v>7201</v>
      </c>
      <c r="K157" s="154" t="s">
        <v>6768</v>
      </c>
      <c r="L157" s="154" t="s">
        <v>6140</v>
      </c>
      <c r="M157" s="154"/>
      <c r="N157" s="154" t="s">
        <v>759</v>
      </c>
      <c r="O157" s="247" t="s">
        <v>516</v>
      </c>
      <c r="P157" s="247" t="s">
        <v>6776</v>
      </c>
      <c r="Q157" s="154" t="str">
        <f t="shared" si="1"/>
        <v>#ERROR!</v>
      </c>
      <c r="R157" s="154" t="s">
        <v>66</v>
      </c>
      <c r="S157" s="154" t="s">
        <v>66</v>
      </c>
      <c r="T157" s="154" t="s">
        <v>66</v>
      </c>
      <c r="U157" s="154" t="s">
        <v>66</v>
      </c>
      <c r="V157" s="154" t="s">
        <v>66</v>
      </c>
      <c r="W157" s="154" t="s">
        <v>66</v>
      </c>
      <c r="X157" s="154" t="s">
        <v>66</v>
      </c>
      <c r="Y157" s="154" t="s">
        <v>66</v>
      </c>
      <c r="Z157" s="154" t="s">
        <v>66</v>
      </c>
      <c r="AA157" s="154"/>
      <c r="AB157" s="242" t="str">
        <f t="shared" si="2"/>
        <v>#ERROR!</v>
      </c>
      <c r="AC157" s="154" t="s">
        <v>391</v>
      </c>
      <c r="AD157" s="242" t="b">
        <f t="shared" si="3"/>
        <v>0</v>
      </c>
      <c r="AE157" s="154"/>
      <c r="AF157" s="242" t="str">
        <f t="shared" si="4"/>
        <v>#ERROR!</v>
      </c>
      <c r="AG157" s="154" t="s">
        <v>652</v>
      </c>
      <c r="AH157" s="242" t="str">
        <f>IF(AG157="","N/A",INDIRECT("MTR!"&amp;ADDRESS(MATCH(LEFT(AG157,9),[1]MTR!C:C,0),COLUMN(J157)),TRUE) &amp; "")</f>
        <v>#ERROR!</v>
      </c>
      <c r="AI157" s="157" t="str">
        <f t="shared" si="5"/>
        <v>#ERROR!</v>
      </c>
    </row>
    <row r="158" ht="12.75" customHeight="1">
      <c r="A158" s="244" t="s">
        <v>5158</v>
      </c>
      <c r="B158" s="244" t="s">
        <v>231</v>
      </c>
      <c r="C158" s="244" t="s">
        <v>7206</v>
      </c>
      <c r="D158" s="154" t="s">
        <v>781</v>
      </c>
      <c r="E158" s="154"/>
      <c r="F158" s="154" t="str">
        <f t="array" ref="F158">XLOOKUP(Cover!$D$12,$R$1:$Z$1,$R158:$Z158)</f>
        <v>Mandatory</v>
      </c>
      <c r="G158" s="154" t="s">
        <v>7207</v>
      </c>
      <c r="H158" s="154" t="s">
        <v>6771</v>
      </c>
      <c r="I158" s="154" t="s">
        <v>7208</v>
      </c>
      <c r="J158" s="154" t="s">
        <v>7209</v>
      </c>
      <c r="K158" s="154" t="s">
        <v>6768</v>
      </c>
      <c r="L158" s="154" t="s">
        <v>6942</v>
      </c>
      <c r="M158" s="154" t="s">
        <v>175</v>
      </c>
      <c r="N158" s="154" t="s">
        <v>759</v>
      </c>
      <c r="O158" s="247" t="s">
        <v>516</v>
      </c>
      <c r="P158" s="247" t="s">
        <v>6776</v>
      </c>
      <c r="Q158" s="154" t="str">
        <f t="shared" si="1"/>
        <v>#ERROR!</v>
      </c>
      <c r="R158" s="154" t="s">
        <v>66</v>
      </c>
      <c r="S158" s="154" t="s">
        <v>66</v>
      </c>
      <c r="T158" s="154" t="s">
        <v>66</v>
      </c>
      <c r="U158" s="154" t="s">
        <v>66</v>
      </c>
      <c r="V158" s="154" t="s">
        <v>66</v>
      </c>
      <c r="W158" s="154" t="s">
        <v>60</v>
      </c>
      <c r="X158" s="154" t="s">
        <v>66</v>
      </c>
      <c r="Y158" s="154" t="s">
        <v>66</v>
      </c>
      <c r="Z158" s="154" t="s">
        <v>60</v>
      </c>
      <c r="AA158" s="154"/>
      <c r="AB158" s="242" t="str">
        <f t="shared" si="2"/>
        <v>#ERROR!</v>
      </c>
      <c r="AC158" s="154" t="s">
        <v>391</v>
      </c>
      <c r="AD158" s="242" t="b">
        <f t="shared" si="3"/>
        <v>0</v>
      </c>
      <c r="AE158" s="154"/>
      <c r="AF158" s="242" t="str">
        <f t="shared" si="4"/>
        <v>#ERROR!</v>
      </c>
      <c r="AG158" s="154" t="s">
        <v>652</v>
      </c>
      <c r="AH158" s="242" t="str">
        <f>IF(AG158="","N/A",INDIRECT("MTR!"&amp;ADDRESS(MATCH(LEFT(AG158,9),[1]MTR!C:C,0),COLUMN(J158)),TRUE) &amp; "")</f>
        <v>#ERROR!</v>
      </c>
      <c r="AI158" s="157" t="str">
        <f t="shared" si="5"/>
        <v>#ERROR!</v>
      </c>
    </row>
    <row r="159" ht="12.75" customHeight="1">
      <c r="A159" s="244" t="s">
        <v>5158</v>
      </c>
      <c r="B159" s="244" t="s">
        <v>231</v>
      </c>
      <c r="C159" s="244" t="s">
        <v>7210</v>
      </c>
      <c r="D159" s="154" t="s">
        <v>781</v>
      </c>
      <c r="E159" s="154"/>
      <c r="F159" s="154" t="str">
        <f t="array" ref="F159">XLOOKUP(Cover!$D$12,$R$1:$Z$1,$R159:$Z159)</f>
        <v>Recommended</v>
      </c>
      <c r="G159" s="154" t="s">
        <v>7211</v>
      </c>
      <c r="H159" s="154" t="s">
        <v>6775</v>
      </c>
      <c r="I159" s="154" t="s">
        <v>7208</v>
      </c>
      <c r="J159" s="154" t="s">
        <v>7209</v>
      </c>
      <c r="K159" s="154" t="s">
        <v>6768</v>
      </c>
      <c r="L159" s="154" t="s">
        <v>6942</v>
      </c>
      <c r="M159" s="154"/>
      <c r="N159" s="154" t="s">
        <v>759</v>
      </c>
      <c r="O159" s="247" t="s">
        <v>516</v>
      </c>
      <c r="P159" s="247" t="s">
        <v>6776</v>
      </c>
      <c r="Q159" s="154" t="str">
        <f t="shared" si="1"/>
        <v>#ERROR!</v>
      </c>
      <c r="R159" s="154" t="s">
        <v>66</v>
      </c>
      <c r="S159" s="154" t="s">
        <v>66</v>
      </c>
      <c r="T159" s="154" t="s">
        <v>66</v>
      </c>
      <c r="U159" s="154" t="s">
        <v>66</v>
      </c>
      <c r="V159" s="154" t="s">
        <v>66</v>
      </c>
      <c r="W159" s="154" t="s">
        <v>64</v>
      </c>
      <c r="X159" s="154" t="s">
        <v>66</v>
      </c>
      <c r="Y159" s="154" t="s">
        <v>66</v>
      </c>
      <c r="Z159" s="154" t="s">
        <v>64</v>
      </c>
      <c r="AA159" s="154"/>
      <c r="AB159" s="242" t="str">
        <f t="shared" si="2"/>
        <v>#ERROR!</v>
      </c>
      <c r="AC159" s="154" t="s">
        <v>391</v>
      </c>
      <c r="AD159" s="242" t="b">
        <f t="shared" si="3"/>
        <v>0</v>
      </c>
      <c r="AE159" s="154"/>
      <c r="AF159" s="242" t="str">
        <f t="shared" si="4"/>
        <v>#ERROR!</v>
      </c>
      <c r="AG159" s="154" t="s">
        <v>652</v>
      </c>
      <c r="AH159" s="242" t="str">
        <f>IF(AG159="","N/A",INDIRECT("MTR!"&amp;ADDRESS(MATCH(LEFT(AG159,9),[1]MTR!C:C,0),COLUMN(J159)),TRUE) &amp; "")</f>
        <v>#ERROR!</v>
      </c>
      <c r="AI159" s="157" t="str">
        <f t="shared" si="5"/>
        <v>#ERROR!</v>
      </c>
    </row>
    <row r="160" ht="12.75" customHeight="1">
      <c r="A160" s="244" t="s">
        <v>5158</v>
      </c>
      <c r="B160" s="244" t="s">
        <v>231</v>
      </c>
      <c r="C160" s="244" t="s">
        <v>7212</v>
      </c>
      <c r="D160" s="154" t="s">
        <v>781</v>
      </c>
      <c r="E160" s="154"/>
      <c r="F160" s="154" t="str">
        <f t="array" ref="F160">XLOOKUP(Cover!$D$12,$R$1:$Z$1,$R160:$Z160)</f>
        <v>Recommended</v>
      </c>
      <c r="G160" s="154" t="s">
        <v>7213</v>
      </c>
      <c r="H160" s="154" t="s">
        <v>6847</v>
      </c>
      <c r="I160" s="154" t="s">
        <v>7208</v>
      </c>
      <c r="J160" s="154" t="s">
        <v>7209</v>
      </c>
      <c r="K160" s="154" t="s">
        <v>6768</v>
      </c>
      <c r="L160" s="154" t="s">
        <v>6942</v>
      </c>
      <c r="M160" s="154"/>
      <c r="N160" s="154" t="s">
        <v>759</v>
      </c>
      <c r="O160" s="247" t="s">
        <v>516</v>
      </c>
      <c r="P160" s="247" t="s">
        <v>6776</v>
      </c>
      <c r="Q160" s="154" t="str">
        <f t="shared" si="1"/>
        <v>#ERROR!</v>
      </c>
      <c r="R160" s="154" t="s">
        <v>66</v>
      </c>
      <c r="S160" s="154" t="s">
        <v>66</v>
      </c>
      <c r="T160" s="154" t="s">
        <v>66</v>
      </c>
      <c r="U160" s="154" t="s">
        <v>66</v>
      </c>
      <c r="V160" s="154" t="s">
        <v>66</v>
      </c>
      <c r="W160" s="154" t="s">
        <v>64</v>
      </c>
      <c r="X160" s="154" t="s">
        <v>66</v>
      </c>
      <c r="Y160" s="154" t="s">
        <v>66</v>
      </c>
      <c r="Z160" s="154" t="s">
        <v>64</v>
      </c>
      <c r="AA160" s="154"/>
      <c r="AB160" s="242" t="str">
        <f t="shared" si="2"/>
        <v>#ERROR!</v>
      </c>
      <c r="AC160" s="154" t="s">
        <v>391</v>
      </c>
      <c r="AD160" s="242" t="b">
        <f t="shared" si="3"/>
        <v>0</v>
      </c>
      <c r="AE160" s="154"/>
      <c r="AF160" s="242" t="str">
        <f t="shared" si="4"/>
        <v>#ERROR!</v>
      </c>
      <c r="AG160" s="154" t="s">
        <v>652</v>
      </c>
      <c r="AH160" s="242" t="str">
        <f>IF(AG160="","N/A",INDIRECT("MTR!"&amp;ADDRESS(MATCH(LEFT(AG160,9),[1]MTR!C:C,0),COLUMN(J160)),TRUE) &amp; "")</f>
        <v>#ERROR!</v>
      </c>
      <c r="AI160" s="157" t="str">
        <f t="shared" si="5"/>
        <v>#ERROR!</v>
      </c>
    </row>
    <row r="161" ht="12.75" customHeight="1">
      <c r="A161" s="244" t="s">
        <v>5158</v>
      </c>
      <c r="B161" s="244" t="s">
        <v>231</v>
      </c>
      <c r="C161" s="244" t="s">
        <v>7214</v>
      </c>
      <c r="D161" s="154" t="s">
        <v>781</v>
      </c>
      <c r="E161" s="154"/>
      <c r="F161" s="154" t="str">
        <f t="array" ref="F161">XLOOKUP(Cover!$D$12,$R$1:$Z$1,$R161:$Z161)</f>
        <v>Mandatory</v>
      </c>
      <c r="G161" s="154" t="s">
        <v>7215</v>
      </c>
      <c r="H161" s="154" t="s">
        <v>6782</v>
      </c>
      <c r="I161" s="154" t="s">
        <v>7208</v>
      </c>
      <c r="J161" s="154" t="s">
        <v>7209</v>
      </c>
      <c r="K161" s="154" t="s">
        <v>6768</v>
      </c>
      <c r="L161" s="154" t="s">
        <v>6942</v>
      </c>
      <c r="M161" s="154" t="s">
        <v>175</v>
      </c>
      <c r="N161" s="154" t="s">
        <v>759</v>
      </c>
      <c r="O161" s="247" t="s">
        <v>516</v>
      </c>
      <c r="P161" s="247" t="s">
        <v>6776</v>
      </c>
      <c r="Q161" s="154" t="str">
        <f t="shared" si="1"/>
        <v>#ERROR!</v>
      </c>
      <c r="R161" s="154" t="s">
        <v>66</v>
      </c>
      <c r="S161" s="154" t="s">
        <v>66</v>
      </c>
      <c r="T161" s="154" t="s">
        <v>66</v>
      </c>
      <c r="U161" s="154" t="s">
        <v>66</v>
      </c>
      <c r="V161" s="154" t="s">
        <v>66</v>
      </c>
      <c r="W161" s="154" t="s">
        <v>60</v>
      </c>
      <c r="X161" s="154" t="s">
        <v>66</v>
      </c>
      <c r="Y161" s="154" t="s">
        <v>66</v>
      </c>
      <c r="Z161" s="154" t="s">
        <v>60</v>
      </c>
      <c r="AA161" s="154"/>
      <c r="AB161" s="242" t="str">
        <f t="shared" si="2"/>
        <v>#ERROR!</v>
      </c>
      <c r="AC161" s="154" t="s">
        <v>391</v>
      </c>
      <c r="AD161" s="242" t="b">
        <f t="shared" si="3"/>
        <v>0</v>
      </c>
      <c r="AE161" s="154"/>
      <c r="AF161" s="242" t="str">
        <f t="shared" si="4"/>
        <v>#ERROR!</v>
      </c>
      <c r="AG161" s="154" t="s">
        <v>652</v>
      </c>
      <c r="AH161" s="242" t="str">
        <f>IF(AG161="","N/A",INDIRECT("MTR!"&amp;ADDRESS(MATCH(LEFT(AG161,9),[1]MTR!C:C,0),COLUMN(J161)),TRUE) &amp; "")</f>
        <v>#ERROR!</v>
      </c>
      <c r="AI161" s="157" t="str">
        <f t="shared" si="5"/>
        <v>#ERROR!</v>
      </c>
    </row>
    <row r="162" ht="12.75" customHeight="1">
      <c r="A162" s="244" t="s">
        <v>5158</v>
      </c>
      <c r="B162" s="244" t="s">
        <v>231</v>
      </c>
      <c r="C162" s="244" t="s">
        <v>7216</v>
      </c>
      <c r="D162" s="154" t="s">
        <v>1315</v>
      </c>
      <c r="E162" s="154"/>
      <c r="F162" s="154" t="str">
        <f t="array" ref="F162">XLOOKUP(Cover!$D$12,$R$1:$Z$1,$R162:$Z162)</f>
        <v>Information</v>
      </c>
      <c r="G162" s="154" t="s">
        <v>7217</v>
      </c>
      <c r="H162" s="154" t="s">
        <v>6771</v>
      </c>
      <c r="I162" s="154" t="s">
        <v>7218</v>
      </c>
      <c r="J162" s="154" t="s">
        <v>7219</v>
      </c>
      <c r="K162" s="154" t="s">
        <v>6768</v>
      </c>
      <c r="L162" s="154" t="s">
        <v>6905</v>
      </c>
      <c r="M162" s="154"/>
      <c r="N162" s="154" t="s">
        <v>759</v>
      </c>
      <c r="O162" s="247" t="s">
        <v>516</v>
      </c>
      <c r="P162" s="247" t="s">
        <v>6776</v>
      </c>
      <c r="Q162" s="154" t="str">
        <f t="shared" si="1"/>
        <v>#ERROR!</v>
      </c>
      <c r="R162" s="154" t="s">
        <v>66</v>
      </c>
      <c r="S162" s="154" t="s">
        <v>66</v>
      </c>
      <c r="T162" s="154" t="s">
        <v>66</v>
      </c>
      <c r="U162" s="154" t="s">
        <v>66</v>
      </c>
      <c r="V162" s="154" t="s">
        <v>66</v>
      </c>
      <c r="W162" s="154" t="s">
        <v>66</v>
      </c>
      <c r="X162" s="154" t="s">
        <v>66</v>
      </c>
      <c r="Y162" s="154" t="s">
        <v>66</v>
      </c>
      <c r="Z162" s="154" t="s">
        <v>66</v>
      </c>
      <c r="AA162" s="154"/>
      <c r="AB162" s="242" t="str">
        <f t="shared" si="2"/>
        <v>#ERROR!</v>
      </c>
      <c r="AC162" s="154" t="s">
        <v>391</v>
      </c>
      <c r="AD162" s="242" t="b">
        <f t="shared" si="3"/>
        <v>0</v>
      </c>
      <c r="AE162" s="154"/>
      <c r="AF162" s="242" t="str">
        <f t="shared" si="4"/>
        <v>#ERROR!</v>
      </c>
      <c r="AG162" s="154" t="s">
        <v>652</v>
      </c>
      <c r="AH162" s="242" t="str">
        <f>IF(AG162="","N/A",INDIRECT("MTR!"&amp;ADDRESS(MATCH(LEFT(AG162,9),[1]MTR!C:C,0),COLUMN(J162)),TRUE) &amp; "")</f>
        <v>#ERROR!</v>
      </c>
      <c r="AI162" s="157" t="str">
        <f t="shared" si="5"/>
        <v>#ERROR!</v>
      </c>
    </row>
    <row r="163" ht="12.75" customHeight="1">
      <c r="A163" s="244" t="s">
        <v>5158</v>
      </c>
      <c r="B163" s="244" t="s">
        <v>231</v>
      </c>
      <c r="C163" s="244" t="s">
        <v>7220</v>
      </c>
      <c r="D163" s="154" t="s">
        <v>1315</v>
      </c>
      <c r="E163" s="154"/>
      <c r="F163" s="154" t="str">
        <f t="array" ref="F163">XLOOKUP(Cover!$D$12,$R$1:$Z$1,$R163:$Z163)</f>
        <v>Information</v>
      </c>
      <c r="G163" s="154" t="s">
        <v>7221</v>
      </c>
      <c r="H163" s="154" t="s">
        <v>6775</v>
      </c>
      <c r="I163" s="154" t="s">
        <v>7218</v>
      </c>
      <c r="J163" s="154" t="s">
        <v>7219</v>
      </c>
      <c r="K163" s="154" t="s">
        <v>6768</v>
      </c>
      <c r="L163" s="154" t="s">
        <v>6905</v>
      </c>
      <c r="M163" s="154"/>
      <c r="N163" s="154" t="s">
        <v>759</v>
      </c>
      <c r="O163" s="247" t="s">
        <v>516</v>
      </c>
      <c r="P163" s="247" t="s">
        <v>6776</v>
      </c>
      <c r="Q163" s="154" t="str">
        <f t="shared" si="1"/>
        <v>#ERROR!</v>
      </c>
      <c r="R163" s="154" t="s">
        <v>66</v>
      </c>
      <c r="S163" s="154" t="s">
        <v>66</v>
      </c>
      <c r="T163" s="154" t="s">
        <v>66</v>
      </c>
      <c r="U163" s="154" t="s">
        <v>66</v>
      </c>
      <c r="V163" s="154" t="s">
        <v>66</v>
      </c>
      <c r="W163" s="154" t="s">
        <v>66</v>
      </c>
      <c r="X163" s="154" t="s">
        <v>66</v>
      </c>
      <c r="Y163" s="154" t="s">
        <v>66</v>
      </c>
      <c r="Z163" s="154" t="s">
        <v>66</v>
      </c>
      <c r="AA163" s="154"/>
      <c r="AB163" s="242" t="str">
        <f t="shared" si="2"/>
        <v>#ERROR!</v>
      </c>
      <c r="AC163" s="154" t="s">
        <v>391</v>
      </c>
      <c r="AD163" s="242" t="b">
        <f t="shared" si="3"/>
        <v>0</v>
      </c>
      <c r="AE163" s="154"/>
      <c r="AF163" s="242" t="str">
        <f t="shared" si="4"/>
        <v>#ERROR!</v>
      </c>
      <c r="AG163" s="154" t="s">
        <v>652</v>
      </c>
      <c r="AH163" s="242" t="str">
        <f>IF(AG163="","N/A",INDIRECT("MTR!"&amp;ADDRESS(MATCH(LEFT(AG163,9),[1]MTR!C:C,0),COLUMN(J163)),TRUE) &amp; "")</f>
        <v>#ERROR!</v>
      </c>
      <c r="AI163" s="157" t="str">
        <f t="shared" si="5"/>
        <v>#ERROR!</v>
      </c>
    </row>
    <row r="164" ht="12.75" customHeight="1">
      <c r="A164" s="244" t="s">
        <v>5158</v>
      </c>
      <c r="B164" s="244" t="s">
        <v>231</v>
      </c>
      <c r="C164" s="244" t="s">
        <v>7222</v>
      </c>
      <c r="D164" s="154" t="s">
        <v>1315</v>
      </c>
      <c r="E164" s="154"/>
      <c r="F164" s="154" t="str">
        <f t="array" ref="F164">XLOOKUP(Cover!$D$12,$R$1:$Z$1,$R164:$Z164)</f>
        <v>Information</v>
      </c>
      <c r="G164" s="154" t="s">
        <v>7223</v>
      </c>
      <c r="H164" s="154" t="s">
        <v>6785</v>
      </c>
      <c r="I164" s="154" t="s">
        <v>7218</v>
      </c>
      <c r="J164" s="154" t="s">
        <v>7219</v>
      </c>
      <c r="K164" s="154" t="s">
        <v>6768</v>
      </c>
      <c r="L164" s="154" t="s">
        <v>6905</v>
      </c>
      <c r="M164" s="154"/>
      <c r="N164" s="154" t="s">
        <v>759</v>
      </c>
      <c r="O164" s="247" t="s">
        <v>516</v>
      </c>
      <c r="P164" s="247" t="s">
        <v>6776</v>
      </c>
      <c r="Q164" s="154" t="str">
        <f t="shared" si="1"/>
        <v>#ERROR!</v>
      </c>
      <c r="R164" s="154" t="s">
        <v>66</v>
      </c>
      <c r="S164" s="154" t="s">
        <v>66</v>
      </c>
      <c r="T164" s="154" t="s">
        <v>66</v>
      </c>
      <c r="U164" s="154" t="s">
        <v>66</v>
      </c>
      <c r="V164" s="154" t="s">
        <v>66</v>
      </c>
      <c r="W164" s="154" t="s">
        <v>66</v>
      </c>
      <c r="X164" s="154" t="s">
        <v>66</v>
      </c>
      <c r="Y164" s="154" t="s">
        <v>66</v>
      </c>
      <c r="Z164" s="154" t="s">
        <v>66</v>
      </c>
      <c r="AA164" s="154"/>
      <c r="AB164" s="242" t="str">
        <f t="shared" si="2"/>
        <v>#ERROR!</v>
      </c>
      <c r="AC164" s="154" t="s">
        <v>391</v>
      </c>
      <c r="AD164" s="242" t="b">
        <f t="shared" si="3"/>
        <v>0</v>
      </c>
      <c r="AE164" s="154"/>
      <c r="AF164" s="242" t="str">
        <f t="shared" si="4"/>
        <v>#ERROR!</v>
      </c>
      <c r="AG164" s="154" t="s">
        <v>652</v>
      </c>
      <c r="AH164" s="242" t="str">
        <f>IF(AG164="","N/A",INDIRECT("MTR!"&amp;ADDRESS(MATCH(LEFT(AG164,9),[1]MTR!C:C,0),COLUMN(J164)),TRUE) &amp; "")</f>
        <v>#ERROR!</v>
      </c>
      <c r="AI164" s="157" t="str">
        <f t="shared" si="5"/>
        <v>#ERROR!</v>
      </c>
    </row>
    <row r="165" ht="12.75" customHeight="1">
      <c r="A165" s="244" t="s">
        <v>5158</v>
      </c>
      <c r="B165" s="244" t="s">
        <v>231</v>
      </c>
      <c r="C165" s="244" t="s">
        <v>7224</v>
      </c>
      <c r="D165" s="154" t="s">
        <v>1315</v>
      </c>
      <c r="E165" s="154"/>
      <c r="F165" s="154" t="str">
        <f t="array" ref="F165">XLOOKUP(Cover!$D$12,$R$1:$Z$1,$R165:$Z165)</f>
        <v>Recommended</v>
      </c>
      <c r="G165" s="154" t="s">
        <v>7225</v>
      </c>
      <c r="H165" s="154" t="s">
        <v>6771</v>
      </c>
      <c r="I165" s="154" t="s">
        <v>7226</v>
      </c>
      <c r="J165" s="154" t="s">
        <v>7227</v>
      </c>
      <c r="K165" s="154" t="s">
        <v>6768</v>
      </c>
      <c r="L165" s="154" t="s">
        <v>6905</v>
      </c>
      <c r="M165" s="154"/>
      <c r="N165" s="154" t="s">
        <v>759</v>
      </c>
      <c r="O165" s="247" t="s">
        <v>516</v>
      </c>
      <c r="P165" s="247" t="s">
        <v>6776</v>
      </c>
      <c r="Q165" s="154" t="str">
        <f t="shared" si="1"/>
        <v>#ERROR!</v>
      </c>
      <c r="R165" s="154" t="s">
        <v>66</v>
      </c>
      <c r="S165" s="154" t="s">
        <v>66</v>
      </c>
      <c r="T165" s="154" t="s">
        <v>66</v>
      </c>
      <c r="U165" s="154" t="s">
        <v>66</v>
      </c>
      <c r="V165" s="154" t="s">
        <v>66</v>
      </c>
      <c r="W165" s="154" t="s">
        <v>64</v>
      </c>
      <c r="X165" s="154" t="s">
        <v>66</v>
      </c>
      <c r="Y165" s="154" t="s">
        <v>66</v>
      </c>
      <c r="Z165" s="154" t="s">
        <v>64</v>
      </c>
      <c r="AA165" s="154"/>
      <c r="AB165" s="242" t="str">
        <f t="shared" si="2"/>
        <v>#ERROR!</v>
      </c>
      <c r="AC165" s="154" t="s">
        <v>391</v>
      </c>
      <c r="AD165" s="242" t="b">
        <f t="shared" si="3"/>
        <v>0</v>
      </c>
      <c r="AE165" s="154"/>
      <c r="AF165" s="242" t="str">
        <f t="shared" si="4"/>
        <v>#ERROR!</v>
      </c>
      <c r="AG165" s="154" t="s">
        <v>652</v>
      </c>
      <c r="AH165" s="242" t="str">
        <f>IF(AG165="","N/A",INDIRECT("MTR!"&amp;ADDRESS(MATCH(LEFT(AG165,9),[1]MTR!C:C,0),COLUMN(J165)),TRUE) &amp; "")</f>
        <v>#ERROR!</v>
      </c>
      <c r="AI165" s="157" t="str">
        <f t="shared" si="5"/>
        <v>#ERROR!</v>
      </c>
    </row>
    <row r="166" ht="12.75" customHeight="1">
      <c r="A166" s="244" t="s">
        <v>5158</v>
      </c>
      <c r="B166" s="244" t="s">
        <v>231</v>
      </c>
      <c r="C166" s="244" t="s">
        <v>7228</v>
      </c>
      <c r="D166" s="154" t="s">
        <v>1315</v>
      </c>
      <c r="E166" s="154"/>
      <c r="F166" s="154" t="str">
        <f t="array" ref="F166">XLOOKUP(Cover!$D$12,$R$1:$Z$1,$R166:$Z166)</f>
        <v>Recommended</v>
      </c>
      <c r="G166" s="154" t="s">
        <v>7229</v>
      </c>
      <c r="H166" s="154" t="s">
        <v>6775</v>
      </c>
      <c r="I166" s="154" t="s">
        <v>7226</v>
      </c>
      <c r="J166" s="154" t="s">
        <v>7227</v>
      </c>
      <c r="K166" s="154" t="s">
        <v>6768</v>
      </c>
      <c r="L166" s="154" t="s">
        <v>6905</v>
      </c>
      <c r="M166" s="154"/>
      <c r="N166" s="154" t="s">
        <v>759</v>
      </c>
      <c r="O166" s="247" t="s">
        <v>516</v>
      </c>
      <c r="P166" s="247" t="s">
        <v>6776</v>
      </c>
      <c r="Q166" s="154" t="str">
        <f t="shared" si="1"/>
        <v>#ERROR!</v>
      </c>
      <c r="R166" s="154" t="s">
        <v>66</v>
      </c>
      <c r="S166" s="154" t="s">
        <v>66</v>
      </c>
      <c r="T166" s="154" t="s">
        <v>66</v>
      </c>
      <c r="U166" s="154" t="s">
        <v>66</v>
      </c>
      <c r="V166" s="154" t="s">
        <v>66</v>
      </c>
      <c r="W166" s="154" t="s">
        <v>64</v>
      </c>
      <c r="X166" s="154" t="s">
        <v>66</v>
      </c>
      <c r="Y166" s="154" t="s">
        <v>66</v>
      </c>
      <c r="Z166" s="154" t="s">
        <v>64</v>
      </c>
      <c r="AA166" s="154"/>
      <c r="AB166" s="242" t="str">
        <f t="shared" si="2"/>
        <v>#ERROR!</v>
      </c>
      <c r="AC166" s="154" t="s">
        <v>391</v>
      </c>
      <c r="AD166" s="242" t="b">
        <f t="shared" si="3"/>
        <v>0</v>
      </c>
      <c r="AE166" s="154"/>
      <c r="AF166" s="242" t="str">
        <f t="shared" si="4"/>
        <v>#ERROR!</v>
      </c>
      <c r="AG166" s="154" t="s">
        <v>652</v>
      </c>
      <c r="AH166" s="242" t="str">
        <f>IF(AG166="","N/A",INDIRECT("MTR!"&amp;ADDRESS(MATCH(LEFT(AG166,9),[1]MTR!C:C,0),COLUMN(J166)),TRUE) &amp; "")</f>
        <v>#ERROR!</v>
      </c>
      <c r="AI166" s="157" t="str">
        <f t="shared" si="5"/>
        <v>#ERROR!</v>
      </c>
    </row>
    <row r="167" ht="12.75" customHeight="1">
      <c r="A167" s="244" t="s">
        <v>5158</v>
      </c>
      <c r="B167" s="244" t="s">
        <v>231</v>
      </c>
      <c r="C167" s="244" t="s">
        <v>7230</v>
      </c>
      <c r="D167" s="154" t="s">
        <v>1315</v>
      </c>
      <c r="E167" s="154"/>
      <c r="F167" s="154" t="str">
        <f t="array" ref="F167">XLOOKUP(Cover!$D$12,$R$1:$Z$1,$R167:$Z167)</f>
        <v>Recommended</v>
      </c>
      <c r="G167" s="154" t="s">
        <v>7231</v>
      </c>
      <c r="H167" s="154" t="s">
        <v>6779</v>
      </c>
      <c r="I167" s="154" t="s">
        <v>7226</v>
      </c>
      <c r="J167" s="154" t="s">
        <v>7227</v>
      </c>
      <c r="K167" s="154" t="s">
        <v>6768</v>
      </c>
      <c r="L167" s="154" t="s">
        <v>6905</v>
      </c>
      <c r="M167" s="154"/>
      <c r="N167" s="154" t="s">
        <v>759</v>
      </c>
      <c r="O167" s="247" t="s">
        <v>516</v>
      </c>
      <c r="P167" s="247" t="s">
        <v>6776</v>
      </c>
      <c r="Q167" s="154" t="str">
        <f t="shared" si="1"/>
        <v>#ERROR!</v>
      </c>
      <c r="R167" s="154" t="s">
        <v>66</v>
      </c>
      <c r="S167" s="154" t="s">
        <v>66</v>
      </c>
      <c r="T167" s="154" t="s">
        <v>66</v>
      </c>
      <c r="U167" s="154" t="s">
        <v>66</v>
      </c>
      <c r="V167" s="154" t="s">
        <v>66</v>
      </c>
      <c r="W167" s="154" t="s">
        <v>64</v>
      </c>
      <c r="X167" s="154" t="s">
        <v>66</v>
      </c>
      <c r="Y167" s="154" t="s">
        <v>66</v>
      </c>
      <c r="Z167" s="154" t="s">
        <v>64</v>
      </c>
      <c r="AA167" s="154"/>
      <c r="AB167" s="242" t="str">
        <f t="shared" si="2"/>
        <v>#ERROR!</v>
      </c>
      <c r="AC167" s="154" t="s">
        <v>391</v>
      </c>
      <c r="AD167" s="242" t="b">
        <f t="shared" si="3"/>
        <v>0</v>
      </c>
      <c r="AE167" s="154"/>
      <c r="AF167" s="242" t="str">
        <f t="shared" si="4"/>
        <v>#ERROR!</v>
      </c>
      <c r="AG167" s="154" t="s">
        <v>652</v>
      </c>
      <c r="AH167" s="242" t="str">
        <f>IF(AG167="","N/A",INDIRECT("MTR!"&amp;ADDRESS(MATCH(LEFT(AG167,9),[1]MTR!C:C,0),COLUMN(J167)),TRUE) &amp; "")</f>
        <v>#ERROR!</v>
      </c>
      <c r="AI167" s="157" t="str">
        <f t="shared" si="5"/>
        <v>#ERROR!</v>
      </c>
    </row>
    <row r="168" ht="12.75" customHeight="1">
      <c r="A168" s="244" t="s">
        <v>5158</v>
      </c>
      <c r="B168" s="244" t="s">
        <v>231</v>
      </c>
      <c r="C168" s="244" t="s">
        <v>7232</v>
      </c>
      <c r="D168" s="154" t="s">
        <v>1315</v>
      </c>
      <c r="E168" s="154"/>
      <c r="F168" s="154" t="str">
        <f t="array" ref="F168">XLOOKUP(Cover!$D$12,$R$1:$Z$1,$R168:$Z168)</f>
        <v>Recommended</v>
      </c>
      <c r="G168" s="154" t="s">
        <v>7233</v>
      </c>
      <c r="H168" s="154" t="s">
        <v>6782</v>
      </c>
      <c r="I168" s="154" t="s">
        <v>7226</v>
      </c>
      <c r="J168" s="154" t="s">
        <v>7227</v>
      </c>
      <c r="K168" s="154" t="s">
        <v>6768</v>
      </c>
      <c r="L168" s="154" t="s">
        <v>6905</v>
      </c>
      <c r="M168" s="154"/>
      <c r="N168" s="154" t="s">
        <v>759</v>
      </c>
      <c r="O168" s="247" t="s">
        <v>516</v>
      </c>
      <c r="P168" s="247" t="s">
        <v>6776</v>
      </c>
      <c r="Q168" s="154" t="str">
        <f t="shared" si="1"/>
        <v>#ERROR!</v>
      </c>
      <c r="R168" s="154" t="s">
        <v>66</v>
      </c>
      <c r="S168" s="154" t="s">
        <v>66</v>
      </c>
      <c r="T168" s="154" t="s">
        <v>66</v>
      </c>
      <c r="U168" s="154" t="s">
        <v>66</v>
      </c>
      <c r="V168" s="154" t="s">
        <v>66</v>
      </c>
      <c r="W168" s="154" t="s">
        <v>64</v>
      </c>
      <c r="X168" s="154" t="s">
        <v>66</v>
      </c>
      <c r="Y168" s="154" t="s">
        <v>66</v>
      </c>
      <c r="Z168" s="154" t="s">
        <v>64</v>
      </c>
      <c r="AA168" s="154"/>
      <c r="AB168" s="242" t="str">
        <f t="shared" si="2"/>
        <v>#ERROR!</v>
      </c>
      <c r="AC168" s="154" t="s">
        <v>391</v>
      </c>
      <c r="AD168" s="242" t="b">
        <f t="shared" si="3"/>
        <v>0</v>
      </c>
      <c r="AE168" s="154"/>
      <c r="AF168" s="242" t="str">
        <f t="shared" si="4"/>
        <v>#ERROR!</v>
      </c>
      <c r="AG168" s="154" t="s">
        <v>652</v>
      </c>
      <c r="AH168" s="242" t="str">
        <f>IF(AG168="","N/A",INDIRECT("MTR!"&amp;ADDRESS(MATCH(LEFT(AG168,9),[1]MTR!C:C,0),COLUMN(J168)),TRUE) &amp; "")</f>
        <v>#ERROR!</v>
      </c>
      <c r="AI168" s="157" t="str">
        <f t="shared" si="5"/>
        <v>#ERROR!</v>
      </c>
    </row>
    <row r="169" ht="12.75" customHeight="1">
      <c r="A169" s="244" t="s">
        <v>5158</v>
      </c>
      <c r="B169" s="244" t="s">
        <v>231</v>
      </c>
      <c r="C169" s="244" t="s">
        <v>7234</v>
      </c>
      <c r="D169" s="154" t="s">
        <v>1773</v>
      </c>
      <c r="E169" s="154"/>
      <c r="F169" s="154" t="str">
        <f t="array" ref="F169">XLOOKUP(Cover!$D$12,$R$1:$Z$1,$R169:$Z169)</f>
        <v>Mandatory</v>
      </c>
      <c r="G169" s="154" t="s">
        <v>7235</v>
      </c>
      <c r="H169" s="154" t="s">
        <v>6771</v>
      </c>
      <c r="I169" s="154" t="s">
        <v>7236</v>
      </c>
      <c r="J169" s="154" t="s">
        <v>7237</v>
      </c>
      <c r="K169" s="154" t="s">
        <v>6768</v>
      </c>
      <c r="L169" s="154" t="s">
        <v>7175</v>
      </c>
      <c r="M169" s="154" t="s">
        <v>175</v>
      </c>
      <c r="N169" s="154" t="s">
        <v>759</v>
      </c>
      <c r="O169" s="247" t="s">
        <v>516</v>
      </c>
      <c r="P169" s="247" t="s">
        <v>6776</v>
      </c>
      <c r="Q169" s="154" t="str">
        <f t="shared" si="1"/>
        <v>#ERROR!</v>
      </c>
      <c r="R169" s="154" t="s">
        <v>66</v>
      </c>
      <c r="S169" s="154" t="s">
        <v>66</v>
      </c>
      <c r="T169" s="154" t="s">
        <v>66</v>
      </c>
      <c r="U169" s="154" t="s">
        <v>66</v>
      </c>
      <c r="V169" s="154" t="s">
        <v>66</v>
      </c>
      <c r="W169" s="154" t="s">
        <v>60</v>
      </c>
      <c r="X169" s="154" t="s">
        <v>66</v>
      </c>
      <c r="Y169" s="154" t="s">
        <v>66</v>
      </c>
      <c r="Z169" s="154" t="s">
        <v>60</v>
      </c>
      <c r="AA169" s="154"/>
      <c r="AB169" s="242" t="str">
        <f t="shared" si="2"/>
        <v>#ERROR!</v>
      </c>
      <c r="AC169" s="154" t="s">
        <v>391</v>
      </c>
      <c r="AD169" s="242" t="b">
        <f t="shared" si="3"/>
        <v>0</v>
      </c>
      <c r="AE169" s="154"/>
      <c r="AF169" s="242" t="str">
        <f t="shared" si="4"/>
        <v>#ERROR!</v>
      </c>
      <c r="AG169" s="154" t="s">
        <v>652</v>
      </c>
      <c r="AH169" s="242" t="str">
        <f>IF(AG169="","N/A",INDIRECT("MTR!"&amp;ADDRESS(MATCH(LEFT(AG169,9),[1]MTR!C:C,0),COLUMN(J169)),TRUE) &amp; "")</f>
        <v>#ERROR!</v>
      </c>
      <c r="AI169" s="157" t="str">
        <f t="shared" si="5"/>
        <v>#ERROR!</v>
      </c>
    </row>
    <row r="170" ht="12.75" customHeight="1">
      <c r="A170" s="244" t="s">
        <v>5158</v>
      </c>
      <c r="B170" s="244" t="s">
        <v>231</v>
      </c>
      <c r="C170" s="244" t="s">
        <v>7238</v>
      </c>
      <c r="D170" s="154" t="s">
        <v>1773</v>
      </c>
      <c r="E170" s="154"/>
      <c r="F170" s="154" t="str">
        <f t="array" ref="F170">XLOOKUP(Cover!$D$12,$R$1:$Z$1,$R170:$Z170)</f>
        <v>Mandatory</v>
      </c>
      <c r="G170" s="154" t="s">
        <v>7239</v>
      </c>
      <c r="H170" s="154" t="s">
        <v>6775</v>
      </c>
      <c r="I170" s="154" t="s">
        <v>7236</v>
      </c>
      <c r="J170" s="154" t="s">
        <v>7237</v>
      </c>
      <c r="K170" s="154" t="s">
        <v>6768</v>
      </c>
      <c r="L170" s="154" t="s">
        <v>7175</v>
      </c>
      <c r="M170" s="154" t="s">
        <v>175</v>
      </c>
      <c r="N170" s="154" t="s">
        <v>759</v>
      </c>
      <c r="O170" s="247" t="s">
        <v>516</v>
      </c>
      <c r="P170" s="247" t="s">
        <v>6776</v>
      </c>
      <c r="Q170" s="154" t="str">
        <f t="shared" si="1"/>
        <v>#ERROR!</v>
      </c>
      <c r="R170" s="154" t="s">
        <v>66</v>
      </c>
      <c r="S170" s="154" t="s">
        <v>66</v>
      </c>
      <c r="T170" s="154" t="s">
        <v>66</v>
      </c>
      <c r="U170" s="154" t="s">
        <v>66</v>
      </c>
      <c r="V170" s="154" t="s">
        <v>66</v>
      </c>
      <c r="W170" s="154" t="s">
        <v>60</v>
      </c>
      <c r="X170" s="154" t="s">
        <v>66</v>
      </c>
      <c r="Y170" s="154" t="s">
        <v>66</v>
      </c>
      <c r="Z170" s="154" t="s">
        <v>60</v>
      </c>
      <c r="AA170" s="154"/>
      <c r="AB170" s="242" t="str">
        <f t="shared" si="2"/>
        <v>#ERROR!</v>
      </c>
      <c r="AC170" s="154" t="s">
        <v>391</v>
      </c>
      <c r="AD170" s="242" t="b">
        <f t="shared" si="3"/>
        <v>0</v>
      </c>
      <c r="AE170" s="154"/>
      <c r="AF170" s="242" t="str">
        <f t="shared" si="4"/>
        <v>#ERROR!</v>
      </c>
      <c r="AG170" s="154" t="s">
        <v>652</v>
      </c>
      <c r="AH170" s="242" t="str">
        <f>IF(AG170="","N/A",INDIRECT("MTR!"&amp;ADDRESS(MATCH(LEFT(AG170,9),[1]MTR!C:C,0),COLUMN(J170)),TRUE) &amp; "")</f>
        <v>#ERROR!</v>
      </c>
      <c r="AI170" s="157" t="str">
        <f t="shared" si="5"/>
        <v>#ERROR!</v>
      </c>
    </row>
    <row r="171" ht="12.75" customHeight="1">
      <c r="A171" s="244" t="s">
        <v>5158</v>
      </c>
      <c r="B171" s="244" t="s">
        <v>231</v>
      </c>
      <c r="C171" s="244" t="s">
        <v>7240</v>
      </c>
      <c r="D171" s="154" t="s">
        <v>1773</v>
      </c>
      <c r="E171" s="154"/>
      <c r="F171" s="154" t="str">
        <f t="array" ref="F171">XLOOKUP(Cover!$D$12,$R$1:$Z$1,$R171:$Z171)</f>
        <v>Mandatory</v>
      </c>
      <c r="G171" s="154" t="s">
        <v>7241</v>
      </c>
      <c r="H171" s="154" t="s">
        <v>6779</v>
      </c>
      <c r="I171" s="154" t="s">
        <v>7236</v>
      </c>
      <c r="J171" s="154" t="s">
        <v>7237</v>
      </c>
      <c r="K171" s="154" t="s">
        <v>6768</v>
      </c>
      <c r="L171" s="154" t="s">
        <v>7175</v>
      </c>
      <c r="M171" s="154" t="s">
        <v>175</v>
      </c>
      <c r="N171" s="154" t="s">
        <v>759</v>
      </c>
      <c r="O171" s="247" t="s">
        <v>516</v>
      </c>
      <c r="P171" s="247" t="s">
        <v>6776</v>
      </c>
      <c r="Q171" s="154" t="str">
        <f t="shared" si="1"/>
        <v>#ERROR!</v>
      </c>
      <c r="R171" s="154" t="s">
        <v>66</v>
      </c>
      <c r="S171" s="154" t="s">
        <v>66</v>
      </c>
      <c r="T171" s="154" t="s">
        <v>66</v>
      </c>
      <c r="U171" s="154" t="s">
        <v>66</v>
      </c>
      <c r="V171" s="154" t="s">
        <v>66</v>
      </c>
      <c r="W171" s="154" t="s">
        <v>60</v>
      </c>
      <c r="X171" s="154" t="s">
        <v>66</v>
      </c>
      <c r="Y171" s="154" t="s">
        <v>66</v>
      </c>
      <c r="Z171" s="154" t="s">
        <v>60</v>
      </c>
      <c r="AA171" s="154"/>
      <c r="AB171" s="242" t="str">
        <f t="shared" si="2"/>
        <v>#ERROR!</v>
      </c>
      <c r="AC171" s="154" t="s">
        <v>391</v>
      </c>
      <c r="AD171" s="242" t="b">
        <f t="shared" si="3"/>
        <v>0</v>
      </c>
      <c r="AE171" s="154"/>
      <c r="AF171" s="242" t="str">
        <f t="shared" si="4"/>
        <v>#ERROR!</v>
      </c>
      <c r="AG171" s="154" t="s">
        <v>652</v>
      </c>
      <c r="AH171" s="242" t="str">
        <f>IF(AG171="","N/A",INDIRECT("MTR!"&amp;ADDRESS(MATCH(LEFT(AG171,9),[1]MTR!C:C,0),COLUMN(J171)),TRUE) &amp; "")</f>
        <v>#ERROR!</v>
      </c>
      <c r="AI171" s="157" t="str">
        <f t="shared" si="5"/>
        <v>#ERROR!</v>
      </c>
    </row>
    <row r="172" ht="12.75" customHeight="1">
      <c r="A172" s="244" t="s">
        <v>5158</v>
      </c>
      <c r="B172" s="244" t="s">
        <v>231</v>
      </c>
      <c r="C172" s="245" t="s">
        <v>7242</v>
      </c>
      <c r="D172" s="155" t="s">
        <v>1315</v>
      </c>
      <c r="E172" s="155" t="s">
        <v>92</v>
      </c>
      <c r="F172" s="154" t="str">
        <f t="array" ref="F172">XLOOKUP(Cover!$D$12,$R$1:$Z$1,$R172:$Z172)</f>
        <v>Recommended</v>
      </c>
      <c r="G172" s="154" t="s">
        <v>7243</v>
      </c>
      <c r="H172" s="154" t="s">
        <v>6771</v>
      </c>
      <c r="I172" s="154" t="s">
        <v>7244</v>
      </c>
      <c r="J172" s="154" t="s">
        <v>7245</v>
      </c>
      <c r="K172" s="154" t="s">
        <v>6768</v>
      </c>
      <c r="L172" s="154" t="s">
        <v>6884</v>
      </c>
      <c r="M172" s="154"/>
      <c r="N172" s="154" t="s">
        <v>759</v>
      </c>
      <c r="O172" s="247" t="s">
        <v>516</v>
      </c>
      <c r="P172" s="247" t="s">
        <v>6776</v>
      </c>
      <c r="Q172" s="154" t="str">
        <f t="shared" si="1"/>
        <v>#ERROR!</v>
      </c>
      <c r="R172" s="154" t="s">
        <v>66</v>
      </c>
      <c r="S172" s="154" t="s">
        <v>66</v>
      </c>
      <c r="T172" s="154" t="s">
        <v>66</v>
      </c>
      <c r="U172" s="154" t="s">
        <v>66</v>
      </c>
      <c r="V172" s="154" t="s">
        <v>66</v>
      </c>
      <c r="W172" s="154" t="s">
        <v>64</v>
      </c>
      <c r="X172" s="154" t="s">
        <v>66</v>
      </c>
      <c r="Y172" s="154" t="s">
        <v>66</v>
      </c>
      <c r="Z172" s="154" t="s">
        <v>64</v>
      </c>
      <c r="AA172" s="154"/>
      <c r="AB172" s="242" t="str">
        <f t="shared" si="2"/>
        <v>#ERROR!</v>
      </c>
      <c r="AC172" s="154" t="s">
        <v>391</v>
      </c>
      <c r="AD172" s="242" t="b">
        <f t="shared" si="3"/>
        <v>0</v>
      </c>
      <c r="AE172" s="154"/>
      <c r="AF172" s="242" t="str">
        <f t="shared" si="4"/>
        <v>#ERROR!</v>
      </c>
      <c r="AG172" s="154" t="s">
        <v>652</v>
      </c>
      <c r="AH172" s="242" t="str">
        <f>IF(AG172="","N/A",INDIRECT("MTR!"&amp;ADDRESS(MATCH(LEFT(AG172,9),[1]MTR!C:C,0),COLUMN(J172)),TRUE) &amp; "")</f>
        <v>#ERROR!</v>
      </c>
      <c r="AI172" s="157" t="str">
        <f t="shared" si="5"/>
        <v>#ERROR!</v>
      </c>
    </row>
    <row r="173" ht="12.75" customHeight="1">
      <c r="A173" s="244" t="s">
        <v>5158</v>
      </c>
      <c r="B173" s="244" t="s">
        <v>231</v>
      </c>
      <c r="C173" s="245" t="s">
        <v>7246</v>
      </c>
      <c r="D173" s="155" t="s">
        <v>1315</v>
      </c>
      <c r="E173" s="155" t="s">
        <v>92</v>
      </c>
      <c r="F173" s="154" t="str">
        <f t="array" ref="F173">XLOOKUP(Cover!$D$12,$R$1:$Z$1,$R173:$Z173)</f>
        <v>Information</v>
      </c>
      <c r="G173" s="154" t="s">
        <v>7247</v>
      </c>
      <c r="H173" s="154" t="s">
        <v>6775</v>
      </c>
      <c r="I173" s="154" t="s">
        <v>7244</v>
      </c>
      <c r="J173" s="154" t="s">
        <v>7245</v>
      </c>
      <c r="K173" s="154" t="s">
        <v>6768</v>
      </c>
      <c r="L173" s="154" t="s">
        <v>6884</v>
      </c>
      <c r="M173" s="154"/>
      <c r="N173" s="154" t="s">
        <v>759</v>
      </c>
      <c r="O173" s="247" t="s">
        <v>516</v>
      </c>
      <c r="P173" s="247" t="s">
        <v>6776</v>
      </c>
      <c r="Q173" s="154" t="str">
        <f t="shared" si="1"/>
        <v>#ERROR!</v>
      </c>
      <c r="R173" s="154" t="s">
        <v>66</v>
      </c>
      <c r="S173" s="154" t="s">
        <v>66</v>
      </c>
      <c r="T173" s="154" t="s">
        <v>66</v>
      </c>
      <c r="U173" s="154" t="s">
        <v>66</v>
      </c>
      <c r="V173" s="154" t="s">
        <v>66</v>
      </c>
      <c r="W173" s="154" t="s">
        <v>66</v>
      </c>
      <c r="X173" s="154" t="s">
        <v>66</v>
      </c>
      <c r="Y173" s="154" t="s">
        <v>66</v>
      </c>
      <c r="Z173" s="154" t="s">
        <v>66</v>
      </c>
      <c r="AA173" s="154"/>
      <c r="AB173" s="242" t="str">
        <f t="shared" si="2"/>
        <v>#ERROR!</v>
      </c>
      <c r="AC173" s="154" t="s">
        <v>391</v>
      </c>
      <c r="AD173" s="242" t="b">
        <f t="shared" si="3"/>
        <v>0</v>
      </c>
      <c r="AE173" s="154"/>
      <c r="AF173" s="242" t="str">
        <f t="shared" si="4"/>
        <v>#ERROR!</v>
      </c>
      <c r="AG173" s="154" t="s">
        <v>652</v>
      </c>
      <c r="AH173" s="242" t="str">
        <f>IF(AG173="","N/A",INDIRECT("MTR!"&amp;ADDRESS(MATCH(LEFT(AG173,9),[1]MTR!C:C,0),COLUMN(J173)),TRUE) &amp; "")</f>
        <v>#ERROR!</v>
      </c>
      <c r="AI173" s="157" t="str">
        <f t="shared" si="5"/>
        <v>#ERROR!</v>
      </c>
    </row>
    <row r="174" ht="12.75" customHeight="1">
      <c r="A174" s="244" t="s">
        <v>5158</v>
      </c>
      <c r="B174" s="244" t="s">
        <v>231</v>
      </c>
      <c r="C174" s="245" t="s">
        <v>7248</v>
      </c>
      <c r="D174" s="155" t="s">
        <v>1315</v>
      </c>
      <c r="E174" s="155" t="s">
        <v>92</v>
      </c>
      <c r="F174" s="154" t="str">
        <f t="array" ref="F174">XLOOKUP(Cover!$D$12,$R$1:$Z$1,$R174:$Z174)</f>
        <v>Recommended</v>
      </c>
      <c r="G174" s="154" t="s">
        <v>7249</v>
      </c>
      <c r="H174" s="154" t="s">
        <v>6782</v>
      </c>
      <c r="I174" s="154" t="s">
        <v>7244</v>
      </c>
      <c r="J174" s="154" t="s">
        <v>7245</v>
      </c>
      <c r="K174" s="154" t="s">
        <v>6768</v>
      </c>
      <c r="L174" s="154" t="s">
        <v>6884</v>
      </c>
      <c r="M174" s="154"/>
      <c r="N174" s="154" t="s">
        <v>759</v>
      </c>
      <c r="O174" s="247" t="s">
        <v>516</v>
      </c>
      <c r="P174" s="247" t="s">
        <v>6776</v>
      </c>
      <c r="Q174" s="154" t="str">
        <f t="shared" si="1"/>
        <v>#ERROR!</v>
      </c>
      <c r="R174" s="154" t="s">
        <v>66</v>
      </c>
      <c r="S174" s="154" t="s">
        <v>66</v>
      </c>
      <c r="T174" s="154" t="s">
        <v>66</v>
      </c>
      <c r="U174" s="154" t="s">
        <v>66</v>
      </c>
      <c r="V174" s="154" t="s">
        <v>66</v>
      </c>
      <c r="W174" s="154" t="s">
        <v>64</v>
      </c>
      <c r="X174" s="154" t="s">
        <v>66</v>
      </c>
      <c r="Y174" s="154" t="s">
        <v>66</v>
      </c>
      <c r="Z174" s="154" t="s">
        <v>64</v>
      </c>
      <c r="AA174" s="154"/>
      <c r="AB174" s="242" t="str">
        <f t="shared" si="2"/>
        <v>#ERROR!</v>
      </c>
      <c r="AC174" s="154" t="s">
        <v>391</v>
      </c>
      <c r="AD174" s="242" t="b">
        <f t="shared" si="3"/>
        <v>0</v>
      </c>
      <c r="AE174" s="154"/>
      <c r="AF174" s="242" t="str">
        <f t="shared" si="4"/>
        <v>#ERROR!</v>
      </c>
      <c r="AG174" s="154" t="s">
        <v>652</v>
      </c>
      <c r="AH174" s="242" t="str">
        <f>IF(AG174="","N/A",INDIRECT("MTR!"&amp;ADDRESS(MATCH(LEFT(AG174,9),[1]MTR!C:C,0),COLUMN(J174)),TRUE) &amp; "")</f>
        <v>#ERROR!</v>
      </c>
      <c r="AI174" s="157" t="str">
        <f t="shared" si="5"/>
        <v>#ERROR!</v>
      </c>
    </row>
    <row r="175" ht="12.75" customHeight="1">
      <c r="A175" s="244" t="s">
        <v>5158</v>
      </c>
      <c r="B175" s="244" t="s">
        <v>231</v>
      </c>
      <c r="C175" s="245" t="s">
        <v>7250</v>
      </c>
      <c r="D175" s="155" t="s">
        <v>1315</v>
      </c>
      <c r="E175" s="155" t="s">
        <v>92</v>
      </c>
      <c r="F175" s="154" t="str">
        <f t="array" ref="F175">XLOOKUP(Cover!$D$12,$R$1:$Z$1,$R175:$Z175)</f>
        <v>Recommended</v>
      </c>
      <c r="G175" s="154" t="s">
        <v>7251</v>
      </c>
      <c r="H175" s="154" t="s">
        <v>6785</v>
      </c>
      <c r="I175" s="154" t="s">
        <v>7244</v>
      </c>
      <c r="J175" s="154" t="s">
        <v>7245</v>
      </c>
      <c r="K175" s="154" t="s">
        <v>6768</v>
      </c>
      <c r="L175" s="154" t="s">
        <v>6884</v>
      </c>
      <c r="M175" s="154"/>
      <c r="N175" s="154" t="s">
        <v>759</v>
      </c>
      <c r="O175" s="247" t="s">
        <v>516</v>
      </c>
      <c r="P175" s="247" t="s">
        <v>6776</v>
      </c>
      <c r="Q175" s="154" t="str">
        <f t="shared" si="1"/>
        <v>#ERROR!</v>
      </c>
      <c r="R175" s="154" t="s">
        <v>66</v>
      </c>
      <c r="S175" s="154" t="s">
        <v>66</v>
      </c>
      <c r="T175" s="154" t="s">
        <v>66</v>
      </c>
      <c r="U175" s="154" t="s">
        <v>66</v>
      </c>
      <c r="V175" s="154" t="s">
        <v>66</v>
      </c>
      <c r="W175" s="154" t="s">
        <v>64</v>
      </c>
      <c r="X175" s="154" t="s">
        <v>66</v>
      </c>
      <c r="Y175" s="154" t="s">
        <v>66</v>
      </c>
      <c r="Z175" s="154" t="s">
        <v>64</v>
      </c>
      <c r="AA175" s="154"/>
      <c r="AB175" s="242" t="str">
        <f t="shared" si="2"/>
        <v>#ERROR!</v>
      </c>
      <c r="AC175" s="154" t="s">
        <v>391</v>
      </c>
      <c r="AD175" s="242" t="b">
        <f t="shared" si="3"/>
        <v>0</v>
      </c>
      <c r="AE175" s="154"/>
      <c r="AF175" s="242" t="str">
        <f t="shared" si="4"/>
        <v>#ERROR!</v>
      </c>
      <c r="AG175" s="154" t="s">
        <v>652</v>
      </c>
      <c r="AH175" s="242" t="str">
        <f>IF(AG175="","N/A",INDIRECT("MTR!"&amp;ADDRESS(MATCH(LEFT(AG175,9),[1]MTR!C:C,0),COLUMN(J175)),TRUE) &amp; "")</f>
        <v>#ERROR!</v>
      </c>
      <c r="AI175" s="157" t="str">
        <f t="shared" si="5"/>
        <v>#ERROR!</v>
      </c>
    </row>
    <row r="176" ht="12.75" customHeight="1">
      <c r="A176" s="244" t="s">
        <v>5158</v>
      </c>
      <c r="B176" s="244" t="s">
        <v>231</v>
      </c>
      <c r="C176" s="244" t="s">
        <v>7252</v>
      </c>
      <c r="D176" s="154" t="s">
        <v>1315</v>
      </c>
      <c r="E176" s="154"/>
      <c r="F176" s="154" t="str">
        <f t="array" ref="F176">XLOOKUP(Cover!$D$12,$R$1:$Z$1,$R176:$Z176)</f>
        <v>Mandatory</v>
      </c>
      <c r="G176" s="154" t="s">
        <v>7253</v>
      </c>
      <c r="H176" s="154" t="s">
        <v>6771</v>
      </c>
      <c r="I176" s="154" t="s">
        <v>7254</v>
      </c>
      <c r="J176" s="154" t="s">
        <v>7255</v>
      </c>
      <c r="K176" s="154" t="s">
        <v>6768</v>
      </c>
      <c r="L176" s="154" t="s">
        <v>6905</v>
      </c>
      <c r="M176" s="154" t="s">
        <v>175</v>
      </c>
      <c r="N176" s="154" t="s">
        <v>759</v>
      </c>
      <c r="O176" s="247" t="s">
        <v>516</v>
      </c>
      <c r="P176" s="247" t="s">
        <v>6776</v>
      </c>
      <c r="Q176" s="154" t="str">
        <f t="shared" si="1"/>
        <v>#ERROR!</v>
      </c>
      <c r="R176" s="154" t="s">
        <v>66</v>
      </c>
      <c r="S176" s="154" t="s">
        <v>66</v>
      </c>
      <c r="T176" s="154" t="s">
        <v>66</v>
      </c>
      <c r="U176" s="154" t="s">
        <v>66</v>
      </c>
      <c r="V176" s="154" t="s">
        <v>66</v>
      </c>
      <c r="W176" s="154" t="s">
        <v>60</v>
      </c>
      <c r="X176" s="154" t="s">
        <v>66</v>
      </c>
      <c r="Y176" s="154" t="s">
        <v>66</v>
      </c>
      <c r="Z176" s="154" t="s">
        <v>60</v>
      </c>
      <c r="AA176" s="154"/>
      <c r="AB176" s="242" t="str">
        <f t="shared" si="2"/>
        <v>#ERROR!</v>
      </c>
      <c r="AC176" s="154" t="s">
        <v>391</v>
      </c>
      <c r="AD176" s="242" t="b">
        <f t="shared" si="3"/>
        <v>0</v>
      </c>
      <c r="AE176" s="154"/>
      <c r="AF176" s="242" t="str">
        <f t="shared" si="4"/>
        <v>#ERROR!</v>
      </c>
      <c r="AG176" s="154" t="s">
        <v>652</v>
      </c>
      <c r="AH176" s="242" t="str">
        <f>IF(AG176="","N/A",INDIRECT("MTR!"&amp;ADDRESS(MATCH(LEFT(AG176,9),[1]MTR!C:C,0),COLUMN(J176)),TRUE) &amp; "")</f>
        <v>#ERROR!</v>
      </c>
      <c r="AI176" s="157" t="str">
        <f t="shared" si="5"/>
        <v>#ERROR!</v>
      </c>
    </row>
    <row r="177" ht="12.75" customHeight="1">
      <c r="A177" s="244" t="s">
        <v>5158</v>
      </c>
      <c r="B177" s="244" t="s">
        <v>231</v>
      </c>
      <c r="C177" s="244" t="s">
        <v>7256</v>
      </c>
      <c r="D177" s="154" t="s">
        <v>1315</v>
      </c>
      <c r="E177" s="154"/>
      <c r="F177" s="154" t="str">
        <f t="array" ref="F177">XLOOKUP(Cover!$D$12,$R$1:$Z$1,$R177:$Z177)</f>
        <v>Mandatory</v>
      </c>
      <c r="G177" s="154" t="s">
        <v>7257</v>
      </c>
      <c r="H177" s="154" t="s">
        <v>6775</v>
      </c>
      <c r="I177" s="154" t="s">
        <v>7254</v>
      </c>
      <c r="J177" s="154" t="s">
        <v>7255</v>
      </c>
      <c r="K177" s="154" t="s">
        <v>6768</v>
      </c>
      <c r="L177" s="154" t="s">
        <v>6905</v>
      </c>
      <c r="M177" s="154" t="s">
        <v>175</v>
      </c>
      <c r="N177" s="154" t="s">
        <v>759</v>
      </c>
      <c r="O177" s="247" t="s">
        <v>516</v>
      </c>
      <c r="P177" s="247" t="s">
        <v>6776</v>
      </c>
      <c r="Q177" s="154" t="str">
        <f t="shared" si="1"/>
        <v>#ERROR!</v>
      </c>
      <c r="R177" s="154" t="s">
        <v>66</v>
      </c>
      <c r="S177" s="154" t="s">
        <v>66</v>
      </c>
      <c r="T177" s="154" t="s">
        <v>66</v>
      </c>
      <c r="U177" s="154" t="s">
        <v>66</v>
      </c>
      <c r="V177" s="154" t="s">
        <v>66</v>
      </c>
      <c r="W177" s="154" t="s">
        <v>60</v>
      </c>
      <c r="X177" s="154" t="s">
        <v>66</v>
      </c>
      <c r="Y177" s="154" t="s">
        <v>66</v>
      </c>
      <c r="Z177" s="154" t="s">
        <v>60</v>
      </c>
      <c r="AA177" s="154"/>
      <c r="AB177" s="242" t="str">
        <f t="shared" si="2"/>
        <v>#ERROR!</v>
      </c>
      <c r="AC177" s="154" t="s">
        <v>391</v>
      </c>
      <c r="AD177" s="242" t="b">
        <f t="shared" si="3"/>
        <v>0</v>
      </c>
      <c r="AE177" s="154"/>
      <c r="AF177" s="242" t="str">
        <f t="shared" si="4"/>
        <v>#ERROR!</v>
      </c>
      <c r="AG177" s="154" t="s">
        <v>652</v>
      </c>
      <c r="AH177" s="242" t="str">
        <f>IF(AG177="","N/A",INDIRECT("MTR!"&amp;ADDRESS(MATCH(LEFT(AG177,9),[1]MTR!C:C,0),COLUMN(J177)),TRUE) &amp; "")</f>
        <v>#ERROR!</v>
      </c>
      <c r="AI177" s="157" t="str">
        <f t="shared" si="5"/>
        <v>#ERROR!</v>
      </c>
    </row>
    <row r="178" ht="12.75" customHeight="1">
      <c r="A178" s="244" t="s">
        <v>5158</v>
      </c>
      <c r="B178" s="244" t="s">
        <v>231</v>
      </c>
      <c r="C178" s="244" t="s">
        <v>7258</v>
      </c>
      <c r="D178" s="154" t="s">
        <v>1315</v>
      </c>
      <c r="E178" s="154"/>
      <c r="F178" s="154" t="str">
        <f t="array" ref="F178">XLOOKUP(Cover!$D$12,$R$1:$Z$1,$R178:$Z178)</f>
        <v>Mandatory</v>
      </c>
      <c r="G178" s="154" t="s">
        <v>7259</v>
      </c>
      <c r="H178" s="154" t="s">
        <v>6782</v>
      </c>
      <c r="I178" s="154" t="s">
        <v>7254</v>
      </c>
      <c r="J178" s="154" t="s">
        <v>7255</v>
      </c>
      <c r="K178" s="154" t="s">
        <v>6768</v>
      </c>
      <c r="L178" s="154" t="s">
        <v>6905</v>
      </c>
      <c r="M178" s="154" t="s">
        <v>175</v>
      </c>
      <c r="N178" s="154" t="s">
        <v>759</v>
      </c>
      <c r="O178" s="247" t="s">
        <v>516</v>
      </c>
      <c r="P178" s="247" t="s">
        <v>6776</v>
      </c>
      <c r="Q178" s="154" t="str">
        <f t="shared" si="1"/>
        <v>#ERROR!</v>
      </c>
      <c r="R178" s="154" t="s">
        <v>66</v>
      </c>
      <c r="S178" s="154" t="s">
        <v>66</v>
      </c>
      <c r="T178" s="154" t="s">
        <v>66</v>
      </c>
      <c r="U178" s="154" t="s">
        <v>66</v>
      </c>
      <c r="V178" s="154" t="s">
        <v>66</v>
      </c>
      <c r="W178" s="154" t="s">
        <v>60</v>
      </c>
      <c r="X178" s="154" t="s">
        <v>66</v>
      </c>
      <c r="Y178" s="154" t="s">
        <v>66</v>
      </c>
      <c r="Z178" s="154" t="s">
        <v>60</v>
      </c>
      <c r="AA178" s="154"/>
      <c r="AB178" s="242" t="str">
        <f t="shared" si="2"/>
        <v>#ERROR!</v>
      </c>
      <c r="AC178" s="154" t="s">
        <v>391</v>
      </c>
      <c r="AD178" s="242" t="b">
        <f t="shared" si="3"/>
        <v>0</v>
      </c>
      <c r="AE178" s="154"/>
      <c r="AF178" s="242" t="str">
        <f t="shared" si="4"/>
        <v>#ERROR!</v>
      </c>
      <c r="AG178" s="154" t="s">
        <v>652</v>
      </c>
      <c r="AH178" s="242" t="str">
        <f>IF(AG178="","N/A",INDIRECT("MTR!"&amp;ADDRESS(MATCH(LEFT(AG178,9),[1]MTR!C:C,0),COLUMN(J178)),TRUE) &amp; "")</f>
        <v>#ERROR!</v>
      </c>
      <c r="AI178" s="157" t="str">
        <f t="shared" si="5"/>
        <v>#ERROR!</v>
      </c>
    </row>
    <row r="179" ht="12.75" customHeight="1">
      <c r="A179" s="244" t="s">
        <v>5158</v>
      </c>
      <c r="B179" s="244" t="s">
        <v>231</v>
      </c>
      <c r="C179" s="244" t="s">
        <v>7260</v>
      </c>
      <c r="D179" s="154" t="s">
        <v>1315</v>
      </c>
      <c r="E179" s="154"/>
      <c r="F179" s="154" t="str">
        <f t="array" ref="F179">XLOOKUP(Cover!$D$12,$R$1:$Z$1,$R179:$Z179)</f>
        <v>Recommended</v>
      </c>
      <c r="G179" s="154" t="s">
        <v>7261</v>
      </c>
      <c r="H179" s="154" t="s">
        <v>6775</v>
      </c>
      <c r="I179" s="154" t="s">
        <v>7262</v>
      </c>
      <c r="J179" s="154" t="s">
        <v>7263</v>
      </c>
      <c r="K179" s="154" t="s">
        <v>6768</v>
      </c>
      <c r="L179" s="154" t="s">
        <v>6905</v>
      </c>
      <c r="M179" s="154"/>
      <c r="N179" s="154" t="s">
        <v>759</v>
      </c>
      <c r="O179" s="247" t="s">
        <v>516</v>
      </c>
      <c r="P179" s="247" t="s">
        <v>6776</v>
      </c>
      <c r="Q179" s="154" t="str">
        <f t="shared" si="1"/>
        <v>#ERROR!</v>
      </c>
      <c r="R179" s="154" t="s">
        <v>66</v>
      </c>
      <c r="S179" s="154" t="s">
        <v>66</v>
      </c>
      <c r="T179" s="154" t="s">
        <v>66</v>
      </c>
      <c r="U179" s="154" t="s">
        <v>66</v>
      </c>
      <c r="V179" s="154" t="s">
        <v>66</v>
      </c>
      <c r="W179" s="154" t="s">
        <v>64</v>
      </c>
      <c r="X179" s="154" t="s">
        <v>66</v>
      </c>
      <c r="Y179" s="154" t="s">
        <v>66</v>
      </c>
      <c r="Z179" s="154" t="s">
        <v>64</v>
      </c>
      <c r="AA179" s="154"/>
      <c r="AB179" s="242" t="str">
        <f t="shared" si="2"/>
        <v>#ERROR!</v>
      </c>
      <c r="AC179" s="154" t="s">
        <v>391</v>
      </c>
      <c r="AD179" s="242" t="b">
        <f t="shared" si="3"/>
        <v>0</v>
      </c>
      <c r="AE179" s="154"/>
      <c r="AF179" s="242" t="str">
        <f t="shared" si="4"/>
        <v>#ERROR!</v>
      </c>
      <c r="AG179" s="154" t="s">
        <v>652</v>
      </c>
      <c r="AH179" s="242" t="str">
        <f>IF(AG179="","N/A",INDIRECT("MTR!"&amp;ADDRESS(MATCH(LEFT(AG179,9),[1]MTR!C:C,0),COLUMN(J179)),TRUE) &amp; "")</f>
        <v>#ERROR!</v>
      </c>
      <c r="AI179" s="157" t="str">
        <f t="shared" si="5"/>
        <v>#ERROR!</v>
      </c>
    </row>
    <row r="180" ht="12.75" customHeight="1">
      <c r="A180" s="244" t="s">
        <v>5158</v>
      </c>
      <c r="B180" s="244" t="s">
        <v>231</v>
      </c>
      <c r="C180" s="244" t="s">
        <v>7264</v>
      </c>
      <c r="D180" s="154" t="s">
        <v>1315</v>
      </c>
      <c r="E180" s="154"/>
      <c r="F180" s="154" t="str">
        <f t="array" ref="F180">XLOOKUP(Cover!$D$12,$R$1:$Z$1,$R180:$Z180)</f>
        <v>Recommended</v>
      </c>
      <c r="G180" s="154" t="s">
        <v>7265</v>
      </c>
      <c r="H180" s="154" t="s">
        <v>6779</v>
      </c>
      <c r="I180" s="154" t="s">
        <v>7262</v>
      </c>
      <c r="J180" s="154" t="s">
        <v>7263</v>
      </c>
      <c r="K180" s="154" t="s">
        <v>6768</v>
      </c>
      <c r="L180" s="154" t="s">
        <v>6905</v>
      </c>
      <c r="M180" s="154"/>
      <c r="N180" s="154" t="s">
        <v>759</v>
      </c>
      <c r="O180" s="247" t="s">
        <v>516</v>
      </c>
      <c r="P180" s="247" t="s">
        <v>6776</v>
      </c>
      <c r="Q180" s="154" t="str">
        <f t="shared" si="1"/>
        <v>#ERROR!</v>
      </c>
      <c r="R180" s="154" t="s">
        <v>66</v>
      </c>
      <c r="S180" s="154" t="s">
        <v>66</v>
      </c>
      <c r="T180" s="154" t="s">
        <v>66</v>
      </c>
      <c r="U180" s="154" t="s">
        <v>66</v>
      </c>
      <c r="V180" s="154" t="s">
        <v>66</v>
      </c>
      <c r="W180" s="154" t="s">
        <v>64</v>
      </c>
      <c r="X180" s="154" t="s">
        <v>66</v>
      </c>
      <c r="Y180" s="154" t="s">
        <v>66</v>
      </c>
      <c r="Z180" s="154" t="s">
        <v>64</v>
      </c>
      <c r="AA180" s="154"/>
      <c r="AB180" s="242" t="str">
        <f t="shared" si="2"/>
        <v>#ERROR!</v>
      </c>
      <c r="AC180" s="154" t="s">
        <v>391</v>
      </c>
      <c r="AD180" s="242" t="b">
        <f t="shared" si="3"/>
        <v>0</v>
      </c>
      <c r="AE180" s="154"/>
      <c r="AF180" s="242" t="str">
        <f t="shared" si="4"/>
        <v>#ERROR!</v>
      </c>
      <c r="AG180" s="154" t="s">
        <v>652</v>
      </c>
      <c r="AH180" s="242" t="str">
        <f>IF(AG180="","N/A",INDIRECT("MTR!"&amp;ADDRESS(MATCH(LEFT(AG180,9),[1]MTR!C:C,0),COLUMN(J180)),TRUE) &amp; "")</f>
        <v>#ERROR!</v>
      </c>
      <c r="AI180" s="157" t="str">
        <f t="shared" si="5"/>
        <v>#ERROR!</v>
      </c>
    </row>
    <row r="181" ht="12.75" customHeight="1">
      <c r="A181" s="244" t="s">
        <v>5158</v>
      </c>
      <c r="B181" s="244" t="s">
        <v>231</v>
      </c>
      <c r="C181" s="244" t="s">
        <v>7266</v>
      </c>
      <c r="D181" s="154" t="s">
        <v>1315</v>
      </c>
      <c r="E181" s="154"/>
      <c r="F181" s="154" t="str">
        <f t="array" ref="F181">XLOOKUP(Cover!$D$12,$R$1:$Z$1,$R181:$Z181)</f>
        <v>Recommended</v>
      </c>
      <c r="G181" s="154" t="s">
        <v>7267</v>
      </c>
      <c r="H181" s="154" t="s">
        <v>6782</v>
      </c>
      <c r="I181" s="154" t="s">
        <v>7262</v>
      </c>
      <c r="J181" s="154" t="s">
        <v>7263</v>
      </c>
      <c r="K181" s="154" t="s">
        <v>6768</v>
      </c>
      <c r="L181" s="154" t="s">
        <v>6905</v>
      </c>
      <c r="M181" s="154"/>
      <c r="N181" s="154" t="s">
        <v>759</v>
      </c>
      <c r="O181" s="247" t="s">
        <v>516</v>
      </c>
      <c r="P181" s="247" t="s">
        <v>6776</v>
      </c>
      <c r="Q181" s="154" t="str">
        <f t="shared" si="1"/>
        <v>#ERROR!</v>
      </c>
      <c r="R181" s="154" t="s">
        <v>66</v>
      </c>
      <c r="S181" s="154" t="s">
        <v>66</v>
      </c>
      <c r="T181" s="154" t="s">
        <v>66</v>
      </c>
      <c r="U181" s="154" t="s">
        <v>66</v>
      </c>
      <c r="V181" s="154" t="s">
        <v>66</v>
      </c>
      <c r="W181" s="154" t="s">
        <v>64</v>
      </c>
      <c r="X181" s="154" t="s">
        <v>66</v>
      </c>
      <c r="Y181" s="154" t="s">
        <v>66</v>
      </c>
      <c r="Z181" s="154" t="s">
        <v>64</v>
      </c>
      <c r="AA181" s="154"/>
      <c r="AB181" s="242" t="str">
        <f t="shared" si="2"/>
        <v>#ERROR!</v>
      </c>
      <c r="AC181" s="154" t="s">
        <v>391</v>
      </c>
      <c r="AD181" s="242" t="b">
        <f t="shared" si="3"/>
        <v>0</v>
      </c>
      <c r="AE181" s="154"/>
      <c r="AF181" s="242" t="str">
        <f t="shared" si="4"/>
        <v>#ERROR!</v>
      </c>
      <c r="AG181" s="154" t="s">
        <v>652</v>
      </c>
      <c r="AH181" s="242" t="str">
        <f>IF(AG181="","N/A",INDIRECT("MTR!"&amp;ADDRESS(MATCH(LEFT(AG181,9),[1]MTR!C:C,0),COLUMN(J181)),TRUE) &amp; "")</f>
        <v>#ERROR!</v>
      </c>
      <c r="AI181" s="157" t="str">
        <f t="shared" si="5"/>
        <v>#ERROR!</v>
      </c>
    </row>
    <row r="182" ht="12.75" customHeight="1">
      <c r="A182" s="244" t="s">
        <v>5158</v>
      </c>
      <c r="B182" s="244" t="s">
        <v>231</v>
      </c>
      <c r="C182" s="244" t="s">
        <v>7268</v>
      </c>
      <c r="D182" s="154" t="s">
        <v>1315</v>
      </c>
      <c r="E182" s="154"/>
      <c r="F182" s="154" t="str">
        <f t="array" ref="F182">XLOOKUP(Cover!$D$12,$R$1:$Z$1,$R182:$Z182)</f>
        <v>Information</v>
      </c>
      <c r="G182" s="154" t="s">
        <v>7269</v>
      </c>
      <c r="H182" s="154" t="s">
        <v>6775</v>
      </c>
      <c r="I182" s="154" t="s">
        <v>7270</v>
      </c>
      <c r="J182" s="154" t="s">
        <v>7271</v>
      </c>
      <c r="K182" s="154" t="s">
        <v>6768</v>
      </c>
      <c r="L182" s="154" t="s">
        <v>6905</v>
      </c>
      <c r="M182" s="154"/>
      <c r="N182" s="154" t="s">
        <v>759</v>
      </c>
      <c r="O182" s="247" t="s">
        <v>516</v>
      </c>
      <c r="P182" s="247" t="s">
        <v>6776</v>
      </c>
      <c r="Q182" s="154" t="str">
        <f t="shared" si="1"/>
        <v>#ERROR!</v>
      </c>
      <c r="R182" s="154" t="s">
        <v>66</v>
      </c>
      <c r="S182" s="154" t="s">
        <v>66</v>
      </c>
      <c r="T182" s="154" t="s">
        <v>66</v>
      </c>
      <c r="U182" s="154" t="s">
        <v>66</v>
      </c>
      <c r="V182" s="154" t="s">
        <v>66</v>
      </c>
      <c r="W182" s="154" t="s">
        <v>66</v>
      </c>
      <c r="X182" s="154" t="s">
        <v>66</v>
      </c>
      <c r="Y182" s="154" t="s">
        <v>66</v>
      </c>
      <c r="Z182" s="154" t="s">
        <v>66</v>
      </c>
      <c r="AA182" s="154"/>
      <c r="AB182" s="242" t="str">
        <f t="shared" si="2"/>
        <v>#ERROR!</v>
      </c>
      <c r="AC182" s="154" t="s">
        <v>391</v>
      </c>
      <c r="AD182" s="242" t="b">
        <f t="shared" si="3"/>
        <v>0</v>
      </c>
      <c r="AE182" s="154"/>
      <c r="AF182" s="242" t="str">
        <f t="shared" si="4"/>
        <v>#ERROR!</v>
      </c>
      <c r="AG182" s="154" t="s">
        <v>652</v>
      </c>
      <c r="AH182" s="242" t="str">
        <f>IF(AG182="","N/A",INDIRECT("MTR!"&amp;ADDRESS(MATCH(LEFT(AG182,9),[1]MTR!C:C,0),COLUMN(J182)),TRUE) &amp; "")</f>
        <v>#ERROR!</v>
      </c>
      <c r="AI182" s="157" t="str">
        <f t="shared" si="5"/>
        <v>#ERROR!</v>
      </c>
    </row>
    <row r="183" ht="12.75" customHeight="1">
      <c r="A183" s="244" t="s">
        <v>5158</v>
      </c>
      <c r="B183" s="244" t="s">
        <v>231</v>
      </c>
      <c r="C183" s="244" t="s">
        <v>7272</v>
      </c>
      <c r="D183" s="154" t="s">
        <v>1315</v>
      </c>
      <c r="E183" s="154"/>
      <c r="F183" s="154" t="str">
        <f t="array" ref="F183">XLOOKUP(Cover!$D$12,$R$1:$Z$1,$R183:$Z183)</f>
        <v>Information</v>
      </c>
      <c r="G183" s="154" t="s">
        <v>7273</v>
      </c>
      <c r="H183" s="154" t="s">
        <v>6782</v>
      </c>
      <c r="I183" s="154" t="s">
        <v>7270</v>
      </c>
      <c r="J183" s="154" t="s">
        <v>7271</v>
      </c>
      <c r="K183" s="154" t="s">
        <v>6768</v>
      </c>
      <c r="L183" s="154" t="s">
        <v>6905</v>
      </c>
      <c r="M183" s="154"/>
      <c r="N183" s="154" t="s">
        <v>759</v>
      </c>
      <c r="O183" s="247" t="s">
        <v>516</v>
      </c>
      <c r="P183" s="247" t="s">
        <v>6776</v>
      </c>
      <c r="Q183" s="154" t="str">
        <f t="shared" si="1"/>
        <v>#ERROR!</v>
      </c>
      <c r="R183" s="154" t="s">
        <v>66</v>
      </c>
      <c r="S183" s="154" t="s">
        <v>66</v>
      </c>
      <c r="T183" s="154" t="s">
        <v>66</v>
      </c>
      <c r="U183" s="154" t="s">
        <v>66</v>
      </c>
      <c r="V183" s="154" t="s">
        <v>66</v>
      </c>
      <c r="W183" s="154" t="s">
        <v>66</v>
      </c>
      <c r="X183" s="154" t="s">
        <v>66</v>
      </c>
      <c r="Y183" s="154" t="s">
        <v>66</v>
      </c>
      <c r="Z183" s="154" t="s">
        <v>66</v>
      </c>
      <c r="AA183" s="154"/>
      <c r="AB183" s="242" t="str">
        <f t="shared" si="2"/>
        <v>#ERROR!</v>
      </c>
      <c r="AC183" s="154" t="s">
        <v>391</v>
      </c>
      <c r="AD183" s="242" t="b">
        <f t="shared" si="3"/>
        <v>0</v>
      </c>
      <c r="AE183" s="154"/>
      <c r="AF183" s="242" t="str">
        <f t="shared" si="4"/>
        <v>#ERROR!</v>
      </c>
      <c r="AG183" s="154" t="s">
        <v>652</v>
      </c>
      <c r="AH183" s="242" t="str">
        <f>IF(AG183="","N/A",INDIRECT("MTR!"&amp;ADDRESS(MATCH(LEFT(AG183,9),[1]MTR!C:C,0),COLUMN(J183)),TRUE) &amp; "")</f>
        <v>#ERROR!</v>
      </c>
      <c r="AI183" s="157" t="str">
        <f t="shared" si="5"/>
        <v>#ERROR!</v>
      </c>
    </row>
    <row r="184" ht="12.75" customHeight="1">
      <c r="A184" s="244" t="s">
        <v>5158</v>
      </c>
      <c r="B184" s="244" t="s">
        <v>231</v>
      </c>
      <c r="C184" s="244" t="s">
        <v>7274</v>
      </c>
      <c r="D184" s="154" t="s">
        <v>1315</v>
      </c>
      <c r="E184" s="154"/>
      <c r="F184" s="154" t="str">
        <f t="array" ref="F184">XLOOKUP(Cover!$D$12,$R$1:$Z$1,$R184:$Z184)</f>
        <v>Information</v>
      </c>
      <c r="G184" s="154" t="s">
        <v>7275</v>
      </c>
      <c r="H184" s="154" t="s">
        <v>6785</v>
      </c>
      <c r="I184" s="154" t="s">
        <v>7270</v>
      </c>
      <c r="J184" s="154" t="s">
        <v>7271</v>
      </c>
      <c r="K184" s="154" t="s">
        <v>6768</v>
      </c>
      <c r="L184" s="154" t="s">
        <v>6905</v>
      </c>
      <c r="M184" s="154"/>
      <c r="N184" s="154" t="s">
        <v>759</v>
      </c>
      <c r="O184" s="247" t="s">
        <v>516</v>
      </c>
      <c r="P184" s="247" t="s">
        <v>6776</v>
      </c>
      <c r="Q184" s="154" t="str">
        <f t="shared" si="1"/>
        <v>#ERROR!</v>
      </c>
      <c r="R184" s="154" t="s">
        <v>66</v>
      </c>
      <c r="S184" s="154" t="s">
        <v>66</v>
      </c>
      <c r="T184" s="154" t="s">
        <v>66</v>
      </c>
      <c r="U184" s="154" t="s">
        <v>66</v>
      </c>
      <c r="V184" s="154" t="s">
        <v>66</v>
      </c>
      <c r="W184" s="154" t="s">
        <v>66</v>
      </c>
      <c r="X184" s="154" t="s">
        <v>66</v>
      </c>
      <c r="Y184" s="154" t="s">
        <v>66</v>
      </c>
      <c r="Z184" s="154" t="s">
        <v>66</v>
      </c>
      <c r="AA184" s="154"/>
      <c r="AB184" s="242" t="str">
        <f t="shared" si="2"/>
        <v>#ERROR!</v>
      </c>
      <c r="AC184" s="154" t="s">
        <v>391</v>
      </c>
      <c r="AD184" s="242" t="b">
        <f t="shared" si="3"/>
        <v>0</v>
      </c>
      <c r="AE184" s="154"/>
      <c r="AF184" s="242" t="str">
        <f t="shared" si="4"/>
        <v>#ERROR!</v>
      </c>
      <c r="AG184" s="154" t="s">
        <v>652</v>
      </c>
      <c r="AH184" s="242" t="str">
        <f>IF(AG184="","N/A",INDIRECT("MTR!"&amp;ADDRESS(MATCH(LEFT(AG184,9),[1]MTR!C:C,0),COLUMN(J184)),TRUE) &amp; "")</f>
        <v>#ERROR!</v>
      </c>
      <c r="AI184" s="157" t="str">
        <f t="shared" si="5"/>
        <v>#ERROR!</v>
      </c>
    </row>
    <row r="185" ht="12.75" customHeight="1">
      <c r="A185" s="238" t="s">
        <v>5158</v>
      </c>
      <c r="B185" s="238" t="s">
        <v>231</v>
      </c>
      <c r="C185" s="238" t="s">
        <v>7276</v>
      </c>
      <c r="D185" s="240"/>
      <c r="E185" s="240" t="s">
        <v>92</v>
      </c>
      <c r="F185" s="240" t="str">
        <f t="array" ref="F185">XLOOKUP(Cover!$D$12,$R$1:$Z$1,$R185:$Z185)</f>
        <v>Heading</v>
      </c>
      <c r="G185" s="239" t="s">
        <v>7277</v>
      </c>
      <c r="H185" s="240"/>
      <c r="I185" s="240"/>
      <c r="J185" s="240"/>
      <c r="K185" s="240"/>
      <c r="L185" s="240"/>
      <c r="M185" s="240"/>
      <c r="N185" s="240" t="s">
        <v>759</v>
      </c>
      <c r="O185" s="240"/>
      <c r="P185" s="240"/>
      <c r="Q185" s="240" t="str">
        <f t="shared" si="1"/>
        <v/>
      </c>
      <c r="R185" s="240" t="s">
        <v>390</v>
      </c>
      <c r="S185" s="240" t="s">
        <v>390</v>
      </c>
      <c r="T185" s="240" t="s">
        <v>390</v>
      </c>
      <c r="U185" s="240" t="s">
        <v>390</v>
      </c>
      <c r="V185" s="240" t="s">
        <v>390</v>
      </c>
      <c r="W185" s="240" t="s">
        <v>390</v>
      </c>
      <c r="X185" s="240" t="s">
        <v>390</v>
      </c>
      <c r="Y185" s="240" t="s">
        <v>390</v>
      </c>
      <c r="Z185" s="240" t="s">
        <v>390</v>
      </c>
      <c r="AA185" s="240"/>
      <c r="AB185" s="242" t="str">
        <f t="shared" si="2"/>
        <v>#ERROR!</v>
      </c>
      <c r="AC185" s="240" t="s">
        <v>391</v>
      </c>
      <c r="AD185" s="242" t="b">
        <f t="shared" si="3"/>
        <v>0</v>
      </c>
      <c r="AE185" s="240"/>
      <c r="AF185" s="242" t="str">
        <f t="shared" si="4"/>
        <v>#ERROR!</v>
      </c>
      <c r="AG185" s="240"/>
      <c r="AH185" s="242" t="str">
        <f>IF(AG185="","N/A",INDIRECT("MTR!"&amp;ADDRESS(MATCH(LEFT(AG185,9),[1]MTR!C:C,0),COLUMN(J185)),TRUE) &amp; "")</f>
        <v>#ERROR!</v>
      </c>
      <c r="AI185" s="157" t="str">
        <f t="shared" si="5"/>
        <v/>
      </c>
    </row>
    <row r="186" ht="12.75" customHeight="1">
      <c r="A186" s="244" t="s">
        <v>5158</v>
      </c>
      <c r="B186" s="244" t="s">
        <v>231</v>
      </c>
      <c r="C186" s="244" t="s">
        <v>7278</v>
      </c>
      <c r="D186" s="154" t="s">
        <v>781</v>
      </c>
      <c r="E186" s="154"/>
      <c r="F186" s="154" t="str">
        <f t="array" ref="F186">XLOOKUP(Cover!$D$12,$R$1:$Z$1,$R186:$Z186)</f>
        <v>Information</v>
      </c>
      <c r="G186" s="154" t="s">
        <v>7279</v>
      </c>
      <c r="H186" s="154" t="s">
        <v>6771</v>
      </c>
      <c r="I186" s="154" t="s">
        <v>7280</v>
      </c>
      <c r="J186" s="154" t="s">
        <v>7281</v>
      </c>
      <c r="K186" s="154" t="s">
        <v>6768</v>
      </c>
      <c r="L186" s="154" t="s">
        <v>6140</v>
      </c>
      <c r="M186" s="154"/>
      <c r="N186" s="154" t="s">
        <v>759</v>
      </c>
      <c r="O186" s="247" t="s">
        <v>516</v>
      </c>
      <c r="P186" s="247" t="s">
        <v>6776</v>
      </c>
      <c r="Q186" s="154" t="str">
        <f t="shared" si="1"/>
        <v>#ERROR!</v>
      </c>
      <c r="R186" s="154" t="s">
        <v>66</v>
      </c>
      <c r="S186" s="154" t="s">
        <v>66</v>
      </c>
      <c r="T186" s="154" t="s">
        <v>66</v>
      </c>
      <c r="U186" s="154" t="s">
        <v>66</v>
      </c>
      <c r="V186" s="154" t="s">
        <v>66</v>
      </c>
      <c r="W186" s="154" t="s">
        <v>66</v>
      </c>
      <c r="X186" s="154" t="s">
        <v>66</v>
      </c>
      <c r="Y186" s="154" t="s">
        <v>66</v>
      </c>
      <c r="Z186" s="154" t="s">
        <v>66</v>
      </c>
      <c r="AA186" s="154"/>
      <c r="AB186" s="242" t="str">
        <f t="shared" si="2"/>
        <v>#ERROR!</v>
      </c>
      <c r="AC186" s="154" t="s">
        <v>391</v>
      </c>
      <c r="AD186" s="242" t="b">
        <f t="shared" si="3"/>
        <v>0</v>
      </c>
      <c r="AE186" s="154"/>
      <c r="AF186" s="242" t="str">
        <f t="shared" si="4"/>
        <v>#ERROR!</v>
      </c>
      <c r="AG186" s="154" t="s">
        <v>652</v>
      </c>
      <c r="AH186" s="242" t="str">
        <f>IF(AG186="","N/A",INDIRECT("MTR!"&amp;ADDRESS(MATCH(LEFT(AG186,9),[1]MTR!C:C,0),COLUMN(J186)),TRUE) &amp; "")</f>
        <v>#ERROR!</v>
      </c>
      <c r="AI186" s="157" t="str">
        <f t="shared" si="5"/>
        <v>#ERROR!</v>
      </c>
    </row>
    <row r="187" ht="12.75" customHeight="1">
      <c r="A187" s="244" t="s">
        <v>5158</v>
      </c>
      <c r="B187" s="244" t="s">
        <v>231</v>
      </c>
      <c r="C187" s="244" t="s">
        <v>7282</v>
      </c>
      <c r="D187" s="154" t="s">
        <v>781</v>
      </c>
      <c r="E187" s="154"/>
      <c r="F187" s="154" t="str">
        <f t="array" ref="F187">XLOOKUP(Cover!$D$12,$R$1:$Z$1,$R187:$Z187)</f>
        <v>Information</v>
      </c>
      <c r="G187" s="154" t="s">
        <v>7283</v>
      </c>
      <c r="H187" s="154" t="s">
        <v>6775</v>
      </c>
      <c r="I187" s="154" t="s">
        <v>7280</v>
      </c>
      <c r="J187" s="154" t="s">
        <v>7281</v>
      </c>
      <c r="K187" s="154" t="s">
        <v>6768</v>
      </c>
      <c r="L187" s="154" t="s">
        <v>6140</v>
      </c>
      <c r="M187" s="154"/>
      <c r="N187" s="154" t="s">
        <v>759</v>
      </c>
      <c r="O187" s="247" t="s">
        <v>516</v>
      </c>
      <c r="P187" s="247" t="s">
        <v>6776</v>
      </c>
      <c r="Q187" s="154" t="str">
        <f t="shared" si="1"/>
        <v>#ERROR!</v>
      </c>
      <c r="R187" s="154" t="s">
        <v>66</v>
      </c>
      <c r="S187" s="154" t="s">
        <v>66</v>
      </c>
      <c r="T187" s="154" t="s">
        <v>66</v>
      </c>
      <c r="U187" s="154" t="s">
        <v>66</v>
      </c>
      <c r="V187" s="154" t="s">
        <v>66</v>
      </c>
      <c r="W187" s="154" t="s">
        <v>66</v>
      </c>
      <c r="X187" s="154" t="s">
        <v>66</v>
      </c>
      <c r="Y187" s="154" t="s">
        <v>66</v>
      </c>
      <c r="Z187" s="154" t="s">
        <v>66</v>
      </c>
      <c r="AA187" s="154"/>
      <c r="AB187" s="242" t="str">
        <f t="shared" si="2"/>
        <v>#ERROR!</v>
      </c>
      <c r="AC187" s="154" t="s">
        <v>391</v>
      </c>
      <c r="AD187" s="242" t="b">
        <f t="shared" si="3"/>
        <v>0</v>
      </c>
      <c r="AE187" s="154"/>
      <c r="AF187" s="242" t="str">
        <f t="shared" si="4"/>
        <v>#ERROR!</v>
      </c>
      <c r="AG187" s="154" t="s">
        <v>652</v>
      </c>
      <c r="AH187" s="242" t="str">
        <f>IF(AG187="","N/A",INDIRECT("MTR!"&amp;ADDRESS(MATCH(LEFT(AG187,9),[1]MTR!C:C,0),COLUMN(J187)),TRUE) &amp; "")</f>
        <v>#ERROR!</v>
      </c>
      <c r="AI187" s="157" t="str">
        <f t="shared" si="5"/>
        <v>#ERROR!</v>
      </c>
    </row>
    <row r="188" ht="12.75" customHeight="1">
      <c r="A188" s="244" t="s">
        <v>5158</v>
      </c>
      <c r="B188" s="244" t="s">
        <v>231</v>
      </c>
      <c r="C188" s="244" t="s">
        <v>7284</v>
      </c>
      <c r="D188" s="154" t="s">
        <v>781</v>
      </c>
      <c r="E188" s="154"/>
      <c r="F188" s="154" t="str">
        <f t="array" ref="F188">XLOOKUP(Cover!$D$12,$R$1:$Z$1,$R188:$Z188)</f>
        <v>Information</v>
      </c>
      <c r="G188" s="154" t="s">
        <v>7285</v>
      </c>
      <c r="H188" s="154" t="s">
        <v>6779</v>
      </c>
      <c r="I188" s="154" t="s">
        <v>7280</v>
      </c>
      <c r="J188" s="154" t="s">
        <v>7281</v>
      </c>
      <c r="K188" s="154" t="s">
        <v>6768</v>
      </c>
      <c r="L188" s="154" t="s">
        <v>6140</v>
      </c>
      <c r="M188" s="154"/>
      <c r="N188" s="154" t="s">
        <v>759</v>
      </c>
      <c r="O188" s="247" t="s">
        <v>516</v>
      </c>
      <c r="P188" s="247" t="s">
        <v>6776</v>
      </c>
      <c r="Q188" s="154" t="str">
        <f t="shared" si="1"/>
        <v>#ERROR!</v>
      </c>
      <c r="R188" s="154" t="s">
        <v>66</v>
      </c>
      <c r="S188" s="154" t="s">
        <v>66</v>
      </c>
      <c r="T188" s="154" t="s">
        <v>66</v>
      </c>
      <c r="U188" s="154" t="s">
        <v>66</v>
      </c>
      <c r="V188" s="154" t="s">
        <v>66</v>
      </c>
      <c r="W188" s="154" t="s">
        <v>66</v>
      </c>
      <c r="X188" s="154" t="s">
        <v>66</v>
      </c>
      <c r="Y188" s="154" t="s">
        <v>66</v>
      </c>
      <c r="Z188" s="154" t="s">
        <v>66</v>
      </c>
      <c r="AA188" s="154"/>
      <c r="AB188" s="242" t="str">
        <f t="shared" si="2"/>
        <v>#ERROR!</v>
      </c>
      <c r="AC188" s="154" t="s">
        <v>391</v>
      </c>
      <c r="AD188" s="242" t="b">
        <f t="shared" si="3"/>
        <v>0</v>
      </c>
      <c r="AE188" s="154"/>
      <c r="AF188" s="242" t="str">
        <f t="shared" si="4"/>
        <v>#ERROR!</v>
      </c>
      <c r="AG188" s="154" t="s">
        <v>652</v>
      </c>
      <c r="AH188" s="242" t="str">
        <f>IF(AG188="","N/A",INDIRECT("MTR!"&amp;ADDRESS(MATCH(LEFT(AG188,9),[1]MTR!C:C,0),COLUMN(J188)),TRUE) &amp; "")</f>
        <v>#ERROR!</v>
      </c>
      <c r="AI188" s="157" t="str">
        <f t="shared" si="5"/>
        <v>#ERROR!</v>
      </c>
    </row>
    <row r="189" ht="12.75" customHeight="1">
      <c r="A189" s="244" t="s">
        <v>5158</v>
      </c>
      <c r="B189" s="244" t="s">
        <v>231</v>
      </c>
      <c r="C189" s="244" t="s">
        <v>7286</v>
      </c>
      <c r="D189" s="154" t="s">
        <v>546</v>
      </c>
      <c r="E189" s="154"/>
      <c r="F189" s="154" t="str">
        <f t="array" ref="F189">XLOOKUP(Cover!$D$12,$R$1:$Z$1,$R189:$Z189)</f>
        <v>Mandatory</v>
      </c>
      <c r="G189" s="154" t="s">
        <v>7287</v>
      </c>
      <c r="H189" s="154" t="s">
        <v>6771</v>
      </c>
      <c r="I189" s="154" t="s">
        <v>7288</v>
      </c>
      <c r="J189" s="154" t="s">
        <v>7289</v>
      </c>
      <c r="K189" s="154" t="s">
        <v>6768</v>
      </c>
      <c r="L189" s="154" t="s">
        <v>6529</v>
      </c>
      <c r="M189" s="154" t="s">
        <v>175</v>
      </c>
      <c r="N189" s="154" t="s">
        <v>759</v>
      </c>
      <c r="O189" s="247" t="s">
        <v>516</v>
      </c>
      <c r="P189" s="247" t="s">
        <v>6776</v>
      </c>
      <c r="Q189" s="154" t="str">
        <f t="shared" si="1"/>
        <v>#ERROR!</v>
      </c>
      <c r="R189" s="154" t="s">
        <v>66</v>
      </c>
      <c r="S189" s="154" t="s">
        <v>66</v>
      </c>
      <c r="T189" s="154" t="s">
        <v>66</v>
      </c>
      <c r="U189" s="154" t="s">
        <v>66</v>
      </c>
      <c r="V189" s="154" t="s">
        <v>66</v>
      </c>
      <c r="W189" s="154" t="s">
        <v>60</v>
      </c>
      <c r="X189" s="154" t="s">
        <v>66</v>
      </c>
      <c r="Y189" s="154" t="s">
        <v>66</v>
      </c>
      <c r="Z189" s="154" t="s">
        <v>60</v>
      </c>
      <c r="AA189" s="154"/>
      <c r="AB189" s="242" t="str">
        <f t="shared" si="2"/>
        <v>#ERROR!</v>
      </c>
      <c r="AC189" s="154" t="s">
        <v>391</v>
      </c>
      <c r="AD189" s="242" t="b">
        <f t="shared" si="3"/>
        <v>0</v>
      </c>
      <c r="AE189" s="154"/>
      <c r="AF189" s="242" t="str">
        <f t="shared" si="4"/>
        <v>#ERROR!</v>
      </c>
      <c r="AG189" s="154" t="s">
        <v>652</v>
      </c>
      <c r="AH189" s="242" t="str">
        <f>IF(AG189="","N/A",INDIRECT("MTR!"&amp;ADDRESS(MATCH(LEFT(AG189,9),[1]MTR!C:C,0),COLUMN(J189)),TRUE) &amp; "")</f>
        <v>#ERROR!</v>
      </c>
      <c r="AI189" s="157" t="str">
        <f t="shared" si="5"/>
        <v>#ERROR!</v>
      </c>
    </row>
    <row r="190" ht="12.75" customHeight="1">
      <c r="A190" s="244" t="s">
        <v>5158</v>
      </c>
      <c r="B190" s="244" t="s">
        <v>231</v>
      </c>
      <c r="C190" s="244" t="s">
        <v>7290</v>
      </c>
      <c r="D190" s="154" t="s">
        <v>546</v>
      </c>
      <c r="E190" s="154"/>
      <c r="F190" s="154" t="str">
        <f t="array" ref="F190">XLOOKUP(Cover!$D$12,$R$1:$Z$1,$R190:$Z190)</f>
        <v>Mandatory</v>
      </c>
      <c r="G190" s="154" t="s">
        <v>7291</v>
      </c>
      <c r="H190" s="154" t="s">
        <v>6808</v>
      </c>
      <c r="I190" s="154" t="s">
        <v>7288</v>
      </c>
      <c r="J190" s="154" t="s">
        <v>7289</v>
      </c>
      <c r="K190" s="154" t="s">
        <v>6768</v>
      </c>
      <c r="L190" s="154" t="s">
        <v>6529</v>
      </c>
      <c r="M190" s="154" t="s">
        <v>175</v>
      </c>
      <c r="N190" s="154" t="s">
        <v>759</v>
      </c>
      <c r="O190" s="247" t="s">
        <v>516</v>
      </c>
      <c r="P190" s="247" t="s">
        <v>6776</v>
      </c>
      <c r="Q190" s="154" t="str">
        <f t="shared" si="1"/>
        <v>#ERROR!</v>
      </c>
      <c r="R190" s="154" t="s">
        <v>66</v>
      </c>
      <c r="S190" s="154" t="s">
        <v>66</v>
      </c>
      <c r="T190" s="154" t="s">
        <v>66</v>
      </c>
      <c r="U190" s="154" t="s">
        <v>66</v>
      </c>
      <c r="V190" s="154" t="s">
        <v>66</v>
      </c>
      <c r="W190" s="154" t="s">
        <v>60</v>
      </c>
      <c r="X190" s="154" t="s">
        <v>66</v>
      </c>
      <c r="Y190" s="154" t="s">
        <v>66</v>
      </c>
      <c r="Z190" s="154" t="s">
        <v>60</v>
      </c>
      <c r="AA190" s="154"/>
      <c r="AB190" s="242" t="str">
        <f t="shared" si="2"/>
        <v>#ERROR!</v>
      </c>
      <c r="AC190" s="154" t="s">
        <v>391</v>
      </c>
      <c r="AD190" s="242" t="b">
        <f t="shared" si="3"/>
        <v>0</v>
      </c>
      <c r="AE190" s="154"/>
      <c r="AF190" s="242" t="str">
        <f t="shared" si="4"/>
        <v>#ERROR!</v>
      </c>
      <c r="AG190" s="154" t="s">
        <v>652</v>
      </c>
      <c r="AH190" s="242" t="str">
        <f>IF(AG190="","N/A",INDIRECT("MTR!"&amp;ADDRESS(MATCH(LEFT(AG190,9),[1]MTR!C:C,0),COLUMN(J190)),TRUE) &amp; "")</f>
        <v>#ERROR!</v>
      </c>
      <c r="AI190" s="157" t="str">
        <f t="shared" si="5"/>
        <v>#ERROR!</v>
      </c>
    </row>
    <row r="191" ht="12.75" customHeight="1">
      <c r="A191" s="244" t="s">
        <v>5158</v>
      </c>
      <c r="B191" s="244" t="s">
        <v>231</v>
      </c>
      <c r="C191" s="244" t="s">
        <v>7292</v>
      </c>
      <c r="D191" s="154" t="s">
        <v>546</v>
      </c>
      <c r="E191" s="154"/>
      <c r="F191" s="154" t="str">
        <f t="array" ref="F191">XLOOKUP(Cover!$D$12,$R$1:$Z$1,$R191:$Z191)</f>
        <v>Recommended</v>
      </c>
      <c r="G191" s="154" t="s">
        <v>7293</v>
      </c>
      <c r="H191" s="154" t="s">
        <v>6775</v>
      </c>
      <c r="I191" s="154" t="s">
        <v>7288</v>
      </c>
      <c r="J191" s="154" t="s">
        <v>7289</v>
      </c>
      <c r="K191" s="154" t="s">
        <v>6768</v>
      </c>
      <c r="L191" s="154" t="s">
        <v>6529</v>
      </c>
      <c r="M191" s="154"/>
      <c r="N191" s="154" t="s">
        <v>759</v>
      </c>
      <c r="O191" s="247" t="s">
        <v>516</v>
      </c>
      <c r="P191" s="247" t="s">
        <v>6776</v>
      </c>
      <c r="Q191" s="154" t="str">
        <f t="shared" si="1"/>
        <v>#ERROR!</v>
      </c>
      <c r="R191" s="154" t="s">
        <v>66</v>
      </c>
      <c r="S191" s="154" t="s">
        <v>66</v>
      </c>
      <c r="T191" s="154" t="s">
        <v>66</v>
      </c>
      <c r="U191" s="154" t="s">
        <v>66</v>
      </c>
      <c r="V191" s="154" t="s">
        <v>66</v>
      </c>
      <c r="W191" s="154" t="s">
        <v>64</v>
      </c>
      <c r="X191" s="154" t="s">
        <v>66</v>
      </c>
      <c r="Y191" s="154" t="s">
        <v>66</v>
      </c>
      <c r="Z191" s="154" t="s">
        <v>64</v>
      </c>
      <c r="AA191" s="154"/>
      <c r="AB191" s="242" t="str">
        <f t="shared" si="2"/>
        <v>#ERROR!</v>
      </c>
      <c r="AC191" s="154" t="s">
        <v>391</v>
      </c>
      <c r="AD191" s="242" t="b">
        <f t="shared" si="3"/>
        <v>0</v>
      </c>
      <c r="AE191" s="154"/>
      <c r="AF191" s="242" t="str">
        <f t="shared" si="4"/>
        <v>#ERROR!</v>
      </c>
      <c r="AG191" s="154" t="s">
        <v>652</v>
      </c>
      <c r="AH191" s="242" t="str">
        <f>IF(AG191="","N/A",INDIRECT("MTR!"&amp;ADDRESS(MATCH(LEFT(AG191,9),[1]MTR!C:C,0),COLUMN(J191)),TRUE) &amp; "")</f>
        <v>#ERROR!</v>
      </c>
      <c r="AI191" s="157" t="str">
        <f t="shared" si="5"/>
        <v>#ERROR!</v>
      </c>
    </row>
    <row r="192" ht="12.75" customHeight="1">
      <c r="A192" s="244" t="s">
        <v>5158</v>
      </c>
      <c r="B192" s="244" t="s">
        <v>231</v>
      </c>
      <c r="C192" s="244" t="s">
        <v>7294</v>
      </c>
      <c r="D192" s="154" t="s">
        <v>546</v>
      </c>
      <c r="E192" s="154"/>
      <c r="F192" s="154" t="str">
        <f t="array" ref="F192">XLOOKUP(Cover!$D$12,$R$1:$Z$1,$R192:$Z192)</f>
        <v>Recommended</v>
      </c>
      <c r="G192" s="154" t="s">
        <v>7295</v>
      </c>
      <c r="H192" s="154" t="s">
        <v>6847</v>
      </c>
      <c r="I192" s="154" t="s">
        <v>7288</v>
      </c>
      <c r="J192" s="154" t="s">
        <v>7289</v>
      </c>
      <c r="K192" s="154" t="s">
        <v>6768</v>
      </c>
      <c r="L192" s="154" t="s">
        <v>6529</v>
      </c>
      <c r="M192" s="154"/>
      <c r="N192" s="154" t="s">
        <v>759</v>
      </c>
      <c r="O192" s="247" t="s">
        <v>516</v>
      </c>
      <c r="P192" s="247" t="s">
        <v>6776</v>
      </c>
      <c r="Q192" s="154" t="str">
        <f t="shared" si="1"/>
        <v>#ERROR!</v>
      </c>
      <c r="R192" s="154" t="s">
        <v>66</v>
      </c>
      <c r="S192" s="154" t="s">
        <v>66</v>
      </c>
      <c r="T192" s="154" t="s">
        <v>66</v>
      </c>
      <c r="U192" s="154" t="s">
        <v>66</v>
      </c>
      <c r="V192" s="154" t="s">
        <v>66</v>
      </c>
      <c r="W192" s="154" t="s">
        <v>64</v>
      </c>
      <c r="X192" s="154" t="s">
        <v>66</v>
      </c>
      <c r="Y192" s="154" t="s">
        <v>66</v>
      </c>
      <c r="Z192" s="154" t="s">
        <v>64</v>
      </c>
      <c r="AA192" s="154"/>
      <c r="AB192" s="242" t="str">
        <f t="shared" si="2"/>
        <v>#ERROR!</v>
      </c>
      <c r="AC192" s="154" t="s">
        <v>391</v>
      </c>
      <c r="AD192" s="242" t="b">
        <f t="shared" si="3"/>
        <v>0</v>
      </c>
      <c r="AE192" s="154"/>
      <c r="AF192" s="242" t="str">
        <f t="shared" si="4"/>
        <v>#ERROR!</v>
      </c>
      <c r="AG192" s="154" t="s">
        <v>652</v>
      </c>
      <c r="AH192" s="242" t="str">
        <f>IF(AG192="","N/A",INDIRECT("MTR!"&amp;ADDRESS(MATCH(LEFT(AG192,9),[1]MTR!C:C,0),COLUMN(J192)),TRUE) &amp; "")</f>
        <v>#ERROR!</v>
      </c>
      <c r="AI192" s="157" t="str">
        <f t="shared" si="5"/>
        <v>#ERROR!</v>
      </c>
    </row>
    <row r="193" ht="12.75" customHeight="1">
      <c r="A193" s="244" t="s">
        <v>5158</v>
      </c>
      <c r="B193" s="244" t="s">
        <v>231</v>
      </c>
      <c r="C193" s="244" t="s">
        <v>7296</v>
      </c>
      <c r="D193" s="154" t="s">
        <v>546</v>
      </c>
      <c r="E193" s="154"/>
      <c r="F193" s="154" t="str">
        <f t="array" ref="F193">XLOOKUP(Cover!$D$12,$R$1:$Z$1,$R193:$Z193)</f>
        <v>Mandatory</v>
      </c>
      <c r="G193" s="154" t="s">
        <v>7297</v>
      </c>
      <c r="H193" s="154" t="s">
        <v>6782</v>
      </c>
      <c r="I193" s="154" t="s">
        <v>7288</v>
      </c>
      <c r="J193" s="154" t="s">
        <v>7289</v>
      </c>
      <c r="K193" s="154" t="s">
        <v>6768</v>
      </c>
      <c r="L193" s="154" t="s">
        <v>6529</v>
      </c>
      <c r="M193" s="154" t="s">
        <v>175</v>
      </c>
      <c r="N193" s="154" t="s">
        <v>759</v>
      </c>
      <c r="O193" s="247" t="s">
        <v>516</v>
      </c>
      <c r="P193" s="247" t="s">
        <v>6776</v>
      </c>
      <c r="Q193" s="154" t="str">
        <f t="shared" si="1"/>
        <v>#ERROR!</v>
      </c>
      <c r="R193" s="154" t="s">
        <v>66</v>
      </c>
      <c r="S193" s="154" t="s">
        <v>66</v>
      </c>
      <c r="T193" s="154" t="s">
        <v>66</v>
      </c>
      <c r="U193" s="154" t="s">
        <v>66</v>
      </c>
      <c r="V193" s="154" t="s">
        <v>66</v>
      </c>
      <c r="W193" s="154" t="s">
        <v>60</v>
      </c>
      <c r="X193" s="154" t="s">
        <v>66</v>
      </c>
      <c r="Y193" s="154" t="s">
        <v>66</v>
      </c>
      <c r="Z193" s="154" t="s">
        <v>60</v>
      </c>
      <c r="AA193" s="154"/>
      <c r="AB193" s="242" t="str">
        <f t="shared" si="2"/>
        <v>#ERROR!</v>
      </c>
      <c r="AC193" s="154" t="s">
        <v>391</v>
      </c>
      <c r="AD193" s="242" t="b">
        <f t="shared" si="3"/>
        <v>0</v>
      </c>
      <c r="AE193" s="154"/>
      <c r="AF193" s="242" t="str">
        <f t="shared" si="4"/>
        <v>#ERROR!</v>
      </c>
      <c r="AG193" s="154" t="s">
        <v>652</v>
      </c>
      <c r="AH193" s="242" t="str">
        <f>IF(AG193="","N/A",INDIRECT("MTR!"&amp;ADDRESS(MATCH(LEFT(AG193,9),[1]MTR!C:C,0),COLUMN(J193)),TRUE) &amp; "")</f>
        <v>#ERROR!</v>
      </c>
      <c r="AI193" s="157" t="str">
        <f t="shared" si="5"/>
        <v>#ERROR!</v>
      </c>
    </row>
    <row r="194" ht="12.75" customHeight="1">
      <c r="A194" s="238" t="s">
        <v>5158</v>
      </c>
      <c r="B194" s="238" t="s">
        <v>231</v>
      </c>
      <c r="C194" s="238" t="s">
        <v>7298</v>
      </c>
      <c r="D194" s="240"/>
      <c r="E194" s="240" t="s">
        <v>92</v>
      </c>
      <c r="F194" s="240" t="str">
        <f t="array" ref="F194">XLOOKUP(Cover!$D$12,$R$1:$Z$1,$R194:$Z194)</f>
        <v>Heading</v>
      </c>
      <c r="G194" s="239" t="s">
        <v>7299</v>
      </c>
      <c r="H194" s="240"/>
      <c r="I194" s="240"/>
      <c r="J194" s="240"/>
      <c r="K194" s="240"/>
      <c r="L194" s="240"/>
      <c r="M194" s="240"/>
      <c r="N194" s="240" t="s">
        <v>759</v>
      </c>
      <c r="O194" s="240"/>
      <c r="P194" s="240"/>
      <c r="Q194" s="240" t="str">
        <f t="shared" si="1"/>
        <v/>
      </c>
      <c r="R194" s="240" t="s">
        <v>390</v>
      </c>
      <c r="S194" s="240" t="s">
        <v>390</v>
      </c>
      <c r="T194" s="240" t="s">
        <v>390</v>
      </c>
      <c r="U194" s="240" t="s">
        <v>390</v>
      </c>
      <c r="V194" s="240" t="s">
        <v>390</v>
      </c>
      <c r="W194" s="240" t="s">
        <v>390</v>
      </c>
      <c r="X194" s="240" t="s">
        <v>390</v>
      </c>
      <c r="Y194" s="240" t="s">
        <v>390</v>
      </c>
      <c r="Z194" s="240" t="s">
        <v>390</v>
      </c>
      <c r="AA194" s="240"/>
      <c r="AB194" s="242" t="str">
        <f t="shared" si="2"/>
        <v>#ERROR!</v>
      </c>
      <c r="AC194" s="240" t="s">
        <v>391</v>
      </c>
      <c r="AD194" s="242" t="b">
        <f t="shared" si="3"/>
        <v>0</v>
      </c>
      <c r="AE194" s="240"/>
      <c r="AF194" s="242" t="str">
        <f t="shared" si="4"/>
        <v>#ERROR!</v>
      </c>
      <c r="AG194" s="240"/>
      <c r="AH194" s="242" t="str">
        <f>IF(AG194="","N/A",INDIRECT("MTR!"&amp;ADDRESS(MATCH(LEFT(AG194,9),[1]MTR!C:C,0),COLUMN(J194)),TRUE) &amp; "")</f>
        <v>#ERROR!</v>
      </c>
      <c r="AI194" s="157" t="str">
        <f t="shared" si="5"/>
        <v/>
      </c>
    </row>
    <row r="195" ht="12.75" customHeight="1">
      <c r="A195" s="238" t="s">
        <v>5158</v>
      </c>
      <c r="B195" s="238" t="s">
        <v>231</v>
      </c>
      <c r="C195" s="238" t="s">
        <v>7300</v>
      </c>
      <c r="D195" s="240"/>
      <c r="E195" s="240" t="s">
        <v>92</v>
      </c>
      <c r="F195" s="240" t="str">
        <f t="array" ref="F195">XLOOKUP(Cover!$D$12,$R$1:$Z$1,$R195:$Z195)</f>
        <v>Heading</v>
      </c>
      <c r="G195" s="239" t="s">
        <v>7301</v>
      </c>
      <c r="H195" s="240"/>
      <c r="I195" s="240"/>
      <c r="J195" s="240"/>
      <c r="K195" s="240"/>
      <c r="L195" s="240"/>
      <c r="M195" s="240"/>
      <c r="N195" s="240" t="s">
        <v>759</v>
      </c>
      <c r="O195" s="240"/>
      <c r="P195" s="240"/>
      <c r="Q195" s="240" t="str">
        <f t="shared" si="1"/>
        <v/>
      </c>
      <c r="R195" s="240" t="s">
        <v>390</v>
      </c>
      <c r="S195" s="240" t="s">
        <v>390</v>
      </c>
      <c r="T195" s="240" t="s">
        <v>390</v>
      </c>
      <c r="U195" s="240" t="s">
        <v>390</v>
      </c>
      <c r="V195" s="240" t="s">
        <v>390</v>
      </c>
      <c r="W195" s="240" t="s">
        <v>390</v>
      </c>
      <c r="X195" s="240" t="s">
        <v>390</v>
      </c>
      <c r="Y195" s="240" t="s">
        <v>390</v>
      </c>
      <c r="Z195" s="240" t="s">
        <v>390</v>
      </c>
      <c r="AA195" s="240"/>
      <c r="AB195" s="242" t="str">
        <f t="shared" si="2"/>
        <v>#ERROR!</v>
      </c>
      <c r="AC195" s="240" t="s">
        <v>391</v>
      </c>
      <c r="AD195" s="242" t="b">
        <f t="shared" si="3"/>
        <v>0</v>
      </c>
      <c r="AE195" s="240"/>
      <c r="AF195" s="242" t="str">
        <f t="shared" si="4"/>
        <v>#ERROR!</v>
      </c>
      <c r="AG195" s="240"/>
      <c r="AH195" s="242" t="str">
        <f>IF(AG195="","N/A",INDIRECT("MTR!"&amp;ADDRESS(MATCH(LEFT(AG195,9),[1]MTR!C:C,0),COLUMN(J195)),TRUE) &amp; "")</f>
        <v>#ERROR!</v>
      </c>
      <c r="AI195" s="157" t="str">
        <f t="shared" si="5"/>
        <v/>
      </c>
    </row>
    <row r="196" ht="12.75" customHeight="1">
      <c r="A196" s="244" t="s">
        <v>5158</v>
      </c>
      <c r="B196" s="244" t="s">
        <v>231</v>
      </c>
      <c r="C196" s="244" t="s">
        <v>7302</v>
      </c>
      <c r="D196" s="154" t="s">
        <v>542</v>
      </c>
      <c r="E196" s="154"/>
      <c r="F196" s="154" t="str">
        <f t="array" ref="F196">XLOOKUP(Cover!$D$12,$R$1:$Z$1,$R196:$Z196)</f>
        <v>Mandatory</v>
      </c>
      <c r="G196" s="154" t="s">
        <v>7303</v>
      </c>
      <c r="H196" s="154" t="s">
        <v>7304</v>
      </c>
      <c r="I196" s="154" t="s">
        <v>7304</v>
      </c>
      <c r="J196" s="154" t="s">
        <v>5730</v>
      </c>
      <c r="K196" s="154" t="s">
        <v>7305</v>
      </c>
      <c r="L196" s="154" t="s">
        <v>6525</v>
      </c>
      <c r="M196" s="154" t="s">
        <v>1122</v>
      </c>
      <c r="N196" s="154" t="s">
        <v>759</v>
      </c>
      <c r="O196" s="247" t="s">
        <v>445</v>
      </c>
      <c r="P196" s="247" t="s">
        <v>6772</v>
      </c>
      <c r="Q196" s="154" t="str">
        <f t="shared" si="1"/>
        <v>#ERROR!</v>
      </c>
      <c r="R196" s="154" t="s">
        <v>66</v>
      </c>
      <c r="S196" s="154" t="s">
        <v>66</v>
      </c>
      <c r="T196" s="154" t="s">
        <v>66</v>
      </c>
      <c r="U196" s="154" t="s">
        <v>66</v>
      </c>
      <c r="V196" s="154" t="s">
        <v>66</v>
      </c>
      <c r="W196" s="154" t="s">
        <v>60</v>
      </c>
      <c r="X196" s="154" t="s">
        <v>66</v>
      </c>
      <c r="Y196" s="154" t="s">
        <v>66</v>
      </c>
      <c r="Z196" s="154" t="s">
        <v>60</v>
      </c>
      <c r="AA196" s="154"/>
      <c r="AB196" s="242" t="str">
        <f t="shared" si="2"/>
        <v>#ERROR!</v>
      </c>
      <c r="AC196" s="154" t="s">
        <v>391</v>
      </c>
      <c r="AD196" s="242" t="b">
        <f t="shared" si="3"/>
        <v>0</v>
      </c>
      <c r="AE196" s="154"/>
      <c r="AF196" s="242" t="str">
        <f t="shared" si="4"/>
        <v>#ERROR!</v>
      </c>
      <c r="AG196" s="154" t="s">
        <v>652</v>
      </c>
      <c r="AH196" s="242" t="str">
        <f>IF(AG196="","N/A",INDIRECT("MTR!"&amp;ADDRESS(MATCH(LEFT(AG196,9),[1]MTR!C:C,0),COLUMN(J196)),TRUE) &amp; "")</f>
        <v>#ERROR!</v>
      </c>
      <c r="AI196" s="157" t="str">
        <f t="shared" si="5"/>
        <v>#ERROR!</v>
      </c>
    </row>
    <row r="197" ht="12.75" customHeight="1">
      <c r="A197" s="244" t="s">
        <v>5158</v>
      </c>
      <c r="B197" s="244" t="s">
        <v>231</v>
      </c>
      <c r="C197" s="244" t="s">
        <v>7306</v>
      </c>
      <c r="D197" s="154" t="s">
        <v>1069</v>
      </c>
      <c r="E197" s="154"/>
      <c r="F197" s="154" t="str">
        <f t="array" ref="F197">XLOOKUP(Cover!$D$12,$R$1:$Z$1,$R197:$Z197)</f>
        <v>Information</v>
      </c>
      <c r="G197" s="154" t="s">
        <v>7307</v>
      </c>
      <c r="H197" s="154" t="s">
        <v>7308</v>
      </c>
      <c r="I197" s="154" t="s">
        <v>7308</v>
      </c>
      <c r="J197" s="154" t="s">
        <v>5782</v>
      </c>
      <c r="K197" s="154" t="s">
        <v>7305</v>
      </c>
      <c r="L197" s="154" t="s">
        <v>5927</v>
      </c>
      <c r="M197" s="154"/>
      <c r="N197" s="154" t="s">
        <v>759</v>
      </c>
      <c r="O197" s="247" t="s">
        <v>516</v>
      </c>
      <c r="P197" s="247" t="s">
        <v>6776</v>
      </c>
      <c r="Q197" s="154" t="str">
        <f t="shared" si="1"/>
        <v>#ERROR!</v>
      </c>
      <c r="R197" s="154" t="s">
        <v>66</v>
      </c>
      <c r="S197" s="154" t="s">
        <v>66</v>
      </c>
      <c r="T197" s="154" t="s">
        <v>66</v>
      </c>
      <c r="U197" s="154" t="s">
        <v>66</v>
      </c>
      <c r="V197" s="154" t="s">
        <v>66</v>
      </c>
      <c r="W197" s="154" t="s">
        <v>66</v>
      </c>
      <c r="X197" s="154" t="s">
        <v>66</v>
      </c>
      <c r="Y197" s="154" t="s">
        <v>66</v>
      </c>
      <c r="Z197" s="154" t="s">
        <v>66</v>
      </c>
      <c r="AA197" s="154"/>
      <c r="AB197" s="242" t="str">
        <f t="shared" si="2"/>
        <v>#ERROR!</v>
      </c>
      <c r="AC197" s="154" t="s">
        <v>391</v>
      </c>
      <c r="AD197" s="242" t="b">
        <f t="shared" si="3"/>
        <v>0</v>
      </c>
      <c r="AE197" s="154"/>
      <c r="AF197" s="242" t="str">
        <f t="shared" si="4"/>
        <v>#ERROR!</v>
      </c>
      <c r="AG197" s="154" t="s">
        <v>652</v>
      </c>
      <c r="AH197" s="242" t="str">
        <f>IF(AG197="","N/A",INDIRECT("MTR!"&amp;ADDRESS(MATCH(LEFT(AG197,9),[1]MTR!C:C,0),COLUMN(J197)),TRUE) &amp; "")</f>
        <v>#ERROR!</v>
      </c>
      <c r="AI197" s="157" t="str">
        <f t="shared" si="5"/>
        <v>#ERROR!</v>
      </c>
    </row>
    <row r="198" ht="12.75" customHeight="1">
      <c r="A198" s="244" t="s">
        <v>5158</v>
      </c>
      <c r="B198" s="244" t="s">
        <v>231</v>
      </c>
      <c r="C198" s="244" t="s">
        <v>7309</v>
      </c>
      <c r="D198" s="154" t="s">
        <v>542</v>
      </c>
      <c r="E198" s="154"/>
      <c r="F198" s="154" t="str">
        <f t="array" ref="F198">XLOOKUP(Cover!$D$12,$R$1:$Z$1,$R198:$Z198)</f>
        <v>Information</v>
      </c>
      <c r="G198" s="154" t="s">
        <v>7310</v>
      </c>
      <c r="H198" s="154" t="s">
        <v>7311</v>
      </c>
      <c r="I198" s="154" t="s">
        <v>7311</v>
      </c>
      <c r="J198" s="154" t="s">
        <v>5782</v>
      </c>
      <c r="K198" s="154" t="s">
        <v>7305</v>
      </c>
      <c r="L198" s="154" t="s">
        <v>6064</v>
      </c>
      <c r="M198" s="154"/>
      <c r="N198" s="154" t="s">
        <v>759</v>
      </c>
      <c r="O198" s="247" t="s">
        <v>445</v>
      </c>
      <c r="P198" s="247" t="s">
        <v>6772</v>
      </c>
      <c r="Q198" s="154" t="str">
        <f t="shared" si="1"/>
        <v>#ERROR!</v>
      </c>
      <c r="R198" s="154" t="s">
        <v>66</v>
      </c>
      <c r="S198" s="154" t="s">
        <v>66</v>
      </c>
      <c r="T198" s="154" t="s">
        <v>66</v>
      </c>
      <c r="U198" s="154" t="s">
        <v>66</v>
      </c>
      <c r="V198" s="154" t="s">
        <v>66</v>
      </c>
      <c r="W198" s="154" t="s">
        <v>66</v>
      </c>
      <c r="X198" s="154" t="s">
        <v>66</v>
      </c>
      <c r="Y198" s="154" t="s">
        <v>66</v>
      </c>
      <c r="Z198" s="154" t="s">
        <v>66</v>
      </c>
      <c r="AA198" s="154"/>
      <c r="AB198" s="242" t="str">
        <f t="shared" si="2"/>
        <v>#ERROR!</v>
      </c>
      <c r="AC198" s="154" t="s">
        <v>391</v>
      </c>
      <c r="AD198" s="242" t="b">
        <f t="shared" si="3"/>
        <v>0</v>
      </c>
      <c r="AE198" s="154"/>
      <c r="AF198" s="242" t="str">
        <f t="shared" si="4"/>
        <v>#ERROR!</v>
      </c>
      <c r="AG198" s="154" t="s">
        <v>652</v>
      </c>
      <c r="AH198" s="242" t="str">
        <f>IF(AG198="","N/A",INDIRECT("MTR!"&amp;ADDRESS(MATCH(LEFT(AG198,9),[1]MTR!C:C,0),COLUMN(J198)),TRUE) &amp; "")</f>
        <v>#ERROR!</v>
      </c>
      <c r="AI198" s="157" t="str">
        <f t="shared" si="5"/>
        <v>#ERROR!</v>
      </c>
    </row>
    <row r="199" ht="12.75" customHeight="1">
      <c r="A199" s="244" t="s">
        <v>5158</v>
      </c>
      <c r="B199" s="244" t="s">
        <v>231</v>
      </c>
      <c r="C199" s="244" t="s">
        <v>7312</v>
      </c>
      <c r="D199" s="154" t="s">
        <v>542</v>
      </c>
      <c r="E199" s="154"/>
      <c r="F199" s="154" t="str">
        <f t="array" ref="F199">XLOOKUP(Cover!$D$12,$R$1:$Z$1,$R199:$Z199)</f>
        <v>Recommended</v>
      </c>
      <c r="G199" s="154" t="s">
        <v>7313</v>
      </c>
      <c r="H199" s="154" t="s">
        <v>7314</v>
      </c>
      <c r="I199" s="154" t="s">
        <v>7314</v>
      </c>
      <c r="J199" s="154" t="s">
        <v>5830</v>
      </c>
      <c r="K199" s="154" t="s">
        <v>7305</v>
      </c>
      <c r="L199" s="154" t="s">
        <v>6140</v>
      </c>
      <c r="M199" s="154"/>
      <c r="N199" s="154" t="s">
        <v>759</v>
      </c>
      <c r="O199" s="247" t="s">
        <v>516</v>
      </c>
      <c r="P199" s="247" t="s">
        <v>6776</v>
      </c>
      <c r="Q199" s="154" t="str">
        <f t="shared" si="1"/>
        <v>#ERROR!</v>
      </c>
      <c r="R199" s="154" t="s">
        <v>66</v>
      </c>
      <c r="S199" s="154" t="s">
        <v>66</v>
      </c>
      <c r="T199" s="154" t="s">
        <v>66</v>
      </c>
      <c r="U199" s="154" t="s">
        <v>66</v>
      </c>
      <c r="V199" s="154" t="s">
        <v>66</v>
      </c>
      <c r="W199" s="154" t="s">
        <v>64</v>
      </c>
      <c r="X199" s="154" t="s">
        <v>66</v>
      </c>
      <c r="Y199" s="154" t="s">
        <v>66</v>
      </c>
      <c r="Z199" s="154" t="s">
        <v>64</v>
      </c>
      <c r="AA199" s="154"/>
      <c r="AB199" s="242" t="str">
        <f t="shared" si="2"/>
        <v>#ERROR!</v>
      </c>
      <c r="AC199" s="154" t="s">
        <v>391</v>
      </c>
      <c r="AD199" s="242" t="b">
        <f t="shared" si="3"/>
        <v>0</v>
      </c>
      <c r="AE199" s="154"/>
      <c r="AF199" s="242" t="str">
        <f t="shared" si="4"/>
        <v>#ERROR!</v>
      </c>
      <c r="AG199" s="154" t="s">
        <v>652</v>
      </c>
      <c r="AH199" s="242" t="str">
        <f>IF(AG199="","N/A",INDIRECT("MTR!"&amp;ADDRESS(MATCH(LEFT(AG199,9),[1]MTR!C:C,0),COLUMN(J199)),TRUE) &amp; "")</f>
        <v>#ERROR!</v>
      </c>
      <c r="AI199" s="157" t="str">
        <f t="shared" si="5"/>
        <v>#ERROR!</v>
      </c>
    </row>
    <row r="200" ht="12.75" customHeight="1">
      <c r="A200" s="244" t="s">
        <v>5158</v>
      </c>
      <c r="B200" s="244" t="s">
        <v>231</v>
      </c>
      <c r="C200" s="244" t="s">
        <v>7315</v>
      </c>
      <c r="D200" s="154" t="s">
        <v>747</v>
      </c>
      <c r="E200" s="154"/>
      <c r="F200" s="154" t="str">
        <f t="array" ref="F200">XLOOKUP(Cover!$D$12,$R$1:$Z$1,$R200:$Z200)</f>
        <v>Mandatory</v>
      </c>
      <c r="G200" s="154" t="s">
        <v>7316</v>
      </c>
      <c r="H200" s="154" t="s">
        <v>7317</v>
      </c>
      <c r="I200" s="154" t="s">
        <v>7317</v>
      </c>
      <c r="J200" s="154" t="s">
        <v>5888</v>
      </c>
      <c r="K200" s="154" t="s">
        <v>7305</v>
      </c>
      <c r="L200" s="154" t="s">
        <v>6525</v>
      </c>
      <c r="M200" s="154" t="s">
        <v>1122</v>
      </c>
      <c r="N200" s="154" t="s">
        <v>759</v>
      </c>
      <c r="O200" s="247" t="s">
        <v>445</v>
      </c>
      <c r="P200" s="247" t="s">
        <v>6772</v>
      </c>
      <c r="Q200" s="154" t="str">
        <f t="shared" si="1"/>
        <v>#ERROR!</v>
      </c>
      <c r="R200" s="154" t="s">
        <v>66</v>
      </c>
      <c r="S200" s="154" t="s">
        <v>66</v>
      </c>
      <c r="T200" s="154" t="s">
        <v>66</v>
      </c>
      <c r="U200" s="154" t="s">
        <v>66</v>
      </c>
      <c r="V200" s="154" t="s">
        <v>66</v>
      </c>
      <c r="W200" s="154" t="s">
        <v>60</v>
      </c>
      <c r="X200" s="154" t="s">
        <v>66</v>
      </c>
      <c r="Y200" s="154" t="s">
        <v>66</v>
      </c>
      <c r="Z200" s="154" t="s">
        <v>60</v>
      </c>
      <c r="AA200" s="154"/>
      <c r="AB200" s="242" t="str">
        <f t="shared" si="2"/>
        <v>#ERROR!</v>
      </c>
      <c r="AC200" s="154" t="s">
        <v>391</v>
      </c>
      <c r="AD200" s="242" t="b">
        <f t="shared" si="3"/>
        <v>0</v>
      </c>
      <c r="AE200" s="154"/>
      <c r="AF200" s="242" t="str">
        <f t="shared" si="4"/>
        <v>#ERROR!</v>
      </c>
      <c r="AG200" s="154" t="s">
        <v>652</v>
      </c>
      <c r="AH200" s="242" t="str">
        <f>IF(AG200="","N/A",INDIRECT("MTR!"&amp;ADDRESS(MATCH(LEFT(AG200,9),[1]MTR!C:C,0),COLUMN(J200)),TRUE) &amp; "")</f>
        <v>#ERROR!</v>
      </c>
      <c r="AI200" s="157" t="str">
        <f t="shared" si="5"/>
        <v>#ERROR!</v>
      </c>
    </row>
    <row r="201" ht="12.75" customHeight="1">
      <c r="A201" s="244" t="s">
        <v>5158</v>
      </c>
      <c r="B201" s="244" t="s">
        <v>231</v>
      </c>
      <c r="C201" s="244" t="s">
        <v>7318</v>
      </c>
      <c r="D201" s="154" t="s">
        <v>542</v>
      </c>
      <c r="E201" s="154"/>
      <c r="F201" s="154" t="str">
        <f t="array" ref="F201">XLOOKUP(Cover!$D$12,$R$1:$Z$1,$R201:$Z201)</f>
        <v>Mandatory</v>
      </c>
      <c r="G201" s="154" t="s">
        <v>7319</v>
      </c>
      <c r="H201" s="154" t="s">
        <v>7320</v>
      </c>
      <c r="I201" s="154" t="s">
        <v>7320</v>
      </c>
      <c r="J201" s="154" t="s">
        <v>5897</v>
      </c>
      <c r="K201" s="154" t="s">
        <v>7305</v>
      </c>
      <c r="L201" s="154" t="s">
        <v>6525</v>
      </c>
      <c r="M201" s="154" t="s">
        <v>1122</v>
      </c>
      <c r="N201" s="154" t="s">
        <v>759</v>
      </c>
      <c r="O201" s="247" t="s">
        <v>445</v>
      </c>
      <c r="P201" s="247" t="s">
        <v>6772</v>
      </c>
      <c r="Q201" s="154" t="str">
        <f t="shared" si="1"/>
        <v>#ERROR!</v>
      </c>
      <c r="R201" s="154" t="s">
        <v>66</v>
      </c>
      <c r="S201" s="154" t="s">
        <v>66</v>
      </c>
      <c r="T201" s="154" t="s">
        <v>66</v>
      </c>
      <c r="U201" s="154" t="s">
        <v>66</v>
      </c>
      <c r="V201" s="154" t="s">
        <v>66</v>
      </c>
      <c r="W201" s="154" t="s">
        <v>60</v>
      </c>
      <c r="X201" s="154" t="s">
        <v>66</v>
      </c>
      <c r="Y201" s="154" t="s">
        <v>66</v>
      </c>
      <c r="Z201" s="154" t="s">
        <v>60</v>
      </c>
      <c r="AA201" s="154"/>
      <c r="AB201" s="242" t="str">
        <f t="shared" si="2"/>
        <v>#ERROR!</v>
      </c>
      <c r="AC201" s="154" t="s">
        <v>391</v>
      </c>
      <c r="AD201" s="242" t="b">
        <f t="shared" si="3"/>
        <v>0</v>
      </c>
      <c r="AE201" s="154"/>
      <c r="AF201" s="242" t="str">
        <f t="shared" si="4"/>
        <v>#ERROR!</v>
      </c>
      <c r="AG201" s="154" t="s">
        <v>652</v>
      </c>
      <c r="AH201" s="242" t="str">
        <f>IF(AG201="","N/A",INDIRECT("MTR!"&amp;ADDRESS(MATCH(LEFT(AG201,9),[1]MTR!C:C,0),COLUMN(J201)),TRUE) &amp; "")</f>
        <v>#ERROR!</v>
      </c>
      <c r="AI201" s="157" t="str">
        <f t="shared" si="5"/>
        <v>#ERROR!</v>
      </c>
    </row>
    <row r="202" ht="12.75" customHeight="1">
      <c r="A202" s="244" t="s">
        <v>5158</v>
      </c>
      <c r="B202" s="244" t="s">
        <v>231</v>
      </c>
      <c r="C202" s="244" t="s">
        <v>7321</v>
      </c>
      <c r="D202" s="154" t="s">
        <v>781</v>
      </c>
      <c r="E202" s="154"/>
      <c r="F202" s="154" t="str">
        <f t="array" ref="F202">XLOOKUP(Cover!$D$12,$R$1:$Z$1,$R202:$Z202)</f>
        <v>Information</v>
      </c>
      <c r="G202" s="154" t="s">
        <v>7322</v>
      </c>
      <c r="H202" s="154" t="s">
        <v>7323</v>
      </c>
      <c r="I202" s="154" t="s">
        <v>7323</v>
      </c>
      <c r="J202" s="154" t="s">
        <v>5903</v>
      </c>
      <c r="K202" s="154" t="s">
        <v>7305</v>
      </c>
      <c r="L202" s="154" t="s">
        <v>6140</v>
      </c>
      <c r="M202" s="154"/>
      <c r="N202" s="154" t="s">
        <v>759</v>
      </c>
      <c r="O202" s="247" t="s">
        <v>445</v>
      </c>
      <c r="P202" s="247" t="s">
        <v>6772</v>
      </c>
      <c r="Q202" s="154" t="str">
        <f t="shared" si="1"/>
        <v>#ERROR!</v>
      </c>
      <c r="R202" s="154" t="s">
        <v>66</v>
      </c>
      <c r="S202" s="154" t="s">
        <v>66</v>
      </c>
      <c r="T202" s="154" t="s">
        <v>66</v>
      </c>
      <c r="U202" s="154" t="s">
        <v>66</v>
      </c>
      <c r="V202" s="154" t="s">
        <v>66</v>
      </c>
      <c r="W202" s="154" t="s">
        <v>66</v>
      </c>
      <c r="X202" s="154" t="s">
        <v>66</v>
      </c>
      <c r="Y202" s="154" t="s">
        <v>66</v>
      </c>
      <c r="Z202" s="154" t="s">
        <v>66</v>
      </c>
      <c r="AA202" s="154"/>
      <c r="AB202" s="242" t="str">
        <f t="shared" si="2"/>
        <v>#ERROR!</v>
      </c>
      <c r="AC202" s="154" t="s">
        <v>391</v>
      </c>
      <c r="AD202" s="242" t="b">
        <f t="shared" si="3"/>
        <v>0</v>
      </c>
      <c r="AE202" s="154"/>
      <c r="AF202" s="242" t="str">
        <f t="shared" si="4"/>
        <v>#ERROR!</v>
      </c>
      <c r="AG202" s="154" t="s">
        <v>652</v>
      </c>
      <c r="AH202" s="242" t="str">
        <f>IF(AG202="","N/A",INDIRECT("MTR!"&amp;ADDRESS(MATCH(LEFT(AG202,9),[1]MTR!C:C,0),COLUMN(J202)),TRUE) &amp; "")</f>
        <v>#ERROR!</v>
      </c>
      <c r="AI202" s="157" t="str">
        <f t="shared" si="5"/>
        <v>#ERROR!</v>
      </c>
    </row>
    <row r="203" ht="12.75" customHeight="1">
      <c r="A203" s="238" t="s">
        <v>5158</v>
      </c>
      <c r="B203" s="238" t="s">
        <v>231</v>
      </c>
      <c r="C203" s="238" t="s">
        <v>7324</v>
      </c>
      <c r="D203" s="240"/>
      <c r="E203" s="240" t="s">
        <v>92</v>
      </c>
      <c r="F203" s="240" t="str">
        <f t="array" ref="F203">XLOOKUP(Cover!$D$12,$R$1:$Z$1,$R203:$Z203)</f>
        <v>Heading</v>
      </c>
      <c r="G203" s="239" t="s">
        <v>7325</v>
      </c>
      <c r="H203" s="240"/>
      <c r="I203" s="240"/>
      <c r="J203" s="240"/>
      <c r="K203" s="240"/>
      <c r="L203" s="240"/>
      <c r="M203" s="240"/>
      <c r="N203" s="240" t="s">
        <v>759</v>
      </c>
      <c r="O203" s="240"/>
      <c r="P203" s="240"/>
      <c r="Q203" s="240" t="str">
        <f t="shared" si="1"/>
        <v/>
      </c>
      <c r="R203" s="240" t="s">
        <v>390</v>
      </c>
      <c r="S203" s="240" t="s">
        <v>390</v>
      </c>
      <c r="T203" s="240" t="s">
        <v>390</v>
      </c>
      <c r="U203" s="240" t="s">
        <v>390</v>
      </c>
      <c r="V203" s="240" t="s">
        <v>390</v>
      </c>
      <c r="W203" s="240" t="s">
        <v>390</v>
      </c>
      <c r="X203" s="240" t="s">
        <v>390</v>
      </c>
      <c r="Y203" s="240" t="s">
        <v>390</v>
      </c>
      <c r="Z203" s="240" t="s">
        <v>390</v>
      </c>
      <c r="AA203" s="240"/>
      <c r="AB203" s="242" t="str">
        <f t="shared" si="2"/>
        <v>#ERROR!</v>
      </c>
      <c r="AC203" s="240" t="s">
        <v>391</v>
      </c>
      <c r="AD203" s="242" t="b">
        <f t="shared" si="3"/>
        <v>0</v>
      </c>
      <c r="AE203" s="240"/>
      <c r="AF203" s="242" t="str">
        <f t="shared" si="4"/>
        <v>#ERROR!</v>
      </c>
      <c r="AG203" s="240"/>
      <c r="AH203" s="242" t="str">
        <f>IF(AG203="","N/A",INDIRECT("MTR!"&amp;ADDRESS(MATCH(LEFT(AG203,9),[1]MTR!C:C,0),COLUMN(J203)),TRUE) &amp; "")</f>
        <v>#ERROR!</v>
      </c>
      <c r="AI203" s="157" t="str">
        <f t="shared" si="5"/>
        <v/>
      </c>
    </row>
    <row r="204" ht="12.75" customHeight="1">
      <c r="A204" s="244" t="s">
        <v>5158</v>
      </c>
      <c r="B204" s="244" t="s">
        <v>231</v>
      </c>
      <c r="C204" s="244" t="s">
        <v>7326</v>
      </c>
      <c r="D204" s="154" t="s">
        <v>542</v>
      </c>
      <c r="E204" s="154"/>
      <c r="F204" s="154" t="str">
        <f t="array" ref="F204">XLOOKUP(Cover!$D$12,$R$1:$Z$1,$R204:$Z204)</f>
        <v>Information</v>
      </c>
      <c r="G204" s="154" t="s">
        <v>7327</v>
      </c>
      <c r="H204" s="154" t="s">
        <v>7304</v>
      </c>
      <c r="I204" s="154" t="s">
        <v>7328</v>
      </c>
      <c r="J204" s="154" t="s">
        <v>7329</v>
      </c>
      <c r="K204" s="154" t="s">
        <v>7305</v>
      </c>
      <c r="L204" s="154" t="s">
        <v>6525</v>
      </c>
      <c r="M204" s="154"/>
      <c r="N204" s="154" t="s">
        <v>759</v>
      </c>
      <c r="O204" s="247" t="s">
        <v>445</v>
      </c>
      <c r="P204" s="247" t="s">
        <v>6772</v>
      </c>
      <c r="Q204" s="154" t="str">
        <f t="shared" si="1"/>
        <v>#ERROR!</v>
      </c>
      <c r="R204" s="154" t="s">
        <v>66</v>
      </c>
      <c r="S204" s="154" t="s">
        <v>66</v>
      </c>
      <c r="T204" s="154" t="s">
        <v>66</v>
      </c>
      <c r="U204" s="154" t="s">
        <v>66</v>
      </c>
      <c r="V204" s="154" t="s">
        <v>66</v>
      </c>
      <c r="W204" s="154" t="s">
        <v>66</v>
      </c>
      <c r="X204" s="154" t="s">
        <v>66</v>
      </c>
      <c r="Y204" s="154" t="s">
        <v>66</v>
      </c>
      <c r="Z204" s="154" t="s">
        <v>66</v>
      </c>
      <c r="AA204" s="154"/>
      <c r="AB204" s="242" t="str">
        <f t="shared" si="2"/>
        <v>#ERROR!</v>
      </c>
      <c r="AC204" s="154" t="s">
        <v>391</v>
      </c>
      <c r="AD204" s="242" t="b">
        <f t="shared" si="3"/>
        <v>0</v>
      </c>
      <c r="AE204" s="154"/>
      <c r="AF204" s="242" t="str">
        <f t="shared" si="4"/>
        <v>#ERROR!</v>
      </c>
      <c r="AG204" s="154" t="s">
        <v>652</v>
      </c>
      <c r="AH204" s="242" t="str">
        <f>IF(AG204="","N/A",INDIRECT("MTR!"&amp;ADDRESS(MATCH(LEFT(AG204,9),[1]MTR!C:C,0),COLUMN(J204)),TRUE) &amp; "")</f>
        <v>#ERROR!</v>
      </c>
      <c r="AI204" s="157" t="str">
        <f t="shared" si="5"/>
        <v>#ERROR!</v>
      </c>
    </row>
    <row r="205" ht="12.75" customHeight="1">
      <c r="A205" s="244" t="s">
        <v>5158</v>
      </c>
      <c r="B205" s="244" t="s">
        <v>231</v>
      </c>
      <c r="C205" s="244" t="s">
        <v>7330</v>
      </c>
      <c r="D205" s="154" t="s">
        <v>542</v>
      </c>
      <c r="E205" s="154"/>
      <c r="F205" s="154" t="str">
        <f t="array" ref="F205">XLOOKUP(Cover!$D$12,$R$1:$Z$1,$R205:$Z205)</f>
        <v>Information</v>
      </c>
      <c r="G205" s="154" t="s">
        <v>7331</v>
      </c>
      <c r="H205" s="154" t="s">
        <v>7328</v>
      </c>
      <c r="I205" s="154" t="s">
        <v>7328</v>
      </c>
      <c r="J205" s="154" t="s">
        <v>7329</v>
      </c>
      <c r="K205" s="154" t="s">
        <v>7305</v>
      </c>
      <c r="L205" s="154" t="s">
        <v>6525</v>
      </c>
      <c r="M205" s="154"/>
      <c r="N205" s="154" t="s">
        <v>759</v>
      </c>
      <c r="O205" s="247" t="s">
        <v>516</v>
      </c>
      <c r="P205" s="247" t="s">
        <v>1575</v>
      </c>
      <c r="Q205" s="154" t="str">
        <f t="shared" si="1"/>
        <v>#ERROR!</v>
      </c>
      <c r="R205" s="154" t="s">
        <v>66</v>
      </c>
      <c r="S205" s="154" t="s">
        <v>66</v>
      </c>
      <c r="T205" s="154" t="s">
        <v>66</v>
      </c>
      <c r="U205" s="154" t="s">
        <v>66</v>
      </c>
      <c r="V205" s="154" t="s">
        <v>66</v>
      </c>
      <c r="W205" s="154" t="s">
        <v>66</v>
      </c>
      <c r="X205" s="154" t="s">
        <v>66</v>
      </c>
      <c r="Y205" s="154" t="s">
        <v>66</v>
      </c>
      <c r="Z205" s="154" t="s">
        <v>66</v>
      </c>
      <c r="AA205" s="154"/>
      <c r="AB205" s="242" t="str">
        <f t="shared" si="2"/>
        <v>#ERROR!</v>
      </c>
      <c r="AC205" s="154" t="s">
        <v>391</v>
      </c>
      <c r="AD205" s="242" t="b">
        <f t="shared" si="3"/>
        <v>0</v>
      </c>
      <c r="AE205" s="154"/>
      <c r="AF205" s="242" t="str">
        <f t="shared" si="4"/>
        <v>#ERROR!</v>
      </c>
      <c r="AG205" s="154" t="s">
        <v>652</v>
      </c>
      <c r="AH205" s="242" t="str">
        <f>IF(AG205="","N/A",INDIRECT("MTR!"&amp;ADDRESS(MATCH(LEFT(AG205,9),[1]MTR!C:C,0),COLUMN(J205)),TRUE) &amp; "")</f>
        <v>#ERROR!</v>
      </c>
      <c r="AI205" s="157" t="str">
        <f t="shared" si="5"/>
        <v>#ERROR!</v>
      </c>
    </row>
    <row r="206" ht="12.75" customHeight="1">
      <c r="A206" s="244" t="s">
        <v>5158</v>
      </c>
      <c r="B206" s="244" t="s">
        <v>231</v>
      </c>
      <c r="C206" s="244" t="s">
        <v>7332</v>
      </c>
      <c r="D206" s="154" t="s">
        <v>1069</v>
      </c>
      <c r="E206" s="154"/>
      <c r="F206" s="154" t="str">
        <f t="array" ref="F206">XLOOKUP(Cover!$D$12,$R$1:$Z$1,$R206:$Z206)</f>
        <v>Information</v>
      </c>
      <c r="G206" s="154" t="s">
        <v>7333</v>
      </c>
      <c r="H206" s="154" t="s">
        <v>7304</v>
      </c>
      <c r="I206" s="154" t="s">
        <v>7334</v>
      </c>
      <c r="J206" s="154" t="s">
        <v>6791</v>
      </c>
      <c r="K206" s="154" t="s">
        <v>7305</v>
      </c>
      <c r="L206" s="154" t="s">
        <v>5927</v>
      </c>
      <c r="M206" s="154"/>
      <c r="N206" s="154" t="s">
        <v>759</v>
      </c>
      <c r="O206" s="247" t="s">
        <v>516</v>
      </c>
      <c r="P206" s="247" t="s">
        <v>6776</v>
      </c>
      <c r="Q206" s="154" t="str">
        <f t="shared" si="1"/>
        <v>#ERROR!</v>
      </c>
      <c r="R206" s="154" t="s">
        <v>66</v>
      </c>
      <c r="S206" s="154" t="s">
        <v>66</v>
      </c>
      <c r="T206" s="154" t="s">
        <v>66</v>
      </c>
      <c r="U206" s="154" t="s">
        <v>66</v>
      </c>
      <c r="V206" s="154" t="s">
        <v>66</v>
      </c>
      <c r="W206" s="154" t="s">
        <v>66</v>
      </c>
      <c r="X206" s="154" t="s">
        <v>66</v>
      </c>
      <c r="Y206" s="154" t="s">
        <v>66</v>
      </c>
      <c r="Z206" s="154" t="s">
        <v>66</v>
      </c>
      <c r="AA206" s="154"/>
      <c r="AB206" s="242" t="str">
        <f t="shared" si="2"/>
        <v>#ERROR!</v>
      </c>
      <c r="AC206" s="154" t="s">
        <v>391</v>
      </c>
      <c r="AD206" s="242" t="b">
        <f t="shared" si="3"/>
        <v>0</v>
      </c>
      <c r="AE206" s="154"/>
      <c r="AF206" s="242" t="str">
        <f t="shared" si="4"/>
        <v>#ERROR!</v>
      </c>
      <c r="AG206" s="154" t="s">
        <v>652</v>
      </c>
      <c r="AH206" s="242" t="str">
        <f>IF(AG206="","N/A",INDIRECT("MTR!"&amp;ADDRESS(MATCH(LEFT(AG206,9),[1]MTR!C:C,0),COLUMN(J206)),TRUE) &amp; "")</f>
        <v>#ERROR!</v>
      </c>
      <c r="AI206" s="157" t="str">
        <f t="shared" si="5"/>
        <v>#ERROR!</v>
      </c>
    </row>
    <row r="207" ht="12.75" customHeight="1">
      <c r="A207" s="244" t="s">
        <v>5158</v>
      </c>
      <c r="B207" s="244" t="s">
        <v>231</v>
      </c>
      <c r="C207" s="244" t="s">
        <v>7335</v>
      </c>
      <c r="D207" s="154" t="s">
        <v>861</v>
      </c>
      <c r="E207" s="154"/>
      <c r="F207" s="154" t="str">
        <f t="array" ref="F207">XLOOKUP(Cover!$D$12,$R$1:$Z$1,$R207:$Z207)</f>
        <v>Information</v>
      </c>
      <c r="G207" s="154" t="s">
        <v>7336</v>
      </c>
      <c r="H207" s="154" t="s">
        <v>7304</v>
      </c>
      <c r="I207" s="154" t="s">
        <v>7337</v>
      </c>
      <c r="J207" s="154" t="s">
        <v>6791</v>
      </c>
      <c r="K207" s="154" t="s">
        <v>7305</v>
      </c>
      <c r="L207" s="154" t="s">
        <v>6428</v>
      </c>
      <c r="M207" s="154"/>
      <c r="N207" s="154" t="s">
        <v>759</v>
      </c>
      <c r="O207" s="247" t="s">
        <v>445</v>
      </c>
      <c r="P207" s="247" t="s">
        <v>6772</v>
      </c>
      <c r="Q207" s="154" t="str">
        <f t="shared" si="1"/>
        <v>#ERROR!</v>
      </c>
      <c r="R207" s="154" t="s">
        <v>66</v>
      </c>
      <c r="S207" s="154" t="s">
        <v>66</v>
      </c>
      <c r="T207" s="154" t="s">
        <v>66</v>
      </c>
      <c r="U207" s="154" t="s">
        <v>66</v>
      </c>
      <c r="V207" s="154" t="s">
        <v>66</v>
      </c>
      <c r="W207" s="154" t="s">
        <v>66</v>
      </c>
      <c r="X207" s="154" t="s">
        <v>66</v>
      </c>
      <c r="Y207" s="154" t="s">
        <v>66</v>
      </c>
      <c r="Z207" s="154" t="s">
        <v>66</v>
      </c>
      <c r="AA207" s="154"/>
      <c r="AB207" s="242" t="str">
        <f t="shared" si="2"/>
        <v>#ERROR!</v>
      </c>
      <c r="AC207" s="154" t="s">
        <v>391</v>
      </c>
      <c r="AD207" s="242" t="b">
        <f t="shared" si="3"/>
        <v>0</v>
      </c>
      <c r="AE207" s="154"/>
      <c r="AF207" s="242" t="str">
        <f t="shared" si="4"/>
        <v>#ERROR!</v>
      </c>
      <c r="AG207" s="154" t="s">
        <v>652</v>
      </c>
      <c r="AH207" s="242" t="str">
        <f>IF(AG207="","N/A",INDIRECT("MTR!"&amp;ADDRESS(MATCH(LEFT(AG207,9),[1]MTR!C:C,0),COLUMN(J207)),TRUE) &amp; "")</f>
        <v>#ERROR!</v>
      </c>
      <c r="AI207" s="157" t="str">
        <f t="shared" si="5"/>
        <v>#ERROR!</v>
      </c>
    </row>
    <row r="208" ht="12.75" customHeight="1">
      <c r="A208" s="244" t="s">
        <v>5158</v>
      </c>
      <c r="B208" s="244" t="s">
        <v>231</v>
      </c>
      <c r="C208" s="244" t="s">
        <v>7338</v>
      </c>
      <c r="D208" s="154" t="s">
        <v>861</v>
      </c>
      <c r="E208" s="154"/>
      <c r="F208" s="154" t="str">
        <f t="array" ref="F208">XLOOKUP(Cover!$D$12,$R$1:$Z$1,$R208:$Z208)</f>
        <v>Information</v>
      </c>
      <c r="G208" s="154" t="s">
        <v>7339</v>
      </c>
      <c r="H208" s="154" t="s">
        <v>7311</v>
      </c>
      <c r="I208" s="154" t="s">
        <v>7337</v>
      </c>
      <c r="J208" s="154" t="s">
        <v>6791</v>
      </c>
      <c r="K208" s="154" t="s">
        <v>7305</v>
      </c>
      <c r="L208" s="154" t="s">
        <v>6428</v>
      </c>
      <c r="M208" s="154"/>
      <c r="N208" s="154" t="s">
        <v>759</v>
      </c>
      <c r="O208" s="247" t="s">
        <v>445</v>
      </c>
      <c r="P208" s="247" t="s">
        <v>6772</v>
      </c>
      <c r="Q208" s="154" t="str">
        <f t="shared" si="1"/>
        <v>#ERROR!</v>
      </c>
      <c r="R208" s="154" t="s">
        <v>66</v>
      </c>
      <c r="S208" s="154" t="s">
        <v>66</v>
      </c>
      <c r="T208" s="154" t="s">
        <v>66</v>
      </c>
      <c r="U208" s="154" t="s">
        <v>66</v>
      </c>
      <c r="V208" s="154" t="s">
        <v>66</v>
      </c>
      <c r="W208" s="154" t="s">
        <v>66</v>
      </c>
      <c r="X208" s="154" t="s">
        <v>66</v>
      </c>
      <c r="Y208" s="154" t="s">
        <v>66</v>
      </c>
      <c r="Z208" s="154" t="s">
        <v>66</v>
      </c>
      <c r="AA208" s="154"/>
      <c r="AB208" s="242" t="str">
        <f t="shared" si="2"/>
        <v>#ERROR!</v>
      </c>
      <c r="AC208" s="154" t="s">
        <v>391</v>
      </c>
      <c r="AD208" s="242" t="b">
        <f t="shared" si="3"/>
        <v>0</v>
      </c>
      <c r="AE208" s="154"/>
      <c r="AF208" s="242" t="str">
        <f t="shared" si="4"/>
        <v>#ERROR!</v>
      </c>
      <c r="AG208" s="154" t="s">
        <v>652</v>
      </c>
      <c r="AH208" s="242" t="str">
        <f>IF(AG208="","N/A",INDIRECT("MTR!"&amp;ADDRESS(MATCH(LEFT(AG208,9),[1]MTR!C:C,0),COLUMN(J208)),TRUE) &amp; "")</f>
        <v>#ERROR!</v>
      </c>
      <c r="AI208" s="157" t="str">
        <f t="shared" si="5"/>
        <v>#ERROR!</v>
      </c>
    </row>
    <row r="209" ht="12.75" customHeight="1">
      <c r="A209" s="244" t="s">
        <v>5158</v>
      </c>
      <c r="B209" s="244" t="s">
        <v>231</v>
      </c>
      <c r="C209" s="244" t="s">
        <v>7340</v>
      </c>
      <c r="D209" s="154" t="s">
        <v>747</v>
      </c>
      <c r="E209" s="154"/>
      <c r="F209" s="154" t="str">
        <f t="array" ref="F209">XLOOKUP(Cover!$D$12,$R$1:$Z$1,$R209:$Z209)</f>
        <v>Mandatory</v>
      </c>
      <c r="G209" s="154" t="s">
        <v>7341</v>
      </c>
      <c r="H209" s="154" t="s">
        <v>7304</v>
      </c>
      <c r="I209" s="154" t="s">
        <v>7342</v>
      </c>
      <c r="J209" s="154" t="s">
        <v>6797</v>
      </c>
      <c r="K209" s="154" t="s">
        <v>7305</v>
      </c>
      <c r="L209" s="154" t="s">
        <v>6140</v>
      </c>
      <c r="M209" s="154" t="s">
        <v>1122</v>
      </c>
      <c r="N209" s="154" t="s">
        <v>759</v>
      </c>
      <c r="O209" s="247" t="s">
        <v>445</v>
      </c>
      <c r="P209" s="247" t="s">
        <v>89</v>
      </c>
      <c r="Q209" s="154" t="str">
        <f t="shared" si="1"/>
        <v>#ERROR!</v>
      </c>
      <c r="R209" s="154" t="s">
        <v>66</v>
      </c>
      <c r="S209" s="154" t="s">
        <v>66</v>
      </c>
      <c r="T209" s="154" t="s">
        <v>66</v>
      </c>
      <c r="U209" s="154" t="s">
        <v>66</v>
      </c>
      <c r="V209" s="154" t="s">
        <v>66</v>
      </c>
      <c r="W209" s="154" t="s">
        <v>60</v>
      </c>
      <c r="X209" s="154" t="s">
        <v>66</v>
      </c>
      <c r="Y209" s="154" t="s">
        <v>66</v>
      </c>
      <c r="Z209" s="154" t="s">
        <v>60</v>
      </c>
      <c r="AA209" s="154"/>
      <c r="AB209" s="242" t="str">
        <f t="shared" si="2"/>
        <v>#ERROR!</v>
      </c>
      <c r="AC209" s="154" t="s">
        <v>391</v>
      </c>
      <c r="AD209" s="242" t="b">
        <f t="shared" si="3"/>
        <v>0</v>
      </c>
      <c r="AE209" s="154"/>
      <c r="AF209" s="242" t="str">
        <f t="shared" si="4"/>
        <v>#ERROR!</v>
      </c>
      <c r="AG209" s="154" t="s">
        <v>652</v>
      </c>
      <c r="AH209" s="242" t="str">
        <f>IF(AG209="","N/A",INDIRECT("MTR!"&amp;ADDRESS(MATCH(LEFT(AG209,9),[1]MTR!C:C,0),COLUMN(J209)),TRUE) &amp; "")</f>
        <v>#ERROR!</v>
      </c>
      <c r="AI209" s="157" t="str">
        <f t="shared" si="5"/>
        <v>#ERROR!</v>
      </c>
    </row>
    <row r="210" ht="12.75" customHeight="1">
      <c r="A210" s="244" t="s">
        <v>5158</v>
      </c>
      <c r="B210" s="244" t="s">
        <v>231</v>
      </c>
      <c r="C210" s="244" t="s">
        <v>7343</v>
      </c>
      <c r="D210" s="154" t="s">
        <v>747</v>
      </c>
      <c r="E210" s="154"/>
      <c r="F210" s="154" t="str">
        <f t="array" ref="F210">XLOOKUP(Cover!$D$12,$R$1:$Z$1,$R210:$Z210)</f>
        <v>Recommended</v>
      </c>
      <c r="G210" s="154" t="s">
        <v>7344</v>
      </c>
      <c r="H210" s="154" t="s">
        <v>7314</v>
      </c>
      <c r="I210" s="154" t="s">
        <v>7342</v>
      </c>
      <c r="J210" s="154" t="s">
        <v>6797</v>
      </c>
      <c r="K210" s="154" t="s">
        <v>7305</v>
      </c>
      <c r="L210" s="154" t="s">
        <v>6140</v>
      </c>
      <c r="M210" s="154"/>
      <c r="N210" s="154" t="s">
        <v>759</v>
      </c>
      <c r="O210" s="247" t="s">
        <v>516</v>
      </c>
      <c r="P210" s="247" t="s">
        <v>7345</v>
      </c>
      <c r="Q210" s="154" t="str">
        <f t="shared" si="1"/>
        <v>#ERROR!</v>
      </c>
      <c r="R210" s="154" t="s">
        <v>66</v>
      </c>
      <c r="S210" s="154" t="s">
        <v>66</v>
      </c>
      <c r="T210" s="154" t="s">
        <v>66</v>
      </c>
      <c r="U210" s="154" t="s">
        <v>66</v>
      </c>
      <c r="V210" s="154" t="s">
        <v>66</v>
      </c>
      <c r="W210" s="154" t="s">
        <v>64</v>
      </c>
      <c r="X210" s="154" t="s">
        <v>66</v>
      </c>
      <c r="Y210" s="154" t="s">
        <v>66</v>
      </c>
      <c r="Z210" s="154" t="s">
        <v>64</v>
      </c>
      <c r="AA210" s="154"/>
      <c r="AB210" s="242" t="str">
        <f t="shared" si="2"/>
        <v>#ERROR!</v>
      </c>
      <c r="AC210" s="154" t="s">
        <v>391</v>
      </c>
      <c r="AD210" s="242" t="b">
        <f t="shared" si="3"/>
        <v>0</v>
      </c>
      <c r="AE210" s="154"/>
      <c r="AF210" s="242" t="str">
        <f t="shared" si="4"/>
        <v>#ERROR!</v>
      </c>
      <c r="AG210" s="154" t="s">
        <v>652</v>
      </c>
      <c r="AH210" s="242" t="str">
        <f>IF(AG210="","N/A",INDIRECT("MTR!"&amp;ADDRESS(MATCH(LEFT(AG210,9),[1]MTR!C:C,0),COLUMN(J210)),TRUE) &amp; "")</f>
        <v>#ERROR!</v>
      </c>
      <c r="AI210" s="157" t="str">
        <f t="shared" si="5"/>
        <v>#ERROR!</v>
      </c>
    </row>
    <row r="211" ht="12.75" customHeight="1">
      <c r="A211" s="244" t="s">
        <v>5158</v>
      </c>
      <c r="B211" s="244" t="s">
        <v>231</v>
      </c>
      <c r="C211" s="244" t="s">
        <v>7346</v>
      </c>
      <c r="D211" s="154" t="s">
        <v>747</v>
      </c>
      <c r="E211" s="154"/>
      <c r="F211" s="154" t="str">
        <f t="array" ref="F211">XLOOKUP(Cover!$D$12,$R$1:$Z$1,$R211:$Z211)</f>
        <v>Mandatory</v>
      </c>
      <c r="G211" s="154" t="s">
        <v>7347</v>
      </c>
      <c r="H211" s="154" t="s">
        <v>7304</v>
      </c>
      <c r="I211" s="154" t="s">
        <v>7348</v>
      </c>
      <c r="J211" s="154" t="s">
        <v>7349</v>
      </c>
      <c r="K211" s="154" t="s">
        <v>7305</v>
      </c>
      <c r="L211" s="154" t="s">
        <v>6140</v>
      </c>
      <c r="M211" s="154" t="s">
        <v>1122</v>
      </c>
      <c r="N211" s="154" t="s">
        <v>759</v>
      </c>
      <c r="O211" s="247" t="s">
        <v>445</v>
      </c>
      <c r="P211" s="247" t="s">
        <v>6772</v>
      </c>
      <c r="Q211" s="154" t="str">
        <f t="shared" si="1"/>
        <v>#ERROR!</v>
      </c>
      <c r="R211" s="154" t="s">
        <v>66</v>
      </c>
      <c r="S211" s="154" t="s">
        <v>66</v>
      </c>
      <c r="T211" s="154" t="s">
        <v>66</v>
      </c>
      <c r="U211" s="154" t="s">
        <v>66</v>
      </c>
      <c r="V211" s="154" t="s">
        <v>66</v>
      </c>
      <c r="W211" s="154" t="s">
        <v>60</v>
      </c>
      <c r="X211" s="154" t="s">
        <v>66</v>
      </c>
      <c r="Y211" s="154" t="s">
        <v>66</v>
      </c>
      <c r="Z211" s="154" t="s">
        <v>60</v>
      </c>
      <c r="AA211" s="154"/>
      <c r="AB211" s="242" t="str">
        <f t="shared" si="2"/>
        <v>#ERROR!</v>
      </c>
      <c r="AC211" s="154" t="s">
        <v>391</v>
      </c>
      <c r="AD211" s="242" t="b">
        <f t="shared" si="3"/>
        <v>0</v>
      </c>
      <c r="AE211" s="154"/>
      <c r="AF211" s="242" t="str">
        <f t="shared" si="4"/>
        <v>#ERROR!</v>
      </c>
      <c r="AG211" s="154" t="s">
        <v>652</v>
      </c>
      <c r="AH211" s="242" t="str">
        <f>IF(AG211="","N/A",INDIRECT("MTR!"&amp;ADDRESS(MATCH(LEFT(AG211,9),[1]MTR!C:C,0),COLUMN(J211)),TRUE) &amp; "")</f>
        <v>#ERROR!</v>
      </c>
      <c r="AI211" s="157" t="str">
        <f t="shared" si="5"/>
        <v>#ERROR!</v>
      </c>
    </row>
    <row r="212" ht="12.75" customHeight="1">
      <c r="A212" s="244" t="s">
        <v>5158</v>
      </c>
      <c r="B212" s="244" t="s">
        <v>231</v>
      </c>
      <c r="C212" s="244" t="s">
        <v>7350</v>
      </c>
      <c r="D212" s="154" t="s">
        <v>747</v>
      </c>
      <c r="E212" s="154"/>
      <c r="F212" s="154" t="str">
        <f t="array" ref="F212">XLOOKUP(Cover!$D$12,$R$1:$Z$1,$R212:$Z212)</f>
        <v>Mandatory</v>
      </c>
      <c r="G212" s="154" t="s">
        <v>7351</v>
      </c>
      <c r="H212" s="154" t="s">
        <v>7317</v>
      </c>
      <c r="I212" s="154" t="s">
        <v>7348</v>
      </c>
      <c r="J212" s="154" t="s">
        <v>7349</v>
      </c>
      <c r="K212" s="154" t="s">
        <v>7305</v>
      </c>
      <c r="L212" s="154" t="s">
        <v>6140</v>
      </c>
      <c r="M212" s="154" t="s">
        <v>1122</v>
      </c>
      <c r="N212" s="154" t="s">
        <v>759</v>
      </c>
      <c r="O212" s="247" t="s">
        <v>445</v>
      </c>
      <c r="P212" s="247" t="s">
        <v>6772</v>
      </c>
      <c r="Q212" s="154" t="str">
        <f t="shared" si="1"/>
        <v>#ERROR!</v>
      </c>
      <c r="R212" s="154" t="s">
        <v>66</v>
      </c>
      <c r="S212" s="154" t="s">
        <v>66</v>
      </c>
      <c r="T212" s="154" t="s">
        <v>66</v>
      </c>
      <c r="U212" s="154" t="s">
        <v>66</v>
      </c>
      <c r="V212" s="154" t="s">
        <v>66</v>
      </c>
      <c r="W212" s="154" t="s">
        <v>60</v>
      </c>
      <c r="X212" s="154" t="s">
        <v>66</v>
      </c>
      <c r="Y212" s="154" t="s">
        <v>66</v>
      </c>
      <c r="Z212" s="154" t="s">
        <v>60</v>
      </c>
      <c r="AA212" s="154"/>
      <c r="AB212" s="242" t="str">
        <f t="shared" si="2"/>
        <v>#ERROR!</v>
      </c>
      <c r="AC212" s="154" t="s">
        <v>391</v>
      </c>
      <c r="AD212" s="242" t="b">
        <f t="shared" si="3"/>
        <v>0</v>
      </c>
      <c r="AE212" s="154"/>
      <c r="AF212" s="242" t="str">
        <f t="shared" si="4"/>
        <v>#ERROR!</v>
      </c>
      <c r="AG212" s="154" t="s">
        <v>652</v>
      </c>
      <c r="AH212" s="242" t="str">
        <f>IF(AG212="","N/A",INDIRECT("MTR!"&amp;ADDRESS(MATCH(LEFT(AG212,9),[1]MTR!C:C,0),COLUMN(J212)),TRUE) &amp; "")</f>
        <v>#ERROR!</v>
      </c>
      <c r="AI212" s="157" t="str">
        <f t="shared" si="5"/>
        <v>#ERROR!</v>
      </c>
    </row>
    <row r="213" ht="12.75" customHeight="1">
      <c r="A213" s="244" t="s">
        <v>5158</v>
      </c>
      <c r="B213" s="244" t="s">
        <v>231</v>
      </c>
      <c r="C213" s="244" t="s">
        <v>7352</v>
      </c>
      <c r="D213" s="154" t="s">
        <v>747</v>
      </c>
      <c r="E213" s="154"/>
      <c r="F213" s="154" t="str">
        <f t="array" ref="F213">XLOOKUP(Cover!$D$12,$R$1:$Z$1,$R213:$Z213)</f>
        <v>Mandatory</v>
      </c>
      <c r="G213" s="154" t="s">
        <v>7353</v>
      </c>
      <c r="H213" s="154" t="s">
        <v>7304</v>
      </c>
      <c r="I213" s="154" t="s">
        <v>7354</v>
      </c>
      <c r="J213" s="154" t="s">
        <v>6803</v>
      </c>
      <c r="K213" s="154" t="s">
        <v>7305</v>
      </c>
      <c r="L213" s="154" t="s">
        <v>6525</v>
      </c>
      <c r="M213" s="154" t="s">
        <v>1122</v>
      </c>
      <c r="N213" s="154" t="s">
        <v>759</v>
      </c>
      <c r="O213" s="247" t="s">
        <v>445</v>
      </c>
      <c r="P213" s="247" t="s">
        <v>6772</v>
      </c>
      <c r="Q213" s="154" t="str">
        <f t="shared" si="1"/>
        <v>#ERROR!</v>
      </c>
      <c r="R213" s="154" t="s">
        <v>66</v>
      </c>
      <c r="S213" s="154" t="s">
        <v>66</v>
      </c>
      <c r="T213" s="154" t="s">
        <v>66</v>
      </c>
      <c r="U213" s="154" t="s">
        <v>66</v>
      </c>
      <c r="V213" s="154" t="s">
        <v>66</v>
      </c>
      <c r="W213" s="154" t="s">
        <v>60</v>
      </c>
      <c r="X213" s="154" t="s">
        <v>66</v>
      </c>
      <c r="Y213" s="154" t="s">
        <v>66</v>
      </c>
      <c r="Z213" s="154" t="s">
        <v>60</v>
      </c>
      <c r="AA213" s="154"/>
      <c r="AB213" s="242" t="str">
        <f t="shared" si="2"/>
        <v>#ERROR!</v>
      </c>
      <c r="AC213" s="154" t="s">
        <v>391</v>
      </c>
      <c r="AD213" s="242" t="b">
        <f t="shared" si="3"/>
        <v>0</v>
      </c>
      <c r="AE213" s="154"/>
      <c r="AF213" s="242" t="str">
        <f t="shared" si="4"/>
        <v>#ERROR!</v>
      </c>
      <c r="AG213" s="154" t="s">
        <v>652</v>
      </c>
      <c r="AH213" s="242" t="str">
        <f>IF(AG213="","N/A",INDIRECT("MTR!"&amp;ADDRESS(MATCH(LEFT(AG213,9),[1]MTR!C:C,0),COLUMN(J213)),TRUE) &amp; "")</f>
        <v>#ERROR!</v>
      </c>
      <c r="AI213" s="157" t="str">
        <f t="shared" si="5"/>
        <v>#ERROR!</v>
      </c>
    </row>
    <row r="214" ht="12.75" customHeight="1">
      <c r="A214" s="244" t="s">
        <v>5158</v>
      </c>
      <c r="B214" s="244" t="s">
        <v>231</v>
      </c>
      <c r="C214" s="244" t="s">
        <v>7355</v>
      </c>
      <c r="D214" s="154" t="s">
        <v>747</v>
      </c>
      <c r="E214" s="154"/>
      <c r="F214" s="154" t="str">
        <f t="array" ref="F214">XLOOKUP(Cover!$D$12,$R$1:$Z$1,$R214:$Z214)</f>
        <v>Mandatory</v>
      </c>
      <c r="G214" s="154" t="s">
        <v>7356</v>
      </c>
      <c r="H214" s="154" t="s">
        <v>7320</v>
      </c>
      <c r="I214" s="154" t="s">
        <v>7354</v>
      </c>
      <c r="J214" s="154" t="s">
        <v>6803</v>
      </c>
      <c r="K214" s="154" t="s">
        <v>7305</v>
      </c>
      <c r="L214" s="154" t="s">
        <v>6525</v>
      </c>
      <c r="M214" s="154" t="s">
        <v>1122</v>
      </c>
      <c r="N214" s="154" t="s">
        <v>759</v>
      </c>
      <c r="O214" s="247" t="s">
        <v>445</v>
      </c>
      <c r="P214" s="247" t="s">
        <v>6772</v>
      </c>
      <c r="Q214" s="154" t="str">
        <f t="shared" si="1"/>
        <v>#ERROR!</v>
      </c>
      <c r="R214" s="154" t="s">
        <v>66</v>
      </c>
      <c r="S214" s="154" t="s">
        <v>66</v>
      </c>
      <c r="T214" s="154" t="s">
        <v>66</v>
      </c>
      <c r="U214" s="154" t="s">
        <v>66</v>
      </c>
      <c r="V214" s="154" t="s">
        <v>66</v>
      </c>
      <c r="W214" s="154" t="s">
        <v>60</v>
      </c>
      <c r="X214" s="154" t="s">
        <v>66</v>
      </c>
      <c r="Y214" s="154" t="s">
        <v>66</v>
      </c>
      <c r="Z214" s="154" t="s">
        <v>60</v>
      </c>
      <c r="AA214" s="154"/>
      <c r="AB214" s="242" t="str">
        <f t="shared" si="2"/>
        <v>#ERROR!</v>
      </c>
      <c r="AC214" s="154" t="s">
        <v>391</v>
      </c>
      <c r="AD214" s="242" t="b">
        <f t="shared" si="3"/>
        <v>0</v>
      </c>
      <c r="AE214" s="154"/>
      <c r="AF214" s="242" t="str">
        <f t="shared" si="4"/>
        <v>#ERROR!</v>
      </c>
      <c r="AG214" s="154" t="s">
        <v>652</v>
      </c>
      <c r="AH214" s="242" t="str">
        <f>IF(AG214="","N/A",INDIRECT("MTR!"&amp;ADDRESS(MATCH(LEFT(AG214,9),[1]MTR!C:C,0),COLUMN(J214)),TRUE) &amp; "")</f>
        <v>#ERROR!</v>
      </c>
      <c r="AI214" s="157" t="str">
        <f t="shared" si="5"/>
        <v>#ERROR!</v>
      </c>
    </row>
    <row r="215" ht="12.75" customHeight="1">
      <c r="A215" s="244" t="s">
        <v>5158</v>
      </c>
      <c r="B215" s="244" t="s">
        <v>231</v>
      </c>
      <c r="C215" s="244" t="s">
        <v>7357</v>
      </c>
      <c r="D215" s="154" t="s">
        <v>781</v>
      </c>
      <c r="E215" s="154"/>
      <c r="F215" s="154" t="str">
        <f t="array" ref="F215">XLOOKUP(Cover!$D$12,$R$1:$Z$1,$R215:$Z215)</f>
        <v>Information</v>
      </c>
      <c r="G215" s="154" t="s">
        <v>7358</v>
      </c>
      <c r="H215" s="154" t="s">
        <v>7304</v>
      </c>
      <c r="I215" s="154" t="s">
        <v>7359</v>
      </c>
      <c r="J215" s="154" t="s">
        <v>7360</v>
      </c>
      <c r="K215" s="154" t="s">
        <v>7305</v>
      </c>
      <c r="L215" s="154" t="s">
        <v>6942</v>
      </c>
      <c r="M215" s="154"/>
      <c r="N215" s="154" t="s">
        <v>759</v>
      </c>
      <c r="O215" s="247" t="s">
        <v>445</v>
      </c>
      <c r="P215" s="247" t="s">
        <v>6772</v>
      </c>
      <c r="Q215" s="154" t="str">
        <f t="shared" si="1"/>
        <v>#ERROR!</v>
      </c>
      <c r="R215" s="154" t="s">
        <v>66</v>
      </c>
      <c r="S215" s="154" t="s">
        <v>66</v>
      </c>
      <c r="T215" s="154" t="s">
        <v>66</v>
      </c>
      <c r="U215" s="154" t="s">
        <v>66</v>
      </c>
      <c r="V215" s="154" t="s">
        <v>66</v>
      </c>
      <c r="W215" s="154" t="s">
        <v>66</v>
      </c>
      <c r="X215" s="154" t="s">
        <v>66</v>
      </c>
      <c r="Y215" s="154" t="s">
        <v>66</v>
      </c>
      <c r="Z215" s="154" t="s">
        <v>66</v>
      </c>
      <c r="AA215" s="154"/>
      <c r="AB215" s="242" t="str">
        <f t="shared" si="2"/>
        <v>#ERROR!</v>
      </c>
      <c r="AC215" s="154" t="s">
        <v>391</v>
      </c>
      <c r="AD215" s="242" t="b">
        <f t="shared" si="3"/>
        <v>0</v>
      </c>
      <c r="AE215" s="154"/>
      <c r="AF215" s="242" t="str">
        <f t="shared" si="4"/>
        <v>#ERROR!</v>
      </c>
      <c r="AG215" s="154" t="s">
        <v>652</v>
      </c>
      <c r="AH215" s="242" t="str">
        <f>IF(AG215="","N/A",INDIRECT("MTR!"&amp;ADDRESS(MATCH(LEFT(AG215,9),[1]MTR!C:C,0),COLUMN(J215)),TRUE) &amp; "")</f>
        <v>#ERROR!</v>
      </c>
      <c r="AI215" s="157" t="str">
        <f t="shared" si="5"/>
        <v>#ERROR!</v>
      </c>
    </row>
    <row r="216" ht="12.75" customHeight="1">
      <c r="A216" s="244" t="s">
        <v>5158</v>
      </c>
      <c r="B216" s="244" t="s">
        <v>231</v>
      </c>
      <c r="C216" s="244" t="s">
        <v>7361</v>
      </c>
      <c r="D216" s="154" t="s">
        <v>781</v>
      </c>
      <c r="E216" s="154"/>
      <c r="F216" s="154" t="str">
        <f t="array" ref="F216">XLOOKUP(Cover!$D$12,$R$1:$Z$1,$R216:$Z216)</f>
        <v>Information</v>
      </c>
      <c r="G216" s="154" t="s">
        <v>7362</v>
      </c>
      <c r="H216" s="154" t="s">
        <v>7323</v>
      </c>
      <c r="I216" s="154" t="s">
        <v>7359</v>
      </c>
      <c r="J216" s="154" t="s">
        <v>7360</v>
      </c>
      <c r="K216" s="154" t="s">
        <v>7305</v>
      </c>
      <c r="L216" s="154" t="s">
        <v>6942</v>
      </c>
      <c r="M216" s="154"/>
      <c r="N216" s="154" t="s">
        <v>759</v>
      </c>
      <c r="O216" s="247" t="s">
        <v>445</v>
      </c>
      <c r="P216" s="247" t="s">
        <v>6772</v>
      </c>
      <c r="Q216" s="154" t="str">
        <f t="shared" si="1"/>
        <v>#ERROR!</v>
      </c>
      <c r="R216" s="154" t="s">
        <v>66</v>
      </c>
      <c r="S216" s="154" t="s">
        <v>66</v>
      </c>
      <c r="T216" s="154" t="s">
        <v>66</v>
      </c>
      <c r="U216" s="154" t="s">
        <v>66</v>
      </c>
      <c r="V216" s="154" t="s">
        <v>66</v>
      </c>
      <c r="W216" s="154" t="s">
        <v>66</v>
      </c>
      <c r="X216" s="154" t="s">
        <v>66</v>
      </c>
      <c r="Y216" s="154" t="s">
        <v>66</v>
      </c>
      <c r="Z216" s="154" t="s">
        <v>66</v>
      </c>
      <c r="AA216" s="154"/>
      <c r="AB216" s="242" t="str">
        <f t="shared" si="2"/>
        <v>#ERROR!</v>
      </c>
      <c r="AC216" s="154" t="s">
        <v>391</v>
      </c>
      <c r="AD216" s="242" t="b">
        <f t="shared" si="3"/>
        <v>0</v>
      </c>
      <c r="AE216" s="154"/>
      <c r="AF216" s="242" t="str">
        <f t="shared" si="4"/>
        <v>#ERROR!</v>
      </c>
      <c r="AG216" s="154" t="s">
        <v>652</v>
      </c>
      <c r="AH216" s="242" t="str">
        <f>IF(AG216="","N/A",INDIRECT("MTR!"&amp;ADDRESS(MATCH(LEFT(AG216,9),[1]MTR!C:C,0),COLUMN(J216)),TRUE) &amp; "")</f>
        <v>#ERROR!</v>
      </c>
      <c r="AI216" s="157" t="str">
        <f t="shared" si="5"/>
        <v>#ERROR!</v>
      </c>
    </row>
    <row r="217" ht="12.75" customHeight="1">
      <c r="A217" s="244" t="s">
        <v>5158</v>
      </c>
      <c r="B217" s="244" t="s">
        <v>231</v>
      </c>
      <c r="C217" s="244" t="s">
        <v>7363</v>
      </c>
      <c r="D217" s="154" t="s">
        <v>861</v>
      </c>
      <c r="E217" s="154"/>
      <c r="F217" s="154" t="str">
        <f t="array" ref="F217">XLOOKUP(Cover!$D$12,$R$1:$Z$1,$R217:$Z217)</f>
        <v>Mandatory</v>
      </c>
      <c r="G217" s="154" t="s">
        <v>7364</v>
      </c>
      <c r="H217" s="154" t="s">
        <v>7304</v>
      </c>
      <c r="I217" s="154" t="s">
        <v>7365</v>
      </c>
      <c r="J217" s="154" t="s">
        <v>7366</v>
      </c>
      <c r="K217" s="154" t="s">
        <v>7305</v>
      </c>
      <c r="L217" s="154" t="s">
        <v>6428</v>
      </c>
      <c r="M217" s="154" t="s">
        <v>1122</v>
      </c>
      <c r="N217" s="154" t="s">
        <v>759</v>
      </c>
      <c r="O217" s="247" t="s">
        <v>445</v>
      </c>
      <c r="P217" s="247" t="s">
        <v>6772</v>
      </c>
      <c r="Q217" s="154" t="str">
        <f t="shared" si="1"/>
        <v>#ERROR!</v>
      </c>
      <c r="R217" s="154" t="s">
        <v>66</v>
      </c>
      <c r="S217" s="154" t="s">
        <v>66</v>
      </c>
      <c r="T217" s="154" t="s">
        <v>66</v>
      </c>
      <c r="U217" s="154" t="s">
        <v>66</v>
      </c>
      <c r="V217" s="154" t="s">
        <v>66</v>
      </c>
      <c r="W217" s="154" t="s">
        <v>60</v>
      </c>
      <c r="X217" s="154" t="s">
        <v>66</v>
      </c>
      <c r="Y217" s="154" t="s">
        <v>66</v>
      </c>
      <c r="Z217" s="154" t="s">
        <v>60</v>
      </c>
      <c r="AA217" s="154"/>
      <c r="AB217" s="242" t="str">
        <f t="shared" si="2"/>
        <v>#ERROR!</v>
      </c>
      <c r="AC217" s="154" t="s">
        <v>391</v>
      </c>
      <c r="AD217" s="242" t="b">
        <f t="shared" si="3"/>
        <v>0</v>
      </c>
      <c r="AE217" s="154"/>
      <c r="AF217" s="242" t="str">
        <f t="shared" si="4"/>
        <v>#ERROR!</v>
      </c>
      <c r="AG217" s="154" t="s">
        <v>652</v>
      </c>
      <c r="AH217" s="242" t="str">
        <f>IF(AG217="","N/A",INDIRECT("MTR!"&amp;ADDRESS(MATCH(LEFT(AG217,9),[1]MTR!C:C,0),COLUMN(J217)),TRUE) &amp; "")</f>
        <v>#ERROR!</v>
      </c>
      <c r="AI217" s="157" t="str">
        <f t="shared" si="5"/>
        <v>#ERROR!</v>
      </c>
    </row>
    <row r="218" ht="12.75" customHeight="1">
      <c r="A218" s="244" t="s">
        <v>5158</v>
      </c>
      <c r="B218" s="244" t="s">
        <v>231</v>
      </c>
      <c r="C218" s="244" t="s">
        <v>7367</v>
      </c>
      <c r="D218" s="154" t="s">
        <v>1315</v>
      </c>
      <c r="E218" s="154"/>
      <c r="F218" s="154" t="str">
        <f t="array" ref="F218">XLOOKUP(Cover!$D$12,$R$1:$Z$1,$R218:$Z218)</f>
        <v>Information</v>
      </c>
      <c r="G218" s="154" t="s">
        <v>7368</v>
      </c>
      <c r="H218" s="154" t="s">
        <v>7311</v>
      </c>
      <c r="I218" s="154" t="s">
        <v>7369</v>
      </c>
      <c r="J218" s="154" t="s">
        <v>6819</v>
      </c>
      <c r="K218" s="154" t="s">
        <v>7305</v>
      </c>
      <c r="L218" s="154" t="s">
        <v>6884</v>
      </c>
      <c r="M218" s="154"/>
      <c r="N218" s="154" t="s">
        <v>759</v>
      </c>
      <c r="O218" s="247" t="s">
        <v>445</v>
      </c>
      <c r="P218" s="247" t="s">
        <v>89</v>
      </c>
      <c r="Q218" s="154" t="str">
        <f t="shared" si="1"/>
        <v>#ERROR!</v>
      </c>
      <c r="R218" s="154" t="s">
        <v>66</v>
      </c>
      <c r="S218" s="154" t="s">
        <v>66</v>
      </c>
      <c r="T218" s="154" t="s">
        <v>66</v>
      </c>
      <c r="U218" s="154" t="s">
        <v>66</v>
      </c>
      <c r="V218" s="154" t="s">
        <v>66</v>
      </c>
      <c r="W218" s="154" t="s">
        <v>66</v>
      </c>
      <c r="X218" s="154" t="s">
        <v>66</v>
      </c>
      <c r="Y218" s="154" t="s">
        <v>66</v>
      </c>
      <c r="Z218" s="154" t="s">
        <v>66</v>
      </c>
      <c r="AA218" s="154"/>
      <c r="AB218" s="242" t="str">
        <f t="shared" si="2"/>
        <v>#ERROR!</v>
      </c>
      <c r="AC218" s="154" t="s">
        <v>391</v>
      </c>
      <c r="AD218" s="242" t="b">
        <f t="shared" si="3"/>
        <v>0</v>
      </c>
      <c r="AE218" s="154"/>
      <c r="AF218" s="242" t="str">
        <f t="shared" si="4"/>
        <v>#ERROR!</v>
      </c>
      <c r="AG218" s="154" t="s">
        <v>652</v>
      </c>
      <c r="AH218" s="242" t="str">
        <f>IF(AG218="","N/A",INDIRECT("MTR!"&amp;ADDRESS(MATCH(LEFT(AG218,9),[1]MTR!C:C,0),COLUMN(J218)),TRUE) &amp; "")</f>
        <v>#ERROR!</v>
      </c>
      <c r="AI218" s="157" t="str">
        <f t="shared" si="5"/>
        <v>#ERROR!</v>
      </c>
    </row>
    <row r="219" ht="12.75" customHeight="1">
      <c r="A219" s="244" t="s">
        <v>5158</v>
      </c>
      <c r="B219" s="244" t="s">
        <v>231</v>
      </c>
      <c r="C219" s="244" t="s">
        <v>7370</v>
      </c>
      <c r="D219" s="154" t="s">
        <v>1315</v>
      </c>
      <c r="E219" s="154"/>
      <c r="F219" s="154" t="str">
        <f t="array" ref="F219">XLOOKUP(Cover!$D$12,$R$1:$Z$1,$R219:$Z219)</f>
        <v>Information</v>
      </c>
      <c r="G219" s="154" t="s">
        <v>7371</v>
      </c>
      <c r="H219" s="154" t="s">
        <v>7314</v>
      </c>
      <c r="I219" s="154" t="s">
        <v>7369</v>
      </c>
      <c r="J219" s="154" t="s">
        <v>6819</v>
      </c>
      <c r="K219" s="154" t="s">
        <v>7305</v>
      </c>
      <c r="L219" s="154" t="s">
        <v>6884</v>
      </c>
      <c r="M219" s="154"/>
      <c r="N219" s="154" t="s">
        <v>759</v>
      </c>
      <c r="O219" s="247" t="s">
        <v>516</v>
      </c>
      <c r="P219" s="247" t="s">
        <v>7372</v>
      </c>
      <c r="Q219" s="154" t="str">
        <f t="shared" si="1"/>
        <v>#ERROR!</v>
      </c>
      <c r="R219" s="154" t="s">
        <v>66</v>
      </c>
      <c r="S219" s="154" t="s">
        <v>66</v>
      </c>
      <c r="T219" s="154" t="s">
        <v>66</v>
      </c>
      <c r="U219" s="154" t="s">
        <v>66</v>
      </c>
      <c r="V219" s="154" t="s">
        <v>66</v>
      </c>
      <c r="W219" s="154" t="s">
        <v>66</v>
      </c>
      <c r="X219" s="154" t="s">
        <v>66</v>
      </c>
      <c r="Y219" s="154" t="s">
        <v>66</v>
      </c>
      <c r="Z219" s="154" t="s">
        <v>66</v>
      </c>
      <c r="AA219" s="154"/>
      <c r="AB219" s="242" t="str">
        <f t="shared" si="2"/>
        <v>#ERROR!</v>
      </c>
      <c r="AC219" s="154" t="s">
        <v>391</v>
      </c>
      <c r="AD219" s="242" t="b">
        <f t="shared" si="3"/>
        <v>0</v>
      </c>
      <c r="AE219" s="154"/>
      <c r="AF219" s="242" t="str">
        <f t="shared" si="4"/>
        <v>#ERROR!</v>
      </c>
      <c r="AG219" s="154" t="s">
        <v>652</v>
      </c>
      <c r="AH219" s="242" t="str">
        <f>IF(AG219="","N/A",INDIRECT("MTR!"&amp;ADDRESS(MATCH(LEFT(AG219,9),[1]MTR!C:C,0),COLUMN(J219)),TRUE) &amp; "")</f>
        <v>#ERROR!</v>
      </c>
      <c r="AI219" s="157" t="str">
        <f t="shared" si="5"/>
        <v>#ERROR!</v>
      </c>
    </row>
    <row r="220" ht="12.75" customHeight="1">
      <c r="A220" s="244" t="s">
        <v>5158</v>
      </c>
      <c r="B220" s="244" t="s">
        <v>231</v>
      </c>
      <c r="C220" s="244" t="s">
        <v>7373</v>
      </c>
      <c r="D220" s="154" t="s">
        <v>1773</v>
      </c>
      <c r="E220" s="154"/>
      <c r="F220" s="154" t="str">
        <f t="array" ref="F220">XLOOKUP(Cover!$D$12,$R$1:$Z$1,$R220:$Z220)</f>
        <v>Information</v>
      </c>
      <c r="G220" s="154" t="s">
        <v>7374</v>
      </c>
      <c r="H220" s="154" t="s">
        <v>7308</v>
      </c>
      <c r="I220" s="154" t="s">
        <v>7375</v>
      </c>
      <c r="J220" s="154" t="s">
        <v>6826</v>
      </c>
      <c r="K220" s="154" t="s">
        <v>7305</v>
      </c>
      <c r="L220" s="154" t="s">
        <v>6126</v>
      </c>
      <c r="M220" s="154"/>
      <c r="N220" s="154" t="s">
        <v>759</v>
      </c>
      <c r="O220" s="247" t="s">
        <v>516</v>
      </c>
      <c r="P220" s="247" t="s">
        <v>6776</v>
      </c>
      <c r="Q220" s="154" t="str">
        <f t="shared" si="1"/>
        <v>#ERROR!</v>
      </c>
      <c r="R220" s="154" t="s">
        <v>66</v>
      </c>
      <c r="S220" s="154" t="s">
        <v>66</v>
      </c>
      <c r="T220" s="154" t="s">
        <v>66</v>
      </c>
      <c r="U220" s="154" t="s">
        <v>66</v>
      </c>
      <c r="V220" s="154" t="s">
        <v>66</v>
      </c>
      <c r="W220" s="154" t="s">
        <v>66</v>
      </c>
      <c r="X220" s="154" t="s">
        <v>66</v>
      </c>
      <c r="Y220" s="154" t="s">
        <v>66</v>
      </c>
      <c r="Z220" s="154" t="s">
        <v>66</v>
      </c>
      <c r="AA220" s="154"/>
      <c r="AB220" s="242" t="str">
        <f t="shared" si="2"/>
        <v>#ERROR!</v>
      </c>
      <c r="AC220" s="154" t="s">
        <v>391</v>
      </c>
      <c r="AD220" s="242" t="b">
        <f t="shared" si="3"/>
        <v>0</v>
      </c>
      <c r="AE220" s="154"/>
      <c r="AF220" s="242" t="str">
        <f t="shared" si="4"/>
        <v>#ERROR!</v>
      </c>
      <c r="AG220" s="154" t="s">
        <v>652</v>
      </c>
      <c r="AH220" s="242" t="str">
        <f>IF(AG220="","N/A",INDIRECT("MTR!"&amp;ADDRESS(MATCH(LEFT(AG220,9),[1]MTR!C:C,0),COLUMN(J220)),TRUE) &amp; "")</f>
        <v>#ERROR!</v>
      </c>
      <c r="AI220" s="157" t="str">
        <f t="shared" si="5"/>
        <v>#ERROR!</v>
      </c>
    </row>
    <row r="221" ht="12.75" customHeight="1">
      <c r="A221" s="244" t="s">
        <v>5158</v>
      </c>
      <c r="B221" s="244" t="s">
        <v>231</v>
      </c>
      <c r="C221" s="244" t="s">
        <v>7376</v>
      </c>
      <c r="D221" s="154" t="s">
        <v>1773</v>
      </c>
      <c r="E221" s="154"/>
      <c r="F221" s="154" t="str">
        <f t="array" ref="F221">XLOOKUP(Cover!$D$12,$R$1:$Z$1,$R221:$Z221)</f>
        <v>Information</v>
      </c>
      <c r="G221" s="154" t="s">
        <v>7377</v>
      </c>
      <c r="H221" s="154" t="s">
        <v>7317</v>
      </c>
      <c r="I221" s="154" t="s">
        <v>7375</v>
      </c>
      <c r="J221" s="154" t="s">
        <v>6826</v>
      </c>
      <c r="K221" s="154" t="s">
        <v>7305</v>
      </c>
      <c r="L221" s="154" t="s">
        <v>6126</v>
      </c>
      <c r="M221" s="154"/>
      <c r="N221" s="154" t="s">
        <v>759</v>
      </c>
      <c r="O221" s="247" t="s">
        <v>516</v>
      </c>
      <c r="P221" s="247" t="s">
        <v>6776</v>
      </c>
      <c r="Q221" s="154" t="str">
        <f t="shared" si="1"/>
        <v>#ERROR!</v>
      </c>
      <c r="R221" s="154" t="s">
        <v>66</v>
      </c>
      <c r="S221" s="154" t="s">
        <v>66</v>
      </c>
      <c r="T221" s="154" t="s">
        <v>66</v>
      </c>
      <c r="U221" s="154" t="s">
        <v>66</v>
      </c>
      <c r="V221" s="154" t="s">
        <v>66</v>
      </c>
      <c r="W221" s="154" t="s">
        <v>66</v>
      </c>
      <c r="X221" s="154" t="s">
        <v>66</v>
      </c>
      <c r="Y221" s="154" t="s">
        <v>66</v>
      </c>
      <c r="Z221" s="154" t="s">
        <v>66</v>
      </c>
      <c r="AA221" s="154"/>
      <c r="AB221" s="242" t="str">
        <f t="shared" si="2"/>
        <v>#ERROR!</v>
      </c>
      <c r="AC221" s="154" t="s">
        <v>391</v>
      </c>
      <c r="AD221" s="242" t="b">
        <f t="shared" si="3"/>
        <v>0</v>
      </c>
      <c r="AE221" s="154"/>
      <c r="AF221" s="242" t="str">
        <f t="shared" si="4"/>
        <v>#ERROR!</v>
      </c>
      <c r="AG221" s="154" t="s">
        <v>652</v>
      </c>
      <c r="AH221" s="242" t="str">
        <f>IF(AG221="","N/A",INDIRECT("MTR!"&amp;ADDRESS(MATCH(LEFT(AG221,9),[1]MTR!C:C,0),COLUMN(J221)),TRUE) &amp; "")</f>
        <v>#ERROR!</v>
      </c>
      <c r="AI221" s="157" t="str">
        <f t="shared" si="5"/>
        <v>#ERROR!</v>
      </c>
    </row>
    <row r="222" ht="12.75" customHeight="1">
      <c r="A222" s="244" t="s">
        <v>5158</v>
      </c>
      <c r="B222" s="244" t="s">
        <v>231</v>
      </c>
      <c r="C222" s="244" t="s">
        <v>7378</v>
      </c>
      <c r="D222" s="154" t="s">
        <v>503</v>
      </c>
      <c r="E222" s="154"/>
      <c r="F222" s="154" t="str">
        <f t="array" ref="F222">XLOOKUP(Cover!$D$12,$R$1:$Z$1,$R222:$Z222)</f>
        <v>Information</v>
      </c>
      <c r="G222" s="154" t="s">
        <v>7379</v>
      </c>
      <c r="H222" s="154" t="s">
        <v>7311</v>
      </c>
      <c r="I222" s="154" t="s">
        <v>7380</v>
      </c>
      <c r="J222" s="154" t="s">
        <v>6832</v>
      </c>
      <c r="K222" s="154" t="s">
        <v>7305</v>
      </c>
      <c r="L222" s="154" t="s">
        <v>6463</v>
      </c>
      <c r="M222" s="154"/>
      <c r="N222" s="154" t="s">
        <v>759</v>
      </c>
      <c r="O222" s="247" t="s">
        <v>506</v>
      </c>
      <c r="P222" s="247" t="s">
        <v>6722</v>
      </c>
      <c r="Q222" s="154" t="str">
        <f t="shared" si="1"/>
        <v>#ERROR!</v>
      </c>
      <c r="R222" s="154" t="s">
        <v>66</v>
      </c>
      <c r="S222" s="154" t="s">
        <v>66</v>
      </c>
      <c r="T222" s="154" t="s">
        <v>66</v>
      </c>
      <c r="U222" s="154" t="s">
        <v>66</v>
      </c>
      <c r="V222" s="154" t="s">
        <v>66</v>
      </c>
      <c r="W222" s="154" t="s">
        <v>66</v>
      </c>
      <c r="X222" s="154" t="s">
        <v>66</v>
      </c>
      <c r="Y222" s="154" t="s">
        <v>66</v>
      </c>
      <c r="Z222" s="154" t="s">
        <v>66</v>
      </c>
      <c r="AA222" s="154"/>
      <c r="AB222" s="242" t="str">
        <f t="shared" si="2"/>
        <v>#ERROR!</v>
      </c>
      <c r="AC222" s="154" t="s">
        <v>391</v>
      </c>
      <c r="AD222" s="242" t="b">
        <f t="shared" si="3"/>
        <v>0</v>
      </c>
      <c r="AE222" s="154"/>
      <c r="AF222" s="242" t="str">
        <f t="shared" si="4"/>
        <v>#ERROR!</v>
      </c>
      <c r="AG222" s="154" t="s">
        <v>652</v>
      </c>
      <c r="AH222" s="242" t="str">
        <f>IF(AG222="","N/A",INDIRECT("MTR!"&amp;ADDRESS(MATCH(LEFT(AG222,9),[1]MTR!C:C,0),COLUMN(J222)),TRUE) &amp; "")</f>
        <v>#ERROR!</v>
      </c>
      <c r="AI222" s="157" t="str">
        <f t="shared" si="5"/>
        <v>#ERROR!</v>
      </c>
    </row>
    <row r="223" ht="12.75" customHeight="1">
      <c r="A223" s="244" t="s">
        <v>5158</v>
      </c>
      <c r="B223" s="244" t="s">
        <v>231</v>
      </c>
      <c r="C223" s="244" t="s">
        <v>7381</v>
      </c>
      <c r="D223" s="154" t="s">
        <v>503</v>
      </c>
      <c r="E223" s="154"/>
      <c r="F223" s="154" t="str">
        <f t="array" ref="F223">XLOOKUP(Cover!$D$12,$R$1:$Z$1,$R223:$Z223)</f>
        <v>Information</v>
      </c>
      <c r="G223" s="154" t="s">
        <v>7382</v>
      </c>
      <c r="H223" s="154" t="s">
        <v>7320</v>
      </c>
      <c r="I223" s="154" t="s">
        <v>7380</v>
      </c>
      <c r="J223" s="154" t="s">
        <v>6832</v>
      </c>
      <c r="K223" s="154" t="s">
        <v>7305</v>
      </c>
      <c r="L223" s="154" t="s">
        <v>6463</v>
      </c>
      <c r="M223" s="154"/>
      <c r="N223" s="154" t="s">
        <v>759</v>
      </c>
      <c r="O223" s="247" t="s">
        <v>506</v>
      </c>
      <c r="P223" s="247" t="s">
        <v>6722</v>
      </c>
      <c r="Q223" s="154" t="str">
        <f t="shared" si="1"/>
        <v>#ERROR!</v>
      </c>
      <c r="R223" s="154" t="s">
        <v>66</v>
      </c>
      <c r="S223" s="154" t="s">
        <v>66</v>
      </c>
      <c r="T223" s="154" t="s">
        <v>66</v>
      </c>
      <c r="U223" s="154" t="s">
        <v>66</v>
      </c>
      <c r="V223" s="154" t="s">
        <v>66</v>
      </c>
      <c r="W223" s="154" t="s">
        <v>66</v>
      </c>
      <c r="X223" s="154" t="s">
        <v>66</v>
      </c>
      <c r="Y223" s="154" t="s">
        <v>66</v>
      </c>
      <c r="Z223" s="154" t="s">
        <v>66</v>
      </c>
      <c r="AA223" s="154"/>
      <c r="AB223" s="242" t="str">
        <f t="shared" si="2"/>
        <v>#ERROR!</v>
      </c>
      <c r="AC223" s="154" t="s">
        <v>391</v>
      </c>
      <c r="AD223" s="242" t="b">
        <f t="shared" si="3"/>
        <v>0</v>
      </c>
      <c r="AE223" s="154"/>
      <c r="AF223" s="242" t="str">
        <f t="shared" si="4"/>
        <v>#ERROR!</v>
      </c>
      <c r="AG223" s="154" t="s">
        <v>652</v>
      </c>
      <c r="AH223" s="242" t="str">
        <f>IF(AG223="","N/A",INDIRECT("MTR!"&amp;ADDRESS(MATCH(LEFT(AG223,9),[1]MTR!C:C,0),COLUMN(J223)),TRUE) &amp; "")</f>
        <v>#ERROR!</v>
      </c>
      <c r="AI223" s="157" t="str">
        <f t="shared" si="5"/>
        <v>#ERROR!</v>
      </c>
    </row>
    <row r="224" ht="12.75" customHeight="1">
      <c r="A224" s="244" t="s">
        <v>5158</v>
      </c>
      <c r="B224" s="244" t="s">
        <v>231</v>
      </c>
      <c r="C224" s="244" t="s">
        <v>7383</v>
      </c>
      <c r="D224" s="154" t="s">
        <v>1315</v>
      </c>
      <c r="E224" s="154"/>
      <c r="F224" s="154" t="str">
        <f t="array" ref="F224">XLOOKUP(Cover!$D$12,$R$1:$Z$1,$R224:$Z224)</f>
        <v>Information</v>
      </c>
      <c r="G224" s="154" t="s">
        <v>7384</v>
      </c>
      <c r="H224" s="154" t="s">
        <v>7311</v>
      </c>
      <c r="I224" s="154" t="s">
        <v>7385</v>
      </c>
      <c r="J224" s="154" t="s">
        <v>6838</v>
      </c>
      <c r="K224" s="154" t="s">
        <v>7305</v>
      </c>
      <c r="L224" s="154" t="s">
        <v>6884</v>
      </c>
      <c r="M224" s="154"/>
      <c r="N224" s="154" t="s">
        <v>759</v>
      </c>
      <c r="O224" s="247" t="s">
        <v>445</v>
      </c>
      <c r="P224" s="247" t="s">
        <v>6772</v>
      </c>
      <c r="Q224" s="154" t="str">
        <f t="shared" si="1"/>
        <v>#ERROR!</v>
      </c>
      <c r="R224" s="154" t="s">
        <v>66</v>
      </c>
      <c r="S224" s="154" t="s">
        <v>66</v>
      </c>
      <c r="T224" s="154" t="s">
        <v>66</v>
      </c>
      <c r="U224" s="154" t="s">
        <v>66</v>
      </c>
      <c r="V224" s="154" t="s">
        <v>66</v>
      </c>
      <c r="W224" s="154" t="s">
        <v>66</v>
      </c>
      <c r="X224" s="154" t="s">
        <v>66</v>
      </c>
      <c r="Y224" s="154" t="s">
        <v>66</v>
      </c>
      <c r="Z224" s="154" t="s">
        <v>66</v>
      </c>
      <c r="AA224" s="154"/>
      <c r="AB224" s="242" t="str">
        <f t="shared" si="2"/>
        <v>#ERROR!</v>
      </c>
      <c r="AC224" s="154" t="s">
        <v>391</v>
      </c>
      <c r="AD224" s="242" t="b">
        <f t="shared" si="3"/>
        <v>0</v>
      </c>
      <c r="AE224" s="154"/>
      <c r="AF224" s="242" t="str">
        <f t="shared" si="4"/>
        <v>#ERROR!</v>
      </c>
      <c r="AG224" s="154" t="s">
        <v>652</v>
      </c>
      <c r="AH224" s="242" t="str">
        <f>IF(AG224="","N/A",INDIRECT("MTR!"&amp;ADDRESS(MATCH(LEFT(AG224,9),[1]MTR!C:C,0),COLUMN(J224)),TRUE) &amp; "")</f>
        <v>#ERROR!</v>
      </c>
      <c r="AI224" s="157" t="str">
        <f t="shared" si="5"/>
        <v>#ERROR!</v>
      </c>
    </row>
    <row r="225" ht="12.75" customHeight="1">
      <c r="A225" s="244" t="s">
        <v>5158</v>
      </c>
      <c r="B225" s="244" t="s">
        <v>231</v>
      </c>
      <c r="C225" s="244" t="s">
        <v>7386</v>
      </c>
      <c r="D225" s="154" t="s">
        <v>1315</v>
      </c>
      <c r="E225" s="154"/>
      <c r="F225" s="154" t="str">
        <f t="array" ref="F225">XLOOKUP(Cover!$D$12,$R$1:$Z$1,$R225:$Z225)</f>
        <v>Information</v>
      </c>
      <c r="G225" s="154" t="s">
        <v>7387</v>
      </c>
      <c r="H225" s="154" t="s">
        <v>7323</v>
      </c>
      <c r="I225" s="154" t="s">
        <v>7385</v>
      </c>
      <c r="J225" s="154" t="s">
        <v>6838</v>
      </c>
      <c r="K225" s="154" t="s">
        <v>7305</v>
      </c>
      <c r="L225" s="154" t="s">
        <v>6884</v>
      </c>
      <c r="M225" s="154"/>
      <c r="N225" s="154" t="s">
        <v>759</v>
      </c>
      <c r="O225" s="247" t="s">
        <v>445</v>
      </c>
      <c r="P225" s="247" t="s">
        <v>6772</v>
      </c>
      <c r="Q225" s="154" t="str">
        <f t="shared" si="1"/>
        <v>#ERROR!</v>
      </c>
      <c r="R225" s="154" t="s">
        <v>66</v>
      </c>
      <c r="S225" s="154" t="s">
        <v>66</v>
      </c>
      <c r="T225" s="154" t="s">
        <v>66</v>
      </c>
      <c r="U225" s="154" t="s">
        <v>66</v>
      </c>
      <c r="V225" s="154" t="s">
        <v>66</v>
      </c>
      <c r="W225" s="154" t="s">
        <v>66</v>
      </c>
      <c r="X225" s="154" t="s">
        <v>66</v>
      </c>
      <c r="Y225" s="154" t="s">
        <v>66</v>
      </c>
      <c r="Z225" s="154" t="s">
        <v>66</v>
      </c>
      <c r="AA225" s="154"/>
      <c r="AB225" s="242" t="str">
        <f t="shared" si="2"/>
        <v>#ERROR!</v>
      </c>
      <c r="AC225" s="154" t="s">
        <v>391</v>
      </c>
      <c r="AD225" s="242" t="b">
        <f t="shared" si="3"/>
        <v>0</v>
      </c>
      <c r="AE225" s="154"/>
      <c r="AF225" s="242" t="str">
        <f t="shared" si="4"/>
        <v>#ERROR!</v>
      </c>
      <c r="AG225" s="154" t="s">
        <v>652</v>
      </c>
      <c r="AH225" s="242" t="str">
        <f>IF(AG225="","N/A",INDIRECT("MTR!"&amp;ADDRESS(MATCH(LEFT(AG225,9),[1]MTR!C:C,0),COLUMN(J225)),TRUE) &amp; "")</f>
        <v>#ERROR!</v>
      </c>
      <c r="AI225" s="157" t="str">
        <f t="shared" si="5"/>
        <v>#ERROR!</v>
      </c>
    </row>
    <row r="226" ht="12.75" customHeight="1">
      <c r="A226" s="244" t="s">
        <v>5158</v>
      </c>
      <c r="B226" s="244" t="s">
        <v>231</v>
      </c>
      <c r="C226" s="244" t="s">
        <v>7388</v>
      </c>
      <c r="D226" s="154" t="s">
        <v>781</v>
      </c>
      <c r="E226" s="154"/>
      <c r="F226" s="154" t="str">
        <f t="array" ref="F226">XLOOKUP(Cover!$D$12,$R$1:$Z$1,$R226:$Z226)</f>
        <v>Information</v>
      </c>
      <c r="G226" s="154" t="s">
        <v>7389</v>
      </c>
      <c r="H226" s="154" t="s">
        <v>7314</v>
      </c>
      <c r="I226" s="154" t="s">
        <v>7390</v>
      </c>
      <c r="J226" s="154" t="s">
        <v>6848</v>
      </c>
      <c r="K226" s="154" t="s">
        <v>7305</v>
      </c>
      <c r="L226" s="154" t="s">
        <v>6140</v>
      </c>
      <c r="M226" s="154"/>
      <c r="N226" s="154" t="s">
        <v>759</v>
      </c>
      <c r="O226" s="247" t="s">
        <v>516</v>
      </c>
      <c r="P226" s="247" t="s">
        <v>6776</v>
      </c>
      <c r="Q226" s="154" t="str">
        <f t="shared" si="1"/>
        <v>#ERROR!</v>
      </c>
      <c r="R226" s="154" t="s">
        <v>66</v>
      </c>
      <c r="S226" s="154" t="s">
        <v>66</v>
      </c>
      <c r="T226" s="154" t="s">
        <v>66</v>
      </c>
      <c r="U226" s="154" t="s">
        <v>66</v>
      </c>
      <c r="V226" s="154" t="s">
        <v>66</v>
      </c>
      <c r="W226" s="154" t="s">
        <v>66</v>
      </c>
      <c r="X226" s="154" t="s">
        <v>66</v>
      </c>
      <c r="Y226" s="154" t="s">
        <v>66</v>
      </c>
      <c r="Z226" s="154" t="s">
        <v>66</v>
      </c>
      <c r="AA226" s="154"/>
      <c r="AB226" s="242" t="str">
        <f t="shared" si="2"/>
        <v>#ERROR!</v>
      </c>
      <c r="AC226" s="154" t="s">
        <v>391</v>
      </c>
      <c r="AD226" s="242" t="b">
        <f t="shared" si="3"/>
        <v>0</v>
      </c>
      <c r="AE226" s="154"/>
      <c r="AF226" s="242" t="str">
        <f t="shared" si="4"/>
        <v>#ERROR!</v>
      </c>
      <c r="AG226" s="154" t="s">
        <v>652</v>
      </c>
      <c r="AH226" s="242" t="str">
        <f>IF(AG226="","N/A",INDIRECT("MTR!"&amp;ADDRESS(MATCH(LEFT(AG226,9),[1]MTR!C:C,0),COLUMN(J226)),TRUE) &amp; "")</f>
        <v>#ERROR!</v>
      </c>
      <c r="AI226" s="157" t="str">
        <f t="shared" si="5"/>
        <v>#ERROR!</v>
      </c>
    </row>
    <row r="227" ht="12.75" customHeight="1">
      <c r="A227" s="244" t="s">
        <v>5158</v>
      </c>
      <c r="B227" s="244" t="s">
        <v>231</v>
      </c>
      <c r="C227" s="244" t="s">
        <v>7391</v>
      </c>
      <c r="D227" s="154" t="s">
        <v>781</v>
      </c>
      <c r="E227" s="154"/>
      <c r="F227" s="154" t="str">
        <f t="array" ref="F227">XLOOKUP(Cover!$D$12,$R$1:$Z$1,$R227:$Z227)</f>
        <v>Information</v>
      </c>
      <c r="G227" s="154" t="s">
        <v>7392</v>
      </c>
      <c r="H227" s="154" t="s">
        <v>7390</v>
      </c>
      <c r="I227" s="154" t="s">
        <v>7390</v>
      </c>
      <c r="J227" s="154" t="s">
        <v>6848</v>
      </c>
      <c r="K227" s="154" t="s">
        <v>7305</v>
      </c>
      <c r="L227" s="154" t="s">
        <v>6140</v>
      </c>
      <c r="M227" s="154"/>
      <c r="N227" s="154" t="s">
        <v>759</v>
      </c>
      <c r="O227" s="247" t="s">
        <v>516</v>
      </c>
      <c r="P227" s="247" t="s">
        <v>6776</v>
      </c>
      <c r="Q227" s="154" t="str">
        <f t="shared" si="1"/>
        <v>#ERROR!</v>
      </c>
      <c r="R227" s="154" t="s">
        <v>66</v>
      </c>
      <c r="S227" s="154" t="s">
        <v>66</v>
      </c>
      <c r="T227" s="154" t="s">
        <v>66</v>
      </c>
      <c r="U227" s="154" t="s">
        <v>66</v>
      </c>
      <c r="V227" s="154" t="s">
        <v>66</v>
      </c>
      <c r="W227" s="154" t="s">
        <v>66</v>
      </c>
      <c r="X227" s="154" t="s">
        <v>66</v>
      </c>
      <c r="Y227" s="154" t="s">
        <v>66</v>
      </c>
      <c r="Z227" s="154" t="s">
        <v>66</v>
      </c>
      <c r="AA227" s="154"/>
      <c r="AB227" s="242" t="str">
        <f t="shared" si="2"/>
        <v>#ERROR!</v>
      </c>
      <c r="AC227" s="154" t="s">
        <v>391</v>
      </c>
      <c r="AD227" s="242" t="b">
        <f t="shared" si="3"/>
        <v>0</v>
      </c>
      <c r="AE227" s="154"/>
      <c r="AF227" s="242" t="str">
        <f t="shared" si="4"/>
        <v>#ERROR!</v>
      </c>
      <c r="AG227" s="154" t="s">
        <v>652</v>
      </c>
      <c r="AH227" s="242" t="str">
        <f>IF(AG227="","N/A",INDIRECT("MTR!"&amp;ADDRESS(MATCH(LEFT(AG227,9),[1]MTR!C:C,0),COLUMN(J227)),TRUE) &amp; "")</f>
        <v>#ERROR!</v>
      </c>
      <c r="AI227" s="157" t="str">
        <f t="shared" si="5"/>
        <v>#ERROR!</v>
      </c>
    </row>
    <row r="228" ht="12.75" customHeight="1">
      <c r="A228" s="244" t="s">
        <v>5158</v>
      </c>
      <c r="B228" s="244" t="s">
        <v>231</v>
      </c>
      <c r="C228" s="244" t="s">
        <v>7393</v>
      </c>
      <c r="D228" s="154" t="s">
        <v>546</v>
      </c>
      <c r="E228" s="154"/>
      <c r="F228" s="154" t="str">
        <f t="array" ref="F228">XLOOKUP(Cover!$D$12,$R$1:$Z$1,$R228:$Z228)</f>
        <v>Recommended</v>
      </c>
      <c r="G228" s="154" t="s">
        <v>7394</v>
      </c>
      <c r="H228" s="154" t="s">
        <v>7314</v>
      </c>
      <c r="I228" s="154" t="s">
        <v>7395</v>
      </c>
      <c r="J228" s="154" t="s">
        <v>6858</v>
      </c>
      <c r="K228" s="154" t="s">
        <v>7305</v>
      </c>
      <c r="L228" s="154" t="s">
        <v>6529</v>
      </c>
      <c r="M228" s="154"/>
      <c r="N228" s="154" t="s">
        <v>759</v>
      </c>
      <c r="O228" s="247" t="s">
        <v>516</v>
      </c>
      <c r="P228" s="247" t="s">
        <v>7396</v>
      </c>
      <c r="Q228" s="154" t="str">
        <f t="shared" si="1"/>
        <v>#ERROR!</v>
      </c>
      <c r="R228" s="154" t="s">
        <v>66</v>
      </c>
      <c r="S228" s="154" t="s">
        <v>66</v>
      </c>
      <c r="T228" s="154" t="s">
        <v>66</v>
      </c>
      <c r="U228" s="154" t="s">
        <v>66</v>
      </c>
      <c r="V228" s="154" t="s">
        <v>66</v>
      </c>
      <c r="W228" s="154" t="s">
        <v>64</v>
      </c>
      <c r="X228" s="154" t="s">
        <v>66</v>
      </c>
      <c r="Y228" s="154" t="s">
        <v>66</v>
      </c>
      <c r="Z228" s="154" t="s">
        <v>64</v>
      </c>
      <c r="AA228" s="154"/>
      <c r="AB228" s="242" t="str">
        <f t="shared" si="2"/>
        <v>#ERROR!</v>
      </c>
      <c r="AC228" s="154" t="s">
        <v>391</v>
      </c>
      <c r="AD228" s="242" t="b">
        <f t="shared" si="3"/>
        <v>0</v>
      </c>
      <c r="AE228" s="154"/>
      <c r="AF228" s="242" t="str">
        <f t="shared" si="4"/>
        <v>#ERROR!</v>
      </c>
      <c r="AG228" s="154" t="s">
        <v>652</v>
      </c>
      <c r="AH228" s="242" t="str">
        <f>IF(AG228="","N/A",INDIRECT("MTR!"&amp;ADDRESS(MATCH(LEFT(AG228,9),[1]MTR!C:C,0),COLUMN(J228)),TRUE) &amp; "")</f>
        <v>#ERROR!</v>
      </c>
      <c r="AI228" s="157" t="str">
        <f t="shared" si="5"/>
        <v>#ERROR!</v>
      </c>
    </row>
    <row r="229" ht="12.75" customHeight="1">
      <c r="A229" s="244" t="s">
        <v>5158</v>
      </c>
      <c r="B229" s="244" t="s">
        <v>231</v>
      </c>
      <c r="C229" s="244" t="s">
        <v>7397</v>
      </c>
      <c r="D229" s="154" t="s">
        <v>546</v>
      </c>
      <c r="E229" s="154"/>
      <c r="F229" s="154" t="str">
        <f t="array" ref="F229">XLOOKUP(Cover!$D$12,$R$1:$Z$1,$R229:$Z229)</f>
        <v>Mandatory</v>
      </c>
      <c r="G229" s="154" t="s">
        <v>7398</v>
      </c>
      <c r="H229" s="154" t="s">
        <v>7317</v>
      </c>
      <c r="I229" s="154" t="s">
        <v>7395</v>
      </c>
      <c r="J229" s="154" t="s">
        <v>6858</v>
      </c>
      <c r="K229" s="154" t="s">
        <v>7305</v>
      </c>
      <c r="L229" s="154" t="s">
        <v>6529</v>
      </c>
      <c r="M229" s="154" t="s">
        <v>1122</v>
      </c>
      <c r="N229" s="154" t="s">
        <v>759</v>
      </c>
      <c r="O229" s="247" t="s">
        <v>445</v>
      </c>
      <c r="P229" s="247" t="s">
        <v>89</v>
      </c>
      <c r="Q229" s="154" t="str">
        <f t="shared" si="1"/>
        <v>#ERROR!</v>
      </c>
      <c r="R229" s="154" t="s">
        <v>66</v>
      </c>
      <c r="S229" s="154" t="s">
        <v>66</v>
      </c>
      <c r="T229" s="154" t="s">
        <v>66</v>
      </c>
      <c r="U229" s="154" t="s">
        <v>66</v>
      </c>
      <c r="V229" s="154" t="s">
        <v>66</v>
      </c>
      <c r="W229" s="154" t="s">
        <v>60</v>
      </c>
      <c r="X229" s="154" t="s">
        <v>66</v>
      </c>
      <c r="Y229" s="154" t="s">
        <v>66</v>
      </c>
      <c r="Z229" s="154" t="s">
        <v>60</v>
      </c>
      <c r="AA229" s="154"/>
      <c r="AB229" s="242" t="str">
        <f t="shared" si="2"/>
        <v>#ERROR!</v>
      </c>
      <c r="AC229" s="154" t="s">
        <v>391</v>
      </c>
      <c r="AD229" s="242" t="b">
        <f t="shared" si="3"/>
        <v>0</v>
      </c>
      <c r="AE229" s="154"/>
      <c r="AF229" s="242" t="str">
        <f t="shared" si="4"/>
        <v>#ERROR!</v>
      </c>
      <c r="AG229" s="154" t="s">
        <v>652</v>
      </c>
      <c r="AH229" s="242" t="str">
        <f>IF(AG229="","N/A",INDIRECT("MTR!"&amp;ADDRESS(MATCH(LEFT(AG229,9),[1]MTR!C:C,0),COLUMN(J229)),TRUE) &amp; "")</f>
        <v>#ERROR!</v>
      </c>
      <c r="AI229" s="157" t="str">
        <f t="shared" si="5"/>
        <v>#ERROR!</v>
      </c>
    </row>
    <row r="230" ht="12.75" customHeight="1">
      <c r="A230" s="244" t="s">
        <v>5158</v>
      </c>
      <c r="B230" s="244" t="s">
        <v>231</v>
      </c>
      <c r="C230" s="244" t="s">
        <v>7399</v>
      </c>
      <c r="D230" s="154" t="s">
        <v>747</v>
      </c>
      <c r="E230" s="154"/>
      <c r="F230" s="154" t="str">
        <f t="array" ref="F230">XLOOKUP(Cover!$D$12,$R$1:$Z$1,$R230:$Z230)</f>
        <v>Recommended</v>
      </c>
      <c r="G230" s="154" t="s">
        <v>7400</v>
      </c>
      <c r="H230" s="154" t="s">
        <v>7314</v>
      </c>
      <c r="I230" s="154" t="s">
        <v>7401</v>
      </c>
      <c r="J230" s="154" t="s">
        <v>6865</v>
      </c>
      <c r="K230" s="154" t="s">
        <v>7305</v>
      </c>
      <c r="L230" s="154" t="s">
        <v>6140</v>
      </c>
      <c r="M230" s="154"/>
      <c r="N230" s="154" t="s">
        <v>759</v>
      </c>
      <c r="O230" s="247" t="s">
        <v>516</v>
      </c>
      <c r="P230" s="247" t="s">
        <v>7402</v>
      </c>
      <c r="Q230" s="154" t="str">
        <f t="shared" si="1"/>
        <v>#ERROR!</v>
      </c>
      <c r="R230" s="154" t="s">
        <v>66</v>
      </c>
      <c r="S230" s="154" t="s">
        <v>66</v>
      </c>
      <c r="T230" s="154" t="s">
        <v>66</v>
      </c>
      <c r="U230" s="154" t="s">
        <v>66</v>
      </c>
      <c r="V230" s="154" t="s">
        <v>66</v>
      </c>
      <c r="W230" s="154" t="s">
        <v>64</v>
      </c>
      <c r="X230" s="154" t="s">
        <v>66</v>
      </c>
      <c r="Y230" s="154" t="s">
        <v>66</v>
      </c>
      <c r="Z230" s="154" t="s">
        <v>64</v>
      </c>
      <c r="AA230" s="154"/>
      <c r="AB230" s="242" t="str">
        <f t="shared" si="2"/>
        <v>#ERROR!</v>
      </c>
      <c r="AC230" s="154" t="s">
        <v>391</v>
      </c>
      <c r="AD230" s="242" t="b">
        <f t="shared" si="3"/>
        <v>0</v>
      </c>
      <c r="AE230" s="154"/>
      <c r="AF230" s="242" t="str">
        <f t="shared" si="4"/>
        <v>#ERROR!</v>
      </c>
      <c r="AG230" s="154" t="s">
        <v>652</v>
      </c>
      <c r="AH230" s="242" t="str">
        <f>IF(AG230="","N/A",INDIRECT("MTR!"&amp;ADDRESS(MATCH(LEFT(AG230,9),[1]MTR!C:C,0),COLUMN(J230)),TRUE) &amp; "")</f>
        <v>#ERROR!</v>
      </c>
      <c r="AI230" s="157" t="str">
        <f t="shared" si="5"/>
        <v>#ERROR!</v>
      </c>
    </row>
    <row r="231" ht="12.75" customHeight="1">
      <c r="A231" s="244" t="s">
        <v>5158</v>
      </c>
      <c r="B231" s="244" t="s">
        <v>231</v>
      </c>
      <c r="C231" s="244" t="s">
        <v>7403</v>
      </c>
      <c r="D231" s="154" t="s">
        <v>747</v>
      </c>
      <c r="E231" s="154"/>
      <c r="F231" s="154" t="str">
        <f t="array" ref="F231">XLOOKUP(Cover!$D$12,$R$1:$Z$1,$R231:$Z231)</f>
        <v>Mandatory</v>
      </c>
      <c r="G231" s="154" t="s">
        <v>7404</v>
      </c>
      <c r="H231" s="154" t="s">
        <v>7320</v>
      </c>
      <c r="I231" s="154" t="s">
        <v>7401</v>
      </c>
      <c r="J231" s="154" t="s">
        <v>6865</v>
      </c>
      <c r="K231" s="154" t="s">
        <v>7305</v>
      </c>
      <c r="L231" s="154" t="s">
        <v>6140</v>
      </c>
      <c r="M231" s="154" t="s">
        <v>1122</v>
      </c>
      <c r="N231" s="154" t="s">
        <v>759</v>
      </c>
      <c r="O231" s="247" t="s">
        <v>445</v>
      </c>
      <c r="P231" s="247" t="s">
        <v>89</v>
      </c>
      <c r="Q231" s="154" t="str">
        <f t="shared" si="1"/>
        <v>#ERROR!</v>
      </c>
      <c r="R231" s="154" t="s">
        <v>66</v>
      </c>
      <c r="S231" s="154" t="s">
        <v>66</v>
      </c>
      <c r="T231" s="154" t="s">
        <v>66</v>
      </c>
      <c r="U231" s="154" t="s">
        <v>66</v>
      </c>
      <c r="V231" s="154" t="s">
        <v>66</v>
      </c>
      <c r="W231" s="154" t="s">
        <v>60</v>
      </c>
      <c r="X231" s="154" t="s">
        <v>66</v>
      </c>
      <c r="Y231" s="154" t="s">
        <v>66</v>
      </c>
      <c r="Z231" s="154" t="s">
        <v>60</v>
      </c>
      <c r="AA231" s="154"/>
      <c r="AB231" s="242" t="str">
        <f t="shared" si="2"/>
        <v>#ERROR!</v>
      </c>
      <c r="AC231" s="154" t="s">
        <v>391</v>
      </c>
      <c r="AD231" s="242" t="b">
        <f t="shared" si="3"/>
        <v>0</v>
      </c>
      <c r="AE231" s="154"/>
      <c r="AF231" s="242" t="str">
        <f t="shared" si="4"/>
        <v>#ERROR!</v>
      </c>
      <c r="AG231" s="154" t="s">
        <v>652</v>
      </c>
      <c r="AH231" s="242" t="str">
        <f>IF(AG231="","N/A",INDIRECT("MTR!"&amp;ADDRESS(MATCH(LEFT(AG231,9),[1]MTR!C:C,0),COLUMN(J231)),TRUE) &amp; "")</f>
        <v>#ERROR!</v>
      </c>
      <c r="AI231" s="157" t="str">
        <f t="shared" si="5"/>
        <v>#ERROR!</v>
      </c>
    </row>
    <row r="232" ht="12.75" customHeight="1">
      <c r="A232" s="244" t="s">
        <v>5158</v>
      </c>
      <c r="B232" s="244" t="s">
        <v>231</v>
      </c>
      <c r="C232" s="244" t="s">
        <v>7405</v>
      </c>
      <c r="D232" s="154" t="s">
        <v>781</v>
      </c>
      <c r="E232" s="154"/>
      <c r="F232" s="154" t="str">
        <f t="array" ref="F232">XLOOKUP(Cover!$D$12,$R$1:$Z$1,$R232:$Z232)</f>
        <v>Information</v>
      </c>
      <c r="G232" s="154" t="s">
        <v>7406</v>
      </c>
      <c r="H232" s="154" t="s">
        <v>7314</v>
      </c>
      <c r="I232" s="154" t="s">
        <v>7407</v>
      </c>
      <c r="J232" s="154" t="s">
        <v>6872</v>
      </c>
      <c r="K232" s="154" t="s">
        <v>7305</v>
      </c>
      <c r="L232" s="154" t="s">
        <v>6942</v>
      </c>
      <c r="M232" s="154"/>
      <c r="N232" s="154" t="s">
        <v>759</v>
      </c>
      <c r="O232" s="247" t="s">
        <v>516</v>
      </c>
      <c r="P232" s="247" t="s">
        <v>7408</v>
      </c>
      <c r="Q232" s="154" t="str">
        <f t="shared" si="1"/>
        <v>#ERROR!</v>
      </c>
      <c r="R232" s="154" t="s">
        <v>66</v>
      </c>
      <c r="S232" s="154" t="s">
        <v>66</v>
      </c>
      <c r="T232" s="154" t="s">
        <v>66</v>
      </c>
      <c r="U232" s="154" t="s">
        <v>66</v>
      </c>
      <c r="V232" s="154" t="s">
        <v>66</v>
      </c>
      <c r="W232" s="154" t="s">
        <v>66</v>
      </c>
      <c r="X232" s="154" t="s">
        <v>66</v>
      </c>
      <c r="Y232" s="154" t="s">
        <v>66</v>
      </c>
      <c r="Z232" s="154" t="s">
        <v>66</v>
      </c>
      <c r="AA232" s="154"/>
      <c r="AB232" s="242" t="str">
        <f t="shared" si="2"/>
        <v>#ERROR!</v>
      </c>
      <c r="AC232" s="154" t="s">
        <v>391</v>
      </c>
      <c r="AD232" s="242" t="b">
        <f t="shared" si="3"/>
        <v>0</v>
      </c>
      <c r="AE232" s="154"/>
      <c r="AF232" s="242" t="str">
        <f t="shared" si="4"/>
        <v>#ERROR!</v>
      </c>
      <c r="AG232" s="154" t="s">
        <v>652</v>
      </c>
      <c r="AH232" s="242" t="str">
        <f>IF(AG232="","N/A",INDIRECT("MTR!"&amp;ADDRESS(MATCH(LEFT(AG232,9),[1]MTR!C:C,0),COLUMN(J232)),TRUE) &amp; "")</f>
        <v>#ERROR!</v>
      </c>
      <c r="AI232" s="157" t="str">
        <f t="shared" si="5"/>
        <v>#ERROR!</v>
      </c>
    </row>
    <row r="233" ht="12.75" customHeight="1">
      <c r="A233" s="244" t="s">
        <v>5158</v>
      </c>
      <c r="B233" s="244" t="s">
        <v>231</v>
      </c>
      <c r="C233" s="244" t="s">
        <v>7409</v>
      </c>
      <c r="D233" s="154" t="s">
        <v>781</v>
      </c>
      <c r="E233" s="154"/>
      <c r="F233" s="154" t="str">
        <f t="array" ref="F233">XLOOKUP(Cover!$D$12,$R$1:$Z$1,$R233:$Z233)</f>
        <v>Information</v>
      </c>
      <c r="G233" s="154" t="s">
        <v>7410</v>
      </c>
      <c r="H233" s="154" t="s">
        <v>7323</v>
      </c>
      <c r="I233" s="154" t="s">
        <v>7407</v>
      </c>
      <c r="J233" s="154" t="s">
        <v>6872</v>
      </c>
      <c r="K233" s="154" t="s">
        <v>7305</v>
      </c>
      <c r="L233" s="154" t="s">
        <v>6942</v>
      </c>
      <c r="M233" s="154"/>
      <c r="N233" s="154" t="s">
        <v>759</v>
      </c>
      <c r="O233" s="247" t="s">
        <v>445</v>
      </c>
      <c r="P233" s="247" t="s">
        <v>89</v>
      </c>
      <c r="Q233" s="154" t="str">
        <f t="shared" si="1"/>
        <v>#ERROR!</v>
      </c>
      <c r="R233" s="154" t="s">
        <v>66</v>
      </c>
      <c r="S233" s="154" t="s">
        <v>66</v>
      </c>
      <c r="T233" s="154" t="s">
        <v>66</v>
      </c>
      <c r="U233" s="154" t="s">
        <v>66</v>
      </c>
      <c r="V233" s="154" t="s">
        <v>66</v>
      </c>
      <c r="W233" s="154" t="s">
        <v>66</v>
      </c>
      <c r="X233" s="154" t="s">
        <v>66</v>
      </c>
      <c r="Y233" s="154" t="s">
        <v>66</v>
      </c>
      <c r="Z233" s="154" t="s">
        <v>66</v>
      </c>
      <c r="AA233" s="154"/>
      <c r="AB233" s="242" t="str">
        <f t="shared" si="2"/>
        <v>#ERROR!</v>
      </c>
      <c r="AC233" s="154" t="s">
        <v>391</v>
      </c>
      <c r="AD233" s="242" t="b">
        <f t="shared" si="3"/>
        <v>0</v>
      </c>
      <c r="AE233" s="154"/>
      <c r="AF233" s="242" t="str">
        <f t="shared" si="4"/>
        <v>#ERROR!</v>
      </c>
      <c r="AG233" s="154" t="s">
        <v>652</v>
      </c>
      <c r="AH233" s="242" t="str">
        <f>IF(AG233="","N/A",INDIRECT("MTR!"&amp;ADDRESS(MATCH(LEFT(AG233,9),[1]MTR!C:C,0),COLUMN(J233)),TRUE) &amp; "")</f>
        <v>#ERROR!</v>
      </c>
      <c r="AI233" s="157" t="str">
        <f t="shared" si="5"/>
        <v>#ERROR!</v>
      </c>
    </row>
    <row r="234" ht="12.75" customHeight="1">
      <c r="A234" s="244" t="s">
        <v>5158</v>
      </c>
      <c r="B234" s="244" t="s">
        <v>231</v>
      </c>
      <c r="C234" s="244" t="s">
        <v>7411</v>
      </c>
      <c r="D234" s="154" t="s">
        <v>1315</v>
      </c>
      <c r="E234" s="154"/>
      <c r="F234" s="154" t="str">
        <f t="array" ref="F234">XLOOKUP(Cover!$D$12,$R$1:$Z$1,$R234:$Z234)</f>
        <v>Recommended</v>
      </c>
      <c r="G234" s="154" t="s">
        <v>7412</v>
      </c>
      <c r="H234" s="154" t="s">
        <v>7314</v>
      </c>
      <c r="I234" s="154" t="s">
        <v>7413</v>
      </c>
      <c r="J234" s="154" t="s">
        <v>6879</v>
      </c>
      <c r="K234" s="154" t="s">
        <v>7305</v>
      </c>
      <c r="L234" s="154" t="s">
        <v>6905</v>
      </c>
      <c r="M234" s="154"/>
      <c r="N234" s="154" t="s">
        <v>759</v>
      </c>
      <c r="O234" s="247" t="s">
        <v>516</v>
      </c>
      <c r="P234" s="247" t="s">
        <v>6776</v>
      </c>
      <c r="Q234" s="154" t="str">
        <f t="shared" si="1"/>
        <v>#ERROR!</v>
      </c>
      <c r="R234" s="154" t="s">
        <v>66</v>
      </c>
      <c r="S234" s="154" t="s">
        <v>66</v>
      </c>
      <c r="T234" s="154" t="s">
        <v>66</v>
      </c>
      <c r="U234" s="154" t="s">
        <v>66</v>
      </c>
      <c r="V234" s="154" t="s">
        <v>66</v>
      </c>
      <c r="W234" s="154" t="s">
        <v>64</v>
      </c>
      <c r="X234" s="154" t="s">
        <v>66</v>
      </c>
      <c r="Y234" s="154" t="s">
        <v>66</v>
      </c>
      <c r="Z234" s="154" t="s">
        <v>64</v>
      </c>
      <c r="AA234" s="154"/>
      <c r="AB234" s="242" t="str">
        <f t="shared" si="2"/>
        <v>#ERROR!</v>
      </c>
      <c r="AC234" s="154" t="s">
        <v>391</v>
      </c>
      <c r="AD234" s="242" t="b">
        <f t="shared" si="3"/>
        <v>0</v>
      </c>
      <c r="AE234" s="154"/>
      <c r="AF234" s="242" t="str">
        <f t="shared" si="4"/>
        <v>#ERROR!</v>
      </c>
      <c r="AG234" s="154" t="s">
        <v>652</v>
      </c>
      <c r="AH234" s="242" t="str">
        <f>IF(AG234="","N/A",INDIRECT("MTR!"&amp;ADDRESS(MATCH(LEFT(AG234,9),[1]MTR!C:C,0),COLUMN(J234)),TRUE) &amp; "")</f>
        <v>#ERROR!</v>
      </c>
      <c r="AI234" s="157" t="str">
        <f t="shared" si="5"/>
        <v>#ERROR!</v>
      </c>
    </row>
    <row r="235" ht="12.75" customHeight="1">
      <c r="A235" s="244" t="s">
        <v>5158</v>
      </c>
      <c r="B235" s="244" t="s">
        <v>231</v>
      </c>
      <c r="C235" s="244" t="s">
        <v>7414</v>
      </c>
      <c r="D235" s="154" t="s">
        <v>1315</v>
      </c>
      <c r="E235" s="154"/>
      <c r="F235" s="154" t="str">
        <f t="array" ref="F235">XLOOKUP(Cover!$D$12,$R$1:$Z$1,$R235:$Z235)</f>
        <v>Recommended</v>
      </c>
      <c r="G235" s="154" t="s">
        <v>7415</v>
      </c>
      <c r="H235" s="154" t="s">
        <v>7317</v>
      </c>
      <c r="I235" s="154" t="s">
        <v>7416</v>
      </c>
      <c r="J235" s="154" t="s">
        <v>6883</v>
      </c>
      <c r="K235" s="154" t="s">
        <v>7305</v>
      </c>
      <c r="L235" s="154" t="s">
        <v>6884</v>
      </c>
      <c r="M235" s="154"/>
      <c r="N235" s="154" t="s">
        <v>759</v>
      </c>
      <c r="O235" s="247" t="s">
        <v>516</v>
      </c>
      <c r="P235" s="247" t="s">
        <v>6776</v>
      </c>
      <c r="Q235" s="154" t="str">
        <f t="shared" si="1"/>
        <v>#ERROR!</v>
      </c>
      <c r="R235" s="154" t="s">
        <v>66</v>
      </c>
      <c r="S235" s="154" t="s">
        <v>66</v>
      </c>
      <c r="T235" s="154" t="s">
        <v>66</v>
      </c>
      <c r="U235" s="154" t="s">
        <v>66</v>
      </c>
      <c r="V235" s="154" t="s">
        <v>66</v>
      </c>
      <c r="W235" s="154" t="s">
        <v>64</v>
      </c>
      <c r="X235" s="154" t="s">
        <v>66</v>
      </c>
      <c r="Y235" s="154" t="s">
        <v>66</v>
      </c>
      <c r="Z235" s="154" t="s">
        <v>64</v>
      </c>
      <c r="AA235" s="154"/>
      <c r="AB235" s="242" t="str">
        <f t="shared" si="2"/>
        <v>#ERROR!</v>
      </c>
      <c r="AC235" s="154" t="s">
        <v>391</v>
      </c>
      <c r="AD235" s="242" t="b">
        <f t="shared" si="3"/>
        <v>0</v>
      </c>
      <c r="AE235" s="154"/>
      <c r="AF235" s="242" t="str">
        <f t="shared" si="4"/>
        <v>#ERROR!</v>
      </c>
      <c r="AG235" s="154" t="s">
        <v>652</v>
      </c>
      <c r="AH235" s="242" t="str">
        <f>IF(AG235="","N/A",INDIRECT("MTR!"&amp;ADDRESS(MATCH(LEFT(AG235,9),[1]MTR!C:C,0),COLUMN(J235)),TRUE) &amp; "")</f>
        <v>#ERROR!</v>
      </c>
      <c r="AI235" s="157" t="str">
        <f t="shared" si="5"/>
        <v>#ERROR!</v>
      </c>
    </row>
    <row r="236" ht="12.75" customHeight="1">
      <c r="A236" s="244" t="s">
        <v>5158</v>
      </c>
      <c r="B236" s="244" t="s">
        <v>231</v>
      </c>
      <c r="C236" s="244" t="s">
        <v>7417</v>
      </c>
      <c r="D236" s="154" t="s">
        <v>1315</v>
      </c>
      <c r="E236" s="154"/>
      <c r="F236" s="154" t="str">
        <f t="array" ref="F236">XLOOKUP(Cover!$D$12,$R$1:$Z$1,$R236:$Z236)</f>
        <v>Recommended</v>
      </c>
      <c r="G236" s="154" t="s">
        <v>7418</v>
      </c>
      <c r="H236" s="154" t="s">
        <v>7320</v>
      </c>
      <c r="I236" s="154" t="s">
        <v>7416</v>
      </c>
      <c r="J236" s="154" t="s">
        <v>6883</v>
      </c>
      <c r="K236" s="154" t="s">
        <v>7305</v>
      </c>
      <c r="L236" s="154" t="s">
        <v>6884</v>
      </c>
      <c r="M236" s="154"/>
      <c r="N236" s="154" t="s">
        <v>759</v>
      </c>
      <c r="O236" s="247" t="s">
        <v>516</v>
      </c>
      <c r="P236" s="247" t="s">
        <v>6776</v>
      </c>
      <c r="Q236" s="154" t="str">
        <f t="shared" si="1"/>
        <v>#ERROR!</v>
      </c>
      <c r="R236" s="154" t="s">
        <v>66</v>
      </c>
      <c r="S236" s="154" t="s">
        <v>66</v>
      </c>
      <c r="T236" s="154" t="s">
        <v>66</v>
      </c>
      <c r="U236" s="154" t="s">
        <v>66</v>
      </c>
      <c r="V236" s="154" t="s">
        <v>66</v>
      </c>
      <c r="W236" s="154" t="s">
        <v>64</v>
      </c>
      <c r="X236" s="154" t="s">
        <v>66</v>
      </c>
      <c r="Y236" s="154" t="s">
        <v>66</v>
      </c>
      <c r="Z236" s="154" t="s">
        <v>64</v>
      </c>
      <c r="AA236" s="154"/>
      <c r="AB236" s="242" t="str">
        <f t="shared" si="2"/>
        <v>#ERROR!</v>
      </c>
      <c r="AC236" s="154" t="s">
        <v>391</v>
      </c>
      <c r="AD236" s="242" t="b">
        <f t="shared" si="3"/>
        <v>0</v>
      </c>
      <c r="AE236" s="154"/>
      <c r="AF236" s="242" t="str">
        <f t="shared" si="4"/>
        <v>#ERROR!</v>
      </c>
      <c r="AG236" s="154" t="s">
        <v>652</v>
      </c>
      <c r="AH236" s="242" t="str">
        <f>IF(AG236="","N/A",INDIRECT("MTR!"&amp;ADDRESS(MATCH(LEFT(AG236,9),[1]MTR!C:C,0),COLUMN(J236)),TRUE) &amp; "")</f>
        <v>#ERROR!</v>
      </c>
      <c r="AI236" s="157" t="str">
        <f t="shared" si="5"/>
        <v>#ERROR!</v>
      </c>
    </row>
    <row r="237" ht="12.75" customHeight="1">
      <c r="A237" s="244" t="s">
        <v>5158</v>
      </c>
      <c r="B237" s="244" t="s">
        <v>231</v>
      </c>
      <c r="C237" s="244" t="s">
        <v>7419</v>
      </c>
      <c r="D237" s="154" t="s">
        <v>1069</v>
      </c>
      <c r="E237" s="154"/>
      <c r="F237" s="154" t="str">
        <f t="array" ref="F237">XLOOKUP(Cover!$D$12,$R$1:$Z$1,$R237:$Z237)</f>
        <v>Information</v>
      </c>
      <c r="G237" s="154" t="s">
        <v>7420</v>
      </c>
      <c r="H237" s="154" t="s">
        <v>7317</v>
      </c>
      <c r="I237" s="154" t="s">
        <v>7421</v>
      </c>
      <c r="J237" s="154" t="s">
        <v>7422</v>
      </c>
      <c r="K237" s="154" t="s">
        <v>7305</v>
      </c>
      <c r="L237" s="154" t="s">
        <v>6154</v>
      </c>
      <c r="M237" s="154"/>
      <c r="N237" s="154" t="s">
        <v>759</v>
      </c>
      <c r="O237" s="247" t="s">
        <v>516</v>
      </c>
      <c r="P237" s="247" t="s">
        <v>6776</v>
      </c>
      <c r="Q237" s="154" t="str">
        <f t="shared" si="1"/>
        <v>#ERROR!</v>
      </c>
      <c r="R237" s="154" t="s">
        <v>66</v>
      </c>
      <c r="S237" s="154" t="s">
        <v>66</v>
      </c>
      <c r="T237" s="154" t="s">
        <v>66</v>
      </c>
      <c r="U237" s="154" t="s">
        <v>66</v>
      </c>
      <c r="V237" s="154" t="s">
        <v>66</v>
      </c>
      <c r="W237" s="154" t="s">
        <v>66</v>
      </c>
      <c r="X237" s="154" t="s">
        <v>66</v>
      </c>
      <c r="Y237" s="154" t="s">
        <v>66</v>
      </c>
      <c r="Z237" s="154" t="s">
        <v>66</v>
      </c>
      <c r="AA237" s="154"/>
      <c r="AB237" s="242" t="str">
        <f t="shared" si="2"/>
        <v>#ERROR!</v>
      </c>
      <c r="AC237" s="154" t="s">
        <v>391</v>
      </c>
      <c r="AD237" s="242" t="b">
        <f t="shared" si="3"/>
        <v>0</v>
      </c>
      <c r="AE237" s="154"/>
      <c r="AF237" s="242" t="str">
        <f t="shared" si="4"/>
        <v>#ERROR!</v>
      </c>
      <c r="AG237" s="154" t="s">
        <v>652</v>
      </c>
      <c r="AH237" s="242" t="str">
        <f>IF(AG237="","N/A",INDIRECT("MTR!"&amp;ADDRESS(MATCH(LEFT(AG237,9),[1]MTR!C:C,0),COLUMN(J237)),TRUE) &amp; "")</f>
        <v>#ERROR!</v>
      </c>
      <c r="AI237" s="157" t="str">
        <f t="shared" si="5"/>
        <v>#ERROR!</v>
      </c>
    </row>
    <row r="238" ht="12.75" customHeight="1">
      <c r="A238" s="244" t="s">
        <v>5158</v>
      </c>
      <c r="B238" s="244" t="s">
        <v>231</v>
      </c>
      <c r="C238" s="244" t="s">
        <v>7423</v>
      </c>
      <c r="D238" s="154" t="s">
        <v>1069</v>
      </c>
      <c r="E238" s="154"/>
      <c r="F238" s="154" t="str">
        <f t="array" ref="F238">XLOOKUP(Cover!$D$12,$R$1:$Z$1,$R238:$Z238)</f>
        <v>Information</v>
      </c>
      <c r="G238" s="154" t="s">
        <v>7424</v>
      </c>
      <c r="H238" s="154" t="s">
        <v>7323</v>
      </c>
      <c r="I238" s="154" t="s">
        <v>7421</v>
      </c>
      <c r="J238" s="154" t="s">
        <v>7422</v>
      </c>
      <c r="K238" s="154" t="s">
        <v>7305</v>
      </c>
      <c r="L238" s="154" t="s">
        <v>6154</v>
      </c>
      <c r="M238" s="154"/>
      <c r="N238" s="154" t="s">
        <v>759</v>
      </c>
      <c r="O238" s="247" t="s">
        <v>516</v>
      </c>
      <c r="P238" s="247" t="s">
        <v>6776</v>
      </c>
      <c r="Q238" s="154" t="str">
        <f t="shared" si="1"/>
        <v>#ERROR!</v>
      </c>
      <c r="R238" s="154" t="s">
        <v>66</v>
      </c>
      <c r="S238" s="154" t="s">
        <v>66</v>
      </c>
      <c r="T238" s="154" t="s">
        <v>66</v>
      </c>
      <c r="U238" s="154" t="s">
        <v>66</v>
      </c>
      <c r="V238" s="154" t="s">
        <v>66</v>
      </c>
      <c r="W238" s="154" t="s">
        <v>66</v>
      </c>
      <c r="X238" s="154" t="s">
        <v>66</v>
      </c>
      <c r="Y238" s="154" t="s">
        <v>66</v>
      </c>
      <c r="Z238" s="154" t="s">
        <v>66</v>
      </c>
      <c r="AA238" s="154"/>
      <c r="AB238" s="242" t="str">
        <f t="shared" si="2"/>
        <v>#ERROR!</v>
      </c>
      <c r="AC238" s="154" t="s">
        <v>391</v>
      </c>
      <c r="AD238" s="242" t="b">
        <f t="shared" si="3"/>
        <v>0</v>
      </c>
      <c r="AE238" s="154"/>
      <c r="AF238" s="242" t="str">
        <f t="shared" si="4"/>
        <v>#ERROR!</v>
      </c>
      <c r="AG238" s="154" t="s">
        <v>652</v>
      </c>
      <c r="AH238" s="242" t="str">
        <f>IF(AG238="","N/A",INDIRECT("MTR!"&amp;ADDRESS(MATCH(LEFT(AG238,9),[1]MTR!C:C,0),COLUMN(J238)),TRUE) &amp; "")</f>
        <v>#ERROR!</v>
      </c>
      <c r="AI238" s="157" t="str">
        <f t="shared" si="5"/>
        <v>#ERROR!</v>
      </c>
    </row>
    <row r="239" ht="12.75" customHeight="1">
      <c r="A239" s="244" t="s">
        <v>5158</v>
      </c>
      <c r="B239" s="244" t="s">
        <v>231</v>
      </c>
      <c r="C239" s="244" t="s">
        <v>7425</v>
      </c>
      <c r="D239" s="154" t="s">
        <v>1773</v>
      </c>
      <c r="E239" s="154"/>
      <c r="F239" s="154" t="str">
        <f t="array" ref="F239">XLOOKUP(Cover!$D$12,$R$1:$Z$1,$R239:$Z239)</f>
        <v>Mandatory</v>
      </c>
      <c r="G239" s="154" t="s">
        <v>7426</v>
      </c>
      <c r="H239" s="154" t="s">
        <v>7317</v>
      </c>
      <c r="I239" s="154" t="s">
        <v>7427</v>
      </c>
      <c r="J239" s="154" t="s">
        <v>6890</v>
      </c>
      <c r="K239" s="154" t="s">
        <v>7305</v>
      </c>
      <c r="L239" s="154" t="s">
        <v>7175</v>
      </c>
      <c r="M239" s="154" t="s">
        <v>1122</v>
      </c>
      <c r="N239" s="154" t="s">
        <v>759</v>
      </c>
      <c r="O239" s="247" t="s">
        <v>445</v>
      </c>
      <c r="P239" s="247" t="s">
        <v>6772</v>
      </c>
      <c r="Q239" s="154" t="str">
        <f t="shared" si="1"/>
        <v>#ERROR!</v>
      </c>
      <c r="R239" s="154" t="s">
        <v>66</v>
      </c>
      <c r="S239" s="154" t="s">
        <v>66</v>
      </c>
      <c r="T239" s="154" t="s">
        <v>66</v>
      </c>
      <c r="U239" s="154" t="s">
        <v>66</v>
      </c>
      <c r="V239" s="154" t="s">
        <v>66</v>
      </c>
      <c r="W239" s="154" t="s">
        <v>60</v>
      </c>
      <c r="X239" s="154" t="s">
        <v>66</v>
      </c>
      <c r="Y239" s="154" t="s">
        <v>66</v>
      </c>
      <c r="Z239" s="154" t="s">
        <v>60</v>
      </c>
      <c r="AA239" s="154"/>
      <c r="AB239" s="242" t="str">
        <f t="shared" si="2"/>
        <v>#ERROR!</v>
      </c>
      <c r="AC239" s="154" t="s">
        <v>391</v>
      </c>
      <c r="AD239" s="242" t="b">
        <f t="shared" si="3"/>
        <v>0</v>
      </c>
      <c r="AE239" s="154"/>
      <c r="AF239" s="242" t="str">
        <f t="shared" si="4"/>
        <v>#ERROR!</v>
      </c>
      <c r="AG239" s="154" t="s">
        <v>652</v>
      </c>
      <c r="AH239" s="242" t="str">
        <f>IF(AG239="","N/A",INDIRECT("MTR!"&amp;ADDRESS(MATCH(LEFT(AG239,9),[1]MTR!C:C,0),COLUMN(J239)),TRUE) &amp; "")</f>
        <v>#ERROR!</v>
      </c>
      <c r="AI239" s="157" t="str">
        <f t="shared" si="5"/>
        <v>#ERROR!</v>
      </c>
    </row>
    <row r="240" ht="12.75" customHeight="1">
      <c r="A240" s="244" t="s">
        <v>5158</v>
      </c>
      <c r="B240" s="244" t="s">
        <v>231</v>
      </c>
      <c r="C240" s="244" t="s">
        <v>7428</v>
      </c>
      <c r="D240" s="154" t="s">
        <v>503</v>
      </c>
      <c r="E240" s="154"/>
      <c r="F240" s="154" t="str">
        <f t="array" ref="F240">XLOOKUP(Cover!$D$12,$R$1:$Z$1,$R240:$Z240)</f>
        <v>Information</v>
      </c>
      <c r="G240" s="154" t="s">
        <v>7429</v>
      </c>
      <c r="H240" s="154" t="s">
        <v>7308</v>
      </c>
      <c r="I240" s="154" t="s">
        <v>7430</v>
      </c>
      <c r="J240" s="154" t="s">
        <v>6832</v>
      </c>
      <c r="K240" s="154" t="s">
        <v>7305</v>
      </c>
      <c r="L240" s="154" t="s">
        <v>7431</v>
      </c>
      <c r="M240" s="154"/>
      <c r="N240" s="154" t="s">
        <v>759</v>
      </c>
      <c r="O240" s="247" t="s">
        <v>516</v>
      </c>
      <c r="P240" s="247" t="s">
        <v>6776</v>
      </c>
      <c r="Q240" s="154" t="str">
        <f t="shared" si="1"/>
        <v>#ERROR!</v>
      </c>
      <c r="R240" s="154" t="s">
        <v>66</v>
      </c>
      <c r="S240" s="154" t="s">
        <v>66</v>
      </c>
      <c r="T240" s="154" t="s">
        <v>66</v>
      </c>
      <c r="U240" s="154" t="s">
        <v>66</v>
      </c>
      <c r="V240" s="154" t="s">
        <v>66</v>
      </c>
      <c r="W240" s="154" t="s">
        <v>66</v>
      </c>
      <c r="X240" s="154" t="s">
        <v>66</v>
      </c>
      <c r="Y240" s="154" t="s">
        <v>66</v>
      </c>
      <c r="Z240" s="154" t="s">
        <v>66</v>
      </c>
      <c r="AA240" s="154"/>
      <c r="AB240" s="242" t="str">
        <f t="shared" si="2"/>
        <v>#ERROR!</v>
      </c>
      <c r="AC240" s="154" t="s">
        <v>391</v>
      </c>
      <c r="AD240" s="242" t="b">
        <f t="shared" si="3"/>
        <v>0</v>
      </c>
      <c r="AE240" s="154"/>
      <c r="AF240" s="242" t="str">
        <f t="shared" si="4"/>
        <v>#ERROR!</v>
      </c>
      <c r="AG240" s="154"/>
      <c r="AH240" s="242" t="str">
        <f>IF(AG240="","N/A",INDIRECT("MTR!"&amp;ADDRESS(MATCH(LEFT(AG240,9),[1]MTR!C:C,0),COLUMN(J240)),TRUE) &amp; "")</f>
        <v>#ERROR!</v>
      </c>
      <c r="AI240" s="157" t="str">
        <f t="shared" si="5"/>
        <v>#ERROR!</v>
      </c>
    </row>
    <row r="241" ht="12.75" customHeight="1">
      <c r="A241" s="244" t="s">
        <v>5158</v>
      </c>
      <c r="B241" s="244" t="s">
        <v>231</v>
      </c>
      <c r="C241" s="244" t="s">
        <v>7432</v>
      </c>
      <c r="D241" s="154" t="s">
        <v>503</v>
      </c>
      <c r="E241" s="154"/>
      <c r="F241" s="154" t="str">
        <f t="array" ref="F241">XLOOKUP(Cover!$D$12,$R$1:$Z$1,$R241:$Z241)</f>
        <v>Information</v>
      </c>
      <c r="G241" s="154" t="s">
        <v>7433</v>
      </c>
      <c r="H241" s="154" t="s">
        <v>7320</v>
      </c>
      <c r="I241" s="154" t="s">
        <v>7430</v>
      </c>
      <c r="J241" s="154" t="s">
        <v>6832</v>
      </c>
      <c r="K241" s="154" t="s">
        <v>7305</v>
      </c>
      <c r="L241" s="154" t="s">
        <v>7431</v>
      </c>
      <c r="M241" s="154"/>
      <c r="N241" s="154" t="s">
        <v>759</v>
      </c>
      <c r="O241" s="247" t="s">
        <v>516</v>
      </c>
      <c r="P241" s="247" t="s">
        <v>6776</v>
      </c>
      <c r="Q241" s="154" t="str">
        <f t="shared" si="1"/>
        <v>#ERROR!</v>
      </c>
      <c r="R241" s="154" t="s">
        <v>66</v>
      </c>
      <c r="S241" s="154" t="s">
        <v>66</v>
      </c>
      <c r="T241" s="154" t="s">
        <v>66</v>
      </c>
      <c r="U241" s="154" t="s">
        <v>66</v>
      </c>
      <c r="V241" s="154" t="s">
        <v>66</v>
      </c>
      <c r="W241" s="154" t="s">
        <v>66</v>
      </c>
      <c r="X241" s="154" t="s">
        <v>66</v>
      </c>
      <c r="Y241" s="154" t="s">
        <v>66</v>
      </c>
      <c r="Z241" s="154" t="s">
        <v>66</v>
      </c>
      <c r="AA241" s="154"/>
      <c r="AB241" s="242" t="str">
        <f t="shared" si="2"/>
        <v>#ERROR!</v>
      </c>
      <c r="AC241" s="154" t="s">
        <v>391</v>
      </c>
      <c r="AD241" s="242" t="b">
        <f t="shared" si="3"/>
        <v>0</v>
      </c>
      <c r="AE241" s="154"/>
      <c r="AF241" s="242" t="str">
        <f t="shared" si="4"/>
        <v>#ERROR!</v>
      </c>
      <c r="AG241" s="154"/>
      <c r="AH241" s="242" t="str">
        <f>IF(AG241="","N/A",INDIRECT("MTR!"&amp;ADDRESS(MATCH(LEFT(AG241,9),[1]MTR!C:C,0),COLUMN(J241)),TRUE) &amp; "")</f>
        <v>#ERROR!</v>
      </c>
      <c r="AI241" s="157" t="str">
        <f t="shared" si="5"/>
        <v>#ERROR!</v>
      </c>
    </row>
    <row r="242" ht="12.75" customHeight="1">
      <c r="A242" s="244" t="s">
        <v>5158</v>
      </c>
      <c r="B242" s="244" t="s">
        <v>231</v>
      </c>
      <c r="C242" s="244" t="s">
        <v>7434</v>
      </c>
      <c r="D242" s="154" t="s">
        <v>861</v>
      </c>
      <c r="E242" s="154"/>
      <c r="F242" s="154" t="str">
        <f t="array" ref="F242">XLOOKUP(Cover!$D$12,$R$1:$Z$1,$R242:$Z242)</f>
        <v>Information</v>
      </c>
      <c r="G242" s="154" t="s">
        <v>7435</v>
      </c>
      <c r="H242" s="154" t="s">
        <v>7320</v>
      </c>
      <c r="I242" s="154" t="s">
        <v>7436</v>
      </c>
      <c r="J242" s="154" t="s">
        <v>6894</v>
      </c>
      <c r="K242" s="154" t="s">
        <v>7305</v>
      </c>
      <c r="L242" s="154" t="s">
        <v>6428</v>
      </c>
      <c r="M242" s="154"/>
      <c r="N242" s="154" t="s">
        <v>759</v>
      </c>
      <c r="O242" s="247" t="s">
        <v>445</v>
      </c>
      <c r="P242" s="247" t="s">
        <v>6772</v>
      </c>
      <c r="Q242" s="154" t="str">
        <f t="shared" si="1"/>
        <v>#ERROR!</v>
      </c>
      <c r="R242" s="154" t="s">
        <v>66</v>
      </c>
      <c r="S242" s="154" t="s">
        <v>66</v>
      </c>
      <c r="T242" s="154" t="s">
        <v>66</v>
      </c>
      <c r="U242" s="154" t="s">
        <v>66</v>
      </c>
      <c r="V242" s="154" t="s">
        <v>66</v>
      </c>
      <c r="W242" s="154" t="s">
        <v>66</v>
      </c>
      <c r="X242" s="154" t="s">
        <v>66</v>
      </c>
      <c r="Y242" s="154" t="s">
        <v>66</v>
      </c>
      <c r="Z242" s="154" t="s">
        <v>66</v>
      </c>
      <c r="AA242" s="154"/>
      <c r="AB242" s="242" t="str">
        <f t="shared" si="2"/>
        <v>#ERROR!</v>
      </c>
      <c r="AC242" s="154" t="s">
        <v>391</v>
      </c>
      <c r="AD242" s="242" t="b">
        <f t="shared" si="3"/>
        <v>0</v>
      </c>
      <c r="AE242" s="154"/>
      <c r="AF242" s="242" t="str">
        <f t="shared" si="4"/>
        <v>#ERROR!</v>
      </c>
      <c r="AG242" s="154" t="s">
        <v>652</v>
      </c>
      <c r="AH242" s="242" t="str">
        <f>IF(AG242="","N/A",INDIRECT("MTR!"&amp;ADDRESS(MATCH(LEFT(AG242,9),[1]MTR!C:C,0),COLUMN(J242)),TRUE) &amp; "")</f>
        <v>#ERROR!</v>
      </c>
      <c r="AI242" s="157" t="str">
        <f t="shared" si="5"/>
        <v>#ERROR!</v>
      </c>
    </row>
    <row r="243" ht="12.75" customHeight="1">
      <c r="A243" s="244" t="s">
        <v>5158</v>
      </c>
      <c r="B243" s="244" t="s">
        <v>231</v>
      </c>
      <c r="C243" s="244" t="s">
        <v>7437</v>
      </c>
      <c r="D243" s="154" t="s">
        <v>861</v>
      </c>
      <c r="E243" s="154"/>
      <c r="F243" s="154" t="str">
        <f t="array" ref="F243">XLOOKUP(Cover!$D$12,$R$1:$Z$1,$R243:$Z243)</f>
        <v>Information</v>
      </c>
      <c r="G243" s="154" t="s">
        <v>7438</v>
      </c>
      <c r="H243" s="154" t="s">
        <v>7323</v>
      </c>
      <c r="I243" s="154" t="s">
        <v>7436</v>
      </c>
      <c r="J243" s="154" t="s">
        <v>6894</v>
      </c>
      <c r="K243" s="154" t="s">
        <v>7305</v>
      </c>
      <c r="L243" s="154" t="s">
        <v>6428</v>
      </c>
      <c r="M243" s="154"/>
      <c r="N243" s="154" t="s">
        <v>759</v>
      </c>
      <c r="O243" s="247" t="s">
        <v>445</v>
      </c>
      <c r="P243" s="247" t="s">
        <v>6772</v>
      </c>
      <c r="Q243" s="154" t="str">
        <f t="shared" si="1"/>
        <v>#ERROR!</v>
      </c>
      <c r="R243" s="154" t="s">
        <v>66</v>
      </c>
      <c r="S243" s="154" t="s">
        <v>66</v>
      </c>
      <c r="T243" s="154" t="s">
        <v>66</v>
      </c>
      <c r="U243" s="154" t="s">
        <v>66</v>
      </c>
      <c r="V243" s="154" t="s">
        <v>66</v>
      </c>
      <c r="W243" s="154" t="s">
        <v>66</v>
      </c>
      <c r="X243" s="154" t="s">
        <v>66</v>
      </c>
      <c r="Y243" s="154" t="s">
        <v>66</v>
      </c>
      <c r="Z243" s="154" t="s">
        <v>66</v>
      </c>
      <c r="AA243" s="154"/>
      <c r="AB243" s="242" t="str">
        <f t="shared" si="2"/>
        <v>#ERROR!</v>
      </c>
      <c r="AC243" s="154" t="s">
        <v>391</v>
      </c>
      <c r="AD243" s="242" t="b">
        <f t="shared" si="3"/>
        <v>0</v>
      </c>
      <c r="AE243" s="154"/>
      <c r="AF243" s="242" t="str">
        <f t="shared" si="4"/>
        <v>#ERROR!</v>
      </c>
      <c r="AG243" s="154" t="s">
        <v>652</v>
      </c>
      <c r="AH243" s="242" t="str">
        <f>IF(AG243="","N/A",INDIRECT("MTR!"&amp;ADDRESS(MATCH(LEFT(AG243,9),[1]MTR!C:C,0),COLUMN(J243)),TRUE) &amp; "")</f>
        <v>#ERROR!</v>
      </c>
      <c r="AI243" s="157" t="str">
        <f t="shared" si="5"/>
        <v>#ERROR!</v>
      </c>
    </row>
    <row r="244" ht="12.75" customHeight="1">
      <c r="A244" s="244" t="s">
        <v>5158</v>
      </c>
      <c r="B244" s="244" t="s">
        <v>231</v>
      </c>
      <c r="C244" s="244" t="s">
        <v>7439</v>
      </c>
      <c r="D244" s="154" t="s">
        <v>861</v>
      </c>
      <c r="E244" s="154"/>
      <c r="F244" s="154" t="str">
        <f t="array" ref="F244">XLOOKUP(Cover!$D$12,$R$1:$Z$1,$R244:$Z244)</f>
        <v>Mandatory</v>
      </c>
      <c r="G244" s="154" t="s">
        <v>7440</v>
      </c>
      <c r="H244" s="154" t="s">
        <v>7320</v>
      </c>
      <c r="I244" s="154" t="s">
        <v>7441</v>
      </c>
      <c r="J244" s="154" t="s">
        <v>6900</v>
      </c>
      <c r="K244" s="154" t="s">
        <v>7305</v>
      </c>
      <c r="L244" s="154" t="s">
        <v>6428</v>
      </c>
      <c r="M244" s="154" t="s">
        <v>1122</v>
      </c>
      <c r="N244" s="154" t="s">
        <v>759</v>
      </c>
      <c r="O244" s="247" t="s">
        <v>445</v>
      </c>
      <c r="P244" s="247" t="s">
        <v>6772</v>
      </c>
      <c r="Q244" s="154" t="str">
        <f t="shared" si="1"/>
        <v>#ERROR!</v>
      </c>
      <c r="R244" s="154" t="s">
        <v>66</v>
      </c>
      <c r="S244" s="154" t="s">
        <v>66</v>
      </c>
      <c r="T244" s="154" t="s">
        <v>66</v>
      </c>
      <c r="U244" s="154" t="s">
        <v>66</v>
      </c>
      <c r="V244" s="154" t="s">
        <v>66</v>
      </c>
      <c r="W244" s="154" t="s">
        <v>60</v>
      </c>
      <c r="X244" s="154" t="s">
        <v>66</v>
      </c>
      <c r="Y244" s="154" t="s">
        <v>66</v>
      </c>
      <c r="Z244" s="154" t="s">
        <v>60</v>
      </c>
      <c r="AA244" s="154"/>
      <c r="AB244" s="242" t="str">
        <f t="shared" si="2"/>
        <v>#ERROR!</v>
      </c>
      <c r="AC244" s="154" t="s">
        <v>391</v>
      </c>
      <c r="AD244" s="242" t="b">
        <f t="shared" si="3"/>
        <v>0</v>
      </c>
      <c r="AE244" s="154"/>
      <c r="AF244" s="242" t="str">
        <f t="shared" si="4"/>
        <v>#ERROR!</v>
      </c>
      <c r="AG244" s="154" t="s">
        <v>652</v>
      </c>
      <c r="AH244" s="242" t="str">
        <f>IF(AG244="","N/A",INDIRECT("MTR!"&amp;ADDRESS(MATCH(LEFT(AG244,9),[1]MTR!C:C,0),COLUMN(J244)),TRUE) &amp; "")</f>
        <v>#ERROR!</v>
      </c>
      <c r="AI244" s="157" t="str">
        <f t="shared" si="5"/>
        <v>#ERROR!</v>
      </c>
    </row>
    <row r="245" ht="12.75" customHeight="1">
      <c r="A245" s="244" t="s">
        <v>5158</v>
      </c>
      <c r="B245" s="244" t="s">
        <v>231</v>
      </c>
      <c r="C245" s="244" t="s">
        <v>7442</v>
      </c>
      <c r="D245" s="154" t="s">
        <v>1315</v>
      </c>
      <c r="E245" s="154"/>
      <c r="F245" s="154" t="str">
        <f t="array" ref="F245">XLOOKUP(Cover!$D$12,$R$1:$Z$1,$R245:$Z245)</f>
        <v>Information</v>
      </c>
      <c r="G245" s="154" t="s">
        <v>7443</v>
      </c>
      <c r="H245" s="154" t="s">
        <v>7323</v>
      </c>
      <c r="I245" s="154" t="s">
        <v>7444</v>
      </c>
      <c r="J245" s="154" t="s">
        <v>6904</v>
      </c>
      <c r="K245" s="154" t="s">
        <v>7305</v>
      </c>
      <c r="L245" s="154" t="s">
        <v>6905</v>
      </c>
      <c r="M245" s="154"/>
      <c r="N245" s="154" t="s">
        <v>759</v>
      </c>
      <c r="O245" s="247" t="s">
        <v>445</v>
      </c>
      <c r="P245" s="247" t="s">
        <v>6772</v>
      </c>
      <c r="Q245" s="154" t="str">
        <f t="shared" si="1"/>
        <v>#ERROR!</v>
      </c>
      <c r="R245" s="154" t="s">
        <v>66</v>
      </c>
      <c r="S245" s="154" t="s">
        <v>66</v>
      </c>
      <c r="T245" s="154" t="s">
        <v>66</v>
      </c>
      <c r="U245" s="154" t="s">
        <v>66</v>
      </c>
      <c r="V245" s="154" t="s">
        <v>66</v>
      </c>
      <c r="W245" s="154" t="s">
        <v>66</v>
      </c>
      <c r="X245" s="154" t="s">
        <v>66</v>
      </c>
      <c r="Y245" s="154" t="s">
        <v>66</v>
      </c>
      <c r="Z245" s="154" t="s">
        <v>66</v>
      </c>
      <c r="AA245" s="154"/>
      <c r="AB245" s="242" t="str">
        <f t="shared" si="2"/>
        <v>#ERROR!</v>
      </c>
      <c r="AC245" s="154" t="s">
        <v>391</v>
      </c>
      <c r="AD245" s="242" t="b">
        <f t="shared" si="3"/>
        <v>0</v>
      </c>
      <c r="AE245" s="154"/>
      <c r="AF245" s="242" t="str">
        <f t="shared" si="4"/>
        <v>#ERROR!</v>
      </c>
      <c r="AG245" s="154" t="s">
        <v>652</v>
      </c>
      <c r="AH245" s="242" t="str">
        <f>IF(AG245="","N/A",INDIRECT("MTR!"&amp;ADDRESS(MATCH(LEFT(AG245,9),[1]MTR!C:C,0),COLUMN(J245)),TRUE) &amp; "")</f>
        <v>#ERROR!</v>
      </c>
      <c r="AI245" s="157" t="str">
        <f t="shared" si="5"/>
        <v>#ERROR!</v>
      </c>
    </row>
    <row r="246" ht="12.75" customHeight="1">
      <c r="A246" s="238" t="s">
        <v>5158</v>
      </c>
      <c r="B246" s="238" t="s">
        <v>231</v>
      </c>
      <c r="C246" s="238" t="s">
        <v>7445</v>
      </c>
      <c r="D246" s="240"/>
      <c r="E246" s="240" t="s">
        <v>92</v>
      </c>
      <c r="F246" s="240" t="str">
        <f t="array" ref="F246">XLOOKUP(Cover!$D$12,$R$1:$Z$1,$R246:$Z246)</f>
        <v>Heading</v>
      </c>
      <c r="G246" s="239" t="s">
        <v>7446</v>
      </c>
      <c r="H246" s="240"/>
      <c r="I246" s="240"/>
      <c r="J246" s="240"/>
      <c r="K246" s="240"/>
      <c r="L246" s="240"/>
      <c r="M246" s="240"/>
      <c r="N246" s="240" t="s">
        <v>759</v>
      </c>
      <c r="O246" s="240"/>
      <c r="P246" s="240"/>
      <c r="Q246" s="240" t="str">
        <f t="shared" si="1"/>
        <v/>
      </c>
      <c r="R246" s="240" t="s">
        <v>390</v>
      </c>
      <c r="S246" s="240" t="s">
        <v>390</v>
      </c>
      <c r="T246" s="240" t="s">
        <v>390</v>
      </c>
      <c r="U246" s="240" t="s">
        <v>390</v>
      </c>
      <c r="V246" s="240" t="s">
        <v>390</v>
      </c>
      <c r="W246" s="240" t="s">
        <v>390</v>
      </c>
      <c r="X246" s="240" t="s">
        <v>390</v>
      </c>
      <c r="Y246" s="240" t="s">
        <v>390</v>
      </c>
      <c r="Z246" s="240" t="s">
        <v>390</v>
      </c>
      <c r="AA246" s="240"/>
      <c r="AB246" s="242" t="str">
        <f t="shared" si="2"/>
        <v>#ERROR!</v>
      </c>
      <c r="AC246" s="240" t="s">
        <v>391</v>
      </c>
      <c r="AD246" s="242" t="b">
        <f t="shared" si="3"/>
        <v>0</v>
      </c>
      <c r="AE246" s="240"/>
      <c r="AF246" s="242" t="str">
        <f t="shared" si="4"/>
        <v>#ERROR!</v>
      </c>
      <c r="AG246" s="240"/>
      <c r="AH246" s="242" t="str">
        <f>IF(AG246="","N/A",INDIRECT("MTR!"&amp;ADDRESS(MATCH(LEFT(AG246,9),[1]MTR!C:C,0),COLUMN(J246)),TRUE) &amp; "")</f>
        <v>#ERROR!</v>
      </c>
      <c r="AI246" s="157" t="str">
        <f t="shared" si="5"/>
        <v/>
      </c>
    </row>
    <row r="247" ht="12.75" customHeight="1">
      <c r="A247" s="244" t="s">
        <v>5158</v>
      </c>
      <c r="B247" s="244" t="s">
        <v>231</v>
      </c>
      <c r="C247" s="244" t="s">
        <v>7447</v>
      </c>
      <c r="D247" s="154" t="s">
        <v>781</v>
      </c>
      <c r="E247" s="154"/>
      <c r="F247" s="154" t="str">
        <f t="array" ref="F247">XLOOKUP(Cover!$D$12,$R$1:$Z$1,$R247:$Z247)</f>
        <v>Information</v>
      </c>
      <c r="G247" s="154" t="s">
        <v>7448</v>
      </c>
      <c r="H247" s="154" t="s">
        <v>7304</v>
      </c>
      <c r="I247" s="154" t="s">
        <v>7449</v>
      </c>
      <c r="J247" s="154" t="s">
        <v>7450</v>
      </c>
      <c r="K247" s="154" t="s">
        <v>7305</v>
      </c>
      <c r="L247" s="154" t="s">
        <v>6140</v>
      </c>
      <c r="M247" s="154"/>
      <c r="N247" s="154" t="s">
        <v>759</v>
      </c>
      <c r="O247" s="247" t="s">
        <v>516</v>
      </c>
      <c r="P247" s="247" t="s">
        <v>5876</v>
      </c>
      <c r="Q247" s="154" t="str">
        <f t="shared" si="1"/>
        <v>#ERROR!</v>
      </c>
      <c r="R247" s="154" t="s">
        <v>66</v>
      </c>
      <c r="S247" s="154" t="s">
        <v>66</v>
      </c>
      <c r="T247" s="154" t="s">
        <v>66</v>
      </c>
      <c r="U247" s="154" t="s">
        <v>66</v>
      </c>
      <c r="V247" s="154" t="s">
        <v>66</v>
      </c>
      <c r="W247" s="154" t="s">
        <v>66</v>
      </c>
      <c r="X247" s="154" t="s">
        <v>66</v>
      </c>
      <c r="Y247" s="154" t="s">
        <v>66</v>
      </c>
      <c r="Z247" s="154" t="s">
        <v>66</v>
      </c>
      <c r="AA247" s="154"/>
      <c r="AB247" s="242" t="str">
        <f t="shared" si="2"/>
        <v>#ERROR!</v>
      </c>
      <c r="AC247" s="154" t="s">
        <v>391</v>
      </c>
      <c r="AD247" s="242" t="b">
        <f t="shared" si="3"/>
        <v>0</v>
      </c>
      <c r="AE247" s="154"/>
      <c r="AF247" s="242" t="str">
        <f t="shared" si="4"/>
        <v>#ERROR!</v>
      </c>
      <c r="AG247" s="154" t="s">
        <v>652</v>
      </c>
      <c r="AH247" s="242" t="str">
        <f>IF(AG247="","N/A",INDIRECT("MTR!"&amp;ADDRESS(MATCH(LEFT(AG247,9),[1]MTR!C:C,0),COLUMN(J247)),TRUE) &amp; "")</f>
        <v>#ERROR!</v>
      </c>
      <c r="AI247" s="157" t="str">
        <f t="shared" si="5"/>
        <v>#ERROR!</v>
      </c>
    </row>
    <row r="248" ht="12.75" customHeight="1">
      <c r="A248" s="244" t="s">
        <v>5158</v>
      </c>
      <c r="B248" s="244" t="s">
        <v>231</v>
      </c>
      <c r="C248" s="244" t="s">
        <v>7451</v>
      </c>
      <c r="D248" s="154" t="s">
        <v>781</v>
      </c>
      <c r="E248" s="154"/>
      <c r="F248" s="154" t="str">
        <f t="array" ref="F248">XLOOKUP(Cover!$D$12,$R$1:$Z$1,$R248:$Z248)</f>
        <v>Information</v>
      </c>
      <c r="G248" s="154" t="s">
        <v>7452</v>
      </c>
      <c r="H248" s="154" t="s">
        <v>7320</v>
      </c>
      <c r="I248" s="154" t="s">
        <v>7449</v>
      </c>
      <c r="J248" s="154" t="s">
        <v>7450</v>
      </c>
      <c r="K248" s="154" t="s">
        <v>7305</v>
      </c>
      <c r="L248" s="154" t="s">
        <v>6140</v>
      </c>
      <c r="M248" s="154"/>
      <c r="N248" s="154" t="s">
        <v>759</v>
      </c>
      <c r="O248" s="247" t="s">
        <v>516</v>
      </c>
      <c r="P248" s="247" t="s">
        <v>5876</v>
      </c>
      <c r="Q248" s="154" t="str">
        <f t="shared" si="1"/>
        <v>#ERROR!</v>
      </c>
      <c r="R248" s="154" t="s">
        <v>66</v>
      </c>
      <c r="S248" s="154" t="s">
        <v>66</v>
      </c>
      <c r="T248" s="154" t="s">
        <v>66</v>
      </c>
      <c r="U248" s="154" t="s">
        <v>66</v>
      </c>
      <c r="V248" s="154" t="s">
        <v>66</v>
      </c>
      <c r="W248" s="154" t="s">
        <v>66</v>
      </c>
      <c r="X248" s="154" t="s">
        <v>66</v>
      </c>
      <c r="Y248" s="154" t="s">
        <v>66</v>
      </c>
      <c r="Z248" s="154" t="s">
        <v>66</v>
      </c>
      <c r="AA248" s="154"/>
      <c r="AB248" s="242" t="str">
        <f t="shared" si="2"/>
        <v>#ERROR!</v>
      </c>
      <c r="AC248" s="154" t="s">
        <v>391</v>
      </c>
      <c r="AD248" s="242" t="b">
        <f t="shared" si="3"/>
        <v>0</v>
      </c>
      <c r="AE248" s="154"/>
      <c r="AF248" s="242" t="str">
        <f t="shared" si="4"/>
        <v>#ERROR!</v>
      </c>
      <c r="AG248" s="154" t="s">
        <v>652</v>
      </c>
      <c r="AH248" s="242" t="str">
        <f>IF(AG248="","N/A",INDIRECT("MTR!"&amp;ADDRESS(MATCH(LEFT(AG248,9),[1]MTR!C:C,0),COLUMN(J248)),TRUE) &amp; "")</f>
        <v>#ERROR!</v>
      </c>
      <c r="AI248" s="157" t="str">
        <f t="shared" si="5"/>
        <v>#ERROR!</v>
      </c>
    </row>
    <row r="249" ht="12.75" customHeight="1">
      <c r="A249" s="244" t="s">
        <v>5158</v>
      </c>
      <c r="B249" s="244" t="s">
        <v>231</v>
      </c>
      <c r="C249" s="244" t="s">
        <v>7453</v>
      </c>
      <c r="D249" s="154" t="s">
        <v>1315</v>
      </c>
      <c r="E249" s="154"/>
      <c r="F249" s="154" t="str">
        <f t="array" ref="F249">XLOOKUP(Cover!$D$12,$R$1:$Z$1,$R249:$Z249)</f>
        <v>Information</v>
      </c>
      <c r="G249" s="154" t="s">
        <v>7454</v>
      </c>
      <c r="H249" s="154" t="s">
        <v>7304</v>
      </c>
      <c r="I249" s="154" t="s">
        <v>7455</v>
      </c>
      <c r="J249" s="154" t="s">
        <v>6911</v>
      </c>
      <c r="K249" s="154" t="s">
        <v>7305</v>
      </c>
      <c r="L249" s="154" t="s">
        <v>6884</v>
      </c>
      <c r="M249" s="154"/>
      <c r="N249" s="154" t="s">
        <v>759</v>
      </c>
      <c r="O249" s="247" t="s">
        <v>516</v>
      </c>
      <c r="P249" s="247" t="s">
        <v>6776</v>
      </c>
      <c r="Q249" s="154" t="str">
        <f t="shared" si="1"/>
        <v>#ERROR!</v>
      </c>
      <c r="R249" s="154" t="s">
        <v>66</v>
      </c>
      <c r="S249" s="154" t="s">
        <v>66</v>
      </c>
      <c r="T249" s="154" t="s">
        <v>66</v>
      </c>
      <c r="U249" s="154" t="s">
        <v>66</v>
      </c>
      <c r="V249" s="154" t="s">
        <v>66</v>
      </c>
      <c r="W249" s="154" t="s">
        <v>66</v>
      </c>
      <c r="X249" s="154" t="s">
        <v>66</v>
      </c>
      <c r="Y249" s="154" t="s">
        <v>66</v>
      </c>
      <c r="Z249" s="154" t="s">
        <v>66</v>
      </c>
      <c r="AA249" s="154"/>
      <c r="AB249" s="242" t="str">
        <f t="shared" si="2"/>
        <v>#ERROR!</v>
      </c>
      <c r="AC249" s="154" t="s">
        <v>391</v>
      </c>
      <c r="AD249" s="242" t="b">
        <f t="shared" si="3"/>
        <v>0</v>
      </c>
      <c r="AE249" s="154"/>
      <c r="AF249" s="242" t="str">
        <f t="shared" si="4"/>
        <v>#ERROR!</v>
      </c>
      <c r="AG249" s="154" t="s">
        <v>652</v>
      </c>
      <c r="AH249" s="242" t="str">
        <f>IF(AG249="","N/A",INDIRECT("MTR!"&amp;ADDRESS(MATCH(LEFT(AG249,9),[1]MTR!C:C,0),COLUMN(J249)),TRUE) &amp; "")</f>
        <v>#ERROR!</v>
      </c>
      <c r="AI249" s="157" t="str">
        <f t="shared" si="5"/>
        <v>#ERROR!</v>
      </c>
    </row>
    <row r="250" ht="12.75" customHeight="1">
      <c r="A250" s="244" t="s">
        <v>5158</v>
      </c>
      <c r="B250" s="244" t="s">
        <v>231</v>
      </c>
      <c r="C250" s="244" t="s">
        <v>7456</v>
      </c>
      <c r="D250" s="154" t="s">
        <v>1315</v>
      </c>
      <c r="E250" s="154"/>
      <c r="F250" s="154" t="str">
        <f t="array" ref="F250">XLOOKUP(Cover!$D$12,$R$1:$Z$1,$R250:$Z250)</f>
        <v>Information</v>
      </c>
      <c r="G250" s="154" t="s">
        <v>7457</v>
      </c>
      <c r="H250" s="154" t="s">
        <v>7311</v>
      </c>
      <c r="I250" s="154" t="s">
        <v>7455</v>
      </c>
      <c r="J250" s="154" t="s">
        <v>6911</v>
      </c>
      <c r="K250" s="154" t="s">
        <v>7305</v>
      </c>
      <c r="L250" s="154" t="s">
        <v>6884</v>
      </c>
      <c r="M250" s="154"/>
      <c r="N250" s="154" t="s">
        <v>759</v>
      </c>
      <c r="O250" s="247" t="s">
        <v>516</v>
      </c>
      <c r="P250" s="247" t="s">
        <v>6776</v>
      </c>
      <c r="Q250" s="154" t="str">
        <f t="shared" si="1"/>
        <v>#ERROR!</v>
      </c>
      <c r="R250" s="154" t="s">
        <v>66</v>
      </c>
      <c r="S250" s="154" t="s">
        <v>66</v>
      </c>
      <c r="T250" s="154" t="s">
        <v>66</v>
      </c>
      <c r="U250" s="154" t="s">
        <v>66</v>
      </c>
      <c r="V250" s="154" t="s">
        <v>66</v>
      </c>
      <c r="W250" s="154" t="s">
        <v>66</v>
      </c>
      <c r="X250" s="154" t="s">
        <v>66</v>
      </c>
      <c r="Y250" s="154" t="s">
        <v>66</v>
      </c>
      <c r="Z250" s="154" t="s">
        <v>66</v>
      </c>
      <c r="AA250" s="154"/>
      <c r="AB250" s="242" t="str">
        <f t="shared" si="2"/>
        <v>#ERROR!</v>
      </c>
      <c r="AC250" s="154" t="s">
        <v>391</v>
      </c>
      <c r="AD250" s="242" t="b">
        <f t="shared" si="3"/>
        <v>0</v>
      </c>
      <c r="AE250" s="154"/>
      <c r="AF250" s="242" t="str">
        <f t="shared" si="4"/>
        <v>#ERROR!</v>
      </c>
      <c r="AG250" s="154" t="s">
        <v>652</v>
      </c>
      <c r="AH250" s="242" t="str">
        <f>IF(AG250="","N/A",INDIRECT("MTR!"&amp;ADDRESS(MATCH(LEFT(AG250,9),[1]MTR!C:C,0),COLUMN(J250)),TRUE) &amp; "")</f>
        <v>#ERROR!</v>
      </c>
      <c r="AI250" s="157" t="str">
        <f t="shared" si="5"/>
        <v>#ERROR!</v>
      </c>
    </row>
    <row r="251" ht="12.75" customHeight="1">
      <c r="A251" s="244" t="s">
        <v>5158</v>
      </c>
      <c r="B251" s="244" t="s">
        <v>231</v>
      </c>
      <c r="C251" s="244" t="s">
        <v>7458</v>
      </c>
      <c r="D251" s="154" t="s">
        <v>1315</v>
      </c>
      <c r="E251" s="154"/>
      <c r="F251" s="154" t="str">
        <f t="array" ref="F251">XLOOKUP(Cover!$D$12,$R$1:$Z$1,$R251:$Z251)</f>
        <v>Information</v>
      </c>
      <c r="G251" s="154" t="s">
        <v>7459</v>
      </c>
      <c r="H251" s="154" t="s">
        <v>7314</v>
      </c>
      <c r="I251" s="154" t="s">
        <v>7455</v>
      </c>
      <c r="J251" s="154" t="s">
        <v>6911</v>
      </c>
      <c r="K251" s="154" t="s">
        <v>7305</v>
      </c>
      <c r="L251" s="154" t="s">
        <v>6884</v>
      </c>
      <c r="M251" s="154"/>
      <c r="N251" s="154" t="s">
        <v>759</v>
      </c>
      <c r="O251" s="247" t="s">
        <v>516</v>
      </c>
      <c r="P251" s="247" t="s">
        <v>6776</v>
      </c>
      <c r="Q251" s="154" t="str">
        <f t="shared" si="1"/>
        <v>#ERROR!</v>
      </c>
      <c r="R251" s="154" t="s">
        <v>66</v>
      </c>
      <c r="S251" s="154" t="s">
        <v>66</v>
      </c>
      <c r="T251" s="154" t="s">
        <v>66</v>
      </c>
      <c r="U251" s="154" t="s">
        <v>66</v>
      </c>
      <c r="V251" s="154" t="s">
        <v>66</v>
      </c>
      <c r="W251" s="154" t="s">
        <v>66</v>
      </c>
      <c r="X251" s="154" t="s">
        <v>66</v>
      </c>
      <c r="Y251" s="154" t="s">
        <v>66</v>
      </c>
      <c r="Z251" s="154" t="s">
        <v>66</v>
      </c>
      <c r="AA251" s="154"/>
      <c r="AB251" s="242" t="str">
        <f t="shared" si="2"/>
        <v>#ERROR!</v>
      </c>
      <c r="AC251" s="154" t="s">
        <v>391</v>
      </c>
      <c r="AD251" s="242" t="b">
        <f t="shared" si="3"/>
        <v>0</v>
      </c>
      <c r="AE251" s="154"/>
      <c r="AF251" s="242" t="str">
        <f t="shared" si="4"/>
        <v>#ERROR!</v>
      </c>
      <c r="AG251" s="154" t="s">
        <v>652</v>
      </c>
      <c r="AH251" s="242" t="str">
        <f>IF(AG251="","N/A",INDIRECT("MTR!"&amp;ADDRESS(MATCH(LEFT(AG251,9),[1]MTR!C:C,0),COLUMN(J251)),TRUE) &amp; "")</f>
        <v>#ERROR!</v>
      </c>
      <c r="AI251" s="157" t="str">
        <f t="shared" si="5"/>
        <v>#ERROR!</v>
      </c>
    </row>
    <row r="252" ht="12.75" customHeight="1">
      <c r="A252" s="244" t="s">
        <v>5158</v>
      </c>
      <c r="B252" s="244" t="s">
        <v>231</v>
      </c>
      <c r="C252" s="244" t="s">
        <v>7460</v>
      </c>
      <c r="D252" s="154" t="s">
        <v>503</v>
      </c>
      <c r="E252" s="154"/>
      <c r="F252" s="154" t="str">
        <f t="array" ref="F252">XLOOKUP(Cover!$D$12,$R$1:$Z$1,$R252:$Z252)</f>
        <v>Information</v>
      </c>
      <c r="G252" s="154" t="s">
        <v>7461</v>
      </c>
      <c r="H252" s="154" t="s">
        <v>7304</v>
      </c>
      <c r="I252" s="154" t="s">
        <v>7462</v>
      </c>
      <c r="J252" s="154" t="s">
        <v>7463</v>
      </c>
      <c r="K252" s="154" t="s">
        <v>7305</v>
      </c>
      <c r="L252" s="154" t="s">
        <v>7431</v>
      </c>
      <c r="M252" s="154"/>
      <c r="N252" s="154" t="s">
        <v>759</v>
      </c>
      <c r="O252" s="247" t="s">
        <v>516</v>
      </c>
      <c r="P252" s="247" t="s">
        <v>6776</v>
      </c>
      <c r="Q252" s="154" t="str">
        <f t="shared" si="1"/>
        <v>#ERROR!</v>
      </c>
      <c r="R252" s="154" t="s">
        <v>66</v>
      </c>
      <c r="S252" s="154" t="s">
        <v>66</v>
      </c>
      <c r="T252" s="154" t="s">
        <v>66</v>
      </c>
      <c r="U252" s="154" t="s">
        <v>66</v>
      </c>
      <c r="V252" s="154" t="s">
        <v>66</v>
      </c>
      <c r="W252" s="154" t="s">
        <v>66</v>
      </c>
      <c r="X252" s="154" t="s">
        <v>66</v>
      </c>
      <c r="Y252" s="154" t="s">
        <v>66</v>
      </c>
      <c r="Z252" s="154" t="s">
        <v>66</v>
      </c>
      <c r="AA252" s="154"/>
      <c r="AB252" s="242" t="str">
        <f t="shared" si="2"/>
        <v>#ERROR!</v>
      </c>
      <c r="AC252" s="154" t="s">
        <v>391</v>
      </c>
      <c r="AD252" s="242" t="b">
        <f t="shared" si="3"/>
        <v>0</v>
      </c>
      <c r="AE252" s="154"/>
      <c r="AF252" s="242" t="str">
        <f t="shared" si="4"/>
        <v>#ERROR!</v>
      </c>
      <c r="AG252" s="154"/>
      <c r="AH252" s="242" t="str">
        <f>IF(AG252="","N/A",INDIRECT("MTR!"&amp;ADDRESS(MATCH(LEFT(AG252,9),[1]MTR!C:C,0),COLUMN(J252)),TRUE) &amp; "")</f>
        <v>#ERROR!</v>
      </c>
      <c r="AI252" s="157" t="str">
        <f t="shared" si="5"/>
        <v>#ERROR!</v>
      </c>
    </row>
    <row r="253" ht="12.75" customHeight="1">
      <c r="A253" s="244" t="s">
        <v>5158</v>
      </c>
      <c r="B253" s="244" t="s">
        <v>231</v>
      </c>
      <c r="C253" s="244" t="s">
        <v>7464</v>
      </c>
      <c r="D253" s="154" t="s">
        <v>503</v>
      </c>
      <c r="E253" s="154"/>
      <c r="F253" s="154" t="str">
        <f t="array" ref="F253">XLOOKUP(Cover!$D$12,$R$1:$Z$1,$R253:$Z253)</f>
        <v>Information</v>
      </c>
      <c r="G253" s="154" t="s">
        <v>7465</v>
      </c>
      <c r="H253" s="154" t="s">
        <v>7308</v>
      </c>
      <c r="I253" s="154" t="s">
        <v>7462</v>
      </c>
      <c r="J253" s="154" t="s">
        <v>7463</v>
      </c>
      <c r="K253" s="154" t="s">
        <v>7305</v>
      </c>
      <c r="L253" s="154" t="s">
        <v>7431</v>
      </c>
      <c r="M253" s="154"/>
      <c r="N253" s="154" t="s">
        <v>759</v>
      </c>
      <c r="O253" s="247" t="s">
        <v>516</v>
      </c>
      <c r="P253" s="247" t="s">
        <v>6776</v>
      </c>
      <c r="Q253" s="154" t="str">
        <f t="shared" si="1"/>
        <v>#ERROR!</v>
      </c>
      <c r="R253" s="154" t="s">
        <v>66</v>
      </c>
      <c r="S253" s="154" t="s">
        <v>66</v>
      </c>
      <c r="T253" s="154" t="s">
        <v>66</v>
      </c>
      <c r="U253" s="154" t="s">
        <v>66</v>
      </c>
      <c r="V253" s="154" t="s">
        <v>66</v>
      </c>
      <c r="W253" s="154" t="s">
        <v>66</v>
      </c>
      <c r="X253" s="154" t="s">
        <v>66</v>
      </c>
      <c r="Y253" s="154" t="s">
        <v>66</v>
      </c>
      <c r="Z253" s="154" t="s">
        <v>66</v>
      </c>
      <c r="AA253" s="154"/>
      <c r="AB253" s="242" t="str">
        <f t="shared" si="2"/>
        <v>#ERROR!</v>
      </c>
      <c r="AC253" s="154" t="s">
        <v>391</v>
      </c>
      <c r="AD253" s="242" t="b">
        <f t="shared" si="3"/>
        <v>0</v>
      </c>
      <c r="AE253" s="154"/>
      <c r="AF253" s="242" t="str">
        <f t="shared" si="4"/>
        <v>#ERROR!</v>
      </c>
      <c r="AG253" s="154"/>
      <c r="AH253" s="242" t="str">
        <f>IF(AG253="","N/A",INDIRECT("MTR!"&amp;ADDRESS(MATCH(LEFT(AG253,9),[1]MTR!C:C,0),COLUMN(J253)),TRUE) &amp; "")</f>
        <v>#ERROR!</v>
      </c>
      <c r="AI253" s="157" t="str">
        <f t="shared" si="5"/>
        <v>#ERROR!</v>
      </c>
    </row>
    <row r="254" ht="12.75" customHeight="1">
      <c r="A254" s="244" t="s">
        <v>5158</v>
      </c>
      <c r="B254" s="244" t="s">
        <v>231</v>
      </c>
      <c r="C254" s="244" t="s">
        <v>7466</v>
      </c>
      <c r="D254" s="154" t="s">
        <v>503</v>
      </c>
      <c r="E254" s="154"/>
      <c r="F254" s="154" t="str">
        <f t="array" ref="F254">XLOOKUP(Cover!$D$12,$R$1:$Z$1,$R254:$Z254)</f>
        <v>Information</v>
      </c>
      <c r="G254" s="154" t="s">
        <v>7467</v>
      </c>
      <c r="H254" s="154" t="s">
        <v>7317</v>
      </c>
      <c r="I254" s="154" t="s">
        <v>7462</v>
      </c>
      <c r="J254" s="154" t="s">
        <v>7463</v>
      </c>
      <c r="K254" s="154" t="s">
        <v>7305</v>
      </c>
      <c r="L254" s="154" t="s">
        <v>7431</v>
      </c>
      <c r="M254" s="154"/>
      <c r="N254" s="154" t="s">
        <v>759</v>
      </c>
      <c r="O254" s="247" t="s">
        <v>516</v>
      </c>
      <c r="P254" s="247" t="s">
        <v>6776</v>
      </c>
      <c r="Q254" s="154" t="str">
        <f t="shared" si="1"/>
        <v>#ERROR!</v>
      </c>
      <c r="R254" s="154" t="s">
        <v>66</v>
      </c>
      <c r="S254" s="154" t="s">
        <v>66</v>
      </c>
      <c r="T254" s="154" t="s">
        <v>66</v>
      </c>
      <c r="U254" s="154" t="s">
        <v>66</v>
      </c>
      <c r="V254" s="154" t="s">
        <v>66</v>
      </c>
      <c r="W254" s="154" t="s">
        <v>66</v>
      </c>
      <c r="X254" s="154" t="s">
        <v>66</v>
      </c>
      <c r="Y254" s="154" t="s">
        <v>66</v>
      </c>
      <c r="Z254" s="154" t="s">
        <v>66</v>
      </c>
      <c r="AA254" s="154"/>
      <c r="AB254" s="242" t="str">
        <f t="shared" si="2"/>
        <v>#ERROR!</v>
      </c>
      <c r="AC254" s="154" t="s">
        <v>391</v>
      </c>
      <c r="AD254" s="242" t="b">
        <f t="shared" si="3"/>
        <v>0</v>
      </c>
      <c r="AE254" s="154"/>
      <c r="AF254" s="242" t="str">
        <f t="shared" si="4"/>
        <v>#ERROR!</v>
      </c>
      <c r="AG254" s="154"/>
      <c r="AH254" s="242" t="str">
        <f>IF(AG254="","N/A",INDIRECT("MTR!"&amp;ADDRESS(MATCH(LEFT(AG254,9),[1]MTR!C:C,0),COLUMN(J254)),TRUE) &amp; "")</f>
        <v>#ERROR!</v>
      </c>
      <c r="AI254" s="157" t="str">
        <f t="shared" si="5"/>
        <v>#ERROR!</v>
      </c>
    </row>
    <row r="255" ht="12.75" customHeight="1">
      <c r="A255" s="244" t="s">
        <v>5158</v>
      </c>
      <c r="B255" s="244" t="s">
        <v>231</v>
      </c>
      <c r="C255" s="244" t="s">
        <v>7468</v>
      </c>
      <c r="D255" s="154" t="s">
        <v>503</v>
      </c>
      <c r="E255" s="154"/>
      <c r="F255" s="154" t="str">
        <f t="array" ref="F255">XLOOKUP(Cover!$D$12,$R$1:$Z$1,$R255:$Z255)</f>
        <v>Information</v>
      </c>
      <c r="G255" s="154" t="s">
        <v>7469</v>
      </c>
      <c r="H255" s="154" t="s">
        <v>7304</v>
      </c>
      <c r="I255" s="154" t="s">
        <v>7470</v>
      </c>
      <c r="J255" s="154" t="s">
        <v>6919</v>
      </c>
      <c r="K255" s="154" t="s">
        <v>7305</v>
      </c>
      <c r="L255" s="154" t="s">
        <v>6463</v>
      </c>
      <c r="M255" s="154"/>
      <c r="N255" s="154" t="s">
        <v>759</v>
      </c>
      <c r="O255" s="247" t="s">
        <v>516</v>
      </c>
      <c r="P255" s="247" t="s">
        <v>6776</v>
      </c>
      <c r="Q255" s="154" t="str">
        <f t="shared" si="1"/>
        <v>#ERROR!</v>
      </c>
      <c r="R255" s="154" t="s">
        <v>66</v>
      </c>
      <c r="S255" s="154" t="s">
        <v>66</v>
      </c>
      <c r="T255" s="154" t="s">
        <v>66</v>
      </c>
      <c r="U255" s="154" t="s">
        <v>66</v>
      </c>
      <c r="V255" s="154" t="s">
        <v>66</v>
      </c>
      <c r="W255" s="154" t="s">
        <v>66</v>
      </c>
      <c r="X255" s="154" t="s">
        <v>66</v>
      </c>
      <c r="Y255" s="154" t="s">
        <v>66</v>
      </c>
      <c r="Z255" s="154" t="s">
        <v>66</v>
      </c>
      <c r="AA255" s="154"/>
      <c r="AB255" s="242" t="str">
        <f t="shared" si="2"/>
        <v>#ERROR!</v>
      </c>
      <c r="AC255" s="154" t="s">
        <v>391</v>
      </c>
      <c r="AD255" s="242" t="b">
        <f t="shared" si="3"/>
        <v>0</v>
      </c>
      <c r="AE255" s="154"/>
      <c r="AF255" s="242" t="str">
        <f t="shared" si="4"/>
        <v>#ERROR!</v>
      </c>
      <c r="AG255" s="154" t="s">
        <v>652</v>
      </c>
      <c r="AH255" s="242" t="str">
        <f>IF(AG255="","N/A",INDIRECT("MTR!"&amp;ADDRESS(MATCH(LEFT(AG255,9),[1]MTR!C:C,0),COLUMN(J255)),TRUE) &amp; "")</f>
        <v>#ERROR!</v>
      </c>
      <c r="AI255" s="157" t="str">
        <f t="shared" si="5"/>
        <v>#ERROR!</v>
      </c>
    </row>
    <row r="256" ht="12.75" customHeight="1">
      <c r="A256" s="244" t="s">
        <v>5158</v>
      </c>
      <c r="B256" s="244" t="s">
        <v>231</v>
      </c>
      <c r="C256" s="244" t="s">
        <v>7471</v>
      </c>
      <c r="D256" s="154" t="s">
        <v>503</v>
      </c>
      <c r="E256" s="154"/>
      <c r="F256" s="154" t="str">
        <f t="array" ref="F256">XLOOKUP(Cover!$D$12,$R$1:$Z$1,$R256:$Z256)</f>
        <v>Information</v>
      </c>
      <c r="G256" s="154" t="s">
        <v>7472</v>
      </c>
      <c r="H256" s="154" t="s">
        <v>7311</v>
      </c>
      <c r="I256" s="154" t="s">
        <v>7470</v>
      </c>
      <c r="J256" s="154" t="s">
        <v>6919</v>
      </c>
      <c r="K256" s="154" t="s">
        <v>7305</v>
      </c>
      <c r="L256" s="154" t="s">
        <v>6463</v>
      </c>
      <c r="M256" s="154"/>
      <c r="N256" s="154" t="s">
        <v>759</v>
      </c>
      <c r="O256" s="247" t="s">
        <v>516</v>
      </c>
      <c r="P256" s="247" t="s">
        <v>6776</v>
      </c>
      <c r="Q256" s="154" t="str">
        <f t="shared" si="1"/>
        <v>#ERROR!</v>
      </c>
      <c r="R256" s="154" t="s">
        <v>66</v>
      </c>
      <c r="S256" s="154" t="s">
        <v>66</v>
      </c>
      <c r="T256" s="154" t="s">
        <v>66</v>
      </c>
      <c r="U256" s="154" t="s">
        <v>66</v>
      </c>
      <c r="V256" s="154" t="s">
        <v>66</v>
      </c>
      <c r="W256" s="154" t="s">
        <v>66</v>
      </c>
      <c r="X256" s="154" t="s">
        <v>66</v>
      </c>
      <c r="Y256" s="154" t="s">
        <v>66</v>
      </c>
      <c r="Z256" s="154" t="s">
        <v>66</v>
      </c>
      <c r="AA256" s="154"/>
      <c r="AB256" s="242" t="str">
        <f t="shared" si="2"/>
        <v>#ERROR!</v>
      </c>
      <c r="AC256" s="154" t="s">
        <v>391</v>
      </c>
      <c r="AD256" s="242" t="b">
        <f t="shared" si="3"/>
        <v>0</v>
      </c>
      <c r="AE256" s="154"/>
      <c r="AF256" s="242" t="str">
        <f t="shared" si="4"/>
        <v>#ERROR!</v>
      </c>
      <c r="AG256" s="154" t="s">
        <v>652</v>
      </c>
      <c r="AH256" s="242" t="str">
        <f>IF(AG256="","N/A",INDIRECT("MTR!"&amp;ADDRESS(MATCH(LEFT(AG256,9),[1]MTR!C:C,0),COLUMN(J256)),TRUE) &amp; "")</f>
        <v>#ERROR!</v>
      </c>
      <c r="AI256" s="157" t="str">
        <f t="shared" si="5"/>
        <v>#ERROR!</v>
      </c>
    </row>
    <row r="257" ht="12.75" customHeight="1">
      <c r="A257" s="244" t="s">
        <v>5158</v>
      </c>
      <c r="B257" s="244" t="s">
        <v>231</v>
      </c>
      <c r="C257" s="244" t="s">
        <v>7473</v>
      </c>
      <c r="D257" s="154" t="s">
        <v>503</v>
      </c>
      <c r="E257" s="154"/>
      <c r="F257" s="154" t="str">
        <f t="array" ref="F257">XLOOKUP(Cover!$D$12,$R$1:$Z$1,$R257:$Z257)</f>
        <v>Information</v>
      </c>
      <c r="G257" s="154" t="s">
        <v>7474</v>
      </c>
      <c r="H257" s="154" t="s">
        <v>7320</v>
      </c>
      <c r="I257" s="154" t="s">
        <v>7470</v>
      </c>
      <c r="J257" s="154" t="s">
        <v>6919</v>
      </c>
      <c r="K257" s="154" t="s">
        <v>7305</v>
      </c>
      <c r="L257" s="154" t="s">
        <v>6463</v>
      </c>
      <c r="M257" s="154"/>
      <c r="N257" s="154" t="s">
        <v>759</v>
      </c>
      <c r="O257" s="247" t="s">
        <v>516</v>
      </c>
      <c r="P257" s="247" t="s">
        <v>6776</v>
      </c>
      <c r="Q257" s="154" t="str">
        <f t="shared" si="1"/>
        <v>#ERROR!</v>
      </c>
      <c r="R257" s="154" t="s">
        <v>66</v>
      </c>
      <c r="S257" s="154" t="s">
        <v>66</v>
      </c>
      <c r="T257" s="154" t="s">
        <v>66</v>
      </c>
      <c r="U257" s="154" t="s">
        <v>66</v>
      </c>
      <c r="V257" s="154" t="s">
        <v>66</v>
      </c>
      <c r="W257" s="154" t="s">
        <v>66</v>
      </c>
      <c r="X257" s="154" t="s">
        <v>66</v>
      </c>
      <c r="Y257" s="154" t="s">
        <v>66</v>
      </c>
      <c r="Z257" s="154" t="s">
        <v>66</v>
      </c>
      <c r="AA257" s="154"/>
      <c r="AB257" s="242" t="str">
        <f t="shared" si="2"/>
        <v>#ERROR!</v>
      </c>
      <c r="AC257" s="154" t="s">
        <v>391</v>
      </c>
      <c r="AD257" s="242" t="b">
        <f t="shared" si="3"/>
        <v>0</v>
      </c>
      <c r="AE257" s="154"/>
      <c r="AF257" s="242" t="str">
        <f t="shared" si="4"/>
        <v>#ERROR!</v>
      </c>
      <c r="AG257" s="154" t="s">
        <v>652</v>
      </c>
      <c r="AH257" s="242" t="str">
        <f>IF(AG257="","N/A",INDIRECT("MTR!"&amp;ADDRESS(MATCH(LEFT(AG257,9),[1]MTR!C:C,0),COLUMN(J257)),TRUE) &amp; "")</f>
        <v>#ERROR!</v>
      </c>
      <c r="AI257" s="157" t="str">
        <f t="shared" si="5"/>
        <v>#ERROR!</v>
      </c>
    </row>
    <row r="258" ht="12.75" customHeight="1">
      <c r="A258" s="244" t="s">
        <v>5158</v>
      </c>
      <c r="B258" s="244" t="s">
        <v>231</v>
      </c>
      <c r="C258" s="244" t="s">
        <v>7475</v>
      </c>
      <c r="D258" s="154" t="s">
        <v>1315</v>
      </c>
      <c r="E258" s="154"/>
      <c r="F258" s="154" t="str">
        <f t="array" ref="F258">XLOOKUP(Cover!$D$12,$R$1:$Z$1,$R258:$Z258)</f>
        <v>Information</v>
      </c>
      <c r="G258" s="154" t="s">
        <v>7476</v>
      </c>
      <c r="H258" s="154" t="s">
        <v>7304</v>
      </c>
      <c r="I258" s="154" t="s">
        <v>7477</v>
      </c>
      <c r="J258" s="154" t="s">
        <v>7478</v>
      </c>
      <c r="K258" s="154" t="s">
        <v>7305</v>
      </c>
      <c r="L258" s="154" t="s">
        <v>6884</v>
      </c>
      <c r="M258" s="154"/>
      <c r="N258" s="154" t="s">
        <v>759</v>
      </c>
      <c r="O258" s="247" t="s">
        <v>516</v>
      </c>
      <c r="P258" s="247" t="s">
        <v>6776</v>
      </c>
      <c r="Q258" s="154" t="str">
        <f t="shared" si="1"/>
        <v>#ERROR!</v>
      </c>
      <c r="R258" s="154" t="s">
        <v>66</v>
      </c>
      <c r="S258" s="154" t="s">
        <v>66</v>
      </c>
      <c r="T258" s="154" t="s">
        <v>66</v>
      </c>
      <c r="U258" s="154" t="s">
        <v>66</v>
      </c>
      <c r="V258" s="154" t="s">
        <v>66</v>
      </c>
      <c r="W258" s="154" t="s">
        <v>66</v>
      </c>
      <c r="X258" s="154" t="s">
        <v>66</v>
      </c>
      <c r="Y258" s="154" t="s">
        <v>66</v>
      </c>
      <c r="Z258" s="154" t="s">
        <v>66</v>
      </c>
      <c r="AA258" s="154"/>
      <c r="AB258" s="242" t="str">
        <f t="shared" si="2"/>
        <v>#ERROR!</v>
      </c>
      <c r="AC258" s="154" t="s">
        <v>391</v>
      </c>
      <c r="AD258" s="242" t="b">
        <f t="shared" si="3"/>
        <v>0</v>
      </c>
      <c r="AE258" s="154"/>
      <c r="AF258" s="242" t="str">
        <f t="shared" si="4"/>
        <v>#ERROR!</v>
      </c>
      <c r="AG258" s="154" t="s">
        <v>652</v>
      </c>
      <c r="AH258" s="242" t="str">
        <f>IF(AG258="","N/A",INDIRECT("MTR!"&amp;ADDRESS(MATCH(LEFT(AG258,9),[1]MTR!C:C,0),COLUMN(J258)),TRUE) &amp; "")</f>
        <v>#ERROR!</v>
      </c>
      <c r="AI258" s="157" t="str">
        <f t="shared" si="5"/>
        <v>#ERROR!</v>
      </c>
    </row>
    <row r="259" ht="12.75" customHeight="1">
      <c r="A259" s="244" t="s">
        <v>5158</v>
      </c>
      <c r="B259" s="244" t="s">
        <v>231</v>
      </c>
      <c r="C259" s="244" t="s">
        <v>7479</v>
      </c>
      <c r="D259" s="154" t="s">
        <v>1315</v>
      </c>
      <c r="E259" s="154"/>
      <c r="F259" s="154" t="str">
        <f t="array" ref="F259">XLOOKUP(Cover!$D$12,$R$1:$Z$1,$R259:$Z259)</f>
        <v>Information</v>
      </c>
      <c r="G259" s="154" t="s">
        <v>7480</v>
      </c>
      <c r="H259" s="154" t="s">
        <v>7311</v>
      </c>
      <c r="I259" s="154" t="s">
        <v>7477</v>
      </c>
      <c r="J259" s="154" t="s">
        <v>7478</v>
      </c>
      <c r="K259" s="154" t="s">
        <v>7305</v>
      </c>
      <c r="L259" s="154" t="s">
        <v>6884</v>
      </c>
      <c r="M259" s="154"/>
      <c r="N259" s="154" t="s">
        <v>759</v>
      </c>
      <c r="O259" s="247" t="s">
        <v>516</v>
      </c>
      <c r="P259" s="247" t="s">
        <v>6776</v>
      </c>
      <c r="Q259" s="154" t="str">
        <f t="shared" si="1"/>
        <v>#ERROR!</v>
      </c>
      <c r="R259" s="154" t="s">
        <v>66</v>
      </c>
      <c r="S259" s="154" t="s">
        <v>66</v>
      </c>
      <c r="T259" s="154" t="s">
        <v>66</v>
      </c>
      <c r="U259" s="154" t="s">
        <v>66</v>
      </c>
      <c r="V259" s="154" t="s">
        <v>66</v>
      </c>
      <c r="W259" s="154" t="s">
        <v>66</v>
      </c>
      <c r="X259" s="154" t="s">
        <v>66</v>
      </c>
      <c r="Y259" s="154" t="s">
        <v>66</v>
      </c>
      <c r="Z259" s="154" t="s">
        <v>66</v>
      </c>
      <c r="AA259" s="154"/>
      <c r="AB259" s="242" t="str">
        <f t="shared" si="2"/>
        <v>#ERROR!</v>
      </c>
      <c r="AC259" s="154" t="s">
        <v>391</v>
      </c>
      <c r="AD259" s="242" t="b">
        <f t="shared" si="3"/>
        <v>0</v>
      </c>
      <c r="AE259" s="154"/>
      <c r="AF259" s="242" t="str">
        <f t="shared" si="4"/>
        <v>#ERROR!</v>
      </c>
      <c r="AG259" s="154" t="s">
        <v>652</v>
      </c>
      <c r="AH259" s="242" t="str">
        <f>IF(AG259="","N/A",INDIRECT("MTR!"&amp;ADDRESS(MATCH(LEFT(AG259,9),[1]MTR!C:C,0),COLUMN(J259)),TRUE) &amp; "")</f>
        <v>#ERROR!</v>
      </c>
      <c r="AI259" s="157" t="str">
        <f t="shared" si="5"/>
        <v>#ERROR!</v>
      </c>
    </row>
    <row r="260" ht="12.75" customHeight="1">
      <c r="A260" s="244" t="s">
        <v>5158</v>
      </c>
      <c r="B260" s="244" t="s">
        <v>231</v>
      </c>
      <c r="C260" s="244" t="s">
        <v>7481</v>
      </c>
      <c r="D260" s="154" t="s">
        <v>1315</v>
      </c>
      <c r="E260" s="154"/>
      <c r="F260" s="154" t="str">
        <f t="array" ref="F260">XLOOKUP(Cover!$D$12,$R$1:$Z$1,$R260:$Z260)</f>
        <v>Information</v>
      </c>
      <c r="G260" s="154" t="s">
        <v>7482</v>
      </c>
      <c r="H260" s="154" t="s">
        <v>7323</v>
      </c>
      <c r="I260" s="154" t="s">
        <v>7477</v>
      </c>
      <c r="J260" s="154" t="s">
        <v>7478</v>
      </c>
      <c r="K260" s="154" t="s">
        <v>7305</v>
      </c>
      <c r="L260" s="154" t="s">
        <v>6884</v>
      </c>
      <c r="M260" s="154"/>
      <c r="N260" s="154" t="s">
        <v>759</v>
      </c>
      <c r="O260" s="247" t="s">
        <v>516</v>
      </c>
      <c r="P260" s="247" t="s">
        <v>6776</v>
      </c>
      <c r="Q260" s="154" t="str">
        <f t="shared" si="1"/>
        <v>#ERROR!</v>
      </c>
      <c r="R260" s="154" t="s">
        <v>66</v>
      </c>
      <c r="S260" s="154" t="s">
        <v>66</v>
      </c>
      <c r="T260" s="154" t="s">
        <v>66</v>
      </c>
      <c r="U260" s="154" t="s">
        <v>66</v>
      </c>
      <c r="V260" s="154" t="s">
        <v>66</v>
      </c>
      <c r="W260" s="154" t="s">
        <v>66</v>
      </c>
      <c r="X260" s="154" t="s">
        <v>66</v>
      </c>
      <c r="Y260" s="154" t="s">
        <v>66</v>
      </c>
      <c r="Z260" s="154" t="s">
        <v>66</v>
      </c>
      <c r="AA260" s="154"/>
      <c r="AB260" s="242" t="str">
        <f t="shared" si="2"/>
        <v>#ERROR!</v>
      </c>
      <c r="AC260" s="154" t="s">
        <v>391</v>
      </c>
      <c r="AD260" s="242" t="b">
        <f t="shared" si="3"/>
        <v>0</v>
      </c>
      <c r="AE260" s="154"/>
      <c r="AF260" s="242" t="str">
        <f t="shared" si="4"/>
        <v>#ERROR!</v>
      </c>
      <c r="AG260" s="154" t="s">
        <v>652</v>
      </c>
      <c r="AH260" s="242" t="str">
        <f>IF(AG260="","N/A",INDIRECT("MTR!"&amp;ADDRESS(MATCH(LEFT(AG260,9),[1]MTR!C:C,0),COLUMN(J260)),TRUE) &amp; "")</f>
        <v>#ERROR!</v>
      </c>
      <c r="AI260" s="157" t="str">
        <f t="shared" si="5"/>
        <v>#ERROR!</v>
      </c>
    </row>
    <row r="261" ht="12.75" customHeight="1">
      <c r="A261" s="244" t="s">
        <v>5158</v>
      </c>
      <c r="B261" s="244" t="s">
        <v>231</v>
      </c>
      <c r="C261" s="244" t="s">
        <v>7483</v>
      </c>
      <c r="D261" s="154" t="s">
        <v>781</v>
      </c>
      <c r="E261" s="154"/>
      <c r="F261" s="154" t="str">
        <f t="array" ref="F261">XLOOKUP(Cover!$D$12,$R$1:$Z$1,$R261:$Z261)</f>
        <v>Recommended</v>
      </c>
      <c r="G261" s="154" t="s">
        <v>7484</v>
      </c>
      <c r="H261" s="154" t="s">
        <v>7304</v>
      </c>
      <c r="I261" s="154" t="s">
        <v>7485</v>
      </c>
      <c r="J261" s="154" t="s">
        <v>7486</v>
      </c>
      <c r="K261" s="154" t="s">
        <v>7305</v>
      </c>
      <c r="L261" s="154" t="s">
        <v>6942</v>
      </c>
      <c r="M261" s="154"/>
      <c r="N261" s="154" t="s">
        <v>759</v>
      </c>
      <c r="O261" s="247" t="s">
        <v>445</v>
      </c>
      <c r="P261" s="247" t="s">
        <v>89</v>
      </c>
      <c r="Q261" s="154" t="str">
        <f t="shared" si="1"/>
        <v>#ERROR!</v>
      </c>
      <c r="R261" s="154" t="s">
        <v>66</v>
      </c>
      <c r="S261" s="154" t="s">
        <v>66</v>
      </c>
      <c r="T261" s="154" t="s">
        <v>66</v>
      </c>
      <c r="U261" s="154" t="s">
        <v>66</v>
      </c>
      <c r="V261" s="154" t="s">
        <v>66</v>
      </c>
      <c r="W261" s="154" t="s">
        <v>64</v>
      </c>
      <c r="X261" s="154" t="s">
        <v>66</v>
      </c>
      <c r="Y261" s="154" t="s">
        <v>66</v>
      </c>
      <c r="Z261" s="154" t="s">
        <v>64</v>
      </c>
      <c r="AA261" s="154"/>
      <c r="AB261" s="242" t="str">
        <f t="shared" si="2"/>
        <v>#ERROR!</v>
      </c>
      <c r="AC261" s="154" t="s">
        <v>391</v>
      </c>
      <c r="AD261" s="242" t="b">
        <f t="shared" si="3"/>
        <v>0</v>
      </c>
      <c r="AE261" s="154"/>
      <c r="AF261" s="242" t="str">
        <f t="shared" si="4"/>
        <v>#ERROR!</v>
      </c>
      <c r="AG261" s="154" t="s">
        <v>652</v>
      </c>
      <c r="AH261" s="242" t="str">
        <f>IF(AG261="","N/A",INDIRECT("MTR!"&amp;ADDRESS(MATCH(LEFT(AG261,9),[1]MTR!C:C,0),COLUMN(J261)),TRUE) &amp; "")</f>
        <v>#ERROR!</v>
      </c>
      <c r="AI261" s="157" t="str">
        <f t="shared" si="5"/>
        <v>#ERROR!</v>
      </c>
    </row>
    <row r="262" ht="12.75" customHeight="1">
      <c r="A262" s="244" t="s">
        <v>5158</v>
      </c>
      <c r="B262" s="244" t="s">
        <v>231</v>
      </c>
      <c r="C262" s="244" t="s">
        <v>7487</v>
      </c>
      <c r="D262" s="154" t="s">
        <v>781</v>
      </c>
      <c r="E262" s="154"/>
      <c r="F262" s="154" t="str">
        <f t="array" ref="F262">XLOOKUP(Cover!$D$12,$R$1:$Z$1,$R262:$Z262)</f>
        <v>Information</v>
      </c>
      <c r="G262" s="154" t="s">
        <v>7488</v>
      </c>
      <c r="H262" s="154" t="s">
        <v>7314</v>
      </c>
      <c r="I262" s="154" t="s">
        <v>7485</v>
      </c>
      <c r="J262" s="154" t="s">
        <v>7486</v>
      </c>
      <c r="K262" s="154" t="s">
        <v>7305</v>
      </c>
      <c r="L262" s="154" t="s">
        <v>6942</v>
      </c>
      <c r="M262" s="154"/>
      <c r="N262" s="154" t="s">
        <v>759</v>
      </c>
      <c r="O262" s="247" t="s">
        <v>516</v>
      </c>
      <c r="P262" s="247" t="s">
        <v>7345</v>
      </c>
      <c r="Q262" s="154" t="str">
        <f t="shared" si="1"/>
        <v>#ERROR!</v>
      </c>
      <c r="R262" s="154" t="s">
        <v>66</v>
      </c>
      <c r="S262" s="154" t="s">
        <v>66</v>
      </c>
      <c r="T262" s="154" t="s">
        <v>66</v>
      </c>
      <c r="U262" s="154" t="s">
        <v>66</v>
      </c>
      <c r="V262" s="154" t="s">
        <v>66</v>
      </c>
      <c r="W262" s="154" t="s">
        <v>66</v>
      </c>
      <c r="X262" s="154" t="s">
        <v>66</v>
      </c>
      <c r="Y262" s="154" t="s">
        <v>66</v>
      </c>
      <c r="Z262" s="154" t="s">
        <v>66</v>
      </c>
      <c r="AA262" s="154"/>
      <c r="AB262" s="242" t="str">
        <f t="shared" si="2"/>
        <v>#ERROR!</v>
      </c>
      <c r="AC262" s="154" t="s">
        <v>391</v>
      </c>
      <c r="AD262" s="242" t="b">
        <f t="shared" si="3"/>
        <v>0</v>
      </c>
      <c r="AE262" s="154"/>
      <c r="AF262" s="242" t="str">
        <f t="shared" si="4"/>
        <v>#ERROR!</v>
      </c>
      <c r="AG262" s="154" t="s">
        <v>652</v>
      </c>
      <c r="AH262" s="242" t="str">
        <f>IF(AG262="","N/A",INDIRECT("MTR!"&amp;ADDRESS(MATCH(LEFT(AG262,9),[1]MTR!C:C,0),COLUMN(J262)),TRUE) &amp; "")</f>
        <v>#ERROR!</v>
      </c>
      <c r="AI262" s="157" t="str">
        <f t="shared" si="5"/>
        <v>#ERROR!</v>
      </c>
    </row>
    <row r="263" ht="12.75" customHeight="1">
      <c r="A263" s="244" t="s">
        <v>5158</v>
      </c>
      <c r="B263" s="244" t="s">
        <v>231</v>
      </c>
      <c r="C263" s="244" t="s">
        <v>7489</v>
      </c>
      <c r="D263" s="154" t="s">
        <v>781</v>
      </c>
      <c r="E263" s="154"/>
      <c r="F263" s="154" t="str">
        <f t="array" ref="F263">XLOOKUP(Cover!$D$12,$R$1:$Z$1,$R263:$Z263)</f>
        <v>Information</v>
      </c>
      <c r="G263" s="154" t="s">
        <v>7490</v>
      </c>
      <c r="H263" s="154" t="s">
        <v>7390</v>
      </c>
      <c r="I263" s="154" t="s">
        <v>7485</v>
      </c>
      <c r="J263" s="154" t="s">
        <v>7486</v>
      </c>
      <c r="K263" s="154" t="s">
        <v>7305</v>
      </c>
      <c r="L263" s="154" t="s">
        <v>6942</v>
      </c>
      <c r="M263" s="154"/>
      <c r="N263" s="154" t="s">
        <v>759</v>
      </c>
      <c r="O263" s="247" t="s">
        <v>516</v>
      </c>
      <c r="P263" s="247" t="s">
        <v>1575</v>
      </c>
      <c r="Q263" s="154" t="str">
        <f t="shared" si="1"/>
        <v>#ERROR!</v>
      </c>
      <c r="R263" s="154" t="s">
        <v>66</v>
      </c>
      <c r="S263" s="154" t="s">
        <v>66</v>
      </c>
      <c r="T263" s="154" t="s">
        <v>66</v>
      </c>
      <c r="U263" s="154" t="s">
        <v>66</v>
      </c>
      <c r="V263" s="154" t="s">
        <v>66</v>
      </c>
      <c r="W263" s="154" t="s">
        <v>66</v>
      </c>
      <c r="X263" s="154" t="s">
        <v>66</v>
      </c>
      <c r="Y263" s="154" t="s">
        <v>66</v>
      </c>
      <c r="Z263" s="154" t="s">
        <v>66</v>
      </c>
      <c r="AA263" s="154"/>
      <c r="AB263" s="242" t="str">
        <f t="shared" si="2"/>
        <v>#ERROR!</v>
      </c>
      <c r="AC263" s="154" t="s">
        <v>391</v>
      </c>
      <c r="AD263" s="242" t="b">
        <f t="shared" si="3"/>
        <v>0</v>
      </c>
      <c r="AE263" s="154"/>
      <c r="AF263" s="242" t="str">
        <f t="shared" si="4"/>
        <v>#ERROR!</v>
      </c>
      <c r="AG263" s="154" t="s">
        <v>652</v>
      </c>
      <c r="AH263" s="242" t="str">
        <f>IF(AG263="","N/A",INDIRECT("MTR!"&amp;ADDRESS(MATCH(LEFT(AG263,9),[1]MTR!C:C,0),COLUMN(J263)),TRUE) &amp; "")</f>
        <v>#ERROR!</v>
      </c>
      <c r="AI263" s="157" t="str">
        <f t="shared" si="5"/>
        <v>#ERROR!</v>
      </c>
    </row>
    <row r="264" ht="12.75" customHeight="1">
      <c r="A264" s="244" t="s">
        <v>5158</v>
      </c>
      <c r="B264" s="244" t="s">
        <v>231</v>
      </c>
      <c r="C264" s="244" t="s">
        <v>7491</v>
      </c>
      <c r="D264" s="154" t="s">
        <v>546</v>
      </c>
      <c r="E264" s="154"/>
      <c r="F264" s="154" t="str">
        <f t="array" ref="F264">XLOOKUP(Cover!$D$12,$R$1:$Z$1,$R264:$Z264)</f>
        <v>Mandatory</v>
      </c>
      <c r="G264" s="154" t="s">
        <v>7492</v>
      </c>
      <c r="H264" s="154" t="s">
        <v>7304</v>
      </c>
      <c r="I264" s="154" t="s">
        <v>7493</v>
      </c>
      <c r="J264" s="154" t="s">
        <v>7494</v>
      </c>
      <c r="K264" s="154" t="s">
        <v>7305</v>
      </c>
      <c r="L264" s="154" t="s">
        <v>6529</v>
      </c>
      <c r="M264" s="154" t="s">
        <v>1018</v>
      </c>
      <c r="N264" s="154" t="s">
        <v>759</v>
      </c>
      <c r="O264" s="247" t="s">
        <v>516</v>
      </c>
      <c r="P264" s="247" t="s">
        <v>6776</v>
      </c>
      <c r="Q264" s="154" t="str">
        <f t="shared" si="1"/>
        <v>#ERROR!</v>
      </c>
      <c r="R264" s="154" t="s">
        <v>66</v>
      </c>
      <c r="S264" s="154" t="s">
        <v>66</v>
      </c>
      <c r="T264" s="154" t="s">
        <v>66</v>
      </c>
      <c r="U264" s="154" t="s">
        <v>66</v>
      </c>
      <c r="V264" s="154" t="s">
        <v>66</v>
      </c>
      <c r="W264" s="154" t="s">
        <v>60</v>
      </c>
      <c r="X264" s="154" t="s">
        <v>66</v>
      </c>
      <c r="Y264" s="154" t="s">
        <v>66</v>
      </c>
      <c r="Z264" s="154" t="s">
        <v>60</v>
      </c>
      <c r="AA264" s="154"/>
      <c r="AB264" s="242" t="str">
        <f t="shared" si="2"/>
        <v>#ERROR!</v>
      </c>
      <c r="AC264" s="154" t="s">
        <v>391</v>
      </c>
      <c r="AD264" s="242" t="b">
        <f t="shared" si="3"/>
        <v>0</v>
      </c>
      <c r="AE264" s="154"/>
      <c r="AF264" s="242" t="str">
        <f t="shared" si="4"/>
        <v>#ERROR!</v>
      </c>
      <c r="AG264" s="154" t="s">
        <v>652</v>
      </c>
      <c r="AH264" s="242" t="str">
        <f>IF(AG264="","N/A",INDIRECT("MTR!"&amp;ADDRESS(MATCH(LEFT(AG264,9),[1]MTR!C:C,0),COLUMN(J264)),TRUE) &amp; "")</f>
        <v>#ERROR!</v>
      </c>
      <c r="AI264" s="157" t="str">
        <f t="shared" si="5"/>
        <v>#ERROR!</v>
      </c>
    </row>
    <row r="265" ht="12.75" customHeight="1">
      <c r="A265" s="244" t="s">
        <v>5158</v>
      </c>
      <c r="B265" s="244" t="s">
        <v>231</v>
      </c>
      <c r="C265" s="244" t="s">
        <v>7495</v>
      </c>
      <c r="D265" s="154" t="s">
        <v>546</v>
      </c>
      <c r="E265" s="154"/>
      <c r="F265" s="154" t="str">
        <f t="array" ref="F265">XLOOKUP(Cover!$D$12,$R$1:$Z$1,$R265:$Z265)</f>
        <v>Recommended</v>
      </c>
      <c r="G265" s="154" t="s">
        <v>7496</v>
      </c>
      <c r="H265" s="154" t="s">
        <v>7314</v>
      </c>
      <c r="I265" s="154" t="s">
        <v>7493</v>
      </c>
      <c r="J265" s="154" t="s">
        <v>7494</v>
      </c>
      <c r="K265" s="154" t="s">
        <v>7305</v>
      </c>
      <c r="L265" s="154" t="s">
        <v>6529</v>
      </c>
      <c r="M265" s="154"/>
      <c r="N265" s="154" t="s">
        <v>759</v>
      </c>
      <c r="O265" s="247" t="s">
        <v>516</v>
      </c>
      <c r="P265" s="247" t="s">
        <v>6776</v>
      </c>
      <c r="Q265" s="154" t="str">
        <f t="shared" si="1"/>
        <v>#ERROR!</v>
      </c>
      <c r="R265" s="154" t="s">
        <v>66</v>
      </c>
      <c r="S265" s="154" t="s">
        <v>66</v>
      </c>
      <c r="T265" s="154" t="s">
        <v>66</v>
      </c>
      <c r="U265" s="154" t="s">
        <v>66</v>
      </c>
      <c r="V265" s="154" t="s">
        <v>66</v>
      </c>
      <c r="W265" s="154" t="s">
        <v>64</v>
      </c>
      <c r="X265" s="154" t="s">
        <v>66</v>
      </c>
      <c r="Y265" s="154" t="s">
        <v>66</v>
      </c>
      <c r="Z265" s="154" t="s">
        <v>64</v>
      </c>
      <c r="AA265" s="154"/>
      <c r="AB265" s="242" t="str">
        <f t="shared" si="2"/>
        <v>#ERROR!</v>
      </c>
      <c r="AC265" s="154" t="s">
        <v>391</v>
      </c>
      <c r="AD265" s="242" t="b">
        <f t="shared" si="3"/>
        <v>0</v>
      </c>
      <c r="AE265" s="154"/>
      <c r="AF265" s="242" t="str">
        <f t="shared" si="4"/>
        <v>#ERROR!</v>
      </c>
      <c r="AG265" s="154" t="s">
        <v>652</v>
      </c>
      <c r="AH265" s="242" t="str">
        <f>IF(AG265="","N/A",INDIRECT("MTR!"&amp;ADDRESS(MATCH(LEFT(AG265,9),[1]MTR!C:C,0),COLUMN(J265)),TRUE) &amp; "")</f>
        <v>#ERROR!</v>
      </c>
      <c r="AI265" s="157" t="str">
        <f t="shared" si="5"/>
        <v>#ERROR!</v>
      </c>
    </row>
    <row r="266" ht="12.75" customHeight="1">
      <c r="A266" s="244" t="s">
        <v>5158</v>
      </c>
      <c r="B266" s="244" t="s">
        <v>231</v>
      </c>
      <c r="C266" s="244" t="s">
        <v>7497</v>
      </c>
      <c r="D266" s="154" t="s">
        <v>546</v>
      </c>
      <c r="E266" s="154"/>
      <c r="F266" s="154" t="str">
        <f t="array" ref="F266">XLOOKUP(Cover!$D$12,$R$1:$Z$1,$R266:$Z266)</f>
        <v>Mandatory</v>
      </c>
      <c r="G266" s="154" t="s">
        <v>7498</v>
      </c>
      <c r="H266" s="154" t="s">
        <v>7317</v>
      </c>
      <c r="I266" s="154" t="s">
        <v>7493</v>
      </c>
      <c r="J266" s="154" t="s">
        <v>7494</v>
      </c>
      <c r="K266" s="154" t="s">
        <v>7305</v>
      </c>
      <c r="L266" s="154" t="s">
        <v>6529</v>
      </c>
      <c r="M266" s="154" t="s">
        <v>1018</v>
      </c>
      <c r="N266" s="154" t="s">
        <v>759</v>
      </c>
      <c r="O266" s="247" t="s">
        <v>516</v>
      </c>
      <c r="P266" s="247" t="s">
        <v>6776</v>
      </c>
      <c r="Q266" s="154" t="str">
        <f t="shared" si="1"/>
        <v>#ERROR!</v>
      </c>
      <c r="R266" s="154" t="s">
        <v>66</v>
      </c>
      <c r="S266" s="154" t="s">
        <v>66</v>
      </c>
      <c r="T266" s="154" t="s">
        <v>66</v>
      </c>
      <c r="U266" s="154" t="s">
        <v>66</v>
      </c>
      <c r="V266" s="154" t="s">
        <v>66</v>
      </c>
      <c r="W266" s="154" t="s">
        <v>60</v>
      </c>
      <c r="X266" s="154" t="s">
        <v>66</v>
      </c>
      <c r="Y266" s="154" t="s">
        <v>66</v>
      </c>
      <c r="Z266" s="154" t="s">
        <v>60</v>
      </c>
      <c r="AA266" s="154"/>
      <c r="AB266" s="242" t="str">
        <f t="shared" si="2"/>
        <v>#ERROR!</v>
      </c>
      <c r="AC266" s="154" t="s">
        <v>391</v>
      </c>
      <c r="AD266" s="242" t="b">
        <f t="shared" si="3"/>
        <v>0</v>
      </c>
      <c r="AE266" s="154"/>
      <c r="AF266" s="242" t="str">
        <f t="shared" si="4"/>
        <v>#ERROR!</v>
      </c>
      <c r="AG266" s="154" t="s">
        <v>652</v>
      </c>
      <c r="AH266" s="242" t="str">
        <f>IF(AG266="","N/A",INDIRECT("MTR!"&amp;ADDRESS(MATCH(LEFT(AG266,9),[1]MTR!C:C,0),COLUMN(J266)),TRUE) &amp; "")</f>
        <v>#ERROR!</v>
      </c>
      <c r="AI266" s="157" t="str">
        <f t="shared" si="5"/>
        <v>#ERROR!</v>
      </c>
    </row>
    <row r="267" ht="12.75" customHeight="1">
      <c r="A267" s="244" t="s">
        <v>5158</v>
      </c>
      <c r="B267" s="244" t="s">
        <v>231</v>
      </c>
      <c r="C267" s="244" t="s">
        <v>7499</v>
      </c>
      <c r="D267" s="154" t="s">
        <v>747</v>
      </c>
      <c r="E267" s="154"/>
      <c r="F267" s="154" t="str">
        <f t="array" ref="F267">XLOOKUP(Cover!$D$12,$R$1:$Z$1,$R267:$Z267)</f>
        <v>Mandatory</v>
      </c>
      <c r="G267" s="154" t="s">
        <v>7500</v>
      </c>
      <c r="H267" s="154" t="s">
        <v>7304</v>
      </c>
      <c r="I267" s="154" t="s">
        <v>7501</v>
      </c>
      <c r="J267" s="154" t="s">
        <v>7502</v>
      </c>
      <c r="K267" s="154" t="s">
        <v>7305</v>
      </c>
      <c r="L267" s="154" t="s">
        <v>6140</v>
      </c>
      <c r="M267" s="154" t="s">
        <v>1018</v>
      </c>
      <c r="N267" s="154" t="s">
        <v>759</v>
      </c>
      <c r="O267" s="247" t="s">
        <v>516</v>
      </c>
      <c r="P267" s="247" t="s">
        <v>6776</v>
      </c>
      <c r="Q267" s="154" t="str">
        <f t="shared" si="1"/>
        <v>#ERROR!</v>
      </c>
      <c r="R267" s="154" t="s">
        <v>66</v>
      </c>
      <c r="S267" s="154" t="s">
        <v>66</v>
      </c>
      <c r="T267" s="154" t="s">
        <v>66</v>
      </c>
      <c r="U267" s="154" t="s">
        <v>66</v>
      </c>
      <c r="V267" s="154" t="s">
        <v>66</v>
      </c>
      <c r="W267" s="154" t="s">
        <v>60</v>
      </c>
      <c r="X267" s="154" t="s">
        <v>66</v>
      </c>
      <c r="Y267" s="154" t="s">
        <v>66</v>
      </c>
      <c r="Z267" s="154" t="s">
        <v>60</v>
      </c>
      <c r="AA267" s="154"/>
      <c r="AB267" s="242" t="str">
        <f t="shared" si="2"/>
        <v>#ERROR!</v>
      </c>
      <c r="AC267" s="154" t="s">
        <v>391</v>
      </c>
      <c r="AD267" s="242" t="b">
        <f t="shared" si="3"/>
        <v>0</v>
      </c>
      <c r="AE267" s="154"/>
      <c r="AF267" s="242" t="str">
        <f t="shared" si="4"/>
        <v>#ERROR!</v>
      </c>
      <c r="AG267" s="154" t="s">
        <v>652</v>
      </c>
      <c r="AH267" s="242" t="str">
        <f>IF(AG267="","N/A",INDIRECT("MTR!"&amp;ADDRESS(MATCH(LEFT(AG267,9),[1]MTR!C:C,0),COLUMN(J267)),TRUE) &amp; "")</f>
        <v>#ERROR!</v>
      </c>
      <c r="AI267" s="157" t="str">
        <f t="shared" si="5"/>
        <v>#ERROR!</v>
      </c>
    </row>
    <row r="268" ht="12.75" customHeight="1">
      <c r="A268" s="244" t="s">
        <v>5158</v>
      </c>
      <c r="B268" s="244" t="s">
        <v>231</v>
      </c>
      <c r="C268" s="244" t="s">
        <v>7503</v>
      </c>
      <c r="D268" s="154" t="s">
        <v>747</v>
      </c>
      <c r="E268" s="154"/>
      <c r="F268" s="154" t="str">
        <f t="array" ref="F268">XLOOKUP(Cover!$D$12,$R$1:$Z$1,$R268:$Z268)</f>
        <v>Recommended</v>
      </c>
      <c r="G268" s="154" t="s">
        <v>7504</v>
      </c>
      <c r="H268" s="154" t="s">
        <v>7314</v>
      </c>
      <c r="I268" s="154" t="s">
        <v>7501</v>
      </c>
      <c r="J268" s="154" t="s">
        <v>7502</v>
      </c>
      <c r="K268" s="154" t="s">
        <v>7305</v>
      </c>
      <c r="L268" s="154" t="s">
        <v>6942</v>
      </c>
      <c r="M268" s="154"/>
      <c r="N268" s="154" t="s">
        <v>759</v>
      </c>
      <c r="O268" s="247" t="s">
        <v>516</v>
      </c>
      <c r="P268" s="247" t="s">
        <v>6776</v>
      </c>
      <c r="Q268" s="154" t="str">
        <f t="shared" si="1"/>
        <v>#ERROR!</v>
      </c>
      <c r="R268" s="154" t="s">
        <v>66</v>
      </c>
      <c r="S268" s="154" t="s">
        <v>66</v>
      </c>
      <c r="T268" s="154" t="s">
        <v>66</v>
      </c>
      <c r="U268" s="154" t="s">
        <v>66</v>
      </c>
      <c r="V268" s="154" t="s">
        <v>66</v>
      </c>
      <c r="W268" s="154" t="s">
        <v>64</v>
      </c>
      <c r="X268" s="154" t="s">
        <v>66</v>
      </c>
      <c r="Y268" s="154" t="s">
        <v>66</v>
      </c>
      <c r="Z268" s="154" t="s">
        <v>64</v>
      </c>
      <c r="AA268" s="154"/>
      <c r="AB268" s="242" t="str">
        <f t="shared" si="2"/>
        <v>#ERROR!</v>
      </c>
      <c r="AC268" s="154" t="s">
        <v>391</v>
      </c>
      <c r="AD268" s="242" t="b">
        <f t="shared" si="3"/>
        <v>0</v>
      </c>
      <c r="AE268" s="154"/>
      <c r="AF268" s="242" t="str">
        <f t="shared" si="4"/>
        <v>#ERROR!</v>
      </c>
      <c r="AG268" s="154" t="s">
        <v>652</v>
      </c>
      <c r="AH268" s="242" t="str">
        <f>IF(AG268="","N/A",INDIRECT("MTR!"&amp;ADDRESS(MATCH(LEFT(AG268,9),[1]MTR!C:C,0),COLUMN(J268)),TRUE) &amp; "")</f>
        <v>#ERROR!</v>
      </c>
      <c r="AI268" s="157" t="str">
        <f t="shared" si="5"/>
        <v>#ERROR!</v>
      </c>
    </row>
    <row r="269" ht="12.75" customHeight="1">
      <c r="A269" s="244" t="s">
        <v>5158</v>
      </c>
      <c r="B269" s="244" t="s">
        <v>231</v>
      </c>
      <c r="C269" s="244" t="s">
        <v>7505</v>
      </c>
      <c r="D269" s="154" t="s">
        <v>747</v>
      </c>
      <c r="E269" s="154"/>
      <c r="F269" s="154" t="str">
        <f t="array" ref="F269">XLOOKUP(Cover!$D$12,$R$1:$Z$1,$R269:$Z269)</f>
        <v>Mandatory</v>
      </c>
      <c r="G269" s="154" t="s">
        <v>7506</v>
      </c>
      <c r="H269" s="154" t="s">
        <v>7320</v>
      </c>
      <c r="I269" s="154" t="s">
        <v>7501</v>
      </c>
      <c r="J269" s="154" t="s">
        <v>7502</v>
      </c>
      <c r="K269" s="154" t="s">
        <v>7305</v>
      </c>
      <c r="L269" s="154" t="s">
        <v>6140</v>
      </c>
      <c r="M269" s="154" t="s">
        <v>1018</v>
      </c>
      <c r="N269" s="154" t="s">
        <v>759</v>
      </c>
      <c r="O269" s="247" t="s">
        <v>516</v>
      </c>
      <c r="P269" s="247" t="s">
        <v>6776</v>
      </c>
      <c r="Q269" s="154" t="str">
        <f t="shared" si="1"/>
        <v>#ERROR!</v>
      </c>
      <c r="R269" s="154" t="s">
        <v>66</v>
      </c>
      <c r="S269" s="154" t="s">
        <v>66</v>
      </c>
      <c r="T269" s="154" t="s">
        <v>66</v>
      </c>
      <c r="U269" s="154" t="s">
        <v>66</v>
      </c>
      <c r="V269" s="154" t="s">
        <v>66</v>
      </c>
      <c r="W269" s="154" t="s">
        <v>60</v>
      </c>
      <c r="X269" s="154" t="s">
        <v>66</v>
      </c>
      <c r="Y269" s="154" t="s">
        <v>66</v>
      </c>
      <c r="Z269" s="154" t="s">
        <v>60</v>
      </c>
      <c r="AA269" s="154"/>
      <c r="AB269" s="242" t="str">
        <f t="shared" si="2"/>
        <v>#ERROR!</v>
      </c>
      <c r="AC269" s="154" t="s">
        <v>391</v>
      </c>
      <c r="AD269" s="242" t="b">
        <f t="shared" si="3"/>
        <v>0</v>
      </c>
      <c r="AE269" s="154"/>
      <c r="AF269" s="242" t="str">
        <f t="shared" si="4"/>
        <v>#ERROR!</v>
      </c>
      <c r="AG269" s="154" t="s">
        <v>652</v>
      </c>
      <c r="AH269" s="242" t="str">
        <f>IF(AG269="","N/A",INDIRECT("MTR!"&amp;ADDRESS(MATCH(LEFT(AG269,9),[1]MTR!C:C,0),COLUMN(J269)),TRUE) &amp; "")</f>
        <v>#ERROR!</v>
      </c>
      <c r="AI269" s="157" t="str">
        <f t="shared" si="5"/>
        <v>#ERROR!</v>
      </c>
    </row>
    <row r="270" ht="12.75" customHeight="1">
      <c r="A270" s="244" t="s">
        <v>5158</v>
      </c>
      <c r="B270" s="244" t="s">
        <v>231</v>
      </c>
      <c r="C270" s="244" t="s">
        <v>7507</v>
      </c>
      <c r="D270" s="154" t="s">
        <v>861</v>
      </c>
      <c r="E270" s="154"/>
      <c r="F270" s="154" t="str">
        <f t="array" ref="F270">XLOOKUP(Cover!$D$12,$R$1:$Z$1,$R270:$Z270)</f>
        <v>Information</v>
      </c>
      <c r="G270" s="154" t="s">
        <v>7508</v>
      </c>
      <c r="H270" s="154" t="s">
        <v>7304</v>
      </c>
      <c r="I270" s="154" t="s">
        <v>7509</v>
      </c>
      <c r="J270" s="154" t="s">
        <v>7510</v>
      </c>
      <c r="K270" s="154" t="s">
        <v>7305</v>
      </c>
      <c r="L270" s="154" t="s">
        <v>6428</v>
      </c>
      <c r="M270" s="154"/>
      <c r="N270" s="154" t="s">
        <v>759</v>
      </c>
      <c r="O270" s="247" t="s">
        <v>516</v>
      </c>
      <c r="P270" s="247" t="s">
        <v>6776</v>
      </c>
      <c r="Q270" s="154" t="str">
        <f t="shared" si="1"/>
        <v>#ERROR!</v>
      </c>
      <c r="R270" s="154" t="s">
        <v>66</v>
      </c>
      <c r="S270" s="154" t="s">
        <v>66</v>
      </c>
      <c r="T270" s="154" t="s">
        <v>66</v>
      </c>
      <c r="U270" s="154" t="s">
        <v>66</v>
      </c>
      <c r="V270" s="154" t="s">
        <v>66</v>
      </c>
      <c r="W270" s="154" t="s">
        <v>66</v>
      </c>
      <c r="X270" s="154" t="s">
        <v>66</v>
      </c>
      <c r="Y270" s="154" t="s">
        <v>66</v>
      </c>
      <c r="Z270" s="154" t="s">
        <v>66</v>
      </c>
      <c r="AA270" s="154"/>
      <c r="AB270" s="242" t="str">
        <f t="shared" si="2"/>
        <v>#ERROR!</v>
      </c>
      <c r="AC270" s="154" t="s">
        <v>391</v>
      </c>
      <c r="AD270" s="242" t="b">
        <f t="shared" si="3"/>
        <v>0</v>
      </c>
      <c r="AE270" s="154"/>
      <c r="AF270" s="242" t="str">
        <f t="shared" si="4"/>
        <v>#ERROR!</v>
      </c>
      <c r="AG270" s="154" t="s">
        <v>652</v>
      </c>
      <c r="AH270" s="242" t="str">
        <f>IF(AG270="","N/A",INDIRECT("MTR!"&amp;ADDRESS(MATCH(LEFT(AG270,9),[1]MTR!C:C,0),COLUMN(J270)),TRUE) &amp; "")</f>
        <v>#ERROR!</v>
      </c>
      <c r="AI270" s="157" t="str">
        <f t="shared" si="5"/>
        <v>#ERROR!</v>
      </c>
    </row>
    <row r="271" ht="12.75" customHeight="1">
      <c r="A271" s="244" t="s">
        <v>5158</v>
      </c>
      <c r="B271" s="244" t="s">
        <v>231</v>
      </c>
      <c r="C271" s="244" t="s">
        <v>7511</v>
      </c>
      <c r="D271" s="154" t="s">
        <v>861</v>
      </c>
      <c r="E271" s="154"/>
      <c r="F271" s="154" t="str">
        <f t="array" ref="F271">XLOOKUP(Cover!$D$12,$R$1:$Z$1,$R271:$Z271)</f>
        <v>Information</v>
      </c>
      <c r="G271" s="154" t="s">
        <v>7512</v>
      </c>
      <c r="H271" s="154" t="s">
        <v>7314</v>
      </c>
      <c r="I271" s="154" t="s">
        <v>7509</v>
      </c>
      <c r="J271" s="154" t="s">
        <v>7510</v>
      </c>
      <c r="K271" s="154" t="s">
        <v>7305</v>
      </c>
      <c r="L271" s="154" t="s">
        <v>6428</v>
      </c>
      <c r="M271" s="154"/>
      <c r="N271" s="154" t="s">
        <v>759</v>
      </c>
      <c r="O271" s="247" t="s">
        <v>516</v>
      </c>
      <c r="P271" s="247" t="s">
        <v>6776</v>
      </c>
      <c r="Q271" s="154" t="str">
        <f t="shared" si="1"/>
        <v>#ERROR!</v>
      </c>
      <c r="R271" s="154" t="s">
        <v>66</v>
      </c>
      <c r="S271" s="154" t="s">
        <v>66</v>
      </c>
      <c r="T271" s="154" t="s">
        <v>66</v>
      </c>
      <c r="U271" s="154" t="s">
        <v>66</v>
      </c>
      <c r="V271" s="154" t="s">
        <v>66</v>
      </c>
      <c r="W271" s="154" t="s">
        <v>66</v>
      </c>
      <c r="X271" s="154" t="s">
        <v>66</v>
      </c>
      <c r="Y271" s="154" t="s">
        <v>66</v>
      </c>
      <c r="Z271" s="154" t="s">
        <v>66</v>
      </c>
      <c r="AA271" s="154"/>
      <c r="AB271" s="242" t="str">
        <f t="shared" si="2"/>
        <v>#ERROR!</v>
      </c>
      <c r="AC271" s="154" t="s">
        <v>391</v>
      </c>
      <c r="AD271" s="242" t="b">
        <f t="shared" si="3"/>
        <v>0</v>
      </c>
      <c r="AE271" s="154"/>
      <c r="AF271" s="242" t="str">
        <f t="shared" si="4"/>
        <v>#ERROR!</v>
      </c>
      <c r="AG271" s="154" t="s">
        <v>652</v>
      </c>
      <c r="AH271" s="242" t="str">
        <f>IF(AG271="","N/A",INDIRECT("MTR!"&amp;ADDRESS(MATCH(LEFT(AG271,9),[1]MTR!C:C,0),COLUMN(J271)),TRUE) &amp; "")</f>
        <v>#ERROR!</v>
      </c>
      <c r="AI271" s="157" t="str">
        <f t="shared" si="5"/>
        <v>#ERROR!</v>
      </c>
    </row>
    <row r="272" ht="12.75" customHeight="1">
      <c r="A272" s="244" t="s">
        <v>5158</v>
      </c>
      <c r="B272" s="244" t="s">
        <v>231</v>
      </c>
      <c r="C272" s="244" t="s">
        <v>7513</v>
      </c>
      <c r="D272" s="154" t="s">
        <v>861</v>
      </c>
      <c r="E272" s="154"/>
      <c r="F272" s="154" t="str">
        <f t="array" ref="F272">XLOOKUP(Cover!$D$12,$R$1:$Z$1,$R272:$Z272)</f>
        <v>Information</v>
      </c>
      <c r="G272" s="154" t="s">
        <v>7514</v>
      </c>
      <c r="H272" s="154" t="s">
        <v>7323</v>
      </c>
      <c r="I272" s="154" t="s">
        <v>7509</v>
      </c>
      <c r="J272" s="154" t="s">
        <v>7510</v>
      </c>
      <c r="K272" s="154" t="s">
        <v>7305</v>
      </c>
      <c r="L272" s="154" t="s">
        <v>6428</v>
      </c>
      <c r="M272" s="154"/>
      <c r="N272" s="154" t="s">
        <v>759</v>
      </c>
      <c r="O272" s="247" t="s">
        <v>516</v>
      </c>
      <c r="P272" s="247" t="s">
        <v>6776</v>
      </c>
      <c r="Q272" s="154" t="str">
        <f t="shared" si="1"/>
        <v>#ERROR!</v>
      </c>
      <c r="R272" s="154" t="s">
        <v>66</v>
      </c>
      <c r="S272" s="154" t="s">
        <v>66</v>
      </c>
      <c r="T272" s="154" t="s">
        <v>66</v>
      </c>
      <c r="U272" s="154" t="s">
        <v>66</v>
      </c>
      <c r="V272" s="154" t="s">
        <v>66</v>
      </c>
      <c r="W272" s="154" t="s">
        <v>66</v>
      </c>
      <c r="X272" s="154" t="s">
        <v>66</v>
      </c>
      <c r="Y272" s="154" t="s">
        <v>66</v>
      </c>
      <c r="Z272" s="154" t="s">
        <v>66</v>
      </c>
      <c r="AA272" s="154"/>
      <c r="AB272" s="242" t="str">
        <f t="shared" si="2"/>
        <v>#ERROR!</v>
      </c>
      <c r="AC272" s="154" t="s">
        <v>391</v>
      </c>
      <c r="AD272" s="242" t="b">
        <f t="shared" si="3"/>
        <v>0</v>
      </c>
      <c r="AE272" s="154"/>
      <c r="AF272" s="242" t="str">
        <f t="shared" si="4"/>
        <v>#ERROR!</v>
      </c>
      <c r="AG272" s="154" t="s">
        <v>652</v>
      </c>
      <c r="AH272" s="242" t="str">
        <f>IF(AG272="","N/A",INDIRECT("MTR!"&amp;ADDRESS(MATCH(LEFT(AG272,9),[1]MTR!C:C,0),COLUMN(J272)),TRUE) &amp; "")</f>
        <v>#ERROR!</v>
      </c>
      <c r="AI272" s="157" t="str">
        <f t="shared" si="5"/>
        <v>#ERROR!</v>
      </c>
    </row>
    <row r="273" ht="12.75" customHeight="1">
      <c r="A273" s="244" t="s">
        <v>5158</v>
      </c>
      <c r="B273" s="244" t="s">
        <v>231</v>
      </c>
      <c r="C273" s="244" t="s">
        <v>7515</v>
      </c>
      <c r="D273" s="154" t="s">
        <v>1315</v>
      </c>
      <c r="E273" s="154"/>
      <c r="F273" s="154" t="str">
        <f t="array" ref="F273">XLOOKUP(Cover!$D$12,$R$1:$Z$1,$R273:$Z273)</f>
        <v>Mandatory</v>
      </c>
      <c r="G273" s="154" t="s">
        <v>7516</v>
      </c>
      <c r="H273" s="154" t="s">
        <v>7304</v>
      </c>
      <c r="I273" s="154" t="s">
        <v>7517</v>
      </c>
      <c r="J273" s="154" t="s">
        <v>7518</v>
      </c>
      <c r="K273" s="154" t="s">
        <v>7305</v>
      </c>
      <c r="L273" s="154" t="s">
        <v>6905</v>
      </c>
      <c r="M273" s="154" t="s">
        <v>1018</v>
      </c>
      <c r="N273" s="154" t="s">
        <v>759</v>
      </c>
      <c r="O273" s="247" t="s">
        <v>516</v>
      </c>
      <c r="P273" s="247" t="s">
        <v>6776</v>
      </c>
      <c r="Q273" s="154" t="str">
        <f t="shared" si="1"/>
        <v>#ERROR!</v>
      </c>
      <c r="R273" s="154" t="s">
        <v>66</v>
      </c>
      <c r="S273" s="154" t="s">
        <v>66</v>
      </c>
      <c r="T273" s="154" t="s">
        <v>66</v>
      </c>
      <c r="U273" s="154" t="s">
        <v>66</v>
      </c>
      <c r="V273" s="154" t="s">
        <v>66</v>
      </c>
      <c r="W273" s="154" t="s">
        <v>60</v>
      </c>
      <c r="X273" s="154" t="s">
        <v>66</v>
      </c>
      <c r="Y273" s="154" t="s">
        <v>66</v>
      </c>
      <c r="Z273" s="154" t="s">
        <v>60</v>
      </c>
      <c r="AA273" s="154"/>
      <c r="AB273" s="242" t="str">
        <f t="shared" si="2"/>
        <v>#ERROR!</v>
      </c>
      <c r="AC273" s="154" t="s">
        <v>391</v>
      </c>
      <c r="AD273" s="242" t="b">
        <f t="shared" si="3"/>
        <v>0</v>
      </c>
      <c r="AE273" s="154"/>
      <c r="AF273" s="242" t="str">
        <f t="shared" si="4"/>
        <v>#ERROR!</v>
      </c>
      <c r="AG273" s="154" t="s">
        <v>652</v>
      </c>
      <c r="AH273" s="242" t="str">
        <f>IF(AG273="","N/A",INDIRECT("MTR!"&amp;ADDRESS(MATCH(LEFT(AG273,9),[1]MTR!C:C,0),COLUMN(J273)),TRUE) &amp; "")</f>
        <v>#ERROR!</v>
      </c>
      <c r="AI273" s="157" t="str">
        <f t="shared" si="5"/>
        <v>#ERROR!</v>
      </c>
    </row>
    <row r="274" ht="12.75" customHeight="1">
      <c r="A274" s="244" t="s">
        <v>5158</v>
      </c>
      <c r="B274" s="244" t="s">
        <v>231</v>
      </c>
      <c r="C274" s="244" t="s">
        <v>7519</v>
      </c>
      <c r="D274" s="154" t="s">
        <v>1315</v>
      </c>
      <c r="E274" s="154"/>
      <c r="F274" s="154" t="str">
        <f t="array" ref="F274">XLOOKUP(Cover!$D$12,$R$1:$Z$1,$R274:$Z274)</f>
        <v>Recommended</v>
      </c>
      <c r="G274" s="154" t="s">
        <v>7520</v>
      </c>
      <c r="H274" s="154" t="s">
        <v>7314</v>
      </c>
      <c r="I274" s="154" t="s">
        <v>7517</v>
      </c>
      <c r="J274" s="154" t="s">
        <v>7518</v>
      </c>
      <c r="K274" s="154" t="s">
        <v>7305</v>
      </c>
      <c r="L274" s="154" t="s">
        <v>6905</v>
      </c>
      <c r="M274" s="154"/>
      <c r="N274" s="154" t="s">
        <v>759</v>
      </c>
      <c r="O274" s="247" t="s">
        <v>516</v>
      </c>
      <c r="P274" s="247" t="s">
        <v>6776</v>
      </c>
      <c r="Q274" s="154" t="str">
        <f t="shared" si="1"/>
        <v>#ERROR!</v>
      </c>
      <c r="R274" s="154" t="s">
        <v>66</v>
      </c>
      <c r="S274" s="154" t="s">
        <v>66</v>
      </c>
      <c r="T274" s="154" t="s">
        <v>66</v>
      </c>
      <c r="U274" s="154" t="s">
        <v>66</v>
      </c>
      <c r="V274" s="154" t="s">
        <v>66</v>
      </c>
      <c r="W274" s="154" t="s">
        <v>64</v>
      </c>
      <c r="X274" s="154" t="s">
        <v>66</v>
      </c>
      <c r="Y274" s="154" t="s">
        <v>66</v>
      </c>
      <c r="Z274" s="154" t="s">
        <v>64</v>
      </c>
      <c r="AA274" s="154"/>
      <c r="AB274" s="242" t="str">
        <f t="shared" si="2"/>
        <v>#ERROR!</v>
      </c>
      <c r="AC274" s="154" t="s">
        <v>391</v>
      </c>
      <c r="AD274" s="242" t="b">
        <f t="shared" si="3"/>
        <v>0</v>
      </c>
      <c r="AE274" s="154"/>
      <c r="AF274" s="242" t="str">
        <f t="shared" si="4"/>
        <v>#ERROR!</v>
      </c>
      <c r="AG274" s="154" t="s">
        <v>652</v>
      </c>
      <c r="AH274" s="242" t="str">
        <f>IF(AG274="","N/A",INDIRECT("MTR!"&amp;ADDRESS(MATCH(LEFT(AG274,9),[1]MTR!C:C,0),COLUMN(J274)),TRUE) &amp; "")</f>
        <v>#ERROR!</v>
      </c>
      <c r="AI274" s="157" t="str">
        <f t="shared" si="5"/>
        <v>#ERROR!</v>
      </c>
    </row>
    <row r="275" ht="12.75" customHeight="1">
      <c r="A275" s="244" t="s">
        <v>5158</v>
      </c>
      <c r="B275" s="244" t="s">
        <v>231</v>
      </c>
      <c r="C275" s="244" t="s">
        <v>7521</v>
      </c>
      <c r="D275" s="154" t="s">
        <v>1773</v>
      </c>
      <c r="E275" s="154"/>
      <c r="F275" s="154" t="str">
        <f t="array" ref="F275">XLOOKUP(Cover!$D$12,$R$1:$Z$1,$R275:$Z275)</f>
        <v>Recommended</v>
      </c>
      <c r="G275" s="154" t="s">
        <v>7522</v>
      </c>
      <c r="H275" s="154" t="s">
        <v>7304</v>
      </c>
      <c r="I275" s="154" t="s">
        <v>7523</v>
      </c>
      <c r="J275" s="154" t="s">
        <v>7524</v>
      </c>
      <c r="K275" s="154" t="s">
        <v>7305</v>
      </c>
      <c r="L275" s="154" t="s">
        <v>7175</v>
      </c>
      <c r="M275" s="154"/>
      <c r="N275" s="154" t="s">
        <v>759</v>
      </c>
      <c r="O275" s="247" t="s">
        <v>516</v>
      </c>
      <c r="P275" s="247" t="s">
        <v>6776</v>
      </c>
      <c r="Q275" s="154" t="str">
        <f t="shared" si="1"/>
        <v>#ERROR!</v>
      </c>
      <c r="R275" s="154" t="s">
        <v>66</v>
      </c>
      <c r="S275" s="154" t="s">
        <v>66</v>
      </c>
      <c r="T275" s="154" t="s">
        <v>66</v>
      </c>
      <c r="U275" s="154" t="s">
        <v>66</v>
      </c>
      <c r="V275" s="154" t="s">
        <v>66</v>
      </c>
      <c r="W275" s="154" t="s">
        <v>64</v>
      </c>
      <c r="X275" s="154" t="s">
        <v>66</v>
      </c>
      <c r="Y275" s="154" t="s">
        <v>66</v>
      </c>
      <c r="Z275" s="154" t="s">
        <v>64</v>
      </c>
      <c r="AA275" s="154"/>
      <c r="AB275" s="242" t="str">
        <f t="shared" si="2"/>
        <v>#ERROR!</v>
      </c>
      <c r="AC275" s="154" t="s">
        <v>391</v>
      </c>
      <c r="AD275" s="242" t="b">
        <f t="shared" si="3"/>
        <v>0</v>
      </c>
      <c r="AE275" s="154"/>
      <c r="AF275" s="242" t="str">
        <f t="shared" si="4"/>
        <v>#ERROR!</v>
      </c>
      <c r="AG275" s="154" t="s">
        <v>652</v>
      </c>
      <c r="AH275" s="242" t="str">
        <f>IF(AG275="","N/A",INDIRECT("MTR!"&amp;ADDRESS(MATCH(LEFT(AG275,9),[1]MTR!C:C,0),COLUMN(J275)),TRUE) &amp; "")</f>
        <v>#ERROR!</v>
      </c>
      <c r="AI275" s="157" t="str">
        <f t="shared" si="5"/>
        <v>#ERROR!</v>
      </c>
    </row>
    <row r="276" ht="12.75" customHeight="1">
      <c r="A276" s="244" t="s">
        <v>5158</v>
      </c>
      <c r="B276" s="244" t="s">
        <v>231</v>
      </c>
      <c r="C276" s="244" t="s">
        <v>7525</v>
      </c>
      <c r="D276" s="154" t="s">
        <v>1773</v>
      </c>
      <c r="E276" s="154"/>
      <c r="F276" s="154" t="str">
        <f t="array" ref="F276">XLOOKUP(Cover!$D$12,$R$1:$Z$1,$R276:$Z276)</f>
        <v>Recommended</v>
      </c>
      <c r="G276" s="154" t="s">
        <v>7526</v>
      </c>
      <c r="H276" s="154" t="s">
        <v>7317</v>
      </c>
      <c r="I276" s="154" t="s">
        <v>7523</v>
      </c>
      <c r="J276" s="154" t="s">
        <v>7524</v>
      </c>
      <c r="K276" s="154" t="s">
        <v>7305</v>
      </c>
      <c r="L276" s="154" t="s">
        <v>7175</v>
      </c>
      <c r="M276" s="154"/>
      <c r="N276" s="154" t="s">
        <v>759</v>
      </c>
      <c r="O276" s="247" t="s">
        <v>516</v>
      </c>
      <c r="P276" s="247" t="s">
        <v>6776</v>
      </c>
      <c r="Q276" s="154" t="str">
        <f t="shared" si="1"/>
        <v>#ERROR!</v>
      </c>
      <c r="R276" s="154" t="s">
        <v>66</v>
      </c>
      <c r="S276" s="154" t="s">
        <v>66</v>
      </c>
      <c r="T276" s="154" t="s">
        <v>66</v>
      </c>
      <c r="U276" s="154" t="s">
        <v>66</v>
      </c>
      <c r="V276" s="154" t="s">
        <v>66</v>
      </c>
      <c r="W276" s="154" t="s">
        <v>64</v>
      </c>
      <c r="X276" s="154" t="s">
        <v>66</v>
      </c>
      <c r="Y276" s="154" t="s">
        <v>66</v>
      </c>
      <c r="Z276" s="154" t="s">
        <v>64</v>
      </c>
      <c r="AA276" s="154"/>
      <c r="AB276" s="242" t="str">
        <f t="shared" si="2"/>
        <v>#ERROR!</v>
      </c>
      <c r="AC276" s="154" t="s">
        <v>391</v>
      </c>
      <c r="AD276" s="242" t="b">
        <f t="shared" si="3"/>
        <v>0</v>
      </c>
      <c r="AE276" s="154"/>
      <c r="AF276" s="242" t="str">
        <f t="shared" si="4"/>
        <v>#ERROR!</v>
      </c>
      <c r="AG276" s="154" t="s">
        <v>652</v>
      </c>
      <c r="AH276" s="242" t="str">
        <f>IF(AG276="","N/A",INDIRECT("MTR!"&amp;ADDRESS(MATCH(LEFT(AG276,9),[1]MTR!C:C,0),COLUMN(J276)),TRUE) &amp; "")</f>
        <v>#ERROR!</v>
      </c>
      <c r="AI276" s="157" t="str">
        <f t="shared" si="5"/>
        <v>#ERROR!</v>
      </c>
    </row>
    <row r="277" ht="12.75" customHeight="1">
      <c r="A277" s="244" t="s">
        <v>5158</v>
      </c>
      <c r="B277" s="244" t="s">
        <v>231</v>
      </c>
      <c r="C277" s="244" t="s">
        <v>7527</v>
      </c>
      <c r="D277" s="154" t="s">
        <v>1773</v>
      </c>
      <c r="E277" s="154"/>
      <c r="F277" s="154" t="str">
        <f t="array" ref="F277">XLOOKUP(Cover!$D$12,$R$1:$Z$1,$R277:$Z277)</f>
        <v>Recommended</v>
      </c>
      <c r="G277" s="154" t="s">
        <v>7528</v>
      </c>
      <c r="H277" s="154" t="s">
        <v>7320</v>
      </c>
      <c r="I277" s="154" t="s">
        <v>7523</v>
      </c>
      <c r="J277" s="154" t="s">
        <v>7524</v>
      </c>
      <c r="K277" s="154" t="s">
        <v>7305</v>
      </c>
      <c r="L277" s="154" t="s">
        <v>7175</v>
      </c>
      <c r="M277" s="154"/>
      <c r="N277" s="154" t="s">
        <v>759</v>
      </c>
      <c r="O277" s="247" t="s">
        <v>516</v>
      </c>
      <c r="P277" s="247" t="s">
        <v>6776</v>
      </c>
      <c r="Q277" s="154" t="str">
        <f t="shared" si="1"/>
        <v>#ERROR!</v>
      </c>
      <c r="R277" s="154" t="s">
        <v>66</v>
      </c>
      <c r="S277" s="154" t="s">
        <v>66</v>
      </c>
      <c r="T277" s="154" t="s">
        <v>66</v>
      </c>
      <c r="U277" s="154" t="s">
        <v>66</v>
      </c>
      <c r="V277" s="154" t="s">
        <v>66</v>
      </c>
      <c r="W277" s="154" t="s">
        <v>64</v>
      </c>
      <c r="X277" s="154" t="s">
        <v>66</v>
      </c>
      <c r="Y277" s="154" t="s">
        <v>66</v>
      </c>
      <c r="Z277" s="154" t="s">
        <v>64</v>
      </c>
      <c r="AA277" s="154"/>
      <c r="AB277" s="242" t="str">
        <f t="shared" si="2"/>
        <v>#ERROR!</v>
      </c>
      <c r="AC277" s="154" t="s">
        <v>391</v>
      </c>
      <c r="AD277" s="242" t="b">
        <f t="shared" si="3"/>
        <v>0</v>
      </c>
      <c r="AE277" s="154"/>
      <c r="AF277" s="242" t="str">
        <f t="shared" si="4"/>
        <v>#ERROR!</v>
      </c>
      <c r="AG277" s="154" t="s">
        <v>652</v>
      </c>
      <c r="AH277" s="242" t="str">
        <f>IF(AG277="","N/A",INDIRECT("MTR!"&amp;ADDRESS(MATCH(LEFT(AG277,9),[1]MTR!C:C,0),COLUMN(J277)),TRUE) &amp; "")</f>
        <v>#ERROR!</v>
      </c>
      <c r="AI277" s="157" t="str">
        <f t="shared" si="5"/>
        <v>#ERROR!</v>
      </c>
    </row>
    <row r="278" ht="12.75" customHeight="1">
      <c r="A278" s="244" t="s">
        <v>5158</v>
      </c>
      <c r="B278" s="244" t="s">
        <v>231</v>
      </c>
      <c r="C278" s="244" t="s">
        <v>7529</v>
      </c>
      <c r="D278" s="154" t="s">
        <v>1773</v>
      </c>
      <c r="E278" s="154"/>
      <c r="F278" s="154" t="str">
        <f t="array" ref="F278">XLOOKUP(Cover!$D$12,$R$1:$Z$1,$R278:$Z278)</f>
        <v>Information</v>
      </c>
      <c r="G278" s="154" t="s">
        <v>7530</v>
      </c>
      <c r="H278" s="154" t="s">
        <v>7304</v>
      </c>
      <c r="I278" s="154" t="s">
        <v>7531</v>
      </c>
      <c r="J278" s="154" t="s">
        <v>7532</v>
      </c>
      <c r="K278" s="154" t="s">
        <v>7305</v>
      </c>
      <c r="L278" s="154" t="s">
        <v>7175</v>
      </c>
      <c r="M278" s="154"/>
      <c r="N278" s="154" t="s">
        <v>759</v>
      </c>
      <c r="O278" s="247" t="s">
        <v>516</v>
      </c>
      <c r="P278" s="247" t="s">
        <v>6776</v>
      </c>
      <c r="Q278" s="154" t="str">
        <f t="shared" si="1"/>
        <v>#ERROR!</v>
      </c>
      <c r="R278" s="154" t="s">
        <v>66</v>
      </c>
      <c r="S278" s="154" t="s">
        <v>66</v>
      </c>
      <c r="T278" s="154" t="s">
        <v>66</v>
      </c>
      <c r="U278" s="154" t="s">
        <v>66</v>
      </c>
      <c r="V278" s="154" t="s">
        <v>66</v>
      </c>
      <c r="W278" s="154" t="s">
        <v>66</v>
      </c>
      <c r="X278" s="154" t="s">
        <v>66</v>
      </c>
      <c r="Y278" s="154" t="s">
        <v>66</v>
      </c>
      <c r="Z278" s="154" t="s">
        <v>66</v>
      </c>
      <c r="AA278" s="154"/>
      <c r="AB278" s="242" t="str">
        <f t="shared" si="2"/>
        <v>#ERROR!</v>
      </c>
      <c r="AC278" s="154" t="s">
        <v>391</v>
      </c>
      <c r="AD278" s="242" t="b">
        <f t="shared" si="3"/>
        <v>0</v>
      </c>
      <c r="AE278" s="154"/>
      <c r="AF278" s="242" t="str">
        <f t="shared" si="4"/>
        <v>#ERROR!</v>
      </c>
      <c r="AG278" s="154" t="s">
        <v>652</v>
      </c>
      <c r="AH278" s="242" t="str">
        <f>IF(AG278="","N/A",INDIRECT("MTR!"&amp;ADDRESS(MATCH(LEFT(AG278,9),[1]MTR!C:C,0),COLUMN(J278)),TRUE) &amp; "")</f>
        <v>#ERROR!</v>
      </c>
      <c r="AI278" s="157" t="str">
        <f t="shared" si="5"/>
        <v>#ERROR!</v>
      </c>
    </row>
    <row r="279" ht="12.75" customHeight="1">
      <c r="A279" s="244" t="s">
        <v>5158</v>
      </c>
      <c r="B279" s="244" t="s">
        <v>231</v>
      </c>
      <c r="C279" s="244" t="s">
        <v>7533</v>
      </c>
      <c r="D279" s="154" t="s">
        <v>1773</v>
      </c>
      <c r="E279" s="154"/>
      <c r="F279" s="154" t="str">
        <f t="array" ref="F279">XLOOKUP(Cover!$D$12,$R$1:$Z$1,$R279:$Z279)</f>
        <v>Information</v>
      </c>
      <c r="G279" s="154" t="s">
        <v>7534</v>
      </c>
      <c r="H279" s="154" t="s">
        <v>7317</v>
      </c>
      <c r="I279" s="154" t="s">
        <v>7531</v>
      </c>
      <c r="J279" s="154" t="s">
        <v>7532</v>
      </c>
      <c r="K279" s="154" t="s">
        <v>7305</v>
      </c>
      <c r="L279" s="154" t="s">
        <v>7175</v>
      </c>
      <c r="M279" s="154"/>
      <c r="N279" s="154" t="s">
        <v>759</v>
      </c>
      <c r="O279" s="247" t="s">
        <v>516</v>
      </c>
      <c r="P279" s="247" t="s">
        <v>6776</v>
      </c>
      <c r="Q279" s="154" t="str">
        <f t="shared" si="1"/>
        <v>#ERROR!</v>
      </c>
      <c r="R279" s="154" t="s">
        <v>66</v>
      </c>
      <c r="S279" s="154" t="s">
        <v>66</v>
      </c>
      <c r="T279" s="154" t="s">
        <v>66</v>
      </c>
      <c r="U279" s="154" t="s">
        <v>66</v>
      </c>
      <c r="V279" s="154" t="s">
        <v>66</v>
      </c>
      <c r="W279" s="154" t="s">
        <v>66</v>
      </c>
      <c r="X279" s="154" t="s">
        <v>66</v>
      </c>
      <c r="Y279" s="154" t="s">
        <v>66</v>
      </c>
      <c r="Z279" s="154" t="s">
        <v>66</v>
      </c>
      <c r="AA279" s="154"/>
      <c r="AB279" s="242" t="str">
        <f t="shared" si="2"/>
        <v>#ERROR!</v>
      </c>
      <c r="AC279" s="154" t="s">
        <v>391</v>
      </c>
      <c r="AD279" s="242" t="b">
        <f t="shared" si="3"/>
        <v>0</v>
      </c>
      <c r="AE279" s="154"/>
      <c r="AF279" s="242" t="str">
        <f t="shared" si="4"/>
        <v>#ERROR!</v>
      </c>
      <c r="AG279" s="154" t="s">
        <v>652</v>
      </c>
      <c r="AH279" s="242" t="str">
        <f>IF(AG279="","N/A",INDIRECT("MTR!"&amp;ADDRESS(MATCH(LEFT(AG279,9),[1]MTR!C:C,0),COLUMN(J279)),TRUE) &amp; "")</f>
        <v>#ERROR!</v>
      </c>
      <c r="AI279" s="157" t="str">
        <f t="shared" si="5"/>
        <v>#ERROR!</v>
      </c>
    </row>
    <row r="280" ht="12.75" customHeight="1">
      <c r="A280" s="244" t="s">
        <v>5158</v>
      </c>
      <c r="B280" s="244" t="s">
        <v>231</v>
      </c>
      <c r="C280" s="244" t="s">
        <v>7535</v>
      </c>
      <c r="D280" s="154" t="s">
        <v>1773</v>
      </c>
      <c r="E280" s="154"/>
      <c r="F280" s="154" t="str">
        <f t="array" ref="F280">XLOOKUP(Cover!$D$12,$R$1:$Z$1,$R280:$Z280)</f>
        <v>Information</v>
      </c>
      <c r="G280" s="154" t="s">
        <v>7536</v>
      </c>
      <c r="H280" s="154" t="s">
        <v>7323</v>
      </c>
      <c r="I280" s="154" t="s">
        <v>7531</v>
      </c>
      <c r="J280" s="154" t="s">
        <v>7532</v>
      </c>
      <c r="K280" s="154" t="s">
        <v>7305</v>
      </c>
      <c r="L280" s="154" t="s">
        <v>7175</v>
      </c>
      <c r="M280" s="154"/>
      <c r="N280" s="154" t="s">
        <v>759</v>
      </c>
      <c r="O280" s="247" t="s">
        <v>516</v>
      </c>
      <c r="P280" s="247" t="s">
        <v>6776</v>
      </c>
      <c r="Q280" s="154" t="str">
        <f t="shared" si="1"/>
        <v>#ERROR!</v>
      </c>
      <c r="R280" s="154" t="s">
        <v>66</v>
      </c>
      <c r="S280" s="154" t="s">
        <v>66</v>
      </c>
      <c r="T280" s="154" t="s">
        <v>66</v>
      </c>
      <c r="U280" s="154" t="s">
        <v>66</v>
      </c>
      <c r="V280" s="154" t="s">
        <v>66</v>
      </c>
      <c r="W280" s="154" t="s">
        <v>66</v>
      </c>
      <c r="X280" s="154" t="s">
        <v>66</v>
      </c>
      <c r="Y280" s="154" t="s">
        <v>66</v>
      </c>
      <c r="Z280" s="154" t="s">
        <v>66</v>
      </c>
      <c r="AA280" s="154"/>
      <c r="AB280" s="242" t="str">
        <f t="shared" si="2"/>
        <v>#ERROR!</v>
      </c>
      <c r="AC280" s="154" t="s">
        <v>391</v>
      </c>
      <c r="AD280" s="242" t="b">
        <f t="shared" si="3"/>
        <v>0</v>
      </c>
      <c r="AE280" s="154"/>
      <c r="AF280" s="242" t="str">
        <f t="shared" si="4"/>
        <v>#ERROR!</v>
      </c>
      <c r="AG280" s="154" t="s">
        <v>652</v>
      </c>
      <c r="AH280" s="242" t="str">
        <f>IF(AG280="","N/A",INDIRECT("MTR!"&amp;ADDRESS(MATCH(LEFT(AG280,9),[1]MTR!C:C,0),COLUMN(J280)),TRUE) &amp; "")</f>
        <v>#ERROR!</v>
      </c>
      <c r="AI280" s="157" t="str">
        <f t="shared" si="5"/>
        <v>#ERROR!</v>
      </c>
    </row>
    <row r="281" ht="12.75" customHeight="1">
      <c r="A281" s="244" t="s">
        <v>5158</v>
      </c>
      <c r="B281" s="244" t="s">
        <v>231</v>
      </c>
      <c r="C281" s="244" t="s">
        <v>7537</v>
      </c>
      <c r="D281" s="154" t="s">
        <v>1773</v>
      </c>
      <c r="E281" s="154"/>
      <c r="F281" s="154" t="str">
        <f t="array" ref="F281">XLOOKUP(Cover!$D$12,$R$1:$Z$1,$R281:$Z281)</f>
        <v>Mandatory</v>
      </c>
      <c r="G281" s="154" t="s">
        <v>7538</v>
      </c>
      <c r="H281" s="154" t="s">
        <v>7304</v>
      </c>
      <c r="I281" s="154" t="s">
        <v>7539</v>
      </c>
      <c r="J281" s="154" t="s">
        <v>7540</v>
      </c>
      <c r="K281" s="154" t="s">
        <v>7305</v>
      </c>
      <c r="L281" s="154" t="s">
        <v>7175</v>
      </c>
      <c r="M281" s="154" t="s">
        <v>1018</v>
      </c>
      <c r="N281" s="154" t="s">
        <v>759</v>
      </c>
      <c r="O281" s="247" t="s">
        <v>516</v>
      </c>
      <c r="P281" s="247" t="s">
        <v>6776</v>
      </c>
      <c r="Q281" s="154" t="str">
        <f t="shared" si="1"/>
        <v>#ERROR!</v>
      </c>
      <c r="R281" s="154" t="s">
        <v>66</v>
      </c>
      <c r="S281" s="154" t="s">
        <v>66</v>
      </c>
      <c r="T281" s="154" t="s">
        <v>66</v>
      </c>
      <c r="U281" s="154" t="s">
        <v>66</v>
      </c>
      <c r="V281" s="154" t="s">
        <v>66</v>
      </c>
      <c r="W281" s="154" t="s">
        <v>60</v>
      </c>
      <c r="X281" s="154" t="s">
        <v>66</v>
      </c>
      <c r="Y281" s="154" t="s">
        <v>66</v>
      </c>
      <c r="Z281" s="154" t="s">
        <v>60</v>
      </c>
      <c r="AA281" s="154"/>
      <c r="AB281" s="242" t="str">
        <f t="shared" si="2"/>
        <v>#ERROR!</v>
      </c>
      <c r="AC281" s="154" t="s">
        <v>391</v>
      </c>
      <c r="AD281" s="242" t="b">
        <f t="shared" si="3"/>
        <v>0</v>
      </c>
      <c r="AE281" s="154"/>
      <c r="AF281" s="242" t="str">
        <f t="shared" si="4"/>
        <v>#ERROR!</v>
      </c>
      <c r="AG281" s="154" t="s">
        <v>652</v>
      </c>
      <c r="AH281" s="242" t="str">
        <f>IF(AG281="","N/A",INDIRECT("MTR!"&amp;ADDRESS(MATCH(LEFT(AG281,9),[1]MTR!C:C,0),COLUMN(J281)),TRUE) &amp; "")</f>
        <v>#ERROR!</v>
      </c>
      <c r="AI281" s="157" t="str">
        <f t="shared" si="5"/>
        <v>#ERROR!</v>
      </c>
    </row>
    <row r="282" ht="12.75" customHeight="1">
      <c r="A282" s="244" t="s">
        <v>5158</v>
      </c>
      <c r="B282" s="244" t="s">
        <v>231</v>
      </c>
      <c r="C282" s="244" t="s">
        <v>7541</v>
      </c>
      <c r="D282" s="154" t="s">
        <v>1773</v>
      </c>
      <c r="E282" s="154"/>
      <c r="F282" s="154" t="str">
        <f t="array" ref="F282">XLOOKUP(Cover!$D$12,$R$1:$Z$1,$R282:$Z282)</f>
        <v>Mandatory</v>
      </c>
      <c r="G282" s="154" t="s">
        <v>7542</v>
      </c>
      <c r="H282" s="154" t="s">
        <v>7317</v>
      </c>
      <c r="I282" s="154" t="s">
        <v>7539</v>
      </c>
      <c r="J282" s="154" t="s">
        <v>7540</v>
      </c>
      <c r="K282" s="154" t="s">
        <v>7305</v>
      </c>
      <c r="L282" s="154" t="s">
        <v>7175</v>
      </c>
      <c r="M282" s="154" t="s">
        <v>1018</v>
      </c>
      <c r="N282" s="154" t="s">
        <v>759</v>
      </c>
      <c r="O282" s="247" t="s">
        <v>516</v>
      </c>
      <c r="P282" s="247" t="s">
        <v>6776</v>
      </c>
      <c r="Q282" s="154" t="str">
        <f t="shared" si="1"/>
        <v>#ERROR!</v>
      </c>
      <c r="R282" s="154" t="s">
        <v>66</v>
      </c>
      <c r="S282" s="154" t="s">
        <v>66</v>
      </c>
      <c r="T282" s="154" t="s">
        <v>66</v>
      </c>
      <c r="U282" s="154" t="s">
        <v>66</v>
      </c>
      <c r="V282" s="154" t="s">
        <v>66</v>
      </c>
      <c r="W282" s="154" t="s">
        <v>60</v>
      </c>
      <c r="X282" s="154" t="s">
        <v>66</v>
      </c>
      <c r="Y282" s="154" t="s">
        <v>66</v>
      </c>
      <c r="Z282" s="154" t="s">
        <v>60</v>
      </c>
      <c r="AA282" s="154"/>
      <c r="AB282" s="242" t="str">
        <f t="shared" si="2"/>
        <v>#ERROR!</v>
      </c>
      <c r="AC282" s="154" t="s">
        <v>391</v>
      </c>
      <c r="AD282" s="242" t="b">
        <f t="shared" si="3"/>
        <v>0</v>
      </c>
      <c r="AE282" s="154"/>
      <c r="AF282" s="242" t="str">
        <f t="shared" si="4"/>
        <v>#ERROR!</v>
      </c>
      <c r="AG282" s="154" t="s">
        <v>652</v>
      </c>
      <c r="AH282" s="242" t="str">
        <f>IF(AG282="","N/A",INDIRECT("MTR!"&amp;ADDRESS(MATCH(LEFT(AG282,9),[1]MTR!C:C,0),COLUMN(J282)),TRUE) &amp; "")</f>
        <v>#ERROR!</v>
      </c>
      <c r="AI282" s="157" t="str">
        <f t="shared" si="5"/>
        <v>#ERROR!</v>
      </c>
    </row>
    <row r="283" ht="12.75" customHeight="1">
      <c r="A283" s="244" t="s">
        <v>5158</v>
      </c>
      <c r="B283" s="244" t="s">
        <v>231</v>
      </c>
      <c r="C283" s="244" t="s">
        <v>7543</v>
      </c>
      <c r="D283" s="154" t="s">
        <v>1315</v>
      </c>
      <c r="E283" s="154"/>
      <c r="F283" s="154" t="str">
        <f t="array" ref="F283">XLOOKUP(Cover!$D$12,$R$1:$Z$1,$R283:$Z283)</f>
        <v>Information</v>
      </c>
      <c r="G283" s="154" t="s">
        <v>7544</v>
      </c>
      <c r="H283" s="154" t="s">
        <v>7304</v>
      </c>
      <c r="I283" s="154" t="s">
        <v>7545</v>
      </c>
      <c r="J283" s="154" t="s">
        <v>7546</v>
      </c>
      <c r="K283" s="154" t="s">
        <v>7305</v>
      </c>
      <c r="L283" s="154" t="s">
        <v>6905</v>
      </c>
      <c r="M283" s="154"/>
      <c r="N283" s="154" t="s">
        <v>759</v>
      </c>
      <c r="O283" s="247" t="s">
        <v>516</v>
      </c>
      <c r="P283" s="247" t="s">
        <v>6776</v>
      </c>
      <c r="Q283" s="154" t="str">
        <f t="shared" si="1"/>
        <v>#ERROR!</v>
      </c>
      <c r="R283" s="154" t="s">
        <v>66</v>
      </c>
      <c r="S283" s="154" t="s">
        <v>66</v>
      </c>
      <c r="T283" s="154" t="s">
        <v>66</v>
      </c>
      <c r="U283" s="154" t="s">
        <v>66</v>
      </c>
      <c r="V283" s="154" t="s">
        <v>66</v>
      </c>
      <c r="W283" s="154" t="s">
        <v>66</v>
      </c>
      <c r="X283" s="154" t="s">
        <v>66</v>
      </c>
      <c r="Y283" s="154" t="s">
        <v>66</v>
      </c>
      <c r="Z283" s="154" t="s">
        <v>66</v>
      </c>
      <c r="AA283" s="154"/>
      <c r="AB283" s="242" t="str">
        <f t="shared" si="2"/>
        <v>#ERROR!</v>
      </c>
      <c r="AC283" s="154" t="s">
        <v>391</v>
      </c>
      <c r="AD283" s="242" t="b">
        <f t="shared" si="3"/>
        <v>0</v>
      </c>
      <c r="AE283" s="154"/>
      <c r="AF283" s="242" t="str">
        <f t="shared" si="4"/>
        <v>#ERROR!</v>
      </c>
      <c r="AG283" s="154" t="s">
        <v>652</v>
      </c>
      <c r="AH283" s="242" t="str">
        <f>IF(AG283="","N/A",INDIRECT("MTR!"&amp;ADDRESS(MATCH(LEFT(AG283,9),[1]MTR!C:C,0),COLUMN(J283)),TRUE) &amp; "")</f>
        <v>#ERROR!</v>
      </c>
      <c r="AI283" s="157" t="str">
        <f t="shared" si="5"/>
        <v>#ERROR!</v>
      </c>
    </row>
    <row r="284" ht="12.75" customHeight="1">
      <c r="A284" s="244" t="s">
        <v>5158</v>
      </c>
      <c r="B284" s="244" t="s">
        <v>231</v>
      </c>
      <c r="C284" s="244" t="s">
        <v>7547</v>
      </c>
      <c r="D284" s="154" t="s">
        <v>1315</v>
      </c>
      <c r="E284" s="154"/>
      <c r="F284" s="154" t="str">
        <f t="array" ref="F284">XLOOKUP(Cover!$D$12,$R$1:$Z$1,$R284:$Z284)</f>
        <v>Information</v>
      </c>
      <c r="G284" s="154" t="s">
        <v>7548</v>
      </c>
      <c r="H284" s="154" t="s">
        <v>7320</v>
      </c>
      <c r="I284" s="154" t="s">
        <v>7545</v>
      </c>
      <c r="J284" s="154" t="s">
        <v>7546</v>
      </c>
      <c r="K284" s="154" t="s">
        <v>7305</v>
      </c>
      <c r="L284" s="154" t="s">
        <v>6905</v>
      </c>
      <c r="M284" s="154"/>
      <c r="N284" s="154" t="s">
        <v>759</v>
      </c>
      <c r="O284" s="247" t="s">
        <v>516</v>
      </c>
      <c r="P284" s="247" t="s">
        <v>6776</v>
      </c>
      <c r="Q284" s="154" t="str">
        <f t="shared" si="1"/>
        <v>#ERROR!</v>
      </c>
      <c r="R284" s="154" t="s">
        <v>66</v>
      </c>
      <c r="S284" s="154" t="s">
        <v>66</v>
      </c>
      <c r="T284" s="154" t="s">
        <v>66</v>
      </c>
      <c r="U284" s="154" t="s">
        <v>66</v>
      </c>
      <c r="V284" s="154" t="s">
        <v>66</v>
      </c>
      <c r="W284" s="154" t="s">
        <v>66</v>
      </c>
      <c r="X284" s="154" t="s">
        <v>66</v>
      </c>
      <c r="Y284" s="154" t="s">
        <v>66</v>
      </c>
      <c r="Z284" s="154" t="s">
        <v>66</v>
      </c>
      <c r="AA284" s="154"/>
      <c r="AB284" s="242" t="str">
        <f t="shared" si="2"/>
        <v>#ERROR!</v>
      </c>
      <c r="AC284" s="154" t="s">
        <v>391</v>
      </c>
      <c r="AD284" s="242" t="b">
        <f t="shared" si="3"/>
        <v>0</v>
      </c>
      <c r="AE284" s="154"/>
      <c r="AF284" s="242" t="str">
        <f t="shared" si="4"/>
        <v>#ERROR!</v>
      </c>
      <c r="AG284" s="154" t="s">
        <v>652</v>
      </c>
      <c r="AH284" s="242" t="str">
        <f>IF(AG284="","N/A",INDIRECT("MTR!"&amp;ADDRESS(MATCH(LEFT(AG284,9),[1]MTR!C:C,0),COLUMN(J284)),TRUE) &amp; "")</f>
        <v>#ERROR!</v>
      </c>
      <c r="AI284" s="157" t="str">
        <f t="shared" si="5"/>
        <v>#ERROR!</v>
      </c>
    </row>
    <row r="285" ht="12.75" customHeight="1">
      <c r="A285" s="244" t="s">
        <v>5158</v>
      </c>
      <c r="B285" s="244" t="s">
        <v>231</v>
      </c>
      <c r="C285" s="244" t="s">
        <v>7549</v>
      </c>
      <c r="D285" s="154" t="s">
        <v>1315</v>
      </c>
      <c r="E285" s="154"/>
      <c r="F285" s="154" t="str">
        <f t="array" ref="F285">XLOOKUP(Cover!$D$12,$R$1:$Z$1,$R285:$Z285)</f>
        <v>Information</v>
      </c>
      <c r="G285" s="154" t="s">
        <v>7550</v>
      </c>
      <c r="H285" s="154" t="s">
        <v>7323</v>
      </c>
      <c r="I285" s="154" t="s">
        <v>7545</v>
      </c>
      <c r="J285" s="154" t="s">
        <v>7546</v>
      </c>
      <c r="K285" s="154" t="s">
        <v>7305</v>
      </c>
      <c r="L285" s="154" t="s">
        <v>6905</v>
      </c>
      <c r="M285" s="154"/>
      <c r="N285" s="154" t="s">
        <v>759</v>
      </c>
      <c r="O285" s="247" t="s">
        <v>516</v>
      </c>
      <c r="P285" s="247" t="s">
        <v>6776</v>
      </c>
      <c r="Q285" s="154" t="str">
        <f t="shared" si="1"/>
        <v>#ERROR!</v>
      </c>
      <c r="R285" s="154" t="s">
        <v>66</v>
      </c>
      <c r="S285" s="154" t="s">
        <v>66</v>
      </c>
      <c r="T285" s="154" t="s">
        <v>66</v>
      </c>
      <c r="U285" s="154" t="s">
        <v>66</v>
      </c>
      <c r="V285" s="154" t="s">
        <v>66</v>
      </c>
      <c r="W285" s="154" t="s">
        <v>66</v>
      </c>
      <c r="X285" s="154" t="s">
        <v>66</v>
      </c>
      <c r="Y285" s="154" t="s">
        <v>66</v>
      </c>
      <c r="Z285" s="154" t="s">
        <v>66</v>
      </c>
      <c r="AA285" s="154"/>
      <c r="AB285" s="242" t="str">
        <f t="shared" si="2"/>
        <v>#ERROR!</v>
      </c>
      <c r="AC285" s="154" t="s">
        <v>391</v>
      </c>
      <c r="AD285" s="242" t="b">
        <f t="shared" si="3"/>
        <v>0</v>
      </c>
      <c r="AE285" s="154"/>
      <c r="AF285" s="242" t="str">
        <f t="shared" si="4"/>
        <v>#ERROR!</v>
      </c>
      <c r="AG285" s="154" t="s">
        <v>652</v>
      </c>
      <c r="AH285" s="242" t="str">
        <f>IF(AG285="","N/A",INDIRECT("MTR!"&amp;ADDRESS(MATCH(LEFT(AG285,9),[1]MTR!C:C,0),COLUMN(J285)),TRUE) &amp; "")</f>
        <v>#ERROR!</v>
      </c>
      <c r="AI285" s="157" t="str">
        <f t="shared" si="5"/>
        <v>#ERROR!</v>
      </c>
    </row>
    <row r="286" ht="12.75" customHeight="1">
      <c r="A286" s="244" t="s">
        <v>5158</v>
      </c>
      <c r="B286" s="244" t="s">
        <v>231</v>
      </c>
      <c r="C286" s="244" t="s">
        <v>7551</v>
      </c>
      <c r="D286" s="154" t="s">
        <v>861</v>
      </c>
      <c r="E286" s="154"/>
      <c r="F286" s="154" t="str">
        <f t="array" ref="F286">XLOOKUP(Cover!$D$12,$R$1:$Z$1,$R286:$Z286)</f>
        <v>Mandatory</v>
      </c>
      <c r="G286" s="154" t="s">
        <v>7552</v>
      </c>
      <c r="H286" s="154" t="s">
        <v>7304</v>
      </c>
      <c r="I286" s="154" t="s">
        <v>7553</v>
      </c>
      <c r="J286" s="154" t="s">
        <v>7554</v>
      </c>
      <c r="K286" s="154" t="s">
        <v>7305</v>
      </c>
      <c r="L286" s="154" t="s">
        <v>6428</v>
      </c>
      <c r="M286" s="154" t="s">
        <v>1018</v>
      </c>
      <c r="N286" s="154" t="s">
        <v>759</v>
      </c>
      <c r="O286" s="247" t="s">
        <v>516</v>
      </c>
      <c r="P286" s="247" t="s">
        <v>6776</v>
      </c>
      <c r="Q286" s="154" t="str">
        <f t="shared" si="1"/>
        <v>#ERROR!</v>
      </c>
      <c r="R286" s="154" t="s">
        <v>66</v>
      </c>
      <c r="S286" s="154" t="s">
        <v>66</v>
      </c>
      <c r="T286" s="154" t="s">
        <v>66</v>
      </c>
      <c r="U286" s="154" t="s">
        <v>66</v>
      </c>
      <c r="V286" s="154" t="s">
        <v>66</v>
      </c>
      <c r="W286" s="154" t="s">
        <v>60</v>
      </c>
      <c r="X286" s="154" t="s">
        <v>66</v>
      </c>
      <c r="Y286" s="154" t="s">
        <v>66</v>
      </c>
      <c r="Z286" s="154" t="s">
        <v>60</v>
      </c>
      <c r="AA286" s="154"/>
      <c r="AB286" s="242" t="str">
        <f t="shared" si="2"/>
        <v>#ERROR!</v>
      </c>
      <c r="AC286" s="154" t="s">
        <v>391</v>
      </c>
      <c r="AD286" s="242" t="b">
        <f t="shared" si="3"/>
        <v>0</v>
      </c>
      <c r="AE286" s="154"/>
      <c r="AF286" s="242" t="str">
        <f t="shared" si="4"/>
        <v>#ERROR!</v>
      </c>
      <c r="AG286" s="154" t="s">
        <v>652</v>
      </c>
      <c r="AH286" s="242" t="str">
        <f>IF(AG286="","N/A",INDIRECT("MTR!"&amp;ADDRESS(MATCH(LEFT(AG286,9),[1]MTR!C:C,0),COLUMN(J286)),TRUE) &amp; "")</f>
        <v>#ERROR!</v>
      </c>
      <c r="AI286" s="157" t="str">
        <f t="shared" si="5"/>
        <v>#ERROR!</v>
      </c>
    </row>
    <row r="287" ht="12.75" customHeight="1">
      <c r="A287" s="244" t="s">
        <v>5158</v>
      </c>
      <c r="B287" s="244" t="s">
        <v>231</v>
      </c>
      <c r="C287" s="244" t="s">
        <v>7555</v>
      </c>
      <c r="D287" s="154" t="s">
        <v>861</v>
      </c>
      <c r="E287" s="154"/>
      <c r="F287" s="154" t="str">
        <f t="array" ref="F287">XLOOKUP(Cover!$D$12,$R$1:$Z$1,$R287:$Z287)</f>
        <v>Mandatory</v>
      </c>
      <c r="G287" s="154" t="s">
        <v>7556</v>
      </c>
      <c r="H287" s="154" t="s">
        <v>7320</v>
      </c>
      <c r="I287" s="154" t="s">
        <v>7553</v>
      </c>
      <c r="J287" s="154" t="s">
        <v>7554</v>
      </c>
      <c r="K287" s="154" t="s">
        <v>7305</v>
      </c>
      <c r="L287" s="154" t="s">
        <v>6428</v>
      </c>
      <c r="M287" s="154" t="s">
        <v>1018</v>
      </c>
      <c r="N287" s="154" t="s">
        <v>759</v>
      </c>
      <c r="O287" s="247" t="s">
        <v>516</v>
      </c>
      <c r="P287" s="247" t="s">
        <v>6776</v>
      </c>
      <c r="Q287" s="154" t="str">
        <f t="shared" si="1"/>
        <v>#ERROR!</v>
      </c>
      <c r="R287" s="154" t="s">
        <v>66</v>
      </c>
      <c r="S287" s="154" t="s">
        <v>66</v>
      </c>
      <c r="T287" s="154" t="s">
        <v>66</v>
      </c>
      <c r="U287" s="154" t="s">
        <v>66</v>
      </c>
      <c r="V287" s="154" t="s">
        <v>66</v>
      </c>
      <c r="W287" s="154" t="s">
        <v>60</v>
      </c>
      <c r="X287" s="154" t="s">
        <v>66</v>
      </c>
      <c r="Y287" s="154" t="s">
        <v>66</v>
      </c>
      <c r="Z287" s="154" t="s">
        <v>60</v>
      </c>
      <c r="AA287" s="154"/>
      <c r="AB287" s="242" t="str">
        <f t="shared" si="2"/>
        <v>#ERROR!</v>
      </c>
      <c r="AC287" s="154" t="s">
        <v>391</v>
      </c>
      <c r="AD287" s="242" t="b">
        <f t="shared" si="3"/>
        <v>0</v>
      </c>
      <c r="AE287" s="154"/>
      <c r="AF287" s="242" t="str">
        <f t="shared" si="4"/>
        <v>#ERROR!</v>
      </c>
      <c r="AG287" s="154" t="s">
        <v>652</v>
      </c>
      <c r="AH287" s="242" t="str">
        <f>IF(AG287="","N/A",INDIRECT("MTR!"&amp;ADDRESS(MATCH(LEFT(AG287,9),[1]MTR!C:C,0),COLUMN(J287)),TRUE) &amp; "")</f>
        <v>#ERROR!</v>
      </c>
      <c r="AI287" s="157" t="str">
        <f t="shared" si="5"/>
        <v>#ERROR!</v>
      </c>
    </row>
    <row r="288" ht="12.75" customHeight="1">
      <c r="A288" s="244" t="s">
        <v>5158</v>
      </c>
      <c r="B288" s="244" t="s">
        <v>231</v>
      </c>
      <c r="C288" s="244" t="s">
        <v>7557</v>
      </c>
      <c r="D288" s="154" t="s">
        <v>1315</v>
      </c>
      <c r="E288" s="154"/>
      <c r="F288" s="154" t="str">
        <f t="array" ref="F288">XLOOKUP(Cover!$D$12,$R$1:$Z$1,$R288:$Z288)</f>
        <v>Information</v>
      </c>
      <c r="G288" s="154" t="s">
        <v>7558</v>
      </c>
      <c r="H288" s="154" t="s">
        <v>7304</v>
      </c>
      <c r="I288" s="154" t="s">
        <v>7559</v>
      </c>
      <c r="J288" s="154" t="s">
        <v>7560</v>
      </c>
      <c r="K288" s="154" t="s">
        <v>7305</v>
      </c>
      <c r="L288" s="154" t="s">
        <v>6905</v>
      </c>
      <c r="M288" s="154"/>
      <c r="N288" s="154" t="s">
        <v>759</v>
      </c>
      <c r="O288" s="247" t="s">
        <v>516</v>
      </c>
      <c r="P288" s="247" t="s">
        <v>6776</v>
      </c>
      <c r="Q288" s="154" t="str">
        <f t="shared" si="1"/>
        <v>#ERROR!</v>
      </c>
      <c r="R288" s="154" t="s">
        <v>66</v>
      </c>
      <c r="S288" s="154" t="s">
        <v>66</v>
      </c>
      <c r="T288" s="154" t="s">
        <v>66</v>
      </c>
      <c r="U288" s="154" t="s">
        <v>66</v>
      </c>
      <c r="V288" s="154" t="s">
        <v>66</v>
      </c>
      <c r="W288" s="154" t="s">
        <v>66</v>
      </c>
      <c r="X288" s="154" t="s">
        <v>66</v>
      </c>
      <c r="Y288" s="154" t="s">
        <v>66</v>
      </c>
      <c r="Z288" s="154" t="s">
        <v>66</v>
      </c>
      <c r="AA288" s="154"/>
      <c r="AB288" s="242" t="str">
        <f t="shared" si="2"/>
        <v>#ERROR!</v>
      </c>
      <c r="AC288" s="154" t="s">
        <v>391</v>
      </c>
      <c r="AD288" s="242" t="b">
        <f t="shared" si="3"/>
        <v>0</v>
      </c>
      <c r="AE288" s="154"/>
      <c r="AF288" s="242" t="str">
        <f t="shared" si="4"/>
        <v>#ERROR!</v>
      </c>
      <c r="AG288" s="154" t="s">
        <v>652</v>
      </c>
      <c r="AH288" s="242" t="str">
        <f>IF(AG288="","N/A",INDIRECT("MTR!"&amp;ADDRESS(MATCH(LEFT(AG288,9),[1]MTR!C:C,0),COLUMN(J288)),TRUE) &amp; "")</f>
        <v>#ERROR!</v>
      </c>
      <c r="AI288" s="157" t="str">
        <f t="shared" si="5"/>
        <v>#ERROR!</v>
      </c>
    </row>
    <row r="289" ht="12.75" customHeight="1">
      <c r="A289" s="244" t="s">
        <v>5158</v>
      </c>
      <c r="B289" s="244" t="s">
        <v>231</v>
      </c>
      <c r="C289" s="244" t="s">
        <v>7561</v>
      </c>
      <c r="D289" s="154" t="s">
        <v>1315</v>
      </c>
      <c r="E289" s="154"/>
      <c r="F289" s="154" t="str">
        <f t="array" ref="F289">XLOOKUP(Cover!$D$12,$R$1:$Z$1,$R289:$Z289)</f>
        <v>Information</v>
      </c>
      <c r="G289" s="154" t="s">
        <v>7562</v>
      </c>
      <c r="H289" s="154" t="s">
        <v>7323</v>
      </c>
      <c r="I289" s="154" t="s">
        <v>7559</v>
      </c>
      <c r="J289" s="154" t="s">
        <v>7560</v>
      </c>
      <c r="K289" s="154" t="s">
        <v>7305</v>
      </c>
      <c r="L289" s="154" t="s">
        <v>6905</v>
      </c>
      <c r="M289" s="154"/>
      <c r="N289" s="154" t="s">
        <v>759</v>
      </c>
      <c r="O289" s="247" t="s">
        <v>516</v>
      </c>
      <c r="P289" s="247" t="s">
        <v>6776</v>
      </c>
      <c r="Q289" s="154" t="str">
        <f t="shared" si="1"/>
        <v>#ERROR!</v>
      </c>
      <c r="R289" s="154" t="s">
        <v>66</v>
      </c>
      <c r="S289" s="154" t="s">
        <v>66</v>
      </c>
      <c r="T289" s="154" t="s">
        <v>66</v>
      </c>
      <c r="U289" s="154" t="s">
        <v>66</v>
      </c>
      <c r="V289" s="154" t="s">
        <v>66</v>
      </c>
      <c r="W289" s="154" t="s">
        <v>66</v>
      </c>
      <c r="X289" s="154" t="s">
        <v>66</v>
      </c>
      <c r="Y289" s="154" t="s">
        <v>66</v>
      </c>
      <c r="Z289" s="154" t="s">
        <v>66</v>
      </c>
      <c r="AA289" s="154"/>
      <c r="AB289" s="242" t="str">
        <f t="shared" si="2"/>
        <v>#ERROR!</v>
      </c>
      <c r="AC289" s="154" t="s">
        <v>391</v>
      </c>
      <c r="AD289" s="242" t="b">
        <f t="shared" si="3"/>
        <v>0</v>
      </c>
      <c r="AE289" s="154"/>
      <c r="AF289" s="242" t="str">
        <f t="shared" si="4"/>
        <v>#ERROR!</v>
      </c>
      <c r="AG289" s="154" t="s">
        <v>652</v>
      </c>
      <c r="AH289" s="242" t="str">
        <f>IF(AG289="","N/A",INDIRECT("MTR!"&amp;ADDRESS(MATCH(LEFT(AG289,9),[1]MTR!C:C,0),COLUMN(J289)),TRUE) &amp; "")</f>
        <v>#ERROR!</v>
      </c>
      <c r="AI289" s="157" t="str">
        <f t="shared" si="5"/>
        <v>#ERROR!</v>
      </c>
    </row>
    <row r="290" ht="12.75" customHeight="1">
      <c r="A290" s="244" t="s">
        <v>5158</v>
      </c>
      <c r="B290" s="244" t="s">
        <v>231</v>
      </c>
      <c r="C290" s="244" t="s">
        <v>7563</v>
      </c>
      <c r="D290" s="154" t="s">
        <v>1315</v>
      </c>
      <c r="E290" s="154"/>
      <c r="F290" s="154" t="str">
        <f t="array" ref="F290">XLOOKUP(Cover!$D$12,$R$1:$Z$1,$R290:$Z290)</f>
        <v>Information</v>
      </c>
      <c r="G290" s="154" t="s">
        <v>7564</v>
      </c>
      <c r="H290" s="154" t="s">
        <v>7311</v>
      </c>
      <c r="I290" s="154" t="s">
        <v>7565</v>
      </c>
      <c r="J290" s="154" t="s">
        <v>6984</v>
      </c>
      <c r="K290" s="154" t="s">
        <v>7305</v>
      </c>
      <c r="L290" s="154" t="s">
        <v>6884</v>
      </c>
      <c r="M290" s="154"/>
      <c r="N290" s="154" t="s">
        <v>759</v>
      </c>
      <c r="O290" s="247" t="s">
        <v>445</v>
      </c>
      <c r="P290" s="247" t="s">
        <v>89</v>
      </c>
      <c r="Q290" s="154" t="str">
        <f t="shared" si="1"/>
        <v>#ERROR!</v>
      </c>
      <c r="R290" s="154" t="s">
        <v>66</v>
      </c>
      <c r="S290" s="154" t="s">
        <v>66</v>
      </c>
      <c r="T290" s="154" t="s">
        <v>66</v>
      </c>
      <c r="U290" s="154" t="s">
        <v>66</v>
      </c>
      <c r="V290" s="154" t="s">
        <v>66</v>
      </c>
      <c r="W290" s="154" t="s">
        <v>66</v>
      </c>
      <c r="X290" s="154" t="s">
        <v>66</v>
      </c>
      <c r="Y290" s="154" t="s">
        <v>66</v>
      </c>
      <c r="Z290" s="154" t="s">
        <v>66</v>
      </c>
      <c r="AA290" s="154"/>
      <c r="AB290" s="242" t="str">
        <f t="shared" si="2"/>
        <v>#ERROR!</v>
      </c>
      <c r="AC290" s="154" t="s">
        <v>391</v>
      </c>
      <c r="AD290" s="242" t="b">
        <f t="shared" si="3"/>
        <v>0</v>
      </c>
      <c r="AE290" s="154"/>
      <c r="AF290" s="242" t="str">
        <f t="shared" si="4"/>
        <v>#ERROR!</v>
      </c>
      <c r="AG290" s="154" t="s">
        <v>652</v>
      </c>
      <c r="AH290" s="242" t="str">
        <f>IF(AG290="","N/A",INDIRECT("MTR!"&amp;ADDRESS(MATCH(LEFT(AG290,9),[1]MTR!C:C,0),COLUMN(J290)),TRUE) &amp; "")</f>
        <v>#ERROR!</v>
      </c>
      <c r="AI290" s="157" t="str">
        <f t="shared" si="5"/>
        <v>#ERROR!</v>
      </c>
    </row>
    <row r="291" ht="12.75" customHeight="1">
      <c r="A291" s="244" t="s">
        <v>5158</v>
      </c>
      <c r="B291" s="244" t="s">
        <v>231</v>
      </c>
      <c r="C291" s="244" t="s">
        <v>7566</v>
      </c>
      <c r="D291" s="154" t="s">
        <v>1315</v>
      </c>
      <c r="E291" s="154"/>
      <c r="F291" s="154" t="str">
        <f t="array" ref="F291">XLOOKUP(Cover!$D$12,$R$1:$Z$1,$R291:$Z291)</f>
        <v>Information</v>
      </c>
      <c r="G291" s="154" t="s">
        <v>7567</v>
      </c>
      <c r="H291" s="154" t="s">
        <v>7314</v>
      </c>
      <c r="I291" s="154" t="s">
        <v>7565</v>
      </c>
      <c r="J291" s="154" t="s">
        <v>6984</v>
      </c>
      <c r="K291" s="154" t="s">
        <v>7305</v>
      </c>
      <c r="L291" s="154" t="s">
        <v>6884</v>
      </c>
      <c r="M291" s="154"/>
      <c r="N291" s="154" t="s">
        <v>759</v>
      </c>
      <c r="O291" s="247" t="s">
        <v>516</v>
      </c>
      <c r="P291" s="247" t="s">
        <v>7372</v>
      </c>
      <c r="Q291" s="154" t="str">
        <f t="shared" si="1"/>
        <v>#ERROR!</v>
      </c>
      <c r="R291" s="154" t="s">
        <v>66</v>
      </c>
      <c r="S291" s="154" t="s">
        <v>66</v>
      </c>
      <c r="T291" s="154" t="s">
        <v>66</v>
      </c>
      <c r="U291" s="154" t="s">
        <v>66</v>
      </c>
      <c r="V291" s="154" t="s">
        <v>66</v>
      </c>
      <c r="W291" s="154" t="s">
        <v>66</v>
      </c>
      <c r="X291" s="154" t="s">
        <v>66</v>
      </c>
      <c r="Y291" s="154" t="s">
        <v>66</v>
      </c>
      <c r="Z291" s="154" t="s">
        <v>66</v>
      </c>
      <c r="AA291" s="154"/>
      <c r="AB291" s="242" t="str">
        <f t="shared" si="2"/>
        <v>#ERROR!</v>
      </c>
      <c r="AC291" s="154" t="s">
        <v>391</v>
      </c>
      <c r="AD291" s="242" t="b">
        <f t="shared" si="3"/>
        <v>0</v>
      </c>
      <c r="AE291" s="154"/>
      <c r="AF291" s="242" t="str">
        <f t="shared" si="4"/>
        <v>#ERROR!</v>
      </c>
      <c r="AG291" s="154" t="s">
        <v>652</v>
      </c>
      <c r="AH291" s="242" t="str">
        <f>IF(AG291="","N/A",INDIRECT("MTR!"&amp;ADDRESS(MATCH(LEFT(AG291,9),[1]MTR!C:C,0),COLUMN(J291)),TRUE) &amp; "")</f>
        <v>#ERROR!</v>
      </c>
      <c r="AI291" s="157" t="str">
        <f t="shared" si="5"/>
        <v>#ERROR!</v>
      </c>
    </row>
    <row r="292" ht="12.75" customHeight="1">
      <c r="A292" s="244" t="s">
        <v>5158</v>
      </c>
      <c r="B292" s="244" t="s">
        <v>231</v>
      </c>
      <c r="C292" s="244" t="s">
        <v>7568</v>
      </c>
      <c r="D292" s="154" t="s">
        <v>503</v>
      </c>
      <c r="E292" s="154"/>
      <c r="F292" s="154" t="str">
        <f t="array" ref="F292">XLOOKUP(Cover!$D$12,$R$1:$Z$1,$R292:$Z292)</f>
        <v>Information</v>
      </c>
      <c r="G292" s="154" t="s">
        <v>7569</v>
      </c>
      <c r="H292" s="154" t="s">
        <v>7311</v>
      </c>
      <c r="I292" s="154" t="s">
        <v>7570</v>
      </c>
      <c r="J292" s="154" t="s">
        <v>7006</v>
      </c>
      <c r="K292" s="154" t="s">
        <v>7305</v>
      </c>
      <c r="L292" s="154" t="s">
        <v>6463</v>
      </c>
      <c r="M292" s="154"/>
      <c r="N292" s="154" t="s">
        <v>759</v>
      </c>
      <c r="O292" s="247" t="s">
        <v>516</v>
      </c>
      <c r="P292" s="247" t="s">
        <v>6776</v>
      </c>
      <c r="Q292" s="154" t="str">
        <f t="shared" si="1"/>
        <v>#ERROR!</v>
      </c>
      <c r="R292" s="154" t="s">
        <v>66</v>
      </c>
      <c r="S292" s="154" t="s">
        <v>66</v>
      </c>
      <c r="T292" s="154" t="s">
        <v>66</v>
      </c>
      <c r="U292" s="154" t="s">
        <v>66</v>
      </c>
      <c r="V292" s="154" t="s">
        <v>66</v>
      </c>
      <c r="W292" s="154" t="s">
        <v>66</v>
      </c>
      <c r="X292" s="154" t="s">
        <v>66</v>
      </c>
      <c r="Y292" s="154" t="s">
        <v>66</v>
      </c>
      <c r="Z292" s="154" t="s">
        <v>66</v>
      </c>
      <c r="AA292" s="154"/>
      <c r="AB292" s="242" t="str">
        <f t="shared" si="2"/>
        <v>#ERROR!</v>
      </c>
      <c r="AC292" s="154" t="s">
        <v>391</v>
      </c>
      <c r="AD292" s="242" t="b">
        <f t="shared" si="3"/>
        <v>0</v>
      </c>
      <c r="AE292" s="154"/>
      <c r="AF292" s="242" t="str">
        <f t="shared" si="4"/>
        <v>#ERROR!</v>
      </c>
      <c r="AG292" s="154" t="s">
        <v>652</v>
      </c>
      <c r="AH292" s="242" t="str">
        <f>IF(AG292="","N/A",INDIRECT("MTR!"&amp;ADDRESS(MATCH(LEFT(AG292,9),[1]MTR!C:C,0),COLUMN(J292)),TRUE) &amp; "")</f>
        <v>#ERROR!</v>
      </c>
      <c r="AI292" s="157" t="str">
        <f t="shared" si="5"/>
        <v>#ERROR!</v>
      </c>
    </row>
    <row r="293" ht="12.75" customHeight="1">
      <c r="A293" s="244" t="s">
        <v>5158</v>
      </c>
      <c r="B293" s="244" t="s">
        <v>231</v>
      </c>
      <c r="C293" s="244" t="s">
        <v>7571</v>
      </c>
      <c r="D293" s="154" t="s">
        <v>503</v>
      </c>
      <c r="E293" s="154"/>
      <c r="F293" s="154" t="str">
        <f t="array" ref="F293">XLOOKUP(Cover!$D$12,$R$1:$Z$1,$R293:$Z293)</f>
        <v>Information</v>
      </c>
      <c r="G293" s="154" t="s">
        <v>7572</v>
      </c>
      <c r="H293" s="154" t="s">
        <v>7314</v>
      </c>
      <c r="I293" s="154" t="s">
        <v>7570</v>
      </c>
      <c r="J293" s="154" t="s">
        <v>7006</v>
      </c>
      <c r="K293" s="154" t="s">
        <v>7305</v>
      </c>
      <c r="L293" s="154" t="s">
        <v>6463</v>
      </c>
      <c r="M293" s="154"/>
      <c r="N293" s="154" t="s">
        <v>759</v>
      </c>
      <c r="O293" s="247" t="s">
        <v>516</v>
      </c>
      <c r="P293" s="247" t="s">
        <v>6776</v>
      </c>
      <c r="Q293" s="154" t="str">
        <f t="shared" si="1"/>
        <v>#ERROR!</v>
      </c>
      <c r="R293" s="154" t="s">
        <v>66</v>
      </c>
      <c r="S293" s="154" t="s">
        <v>66</v>
      </c>
      <c r="T293" s="154" t="s">
        <v>66</v>
      </c>
      <c r="U293" s="154" t="s">
        <v>66</v>
      </c>
      <c r="V293" s="154" t="s">
        <v>66</v>
      </c>
      <c r="W293" s="154" t="s">
        <v>66</v>
      </c>
      <c r="X293" s="154" t="s">
        <v>66</v>
      </c>
      <c r="Y293" s="154" t="s">
        <v>66</v>
      </c>
      <c r="Z293" s="154" t="s">
        <v>66</v>
      </c>
      <c r="AA293" s="154"/>
      <c r="AB293" s="242" t="str">
        <f t="shared" si="2"/>
        <v>#ERROR!</v>
      </c>
      <c r="AC293" s="154" t="s">
        <v>391</v>
      </c>
      <c r="AD293" s="242" t="b">
        <f t="shared" si="3"/>
        <v>0</v>
      </c>
      <c r="AE293" s="154"/>
      <c r="AF293" s="242" t="str">
        <f t="shared" si="4"/>
        <v>#ERROR!</v>
      </c>
      <c r="AG293" s="154" t="s">
        <v>652</v>
      </c>
      <c r="AH293" s="242" t="str">
        <f>IF(AG293="","N/A",INDIRECT("MTR!"&amp;ADDRESS(MATCH(LEFT(AG293,9),[1]MTR!C:C,0),COLUMN(J293)),TRUE) &amp; "")</f>
        <v>#ERROR!</v>
      </c>
      <c r="AI293" s="157" t="str">
        <f t="shared" si="5"/>
        <v>#ERROR!</v>
      </c>
    </row>
    <row r="294" ht="12.75" customHeight="1">
      <c r="A294" s="244" t="s">
        <v>5158</v>
      </c>
      <c r="B294" s="244" t="s">
        <v>231</v>
      </c>
      <c r="C294" s="244" t="s">
        <v>7573</v>
      </c>
      <c r="D294" s="154" t="s">
        <v>503</v>
      </c>
      <c r="E294" s="154"/>
      <c r="F294" s="154" t="str">
        <f t="array" ref="F294">XLOOKUP(Cover!$D$12,$R$1:$Z$1,$R294:$Z294)</f>
        <v>Information</v>
      </c>
      <c r="G294" s="154" t="s">
        <v>7574</v>
      </c>
      <c r="H294" s="154" t="s">
        <v>7320</v>
      </c>
      <c r="I294" s="154" t="s">
        <v>7570</v>
      </c>
      <c r="J294" s="154" t="s">
        <v>7006</v>
      </c>
      <c r="K294" s="154" t="s">
        <v>7305</v>
      </c>
      <c r="L294" s="154" t="s">
        <v>6463</v>
      </c>
      <c r="M294" s="154"/>
      <c r="N294" s="154" t="s">
        <v>759</v>
      </c>
      <c r="O294" s="247" t="s">
        <v>516</v>
      </c>
      <c r="P294" s="247" t="s">
        <v>6776</v>
      </c>
      <c r="Q294" s="154" t="str">
        <f t="shared" si="1"/>
        <v>#ERROR!</v>
      </c>
      <c r="R294" s="154" t="s">
        <v>66</v>
      </c>
      <c r="S294" s="154" t="s">
        <v>66</v>
      </c>
      <c r="T294" s="154" t="s">
        <v>66</v>
      </c>
      <c r="U294" s="154" t="s">
        <v>66</v>
      </c>
      <c r="V294" s="154" t="s">
        <v>66</v>
      </c>
      <c r="W294" s="154" t="s">
        <v>66</v>
      </c>
      <c r="X294" s="154" t="s">
        <v>66</v>
      </c>
      <c r="Y294" s="154" t="s">
        <v>66</v>
      </c>
      <c r="Z294" s="154" t="s">
        <v>66</v>
      </c>
      <c r="AA294" s="154"/>
      <c r="AB294" s="242" t="str">
        <f t="shared" si="2"/>
        <v>#ERROR!</v>
      </c>
      <c r="AC294" s="154" t="s">
        <v>391</v>
      </c>
      <c r="AD294" s="242" t="b">
        <f t="shared" si="3"/>
        <v>0</v>
      </c>
      <c r="AE294" s="154"/>
      <c r="AF294" s="242" t="str">
        <f t="shared" si="4"/>
        <v>#ERROR!</v>
      </c>
      <c r="AG294" s="154" t="s">
        <v>652</v>
      </c>
      <c r="AH294" s="242" t="str">
        <f>IF(AG294="","N/A",INDIRECT("MTR!"&amp;ADDRESS(MATCH(LEFT(AG294,9),[1]MTR!C:C,0),COLUMN(J294)),TRUE) &amp; "")</f>
        <v>#ERROR!</v>
      </c>
      <c r="AI294" s="157" t="str">
        <f t="shared" si="5"/>
        <v>#ERROR!</v>
      </c>
    </row>
    <row r="295" ht="12.75" customHeight="1">
      <c r="A295" s="244" t="s">
        <v>5158</v>
      </c>
      <c r="B295" s="244" t="s">
        <v>231</v>
      </c>
      <c r="C295" s="244" t="s">
        <v>7575</v>
      </c>
      <c r="D295" s="154" t="s">
        <v>1315</v>
      </c>
      <c r="E295" s="154"/>
      <c r="F295" s="154" t="str">
        <f t="array" ref="F295">XLOOKUP(Cover!$D$12,$R$1:$Z$1,$R295:$Z295)</f>
        <v>Information</v>
      </c>
      <c r="G295" s="154" t="s">
        <v>7576</v>
      </c>
      <c r="H295" s="154" t="s">
        <v>7311</v>
      </c>
      <c r="I295" s="154" t="s">
        <v>7577</v>
      </c>
      <c r="J295" s="154" t="s">
        <v>7014</v>
      </c>
      <c r="K295" s="154" t="s">
        <v>7305</v>
      </c>
      <c r="L295" s="154" t="s">
        <v>6884</v>
      </c>
      <c r="M295" s="154"/>
      <c r="N295" s="154" t="s">
        <v>759</v>
      </c>
      <c r="O295" s="247" t="s">
        <v>516</v>
      </c>
      <c r="P295" s="247" t="s">
        <v>6776</v>
      </c>
      <c r="Q295" s="154" t="str">
        <f t="shared" si="1"/>
        <v>#ERROR!</v>
      </c>
      <c r="R295" s="154" t="s">
        <v>66</v>
      </c>
      <c r="S295" s="154" t="s">
        <v>66</v>
      </c>
      <c r="T295" s="154" t="s">
        <v>66</v>
      </c>
      <c r="U295" s="154" t="s">
        <v>66</v>
      </c>
      <c r="V295" s="154" t="s">
        <v>66</v>
      </c>
      <c r="W295" s="154" t="s">
        <v>66</v>
      </c>
      <c r="X295" s="154" t="s">
        <v>66</v>
      </c>
      <c r="Y295" s="154" t="s">
        <v>66</v>
      </c>
      <c r="Z295" s="154" t="s">
        <v>66</v>
      </c>
      <c r="AA295" s="154"/>
      <c r="AB295" s="242" t="str">
        <f t="shared" si="2"/>
        <v>#ERROR!</v>
      </c>
      <c r="AC295" s="154" t="s">
        <v>391</v>
      </c>
      <c r="AD295" s="242" t="b">
        <f t="shared" si="3"/>
        <v>0</v>
      </c>
      <c r="AE295" s="154"/>
      <c r="AF295" s="242" t="str">
        <f t="shared" si="4"/>
        <v>#ERROR!</v>
      </c>
      <c r="AG295" s="154" t="s">
        <v>652</v>
      </c>
      <c r="AH295" s="242" t="str">
        <f>IF(AG295="","N/A",INDIRECT("MTR!"&amp;ADDRESS(MATCH(LEFT(AG295,9),[1]MTR!C:C,0),COLUMN(J295)),TRUE) &amp; "")</f>
        <v>#ERROR!</v>
      </c>
      <c r="AI295" s="157" t="str">
        <f t="shared" si="5"/>
        <v>#ERROR!</v>
      </c>
    </row>
    <row r="296" ht="12.75" customHeight="1">
      <c r="A296" s="244" t="s">
        <v>5158</v>
      </c>
      <c r="B296" s="244" t="s">
        <v>231</v>
      </c>
      <c r="C296" s="244" t="s">
        <v>7578</v>
      </c>
      <c r="D296" s="154" t="s">
        <v>1315</v>
      </c>
      <c r="E296" s="154"/>
      <c r="F296" s="154" t="str">
        <f t="array" ref="F296">XLOOKUP(Cover!$D$12,$R$1:$Z$1,$R296:$Z296)</f>
        <v>Information</v>
      </c>
      <c r="G296" s="154" t="s">
        <v>7579</v>
      </c>
      <c r="H296" s="154" t="s">
        <v>7314</v>
      </c>
      <c r="I296" s="154" t="s">
        <v>7577</v>
      </c>
      <c r="J296" s="154" t="s">
        <v>7014</v>
      </c>
      <c r="K296" s="154" t="s">
        <v>7305</v>
      </c>
      <c r="L296" s="154" t="s">
        <v>6884</v>
      </c>
      <c r="M296" s="154"/>
      <c r="N296" s="154" t="s">
        <v>759</v>
      </c>
      <c r="O296" s="247" t="s">
        <v>516</v>
      </c>
      <c r="P296" s="247" t="s">
        <v>6776</v>
      </c>
      <c r="Q296" s="154" t="str">
        <f t="shared" si="1"/>
        <v>#ERROR!</v>
      </c>
      <c r="R296" s="154" t="s">
        <v>66</v>
      </c>
      <c r="S296" s="154" t="s">
        <v>66</v>
      </c>
      <c r="T296" s="154" t="s">
        <v>66</v>
      </c>
      <c r="U296" s="154" t="s">
        <v>66</v>
      </c>
      <c r="V296" s="154" t="s">
        <v>66</v>
      </c>
      <c r="W296" s="154" t="s">
        <v>66</v>
      </c>
      <c r="X296" s="154" t="s">
        <v>66</v>
      </c>
      <c r="Y296" s="154" t="s">
        <v>66</v>
      </c>
      <c r="Z296" s="154" t="s">
        <v>66</v>
      </c>
      <c r="AA296" s="154"/>
      <c r="AB296" s="242" t="str">
        <f t="shared" si="2"/>
        <v>#ERROR!</v>
      </c>
      <c r="AC296" s="154" t="s">
        <v>391</v>
      </c>
      <c r="AD296" s="242" t="b">
        <f t="shared" si="3"/>
        <v>0</v>
      </c>
      <c r="AE296" s="154"/>
      <c r="AF296" s="242" t="str">
        <f t="shared" si="4"/>
        <v>#ERROR!</v>
      </c>
      <c r="AG296" s="154" t="s">
        <v>652</v>
      </c>
      <c r="AH296" s="242" t="str">
        <f>IF(AG296="","N/A",INDIRECT("MTR!"&amp;ADDRESS(MATCH(LEFT(AG296,9),[1]MTR!C:C,0),COLUMN(J296)),TRUE) &amp; "")</f>
        <v>#ERROR!</v>
      </c>
      <c r="AI296" s="157" t="str">
        <f t="shared" si="5"/>
        <v>#ERROR!</v>
      </c>
    </row>
    <row r="297" ht="12.75" customHeight="1">
      <c r="A297" s="244" t="s">
        <v>5158</v>
      </c>
      <c r="B297" s="244" t="s">
        <v>231</v>
      </c>
      <c r="C297" s="244" t="s">
        <v>7580</v>
      </c>
      <c r="D297" s="154" t="s">
        <v>1315</v>
      </c>
      <c r="E297" s="154"/>
      <c r="F297" s="154" t="str">
        <f t="array" ref="F297">XLOOKUP(Cover!$D$12,$R$1:$Z$1,$R297:$Z297)</f>
        <v>Information</v>
      </c>
      <c r="G297" s="154" t="s">
        <v>7581</v>
      </c>
      <c r="H297" s="154" t="s">
        <v>7323</v>
      </c>
      <c r="I297" s="154" t="s">
        <v>7577</v>
      </c>
      <c r="J297" s="154" t="s">
        <v>7014</v>
      </c>
      <c r="K297" s="154" t="s">
        <v>7305</v>
      </c>
      <c r="L297" s="154" t="s">
        <v>6884</v>
      </c>
      <c r="M297" s="154"/>
      <c r="N297" s="154" t="s">
        <v>759</v>
      </c>
      <c r="O297" s="247" t="s">
        <v>516</v>
      </c>
      <c r="P297" s="247" t="s">
        <v>6776</v>
      </c>
      <c r="Q297" s="154" t="str">
        <f t="shared" si="1"/>
        <v>#ERROR!</v>
      </c>
      <c r="R297" s="154" t="s">
        <v>66</v>
      </c>
      <c r="S297" s="154" t="s">
        <v>66</v>
      </c>
      <c r="T297" s="154" t="s">
        <v>66</v>
      </c>
      <c r="U297" s="154" t="s">
        <v>66</v>
      </c>
      <c r="V297" s="154" t="s">
        <v>66</v>
      </c>
      <c r="W297" s="154" t="s">
        <v>66</v>
      </c>
      <c r="X297" s="154" t="s">
        <v>66</v>
      </c>
      <c r="Y297" s="154" t="s">
        <v>66</v>
      </c>
      <c r="Z297" s="154" t="s">
        <v>66</v>
      </c>
      <c r="AA297" s="154"/>
      <c r="AB297" s="242" t="str">
        <f t="shared" si="2"/>
        <v>#ERROR!</v>
      </c>
      <c r="AC297" s="154" t="s">
        <v>391</v>
      </c>
      <c r="AD297" s="242" t="b">
        <f t="shared" si="3"/>
        <v>0</v>
      </c>
      <c r="AE297" s="154"/>
      <c r="AF297" s="242" t="str">
        <f t="shared" si="4"/>
        <v>#ERROR!</v>
      </c>
      <c r="AG297" s="154" t="s">
        <v>652</v>
      </c>
      <c r="AH297" s="242" t="str">
        <f>IF(AG297="","N/A",INDIRECT("MTR!"&amp;ADDRESS(MATCH(LEFT(AG297,9),[1]MTR!C:C,0),COLUMN(J297)),TRUE) &amp; "")</f>
        <v>#ERROR!</v>
      </c>
      <c r="AI297" s="157" t="str">
        <f t="shared" si="5"/>
        <v>#ERROR!</v>
      </c>
    </row>
    <row r="298" ht="12.75" customHeight="1">
      <c r="A298" s="244" t="s">
        <v>5158</v>
      </c>
      <c r="B298" s="244" t="s">
        <v>231</v>
      </c>
      <c r="C298" s="244" t="s">
        <v>7582</v>
      </c>
      <c r="D298" s="154" t="s">
        <v>781</v>
      </c>
      <c r="E298" s="154"/>
      <c r="F298" s="154" t="str">
        <f t="array" ref="F298">XLOOKUP(Cover!$D$12,$R$1:$Z$1,$R298:$Z298)</f>
        <v>Information</v>
      </c>
      <c r="G298" s="154" t="s">
        <v>7583</v>
      </c>
      <c r="H298" s="154" t="s">
        <v>7314</v>
      </c>
      <c r="I298" s="154" t="s">
        <v>7584</v>
      </c>
      <c r="J298" s="154" t="s">
        <v>7068</v>
      </c>
      <c r="K298" s="154" t="s">
        <v>7305</v>
      </c>
      <c r="L298" s="154" t="s">
        <v>6942</v>
      </c>
      <c r="M298" s="154"/>
      <c r="N298" s="154" t="s">
        <v>759</v>
      </c>
      <c r="O298" s="247" t="s">
        <v>516</v>
      </c>
      <c r="P298" s="247" t="s">
        <v>7402</v>
      </c>
      <c r="Q298" s="154" t="str">
        <f t="shared" si="1"/>
        <v>#ERROR!</v>
      </c>
      <c r="R298" s="154" t="s">
        <v>66</v>
      </c>
      <c r="S298" s="154" t="s">
        <v>66</v>
      </c>
      <c r="T298" s="154" t="s">
        <v>66</v>
      </c>
      <c r="U298" s="154" t="s">
        <v>66</v>
      </c>
      <c r="V298" s="154" t="s">
        <v>66</v>
      </c>
      <c r="W298" s="154" t="s">
        <v>66</v>
      </c>
      <c r="X298" s="154" t="s">
        <v>66</v>
      </c>
      <c r="Y298" s="154" t="s">
        <v>66</v>
      </c>
      <c r="Z298" s="154" t="s">
        <v>66</v>
      </c>
      <c r="AA298" s="154"/>
      <c r="AB298" s="242" t="str">
        <f t="shared" si="2"/>
        <v>#ERROR!</v>
      </c>
      <c r="AC298" s="154" t="s">
        <v>391</v>
      </c>
      <c r="AD298" s="242" t="b">
        <f t="shared" si="3"/>
        <v>0</v>
      </c>
      <c r="AE298" s="154"/>
      <c r="AF298" s="242" t="str">
        <f t="shared" si="4"/>
        <v>#ERROR!</v>
      </c>
      <c r="AG298" s="154" t="s">
        <v>652</v>
      </c>
      <c r="AH298" s="242" t="str">
        <f>IF(AG298="","N/A",INDIRECT("MTR!"&amp;ADDRESS(MATCH(LEFT(AG298,9),[1]MTR!C:C,0),COLUMN(J298)),TRUE) &amp; "")</f>
        <v>#ERROR!</v>
      </c>
      <c r="AI298" s="157" t="str">
        <f t="shared" si="5"/>
        <v>#ERROR!</v>
      </c>
    </row>
    <row r="299" ht="12.75" customHeight="1">
      <c r="A299" s="244" t="s">
        <v>5158</v>
      </c>
      <c r="B299" s="244" t="s">
        <v>231</v>
      </c>
      <c r="C299" s="244" t="s">
        <v>7585</v>
      </c>
      <c r="D299" s="154" t="s">
        <v>781</v>
      </c>
      <c r="E299" s="154"/>
      <c r="F299" s="154" t="str">
        <f t="array" ref="F299">XLOOKUP(Cover!$D$12,$R$1:$Z$1,$R299:$Z299)</f>
        <v>Information</v>
      </c>
      <c r="G299" s="154" t="s">
        <v>7586</v>
      </c>
      <c r="H299" s="154" t="s">
        <v>7390</v>
      </c>
      <c r="I299" s="154" t="s">
        <v>7584</v>
      </c>
      <c r="J299" s="154" t="s">
        <v>7068</v>
      </c>
      <c r="K299" s="154" t="s">
        <v>7305</v>
      </c>
      <c r="L299" s="154" t="s">
        <v>6942</v>
      </c>
      <c r="M299" s="154"/>
      <c r="N299" s="154" t="s">
        <v>759</v>
      </c>
      <c r="O299" s="247" t="s">
        <v>516</v>
      </c>
      <c r="P299" s="247" t="s">
        <v>1575</v>
      </c>
      <c r="Q299" s="154" t="str">
        <f t="shared" si="1"/>
        <v>#ERROR!</v>
      </c>
      <c r="R299" s="154" t="s">
        <v>66</v>
      </c>
      <c r="S299" s="154" t="s">
        <v>66</v>
      </c>
      <c r="T299" s="154" t="s">
        <v>66</v>
      </c>
      <c r="U299" s="154" t="s">
        <v>66</v>
      </c>
      <c r="V299" s="154" t="s">
        <v>66</v>
      </c>
      <c r="W299" s="154" t="s">
        <v>66</v>
      </c>
      <c r="X299" s="154" t="s">
        <v>66</v>
      </c>
      <c r="Y299" s="154" t="s">
        <v>66</v>
      </c>
      <c r="Z299" s="154" t="s">
        <v>66</v>
      </c>
      <c r="AA299" s="154"/>
      <c r="AB299" s="242" t="str">
        <f t="shared" si="2"/>
        <v>#ERROR!</v>
      </c>
      <c r="AC299" s="154" t="s">
        <v>391</v>
      </c>
      <c r="AD299" s="242" t="b">
        <f t="shared" si="3"/>
        <v>0</v>
      </c>
      <c r="AE299" s="154"/>
      <c r="AF299" s="242" t="str">
        <f t="shared" si="4"/>
        <v>#ERROR!</v>
      </c>
      <c r="AG299" s="154" t="s">
        <v>652</v>
      </c>
      <c r="AH299" s="242" t="str">
        <f>IF(AG299="","N/A",INDIRECT("MTR!"&amp;ADDRESS(MATCH(LEFT(AG299,9),[1]MTR!C:C,0),COLUMN(J299)),TRUE) &amp; "")</f>
        <v>#ERROR!</v>
      </c>
      <c r="AI299" s="157" t="str">
        <f t="shared" si="5"/>
        <v>#ERROR!</v>
      </c>
    </row>
    <row r="300" ht="12.75" customHeight="1">
      <c r="A300" s="244" t="s">
        <v>5158</v>
      </c>
      <c r="B300" s="244" t="s">
        <v>231</v>
      </c>
      <c r="C300" s="244" t="s">
        <v>7587</v>
      </c>
      <c r="D300" s="154" t="s">
        <v>781</v>
      </c>
      <c r="E300" s="154"/>
      <c r="F300" s="154" t="str">
        <f t="array" ref="F300">XLOOKUP(Cover!$D$12,$R$1:$Z$1,$R300:$Z300)</f>
        <v>Recommended</v>
      </c>
      <c r="G300" s="154" t="s">
        <v>7588</v>
      </c>
      <c r="H300" s="154" t="s">
        <v>7320</v>
      </c>
      <c r="I300" s="154" t="s">
        <v>7584</v>
      </c>
      <c r="J300" s="154" t="s">
        <v>7068</v>
      </c>
      <c r="K300" s="154" t="s">
        <v>7305</v>
      </c>
      <c r="L300" s="154" t="s">
        <v>6942</v>
      </c>
      <c r="M300" s="154"/>
      <c r="N300" s="154" t="s">
        <v>759</v>
      </c>
      <c r="O300" s="247" t="s">
        <v>445</v>
      </c>
      <c r="P300" s="247" t="s">
        <v>89</v>
      </c>
      <c r="Q300" s="154" t="str">
        <f t="shared" si="1"/>
        <v>#ERROR!</v>
      </c>
      <c r="R300" s="154" t="s">
        <v>66</v>
      </c>
      <c r="S300" s="154" t="s">
        <v>66</v>
      </c>
      <c r="T300" s="154" t="s">
        <v>66</v>
      </c>
      <c r="U300" s="154" t="s">
        <v>66</v>
      </c>
      <c r="V300" s="154" t="s">
        <v>66</v>
      </c>
      <c r="W300" s="154" t="s">
        <v>64</v>
      </c>
      <c r="X300" s="154" t="s">
        <v>66</v>
      </c>
      <c r="Y300" s="154" t="s">
        <v>66</v>
      </c>
      <c r="Z300" s="154" t="s">
        <v>64</v>
      </c>
      <c r="AA300" s="154"/>
      <c r="AB300" s="242" t="str">
        <f t="shared" si="2"/>
        <v>#ERROR!</v>
      </c>
      <c r="AC300" s="154" t="s">
        <v>391</v>
      </c>
      <c r="AD300" s="242" t="b">
        <f t="shared" si="3"/>
        <v>0</v>
      </c>
      <c r="AE300" s="154"/>
      <c r="AF300" s="242" t="str">
        <f t="shared" si="4"/>
        <v>#ERROR!</v>
      </c>
      <c r="AG300" s="154" t="s">
        <v>652</v>
      </c>
      <c r="AH300" s="242" t="str">
        <f>IF(AG300="","N/A",INDIRECT("MTR!"&amp;ADDRESS(MATCH(LEFT(AG300,9),[1]MTR!C:C,0),COLUMN(J300)),TRUE) &amp; "")</f>
        <v>#ERROR!</v>
      </c>
      <c r="AI300" s="157" t="str">
        <f t="shared" si="5"/>
        <v>#ERROR!</v>
      </c>
    </row>
    <row r="301" ht="12.75" customHeight="1">
      <c r="A301" s="244" t="s">
        <v>5158</v>
      </c>
      <c r="B301" s="244" t="s">
        <v>231</v>
      </c>
      <c r="C301" s="244" t="s">
        <v>7589</v>
      </c>
      <c r="D301" s="154" t="s">
        <v>781</v>
      </c>
      <c r="E301" s="154"/>
      <c r="F301" s="154" t="str">
        <f t="array" ref="F301">XLOOKUP(Cover!$D$12,$R$1:$Z$1,$R301:$Z301)</f>
        <v>Information</v>
      </c>
      <c r="G301" s="154" t="s">
        <v>7590</v>
      </c>
      <c r="H301" s="154" t="s">
        <v>7314</v>
      </c>
      <c r="I301" s="154" t="s">
        <v>7591</v>
      </c>
      <c r="J301" s="154" t="s">
        <v>7592</v>
      </c>
      <c r="K301" s="154" t="s">
        <v>7305</v>
      </c>
      <c r="L301" s="154" t="s">
        <v>6942</v>
      </c>
      <c r="M301" s="154"/>
      <c r="N301" s="154" t="s">
        <v>759</v>
      </c>
      <c r="O301" s="247" t="s">
        <v>516</v>
      </c>
      <c r="P301" s="247" t="s">
        <v>7408</v>
      </c>
      <c r="Q301" s="154" t="str">
        <f t="shared" si="1"/>
        <v>#ERROR!</v>
      </c>
      <c r="R301" s="154" t="s">
        <v>66</v>
      </c>
      <c r="S301" s="154" t="s">
        <v>66</v>
      </c>
      <c r="T301" s="154" t="s">
        <v>66</v>
      </c>
      <c r="U301" s="154" t="s">
        <v>66</v>
      </c>
      <c r="V301" s="154" t="s">
        <v>66</v>
      </c>
      <c r="W301" s="154" t="s">
        <v>66</v>
      </c>
      <c r="X301" s="154" t="s">
        <v>66</v>
      </c>
      <c r="Y301" s="154" t="s">
        <v>66</v>
      </c>
      <c r="Z301" s="154" t="s">
        <v>66</v>
      </c>
      <c r="AA301" s="154"/>
      <c r="AB301" s="242" t="str">
        <f t="shared" si="2"/>
        <v>#ERROR!</v>
      </c>
      <c r="AC301" s="154" t="s">
        <v>391</v>
      </c>
      <c r="AD301" s="242" t="b">
        <f t="shared" si="3"/>
        <v>0</v>
      </c>
      <c r="AE301" s="154"/>
      <c r="AF301" s="242" t="str">
        <f t="shared" si="4"/>
        <v>#ERROR!</v>
      </c>
      <c r="AG301" s="154" t="s">
        <v>652</v>
      </c>
      <c r="AH301" s="242" t="str">
        <f>IF(AG301="","N/A",INDIRECT("MTR!"&amp;ADDRESS(MATCH(LEFT(AG301,9),[1]MTR!C:C,0),COLUMN(J301)),TRUE) &amp; "")</f>
        <v>#ERROR!</v>
      </c>
      <c r="AI301" s="157" t="str">
        <f t="shared" si="5"/>
        <v>#ERROR!</v>
      </c>
    </row>
    <row r="302" ht="12.75" customHeight="1">
      <c r="A302" s="244" t="s">
        <v>5158</v>
      </c>
      <c r="B302" s="244" t="s">
        <v>231</v>
      </c>
      <c r="C302" s="244" t="s">
        <v>7593</v>
      </c>
      <c r="D302" s="154" t="s">
        <v>781</v>
      </c>
      <c r="E302" s="154"/>
      <c r="F302" s="154" t="str">
        <f t="array" ref="F302">XLOOKUP(Cover!$D$12,$R$1:$Z$1,$R302:$Z302)</f>
        <v>Information</v>
      </c>
      <c r="G302" s="154" t="s">
        <v>7594</v>
      </c>
      <c r="H302" s="154" t="s">
        <v>7390</v>
      </c>
      <c r="I302" s="154" t="s">
        <v>7591</v>
      </c>
      <c r="J302" s="154" t="s">
        <v>7592</v>
      </c>
      <c r="K302" s="154" t="s">
        <v>7305</v>
      </c>
      <c r="L302" s="154" t="s">
        <v>6942</v>
      </c>
      <c r="M302" s="154"/>
      <c r="N302" s="154" t="s">
        <v>759</v>
      </c>
      <c r="O302" s="247" t="s">
        <v>516</v>
      </c>
      <c r="P302" s="247" t="s">
        <v>1575</v>
      </c>
      <c r="Q302" s="154" t="str">
        <f t="shared" si="1"/>
        <v>#ERROR!</v>
      </c>
      <c r="R302" s="154" t="s">
        <v>66</v>
      </c>
      <c r="S302" s="154" t="s">
        <v>66</v>
      </c>
      <c r="T302" s="154" t="s">
        <v>66</v>
      </c>
      <c r="U302" s="154" t="s">
        <v>66</v>
      </c>
      <c r="V302" s="154" t="s">
        <v>66</v>
      </c>
      <c r="W302" s="154" t="s">
        <v>66</v>
      </c>
      <c r="X302" s="154" t="s">
        <v>66</v>
      </c>
      <c r="Y302" s="154" t="s">
        <v>66</v>
      </c>
      <c r="Z302" s="154" t="s">
        <v>66</v>
      </c>
      <c r="AA302" s="154"/>
      <c r="AB302" s="242" t="str">
        <f t="shared" si="2"/>
        <v>#ERROR!</v>
      </c>
      <c r="AC302" s="154" t="s">
        <v>391</v>
      </c>
      <c r="AD302" s="242" t="b">
        <f t="shared" si="3"/>
        <v>0</v>
      </c>
      <c r="AE302" s="154"/>
      <c r="AF302" s="242" t="str">
        <f t="shared" si="4"/>
        <v>#ERROR!</v>
      </c>
      <c r="AG302" s="154" t="s">
        <v>652</v>
      </c>
      <c r="AH302" s="242" t="str">
        <f>IF(AG302="","N/A",INDIRECT("MTR!"&amp;ADDRESS(MATCH(LEFT(AG302,9),[1]MTR!C:C,0),COLUMN(J302)),TRUE) &amp; "")</f>
        <v>#ERROR!</v>
      </c>
      <c r="AI302" s="157" t="str">
        <f t="shared" si="5"/>
        <v>#ERROR!</v>
      </c>
    </row>
    <row r="303" ht="12.75" customHeight="1">
      <c r="A303" s="244" t="s">
        <v>5158</v>
      </c>
      <c r="B303" s="244" t="s">
        <v>231</v>
      </c>
      <c r="C303" s="244" t="s">
        <v>7595</v>
      </c>
      <c r="D303" s="154" t="s">
        <v>781</v>
      </c>
      <c r="E303" s="154"/>
      <c r="F303" s="154" t="str">
        <f t="array" ref="F303">XLOOKUP(Cover!$D$12,$R$1:$Z$1,$R303:$Z303)</f>
        <v>Information</v>
      </c>
      <c r="G303" s="154" t="s">
        <v>7596</v>
      </c>
      <c r="H303" s="154" t="s">
        <v>7323</v>
      </c>
      <c r="I303" s="154" t="s">
        <v>7591</v>
      </c>
      <c r="J303" s="154" t="s">
        <v>7592</v>
      </c>
      <c r="K303" s="154" t="s">
        <v>7305</v>
      </c>
      <c r="L303" s="154" t="s">
        <v>6942</v>
      </c>
      <c r="M303" s="154"/>
      <c r="N303" s="154" t="s">
        <v>759</v>
      </c>
      <c r="O303" s="247" t="s">
        <v>445</v>
      </c>
      <c r="P303" s="247" t="s">
        <v>89</v>
      </c>
      <c r="Q303" s="154" t="str">
        <f t="shared" si="1"/>
        <v>#ERROR!</v>
      </c>
      <c r="R303" s="154" t="s">
        <v>66</v>
      </c>
      <c r="S303" s="154" t="s">
        <v>66</v>
      </c>
      <c r="T303" s="154" t="s">
        <v>66</v>
      </c>
      <c r="U303" s="154" t="s">
        <v>66</v>
      </c>
      <c r="V303" s="154" t="s">
        <v>66</v>
      </c>
      <c r="W303" s="154" t="s">
        <v>66</v>
      </c>
      <c r="X303" s="154" t="s">
        <v>66</v>
      </c>
      <c r="Y303" s="154" t="s">
        <v>66</v>
      </c>
      <c r="Z303" s="154" t="s">
        <v>66</v>
      </c>
      <c r="AA303" s="154"/>
      <c r="AB303" s="242" t="str">
        <f t="shared" si="2"/>
        <v>#ERROR!</v>
      </c>
      <c r="AC303" s="154" t="s">
        <v>391</v>
      </c>
      <c r="AD303" s="242" t="b">
        <f t="shared" si="3"/>
        <v>0</v>
      </c>
      <c r="AE303" s="154"/>
      <c r="AF303" s="242" t="str">
        <f t="shared" si="4"/>
        <v>#ERROR!</v>
      </c>
      <c r="AG303" s="154" t="s">
        <v>652</v>
      </c>
      <c r="AH303" s="242" t="str">
        <f>IF(AG303="","N/A",INDIRECT("MTR!"&amp;ADDRESS(MATCH(LEFT(AG303,9),[1]MTR!C:C,0),COLUMN(J303)),TRUE) &amp; "")</f>
        <v>#ERROR!</v>
      </c>
      <c r="AI303" s="157" t="str">
        <f t="shared" si="5"/>
        <v>#ERROR!</v>
      </c>
    </row>
    <row r="304" ht="12.75" customHeight="1">
      <c r="A304" s="244" t="s">
        <v>5158</v>
      </c>
      <c r="B304" s="244" t="s">
        <v>231</v>
      </c>
      <c r="C304" s="244" t="s">
        <v>7597</v>
      </c>
      <c r="D304" s="154" t="s">
        <v>1069</v>
      </c>
      <c r="E304" s="154"/>
      <c r="F304" s="154" t="str">
        <f t="array" ref="F304">XLOOKUP(Cover!$D$12,$R$1:$Z$1,$R304:$Z304)</f>
        <v>Information</v>
      </c>
      <c r="G304" s="154" t="s">
        <v>7598</v>
      </c>
      <c r="H304" s="154" t="s">
        <v>7314</v>
      </c>
      <c r="I304" s="154" t="s">
        <v>7599</v>
      </c>
      <c r="J304" s="154" t="s">
        <v>7600</v>
      </c>
      <c r="K304" s="154" t="s">
        <v>7305</v>
      </c>
      <c r="L304" s="154" t="s">
        <v>6154</v>
      </c>
      <c r="M304" s="154"/>
      <c r="N304" s="154" t="s">
        <v>759</v>
      </c>
      <c r="O304" s="247" t="s">
        <v>516</v>
      </c>
      <c r="P304" s="247" t="s">
        <v>6776</v>
      </c>
      <c r="Q304" s="154" t="str">
        <f t="shared" si="1"/>
        <v>#ERROR!</v>
      </c>
      <c r="R304" s="154" t="s">
        <v>66</v>
      </c>
      <c r="S304" s="154" t="s">
        <v>66</v>
      </c>
      <c r="T304" s="154" t="s">
        <v>66</v>
      </c>
      <c r="U304" s="154" t="s">
        <v>66</v>
      </c>
      <c r="V304" s="154" t="s">
        <v>66</v>
      </c>
      <c r="W304" s="154" t="s">
        <v>66</v>
      </c>
      <c r="X304" s="154" t="s">
        <v>66</v>
      </c>
      <c r="Y304" s="154" t="s">
        <v>66</v>
      </c>
      <c r="Z304" s="154" t="s">
        <v>66</v>
      </c>
      <c r="AA304" s="154"/>
      <c r="AB304" s="242" t="str">
        <f t="shared" si="2"/>
        <v>#ERROR!</v>
      </c>
      <c r="AC304" s="154" t="s">
        <v>391</v>
      </c>
      <c r="AD304" s="242" t="b">
        <f t="shared" si="3"/>
        <v>0</v>
      </c>
      <c r="AE304" s="154"/>
      <c r="AF304" s="242" t="str">
        <f t="shared" si="4"/>
        <v>#ERROR!</v>
      </c>
      <c r="AG304" s="154" t="s">
        <v>652</v>
      </c>
      <c r="AH304" s="242" t="str">
        <f>IF(AG304="","N/A",INDIRECT("MTR!"&amp;ADDRESS(MATCH(LEFT(AG304,9),[1]MTR!C:C,0),COLUMN(J304)),TRUE) &amp; "")</f>
        <v>#ERROR!</v>
      </c>
      <c r="AI304" s="157" t="str">
        <f t="shared" si="5"/>
        <v>#ERROR!</v>
      </c>
    </row>
    <row r="305" ht="12.75" customHeight="1">
      <c r="A305" s="244" t="s">
        <v>5158</v>
      </c>
      <c r="B305" s="244" t="s">
        <v>231</v>
      </c>
      <c r="C305" s="245" t="s">
        <v>7601</v>
      </c>
      <c r="D305" s="155" t="s">
        <v>1315</v>
      </c>
      <c r="E305" s="155" t="s">
        <v>92</v>
      </c>
      <c r="F305" s="154" t="str">
        <f t="array" ref="F305">XLOOKUP(Cover!$D$12,$R$1:$Z$1,$R305:$Z305)</f>
        <v>Recommended</v>
      </c>
      <c r="G305" s="154" t="s">
        <v>7602</v>
      </c>
      <c r="H305" s="154" t="s">
        <v>7314</v>
      </c>
      <c r="I305" s="154" t="s">
        <v>7603</v>
      </c>
      <c r="J305" s="154" t="s">
        <v>7082</v>
      </c>
      <c r="K305" s="154" t="s">
        <v>7305</v>
      </c>
      <c r="L305" s="154" t="s">
        <v>6905</v>
      </c>
      <c r="M305" s="154"/>
      <c r="N305" s="154" t="s">
        <v>759</v>
      </c>
      <c r="O305" s="247" t="s">
        <v>516</v>
      </c>
      <c r="P305" s="247" t="s">
        <v>6776</v>
      </c>
      <c r="Q305" s="154" t="str">
        <f t="shared" si="1"/>
        <v>#ERROR!</v>
      </c>
      <c r="R305" s="154" t="s">
        <v>66</v>
      </c>
      <c r="S305" s="154" t="s">
        <v>66</v>
      </c>
      <c r="T305" s="154" t="s">
        <v>66</v>
      </c>
      <c r="U305" s="154" t="s">
        <v>66</v>
      </c>
      <c r="V305" s="154" t="s">
        <v>66</v>
      </c>
      <c r="W305" s="154" t="s">
        <v>64</v>
      </c>
      <c r="X305" s="154" t="s">
        <v>66</v>
      </c>
      <c r="Y305" s="154" t="s">
        <v>66</v>
      </c>
      <c r="Z305" s="154" t="s">
        <v>64</v>
      </c>
      <c r="AA305" s="154"/>
      <c r="AB305" s="242" t="str">
        <f t="shared" si="2"/>
        <v>#ERROR!</v>
      </c>
      <c r="AC305" s="154" t="s">
        <v>391</v>
      </c>
      <c r="AD305" s="242" t="b">
        <f t="shared" si="3"/>
        <v>0</v>
      </c>
      <c r="AE305" s="154"/>
      <c r="AF305" s="242" t="str">
        <f t="shared" si="4"/>
        <v>#ERROR!</v>
      </c>
      <c r="AG305" s="154" t="s">
        <v>652</v>
      </c>
      <c r="AH305" s="242" t="str">
        <f>IF(AG305="","N/A",INDIRECT("MTR!"&amp;ADDRESS(MATCH(LEFT(AG305,9),[1]MTR!C:C,0),COLUMN(J305)),TRUE) &amp; "")</f>
        <v>#ERROR!</v>
      </c>
      <c r="AI305" s="157" t="str">
        <f t="shared" si="5"/>
        <v>#ERROR!</v>
      </c>
    </row>
    <row r="306" ht="12.75" customHeight="1">
      <c r="A306" s="244" t="s">
        <v>5158</v>
      </c>
      <c r="B306" s="244" t="s">
        <v>231</v>
      </c>
      <c r="C306" s="244" t="s">
        <v>7604</v>
      </c>
      <c r="D306" s="154" t="s">
        <v>1315</v>
      </c>
      <c r="E306" s="154"/>
      <c r="F306" s="154" t="str">
        <f t="array" ref="F306">XLOOKUP(Cover!$D$12,$R$1:$Z$1,$R306:$Z306)</f>
        <v>Recommended</v>
      </c>
      <c r="G306" s="154" t="s">
        <v>7605</v>
      </c>
      <c r="H306" s="154" t="s">
        <v>7317</v>
      </c>
      <c r="I306" s="154" t="s">
        <v>7603</v>
      </c>
      <c r="J306" s="154" t="s">
        <v>7082</v>
      </c>
      <c r="K306" s="154" t="s">
        <v>7305</v>
      </c>
      <c r="L306" s="154" t="s">
        <v>6905</v>
      </c>
      <c r="M306" s="154"/>
      <c r="N306" s="154" t="s">
        <v>759</v>
      </c>
      <c r="O306" s="247" t="s">
        <v>516</v>
      </c>
      <c r="P306" s="247" t="s">
        <v>6776</v>
      </c>
      <c r="Q306" s="154" t="str">
        <f t="shared" si="1"/>
        <v>#ERROR!</v>
      </c>
      <c r="R306" s="154" t="s">
        <v>66</v>
      </c>
      <c r="S306" s="154" t="s">
        <v>66</v>
      </c>
      <c r="T306" s="154" t="s">
        <v>66</v>
      </c>
      <c r="U306" s="154" t="s">
        <v>66</v>
      </c>
      <c r="V306" s="154" t="s">
        <v>66</v>
      </c>
      <c r="W306" s="154" t="s">
        <v>64</v>
      </c>
      <c r="X306" s="154" t="s">
        <v>66</v>
      </c>
      <c r="Y306" s="154" t="s">
        <v>66</v>
      </c>
      <c r="Z306" s="154" t="s">
        <v>64</v>
      </c>
      <c r="AA306" s="154"/>
      <c r="AB306" s="242" t="str">
        <f t="shared" si="2"/>
        <v>#ERROR!</v>
      </c>
      <c r="AC306" s="154" t="s">
        <v>391</v>
      </c>
      <c r="AD306" s="242" t="b">
        <f t="shared" si="3"/>
        <v>0</v>
      </c>
      <c r="AE306" s="154"/>
      <c r="AF306" s="242" t="str">
        <f t="shared" si="4"/>
        <v>#ERROR!</v>
      </c>
      <c r="AG306" s="154" t="s">
        <v>652</v>
      </c>
      <c r="AH306" s="242" t="str">
        <f>IF(AG306="","N/A",INDIRECT("MTR!"&amp;ADDRESS(MATCH(LEFT(AG306,9),[1]MTR!C:C,0),COLUMN(J306)),TRUE) &amp; "")</f>
        <v>#ERROR!</v>
      </c>
      <c r="AI306" s="157" t="str">
        <f t="shared" si="5"/>
        <v>#ERROR!</v>
      </c>
    </row>
    <row r="307" ht="12.75" customHeight="1">
      <c r="A307" s="244" t="s">
        <v>5158</v>
      </c>
      <c r="B307" s="244" t="s">
        <v>231</v>
      </c>
      <c r="C307" s="244" t="s">
        <v>7606</v>
      </c>
      <c r="D307" s="154" t="s">
        <v>1315</v>
      </c>
      <c r="E307" s="154"/>
      <c r="F307" s="154" t="str">
        <f t="array" ref="F307">XLOOKUP(Cover!$D$12,$R$1:$Z$1,$R307:$Z307)</f>
        <v>Recommended</v>
      </c>
      <c r="G307" s="154" t="s">
        <v>7607</v>
      </c>
      <c r="H307" s="154" t="s">
        <v>7320</v>
      </c>
      <c r="I307" s="154" t="s">
        <v>7603</v>
      </c>
      <c r="J307" s="154" t="s">
        <v>7082</v>
      </c>
      <c r="K307" s="154" t="s">
        <v>7305</v>
      </c>
      <c r="L307" s="154" t="s">
        <v>6905</v>
      </c>
      <c r="M307" s="154"/>
      <c r="N307" s="154" t="s">
        <v>759</v>
      </c>
      <c r="O307" s="247" t="s">
        <v>516</v>
      </c>
      <c r="P307" s="247" t="s">
        <v>6776</v>
      </c>
      <c r="Q307" s="154" t="str">
        <f t="shared" si="1"/>
        <v>#ERROR!</v>
      </c>
      <c r="R307" s="154" t="s">
        <v>66</v>
      </c>
      <c r="S307" s="154" t="s">
        <v>66</v>
      </c>
      <c r="T307" s="154" t="s">
        <v>66</v>
      </c>
      <c r="U307" s="154" t="s">
        <v>66</v>
      </c>
      <c r="V307" s="154" t="s">
        <v>66</v>
      </c>
      <c r="W307" s="154" t="s">
        <v>64</v>
      </c>
      <c r="X307" s="154" t="s">
        <v>66</v>
      </c>
      <c r="Y307" s="154" t="s">
        <v>66</v>
      </c>
      <c r="Z307" s="154" t="s">
        <v>64</v>
      </c>
      <c r="AA307" s="154"/>
      <c r="AB307" s="242" t="str">
        <f t="shared" si="2"/>
        <v>#ERROR!</v>
      </c>
      <c r="AC307" s="154" t="s">
        <v>391</v>
      </c>
      <c r="AD307" s="242" t="b">
        <f t="shared" si="3"/>
        <v>0</v>
      </c>
      <c r="AE307" s="154"/>
      <c r="AF307" s="242" t="str">
        <f t="shared" si="4"/>
        <v>#ERROR!</v>
      </c>
      <c r="AG307" s="154" t="s">
        <v>652</v>
      </c>
      <c r="AH307" s="242" t="str">
        <f>IF(AG307="","N/A",INDIRECT("MTR!"&amp;ADDRESS(MATCH(LEFT(AG307,9),[1]MTR!C:C,0),COLUMN(J307)),TRUE) &amp; "")</f>
        <v>#ERROR!</v>
      </c>
      <c r="AI307" s="157" t="str">
        <f t="shared" si="5"/>
        <v>#ERROR!</v>
      </c>
    </row>
    <row r="308" ht="12.75" customHeight="1">
      <c r="A308" s="244" t="s">
        <v>5158</v>
      </c>
      <c r="B308" s="244" t="s">
        <v>231</v>
      </c>
      <c r="C308" s="244" t="s">
        <v>7608</v>
      </c>
      <c r="D308" s="154" t="s">
        <v>1315</v>
      </c>
      <c r="E308" s="154"/>
      <c r="F308" s="154" t="str">
        <f t="array" ref="F308">XLOOKUP(Cover!$D$12,$R$1:$Z$1,$R308:$Z308)</f>
        <v>Information</v>
      </c>
      <c r="G308" s="154" t="s">
        <v>7609</v>
      </c>
      <c r="H308" s="154" t="s">
        <v>7314</v>
      </c>
      <c r="I308" s="154" t="s">
        <v>7610</v>
      </c>
      <c r="J308" s="154" t="s">
        <v>7096</v>
      </c>
      <c r="K308" s="154" t="s">
        <v>7305</v>
      </c>
      <c r="L308" s="154" t="s">
        <v>6905</v>
      </c>
      <c r="M308" s="154"/>
      <c r="N308" s="154" t="s">
        <v>759</v>
      </c>
      <c r="O308" s="247" t="s">
        <v>516</v>
      </c>
      <c r="P308" s="247" t="s">
        <v>6776</v>
      </c>
      <c r="Q308" s="154" t="str">
        <f t="shared" si="1"/>
        <v>#ERROR!</v>
      </c>
      <c r="R308" s="154" t="s">
        <v>66</v>
      </c>
      <c r="S308" s="154" t="s">
        <v>66</v>
      </c>
      <c r="T308" s="154" t="s">
        <v>66</v>
      </c>
      <c r="U308" s="154" t="s">
        <v>66</v>
      </c>
      <c r="V308" s="154" t="s">
        <v>66</v>
      </c>
      <c r="W308" s="154" t="s">
        <v>66</v>
      </c>
      <c r="X308" s="154" t="s">
        <v>66</v>
      </c>
      <c r="Y308" s="154" t="s">
        <v>66</v>
      </c>
      <c r="Z308" s="154" t="s">
        <v>66</v>
      </c>
      <c r="AA308" s="154"/>
      <c r="AB308" s="242" t="str">
        <f t="shared" si="2"/>
        <v>#ERROR!</v>
      </c>
      <c r="AC308" s="154" t="s">
        <v>391</v>
      </c>
      <c r="AD308" s="242" t="b">
        <f t="shared" si="3"/>
        <v>0</v>
      </c>
      <c r="AE308" s="154"/>
      <c r="AF308" s="242" t="str">
        <f t="shared" si="4"/>
        <v>#ERROR!</v>
      </c>
      <c r="AG308" s="154" t="s">
        <v>652</v>
      </c>
      <c r="AH308" s="242" t="str">
        <f>IF(AG308="","N/A",INDIRECT("MTR!"&amp;ADDRESS(MATCH(LEFT(AG308,9),[1]MTR!C:C,0),COLUMN(J308)),TRUE) &amp; "")</f>
        <v>#ERROR!</v>
      </c>
      <c r="AI308" s="157" t="str">
        <f t="shared" si="5"/>
        <v>#ERROR!</v>
      </c>
    </row>
    <row r="309" ht="12.75" customHeight="1">
      <c r="A309" s="244" t="s">
        <v>5158</v>
      </c>
      <c r="B309" s="244" t="s">
        <v>231</v>
      </c>
      <c r="C309" s="244" t="s">
        <v>7611</v>
      </c>
      <c r="D309" s="154" t="s">
        <v>1315</v>
      </c>
      <c r="E309" s="154"/>
      <c r="F309" s="154" t="str">
        <f t="array" ref="F309">XLOOKUP(Cover!$D$12,$R$1:$Z$1,$R309:$Z309)</f>
        <v>Information</v>
      </c>
      <c r="G309" s="154" t="s">
        <v>7612</v>
      </c>
      <c r="H309" s="154" t="s">
        <v>7320</v>
      </c>
      <c r="I309" s="154" t="s">
        <v>7610</v>
      </c>
      <c r="J309" s="154" t="s">
        <v>7096</v>
      </c>
      <c r="K309" s="154" t="s">
        <v>7305</v>
      </c>
      <c r="L309" s="154" t="s">
        <v>6905</v>
      </c>
      <c r="M309" s="154"/>
      <c r="N309" s="154" t="s">
        <v>759</v>
      </c>
      <c r="O309" s="247" t="s">
        <v>516</v>
      </c>
      <c r="P309" s="247" t="s">
        <v>6776</v>
      </c>
      <c r="Q309" s="154" t="str">
        <f t="shared" si="1"/>
        <v>#ERROR!</v>
      </c>
      <c r="R309" s="154" t="s">
        <v>66</v>
      </c>
      <c r="S309" s="154" t="s">
        <v>66</v>
      </c>
      <c r="T309" s="154" t="s">
        <v>66</v>
      </c>
      <c r="U309" s="154" t="s">
        <v>66</v>
      </c>
      <c r="V309" s="154" t="s">
        <v>66</v>
      </c>
      <c r="W309" s="154" t="s">
        <v>66</v>
      </c>
      <c r="X309" s="154" t="s">
        <v>66</v>
      </c>
      <c r="Y309" s="154" t="s">
        <v>66</v>
      </c>
      <c r="Z309" s="154" t="s">
        <v>66</v>
      </c>
      <c r="AA309" s="154"/>
      <c r="AB309" s="242" t="str">
        <f t="shared" si="2"/>
        <v>#ERROR!</v>
      </c>
      <c r="AC309" s="154" t="s">
        <v>391</v>
      </c>
      <c r="AD309" s="242" t="b">
        <f t="shared" si="3"/>
        <v>0</v>
      </c>
      <c r="AE309" s="154"/>
      <c r="AF309" s="242" t="str">
        <f t="shared" si="4"/>
        <v>#ERROR!</v>
      </c>
      <c r="AG309" s="154" t="s">
        <v>652</v>
      </c>
      <c r="AH309" s="242" t="str">
        <f>IF(AG309="","N/A",INDIRECT("MTR!"&amp;ADDRESS(MATCH(LEFT(AG309,9),[1]MTR!C:C,0),COLUMN(J309)),TRUE) &amp; "")</f>
        <v>#ERROR!</v>
      </c>
      <c r="AI309" s="157" t="str">
        <f t="shared" si="5"/>
        <v>#ERROR!</v>
      </c>
    </row>
    <row r="310" ht="12.75" customHeight="1">
      <c r="A310" s="244" t="s">
        <v>5158</v>
      </c>
      <c r="B310" s="244" t="s">
        <v>231</v>
      </c>
      <c r="C310" s="244" t="s">
        <v>7613</v>
      </c>
      <c r="D310" s="154" t="s">
        <v>1315</v>
      </c>
      <c r="E310" s="154"/>
      <c r="F310" s="154" t="str">
        <f t="array" ref="F310">XLOOKUP(Cover!$D$12,$R$1:$Z$1,$R310:$Z310)</f>
        <v>Information</v>
      </c>
      <c r="G310" s="154" t="s">
        <v>7614</v>
      </c>
      <c r="H310" s="154" t="s">
        <v>7323</v>
      </c>
      <c r="I310" s="154" t="s">
        <v>7610</v>
      </c>
      <c r="J310" s="154" t="s">
        <v>7096</v>
      </c>
      <c r="K310" s="154" t="s">
        <v>7305</v>
      </c>
      <c r="L310" s="154" t="s">
        <v>6905</v>
      </c>
      <c r="M310" s="154"/>
      <c r="N310" s="154" t="s">
        <v>759</v>
      </c>
      <c r="O310" s="247" t="s">
        <v>516</v>
      </c>
      <c r="P310" s="247" t="s">
        <v>6776</v>
      </c>
      <c r="Q310" s="154" t="str">
        <f t="shared" si="1"/>
        <v>#ERROR!</v>
      </c>
      <c r="R310" s="154" t="s">
        <v>66</v>
      </c>
      <c r="S310" s="154" t="s">
        <v>66</v>
      </c>
      <c r="T310" s="154" t="s">
        <v>66</v>
      </c>
      <c r="U310" s="154" t="s">
        <v>66</v>
      </c>
      <c r="V310" s="154" t="s">
        <v>66</v>
      </c>
      <c r="W310" s="154" t="s">
        <v>66</v>
      </c>
      <c r="X310" s="154" t="s">
        <v>66</v>
      </c>
      <c r="Y310" s="154" t="s">
        <v>66</v>
      </c>
      <c r="Z310" s="154" t="s">
        <v>66</v>
      </c>
      <c r="AA310" s="154"/>
      <c r="AB310" s="242" t="str">
        <f t="shared" si="2"/>
        <v>#ERROR!</v>
      </c>
      <c r="AC310" s="154" t="s">
        <v>391</v>
      </c>
      <c r="AD310" s="242" t="b">
        <f t="shared" si="3"/>
        <v>0</v>
      </c>
      <c r="AE310" s="154"/>
      <c r="AF310" s="242" t="str">
        <f t="shared" si="4"/>
        <v>#ERROR!</v>
      </c>
      <c r="AG310" s="154" t="s">
        <v>652</v>
      </c>
      <c r="AH310" s="242" t="str">
        <f>IF(AG310="","N/A",INDIRECT("MTR!"&amp;ADDRESS(MATCH(LEFT(AG310,9),[1]MTR!C:C,0),COLUMN(J310)),TRUE) &amp; "")</f>
        <v>#ERROR!</v>
      </c>
      <c r="AI310" s="157" t="str">
        <f t="shared" si="5"/>
        <v>#ERROR!</v>
      </c>
    </row>
    <row r="311" ht="12.75" customHeight="1">
      <c r="A311" s="244" t="s">
        <v>5158</v>
      </c>
      <c r="B311" s="244" t="s">
        <v>231</v>
      </c>
      <c r="C311" s="244" t="s">
        <v>7615</v>
      </c>
      <c r="D311" s="154" t="s">
        <v>1315</v>
      </c>
      <c r="E311" s="154"/>
      <c r="F311" s="154" t="str">
        <f t="array" ref="F311">XLOOKUP(Cover!$D$12,$R$1:$Z$1,$R311:$Z311)</f>
        <v>Recommended</v>
      </c>
      <c r="G311" s="154" t="s">
        <v>7616</v>
      </c>
      <c r="H311" s="154" t="s">
        <v>7314</v>
      </c>
      <c r="I311" s="154" t="s">
        <v>7617</v>
      </c>
      <c r="J311" s="154" t="s">
        <v>7104</v>
      </c>
      <c r="K311" s="154" t="s">
        <v>7305</v>
      </c>
      <c r="L311" s="154" t="s">
        <v>6905</v>
      </c>
      <c r="M311" s="154"/>
      <c r="N311" s="154" t="s">
        <v>759</v>
      </c>
      <c r="O311" s="247" t="s">
        <v>516</v>
      </c>
      <c r="P311" s="247" t="s">
        <v>6776</v>
      </c>
      <c r="Q311" s="154" t="str">
        <f t="shared" si="1"/>
        <v>#ERROR!</v>
      </c>
      <c r="R311" s="154" t="s">
        <v>66</v>
      </c>
      <c r="S311" s="154" t="s">
        <v>66</v>
      </c>
      <c r="T311" s="154" t="s">
        <v>66</v>
      </c>
      <c r="U311" s="154" t="s">
        <v>66</v>
      </c>
      <c r="V311" s="154" t="s">
        <v>66</v>
      </c>
      <c r="W311" s="154" t="s">
        <v>64</v>
      </c>
      <c r="X311" s="154" t="s">
        <v>66</v>
      </c>
      <c r="Y311" s="154" t="s">
        <v>66</v>
      </c>
      <c r="Z311" s="154" t="s">
        <v>64</v>
      </c>
      <c r="AA311" s="154"/>
      <c r="AB311" s="242" t="str">
        <f t="shared" si="2"/>
        <v>#ERROR!</v>
      </c>
      <c r="AC311" s="154" t="s">
        <v>391</v>
      </c>
      <c r="AD311" s="242" t="b">
        <f t="shared" si="3"/>
        <v>0</v>
      </c>
      <c r="AE311" s="154"/>
      <c r="AF311" s="242" t="str">
        <f t="shared" si="4"/>
        <v>#ERROR!</v>
      </c>
      <c r="AG311" s="154" t="s">
        <v>652</v>
      </c>
      <c r="AH311" s="242" t="str">
        <f>IF(AG311="","N/A",INDIRECT("MTR!"&amp;ADDRESS(MATCH(LEFT(AG311,9),[1]MTR!C:C,0),COLUMN(J311)),TRUE) &amp; "")</f>
        <v>#ERROR!</v>
      </c>
      <c r="AI311" s="157" t="str">
        <f t="shared" si="5"/>
        <v>#ERROR!</v>
      </c>
    </row>
    <row r="312" ht="12.75" customHeight="1">
      <c r="A312" s="244" t="s">
        <v>5158</v>
      </c>
      <c r="B312" s="244" t="s">
        <v>231</v>
      </c>
      <c r="C312" s="244" t="s">
        <v>7618</v>
      </c>
      <c r="D312" s="154" t="s">
        <v>1315</v>
      </c>
      <c r="E312" s="154"/>
      <c r="F312" s="154" t="str">
        <f t="array" ref="F312">XLOOKUP(Cover!$D$12,$R$1:$Z$1,$R312:$Z312)</f>
        <v>Mandatory</v>
      </c>
      <c r="G312" s="154" t="s">
        <v>7619</v>
      </c>
      <c r="H312" s="154" t="s">
        <v>7320</v>
      </c>
      <c r="I312" s="154" t="s">
        <v>7617</v>
      </c>
      <c r="J312" s="154" t="s">
        <v>7104</v>
      </c>
      <c r="K312" s="154" t="s">
        <v>7305</v>
      </c>
      <c r="L312" s="154" t="s">
        <v>6905</v>
      </c>
      <c r="M312" s="154" t="s">
        <v>1018</v>
      </c>
      <c r="N312" s="154" t="s">
        <v>759</v>
      </c>
      <c r="O312" s="247" t="s">
        <v>516</v>
      </c>
      <c r="P312" s="247" t="s">
        <v>6776</v>
      </c>
      <c r="Q312" s="154" t="str">
        <f t="shared" si="1"/>
        <v>#ERROR!</v>
      </c>
      <c r="R312" s="154" t="s">
        <v>66</v>
      </c>
      <c r="S312" s="154" t="s">
        <v>66</v>
      </c>
      <c r="T312" s="154" t="s">
        <v>66</v>
      </c>
      <c r="U312" s="154" t="s">
        <v>66</v>
      </c>
      <c r="V312" s="154" t="s">
        <v>66</v>
      </c>
      <c r="W312" s="154" t="s">
        <v>60</v>
      </c>
      <c r="X312" s="154" t="s">
        <v>66</v>
      </c>
      <c r="Y312" s="154" t="s">
        <v>66</v>
      </c>
      <c r="Z312" s="154" t="s">
        <v>60</v>
      </c>
      <c r="AA312" s="154"/>
      <c r="AB312" s="242" t="str">
        <f t="shared" si="2"/>
        <v>#ERROR!</v>
      </c>
      <c r="AC312" s="154" t="s">
        <v>391</v>
      </c>
      <c r="AD312" s="242" t="b">
        <f t="shared" si="3"/>
        <v>0</v>
      </c>
      <c r="AE312" s="154"/>
      <c r="AF312" s="242" t="str">
        <f t="shared" si="4"/>
        <v>#ERROR!</v>
      </c>
      <c r="AG312" s="154" t="s">
        <v>652</v>
      </c>
      <c r="AH312" s="242" t="str">
        <f>IF(AG312="","N/A",INDIRECT("MTR!"&amp;ADDRESS(MATCH(LEFT(AG312,9),[1]MTR!C:C,0),COLUMN(J312)),TRUE) &amp; "")</f>
        <v>#ERROR!</v>
      </c>
      <c r="AI312" s="157" t="str">
        <f t="shared" si="5"/>
        <v>#ERROR!</v>
      </c>
    </row>
    <row r="313" ht="12.75" customHeight="1">
      <c r="A313" s="244" t="s">
        <v>5158</v>
      </c>
      <c r="B313" s="244" t="s">
        <v>231</v>
      </c>
      <c r="C313" s="244" t="s">
        <v>7620</v>
      </c>
      <c r="D313" s="154" t="s">
        <v>1315</v>
      </c>
      <c r="E313" s="154"/>
      <c r="F313" s="154" t="str">
        <f t="array" ref="F313">XLOOKUP(Cover!$D$12,$R$1:$Z$1,$R313:$Z313)</f>
        <v>Information</v>
      </c>
      <c r="G313" s="154" t="s">
        <v>7621</v>
      </c>
      <c r="H313" s="154" t="s">
        <v>7314</v>
      </c>
      <c r="I313" s="154" t="s">
        <v>7622</v>
      </c>
      <c r="J313" s="154" t="s">
        <v>7110</v>
      </c>
      <c r="K313" s="154" t="s">
        <v>7305</v>
      </c>
      <c r="L313" s="154" t="s">
        <v>6905</v>
      </c>
      <c r="M313" s="154"/>
      <c r="N313" s="154" t="s">
        <v>759</v>
      </c>
      <c r="O313" s="247" t="s">
        <v>516</v>
      </c>
      <c r="P313" s="247" t="s">
        <v>6776</v>
      </c>
      <c r="Q313" s="154" t="str">
        <f t="shared" si="1"/>
        <v>#ERROR!</v>
      </c>
      <c r="R313" s="154" t="s">
        <v>66</v>
      </c>
      <c r="S313" s="154" t="s">
        <v>66</v>
      </c>
      <c r="T313" s="154" t="s">
        <v>66</v>
      </c>
      <c r="U313" s="154" t="s">
        <v>66</v>
      </c>
      <c r="V313" s="154" t="s">
        <v>66</v>
      </c>
      <c r="W313" s="154" t="s">
        <v>66</v>
      </c>
      <c r="X313" s="154" t="s">
        <v>66</v>
      </c>
      <c r="Y313" s="154" t="s">
        <v>66</v>
      </c>
      <c r="Z313" s="154" t="s">
        <v>66</v>
      </c>
      <c r="AA313" s="154"/>
      <c r="AB313" s="242" t="str">
        <f t="shared" si="2"/>
        <v>#ERROR!</v>
      </c>
      <c r="AC313" s="154" t="s">
        <v>391</v>
      </c>
      <c r="AD313" s="242" t="b">
        <f t="shared" si="3"/>
        <v>0</v>
      </c>
      <c r="AE313" s="154"/>
      <c r="AF313" s="242" t="str">
        <f t="shared" si="4"/>
        <v>#ERROR!</v>
      </c>
      <c r="AG313" s="154" t="s">
        <v>652</v>
      </c>
      <c r="AH313" s="242" t="str">
        <f>IF(AG313="","N/A",INDIRECT("MTR!"&amp;ADDRESS(MATCH(LEFT(AG313,9),[1]MTR!C:C,0),COLUMN(J313)),TRUE) &amp; "")</f>
        <v>#ERROR!</v>
      </c>
      <c r="AI313" s="157" t="str">
        <f t="shared" si="5"/>
        <v>#ERROR!</v>
      </c>
    </row>
    <row r="314" ht="12.75" customHeight="1">
      <c r="A314" s="244" t="s">
        <v>5158</v>
      </c>
      <c r="B314" s="244" t="s">
        <v>231</v>
      </c>
      <c r="C314" s="244" t="s">
        <v>7623</v>
      </c>
      <c r="D314" s="154" t="s">
        <v>1315</v>
      </c>
      <c r="E314" s="154"/>
      <c r="F314" s="154" t="str">
        <f t="array" ref="F314">XLOOKUP(Cover!$D$12,$R$1:$Z$1,$R314:$Z314)</f>
        <v>Information</v>
      </c>
      <c r="G314" s="154" t="s">
        <v>7624</v>
      </c>
      <c r="H314" s="154" t="s">
        <v>7323</v>
      </c>
      <c r="I314" s="154" t="s">
        <v>7622</v>
      </c>
      <c r="J314" s="154" t="s">
        <v>7110</v>
      </c>
      <c r="K314" s="154" t="s">
        <v>7305</v>
      </c>
      <c r="L314" s="154" t="s">
        <v>6905</v>
      </c>
      <c r="M314" s="154"/>
      <c r="N314" s="154" t="s">
        <v>759</v>
      </c>
      <c r="O314" s="247" t="s">
        <v>516</v>
      </c>
      <c r="P314" s="247" t="s">
        <v>6776</v>
      </c>
      <c r="Q314" s="154" t="str">
        <f t="shared" si="1"/>
        <v>#ERROR!</v>
      </c>
      <c r="R314" s="154" t="s">
        <v>66</v>
      </c>
      <c r="S314" s="154" t="s">
        <v>66</v>
      </c>
      <c r="T314" s="154" t="s">
        <v>66</v>
      </c>
      <c r="U314" s="154" t="s">
        <v>66</v>
      </c>
      <c r="V314" s="154" t="s">
        <v>66</v>
      </c>
      <c r="W314" s="154" t="s">
        <v>66</v>
      </c>
      <c r="X314" s="154" t="s">
        <v>66</v>
      </c>
      <c r="Y314" s="154" t="s">
        <v>66</v>
      </c>
      <c r="Z314" s="154" t="s">
        <v>66</v>
      </c>
      <c r="AA314" s="154"/>
      <c r="AB314" s="242" t="str">
        <f t="shared" si="2"/>
        <v>#ERROR!</v>
      </c>
      <c r="AC314" s="154" t="s">
        <v>391</v>
      </c>
      <c r="AD314" s="242" t="b">
        <f t="shared" si="3"/>
        <v>0</v>
      </c>
      <c r="AE314" s="154"/>
      <c r="AF314" s="242" t="str">
        <f t="shared" si="4"/>
        <v>#ERROR!</v>
      </c>
      <c r="AG314" s="154" t="s">
        <v>652</v>
      </c>
      <c r="AH314" s="242" t="str">
        <f>IF(AG314="","N/A",INDIRECT("MTR!"&amp;ADDRESS(MATCH(LEFT(AG314,9),[1]MTR!C:C,0),COLUMN(J314)),TRUE) &amp; "")</f>
        <v>#ERROR!</v>
      </c>
      <c r="AI314" s="157" t="str">
        <f t="shared" si="5"/>
        <v>#ERROR!</v>
      </c>
    </row>
    <row r="315" ht="12.75" customHeight="1">
      <c r="A315" s="244" t="s">
        <v>5158</v>
      </c>
      <c r="B315" s="244" t="s">
        <v>231</v>
      </c>
      <c r="C315" s="244" t="s">
        <v>7625</v>
      </c>
      <c r="D315" s="154" t="s">
        <v>503</v>
      </c>
      <c r="E315" s="154"/>
      <c r="F315" s="154" t="str">
        <f t="array" ref="F315">XLOOKUP(Cover!$D$12,$R$1:$Z$1,$R315:$Z315)</f>
        <v>Information</v>
      </c>
      <c r="G315" s="154" t="s">
        <v>7626</v>
      </c>
      <c r="H315" s="154" t="s">
        <v>7317</v>
      </c>
      <c r="I315" s="154" t="s">
        <v>7627</v>
      </c>
      <c r="J315" s="154" t="s">
        <v>7628</v>
      </c>
      <c r="K315" s="154" t="s">
        <v>7305</v>
      </c>
      <c r="L315" s="154" t="s">
        <v>6463</v>
      </c>
      <c r="M315" s="154"/>
      <c r="N315" s="154" t="s">
        <v>759</v>
      </c>
      <c r="O315" s="247" t="s">
        <v>516</v>
      </c>
      <c r="P315" s="247" t="s">
        <v>6776</v>
      </c>
      <c r="Q315" s="154" t="str">
        <f t="shared" si="1"/>
        <v>#ERROR!</v>
      </c>
      <c r="R315" s="154" t="s">
        <v>66</v>
      </c>
      <c r="S315" s="154" t="s">
        <v>66</v>
      </c>
      <c r="T315" s="154" t="s">
        <v>66</v>
      </c>
      <c r="U315" s="154" t="s">
        <v>66</v>
      </c>
      <c r="V315" s="154" t="s">
        <v>66</v>
      </c>
      <c r="W315" s="154" t="s">
        <v>66</v>
      </c>
      <c r="X315" s="154" t="s">
        <v>66</v>
      </c>
      <c r="Y315" s="154" t="s">
        <v>66</v>
      </c>
      <c r="Z315" s="154" t="s">
        <v>66</v>
      </c>
      <c r="AA315" s="154"/>
      <c r="AB315" s="242" t="str">
        <f t="shared" si="2"/>
        <v>#ERROR!</v>
      </c>
      <c r="AC315" s="154" t="s">
        <v>391</v>
      </c>
      <c r="AD315" s="242" t="b">
        <f t="shared" si="3"/>
        <v>0</v>
      </c>
      <c r="AE315" s="154"/>
      <c r="AF315" s="242" t="str">
        <f t="shared" si="4"/>
        <v>#ERROR!</v>
      </c>
      <c r="AG315" s="154" t="s">
        <v>652</v>
      </c>
      <c r="AH315" s="242" t="str">
        <f>IF(AG315="","N/A",INDIRECT("MTR!"&amp;ADDRESS(MATCH(LEFT(AG315,9),[1]MTR!C:C,0),COLUMN(J315)),TRUE) &amp; "")</f>
        <v>#ERROR!</v>
      </c>
      <c r="AI315" s="157" t="str">
        <f t="shared" si="5"/>
        <v>#ERROR!</v>
      </c>
    </row>
    <row r="316" ht="12.75" customHeight="1">
      <c r="A316" s="244" t="s">
        <v>5158</v>
      </c>
      <c r="B316" s="244" t="s">
        <v>231</v>
      </c>
      <c r="C316" s="244" t="s">
        <v>7629</v>
      </c>
      <c r="D316" s="154" t="s">
        <v>503</v>
      </c>
      <c r="E316" s="154"/>
      <c r="F316" s="154" t="str">
        <f t="array" ref="F316">XLOOKUP(Cover!$D$12,$R$1:$Z$1,$R316:$Z316)</f>
        <v>Information</v>
      </c>
      <c r="G316" s="154" t="s">
        <v>7630</v>
      </c>
      <c r="H316" s="154" t="s">
        <v>7320</v>
      </c>
      <c r="I316" s="154" t="s">
        <v>7627</v>
      </c>
      <c r="J316" s="154" t="s">
        <v>7628</v>
      </c>
      <c r="K316" s="154" t="s">
        <v>7305</v>
      </c>
      <c r="L316" s="154" t="s">
        <v>6463</v>
      </c>
      <c r="M316" s="154"/>
      <c r="N316" s="154" t="s">
        <v>759</v>
      </c>
      <c r="O316" s="247" t="s">
        <v>516</v>
      </c>
      <c r="P316" s="247" t="s">
        <v>6776</v>
      </c>
      <c r="Q316" s="154" t="str">
        <f t="shared" si="1"/>
        <v>#ERROR!</v>
      </c>
      <c r="R316" s="154" t="s">
        <v>66</v>
      </c>
      <c r="S316" s="154" t="s">
        <v>66</v>
      </c>
      <c r="T316" s="154" t="s">
        <v>66</v>
      </c>
      <c r="U316" s="154" t="s">
        <v>66</v>
      </c>
      <c r="V316" s="154" t="s">
        <v>66</v>
      </c>
      <c r="W316" s="154" t="s">
        <v>66</v>
      </c>
      <c r="X316" s="154" t="s">
        <v>66</v>
      </c>
      <c r="Y316" s="154" t="s">
        <v>66</v>
      </c>
      <c r="Z316" s="154" t="s">
        <v>66</v>
      </c>
      <c r="AA316" s="154"/>
      <c r="AB316" s="242" t="str">
        <f t="shared" si="2"/>
        <v>#ERROR!</v>
      </c>
      <c r="AC316" s="154" t="s">
        <v>391</v>
      </c>
      <c r="AD316" s="242" t="b">
        <f t="shared" si="3"/>
        <v>0</v>
      </c>
      <c r="AE316" s="154"/>
      <c r="AF316" s="242" t="str">
        <f t="shared" si="4"/>
        <v>#ERROR!</v>
      </c>
      <c r="AG316" s="154" t="s">
        <v>652</v>
      </c>
      <c r="AH316" s="242" t="str">
        <f>IF(AG316="","N/A",INDIRECT("MTR!"&amp;ADDRESS(MATCH(LEFT(AG316,9),[1]MTR!C:C,0),COLUMN(J316)),TRUE) &amp; "")</f>
        <v>#ERROR!</v>
      </c>
      <c r="AI316" s="157" t="str">
        <f t="shared" si="5"/>
        <v>#ERROR!</v>
      </c>
    </row>
    <row r="317" ht="12.75" customHeight="1">
      <c r="A317" s="244" t="s">
        <v>5158</v>
      </c>
      <c r="B317" s="244" t="s">
        <v>231</v>
      </c>
      <c r="C317" s="244" t="s">
        <v>7631</v>
      </c>
      <c r="D317" s="154" t="s">
        <v>503</v>
      </c>
      <c r="E317" s="154"/>
      <c r="F317" s="154" t="str">
        <f t="array" ref="F317">XLOOKUP(Cover!$D$12,$R$1:$Z$1,$R317:$Z317)</f>
        <v>Information</v>
      </c>
      <c r="G317" s="154" t="s">
        <v>7632</v>
      </c>
      <c r="H317" s="154" t="s">
        <v>7323</v>
      </c>
      <c r="I317" s="154" t="s">
        <v>7627</v>
      </c>
      <c r="J317" s="154" t="s">
        <v>7628</v>
      </c>
      <c r="K317" s="154" t="s">
        <v>7305</v>
      </c>
      <c r="L317" s="154" t="s">
        <v>6463</v>
      </c>
      <c r="M317" s="154"/>
      <c r="N317" s="154" t="s">
        <v>759</v>
      </c>
      <c r="O317" s="247" t="s">
        <v>516</v>
      </c>
      <c r="P317" s="247" t="s">
        <v>6776</v>
      </c>
      <c r="Q317" s="154" t="str">
        <f t="shared" si="1"/>
        <v>#ERROR!</v>
      </c>
      <c r="R317" s="154" t="s">
        <v>66</v>
      </c>
      <c r="S317" s="154" t="s">
        <v>66</v>
      </c>
      <c r="T317" s="154" t="s">
        <v>66</v>
      </c>
      <c r="U317" s="154" t="s">
        <v>66</v>
      </c>
      <c r="V317" s="154" t="s">
        <v>66</v>
      </c>
      <c r="W317" s="154" t="s">
        <v>66</v>
      </c>
      <c r="X317" s="154" t="s">
        <v>66</v>
      </c>
      <c r="Y317" s="154" t="s">
        <v>66</v>
      </c>
      <c r="Z317" s="154" t="s">
        <v>66</v>
      </c>
      <c r="AA317" s="154"/>
      <c r="AB317" s="242" t="str">
        <f t="shared" si="2"/>
        <v>#ERROR!</v>
      </c>
      <c r="AC317" s="154" t="s">
        <v>391</v>
      </c>
      <c r="AD317" s="242" t="b">
        <f t="shared" si="3"/>
        <v>0</v>
      </c>
      <c r="AE317" s="154"/>
      <c r="AF317" s="242" t="str">
        <f t="shared" si="4"/>
        <v>#ERROR!</v>
      </c>
      <c r="AG317" s="154" t="s">
        <v>652</v>
      </c>
      <c r="AH317" s="242" t="str">
        <f>IF(AG317="","N/A",INDIRECT("MTR!"&amp;ADDRESS(MATCH(LEFT(AG317,9),[1]MTR!C:C,0),COLUMN(J317)),TRUE) &amp; "")</f>
        <v>#ERROR!</v>
      </c>
      <c r="AI317" s="157" t="str">
        <f t="shared" si="5"/>
        <v>#ERROR!</v>
      </c>
    </row>
    <row r="318" ht="12.75" customHeight="1">
      <c r="A318" s="244" t="s">
        <v>5158</v>
      </c>
      <c r="B318" s="244" t="s">
        <v>231</v>
      </c>
      <c r="C318" s="244" t="s">
        <v>7633</v>
      </c>
      <c r="D318" s="154" t="s">
        <v>503</v>
      </c>
      <c r="E318" s="154"/>
      <c r="F318" s="154" t="str">
        <f t="array" ref="F318">XLOOKUP(Cover!$D$12,$R$1:$Z$1,$R318:$Z318)</f>
        <v>Recommended</v>
      </c>
      <c r="G318" s="154" t="s">
        <v>7634</v>
      </c>
      <c r="H318" s="154" t="s">
        <v>7317</v>
      </c>
      <c r="I318" s="154" t="s">
        <v>7635</v>
      </c>
      <c r="J318" s="154" t="s">
        <v>7116</v>
      </c>
      <c r="K318" s="154" t="s">
        <v>7305</v>
      </c>
      <c r="L318" s="154" t="s">
        <v>6463</v>
      </c>
      <c r="M318" s="154"/>
      <c r="N318" s="154" t="s">
        <v>759</v>
      </c>
      <c r="O318" s="247" t="s">
        <v>516</v>
      </c>
      <c r="P318" s="247" t="s">
        <v>6776</v>
      </c>
      <c r="Q318" s="154" t="str">
        <f t="shared" si="1"/>
        <v>#ERROR!</v>
      </c>
      <c r="R318" s="154" t="s">
        <v>66</v>
      </c>
      <c r="S318" s="154" t="s">
        <v>66</v>
      </c>
      <c r="T318" s="154" t="s">
        <v>66</v>
      </c>
      <c r="U318" s="154" t="s">
        <v>66</v>
      </c>
      <c r="V318" s="154" t="s">
        <v>66</v>
      </c>
      <c r="W318" s="154" t="s">
        <v>64</v>
      </c>
      <c r="X318" s="154" t="s">
        <v>66</v>
      </c>
      <c r="Y318" s="154" t="s">
        <v>66</v>
      </c>
      <c r="Z318" s="154" t="s">
        <v>64</v>
      </c>
      <c r="AA318" s="154"/>
      <c r="AB318" s="242" t="str">
        <f t="shared" si="2"/>
        <v>#ERROR!</v>
      </c>
      <c r="AC318" s="154" t="s">
        <v>391</v>
      </c>
      <c r="AD318" s="242" t="b">
        <f t="shared" si="3"/>
        <v>0</v>
      </c>
      <c r="AE318" s="154"/>
      <c r="AF318" s="242" t="str">
        <f t="shared" si="4"/>
        <v>#ERROR!</v>
      </c>
      <c r="AG318" s="154" t="s">
        <v>652</v>
      </c>
      <c r="AH318" s="242" t="str">
        <f>IF(AG318="","N/A",INDIRECT("MTR!"&amp;ADDRESS(MATCH(LEFT(AG318,9),[1]MTR!C:C,0),COLUMN(J318)),TRUE) &amp; "")</f>
        <v>#ERROR!</v>
      </c>
      <c r="AI318" s="157" t="str">
        <f t="shared" si="5"/>
        <v>#ERROR!</v>
      </c>
    </row>
    <row r="319" ht="12.75" customHeight="1">
      <c r="A319" s="244" t="s">
        <v>5158</v>
      </c>
      <c r="B319" s="244" t="s">
        <v>231</v>
      </c>
      <c r="C319" s="244" t="s">
        <v>7636</v>
      </c>
      <c r="D319" s="154" t="s">
        <v>503</v>
      </c>
      <c r="E319" s="154"/>
      <c r="F319" s="154" t="str">
        <f t="array" ref="F319">XLOOKUP(Cover!$D$12,$R$1:$Z$1,$R319:$Z319)</f>
        <v>Recommended</v>
      </c>
      <c r="G319" s="154" t="s">
        <v>7637</v>
      </c>
      <c r="H319" s="154" t="s">
        <v>7320</v>
      </c>
      <c r="I319" s="154" t="s">
        <v>7635</v>
      </c>
      <c r="J319" s="154" t="s">
        <v>7116</v>
      </c>
      <c r="K319" s="154" t="s">
        <v>7305</v>
      </c>
      <c r="L319" s="154" t="s">
        <v>6463</v>
      </c>
      <c r="M319" s="154"/>
      <c r="N319" s="154" t="s">
        <v>759</v>
      </c>
      <c r="O319" s="247" t="s">
        <v>516</v>
      </c>
      <c r="P319" s="247" t="s">
        <v>6776</v>
      </c>
      <c r="Q319" s="154" t="str">
        <f t="shared" si="1"/>
        <v>#ERROR!</v>
      </c>
      <c r="R319" s="154" t="s">
        <v>66</v>
      </c>
      <c r="S319" s="154" t="s">
        <v>66</v>
      </c>
      <c r="T319" s="154" t="s">
        <v>66</v>
      </c>
      <c r="U319" s="154" t="s">
        <v>66</v>
      </c>
      <c r="V319" s="154" t="s">
        <v>66</v>
      </c>
      <c r="W319" s="154" t="s">
        <v>64</v>
      </c>
      <c r="X319" s="154" t="s">
        <v>66</v>
      </c>
      <c r="Y319" s="154" t="s">
        <v>66</v>
      </c>
      <c r="Z319" s="154" t="s">
        <v>64</v>
      </c>
      <c r="AA319" s="154"/>
      <c r="AB319" s="242" t="str">
        <f t="shared" si="2"/>
        <v>#ERROR!</v>
      </c>
      <c r="AC319" s="154" t="s">
        <v>391</v>
      </c>
      <c r="AD319" s="242" t="b">
        <f t="shared" si="3"/>
        <v>0</v>
      </c>
      <c r="AE319" s="154"/>
      <c r="AF319" s="242" t="str">
        <f t="shared" si="4"/>
        <v>#ERROR!</v>
      </c>
      <c r="AG319" s="154" t="s">
        <v>652</v>
      </c>
      <c r="AH319" s="242" t="str">
        <f>IF(AG319="","N/A",INDIRECT("MTR!"&amp;ADDRESS(MATCH(LEFT(AG319,9),[1]MTR!C:C,0),COLUMN(J319)),TRUE) &amp; "")</f>
        <v>#ERROR!</v>
      </c>
      <c r="AI319" s="157" t="str">
        <f t="shared" si="5"/>
        <v>#ERROR!</v>
      </c>
    </row>
    <row r="320" ht="12.75" customHeight="1">
      <c r="A320" s="244" t="s">
        <v>5158</v>
      </c>
      <c r="B320" s="244" t="s">
        <v>231</v>
      </c>
      <c r="C320" s="244" t="s">
        <v>7638</v>
      </c>
      <c r="D320" s="154" t="s">
        <v>1315</v>
      </c>
      <c r="E320" s="154"/>
      <c r="F320" s="154" t="str">
        <f t="array" ref="F320">XLOOKUP(Cover!$D$12,$R$1:$Z$1,$R320:$Z320)</f>
        <v>Information</v>
      </c>
      <c r="G320" s="154" t="s">
        <v>7639</v>
      </c>
      <c r="H320" s="154" t="s">
        <v>7320</v>
      </c>
      <c r="I320" s="154" t="s">
        <v>7640</v>
      </c>
      <c r="J320" s="154" t="s">
        <v>7122</v>
      </c>
      <c r="K320" s="154" t="s">
        <v>7305</v>
      </c>
      <c r="L320" s="154" t="s">
        <v>6905</v>
      </c>
      <c r="M320" s="154"/>
      <c r="N320" s="154" t="s">
        <v>759</v>
      </c>
      <c r="O320" s="247" t="s">
        <v>516</v>
      </c>
      <c r="P320" s="247" t="s">
        <v>6776</v>
      </c>
      <c r="Q320" s="154" t="str">
        <f t="shared" si="1"/>
        <v>#ERROR!</v>
      </c>
      <c r="R320" s="154" t="s">
        <v>66</v>
      </c>
      <c r="S320" s="154" t="s">
        <v>66</v>
      </c>
      <c r="T320" s="154" t="s">
        <v>66</v>
      </c>
      <c r="U320" s="154" t="s">
        <v>66</v>
      </c>
      <c r="V320" s="154" t="s">
        <v>66</v>
      </c>
      <c r="W320" s="154" t="s">
        <v>66</v>
      </c>
      <c r="X320" s="154" t="s">
        <v>66</v>
      </c>
      <c r="Y320" s="154" t="s">
        <v>66</v>
      </c>
      <c r="Z320" s="154" t="s">
        <v>66</v>
      </c>
      <c r="AA320" s="154"/>
      <c r="AB320" s="242" t="str">
        <f t="shared" si="2"/>
        <v>#ERROR!</v>
      </c>
      <c r="AC320" s="154" t="s">
        <v>391</v>
      </c>
      <c r="AD320" s="242" t="b">
        <f t="shared" si="3"/>
        <v>0</v>
      </c>
      <c r="AE320" s="154"/>
      <c r="AF320" s="242" t="str">
        <f t="shared" si="4"/>
        <v>#ERROR!</v>
      </c>
      <c r="AG320" s="154" t="s">
        <v>652</v>
      </c>
      <c r="AH320" s="242" t="str">
        <f>IF(AG320="","N/A",INDIRECT("MTR!"&amp;ADDRESS(MATCH(LEFT(AG320,9),[1]MTR!C:C,0),COLUMN(J320)),TRUE) &amp; "")</f>
        <v>#ERROR!</v>
      </c>
      <c r="AI320" s="157" t="str">
        <f t="shared" si="5"/>
        <v>#ERROR!</v>
      </c>
    </row>
    <row r="321" ht="12.75" customHeight="1">
      <c r="A321" s="244" t="s">
        <v>5158</v>
      </c>
      <c r="B321" s="244" t="s">
        <v>231</v>
      </c>
      <c r="C321" s="244" t="s">
        <v>7641</v>
      </c>
      <c r="D321" s="154" t="s">
        <v>1315</v>
      </c>
      <c r="E321" s="154"/>
      <c r="F321" s="154" t="str">
        <f t="array" ref="F321">XLOOKUP(Cover!$D$12,$R$1:$Z$1,$R321:$Z321)</f>
        <v>Information</v>
      </c>
      <c r="G321" s="154" t="s">
        <v>7642</v>
      </c>
      <c r="H321" s="154" t="s">
        <v>7323</v>
      </c>
      <c r="I321" s="154" t="s">
        <v>7640</v>
      </c>
      <c r="J321" s="154" t="s">
        <v>7122</v>
      </c>
      <c r="K321" s="154" t="s">
        <v>7305</v>
      </c>
      <c r="L321" s="154" t="s">
        <v>6905</v>
      </c>
      <c r="M321" s="154"/>
      <c r="N321" s="154" t="s">
        <v>759</v>
      </c>
      <c r="O321" s="247" t="s">
        <v>516</v>
      </c>
      <c r="P321" s="247" t="s">
        <v>6776</v>
      </c>
      <c r="Q321" s="154" t="str">
        <f t="shared" si="1"/>
        <v>#ERROR!</v>
      </c>
      <c r="R321" s="154" t="s">
        <v>66</v>
      </c>
      <c r="S321" s="154" t="s">
        <v>66</v>
      </c>
      <c r="T321" s="154" t="s">
        <v>66</v>
      </c>
      <c r="U321" s="154" t="s">
        <v>66</v>
      </c>
      <c r="V321" s="154" t="s">
        <v>66</v>
      </c>
      <c r="W321" s="154" t="s">
        <v>66</v>
      </c>
      <c r="X321" s="154" t="s">
        <v>66</v>
      </c>
      <c r="Y321" s="154" t="s">
        <v>66</v>
      </c>
      <c r="Z321" s="154" t="s">
        <v>66</v>
      </c>
      <c r="AA321" s="154"/>
      <c r="AB321" s="242" t="str">
        <f t="shared" si="2"/>
        <v>#ERROR!</v>
      </c>
      <c r="AC321" s="154" t="s">
        <v>391</v>
      </c>
      <c r="AD321" s="242" t="b">
        <f t="shared" si="3"/>
        <v>0</v>
      </c>
      <c r="AE321" s="154"/>
      <c r="AF321" s="242" t="str">
        <f t="shared" si="4"/>
        <v>#ERROR!</v>
      </c>
      <c r="AG321" s="154" t="s">
        <v>652</v>
      </c>
      <c r="AH321" s="242" t="str">
        <f>IF(AG321="","N/A",INDIRECT("MTR!"&amp;ADDRESS(MATCH(LEFT(AG321,9),[1]MTR!C:C,0),COLUMN(J321)),TRUE) &amp; "")</f>
        <v>#ERROR!</v>
      </c>
      <c r="AI321" s="157" t="str">
        <f t="shared" si="5"/>
        <v>#ERROR!</v>
      </c>
    </row>
    <row r="322" ht="12.75" customHeight="1">
      <c r="A322" s="238" t="s">
        <v>5158</v>
      </c>
      <c r="B322" s="238" t="s">
        <v>231</v>
      </c>
      <c r="C322" s="238" t="s">
        <v>7643</v>
      </c>
      <c r="D322" s="240"/>
      <c r="E322" s="240" t="s">
        <v>92</v>
      </c>
      <c r="F322" s="240" t="str">
        <f t="array" ref="F322">XLOOKUP(Cover!$D$12,$R$1:$Z$1,$R322:$Z322)</f>
        <v>Heading</v>
      </c>
      <c r="G322" s="239" t="s">
        <v>7644</v>
      </c>
      <c r="H322" s="240"/>
      <c r="I322" s="240"/>
      <c r="J322" s="240"/>
      <c r="K322" s="240"/>
      <c r="L322" s="240"/>
      <c r="M322" s="240"/>
      <c r="N322" s="240" t="s">
        <v>759</v>
      </c>
      <c r="O322" s="240"/>
      <c r="P322" s="240"/>
      <c r="Q322" s="240" t="str">
        <f t="shared" si="1"/>
        <v/>
      </c>
      <c r="R322" s="240" t="s">
        <v>390</v>
      </c>
      <c r="S322" s="240" t="s">
        <v>390</v>
      </c>
      <c r="T322" s="240" t="s">
        <v>390</v>
      </c>
      <c r="U322" s="240" t="s">
        <v>390</v>
      </c>
      <c r="V322" s="240" t="s">
        <v>390</v>
      </c>
      <c r="W322" s="240" t="s">
        <v>390</v>
      </c>
      <c r="X322" s="240" t="s">
        <v>390</v>
      </c>
      <c r="Y322" s="240" t="s">
        <v>390</v>
      </c>
      <c r="Z322" s="240" t="s">
        <v>390</v>
      </c>
      <c r="AA322" s="240"/>
      <c r="AB322" s="242" t="str">
        <f t="shared" si="2"/>
        <v>#ERROR!</v>
      </c>
      <c r="AC322" s="240" t="s">
        <v>391</v>
      </c>
      <c r="AD322" s="242" t="b">
        <f t="shared" si="3"/>
        <v>0</v>
      </c>
      <c r="AE322" s="240"/>
      <c r="AF322" s="242" t="str">
        <f t="shared" si="4"/>
        <v>#ERROR!</v>
      </c>
      <c r="AG322" s="240"/>
      <c r="AH322" s="242" t="str">
        <f>IF(AG322="","N/A",INDIRECT("MTR!"&amp;ADDRESS(MATCH(LEFT(AG322,9),[1]MTR!C:C,0),COLUMN(J322)),TRUE) &amp; "")</f>
        <v>#ERROR!</v>
      </c>
      <c r="AI322" s="157" t="str">
        <f t="shared" si="5"/>
        <v/>
      </c>
    </row>
    <row r="323" ht="12.75" customHeight="1">
      <c r="A323" s="244" t="s">
        <v>5158</v>
      </c>
      <c r="B323" s="244" t="s">
        <v>231</v>
      </c>
      <c r="C323" s="244" t="s">
        <v>7645</v>
      </c>
      <c r="D323" s="154" t="s">
        <v>1315</v>
      </c>
      <c r="E323" s="154"/>
      <c r="F323" s="154" t="str">
        <f t="array" ref="F323">XLOOKUP(Cover!$D$12,$R$1:$Z$1,$R323:$Z323)</f>
        <v>Information</v>
      </c>
      <c r="G323" s="154" t="s">
        <v>7646</v>
      </c>
      <c r="H323" s="154" t="s">
        <v>7304</v>
      </c>
      <c r="I323" s="154" t="s">
        <v>7647</v>
      </c>
      <c r="J323" s="154" t="s">
        <v>7648</v>
      </c>
      <c r="K323" s="154" t="s">
        <v>7305</v>
      </c>
      <c r="L323" s="154" t="s">
        <v>6884</v>
      </c>
      <c r="M323" s="154"/>
      <c r="N323" s="154" t="s">
        <v>759</v>
      </c>
      <c r="O323" s="247" t="s">
        <v>516</v>
      </c>
      <c r="P323" s="247" t="s">
        <v>6776</v>
      </c>
      <c r="Q323" s="154" t="str">
        <f t="shared" si="1"/>
        <v>#ERROR!</v>
      </c>
      <c r="R323" s="154" t="s">
        <v>66</v>
      </c>
      <c r="S323" s="154" t="s">
        <v>66</v>
      </c>
      <c r="T323" s="154" t="s">
        <v>66</v>
      </c>
      <c r="U323" s="154" t="s">
        <v>66</v>
      </c>
      <c r="V323" s="154" t="s">
        <v>66</v>
      </c>
      <c r="W323" s="154" t="s">
        <v>66</v>
      </c>
      <c r="X323" s="154" t="s">
        <v>66</v>
      </c>
      <c r="Y323" s="154" t="s">
        <v>66</v>
      </c>
      <c r="Z323" s="154" t="s">
        <v>66</v>
      </c>
      <c r="AA323" s="154"/>
      <c r="AB323" s="242" t="str">
        <f t="shared" si="2"/>
        <v>#ERROR!</v>
      </c>
      <c r="AC323" s="154" t="s">
        <v>391</v>
      </c>
      <c r="AD323" s="242" t="b">
        <f t="shared" si="3"/>
        <v>0</v>
      </c>
      <c r="AE323" s="154"/>
      <c r="AF323" s="242" t="str">
        <f t="shared" si="4"/>
        <v>#ERROR!</v>
      </c>
      <c r="AG323" s="154" t="s">
        <v>652</v>
      </c>
      <c r="AH323" s="242" t="str">
        <f>IF(AG323="","N/A",INDIRECT("MTR!"&amp;ADDRESS(MATCH(LEFT(AG323,9),[1]MTR!C:C,0),COLUMN(J323)),TRUE) &amp; "")</f>
        <v>#ERROR!</v>
      </c>
      <c r="AI323" s="157" t="str">
        <f t="shared" si="5"/>
        <v>#ERROR!</v>
      </c>
    </row>
    <row r="324" ht="12.75" customHeight="1">
      <c r="A324" s="244" t="s">
        <v>5158</v>
      </c>
      <c r="B324" s="244" t="s">
        <v>231</v>
      </c>
      <c r="C324" s="244" t="s">
        <v>7649</v>
      </c>
      <c r="D324" s="154" t="s">
        <v>1315</v>
      </c>
      <c r="E324" s="154"/>
      <c r="F324" s="154" t="str">
        <f t="array" ref="F324">XLOOKUP(Cover!$D$12,$R$1:$Z$1,$R324:$Z324)</f>
        <v>Information</v>
      </c>
      <c r="G324" s="154" t="s">
        <v>7650</v>
      </c>
      <c r="H324" s="154" t="s">
        <v>7311</v>
      </c>
      <c r="I324" s="154" t="s">
        <v>7647</v>
      </c>
      <c r="J324" s="154" t="s">
        <v>7648</v>
      </c>
      <c r="K324" s="154" t="s">
        <v>7305</v>
      </c>
      <c r="L324" s="154" t="s">
        <v>6884</v>
      </c>
      <c r="M324" s="154"/>
      <c r="N324" s="154" t="s">
        <v>759</v>
      </c>
      <c r="O324" s="247" t="s">
        <v>516</v>
      </c>
      <c r="P324" s="247" t="s">
        <v>6776</v>
      </c>
      <c r="Q324" s="154" t="str">
        <f t="shared" si="1"/>
        <v>#ERROR!</v>
      </c>
      <c r="R324" s="154" t="s">
        <v>66</v>
      </c>
      <c r="S324" s="154" t="s">
        <v>66</v>
      </c>
      <c r="T324" s="154" t="s">
        <v>66</v>
      </c>
      <c r="U324" s="154" t="s">
        <v>66</v>
      </c>
      <c r="V324" s="154" t="s">
        <v>66</v>
      </c>
      <c r="W324" s="154" t="s">
        <v>66</v>
      </c>
      <c r="X324" s="154" t="s">
        <v>66</v>
      </c>
      <c r="Y324" s="154" t="s">
        <v>66</v>
      </c>
      <c r="Z324" s="154" t="s">
        <v>66</v>
      </c>
      <c r="AA324" s="154"/>
      <c r="AB324" s="242" t="str">
        <f t="shared" si="2"/>
        <v>#ERROR!</v>
      </c>
      <c r="AC324" s="154" t="s">
        <v>391</v>
      </c>
      <c r="AD324" s="242" t="b">
        <f t="shared" si="3"/>
        <v>0</v>
      </c>
      <c r="AE324" s="154"/>
      <c r="AF324" s="242" t="str">
        <f t="shared" si="4"/>
        <v>#ERROR!</v>
      </c>
      <c r="AG324" s="154" t="s">
        <v>652</v>
      </c>
      <c r="AH324" s="242" t="str">
        <f>IF(AG324="","N/A",INDIRECT("MTR!"&amp;ADDRESS(MATCH(LEFT(AG324,9),[1]MTR!C:C,0),COLUMN(J324)),TRUE) &amp; "")</f>
        <v>#ERROR!</v>
      </c>
      <c r="AI324" s="157" t="str">
        <f t="shared" si="5"/>
        <v>#ERROR!</v>
      </c>
    </row>
    <row r="325" ht="12.75" customHeight="1">
      <c r="A325" s="244" t="s">
        <v>5158</v>
      </c>
      <c r="B325" s="244" t="s">
        <v>231</v>
      </c>
      <c r="C325" s="244" t="s">
        <v>7651</v>
      </c>
      <c r="D325" s="154" t="s">
        <v>1315</v>
      </c>
      <c r="E325" s="154"/>
      <c r="F325" s="154" t="str">
        <f t="array" ref="F325">XLOOKUP(Cover!$D$12,$R$1:$Z$1,$R325:$Z325)</f>
        <v>Information</v>
      </c>
      <c r="G325" s="154" t="s">
        <v>7652</v>
      </c>
      <c r="H325" s="154" t="s">
        <v>7314</v>
      </c>
      <c r="I325" s="154" t="s">
        <v>7647</v>
      </c>
      <c r="J325" s="154" t="s">
        <v>7648</v>
      </c>
      <c r="K325" s="154" t="s">
        <v>7305</v>
      </c>
      <c r="L325" s="154" t="s">
        <v>6884</v>
      </c>
      <c r="M325" s="154"/>
      <c r="N325" s="154" t="s">
        <v>759</v>
      </c>
      <c r="O325" s="247" t="s">
        <v>516</v>
      </c>
      <c r="P325" s="247" t="s">
        <v>6776</v>
      </c>
      <c r="Q325" s="154" t="str">
        <f t="shared" si="1"/>
        <v>#ERROR!</v>
      </c>
      <c r="R325" s="154" t="s">
        <v>66</v>
      </c>
      <c r="S325" s="154" t="s">
        <v>66</v>
      </c>
      <c r="T325" s="154" t="s">
        <v>66</v>
      </c>
      <c r="U325" s="154" t="s">
        <v>66</v>
      </c>
      <c r="V325" s="154" t="s">
        <v>66</v>
      </c>
      <c r="W325" s="154" t="s">
        <v>66</v>
      </c>
      <c r="X325" s="154" t="s">
        <v>66</v>
      </c>
      <c r="Y325" s="154" t="s">
        <v>66</v>
      </c>
      <c r="Z325" s="154" t="s">
        <v>66</v>
      </c>
      <c r="AA325" s="154"/>
      <c r="AB325" s="242" t="str">
        <f t="shared" si="2"/>
        <v>#ERROR!</v>
      </c>
      <c r="AC325" s="154" t="s">
        <v>391</v>
      </c>
      <c r="AD325" s="242" t="b">
        <f t="shared" si="3"/>
        <v>0</v>
      </c>
      <c r="AE325" s="154"/>
      <c r="AF325" s="242" t="str">
        <f t="shared" si="4"/>
        <v>#ERROR!</v>
      </c>
      <c r="AG325" s="154" t="s">
        <v>652</v>
      </c>
      <c r="AH325" s="242" t="str">
        <f>IF(AG325="","N/A",INDIRECT("MTR!"&amp;ADDRESS(MATCH(LEFT(AG325,9),[1]MTR!C:C,0),COLUMN(J325)),TRUE) &amp; "")</f>
        <v>#ERROR!</v>
      </c>
      <c r="AI325" s="157" t="str">
        <f t="shared" si="5"/>
        <v>#ERROR!</v>
      </c>
    </row>
    <row r="326" ht="12.75" customHeight="1">
      <c r="A326" s="244" t="s">
        <v>5158</v>
      </c>
      <c r="B326" s="244" t="s">
        <v>231</v>
      </c>
      <c r="C326" s="244" t="s">
        <v>7653</v>
      </c>
      <c r="D326" s="154" t="s">
        <v>1315</v>
      </c>
      <c r="E326" s="154"/>
      <c r="F326" s="154" t="str">
        <f t="array" ref="F326">XLOOKUP(Cover!$D$12,$R$1:$Z$1,$R326:$Z326)</f>
        <v>Information</v>
      </c>
      <c r="G326" s="154" t="s">
        <v>7654</v>
      </c>
      <c r="H326" s="154" t="s">
        <v>7304</v>
      </c>
      <c r="I326" s="154" t="s">
        <v>7655</v>
      </c>
      <c r="J326" s="154" t="s">
        <v>7656</v>
      </c>
      <c r="K326" s="154" t="s">
        <v>7305</v>
      </c>
      <c r="L326" s="154" t="s">
        <v>6884</v>
      </c>
      <c r="M326" s="154"/>
      <c r="N326" s="154" t="s">
        <v>759</v>
      </c>
      <c r="O326" s="247" t="s">
        <v>516</v>
      </c>
      <c r="P326" s="247" t="s">
        <v>6776</v>
      </c>
      <c r="Q326" s="154" t="str">
        <f t="shared" si="1"/>
        <v>#ERROR!</v>
      </c>
      <c r="R326" s="154" t="s">
        <v>66</v>
      </c>
      <c r="S326" s="154" t="s">
        <v>66</v>
      </c>
      <c r="T326" s="154" t="s">
        <v>66</v>
      </c>
      <c r="U326" s="154" t="s">
        <v>66</v>
      </c>
      <c r="V326" s="154" t="s">
        <v>66</v>
      </c>
      <c r="W326" s="154" t="s">
        <v>66</v>
      </c>
      <c r="X326" s="154" t="s">
        <v>66</v>
      </c>
      <c r="Y326" s="154" t="s">
        <v>66</v>
      </c>
      <c r="Z326" s="154" t="s">
        <v>66</v>
      </c>
      <c r="AA326" s="154"/>
      <c r="AB326" s="242" t="str">
        <f t="shared" si="2"/>
        <v>#ERROR!</v>
      </c>
      <c r="AC326" s="154" t="s">
        <v>391</v>
      </c>
      <c r="AD326" s="242" t="b">
        <f t="shared" si="3"/>
        <v>0</v>
      </c>
      <c r="AE326" s="154"/>
      <c r="AF326" s="242" t="str">
        <f t="shared" si="4"/>
        <v>#ERROR!</v>
      </c>
      <c r="AG326" s="154" t="s">
        <v>652</v>
      </c>
      <c r="AH326" s="242" t="str">
        <f>IF(AG326="","N/A",INDIRECT("MTR!"&amp;ADDRESS(MATCH(LEFT(AG326,9),[1]MTR!C:C,0),COLUMN(J326)),TRUE) &amp; "")</f>
        <v>#ERROR!</v>
      </c>
      <c r="AI326" s="157" t="str">
        <f t="shared" si="5"/>
        <v>#ERROR!</v>
      </c>
    </row>
    <row r="327" ht="12.75" customHeight="1">
      <c r="A327" s="244" t="s">
        <v>5158</v>
      </c>
      <c r="B327" s="244" t="s">
        <v>231</v>
      </c>
      <c r="C327" s="244" t="s">
        <v>7657</v>
      </c>
      <c r="D327" s="154" t="s">
        <v>1315</v>
      </c>
      <c r="E327" s="154"/>
      <c r="F327" s="154" t="str">
        <f t="array" ref="F327">XLOOKUP(Cover!$D$12,$R$1:$Z$1,$R327:$Z327)</f>
        <v>Information</v>
      </c>
      <c r="G327" s="154" t="s">
        <v>7658</v>
      </c>
      <c r="H327" s="154" t="s">
        <v>7311</v>
      </c>
      <c r="I327" s="154" t="s">
        <v>7655</v>
      </c>
      <c r="J327" s="154" t="s">
        <v>7656</v>
      </c>
      <c r="K327" s="154" t="s">
        <v>7305</v>
      </c>
      <c r="L327" s="154" t="s">
        <v>6884</v>
      </c>
      <c r="M327" s="154"/>
      <c r="N327" s="154" t="s">
        <v>759</v>
      </c>
      <c r="O327" s="247" t="s">
        <v>516</v>
      </c>
      <c r="P327" s="247" t="s">
        <v>6776</v>
      </c>
      <c r="Q327" s="154" t="str">
        <f t="shared" si="1"/>
        <v>#ERROR!</v>
      </c>
      <c r="R327" s="154" t="s">
        <v>66</v>
      </c>
      <c r="S327" s="154" t="s">
        <v>66</v>
      </c>
      <c r="T327" s="154" t="s">
        <v>66</v>
      </c>
      <c r="U327" s="154" t="s">
        <v>66</v>
      </c>
      <c r="V327" s="154" t="s">
        <v>66</v>
      </c>
      <c r="W327" s="154" t="s">
        <v>66</v>
      </c>
      <c r="X327" s="154" t="s">
        <v>66</v>
      </c>
      <c r="Y327" s="154" t="s">
        <v>66</v>
      </c>
      <c r="Z327" s="154" t="s">
        <v>66</v>
      </c>
      <c r="AA327" s="154"/>
      <c r="AB327" s="242" t="str">
        <f t="shared" si="2"/>
        <v>#ERROR!</v>
      </c>
      <c r="AC327" s="154" t="s">
        <v>391</v>
      </c>
      <c r="AD327" s="242" t="b">
        <f t="shared" si="3"/>
        <v>0</v>
      </c>
      <c r="AE327" s="154"/>
      <c r="AF327" s="242" t="str">
        <f t="shared" si="4"/>
        <v>#ERROR!</v>
      </c>
      <c r="AG327" s="154" t="s">
        <v>652</v>
      </c>
      <c r="AH327" s="242" t="str">
        <f>IF(AG327="","N/A",INDIRECT("MTR!"&amp;ADDRESS(MATCH(LEFT(AG327,9),[1]MTR!C:C,0),COLUMN(J327)),TRUE) &amp; "")</f>
        <v>#ERROR!</v>
      </c>
      <c r="AI327" s="157" t="str">
        <f t="shared" si="5"/>
        <v>#ERROR!</v>
      </c>
    </row>
    <row r="328" ht="12.75" customHeight="1">
      <c r="A328" s="244" t="s">
        <v>5158</v>
      </c>
      <c r="B328" s="244" t="s">
        <v>231</v>
      </c>
      <c r="C328" s="244" t="s">
        <v>7659</v>
      </c>
      <c r="D328" s="154" t="s">
        <v>1315</v>
      </c>
      <c r="E328" s="154"/>
      <c r="F328" s="154" t="str">
        <f t="array" ref="F328">XLOOKUP(Cover!$D$12,$R$1:$Z$1,$R328:$Z328)</f>
        <v>Information</v>
      </c>
      <c r="G328" s="154" t="s">
        <v>7660</v>
      </c>
      <c r="H328" s="154" t="s">
        <v>7314</v>
      </c>
      <c r="I328" s="154" t="s">
        <v>7655</v>
      </c>
      <c r="J328" s="154" t="s">
        <v>7656</v>
      </c>
      <c r="K328" s="154" t="s">
        <v>7305</v>
      </c>
      <c r="L328" s="154" t="s">
        <v>6884</v>
      </c>
      <c r="M328" s="154"/>
      <c r="N328" s="154" t="s">
        <v>759</v>
      </c>
      <c r="O328" s="247" t="s">
        <v>516</v>
      </c>
      <c r="P328" s="247" t="s">
        <v>6776</v>
      </c>
      <c r="Q328" s="154" t="str">
        <f t="shared" si="1"/>
        <v>#ERROR!</v>
      </c>
      <c r="R328" s="154" t="s">
        <v>66</v>
      </c>
      <c r="S328" s="154" t="s">
        <v>66</v>
      </c>
      <c r="T328" s="154" t="s">
        <v>66</v>
      </c>
      <c r="U328" s="154" t="s">
        <v>66</v>
      </c>
      <c r="V328" s="154" t="s">
        <v>66</v>
      </c>
      <c r="W328" s="154" t="s">
        <v>66</v>
      </c>
      <c r="X328" s="154" t="s">
        <v>66</v>
      </c>
      <c r="Y328" s="154" t="s">
        <v>66</v>
      </c>
      <c r="Z328" s="154" t="s">
        <v>66</v>
      </c>
      <c r="AA328" s="154"/>
      <c r="AB328" s="242" t="str">
        <f t="shared" si="2"/>
        <v>#ERROR!</v>
      </c>
      <c r="AC328" s="154" t="s">
        <v>391</v>
      </c>
      <c r="AD328" s="242" t="b">
        <f t="shared" si="3"/>
        <v>0</v>
      </c>
      <c r="AE328" s="154"/>
      <c r="AF328" s="242" t="str">
        <f t="shared" si="4"/>
        <v>#ERROR!</v>
      </c>
      <c r="AG328" s="154" t="s">
        <v>652</v>
      </c>
      <c r="AH328" s="242" t="str">
        <f>IF(AG328="","N/A",INDIRECT("MTR!"&amp;ADDRESS(MATCH(LEFT(AG328,9),[1]MTR!C:C,0),COLUMN(J328)),TRUE) &amp; "")</f>
        <v>#ERROR!</v>
      </c>
      <c r="AI328" s="157" t="str">
        <f t="shared" si="5"/>
        <v>#ERROR!</v>
      </c>
    </row>
    <row r="329" ht="12.75" customHeight="1">
      <c r="A329" s="244" t="s">
        <v>5158</v>
      </c>
      <c r="B329" s="244" t="s">
        <v>231</v>
      </c>
      <c r="C329" s="244" t="s">
        <v>7661</v>
      </c>
      <c r="D329" s="154" t="s">
        <v>1315</v>
      </c>
      <c r="E329" s="154"/>
      <c r="F329" s="154" t="str">
        <f t="array" ref="F329">XLOOKUP(Cover!$D$12,$R$1:$Z$1,$R329:$Z329)</f>
        <v>Information</v>
      </c>
      <c r="G329" s="154" t="s">
        <v>7662</v>
      </c>
      <c r="H329" s="154" t="s">
        <v>7323</v>
      </c>
      <c r="I329" s="154" t="s">
        <v>7655</v>
      </c>
      <c r="J329" s="154" t="s">
        <v>7656</v>
      </c>
      <c r="K329" s="154" t="s">
        <v>7305</v>
      </c>
      <c r="L329" s="154" t="s">
        <v>6884</v>
      </c>
      <c r="M329" s="154"/>
      <c r="N329" s="154" t="s">
        <v>759</v>
      </c>
      <c r="O329" s="247" t="s">
        <v>516</v>
      </c>
      <c r="P329" s="247" t="s">
        <v>6776</v>
      </c>
      <c r="Q329" s="154" t="str">
        <f t="shared" si="1"/>
        <v>#ERROR!</v>
      </c>
      <c r="R329" s="154" t="s">
        <v>66</v>
      </c>
      <c r="S329" s="154" t="s">
        <v>66</v>
      </c>
      <c r="T329" s="154" t="s">
        <v>66</v>
      </c>
      <c r="U329" s="154" t="s">
        <v>66</v>
      </c>
      <c r="V329" s="154" t="s">
        <v>66</v>
      </c>
      <c r="W329" s="154" t="s">
        <v>66</v>
      </c>
      <c r="X329" s="154" t="s">
        <v>66</v>
      </c>
      <c r="Y329" s="154" t="s">
        <v>66</v>
      </c>
      <c r="Z329" s="154" t="s">
        <v>66</v>
      </c>
      <c r="AA329" s="154"/>
      <c r="AB329" s="242" t="str">
        <f t="shared" si="2"/>
        <v>#ERROR!</v>
      </c>
      <c r="AC329" s="154" t="s">
        <v>391</v>
      </c>
      <c r="AD329" s="242" t="b">
        <f t="shared" si="3"/>
        <v>0</v>
      </c>
      <c r="AE329" s="154"/>
      <c r="AF329" s="242" t="str">
        <f t="shared" si="4"/>
        <v>#ERROR!</v>
      </c>
      <c r="AG329" s="154" t="s">
        <v>652</v>
      </c>
      <c r="AH329" s="242" t="str">
        <f>IF(AG329="","N/A",INDIRECT("MTR!"&amp;ADDRESS(MATCH(LEFT(AG329,9),[1]MTR!C:C,0),COLUMN(J329)),TRUE) &amp; "")</f>
        <v>#ERROR!</v>
      </c>
      <c r="AI329" s="157" t="str">
        <f t="shared" si="5"/>
        <v>#ERROR!</v>
      </c>
    </row>
    <row r="330" ht="12.75" customHeight="1">
      <c r="A330" s="244" t="s">
        <v>5158</v>
      </c>
      <c r="B330" s="244" t="s">
        <v>231</v>
      </c>
      <c r="C330" s="244" t="s">
        <v>7663</v>
      </c>
      <c r="D330" s="154" t="s">
        <v>781</v>
      </c>
      <c r="E330" s="154"/>
      <c r="F330" s="154" t="str">
        <f t="array" ref="F330">XLOOKUP(Cover!$D$12,$R$1:$Z$1,$R330:$Z330)</f>
        <v>Recommended</v>
      </c>
      <c r="G330" s="154" t="s">
        <v>7664</v>
      </c>
      <c r="H330" s="154" t="s">
        <v>7304</v>
      </c>
      <c r="I330" s="154" t="s">
        <v>7665</v>
      </c>
      <c r="J330" s="154" t="s">
        <v>7666</v>
      </c>
      <c r="K330" s="154" t="s">
        <v>7305</v>
      </c>
      <c r="L330" s="154" t="s">
        <v>6942</v>
      </c>
      <c r="M330" s="154"/>
      <c r="N330" s="154" t="s">
        <v>759</v>
      </c>
      <c r="O330" s="247" t="s">
        <v>516</v>
      </c>
      <c r="P330" s="247" t="s">
        <v>6776</v>
      </c>
      <c r="Q330" s="154" t="str">
        <f t="shared" si="1"/>
        <v>#ERROR!</v>
      </c>
      <c r="R330" s="154" t="s">
        <v>66</v>
      </c>
      <c r="S330" s="154" t="s">
        <v>66</v>
      </c>
      <c r="T330" s="154" t="s">
        <v>66</v>
      </c>
      <c r="U330" s="154" t="s">
        <v>66</v>
      </c>
      <c r="V330" s="154" t="s">
        <v>66</v>
      </c>
      <c r="W330" s="154" t="s">
        <v>64</v>
      </c>
      <c r="X330" s="154" t="s">
        <v>66</v>
      </c>
      <c r="Y330" s="154" t="s">
        <v>66</v>
      </c>
      <c r="Z330" s="154" t="s">
        <v>64</v>
      </c>
      <c r="AA330" s="154"/>
      <c r="AB330" s="242" t="str">
        <f t="shared" si="2"/>
        <v>#ERROR!</v>
      </c>
      <c r="AC330" s="154" t="s">
        <v>391</v>
      </c>
      <c r="AD330" s="242" t="b">
        <f t="shared" si="3"/>
        <v>0</v>
      </c>
      <c r="AE330" s="154"/>
      <c r="AF330" s="242" t="str">
        <f t="shared" si="4"/>
        <v>#ERROR!</v>
      </c>
      <c r="AG330" s="154" t="s">
        <v>652</v>
      </c>
      <c r="AH330" s="242" t="str">
        <f>IF(AG330="","N/A",INDIRECT("MTR!"&amp;ADDRESS(MATCH(LEFT(AG330,9),[1]MTR!C:C,0),COLUMN(J330)),TRUE) &amp; "")</f>
        <v>#ERROR!</v>
      </c>
      <c r="AI330" s="157" t="str">
        <f t="shared" si="5"/>
        <v>#ERROR!</v>
      </c>
    </row>
    <row r="331" ht="12.75" customHeight="1">
      <c r="A331" s="244" t="s">
        <v>5158</v>
      </c>
      <c r="B331" s="244" t="s">
        <v>231</v>
      </c>
      <c r="C331" s="244" t="s">
        <v>7667</v>
      </c>
      <c r="D331" s="154" t="s">
        <v>781</v>
      </c>
      <c r="E331" s="154"/>
      <c r="F331" s="154" t="str">
        <f t="array" ref="F331">XLOOKUP(Cover!$D$12,$R$1:$Z$1,$R331:$Z331)</f>
        <v>Information</v>
      </c>
      <c r="G331" s="154" t="s">
        <v>7668</v>
      </c>
      <c r="H331" s="154" t="s">
        <v>7314</v>
      </c>
      <c r="I331" s="154" t="s">
        <v>7665</v>
      </c>
      <c r="J331" s="154" t="s">
        <v>7666</v>
      </c>
      <c r="K331" s="154" t="s">
        <v>7305</v>
      </c>
      <c r="L331" s="154" t="s">
        <v>6942</v>
      </c>
      <c r="M331" s="154"/>
      <c r="N331" s="154" t="s">
        <v>759</v>
      </c>
      <c r="O331" s="247" t="s">
        <v>516</v>
      </c>
      <c r="P331" s="247" t="s">
        <v>6776</v>
      </c>
      <c r="Q331" s="154" t="str">
        <f t="shared" si="1"/>
        <v>#ERROR!</v>
      </c>
      <c r="R331" s="154" t="s">
        <v>66</v>
      </c>
      <c r="S331" s="154" t="s">
        <v>66</v>
      </c>
      <c r="T331" s="154" t="s">
        <v>66</v>
      </c>
      <c r="U331" s="154" t="s">
        <v>66</v>
      </c>
      <c r="V331" s="154" t="s">
        <v>66</v>
      </c>
      <c r="W331" s="154" t="s">
        <v>66</v>
      </c>
      <c r="X331" s="154" t="s">
        <v>66</v>
      </c>
      <c r="Y331" s="154" t="s">
        <v>66</v>
      </c>
      <c r="Z331" s="154" t="s">
        <v>66</v>
      </c>
      <c r="AA331" s="154"/>
      <c r="AB331" s="242" t="str">
        <f t="shared" si="2"/>
        <v>#ERROR!</v>
      </c>
      <c r="AC331" s="154" t="s">
        <v>391</v>
      </c>
      <c r="AD331" s="242" t="b">
        <f t="shared" si="3"/>
        <v>0</v>
      </c>
      <c r="AE331" s="154"/>
      <c r="AF331" s="242" t="str">
        <f t="shared" si="4"/>
        <v>#ERROR!</v>
      </c>
      <c r="AG331" s="154" t="s">
        <v>652</v>
      </c>
      <c r="AH331" s="242" t="str">
        <f>IF(AG331="","N/A",INDIRECT("MTR!"&amp;ADDRESS(MATCH(LEFT(AG331,9),[1]MTR!C:C,0),COLUMN(J331)),TRUE) &amp; "")</f>
        <v>#ERROR!</v>
      </c>
      <c r="AI331" s="157" t="str">
        <f t="shared" si="5"/>
        <v>#ERROR!</v>
      </c>
    </row>
    <row r="332" ht="12.75" customHeight="1">
      <c r="A332" s="244" t="s">
        <v>5158</v>
      </c>
      <c r="B332" s="244" t="s">
        <v>231</v>
      </c>
      <c r="C332" s="244" t="s">
        <v>7669</v>
      </c>
      <c r="D332" s="154" t="s">
        <v>781</v>
      </c>
      <c r="E332" s="154"/>
      <c r="F332" s="154" t="str">
        <f t="array" ref="F332">XLOOKUP(Cover!$D$12,$R$1:$Z$1,$R332:$Z332)</f>
        <v>Information</v>
      </c>
      <c r="G332" s="154" t="s">
        <v>7670</v>
      </c>
      <c r="H332" s="154" t="s">
        <v>7390</v>
      </c>
      <c r="I332" s="154" t="s">
        <v>7665</v>
      </c>
      <c r="J332" s="154" t="s">
        <v>7666</v>
      </c>
      <c r="K332" s="154" t="s">
        <v>7305</v>
      </c>
      <c r="L332" s="154" t="s">
        <v>6942</v>
      </c>
      <c r="M332" s="154"/>
      <c r="N332" s="154" t="s">
        <v>759</v>
      </c>
      <c r="O332" s="247" t="s">
        <v>516</v>
      </c>
      <c r="P332" s="247" t="s">
        <v>6776</v>
      </c>
      <c r="Q332" s="154" t="str">
        <f t="shared" si="1"/>
        <v>#ERROR!</v>
      </c>
      <c r="R332" s="154" t="s">
        <v>66</v>
      </c>
      <c r="S332" s="154" t="s">
        <v>66</v>
      </c>
      <c r="T332" s="154" t="s">
        <v>66</v>
      </c>
      <c r="U332" s="154" t="s">
        <v>66</v>
      </c>
      <c r="V332" s="154" t="s">
        <v>66</v>
      </c>
      <c r="W332" s="154" t="s">
        <v>66</v>
      </c>
      <c r="X332" s="154" t="s">
        <v>66</v>
      </c>
      <c r="Y332" s="154" t="s">
        <v>66</v>
      </c>
      <c r="Z332" s="154" t="s">
        <v>66</v>
      </c>
      <c r="AA332" s="154"/>
      <c r="AB332" s="242" t="str">
        <f t="shared" si="2"/>
        <v>#ERROR!</v>
      </c>
      <c r="AC332" s="154" t="s">
        <v>391</v>
      </c>
      <c r="AD332" s="242" t="b">
        <f t="shared" si="3"/>
        <v>0</v>
      </c>
      <c r="AE332" s="154"/>
      <c r="AF332" s="242" t="str">
        <f t="shared" si="4"/>
        <v>#ERROR!</v>
      </c>
      <c r="AG332" s="154" t="s">
        <v>652</v>
      </c>
      <c r="AH332" s="242" t="str">
        <f>IF(AG332="","N/A",INDIRECT("MTR!"&amp;ADDRESS(MATCH(LEFT(AG332,9),[1]MTR!C:C,0),COLUMN(J332)),TRUE) &amp; "")</f>
        <v>#ERROR!</v>
      </c>
      <c r="AI332" s="157" t="str">
        <f t="shared" si="5"/>
        <v>#ERROR!</v>
      </c>
    </row>
    <row r="333" ht="12.75" customHeight="1">
      <c r="A333" s="244" t="s">
        <v>5158</v>
      </c>
      <c r="B333" s="244" t="s">
        <v>231</v>
      </c>
      <c r="C333" s="244" t="s">
        <v>7671</v>
      </c>
      <c r="D333" s="154" t="s">
        <v>781</v>
      </c>
      <c r="E333" s="154"/>
      <c r="F333" s="154" t="str">
        <f t="array" ref="F333">XLOOKUP(Cover!$D$12,$R$1:$Z$1,$R333:$Z333)</f>
        <v>Recommended</v>
      </c>
      <c r="G333" s="154" t="s">
        <v>7672</v>
      </c>
      <c r="H333" s="154" t="s">
        <v>7320</v>
      </c>
      <c r="I333" s="154" t="s">
        <v>7665</v>
      </c>
      <c r="J333" s="154" t="s">
        <v>7666</v>
      </c>
      <c r="K333" s="154" t="s">
        <v>7305</v>
      </c>
      <c r="L333" s="154" t="s">
        <v>6942</v>
      </c>
      <c r="M333" s="154"/>
      <c r="N333" s="154" t="s">
        <v>759</v>
      </c>
      <c r="O333" s="247" t="s">
        <v>516</v>
      </c>
      <c r="P333" s="247" t="s">
        <v>6776</v>
      </c>
      <c r="Q333" s="154" t="str">
        <f t="shared" si="1"/>
        <v>#ERROR!</v>
      </c>
      <c r="R333" s="154" t="s">
        <v>66</v>
      </c>
      <c r="S333" s="154" t="s">
        <v>66</v>
      </c>
      <c r="T333" s="154" t="s">
        <v>66</v>
      </c>
      <c r="U333" s="154" t="s">
        <v>66</v>
      </c>
      <c r="V333" s="154" t="s">
        <v>66</v>
      </c>
      <c r="W333" s="154" t="s">
        <v>64</v>
      </c>
      <c r="X333" s="154" t="s">
        <v>66</v>
      </c>
      <c r="Y333" s="154" t="s">
        <v>66</v>
      </c>
      <c r="Z333" s="154" t="s">
        <v>64</v>
      </c>
      <c r="AA333" s="154"/>
      <c r="AB333" s="242" t="str">
        <f t="shared" si="2"/>
        <v>#ERROR!</v>
      </c>
      <c r="AC333" s="154" t="s">
        <v>391</v>
      </c>
      <c r="AD333" s="242" t="b">
        <f t="shared" si="3"/>
        <v>0</v>
      </c>
      <c r="AE333" s="154"/>
      <c r="AF333" s="242" t="str">
        <f t="shared" si="4"/>
        <v>#ERROR!</v>
      </c>
      <c r="AG333" s="154" t="s">
        <v>652</v>
      </c>
      <c r="AH333" s="242" t="str">
        <f>IF(AG333="","N/A",INDIRECT("MTR!"&amp;ADDRESS(MATCH(LEFT(AG333,9),[1]MTR!C:C,0),COLUMN(J333)),TRUE) &amp; "")</f>
        <v>#ERROR!</v>
      </c>
      <c r="AI333" s="157" t="str">
        <f t="shared" si="5"/>
        <v>#ERROR!</v>
      </c>
    </row>
    <row r="334" ht="12.75" customHeight="1">
      <c r="A334" s="244" t="s">
        <v>5158</v>
      </c>
      <c r="B334" s="244" t="s">
        <v>231</v>
      </c>
      <c r="C334" s="244" t="s">
        <v>7673</v>
      </c>
      <c r="D334" s="154" t="s">
        <v>1315</v>
      </c>
      <c r="E334" s="154"/>
      <c r="F334" s="154" t="str">
        <f t="array" ref="F334">XLOOKUP(Cover!$D$12,$R$1:$Z$1,$R334:$Z334)</f>
        <v>Information</v>
      </c>
      <c r="G334" s="154" t="s">
        <v>7674</v>
      </c>
      <c r="H334" s="154" t="s">
        <v>7304</v>
      </c>
      <c r="I334" s="154" t="s">
        <v>7675</v>
      </c>
      <c r="J334" s="154" t="s">
        <v>7676</v>
      </c>
      <c r="K334" s="154" t="s">
        <v>7305</v>
      </c>
      <c r="L334" s="154" t="s">
        <v>6884</v>
      </c>
      <c r="M334" s="154"/>
      <c r="N334" s="154" t="s">
        <v>759</v>
      </c>
      <c r="O334" s="247" t="s">
        <v>516</v>
      </c>
      <c r="P334" s="247" t="s">
        <v>6776</v>
      </c>
      <c r="Q334" s="154" t="str">
        <f t="shared" si="1"/>
        <v>#ERROR!</v>
      </c>
      <c r="R334" s="154" t="s">
        <v>66</v>
      </c>
      <c r="S334" s="154" t="s">
        <v>66</v>
      </c>
      <c r="T334" s="154" t="s">
        <v>66</v>
      </c>
      <c r="U334" s="154" t="s">
        <v>66</v>
      </c>
      <c r="V334" s="154" t="s">
        <v>66</v>
      </c>
      <c r="W334" s="154" t="s">
        <v>66</v>
      </c>
      <c r="X334" s="154" t="s">
        <v>66</v>
      </c>
      <c r="Y334" s="154" t="s">
        <v>66</v>
      </c>
      <c r="Z334" s="154" t="s">
        <v>66</v>
      </c>
      <c r="AA334" s="154"/>
      <c r="AB334" s="242" t="str">
        <f t="shared" si="2"/>
        <v>#ERROR!</v>
      </c>
      <c r="AC334" s="154" t="s">
        <v>391</v>
      </c>
      <c r="AD334" s="242" t="b">
        <f t="shared" si="3"/>
        <v>0</v>
      </c>
      <c r="AE334" s="154"/>
      <c r="AF334" s="242" t="str">
        <f t="shared" si="4"/>
        <v>#ERROR!</v>
      </c>
      <c r="AG334" s="154" t="s">
        <v>652</v>
      </c>
      <c r="AH334" s="242" t="str">
        <f>IF(AG334="","N/A",INDIRECT("MTR!"&amp;ADDRESS(MATCH(LEFT(AG334,9),[1]MTR!C:C,0),COLUMN(J334)),TRUE) &amp; "")</f>
        <v>#ERROR!</v>
      </c>
      <c r="AI334" s="157" t="str">
        <f t="shared" si="5"/>
        <v>#ERROR!</v>
      </c>
    </row>
    <row r="335" ht="12.75" customHeight="1">
      <c r="A335" s="244" t="s">
        <v>5158</v>
      </c>
      <c r="B335" s="244" t="s">
        <v>231</v>
      </c>
      <c r="C335" s="244" t="s">
        <v>7677</v>
      </c>
      <c r="D335" s="154" t="s">
        <v>1315</v>
      </c>
      <c r="E335" s="154"/>
      <c r="F335" s="154" t="str">
        <f t="array" ref="F335">XLOOKUP(Cover!$D$12,$R$1:$Z$1,$R335:$Z335)</f>
        <v>Information</v>
      </c>
      <c r="G335" s="154" t="s">
        <v>7678</v>
      </c>
      <c r="H335" s="154" t="s">
        <v>7314</v>
      </c>
      <c r="I335" s="154" t="s">
        <v>7675</v>
      </c>
      <c r="J335" s="154" t="s">
        <v>7676</v>
      </c>
      <c r="K335" s="154" t="s">
        <v>7305</v>
      </c>
      <c r="L335" s="154" t="s">
        <v>6884</v>
      </c>
      <c r="M335" s="154"/>
      <c r="N335" s="154" t="s">
        <v>759</v>
      </c>
      <c r="O335" s="247" t="s">
        <v>516</v>
      </c>
      <c r="P335" s="247" t="s">
        <v>6776</v>
      </c>
      <c r="Q335" s="154" t="str">
        <f t="shared" si="1"/>
        <v>#ERROR!</v>
      </c>
      <c r="R335" s="154" t="s">
        <v>66</v>
      </c>
      <c r="S335" s="154" t="s">
        <v>66</v>
      </c>
      <c r="T335" s="154" t="s">
        <v>66</v>
      </c>
      <c r="U335" s="154" t="s">
        <v>66</v>
      </c>
      <c r="V335" s="154" t="s">
        <v>66</v>
      </c>
      <c r="W335" s="154" t="s">
        <v>66</v>
      </c>
      <c r="X335" s="154" t="s">
        <v>66</v>
      </c>
      <c r="Y335" s="154" t="s">
        <v>66</v>
      </c>
      <c r="Z335" s="154" t="s">
        <v>66</v>
      </c>
      <c r="AA335" s="154"/>
      <c r="AB335" s="242" t="str">
        <f t="shared" si="2"/>
        <v>#ERROR!</v>
      </c>
      <c r="AC335" s="154" t="s">
        <v>391</v>
      </c>
      <c r="AD335" s="242" t="b">
        <f t="shared" si="3"/>
        <v>0</v>
      </c>
      <c r="AE335" s="154"/>
      <c r="AF335" s="242" t="str">
        <f t="shared" si="4"/>
        <v>#ERROR!</v>
      </c>
      <c r="AG335" s="154" t="s">
        <v>652</v>
      </c>
      <c r="AH335" s="242" t="str">
        <f>IF(AG335="","N/A",INDIRECT("MTR!"&amp;ADDRESS(MATCH(LEFT(AG335,9),[1]MTR!C:C,0),COLUMN(J335)),TRUE) &amp; "")</f>
        <v>#ERROR!</v>
      </c>
      <c r="AI335" s="157" t="str">
        <f t="shared" si="5"/>
        <v>#ERROR!</v>
      </c>
    </row>
    <row r="336" ht="12.75" customHeight="1">
      <c r="A336" s="244" t="s">
        <v>5158</v>
      </c>
      <c r="B336" s="244" t="s">
        <v>231</v>
      </c>
      <c r="C336" s="244" t="s">
        <v>7679</v>
      </c>
      <c r="D336" s="154" t="s">
        <v>1315</v>
      </c>
      <c r="E336" s="154"/>
      <c r="F336" s="154" t="str">
        <f t="array" ref="F336">XLOOKUP(Cover!$D$12,$R$1:$Z$1,$R336:$Z336)</f>
        <v>Information</v>
      </c>
      <c r="G336" s="154" t="s">
        <v>7680</v>
      </c>
      <c r="H336" s="154" t="s">
        <v>7390</v>
      </c>
      <c r="I336" s="154" t="s">
        <v>7675</v>
      </c>
      <c r="J336" s="154" t="s">
        <v>7676</v>
      </c>
      <c r="K336" s="154" t="s">
        <v>7305</v>
      </c>
      <c r="L336" s="154" t="s">
        <v>6884</v>
      </c>
      <c r="M336" s="154"/>
      <c r="N336" s="154" t="s">
        <v>759</v>
      </c>
      <c r="O336" s="247" t="s">
        <v>516</v>
      </c>
      <c r="P336" s="247" t="s">
        <v>6776</v>
      </c>
      <c r="Q336" s="154" t="str">
        <f t="shared" si="1"/>
        <v>#ERROR!</v>
      </c>
      <c r="R336" s="154" t="s">
        <v>66</v>
      </c>
      <c r="S336" s="154" t="s">
        <v>66</v>
      </c>
      <c r="T336" s="154" t="s">
        <v>66</v>
      </c>
      <c r="U336" s="154" t="s">
        <v>66</v>
      </c>
      <c r="V336" s="154" t="s">
        <v>66</v>
      </c>
      <c r="W336" s="154" t="s">
        <v>66</v>
      </c>
      <c r="X336" s="154" t="s">
        <v>66</v>
      </c>
      <c r="Y336" s="154" t="s">
        <v>66</v>
      </c>
      <c r="Z336" s="154" t="s">
        <v>66</v>
      </c>
      <c r="AA336" s="154"/>
      <c r="AB336" s="242" t="str">
        <f t="shared" si="2"/>
        <v>#ERROR!</v>
      </c>
      <c r="AC336" s="154" t="s">
        <v>391</v>
      </c>
      <c r="AD336" s="242" t="b">
        <f t="shared" si="3"/>
        <v>0</v>
      </c>
      <c r="AE336" s="154"/>
      <c r="AF336" s="242" t="str">
        <f t="shared" si="4"/>
        <v>#ERROR!</v>
      </c>
      <c r="AG336" s="154" t="s">
        <v>652</v>
      </c>
      <c r="AH336" s="242" t="str">
        <f>IF(AG336="","N/A",INDIRECT("MTR!"&amp;ADDRESS(MATCH(LEFT(AG336,9),[1]MTR!C:C,0),COLUMN(J336)),TRUE) &amp; "")</f>
        <v>#ERROR!</v>
      </c>
      <c r="AI336" s="157" t="str">
        <f t="shared" si="5"/>
        <v>#ERROR!</v>
      </c>
    </row>
    <row r="337" ht="12.75" customHeight="1">
      <c r="A337" s="244" t="s">
        <v>5158</v>
      </c>
      <c r="B337" s="244" t="s">
        <v>231</v>
      </c>
      <c r="C337" s="244" t="s">
        <v>7681</v>
      </c>
      <c r="D337" s="154" t="s">
        <v>1315</v>
      </c>
      <c r="E337" s="154"/>
      <c r="F337" s="154" t="str">
        <f t="array" ref="F337">XLOOKUP(Cover!$D$12,$R$1:$Z$1,$R337:$Z337)</f>
        <v>Information</v>
      </c>
      <c r="G337" s="154" t="s">
        <v>7682</v>
      </c>
      <c r="H337" s="154" t="s">
        <v>7323</v>
      </c>
      <c r="I337" s="154" t="s">
        <v>7675</v>
      </c>
      <c r="J337" s="154" t="s">
        <v>7676</v>
      </c>
      <c r="K337" s="154" t="s">
        <v>7305</v>
      </c>
      <c r="L337" s="154" t="s">
        <v>6884</v>
      </c>
      <c r="M337" s="154"/>
      <c r="N337" s="154" t="s">
        <v>759</v>
      </c>
      <c r="O337" s="247" t="s">
        <v>516</v>
      </c>
      <c r="P337" s="247" t="s">
        <v>6776</v>
      </c>
      <c r="Q337" s="154" t="str">
        <f t="shared" si="1"/>
        <v>#ERROR!</v>
      </c>
      <c r="R337" s="154" t="s">
        <v>66</v>
      </c>
      <c r="S337" s="154" t="s">
        <v>66</v>
      </c>
      <c r="T337" s="154" t="s">
        <v>66</v>
      </c>
      <c r="U337" s="154" t="s">
        <v>66</v>
      </c>
      <c r="V337" s="154" t="s">
        <v>66</v>
      </c>
      <c r="W337" s="154" t="s">
        <v>66</v>
      </c>
      <c r="X337" s="154" t="s">
        <v>66</v>
      </c>
      <c r="Y337" s="154" t="s">
        <v>66</v>
      </c>
      <c r="Z337" s="154" t="s">
        <v>66</v>
      </c>
      <c r="AA337" s="154"/>
      <c r="AB337" s="242" t="str">
        <f t="shared" si="2"/>
        <v>#ERROR!</v>
      </c>
      <c r="AC337" s="154" t="s">
        <v>391</v>
      </c>
      <c r="AD337" s="242" t="b">
        <f t="shared" si="3"/>
        <v>0</v>
      </c>
      <c r="AE337" s="154"/>
      <c r="AF337" s="242" t="str">
        <f t="shared" si="4"/>
        <v>#ERROR!</v>
      </c>
      <c r="AG337" s="154" t="s">
        <v>652</v>
      </c>
      <c r="AH337" s="242" t="str">
        <f>IF(AG337="","N/A",INDIRECT("MTR!"&amp;ADDRESS(MATCH(LEFT(AG337,9),[1]MTR!C:C,0),COLUMN(J337)),TRUE) &amp; "")</f>
        <v>#ERROR!</v>
      </c>
      <c r="AI337" s="157" t="str">
        <f t="shared" si="5"/>
        <v>#ERROR!</v>
      </c>
    </row>
    <row r="338" ht="12.75" customHeight="1">
      <c r="A338" s="244" t="s">
        <v>5158</v>
      </c>
      <c r="B338" s="244" t="s">
        <v>231</v>
      </c>
      <c r="C338" s="244" t="s">
        <v>7683</v>
      </c>
      <c r="D338" s="154" t="s">
        <v>1069</v>
      </c>
      <c r="E338" s="154"/>
      <c r="F338" s="154" t="str">
        <f t="array" ref="F338">XLOOKUP(Cover!$D$12,$R$1:$Z$1,$R338:$Z338)</f>
        <v>Information</v>
      </c>
      <c r="G338" s="154" t="s">
        <v>7684</v>
      </c>
      <c r="H338" s="154" t="s">
        <v>7304</v>
      </c>
      <c r="I338" s="154" t="s">
        <v>7685</v>
      </c>
      <c r="J338" s="154" t="s">
        <v>7686</v>
      </c>
      <c r="K338" s="154" t="s">
        <v>7305</v>
      </c>
      <c r="L338" s="154" t="s">
        <v>6154</v>
      </c>
      <c r="M338" s="154"/>
      <c r="N338" s="154" t="s">
        <v>759</v>
      </c>
      <c r="O338" s="247" t="s">
        <v>516</v>
      </c>
      <c r="P338" s="247" t="s">
        <v>6776</v>
      </c>
      <c r="Q338" s="154" t="str">
        <f t="shared" si="1"/>
        <v>#ERROR!</v>
      </c>
      <c r="R338" s="154" t="s">
        <v>66</v>
      </c>
      <c r="S338" s="154" t="s">
        <v>66</v>
      </c>
      <c r="T338" s="154" t="s">
        <v>66</v>
      </c>
      <c r="U338" s="154" t="s">
        <v>66</v>
      </c>
      <c r="V338" s="154" t="s">
        <v>66</v>
      </c>
      <c r="W338" s="154" t="s">
        <v>66</v>
      </c>
      <c r="X338" s="154" t="s">
        <v>66</v>
      </c>
      <c r="Y338" s="154" t="s">
        <v>66</v>
      </c>
      <c r="Z338" s="154" t="s">
        <v>66</v>
      </c>
      <c r="AA338" s="154"/>
      <c r="AB338" s="242" t="str">
        <f t="shared" si="2"/>
        <v>#ERROR!</v>
      </c>
      <c r="AC338" s="154" t="s">
        <v>391</v>
      </c>
      <c r="AD338" s="242" t="b">
        <f t="shared" si="3"/>
        <v>0</v>
      </c>
      <c r="AE338" s="154"/>
      <c r="AF338" s="242" t="str">
        <f t="shared" si="4"/>
        <v>#ERROR!</v>
      </c>
      <c r="AG338" s="154" t="s">
        <v>652</v>
      </c>
      <c r="AH338" s="242" t="str">
        <f>IF(AG338="","N/A",INDIRECT("MTR!"&amp;ADDRESS(MATCH(LEFT(AG338,9),[1]MTR!C:C,0),COLUMN(J338)),TRUE) &amp; "")</f>
        <v>#ERROR!</v>
      </c>
      <c r="AI338" s="157" t="str">
        <f t="shared" si="5"/>
        <v>#ERROR!</v>
      </c>
    </row>
    <row r="339" ht="12.75" customHeight="1">
      <c r="A339" s="244" t="s">
        <v>5158</v>
      </c>
      <c r="B339" s="244" t="s">
        <v>231</v>
      </c>
      <c r="C339" s="244" t="s">
        <v>7687</v>
      </c>
      <c r="D339" s="154" t="s">
        <v>1069</v>
      </c>
      <c r="E339" s="154"/>
      <c r="F339" s="154" t="str">
        <f t="array" ref="F339">XLOOKUP(Cover!$D$12,$R$1:$Z$1,$R339:$Z339)</f>
        <v>Information</v>
      </c>
      <c r="G339" s="154" t="s">
        <v>7688</v>
      </c>
      <c r="H339" s="154" t="s">
        <v>7314</v>
      </c>
      <c r="I339" s="154" t="s">
        <v>7685</v>
      </c>
      <c r="J339" s="154" t="s">
        <v>7686</v>
      </c>
      <c r="K339" s="154" t="s">
        <v>7305</v>
      </c>
      <c r="L339" s="154" t="s">
        <v>6154</v>
      </c>
      <c r="M339" s="154"/>
      <c r="N339" s="154" t="s">
        <v>759</v>
      </c>
      <c r="O339" s="247" t="s">
        <v>516</v>
      </c>
      <c r="P339" s="247" t="s">
        <v>6776</v>
      </c>
      <c r="Q339" s="154" t="str">
        <f t="shared" si="1"/>
        <v>#ERROR!</v>
      </c>
      <c r="R339" s="154" t="s">
        <v>66</v>
      </c>
      <c r="S339" s="154" t="s">
        <v>66</v>
      </c>
      <c r="T339" s="154" t="s">
        <v>66</v>
      </c>
      <c r="U339" s="154" t="s">
        <v>66</v>
      </c>
      <c r="V339" s="154" t="s">
        <v>66</v>
      </c>
      <c r="W339" s="154" t="s">
        <v>66</v>
      </c>
      <c r="X339" s="154" t="s">
        <v>66</v>
      </c>
      <c r="Y339" s="154" t="s">
        <v>66</v>
      </c>
      <c r="Z339" s="154" t="s">
        <v>66</v>
      </c>
      <c r="AA339" s="154"/>
      <c r="AB339" s="242" t="str">
        <f t="shared" si="2"/>
        <v>#ERROR!</v>
      </c>
      <c r="AC339" s="154" t="s">
        <v>391</v>
      </c>
      <c r="AD339" s="242" t="b">
        <f t="shared" si="3"/>
        <v>0</v>
      </c>
      <c r="AE339" s="154"/>
      <c r="AF339" s="242" t="str">
        <f t="shared" si="4"/>
        <v>#ERROR!</v>
      </c>
      <c r="AG339" s="154" t="s">
        <v>652</v>
      </c>
      <c r="AH339" s="242" t="str">
        <f>IF(AG339="","N/A",INDIRECT("MTR!"&amp;ADDRESS(MATCH(LEFT(AG339,9),[1]MTR!C:C,0),COLUMN(J339)),TRUE) &amp; "")</f>
        <v>#ERROR!</v>
      </c>
      <c r="AI339" s="157" t="str">
        <f t="shared" si="5"/>
        <v>#ERROR!</v>
      </c>
    </row>
    <row r="340" ht="12.75" customHeight="1">
      <c r="A340" s="244" t="s">
        <v>5158</v>
      </c>
      <c r="B340" s="244" t="s">
        <v>231</v>
      </c>
      <c r="C340" s="244" t="s">
        <v>7689</v>
      </c>
      <c r="D340" s="154" t="s">
        <v>1315</v>
      </c>
      <c r="E340" s="154"/>
      <c r="F340" s="154" t="str">
        <f t="array" ref="F340">XLOOKUP(Cover!$D$12,$R$1:$Z$1,$R340:$Z340)</f>
        <v>Recommended</v>
      </c>
      <c r="G340" s="154" t="s">
        <v>7690</v>
      </c>
      <c r="H340" s="154" t="s">
        <v>7304</v>
      </c>
      <c r="I340" s="154" t="s">
        <v>7691</v>
      </c>
      <c r="J340" s="154" t="s">
        <v>7692</v>
      </c>
      <c r="K340" s="154" t="s">
        <v>7305</v>
      </c>
      <c r="L340" s="154" t="s">
        <v>6905</v>
      </c>
      <c r="M340" s="154"/>
      <c r="N340" s="154" t="s">
        <v>759</v>
      </c>
      <c r="O340" s="247" t="s">
        <v>516</v>
      </c>
      <c r="P340" s="247" t="s">
        <v>6776</v>
      </c>
      <c r="Q340" s="154" t="str">
        <f t="shared" si="1"/>
        <v>#ERROR!</v>
      </c>
      <c r="R340" s="154" t="s">
        <v>66</v>
      </c>
      <c r="S340" s="154" t="s">
        <v>66</v>
      </c>
      <c r="T340" s="154" t="s">
        <v>66</v>
      </c>
      <c r="U340" s="154" t="s">
        <v>66</v>
      </c>
      <c r="V340" s="154" t="s">
        <v>66</v>
      </c>
      <c r="W340" s="154" t="s">
        <v>64</v>
      </c>
      <c r="X340" s="154" t="s">
        <v>66</v>
      </c>
      <c r="Y340" s="154" t="s">
        <v>66</v>
      </c>
      <c r="Z340" s="154" t="s">
        <v>64</v>
      </c>
      <c r="AA340" s="154"/>
      <c r="AB340" s="242" t="str">
        <f t="shared" si="2"/>
        <v>#ERROR!</v>
      </c>
      <c r="AC340" s="154" t="s">
        <v>391</v>
      </c>
      <c r="AD340" s="242" t="b">
        <f t="shared" si="3"/>
        <v>0</v>
      </c>
      <c r="AE340" s="154"/>
      <c r="AF340" s="242" t="str">
        <f t="shared" si="4"/>
        <v>#ERROR!</v>
      </c>
      <c r="AG340" s="154" t="s">
        <v>652</v>
      </c>
      <c r="AH340" s="242" t="str">
        <f>IF(AG340="","N/A",INDIRECT("MTR!"&amp;ADDRESS(MATCH(LEFT(AG340,9),[1]MTR!C:C,0),COLUMN(J340)),TRUE) &amp; "")</f>
        <v>#ERROR!</v>
      </c>
      <c r="AI340" s="157" t="str">
        <f t="shared" si="5"/>
        <v>#ERROR!</v>
      </c>
    </row>
    <row r="341" ht="12.75" customHeight="1">
      <c r="A341" s="244" t="s">
        <v>5158</v>
      </c>
      <c r="B341" s="244" t="s">
        <v>231</v>
      </c>
      <c r="C341" s="245" t="s">
        <v>7693</v>
      </c>
      <c r="D341" s="155" t="s">
        <v>1315</v>
      </c>
      <c r="E341" s="155" t="s">
        <v>92</v>
      </c>
      <c r="F341" s="154" t="str">
        <f t="array" ref="F341">XLOOKUP(Cover!$D$12,$R$1:$Z$1,$R341:$Z341)</f>
        <v>Recommended</v>
      </c>
      <c r="G341" s="154" t="s">
        <v>7694</v>
      </c>
      <c r="H341" s="154" t="s">
        <v>7314</v>
      </c>
      <c r="I341" s="154" t="s">
        <v>7691</v>
      </c>
      <c r="J341" s="154" t="s">
        <v>7692</v>
      </c>
      <c r="K341" s="154" t="s">
        <v>7305</v>
      </c>
      <c r="L341" s="154" t="s">
        <v>6905</v>
      </c>
      <c r="M341" s="154"/>
      <c r="N341" s="154" t="s">
        <v>759</v>
      </c>
      <c r="O341" s="247" t="s">
        <v>516</v>
      </c>
      <c r="P341" s="247" t="s">
        <v>6776</v>
      </c>
      <c r="Q341" s="154" t="str">
        <f t="shared" si="1"/>
        <v>#ERROR!</v>
      </c>
      <c r="R341" s="154" t="s">
        <v>66</v>
      </c>
      <c r="S341" s="154" t="s">
        <v>66</v>
      </c>
      <c r="T341" s="154" t="s">
        <v>66</v>
      </c>
      <c r="U341" s="154" t="s">
        <v>66</v>
      </c>
      <c r="V341" s="154" t="s">
        <v>66</v>
      </c>
      <c r="W341" s="154" t="s">
        <v>64</v>
      </c>
      <c r="X341" s="154" t="s">
        <v>66</v>
      </c>
      <c r="Y341" s="154" t="s">
        <v>66</v>
      </c>
      <c r="Z341" s="154" t="s">
        <v>64</v>
      </c>
      <c r="AA341" s="154"/>
      <c r="AB341" s="242" t="str">
        <f t="shared" si="2"/>
        <v>#ERROR!</v>
      </c>
      <c r="AC341" s="154" t="s">
        <v>391</v>
      </c>
      <c r="AD341" s="242" t="b">
        <f t="shared" si="3"/>
        <v>0</v>
      </c>
      <c r="AE341" s="154"/>
      <c r="AF341" s="242" t="str">
        <f t="shared" si="4"/>
        <v>#ERROR!</v>
      </c>
      <c r="AG341" s="154" t="s">
        <v>652</v>
      </c>
      <c r="AH341" s="242" t="str">
        <f>IF(AG341="","N/A",INDIRECT("MTR!"&amp;ADDRESS(MATCH(LEFT(AG341,9),[1]MTR!C:C,0),COLUMN(J341)),TRUE) &amp; "")</f>
        <v>#ERROR!</v>
      </c>
      <c r="AI341" s="157" t="str">
        <f t="shared" si="5"/>
        <v>#ERROR!</v>
      </c>
    </row>
    <row r="342" ht="12.75" customHeight="1">
      <c r="A342" s="244" t="s">
        <v>5158</v>
      </c>
      <c r="B342" s="244" t="s">
        <v>231</v>
      </c>
      <c r="C342" s="244" t="s">
        <v>7695</v>
      </c>
      <c r="D342" s="154" t="s">
        <v>1315</v>
      </c>
      <c r="E342" s="154"/>
      <c r="F342" s="154" t="str">
        <f t="array" ref="F342">XLOOKUP(Cover!$D$12,$R$1:$Z$1,$R342:$Z342)</f>
        <v>Recommended</v>
      </c>
      <c r="G342" s="154" t="s">
        <v>7696</v>
      </c>
      <c r="H342" s="154" t="s">
        <v>7317</v>
      </c>
      <c r="I342" s="154" t="s">
        <v>7691</v>
      </c>
      <c r="J342" s="154" t="s">
        <v>7692</v>
      </c>
      <c r="K342" s="154" t="s">
        <v>7305</v>
      </c>
      <c r="L342" s="154" t="s">
        <v>6905</v>
      </c>
      <c r="M342" s="154"/>
      <c r="N342" s="154" t="s">
        <v>759</v>
      </c>
      <c r="O342" s="247" t="s">
        <v>516</v>
      </c>
      <c r="P342" s="247" t="s">
        <v>6776</v>
      </c>
      <c r="Q342" s="154" t="str">
        <f t="shared" si="1"/>
        <v>#ERROR!</v>
      </c>
      <c r="R342" s="154" t="s">
        <v>66</v>
      </c>
      <c r="S342" s="154" t="s">
        <v>66</v>
      </c>
      <c r="T342" s="154" t="s">
        <v>66</v>
      </c>
      <c r="U342" s="154" t="s">
        <v>66</v>
      </c>
      <c r="V342" s="154" t="s">
        <v>66</v>
      </c>
      <c r="W342" s="154" t="s">
        <v>64</v>
      </c>
      <c r="X342" s="154" t="s">
        <v>66</v>
      </c>
      <c r="Y342" s="154" t="s">
        <v>66</v>
      </c>
      <c r="Z342" s="154" t="s">
        <v>64</v>
      </c>
      <c r="AA342" s="154"/>
      <c r="AB342" s="242" t="str">
        <f t="shared" si="2"/>
        <v>#ERROR!</v>
      </c>
      <c r="AC342" s="154" t="s">
        <v>391</v>
      </c>
      <c r="AD342" s="242" t="b">
        <f t="shared" si="3"/>
        <v>0</v>
      </c>
      <c r="AE342" s="154"/>
      <c r="AF342" s="242" t="str">
        <f t="shared" si="4"/>
        <v>#ERROR!</v>
      </c>
      <c r="AG342" s="154" t="s">
        <v>652</v>
      </c>
      <c r="AH342" s="242" t="str">
        <f>IF(AG342="","N/A",INDIRECT("MTR!"&amp;ADDRESS(MATCH(LEFT(AG342,9),[1]MTR!C:C,0),COLUMN(J342)),TRUE) &amp; "")</f>
        <v>#ERROR!</v>
      </c>
      <c r="AI342" s="157" t="str">
        <f t="shared" si="5"/>
        <v>#ERROR!</v>
      </c>
    </row>
    <row r="343" ht="12.75" customHeight="1">
      <c r="A343" s="244" t="s">
        <v>5158</v>
      </c>
      <c r="B343" s="244" t="s">
        <v>231</v>
      </c>
      <c r="C343" s="244" t="s">
        <v>7697</v>
      </c>
      <c r="D343" s="154" t="s">
        <v>1315</v>
      </c>
      <c r="E343" s="154"/>
      <c r="F343" s="154" t="str">
        <f t="array" ref="F343">XLOOKUP(Cover!$D$12,$R$1:$Z$1,$R343:$Z343)</f>
        <v>Recommended</v>
      </c>
      <c r="G343" s="154" t="s">
        <v>7698</v>
      </c>
      <c r="H343" s="154" t="s">
        <v>7320</v>
      </c>
      <c r="I343" s="154" t="s">
        <v>7691</v>
      </c>
      <c r="J343" s="154" t="s">
        <v>7692</v>
      </c>
      <c r="K343" s="154" t="s">
        <v>7305</v>
      </c>
      <c r="L343" s="154" t="s">
        <v>6905</v>
      </c>
      <c r="M343" s="154"/>
      <c r="N343" s="154" t="s">
        <v>759</v>
      </c>
      <c r="O343" s="247" t="s">
        <v>516</v>
      </c>
      <c r="P343" s="247" t="s">
        <v>6776</v>
      </c>
      <c r="Q343" s="154" t="str">
        <f t="shared" si="1"/>
        <v>#ERROR!</v>
      </c>
      <c r="R343" s="154" t="s">
        <v>66</v>
      </c>
      <c r="S343" s="154" t="s">
        <v>66</v>
      </c>
      <c r="T343" s="154" t="s">
        <v>66</v>
      </c>
      <c r="U343" s="154" t="s">
        <v>66</v>
      </c>
      <c r="V343" s="154" t="s">
        <v>66</v>
      </c>
      <c r="W343" s="154" t="s">
        <v>64</v>
      </c>
      <c r="X343" s="154" t="s">
        <v>66</v>
      </c>
      <c r="Y343" s="154" t="s">
        <v>66</v>
      </c>
      <c r="Z343" s="154" t="s">
        <v>64</v>
      </c>
      <c r="AA343" s="154"/>
      <c r="AB343" s="242" t="str">
        <f t="shared" si="2"/>
        <v>#ERROR!</v>
      </c>
      <c r="AC343" s="154" t="s">
        <v>391</v>
      </c>
      <c r="AD343" s="242" t="b">
        <f t="shared" si="3"/>
        <v>0</v>
      </c>
      <c r="AE343" s="154"/>
      <c r="AF343" s="242" t="str">
        <f t="shared" si="4"/>
        <v>#ERROR!</v>
      </c>
      <c r="AG343" s="154" t="s">
        <v>652</v>
      </c>
      <c r="AH343" s="242" t="str">
        <f>IF(AG343="","N/A",INDIRECT("MTR!"&amp;ADDRESS(MATCH(LEFT(AG343,9),[1]MTR!C:C,0),COLUMN(J343)),TRUE) &amp; "")</f>
        <v>#ERROR!</v>
      </c>
      <c r="AI343" s="157" t="str">
        <f t="shared" si="5"/>
        <v>#ERROR!</v>
      </c>
    </row>
    <row r="344" ht="12.75" customHeight="1">
      <c r="A344" s="244" t="s">
        <v>5158</v>
      </c>
      <c r="B344" s="244" t="s">
        <v>231</v>
      </c>
      <c r="C344" s="244" t="s">
        <v>7699</v>
      </c>
      <c r="D344" s="154" t="s">
        <v>1315</v>
      </c>
      <c r="E344" s="154"/>
      <c r="F344" s="154" t="str">
        <f t="array" ref="F344">XLOOKUP(Cover!$D$12,$R$1:$Z$1,$R344:$Z344)</f>
        <v>Information</v>
      </c>
      <c r="G344" s="154" t="s">
        <v>7700</v>
      </c>
      <c r="H344" s="154" t="s">
        <v>7304</v>
      </c>
      <c r="I344" s="154" t="s">
        <v>7701</v>
      </c>
      <c r="J344" s="154" t="s">
        <v>7702</v>
      </c>
      <c r="K344" s="154" t="s">
        <v>7305</v>
      </c>
      <c r="L344" s="154" t="s">
        <v>6905</v>
      </c>
      <c r="M344" s="154"/>
      <c r="N344" s="154" t="s">
        <v>759</v>
      </c>
      <c r="O344" s="247" t="s">
        <v>516</v>
      </c>
      <c r="P344" s="247" t="s">
        <v>6776</v>
      </c>
      <c r="Q344" s="154" t="str">
        <f t="shared" si="1"/>
        <v>#ERROR!</v>
      </c>
      <c r="R344" s="154" t="s">
        <v>66</v>
      </c>
      <c r="S344" s="154" t="s">
        <v>66</v>
      </c>
      <c r="T344" s="154" t="s">
        <v>66</v>
      </c>
      <c r="U344" s="154" t="s">
        <v>66</v>
      </c>
      <c r="V344" s="154" t="s">
        <v>66</v>
      </c>
      <c r="W344" s="154" t="s">
        <v>66</v>
      </c>
      <c r="X344" s="154" t="s">
        <v>66</v>
      </c>
      <c r="Y344" s="154" t="s">
        <v>66</v>
      </c>
      <c r="Z344" s="154" t="s">
        <v>66</v>
      </c>
      <c r="AA344" s="154"/>
      <c r="AB344" s="242" t="str">
        <f t="shared" si="2"/>
        <v>#ERROR!</v>
      </c>
      <c r="AC344" s="154" t="s">
        <v>391</v>
      </c>
      <c r="AD344" s="242" t="b">
        <f t="shared" si="3"/>
        <v>0</v>
      </c>
      <c r="AE344" s="154"/>
      <c r="AF344" s="242" t="str">
        <f t="shared" si="4"/>
        <v>#ERROR!</v>
      </c>
      <c r="AG344" s="154" t="s">
        <v>652</v>
      </c>
      <c r="AH344" s="242" t="str">
        <f>IF(AG344="","N/A",INDIRECT("MTR!"&amp;ADDRESS(MATCH(LEFT(AG344,9),[1]MTR!C:C,0),COLUMN(J344)),TRUE) &amp; "")</f>
        <v>#ERROR!</v>
      </c>
      <c r="AI344" s="157" t="str">
        <f t="shared" si="5"/>
        <v>#ERROR!</v>
      </c>
    </row>
    <row r="345" ht="12.75" customHeight="1">
      <c r="A345" s="244" t="s">
        <v>5158</v>
      </c>
      <c r="B345" s="244" t="s">
        <v>231</v>
      </c>
      <c r="C345" s="244" t="s">
        <v>7703</v>
      </c>
      <c r="D345" s="154" t="s">
        <v>1315</v>
      </c>
      <c r="E345" s="154"/>
      <c r="F345" s="154" t="str">
        <f t="array" ref="F345">XLOOKUP(Cover!$D$12,$R$1:$Z$1,$R345:$Z345)</f>
        <v>Information</v>
      </c>
      <c r="G345" s="154" t="s">
        <v>7704</v>
      </c>
      <c r="H345" s="154" t="s">
        <v>7314</v>
      </c>
      <c r="I345" s="154" t="s">
        <v>7701</v>
      </c>
      <c r="J345" s="154" t="s">
        <v>7702</v>
      </c>
      <c r="K345" s="154" t="s">
        <v>7305</v>
      </c>
      <c r="L345" s="154" t="s">
        <v>6905</v>
      </c>
      <c r="M345" s="154"/>
      <c r="N345" s="154" t="s">
        <v>759</v>
      </c>
      <c r="O345" s="247" t="s">
        <v>516</v>
      </c>
      <c r="P345" s="247" t="s">
        <v>6776</v>
      </c>
      <c r="Q345" s="154" t="str">
        <f t="shared" si="1"/>
        <v>#ERROR!</v>
      </c>
      <c r="R345" s="154" t="s">
        <v>66</v>
      </c>
      <c r="S345" s="154" t="s">
        <v>66</v>
      </c>
      <c r="T345" s="154" t="s">
        <v>66</v>
      </c>
      <c r="U345" s="154" t="s">
        <v>66</v>
      </c>
      <c r="V345" s="154" t="s">
        <v>66</v>
      </c>
      <c r="W345" s="154" t="s">
        <v>66</v>
      </c>
      <c r="X345" s="154" t="s">
        <v>66</v>
      </c>
      <c r="Y345" s="154" t="s">
        <v>66</v>
      </c>
      <c r="Z345" s="154" t="s">
        <v>66</v>
      </c>
      <c r="AA345" s="154"/>
      <c r="AB345" s="242" t="str">
        <f t="shared" si="2"/>
        <v>#ERROR!</v>
      </c>
      <c r="AC345" s="154" t="s">
        <v>391</v>
      </c>
      <c r="AD345" s="242" t="b">
        <f t="shared" si="3"/>
        <v>0</v>
      </c>
      <c r="AE345" s="154"/>
      <c r="AF345" s="242" t="str">
        <f t="shared" si="4"/>
        <v>#ERROR!</v>
      </c>
      <c r="AG345" s="154" t="s">
        <v>652</v>
      </c>
      <c r="AH345" s="242" t="str">
        <f>IF(AG345="","N/A",INDIRECT("MTR!"&amp;ADDRESS(MATCH(LEFT(AG345,9),[1]MTR!C:C,0),COLUMN(J345)),TRUE) &amp; "")</f>
        <v>#ERROR!</v>
      </c>
      <c r="AI345" s="157" t="str">
        <f t="shared" si="5"/>
        <v>#ERROR!</v>
      </c>
    </row>
    <row r="346" ht="12.75" customHeight="1">
      <c r="A346" s="244" t="s">
        <v>5158</v>
      </c>
      <c r="B346" s="244" t="s">
        <v>231</v>
      </c>
      <c r="C346" s="244" t="s">
        <v>7705</v>
      </c>
      <c r="D346" s="154" t="s">
        <v>1315</v>
      </c>
      <c r="E346" s="154"/>
      <c r="F346" s="154" t="str">
        <f t="array" ref="F346">XLOOKUP(Cover!$D$12,$R$1:$Z$1,$R346:$Z346)</f>
        <v>Information</v>
      </c>
      <c r="G346" s="154" t="s">
        <v>7706</v>
      </c>
      <c r="H346" s="154" t="s">
        <v>7320</v>
      </c>
      <c r="I346" s="154" t="s">
        <v>7701</v>
      </c>
      <c r="J346" s="154" t="s">
        <v>7702</v>
      </c>
      <c r="K346" s="154" t="s">
        <v>7305</v>
      </c>
      <c r="L346" s="154" t="s">
        <v>6905</v>
      </c>
      <c r="M346" s="154"/>
      <c r="N346" s="154" t="s">
        <v>759</v>
      </c>
      <c r="O346" s="247" t="s">
        <v>516</v>
      </c>
      <c r="P346" s="247" t="s">
        <v>6776</v>
      </c>
      <c r="Q346" s="154" t="str">
        <f t="shared" si="1"/>
        <v>#ERROR!</v>
      </c>
      <c r="R346" s="154" t="s">
        <v>66</v>
      </c>
      <c r="S346" s="154" t="s">
        <v>66</v>
      </c>
      <c r="T346" s="154" t="s">
        <v>66</v>
      </c>
      <c r="U346" s="154" t="s">
        <v>66</v>
      </c>
      <c r="V346" s="154" t="s">
        <v>66</v>
      </c>
      <c r="W346" s="154" t="s">
        <v>66</v>
      </c>
      <c r="X346" s="154" t="s">
        <v>66</v>
      </c>
      <c r="Y346" s="154" t="s">
        <v>66</v>
      </c>
      <c r="Z346" s="154" t="s">
        <v>66</v>
      </c>
      <c r="AA346" s="154"/>
      <c r="AB346" s="242" t="str">
        <f t="shared" si="2"/>
        <v>#ERROR!</v>
      </c>
      <c r="AC346" s="154" t="s">
        <v>391</v>
      </c>
      <c r="AD346" s="242" t="b">
        <f t="shared" si="3"/>
        <v>0</v>
      </c>
      <c r="AE346" s="154"/>
      <c r="AF346" s="242" t="str">
        <f t="shared" si="4"/>
        <v>#ERROR!</v>
      </c>
      <c r="AG346" s="154" t="s">
        <v>652</v>
      </c>
      <c r="AH346" s="242" t="str">
        <f>IF(AG346="","N/A",INDIRECT("MTR!"&amp;ADDRESS(MATCH(LEFT(AG346,9),[1]MTR!C:C,0),COLUMN(J346)),TRUE) &amp; "")</f>
        <v>#ERROR!</v>
      </c>
      <c r="AI346" s="157" t="str">
        <f t="shared" si="5"/>
        <v>#ERROR!</v>
      </c>
    </row>
    <row r="347" ht="12.75" customHeight="1">
      <c r="A347" s="244" t="s">
        <v>5158</v>
      </c>
      <c r="B347" s="244" t="s">
        <v>231</v>
      </c>
      <c r="C347" s="244" t="s">
        <v>7707</v>
      </c>
      <c r="D347" s="154" t="s">
        <v>1315</v>
      </c>
      <c r="E347" s="154"/>
      <c r="F347" s="154" t="str">
        <f t="array" ref="F347">XLOOKUP(Cover!$D$12,$R$1:$Z$1,$R347:$Z347)</f>
        <v>Information</v>
      </c>
      <c r="G347" s="154" t="s">
        <v>7708</v>
      </c>
      <c r="H347" s="154" t="s">
        <v>7323</v>
      </c>
      <c r="I347" s="154" t="s">
        <v>7701</v>
      </c>
      <c r="J347" s="154" t="s">
        <v>7702</v>
      </c>
      <c r="K347" s="154" t="s">
        <v>7305</v>
      </c>
      <c r="L347" s="154" t="s">
        <v>6905</v>
      </c>
      <c r="M347" s="154"/>
      <c r="N347" s="154" t="s">
        <v>759</v>
      </c>
      <c r="O347" s="247" t="s">
        <v>516</v>
      </c>
      <c r="P347" s="247" t="s">
        <v>6776</v>
      </c>
      <c r="Q347" s="154" t="str">
        <f t="shared" si="1"/>
        <v>#ERROR!</v>
      </c>
      <c r="R347" s="154" t="s">
        <v>66</v>
      </c>
      <c r="S347" s="154" t="s">
        <v>66</v>
      </c>
      <c r="T347" s="154" t="s">
        <v>66</v>
      </c>
      <c r="U347" s="154" t="s">
        <v>66</v>
      </c>
      <c r="V347" s="154" t="s">
        <v>66</v>
      </c>
      <c r="W347" s="154" t="s">
        <v>66</v>
      </c>
      <c r="X347" s="154" t="s">
        <v>66</v>
      </c>
      <c r="Y347" s="154" t="s">
        <v>66</v>
      </c>
      <c r="Z347" s="154" t="s">
        <v>66</v>
      </c>
      <c r="AA347" s="154"/>
      <c r="AB347" s="242" t="str">
        <f t="shared" si="2"/>
        <v>#ERROR!</v>
      </c>
      <c r="AC347" s="154" t="s">
        <v>391</v>
      </c>
      <c r="AD347" s="242" t="b">
        <f t="shared" si="3"/>
        <v>0</v>
      </c>
      <c r="AE347" s="154"/>
      <c r="AF347" s="242" t="str">
        <f t="shared" si="4"/>
        <v>#ERROR!</v>
      </c>
      <c r="AG347" s="154" t="s">
        <v>652</v>
      </c>
      <c r="AH347" s="242" t="str">
        <f>IF(AG347="","N/A",INDIRECT("MTR!"&amp;ADDRESS(MATCH(LEFT(AG347,9),[1]MTR!C:C,0),COLUMN(J347)),TRUE) &amp; "")</f>
        <v>#ERROR!</v>
      </c>
      <c r="AI347" s="157" t="str">
        <f t="shared" si="5"/>
        <v>#ERROR!</v>
      </c>
    </row>
    <row r="348" ht="12.75" customHeight="1">
      <c r="A348" s="244" t="s">
        <v>5158</v>
      </c>
      <c r="B348" s="244" t="s">
        <v>231</v>
      </c>
      <c r="C348" s="244" t="s">
        <v>7709</v>
      </c>
      <c r="D348" s="154" t="s">
        <v>1315</v>
      </c>
      <c r="E348" s="154"/>
      <c r="F348" s="154" t="str">
        <f t="array" ref="F348">XLOOKUP(Cover!$D$12,$R$1:$Z$1,$R348:$Z348)</f>
        <v>Mandatory</v>
      </c>
      <c r="G348" s="154" t="s">
        <v>7710</v>
      </c>
      <c r="H348" s="154" t="s">
        <v>7304</v>
      </c>
      <c r="I348" s="154" t="s">
        <v>7711</v>
      </c>
      <c r="J348" s="154" t="s">
        <v>7712</v>
      </c>
      <c r="K348" s="154" t="s">
        <v>7305</v>
      </c>
      <c r="L348" s="154" t="s">
        <v>6905</v>
      </c>
      <c r="M348" s="154" t="s">
        <v>175</v>
      </c>
      <c r="N348" s="154" t="s">
        <v>759</v>
      </c>
      <c r="O348" s="247" t="s">
        <v>516</v>
      </c>
      <c r="P348" s="247" t="s">
        <v>6776</v>
      </c>
      <c r="Q348" s="154" t="str">
        <f t="shared" si="1"/>
        <v>#ERROR!</v>
      </c>
      <c r="R348" s="154" t="s">
        <v>66</v>
      </c>
      <c r="S348" s="154" t="s">
        <v>66</v>
      </c>
      <c r="T348" s="154" t="s">
        <v>66</v>
      </c>
      <c r="U348" s="154" t="s">
        <v>66</v>
      </c>
      <c r="V348" s="154" t="s">
        <v>66</v>
      </c>
      <c r="W348" s="154" t="s">
        <v>60</v>
      </c>
      <c r="X348" s="154" t="s">
        <v>66</v>
      </c>
      <c r="Y348" s="154" t="s">
        <v>66</v>
      </c>
      <c r="Z348" s="154" t="s">
        <v>60</v>
      </c>
      <c r="AA348" s="154"/>
      <c r="AB348" s="242" t="str">
        <f t="shared" si="2"/>
        <v>#ERROR!</v>
      </c>
      <c r="AC348" s="154" t="s">
        <v>391</v>
      </c>
      <c r="AD348" s="242" t="b">
        <f t="shared" si="3"/>
        <v>0</v>
      </c>
      <c r="AE348" s="154"/>
      <c r="AF348" s="242" t="str">
        <f t="shared" si="4"/>
        <v>#ERROR!</v>
      </c>
      <c r="AG348" s="154" t="s">
        <v>652</v>
      </c>
      <c r="AH348" s="242" t="str">
        <f>IF(AG348="","N/A",INDIRECT("MTR!"&amp;ADDRESS(MATCH(LEFT(AG348,9),[1]MTR!C:C,0),COLUMN(J348)),TRUE) &amp; "")</f>
        <v>#ERROR!</v>
      </c>
      <c r="AI348" s="157" t="str">
        <f t="shared" si="5"/>
        <v>#ERROR!</v>
      </c>
    </row>
    <row r="349" ht="12.75" customHeight="1">
      <c r="A349" s="244" t="s">
        <v>5158</v>
      </c>
      <c r="B349" s="244" t="s">
        <v>231</v>
      </c>
      <c r="C349" s="244" t="s">
        <v>7713</v>
      </c>
      <c r="D349" s="154" t="s">
        <v>1315</v>
      </c>
      <c r="E349" s="154"/>
      <c r="F349" s="154" t="str">
        <f t="array" ref="F349">XLOOKUP(Cover!$D$12,$R$1:$Z$1,$R349:$Z349)</f>
        <v>Recommended</v>
      </c>
      <c r="G349" s="154" t="s">
        <v>7714</v>
      </c>
      <c r="H349" s="154" t="s">
        <v>7314</v>
      </c>
      <c r="I349" s="154" t="s">
        <v>7711</v>
      </c>
      <c r="J349" s="154" t="s">
        <v>7712</v>
      </c>
      <c r="K349" s="154" t="s">
        <v>7305</v>
      </c>
      <c r="L349" s="154" t="s">
        <v>6905</v>
      </c>
      <c r="M349" s="154"/>
      <c r="N349" s="154" t="s">
        <v>759</v>
      </c>
      <c r="O349" s="247" t="s">
        <v>516</v>
      </c>
      <c r="P349" s="247" t="s">
        <v>6776</v>
      </c>
      <c r="Q349" s="154" t="str">
        <f t="shared" si="1"/>
        <v>#ERROR!</v>
      </c>
      <c r="R349" s="154" t="s">
        <v>66</v>
      </c>
      <c r="S349" s="154" t="s">
        <v>66</v>
      </c>
      <c r="T349" s="154" t="s">
        <v>66</v>
      </c>
      <c r="U349" s="154" t="s">
        <v>66</v>
      </c>
      <c r="V349" s="154" t="s">
        <v>66</v>
      </c>
      <c r="W349" s="154" t="s">
        <v>64</v>
      </c>
      <c r="X349" s="154" t="s">
        <v>66</v>
      </c>
      <c r="Y349" s="154" t="s">
        <v>66</v>
      </c>
      <c r="Z349" s="154" t="s">
        <v>64</v>
      </c>
      <c r="AA349" s="154"/>
      <c r="AB349" s="242" t="str">
        <f t="shared" si="2"/>
        <v>#ERROR!</v>
      </c>
      <c r="AC349" s="154" t="s">
        <v>391</v>
      </c>
      <c r="AD349" s="242" t="b">
        <f t="shared" si="3"/>
        <v>0</v>
      </c>
      <c r="AE349" s="154"/>
      <c r="AF349" s="242" t="str">
        <f t="shared" si="4"/>
        <v>#ERROR!</v>
      </c>
      <c r="AG349" s="154" t="s">
        <v>652</v>
      </c>
      <c r="AH349" s="242" t="str">
        <f>IF(AG349="","N/A",INDIRECT("MTR!"&amp;ADDRESS(MATCH(LEFT(AG349,9),[1]MTR!C:C,0),COLUMN(J349)),TRUE) &amp; "")</f>
        <v>#ERROR!</v>
      </c>
      <c r="AI349" s="157" t="str">
        <f t="shared" si="5"/>
        <v>#ERROR!</v>
      </c>
    </row>
    <row r="350" ht="12.75" customHeight="1">
      <c r="A350" s="244" t="s">
        <v>5158</v>
      </c>
      <c r="B350" s="244" t="s">
        <v>231</v>
      </c>
      <c r="C350" s="244" t="s">
        <v>7715</v>
      </c>
      <c r="D350" s="154" t="s">
        <v>1315</v>
      </c>
      <c r="E350" s="154"/>
      <c r="F350" s="154" t="str">
        <f t="array" ref="F350">XLOOKUP(Cover!$D$12,$R$1:$Z$1,$R350:$Z350)</f>
        <v>Mandatory</v>
      </c>
      <c r="G350" s="154" t="s">
        <v>7716</v>
      </c>
      <c r="H350" s="154" t="s">
        <v>7320</v>
      </c>
      <c r="I350" s="154" t="s">
        <v>7711</v>
      </c>
      <c r="J350" s="154" t="s">
        <v>7712</v>
      </c>
      <c r="K350" s="154" t="s">
        <v>7305</v>
      </c>
      <c r="L350" s="154" t="s">
        <v>6905</v>
      </c>
      <c r="M350" s="154" t="s">
        <v>175</v>
      </c>
      <c r="N350" s="154" t="s">
        <v>759</v>
      </c>
      <c r="O350" s="247" t="s">
        <v>516</v>
      </c>
      <c r="P350" s="247" t="s">
        <v>6776</v>
      </c>
      <c r="Q350" s="154" t="str">
        <f t="shared" si="1"/>
        <v>#ERROR!</v>
      </c>
      <c r="R350" s="154" t="s">
        <v>66</v>
      </c>
      <c r="S350" s="154" t="s">
        <v>66</v>
      </c>
      <c r="T350" s="154" t="s">
        <v>66</v>
      </c>
      <c r="U350" s="154" t="s">
        <v>66</v>
      </c>
      <c r="V350" s="154" t="s">
        <v>66</v>
      </c>
      <c r="W350" s="154" t="s">
        <v>60</v>
      </c>
      <c r="X350" s="154" t="s">
        <v>66</v>
      </c>
      <c r="Y350" s="154" t="s">
        <v>66</v>
      </c>
      <c r="Z350" s="154" t="s">
        <v>60</v>
      </c>
      <c r="AA350" s="154"/>
      <c r="AB350" s="242" t="str">
        <f t="shared" si="2"/>
        <v>#ERROR!</v>
      </c>
      <c r="AC350" s="154" t="s">
        <v>391</v>
      </c>
      <c r="AD350" s="242" t="b">
        <f t="shared" si="3"/>
        <v>0</v>
      </c>
      <c r="AE350" s="154"/>
      <c r="AF350" s="242" t="str">
        <f t="shared" si="4"/>
        <v>#ERROR!</v>
      </c>
      <c r="AG350" s="154" t="s">
        <v>652</v>
      </c>
      <c r="AH350" s="242" t="str">
        <f>IF(AG350="","N/A",INDIRECT("MTR!"&amp;ADDRESS(MATCH(LEFT(AG350,9),[1]MTR!C:C,0),COLUMN(J350)),TRUE) &amp; "")</f>
        <v>#ERROR!</v>
      </c>
      <c r="AI350" s="157" t="str">
        <f t="shared" si="5"/>
        <v>#ERROR!</v>
      </c>
    </row>
    <row r="351" ht="12.75" customHeight="1">
      <c r="A351" s="244" t="s">
        <v>5158</v>
      </c>
      <c r="B351" s="244" t="s">
        <v>231</v>
      </c>
      <c r="C351" s="244" t="s">
        <v>7717</v>
      </c>
      <c r="D351" s="154" t="s">
        <v>1315</v>
      </c>
      <c r="E351" s="154"/>
      <c r="F351" s="154" t="str">
        <f t="array" ref="F351">XLOOKUP(Cover!$D$12,$R$1:$Z$1,$R351:$Z351)</f>
        <v>Information</v>
      </c>
      <c r="G351" s="154" t="s">
        <v>7718</v>
      </c>
      <c r="H351" s="154" t="s">
        <v>7304</v>
      </c>
      <c r="I351" s="154" t="s">
        <v>7719</v>
      </c>
      <c r="J351" s="154" t="s">
        <v>7720</v>
      </c>
      <c r="K351" s="154" t="s">
        <v>7305</v>
      </c>
      <c r="L351" s="154" t="s">
        <v>6905</v>
      </c>
      <c r="M351" s="154"/>
      <c r="N351" s="154" t="s">
        <v>759</v>
      </c>
      <c r="O351" s="247" t="s">
        <v>516</v>
      </c>
      <c r="P351" s="247" t="s">
        <v>6776</v>
      </c>
      <c r="Q351" s="154" t="str">
        <f t="shared" si="1"/>
        <v>#ERROR!</v>
      </c>
      <c r="R351" s="154" t="s">
        <v>66</v>
      </c>
      <c r="S351" s="154" t="s">
        <v>66</v>
      </c>
      <c r="T351" s="154" t="s">
        <v>66</v>
      </c>
      <c r="U351" s="154" t="s">
        <v>66</v>
      </c>
      <c r="V351" s="154" t="s">
        <v>66</v>
      </c>
      <c r="W351" s="154" t="s">
        <v>66</v>
      </c>
      <c r="X351" s="154" t="s">
        <v>66</v>
      </c>
      <c r="Y351" s="154" t="s">
        <v>66</v>
      </c>
      <c r="Z351" s="154" t="s">
        <v>66</v>
      </c>
      <c r="AA351" s="154"/>
      <c r="AB351" s="242" t="str">
        <f t="shared" si="2"/>
        <v>#ERROR!</v>
      </c>
      <c r="AC351" s="154" t="s">
        <v>391</v>
      </c>
      <c r="AD351" s="242" t="b">
        <f t="shared" si="3"/>
        <v>0</v>
      </c>
      <c r="AE351" s="154"/>
      <c r="AF351" s="242" t="str">
        <f t="shared" si="4"/>
        <v>#ERROR!</v>
      </c>
      <c r="AG351" s="154" t="s">
        <v>652</v>
      </c>
      <c r="AH351" s="242" t="str">
        <f>IF(AG351="","N/A",INDIRECT("MTR!"&amp;ADDRESS(MATCH(LEFT(AG351,9),[1]MTR!C:C,0),COLUMN(J351)),TRUE) &amp; "")</f>
        <v>#ERROR!</v>
      </c>
      <c r="AI351" s="157" t="str">
        <f t="shared" si="5"/>
        <v>#ERROR!</v>
      </c>
    </row>
    <row r="352" ht="12.75" customHeight="1">
      <c r="A352" s="244" t="s">
        <v>5158</v>
      </c>
      <c r="B352" s="244" t="s">
        <v>231</v>
      </c>
      <c r="C352" s="244" t="s">
        <v>7721</v>
      </c>
      <c r="D352" s="154" t="s">
        <v>1315</v>
      </c>
      <c r="E352" s="154"/>
      <c r="F352" s="154" t="str">
        <f t="array" ref="F352">XLOOKUP(Cover!$D$12,$R$1:$Z$1,$R352:$Z352)</f>
        <v>Information</v>
      </c>
      <c r="G352" s="154" t="s">
        <v>7722</v>
      </c>
      <c r="H352" s="154" t="s">
        <v>7314</v>
      </c>
      <c r="I352" s="154" t="s">
        <v>7719</v>
      </c>
      <c r="J352" s="154" t="s">
        <v>7720</v>
      </c>
      <c r="K352" s="154" t="s">
        <v>7305</v>
      </c>
      <c r="L352" s="154" t="s">
        <v>6905</v>
      </c>
      <c r="M352" s="154"/>
      <c r="N352" s="154" t="s">
        <v>759</v>
      </c>
      <c r="O352" s="247" t="s">
        <v>516</v>
      </c>
      <c r="P352" s="247" t="s">
        <v>6776</v>
      </c>
      <c r="Q352" s="154" t="str">
        <f t="shared" si="1"/>
        <v>#ERROR!</v>
      </c>
      <c r="R352" s="154" t="s">
        <v>66</v>
      </c>
      <c r="S352" s="154" t="s">
        <v>66</v>
      </c>
      <c r="T352" s="154" t="s">
        <v>66</v>
      </c>
      <c r="U352" s="154" t="s">
        <v>66</v>
      </c>
      <c r="V352" s="154" t="s">
        <v>66</v>
      </c>
      <c r="W352" s="154" t="s">
        <v>66</v>
      </c>
      <c r="X352" s="154" t="s">
        <v>66</v>
      </c>
      <c r="Y352" s="154" t="s">
        <v>66</v>
      </c>
      <c r="Z352" s="154" t="s">
        <v>66</v>
      </c>
      <c r="AA352" s="154"/>
      <c r="AB352" s="242" t="str">
        <f t="shared" si="2"/>
        <v>#ERROR!</v>
      </c>
      <c r="AC352" s="154" t="s">
        <v>391</v>
      </c>
      <c r="AD352" s="242" t="b">
        <f t="shared" si="3"/>
        <v>0</v>
      </c>
      <c r="AE352" s="154"/>
      <c r="AF352" s="242" t="str">
        <f t="shared" si="4"/>
        <v>#ERROR!</v>
      </c>
      <c r="AG352" s="154" t="s">
        <v>652</v>
      </c>
      <c r="AH352" s="242" t="str">
        <f>IF(AG352="","N/A",INDIRECT("MTR!"&amp;ADDRESS(MATCH(LEFT(AG352,9),[1]MTR!C:C,0),COLUMN(J352)),TRUE) &amp; "")</f>
        <v>#ERROR!</v>
      </c>
      <c r="AI352" s="157" t="str">
        <f t="shared" si="5"/>
        <v>#ERROR!</v>
      </c>
    </row>
    <row r="353" ht="12.75" customHeight="1">
      <c r="A353" s="244" t="s">
        <v>5158</v>
      </c>
      <c r="B353" s="244" t="s">
        <v>231</v>
      </c>
      <c r="C353" s="244" t="s">
        <v>7723</v>
      </c>
      <c r="D353" s="154" t="s">
        <v>1315</v>
      </c>
      <c r="E353" s="154"/>
      <c r="F353" s="154" t="str">
        <f t="array" ref="F353">XLOOKUP(Cover!$D$12,$R$1:$Z$1,$R353:$Z353)</f>
        <v>Information</v>
      </c>
      <c r="G353" s="154" t="s">
        <v>7724</v>
      </c>
      <c r="H353" s="154" t="s">
        <v>7323</v>
      </c>
      <c r="I353" s="154" t="s">
        <v>7719</v>
      </c>
      <c r="J353" s="154" t="s">
        <v>7720</v>
      </c>
      <c r="K353" s="154" t="s">
        <v>7305</v>
      </c>
      <c r="L353" s="154" t="s">
        <v>6905</v>
      </c>
      <c r="M353" s="154"/>
      <c r="N353" s="154" t="s">
        <v>759</v>
      </c>
      <c r="O353" s="247" t="s">
        <v>516</v>
      </c>
      <c r="P353" s="247" t="s">
        <v>6776</v>
      </c>
      <c r="Q353" s="154" t="str">
        <f t="shared" si="1"/>
        <v>#ERROR!</v>
      </c>
      <c r="R353" s="154" t="s">
        <v>66</v>
      </c>
      <c r="S353" s="154" t="s">
        <v>66</v>
      </c>
      <c r="T353" s="154" t="s">
        <v>66</v>
      </c>
      <c r="U353" s="154" t="s">
        <v>66</v>
      </c>
      <c r="V353" s="154" t="s">
        <v>66</v>
      </c>
      <c r="W353" s="154" t="s">
        <v>66</v>
      </c>
      <c r="X353" s="154" t="s">
        <v>66</v>
      </c>
      <c r="Y353" s="154" t="s">
        <v>66</v>
      </c>
      <c r="Z353" s="154" t="s">
        <v>66</v>
      </c>
      <c r="AA353" s="154"/>
      <c r="AB353" s="242" t="str">
        <f t="shared" si="2"/>
        <v>#ERROR!</v>
      </c>
      <c r="AC353" s="154" t="s">
        <v>391</v>
      </c>
      <c r="AD353" s="242" t="b">
        <f t="shared" si="3"/>
        <v>0</v>
      </c>
      <c r="AE353" s="154"/>
      <c r="AF353" s="242" t="str">
        <f t="shared" si="4"/>
        <v>#ERROR!</v>
      </c>
      <c r="AG353" s="154" t="s">
        <v>652</v>
      </c>
      <c r="AH353" s="242" t="str">
        <f>IF(AG353="","N/A",INDIRECT("MTR!"&amp;ADDRESS(MATCH(LEFT(AG353,9),[1]MTR!C:C,0),COLUMN(J353)),TRUE) &amp; "")</f>
        <v>#ERROR!</v>
      </c>
      <c r="AI353" s="157" t="str">
        <f t="shared" si="5"/>
        <v>#ERROR!</v>
      </c>
    </row>
    <row r="354" ht="12.75" customHeight="1">
      <c r="A354" s="244" t="s">
        <v>5158</v>
      </c>
      <c r="B354" s="244" t="s">
        <v>231</v>
      </c>
      <c r="C354" s="244" t="s">
        <v>7725</v>
      </c>
      <c r="D354" s="154" t="s">
        <v>1315</v>
      </c>
      <c r="E354" s="154"/>
      <c r="F354" s="154" t="str">
        <f t="array" ref="F354">XLOOKUP(Cover!$D$12,$R$1:$Z$1,$R354:$Z354)</f>
        <v>Information</v>
      </c>
      <c r="G354" s="154" t="s">
        <v>7726</v>
      </c>
      <c r="H354" s="154" t="s">
        <v>7304</v>
      </c>
      <c r="I354" s="154" t="s">
        <v>7727</v>
      </c>
      <c r="J354" s="154" t="s">
        <v>7728</v>
      </c>
      <c r="K354" s="154" t="s">
        <v>7305</v>
      </c>
      <c r="L354" s="154" t="s">
        <v>6905</v>
      </c>
      <c r="M354" s="154"/>
      <c r="N354" s="154" t="s">
        <v>759</v>
      </c>
      <c r="O354" s="247" t="s">
        <v>516</v>
      </c>
      <c r="P354" s="247" t="s">
        <v>6776</v>
      </c>
      <c r="Q354" s="154" t="str">
        <f t="shared" si="1"/>
        <v>#ERROR!</v>
      </c>
      <c r="R354" s="154" t="s">
        <v>66</v>
      </c>
      <c r="S354" s="154" t="s">
        <v>66</v>
      </c>
      <c r="T354" s="154" t="s">
        <v>66</v>
      </c>
      <c r="U354" s="154" t="s">
        <v>66</v>
      </c>
      <c r="V354" s="154" t="s">
        <v>66</v>
      </c>
      <c r="W354" s="154" t="s">
        <v>66</v>
      </c>
      <c r="X354" s="154" t="s">
        <v>66</v>
      </c>
      <c r="Y354" s="154" t="s">
        <v>66</v>
      </c>
      <c r="Z354" s="154" t="s">
        <v>66</v>
      </c>
      <c r="AA354" s="154"/>
      <c r="AB354" s="242" t="str">
        <f t="shared" si="2"/>
        <v>#ERROR!</v>
      </c>
      <c r="AC354" s="154" t="s">
        <v>391</v>
      </c>
      <c r="AD354" s="242" t="b">
        <f t="shared" si="3"/>
        <v>0</v>
      </c>
      <c r="AE354" s="154"/>
      <c r="AF354" s="242" t="str">
        <f t="shared" si="4"/>
        <v>#ERROR!</v>
      </c>
      <c r="AG354" s="154" t="s">
        <v>652</v>
      </c>
      <c r="AH354" s="242" t="str">
        <f>IF(AG354="","N/A",INDIRECT("MTR!"&amp;ADDRESS(MATCH(LEFT(AG354,9),[1]MTR!C:C,0),COLUMN(J354)),TRUE) &amp; "")</f>
        <v>#ERROR!</v>
      </c>
      <c r="AI354" s="157" t="str">
        <f t="shared" si="5"/>
        <v>#ERROR!</v>
      </c>
    </row>
    <row r="355" ht="12.75" customHeight="1">
      <c r="A355" s="244" t="s">
        <v>5158</v>
      </c>
      <c r="B355" s="244" t="s">
        <v>231</v>
      </c>
      <c r="C355" s="244" t="s">
        <v>7729</v>
      </c>
      <c r="D355" s="154" t="s">
        <v>1315</v>
      </c>
      <c r="E355" s="154"/>
      <c r="F355" s="154" t="str">
        <f t="array" ref="F355">XLOOKUP(Cover!$D$12,$R$1:$Z$1,$R355:$Z355)</f>
        <v>Information</v>
      </c>
      <c r="G355" s="154" t="s">
        <v>7730</v>
      </c>
      <c r="H355" s="154" t="s">
        <v>7320</v>
      </c>
      <c r="I355" s="154" t="s">
        <v>7727</v>
      </c>
      <c r="J355" s="154" t="s">
        <v>7728</v>
      </c>
      <c r="K355" s="154" t="s">
        <v>7305</v>
      </c>
      <c r="L355" s="154" t="s">
        <v>6905</v>
      </c>
      <c r="M355" s="154"/>
      <c r="N355" s="154" t="s">
        <v>759</v>
      </c>
      <c r="O355" s="247" t="s">
        <v>516</v>
      </c>
      <c r="P355" s="247" t="s">
        <v>6776</v>
      </c>
      <c r="Q355" s="154" t="str">
        <f t="shared" si="1"/>
        <v>#ERROR!</v>
      </c>
      <c r="R355" s="154" t="s">
        <v>66</v>
      </c>
      <c r="S355" s="154" t="s">
        <v>66</v>
      </c>
      <c r="T355" s="154" t="s">
        <v>66</v>
      </c>
      <c r="U355" s="154" t="s">
        <v>66</v>
      </c>
      <c r="V355" s="154" t="s">
        <v>66</v>
      </c>
      <c r="W355" s="154" t="s">
        <v>66</v>
      </c>
      <c r="X355" s="154" t="s">
        <v>66</v>
      </c>
      <c r="Y355" s="154" t="s">
        <v>66</v>
      </c>
      <c r="Z355" s="154" t="s">
        <v>66</v>
      </c>
      <c r="AA355" s="154"/>
      <c r="AB355" s="242" t="str">
        <f t="shared" si="2"/>
        <v>#ERROR!</v>
      </c>
      <c r="AC355" s="154" t="s">
        <v>391</v>
      </c>
      <c r="AD355" s="242" t="b">
        <f t="shared" si="3"/>
        <v>0</v>
      </c>
      <c r="AE355" s="154"/>
      <c r="AF355" s="242" t="str">
        <f t="shared" si="4"/>
        <v>#ERROR!</v>
      </c>
      <c r="AG355" s="154" t="s">
        <v>652</v>
      </c>
      <c r="AH355" s="242" t="str">
        <f>IF(AG355="","N/A",INDIRECT("MTR!"&amp;ADDRESS(MATCH(LEFT(AG355,9),[1]MTR!C:C,0),COLUMN(J355)),TRUE) &amp; "")</f>
        <v>#ERROR!</v>
      </c>
      <c r="AI355" s="157" t="str">
        <f t="shared" si="5"/>
        <v>#ERROR!</v>
      </c>
    </row>
    <row r="356" ht="12.75" customHeight="1">
      <c r="A356" s="244" t="s">
        <v>5158</v>
      </c>
      <c r="B356" s="244" t="s">
        <v>231</v>
      </c>
      <c r="C356" s="244" t="s">
        <v>7731</v>
      </c>
      <c r="D356" s="154" t="s">
        <v>1315</v>
      </c>
      <c r="E356" s="154"/>
      <c r="F356" s="154" t="str">
        <f t="array" ref="F356">XLOOKUP(Cover!$D$12,$R$1:$Z$1,$R356:$Z356)</f>
        <v>Information</v>
      </c>
      <c r="G356" s="154" t="s">
        <v>7732</v>
      </c>
      <c r="H356" s="154" t="s">
        <v>7323</v>
      </c>
      <c r="I356" s="154" t="s">
        <v>7727</v>
      </c>
      <c r="J356" s="154" t="s">
        <v>7728</v>
      </c>
      <c r="K356" s="154" t="s">
        <v>7305</v>
      </c>
      <c r="L356" s="154" t="s">
        <v>6905</v>
      </c>
      <c r="M356" s="154"/>
      <c r="N356" s="154" t="s">
        <v>759</v>
      </c>
      <c r="O356" s="247" t="s">
        <v>516</v>
      </c>
      <c r="P356" s="247" t="s">
        <v>6776</v>
      </c>
      <c r="Q356" s="154" t="str">
        <f t="shared" si="1"/>
        <v>#ERROR!</v>
      </c>
      <c r="R356" s="154" t="s">
        <v>66</v>
      </c>
      <c r="S356" s="154" t="s">
        <v>66</v>
      </c>
      <c r="T356" s="154" t="s">
        <v>66</v>
      </c>
      <c r="U356" s="154" t="s">
        <v>66</v>
      </c>
      <c r="V356" s="154" t="s">
        <v>66</v>
      </c>
      <c r="W356" s="154" t="s">
        <v>66</v>
      </c>
      <c r="X356" s="154" t="s">
        <v>66</v>
      </c>
      <c r="Y356" s="154" t="s">
        <v>66</v>
      </c>
      <c r="Z356" s="154" t="s">
        <v>66</v>
      </c>
      <c r="AA356" s="154"/>
      <c r="AB356" s="242" t="str">
        <f t="shared" si="2"/>
        <v>#ERROR!</v>
      </c>
      <c r="AC356" s="154" t="s">
        <v>391</v>
      </c>
      <c r="AD356" s="242" t="b">
        <f t="shared" si="3"/>
        <v>0</v>
      </c>
      <c r="AE356" s="154"/>
      <c r="AF356" s="242" t="str">
        <f t="shared" si="4"/>
        <v>#ERROR!</v>
      </c>
      <c r="AG356" s="154" t="s">
        <v>652</v>
      </c>
      <c r="AH356" s="242" t="str">
        <f>IF(AG356="","N/A",INDIRECT("MTR!"&amp;ADDRESS(MATCH(LEFT(AG356,9),[1]MTR!C:C,0),COLUMN(J356)),TRUE) &amp; "")</f>
        <v>#ERROR!</v>
      </c>
      <c r="AI356" s="157" t="str">
        <f t="shared" si="5"/>
        <v>#ERROR!</v>
      </c>
    </row>
    <row r="357" ht="12.75" customHeight="1">
      <c r="A357" s="244" t="s">
        <v>5158</v>
      </c>
      <c r="B357" s="244" t="s">
        <v>231</v>
      </c>
      <c r="C357" s="244" t="s">
        <v>7733</v>
      </c>
      <c r="D357" s="154" t="s">
        <v>1315</v>
      </c>
      <c r="E357" s="154"/>
      <c r="F357" s="154" t="str">
        <f t="array" ref="F357">XLOOKUP(Cover!$D$12,$R$1:$Z$1,$R357:$Z357)</f>
        <v>Information</v>
      </c>
      <c r="G357" s="154" t="s">
        <v>7734</v>
      </c>
      <c r="H357" s="154" t="s">
        <v>7311</v>
      </c>
      <c r="I357" s="154" t="s">
        <v>7735</v>
      </c>
      <c r="J357" s="154" t="s">
        <v>7736</v>
      </c>
      <c r="K357" s="154" t="s">
        <v>7305</v>
      </c>
      <c r="L357" s="154" t="s">
        <v>6884</v>
      </c>
      <c r="M357" s="154"/>
      <c r="N357" s="154" t="s">
        <v>759</v>
      </c>
      <c r="O357" s="247" t="s">
        <v>516</v>
      </c>
      <c r="P357" s="247" t="s">
        <v>6776</v>
      </c>
      <c r="Q357" s="154" t="str">
        <f t="shared" si="1"/>
        <v>#ERROR!</v>
      </c>
      <c r="R357" s="154" t="s">
        <v>66</v>
      </c>
      <c r="S357" s="154" t="s">
        <v>66</v>
      </c>
      <c r="T357" s="154" t="s">
        <v>66</v>
      </c>
      <c r="U357" s="154" t="s">
        <v>66</v>
      </c>
      <c r="V357" s="154" t="s">
        <v>66</v>
      </c>
      <c r="W357" s="154" t="s">
        <v>66</v>
      </c>
      <c r="X357" s="154" t="s">
        <v>66</v>
      </c>
      <c r="Y357" s="154" t="s">
        <v>66</v>
      </c>
      <c r="Z357" s="154" t="s">
        <v>66</v>
      </c>
      <c r="AA357" s="154"/>
      <c r="AB357" s="242" t="str">
        <f t="shared" si="2"/>
        <v>#ERROR!</v>
      </c>
      <c r="AC357" s="154" t="s">
        <v>391</v>
      </c>
      <c r="AD357" s="242" t="b">
        <f t="shared" si="3"/>
        <v>0</v>
      </c>
      <c r="AE357" s="154"/>
      <c r="AF357" s="242" t="str">
        <f t="shared" si="4"/>
        <v>#ERROR!</v>
      </c>
      <c r="AG357" s="154" t="s">
        <v>652</v>
      </c>
      <c r="AH357" s="242" t="str">
        <f>IF(AG357="","N/A",INDIRECT("MTR!"&amp;ADDRESS(MATCH(LEFT(AG357,9),[1]MTR!C:C,0),COLUMN(J357)),TRUE) &amp; "")</f>
        <v>#ERROR!</v>
      </c>
      <c r="AI357" s="157" t="str">
        <f t="shared" si="5"/>
        <v>#ERROR!</v>
      </c>
    </row>
    <row r="358" ht="12.75" customHeight="1">
      <c r="A358" s="244" t="s">
        <v>5158</v>
      </c>
      <c r="B358" s="244" t="s">
        <v>231</v>
      </c>
      <c r="C358" s="244" t="s">
        <v>7737</v>
      </c>
      <c r="D358" s="154" t="s">
        <v>1315</v>
      </c>
      <c r="E358" s="154"/>
      <c r="F358" s="154" t="str">
        <f t="array" ref="F358">XLOOKUP(Cover!$D$12,$R$1:$Z$1,$R358:$Z358)</f>
        <v>Information</v>
      </c>
      <c r="G358" s="154" t="s">
        <v>7738</v>
      </c>
      <c r="H358" s="154" t="s">
        <v>7314</v>
      </c>
      <c r="I358" s="154" t="s">
        <v>7735</v>
      </c>
      <c r="J358" s="154" t="s">
        <v>7736</v>
      </c>
      <c r="K358" s="154" t="s">
        <v>7305</v>
      </c>
      <c r="L358" s="154" t="s">
        <v>6884</v>
      </c>
      <c r="M358" s="154"/>
      <c r="N358" s="154" t="s">
        <v>759</v>
      </c>
      <c r="O358" s="247" t="s">
        <v>516</v>
      </c>
      <c r="P358" s="247" t="s">
        <v>6776</v>
      </c>
      <c r="Q358" s="154" t="str">
        <f t="shared" si="1"/>
        <v>#ERROR!</v>
      </c>
      <c r="R358" s="154" t="s">
        <v>66</v>
      </c>
      <c r="S358" s="154" t="s">
        <v>66</v>
      </c>
      <c r="T358" s="154" t="s">
        <v>66</v>
      </c>
      <c r="U358" s="154" t="s">
        <v>66</v>
      </c>
      <c r="V358" s="154" t="s">
        <v>66</v>
      </c>
      <c r="W358" s="154" t="s">
        <v>66</v>
      </c>
      <c r="X358" s="154" t="s">
        <v>66</v>
      </c>
      <c r="Y358" s="154" t="s">
        <v>66</v>
      </c>
      <c r="Z358" s="154" t="s">
        <v>66</v>
      </c>
      <c r="AA358" s="154"/>
      <c r="AB358" s="242" t="str">
        <f t="shared" si="2"/>
        <v>#ERROR!</v>
      </c>
      <c r="AC358" s="154" t="s">
        <v>391</v>
      </c>
      <c r="AD358" s="242" t="b">
        <f t="shared" si="3"/>
        <v>0</v>
      </c>
      <c r="AE358" s="154"/>
      <c r="AF358" s="242" t="str">
        <f t="shared" si="4"/>
        <v>#ERROR!</v>
      </c>
      <c r="AG358" s="154" t="s">
        <v>652</v>
      </c>
      <c r="AH358" s="242" t="str">
        <f>IF(AG358="","N/A",INDIRECT("MTR!"&amp;ADDRESS(MATCH(LEFT(AG358,9),[1]MTR!C:C,0),COLUMN(J358)),TRUE) &amp; "")</f>
        <v>#ERROR!</v>
      </c>
      <c r="AI358" s="157" t="str">
        <f t="shared" si="5"/>
        <v>#ERROR!</v>
      </c>
    </row>
    <row r="359" ht="12.75" customHeight="1">
      <c r="A359" s="244" t="s">
        <v>5158</v>
      </c>
      <c r="B359" s="244" t="s">
        <v>231</v>
      </c>
      <c r="C359" s="244" t="s">
        <v>7739</v>
      </c>
      <c r="D359" s="154" t="s">
        <v>1315</v>
      </c>
      <c r="E359" s="154"/>
      <c r="F359" s="154" t="str">
        <f t="array" ref="F359">XLOOKUP(Cover!$D$12,$R$1:$Z$1,$R359:$Z359)</f>
        <v>Information</v>
      </c>
      <c r="G359" s="154" t="s">
        <v>7740</v>
      </c>
      <c r="H359" s="154" t="s">
        <v>7390</v>
      </c>
      <c r="I359" s="154" t="s">
        <v>7735</v>
      </c>
      <c r="J359" s="154" t="s">
        <v>7736</v>
      </c>
      <c r="K359" s="154" t="s">
        <v>7305</v>
      </c>
      <c r="L359" s="154" t="s">
        <v>6884</v>
      </c>
      <c r="M359" s="154"/>
      <c r="N359" s="154" t="s">
        <v>759</v>
      </c>
      <c r="O359" s="247" t="s">
        <v>516</v>
      </c>
      <c r="P359" s="247" t="s">
        <v>6776</v>
      </c>
      <c r="Q359" s="154" t="str">
        <f t="shared" si="1"/>
        <v>#ERROR!</v>
      </c>
      <c r="R359" s="154" t="s">
        <v>66</v>
      </c>
      <c r="S359" s="154" t="s">
        <v>66</v>
      </c>
      <c r="T359" s="154" t="s">
        <v>66</v>
      </c>
      <c r="U359" s="154" t="s">
        <v>66</v>
      </c>
      <c r="V359" s="154" t="s">
        <v>66</v>
      </c>
      <c r="W359" s="154" t="s">
        <v>66</v>
      </c>
      <c r="X359" s="154" t="s">
        <v>66</v>
      </c>
      <c r="Y359" s="154" t="s">
        <v>66</v>
      </c>
      <c r="Z359" s="154" t="s">
        <v>66</v>
      </c>
      <c r="AA359" s="154"/>
      <c r="AB359" s="242" t="str">
        <f t="shared" si="2"/>
        <v>#ERROR!</v>
      </c>
      <c r="AC359" s="154" t="s">
        <v>391</v>
      </c>
      <c r="AD359" s="242" t="b">
        <f t="shared" si="3"/>
        <v>0</v>
      </c>
      <c r="AE359" s="154"/>
      <c r="AF359" s="242" t="str">
        <f t="shared" si="4"/>
        <v>#ERROR!</v>
      </c>
      <c r="AG359" s="154" t="s">
        <v>652</v>
      </c>
      <c r="AH359" s="242" t="str">
        <f>IF(AG359="","N/A",INDIRECT("MTR!"&amp;ADDRESS(MATCH(LEFT(AG359,9),[1]MTR!C:C,0),COLUMN(J359)),TRUE) &amp; "")</f>
        <v>#ERROR!</v>
      </c>
      <c r="AI359" s="157" t="str">
        <f t="shared" si="5"/>
        <v>#ERROR!</v>
      </c>
    </row>
    <row r="360" ht="12.75" customHeight="1">
      <c r="A360" s="244" t="s">
        <v>5158</v>
      </c>
      <c r="B360" s="244" t="s">
        <v>231</v>
      </c>
      <c r="C360" s="244" t="s">
        <v>7741</v>
      </c>
      <c r="D360" s="154" t="s">
        <v>1315</v>
      </c>
      <c r="E360" s="154"/>
      <c r="F360" s="154" t="str">
        <f t="array" ref="F360">XLOOKUP(Cover!$D$12,$R$1:$Z$1,$R360:$Z360)</f>
        <v>Information</v>
      </c>
      <c r="G360" s="154" t="s">
        <v>7742</v>
      </c>
      <c r="H360" s="154" t="s">
        <v>7323</v>
      </c>
      <c r="I360" s="154" t="s">
        <v>7735</v>
      </c>
      <c r="J360" s="154" t="s">
        <v>7736</v>
      </c>
      <c r="K360" s="154" t="s">
        <v>7305</v>
      </c>
      <c r="L360" s="154" t="s">
        <v>6884</v>
      </c>
      <c r="M360" s="154"/>
      <c r="N360" s="154" t="s">
        <v>759</v>
      </c>
      <c r="O360" s="247" t="s">
        <v>516</v>
      </c>
      <c r="P360" s="247" t="s">
        <v>6776</v>
      </c>
      <c r="Q360" s="154" t="str">
        <f t="shared" si="1"/>
        <v>#ERROR!</v>
      </c>
      <c r="R360" s="154" t="s">
        <v>66</v>
      </c>
      <c r="S360" s="154" t="s">
        <v>66</v>
      </c>
      <c r="T360" s="154" t="s">
        <v>66</v>
      </c>
      <c r="U360" s="154" t="s">
        <v>66</v>
      </c>
      <c r="V360" s="154" t="s">
        <v>66</v>
      </c>
      <c r="W360" s="154" t="s">
        <v>66</v>
      </c>
      <c r="X360" s="154" t="s">
        <v>66</v>
      </c>
      <c r="Y360" s="154" t="s">
        <v>66</v>
      </c>
      <c r="Z360" s="154" t="s">
        <v>66</v>
      </c>
      <c r="AA360" s="154"/>
      <c r="AB360" s="242" t="str">
        <f t="shared" si="2"/>
        <v>#ERROR!</v>
      </c>
      <c r="AC360" s="154" t="s">
        <v>391</v>
      </c>
      <c r="AD360" s="242" t="b">
        <f t="shared" si="3"/>
        <v>0</v>
      </c>
      <c r="AE360" s="154"/>
      <c r="AF360" s="242" t="str">
        <f t="shared" si="4"/>
        <v>#ERROR!</v>
      </c>
      <c r="AG360" s="154" t="s">
        <v>652</v>
      </c>
      <c r="AH360" s="242" t="str">
        <f>IF(AG360="","N/A",INDIRECT("MTR!"&amp;ADDRESS(MATCH(LEFT(AG360,9),[1]MTR!C:C,0),COLUMN(J360)),TRUE) &amp; "")</f>
        <v>#ERROR!</v>
      </c>
      <c r="AI360" s="157" t="str">
        <f t="shared" si="5"/>
        <v>#ERROR!</v>
      </c>
    </row>
    <row r="361" ht="12.75" customHeight="1">
      <c r="A361" s="244" t="s">
        <v>5158</v>
      </c>
      <c r="B361" s="244" t="s">
        <v>231</v>
      </c>
      <c r="C361" s="244" t="s">
        <v>7743</v>
      </c>
      <c r="D361" s="154" t="s">
        <v>1069</v>
      </c>
      <c r="E361" s="154"/>
      <c r="F361" s="154" t="str">
        <f t="array" ref="F361">XLOOKUP(Cover!$D$12,$R$1:$Z$1,$R361:$Z361)</f>
        <v>Information</v>
      </c>
      <c r="G361" s="154" t="s">
        <v>7744</v>
      </c>
      <c r="H361" s="154" t="s">
        <v>7314</v>
      </c>
      <c r="I361" s="154" t="s">
        <v>7745</v>
      </c>
      <c r="J361" s="154" t="s">
        <v>7746</v>
      </c>
      <c r="K361" s="154" t="s">
        <v>7305</v>
      </c>
      <c r="L361" s="154" t="s">
        <v>6154</v>
      </c>
      <c r="M361" s="154"/>
      <c r="N361" s="154" t="s">
        <v>759</v>
      </c>
      <c r="O361" s="247" t="s">
        <v>516</v>
      </c>
      <c r="P361" s="247" t="s">
        <v>6776</v>
      </c>
      <c r="Q361" s="154" t="str">
        <f t="shared" si="1"/>
        <v>#ERROR!</v>
      </c>
      <c r="R361" s="154" t="s">
        <v>66</v>
      </c>
      <c r="S361" s="154" t="s">
        <v>66</v>
      </c>
      <c r="T361" s="154" t="s">
        <v>66</v>
      </c>
      <c r="U361" s="154" t="s">
        <v>66</v>
      </c>
      <c r="V361" s="154" t="s">
        <v>66</v>
      </c>
      <c r="W361" s="154" t="s">
        <v>66</v>
      </c>
      <c r="X361" s="154" t="s">
        <v>66</v>
      </c>
      <c r="Y361" s="154" t="s">
        <v>66</v>
      </c>
      <c r="Z361" s="154" t="s">
        <v>66</v>
      </c>
      <c r="AA361" s="154"/>
      <c r="AB361" s="242" t="str">
        <f t="shared" si="2"/>
        <v>#ERROR!</v>
      </c>
      <c r="AC361" s="154" t="s">
        <v>391</v>
      </c>
      <c r="AD361" s="242" t="b">
        <f t="shared" si="3"/>
        <v>0</v>
      </c>
      <c r="AE361" s="154"/>
      <c r="AF361" s="242" t="str">
        <f t="shared" si="4"/>
        <v>#ERROR!</v>
      </c>
      <c r="AG361" s="154" t="s">
        <v>652</v>
      </c>
      <c r="AH361" s="242" t="str">
        <f>IF(AG361="","N/A",INDIRECT("MTR!"&amp;ADDRESS(MATCH(LEFT(AG361,9),[1]MTR!C:C,0),COLUMN(J361)),TRUE) &amp; "")</f>
        <v>#ERROR!</v>
      </c>
      <c r="AI361" s="157" t="str">
        <f t="shared" si="5"/>
        <v>#ERROR!</v>
      </c>
    </row>
    <row r="362" ht="12.75" customHeight="1">
      <c r="A362" s="244" t="s">
        <v>5158</v>
      </c>
      <c r="B362" s="244" t="s">
        <v>231</v>
      </c>
      <c r="C362" s="244" t="s">
        <v>7747</v>
      </c>
      <c r="D362" s="154" t="s">
        <v>1069</v>
      </c>
      <c r="E362" s="154"/>
      <c r="F362" s="154" t="str">
        <f t="array" ref="F362">XLOOKUP(Cover!$D$12,$R$1:$Z$1,$R362:$Z362)</f>
        <v>Information</v>
      </c>
      <c r="G362" s="154" t="s">
        <v>7748</v>
      </c>
      <c r="H362" s="154" t="s">
        <v>7320</v>
      </c>
      <c r="I362" s="154" t="s">
        <v>7745</v>
      </c>
      <c r="J362" s="154" t="s">
        <v>7746</v>
      </c>
      <c r="K362" s="154" t="s">
        <v>7305</v>
      </c>
      <c r="L362" s="154" t="s">
        <v>6154</v>
      </c>
      <c r="M362" s="154"/>
      <c r="N362" s="154" t="s">
        <v>759</v>
      </c>
      <c r="O362" s="247" t="s">
        <v>516</v>
      </c>
      <c r="P362" s="247" t="s">
        <v>6776</v>
      </c>
      <c r="Q362" s="154" t="str">
        <f t="shared" si="1"/>
        <v>#ERROR!</v>
      </c>
      <c r="R362" s="154" t="s">
        <v>66</v>
      </c>
      <c r="S362" s="154" t="s">
        <v>66</v>
      </c>
      <c r="T362" s="154" t="s">
        <v>66</v>
      </c>
      <c r="U362" s="154" t="s">
        <v>66</v>
      </c>
      <c r="V362" s="154" t="s">
        <v>66</v>
      </c>
      <c r="W362" s="154" t="s">
        <v>66</v>
      </c>
      <c r="X362" s="154" t="s">
        <v>66</v>
      </c>
      <c r="Y362" s="154" t="s">
        <v>66</v>
      </c>
      <c r="Z362" s="154" t="s">
        <v>66</v>
      </c>
      <c r="AA362" s="154"/>
      <c r="AB362" s="242" t="str">
        <f t="shared" si="2"/>
        <v>#ERROR!</v>
      </c>
      <c r="AC362" s="154" t="s">
        <v>391</v>
      </c>
      <c r="AD362" s="242" t="b">
        <f t="shared" si="3"/>
        <v>0</v>
      </c>
      <c r="AE362" s="154"/>
      <c r="AF362" s="242" t="str">
        <f t="shared" si="4"/>
        <v>#ERROR!</v>
      </c>
      <c r="AG362" s="154" t="s">
        <v>652</v>
      </c>
      <c r="AH362" s="242" t="str">
        <f>IF(AG362="","N/A",INDIRECT("MTR!"&amp;ADDRESS(MATCH(LEFT(AG362,9),[1]MTR!C:C,0),COLUMN(J362)),TRUE) &amp; "")</f>
        <v>#ERROR!</v>
      </c>
      <c r="AI362" s="157" t="str">
        <f t="shared" si="5"/>
        <v>#ERROR!</v>
      </c>
    </row>
    <row r="363" ht="12.75" customHeight="1">
      <c r="A363" s="244" t="s">
        <v>5158</v>
      </c>
      <c r="B363" s="244" t="s">
        <v>231</v>
      </c>
      <c r="C363" s="244" t="s">
        <v>7749</v>
      </c>
      <c r="D363" s="154" t="s">
        <v>1069</v>
      </c>
      <c r="E363" s="154"/>
      <c r="F363" s="154" t="str">
        <f t="array" ref="F363">XLOOKUP(Cover!$D$12,$R$1:$Z$1,$R363:$Z363)</f>
        <v>Information</v>
      </c>
      <c r="G363" s="154" t="s">
        <v>7750</v>
      </c>
      <c r="H363" s="154" t="s">
        <v>7323</v>
      </c>
      <c r="I363" s="154" t="s">
        <v>7745</v>
      </c>
      <c r="J363" s="154" t="s">
        <v>7746</v>
      </c>
      <c r="K363" s="154" t="s">
        <v>7305</v>
      </c>
      <c r="L363" s="154" t="s">
        <v>6154</v>
      </c>
      <c r="M363" s="154"/>
      <c r="N363" s="154" t="s">
        <v>759</v>
      </c>
      <c r="O363" s="247" t="s">
        <v>516</v>
      </c>
      <c r="P363" s="247" t="s">
        <v>6776</v>
      </c>
      <c r="Q363" s="154" t="str">
        <f t="shared" si="1"/>
        <v>#ERROR!</v>
      </c>
      <c r="R363" s="154" t="s">
        <v>66</v>
      </c>
      <c r="S363" s="154" t="s">
        <v>66</v>
      </c>
      <c r="T363" s="154" t="s">
        <v>66</v>
      </c>
      <c r="U363" s="154" t="s">
        <v>66</v>
      </c>
      <c r="V363" s="154" t="s">
        <v>66</v>
      </c>
      <c r="W363" s="154" t="s">
        <v>66</v>
      </c>
      <c r="X363" s="154" t="s">
        <v>66</v>
      </c>
      <c r="Y363" s="154" t="s">
        <v>66</v>
      </c>
      <c r="Z363" s="154" t="s">
        <v>66</v>
      </c>
      <c r="AA363" s="154"/>
      <c r="AB363" s="242" t="str">
        <f t="shared" si="2"/>
        <v>#ERROR!</v>
      </c>
      <c r="AC363" s="154" t="s">
        <v>391</v>
      </c>
      <c r="AD363" s="242" t="b">
        <f t="shared" si="3"/>
        <v>0</v>
      </c>
      <c r="AE363" s="154"/>
      <c r="AF363" s="242" t="str">
        <f t="shared" si="4"/>
        <v>#ERROR!</v>
      </c>
      <c r="AG363" s="154" t="s">
        <v>652</v>
      </c>
      <c r="AH363" s="242" t="str">
        <f>IF(AG363="","N/A",INDIRECT("MTR!"&amp;ADDRESS(MATCH(LEFT(AG363,9),[1]MTR!C:C,0),COLUMN(J363)),TRUE) &amp; "")</f>
        <v>#ERROR!</v>
      </c>
      <c r="AI363" s="157" t="str">
        <f t="shared" si="5"/>
        <v>#ERROR!</v>
      </c>
    </row>
    <row r="364" ht="12.75" customHeight="1">
      <c r="A364" s="244" t="s">
        <v>5158</v>
      </c>
      <c r="B364" s="244" t="s">
        <v>231</v>
      </c>
      <c r="C364" s="244" t="s">
        <v>7751</v>
      </c>
      <c r="D364" s="154" t="s">
        <v>1069</v>
      </c>
      <c r="E364" s="154"/>
      <c r="F364" s="154" t="str">
        <f t="array" ref="F364">XLOOKUP(Cover!$D$12,$R$1:$Z$1,$R364:$Z364)</f>
        <v>Information</v>
      </c>
      <c r="G364" s="154" t="s">
        <v>7752</v>
      </c>
      <c r="H364" s="154" t="s">
        <v>7314</v>
      </c>
      <c r="I364" s="154" t="s">
        <v>7753</v>
      </c>
      <c r="J364" s="154" t="s">
        <v>7754</v>
      </c>
      <c r="K364" s="154" t="s">
        <v>7305</v>
      </c>
      <c r="L364" s="154" t="s">
        <v>6154</v>
      </c>
      <c r="M364" s="154"/>
      <c r="N364" s="154" t="s">
        <v>759</v>
      </c>
      <c r="O364" s="247" t="s">
        <v>516</v>
      </c>
      <c r="P364" s="247" t="s">
        <v>6776</v>
      </c>
      <c r="Q364" s="154" t="str">
        <f t="shared" si="1"/>
        <v>#ERROR!</v>
      </c>
      <c r="R364" s="154" t="s">
        <v>66</v>
      </c>
      <c r="S364" s="154" t="s">
        <v>66</v>
      </c>
      <c r="T364" s="154" t="s">
        <v>66</v>
      </c>
      <c r="U364" s="154" t="s">
        <v>66</v>
      </c>
      <c r="V364" s="154" t="s">
        <v>66</v>
      </c>
      <c r="W364" s="154" t="s">
        <v>66</v>
      </c>
      <c r="X364" s="154" t="s">
        <v>66</v>
      </c>
      <c r="Y364" s="154" t="s">
        <v>66</v>
      </c>
      <c r="Z364" s="154" t="s">
        <v>66</v>
      </c>
      <c r="AA364" s="154"/>
      <c r="AB364" s="242" t="str">
        <f t="shared" si="2"/>
        <v>#ERROR!</v>
      </c>
      <c r="AC364" s="154" t="s">
        <v>391</v>
      </c>
      <c r="AD364" s="242" t="b">
        <f t="shared" si="3"/>
        <v>0</v>
      </c>
      <c r="AE364" s="154"/>
      <c r="AF364" s="242" t="str">
        <f t="shared" si="4"/>
        <v>#ERROR!</v>
      </c>
      <c r="AG364" s="154" t="s">
        <v>652</v>
      </c>
      <c r="AH364" s="242" t="str">
        <f>IF(AG364="","N/A",INDIRECT("MTR!"&amp;ADDRESS(MATCH(LEFT(AG364,9),[1]MTR!C:C,0),COLUMN(J364)),TRUE) &amp; "")</f>
        <v>#ERROR!</v>
      </c>
      <c r="AI364" s="157" t="str">
        <f t="shared" si="5"/>
        <v>#ERROR!</v>
      </c>
    </row>
    <row r="365" ht="12.75" customHeight="1">
      <c r="A365" s="244" t="s">
        <v>5158</v>
      </c>
      <c r="B365" s="244" t="s">
        <v>231</v>
      </c>
      <c r="C365" s="244" t="s">
        <v>7755</v>
      </c>
      <c r="D365" s="154" t="s">
        <v>1069</v>
      </c>
      <c r="E365" s="154"/>
      <c r="F365" s="154" t="str">
        <f t="array" ref="F365">XLOOKUP(Cover!$D$12,$R$1:$Z$1,$R365:$Z365)</f>
        <v>Information</v>
      </c>
      <c r="G365" s="154" t="s">
        <v>7756</v>
      </c>
      <c r="H365" s="154" t="s">
        <v>7320</v>
      </c>
      <c r="I365" s="154" t="s">
        <v>7753</v>
      </c>
      <c r="J365" s="154" t="s">
        <v>7754</v>
      </c>
      <c r="K365" s="154" t="s">
        <v>7305</v>
      </c>
      <c r="L365" s="154" t="s">
        <v>6154</v>
      </c>
      <c r="M365" s="154"/>
      <c r="N365" s="154" t="s">
        <v>759</v>
      </c>
      <c r="O365" s="247" t="s">
        <v>516</v>
      </c>
      <c r="P365" s="247" t="s">
        <v>6776</v>
      </c>
      <c r="Q365" s="154" t="str">
        <f t="shared" si="1"/>
        <v>#ERROR!</v>
      </c>
      <c r="R365" s="154" t="s">
        <v>66</v>
      </c>
      <c r="S365" s="154" t="s">
        <v>66</v>
      </c>
      <c r="T365" s="154" t="s">
        <v>66</v>
      </c>
      <c r="U365" s="154" t="s">
        <v>66</v>
      </c>
      <c r="V365" s="154" t="s">
        <v>66</v>
      </c>
      <c r="W365" s="154" t="s">
        <v>66</v>
      </c>
      <c r="X365" s="154" t="s">
        <v>66</v>
      </c>
      <c r="Y365" s="154" t="s">
        <v>66</v>
      </c>
      <c r="Z365" s="154" t="s">
        <v>66</v>
      </c>
      <c r="AA365" s="154"/>
      <c r="AB365" s="242" t="str">
        <f t="shared" si="2"/>
        <v>#ERROR!</v>
      </c>
      <c r="AC365" s="154" t="s">
        <v>391</v>
      </c>
      <c r="AD365" s="242" t="b">
        <f t="shared" si="3"/>
        <v>0</v>
      </c>
      <c r="AE365" s="154"/>
      <c r="AF365" s="242" t="str">
        <f t="shared" si="4"/>
        <v>#ERROR!</v>
      </c>
      <c r="AG365" s="154" t="s">
        <v>652</v>
      </c>
      <c r="AH365" s="242" t="str">
        <f>IF(AG365="","N/A",INDIRECT("MTR!"&amp;ADDRESS(MATCH(LEFT(AG365,9),[1]MTR!C:C,0),COLUMN(J365)),TRUE) &amp; "")</f>
        <v>#ERROR!</v>
      </c>
      <c r="AI365" s="157" t="str">
        <f t="shared" si="5"/>
        <v>#ERROR!</v>
      </c>
    </row>
    <row r="366" ht="12.75" customHeight="1">
      <c r="A366" s="244" t="s">
        <v>5158</v>
      </c>
      <c r="B366" s="244" t="s">
        <v>231</v>
      </c>
      <c r="C366" s="244" t="s">
        <v>7757</v>
      </c>
      <c r="D366" s="154" t="s">
        <v>1069</v>
      </c>
      <c r="E366" s="154"/>
      <c r="F366" s="154" t="str">
        <f t="array" ref="F366">XLOOKUP(Cover!$D$12,$R$1:$Z$1,$R366:$Z366)</f>
        <v>Information</v>
      </c>
      <c r="G366" s="154" t="s">
        <v>7758</v>
      </c>
      <c r="H366" s="154" t="s">
        <v>7314</v>
      </c>
      <c r="I366" s="154" t="s">
        <v>7759</v>
      </c>
      <c r="J366" s="154" t="s">
        <v>7760</v>
      </c>
      <c r="K366" s="154" t="s">
        <v>7305</v>
      </c>
      <c r="L366" s="154" t="s">
        <v>6154</v>
      </c>
      <c r="M366" s="154"/>
      <c r="N366" s="154" t="s">
        <v>759</v>
      </c>
      <c r="O366" s="247" t="s">
        <v>516</v>
      </c>
      <c r="P366" s="247" t="s">
        <v>6776</v>
      </c>
      <c r="Q366" s="154" t="str">
        <f t="shared" si="1"/>
        <v>#ERROR!</v>
      </c>
      <c r="R366" s="154" t="s">
        <v>66</v>
      </c>
      <c r="S366" s="154" t="s">
        <v>66</v>
      </c>
      <c r="T366" s="154" t="s">
        <v>66</v>
      </c>
      <c r="U366" s="154" t="s">
        <v>66</v>
      </c>
      <c r="V366" s="154" t="s">
        <v>66</v>
      </c>
      <c r="W366" s="154" t="s">
        <v>66</v>
      </c>
      <c r="X366" s="154" t="s">
        <v>66</v>
      </c>
      <c r="Y366" s="154" t="s">
        <v>66</v>
      </c>
      <c r="Z366" s="154" t="s">
        <v>66</v>
      </c>
      <c r="AA366" s="154"/>
      <c r="AB366" s="242" t="str">
        <f t="shared" si="2"/>
        <v>#ERROR!</v>
      </c>
      <c r="AC366" s="154" t="s">
        <v>391</v>
      </c>
      <c r="AD366" s="242" t="b">
        <f t="shared" si="3"/>
        <v>0</v>
      </c>
      <c r="AE366" s="154"/>
      <c r="AF366" s="242" t="str">
        <f t="shared" si="4"/>
        <v>#ERROR!</v>
      </c>
      <c r="AG366" s="154" t="s">
        <v>652</v>
      </c>
      <c r="AH366" s="242" t="str">
        <f>IF(AG366="","N/A",INDIRECT("MTR!"&amp;ADDRESS(MATCH(LEFT(AG366,9),[1]MTR!C:C,0),COLUMN(J366)),TRUE) &amp; "")</f>
        <v>#ERROR!</v>
      </c>
      <c r="AI366" s="157" t="str">
        <f t="shared" si="5"/>
        <v>#ERROR!</v>
      </c>
    </row>
    <row r="367" ht="12.75" customHeight="1">
      <c r="A367" s="244" t="s">
        <v>5158</v>
      </c>
      <c r="B367" s="244" t="s">
        <v>231</v>
      </c>
      <c r="C367" s="244" t="s">
        <v>7761</v>
      </c>
      <c r="D367" s="154" t="s">
        <v>1069</v>
      </c>
      <c r="E367" s="154"/>
      <c r="F367" s="154" t="str">
        <f t="array" ref="F367">XLOOKUP(Cover!$D$12,$R$1:$Z$1,$R367:$Z367)</f>
        <v>Information</v>
      </c>
      <c r="G367" s="154" t="s">
        <v>7762</v>
      </c>
      <c r="H367" s="154" t="s">
        <v>7323</v>
      </c>
      <c r="I367" s="154" t="s">
        <v>7759</v>
      </c>
      <c r="J367" s="154" t="s">
        <v>7760</v>
      </c>
      <c r="K367" s="154" t="s">
        <v>7305</v>
      </c>
      <c r="L367" s="154" t="s">
        <v>6154</v>
      </c>
      <c r="M367" s="154"/>
      <c r="N367" s="154" t="s">
        <v>759</v>
      </c>
      <c r="O367" s="247" t="s">
        <v>516</v>
      </c>
      <c r="P367" s="247" t="s">
        <v>6776</v>
      </c>
      <c r="Q367" s="154" t="str">
        <f t="shared" si="1"/>
        <v>#ERROR!</v>
      </c>
      <c r="R367" s="154" t="s">
        <v>66</v>
      </c>
      <c r="S367" s="154" t="s">
        <v>66</v>
      </c>
      <c r="T367" s="154" t="s">
        <v>66</v>
      </c>
      <c r="U367" s="154" t="s">
        <v>66</v>
      </c>
      <c r="V367" s="154" t="s">
        <v>66</v>
      </c>
      <c r="W367" s="154" t="s">
        <v>66</v>
      </c>
      <c r="X367" s="154" t="s">
        <v>66</v>
      </c>
      <c r="Y367" s="154" t="s">
        <v>66</v>
      </c>
      <c r="Z367" s="154" t="s">
        <v>66</v>
      </c>
      <c r="AA367" s="154"/>
      <c r="AB367" s="242" t="str">
        <f t="shared" si="2"/>
        <v>#ERROR!</v>
      </c>
      <c r="AC367" s="154" t="s">
        <v>391</v>
      </c>
      <c r="AD367" s="242" t="b">
        <f t="shared" si="3"/>
        <v>0</v>
      </c>
      <c r="AE367" s="154"/>
      <c r="AF367" s="242" t="str">
        <f t="shared" si="4"/>
        <v>#ERROR!</v>
      </c>
      <c r="AG367" s="154" t="s">
        <v>652</v>
      </c>
      <c r="AH367" s="242" t="str">
        <f>IF(AG367="","N/A",INDIRECT("MTR!"&amp;ADDRESS(MATCH(LEFT(AG367,9),[1]MTR!C:C,0),COLUMN(J367)),TRUE) &amp; "")</f>
        <v>#ERROR!</v>
      </c>
      <c r="AI367" s="157" t="str">
        <f t="shared" si="5"/>
        <v>#ERROR!</v>
      </c>
    </row>
    <row r="368" ht="12.75" customHeight="1">
      <c r="A368" s="244" t="s">
        <v>5158</v>
      </c>
      <c r="B368" s="244" t="s">
        <v>231</v>
      </c>
      <c r="C368" s="244" t="s">
        <v>7763</v>
      </c>
      <c r="D368" s="154" t="s">
        <v>1315</v>
      </c>
      <c r="E368" s="154"/>
      <c r="F368" s="154" t="str">
        <f t="array" ref="F368">XLOOKUP(Cover!$D$12,$R$1:$Z$1,$R368:$Z368)</f>
        <v>Information</v>
      </c>
      <c r="G368" s="154" t="s">
        <v>7764</v>
      </c>
      <c r="H368" s="154" t="s">
        <v>7314</v>
      </c>
      <c r="I368" s="154" t="s">
        <v>7765</v>
      </c>
      <c r="J368" s="154" t="s">
        <v>7271</v>
      </c>
      <c r="K368" s="154" t="s">
        <v>7305</v>
      </c>
      <c r="L368" s="154" t="s">
        <v>6905</v>
      </c>
      <c r="M368" s="154"/>
      <c r="N368" s="154" t="s">
        <v>759</v>
      </c>
      <c r="O368" s="247" t="s">
        <v>516</v>
      </c>
      <c r="P368" s="247" t="s">
        <v>6776</v>
      </c>
      <c r="Q368" s="154" t="str">
        <f t="shared" si="1"/>
        <v>#ERROR!</v>
      </c>
      <c r="R368" s="154" t="s">
        <v>66</v>
      </c>
      <c r="S368" s="154" t="s">
        <v>66</v>
      </c>
      <c r="T368" s="154" t="s">
        <v>66</v>
      </c>
      <c r="U368" s="154" t="s">
        <v>66</v>
      </c>
      <c r="V368" s="154" t="s">
        <v>66</v>
      </c>
      <c r="W368" s="154" t="s">
        <v>66</v>
      </c>
      <c r="X368" s="154" t="s">
        <v>66</v>
      </c>
      <c r="Y368" s="154" t="s">
        <v>66</v>
      </c>
      <c r="Z368" s="154" t="s">
        <v>66</v>
      </c>
      <c r="AA368" s="154"/>
      <c r="AB368" s="242" t="str">
        <f t="shared" si="2"/>
        <v>#ERROR!</v>
      </c>
      <c r="AC368" s="154" t="s">
        <v>391</v>
      </c>
      <c r="AD368" s="242" t="b">
        <f t="shared" si="3"/>
        <v>0</v>
      </c>
      <c r="AE368" s="154"/>
      <c r="AF368" s="242" t="str">
        <f t="shared" si="4"/>
        <v>#ERROR!</v>
      </c>
      <c r="AG368" s="154" t="s">
        <v>652</v>
      </c>
      <c r="AH368" s="242" t="str">
        <f>IF(AG368="","N/A",INDIRECT("MTR!"&amp;ADDRESS(MATCH(LEFT(AG368,9),[1]MTR!C:C,0),COLUMN(J368)),TRUE) &amp; "")</f>
        <v>#ERROR!</v>
      </c>
      <c r="AI368" s="157" t="str">
        <f t="shared" si="5"/>
        <v>#ERROR!</v>
      </c>
    </row>
    <row r="369" ht="12.75" customHeight="1">
      <c r="A369" s="244" t="s">
        <v>5158</v>
      </c>
      <c r="B369" s="244" t="s">
        <v>231</v>
      </c>
      <c r="C369" s="244" t="s">
        <v>7766</v>
      </c>
      <c r="D369" s="154" t="s">
        <v>1315</v>
      </c>
      <c r="E369" s="154"/>
      <c r="F369" s="154" t="str">
        <f t="array" ref="F369">XLOOKUP(Cover!$D$12,$R$1:$Z$1,$R369:$Z369)</f>
        <v>Information</v>
      </c>
      <c r="G369" s="154" t="s">
        <v>7767</v>
      </c>
      <c r="H369" s="154" t="s">
        <v>7320</v>
      </c>
      <c r="I369" s="154" t="s">
        <v>7765</v>
      </c>
      <c r="J369" s="154" t="s">
        <v>7271</v>
      </c>
      <c r="K369" s="154" t="s">
        <v>7305</v>
      </c>
      <c r="L369" s="154" t="s">
        <v>6905</v>
      </c>
      <c r="M369" s="154"/>
      <c r="N369" s="154" t="s">
        <v>759</v>
      </c>
      <c r="O369" s="247" t="s">
        <v>516</v>
      </c>
      <c r="P369" s="247" t="s">
        <v>6776</v>
      </c>
      <c r="Q369" s="154" t="str">
        <f t="shared" si="1"/>
        <v>#ERROR!</v>
      </c>
      <c r="R369" s="154" t="s">
        <v>66</v>
      </c>
      <c r="S369" s="154" t="s">
        <v>66</v>
      </c>
      <c r="T369" s="154" t="s">
        <v>66</v>
      </c>
      <c r="U369" s="154" t="s">
        <v>66</v>
      </c>
      <c r="V369" s="154" t="s">
        <v>66</v>
      </c>
      <c r="W369" s="154" t="s">
        <v>66</v>
      </c>
      <c r="X369" s="154" t="s">
        <v>66</v>
      </c>
      <c r="Y369" s="154" t="s">
        <v>66</v>
      </c>
      <c r="Z369" s="154" t="s">
        <v>66</v>
      </c>
      <c r="AA369" s="154"/>
      <c r="AB369" s="242" t="str">
        <f t="shared" si="2"/>
        <v>#ERROR!</v>
      </c>
      <c r="AC369" s="154" t="s">
        <v>391</v>
      </c>
      <c r="AD369" s="242" t="b">
        <f t="shared" si="3"/>
        <v>0</v>
      </c>
      <c r="AE369" s="154"/>
      <c r="AF369" s="242" t="str">
        <f t="shared" si="4"/>
        <v>#ERROR!</v>
      </c>
      <c r="AG369" s="154" t="s">
        <v>652</v>
      </c>
      <c r="AH369" s="242" t="str">
        <f>IF(AG369="","N/A",INDIRECT("MTR!"&amp;ADDRESS(MATCH(LEFT(AG369,9),[1]MTR!C:C,0),COLUMN(J369)),TRUE) &amp; "")</f>
        <v>#ERROR!</v>
      </c>
      <c r="AI369" s="157" t="str">
        <f t="shared" si="5"/>
        <v>#ERROR!</v>
      </c>
    </row>
    <row r="370" ht="12.75" customHeight="1">
      <c r="A370" s="244" t="s">
        <v>5158</v>
      </c>
      <c r="B370" s="244" t="s">
        <v>231</v>
      </c>
      <c r="C370" s="244" t="s">
        <v>7768</v>
      </c>
      <c r="D370" s="154" t="s">
        <v>1315</v>
      </c>
      <c r="E370" s="154"/>
      <c r="F370" s="154" t="str">
        <f t="array" ref="F370">XLOOKUP(Cover!$D$12,$R$1:$Z$1,$R370:$Z370)</f>
        <v>Information</v>
      </c>
      <c r="G370" s="154" t="s">
        <v>7769</v>
      </c>
      <c r="H370" s="154" t="s">
        <v>7323</v>
      </c>
      <c r="I370" s="154" t="s">
        <v>7765</v>
      </c>
      <c r="J370" s="154" t="s">
        <v>7271</v>
      </c>
      <c r="K370" s="154" t="s">
        <v>7305</v>
      </c>
      <c r="L370" s="154" t="s">
        <v>6905</v>
      </c>
      <c r="M370" s="154"/>
      <c r="N370" s="154" t="s">
        <v>759</v>
      </c>
      <c r="O370" s="247" t="s">
        <v>516</v>
      </c>
      <c r="P370" s="247" t="s">
        <v>6776</v>
      </c>
      <c r="Q370" s="154" t="str">
        <f t="shared" si="1"/>
        <v>#ERROR!</v>
      </c>
      <c r="R370" s="154" t="s">
        <v>66</v>
      </c>
      <c r="S370" s="154" t="s">
        <v>66</v>
      </c>
      <c r="T370" s="154" t="s">
        <v>66</v>
      </c>
      <c r="U370" s="154" t="s">
        <v>66</v>
      </c>
      <c r="V370" s="154" t="s">
        <v>66</v>
      </c>
      <c r="W370" s="154" t="s">
        <v>66</v>
      </c>
      <c r="X370" s="154" t="s">
        <v>66</v>
      </c>
      <c r="Y370" s="154" t="s">
        <v>66</v>
      </c>
      <c r="Z370" s="154" t="s">
        <v>66</v>
      </c>
      <c r="AA370" s="154"/>
      <c r="AB370" s="242" t="str">
        <f t="shared" si="2"/>
        <v>#ERROR!</v>
      </c>
      <c r="AC370" s="154" t="s">
        <v>391</v>
      </c>
      <c r="AD370" s="242" t="b">
        <f t="shared" si="3"/>
        <v>0</v>
      </c>
      <c r="AE370" s="154"/>
      <c r="AF370" s="242" t="str">
        <f t="shared" si="4"/>
        <v>#ERROR!</v>
      </c>
      <c r="AG370" s="154" t="s">
        <v>652</v>
      </c>
      <c r="AH370" s="242" t="str">
        <f>IF(AG370="","N/A",INDIRECT("MTR!"&amp;ADDRESS(MATCH(LEFT(AG370,9),[1]MTR!C:C,0),COLUMN(J370)),TRUE) &amp; "")</f>
        <v>#ERROR!</v>
      </c>
      <c r="AI370" s="157" t="str">
        <f t="shared" si="5"/>
        <v>#ERROR!</v>
      </c>
    </row>
    <row r="371" ht="12.75" customHeight="1">
      <c r="A371" s="238" t="s">
        <v>5158</v>
      </c>
      <c r="B371" s="238" t="s">
        <v>231</v>
      </c>
      <c r="C371" s="238" t="s">
        <v>7770</v>
      </c>
      <c r="D371" s="240"/>
      <c r="E371" s="240" t="s">
        <v>92</v>
      </c>
      <c r="F371" s="240" t="str">
        <f t="array" ref="F371">XLOOKUP(Cover!$D$12,$R$1:$Z$1,$R371:$Z371)</f>
        <v>Heading</v>
      </c>
      <c r="G371" s="239" t="s">
        <v>7771</v>
      </c>
      <c r="H371" s="240"/>
      <c r="I371" s="240"/>
      <c r="J371" s="240"/>
      <c r="K371" s="240"/>
      <c r="L371" s="240"/>
      <c r="M371" s="240"/>
      <c r="N371" s="240" t="s">
        <v>759</v>
      </c>
      <c r="O371" s="240"/>
      <c r="P371" s="240"/>
      <c r="Q371" s="240" t="str">
        <f t="shared" si="1"/>
        <v/>
      </c>
      <c r="R371" s="240" t="s">
        <v>390</v>
      </c>
      <c r="S371" s="240" t="s">
        <v>390</v>
      </c>
      <c r="T371" s="240" t="s">
        <v>390</v>
      </c>
      <c r="U371" s="240" t="s">
        <v>390</v>
      </c>
      <c r="V371" s="240" t="s">
        <v>390</v>
      </c>
      <c r="W371" s="240" t="s">
        <v>390</v>
      </c>
      <c r="X371" s="240" t="s">
        <v>390</v>
      </c>
      <c r="Y371" s="240" t="s">
        <v>390</v>
      </c>
      <c r="Z371" s="240" t="s">
        <v>390</v>
      </c>
      <c r="AA371" s="240"/>
      <c r="AB371" s="242" t="str">
        <f t="shared" si="2"/>
        <v>#ERROR!</v>
      </c>
      <c r="AC371" s="240" t="s">
        <v>391</v>
      </c>
      <c r="AD371" s="242" t="b">
        <f t="shared" si="3"/>
        <v>0</v>
      </c>
      <c r="AE371" s="240"/>
      <c r="AF371" s="242" t="str">
        <f t="shared" si="4"/>
        <v>#ERROR!</v>
      </c>
      <c r="AG371" s="240"/>
      <c r="AH371" s="242" t="str">
        <f>IF(AG371="","N/A",INDIRECT("MTR!"&amp;ADDRESS(MATCH(LEFT(AG371,9),[1]MTR!C:C,0),COLUMN(J371)),TRUE) &amp; "")</f>
        <v>#ERROR!</v>
      </c>
      <c r="AI371" s="157" t="str">
        <f t="shared" si="5"/>
        <v/>
      </c>
    </row>
    <row r="372" ht="12.75" customHeight="1">
      <c r="A372" s="244" t="s">
        <v>5158</v>
      </c>
      <c r="B372" s="244" t="s">
        <v>231</v>
      </c>
      <c r="C372" s="244" t="s">
        <v>7772</v>
      </c>
      <c r="D372" s="154" t="s">
        <v>1315</v>
      </c>
      <c r="E372" s="154"/>
      <c r="F372" s="154" t="str">
        <f t="array" ref="F372">XLOOKUP(Cover!$D$12,$R$1:$Z$1,$R372:$Z372)</f>
        <v>Information</v>
      </c>
      <c r="G372" s="154" t="s">
        <v>7773</v>
      </c>
      <c r="H372" s="154" t="s">
        <v>7304</v>
      </c>
      <c r="I372" s="154" t="s">
        <v>7774</v>
      </c>
      <c r="J372" s="154" t="s">
        <v>7775</v>
      </c>
      <c r="K372" s="154" t="s">
        <v>7305</v>
      </c>
      <c r="L372" s="154" t="s">
        <v>6884</v>
      </c>
      <c r="M372" s="154"/>
      <c r="N372" s="154" t="s">
        <v>759</v>
      </c>
      <c r="O372" s="247" t="s">
        <v>516</v>
      </c>
      <c r="P372" s="247" t="s">
        <v>6776</v>
      </c>
      <c r="Q372" s="154" t="str">
        <f t="shared" si="1"/>
        <v>#ERROR!</v>
      </c>
      <c r="R372" s="154" t="s">
        <v>66</v>
      </c>
      <c r="S372" s="154" t="s">
        <v>66</v>
      </c>
      <c r="T372" s="154" t="s">
        <v>66</v>
      </c>
      <c r="U372" s="154" t="s">
        <v>66</v>
      </c>
      <c r="V372" s="154" t="s">
        <v>66</v>
      </c>
      <c r="W372" s="154" t="s">
        <v>66</v>
      </c>
      <c r="X372" s="154" t="s">
        <v>66</v>
      </c>
      <c r="Y372" s="154" t="s">
        <v>66</v>
      </c>
      <c r="Z372" s="154" t="s">
        <v>66</v>
      </c>
      <c r="AA372" s="154"/>
      <c r="AB372" s="242" t="str">
        <f t="shared" si="2"/>
        <v>#ERROR!</v>
      </c>
      <c r="AC372" s="154" t="s">
        <v>391</v>
      </c>
      <c r="AD372" s="242" t="b">
        <f t="shared" si="3"/>
        <v>0</v>
      </c>
      <c r="AE372" s="154"/>
      <c r="AF372" s="242" t="str">
        <f t="shared" si="4"/>
        <v>#ERROR!</v>
      </c>
      <c r="AG372" s="154" t="s">
        <v>652</v>
      </c>
      <c r="AH372" s="242" t="str">
        <f>IF(AG372="","N/A",INDIRECT("MTR!"&amp;ADDRESS(MATCH(LEFT(AG372,9),[1]MTR!C:C,0),COLUMN(J372)),TRUE) &amp; "")</f>
        <v>#ERROR!</v>
      </c>
      <c r="AI372" s="157" t="str">
        <f t="shared" si="5"/>
        <v>#ERROR!</v>
      </c>
    </row>
    <row r="373" ht="12.75" customHeight="1">
      <c r="A373" s="244" t="s">
        <v>5158</v>
      </c>
      <c r="B373" s="244" t="s">
        <v>231</v>
      </c>
      <c r="C373" s="244" t="s">
        <v>7776</v>
      </c>
      <c r="D373" s="154" t="s">
        <v>1315</v>
      </c>
      <c r="E373" s="154"/>
      <c r="F373" s="154" t="str">
        <f t="array" ref="F373">XLOOKUP(Cover!$D$12,$R$1:$Z$1,$R373:$Z373)</f>
        <v>Information</v>
      </c>
      <c r="G373" s="154" t="s">
        <v>7777</v>
      </c>
      <c r="H373" s="154" t="s">
        <v>7311</v>
      </c>
      <c r="I373" s="154" t="s">
        <v>7774</v>
      </c>
      <c r="J373" s="154" t="s">
        <v>7775</v>
      </c>
      <c r="K373" s="154" t="s">
        <v>7305</v>
      </c>
      <c r="L373" s="154" t="s">
        <v>6884</v>
      </c>
      <c r="M373" s="154"/>
      <c r="N373" s="154" t="s">
        <v>759</v>
      </c>
      <c r="O373" s="247" t="s">
        <v>516</v>
      </c>
      <c r="P373" s="247" t="s">
        <v>6776</v>
      </c>
      <c r="Q373" s="154" t="str">
        <f t="shared" si="1"/>
        <v>#ERROR!</v>
      </c>
      <c r="R373" s="154" t="s">
        <v>66</v>
      </c>
      <c r="S373" s="154" t="s">
        <v>66</v>
      </c>
      <c r="T373" s="154" t="s">
        <v>66</v>
      </c>
      <c r="U373" s="154" t="s">
        <v>66</v>
      </c>
      <c r="V373" s="154" t="s">
        <v>66</v>
      </c>
      <c r="W373" s="154" t="s">
        <v>66</v>
      </c>
      <c r="X373" s="154" t="s">
        <v>66</v>
      </c>
      <c r="Y373" s="154" t="s">
        <v>66</v>
      </c>
      <c r="Z373" s="154" t="s">
        <v>66</v>
      </c>
      <c r="AA373" s="154"/>
      <c r="AB373" s="242" t="str">
        <f t="shared" si="2"/>
        <v>#ERROR!</v>
      </c>
      <c r="AC373" s="154" t="s">
        <v>391</v>
      </c>
      <c r="AD373" s="242" t="b">
        <f t="shared" si="3"/>
        <v>0</v>
      </c>
      <c r="AE373" s="154"/>
      <c r="AF373" s="242" t="str">
        <f t="shared" si="4"/>
        <v>#ERROR!</v>
      </c>
      <c r="AG373" s="154" t="s">
        <v>652</v>
      </c>
      <c r="AH373" s="242" t="str">
        <f>IF(AG373="","N/A",INDIRECT("MTR!"&amp;ADDRESS(MATCH(LEFT(AG373,9),[1]MTR!C:C,0),COLUMN(J373)),TRUE) &amp; "")</f>
        <v>#ERROR!</v>
      </c>
      <c r="AI373" s="157" t="str">
        <f t="shared" si="5"/>
        <v>#ERROR!</v>
      </c>
    </row>
    <row r="374" ht="12.75" customHeight="1">
      <c r="A374" s="244" t="s">
        <v>5158</v>
      </c>
      <c r="B374" s="244" t="s">
        <v>231</v>
      </c>
      <c r="C374" s="244" t="s">
        <v>7778</v>
      </c>
      <c r="D374" s="154" t="s">
        <v>1315</v>
      </c>
      <c r="E374" s="154"/>
      <c r="F374" s="154" t="str">
        <f t="array" ref="F374">XLOOKUP(Cover!$D$12,$R$1:$Z$1,$R374:$Z374)</f>
        <v>Information</v>
      </c>
      <c r="G374" s="154" t="s">
        <v>7779</v>
      </c>
      <c r="H374" s="154" t="s">
        <v>7314</v>
      </c>
      <c r="I374" s="154" t="s">
        <v>7774</v>
      </c>
      <c r="J374" s="154" t="s">
        <v>7775</v>
      </c>
      <c r="K374" s="154" t="s">
        <v>7305</v>
      </c>
      <c r="L374" s="154" t="s">
        <v>6884</v>
      </c>
      <c r="M374" s="154"/>
      <c r="N374" s="154" t="s">
        <v>759</v>
      </c>
      <c r="O374" s="247" t="s">
        <v>516</v>
      </c>
      <c r="P374" s="247" t="s">
        <v>6776</v>
      </c>
      <c r="Q374" s="154" t="str">
        <f t="shared" si="1"/>
        <v>#ERROR!</v>
      </c>
      <c r="R374" s="154" t="s">
        <v>66</v>
      </c>
      <c r="S374" s="154" t="s">
        <v>66</v>
      </c>
      <c r="T374" s="154" t="s">
        <v>66</v>
      </c>
      <c r="U374" s="154" t="s">
        <v>66</v>
      </c>
      <c r="V374" s="154" t="s">
        <v>66</v>
      </c>
      <c r="W374" s="154" t="s">
        <v>66</v>
      </c>
      <c r="X374" s="154" t="s">
        <v>66</v>
      </c>
      <c r="Y374" s="154" t="s">
        <v>66</v>
      </c>
      <c r="Z374" s="154" t="s">
        <v>66</v>
      </c>
      <c r="AA374" s="154"/>
      <c r="AB374" s="242" t="str">
        <f t="shared" si="2"/>
        <v>#ERROR!</v>
      </c>
      <c r="AC374" s="154" t="s">
        <v>391</v>
      </c>
      <c r="AD374" s="242" t="b">
        <f t="shared" si="3"/>
        <v>0</v>
      </c>
      <c r="AE374" s="154"/>
      <c r="AF374" s="242" t="str">
        <f t="shared" si="4"/>
        <v>#ERROR!</v>
      </c>
      <c r="AG374" s="154" t="s">
        <v>652</v>
      </c>
      <c r="AH374" s="242" t="str">
        <f>IF(AG374="","N/A",INDIRECT("MTR!"&amp;ADDRESS(MATCH(LEFT(AG374,9),[1]MTR!C:C,0),COLUMN(J374)),TRUE) &amp; "")</f>
        <v>#ERROR!</v>
      </c>
      <c r="AI374" s="157" t="str">
        <f t="shared" si="5"/>
        <v>#ERROR!</v>
      </c>
    </row>
    <row r="375" ht="12.75" customHeight="1">
      <c r="A375" s="244" t="s">
        <v>5158</v>
      </c>
      <c r="B375" s="244" t="s">
        <v>231</v>
      </c>
      <c r="C375" s="244" t="s">
        <v>7780</v>
      </c>
      <c r="D375" s="154" t="s">
        <v>1315</v>
      </c>
      <c r="E375" s="154"/>
      <c r="F375" s="154" t="str">
        <f t="array" ref="F375">XLOOKUP(Cover!$D$12,$R$1:$Z$1,$R375:$Z375)</f>
        <v>Information</v>
      </c>
      <c r="G375" s="154" t="s">
        <v>7781</v>
      </c>
      <c r="H375" s="154" t="s">
        <v>7390</v>
      </c>
      <c r="I375" s="154" t="s">
        <v>7774</v>
      </c>
      <c r="J375" s="154" t="s">
        <v>7775</v>
      </c>
      <c r="K375" s="154" t="s">
        <v>7305</v>
      </c>
      <c r="L375" s="154" t="s">
        <v>6884</v>
      </c>
      <c r="M375" s="154"/>
      <c r="N375" s="154" t="s">
        <v>759</v>
      </c>
      <c r="O375" s="247" t="s">
        <v>516</v>
      </c>
      <c r="P375" s="247" t="s">
        <v>6776</v>
      </c>
      <c r="Q375" s="154" t="str">
        <f t="shared" si="1"/>
        <v>#ERROR!</v>
      </c>
      <c r="R375" s="154" t="s">
        <v>66</v>
      </c>
      <c r="S375" s="154" t="s">
        <v>66</v>
      </c>
      <c r="T375" s="154" t="s">
        <v>66</v>
      </c>
      <c r="U375" s="154" t="s">
        <v>66</v>
      </c>
      <c r="V375" s="154" t="s">
        <v>66</v>
      </c>
      <c r="W375" s="154" t="s">
        <v>66</v>
      </c>
      <c r="X375" s="154" t="s">
        <v>66</v>
      </c>
      <c r="Y375" s="154" t="s">
        <v>66</v>
      </c>
      <c r="Z375" s="154" t="s">
        <v>66</v>
      </c>
      <c r="AA375" s="154"/>
      <c r="AB375" s="242" t="str">
        <f t="shared" si="2"/>
        <v>#ERROR!</v>
      </c>
      <c r="AC375" s="154" t="s">
        <v>391</v>
      </c>
      <c r="AD375" s="242" t="b">
        <f t="shared" si="3"/>
        <v>0</v>
      </c>
      <c r="AE375" s="154"/>
      <c r="AF375" s="242" t="str">
        <f t="shared" si="4"/>
        <v>#ERROR!</v>
      </c>
      <c r="AG375" s="154" t="s">
        <v>652</v>
      </c>
      <c r="AH375" s="242" t="str">
        <f>IF(AG375="","N/A",INDIRECT("MTR!"&amp;ADDRESS(MATCH(LEFT(AG375,9),[1]MTR!C:C,0),COLUMN(J375)),TRUE) &amp; "")</f>
        <v>#ERROR!</v>
      </c>
      <c r="AI375" s="157" t="str">
        <f t="shared" si="5"/>
        <v>#ERROR!</v>
      </c>
    </row>
    <row r="376" ht="12.75" customHeight="1">
      <c r="A376" s="244" t="s">
        <v>5158</v>
      </c>
      <c r="B376" s="244" t="s">
        <v>231</v>
      </c>
      <c r="C376" s="244" t="s">
        <v>7782</v>
      </c>
      <c r="D376" s="154" t="s">
        <v>1315</v>
      </c>
      <c r="E376" s="154"/>
      <c r="F376" s="154" t="str">
        <f t="array" ref="F376">XLOOKUP(Cover!$D$12,$R$1:$Z$1,$R376:$Z376)</f>
        <v>Information</v>
      </c>
      <c r="G376" s="154" t="s">
        <v>7783</v>
      </c>
      <c r="H376" s="154" t="s">
        <v>7323</v>
      </c>
      <c r="I376" s="154" t="s">
        <v>7774</v>
      </c>
      <c r="J376" s="154" t="s">
        <v>7775</v>
      </c>
      <c r="K376" s="154" t="s">
        <v>7305</v>
      </c>
      <c r="L376" s="154" t="s">
        <v>6884</v>
      </c>
      <c r="M376" s="154"/>
      <c r="N376" s="154" t="s">
        <v>759</v>
      </c>
      <c r="O376" s="247" t="s">
        <v>516</v>
      </c>
      <c r="P376" s="247" t="s">
        <v>6776</v>
      </c>
      <c r="Q376" s="154" t="str">
        <f t="shared" si="1"/>
        <v>#ERROR!</v>
      </c>
      <c r="R376" s="154" t="s">
        <v>66</v>
      </c>
      <c r="S376" s="154" t="s">
        <v>66</v>
      </c>
      <c r="T376" s="154" t="s">
        <v>66</v>
      </c>
      <c r="U376" s="154" t="s">
        <v>66</v>
      </c>
      <c r="V376" s="154" t="s">
        <v>66</v>
      </c>
      <c r="W376" s="154" t="s">
        <v>66</v>
      </c>
      <c r="X376" s="154" t="s">
        <v>66</v>
      </c>
      <c r="Y376" s="154" t="s">
        <v>66</v>
      </c>
      <c r="Z376" s="154" t="s">
        <v>66</v>
      </c>
      <c r="AA376" s="154"/>
      <c r="AB376" s="242" t="str">
        <f t="shared" si="2"/>
        <v>#ERROR!</v>
      </c>
      <c r="AC376" s="154" t="s">
        <v>391</v>
      </c>
      <c r="AD376" s="242" t="b">
        <f t="shared" si="3"/>
        <v>0</v>
      </c>
      <c r="AE376" s="154"/>
      <c r="AF376" s="242" t="str">
        <f t="shared" si="4"/>
        <v>#ERROR!</v>
      </c>
      <c r="AG376" s="154" t="s">
        <v>652</v>
      </c>
      <c r="AH376" s="242" t="str">
        <f>IF(AG376="","N/A",INDIRECT("MTR!"&amp;ADDRESS(MATCH(LEFT(AG376,9),[1]MTR!C:C,0),COLUMN(J376)),TRUE) &amp; "")</f>
        <v>#ERROR!</v>
      </c>
      <c r="AI376" s="157" t="str">
        <f t="shared" si="5"/>
        <v>#ERROR!</v>
      </c>
    </row>
    <row r="377" ht="12.75" customHeight="1">
      <c r="A377" s="244" t="s">
        <v>5158</v>
      </c>
      <c r="B377" s="244" t="s">
        <v>231</v>
      </c>
      <c r="C377" s="244" t="s">
        <v>7784</v>
      </c>
      <c r="D377" s="154" t="s">
        <v>1069</v>
      </c>
      <c r="E377" s="154"/>
      <c r="F377" s="154" t="str">
        <f t="array" ref="F377">XLOOKUP(Cover!$D$12,$R$1:$Z$1,$R377:$Z377)</f>
        <v>Information</v>
      </c>
      <c r="G377" s="154" t="s">
        <v>7785</v>
      </c>
      <c r="H377" s="154" t="s">
        <v>7304</v>
      </c>
      <c r="I377" s="154" t="s">
        <v>7786</v>
      </c>
      <c r="J377" s="154" t="s">
        <v>7787</v>
      </c>
      <c r="K377" s="154" t="s">
        <v>7305</v>
      </c>
      <c r="L377" s="154" t="s">
        <v>6154</v>
      </c>
      <c r="M377" s="154"/>
      <c r="N377" s="154" t="s">
        <v>759</v>
      </c>
      <c r="O377" s="247" t="s">
        <v>516</v>
      </c>
      <c r="P377" s="247" t="s">
        <v>6776</v>
      </c>
      <c r="Q377" s="154" t="str">
        <f t="shared" si="1"/>
        <v>#ERROR!</v>
      </c>
      <c r="R377" s="154" t="s">
        <v>66</v>
      </c>
      <c r="S377" s="154" t="s">
        <v>66</v>
      </c>
      <c r="T377" s="154" t="s">
        <v>66</v>
      </c>
      <c r="U377" s="154" t="s">
        <v>66</v>
      </c>
      <c r="V377" s="154" t="s">
        <v>66</v>
      </c>
      <c r="W377" s="154" t="s">
        <v>66</v>
      </c>
      <c r="X377" s="154" t="s">
        <v>66</v>
      </c>
      <c r="Y377" s="154" t="s">
        <v>66</v>
      </c>
      <c r="Z377" s="154" t="s">
        <v>66</v>
      </c>
      <c r="AA377" s="154"/>
      <c r="AB377" s="242" t="str">
        <f t="shared" si="2"/>
        <v>#ERROR!</v>
      </c>
      <c r="AC377" s="154" t="s">
        <v>391</v>
      </c>
      <c r="AD377" s="242" t="b">
        <f t="shared" si="3"/>
        <v>0</v>
      </c>
      <c r="AE377" s="154"/>
      <c r="AF377" s="242" t="str">
        <f t="shared" si="4"/>
        <v>#ERROR!</v>
      </c>
      <c r="AG377" s="154" t="s">
        <v>652</v>
      </c>
      <c r="AH377" s="242" t="str">
        <f>IF(AG377="","N/A",INDIRECT("MTR!"&amp;ADDRESS(MATCH(LEFT(AG377,9),[1]MTR!C:C,0),COLUMN(J377)),TRUE) &amp; "")</f>
        <v>#ERROR!</v>
      </c>
      <c r="AI377" s="157" t="str">
        <f t="shared" si="5"/>
        <v>#ERROR!</v>
      </c>
    </row>
    <row r="378" ht="12.75" customHeight="1">
      <c r="A378" s="244" t="s">
        <v>5158</v>
      </c>
      <c r="B378" s="244" t="s">
        <v>231</v>
      </c>
      <c r="C378" s="244" t="s">
        <v>7788</v>
      </c>
      <c r="D378" s="154" t="s">
        <v>1069</v>
      </c>
      <c r="E378" s="154"/>
      <c r="F378" s="154" t="str">
        <f t="array" ref="F378">XLOOKUP(Cover!$D$12,$R$1:$Z$1,$R378:$Z378)</f>
        <v>Information</v>
      </c>
      <c r="G378" s="154" t="s">
        <v>7789</v>
      </c>
      <c r="H378" s="154" t="s">
        <v>7314</v>
      </c>
      <c r="I378" s="154" t="s">
        <v>7786</v>
      </c>
      <c r="J378" s="154" t="s">
        <v>7787</v>
      </c>
      <c r="K378" s="154" t="s">
        <v>7305</v>
      </c>
      <c r="L378" s="154" t="s">
        <v>6154</v>
      </c>
      <c r="M378" s="154"/>
      <c r="N378" s="154" t="s">
        <v>759</v>
      </c>
      <c r="O378" s="247" t="s">
        <v>516</v>
      </c>
      <c r="P378" s="247" t="s">
        <v>6776</v>
      </c>
      <c r="Q378" s="154" t="str">
        <f t="shared" si="1"/>
        <v>#ERROR!</v>
      </c>
      <c r="R378" s="154" t="s">
        <v>66</v>
      </c>
      <c r="S378" s="154" t="s">
        <v>66</v>
      </c>
      <c r="T378" s="154" t="s">
        <v>66</v>
      </c>
      <c r="U378" s="154" t="s">
        <v>66</v>
      </c>
      <c r="V378" s="154" t="s">
        <v>66</v>
      </c>
      <c r="W378" s="154" t="s">
        <v>66</v>
      </c>
      <c r="X378" s="154" t="s">
        <v>66</v>
      </c>
      <c r="Y378" s="154" t="s">
        <v>66</v>
      </c>
      <c r="Z378" s="154" t="s">
        <v>66</v>
      </c>
      <c r="AA378" s="154"/>
      <c r="AB378" s="242" t="str">
        <f t="shared" si="2"/>
        <v>#ERROR!</v>
      </c>
      <c r="AC378" s="154" t="s">
        <v>391</v>
      </c>
      <c r="AD378" s="242" t="b">
        <f t="shared" si="3"/>
        <v>0</v>
      </c>
      <c r="AE378" s="154"/>
      <c r="AF378" s="242" t="str">
        <f t="shared" si="4"/>
        <v>#ERROR!</v>
      </c>
      <c r="AG378" s="154" t="s">
        <v>652</v>
      </c>
      <c r="AH378" s="242" t="str">
        <f>IF(AG378="","N/A",INDIRECT("MTR!"&amp;ADDRESS(MATCH(LEFT(AG378,9),[1]MTR!C:C,0),COLUMN(J378)),TRUE) &amp; "")</f>
        <v>#ERROR!</v>
      </c>
      <c r="AI378" s="157" t="str">
        <f t="shared" si="5"/>
        <v>#ERROR!</v>
      </c>
    </row>
    <row r="379" ht="12.75" customHeight="1">
      <c r="A379" s="244" t="s">
        <v>5158</v>
      </c>
      <c r="B379" s="244" t="s">
        <v>231</v>
      </c>
      <c r="C379" s="244" t="s">
        <v>7790</v>
      </c>
      <c r="D379" s="154" t="s">
        <v>1069</v>
      </c>
      <c r="E379" s="154"/>
      <c r="F379" s="154" t="str">
        <f t="array" ref="F379">XLOOKUP(Cover!$D$12,$R$1:$Z$1,$R379:$Z379)</f>
        <v>Information</v>
      </c>
      <c r="G379" s="154" t="s">
        <v>7791</v>
      </c>
      <c r="H379" s="154" t="s">
        <v>7320</v>
      </c>
      <c r="I379" s="154" t="s">
        <v>7786</v>
      </c>
      <c r="J379" s="154" t="s">
        <v>7787</v>
      </c>
      <c r="K379" s="154" t="s">
        <v>7305</v>
      </c>
      <c r="L379" s="154" t="s">
        <v>6154</v>
      </c>
      <c r="M379" s="154"/>
      <c r="N379" s="154" t="s">
        <v>759</v>
      </c>
      <c r="O379" s="247" t="s">
        <v>516</v>
      </c>
      <c r="P379" s="247" t="s">
        <v>6776</v>
      </c>
      <c r="Q379" s="154" t="str">
        <f t="shared" si="1"/>
        <v>#ERROR!</v>
      </c>
      <c r="R379" s="154" t="s">
        <v>66</v>
      </c>
      <c r="S379" s="154" t="s">
        <v>66</v>
      </c>
      <c r="T379" s="154" t="s">
        <v>66</v>
      </c>
      <c r="U379" s="154" t="s">
        <v>66</v>
      </c>
      <c r="V379" s="154" t="s">
        <v>66</v>
      </c>
      <c r="W379" s="154" t="s">
        <v>66</v>
      </c>
      <c r="X379" s="154" t="s">
        <v>66</v>
      </c>
      <c r="Y379" s="154" t="s">
        <v>66</v>
      </c>
      <c r="Z379" s="154" t="s">
        <v>66</v>
      </c>
      <c r="AA379" s="154"/>
      <c r="AB379" s="242" t="str">
        <f t="shared" si="2"/>
        <v>#ERROR!</v>
      </c>
      <c r="AC379" s="154" t="s">
        <v>391</v>
      </c>
      <c r="AD379" s="242" t="b">
        <f t="shared" si="3"/>
        <v>0</v>
      </c>
      <c r="AE379" s="154"/>
      <c r="AF379" s="242" t="str">
        <f t="shared" si="4"/>
        <v>#ERROR!</v>
      </c>
      <c r="AG379" s="154" t="s">
        <v>652</v>
      </c>
      <c r="AH379" s="242" t="str">
        <f>IF(AG379="","N/A",INDIRECT("MTR!"&amp;ADDRESS(MATCH(LEFT(AG379,9),[1]MTR!C:C,0),COLUMN(J379)),TRUE) &amp; "")</f>
        <v>#ERROR!</v>
      </c>
      <c r="AI379" s="157" t="str">
        <f t="shared" si="5"/>
        <v>#ERROR!</v>
      </c>
    </row>
    <row r="380" ht="12.75" customHeight="1">
      <c r="A380" s="244" t="s">
        <v>5158</v>
      </c>
      <c r="B380" s="244" t="s">
        <v>231</v>
      </c>
      <c r="C380" s="244" t="s">
        <v>7792</v>
      </c>
      <c r="D380" s="154" t="s">
        <v>1069</v>
      </c>
      <c r="E380" s="154"/>
      <c r="F380" s="154" t="str">
        <f t="array" ref="F380">XLOOKUP(Cover!$D$12,$R$1:$Z$1,$R380:$Z380)</f>
        <v>Information</v>
      </c>
      <c r="G380" s="154" t="s">
        <v>7793</v>
      </c>
      <c r="H380" s="154" t="s">
        <v>7323</v>
      </c>
      <c r="I380" s="154" t="s">
        <v>7786</v>
      </c>
      <c r="J380" s="154" t="s">
        <v>7787</v>
      </c>
      <c r="K380" s="154" t="s">
        <v>7305</v>
      </c>
      <c r="L380" s="154" t="s">
        <v>6154</v>
      </c>
      <c r="M380" s="154"/>
      <c r="N380" s="154" t="s">
        <v>759</v>
      </c>
      <c r="O380" s="247" t="s">
        <v>516</v>
      </c>
      <c r="P380" s="247" t="s">
        <v>6776</v>
      </c>
      <c r="Q380" s="154" t="str">
        <f t="shared" si="1"/>
        <v>#ERROR!</v>
      </c>
      <c r="R380" s="154" t="s">
        <v>66</v>
      </c>
      <c r="S380" s="154" t="s">
        <v>66</v>
      </c>
      <c r="T380" s="154" t="s">
        <v>66</v>
      </c>
      <c r="U380" s="154" t="s">
        <v>66</v>
      </c>
      <c r="V380" s="154" t="s">
        <v>66</v>
      </c>
      <c r="W380" s="154" t="s">
        <v>66</v>
      </c>
      <c r="X380" s="154" t="s">
        <v>66</v>
      </c>
      <c r="Y380" s="154" t="s">
        <v>66</v>
      </c>
      <c r="Z380" s="154" t="s">
        <v>66</v>
      </c>
      <c r="AA380" s="154"/>
      <c r="AB380" s="242" t="str">
        <f t="shared" si="2"/>
        <v>#ERROR!</v>
      </c>
      <c r="AC380" s="154" t="s">
        <v>391</v>
      </c>
      <c r="AD380" s="242" t="b">
        <f t="shared" si="3"/>
        <v>0</v>
      </c>
      <c r="AE380" s="154"/>
      <c r="AF380" s="242" t="str">
        <f t="shared" si="4"/>
        <v>#ERROR!</v>
      </c>
      <c r="AG380" s="154" t="s">
        <v>652</v>
      </c>
      <c r="AH380" s="242" t="str">
        <f>IF(AG380="","N/A",INDIRECT("MTR!"&amp;ADDRESS(MATCH(LEFT(AG380,9),[1]MTR!C:C,0),COLUMN(J380)),TRUE) &amp; "")</f>
        <v>#ERROR!</v>
      </c>
      <c r="AI380" s="157" t="str">
        <f t="shared" si="5"/>
        <v>#ERROR!</v>
      </c>
    </row>
    <row r="381" ht="12.75" customHeight="1">
      <c r="A381" s="244" t="s">
        <v>5158</v>
      </c>
      <c r="B381" s="244" t="s">
        <v>231</v>
      </c>
      <c r="C381" s="244" t="s">
        <v>7794</v>
      </c>
      <c r="D381" s="154" t="s">
        <v>1069</v>
      </c>
      <c r="E381" s="154"/>
      <c r="F381" s="154" t="str">
        <f t="array" ref="F381">XLOOKUP(Cover!$D$12,$R$1:$Z$1,$R381:$Z381)</f>
        <v>Information</v>
      </c>
      <c r="G381" s="154" t="s">
        <v>7795</v>
      </c>
      <c r="H381" s="154" t="s">
        <v>7304</v>
      </c>
      <c r="I381" s="154" t="s">
        <v>7796</v>
      </c>
      <c r="J381" s="154" t="s">
        <v>7797</v>
      </c>
      <c r="K381" s="154" t="s">
        <v>7305</v>
      </c>
      <c r="L381" s="154" t="s">
        <v>6154</v>
      </c>
      <c r="M381" s="154"/>
      <c r="N381" s="154" t="s">
        <v>759</v>
      </c>
      <c r="O381" s="247" t="s">
        <v>516</v>
      </c>
      <c r="P381" s="247" t="s">
        <v>6776</v>
      </c>
      <c r="Q381" s="154" t="str">
        <f t="shared" si="1"/>
        <v>#ERROR!</v>
      </c>
      <c r="R381" s="154" t="s">
        <v>66</v>
      </c>
      <c r="S381" s="154" t="s">
        <v>66</v>
      </c>
      <c r="T381" s="154" t="s">
        <v>66</v>
      </c>
      <c r="U381" s="154" t="s">
        <v>66</v>
      </c>
      <c r="V381" s="154" t="s">
        <v>66</v>
      </c>
      <c r="W381" s="154" t="s">
        <v>66</v>
      </c>
      <c r="X381" s="154" t="s">
        <v>66</v>
      </c>
      <c r="Y381" s="154" t="s">
        <v>66</v>
      </c>
      <c r="Z381" s="154" t="s">
        <v>66</v>
      </c>
      <c r="AA381" s="154"/>
      <c r="AB381" s="242" t="str">
        <f t="shared" si="2"/>
        <v>#ERROR!</v>
      </c>
      <c r="AC381" s="154" t="s">
        <v>391</v>
      </c>
      <c r="AD381" s="242" t="b">
        <f t="shared" si="3"/>
        <v>0</v>
      </c>
      <c r="AE381" s="154"/>
      <c r="AF381" s="242" t="str">
        <f t="shared" si="4"/>
        <v>#ERROR!</v>
      </c>
      <c r="AG381" s="154" t="s">
        <v>652</v>
      </c>
      <c r="AH381" s="242" t="str">
        <f>IF(AG381="","N/A",INDIRECT("MTR!"&amp;ADDRESS(MATCH(LEFT(AG381,9),[1]MTR!C:C,0),COLUMN(J381)),TRUE) &amp; "")</f>
        <v>#ERROR!</v>
      </c>
      <c r="AI381" s="157" t="str">
        <f t="shared" si="5"/>
        <v>#ERROR!</v>
      </c>
    </row>
    <row r="382" ht="12.75" customHeight="1">
      <c r="A382" s="244" t="s">
        <v>5158</v>
      </c>
      <c r="B382" s="244" t="s">
        <v>231</v>
      </c>
      <c r="C382" s="244" t="s">
        <v>7798</v>
      </c>
      <c r="D382" s="154" t="s">
        <v>1069</v>
      </c>
      <c r="E382" s="154"/>
      <c r="F382" s="154" t="str">
        <f t="array" ref="F382">XLOOKUP(Cover!$D$12,$R$1:$Z$1,$R382:$Z382)</f>
        <v>Information</v>
      </c>
      <c r="G382" s="154" t="s">
        <v>7799</v>
      </c>
      <c r="H382" s="154" t="s">
        <v>7314</v>
      </c>
      <c r="I382" s="154" t="s">
        <v>7796</v>
      </c>
      <c r="J382" s="154" t="s">
        <v>7797</v>
      </c>
      <c r="K382" s="154" t="s">
        <v>7305</v>
      </c>
      <c r="L382" s="154" t="s">
        <v>6154</v>
      </c>
      <c r="M382" s="154"/>
      <c r="N382" s="154" t="s">
        <v>759</v>
      </c>
      <c r="O382" s="247" t="s">
        <v>516</v>
      </c>
      <c r="P382" s="247" t="s">
        <v>6776</v>
      </c>
      <c r="Q382" s="154" t="str">
        <f t="shared" si="1"/>
        <v>#ERROR!</v>
      </c>
      <c r="R382" s="154" t="s">
        <v>66</v>
      </c>
      <c r="S382" s="154" t="s">
        <v>66</v>
      </c>
      <c r="T382" s="154" t="s">
        <v>66</v>
      </c>
      <c r="U382" s="154" t="s">
        <v>66</v>
      </c>
      <c r="V382" s="154" t="s">
        <v>66</v>
      </c>
      <c r="W382" s="154" t="s">
        <v>66</v>
      </c>
      <c r="X382" s="154" t="s">
        <v>66</v>
      </c>
      <c r="Y382" s="154" t="s">
        <v>66</v>
      </c>
      <c r="Z382" s="154" t="s">
        <v>66</v>
      </c>
      <c r="AA382" s="154"/>
      <c r="AB382" s="242" t="str">
        <f t="shared" si="2"/>
        <v>#ERROR!</v>
      </c>
      <c r="AC382" s="154" t="s">
        <v>391</v>
      </c>
      <c r="AD382" s="242" t="b">
        <f t="shared" si="3"/>
        <v>0</v>
      </c>
      <c r="AE382" s="154"/>
      <c r="AF382" s="242" t="str">
        <f t="shared" si="4"/>
        <v>#ERROR!</v>
      </c>
      <c r="AG382" s="154" t="s">
        <v>652</v>
      </c>
      <c r="AH382" s="242" t="str">
        <f>IF(AG382="","N/A",INDIRECT("MTR!"&amp;ADDRESS(MATCH(LEFT(AG382,9),[1]MTR!C:C,0),COLUMN(J382)),TRUE) &amp; "")</f>
        <v>#ERROR!</v>
      </c>
      <c r="AI382" s="157" t="str">
        <f t="shared" si="5"/>
        <v>#ERROR!</v>
      </c>
    </row>
    <row r="383" ht="12.75" customHeight="1">
      <c r="A383" s="244" t="s">
        <v>5158</v>
      </c>
      <c r="B383" s="244" t="s">
        <v>231</v>
      </c>
      <c r="C383" s="244" t="s">
        <v>7800</v>
      </c>
      <c r="D383" s="154" t="s">
        <v>1069</v>
      </c>
      <c r="E383" s="154"/>
      <c r="F383" s="154" t="str">
        <f t="array" ref="F383">XLOOKUP(Cover!$D$12,$R$1:$Z$1,$R383:$Z383)</f>
        <v>Information</v>
      </c>
      <c r="G383" s="154" t="s">
        <v>7801</v>
      </c>
      <c r="H383" s="154" t="s">
        <v>7320</v>
      </c>
      <c r="I383" s="154" t="s">
        <v>7796</v>
      </c>
      <c r="J383" s="154" t="s">
        <v>7797</v>
      </c>
      <c r="K383" s="154" t="s">
        <v>7305</v>
      </c>
      <c r="L383" s="154" t="s">
        <v>6154</v>
      </c>
      <c r="M383" s="154"/>
      <c r="N383" s="154" t="s">
        <v>759</v>
      </c>
      <c r="O383" s="247" t="s">
        <v>516</v>
      </c>
      <c r="P383" s="247" t="s">
        <v>6776</v>
      </c>
      <c r="Q383" s="154" t="str">
        <f t="shared" si="1"/>
        <v>#ERROR!</v>
      </c>
      <c r="R383" s="154" t="s">
        <v>66</v>
      </c>
      <c r="S383" s="154" t="s">
        <v>66</v>
      </c>
      <c r="T383" s="154" t="s">
        <v>66</v>
      </c>
      <c r="U383" s="154" t="s">
        <v>66</v>
      </c>
      <c r="V383" s="154" t="s">
        <v>66</v>
      </c>
      <c r="W383" s="154" t="s">
        <v>66</v>
      </c>
      <c r="X383" s="154" t="s">
        <v>66</v>
      </c>
      <c r="Y383" s="154" t="s">
        <v>66</v>
      </c>
      <c r="Z383" s="154" t="s">
        <v>66</v>
      </c>
      <c r="AA383" s="154"/>
      <c r="AB383" s="242" t="str">
        <f t="shared" si="2"/>
        <v>#ERROR!</v>
      </c>
      <c r="AC383" s="154" t="s">
        <v>391</v>
      </c>
      <c r="AD383" s="242" t="b">
        <f t="shared" si="3"/>
        <v>0</v>
      </c>
      <c r="AE383" s="154"/>
      <c r="AF383" s="242" t="str">
        <f t="shared" si="4"/>
        <v>#ERROR!</v>
      </c>
      <c r="AG383" s="154" t="s">
        <v>652</v>
      </c>
      <c r="AH383" s="242" t="str">
        <f>IF(AG383="","N/A",INDIRECT("MTR!"&amp;ADDRESS(MATCH(LEFT(AG383,9),[1]MTR!C:C,0),COLUMN(J383)),TRUE) &amp; "")</f>
        <v>#ERROR!</v>
      </c>
      <c r="AI383" s="157" t="str">
        <f t="shared" si="5"/>
        <v>#ERROR!</v>
      </c>
    </row>
    <row r="384" ht="12.75" customHeight="1">
      <c r="A384" s="244" t="s">
        <v>5158</v>
      </c>
      <c r="B384" s="244" t="s">
        <v>231</v>
      </c>
      <c r="C384" s="244" t="s">
        <v>7802</v>
      </c>
      <c r="D384" s="154" t="s">
        <v>1069</v>
      </c>
      <c r="E384" s="154"/>
      <c r="F384" s="154" t="str">
        <f t="array" ref="F384">XLOOKUP(Cover!$D$12,$R$1:$Z$1,$R384:$Z384)</f>
        <v>Information</v>
      </c>
      <c r="G384" s="154" t="s">
        <v>7803</v>
      </c>
      <c r="H384" s="154" t="s">
        <v>7304</v>
      </c>
      <c r="I384" s="154" t="s">
        <v>7804</v>
      </c>
      <c r="J384" s="154" t="s">
        <v>7805</v>
      </c>
      <c r="K384" s="154" t="s">
        <v>7305</v>
      </c>
      <c r="L384" s="154" t="s">
        <v>6154</v>
      </c>
      <c r="M384" s="154"/>
      <c r="N384" s="154" t="s">
        <v>759</v>
      </c>
      <c r="O384" s="247" t="s">
        <v>516</v>
      </c>
      <c r="P384" s="247" t="s">
        <v>6776</v>
      </c>
      <c r="Q384" s="154" t="str">
        <f t="shared" si="1"/>
        <v>#ERROR!</v>
      </c>
      <c r="R384" s="154" t="s">
        <v>66</v>
      </c>
      <c r="S384" s="154" t="s">
        <v>66</v>
      </c>
      <c r="T384" s="154" t="s">
        <v>66</v>
      </c>
      <c r="U384" s="154" t="s">
        <v>66</v>
      </c>
      <c r="V384" s="154" t="s">
        <v>66</v>
      </c>
      <c r="W384" s="154" t="s">
        <v>66</v>
      </c>
      <c r="X384" s="154" t="s">
        <v>66</v>
      </c>
      <c r="Y384" s="154" t="s">
        <v>66</v>
      </c>
      <c r="Z384" s="154" t="s">
        <v>66</v>
      </c>
      <c r="AA384" s="154"/>
      <c r="AB384" s="242" t="str">
        <f t="shared" si="2"/>
        <v>#ERROR!</v>
      </c>
      <c r="AC384" s="154" t="s">
        <v>391</v>
      </c>
      <c r="AD384" s="242" t="b">
        <f t="shared" si="3"/>
        <v>0</v>
      </c>
      <c r="AE384" s="154"/>
      <c r="AF384" s="242" t="str">
        <f t="shared" si="4"/>
        <v>#ERROR!</v>
      </c>
      <c r="AG384" s="154" t="s">
        <v>652</v>
      </c>
      <c r="AH384" s="242" t="str">
        <f>IF(AG384="","N/A",INDIRECT("MTR!"&amp;ADDRESS(MATCH(LEFT(AG384,9),[1]MTR!C:C,0),COLUMN(J384)),TRUE) &amp; "")</f>
        <v>#ERROR!</v>
      </c>
      <c r="AI384" s="157" t="str">
        <f t="shared" si="5"/>
        <v>#ERROR!</v>
      </c>
    </row>
    <row r="385" ht="12.75" customHeight="1">
      <c r="A385" s="244" t="s">
        <v>5158</v>
      </c>
      <c r="B385" s="244" t="s">
        <v>231</v>
      </c>
      <c r="C385" s="244" t="s">
        <v>7806</v>
      </c>
      <c r="D385" s="154" t="s">
        <v>1069</v>
      </c>
      <c r="E385" s="154"/>
      <c r="F385" s="154" t="str">
        <f t="array" ref="F385">XLOOKUP(Cover!$D$12,$R$1:$Z$1,$R385:$Z385)</f>
        <v>Information</v>
      </c>
      <c r="G385" s="154" t="s">
        <v>7807</v>
      </c>
      <c r="H385" s="154" t="s">
        <v>7314</v>
      </c>
      <c r="I385" s="154" t="s">
        <v>7804</v>
      </c>
      <c r="J385" s="154" t="s">
        <v>7805</v>
      </c>
      <c r="K385" s="154" t="s">
        <v>7305</v>
      </c>
      <c r="L385" s="154" t="s">
        <v>6154</v>
      </c>
      <c r="M385" s="154"/>
      <c r="N385" s="154" t="s">
        <v>759</v>
      </c>
      <c r="O385" s="247" t="s">
        <v>516</v>
      </c>
      <c r="P385" s="247" t="s">
        <v>6776</v>
      </c>
      <c r="Q385" s="154" t="str">
        <f t="shared" si="1"/>
        <v>#ERROR!</v>
      </c>
      <c r="R385" s="154" t="s">
        <v>66</v>
      </c>
      <c r="S385" s="154" t="s">
        <v>66</v>
      </c>
      <c r="T385" s="154" t="s">
        <v>66</v>
      </c>
      <c r="U385" s="154" t="s">
        <v>66</v>
      </c>
      <c r="V385" s="154" t="s">
        <v>66</v>
      </c>
      <c r="W385" s="154" t="s">
        <v>66</v>
      </c>
      <c r="X385" s="154" t="s">
        <v>66</v>
      </c>
      <c r="Y385" s="154" t="s">
        <v>66</v>
      </c>
      <c r="Z385" s="154" t="s">
        <v>66</v>
      </c>
      <c r="AA385" s="154"/>
      <c r="AB385" s="242" t="str">
        <f t="shared" si="2"/>
        <v>#ERROR!</v>
      </c>
      <c r="AC385" s="154" t="s">
        <v>391</v>
      </c>
      <c r="AD385" s="242" t="b">
        <f t="shared" si="3"/>
        <v>0</v>
      </c>
      <c r="AE385" s="154"/>
      <c r="AF385" s="242" t="str">
        <f t="shared" si="4"/>
        <v>#ERROR!</v>
      </c>
      <c r="AG385" s="154" t="s">
        <v>652</v>
      </c>
      <c r="AH385" s="242" t="str">
        <f>IF(AG385="","N/A",INDIRECT("MTR!"&amp;ADDRESS(MATCH(LEFT(AG385,9),[1]MTR!C:C,0),COLUMN(J385)),TRUE) &amp; "")</f>
        <v>#ERROR!</v>
      </c>
      <c r="AI385" s="157" t="str">
        <f t="shared" si="5"/>
        <v>#ERROR!</v>
      </c>
    </row>
    <row r="386" ht="12.75" customHeight="1">
      <c r="A386" s="244" t="s">
        <v>5158</v>
      </c>
      <c r="B386" s="244" t="s">
        <v>231</v>
      </c>
      <c r="C386" s="244" t="s">
        <v>7808</v>
      </c>
      <c r="D386" s="154" t="s">
        <v>1069</v>
      </c>
      <c r="E386" s="154"/>
      <c r="F386" s="154" t="str">
        <f t="array" ref="F386">XLOOKUP(Cover!$D$12,$R$1:$Z$1,$R386:$Z386)</f>
        <v>Information</v>
      </c>
      <c r="G386" s="154" t="s">
        <v>7809</v>
      </c>
      <c r="H386" s="154" t="s">
        <v>7323</v>
      </c>
      <c r="I386" s="154" t="s">
        <v>7804</v>
      </c>
      <c r="J386" s="154" t="s">
        <v>7805</v>
      </c>
      <c r="K386" s="154" t="s">
        <v>7305</v>
      </c>
      <c r="L386" s="154" t="s">
        <v>6154</v>
      </c>
      <c r="M386" s="154"/>
      <c r="N386" s="154" t="s">
        <v>759</v>
      </c>
      <c r="O386" s="247" t="s">
        <v>516</v>
      </c>
      <c r="P386" s="247" t="s">
        <v>6776</v>
      </c>
      <c r="Q386" s="154" t="str">
        <f t="shared" si="1"/>
        <v>#ERROR!</v>
      </c>
      <c r="R386" s="154" t="s">
        <v>66</v>
      </c>
      <c r="S386" s="154" t="s">
        <v>66</v>
      </c>
      <c r="T386" s="154" t="s">
        <v>66</v>
      </c>
      <c r="U386" s="154" t="s">
        <v>66</v>
      </c>
      <c r="V386" s="154" t="s">
        <v>66</v>
      </c>
      <c r="W386" s="154" t="s">
        <v>66</v>
      </c>
      <c r="X386" s="154" t="s">
        <v>66</v>
      </c>
      <c r="Y386" s="154" t="s">
        <v>66</v>
      </c>
      <c r="Z386" s="154" t="s">
        <v>66</v>
      </c>
      <c r="AA386" s="154"/>
      <c r="AB386" s="242" t="str">
        <f t="shared" si="2"/>
        <v>#ERROR!</v>
      </c>
      <c r="AC386" s="154" t="s">
        <v>391</v>
      </c>
      <c r="AD386" s="242" t="b">
        <f t="shared" si="3"/>
        <v>0</v>
      </c>
      <c r="AE386" s="154"/>
      <c r="AF386" s="242" t="str">
        <f t="shared" si="4"/>
        <v>#ERROR!</v>
      </c>
      <c r="AG386" s="154" t="s">
        <v>652</v>
      </c>
      <c r="AH386" s="242" t="str">
        <f>IF(AG386="","N/A",INDIRECT("MTR!"&amp;ADDRESS(MATCH(LEFT(AG386,9),[1]MTR!C:C,0),COLUMN(J386)),TRUE) &amp; "")</f>
        <v>#ERROR!</v>
      </c>
      <c r="AI386" s="157" t="str">
        <f t="shared" si="5"/>
        <v>#ERROR!</v>
      </c>
    </row>
    <row r="387" ht="12.75" customHeight="1">
      <c r="A387" s="244" t="s">
        <v>5158</v>
      </c>
      <c r="B387" s="244" t="s">
        <v>231</v>
      </c>
      <c r="C387" s="244" t="s">
        <v>7810</v>
      </c>
      <c r="D387" s="154" t="s">
        <v>1773</v>
      </c>
      <c r="E387" s="154"/>
      <c r="F387" s="154" t="str">
        <f t="array" ref="F387">XLOOKUP(Cover!$D$12,$R$1:$Z$1,$R387:$Z387)</f>
        <v>Information</v>
      </c>
      <c r="G387" s="154" t="s">
        <v>7811</v>
      </c>
      <c r="H387" s="154" t="s">
        <v>7304</v>
      </c>
      <c r="I387" s="154" t="s">
        <v>7812</v>
      </c>
      <c r="J387" s="154" t="s">
        <v>7813</v>
      </c>
      <c r="K387" s="154" t="s">
        <v>7305</v>
      </c>
      <c r="L387" s="154" t="s">
        <v>6126</v>
      </c>
      <c r="M387" s="154"/>
      <c r="N387" s="154" t="s">
        <v>759</v>
      </c>
      <c r="O387" s="247" t="s">
        <v>516</v>
      </c>
      <c r="P387" s="247" t="s">
        <v>6776</v>
      </c>
      <c r="Q387" s="154" t="str">
        <f t="shared" si="1"/>
        <v>#ERROR!</v>
      </c>
      <c r="R387" s="154" t="s">
        <v>66</v>
      </c>
      <c r="S387" s="154" t="s">
        <v>66</v>
      </c>
      <c r="T387" s="154" t="s">
        <v>66</v>
      </c>
      <c r="U387" s="154" t="s">
        <v>66</v>
      </c>
      <c r="V387" s="154" t="s">
        <v>66</v>
      </c>
      <c r="W387" s="154" t="s">
        <v>66</v>
      </c>
      <c r="X387" s="154" t="s">
        <v>66</v>
      </c>
      <c r="Y387" s="154" t="s">
        <v>66</v>
      </c>
      <c r="Z387" s="154" t="s">
        <v>66</v>
      </c>
      <c r="AA387" s="154"/>
      <c r="AB387" s="242" t="str">
        <f t="shared" si="2"/>
        <v>#ERROR!</v>
      </c>
      <c r="AC387" s="154" t="s">
        <v>391</v>
      </c>
      <c r="AD387" s="242" t="b">
        <f t="shared" si="3"/>
        <v>0</v>
      </c>
      <c r="AE387" s="154"/>
      <c r="AF387" s="242" t="str">
        <f t="shared" si="4"/>
        <v>#ERROR!</v>
      </c>
      <c r="AG387" s="154" t="s">
        <v>652</v>
      </c>
      <c r="AH387" s="242" t="str">
        <f>IF(AG387="","N/A",INDIRECT("MTR!"&amp;ADDRESS(MATCH(LEFT(AG387,9),[1]MTR!C:C,0),COLUMN(J387)),TRUE) &amp; "")</f>
        <v>#ERROR!</v>
      </c>
      <c r="AI387" s="157" t="str">
        <f t="shared" si="5"/>
        <v>#ERROR!</v>
      </c>
    </row>
    <row r="388" ht="12.75" customHeight="1">
      <c r="A388" s="244" t="s">
        <v>5158</v>
      </c>
      <c r="B388" s="244" t="s">
        <v>231</v>
      </c>
      <c r="C388" s="244" t="s">
        <v>7814</v>
      </c>
      <c r="D388" s="154" t="s">
        <v>1773</v>
      </c>
      <c r="E388" s="154"/>
      <c r="F388" s="154" t="str">
        <f t="array" ref="F388">XLOOKUP(Cover!$D$12,$R$1:$Z$1,$R388:$Z388)</f>
        <v>Information</v>
      </c>
      <c r="G388" s="154" t="s">
        <v>7815</v>
      </c>
      <c r="H388" s="154" t="s">
        <v>7314</v>
      </c>
      <c r="I388" s="154" t="s">
        <v>7812</v>
      </c>
      <c r="J388" s="154" t="s">
        <v>7813</v>
      </c>
      <c r="K388" s="154" t="s">
        <v>7305</v>
      </c>
      <c r="L388" s="154" t="s">
        <v>6126</v>
      </c>
      <c r="M388" s="154"/>
      <c r="N388" s="154" t="s">
        <v>759</v>
      </c>
      <c r="O388" s="247" t="s">
        <v>516</v>
      </c>
      <c r="P388" s="247" t="s">
        <v>6776</v>
      </c>
      <c r="Q388" s="154" t="str">
        <f t="shared" si="1"/>
        <v>#ERROR!</v>
      </c>
      <c r="R388" s="154" t="s">
        <v>66</v>
      </c>
      <c r="S388" s="154" t="s">
        <v>66</v>
      </c>
      <c r="T388" s="154" t="s">
        <v>66</v>
      </c>
      <c r="U388" s="154" t="s">
        <v>66</v>
      </c>
      <c r="V388" s="154" t="s">
        <v>66</v>
      </c>
      <c r="W388" s="154" t="s">
        <v>66</v>
      </c>
      <c r="X388" s="154" t="s">
        <v>66</v>
      </c>
      <c r="Y388" s="154" t="s">
        <v>66</v>
      </c>
      <c r="Z388" s="154" t="s">
        <v>66</v>
      </c>
      <c r="AA388" s="154"/>
      <c r="AB388" s="242" t="str">
        <f t="shared" si="2"/>
        <v>#ERROR!</v>
      </c>
      <c r="AC388" s="154" t="s">
        <v>391</v>
      </c>
      <c r="AD388" s="242" t="b">
        <f t="shared" si="3"/>
        <v>0</v>
      </c>
      <c r="AE388" s="154"/>
      <c r="AF388" s="242" t="str">
        <f t="shared" si="4"/>
        <v>#ERROR!</v>
      </c>
      <c r="AG388" s="154" t="s">
        <v>652</v>
      </c>
      <c r="AH388" s="242" t="str">
        <f>IF(AG388="","N/A",INDIRECT("MTR!"&amp;ADDRESS(MATCH(LEFT(AG388,9),[1]MTR!C:C,0),COLUMN(J388)),TRUE) &amp; "")</f>
        <v>#ERROR!</v>
      </c>
      <c r="AI388" s="157" t="str">
        <f t="shared" si="5"/>
        <v>#ERROR!</v>
      </c>
    </row>
    <row r="389" ht="12.75" customHeight="1">
      <c r="A389" s="244" t="s">
        <v>5158</v>
      </c>
      <c r="B389" s="244" t="s">
        <v>231</v>
      </c>
      <c r="C389" s="244" t="s">
        <v>7816</v>
      </c>
      <c r="D389" s="154" t="s">
        <v>1773</v>
      </c>
      <c r="E389" s="154"/>
      <c r="F389" s="154" t="str">
        <f t="array" ref="F389">XLOOKUP(Cover!$D$12,$R$1:$Z$1,$R389:$Z389)</f>
        <v>Information</v>
      </c>
      <c r="G389" s="154" t="s">
        <v>7817</v>
      </c>
      <c r="H389" s="154" t="s">
        <v>7320</v>
      </c>
      <c r="I389" s="154" t="s">
        <v>7812</v>
      </c>
      <c r="J389" s="154" t="s">
        <v>7813</v>
      </c>
      <c r="K389" s="154" t="s">
        <v>7305</v>
      </c>
      <c r="L389" s="154" t="s">
        <v>6126</v>
      </c>
      <c r="M389" s="154"/>
      <c r="N389" s="154" t="s">
        <v>759</v>
      </c>
      <c r="O389" s="247" t="s">
        <v>516</v>
      </c>
      <c r="P389" s="247" t="s">
        <v>6776</v>
      </c>
      <c r="Q389" s="154" t="str">
        <f t="shared" si="1"/>
        <v>#ERROR!</v>
      </c>
      <c r="R389" s="154" t="s">
        <v>66</v>
      </c>
      <c r="S389" s="154" t="s">
        <v>66</v>
      </c>
      <c r="T389" s="154" t="s">
        <v>66</v>
      </c>
      <c r="U389" s="154" t="s">
        <v>66</v>
      </c>
      <c r="V389" s="154" t="s">
        <v>66</v>
      </c>
      <c r="W389" s="154" t="s">
        <v>66</v>
      </c>
      <c r="X389" s="154" t="s">
        <v>66</v>
      </c>
      <c r="Y389" s="154" t="s">
        <v>66</v>
      </c>
      <c r="Z389" s="154" t="s">
        <v>66</v>
      </c>
      <c r="AA389" s="154"/>
      <c r="AB389" s="242" t="str">
        <f t="shared" si="2"/>
        <v>#ERROR!</v>
      </c>
      <c r="AC389" s="154" t="s">
        <v>391</v>
      </c>
      <c r="AD389" s="242" t="b">
        <f t="shared" si="3"/>
        <v>0</v>
      </c>
      <c r="AE389" s="154"/>
      <c r="AF389" s="242" t="str">
        <f t="shared" si="4"/>
        <v>#ERROR!</v>
      </c>
      <c r="AG389" s="154" t="s">
        <v>652</v>
      </c>
      <c r="AH389" s="242" t="str">
        <f>IF(AG389="","N/A",INDIRECT("MTR!"&amp;ADDRESS(MATCH(LEFT(AG389,9),[1]MTR!C:C,0),COLUMN(J389)),TRUE) &amp; "")</f>
        <v>#ERROR!</v>
      </c>
      <c r="AI389" s="157" t="str">
        <f t="shared" si="5"/>
        <v>#ERROR!</v>
      </c>
    </row>
    <row r="390" ht="12.75" customHeight="1">
      <c r="A390" s="244" t="s">
        <v>5158</v>
      </c>
      <c r="B390" s="244" t="s">
        <v>231</v>
      </c>
      <c r="C390" s="244" t="s">
        <v>7818</v>
      </c>
      <c r="D390" s="154" t="s">
        <v>1773</v>
      </c>
      <c r="E390" s="154"/>
      <c r="F390" s="154" t="str">
        <f t="array" ref="F390">XLOOKUP(Cover!$D$12,$R$1:$Z$1,$R390:$Z390)</f>
        <v>Information</v>
      </c>
      <c r="G390" s="154" t="s">
        <v>7819</v>
      </c>
      <c r="H390" s="154" t="s">
        <v>7323</v>
      </c>
      <c r="I390" s="154" t="s">
        <v>7812</v>
      </c>
      <c r="J390" s="154" t="s">
        <v>7813</v>
      </c>
      <c r="K390" s="154" t="s">
        <v>7305</v>
      </c>
      <c r="L390" s="154" t="s">
        <v>6126</v>
      </c>
      <c r="M390" s="154"/>
      <c r="N390" s="154" t="s">
        <v>759</v>
      </c>
      <c r="O390" s="247" t="s">
        <v>516</v>
      </c>
      <c r="P390" s="247" t="s">
        <v>6776</v>
      </c>
      <c r="Q390" s="154" t="str">
        <f t="shared" si="1"/>
        <v>#ERROR!</v>
      </c>
      <c r="R390" s="154" t="s">
        <v>66</v>
      </c>
      <c r="S390" s="154" t="s">
        <v>66</v>
      </c>
      <c r="T390" s="154" t="s">
        <v>66</v>
      </c>
      <c r="U390" s="154" t="s">
        <v>66</v>
      </c>
      <c r="V390" s="154" t="s">
        <v>66</v>
      </c>
      <c r="W390" s="154" t="s">
        <v>66</v>
      </c>
      <c r="X390" s="154" t="s">
        <v>66</v>
      </c>
      <c r="Y390" s="154" t="s">
        <v>66</v>
      </c>
      <c r="Z390" s="154" t="s">
        <v>66</v>
      </c>
      <c r="AA390" s="154"/>
      <c r="AB390" s="242" t="str">
        <f t="shared" si="2"/>
        <v>#ERROR!</v>
      </c>
      <c r="AC390" s="154" t="s">
        <v>391</v>
      </c>
      <c r="AD390" s="242" t="b">
        <f t="shared" si="3"/>
        <v>0</v>
      </c>
      <c r="AE390" s="154"/>
      <c r="AF390" s="242" t="str">
        <f t="shared" si="4"/>
        <v>#ERROR!</v>
      </c>
      <c r="AG390" s="154" t="s">
        <v>652</v>
      </c>
      <c r="AH390" s="242" t="str">
        <f>IF(AG390="","N/A",INDIRECT("MTR!"&amp;ADDRESS(MATCH(LEFT(AG390,9),[1]MTR!C:C,0),COLUMN(J390)),TRUE) &amp; "")</f>
        <v>#ERROR!</v>
      </c>
      <c r="AI390" s="157" t="str">
        <f t="shared" si="5"/>
        <v>#ERROR!</v>
      </c>
    </row>
    <row r="391" ht="12.75" customHeight="1">
      <c r="A391" s="244" t="s">
        <v>5158</v>
      </c>
      <c r="B391" s="244" t="s">
        <v>231</v>
      </c>
      <c r="C391" s="244" t="s">
        <v>7820</v>
      </c>
      <c r="D391" s="154" t="s">
        <v>1069</v>
      </c>
      <c r="E391" s="154"/>
      <c r="F391" s="154" t="str">
        <f t="array" ref="F391">XLOOKUP(Cover!$D$12,$R$1:$Z$1,$R391:$Z391)</f>
        <v>Information</v>
      </c>
      <c r="G391" s="154" t="s">
        <v>7821</v>
      </c>
      <c r="H391" s="154" t="s">
        <v>7314</v>
      </c>
      <c r="I391" s="154" t="s">
        <v>7822</v>
      </c>
      <c r="J391" s="154" t="s">
        <v>7823</v>
      </c>
      <c r="K391" s="154" t="s">
        <v>7305</v>
      </c>
      <c r="L391" s="154" t="s">
        <v>6154</v>
      </c>
      <c r="M391" s="154"/>
      <c r="N391" s="154" t="s">
        <v>759</v>
      </c>
      <c r="O391" s="247" t="s">
        <v>516</v>
      </c>
      <c r="P391" s="247" t="s">
        <v>6776</v>
      </c>
      <c r="Q391" s="154" t="str">
        <f t="shared" si="1"/>
        <v>#ERROR!</v>
      </c>
      <c r="R391" s="154" t="s">
        <v>66</v>
      </c>
      <c r="S391" s="154" t="s">
        <v>66</v>
      </c>
      <c r="T391" s="154" t="s">
        <v>66</v>
      </c>
      <c r="U391" s="154" t="s">
        <v>66</v>
      </c>
      <c r="V391" s="154" t="s">
        <v>66</v>
      </c>
      <c r="W391" s="154" t="s">
        <v>66</v>
      </c>
      <c r="X391" s="154" t="s">
        <v>66</v>
      </c>
      <c r="Y391" s="154" t="s">
        <v>66</v>
      </c>
      <c r="Z391" s="154" t="s">
        <v>66</v>
      </c>
      <c r="AA391" s="154"/>
      <c r="AB391" s="242" t="str">
        <f t="shared" si="2"/>
        <v>#ERROR!</v>
      </c>
      <c r="AC391" s="154" t="s">
        <v>391</v>
      </c>
      <c r="AD391" s="242" t="b">
        <f t="shared" si="3"/>
        <v>0</v>
      </c>
      <c r="AE391" s="154"/>
      <c r="AF391" s="242" t="str">
        <f t="shared" si="4"/>
        <v>#ERROR!</v>
      </c>
      <c r="AG391" s="154" t="s">
        <v>652</v>
      </c>
      <c r="AH391" s="242" t="str">
        <f>IF(AG391="","N/A",INDIRECT("MTR!"&amp;ADDRESS(MATCH(LEFT(AG391,9),[1]MTR!C:C,0),COLUMN(J391)),TRUE) &amp; "")</f>
        <v>#ERROR!</v>
      </c>
      <c r="AI391" s="157" t="str">
        <f t="shared" si="5"/>
        <v>#ERROR!</v>
      </c>
    </row>
    <row r="392" ht="12.75" customHeight="1">
      <c r="A392" s="244" t="s">
        <v>5158</v>
      </c>
      <c r="B392" s="244" t="s">
        <v>231</v>
      </c>
      <c r="C392" s="244" t="s">
        <v>7824</v>
      </c>
      <c r="D392" s="154" t="s">
        <v>1069</v>
      </c>
      <c r="E392" s="154"/>
      <c r="F392" s="154" t="str">
        <f t="array" ref="F392">XLOOKUP(Cover!$D$12,$R$1:$Z$1,$R392:$Z392)</f>
        <v>Information</v>
      </c>
      <c r="G392" s="154" t="s">
        <v>7825</v>
      </c>
      <c r="H392" s="154" t="s">
        <v>7320</v>
      </c>
      <c r="I392" s="154" t="s">
        <v>7822</v>
      </c>
      <c r="J392" s="154" t="s">
        <v>7823</v>
      </c>
      <c r="K392" s="154" t="s">
        <v>7305</v>
      </c>
      <c r="L392" s="154" t="s">
        <v>6154</v>
      </c>
      <c r="M392" s="154"/>
      <c r="N392" s="154" t="s">
        <v>759</v>
      </c>
      <c r="O392" s="247" t="s">
        <v>516</v>
      </c>
      <c r="P392" s="247" t="s">
        <v>6776</v>
      </c>
      <c r="Q392" s="154" t="str">
        <f t="shared" si="1"/>
        <v>#ERROR!</v>
      </c>
      <c r="R392" s="154" t="s">
        <v>66</v>
      </c>
      <c r="S392" s="154" t="s">
        <v>66</v>
      </c>
      <c r="T392" s="154" t="s">
        <v>66</v>
      </c>
      <c r="U392" s="154" t="s">
        <v>66</v>
      </c>
      <c r="V392" s="154" t="s">
        <v>66</v>
      </c>
      <c r="W392" s="154" t="s">
        <v>66</v>
      </c>
      <c r="X392" s="154" t="s">
        <v>66</v>
      </c>
      <c r="Y392" s="154" t="s">
        <v>66</v>
      </c>
      <c r="Z392" s="154" t="s">
        <v>66</v>
      </c>
      <c r="AA392" s="154"/>
      <c r="AB392" s="242" t="str">
        <f t="shared" si="2"/>
        <v>#ERROR!</v>
      </c>
      <c r="AC392" s="154" t="s">
        <v>391</v>
      </c>
      <c r="AD392" s="242" t="b">
        <f t="shared" si="3"/>
        <v>0</v>
      </c>
      <c r="AE392" s="154"/>
      <c r="AF392" s="242" t="str">
        <f t="shared" si="4"/>
        <v>#ERROR!</v>
      </c>
      <c r="AG392" s="154" t="s">
        <v>652</v>
      </c>
      <c r="AH392" s="242" t="str">
        <f>IF(AG392="","N/A",INDIRECT("MTR!"&amp;ADDRESS(MATCH(LEFT(AG392,9),[1]MTR!C:C,0),COLUMN(J392)),TRUE) &amp; "")</f>
        <v>#ERROR!</v>
      </c>
      <c r="AI392" s="157" t="str">
        <f t="shared" si="5"/>
        <v>#ERROR!</v>
      </c>
    </row>
    <row r="393" ht="12.75" customHeight="1">
      <c r="A393" s="244" t="s">
        <v>5158</v>
      </c>
      <c r="B393" s="244" t="s">
        <v>231</v>
      </c>
      <c r="C393" s="244" t="s">
        <v>7826</v>
      </c>
      <c r="D393" s="154" t="s">
        <v>1069</v>
      </c>
      <c r="E393" s="154"/>
      <c r="F393" s="154" t="str">
        <f t="array" ref="F393">XLOOKUP(Cover!$D$12,$R$1:$Z$1,$R393:$Z393)</f>
        <v>Information</v>
      </c>
      <c r="G393" s="154" t="s">
        <v>7827</v>
      </c>
      <c r="H393" s="154" t="s">
        <v>7323</v>
      </c>
      <c r="I393" s="154" t="s">
        <v>7822</v>
      </c>
      <c r="J393" s="154" t="s">
        <v>7823</v>
      </c>
      <c r="K393" s="154" t="s">
        <v>7305</v>
      </c>
      <c r="L393" s="154" t="s">
        <v>6154</v>
      </c>
      <c r="M393" s="154"/>
      <c r="N393" s="154" t="s">
        <v>759</v>
      </c>
      <c r="O393" s="247" t="s">
        <v>516</v>
      </c>
      <c r="P393" s="247" t="s">
        <v>6776</v>
      </c>
      <c r="Q393" s="154" t="str">
        <f t="shared" si="1"/>
        <v>#ERROR!</v>
      </c>
      <c r="R393" s="154" t="s">
        <v>66</v>
      </c>
      <c r="S393" s="154" t="s">
        <v>66</v>
      </c>
      <c r="T393" s="154" t="s">
        <v>66</v>
      </c>
      <c r="U393" s="154" t="s">
        <v>66</v>
      </c>
      <c r="V393" s="154" t="s">
        <v>66</v>
      </c>
      <c r="W393" s="154" t="s">
        <v>66</v>
      </c>
      <c r="X393" s="154" t="s">
        <v>66</v>
      </c>
      <c r="Y393" s="154" t="s">
        <v>66</v>
      </c>
      <c r="Z393" s="154" t="s">
        <v>66</v>
      </c>
      <c r="AA393" s="154"/>
      <c r="AB393" s="242" t="str">
        <f t="shared" si="2"/>
        <v>#ERROR!</v>
      </c>
      <c r="AC393" s="154" t="s">
        <v>391</v>
      </c>
      <c r="AD393" s="242" t="b">
        <f t="shared" si="3"/>
        <v>0</v>
      </c>
      <c r="AE393" s="154"/>
      <c r="AF393" s="242" t="str">
        <f t="shared" si="4"/>
        <v>#ERROR!</v>
      </c>
      <c r="AG393" s="154" t="s">
        <v>652</v>
      </c>
      <c r="AH393" s="242" t="str">
        <f>IF(AG393="","N/A",INDIRECT("MTR!"&amp;ADDRESS(MATCH(LEFT(AG393,9),[1]MTR!C:C,0),COLUMN(J393)),TRUE) &amp; "")</f>
        <v>#ERROR!</v>
      </c>
      <c r="AI393" s="157" t="str">
        <f t="shared" si="5"/>
        <v>#ERROR!</v>
      </c>
    </row>
    <row r="394" ht="12.75" customHeight="1">
      <c r="A394" s="238" t="s">
        <v>5158</v>
      </c>
      <c r="B394" s="238" t="s">
        <v>231</v>
      </c>
      <c r="C394" s="238" t="s">
        <v>7828</v>
      </c>
      <c r="D394" s="240"/>
      <c r="E394" s="240" t="s">
        <v>92</v>
      </c>
      <c r="F394" s="240" t="str">
        <f t="array" ref="F394">XLOOKUP(Cover!$D$12,$R$1:$Z$1,$R394:$Z394)</f>
        <v>Heading</v>
      </c>
      <c r="G394" s="239" t="s">
        <v>7829</v>
      </c>
      <c r="H394" s="240"/>
      <c r="I394" s="240"/>
      <c r="J394" s="240"/>
      <c r="K394" s="240"/>
      <c r="L394" s="240"/>
      <c r="M394" s="240"/>
      <c r="N394" s="240" t="s">
        <v>759</v>
      </c>
      <c r="O394" s="240"/>
      <c r="P394" s="240"/>
      <c r="Q394" s="240" t="str">
        <f t="shared" si="1"/>
        <v/>
      </c>
      <c r="R394" s="240" t="s">
        <v>390</v>
      </c>
      <c r="S394" s="240" t="s">
        <v>390</v>
      </c>
      <c r="T394" s="240" t="s">
        <v>390</v>
      </c>
      <c r="U394" s="240" t="s">
        <v>390</v>
      </c>
      <c r="V394" s="240" t="s">
        <v>390</v>
      </c>
      <c r="W394" s="240" t="s">
        <v>390</v>
      </c>
      <c r="X394" s="240" t="s">
        <v>390</v>
      </c>
      <c r="Y394" s="240" t="s">
        <v>390</v>
      </c>
      <c r="Z394" s="240" t="s">
        <v>390</v>
      </c>
      <c r="AA394" s="240"/>
      <c r="AB394" s="242" t="str">
        <f t="shared" si="2"/>
        <v>#ERROR!</v>
      </c>
      <c r="AC394" s="240" t="s">
        <v>391</v>
      </c>
      <c r="AD394" s="242" t="b">
        <f t="shared" si="3"/>
        <v>0</v>
      </c>
      <c r="AE394" s="240"/>
      <c r="AF394" s="242" t="str">
        <f t="shared" si="4"/>
        <v>#ERROR!</v>
      </c>
      <c r="AG394" s="240"/>
      <c r="AH394" s="242" t="str">
        <f>IF(AG394="","N/A",INDIRECT("MTR!"&amp;ADDRESS(MATCH(LEFT(AG394,9),[1]MTR!C:C,0),COLUMN(J394)),TRUE) &amp; "")</f>
        <v>#ERROR!</v>
      </c>
      <c r="AI394" s="157" t="str">
        <f t="shared" si="5"/>
        <v/>
      </c>
    </row>
    <row r="395" ht="12.75" customHeight="1">
      <c r="A395" s="238" t="s">
        <v>5158</v>
      </c>
      <c r="B395" s="238" t="s">
        <v>231</v>
      </c>
      <c r="C395" s="238" t="s">
        <v>7830</v>
      </c>
      <c r="D395" s="240"/>
      <c r="E395" s="240" t="s">
        <v>92</v>
      </c>
      <c r="F395" s="240" t="str">
        <f t="array" ref="F395">XLOOKUP(Cover!$D$12,$R$1:$Z$1,$R395:$Z395)</f>
        <v>Heading</v>
      </c>
      <c r="G395" s="239" t="s">
        <v>7831</v>
      </c>
      <c r="H395" s="240"/>
      <c r="I395" s="240"/>
      <c r="J395" s="240"/>
      <c r="K395" s="240"/>
      <c r="L395" s="240"/>
      <c r="M395" s="240"/>
      <c r="N395" s="240" t="s">
        <v>759</v>
      </c>
      <c r="O395" s="240"/>
      <c r="P395" s="240"/>
      <c r="Q395" s="240" t="str">
        <f t="shared" si="1"/>
        <v/>
      </c>
      <c r="R395" s="240" t="s">
        <v>390</v>
      </c>
      <c r="S395" s="240" t="s">
        <v>390</v>
      </c>
      <c r="T395" s="240" t="s">
        <v>390</v>
      </c>
      <c r="U395" s="240" t="s">
        <v>390</v>
      </c>
      <c r="V395" s="240" t="s">
        <v>390</v>
      </c>
      <c r="W395" s="240" t="s">
        <v>390</v>
      </c>
      <c r="X395" s="240" t="s">
        <v>390</v>
      </c>
      <c r="Y395" s="240" t="s">
        <v>390</v>
      </c>
      <c r="Z395" s="240" t="s">
        <v>390</v>
      </c>
      <c r="AA395" s="240"/>
      <c r="AB395" s="242" t="str">
        <f t="shared" si="2"/>
        <v>#ERROR!</v>
      </c>
      <c r="AC395" s="240" t="s">
        <v>391</v>
      </c>
      <c r="AD395" s="242" t="b">
        <f t="shared" si="3"/>
        <v>0</v>
      </c>
      <c r="AE395" s="240"/>
      <c r="AF395" s="242" t="str">
        <f t="shared" si="4"/>
        <v>#ERROR!</v>
      </c>
      <c r="AG395" s="240"/>
      <c r="AH395" s="242" t="str">
        <f>IF(AG395="","N/A",INDIRECT("MTR!"&amp;ADDRESS(MATCH(LEFT(AG395,9),[1]MTR!C:C,0),COLUMN(J395)),TRUE) &amp; "")</f>
        <v>#ERROR!</v>
      </c>
      <c r="AI395" s="157" t="str">
        <f t="shared" si="5"/>
        <v/>
      </c>
    </row>
    <row r="396" ht="12.75" customHeight="1">
      <c r="A396" s="244" t="s">
        <v>5158</v>
      </c>
      <c r="B396" s="244" t="s">
        <v>231</v>
      </c>
      <c r="C396" s="244" t="s">
        <v>7832</v>
      </c>
      <c r="D396" s="154" t="s">
        <v>542</v>
      </c>
      <c r="E396" s="154"/>
      <c r="F396" s="154" t="str">
        <f t="array" ref="F396">XLOOKUP(Cover!$D$12,$R$1:$Z$1,$R396:$Z396)</f>
        <v>Mandatory</v>
      </c>
      <c r="G396" s="154" t="s">
        <v>7833</v>
      </c>
      <c r="H396" s="154" t="s">
        <v>7834</v>
      </c>
      <c r="I396" s="154" t="s">
        <v>7834</v>
      </c>
      <c r="J396" s="154" t="s">
        <v>5730</v>
      </c>
      <c r="K396" s="154" t="s">
        <v>7835</v>
      </c>
      <c r="L396" s="154" t="s">
        <v>6525</v>
      </c>
      <c r="M396" s="154" t="s">
        <v>1122</v>
      </c>
      <c r="N396" s="154" t="s">
        <v>759</v>
      </c>
      <c r="O396" s="247" t="s">
        <v>516</v>
      </c>
      <c r="P396" s="247" t="s">
        <v>6776</v>
      </c>
      <c r="Q396" s="154" t="str">
        <f t="shared" si="1"/>
        <v>#ERROR!</v>
      </c>
      <c r="R396" s="154" t="s">
        <v>66</v>
      </c>
      <c r="S396" s="154" t="s">
        <v>66</v>
      </c>
      <c r="T396" s="154" t="s">
        <v>66</v>
      </c>
      <c r="U396" s="154" t="s">
        <v>66</v>
      </c>
      <c r="V396" s="154" t="s">
        <v>66</v>
      </c>
      <c r="W396" s="154" t="s">
        <v>60</v>
      </c>
      <c r="X396" s="154" t="s">
        <v>66</v>
      </c>
      <c r="Y396" s="154" t="s">
        <v>66</v>
      </c>
      <c r="Z396" s="154" t="s">
        <v>60</v>
      </c>
      <c r="AA396" s="154"/>
      <c r="AB396" s="242" t="str">
        <f t="shared" si="2"/>
        <v>#ERROR!</v>
      </c>
      <c r="AC396" s="154" t="s">
        <v>391</v>
      </c>
      <c r="AD396" s="242" t="b">
        <f t="shared" si="3"/>
        <v>0</v>
      </c>
      <c r="AE396" s="154"/>
      <c r="AF396" s="242" t="str">
        <f t="shared" si="4"/>
        <v>#ERROR!</v>
      </c>
      <c r="AG396" s="154" t="s">
        <v>652</v>
      </c>
      <c r="AH396" s="242" t="str">
        <f>IF(AG396="","N/A",INDIRECT("MTR!"&amp;ADDRESS(MATCH(LEFT(AG396,9),[1]MTR!C:C,0),COLUMN(J396)),TRUE) &amp; "")</f>
        <v>#ERROR!</v>
      </c>
      <c r="AI396" s="157" t="str">
        <f t="shared" si="5"/>
        <v>#ERROR!</v>
      </c>
    </row>
    <row r="397" ht="12.75" customHeight="1">
      <c r="A397" s="244" t="s">
        <v>5158</v>
      </c>
      <c r="B397" s="244" t="s">
        <v>231</v>
      </c>
      <c r="C397" s="244" t="s">
        <v>7836</v>
      </c>
      <c r="D397" s="154" t="s">
        <v>542</v>
      </c>
      <c r="E397" s="154"/>
      <c r="F397" s="154" t="str">
        <f t="array" ref="F397">XLOOKUP(Cover!$D$12,$R$1:$Z$1,$R397:$Z397)</f>
        <v>Mandatory</v>
      </c>
      <c r="G397" s="154" t="s">
        <v>7837</v>
      </c>
      <c r="H397" s="154" t="s">
        <v>7838</v>
      </c>
      <c r="I397" s="154" t="s">
        <v>7838</v>
      </c>
      <c r="J397" s="154" t="s">
        <v>5782</v>
      </c>
      <c r="K397" s="154" t="s">
        <v>7835</v>
      </c>
      <c r="L397" s="154" t="s">
        <v>5905</v>
      </c>
      <c r="M397" s="154" t="s">
        <v>1122</v>
      </c>
      <c r="N397" s="154" t="s">
        <v>759</v>
      </c>
      <c r="O397" s="247" t="s">
        <v>516</v>
      </c>
      <c r="P397" s="247" t="s">
        <v>6776</v>
      </c>
      <c r="Q397" s="154" t="str">
        <f t="shared" si="1"/>
        <v>#ERROR!</v>
      </c>
      <c r="R397" s="154" t="s">
        <v>66</v>
      </c>
      <c r="S397" s="154" t="s">
        <v>66</v>
      </c>
      <c r="T397" s="154" t="s">
        <v>66</v>
      </c>
      <c r="U397" s="154" t="s">
        <v>66</v>
      </c>
      <c r="V397" s="154" t="s">
        <v>66</v>
      </c>
      <c r="W397" s="154" t="s">
        <v>60</v>
      </c>
      <c r="X397" s="154" t="s">
        <v>66</v>
      </c>
      <c r="Y397" s="154" t="s">
        <v>66</v>
      </c>
      <c r="Z397" s="154" t="s">
        <v>60</v>
      </c>
      <c r="AA397" s="154"/>
      <c r="AB397" s="242" t="str">
        <f t="shared" si="2"/>
        <v>#ERROR!</v>
      </c>
      <c r="AC397" s="154" t="s">
        <v>391</v>
      </c>
      <c r="AD397" s="242" t="b">
        <f t="shared" si="3"/>
        <v>0</v>
      </c>
      <c r="AE397" s="154"/>
      <c r="AF397" s="242" t="str">
        <f t="shared" si="4"/>
        <v>#ERROR!</v>
      </c>
      <c r="AG397" s="154" t="s">
        <v>652</v>
      </c>
      <c r="AH397" s="242" t="str">
        <f>IF(AG397="","N/A",INDIRECT("MTR!"&amp;ADDRESS(MATCH(LEFT(AG397,9),[1]MTR!C:C,0),COLUMN(J397)),TRUE) &amp; "")</f>
        <v>#ERROR!</v>
      </c>
      <c r="AI397" s="157" t="str">
        <f t="shared" si="5"/>
        <v>#ERROR!</v>
      </c>
    </row>
    <row r="398" ht="12.75" customHeight="1">
      <c r="A398" s="244" t="s">
        <v>5158</v>
      </c>
      <c r="B398" s="244" t="s">
        <v>231</v>
      </c>
      <c r="C398" s="244" t="s">
        <v>7839</v>
      </c>
      <c r="D398" s="154" t="s">
        <v>1069</v>
      </c>
      <c r="E398" s="154"/>
      <c r="F398" s="154" t="str">
        <f t="array" ref="F398">XLOOKUP(Cover!$D$12,$R$1:$Z$1,$R398:$Z398)</f>
        <v>Information</v>
      </c>
      <c r="G398" s="154" t="s">
        <v>7840</v>
      </c>
      <c r="H398" s="154" t="s">
        <v>7841</v>
      </c>
      <c r="I398" s="154" t="s">
        <v>7841</v>
      </c>
      <c r="J398" s="154" t="s">
        <v>5830</v>
      </c>
      <c r="K398" s="154" t="s">
        <v>7835</v>
      </c>
      <c r="L398" s="154" t="s">
        <v>5927</v>
      </c>
      <c r="M398" s="154"/>
      <c r="N398" s="154" t="s">
        <v>759</v>
      </c>
      <c r="O398" s="247" t="s">
        <v>516</v>
      </c>
      <c r="P398" s="247" t="s">
        <v>6776</v>
      </c>
      <c r="Q398" s="154" t="str">
        <f t="shared" si="1"/>
        <v>#ERROR!</v>
      </c>
      <c r="R398" s="154" t="s">
        <v>66</v>
      </c>
      <c r="S398" s="154" t="s">
        <v>66</v>
      </c>
      <c r="T398" s="154" t="s">
        <v>66</v>
      </c>
      <c r="U398" s="154" t="s">
        <v>66</v>
      </c>
      <c r="V398" s="154" t="s">
        <v>66</v>
      </c>
      <c r="W398" s="154" t="s">
        <v>66</v>
      </c>
      <c r="X398" s="154" t="s">
        <v>66</v>
      </c>
      <c r="Y398" s="154" t="s">
        <v>66</v>
      </c>
      <c r="Z398" s="154" t="s">
        <v>66</v>
      </c>
      <c r="AA398" s="154"/>
      <c r="AB398" s="242" t="str">
        <f t="shared" si="2"/>
        <v>#ERROR!</v>
      </c>
      <c r="AC398" s="154" t="s">
        <v>391</v>
      </c>
      <c r="AD398" s="242" t="b">
        <f t="shared" si="3"/>
        <v>0</v>
      </c>
      <c r="AE398" s="154"/>
      <c r="AF398" s="242" t="str">
        <f t="shared" si="4"/>
        <v>#ERROR!</v>
      </c>
      <c r="AG398" s="154" t="s">
        <v>652</v>
      </c>
      <c r="AH398" s="242" t="str">
        <f>IF(AG398="","N/A",INDIRECT("MTR!"&amp;ADDRESS(MATCH(LEFT(AG398,9),[1]MTR!C:C,0),COLUMN(J398)),TRUE) &amp; "")</f>
        <v>#ERROR!</v>
      </c>
      <c r="AI398" s="157" t="str">
        <f t="shared" si="5"/>
        <v>#ERROR!</v>
      </c>
    </row>
    <row r="399" ht="12.75" customHeight="1">
      <c r="A399" s="244" t="s">
        <v>5158</v>
      </c>
      <c r="B399" s="244" t="s">
        <v>231</v>
      </c>
      <c r="C399" s="244" t="s">
        <v>7842</v>
      </c>
      <c r="D399" s="154" t="s">
        <v>542</v>
      </c>
      <c r="E399" s="154"/>
      <c r="F399" s="154" t="str">
        <f t="array" ref="F399">XLOOKUP(Cover!$D$12,$R$1:$Z$1,$R399:$Z399)</f>
        <v>Information</v>
      </c>
      <c r="G399" s="154" t="s">
        <v>7843</v>
      </c>
      <c r="H399" s="154" t="s">
        <v>7844</v>
      </c>
      <c r="I399" s="154" t="s">
        <v>7844</v>
      </c>
      <c r="J399" s="154" t="s">
        <v>5830</v>
      </c>
      <c r="K399" s="154" t="s">
        <v>7835</v>
      </c>
      <c r="L399" s="154" t="s">
        <v>6140</v>
      </c>
      <c r="M399" s="154"/>
      <c r="N399" s="154" t="s">
        <v>759</v>
      </c>
      <c r="O399" s="247" t="s">
        <v>516</v>
      </c>
      <c r="P399" s="247" t="s">
        <v>6776</v>
      </c>
      <c r="Q399" s="154" t="str">
        <f t="shared" si="1"/>
        <v>#ERROR!</v>
      </c>
      <c r="R399" s="154" t="s">
        <v>66</v>
      </c>
      <c r="S399" s="154" t="s">
        <v>66</v>
      </c>
      <c r="T399" s="154" t="s">
        <v>66</v>
      </c>
      <c r="U399" s="154" t="s">
        <v>66</v>
      </c>
      <c r="V399" s="154" t="s">
        <v>66</v>
      </c>
      <c r="W399" s="154" t="s">
        <v>66</v>
      </c>
      <c r="X399" s="154" t="s">
        <v>66</v>
      </c>
      <c r="Y399" s="154" t="s">
        <v>66</v>
      </c>
      <c r="Z399" s="154" t="s">
        <v>66</v>
      </c>
      <c r="AA399" s="154"/>
      <c r="AB399" s="242" t="str">
        <f t="shared" si="2"/>
        <v>#ERROR!</v>
      </c>
      <c r="AC399" s="154" t="s">
        <v>391</v>
      </c>
      <c r="AD399" s="242" t="b">
        <f t="shared" si="3"/>
        <v>0</v>
      </c>
      <c r="AE399" s="154"/>
      <c r="AF399" s="242" t="str">
        <f t="shared" si="4"/>
        <v>#ERROR!</v>
      </c>
      <c r="AG399" s="154" t="s">
        <v>652</v>
      </c>
      <c r="AH399" s="242" t="str">
        <f>IF(AG399="","N/A",INDIRECT("MTR!"&amp;ADDRESS(MATCH(LEFT(AG399,9),[1]MTR!C:C,0),COLUMN(J399)),TRUE) &amp; "")</f>
        <v>#ERROR!</v>
      </c>
      <c r="AI399" s="157" t="str">
        <f t="shared" si="5"/>
        <v>#ERROR!</v>
      </c>
    </row>
    <row r="400" ht="12.75" customHeight="1">
      <c r="A400" s="244" t="s">
        <v>5158</v>
      </c>
      <c r="B400" s="244" t="s">
        <v>231</v>
      </c>
      <c r="C400" s="244" t="s">
        <v>7845</v>
      </c>
      <c r="D400" s="154" t="s">
        <v>861</v>
      </c>
      <c r="E400" s="154"/>
      <c r="F400" s="154" t="str">
        <f t="array" ref="F400">XLOOKUP(Cover!$D$12,$R$1:$Z$1,$R400:$Z400)</f>
        <v>Recommended</v>
      </c>
      <c r="G400" s="154" t="s">
        <v>7846</v>
      </c>
      <c r="H400" s="154" t="s">
        <v>7847</v>
      </c>
      <c r="I400" s="154" t="s">
        <v>7847</v>
      </c>
      <c r="J400" s="154" t="s">
        <v>5888</v>
      </c>
      <c r="K400" s="154" t="s">
        <v>7835</v>
      </c>
      <c r="L400" s="154" t="s">
        <v>6428</v>
      </c>
      <c r="M400" s="154"/>
      <c r="N400" s="154" t="s">
        <v>759</v>
      </c>
      <c r="O400" s="247" t="s">
        <v>445</v>
      </c>
      <c r="P400" s="247" t="s">
        <v>6772</v>
      </c>
      <c r="Q400" s="154" t="str">
        <f t="shared" si="1"/>
        <v>#ERROR!</v>
      </c>
      <c r="R400" s="154" t="s">
        <v>66</v>
      </c>
      <c r="S400" s="154" t="s">
        <v>66</v>
      </c>
      <c r="T400" s="154" t="s">
        <v>66</v>
      </c>
      <c r="U400" s="154" t="s">
        <v>66</v>
      </c>
      <c r="V400" s="154" t="s">
        <v>66</v>
      </c>
      <c r="W400" s="154" t="s">
        <v>64</v>
      </c>
      <c r="X400" s="154" t="s">
        <v>66</v>
      </c>
      <c r="Y400" s="154" t="s">
        <v>66</v>
      </c>
      <c r="Z400" s="154" t="s">
        <v>64</v>
      </c>
      <c r="AA400" s="154"/>
      <c r="AB400" s="242" t="str">
        <f t="shared" si="2"/>
        <v>#ERROR!</v>
      </c>
      <c r="AC400" s="154" t="s">
        <v>391</v>
      </c>
      <c r="AD400" s="242" t="b">
        <f t="shared" si="3"/>
        <v>0</v>
      </c>
      <c r="AE400" s="154"/>
      <c r="AF400" s="242" t="str">
        <f t="shared" si="4"/>
        <v>#ERROR!</v>
      </c>
      <c r="AG400" s="154" t="s">
        <v>652</v>
      </c>
      <c r="AH400" s="242" t="str">
        <f>IF(AG400="","N/A",INDIRECT("MTR!"&amp;ADDRESS(MATCH(LEFT(AG400,9),[1]MTR!C:C,0),COLUMN(J400)),TRUE) &amp; "")</f>
        <v>#ERROR!</v>
      </c>
      <c r="AI400" s="157" t="str">
        <f t="shared" si="5"/>
        <v>#ERROR!</v>
      </c>
    </row>
    <row r="401" ht="12.75" customHeight="1">
      <c r="A401" s="244" t="s">
        <v>5158</v>
      </c>
      <c r="B401" s="244" t="s">
        <v>231</v>
      </c>
      <c r="C401" s="244" t="s">
        <v>7848</v>
      </c>
      <c r="D401" s="154" t="s">
        <v>542</v>
      </c>
      <c r="E401" s="154"/>
      <c r="F401" s="154" t="str">
        <f t="array" ref="F401">XLOOKUP(Cover!$D$12,$R$1:$Z$1,$R401:$Z401)</f>
        <v>Mandatory</v>
      </c>
      <c r="G401" s="154" t="s">
        <v>7849</v>
      </c>
      <c r="H401" s="154" t="s">
        <v>7850</v>
      </c>
      <c r="I401" s="154" t="s">
        <v>7850</v>
      </c>
      <c r="J401" s="154" t="s">
        <v>5897</v>
      </c>
      <c r="K401" s="154" t="s">
        <v>7835</v>
      </c>
      <c r="L401" s="154" t="s">
        <v>6140</v>
      </c>
      <c r="M401" s="154" t="s">
        <v>1122</v>
      </c>
      <c r="N401" s="154" t="s">
        <v>759</v>
      </c>
      <c r="O401" s="247" t="s">
        <v>445</v>
      </c>
      <c r="P401" s="247" t="s">
        <v>6772</v>
      </c>
      <c r="Q401" s="154" t="str">
        <f t="shared" si="1"/>
        <v>#ERROR!</v>
      </c>
      <c r="R401" s="154" t="s">
        <v>66</v>
      </c>
      <c r="S401" s="154" t="s">
        <v>66</v>
      </c>
      <c r="T401" s="154" t="s">
        <v>66</v>
      </c>
      <c r="U401" s="154" t="s">
        <v>66</v>
      </c>
      <c r="V401" s="154" t="s">
        <v>66</v>
      </c>
      <c r="W401" s="154" t="s">
        <v>60</v>
      </c>
      <c r="X401" s="154" t="s">
        <v>66</v>
      </c>
      <c r="Y401" s="154" t="s">
        <v>66</v>
      </c>
      <c r="Z401" s="154" t="s">
        <v>60</v>
      </c>
      <c r="AA401" s="154"/>
      <c r="AB401" s="242" t="str">
        <f t="shared" si="2"/>
        <v>#ERROR!</v>
      </c>
      <c r="AC401" s="154" t="s">
        <v>391</v>
      </c>
      <c r="AD401" s="242" t="b">
        <f t="shared" si="3"/>
        <v>0</v>
      </c>
      <c r="AE401" s="154"/>
      <c r="AF401" s="242" t="str">
        <f t="shared" si="4"/>
        <v>#ERROR!</v>
      </c>
      <c r="AG401" s="154" t="s">
        <v>652</v>
      </c>
      <c r="AH401" s="242" t="str">
        <f>IF(AG401="","N/A",INDIRECT("MTR!"&amp;ADDRESS(MATCH(LEFT(AG401,9),[1]MTR!C:C,0),COLUMN(J401)),TRUE) &amp; "")</f>
        <v>#ERROR!</v>
      </c>
      <c r="AI401" s="157" t="str">
        <f t="shared" si="5"/>
        <v>#ERROR!</v>
      </c>
    </row>
    <row r="402" ht="12.75" customHeight="1">
      <c r="A402" s="244" t="s">
        <v>5158</v>
      </c>
      <c r="B402" s="244" t="s">
        <v>231</v>
      </c>
      <c r="C402" s="244" t="s">
        <v>7851</v>
      </c>
      <c r="D402" s="154" t="s">
        <v>781</v>
      </c>
      <c r="E402" s="154"/>
      <c r="F402" s="154" t="str">
        <f t="array" ref="F402">XLOOKUP(Cover!$D$12,$R$1:$Z$1,$R402:$Z402)</f>
        <v>Information</v>
      </c>
      <c r="G402" s="154" t="s">
        <v>7852</v>
      </c>
      <c r="H402" s="154" t="s">
        <v>7853</v>
      </c>
      <c r="I402" s="154" t="s">
        <v>7853</v>
      </c>
      <c r="J402" s="154" t="s">
        <v>5903</v>
      </c>
      <c r="K402" s="154" t="s">
        <v>7835</v>
      </c>
      <c r="L402" s="154" t="s">
        <v>6140</v>
      </c>
      <c r="M402" s="154"/>
      <c r="N402" s="154" t="s">
        <v>759</v>
      </c>
      <c r="O402" s="247" t="s">
        <v>445</v>
      </c>
      <c r="P402" s="247" t="s">
        <v>6772</v>
      </c>
      <c r="Q402" s="154" t="str">
        <f t="shared" si="1"/>
        <v>#ERROR!</v>
      </c>
      <c r="R402" s="154" t="s">
        <v>66</v>
      </c>
      <c r="S402" s="154" t="s">
        <v>66</v>
      </c>
      <c r="T402" s="154" t="s">
        <v>66</v>
      </c>
      <c r="U402" s="154" t="s">
        <v>66</v>
      </c>
      <c r="V402" s="154" t="s">
        <v>66</v>
      </c>
      <c r="W402" s="154" t="s">
        <v>66</v>
      </c>
      <c r="X402" s="154" t="s">
        <v>66</v>
      </c>
      <c r="Y402" s="154" t="s">
        <v>66</v>
      </c>
      <c r="Z402" s="154" t="s">
        <v>66</v>
      </c>
      <c r="AA402" s="154"/>
      <c r="AB402" s="242" t="str">
        <f t="shared" si="2"/>
        <v>#ERROR!</v>
      </c>
      <c r="AC402" s="154" t="s">
        <v>391</v>
      </c>
      <c r="AD402" s="242" t="b">
        <f t="shared" si="3"/>
        <v>0</v>
      </c>
      <c r="AE402" s="154"/>
      <c r="AF402" s="242" t="str">
        <f t="shared" si="4"/>
        <v>#ERROR!</v>
      </c>
      <c r="AG402" s="154" t="s">
        <v>652</v>
      </c>
      <c r="AH402" s="242" t="str">
        <f>IF(AG402="","N/A",INDIRECT("MTR!"&amp;ADDRESS(MATCH(LEFT(AG402,9),[1]MTR!C:C,0),COLUMN(J402)),TRUE) &amp; "")</f>
        <v>#ERROR!</v>
      </c>
      <c r="AI402" s="157" t="str">
        <f t="shared" si="5"/>
        <v>#ERROR!</v>
      </c>
    </row>
    <row r="403" ht="12.75" customHeight="1">
      <c r="A403" s="238" t="s">
        <v>5158</v>
      </c>
      <c r="B403" s="238" t="s">
        <v>231</v>
      </c>
      <c r="C403" s="238" t="s">
        <v>7854</v>
      </c>
      <c r="D403" s="240"/>
      <c r="E403" s="240" t="s">
        <v>92</v>
      </c>
      <c r="F403" s="240" t="str">
        <f t="array" ref="F403">XLOOKUP(Cover!$D$12,$R$1:$Z$1,$R403:$Z403)</f>
        <v>Heading</v>
      </c>
      <c r="G403" s="239" t="s">
        <v>7855</v>
      </c>
      <c r="H403" s="240"/>
      <c r="I403" s="240"/>
      <c r="J403" s="240"/>
      <c r="K403" s="240"/>
      <c r="L403" s="240"/>
      <c r="M403" s="240"/>
      <c r="N403" s="240" t="s">
        <v>759</v>
      </c>
      <c r="O403" s="240"/>
      <c r="P403" s="240"/>
      <c r="Q403" s="240" t="str">
        <f t="shared" si="1"/>
        <v/>
      </c>
      <c r="R403" s="240" t="s">
        <v>390</v>
      </c>
      <c r="S403" s="240" t="s">
        <v>390</v>
      </c>
      <c r="T403" s="240" t="s">
        <v>390</v>
      </c>
      <c r="U403" s="240" t="s">
        <v>390</v>
      </c>
      <c r="V403" s="240" t="s">
        <v>390</v>
      </c>
      <c r="W403" s="240" t="s">
        <v>390</v>
      </c>
      <c r="X403" s="240" t="s">
        <v>390</v>
      </c>
      <c r="Y403" s="240" t="s">
        <v>390</v>
      </c>
      <c r="Z403" s="240" t="s">
        <v>390</v>
      </c>
      <c r="AA403" s="240"/>
      <c r="AB403" s="242" t="str">
        <f t="shared" si="2"/>
        <v>#ERROR!</v>
      </c>
      <c r="AC403" s="240" t="s">
        <v>391</v>
      </c>
      <c r="AD403" s="242" t="b">
        <f t="shared" si="3"/>
        <v>0</v>
      </c>
      <c r="AE403" s="240"/>
      <c r="AF403" s="242" t="str">
        <f t="shared" si="4"/>
        <v>#ERROR!</v>
      </c>
      <c r="AG403" s="240"/>
      <c r="AH403" s="242" t="str">
        <f>IF(AG403="","N/A",INDIRECT("MTR!"&amp;ADDRESS(MATCH(LEFT(AG403,9),[1]MTR!C:C,0),COLUMN(J403)),TRUE) &amp; "")</f>
        <v>#ERROR!</v>
      </c>
      <c r="AI403" s="157" t="str">
        <f t="shared" si="5"/>
        <v/>
      </c>
    </row>
    <row r="404" ht="12.75" customHeight="1">
      <c r="A404" s="244" t="s">
        <v>5158</v>
      </c>
      <c r="B404" s="244" t="s">
        <v>231</v>
      </c>
      <c r="C404" s="244" t="s">
        <v>7856</v>
      </c>
      <c r="D404" s="154" t="s">
        <v>781</v>
      </c>
      <c r="E404" s="154"/>
      <c r="F404" s="154" t="str">
        <f t="array" ref="F404">XLOOKUP(Cover!$D$12,$R$1:$Z$1,$R404:$Z404)</f>
        <v>Information</v>
      </c>
      <c r="G404" s="154" t="s">
        <v>7857</v>
      </c>
      <c r="H404" s="154" t="s">
        <v>7834</v>
      </c>
      <c r="I404" s="154" t="s">
        <v>7858</v>
      </c>
      <c r="J404" s="154" t="s">
        <v>7859</v>
      </c>
      <c r="K404" s="154" t="s">
        <v>7835</v>
      </c>
      <c r="L404" s="154" t="s">
        <v>6140</v>
      </c>
      <c r="M404" s="154"/>
      <c r="N404" s="154" t="s">
        <v>759</v>
      </c>
      <c r="O404" s="247" t="s">
        <v>516</v>
      </c>
      <c r="P404" s="247" t="s">
        <v>6776</v>
      </c>
      <c r="Q404" s="154" t="str">
        <f t="shared" si="1"/>
        <v>#ERROR!</v>
      </c>
      <c r="R404" s="154" t="s">
        <v>66</v>
      </c>
      <c r="S404" s="154" t="s">
        <v>66</v>
      </c>
      <c r="T404" s="154" t="s">
        <v>66</v>
      </c>
      <c r="U404" s="154" t="s">
        <v>66</v>
      </c>
      <c r="V404" s="154" t="s">
        <v>66</v>
      </c>
      <c r="W404" s="154" t="s">
        <v>66</v>
      </c>
      <c r="X404" s="154" t="s">
        <v>66</v>
      </c>
      <c r="Y404" s="154" t="s">
        <v>66</v>
      </c>
      <c r="Z404" s="154" t="s">
        <v>66</v>
      </c>
      <c r="AA404" s="154"/>
      <c r="AB404" s="242" t="str">
        <f t="shared" si="2"/>
        <v>#ERROR!</v>
      </c>
      <c r="AC404" s="154" t="s">
        <v>391</v>
      </c>
      <c r="AD404" s="242" t="b">
        <f t="shared" si="3"/>
        <v>0</v>
      </c>
      <c r="AE404" s="154"/>
      <c r="AF404" s="242" t="str">
        <f t="shared" si="4"/>
        <v>#ERROR!</v>
      </c>
      <c r="AG404" s="154" t="s">
        <v>652</v>
      </c>
      <c r="AH404" s="242" t="str">
        <f>IF(AG404="","N/A",INDIRECT("MTR!"&amp;ADDRESS(MATCH(LEFT(AG404,9),[1]MTR!C:C,0),COLUMN(J404)),TRUE) &amp; "")</f>
        <v>#ERROR!</v>
      </c>
      <c r="AI404" s="157" t="str">
        <f t="shared" si="5"/>
        <v>#ERROR!</v>
      </c>
    </row>
    <row r="405" ht="12.75" customHeight="1">
      <c r="A405" s="244" t="s">
        <v>5158</v>
      </c>
      <c r="B405" s="244" t="s">
        <v>231</v>
      </c>
      <c r="C405" s="244" t="s">
        <v>7860</v>
      </c>
      <c r="D405" s="154" t="s">
        <v>747</v>
      </c>
      <c r="E405" s="154"/>
      <c r="F405" s="154" t="str">
        <f t="array" ref="F405">XLOOKUP(Cover!$D$12,$R$1:$Z$1,$R405:$Z405)</f>
        <v>Mandatory</v>
      </c>
      <c r="G405" s="154" t="s">
        <v>7861</v>
      </c>
      <c r="H405" s="154" t="s">
        <v>7834</v>
      </c>
      <c r="I405" s="154" t="s">
        <v>7862</v>
      </c>
      <c r="J405" s="154" t="s">
        <v>6791</v>
      </c>
      <c r="K405" s="154" t="s">
        <v>7835</v>
      </c>
      <c r="L405" s="154" t="s">
        <v>6525</v>
      </c>
      <c r="M405" s="154" t="s">
        <v>1122</v>
      </c>
      <c r="N405" s="154" t="s">
        <v>759</v>
      </c>
      <c r="O405" s="247" t="s">
        <v>516</v>
      </c>
      <c r="P405" s="247" t="s">
        <v>6776</v>
      </c>
      <c r="Q405" s="154" t="str">
        <f t="shared" si="1"/>
        <v>#ERROR!</v>
      </c>
      <c r="R405" s="154" t="s">
        <v>66</v>
      </c>
      <c r="S405" s="154" t="s">
        <v>66</v>
      </c>
      <c r="T405" s="154" t="s">
        <v>66</v>
      </c>
      <c r="U405" s="154" t="s">
        <v>66</v>
      </c>
      <c r="V405" s="154" t="s">
        <v>66</v>
      </c>
      <c r="W405" s="154" t="s">
        <v>60</v>
      </c>
      <c r="X405" s="154" t="s">
        <v>66</v>
      </c>
      <c r="Y405" s="154" t="s">
        <v>66</v>
      </c>
      <c r="Z405" s="154" t="s">
        <v>60</v>
      </c>
      <c r="AA405" s="154"/>
      <c r="AB405" s="242" t="str">
        <f t="shared" si="2"/>
        <v>#ERROR!</v>
      </c>
      <c r="AC405" s="154" t="s">
        <v>391</v>
      </c>
      <c r="AD405" s="242" t="b">
        <f t="shared" si="3"/>
        <v>0</v>
      </c>
      <c r="AE405" s="154"/>
      <c r="AF405" s="242" t="str">
        <f t="shared" si="4"/>
        <v>#ERROR!</v>
      </c>
      <c r="AG405" s="154" t="s">
        <v>652</v>
      </c>
      <c r="AH405" s="242" t="str">
        <f>IF(AG405="","N/A",INDIRECT("MTR!"&amp;ADDRESS(MATCH(LEFT(AG405,9),[1]MTR!C:C,0),COLUMN(J405)),TRUE) &amp; "")</f>
        <v>#ERROR!</v>
      </c>
      <c r="AI405" s="157" t="str">
        <f t="shared" si="5"/>
        <v>#ERROR!</v>
      </c>
    </row>
    <row r="406" ht="12.75" customHeight="1">
      <c r="A406" s="244" t="s">
        <v>5158</v>
      </c>
      <c r="B406" s="244" t="s">
        <v>231</v>
      </c>
      <c r="C406" s="244" t="s">
        <v>7863</v>
      </c>
      <c r="D406" s="154" t="s">
        <v>747</v>
      </c>
      <c r="E406" s="154"/>
      <c r="F406" s="154" t="str">
        <f t="array" ref="F406">XLOOKUP(Cover!$D$12,$R$1:$Z$1,$R406:$Z406)</f>
        <v>Mandatory</v>
      </c>
      <c r="G406" s="154" t="s">
        <v>7864</v>
      </c>
      <c r="H406" s="154" t="s">
        <v>7838</v>
      </c>
      <c r="I406" s="154" t="s">
        <v>7862</v>
      </c>
      <c r="J406" s="154" t="s">
        <v>6791</v>
      </c>
      <c r="K406" s="154" t="s">
        <v>7835</v>
      </c>
      <c r="L406" s="154" t="s">
        <v>6525</v>
      </c>
      <c r="M406" s="154" t="s">
        <v>1122</v>
      </c>
      <c r="N406" s="154" t="s">
        <v>759</v>
      </c>
      <c r="O406" s="247" t="s">
        <v>516</v>
      </c>
      <c r="P406" s="247" t="s">
        <v>6776</v>
      </c>
      <c r="Q406" s="154" t="str">
        <f t="shared" si="1"/>
        <v>#ERROR!</v>
      </c>
      <c r="R406" s="154" t="s">
        <v>66</v>
      </c>
      <c r="S406" s="154" t="s">
        <v>66</v>
      </c>
      <c r="T406" s="154" t="s">
        <v>66</v>
      </c>
      <c r="U406" s="154" t="s">
        <v>66</v>
      </c>
      <c r="V406" s="154" t="s">
        <v>66</v>
      </c>
      <c r="W406" s="154" t="s">
        <v>60</v>
      </c>
      <c r="X406" s="154" t="s">
        <v>66</v>
      </c>
      <c r="Y406" s="154" t="s">
        <v>66</v>
      </c>
      <c r="Z406" s="154" t="s">
        <v>60</v>
      </c>
      <c r="AA406" s="154"/>
      <c r="AB406" s="242" t="str">
        <f t="shared" si="2"/>
        <v>#ERROR!</v>
      </c>
      <c r="AC406" s="154" t="s">
        <v>391</v>
      </c>
      <c r="AD406" s="242" t="b">
        <f t="shared" si="3"/>
        <v>0</v>
      </c>
      <c r="AE406" s="154"/>
      <c r="AF406" s="242" t="str">
        <f t="shared" si="4"/>
        <v>#ERROR!</v>
      </c>
      <c r="AG406" s="154" t="s">
        <v>652</v>
      </c>
      <c r="AH406" s="242" t="str">
        <f>IF(AG406="","N/A",INDIRECT("MTR!"&amp;ADDRESS(MATCH(LEFT(AG406,9),[1]MTR!C:C,0),COLUMN(J406)),TRUE) &amp; "")</f>
        <v>#ERROR!</v>
      </c>
      <c r="AI406" s="157" t="str">
        <f t="shared" si="5"/>
        <v>#ERROR!</v>
      </c>
    </row>
    <row r="407" ht="12.75" customHeight="1">
      <c r="A407" s="244" t="s">
        <v>5158</v>
      </c>
      <c r="B407" s="244" t="s">
        <v>231</v>
      </c>
      <c r="C407" s="244" t="s">
        <v>7865</v>
      </c>
      <c r="D407" s="154" t="s">
        <v>781</v>
      </c>
      <c r="E407" s="154"/>
      <c r="F407" s="154" t="str">
        <f t="array" ref="F407">XLOOKUP(Cover!$D$12,$R$1:$Z$1,$R407:$Z407)</f>
        <v>Information</v>
      </c>
      <c r="G407" s="154" t="s">
        <v>7866</v>
      </c>
      <c r="H407" s="154" t="s">
        <v>7834</v>
      </c>
      <c r="I407" s="154" t="s">
        <v>7867</v>
      </c>
      <c r="J407" s="154" t="s">
        <v>6797</v>
      </c>
      <c r="K407" s="154" t="s">
        <v>7835</v>
      </c>
      <c r="L407" s="154" t="s">
        <v>6140</v>
      </c>
      <c r="M407" s="154"/>
      <c r="N407" s="154" t="s">
        <v>759</v>
      </c>
      <c r="O407" s="247" t="s">
        <v>516</v>
      </c>
      <c r="P407" s="247" t="s">
        <v>6776</v>
      </c>
      <c r="Q407" s="154" t="str">
        <f t="shared" si="1"/>
        <v>#ERROR!</v>
      </c>
      <c r="R407" s="154" t="s">
        <v>66</v>
      </c>
      <c r="S407" s="154" t="s">
        <v>66</v>
      </c>
      <c r="T407" s="154" t="s">
        <v>66</v>
      </c>
      <c r="U407" s="154" t="s">
        <v>66</v>
      </c>
      <c r="V407" s="154" t="s">
        <v>66</v>
      </c>
      <c r="W407" s="154" t="s">
        <v>66</v>
      </c>
      <c r="X407" s="154" t="s">
        <v>66</v>
      </c>
      <c r="Y407" s="154" t="s">
        <v>66</v>
      </c>
      <c r="Z407" s="154" t="s">
        <v>66</v>
      </c>
      <c r="AA407" s="154"/>
      <c r="AB407" s="242" t="str">
        <f t="shared" si="2"/>
        <v>#ERROR!</v>
      </c>
      <c r="AC407" s="154" t="s">
        <v>391</v>
      </c>
      <c r="AD407" s="242" t="b">
        <f t="shared" si="3"/>
        <v>0</v>
      </c>
      <c r="AE407" s="154"/>
      <c r="AF407" s="242" t="str">
        <f t="shared" si="4"/>
        <v>#ERROR!</v>
      </c>
      <c r="AG407" s="154" t="s">
        <v>652</v>
      </c>
      <c r="AH407" s="242" t="str">
        <f>IF(AG407="","N/A",INDIRECT("MTR!"&amp;ADDRESS(MATCH(LEFT(AG407,9),[1]MTR!C:C,0),COLUMN(J407)),TRUE) &amp; "")</f>
        <v>#ERROR!</v>
      </c>
      <c r="AI407" s="157" t="str">
        <f t="shared" si="5"/>
        <v>#ERROR!</v>
      </c>
    </row>
    <row r="408" ht="12.75" customHeight="1">
      <c r="A408" s="244" t="s">
        <v>5158</v>
      </c>
      <c r="B408" s="244" t="s">
        <v>231</v>
      </c>
      <c r="C408" s="244" t="s">
        <v>7868</v>
      </c>
      <c r="D408" s="154" t="s">
        <v>781</v>
      </c>
      <c r="E408" s="154"/>
      <c r="F408" s="154" t="str">
        <f t="array" ref="F408">XLOOKUP(Cover!$D$12,$R$1:$Z$1,$R408:$Z408)</f>
        <v>Information</v>
      </c>
      <c r="G408" s="154" t="s">
        <v>7869</v>
      </c>
      <c r="H408" s="154" t="s">
        <v>7844</v>
      </c>
      <c r="I408" s="154" t="s">
        <v>7867</v>
      </c>
      <c r="J408" s="154" t="s">
        <v>6797</v>
      </c>
      <c r="K408" s="154" t="s">
        <v>7835</v>
      </c>
      <c r="L408" s="154" t="s">
        <v>6140</v>
      </c>
      <c r="M408" s="154"/>
      <c r="N408" s="154" t="s">
        <v>759</v>
      </c>
      <c r="O408" s="247" t="s">
        <v>516</v>
      </c>
      <c r="P408" s="247" t="s">
        <v>6776</v>
      </c>
      <c r="Q408" s="154" t="str">
        <f t="shared" si="1"/>
        <v>#ERROR!</v>
      </c>
      <c r="R408" s="154" t="s">
        <v>66</v>
      </c>
      <c r="S408" s="154" t="s">
        <v>66</v>
      </c>
      <c r="T408" s="154" t="s">
        <v>66</v>
      </c>
      <c r="U408" s="154" t="s">
        <v>66</v>
      </c>
      <c r="V408" s="154" t="s">
        <v>66</v>
      </c>
      <c r="W408" s="154" t="s">
        <v>66</v>
      </c>
      <c r="X408" s="154" t="s">
        <v>66</v>
      </c>
      <c r="Y408" s="154" t="s">
        <v>66</v>
      </c>
      <c r="Z408" s="154" t="s">
        <v>66</v>
      </c>
      <c r="AA408" s="154"/>
      <c r="AB408" s="242" t="str">
        <f t="shared" si="2"/>
        <v>#ERROR!</v>
      </c>
      <c r="AC408" s="154" t="s">
        <v>391</v>
      </c>
      <c r="AD408" s="242" t="b">
        <f t="shared" si="3"/>
        <v>0</v>
      </c>
      <c r="AE408" s="154"/>
      <c r="AF408" s="242" t="str">
        <f t="shared" si="4"/>
        <v>#ERROR!</v>
      </c>
      <c r="AG408" s="154" t="s">
        <v>652</v>
      </c>
      <c r="AH408" s="242" t="str">
        <f>IF(AG408="","N/A",INDIRECT("MTR!"&amp;ADDRESS(MATCH(LEFT(AG408,9),[1]MTR!C:C,0),COLUMN(J408)),TRUE) &amp; "")</f>
        <v>#ERROR!</v>
      </c>
      <c r="AI408" s="157" t="str">
        <f t="shared" si="5"/>
        <v>#ERROR!</v>
      </c>
    </row>
    <row r="409" ht="12.75" customHeight="1">
      <c r="A409" s="244" t="s">
        <v>5158</v>
      </c>
      <c r="B409" s="244" t="s">
        <v>231</v>
      </c>
      <c r="C409" s="244" t="s">
        <v>7870</v>
      </c>
      <c r="D409" s="154" t="s">
        <v>503</v>
      </c>
      <c r="E409" s="154"/>
      <c r="F409" s="154" t="str">
        <f t="array" ref="F409">XLOOKUP(Cover!$D$12,$R$1:$Z$1,$R409:$Z409)</f>
        <v>Information</v>
      </c>
      <c r="G409" s="154" t="s">
        <v>7871</v>
      </c>
      <c r="H409" s="154" t="s">
        <v>7834</v>
      </c>
      <c r="I409" s="154" t="s">
        <v>7872</v>
      </c>
      <c r="J409" s="154" t="s">
        <v>6797</v>
      </c>
      <c r="K409" s="154" t="s">
        <v>7835</v>
      </c>
      <c r="L409" s="154" t="s">
        <v>6463</v>
      </c>
      <c r="M409" s="154"/>
      <c r="N409" s="154" t="s">
        <v>759</v>
      </c>
      <c r="O409" s="247" t="s">
        <v>516</v>
      </c>
      <c r="P409" s="247" t="s">
        <v>6776</v>
      </c>
      <c r="Q409" s="154" t="str">
        <f t="shared" si="1"/>
        <v>#ERROR!</v>
      </c>
      <c r="R409" s="154" t="s">
        <v>66</v>
      </c>
      <c r="S409" s="154" t="s">
        <v>66</v>
      </c>
      <c r="T409" s="154" t="s">
        <v>66</v>
      </c>
      <c r="U409" s="154" t="s">
        <v>66</v>
      </c>
      <c r="V409" s="154" t="s">
        <v>66</v>
      </c>
      <c r="W409" s="154" t="s">
        <v>66</v>
      </c>
      <c r="X409" s="154" t="s">
        <v>66</v>
      </c>
      <c r="Y409" s="154" t="s">
        <v>66</v>
      </c>
      <c r="Z409" s="154" t="s">
        <v>66</v>
      </c>
      <c r="AA409" s="154"/>
      <c r="AB409" s="242" t="str">
        <f t="shared" si="2"/>
        <v>#ERROR!</v>
      </c>
      <c r="AC409" s="154" t="s">
        <v>391</v>
      </c>
      <c r="AD409" s="242" t="b">
        <f t="shared" si="3"/>
        <v>0</v>
      </c>
      <c r="AE409" s="154"/>
      <c r="AF409" s="242" t="str">
        <f t="shared" si="4"/>
        <v>#ERROR!</v>
      </c>
      <c r="AG409" s="154" t="s">
        <v>652</v>
      </c>
      <c r="AH409" s="242" t="str">
        <f>IF(AG409="","N/A",INDIRECT("MTR!"&amp;ADDRESS(MATCH(LEFT(AG409,9),[1]MTR!C:C,0),COLUMN(J409)),TRUE) &amp; "")</f>
        <v>#ERROR!</v>
      </c>
      <c r="AI409" s="157" t="str">
        <f t="shared" si="5"/>
        <v>#ERROR!</v>
      </c>
    </row>
    <row r="410" ht="12.75" customHeight="1">
      <c r="A410" s="244" t="s">
        <v>5158</v>
      </c>
      <c r="B410" s="244" t="s">
        <v>231</v>
      </c>
      <c r="C410" s="244" t="s">
        <v>7873</v>
      </c>
      <c r="D410" s="154" t="s">
        <v>503</v>
      </c>
      <c r="E410" s="154"/>
      <c r="F410" s="154" t="str">
        <f t="array" ref="F410">XLOOKUP(Cover!$D$12,$R$1:$Z$1,$R410:$Z410)</f>
        <v>Recommended</v>
      </c>
      <c r="G410" s="154" t="s">
        <v>7874</v>
      </c>
      <c r="H410" s="154" t="s">
        <v>7847</v>
      </c>
      <c r="I410" s="154" t="s">
        <v>7875</v>
      </c>
      <c r="J410" s="154" t="s">
        <v>7349</v>
      </c>
      <c r="K410" s="154" t="s">
        <v>7835</v>
      </c>
      <c r="L410" s="154" t="s">
        <v>6463</v>
      </c>
      <c r="M410" s="154"/>
      <c r="N410" s="154" t="s">
        <v>759</v>
      </c>
      <c r="O410" s="247" t="s">
        <v>506</v>
      </c>
      <c r="P410" s="247" t="s">
        <v>6722</v>
      </c>
      <c r="Q410" s="154" t="str">
        <f t="shared" si="1"/>
        <v>#ERROR!</v>
      </c>
      <c r="R410" s="154" t="s">
        <v>66</v>
      </c>
      <c r="S410" s="154" t="s">
        <v>66</v>
      </c>
      <c r="T410" s="154" t="s">
        <v>66</v>
      </c>
      <c r="U410" s="154" t="s">
        <v>66</v>
      </c>
      <c r="V410" s="154" t="s">
        <v>66</v>
      </c>
      <c r="W410" s="154" t="s">
        <v>64</v>
      </c>
      <c r="X410" s="154" t="s">
        <v>66</v>
      </c>
      <c r="Y410" s="154" t="s">
        <v>66</v>
      </c>
      <c r="Z410" s="154" t="s">
        <v>64</v>
      </c>
      <c r="AA410" s="154"/>
      <c r="AB410" s="242" t="str">
        <f t="shared" si="2"/>
        <v>#ERROR!</v>
      </c>
      <c r="AC410" s="154" t="s">
        <v>391</v>
      </c>
      <c r="AD410" s="242" t="b">
        <f t="shared" si="3"/>
        <v>0</v>
      </c>
      <c r="AE410" s="154"/>
      <c r="AF410" s="242" t="str">
        <f t="shared" si="4"/>
        <v>#ERROR!</v>
      </c>
      <c r="AG410" s="154" t="s">
        <v>652</v>
      </c>
      <c r="AH410" s="242" t="str">
        <f>IF(AG410="","N/A",INDIRECT("MTR!"&amp;ADDRESS(MATCH(LEFT(AG410,9),[1]MTR!C:C,0),COLUMN(J410)),TRUE) &amp; "")</f>
        <v>#ERROR!</v>
      </c>
      <c r="AI410" s="157" t="str">
        <f t="shared" si="5"/>
        <v>#ERROR!</v>
      </c>
    </row>
    <row r="411" ht="12.75" customHeight="1">
      <c r="A411" s="244" t="s">
        <v>5158</v>
      </c>
      <c r="B411" s="244" t="s">
        <v>231</v>
      </c>
      <c r="C411" s="244" t="s">
        <v>7876</v>
      </c>
      <c r="D411" s="154" t="s">
        <v>503</v>
      </c>
      <c r="E411" s="154"/>
      <c r="F411" s="154" t="str">
        <f t="array" ref="F411">XLOOKUP(Cover!$D$12,$R$1:$Z$1,$R411:$Z411)</f>
        <v>Recommended</v>
      </c>
      <c r="G411" s="154" t="s">
        <v>7877</v>
      </c>
      <c r="H411" s="154" t="s">
        <v>7834</v>
      </c>
      <c r="I411" s="154" t="s">
        <v>7875</v>
      </c>
      <c r="J411" s="154" t="s">
        <v>7349</v>
      </c>
      <c r="K411" s="154" t="s">
        <v>7835</v>
      </c>
      <c r="L411" s="154" t="s">
        <v>6463</v>
      </c>
      <c r="M411" s="154"/>
      <c r="N411" s="154" t="s">
        <v>759</v>
      </c>
      <c r="O411" s="247" t="s">
        <v>516</v>
      </c>
      <c r="P411" s="247" t="s">
        <v>6776</v>
      </c>
      <c r="Q411" s="154" t="str">
        <f t="shared" si="1"/>
        <v>#ERROR!</v>
      </c>
      <c r="R411" s="154" t="s">
        <v>66</v>
      </c>
      <c r="S411" s="154" t="s">
        <v>66</v>
      </c>
      <c r="T411" s="154" t="s">
        <v>66</v>
      </c>
      <c r="U411" s="154" t="s">
        <v>66</v>
      </c>
      <c r="V411" s="154" t="s">
        <v>66</v>
      </c>
      <c r="W411" s="154" t="s">
        <v>64</v>
      </c>
      <c r="X411" s="154" t="s">
        <v>66</v>
      </c>
      <c r="Y411" s="154" t="s">
        <v>66</v>
      </c>
      <c r="Z411" s="154" t="s">
        <v>64</v>
      </c>
      <c r="AA411" s="154"/>
      <c r="AB411" s="242" t="str">
        <f t="shared" si="2"/>
        <v>#ERROR!</v>
      </c>
      <c r="AC411" s="154" t="s">
        <v>391</v>
      </c>
      <c r="AD411" s="242" t="b">
        <f t="shared" si="3"/>
        <v>0</v>
      </c>
      <c r="AE411" s="154"/>
      <c r="AF411" s="242" t="str">
        <f t="shared" si="4"/>
        <v>#ERROR!</v>
      </c>
      <c r="AG411" s="154" t="s">
        <v>652</v>
      </c>
      <c r="AH411" s="242" t="str">
        <f>IF(AG411="","N/A",INDIRECT("MTR!"&amp;ADDRESS(MATCH(LEFT(AG411,9),[1]MTR!C:C,0),COLUMN(J411)),TRUE) &amp; "")</f>
        <v>#ERROR!</v>
      </c>
      <c r="AI411" s="157" t="str">
        <f t="shared" si="5"/>
        <v>#ERROR!</v>
      </c>
    </row>
    <row r="412" ht="12.75" customHeight="1">
      <c r="A412" s="244" t="s">
        <v>5158</v>
      </c>
      <c r="B412" s="244" t="s">
        <v>231</v>
      </c>
      <c r="C412" s="244" t="s">
        <v>7878</v>
      </c>
      <c r="D412" s="154" t="s">
        <v>1069</v>
      </c>
      <c r="E412" s="154"/>
      <c r="F412" s="154" t="str">
        <f t="array" ref="F412">XLOOKUP(Cover!$D$12,$R$1:$Z$1,$R412:$Z412)</f>
        <v>Mandatory</v>
      </c>
      <c r="G412" s="154" t="s">
        <v>7879</v>
      </c>
      <c r="H412" s="154" t="s">
        <v>7834</v>
      </c>
      <c r="I412" s="154" t="s">
        <v>7880</v>
      </c>
      <c r="J412" s="154" t="s">
        <v>6803</v>
      </c>
      <c r="K412" s="154" t="s">
        <v>7835</v>
      </c>
      <c r="L412" s="154" t="s">
        <v>5927</v>
      </c>
      <c r="M412" s="154" t="s">
        <v>1122</v>
      </c>
      <c r="N412" s="154" t="s">
        <v>759</v>
      </c>
      <c r="O412" s="247" t="s">
        <v>516</v>
      </c>
      <c r="P412" s="247" t="s">
        <v>7881</v>
      </c>
      <c r="Q412" s="154" t="str">
        <f t="shared" si="1"/>
        <v>#ERROR!</v>
      </c>
      <c r="R412" s="154" t="s">
        <v>66</v>
      </c>
      <c r="S412" s="154" t="s">
        <v>66</v>
      </c>
      <c r="T412" s="154" t="s">
        <v>66</v>
      </c>
      <c r="U412" s="154" t="s">
        <v>66</v>
      </c>
      <c r="V412" s="154" t="s">
        <v>66</v>
      </c>
      <c r="W412" s="154" t="s">
        <v>60</v>
      </c>
      <c r="X412" s="154" t="s">
        <v>66</v>
      </c>
      <c r="Y412" s="154" t="s">
        <v>66</v>
      </c>
      <c r="Z412" s="154" t="s">
        <v>60</v>
      </c>
      <c r="AA412" s="154"/>
      <c r="AB412" s="242" t="str">
        <f t="shared" si="2"/>
        <v>#ERROR!</v>
      </c>
      <c r="AC412" s="154" t="s">
        <v>391</v>
      </c>
      <c r="AD412" s="242" t="b">
        <f t="shared" si="3"/>
        <v>0</v>
      </c>
      <c r="AE412" s="154"/>
      <c r="AF412" s="242" t="str">
        <f t="shared" si="4"/>
        <v>#ERROR!</v>
      </c>
      <c r="AG412" s="154" t="s">
        <v>652</v>
      </c>
      <c r="AH412" s="242" t="str">
        <f>IF(AG412="","N/A",INDIRECT("MTR!"&amp;ADDRESS(MATCH(LEFT(AG412,9),[1]MTR!C:C,0),COLUMN(J412)),TRUE) &amp; "")</f>
        <v>#ERROR!</v>
      </c>
      <c r="AI412" s="157" t="str">
        <f t="shared" si="5"/>
        <v>#ERROR!</v>
      </c>
    </row>
    <row r="413" ht="12.75" customHeight="1">
      <c r="A413" s="244" t="s">
        <v>5158</v>
      </c>
      <c r="B413" s="244" t="s">
        <v>231</v>
      </c>
      <c r="C413" s="244" t="s">
        <v>7882</v>
      </c>
      <c r="D413" s="154" t="s">
        <v>1069</v>
      </c>
      <c r="E413" s="154"/>
      <c r="F413" s="154" t="str">
        <f t="array" ref="F413">XLOOKUP(Cover!$D$12,$R$1:$Z$1,$R413:$Z413)</f>
        <v>Mandatory</v>
      </c>
      <c r="G413" s="154" t="s">
        <v>7883</v>
      </c>
      <c r="H413" s="154" t="s">
        <v>7850</v>
      </c>
      <c r="I413" s="154" t="s">
        <v>7880</v>
      </c>
      <c r="J413" s="154" t="s">
        <v>6803</v>
      </c>
      <c r="K413" s="154" t="s">
        <v>7835</v>
      </c>
      <c r="L413" s="154" t="s">
        <v>5927</v>
      </c>
      <c r="M413" s="154" t="s">
        <v>1122</v>
      </c>
      <c r="N413" s="154" t="s">
        <v>759</v>
      </c>
      <c r="O413" s="247" t="s">
        <v>445</v>
      </c>
      <c r="P413" s="247" t="s">
        <v>89</v>
      </c>
      <c r="Q413" s="154" t="str">
        <f t="shared" si="1"/>
        <v>#ERROR!</v>
      </c>
      <c r="R413" s="154" t="s">
        <v>66</v>
      </c>
      <c r="S413" s="154" t="s">
        <v>66</v>
      </c>
      <c r="T413" s="154" t="s">
        <v>66</v>
      </c>
      <c r="U413" s="154" t="s">
        <v>66</v>
      </c>
      <c r="V413" s="154" t="s">
        <v>66</v>
      </c>
      <c r="W413" s="154" t="s">
        <v>60</v>
      </c>
      <c r="X413" s="154" t="s">
        <v>66</v>
      </c>
      <c r="Y413" s="154" t="s">
        <v>66</v>
      </c>
      <c r="Z413" s="154" t="s">
        <v>60</v>
      </c>
      <c r="AA413" s="154"/>
      <c r="AB413" s="242" t="str">
        <f t="shared" si="2"/>
        <v>#ERROR!</v>
      </c>
      <c r="AC413" s="154" t="s">
        <v>391</v>
      </c>
      <c r="AD413" s="242" t="b">
        <f t="shared" si="3"/>
        <v>0</v>
      </c>
      <c r="AE413" s="154"/>
      <c r="AF413" s="242" t="str">
        <f t="shared" si="4"/>
        <v>#ERROR!</v>
      </c>
      <c r="AG413" s="154" t="s">
        <v>652</v>
      </c>
      <c r="AH413" s="242" t="str">
        <f>IF(AG413="","N/A",INDIRECT("MTR!"&amp;ADDRESS(MATCH(LEFT(AG413,9),[1]MTR!C:C,0),COLUMN(J413)),TRUE) &amp; "")</f>
        <v>#ERROR!</v>
      </c>
      <c r="AI413" s="157" t="str">
        <f t="shared" si="5"/>
        <v>#ERROR!</v>
      </c>
    </row>
    <row r="414" ht="12.75" customHeight="1">
      <c r="A414" s="244" t="s">
        <v>5158</v>
      </c>
      <c r="B414" s="244" t="s">
        <v>231</v>
      </c>
      <c r="C414" s="244" t="s">
        <v>7884</v>
      </c>
      <c r="D414" s="154" t="s">
        <v>781</v>
      </c>
      <c r="E414" s="154"/>
      <c r="F414" s="154" t="str">
        <f t="array" ref="F414">XLOOKUP(Cover!$D$12,$R$1:$Z$1,$R414:$Z414)</f>
        <v>Information</v>
      </c>
      <c r="G414" s="154" t="s">
        <v>7885</v>
      </c>
      <c r="H414" s="154" t="s">
        <v>7834</v>
      </c>
      <c r="I414" s="154" t="s">
        <v>7886</v>
      </c>
      <c r="J414" s="154" t="s">
        <v>7360</v>
      </c>
      <c r="K414" s="154" t="s">
        <v>7835</v>
      </c>
      <c r="L414" s="154" t="s">
        <v>6140</v>
      </c>
      <c r="M414" s="154"/>
      <c r="N414" s="154" t="s">
        <v>759</v>
      </c>
      <c r="O414" s="247" t="s">
        <v>516</v>
      </c>
      <c r="P414" s="247" t="s">
        <v>7887</v>
      </c>
      <c r="Q414" s="154" t="str">
        <f t="shared" si="1"/>
        <v>#ERROR!</v>
      </c>
      <c r="R414" s="154" t="s">
        <v>66</v>
      </c>
      <c r="S414" s="154" t="s">
        <v>66</v>
      </c>
      <c r="T414" s="154" t="s">
        <v>66</v>
      </c>
      <c r="U414" s="154" t="s">
        <v>66</v>
      </c>
      <c r="V414" s="154" t="s">
        <v>66</v>
      </c>
      <c r="W414" s="154" t="s">
        <v>66</v>
      </c>
      <c r="X414" s="154" t="s">
        <v>66</v>
      </c>
      <c r="Y414" s="154" t="s">
        <v>66</v>
      </c>
      <c r="Z414" s="154" t="s">
        <v>66</v>
      </c>
      <c r="AA414" s="154"/>
      <c r="AB414" s="242" t="str">
        <f t="shared" si="2"/>
        <v>#ERROR!</v>
      </c>
      <c r="AC414" s="154" t="s">
        <v>391</v>
      </c>
      <c r="AD414" s="242" t="b">
        <f t="shared" si="3"/>
        <v>0</v>
      </c>
      <c r="AE414" s="154"/>
      <c r="AF414" s="242" t="str">
        <f t="shared" si="4"/>
        <v>#ERROR!</v>
      </c>
      <c r="AG414" s="154" t="s">
        <v>652</v>
      </c>
      <c r="AH414" s="242" t="str">
        <f>IF(AG414="","N/A",INDIRECT("MTR!"&amp;ADDRESS(MATCH(LEFT(AG414,9),[1]MTR!C:C,0),COLUMN(J414)),TRUE) &amp; "")</f>
        <v>#ERROR!</v>
      </c>
      <c r="AI414" s="157" t="str">
        <f t="shared" si="5"/>
        <v>#ERROR!</v>
      </c>
    </row>
    <row r="415" ht="12.75" customHeight="1">
      <c r="A415" s="244" t="s">
        <v>5158</v>
      </c>
      <c r="B415" s="244" t="s">
        <v>231</v>
      </c>
      <c r="C415" s="244" t="s">
        <v>7888</v>
      </c>
      <c r="D415" s="154" t="s">
        <v>781</v>
      </c>
      <c r="E415" s="154"/>
      <c r="F415" s="154" t="str">
        <f t="array" ref="F415">XLOOKUP(Cover!$D$12,$R$1:$Z$1,$R415:$Z415)</f>
        <v>Information</v>
      </c>
      <c r="G415" s="154" t="s">
        <v>7889</v>
      </c>
      <c r="H415" s="154" t="s">
        <v>7853</v>
      </c>
      <c r="I415" s="154" t="s">
        <v>7886</v>
      </c>
      <c r="J415" s="154" t="s">
        <v>7360</v>
      </c>
      <c r="K415" s="154" t="s">
        <v>7835</v>
      </c>
      <c r="L415" s="154" t="s">
        <v>6140</v>
      </c>
      <c r="M415" s="154"/>
      <c r="N415" s="154" t="s">
        <v>759</v>
      </c>
      <c r="O415" s="247" t="s">
        <v>445</v>
      </c>
      <c r="P415" s="247" t="s">
        <v>89</v>
      </c>
      <c r="Q415" s="154" t="str">
        <f t="shared" si="1"/>
        <v>#ERROR!</v>
      </c>
      <c r="R415" s="154" t="s">
        <v>66</v>
      </c>
      <c r="S415" s="154" t="s">
        <v>66</v>
      </c>
      <c r="T415" s="154" t="s">
        <v>66</v>
      </c>
      <c r="U415" s="154" t="s">
        <v>66</v>
      </c>
      <c r="V415" s="154" t="s">
        <v>66</v>
      </c>
      <c r="W415" s="154" t="s">
        <v>66</v>
      </c>
      <c r="X415" s="154" t="s">
        <v>66</v>
      </c>
      <c r="Y415" s="154" t="s">
        <v>66</v>
      </c>
      <c r="Z415" s="154" t="s">
        <v>66</v>
      </c>
      <c r="AA415" s="154"/>
      <c r="AB415" s="242" t="str">
        <f t="shared" si="2"/>
        <v>#ERROR!</v>
      </c>
      <c r="AC415" s="154" t="s">
        <v>391</v>
      </c>
      <c r="AD415" s="242" t="b">
        <f t="shared" si="3"/>
        <v>0</v>
      </c>
      <c r="AE415" s="154"/>
      <c r="AF415" s="242" t="str">
        <f t="shared" si="4"/>
        <v>#ERROR!</v>
      </c>
      <c r="AG415" s="154" t="s">
        <v>652</v>
      </c>
      <c r="AH415" s="242" t="str">
        <f>IF(AG415="","N/A",INDIRECT("MTR!"&amp;ADDRESS(MATCH(LEFT(AG415,9),[1]MTR!C:C,0),COLUMN(J415)),TRUE) &amp; "")</f>
        <v>#ERROR!</v>
      </c>
      <c r="AI415" s="157" t="str">
        <f t="shared" si="5"/>
        <v>#ERROR!</v>
      </c>
    </row>
    <row r="416" ht="12.75" customHeight="1">
      <c r="A416" s="244" t="s">
        <v>5158</v>
      </c>
      <c r="B416" s="244" t="s">
        <v>231</v>
      </c>
      <c r="C416" s="244" t="s">
        <v>7890</v>
      </c>
      <c r="D416" s="154" t="s">
        <v>747</v>
      </c>
      <c r="E416" s="154"/>
      <c r="F416" s="154" t="str">
        <f t="array" ref="F416">XLOOKUP(Cover!$D$12,$R$1:$Z$1,$R416:$Z416)</f>
        <v>Mandatory</v>
      </c>
      <c r="G416" s="154" t="s">
        <v>7891</v>
      </c>
      <c r="H416" s="154" t="s">
        <v>7838</v>
      </c>
      <c r="I416" s="154" t="s">
        <v>7892</v>
      </c>
      <c r="J416" s="154" t="s">
        <v>6809</v>
      </c>
      <c r="K416" s="154" t="s">
        <v>7835</v>
      </c>
      <c r="L416" s="154" t="s">
        <v>6525</v>
      </c>
      <c r="M416" s="154" t="s">
        <v>1122</v>
      </c>
      <c r="N416" s="154" t="s">
        <v>759</v>
      </c>
      <c r="O416" s="247" t="s">
        <v>516</v>
      </c>
      <c r="P416" s="247" t="s">
        <v>6776</v>
      </c>
      <c r="Q416" s="154" t="str">
        <f t="shared" si="1"/>
        <v>#ERROR!</v>
      </c>
      <c r="R416" s="154" t="s">
        <v>66</v>
      </c>
      <c r="S416" s="154" t="s">
        <v>66</v>
      </c>
      <c r="T416" s="154" t="s">
        <v>66</v>
      </c>
      <c r="U416" s="154" t="s">
        <v>66</v>
      </c>
      <c r="V416" s="154" t="s">
        <v>66</v>
      </c>
      <c r="W416" s="154" t="s">
        <v>60</v>
      </c>
      <c r="X416" s="154" t="s">
        <v>66</v>
      </c>
      <c r="Y416" s="154" t="s">
        <v>66</v>
      </c>
      <c r="Z416" s="154" t="s">
        <v>60</v>
      </c>
      <c r="AA416" s="154"/>
      <c r="AB416" s="242" t="str">
        <f t="shared" si="2"/>
        <v>#ERROR!</v>
      </c>
      <c r="AC416" s="154" t="s">
        <v>391</v>
      </c>
      <c r="AD416" s="242" t="b">
        <f t="shared" si="3"/>
        <v>0</v>
      </c>
      <c r="AE416" s="154"/>
      <c r="AF416" s="242" t="str">
        <f t="shared" si="4"/>
        <v>#ERROR!</v>
      </c>
      <c r="AG416" s="154" t="s">
        <v>652</v>
      </c>
      <c r="AH416" s="242" t="str">
        <f>IF(AG416="","N/A",INDIRECT("MTR!"&amp;ADDRESS(MATCH(LEFT(AG416,9),[1]MTR!C:C,0),COLUMN(J416)),TRUE) &amp; "")</f>
        <v>#ERROR!</v>
      </c>
      <c r="AI416" s="157" t="str">
        <f t="shared" si="5"/>
        <v>#ERROR!</v>
      </c>
    </row>
    <row r="417" ht="12.75" customHeight="1">
      <c r="A417" s="244" t="s">
        <v>5158</v>
      </c>
      <c r="B417" s="244" t="s">
        <v>231</v>
      </c>
      <c r="C417" s="244" t="s">
        <v>7893</v>
      </c>
      <c r="D417" s="154" t="s">
        <v>542</v>
      </c>
      <c r="E417" s="154"/>
      <c r="F417" s="154" t="str">
        <f t="array" ref="F417">XLOOKUP(Cover!$D$12,$R$1:$Z$1,$R417:$Z417)</f>
        <v>Mandatory</v>
      </c>
      <c r="G417" s="154" t="s">
        <v>7894</v>
      </c>
      <c r="H417" s="154" t="s">
        <v>7892</v>
      </c>
      <c r="I417" s="154" t="s">
        <v>7892</v>
      </c>
      <c r="J417" s="154" t="s">
        <v>6809</v>
      </c>
      <c r="K417" s="154" t="s">
        <v>7835</v>
      </c>
      <c r="L417" s="154" t="s">
        <v>6525</v>
      </c>
      <c r="M417" s="154" t="s">
        <v>1122</v>
      </c>
      <c r="N417" s="154" t="s">
        <v>759</v>
      </c>
      <c r="O417" s="247" t="s">
        <v>516</v>
      </c>
      <c r="P417" s="247" t="s">
        <v>6776</v>
      </c>
      <c r="Q417" s="154" t="str">
        <f t="shared" si="1"/>
        <v>#ERROR!</v>
      </c>
      <c r="R417" s="154" t="s">
        <v>66</v>
      </c>
      <c r="S417" s="154" t="s">
        <v>66</v>
      </c>
      <c r="T417" s="154" t="s">
        <v>66</v>
      </c>
      <c r="U417" s="154" t="s">
        <v>66</v>
      </c>
      <c r="V417" s="154" t="s">
        <v>66</v>
      </c>
      <c r="W417" s="154" t="s">
        <v>60</v>
      </c>
      <c r="X417" s="154" t="s">
        <v>66</v>
      </c>
      <c r="Y417" s="154" t="s">
        <v>66</v>
      </c>
      <c r="Z417" s="154" t="s">
        <v>60</v>
      </c>
      <c r="AA417" s="154"/>
      <c r="AB417" s="242" t="str">
        <f t="shared" si="2"/>
        <v>#ERROR!</v>
      </c>
      <c r="AC417" s="154" t="s">
        <v>391</v>
      </c>
      <c r="AD417" s="242" t="b">
        <f t="shared" si="3"/>
        <v>0</v>
      </c>
      <c r="AE417" s="154"/>
      <c r="AF417" s="242" t="str">
        <f t="shared" si="4"/>
        <v>#ERROR!</v>
      </c>
      <c r="AG417" s="154" t="s">
        <v>652</v>
      </c>
      <c r="AH417" s="242" t="str">
        <f>IF(AG417="","N/A",INDIRECT("MTR!"&amp;ADDRESS(MATCH(LEFT(AG417,9),[1]MTR!C:C,0),COLUMN(J417)),TRUE) &amp; "")</f>
        <v>#ERROR!</v>
      </c>
      <c r="AI417" s="157" t="str">
        <f t="shared" si="5"/>
        <v>#ERROR!</v>
      </c>
    </row>
    <row r="418" ht="12.75" customHeight="1">
      <c r="A418" s="244" t="s">
        <v>5158</v>
      </c>
      <c r="B418" s="244" t="s">
        <v>231</v>
      </c>
      <c r="C418" s="244" t="s">
        <v>7895</v>
      </c>
      <c r="D418" s="154" t="s">
        <v>781</v>
      </c>
      <c r="E418" s="154"/>
      <c r="F418" s="154" t="str">
        <f t="array" ref="F418">XLOOKUP(Cover!$D$12,$R$1:$Z$1,$R418:$Z418)</f>
        <v>Information</v>
      </c>
      <c r="G418" s="154" t="s">
        <v>7896</v>
      </c>
      <c r="H418" s="154" t="s">
        <v>7838</v>
      </c>
      <c r="I418" s="154" t="s">
        <v>7897</v>
      </c>
      <c r="J418" s="154" t="s">
        <v>6815</v>
      </c>
      <c r="K418" s="154" t="s">
        <v>7835</v>
      </c>
      <c r="L418" s="154" t="s">
        <v>6140</v>
      </c>
      <c r="M418" s="154"/>
      <c r="N418" s="154" t="s">
        <v>759</v>
      </c>
      <c r="O418" s="247" t="s">
        <v>516</v>
      </c>
      <c r="P418" s="247" t="s">
        <v>6776</v>
      </c>
      <c r="Q418" s="154" t="str">
        <f t="shared" si="1"/>
        <v>#ERROR!</v>
      </c>
      <c r="R418" s="154" t="s">
        <v>66</v>
      </c>
      <c r="S418" s="154" t="s">
        <v>66</v>
      </c>
      <c r="T418" s="154" t="s">
        <v>66</v>
      </c>
      <c r="U418" s="154" t="s">
        <v>66</v>
      </c>
      <c r="V418" s="154" t="s">
        <v>66</v>
      </c>
      <c r="W418" s="154" t="s">
        <v>66</v>
      </c>
      <c r="X418" s="154" t="s">
        <v>66</v>
      </c>
      <c r="Y418" s="154" t="s">
        <v>66</v>
      </c>
      <c r="Z418" s="154" t="s">
        <v>66</v>
      </c>
      <c r="AA418" s="154"/>
      <c r="AB418" s="242" t="str">
        <f t="shared" si="2"/>
        <v>#ERROR!</v>
      </c>
      <c r="AC418" s="154" t="s">
        <v>391</v>
      </c>
      <c r="AD418" s="242" t="b">
        <f t="shared" si="3"/>
        <v>0</v>
      </c>
      <c r="AE418" s="154"/>
      <c r="AF418" s="242" t="str">
        <f t="shared" si="4"/>
        <v>#ERROR!</v>
      </c>
      <c r="AG418" s="154" t="s">
        <v>652</v>
      </c>
      <c r="AH418" s="242" t="str">
        <f>IF(AG418="","N/A",INDIRECT("MTR!"&amp;ADDRESS(MATCH(LEFT(AG418,9),[1]MTR!C:C,0),COLUMN(J418)),TRUE) &amp; "")</f>
        <v>#ERROR!</v>
      </c>
      <c r="AI418" s="157" t="str">
        <f t="shared" si="5"/>
        <v>#ERROR!</v>
      </c>
    </row>
    <row r="419" ht="12.75" customHeight="1">
      <c r="A419" s="244" t="s">
        <v>5158</v>
      </c>
      <c r="B419" s="244" t="s">
        <v>231</v>
      </c>
      <c r="C419" s="244" t="s">
        <v>7898</v>
      </c>
      <c r="D419" s="154" t="s">
        <v>781</v>
      </c>
      <c r="E419" s="154"/>
      <c r="F419" s="154" t="str">
        <f t="array" ref="F419">XLOOKUP(Cover!$D$12,$R$1:$Z$1,$R419:$Z419)</f>
        <v>Information</v>
      </c>
      <c r="G419" s="154" t="s">
        <v>7899</v>
      </c>
      <c r="H419" s="154" t="s">
        <v>7838</v>
      </c>
      <c r="I419" s="154" t="s">
        <v>7900</v>
      </c>
      <c r="J419" s="154" t="s">
        <v>6819</v>
      </c>
      <c r="K419" s="154" t="s">
        <v>7835</v>
      </c>
      <c r="L419" s="154" t="s">
        <v>6140</v>
      </c>
      <c r="M419" s="154"/>
      <c r="N419" s="154" t="s">
        <v>759</v>
      </c>
      <c r="O419" s="247" t="s">
        <v>516</v>
      </c>
      <c r="P419" s="247" t="s">
        <v>6776</v>
      </c>
      <c r="Q419" s="154" t="str">
        <f t="shared" si="1"/>
        <v>#ERROR!</v>
      </c>
      <c r="R419" s="154" t="s">
        <v>66</v>
      </c>
      <c r="S419" s="154" t="s">
        <v>66</v>
      </c>
      <c r="T419" s="154" t="s">
        <v>66</v>
      </c>
      <c r="U419" s="154" t="s">
        <v>66</v>
      </c>
      <c r="V419" s="154" t="s">
        <v>66</v>
      </c>
      <c r="W419" s="154" t="s">
        <v>66</v>
      </c>
      <c r="X419" s="154" t="s">
        <v>66</v>
      </c>
      <c r="Y419" s="154" t="s">
        <v>66</v>
      </c>
      <c r="Z419" s="154" t="s">
        <v>66</v>
      </c>
      <c r="AA419" s="154"/>
      <c r="AB419" s="242" t="str">
        <f t="shared" si="2"/>
        <v>#ERROR!</v>
      </c>
      <c r="AC419" s="154" t="s">
        <v>391</v>
      </c>
      <c r="AD419" s="242" t="b">
        <f t="shared" si="3"/>
        <v>0</v>
      </c>
      <c r="AE419" s="154"/>
      <c r="AF419" s="242" t="str">
        <f t="shared" si="4"/>
        <v>#ERROR!</v>
      </c>
      <c r="AG419" s="154" t="s">
        <v>652</v>
      </c>
      <c r="AH419" s="242" t="str">
        <f>IF(AG419="","N/A",INDIRECT("MTR!"&amp;ADDRESS(MATCH(LEFT(AG419,9),[1]MTR!C:C,0),COLUMN(J419)),TRUE) &amp; "")</f>
        <v>#ERROR!</v>
      </c>
      <c r="AI419" s="157" t="str">
        <f t="shared" si="5"/>
        <v>#ERROR!</v>
      </c>
    </row>
    <row r="420" ht="12.75" customHeight="1">
      <c r="A420" s="244" t="s">
        <v>5158</v>
      </c>
      <c r="B420" s="244" t="s">
        <v>231</v>
      </c>
      <c r="C420" s="244" t="s">
        <v>7901</v>
      </c>
      <c r="D420" s="154" t="s">
        <v>781</v>
      </c>
      <c r="E420" s="154"/>
      <c r="F420" s="154" t="str">
        <f t="array" ref="F420">XLOOKUP(Cover!$D$12,$R$1:$Z$1,$R420:$Z420)</f>
        <v>Information</v>
      </c>
      <c r="G420" s="154" t="s">
        <v>7902</v>
      </c>
      <c r="H420" s="154" t="s">
        <v>7844</v>
      </c>
      <c r="I420" s="154" t="s">
        <v>7900</v>
      </c>
      <c r="J420" s="154" t="s">
        <v>6819</v>
      </c>
      <c r="K420" s="154" t="s">
        <v>7835</v>
      </c>
      <c r="L420" s="154" t="s">
        <v>6140</v>
      </c>
      <c r="M420" s="154"/>
      <c r="N420" s="154" t="s">
        <v>759</v>
      </c>
      <c r="O420" s="247" t="s">
        <v>516</v>
      </c>
      <c r="P420" s="247" t="s">
        <v>6776</v>
      </c>
      <c r="Q420" s="154" t="str">
        <f t="shared" si="1"/>
        <v>#ERROR!</v>
      </c>
      <c r="R420" s="154" t="s">
        <v>66</v>
      </c>
      <c r="S420" s="154" t="s">
        <v>66</v>
      </c>
      <c r="T420" s="154" t="s">
        <v>66</v>
      </c>
      <c r="U420" s="154" t="s">
        <v>66</v>
      </c>
      <c r="V420" s="154" t="s">
        <v>66</v>
      </c>
      <c r="W420" s="154" t="s">
        <v>66</v>
      </c>
      <c r="X420" s="154" t="s">
        <v>66</v>
      </c>
      <c r="Y420" s="154" t="s">
        <v>66</v>
      </c>
      <c r="Z420" s="154" t="s">
        <v>66</v>
      </c>
      <c r="AA420" s="154"/>
      <c r="AB420" s="242" t="str">
        <f t="shared" si="2"/>
        <v>#ERROR!</v>
      </c>
      <c r="AC420" s="154" t="s">
        <v>391</v>
      </c>
      <c r="AD420" s="242" t="b">
        <f t="shared" si="3"/>
        <v>0</v>
      </c>
      <c r="AE420" s="154"/>
      <c r="AF420" s="242" t="str">
        <f t="shared" si="4"/>
        <v>#ERROR!</v>
      </c>
      <c r="AG420" s="154" t="s">
        <v>652</v>
      </c>
      <c r="AH420" s="242" t="str">
        <f>IF(AG420="","N/A",INDIRECT("MTR!"&amp;ADDRESS(MATCH(LEFT(AG420,9),[1]MTR!C:C,0),COLUMN(J420)),TRUE) &amp; "")</f>
        <v>#ERROR!</v>
      </c>
      <c r="AI420" s="157" t="str">
        <f t="shared" si="5"/>
        <v>#ERROR!</v>
      </c>
    </row>
    <row r="421" ht="12.75" customHeight="1">
      <c r="A421" s="244" t="s">
        <v>5158</v>
      </c>
      <c r="B421" s="244" t="s">
        <v>231</v>
      </c>
      <c r="C421" s="244" t="s">
        <v>7903</v>
      </c>
      <c r="D421" s="154" t="s">
        <v>503</v>
      </c>
      <c r="E421" s="154"/>
      <c r="F421" s="154" t="str">
        <f t="array" ref="F421">XLOOKUP(Cover!$D$12,$R$1:$Z$1,$R421:$Z421)</f>
        <v>Information</v>
      </c>
      <c r="G421" s="154" t="s">
        <v>7904</v>
      </c>
      <c r="H421" s="154" t="s">
        <v>7838</v>
      </c>
      <c r="I421" s="154" t="s">
        <v>7905</v>
      </c>
      <c r="J421" s="154" t="s">
        <v>6819</v>
      </c>
      <c r="K421" s="154" t="s">
        <v>7835</v>
      </c>
      <c r="L421" s="154" t="s">
        <v>6463</v>
      </c>
      <c r="M421" s="154"/>
      <c r="N421" s="154" t="s">
        <v>759</v>
      </c>
      <c r="O421" s="247" t="s">
        <v>516</v>
      </c>
      <c r="P421" s="247" t="s">
        <v>6776</v>
      </c>
      <c r="Q421" s="154" t="str">
        <f t="shared" si="1"/>
        <v>#ERROR!</v>
      </c>
      <c r="R421" s="154" t="s">
        <v>66</v>
      </c>
      <c r="S421" s="154" t="s">
        <v>66</v>
      </c>
      <c r="T421" s="154" t="s">
        <v>66</v>
      </c>
      <c r="U421" s="154" t="s">
        <v>66</v>
      </c>
      <c r="V421" s="154" t="s">
        <v>66</v>
      </c>
      <c r="W421" s="154" t="s">
        <v>66</v>
      </c>
      <c r="X421" s="154" t="s">
        <v>66</v>
      </c>
      <c r="Y421" s="154" t="s">
        <v>66</v>
      </c>
      <c r="Z421" s="154" t="s">
        <v>66</v>
      </c>
      <c r="AA421" s="154"/>
      <c r="AB421" s="242" t="str">
        <f t="shared" si="2"/>
        <v>#ERROR!</v>
      </c>
      <c r="AC421" s="154" t="s">
        <v>391</v>
      </c>
      <c r="AD421" s="242" t="b">
        <f t="shared" si="3"/>
        <v>0</v>
      </c>
      <c r="AE421" s="154"/>
      <c r="AF421" s="242" t="str">
        <f t="shared" si="4"/>
        <v>#ERROR!</v>
      </c>
      <c r="AG421" s="154" t="s">
        <v>652</v>
      </c>
      <c r="AH421" s="242" t="str">
        <f>IF(AG421="","N/A",INDIRECT("MTR!"&amp;ADDRESS(MATCH(LEFT(AG421,9),[1]MTR!C:C,0),COLUMN(J421)),TRUE) &amp; "")</f>
        <v>#ERROR!</v>
      </c>
      <c r="AI421" s="157" t="str">
        <f t="shared" si="5"/>
        <v>#ERROR!</v>
      </c>
    </row>
    <row r="422" ht="12.75" customHeight="1">
      <c r="A422" s="244" t="s">
        <v>5158</v>
      </c>
      <c r="B422" s="244" t="s">
        <v>231</v>
      </c>
      <c r="C422" s="244" t="s">
        <v>7906</v>
      </c>
      <c r="D422" s="154" t="s">
        <v>503</v>
      </c>
      <c r="E422" s="154"/>
      <c r="F422" s="154" t="str">
        <f t="array" ref="F422">XLOOKUP(Cover!$D$12,$R$1:$Z$1,$R422:$Z422)</f>
        <v>Recommended</v>
      </c>
      <c r="G422" s="154" t="s">
        <v>7907</v>
      </c>
      <c r="H422" s="154" t="s">
        <v>7838</v>
      </c>
      <c r="I422" s="154" t="s">
        <v>7908</v>
      </c>
      <c r="J422" s="154" t="s">
        <v>6826</v>
      </c>
      <c r="K422" s="154" t="s">
        <v>7835</v>
      </c>
      <c r="L422" s="154" t="s">
        <v>7431</v>
      </c>
      <c r="M422" s="154"/>
      <c r="N422" s="154" t="s">
        <v>759</v>
      </c>
      <c r="O422" s="247" t="s">
        <v>516</v>
      </c>
      <c r="P422" s="247" t="s">
        <v>6776</v>
      </c>
      <c r="Q422" s="154" t="str">
        <f t="shared" si="1"/>
        <v>#ERROR!</v>
      </c>
      <c r="R422" s="154" t="s">
        <v>66</v>
      </c>
      <c r="S422" s="154" t="s">
        <v>66</v>
      </c>
      <c r="T422" s="154" t="s">
        <v>66</v>
      </c>
      <c r="U422" s="154" t="s">
        <v>66</v>
      </c>
      <c r="V422" s="154" t="s">
        <v>66</v>
      </c>
      <c r="W422" s="154" t="s">
        <v>64</v>
      </c>
      <c r="X422" s="154" t="s">
        <v>66</v>
      </c>
      <c r="Y422" s="154" t="s">
        <v>66</v>
      </c>
      <c r="Z422" s="154" t="s">
        <v>64</v>
      </c>
      <c r="AA422" s="154"/>
      <c r="AB422" s="242" t="str">
        <f t="shared" si="2"/>
        <v>#ERROR!</v>
      </c>
      <c r="AC422" s="154" t="s">
        <v>391</v>
      </c>
      <c r="AD422" s="242" t="b">
        <f t="shared" si="3"/>
        <v>0</v>
      </c>
      <c r="AE422" s="154"/>
      <c r="AF422" s="242" t="str">
        <f t="shared" si="4"/>
        <v>#ERROR!</v>
      </c>
      <c r="AG422" s="154" t="s">
        <v>652</v>
      </c>
      <c r="AH422" s="242" t="str">
        <f>IF(AG422="","N/A",INDIRECT("MTR!"&amp;ADDRESS(MATCH(LEFT(AG422,9),[1]MTR!C:C,0),COLUMN(J422)),TRUE) &amp; "")</f>
        <v>#ERROR!</v>
      </c>
      <c r="AI422" s="157" t="str">
        <f t="shared" si="5"/>
        <v>#ERROR!</v>
      </c>
    </row>
    <row r="423" ht="12.75" customHeight="1">
      <c r="A423" s="244" t="s">
        <v>5158</v>
      </c>
      <c r="B423" s="244" t="s">
        <v>231</v>
      </c>
      <c r="C423" s="244" t="s">
        <v>7909</v>
      </c>
      <c r="D423" s="154" t="s">
        <v>503</v>
      </c>
      <c r="E423" s="154"/>
      <c r="F423" s="154" t="str">
        <f t="array" ref="F423">XLOOKUP(Cover!$D$12,$R$1:$Z$1,$R423:$Z423)</f>
        <v>Recommended</v>
      </c>
      <c r="G423" s="154" t="s">
        <v>7910</v>
      </c>
      <c r="H423" s="154" t="s">
        <v>7847</v>
      </c>
      <c r="I423" s="154" t="s">
        <v>7908</v>
      </c>
      <c r="J423" s="154" t="s">
        <v>6826</v>
      </c>
      <c r="K423" s="154" t="s">
        <v>7835</v>
      </c>
      <c r="L423" s="154" t="s">
        <v>7431</v>
      </c>
      <c r="M423" s="154"/>
      <c r="N423" s="154" t="s">
        <v>759</v>
      </c>
      <c r="O423" s="247" t="s">
        <v>506</v>
      </c>
      <c r="P423" s="247" t="s">
        <v>6722</v>
      </c>
      <c r="Q423" s="154" t="str">
        <f t="shared" si="1"/>
        <v>#ERROR!</v>
      </c>
      <c r="R423" s="154" t="s">
        <v>66</v>
      </c>
      <c r="S423" s="154" t="s">
        <v>66</v>
      </c>
      <c r="T423" s="154" t="s">
        <v>66</v>
      </c>
      <c r="U423" s="154" t="s">
        <v>66</v>
      </c>
      <c r="V423" s="154" t="s">
        <v>66</v>
      </c>
      <c r="W423" s="154" t="s">
        <v>64</v>
      </c>
      <c r="X423" s="154" t="s">
        <v>66</v>
      </c>
      <c r="Y423" s="154" t="s">
        <v>66</v>
      </c>
      <c r="Z423" s="154" t="s">
        <v>64</v>
      </c>
      <c r="AA423" s="154"/>
      <c r="AB423" s="242" t="str">
        <f t="shared" si="2"/>
        <v>#ERROR!</v>
      </c>
      <c r="AC423" s="154" t="s">
        <v>391</v>
      </c>
      <c r="AD423" s="242" t="b">
        <f t="shared" si="3"/>
        <v>0</v>
      </c>
      <c r="AE423" s="154"/>
      <c r="AF423" s="242" t="str">
        <f t="shared" si="4"/>
        <v>#ERROR!</v>
      </c>
      <c r="AG423" s="154" t="s">
        <v>652</v>
      </c>
      <c r="AH423" s="242" t="str">
        <f>IF(AG423="","N/A",INDIRECT("MTR!"&amp;ADDRESS(MATCH(LEFT(AG423,9),[1]MTR!C:C,0),COLUMN(J423)),TRUE) &amp; "")</f>
        <v>#ERROR!</v>
      </c>
      <c r="AI423" s="157" t="str">
        <f t="shared" si="5"/>
        <v>#ERROR!</v>
      </c>
    </row>
    <row r="424" ht="12.75" customHeight="1">
      <c r="A424" s="244" t="s">
        <v>5158</v>
      </c>
      <c r="B424" s="244" t="s">
        <v>231</v>
      </c>
      <c r="C424" s="244" t="s">
        <v>7911</v>
      </c>
      <c r="D424" s="154" t="s">
        <v>781</v>
      </c>
      <c r="E424" s="154"/>
      <c r="F424" s="154" t="str">
        <f t="array" ref="F424">XLOOKUP(Cover!$D$12,$R$1:$Z$1,$R424:$Z424)</f>
        <v>Mandatory</v>
      </c>
      <c r="G424" s="154" t="s">
        <v>7912</v>
      </c>
      <c r="H424" s="154" t="s">
        <v>7838</v>
      </c>
      <c r="I424" s="154" t="s">
        <v>7913</v>
      </c>
      <c r="J424" s="154" t="s">
        <v>6832</v>
      </c>
      <c r="K424" s="154" t="s">
        <v>7835</v>
      </c>
      <c r="L424" s="154" t="s">
        <v>6942</v>
      </c>
      <c r="M424" s="154" t="s">
        <v>1122</v>
      </c>
      <c r="N424" s="154" t="s">
        <v>759</v>
      </c>
      <c r="O424" s="247" t="s">
        <v>516</v>
      </c>
      <c r="P424" s="247" t="s">
        <v>7881</v>
      </c>
      <c r="Q424" s="154" t="str">
        <f t="shared" si="1"/>
        <v>#ERROR!</v>
      </c>
      <c r="R424" s="154" t="s">
        <v>66</v>
      </c>
      <c r="S424" s="154" t="s">
        <v>66</v>
      </c>
      <c r="T424" s="154" t="s">
        <v>66</v>
      </c>
      <c r="U424" s="154" t="s">
        <v>66</v>
      </c>
      <c r="V424" s="154" t="s">
        <v>66</v>
      </c>
      <c r="W424" s="154" t="s">
        <v>60</v>
      </c>
      <c r="X424" s="154" t="s">
        <v>66</v>
      </c>
      <c r="Y424" s="154" t="s">
        <v>66</v>
      </c>
      <c r="Z424" s="154" t="s">
        <v>60</v>
      </c>
      <c r="AA424" s="154"/>
      <c r="AB424" s="242" t="str">
        <f t="shared" si="2"/>
        <v>#ERROR!</v>
      </c>
      <c r="AC424" s="154" t="s">
        <v>391</v>
      </c>
      <c r="AD424" s="242" t="b">
        <f t="shared" si="3"/>
        <v>0</v>
      </c>
      <c r="AE424" s="154"/>
      <c r="AF424" s="242" t="str">
        <f t="shared" si="4"/>
        <v>#ERROR!</v>
      </c>
      <c r="AG424" s="154" t="s">
        <v>652</v>
      </c>
      <c r="AH424" s="242" t="str">
        <f>IF(AG424="","N/A",INDIRECT("MTR!"&amp;ADDRESS(MATCH(LEFT(AG424,9),[1]MTR!C:C,0),COLUMN(J424)),TRUE) &amp; "")</f>
        <v>#ERROR!</v>
      </c>
      <c r="AI424" s="157" t="str">
        <f t="shared" si="5"/>
        <v>#ERROR!</v>
      </c>
    </row>
    <row r="425" ht="12.75" customHeight="1">
      <c r="A425" s="244" t="s">
        <v>5158</v>
      </c>
      <c r="B425" s="244" t="s">
        <v>231</v>
      </c>
      <c r="C425" s="244" t="s">
        <v>7914</v>
      </c>
      <c r="D425" s="154" t="s">
        <v>781</v>
      </c>
      <c r="E425" s="154"/>
      <c r="F425" s="154" t="str">
        <f t="array" ref="F425">XLOOKUP(Cover!$D$12,$R$1:$Z$1,$R425:$Z425)</f>
        <v>Mandatory</v>
      </c>
      <c r="G425" s="154" t="s">
        <v>7915</v>
      </c>
      <c r="H425" s="154" t="s">
        <v>7850</v>
      </c>
      <c r="I425" s="154" t="s">
        <v>7913</v>
      </c>
      <c r="J425" s="154" t="s">
        <v>6832</v>
      </c>
      <c r="K425" s="154" t="s">
        <v>7835</v>
      </c>
      <c r="L425" s="154" t="s">
        <v>6942</v>
      </c>
      <c r="M425" s="154" t="s">
        <v>1122</v>
      </c>
      <c r="N425" s="154" t="s">
        <v>759</v>
      </c>
      <c r="O425" s="247" t="s">
        <v>445</v>
      </c>
      <c r="P425" s="247" t="s">
        <v>89</v>
      </c>
      <c r="Q425" s="154" t="str">
        <f t="shared" si="1"/>
        <v>#ERROR!</v>
      </c>
      <c r="R425" s="154" t="s">
        <v>66</v>
      </c>
      <c r="S425" s="154" t="s">
        <v>66</v>
      </c>
      <c r="T425" s="154" t="s">
        <v>66</v>
      </c>
      <c r="U425" s="154" t="s">
        <v>66</v>
      </c>
      <c r="V425" s="154" t="s">
        <v>66</v>
      </c>
      <c r="W425" s="154" t="s">
        <v>60</v>
      </c>
      <c r="X425" s="154" t="s">
        <v>66</v>
      </c>
      <c r="Y425" s="154" t="s">
        <v>66</v>
      </c>
      <c r="Z425" s="154" t="s">
        <v>60</v>
      </c>
      <c r="AA425" s="154"/>
      <c r="AB425" s="242" t="str">
        <f t="shared" si="2"/>
        <v>#ERROR!</v>
      </c>
      <c r="AC425" s="154" t="s">
        <v>391</v>
      </c>
      <c r="AD425" s="242" t="b">
        <f t="shared" si="3"/>
        <v>0</v>
      </c>
      <c r="AE425" s="154"/>
      <c r="AF425" s="242" t="str">
        <f t="shared" si="4"/>
        <v>#ERROR!</v>
      </c>
      <c r="AG425" s="154" t="s">
        <v>652</v>
      </c>
      <c r="AH425" s="242" t="str">
        <f>IF(AG425="","N/A",INDIRECT("MTR!"&amp;ADDRESS(MATCH(LEFT(AG425,9),[1]MTR!C:C,0),COLUMN(J425)),TRUE) &amp; "")</f>
        <v>#ERROR!</v>
      </c>
      <c r="AI425" s="157" t="str">
        <f t="shared" si="5"/>
        <v>#ERROR!</v>
      </c>
    </row>
    <row r="426" ht="12.75" customHeight="1">
      <c r="A426" s="244" t="s">
        <v>5158</v>
      </c>
      <c r="B426" s="244" t="s">
        <v>231</v>
      </c>
      <c r="C426" s="244" t="s">
        <v>7916</v>
      </c>
      <c r="D426" s="154" t="s">
        <v>781</v>
      </c>
      <c r="E426" s="154"/>
      <c r="F426" s="154" t="str">
        <f t="array" ref="F426">XLOOKUP(Cover!$D$12,$R$1:$Z$1,$R426:$Z426)</f>
        <v>Information</v>
      </c>
      <c r="G426" s="154" t="s">
        <v>7917</v>
      </c>
      <c r="H426" s="154" t="s">
        <v>7838</v>
      </c>
      <c r="I426" s="154" t="s">
        <v>7918</v>
      </c>
      <c r="J426" s="154" t="s">
        <v>6838</v>
      </c>
      <c r="K426" s="154" t="s">
        <v>7835</v>
      </c>
      <c r="L426" s="154" t="s">
        <v>6140</v>
      </c>
      <c r="M426" s="154"/>
      <c r="N426" s="154" t="s">
        <v>759</v>
      </c>
      <c r="O426" s="247" t="s">
        <v>516</v>
      </c>
      <c r="P426" s="247" t="s">
        <v>7887</v>
      </c>
      <c r="Q426" s="154" t="str">
        <f t="shared" si="1"/>
        <v>#ERROR!</v>
      </c>
      <c r="R426" s="154" t="s">
        <v>66</v>
      </c>
      <c r="S426" s="154" t="s">
        <v>66</v>
      </c>
      <c r="T426" s="154" t="s">
        <v>66</v>
      </c>
      <c r="U426" s="154" t="s">
        <v>66</v>
      </c>
      <c r="V426" s="154" t="s">
        <v>66</v>
      </c>
      <c r="W426" s="154" t="s">
        <v>66</v>
      </c>
      <c r="X426" s="154" t="s">
        <v>66</v>
      </c>
      <c r="Y426" s="154" t="s">
        <v>66</v>
      </c>
      <c r="Z426" s="154" t="s">
        <v>66</v>
      </c>
      <c r="AA426" s="154"/>
      <c r="AB426" s="242" t="str">
        <f t="shared" si="2"/>
        <v>#ERROR!</v>
      </c>
      <c r="AC426" s="154" t="s">
        <v>391</v>
      </c>
      <c r="AD426" s="242" t="b">
        <f t="shared" si="3"/>
        <v>0</v>
      </c>
      <c r="AE426" s="154"/>
      <c r="AF426" s="242" t="str">
        <f t="shared" si="4"/>
        <v>#ERROR!</v>
      </c>
      <c r="AG426" s="154" t="s">
        <v>652</v>
      </c>
      <c r="AH426" s="242" t="str">
        <f>IF(AG426="","N/A",INDIRECT("MTR!"&amp;ADDRESS(MATCH(LEFT(AG426,9),[1]MTR!C:C,0),COLUMN(J426)),TRUE) &amp; "")</f>
        <v>#ERROR!</v>
      </c>
      <c r="AI426" s="157" t="str">
        <f t="shared" si="5"/>
        <v>#ERROR!</v>
      </c>
    </row>
    <row r="427" ht="12.75" customHeight="1">
      <c r="A427" s="244" t="s">
        <v>5158</v>
      </c>
      <c r="B427" s="244" t="s">
        <v>231</v>
      </c>
      <c r="C427" s="244" t="s">
        <v>7919</v>
      </c>
      <c r="D427" s="154" t="s">
        <v>781</v>
      </c>
      <c r="E427" s="154"/>
      <c r="F427" s="154" t="str">
        <f t="array" ref="F427">XLOOKUP(Cover!$D$12,$R$1:$Z$1,$R427:$Z427)</f>
        <v>Information</v>
      </c>
      <c r="G427" s="154" t="s">
        <v>7920</v>
      </c>
      <c r="H427" s="154" t="s">
        <v>7853</v>
      </c>
      <c r="I427" s="154" t="s">
        <v>7918</v>
      </c>
      <c r="J427" s="154" t="s">
        <v>6838</v>
      </c>
      <c r="K427" s="154" t="s">
        <v>7835</v>
      </c>
      <c r="L427" s="154" t="s">
        <v>6140</v>
      </c>
      <c r="M427" s="154"/>
      <c r="N427" s="154" t="s">
        <v>759</v>
      </c>
      <c r="O427" s="247" t="s">
        <v>445</v>
      </c>
      <c r="P427" s="247" t="s">
        <v>89</v>
      </c>
      <c r="Q427" s="154" t="str">
        <f t="shared" si="1"/>
        <v>#ERROR!</v>
      </c>
      <c r="R427" s="154" t="s">
        <v>66</v>
      </c>
      <c r="S427" s="154" t="s">
        <v>66</v>
      </c>
      <c r="T427" s="154" t="s">
        <v>66</v>
      </c>
      <c r="U427" s="154" t="s">
        <v>66</v>
      </c>
      <c r="V427" s="154" t="s">
        <v>66</v>
      </c>
      <c r="W427" s="154" t="s">
        <v>66</v>
      </c>
      <c r="X427" s="154" t="s">
        <v>66</v>
      </c>
      <c r="Y427" s="154" t="s">
        <v>66</v>
      </c>
      <c r="Z427" s="154" t="s">
        <v>66</v>
      </c>
      <c r="AA427" s="154"/>
      <c r="AB427" s="242" t="str">
        <f t="shared" si="2"/>
        <v>#ERROR!</v>
      </c>
      <c r="AC427" s="154" t="s">
        <v>391</v>
      </c>
      <c r="AD427" s="242" t="b">
        <f t="shared" si="3"/>
        <v>0</v>
      </c>
      <c r="AE427" s="154"/>
      <c r="AF427" s="242" t="str">
        <f t="shared" si="4"/>
        <v>#ERROR!</v>
      </c>
      <c r="AG427" s="154" t="s">
        <v>652</v>
      </c>
      <c r="AH427" s="242" t="str">
        <f>IF(AG427="","N/A",INDIRECT("MTR!"&amp;ADDRESS(MATCH(LEFT(AG427,9),[1]MTR!C:C,0),COLUMN(J427)),TRUE) &amp; "")</f>
        <v>#ERROR!</v>
      </c>
      <c r="AI427" s="157" t="str">
        <f t="shared" si="5"/>
        <v>#ERROR!</v>
      </c>
    </row>
    <row r="428" ht="12.75" customHeight="1">
      <c r="A428" s="244" t="s">
        <v>5158</v>
      </c>
      <c r="B428" s="244" t="s">
        <v>231</v>
      </c>
      <c r="C428" s="244" t="s">
        <v>7921</v>
      </c>
      <c r="D428" s="154" t="s">
        <v>503</v>
      </c>
      <c r="E428" s="154"/>
      <c r="F428" s="154" t="str">
        <f t="array" ref="F428">XLOOKUP(Cover!$D$12,$R$1:$Z$1,$R428:$Z428)</f>
        <v>Recommended</v>
      </c>
      <c r="G428" s="154" t="s">
        <v>7922</v>
      </c>
      <c r="H428" s="154" t="s">
        <v>7838</v>
      </c>
      <c r="I428" s="154" t="s">
        <v>7923</v>
      </c>
      <c r="J428" s="154" t="s">
        <v>6844</v>
      </c>
      <c r="K428" s="154" t="s">
        <v>7835</v>
      </c>
      <c r="L428" s="154" t="s">
        <v>6463</v>
      </c>
      <c r="M428" s="154"/>
      <c r="N428" s="154" t="s">
        <v>759</v>
      </c>
      <c r="O428" s="247" t="s">
        <v>516</v>
      </c>
      <c r="P428" s="247" t="s">
        <v>6776</v>
      </c>
      <c r="Q428" s="154" t="str">
        <f t="shared" si="1"/>
        <v>#ERROR!</v>
      </c>
      <c r="R428" s="154" t="s">
        <v>66</v>
      </c>
      <c r="S428" s="154" t="s">
        <v>66</v>
      </c>
      <c r="T428" s="154" t="s">
        <v>66</v>
      </c>
      <c r="U428" s="154" t="s">
        <v>66</v>
      </c>
      <c r="V428" s="154" t="s">
        <v>66</v>
      </c>
      <c r="W428" s="154" t="s">
        <v>64</v>
      </c>
      <c r="X428" s="154" t="s">
        <v>66</v>
      </c>
      <c r="Y428" s="154" t="s">
        <v>66</v>
      </c>
      <c r="Z428" s="154" t="s">
        <v>64</v>
      </c>
      <c r="AA428" s="154"/>
      <c r="AB428" s="242" t="str">
        <f t="shared" si="2"/>
        <v>#ERROR!</v>
      </c>
      <c r="AC428" s="154" t="s">
        <v>391</v>
      </c>
      <c r="AD428" s="242" t="b">
        <f t="shared" si="3"/>
        <v>0</v>
      </c>
      <c r="AE428" s="154"/>
      <c r="AF428" s="242" t="str">
        <f t="shared" si="4"/>
        <v>#ERROR!</v>
      </c>
      <c r="AG428" s="154" t="s">
        <v>652</v>
      </c>
      <c r="AH428" s="242" t="str">
        <f>IF(AG428="","N/A",INDIRECT("MTR!"&amp;ADDRESS(MATCH(LEFT(AG428,9),[1]MTR!C:C,0),COLUMN(J428)),TRUE) &amp; "")</f>
        <v>#ERROR!</v>
      </c>
      <c r="AI428" s="157" t="str">
        <f t="shared" si="5"/>
        <v>#ERROR!</v>
      </c>
    </row>
    <row r="429" ht="12.75" customHeight="1">
      <c r="A429" s="244" t="s">
        <v>5158</v>
      </c>
      <c r="B429" s="244" t="s">
        <v>231</v>
      </c>
      <c r="C429" s="244" t="s">
        <v>7924</v>
      </c>
      <c r="D429" s="154" t="s">
        <v>503</v>
      </c>
      <c r="E429" s="154"/>
      <c r="F429" s="154" t="str">
        <f t="array" ref="F429">XLOOKUP(Cover!$D$12,$R$1:$Z$1,$R429:$Z429)</f>
        <v>Information</v>
      </c>
      <c r="G429" s="154" t="s">
        <v>7925</v>
      </c>
      <c r="H429" s="154" t="s">
        <v>7844</v>
      </c>
      <c r="I429" s="154" t="s">
        <v>7926</v>
      </c>
      <c r="J429" s="154" t="s">
        <v>6858</v>
      </c>
      <c r="K429" s="154" t="s">
        <v>7835</v>
      </c>
      <c r="L429" s="154" t="s">
        <v>6463</v>
      </c>
      <c r="M429" s="154"/>
      <c r="N429" s="154" t="s">
        <v>759</v>
      </c>
      <c r="O429" s="247" t="s">
        <v>516</v>
      </c>
      <c r="P429" s="247" t="s">
        <v>6776</v>
      </c>
      <c r="Q429" s="154" t="str">
        <f t="shared" si="1"/>
        <v>#ERROR!</v>
      </c>
      <c r="R429" s="154" t="s">
        <v>66</v>
      </c>
      <c r="S429" s="154" t="s">
        <v>66</v>
      </c>
      <c r="T429" s="154" t="s">
        <v>66</v>
      </c>
      <c r="U429" s="154" t="s">
        <v>66</v>
      </c>
      <c r="V429" s="154" t="s">
        <v>66</v>
      </c>
      <c r="W429" s="154" t="s">
        <v>66</v>
      </c>
      <c r="X429" s="154" t="s">
        <v>66</v>
      </c>
      <c r="Y429" s="154" t="s">
        <v>66</v>
      </c>
      <c r="Z429" s="154" t="s">
        <v>66</v>
      </c>
      <c r="AA429" s="154"/>
      <c r="AB429" s="242" t="str">
        <f t="shared" si="2"/>
        <v>#ERROR!</v>
      </c>
      <c r="AC429" s="154" t="s">
        <v>391</v>
      </c>
      <c r="AD429" s="242" t="b">
        <f t="shared" si="3"/>
        <v>0</v>
      </c>
      <c r="AE429" s="154"/>
      <c r="AF429" s="242" t="str">
        <f t="shared" si="4"/>
        <v>#ERROR!</v>
      </c>
      <c r="AG429" s="154" t="s">
        <v>652</v>
      </c>
      <c r="AH429" s="242" t="str">
        <f>IF(AG429="","N/A",INDIRECT("MTR!"&amp;ADDRESS(MATCH(LEFT(AG429,9),[1]MTR!C:C,0),COLUMN(J429)),TRUE) &amp; "")</f>
        <v>#ERROR!</v>
      </c>
      <c r="AI429" s="157" t="str">
        <f t="shared" si="5"/>
        <v>#ERROR!</v>
      </c>
    </row>
    <row r="430" ht="12.75" customHeight="1">
      <c r="A430" s="244" t="s">
        <v>5158</v>
      </c>
      <c r="B430" s="244" t="s">
        <v>231</v>
      </c>
      <c r="C430" s="244" t="s">
        <v>7927</v>
      </c>
      <c r="D430" s="154" t="s">
        <v>503</v>
      </c>
      <c r="E430" s="154"/>
      <c r="F430" s="154" t="str">
        <f t="array" ref="F430">XLOOKUP(Cover!$D$12,$R$1:$Z$1,$R430:$Z430)</f>
        <v>Information</v>
      </c>
      <c r="G430" s="154" t="s">
        <v>7928</v>
      </c>
      <c r="H430" s="154" t="s">
        <v>7847</v>
      </c>
      <c r="I430" s="154" t="s">
        <v>7926</v>
      </c>
      <c r="J430" s="154" t="s">
        <v>6858</v>
      </c>
      <c r="K430" s="154" t="s">
        <v>7835</v>
      </c>
      <c r="L430" s="154" t="s">
        <v>6463</v>
      </c>
      <c r="M430" s="154"/>
      <c r="N430" s="154" t="s">
        <v>759</v>
      </c>
      <c r="O430" s="247" t="s">
        <v>516</v>
      </c>
      <c r="P430" s="247" t="s">
        <v>5876</v>
      </c>
      <c r="Q430" s="154" t="str">
        <f t="shared" si="1"/>
        <v>#ERROR!</v>
      </c>
      <c r="R430" s="154" t="s">
        <v>66</v>
      </c>
      <c r="S430" s="154" t="s">
        <v>66</v>
      </c>
      <c r="T430" s="154" t="s">
        <v>66</v>
      </c>
      <c r="U430" s="154" t="s">
        <v>66</v>
      </c>
      <c r="V430" s="154" t="s">
        <v>66</v>
      </c>
      <c r="W430" s="154" t="s">
        <v>66</v>
      </c>
      <c r="X430" s="154" t="s">
        <v>66</v>
      </c>
      <c r="Y430" s="154" t="s">
        <v>66</v>
      </c>
      <c r="Z430" s="154" t="s">
        <v>66</v>
      </c>
      <c r="AA430" s="154"/>
      <c r="AB430" s="242" t="str">
        <f t="shared" si="2"/>
        <v>#ERROR!</v>
      </c>
      <c r="AC430" s="154" t="s">
        <v>391</v>
      </c>
      <c r="AD430" s="242" t="b">
        <f t="shared" si="3"/>
        <v>0</v>
      </c>
      <c r="AE430" s="154"/>
      <c r="AF430" s="242" t="str">
        <f t="shared" si="4"/>
        <v>#ERROR!</v>
      </c>
      <c r="AG430" s="154" t="s">
        <v>652</v>
      </c>
      <c r="AH430" s="242" t="str">
        <f>IF(AG430="","N/A",INDIRECT("MTR!"&amp;ADDRESS(MATCH(LEFT(AG430,9),[1]MTR!C:C,0),COLUMN(J430)),TRUE) &amp; "")</f>
        <v>#ERROR!</v>
      </c>
      <c r="AI430" s="157" t="str">
        <f t="shared" si="5"/>
        <v>#ERROR!</v>
      </c>
    </row>
    <row r="431" ht="12.75" customHeight="1">
      <c r="A431" s="244" t="s">
        <v>5158</v>
      </c>
      <c r="B431" s="244" t="s">
        <v>231</v>
      </c>
      <c r="C431" s="244" t="s">
        <v>7929</v>
      </c>
      <c r="D431" s="154" t="s">
        <v>781</v>
      </c>
      <c r="E431" s="154"/>
      <c r="F431" s="154" t="str">
        <f t="array" ref="F431">XLOOKUP(Cover!$D$12,$R$1:$Z$1,$R431:$Z431)</f>
        <v>Information</v>
      </c>
      <c r="G431" s="154" t="s">
        <v>7930</v>
      </c>
      <c r="H431" s="154" t="s">
        <v>7844</v>
      </c>
      <c r="I431" s="154" t="s">
        <v>7931</v>
      </c>
      <c r="J431" s="154" t="s">
        <v>6872</v>
      </c>
      <c r="K431" s="154" t="s">
        <v>7835</v>
      </c>
      <c r="L431" s="154" t="s">
        <v>6140</v>
      </c>
      <c r="M431" s="154"/>
      <c r="N431" s="154" t="s">
        <v>759</v>
      </c>
      <c r="O431" s="247" t="s">
        <v>516</v>
      </c>
      <c r="P431" s="247" t="s">
        <v>7887</v>
      </c>
      <c r="Q431" s="154" t="str">
        <f t="shared" si="1"/>
        <v>#ERROR!</v>
      </c>
      <c r="R431" s="154" t="s">
        <v>66</v>
      </c>
      <c r="S431" s="154" t="s">
        <v>66</v>
      </c>
      <c r="T431" s="154" t="s">
        <v>66</v>
      </c>
      <c r="U431" s="154" t="s">
        <v>66</v>
      </c>
      <c r="V431" s="154" t="s">
        <v>66</v>
      </c>
      <c r="W431" s="154" t="s">
        <v>66</v>
      </c>
      <c r="X431" s="154" t="s">
        <v>66</v>
      </c>
      <c r="Y431" s="154" t="s">
        <v>66</v>
      </c>
      <c r="Z431" s="154" t="s">
        <v>66</v>
      </c>
      <c r="AA431" s="154"/>
      <c r="AB431" s="242" t="str">
        <f t="shared" si="2"/>
        <v>#ERROR!</v>
      </c>
      <c r="AC431" s="154" t="s">
        <v>391</v>
      </c>
      <c r="AD431" s="242" t="b">
        <f t="shared" si="3"/>
        <v>0</v>
      </c>
      <c r="AE431" s="154"/>
      <c r="AF431" s="242" t="str">
        <f t="shared" si="4"/>
        <v>#ERROR!</v>
      </c>
      <c r="AG431" s="154" t="s">
        <v>652</v>
      </c>
      <c r="AH431" s="242" t="str">
        <f>IF(AG431="","N/A",INDIRECT("MTR!"&amp;ADDRESS(MATCH(LEFT(AG431,9),[1]MTR!C:C,0),COLUMN(J431)),TRUE) &amp; "")</f>
        <v>#ERROR!</v>
      </c>
      <c r="AI431" s="157" t="str">
        <f t="shared" si="5"/>
        <v>#ERROR!</v>
      </c>
    </row>
    <row r="432" ht="12.75" customHeight="1">
      <c r="A432" s="244" t="s">
        <v>5158</v>
      </c>
      <c r="B432" s="244" t="s">
        <v>231</v>
      </c>
      <c r="C432" s="244" t="s">
        <v>7932</v>
      </c>
      <c r="D432" s="154" t="s">
        <v>781</v>
      </c>
      <c r="E432" s="154"/>
      <c r="F432" s="154" t="str">
        <f t="array" ref="F432">XLOOKUP(Cover!$D$12,$R$1:$Z$1,$R432:$Z432)</f>
        <v>Information</v>
      </c>
      <c r="G432" s="154" t="s">
        <v>7933</v>
      </c>
      <c r="H432" s="154" t="s">
        <v>7853</v>
      </c>
      <c r="I432" s="154" t="s">
        <v>7931</v>
      </c>
      <c r="J432" s="154" t="s">
        <v>6872</v>
      </c>
      <c r="K432" s="154" t="s">
        <v>7835</v>
      </c>
      <c r="L432" s="154" t="s">
        <v>6140</v>
      </c>
      <c r="M432" s="154"/>
      <c r="N432" s="154" t="s">
        <v>759</v>
      </c>
      <c r="O432" s="247" t="s">
        <v>445</v>
      </c>
      <c r="P432" s="247" t="s">
        <v>6772</v>
      </c>
      <c r="Q432" s="154" t="str">
        <f t="shared" si="1"/>
        <v>#ERROR!</v>
      </c>
      <c r="R432" s="154" t="s">
        <v>66</v>
      </c>
      <c r="S432" s="154" t="s">
        <v>66</v>
      </c>
      <c r="T432" s="154" t="s">
        <v>66</v>
      </c>
      <c r="U432" s="154" t="s">
        <v>66</v>
      </c>
      <c r="V432" s="154" t="s">
        <v>66</v>
      </c>
      <c r="W432" s="154" t="s">
        <v>66</v>
      </c>
      <c r="X432" s="154" t="s">
        <v>66</v>
      </c>
      <c r="Y432" s="154" t="s">
        <v>66</v>
      </c>
      <c r="Z432" s="154" t="s">
        <v>66</v>
      </c>
      <c r="AA432" s="154"/>
      <c r="AB432" s="242" t="str">
        <f t="shared" si="2"/>
        <v>#ERROR!</v>
      </c>
      <c r="AC432" s="154" t="s">
        <v>391</v>
      </c>
      <c r="AD432" s="242" t="b">
        <f t="shared" si="3"/>
        <v>0</v>
      </c>
      <c r="AE432" s="154"/>
      <c r="AF432" s="242" t="str">
        <f t="shared" si="4"/>
        <v>#ERROR!</v>
      </c>
      <c r="AG432" s="154" t="s">
        <v>652</v>
      </c>
      <c r="AH432" s="242" t="str">
        <f>IF(AG432="","N/A",INDIRECT("MTR!"&amp;ADDRESS(MATCH(LEFT(AG432,9),[1]MTR!C:C,0),COLUMN(J432)),TRUE) &amp; "")</f>
        <v>#ERROR!</v>
      </c>
      <c r="AI432" s="157" t="str">
        <f t="shared" si="5"/>
        <v>#ERROR!</v>
      </c>
    </row>
    <row r="433" ht="12.75" customHeight="1">
      <c r="A433" s="244" t="s">
        <v>5158</v>
      </c>
      <c r="B433" s="244" t="s">
        <v>231</v>
      </c>
      <c r="C433" s="244" t="s">
        <v>7934</v>
      </c>
      <c r="D433" s="154" t="s">
        <v>503</v>
      </c>
      <c r="E433" s="154"/>
      <c r="F433" s="154" t="str">
        <f t="array" ref="F433">XLOOKUP(Cover!$D$12,$R$1:$Z$1,$R433:$Z433)</f>
        <v>Information</v>
      </c>
      <c r="G433" s="154" t="s">
        <v>7935</v>
      </c>
      <c r="H433" s="154" t="s">
        <v>7853</v>
      </c>
      <c r="I433" s="154" t="s">
        <v>7936</v>
      </c>
      <c r="J433" s="154" t="s">
        <v>6872</v>
      </c>
      <c r="K433" s="154" t="s">
        <v>7835</v>
      </c>
      <c r="L433" s="154" t="s">
        <v>6463</v>
      </c>
      <c r="M433" s="154"/>
      <c r="N433" s="154" t="s">
        <v>759</v>
      </c>
      <c r="O433" s="247" t="s">
        <v>516</v>
      </c>
      <c r="P433" s="247" t="s">
        <v>6776</v>
      </c>
      <c r="Q433" s="154" t="str">
        <f t="shared" si="1"/>
        <v>#ERROR!</v>
      </c>
      <c r="R433" s="154" t="s">
        <v>66</v>
      </c>
      <c r="S433" s="154" t="s">
        <v>66</v>
      </c>
      <c r="T433" s="154" t="s">
        <v>66</v>
      </c>
      <c r="U433" s="154" t="s">
        <v>66</v>
      </c>
      <c r="V433" s="154" t="s">
        <v>66</v>
      </c>
      <c r="W433" s="154" t="s">
        <v>66</v>
      </c>
      <c r="X433" s="154" t="s">
        <v>66</v>
      </c>
      <c r="Y433" s="154" t="s">
        <v>66</v>
      </c>
      <c r="Z433" s="154" t="s">
        <v>66</v>
      </c>
      <c r="AA433" s="154"/>
      <c r="AB433" s="242" t="str">
        <f t="shared" si="2"/>
        <v>#ERROR!</v>
      </c>
      <c r="AC433" s="154" t="s">
        <v>391</v>
      </c>
      <c r="AD433" s="242" t="b">
        <f t="shared" si="3"/>
        <v>0</v>
      </c>
      <c r="AE433" s="154"/>
      <c r="AF433" s="242" t="str">
        <f t="shared" si="4"/>
        <v>#ERROR!</v>
      </c>
      <c r="AG433" s="154" t="s">
        <v>652</v>
      </c>
      <c r="AH433" s="242" t="str">
        <f>IF(AG433="","N/A",INDIRECT("MTR!"&amp;ADDRESS(MATCH(LEFT(AG433,9),[1]MTR!C:C,0),COLUMN(J433)),TRUE) &amp; "")</f>
        <v>#ERROR!</v>
      </c>
      <c r="AI433" s="157" t="str">
        <f t="shared" si="5"/>
        <v>#ERROR!</v>
      </c>
    </row>
    <row r="434" ht="12.75" customHeight="1">
      <c r="A434" s="244" t="s">
        <v>5158</v>
      </c>
      <c r="B434" s="244" t="s">
        <v>231</v>
      </c>
      <c r="C434" s="244" t="s">
        <v>7937</v>
      </c>
      <c r="D434" s="154" t="s">
        <v>503</v>
      </c>
      <c r="E434" s="154"/>
      <c r="F434" s="154" t="str">
        <f t="array" ref="F434">XLOOKUP(Cover!$D$12,$R$1:$Z$1,$R434:$Z434)</f>
        <v>Recommended</v>
      </c>
      <c r="G434" s="154" t="s">
        <v>7938</v>
      </c>
      <c r="H434" s="154" t="s">
        <v>7850</v>
      </c>
      <c r="I434" s="154" t="s">
        <v>7939</v>
      </c>
      <c r="J434" s="154" t="s">
        <v>6900</v>
      </c>
      <c r="K434" s="154" t="s">
        <v>7835</v>
      </c>
      <c r="L434" s="154" t="s">
        <v>6463</v>
      </c>
      <c r="M434" s="154"/>
      <c r="N434" s="154" t="s">
        <v>759</v>
      </c>
      <c r="O434" s="247" t="s">
        <v>506</v>
      </c>
      <c r="P434" s="247" t="s">
        <v>6722</v>
      </c>
      <c r="Q434" s="154" t="str">
        <f t="shared" si="1"/>
        <v>#ERROR!</v>
      </c>
      <c r="R434" s="154" t="s">
        <v>66</v>
      </c>
      <c r="S434" s="154" t="s">
        <v>66</v>
      </c>
      <c r="T434" s="154" t="s">
        <v>66</v>
      </c>
      <c r="U434" s="154" t="s">
        <v>66</v>
      </c>
      <c r="V434" s="154" t="s">
        <v>66</v>
      </c>
      <c r="W434" s="154" t="s">
        <v>64</v>
      </c>
      <c r="X434" s="154" t="s">
        <v>66</v>
      </c>
      <c r="Y434" s="154" t="s">
        <v>66</v>
      </c>
      <c r="Z434" s="154" t="s">
        <v>64</v>
      </c>
      <c r="AA434" s="154"/>
      <c r="AB434" s="242" t="str">
        <f t="shared" si="2"/>
        <v>#ERROR!</v>
      </c>
      <c r="AC434" s="154" t="s">
        <v>391</v>
      </c>
      <c r="AD434" s="242" t="b">
        <f t="shared" si="3"/>
        <v>0</v>
      </c>
      <c r="AE434" s="154"/>
      <c r="AF434" s="242" t="str">
        <f t="shared" si="4"/>
        <v>#ERROR!</v>
      </c>
      <c r="AG434" s="154" t="s">
        <v>652</v>
      </c>
      <c r="AH434" s="242" t="str">
        <f>IF(AG434="","N/A",INDIRECT("MTR!"&amp;ADDRESS(MATCH(LEFT(AG434,9),[1]MTR!C:C,0),COLUMN(J434)),TRUE) &amp; "")</f>
        <v>#ERROR!</v>
      </c>
      <c r="AI434" s="157" t="str">
        <f t="shared" si="5"/>
        <v>#ERROR!</v>
      </c>
    </row>
    <row r="435" ht="12.75" customHeight="1">
      <c r="A435" s="238" t="s">
        <v>5158</v>
      </c>
      <c r="B435" s="238" t="s">
        <v>231</v>
      </c>
      <c r="C435" s="238" t="s">
        <v>7940</v>
      </c>
      <c r="D435" s="240"/>
      <c r="E435" s="240" t="s">
        <v>92</v>
      </c>
      <c r="F435" s="240" t="str">
        <f t="array" ref="F435">XLOOKUP(Cover!$D$12,$R$1:$Z$1,$R435:$Z435)</f>
        <v>Heading</v>
      </c>
      <c r="G435" s="239" t="s">
        <v>7941</v>
      </c>
      <c r="H435" s="240"/>
      <c r="I435" s="240"/>
      <c r="J435" s="240"/>
      <c r="K435" s="240"/>
      <c r="L435" s="240"/>
      <c r="M435" s="240"/>
      <c r="N435" s="240" t="s">
        <v>759</v>
      </c>
      <c r="O435" s="240"/>
      <c r="P435" s="240"/>
      <c r="Q435" s="240" t="str">
        <f t="shared" si="1"/>
        <v/>
      </c>
      <c r="R435" s="240" t="s">
        <v>390</v>
      </c>
      <c r="S435" s="240" t="s">
        <v>390</v>
      </c>
      <c r="T435" s="240" t="s">
        <v>390</v>
      </c>
      <c r="U435" s="240" t="s">
        <v>390</v>
      </c>
      <c r="V435" s="240" t="s">
        <v>390</v>
      </c>
      <c r="W435" s="240" t="s">
        <v>390</v>
      </c>
      <c r="X435" s="240" t="s">
        <v>390</v>
      </c>
      <c r="Y435" s="240" t="s">
        <v>390</v>
      </c>
      <c r="Z435" s="240" t="s">
        <v>390</v>
      </c>
      <c r="AA435" s="240"/>
      <c r="AB435" s="242" t="str">
        <f t="shared" si="2"/>
        <v>#ERROR!</v>
      </c>
      <c r="AC435" s="240" t="s">
        <v>391</v>
      </c>
      <c r="AD435" s="242" t="b">
        <f t="shared" si="3"/>
        <v>0</v>
      </c>
      <c r="AE435" s="240"/>
      <c r="AF435" s="242" t="str">
        <f t="shared" si="4"/>
        <v>#ERROR!</v>
      </c>
      <c r="AG435" s="240"/>
      <c r="AH435" s="242" t="str">
        <f>IF(AG435="","N/A",INDIRECT("MTR!"&amp;ADDRESS(MATCH(LEFT(AG435,9),[1]MTR!C:C,0),COLUMN(J435)),TRUE) &amp; "")</f>
        <v>#ERROR!</v>
      </c>
      <c r="AI435" s="157" t="str">
        <f t="shared" si="5"/>
        <v/>
      </c>
    </row>
    <row r="436" ht="12.75" customHeight="1">
      <c r="A436" s="244" t="s">
        <v>5158</v>
      </c>
      <c r="B436" s="244" t="s">
        <v>231</v>
      </c>
      <c r="C436" s="244" t="s">
        <v>7942</v>
      </c>
      <c r="D436" s="154" t="s">
        <v>781</v>
      </c>
      <c r="E436" s="154"/>
      <c r="F436" s="154" t="str">
        <f t="array" ref="F436">XLOOKUP(Cover!$D$12,$R$1:$Z$1,$R436:$Z436)</f>
        <v>Information</v>
      </c>
      <c r="G436" s="154" t="s">
        <v>7943</v>
      </c>
      <c r="H436" s="154" t="s">
        <v>7834</v>
      </c>
      <c r="I436" s="154" t="s">
        <v>7944</v>
      </c>
      <c r="J436" s="154" t="s">
        <v>7945</v>
      </c>
      <c r="K436" s="154" t="s">
        <v>7835</v>
      </c>
      <c r="L436" s="154" t="s">
        <v>6140</v>
      </c>
      <c r="M436" s="154"/>
      <c r="N436" s="154" t="s">
        <v>759</v>
      </c>
      <c r="O436" s="247" t="s">
        <v>516</v>
      </c>
      <c r="P436" s="247" t="s">
        <v>6776</v>
      </c>
      <c r="Q436" s="154" t="str">
        <f t="shared" si="1"/>
        <v>#ERROR!</v>
      </c>
      <c r="R436" s="154" t="s">
        <v>66</v>
      </c>
      <c r="S436" s="154" t="s">
        <v>66</v>
      </c>
      <c r="T436" s="154" t="s">
        <v>66</v>
      </c>
      <c r="U436" s="154" t="s">
        <v>66</v>
      </c>
      <c r="V436" s="154" t="s">
        <v>66</v>
      </c>
      <c r="W436" s="154" t="s">
        <v>66</v>
      </c>
      <c r="X436" s="154" t="s">
        <v>66</v>
      </c>
      <c r="Y436" s="154" t="s">
        <v>66</v>
      </c>
      <c r="Z436" s="154" t="s">
        <v>66</v>
      </c>
      <c r="AA436" s="154"/>
      <c r="AB436" s="242" t="str">
        <f t="shared" si="2"/>
        <v>#ERROR!</v>
      </c>
      <c r="AC436" s="154" t="s">
        <v>391</v>
      </c>
      <c r="AD436" s="242" t="b">
        <f t="shared" si="3"/>
        <v>0</v>
      </c>
      <c r="AE436" s="154"/>
      <c r="AF436" s="242" t="str">
        <f t="shared" si="4"/>
        <v>#ERROR!</v>
      </c>
      <c r="AG436" s="154" t="s">
        <v>652</v>
      </c>
      <c r="AH436" s="242" t="str">
        <f>IF(AG436="","N/A",INDIRECT("MTR!"&amp;ADDRESS(MATCH(LEFT(AG436,9),[1]MTR!C:C,0),COLUMN(J436)),TRUE) &amp; "")</f>
        <v>#ERROR!</v>
      </c>
      <c r="AI436" s="157" t="str">
        <f t="shared" si="5"/>
        <v>#ERROR!</v>
      </c>
    </row>
    <row r="437" ht="12.75" customHeight="1">
      <c r="A437" s="244" t="s">
        <v>5158</v>
      </c>
      <c r="B437" s="244" t="s">
        <v>231</v>
      </c>
      <c r="C437" s="244" t="s">
        <v>7946</v>
      </c>
      <c r="D437" s="154" t="s">
        <v>781</v>
      </c>
      <c r="E437" s="154"/>
      <c r="F437" s="154" t="str">
        <f t="array" ref="F437">XLOOKUP(Cover!$D$12,$R$1:$Z$1,$R437:$Z437)</f>
        <v>Information</v>
      </c>
      <c r="G437" s="154" t="s">
        <v>7947</v>
      </c>
      <c r="H437" s="154" t="s">
        <v>7838</v>
      </c>
      <c r="I437" s="154" t="s">
        <v>7944</v>
      </c>
      <c r="J437" s="154" t="s">
        <v>7945</v>
      </c>
      <c r="K437" s="154" t="s">
        <v>7835</v>
      </c>
      <c r="L437" s="154" t="s">
        <v>6140</v>
      </c>
      <c r="M437" s="154"/>
      <c r="N437" s="154" t="s">
        <v>759</v>
      </c>
      <c r="O437" s="247" t="s">
        <v>516</v>
      </c>
      <c r="P437" s="247" t="s">
        <v>6776</v>
      </c>
      <c r="Q437" s="154" t="str">
        <f t="shared" si="1"/>
        <v>#ERROR!</v>
      </c>
      <c r="R437" s="154" t="s">
        <v>66</v>
      </c>
      <c r="S437" s="154" t="s">
        <v>66</v>
      </c>
      <c r="T437" s="154" t="s">
        <v>66</v>
      </c>
      <c r="U437" s="154" t="s">
        <v>66</v>
      </c>
      <c r="V437" s="154" t="s">
        <v>66</v>
      </c>
      <c r="W437" s="154" t="s">
        <v>66</v>
      </c>
      <c r="X437" s="154" t="s">
        <v>66</v>
      </c>
      <c r="Y437" s="154" t="s">
        <v>66</v>
      </c>
      <c r="Z437" s="154" t="s">
        <v>66</v>
      </c>
      <c r="AA437" s="154"/>
      <c r="AB437" s="242" t="str">
        <f t="shared" si="2"/>
        <v>#ERROR!</v>
      </c>
      <c r="AC437" s="154" t="s">
        <v>391</v>
      </c>
      <c r="AD437" s="242" t="b">
        <f t="shared" si="3"/>
        <v>0</v>
      </c>
      <c r="AE437" s="154"/>
      <c r="AF437" s="242" t="str">
        <f t="shared" si="4"/>
        <v>#ERROR!</v>
      </c>
      <c r="AG437" s="154" t="s">
        <v>652</v>
      </c>
      <c r="AH437" s="242" t="str">
        <f>IF(AG437="","N/A",INDIRECT("MTR!"&amp;ADDRESS(MATCH(LEFT(AG437,9),[1]MTR!C:C,0),COLUMN(J437)),TRUE) &amp; "")</f>
        <v>#ERROR!</v>
      </c>
      <c r="AI437" s="157" t="str">
        <f t="shared" si="5"/>
        <v>#ERROR!</v>
      </c>
    </row>
    <row r="438" ht="12.75" customHeight="1">
      <c r="A438" s="244" t="s">
        <v>5158</v>
      </c>
      <c r="B438" s="244" t="s">
        <v>231</v>
      </c>
      <c r="C438" s="244" t="s">
        <v>7948</v>
      </c>
      <c r="D438" s="154" t="s">
        <v>781</v>
      </c>
      <c r="E438" s="154"/>
      <c r="F438" s="154" t="str">
        <f t="array" ref="F438">XLOOKUP(Cover!$D$12,$R$1:$Z$1,$R438:$Z438)</f>
        <v>Information</v>
      </c>
      <c r="G438" s="154" t="s">
        <v>7949</v>
      </c>
      <c r="H438" s="154" t="s">
        <v>7834</v>
      </c>
      <c r="I438" s="154" t="s">
        <v>7950</v>
      </c>
      <c r="J438" s="154" t="s">
        <v>7951</v>
      </c>
      <c r="K438" s="154" t="s">
        <v>7835</v>
      </c>
      <c r="L438" s="154" t="s">
        <v>6140</v>
      </c>
      <c r="M438" s="154"/>
      <c r="N438" s="154" t="s">
        <v>759</v>
      </c>
      <c r="O438" s="247" t="s">
        <v>516</v>
      </c>
      <c r="P438" s="247" t="s">
        <v>6776</v>
      </c>
      <c r="Q438" s="154" t="str">
        <f t="shared" si="1"/>
        <v>#ERROR!</v>
      </c>
      <c r="R438" s="154" t="s">
        <v>66</v>
      </c>
      <c r="S438" s="154" t="s">
        <v>66</v>
      </c>
      <c r="T438" s="154" t="s">
        <v>66</v>
      </c>
      <c r="U438" s="154" t="s">
        <v>66</v>
      </c>
      <c r="V438" s="154" t="s">
        <v>66</v>
      </c>
      <c r="W438" s="154" t="s">
        <v>66</v>
      </c>
      <c r="X438" s="154" t="s">
        <v>66</v>
      </c>
      <c r="Y438" s="154" t="s">
        <v>66</v>
      </c>
      <c r="Z438" s="154" t="s">
        <v>66</v>
      </c>
      <c r="AA438" s="154"/>
      <c r="AB438" s="242" t="str">
        <f t="shared" si="2"/>
        <v>#ERROR!</v>
      </c>
      <c r="AC438" s="154" t="s">
        <v>391</v>
      </c>
      <c r="AD438" s="242" t="b">
        <f t="shared" si="3"/>
        <v>0</v>
      </c>
      <c r="AE438" s="154"/>
      <c r="AF438" s="242" t="str">
        <f t="shared" si="4"/>
        <v>#ERROR!</v>
      </c>
      <c r="AG438" s="154" t="s">
        <v>652</v>
      </c>
      <c r="AH438" s="242" t="str">
        <f>IF(AG438="","N/A",INDIRECT("MTR!"&amp;ADDRESS(MATCH(LEFT(AG438,9),[1]MTR!C:C,0),COLUMN(J438)),TRUE) &amp; "")</f>
        <v>#ERROR!</v>
      </c>
      <c r="AI438" s="157" t="str">
        <f t="shared" si="5"/>
        <v>#ERROR!</v>
      </c>
    </row>
    <row r="439" ht="12.75" customHeight="1">
      <c r="A439" s="244" t="s">
        <v>5158</v>
      </c>
      <c r="B439" s="244" t="s">
        <v>231</v>
      </c>
      <c r="C439" s="244" t="s">
        <v>7952</v>
      </c>
      <c r="D439" s="154" t="s">
        <v>781</v>
      </c>
      <c r="E439" s="154"/>
      <c r="F439" s="154" t="str">
        <f t="array" ref="F439">XLOOKUP(Cover!$D$12,$R$1:$Z$1,$R439:$Z439)</f>
        <v>Information</v>
      </c>
      <c r="G439" s="154" t="s">
        <v>7953</v>
      </c>
      <c r="H439" s="154" t="s">
        <v>7844</v>
      </c>
      <c r="I439" s="154" t="s">
        <v>7950</v>
      </c>
      <c r="J439" s="154" t="s">
        <v>7951</v>
      </c>
      <c r="K439" s="154" t="s">
        <v>7835</v>
      </c>
      <c r="L439" s="154" t="s">
        <v>6140</v>
      </c>
      <c r="M439" s="154"/>
      <c r="N439" s="154" t="s">
        <v>759</v>
      </c>
      <c r="O439" s="247" t="s">
        <v>516</v>
      </c>
      <c r="P439" s="247" t="s">
        <v>6776</v>
      </c>
      <c r="Q439" s="154" t="str">
        <f t="shared" si="1"/>
        <v>#ERROR!</v>
      </c>
      <c r="R439" s="154" t="s">
        <v>66</v>
      </c>
      <c r="S439" s="154" t="s">
        <v>66</v>
      </c>
      <c r="T439" s="154" t="s">
        <v>66</v>
      </c>
      <c r="U439" s="154" t="s">
        <v>66</v>
      </c>
      <c r="V439" s="154" t="s">
        <v>66</v>
      </c>
      <c r="W439" s="154" t="s">
        <v>66</v>
      </c>
      <c r="X439" s="154" t="s">
        <v>66</v>
      </c>
      <c r="Y439" s="154" t="s">
        <v>66</v>
      </c>
      <c r="Z439" s="154" t="s">
        <v>66</v>
      </c>
      <c r="AA439" s="154"/>
      <c r="AB439" s="242" t="str">
        <f t="shared" si="2"/>
        <v>#ERROR!</v>
      </c>
      <c r="AC439" s="154" t="s">
        <v>391</v>
      </c>
      <c r="AD439" s="242" t="b">
        <f t="shared" si="3"/>
        <v>0</v>
      </c>
      <c r="AE439" s="154"/>
      <c r="AF439" s="242" t="str">
        <f t="shared" si="4"/>
        <v>#ERROR!</v>
      </c>
      <c r="AG439" s="154" t="s">
        <v>652</v>
      </c>
      <c r="AH439" s="242" t="str">
        <f>IF(AG439="","N/A",INDIRECT("MTR!"&amp;ADDRESS(MATCH(LEFT(AG439,9),[1]MTR!C:C,0),COLUMN(J439)),TRUE) &amp; "")</f>
        <v>#ERROR!</v>
      </c>
      <c r="AI439" s="157" t="str">
        <f t="shared" si="5"/>
        <v>#ERROR!</v>
      </c>
    </row>
    <row r="440" ht="12.75" customHeight="1">
      <c r="A440" s="244" t="s">
        <v>5158</v>
      </c>
      <c r="B440" s="244" t="s">
        <v>231</v>
      </c>
      <c r="C440" s="244" t="s">
        <v>7954</v>
      </c>
      <c r="D440" s="154" t="s">
        <v>781</v>
      </c>
      <c r="E440" s="154"/>
      <c r="F440" s="154" t="str">
        <f t="array" ref="F440">XLOOKUP(Cover!$D$12,$R$1:$Z$1,$R440:$Z440)</f>
        <v>Information</v>
      </c>
      <c r="G440" s="154" t="s">
        <v>7955</v>
      </c>
      <c r="H440" s="154" t="s">
        <v>7834</v>
      </c>
      <c r="I440" s="154" t="s">
        <v>7956</v>
      </c>
      <c r="J440" s="154" t="s">
        <v>7957</v>
      </c>
      <c r="K440" s="154" t="s">
        <v>7835</v>
      </c>
      <c r="L440" s="154" t="s">
        <v>6140</v>
      </c>
      <c r="M440" s="154"/>
      <c r="N440" s="154" t="s">
        <v>759</v>
      </c>
      <c r="O440" s="247" t="s">
        <v>516</v>
      </c>
      <c r="P440" s="247" t="s">
        <v>7887</v>
      </c>
      <c r="Q440" s="154" t="str">
        <f t="shared" si="1"/>
        <v>#ERROR!</v>
      </c>
      <c r="R440" s="154" t="s">
        <v>66</v>
      </c>
      <c r="S440" s="154" t="s">
        <v>66</v>
      </c>
      <c r="T440" s="154" t="s">
        <v>66</v>
      </c>
      <c r="U440" s="154" t="s">
        <v>66</v>
      </c>
      <c r="V440" s="154" t="s">
        <v>66</v>
      </c>
      <c r="W440" s="154" t="s">
        <v>66</v>
      </c>
      <c r="X440" s="154" t="s">
        <v>66</v>
      </c>
      <c r="Y440" s="154" t="s">
        <v>66</v>
      </c>
      <c r="Z440" s="154" t="s">
        <v>66</v>
      </c>
      <c r="AA440" s="154"/>
      <c r="AB440" s="242" t="str">
        <f t="shared" si="2"/>
        <v>#ERROR!</v>
      </c>
      <c r="AC440" s="154" t="s">
        <v>391</v>
      </c>
      <c r="AD440" s="242" t="b">
        <f t="shared" si="3"/>
        <v>0</v>
      </c>
      <c r="AE440" s="154"/>
      <c r="AF440" s="242" t="str">
        <f t="shared" si="4"/>
        <v>#ERROR!</v>
      </c>
      <c r="AG440" s="154" t="s">
        <v>652</v>
      </c>
      <c r="AH440" s="242" t="str">
        <f>IF(AG440="","N/A",INDIRECT("MTR!"&amp;ADDRESS(MATCH(LEFT(AG440,9),[1]MTR!C:C,0),COLUMN(J440)),TRUE) &amp; "")</f>
        <v>#ERROR!</v>
      </c>
      <c r="AI440" s="157" t="str">
        <f t="shared" si="5"/>
        <v>#ERROR!</v>
      </c>
    </row>
    <row r="441" ht="12.75" customHeight="1">
      <c r="A441" s="244" t="s">
        <v>5158</v>
      </c>
      <c r="B441" s="244" t="s">
        <v>231</v>
      </c>
      <c r="C441" s="244" t="s">
        <v>7958</v>
      </c>
      <c r="D441" s="154" t="s">
        <v>781</v>
      </c>
      <c r="E441" s="154"/>
      <c r="F441" s="154" t="str">
        <f t="array" ref="F441">XLOOKUP(Cover!$D$12,$R$1:$Z$1,$R441:$Z441)</f>
        <v>Information</v>
      </c>
      <c r="G441" s="154" t="s">
        <v>7959</v>
      </c>
      <c r="H441" s="154" t="s">
        <v>7853</v>
      </c>
      <c r="I441" s="154" t="s">
        <v>7956</v>
      </c>
      <c r="J441" s="154" t="s">
        <v>7957</v>
      </c>
      <c r="K441" s="154" t="s">
        <v>7835</v>
      </c>
      <c r="L441" s="154" t="s">
        <v>6140</v>
      </c>
      <c r="M441" s="154"/>
      <c r="N441" s="154" t="s">
        <v>759</v>
      </c>
      <c r="O441" s="247" t="s">
        <v>445</v>
      </c>
      <c r="P441" s="247" t="s">
        <v>89</v>
      </c>
      <c r="Q441" s="154" t="str">
        <f t="shared" si="1"/>
        <v>#ERROR!</v>
      </c>
      <c r="R441" s="154" t="s">
        <v>66</v>
      </c>
      <c r="S441" s="154" t="s">
        <v>66</v>
      </c>
      <c r="T441" s="154" t="s">
        <v>66</v>
      </c>
      <c r="U441" s="154" t="s">
        <v>66</v>
      </c>
      <c r="V441" s="154" t="s">
        <v>66</v>
      </c>
      <c r="W441" s="154" t="s">
        <v>66</v>
      </c>
      <c r="X441" s="154" t="s">
        <v>66</v>
      </c>
      <c r="Y441" s="154" t="s">
        <v>66</v>
      </c>
      <c r="Z441" s="154" t="s">
        <v>66</v>
      </c>
      <c r="AA441" s="154"/>
      <c r="AB441" s="242" t="str">
        <f t="shared" si="2"/>
        <v>#ERROR!</v>
      </c>
      <c r="AC441" s="154" t="s">
        <v>391</v>
      </c>
      <c r="AD441" s="242" t="b">
        <f t="shared" si="3"/>
        <v>0</v>
      </c>
      <c r="AE441" s="154"/>
      <c r="AF441" s="242" t="str">
        <f t="shared" si="4"/>
        <v>#ERROR!</v>
      </c>
      <c r="AG441" s="154" t="s">
        <v>652</v>
      </c>
      <c r="AH441" s="242" t="str">
        <f>IF(AG441="","N/A",INDIRECT("MTR!"&amp;ADDRESS(MATCH(LEFT(AG441,9),[1]MTR!C:C,0),COLUMN(J441)),TRUE) &amp; "")</f>
        <v>#ERROR!</v>
      </c>
      <c r="AI441" s="157" t="str">
        <f t="shared" si="5"/>
        <v>#ERROR!</v>
      </c>
    </row>
    <row r="442" ht="12.75" customHeight="1">
      <c r="A442" s="244" t="s">
        <v>5158</v>
      </c>
      <c r="B442" s="244" t="s">
        <v>231</v>
      </c>
      <c r="C442" s="244" t="s">
        <v>7960</v>
      </c>
      <c r="D442" s="154" t="s">
        <v>747</v>
      </c>
      <c r="E442" s="154"/>
      <c r="F442" s="154" t="str">
        <f t="array" ref="F442">XLOOKUP(Cover!$D$12,$R$1:$Z$1,$R442:$Z442)</f>
        <v>Mandatory</v>
      </c>
      <c r="G442" s="154" t="s">
        <v>7961</v>
      </c>
      <c r="H442" s="154" t="s">
        <v>7834</v>
      </c>
      <c r="I442" s="154" t="s">
        <v>7962</v>
      </c>
      <c r="J442" s="154" t="s">
        <v>7963</v>
      </c>
      <c r="K442" s="154" t="s">
        <v>7835</v>
      </c>
      <c r="L442" s="154" t="s">
        <v>6525</v>
      </c>
      <c r="M442" s="154" t="s">
        <v>1018</v>
      </c>
      <c r="N442" s="154" t="s">
        <v>759</v>
      </c>
      <c r="O442" s="247" t="s">
        <v>516</v>
      </c>
      <c r="P442" s="247" t="s">
        <v>6776</v>
      </c>
      <c r="Q442" s="154" t="str">
        <f t="shared" si="1"/>
        <v>#ERROR!</v>
      </c>
      <c r="R442" s="154" t="s">
        <v>66</v>
      </c>
      <c r="S442" s="154" t="s">
        <v>66</v>
      </c>
      <c r="T442" s="154" t="s">
        <v>66</v>
      </c>
      <c r="U442" s="154" t="s">
        <v>66</v>
      </c>
      <c r="V442" s="154" t="s">
        <v>66</v>
      </c>
      <c r="W442" s="154" t="s">
        <v>60</v>
      </c>
      <c r="X442" s="154" t="s">
        <v>66</v>
      </c>
      <c r="Y442" s="154" t="s">
        <v>66</v>
      </c>
      <c r="Z442" s="154" t="s">
        <v>60</v>
      </c>
      <c r="AA442" s="154"/>
      <c r="AB442" s="242" t="str">
        <f t="shared" si="2"/>
        <v>#ERROR!</v>
      </c>
      <c r="AC442" s="154" t="s">
        <v>391</v>
      </c>
      <c r="AD442" s="242" t="b">
        <f t="shared" si="3"/>
        <v>0</v>
      </c>
      <c r="AE442" s="154"/>
      <c r="AF442" s="242" t="str">
        <f t="shared" si="4"/>
        <v>#ERROR!</v>
      </c>
      <c r="AG442" s="154" t="s">
        <v>652</v>
      </c>
      <c r="AH442" s="242" t="str">
        <f>IF(AG442="","N/A",INDIRECT("MTR!"&amp;ADDRESS(MATCH(LEFT(AG442,9),[1]MTR!C:C,0),COLUMN(J442)),TRUE) &amp; "")</f>
        <v>#ERROR!</v>
      </c>
      <c r="AI442" s="157" t="str">
        <f t="shared" si="5"/>
        <v>#ERROR!</v>
      </c>
    </row>
    <row r="443" ht="12.75" customHeight="1">
      <c r="A443" s="244" t="s">
        <v>5158</v>
      </c>
      <c r="B443" s="244" t="s">
        <v>231</v>
      </c>
      <c r="C443" s="244" t="s">
        <v>7964</v>
      </c>
      <c r="D443" s="154" t="s">
        <v>747</v>
      </c>
      <c r="E443" s="154"/>
      <c r="F443" s="154" t="str">
        <f t="array" ref="F443">XLOOKUP(Cover!$D$12,$R$1:$Z$1,$R443:$Z443)</f>
        <v>Mandatory</v>
      </c>
      <c r="G443" s="154" t="s">
        <v>7965</v>
      </c>
      <c r="H443" s="154" t="s">
        <v>7838</v>
      </c>
      <c r="I443" s="154" t="s">
        <v>7962</v>
      </c>
      <c r="J443" s="154" t="s">
        <v>7963</v>
      </c>
      <c r="K443" s="154" t="s">
        <v>7835</v>
      </c>
      <c r="L443" s="154" t="s">
        <v>6525</v>
      </c>
      <c r="M443" s="154" t="s">
        <v>1018</v>
      </c>
      <c r="N443" s="154" t="s">
        <v>759</v>
      </c>
      <c r="O443" s="247" t="s">
        <v>516</v>
      </c>
      <c r="P443" s="247" t="s">
        <v>6776</v>
      </c>
      <c r="Q443" s="154" t="str">
        <f t="shared" si="1"/>
        <v>#ERROR!</v>
      </c>
      <c r="R443" s="154" t="s">
        <v>66</v>
      </c>
      <c r="S443" s="154" t="s">
        <v>66</v>
      </c>
      <c r="T443" s="154" t="s">
        <v>66</v>
      </c>
      <c r="U443" s="154" t="s">
        <v>66</v>
      </c>
      <c r="V443" s="154" t="s">
        <v>66</v>
      </c>
      <c r="W443" s="154" t="s">
        <v>60</v>
      </c>
      <c r="X443" s="154" t="s">
        <v>66</v>
      </c>
      <c r="Y443" s="154" t="s">
        <v>66</v>
      </c>
      <c r="Z443" s="154" t="s">
        <v>60</v>
      </c>
      <c r="AA443" s="154"/>
      <c r="AB443" s="242" t="str">
        <f t="shared" si="2"/>
        <v>#ERROR!</v>
      </c>
      <c r="AC443" s="154" t="s">
        <v>391</v>
      </c>
      <c r="AD443" s="242" t="b">
        <f t="shared" si="3"/>
        <v>0</v>
      </c>
      <c r="AE443" s="154"/>
      <c r="AF443" s="242" t="str">
        <f t="shared" si="4"/>
        <v>#ERROR!</v>
      </c>
      <c r="AG443" s="154" t="s">
        <v>652</v>
      </c>
      <c r="AH443" s="242" t="str">
        <f>IF(AG443="","N/A",INDIRECT("MTR!"&amp;ADDRESS(MATCH(LEFT(AG443,9),[1]MTR!C:C,0),COLUMN(J443)),TRUE) &amp; "")</f>
        <v>#ERROR!</v>
      </c>
      <c r="AI443" s="157" t="str">
        <f t="shared" si="5"/>
        <v>#ERROR!</v>
      </c>
    </row>
    <row r="444" ht="12.75" customHeight="1">
      <c r="A444" s="244" t="s">
        <v>5158</v>
      </c>
      <c r="B444" s="244" t="s">
        <v>231</v>
      </c>
      <c r="C444" s="244" t="s">
        <v>7966</v>
      </c>
      <c r="D444" s="154" t="s">
        <v>747</v>
      </c>
      <c r="E444" s="154"/>
      <c r="F444" s="154" t="str">
        <f t="array" ref="F444">XLOOKUP(Cover!$D$12,$R$1:$Z$1,$R444:$Z444)</f>
        <v>Mandatory</v>
      </c>
      <c r="G444" s="154" t="s">
        <v>7967</v>
      </c>
      <c r="H444" s="154" t="s">
        <v>7892</v>
      </c>
      <c r="I444" s="154" t="s">
        <v>7962</v>
      </c>
      <c r="J444" s="154" t="s">
        <v>7963</v>
      </c>
      <c r="K444" s="154" t="s">
        <v>7835</v>
      </c>
      <c r="L444" s="154" t="s">
        <v>6525</v>
      </c>
      <c r="M444" s="154" t="s">
        <v>1018</v>
      </c>
      <c r="N444" s="154" t="s">
        <v>759</v>
      </c>
      <c r="O444" s="247" t="s">
        <v>516</v>
      </c>
      <c r="P444" s="247" t="s">
        <v>6776</v>
      </c>
      <c r="Q444" s="154" t="str">
        <f t="shared" si="1"/>
        <v>#ERROR!</v>
      </c>
      <c r="R444" s="154" t="s">
        <v>66</v>
      </c>
      <c r="S444" s="154" t="s">
        <v>66</v>
      </c>
      <c r="T444" s="154" t="s">
        <v>66</v>
      </c>
      <c r="U444" s="154" t="s">
        <v>66</v>
      </c>
      <c r="V444" s="154" t="s">
        <v>66</v>
      </c>
      <c r="W444" s="154" t="s">
        <v>60</v>
      </c>
      <c r="X444" s="154" t="s">
        <v>66</v>
      </c>
      <c r="Y444" s="154" t="s">
        <v>66</v>
      </c>
      <c r="Z444" s="154" t="s">
        <v>60</v>
      </c>
      <c r="AA444" s="154"/>
      <c r="AB444" s="242" t="str">
        <f t="shared" si="2"/>
        <v>#ERROR!</v>
      </c>
      <c r="AC444" s="154" t="s">
        <v>391</v>
      </c>
      <c r="AD444" s="242" t="b">
        <f t="shared" si="3"/>
        <v>0</v>
      </c>
      <c r="AE444" s="154"/>
      <c r="AF444" s="242" t="str">
        <f t="shared" si="4"/>
        <v>#ERROR!</v>
      </c>
      <c r="AG444" s="154" t="s">
        <v>652</v>
      </c>
      <c r="AH444" s="242" t="str">
        <f>IF(AG444="","N/A",INDIRECT("MTR!"&amp;ADDRESS(MATCH(LEFT(AG444,9),[1]MTR!C:C,0),COLUMN(J444)),TRUE) &amp; "")</f>
        <v>#ERROR!</v>
      </c>
      <c r="AI444" s="157" t="str">
        <f t="shared" si="5"/>
        <v>#ERROR!</v>
      </c>
    </row>
    <row r="445" ht="12.75" customHeight="1">
      <c r="A445" s="244" t="s">
        <v>5158</v>
      </c>
      <c r="B445" s="244" t="s">
        <v>231</v>
      </c>
      <c r="C445" s="244" t="s">
        <v>7968</v>
      </c>
      <c r="D445" s="154" t="s">
        <v>781</v>
      </c>
      <c r="E445" s="154"/>
      <c r="F445" s="154" t="str">
        <f t="array" ref="F445">XLOOKUP(Cover!$D$12,$R$1:$Z$1,$R445:$Z445)</f>
        <v>Information</v>
      </c>
      <c r="G445" s="154" t="s">
        <v>7969</v>
      </c>
      <c r="H445" s="154" t="s">
        <v>7834</v>
      </c>
      <c r="I445" s="154" t="s">
        <v>7970</v>
      </c>
      <c r="J445" s="154" t="s">
        <v>7971</v>
      </c>
      <c r="K445" s="154" t="s">
        <v>7835</v>
      </c>
      <c r="L445" s="154" t="s">
        <v>6140</v>
      </c>
      <c r="M445" s="154"/>
      <c r="N445" s="154" t="s">
        <v>759</v>
      </c>
      <c r="O445" s="247" t="s">
        <v>516</v>
      </c>
      <c r="P445" s="247" t="s">
        <v>6776</v>
      </c>
      <c r="Q445" s="154" t="str">
        <f t="shared" si="1"/>
        <v>#ERROR!</v>
      </c>
      <c r="R445" s="154" t="s">
        <v>66</v>
      </c>
      <c r="S445" s="154" t="s">
        <v>66</v>
      </c>
      <c r="T445" s="154" t="s">
        <v>66</v>
      </c>
      <c r="U445" s="154" t="s">
        <v>66</v>
      </c>
      <c r="V445" s="154" t="s">
        <v>66</v>
      </c>
      <c r="W445" s="154" t="s">
        <v>66</v>
      </c>
      <c r="X445" s="154" t="s">
        <v>66</v>
      </c>
      <c r="Y445" s="154" t="s">
        <v>66</v>
      </c>
      <c r="Z445" s="154" t="s">
        <v>66</v>
      </c>
      <c r="AA445" s="154"/>
      <c r="AB445" s="242" t="str">
        <f t="shared" si="2"/>
        <v>#ERROR!</v>
      </c>
      <c r="AC445" s="154" t="s">
        <v>391</v>
      </c>
      <c r="AD445" s="242" t="b">
        <f t="shared" si="3"/>
        <v>0</v>
      </c>
      <c r="AE445" s="154"/>
      <c r="AF445" s="242" t="str">
        <f t="shared" si="4"/>
        <v>#ERROR!</v>
      </c>
      <c r="AG445" s="154" t="s">
        <v>652</v>
      </c>
      <c r="AH445" s="242" t="str">
        <f>IF(AG445="","N/A",INDIRECT("MTR!"&amp;ADDRESS(MATCH(LEFT(AG445,9),[1]MTR!C:C,0),COLUMN(J445)),TRUE) &amp; "")</f>
        <v>#ERROR!</v>
      </c>
      <c r="AI445" s="157" t="str">
        <f t="shared" si="5"/>
        <v>#ERROR!</v>
      </c>
    </row>
    <row r="446" ht="12.75" customHeight="1">
      <c r="A446" s="244" t="s">
        <v>5158</v>
      </c>
      <c r="B446" s="244" t="s">
        <v>231</v>
      </c>
      <c r="C446" s="244" t="s">
        <v>7972</v>
      </c>
      <c r="D446" s="154" t="s">
        <v>781</v>
      </c>
      <c r="E446" s="154"/>
      <c r="F446" s="154" t="str">
        <f t="array" ref="F446">XLOOKUP(Cover!$D$12,$R$1:$Z$1,$R446:$Z446)</f>
        <v>Information</v>
      </c>
      <c r="G446" s="154" t="s">
        <v>7973</v>
      </c>
      <c r="H446" s="154" t="s">
        <v>7838</v>
      </c>
      <c r="I446" s="154" t="s">
        <v>7970</v>
      </c>
      <c r="J446" s="154" t="s">
        <v>7971</v>
      </c>
      <c r="K446" s="154" t="s">
        <v>7835</v>
      </c>
      <c r="L446" s="154" t="s">
        <v>6140</v>
      </c>
      <c r="M446" s="154"/>
      <c r="N446" s="154" t="s">
        <v>759</v>
      </c>
      <c r="O446" s="247" t="s">
        <v>516</v>
      </c>
      <c r="P446" s="247" t="s">
        <v>6776</v>
      </c>
      <c r="Q446" s="154" t="str">
        <f t="shared" si="1"/>
        <v>#ERROR!</v>
      </c>
      <c r="R446" s="154" t="s">
        <v>66</v>
      </c>
      <c r="S446" s="154" t="s">
        <v>66</v>
      </c>
      <c r="T446" s="154" t="s">
        <v>66</v>
      </c>
      <c r="U446" s="154" t="s">
        <v>66</v>
      </c>
      <c r="V446" s="154" t="s">
        <v>66</v>
      </c>
      <c r="W446" s="154" t="s">
        <v>66</v>
      </c>
      <c r="X446" s="154" t="s">
        <v>66</v>
      </c>
      <c r="Y446" s="154" t="s">
        <v>66</v>
      </c>
      <c r="Z446" s="154" t="s">
        <v>66</v>
      </c>
      <c r="AA446" s="154"/>
      <c r="AB446" s="242" t="str">
        <f t="shared" si="2"/>
        <v>#ERROR!</v>
      </c>
      <c r="AC446" s="154" t="s">
        <v>391</v>
      </c>
      <c r="AD446" s="242" t="b">
        <f t="shared" si="3"/>
        <v>0</v>
      </c>
      <c r="AE446" s="154"/>
      <c r="AF446" s="242" t="str">
        <f t="shared" si="4"/>
        <v>#ERROR!</v>
      </c>
      <c r="AG446" s="154" t="s">
        <v>652</v>
      </c>
      <c r="AH446" s="242" t="str">
        <f>IF(AG446="","N/A",INDIRECT("MTR!"&amp;ADDRESS(MATCH(LEFT(AG446,9),[1]MTR!C:C,0),COLUMN(J446)),TRUE) &amp; "")</f>
        <v>#ERROR!</v>
      </c>
      <c r="AI446" s="157" t="str">
        <f t="shared" si="5"/>
        <v>#ERROR!</v>
      </c>
    </row>
    <row r="447" ht="12.75" customHeight="1">
      <c r="A447" s="244" t="s">
        <v>5158</v>
      </c>
      <c r="B447" s="244" t="s">
        <v>231</v>
      </c>
      <c r="C447" s="244" t="s">
        <v>7974</v>
      </c>
      <c r="D447" s="154" t="s">
        <v>781</v>
      </c>
      <c r="E447" s="154"/>
      <c r="F447" s="154" t="str">
        <f t="array" ref="F447">XLOOKUP(Cover!$D$12,$R$1:$Z$1,$R447:$Z447)</f>
        <v>Information</v>
      </c>
      <c r="G447" s="154" t="s">
        <v>7975</v>
      </c>
      <c r="H447" s="154" t="s">
        <v>7834</v>
      </c>
      <c r="I447" s="154" t="s">
        <v>7976</v>
      </c>
      <c r="J447" s="154" t="s">
        <v>6911</v>
      </c>
      <c r="K447" s="154" t="s">
        <v>7835</v>
      </c>
      <c r="L447" s="154" t="s">
        <v>6140</v>
      </c>
      <c r="M447" s="154"/>
      <c r="N447" s="154" t="s">
        <v>759</v>
      </c>
      <c r="O447" s="247" t="s">
        <v>516</v>
      </c>
      <c r="P447" s="247" t="s">
        <v>6776</v>
      </c>
      <c r="Q447" s="154" t="str">
        <f t="shared" si="1"/>
        <v>#ERROR!</v>
      </c>
      <c r="R447" s="154" t="s">
        <v>66</v>
      </c>
      <c r="S447" s="154" t="s">
        <v>66</v>
      </c>
      <c r="T447" s="154" t="s">
        <v>66</v>
      </c>
      <c r="U447" s="154" t="s">
        <v>66</v>
      </c>
      <c r="V447" s="154" t="s">
        <v>66</v>
      </c>
      <c r="W447" s="154" t="s">
        <v>66</v>
      </c>
      <c r="X447" s="154" t="s">
        <v>66</v>
      </c>
      <c r="Y447" s="154" t="s">
        <v>66</v>
      </c>
      <c r="Z447" s="154" t="s">
        <v>66</v>
      </c>
      <c r="AA447" s="154"/>
      <c r="AB447" s="242" t="str">
        <f t="shared" si="2"/>
        <v>#ERROR!</v>
      </c>
      <c r="AC447" s="154" t="s">
        <v>391</v>
      </c>
      <c r="AD447" s="242" t="b">
        <f t="shared" si="3"/>
        <v>0</v>
      </c>
      <c r="AE447" s="154"/>
      <c r="AF447" s="242" t="str">
        <f t="shared" si="4"/>
        <v>#ERROR!</v>
      </c>
      <c r="AG447" s="154" t="s">
        <v>652</v>
      </c>
      <c r="AH447" s="242" t="str">
        <f>IF(AG447="","N/A",INDIRECT("MTR!"&amp;ADDRESS(MATCH(LEFT(AG447,9),[1]MTR!C:C,0),COLUMN(J447)),TRUE) &amp; "")</f>
        <v>#ERROR!</v>
      </c>
      <c r="AI447" s="157" t="str">
        <f t="shared" si="5"/>
        <v>#ERROR!</v>
      </c>
    </row>
    <row r="448" ht="12.75" customHeight="1">
      <c r="A448" s="244" t="s">
        <v>5158</v>
      </c>
      <c r="B448" s="244" t="s">
        <v>231</v>
      </c>
      <c r="C448" s="244" t="s">
        <v>7977</v>
      </c>
      <c r="D448" s="154" t="s">
        <v>781</v>
      </c>
      <c r="E448" s="154"/>
      <c r="F448" s="154" t="str">
        <f t="array" ref="F448">XLOOKUP(Cover!$D$12,$R$1:$Z$1,$R448:$Z448)</f>
        <v>Information</v>
      </c>
      <c r="G448" s="154" t="s">
        <v>7978</v>
      </c>
      <c r="H448" s="154" t="s">
        <v>7838</v>
      </c>
      <c r="I448" s="154" t="s">
        <v>7976</v>
      </c>
      <c r="J448" s="154" t="s">
        <v>6911</v>
      </c>
      <c r="K448" s="154" t="s">
        <v>7835</v>
      </c>
      <c r="L448" s="154" t="s">
        <v>6140</v>
      </c>
      <c r="M448" s="154"/>
      <c r="N448" s="154" t="s">
        <v>759</v>
      </c>
      <c r="O448" s="247" t="s">
        <v>516</v>
      </c>
      <c r="P448" s="247" t="s">
        <v>6776</v>
      </c>
      <c r="Q448" s="154" t="str">
        <f t="shared" si="1"/>
        <v>#ERROR!</v>
      </c>
      <c r="R448" s="154" t="s">
        <v>66</v>
      </c>
      <c r="S448" s="154" t="s">
        <v>66</v>
      </c>
      <c r="T448" s="154" t="s">
        <v>66</v>
      </c>
      <c r="U448" s="154" t="s">
        <v>66</v>
      </c>
      <c r="V448" s="154" t="s">
        <v>66</v>
      </c>
      <c r="W448" s="154" t="s">
        <v>66</v>
      </c>
      <c r="X448" s="154" t="s">
        <v>66</v>
      </c>
      <c r="Y448" s="154" t="s">
        <v>66</v>
      </c>
      <c r="Z448" s="154" t="s">
        <v>66</v>
      </c>
      <c r="AA448" s="154"/>
      <c r="AB448" s="242" t="str">
        <f t="shared" si="2"/>
        <v>#ERROR!</v>
      </c>
      <c r="AC448" s="154" t="s">
        <v>391</v>
      </c>
      <c r="AD448" s="242" t="b">
        <f t="shared" si="3"/>
        <v>0</v>
      </c>
      <c r="AE448" s="154"/>
      <c r="AF448" s="242" t="str">
        <f t="shared" si="4"/>
        <v>#ERROR!</v>
      </c>
      <c r="AG448" s="154" t="s">
        <v>652</v>
      </c>
      <c r="AH448" s="242" t="str">
        <f>IF(AG448="","N/A",INDIRECT("MTR!"&amp;ADDRESS(MATCH(LEFT(AG448,9),[1]MTR!C:C,0),COLUMN(J448)),TRUE) &amp; "")</f>
        <v>#ERROR!</v>
      </c>
      <c r="AI448" s="157" t="str">
        <f t="shared" si="5"/>
        <v>#ERROR!</v>
      </c>
    </row>
    <row r="449" ht="12.75" customHeight="1">
      <c r="A449" s="244" t="s">
        <v>5158</v>
      </c>
      <c r="B449" s="244" t="s">
        <v>231</v>
      </c>
      <c r="C449" s="244" t="s">
        <v>7979</v>
      </c>
      <c r="D449" s="154" t="s">
        <v>781</v>
      </c>
      <c r="E449" s="154"/>
      <c r="F449" s="154" t="str">
        <f t="array" ref="F449">XLOOKUP(Cover!$D$12,$R$1:$Z$1,$R449:$Z449)</f>
        <v>Information</v>
      </c>
      <c r="G449" s="154" t="s">
        <v>7980</v>
      </c>
      <c r="H449" s="154" t="s">
        <v>7844</v>
      </c>
      <c r="I449" s="154" t="s">
        <v>7976</v>
      </c>
      <c r="J449" s="154" t="s">
        <v>6911</v>
      </c>
      <c r="K449" s="154" t="s">
        <v>7835</v>
      </c>
      <c r="L449" s="154" t="s">
        <v>6140</v>
      </c>
      <c r="M449" s="154"/>
      <c r="N449" s="154" t="s">
        <v>759</v>
      </c>
      <c r="O449" s="247" t="s">
        <v>516</v>
      </c>
      <c r="P449" s="247" t="s">
        <v>6776</v>
      </c>
      <c r="Q449" s="154" t="str">
        <f t="shared" si="1"/>
        <v>#ERROR!</v>
      </c>
      <c r="R449" s="154" t="s">
        <v>66</v>
      </c>
      <c r="S449" s="154" t="s">
        <v>66</v>
      </c>
      <c r="T449" s="154" t="s">
        <v>66</v>
      </c>
      <c r="U449" s="154" t="s">
        <v>66</v>
      </c>
      <c r="V449" s="154" t="s">
        <v>66</v>
      </c>
      <c r="W449" s="154" t="s">
        <v>66</v>
      </c>
      <c r="X449" s="154" t="s">
        <v>66</v>
      </c>
      <c r="Y449" s="154" t="s">
        <v>66</v>
      </c>
      <c r="Z449" s="154" t="s">
        <v>66</v>
      </c>
      <c r="AA449" s="154"/>
      <c r="AB449" s="242" t="str">
        <f t="shared" si="2"/>
        <v>#ERROR!</v>
      </c>
      <c r="AC449" s="154" t="s">
        <v>391</v>
      </c>
      <c r="AD449" s="242" t="b">
        <f t="shared" si="3"/>
        <v>0</v>
      </c>
      <c r="AE449" s="154"/>
      <c r="AF449" s="242" t="str">
        <f t="shared" si="4"/>
        <v>#ERROR!</v>
      </c>
      <c r="AG449" s="154" t="s">
        <v>652</v>
      </c>
      <c r="AH449" s="242" t="str">
        <f>IF(AG449="","N/A",INDIRECT("MTR!"&amp;ADDRESS(MATCH(LEFT(AG449,9),[1]MTR!C:C,0),COLUMN(J449)),TRUE) &amp; "")</f>
        <v>#ERROR!</v>
      </c>
      <c r="AI449" s="157" t="str">
        <f t="shared" si="5"/>
        <v>#ERROR!</v>
      </c>
    </row>
    <row r="450" ht="12.75" customHeight="1">
      <c r="A450" s="244" t="s">
        <v>5158</v>
      </c>
      <c r="B450" s="244" t="s">
        <v>231</v>
      </c>
      <c r="C450" s="244" t="s">
        <v>7981</v>
      </c>
      <c r="D450" s="154" t="s">
        <v>503</v>
      </c>
      <c r="E450" s="154"/>
      <c r="F450" s="154" t="str">
        <f t="array" ref="F450">XLOOKUP(Cover!$D$12,$R$1:$Z$1,$R450:$Z450)</f>
        <v>Information</v>
      </c>
      <c r="G450" s="154" t="s">
        <v>7982</v>
      </c>
      <c r="H450" s="154" t="s">
        <v>7834</v>
      </c>
      <c r="I450" s="154" t="s">
        <v>7983</v>
      </c>
      <c r="J450" s="154" t="s">
        <v>6911</v>
      </c>
      <c r="K450" s="154" t="s">
        <v>7835</v>
      </c>
      <c r="L450" s="154" t="s">
        <v>6463</v>
      </c>
      <c r="M450" s="154"/>
      <c r="N450" s="154" t="s">
        <v>759</v>
      </c>
      <c r="O450" s="247" t="s">
        <v>516</v>
      </c>
      <c r="P450" s="247" t="s">
        <v>6776</v>
      </c>
      <c r="Q450" s="154" t="str">
        <f t="shared" si="1"/>
        <v>#ERROR!</v>
      </c>
      <c r="R450" s="154" t="s">
        <v>66</v>
      </c>
      <c r="S450" s="154" t="s">
        <v>66</v>
      </c>
      <c r="T450" s="154" t="s">
        <v>66</v>
      </c>
      <c r="U450" s="154" t="s">
        <v>66</v>
      </c>
      <c r="V450" s="154" t="s">
        <v>66</v>
      </c>
      <c r="W450" s="154" t="s">
        <v>66</v>
      </c>
      <c r="X450" s="154" t="s">
        <v>66</v>
      </c>
      <c r="Y450" s="154" t="s">
        <v>66</v>
      </c>
      <c r="Z450" s="154" t="s">
        <v>66</v>
      </c>
      <c r="AA450" s="154"/>
      <c r="AB450" s="242" t="str">
        <f t="shared" si="2"/>
        <v>#ERROR!</v>
      </c>
      <c r="AC450" s="154" t="s">
        <v>391</v>
      </c>
      <c r="AD450" s="242" t="b">
        <f t="shared" si="3"/>
        <v>0</v>
      </c>
      <c r="AE450" s="154"/>
      <c r="AF450" s="242" t="str">
        <f t="shared" si="4"/>
        <v>#ERROR!</v>
      </c>
      <c r="AG450" s="154" t="s">
        <v>652</v>
      </c>
      <c r="AH450" s="242" t="str">
        <f>IF(AG450="","N/A",INDIRECT("MTR!"&amp;ADDRESS(MATCH(LEFT(AG450,9),[1]MTR!C:C,0),COLUMN(J450)),TRUE) &amp; "")</f>
        <v>#ERROR!</v>
      </c>
      <c r="AI450" s="157" t="str">
        <f t="shared" si="5"/>
        <v>#ERROR!</v>
      </c>
    </row>
    <row r="451" ht="12.75" customHeight="1">
      <c r="A451" s="244" t="s">
        <v>5158</v>
      </c>
      <c r="B451" s="244" t="s">
        <v>231</v>
      </c>
      <c r="C451" s="244" t="s">
        <v>7984</v>
      </c>
      <c r="D451" s="154" t="s">
        <v>503</v>
      </c>
      <c r="E451" s="154"/>
      <c r="F451" s="154" t="str">
        <f t="array" ref="F451">XLOOKUP(Cover!$D$12,$R$1:$Z$1,$R451:$Z451)</f>
        <v>Information</v>
      </c>
      <c r="G451" s="154" t="s">
        <v>7985</v>
      </c>
      <c r="H451" s="154" t="s">
        <v>7838</v>
      </c>
      <c r="I451" s="154" t="s">
        <v>7983</v>
      </c>
      <c r="J451" s="154" t="s">
        <v>6911</v>
      </c>
      <c r="K451" s="154" t="s">
        <v>7835</v>
      </c>
      <c r="L451" s="154" t="s">
        <v>6463</v>
      </c>
      <c r="M451" s="154"/>
      <c r="N451" s="154" t="s">
        <v>759</v>
      </c>
      <c r="O451" s="247" t="s">
        <v>516</v>
      </c>
      <c r="P451" s="247" t="s">
        <v>6776</v>
      </c>
      <c r="Q451" s="154" t="str">
        <f t="shared" si="1"/>
        <v>#ERROR!</v>
      </c>
      <c r="R451" s="154" t="s">
        <v>66</v>
      </c>
      <c r="S451" s="154" t="s">
        <v>66</v>
      </c>
      <c r="T451" s="154" t="s">
        <v>66</v>
      </c>
      <c r="U451" s="154" t="s">
        <v>66</v>
      </c>
      <c r="V451" s="154" t="s">
        <v>66</v>
      </c>
      <c r="W451" s="154" t="s">
        <v>66</v>
      </c>
      <c r="X451" s="154" t="s">
        <v>66</v>
      </c>
      <c r="Y451" s="154" t="s">
        <v>66</v>
      </c>
      <c r="Z451" s="154" t="s">
        <v>66</v>
      </c>
      <c r="AA451" s="154"/>
      <c r="AB451" s="242" t="str">
        <f t="shared" si="2"/>
        <v>#ERROR!</v>
      </c>
      <c r="AC451" s="154" t="s">
        <v>391</v>
      </c>
      <c r="AD451" s="242" t="b">
        <f t="shared" si="3"/>
        <v>0</v>
      </c>
      <c r="AE451" s="154"/>
      <c r="AF451" s="242" t="str">
        <f t="shared" si="4"/>
        <v>#ERROR!</v>
      </c>
      <c r="AG451" s="154" t="s">
        <v>652</v>
      </c>
      <c r="AH451" s="242" t="str">
        <f>IF(AG451="","N/A",INDIRECT("MTR!"&amp;ADDRESS(MATCH(LEFT(AG451,9),[1]MTR!C:C,0),COLUMN(J451)),TRUE) &amp; "")</f>
        <v>#ERROR!</v>
      </c>
      <c r="AI451" s="157" t="str">
        <f t="shared" si="5"/>
        <v>#ERROR!</v>
      </c>
    </row>
    <row r="452" ht="12.75" customHeight="1">
      <c r="A452" s="244" t="s">
        <v>5158</v>
      </c>
      <c r="B452" s="244" t="s">
        <v>231</v>
      </c>
      <c r="C452" s="255" t="s">
        <v>7986</v>
      </c>
      <c r="D452" s="256" t="s">
        <v>42</v>
      </c>
      <c r="E452" s="256" t="s">
        <v>489</v>
      </c>
      <c r="F452" s="154" t="str">
        <f t="array" ref="F452">XLOOKUP(Cover!$D$12,$R$1:$Z$1,$R452:$Z452)</f>
        <v>Recommended</v>
      </c>
      <c r="G452" s="154" t="s">
        <v>7987</v>
      </c>
      <c r="H452" s="154" t="s">
        <v>7834</v>
      </c>
      <c r="I452" s="154" t="s">
        <v>7988</v>
      </c>
      <c r="J452" s="154" t="s">
        <v>7463</v>
      </c>
      <c r="K452" s="154" t="s">
        <v>7835</v>
      </c>
      <c r="L452" s="154" t="s">
        <v>5931</v>
      </c>
      <c r="M452" s="154"/>
      <c r="N452" s="154" t="s">
        <v>759</v>
      </c>
      <c r="O452" s="247" t="s">
        <v>516</v>
      </c>
      <c r="P452" s="247" t="s">
        <v>6776</v>
      </c>
      <c r="Q452" s="154" t="str">
        <f t="shared" si="1"/>
        <v>#ERROR!</v>
      </c>
      <c r="R452" s="154" t="s">
        <v>66</v>
      </c>
      <c r="S452" s="154" t="s">
        <v>66</v>
      </c>
      <c r="T452" s="154" t="s">
        <v>66</v>
      </c>
      <c r="U452" s="154" t="s">
        <v>66</v>
      </c>
      <c r="V452" s="154" t="s">
        <v>66</v>
      </c>
      <c r="W452" s="154" t="s">
        <v>64</v>
      </c>
      <c r="X452" s="154" t="s">
        <v>66</v>
      </c>
      <c r="Y452" s="154" t="s">
        <v>66</v>
      </c>
      <c r="Z452" s="154" t="s">
        <v>64</v>
      </c>
      <c r="AA452" s="154"/>
      <c r="AB452" s="242" t="str">
        <f t="shared" si="2"/>
        <v>#ERROR!</v>
      </c>
      <c r="AC452" s="154" t="s">
        <v>391</v>
      </c>
      <c r="AD452" s="242" t="b">
        <f t="shared" si="3"/>
        <v>0</v>
      </c>
      <c r="AE452" s="154"/>
      <c r="AF452" s="242" t="str">
        <f t="shared" si="4"/>
        <v>#ERROR!</v>
      </c>
      <c r="AG452" s="154" t="s">
        <v>652</v>
      </c>
      <c r="AH452" s="242" t="str">
        <f>IF(AG452="","N/A",INDIRECT("MTR!"&amp;ADDRESS(MATCH(LEFT(AG452,9),[1]MTR!C:C,0),COLUMN(J452)),TRUE) &amp; "")</f>
        <v>#ERROR!</v>
      </c>
      <c r="AI452" s="157" t="str">
        <f t="shared" si="5"/>
        <v>#ERROR!</v>
      </c>
    </row>
    <row r="453" ht="12.75" customHeight="1">
      <c r="A453" s="244" t="s">
        <v>5158</v>
      </c>
      <c r="B453" s="244" t="s">
        <v>231</v>
      </c>
      <c r="C453" s="255" t="s">
        <v>7989</v>
      </c>
      <c r="D453" s="256" t="s">
        <v>42</v>
      </c>
      <c r="E453" s="256" t="s">
        <v>489</v>
      </c>
      <c r="F453" s="154" t="str">
        <f t="array" ref="F453">XLOOKUP(Cover!$D$12,$R$1:$Z$1,$R453:$Z453)</f>
        <v>Recommended</v>
      </c>
      <c r="G453" s="154" t="s">
        <v>7990</v>
      </c>
      <c r="H453" s="154" t="s">
        <v>7838</v>
      </c>
      <c r="I453" s="154" t="s">
        <v>7988</v>
      </c>
      <c r="J453" s="154" t="s">
        <v>7463</v>
      </c>
      <c r="K453" s="154" t="s">
        <v>7835</v>
      </c>
      <c r="L453" s="154" t="s">
        <v>5931</v>
      </c>
      <c r="M453" s="154"/>
      <c r="N453" s="154" t="s">
        <v>759</v>
      </c>
      <c r="O453" s="247" t="s">
        <v>516</v>
      </c>
      <c r="P453" s="247" t="s">
        <v>6776</v>
      </c>
      <c r="Q453" s="154" t="str">
        <f t="shared" si="1"/>
        <v>#ERROR!</v>
      </c>
      <c r="R453" s="154" t="s">
        <v>66</v>
      </c>
      <c r="S453" s="154" t="s">
        <v>66</v>
      </c>
      <c r="T453" s="154" t="s">
        <v>66</v>
      </c>
      <c r="U453" s="154" t="s">
        <v>66</v>
      </c>
      <c r="V453" s="154" t="s">
        <v>66</v>
      </c>
      <c r="W453" s="154" t="s">
        <v>64</v>
      </c>
      <c r="X453" s="154" t="s">
        <v>66</v>
      </c>
      <c r="Y453" s="154" t="s">
        <v>66</v>
      </c>
      <c r="Z453" s="154" t="s">
        <v>64</v>
      </c>
      <c r="AA453" s="154"/>
      <c r="AB453" s="242" t="str">
        <f t="shared" si="2"/>
        <v>#ERROR!</v>
      </c>
      <c r="AC453" s="154" t="s">
        <v>391</v>
      </c>
      <c r="AD453" s="242" t="b">
        <f t="shared" si="3"/>
        <v>0</v>
      </c>
      <c r="AE453" s="154"/>
      <c r="AF453" s="242" t="str">
        <f t="shared" si="4"/>
        <v>#ERROR!</v>
      </c>
      <c r="AG453" s="154" t="s">
        <v>652</v>
      </c>
      <c r="AH453" s="242" t="str">
        <f>IF(AG453="","N/A",INDIRECT("MTR!"&amp;ADDRESS(MATCH(LEFT(AG453,9),[1]MTR!C:C,0),COLUMN(J453)),TRUE) &amp; "")</f>
        <v>#ERROR!</v>
      </c>
      <c r="AI453" s="157" t="str">
        <f t="shared" si="5"/>
        <v>#ERROR!</v>
      </c>
    </row>
    <row r="454" ht="12.75" customHeight="1">
      <c r="A454" s="244" t="s">
        <v>5158</v>
      </c>
      <c r="B454" s="244" t="s">
        <v>231</v>
      </c>
      <c r="C454" s="255" t="s">
        <v>7991</v>
      </c>
      <c r="D454" s="256" t="s">
        <v>42</v>
      </c>
      <c r="E454" s="256" t="s">
        <v>489</v>
      </c>
      <c r="F454" s="154" t="str">
        <f t="array" ref="F454">XLOOKUP(Cover!$D$12,$R$1:$Z$1,$R454:$Z454)</f>
        <v>Recommended</v>
      </c>
      <c r="G454" s="154" t="s">
        <v>7992</v>
      </c>
      <c r="H454" s="154" t="s">
        <v>7847</v>
      </c>
      <c r="I454" s="154" t="s">
        <v>7988</v>
      </c>
      <c r="J454" s="154" t="s">
        <v>7463</v>
      </c>
      <c r="K454" s="154" t="s">
        <v>7835</v>
      </c>
      <c r="L454" s="154" t="s">
        <v>5931</v>
      </c>
      <c r="M454" s="154"/>
      <c r="N454" s="154" t="s">
        <v>759</v>
      </c>
      <c r="O454" s="247" t="s">
        <v>516</v>
      </c>
      <c r="P454" s="247" t="s">
        <v>6776</v>
      </c>
      <c r="Q454" s="154" t="str">
        <f t="shared" si="1"/>
        <v>#ERROR!</v>
      </c>
      <c r="R454" s="154" t="s">
        <v>66</v>
      </c>
      <c r="S454" s="154" t="s">
        <v>66</v>
      </c>
      <c r="T454" s="154" t="s">
        <v>66</v>
      </c>
      <c r="U454" s="154" t="s">
        <v>66</v>
      </c>
      <c r="V454" s="154" t="s">
        <v>66</v>
      </c>
      <c r="W454" s="154" t="s">
        <v>64</v>
      </c>
      <c r="X454" s="154" t="s">
        <v>66</v>
      </c>
      <c r="Y454" s="154" t="s">
        <v>66</v>
      </c>
      <c r="Z454" s="154" t="s">
        <v>64</v>
      </c>
      <c r="AA454" s="154"/>
      <c r="AB454" s="242" t="str">
        <f t="shared" si="2"/>
        <v>#ERROR!</v>
      </c>
      <c r="AC454" s="154" t="s">
        <v>391</v>
      </c>
      <c r="AD454" s="242" t="b">
        <f t="shared" si="3"/>
        <v>0</v>
      </c>
      <c r="AE454" s="154"/>
      <c r="AF454" s="242" t="str">
        <f t="shared" si="4"/>
        <v>#ERROR!</v>
      </c>
      <c r="AG454" s="154" t="s">
        <v>652</v>
      </c>
      <c r="AH454" s="242" t="str">
        <f>IF(AG454="","N/A",INDIRECT("MTR!"&amp;ADDRESS(MATCH(LEFT(AG454,9),[1]MTR!C:C,0),COLUMN(J454)),TRUE) &amp; "")</f>
        <v>#ERROR!</v>
      </c>
      <c r="AI454" s="157" t="str">
        <f t="shared" si="5"/>
        <v>#ERROR!</v>
      </c>
    </row>
    <row r="455" ht="12.75" customHeight="1">
      <c r="A455" s="244" t="s">
        <v>5158</v>
      </c>
      <c r="B455" s="244" t="s">
        <v>231</v>
      </c>
      <c r="C455" s="244" t="s">
        <v>7993</v>
      </c>
      <c r="D455" s="154" t="s">
        <v>1315</v>
      </c>
      <c r="E455" s="154"/>
      <c r="F455" s="154" t="str">
        <f t="array" ref="F455">XLOOKUP(Cover!$D$12,$R$1:$Z$1,$R455:$Z455)</f>
        <v>Mandatory</v>
      </c>
      <c r="G455" s="154" t="s">
        <v>7994</v>
      </c>
      <c r="H455" s="154" t="s">
        <v>7834</v>
      </c>
      <c r="I455" s="154" t="s">
        <v>7995</v>
      </c>
      <c r="J455" s="154" t="s">
        <v>6919</v>
      </c>
      <c r="K455" s="154" t="s">
        <v>7835</v>
      </c>
      <c r="L455" s="154" t="s">
        <v>6884</v>
      </c>
      <c r="M455" s="154" t="s">
        <v>1018</v>
      </c>
      <c r="N455" s="154" t="s">
        <v>759</v>
      </c>
      <c r="O455" s="247" t="s">
        <v>516</v>
      </c>
      <c r="P455" s="247" t="s">
        <v>6776</v>
      </c>
      <c r="Q455" s="154" t="str">
        <f t="shared" si="1"/>
        <v>#ERROR!</v>
      </c>
      <c r="R455" s="154" t="s">
        <v>66</v>
      </c>
      <c r="S455" s="154" t="s">
        <v>66</v>
      </c>
      <c r="T455" s="154" t="s">
        <v>66</v>
      </c>
      <c r="U455" s="154" t="s">
        <v>66</v>
      </c>
      <c r="V455" s="154" t="s">
        <v>66</v>
      </c>
      <c r="W455" s="154" t="s">
        <v>60</v>
      </c>
      <c r="X455" s="154" t="s">
        <v>66</v>
      </c>
      <c r="Y455" s="154" t="s">
        <v>66</v>
      </c>
      <c r="Z455" s="154" t="s">
        <v>60</v>
      </c>
      <c r="AA455" s="154"/>
      <c r="AB455" s="242" t="str">
        <f t="shared" si="2"/>
        <v>#ERROR!</v>
      </c>
      <c r="AC455" s="154" t="s">
        <v>391</v>
      </c>
      <c r="AD455" s="242" t="b">
        <f t="shared" si="3"/>
        <v>0</v>
      </c>
      <c r="AE455" s="154"/>
      <c r="AF455" s="242" t="str">
        <f t="shared" si="4"/>
        <v>#ERROR!</v>
      </c>
      <c r="AG455" s="154" t="s">
        <v>652</v>
      </c>
      <c r="AH455" s="242" t="str">
        <f>IF(AG455="","N/A",INDIRECT("MTR!"&amp;ADDRESS(MATCH(LEFT(AG455,9),[1]MTR!C:C,0),COLUMN(J455)),TRUE) &amp; "")</f>
        <v>#ERROR!</v>
      </c>
      <c r="AI455" s="157" t="str">
        <f t="shared" si="5"/>
        <v>#ERROR!</v>
      </c>
    </row>
    <row r="456" ht="12.75" customHeight="1">
      <c r="A456" s="244" t="s">
        <v>5158</v>
      </c>
      <c r="B456" s="244" t="s">
        <v>231</v>
      </c>
      <c r="C456" s="244" t="s">
        <v>7996</v>
      </c>
      <c r="D456" s="154" t="s">
        <v>1315</v>
      </c>
      <c r="E456" s="154"/>
      <c r="F456" s="154" t="str">
        <f t="array" ref="F456">XLOOKUP(Cover!$D$12,$R$1:$Z$1,$R456:$Z456)</f>
        <v>Mandatory</v>
      </c>
      <c r="G456" s="154" t="s">
        <v>7997</v>
      </c>
      <c r="H456" s="154" t="s">
        <v>7838</v>
      </c>
      <c r="I456" s="154" t="s">
        <v>7995</v>
      </c>
      <c r="J456" s="154" t="s">
        <v>6919</v>
      </c>
      <c r="K456" s="154" t="s">
        <v>7835</v>
      </c>
      <c r="L456" s="154" t="s">
        <v>6884</v>
      </c>
      <c r="M456" s="154" t="s">
        <v>1018</v>
      </c>
      <c r="N456" s="154" t="s">
        <v>759</v>
      </c>
      <c r="O456" s="247" t="s">
        <v>516</v>
      </c>
      <c r="P456" s="247" t="s">
        <v>6776</v>
      </c>
      <c r="Q456" s="154" t="str">
        <f t="shared" si="1"/>
        <v>#ERROR!</v>
      </c>
      <c r="R456" s="154" t="s">
        <v>66</v>
      </c>
      <c r="S456" s="154" t="s">
        <v>66</v>
      </c>
      <c r="T456" s="154" t="s">
        <v>66</v>
      </c>
      <c r="U456" s="154" t="s">
        <v>66</v>
      </c>
      <c r="V456" s="154" t="s">
        <v>66</v>
      </c>
      <c r="W456" s="154" t="s">
        <v>60</v>
      </c>
      <c r="X456" s="154" t="s">
        <v>66</v>
      </c>
      <c r="Y456" s="154" t="s">
        <v>66</v>
      </c>
      <c r="Z456" s="154" t="s">
        <v>60</v>
      </c>
      <c r="AA456" s="154"/>
      <c r="AB456" s="242" t="str">
        <f t="shared" si="2"/>
        <v>#ERROR!</v>
      </c>
      <c r="AC456" s="154" t="s">
        <v>391</v>
      </c>
      <c r="AD456" s="242" t="b">
        <f t="shared" si="3"/>
        <v>0</v>
      </c>
      <c r="AE456" s="154"/>
      <c r="AF456" s="242" t="str">
        <f t="shared" si="4"/>
        <v>#ERROR!</v>
      </c>
      <c r="AG456" s="154" t="s">
        <v>652</v>
      </c>
      <c r="AH456" s="242" t="str">
        <f>IF(AG456="","N/A",INDIRECT("MTR!"&amp;ADDRESS(MATCH(LEFT(AG456,9),[1]MTR!C:C,0),COLUMN(J456)),TRUE) &amp; "")</f>
        <v>#ERROR!</v>
      </c>
      <c r="AI456" s="157" t="str">
        <f t="shared" si="5"/>
        <v>#ERROR!</v>
      </c>
    </row>
    <row r="457" ht="12.75" customHeight="1">
      <c r="A457" s="244" t="s">
        <v>5158</v>
      </c>
      <c r="B457" s="244" t="s">
        <v>231</v>
      </c>
      <c r="C457" s="244" t="s">
        <v>7998</v>
      </c>
      <c r="D457" s="154" t="s">
        <v>1315</v>
      </c>
      <c r="E457" s="154"/>
      <c r="F457" s="154" t="str">
        <f t="array" ref="F457">XLOOKUP(Cover!$D$12,$R$1:$Z$1,$R457:$Z457)</f>
        <v>Mandatory</v>
      </c>
      <c r="G457" s="154" t="s">
        <v>7999</v>
      </c>
      <c r="H457" s="154" t="s">
        <v>7850</v>
      </c>
      <c r="I457" s="154" t="s">
        <v>7995</v>
      </c>
      <c r="J457" s="154" t="s">
        <v>6919</v>
      </c>
      <c r="K457" s="154" t="s">
        <v>7835</v>
      </c>
      <c r="L457" s="154" t="s">
        <v>6884</v>
      </c>
      <c r="M457" s="154" t="s">
        <v>1018</v>
      </c>
      <c r="N457" s="154" t="s">
        <v>759</v>
      </c>
      <c r="O457" s="247" t="s">
        <v>516</v>
      </c>
      <c r="P457" s="247" t="s">
        <v>6776</v>
      </c>
      <c r="Q457" s="154" t="str">
        <f t="shared" si="1"/>
        <v>#ERROR!</v>
      </c>
      <c r="R457" s="154" t="s">
        <v>66</v>
      </c>
      <c r="S457" s="154" t="s">
        <v>66</v>
      </c>
      <c r="T457" s="154" t="s">
        <v>66</v>
      </c>
      <c r="U457" s="154" t="s">
        <v>66</v>
      </c>
      <c r="V457" s="154" t="s">
        <v>66</v>
      </c>
      <c r="W457" s="154" t="s">
        <v>60</v>
      </c>
      <c r="X457" s="154" t="s">
        <v>66</v>
      </c>
      <c r="Y457" s="154" t="s">
        <v>66</v>
      </c>
      <c r="Z457" s="154" t="s">
        <v>60</v>
      </c>
      <c r="AA457" s="154"/>
      <c r="AB457" s="242" t="str">
        <f t="shared" si="2"/>
        <v>#ERROR!</v>
      </c>
      <c r="AC457" s="154" t="s">
        <v>391</v>
      </c>
      <c r="AD457" s="242" t="b">
        <f t="shared" si="3"/>
        <v>0</v>
      </c>
      <c r="AE457" s="154"/>
      <c r="AF457" s="242" t="str">
        <f t="shared" si="4"/>
        <v>#ERROR!</v>
      </c>
      <c r="AG457" s="154" t="s">
        <v>652</v>
      </c>
      <c r="AH457" s="242" t="str">
        <f>IF(AG457="","N/A",INDIRECT("MTR!"&amp;ADDRESS(MATCH(LEFT(AG457,9),[1]MTR!C:C,0),COLUMN(J457)),TRUE) &amp; "")</f>
        <v>#ERROR!</v>
      </c>
      <c r="AI457" s="157" t="str">
        <f t="shared" si="5"/>
        <v>#ERROR!</v>
      </c>
    </row>
    <row r="458" ht="12.75" customHeight="1">
      <c r="A458" s="244" t="s">
        <v>5158</v>
      </c>
      <c r="B458" s="244" t="s">
        <v>231</v>
      </c>
      <c r="C458" s="244" t="s">
        <v>8000</v>
      </c>
      <c r="D458" s="154" t="s">
        <v>781</v>
      </c>
      <c r="E458" s="154"/>
      <c r="F458" s="154" t="str">
        <f t="array" ref="F458">XLOOKUP(Cover!$D$12,$R$1:$Z$1,$R458:$Z458)</f>
        <v>Information</v>
      </c>
      <c r="G458" s="154" t="s">
        <v>8001</v>
      </c>
      <c r="H458" s="154" t="s">
        <v>7834</v>
      </c>
      <c r="I458" s="154" t="s">
        <v>8002</v>
      </c>
      <c r="J458" s="154" t="s">
        <v>7478</v>
      </c>
      <c r="K458" s="154" t="s">
        <v>7835</v>
      </c>
      <c r="L458" s="154" t="s">
        <v>6140</v>
      </c>
      <c r="M458" s="154"/>
      <c r="N458" s="154" t="s">
        <v>759</v>
      </c>
      <c r="O458" s="247" t="s">
        <v>516</v>
      </c>
      <c r="P458" s="247" t="s">
        <v>6776</v>
      </c>
      <c r="Q458" s="154" t="str">
        <f t="shared" si="1"/>
        <v>#ERROR!</v>
      </c>
      <c r="R458" s="154" t="s">
        <v>66</v>
      </c>
      <c r="S458" s="154" t="s">
        <v>66</v>
      </c>
      <c r="T458" s="154" t="s">
        <v>66</v>
      </c>
      <c r="U458" s="154" t="s">
        <v>66</v>
      </c>
      <c r="V458" s="154" t="s">
        <v>66</v>
      </c>
      <c r="W458" s="154" t="s">
        <v>66</v>
      </c>
      <c r="X458" s="154" t="s">
        <v>66</v>
      </c>
      <c r="Y458" s="154" t="s">
        <v>66</v>
      </c>
      <c r="Z458" s="154" t="s">
        <v>66</v>
      </c>
      <c r="AA458" s="154"/>
      <c r="AB458" s="242" t="str">
        <f t="shared" si="2"/>
        <v>#ERROR!</v>
      </c>
      <c r="AC458" s="154" t="s">
        <v>391</v>
      </c>
      <c r="AD458" s="242" t="b">
        <f t="shared" si="3"/>
        <v>0</v>
      </c>
      <c r="AE458" s="154"/>
      <c r="AF458" s="242" t="str">
        <f t="shared" si="4"/>
        <v>#ERROR!</v>
      </c>
      <c r="AG458" s="154" t="s">
        <v>652</v>
      </c>
      <c r="AH458" s="242" t="str">
        <f>IF(AG458="","N/A",INDIRECT("MTR!"&amp;ADDRESS(MATCH(LEFT(AG458,9),[1]MTR!C:C,0),COLUMN(J458)),TRUE) &amp; "")</f>
        <v>#ERROR!</v>
      </c>
      <c r="AI458" s="157" t="str">
        <f t="shared" si="5"/>
        <v>#ERROR!</v>
      </c>
    </row>
    <row r="459" ht="12.75" customHeight="1">
      <c r="A459" s="244" t="s">
        <v>5158</v>
      </c>
      <c r="B459" s="244" t="s">
        <v>231</v>
      </c>
      <c r="C459" s="244" t="s">
        <v>8003</v>
      </c>
      <c r="D459" s="154" t="s">
        <v>781</v>
      </c>
      <c r="E459" s="154"/>
      <c r="F459" s="154" t="str">
        <f t="array" ref="F459">XLOOKUP(Cover!$D$12,$R$1:$Z$1,$R459:$Z459)</f>
        <v>Information</v>
      </c>
      <c r="G459" s="154" t="s">
        <v>8004</v>
      </c>
      <c r="H459" s="154" t="s">
        <v>7838</v>
      </c>
      <c r="I459" s="154" t="s">
        <v>8002</v>
      </c>
      <c r="J459" s="154" t="s">
        <v>7478</v>
      </c>
      <c r="K459" s="154" t="s">
        <v>7835</v>
      </c>
      <c r="L459" s="154" t="s">
        <v>6140</v>
      </c>
      <c r="M459" s="154"/>
      <c r="N459" s="154" t="s">
        <v>759</v>
      </c>
      <c r="O459" s="247" t="s">
        <v>516</v>
      </c>
      <c r="P459" s="247" t="s">
        <v>6776</v>
      </c>
      <c r="Q459" s="154" t="str">
        <f t="shared" si="1"/>
        <v>#ERROR!</v>
      </c>
      <c r="R459" s="154" t="s">
        <v>66</v>
      </c>
      <c r="S459" s="154" t="s">
        <v>66</v>
      </c>
      <c r="T459" s="154" t="s">
        <v>66</v>
      </c>
      <c r="U459" s="154" t="s">
        <v>66</v>
      </c>
      <c r="V459" s="154" t="s">
        <v>66</v>
      </c>
      <c r="W459" s="154" t="s">
        <v>66</v>
      </c>
      <c r="X459" s="154" t="s">
        <v>66</v>
      </c>
      <c r="Y459" s="154" t="s">
        <v>66</v>
      </c>
      <c r="Z459" s="154" t="s">
        <v>66</v>
      </c>
      <c r="AA459" s="154"/>
      <c r="AB459" s="242" t="str">
        <f t="shared" si="2"/>
        <v>#ERROR!</v>
      </c>
      <c r="AC459" s="154" t="s">
        <v>391</v>
      </c>
      <c r="AD459" s="242" t="b">
        <f t="shared" si="3"/>
        <v>0</v>
      </c>
      <c r="AE459" s="154"/>
      <c r="AF459" s="242" t="str">
        <f t="shared" si="4"/>
        <v>#ERROR!</v>
      </c>
      <c r="AG459" s="154" t="s">
        <v>652</v>
      </c>
      <c r="AH459" s="242" t="str">
        <f>IF(AG459="","N/A",INDIRECT("MTR!"&amp;ADDRESS(MATCH(LEFT(AG459,9),[1]MTR!C:C,0),COLUMN(J459)),TRUE) &amp; "")</f>
        <v>#ERROR!</v>
      </c>
      <c r="AI459" s="157" t="str">
        <f t="shared" si="5"/>
        <v>#ERROR!</v>
      </c>
    </row>
    <row r="460" ht="12.75" customHeight="1">
      <c r="A460" s="244" t="s">
        <v>5158</v>
      </c>
      <c r="B460" s="244" t="s">
        <v>231</v>
      </c>
      <c r="C460" s="244" t="s">
        <v>8005</v>
      </c>
      <c r="D460" s="154" t="s">
        <v>781</v>
      </c>
      <c r="E460" s="154"/>
      <c r="F460" s="154" t="str">
        <f t="array" ref="F460">XLOOKUP(Cover!$D$12,$R$1:$Z$1,$R460:$Z460)</f>
        <v>Information</v>
      </c>
      <c r="G460" s="154" t="s">
        <v>8006</v>
      </c>
      <c r="H460" s="154" t="s">
        <v>7853</v>
      </c>
      <c r="I460" s="154" t="s">
        <v>8002</v>
      </c>
      <c r="J460" s="154" t="s">
        <v>7478</v>
      </c>
      <c r="K460" s="154" t="s">
        <v>7835</v>
      </c>
      <c r="L460" s="154" t="s">
        <v>6140</v>
      </c>
      <c r="M460" s="154"/>
      <c r="N460" s="154" t="s">
        <v>759</v>
      </c>
      <c r="O460" s="247" t="s">
        <v>516</v>
      </c>
      <c r="P460" s="247" t="s">
        <v>6776</v>
      </c>
      <c r="Q460" s="154" t="str">
        <f t="shared" si="1"/>
        <v>#ERROR!</v>
      </c>
      <c r="R460" s="154" t="s">
        <v>66</v>
      </c>
      <c r="S460" s="154" t="s">
        <v>66</v>
      </c>
      <c r="T460" s="154" t="s">
        <v>66</v>
      </c>
      <c r="U460" s="154" t="s">
        <v>66</v>
      </c>
      <c r="V460" s="154" t="s">
        <v>66</v>
      </c>
      <c r="W460" s="154" t="s">
        <v>66</v>
      </c>
      <c r="X460" s="154" t="s">
        <v>66</v>
      </c>
      <c r="Y460" s="154" t="s">
        <v>66</v>
      </c>
      <c r="Z460" s="154" t="s">
        <v>66</v>
      </c>
      <c r="AA460" s="154"/>
      <c r="AB460" s="242" t="str">
        <f t="shared" si="2"/>
        <v>#ERROR!</v>
      </c>
      <c r="AC460" s="154" t="s">
        <v>391</v>
      </c>
      <c r="AD460" s="242" t="b">
        <f t="shared" si="3"/>
        <v>0</v>
      </c>
      <c r="AE460" s="154"/>
      <c r="AF460" s="242" t="str">
        <f t="shared" si="4"/>
        <v>#ERROR!</v>
      </c>
      <c r="AG460" s="154" t="s">
        <v>652</v>
      </c>
      <c r="AH460" s="242" t="str">
        <f>IF(AG460="","N/A",INDIRECT("MTR!"&amp;ADDRESS(MATCH(LEFT(AG460,9),[1]MTR!C:C,0),COLUMN(J460)),TRUE) &amp; "")</f>
        <v>#ERROR!</v>
      </c>
      <c r="AI460" s="157" t="str">
        <f t="shared" si="5"/>
        <v>#ERROR!</v>
      </c>
    </row>
    <row r="461" ht="12.75" customHeight="1">
      <c r="A461" s="244" t="s">
        <v>5158</v>
      </c>
      <c r="B461" s="244" t="s">
        <v>231</v>
      </c>
      <c r="C461" s="244" t="s">
        <v>8007</v>
      </c>
      <c r="D461" s="154" t="s">
        <v>503</v>
      </c>
      <c r="E461" s="154"/>
      <c r="F461" s="154" t="str">
        <f t="array" ref="F461">XLOOKUP(Cover!$D$12,$R$1:$Z$1,$R461:$Z461)</f>
        <v>Information</v>
      </c>
      <c r="G461" s="154" t="s">
        <v>8008</v>
      </c>
      <c r="H461" s="154" t="s">
        <v>7834</v>
      </c>
      <c r="I461" s="154" t="s">
        <v>8009</v>
      </c>
      <c r="J461" s="154" t="s">
        <v>7494</v>
      </c>
      <c r="K461" s="154" t="s">
        <v>7835</v>
      </c>
      <c r="L461" s="154" t="s">
        <v>7431</v>
      </c>
      <c r="M461" s="154"/>
      <c r="N461" s="154" t="s">
        <v>759</v>
      </c>
      <c r="O461" s="247" t="s">
        <v>516</v>
      </c>
      <c r="P461" s="247" t="s">
        <v>6776</v>
      </c>
      <c r="Q461" s="154" t="str">
        <f t="shared" si="1"/>
        <v>#ERROR!</v>
      </c>
      <c r="R461" s="154" t="s">
        <v>66</v>
      </c>
      <c r="S461" s="154" t="s">
        <v>66</v>
      </c>
      <c r="T461" s="154" t="s">
        <v>66</v>
      </c>
      <c r="U461" s="154" t="s">
        <v>66</v>
      </c>
      <c r="V461" s="154" t="s">
        <v>66</v>
      </c>
      <c r="W461" s="154" t="s">
        <v>66</v>
      </c>
      <c r="X461" s="154" t="s">
        <v>66</v>
      </c>
      <c r="Y461" s="154" t="s">
        <v>66</v>
      </c>
      <c r="Z461" s="154" t="s">
        <v>66</v>
      </c>
      <c r="AA461" s="154"/>
      <c r="AB461" s="242" t="str">
        <f t="shared" si="2"/>
        <v>#ERROR!</v>
      </c>
      <c r="AC461" s="154" t="s">
        <v>391</v>
      </c>
      <c r="AD461" s="242" t="b">
        <f t="shared" si="3"/>
        <v>0</v>
      </c>
      <c r="AE461" s="154"/>
      <c r="AF461" s="242" t="str">
        <f t="shared" si="4"/>
        <v>#ERROR!</v>
      </c>
      <c r="AG461" s="154" t="s">
        <v>652</v>
      </c>
      <c r="AH461" s="242" t="str">
        <f>IF(AG461="","N/A",INDIRECT("MTR!"&amp;ADDRESS(MATCH(LEFT(AG461,9),[1]MTR!C:C,0),COLUMN(J461)),TRUE) &amp; "")</f>
        <v>#ERROR!</v>
      </c>
      <c r="AI461" s="157" t="str">
        <f t="shared" si="5"/>
        <v>#ERROR!</v>
      </c>
    </row>
    <row r="462" ht="12.75" customHeight="1">
      <c r="A462" s="244" t="s">
        <v>5158</v>
      </c>
      <c r="B462" s="244" t="s">
        <v>231</v>
      </c>
      <c r="C462" s="244" t="s">
        <v>8010</v>
      </c>
      <c r="D462" s="154" t="s">
        <v>503</v>
      </c>
      <c r="E462" s="154"/>
      <c r="F462" s="154" t="str">
        <f t="array" ref="F462">XLOOKUP(Cover!$D$12,$R$1:$Z$1,$R462:$Z462)</f>
        <v>Information</v>
      </c>
      <c r="G462" s="154" t="s">
        <v>8011</v>
      </c>
      <c r="H462" s="154" t="s">
        <v>7844</v>
      </c>
      <c r="I462" s="154" t="s">
        <v>8009</v>
      </c>
      <c r="J462" s="154" t="s">
        <v>7494</v>
      </c>
      <c r="K462" s="154" t="s">
        <v>7835</v>
      </c>
      <c r="L462" s="154" t="s">
        <v>7431</v>
      </c>
      <c r="M462" s="154"/>
      <c r="N462" s="154" t="s">
        <v>759</v>
      </c>
      <c r="O462" s="247" t="s">
        <v>516</v>
      </c>
      <c r="P462" s="247" t="s">
        <v>6776</v>
      </c>
      <c r="Q462" s="154" t="str">
        <f t="shared" si="1"/>
        <v>#ERROR!</v>
      </c>
      <c r="R462" s="154" t="s">
        <v>66</v>
      </c>
      <c r="S462" s="154" t="s">
        <v>66</v>
      </c>
      <c r="T462" s="154" t="s">
        <v>66</v>
      </c>
      <c r="U462" s="154" t="s">
        <v>66</v>
      </c>
      <c r="V462" s="154" t="s">
        <v>66</v>
      </c>
      <c r="W462" s="154" t="s">
        <v>66</v>
      </c>
      <c r="X462" s="154" t="s">
        <v>66</v>
      </c>
      <c r="Y462" s="154" t="s">
        <v>66</v>
      </c>
      <c r="Z462" s="154" t="s">
        <v>66</v>
      </c>
      <c r="AA462" s="154"/>
      <c r="AB462" s="242" t="str">
        <f t="shared" si="2"/>
        <v>#ERROR!</v>
      </c>
      <c r="AC462" s="154" t="s">
        <v>391</v>
      </c>
      <c r="AD462" s="242" t="b">
        <f t="shared" si="3"/>
        <v>0</v>
      </c>
      <c r="AE462" s="154"/>
      <c r="AF462" s="242" t="str">
        <f t="shared" si="4"/>
        <v>#ERROR!</v>
      </c>
      <c r="AG462" s="154" t="s">
        <v>652</v>
      </c>
      <c r="AH462" s="242" t="str">
        <f>IF(AG462="","N/A",INDIRECT("MTR!"&amp;ADDRESS(MATCH(LEFT(AG462,9),[1]MTR!C:C,0),COLUMN(J462)),TRUE) &amp; "")</f>
        <v>#ERROR!</v>
      </c>
      <c r="AI462" s="157" t="str">
        <f t="shared" si="5"/>
        <v>#ERROR!</v>
      </c>
    </row>
    <row r="463" ht="12.75" customHeight="1">
      <c r="A463" s="244" t="s">
        <v>5158</v>
      </c>
      <c r="B463" s="244" t="s">
        <v>231</v>
      </c>
      <c r="C463" s="244" t="s">
        <v>8012</v>
      </c>
      <c r="D463" s="154" t="s">
        <v>503</v>
      </c>
      <c r="E463" s="154"/>
      <c r="F463" s="154" t="str">
        <f t="array" ref="F463">XLOOKUP(Cover!$D$12,$R$1:$Z$1,$R463:$Z463)</f>
        <v>Information</v>
      </c>
      <c r="G463" s="154" t="s">
        <v>8013</v>
      </c>
      <c r="H463" s="154" t="s">
        <v>7847</v>
      </c>
      <c r="I463" s="154" t="s">
        <v>8009</v>
      </c>
      <c r="J463" s="154" t="s">
        <v>7494</v>
      </c>
      <c r="K463" s="154" t="s">
        <v>7835</v>
      </c>
      <c r="L463" s="154" t="s">
        <v>7431</v>
      </c>
      <c r="M463" s="154"/>
      <c r="N463" s="154" t="s">
        <v>759</v>
      </c>
      <c r="O463" s="247" t="s">
        <v>516</v>
      </c>
      <c r="P463" s="247" t="s">
        <v>6776</v>
      </c>
      <c r="Q463" s="154" t="str">
        <f t="shared" si="1"/>
        <v>#ERROR!</v>
      </c>
      <c r="R463" s="154" t="s">
        <v>66</v>
      </c>
      <c r="S463" s="154" t="s">
        <v>66</v>
      </c>
      <c r="T463" s="154" t="s">
        <v>66</v>
      </c>
      <c r="U463" s="154" t="s">
        <v>66</v>
      </c>
      <c r="V463" s="154" t="s">
        <v>66</v>
      </c>
      <c r="W463" s="154" t="s">
        <v>66</v>
      </c>
      <c r="X463" s="154" t="s">
        <v>66</v>
      </c>
      <c r="Y463" s="154" t="s">
        <v>66</v>
      </c>
      <c r="Z463" s="154" t="s">
        <v>66</v>
      </c>
      <c r="AA463" s="154"/>
      <c r="AB463" s="242" t="str">
        <f t="shared" si="2"/>
        <v>#ERROR!</v>
      </c>
      <c r="AC463" s="154" t="s">
        <v>391</v>
      </c>
      <c r="AD463" s="242" t="b">
        <f t="shared" si="3"/>
        <v>0</v>
      </c>
      <c r="AE463" s="154"/>
      <c r="AF463" s="242" t="str">
        <f t="shared" si="4"/>
        <v>#ERROR!</v>
      </c>
      <c r="AG463" s="154" t="s">
        <v>652</v>
      </c>
      <c r="AH463" s="242" t="str">
        <f>IF(AG463="","N/A",INDIRECT("MTR!"&amp;ADDRESS(MATCH(LEFT(AG463,9),[1]MTR!C:C,0),COLUMN(J463)),TRUE) &amp; "")</f>
        <v>#ERROR!</v>
      </c>
      <c r="AI463" s="157" t="str">
        <f t="shared" si="5"/>
        <v>#ERROR!</v>
      </c>
    </row>
    <row r="464" ht="12.75" customHeight="1">
      <c r="A464" s="244" t="s">
        <v>5158</v>
      </c>
      <c r="B464" s="244" t="s">
        <v>231</v>
      </c>
      <c r="C464" s="244" t="s">
        <v>8014</v>
      </c>
      <c r="D464" s="154" t="s">
        <v>781</v>
      </c>
      <c r="E464" s="154"/>
      <c r="F464" s="154" t="str">
        <f t="array" ref="F464">XLOOKUP(Cover!$D$12,$R$1:$Z$1,$R464:$Z464)</f>
        <v>Information</v>
      </c>
      <c r="G464" s="154" t="s">
        <v>8015</v>
      </c>
      <c r="H464" s="154" t="s">
        <v>7834</v>
      </c>
      <c r="I464" s="154" t="s">
        <v>8016</v>
      </c>
      <c r="J464" s="154" t="s">
        <v>7510</v>
      </c>
      <c r="K464" s="154" t="s">
        <v>7835</v>
      </c>
      <c r="L464" s="154" t="s">
        <v>6140</v>
      </c>
      <c r="M464" s="154"/>
      <c r="N464" s="154" t="s">
        <v>759</v>
      </c>
      <c r="O464" s="247" t="s">
        <v>516</v>
      </c>
      <c r="P464" s="247" t="s">
        <v>6776</v>
      </c>
      <c r="Q464" s="154" t="str">
        <f t="shared" si="1"/>
        <v>#ERROR!</v>
      </c>
      <c r="R464" s="154" t="s">
        <v>66</v>
      </c>
      <c r="S464" s="154" t="s">
        <v>66</v>
      </c>
      <c r="T464" s="154" t="s">
        <v>66</v>
      </c>
      <c r="U464" s="154" t="s">
        <v>66</v>
      </c>
      <c r="V464" s="154" t="s">
        <v>66</v>
      </c>
      <c r="W464" s="154" t="s">
        <v>66</v>
      </c>
      <c r="X464" s="154" t="s">
        <v>66</v>
      </c>
      <c r="Y464" s="154" t="s">
        <v>66</v>
      </c>
      <c r="Z464" s="154" t="s">
        <v>66</v>
      </c>
      <c r="AA464" s="154"/>
      <c r="AB464" s="242" t="str">
        <f t="shared" si="2"/>
        <v>#ERROR!</v>
      </c>
      <c r="AC464" s="154" t="s">
        <v>391</v>
      </c>
      <c r="AD464" s="242" t="b">
        <f t="shared" si="3"/>
        <v>0</v>
      </c>
      <c r="AE464" s="154"/>
      <c r="AF464" s="242" t="str">
        <f t="shared" si="4"/>
        <v>#ERROR!</v>
      </c>
      <c r="AG464" s="154" t="s">
        <v>652</v>
      </c>
      <c r="AH464" s="242" t="str">
        <f>IF(AG464="","N/A",INDIRECT("MTR!"&amp;ADDRESS(MATCH(LEFT(AG464,9),[1]MTR!C:C,0),COLUMN(J464)),TRUE) &amp; "")</f>
        <v>#ERROR!</v>
      </c>
      <c r="AI464" s="157" t="str">
        <f t="shared" si="5"/>
        <v>#ERROR!</v>
      </c>
    </row>
    <row r="465" ht="12.75" customHeight="1">
      <c r="A465" s="244" t="s">
        <v>5158</v>
      </c>
      <c r="B465" s="244" t="s">
        <v>231</v>
      </c>
      <c r="C465" s="244" t="s">
        <v>8017</v>
      </c>
      <c r="D465" s="154" t="s">
        <v>781</v>
      </c>
      <c r="E465" s="154"/>
      <c r="F465" s="154" t="str">
        <f t="array" ref="F465">XLOOKUP(Cover!$D$12,$R$1:$Z$1,$R465:$Z465)</f>
        <v>Information</v>
      </c>
      <c r="G465" s="154" t="s">
        <v>8018</v>
      </c>
      <c r="H465" s="154" t="s">
        <v>7844</v>
      </c>
      <c r="I465" s="154" t="s">
        <v>8016</v>
      </c>
      <c r="J465" s="154" t="s">
        <v>7510</v>
      </c>
      <c r="K465" s="154" t="s">
        <v>7835</v>
      </c>
      <c r="L465" s="154" t="s">
        <v>6140</v>
      </c>
      <c r="M465" s="154"/>
      <c r="N465" s="154" t="s">
        <v>759</v>
      </c>
      <c r="O465" s="247" t="s">
        <v>516</v>
      </c>
      <c r="P465" s="247" t="s">
        <v>6776</v>
      </c>
      <c r="Q465" s="154" t="str">
        <f t="shared" si="1"/>
        <v>#ERROR!</v>
      </c>
      <c r="R465" s="154" t="s">
        <v>66</v>
      </c>
      <c r="S465" s="154" t="s">
        <v>66</v>
      </c>
      <c r="T465" s="154" t="s">
        <v>66</v>
      </c>
      <c r="U465" s="154" t="s">
        <v>66</v>
      </c>
      <c r="V465" s="154" t="s">
        <v>66</v>
      </c>
      <c r="W465" s="154" t="s">
        <v>66</v>
      </c>
      <c r="X465" s="154" t="s">
        <v>66</v>
      </c>
      <c r="Y465" s="154" t="s">
        <v>66</v>
      </c>
      <c r="Z465" s="154" t="s">
        <v>66</v>
      </c>
      <c r="AA465" s="154"/>
      <c r="AB465" s="242" t="str">
        <f t="shared" si="2"/>
        <v>#ERROR!</v>
      </c>
      <c r="AC465" s="154" t="s">
        <v>391</v>
      </c>
      <c r="AD465" s="242" t="b">
        <f t="shared" si="3"/>
        <v>0</v>
      </c>
      <c r="AE465" s="154"/>
      <c r="AF465" s="242" t="str">
        <f t="shared" si="4"/>
        <v>#ERROR!</v>
      </c>
      <c r="AG465" s="154" t="s">
        <v>652</v>
      </c>
      <c r="AH465" s="242" t="str">
        <f>IF(AG465="","N/A",INDIRECT("MTR!"&amp;ADDRESS(MATCH(LEFT(AG465,9),[1]MTR!C:C,0),COLUMN(J465)),TRUE) &amp; "")</f>
        <v>#ERROR!</v>
      </c>
      <c r="AI465" s="157" t="str">
        <f t="shared" si="5"/>
        <v>#ERROR!</v>
      </c>
    </row>
    <row r="466" ht="12.75" customHeight="1">
      <c r="A466" s="244" t="s">
        <v>5158</v>
      </c>
      <c r="B466" s="244" t="s">
        <v>231</v>
      </c>
      <c r="C466" s="244" t="s">
        <v>8019</v>
      </c>
      <c r="D466" s="154" t="s">
        <v>781</v>
      </c>
      <c r="E466" s="154"/>
      <c r="F466" s="154" t="str">
        <f t="array" ref="F466">XLOOKUP(Cover!$D$12,$R$1:$Z$1,$R466:$Z466)</f>
        <v>Information</v>
      </c>
      <c r="G466" s="154" t="s">
        <v>8020</v>
      </c>
      <c r="H466" s="154" t="s">
        <v>7853</v>
      </c>
      <c r="I466" s="154" t="s">
        <v>8016</v>
      </c>
      <c r="J466" s="154" t="s">
        <v>7510</v>
      </c>
      <c r="K466" s="154" t="s">
        <v>7835</v>
      </c>
      <c r="L466" s="154" t="s">
        <v>6140</v>
      </c>
      <c r="M466" s="154"/>
      <c r="N466" s="154" t="s">
        <v>759</v>
      </c>
      <c r="O466" s="247" t="s">
        <v>516</v>
      </c>
      <c r="P466" s="247" t="s">
        <v>6776</v>
      </c>
      <c r="Q466" s="154" t="str">
        <f t="shared" si="1"/>
        <v>#ERROR!</v>
      </c>
      <c r="R466" s="154" t="s">
        <v>66</v>
      </c>
      <c r="S466" s="154" t="s">
        <v>66</v>
      </c>
      <c r="T466" s="154" t="s">
        <v>66</v>
      </c>
      <c r="U466" s="154" t="s">
        <v>66</v>
      </c>
      <c r="V466" s="154" t="s">
        <v>66</v>
      </c>
      <c r="W466" s="154" t="s">
        <v>66</v>
      </c>
      <c r="X466" s="154" t="s">
        <v>66</v>
      </c>
      <c r="Y466" s="154" t="s">
        <v>66</v>
      </c>
      <c r="Z466" s="154" t="s">
        <v>66</v>
      </c>
      <c r="AA466" s="154"/>
      <c r="AB466" s="242" t="str">
        <f t="shared" si="2"/>
        <v>#ERROR!</v>
      </c>
      <c r="AC466" s="154" t="s">
        <v>391</v>
      </c>
      <c r="AD466" s="242" t="b">
        <f t="shared" si="3"/>
        <v>0</v>
      </c>
      <c r="AE466" s="154"/>
      <c r="AF466" s="242" t="str">
        <f t="shared" si="4"/>
        <v>#ERROR!</v>
      </c>
      <c r="AG466" s="154" t="s">
        <v>652</v>
      </c>
      <c r="AH466" s="242" t="str">
        <f>IF(AG466="","N/A",INDIRECT("MTR!"&amp;ADDRESS(MATCH(LEFT(AG466,9),[1]MTR!C:C,0),COLUMN(J466)),TRUE) &amp; "")</f>
        <v>#ERROR!</v>
      </c>
      <c r="AI466" s="157" t="str">
        <f t="shared" si="5"/>
        <v>#ERROR!</v>
      </c>
    </row>
    <row r="467" ht="12.75" customHeight="1">
      <c r="A467" s="244" t="s">
        <v>5158</v>
      </c>
      <c r="B467" s="244" t="s">
        <v>231</v>
      </c>
      <c r="C467" s="244" t="s">
        <v>8021</v>
      </c>
      <c r="D467" s="154" t="s">
        <v>503</v>
      </c>
      <c r="E467" s="154"/>
      <c r="F467" s="154" t="str">
        <f t="array" ref="F467">XLOOKUP(Cover!$D$12,$R$1:$Z$1,$R467:$Z467)</f>
        <v>Information</v>
      </c>
      <c r="G467" s="154" t="s">
        <v>8022</v>
      </c>
      <c r="H467" s="154" t="s">
        <v>7834</v>
      </c>
      <c r="I467" s="154" t="s">
        <v>8023</v>
      </c>
      <c r="J467" s="154" t="s">
        <v>7510</v>
      </c>
      <c r="K467" s="154" t="s">
        <v>7835</v>
      </c>
      <c r="L467" s="154" t="s">
        <v>6463</v>
      </c>
      <c r="M467" s="154"/>
      <c r="N467" s="154" t="s">
        <v>759</v>
      </c>
      <c r="O467" s="247" t="s">
        <v>516</v>
      </c>
      <c r="P467" s="247" t="s">
        <v>6776</v>
      </c>
      <c r="Q467" s="154" t="str">
        <f t="shared" si="1"/>
        <v>#ERROR!</v>
      </c>
      <c r="R467" s="154" t="s">
        <v>66</v>
      </c>
      <c r="S467" s="154" t="s">
        <v>66</v>
      </c>
      <c r="T467" s="154" t="s">
        <v>66</v>
      </c>
      <c r="U467" s="154" t="s">
        <v>66</v>
      </c>
      <c r="V467" s="154" t="s">
        <v>66</v>
      </c>
      <c r="W467" s="154" t="s">
        <v>66</v>
      </c>
      <c r="X467" s="154" t="s">
        <v>66</v>
      </c>
      <c r="Y467" s="154" t="s">
        <v>66</v>
      </c>
      <c r="Z467" s="154" t="s">
        <v>66</v>
      </c>
      <c r="AA467" s="154"/>
      <c r="AB467" s="242" t="str">
        <f t="shared" si="2"/>
        <v>#ERROR!</v>
      </c>
      <c r="AC467" s="154" t="s">
        <v>391</v>
      </c>
      <c r="AD467" s="242" t="b">
        <f t="shared" si="3"/>
        <v>0</v>
      </c>
      <c r="AE467" s="154"/>
      <c r="AF467" s="242" t="str">
        <f t="shared" si="4"/>
        <v>#ERROR!</v>
      </c>
      <c r="AG467" s="154" t="s">
        <v>652</v>
      </c>
      <c r="AH467" s="242" t="str">
        <f>IF(AG467="","N/A",INDIRECT("MTR!"&amp;ADDRESS(MATCH(LEFT(AG467,9),[1]MTR!C:C,0),COLUMN(J467)),TRUE) &amp; "")</f>
        <v>#ERROR!</v>
      </c>
      <c r="AI467" s="157" t="str">
        <f t="shared" si="5"/>
        <v>#ERROR!</v>
      </c>
    </row>
    <row r="468" ht="12.75" customHeight="1">
      <c r="A468" s="244" t="s">
        <v>5158</v>
      </c>
      <c r="B468" s="244" t="s">
        <v>231</v>
      </c>
      <c r="C468" s="244" t="s">
        <v>8024</v>
      </c>
      <c r="D468" s="154" t="s">
        <v>503</v>
      </c>
      <c r="E468" s="154"/>
      <c r="F468" s="154" t="str">
        <f t="array" ref="F468">XLOOKUP(Cover!$D$12,$R$1:$Z$1,$R468:$Z468)</f>
        <v>Information</v>
      </c>
      <c r="G468" s="154" t="s">
        <v>8025</v>
      </c>
      <c r="H468" s="154" t="s">
        <v>7853</v>
      </c>
      <c r="I468" s="154" t="s">
        <v>8023</v>
      </c>
      <c r="J468" s="154" t="s">
        <v>7510</v>
      </c>
      <c r="K468" s="154" t="s">
        <v>7835</v>
      </c>
      <c r="L468" s="154" t="s">
        <v>6463</v>
      </c>
      <c r="M468" s="154"/>
      <c r="N468" s="154" t="s">
        <v>759</v>
      </c>
      <c r="O468" s="247" t="s">
        <v>516</v>
      </c>
      <c r="P468" s="247" t="s">
        <v>6776</v>
      </c>
      <c r="Q468" s="154" t="str">
        <f t="shared" si="1"/>
        <v>#ERROR!</v>
      </c>
      <c r="R468" s="154" t="s">
        <v>66</v>
      </c>
      <c r="S468" s="154" t="s">
        <v>66</v>
      </c>
      <c r="T468" s="154" t="s">
        <v>66</v>
      </c>
      <c r="U468" s="154" t="s">
        <v>66</v>
      </c>
      <c r="V468" s="154" t="s">
        <v>66</v>
      </c>
      <c r="W468" s="154" t="s">
        <v>66</v>
      </c>
      <c r="X468" s="154" t="s">
        <v>66</v>
      </c>
      <c r="Y468" s="154" t="s">
        <v>66</v>
      </c>
      <c r="Z468" s="154" t="s">
        <v>66</v>
      </c>
      <c r="AA468" s="154"/>
      <c r="AB468" s="242" t="str">
        <f t="shared" si="2"/>
        <v>#ERROR!</v>
      </c>
      <c r="AC468" s="154" t="s">
        <v>391</v>
      </c>
      <c r="AD468" s="242" t="b">
        <f t="shared" si="3"/>
        <v>0</v>
      </c>
      <c r="AE468" s="154"/>
      <c r="AF468" s="242" t="str">
        <f t="shared" si="4"/>
        <v>#ERROR!</v>
      </c>
      <c r="AG468" s="154" t="s">
        <v>652</v>
      </c>
      <c r="AH468" s="242" t="str">
        <f>IF(AG468="","N/A",INDIRECT("MTR!"&amp;ADDRESS(MATCH(LEFT(AG468,9),[1]MTR!C:C,0),COLUMN(J468)),TRUE) &amp; "")</f>
        <v>#ERROR!</v>
      </c>
      <c r="AI468" s="157" t="str">
        <f t="shared" si="5"/>
        <v>#ERROR!</v>
      </c>
    </row>
    <row r="469" ht="12.75" customHeight="1">
      <c r="A469" s="244" t="s">
        <v>5158</v>
      </c>
      <c r="B469" s="244" t="s">
        <v>231</v>
      </c>
      <c r="C469" s="244" t="s">
        <v>8026</v>
      </c>
      <c r="D469" s="154" t="s">
        <v>781</v>
      </c>
      <c r="E469" s="154"/>
      <c r="F469" s="154" t="str">
        <f t="array" ref="F469">XLOOKUP(Cover!$D$12,$R$1:$Z$1,$R469:$Z469)</f>
        <v>Information</v>
      </c>
      <c r="G469" s="154" t="s">
        <v>8027</v>
      </c>
      <c r="H469" s="154" t="s">
        <v>7838</v>
      </c>
      <c r="I469" s="154" t="s">
        <v>8028</v>
      </c>
      <c r="J469" s="154" t="s">
        <v>6927</v>
      </c>
      <c r="K469" s="154" t="s">
        <v>7835</v>
      </c>
      <c r="L469" s="154" t="s">
        <v>6140</v>
      </c>
      <c r="M469" s="154"/>
      <c r="N469" s="154" t="s">
        <v>759</v>
      </c>
      <c r="O469" s="247" t="s">
        <v>516</v>
      </c>
      <c r="P469" s="247" t="s">
        <v>6776</v>
      </c>
      <c r="Q469" s="154" t="str">
        <f t="shared" si="1"/>
        <v>#ERROR!</v>
      </c>
      <c r="R469" s="154" t="s">
        <v>66</v>
      </c>
      <c r="S469" s="154" t="s">
        <v>66</v>
      </c>
      <c r="T469" s="154" t="s">
        <v>66</v>
      </c>
      <c r="U469" s="154" t="s">
        <v>66</v>
      </c>
      <c r="V469" s="154" t="s">
        <v>66</v>
      </c>
      <c r="W469" s="154" t="s">
        <v>66</v>
      </c>
      <c r="X469" s="154" t="s">
        <v>66</v>
      </c>
      <c r="Y469" s="154" t="s">
        <v>66</v>
      </c>
      <c r="Z469" s="154" t="s">
        <v>66</v>
      </c>
      <c r="AA469" s="154"/>
      <c r="AB469" s="242" t="str">
        <f t="shared" si="2"/>
        <v>#ERROR!</v>
      </c>
      <c r="AC469" s="154" t="s">
        <v>391</v>
      </c>
      <c r="AD469" s="242" t="b">
        <f t="shared" si="3"/>
        <v>0</v>
      </c>
      <c r="AE469" s="154"/>
      <c r="AF469" s="242" t="str">
        <f t="shared" si="4"/>
        <v>#ERROR!</v>
      </c>
      <c r="AG469" s="154" t="s">
        <v>652</v>
      </c>
      <c r="AH469" s="242" t="str">
        <f>IF(AG469="","N/A",INDIRECT("MTR!"&amp;ADDRESS(MATCH(LEFT(AG469,9),[1]MTR!C:C,0),COLUMN(J469)),TRUE) &amp; "")</f>
        <v>#ERROR!</v>
      </c>
      <c r="AI469" s="157" t="str">
        <f t="shared" si="5"/>
        <v>#ERROR!</v>
      </c>
    </row>
    <row r="470" ht="12.75" customHeight="1">
      <c r="A470" s="244" t="s">
        <v>5158</v>
      </c>
      <c r="B470" s="244" t="s">
        <v>231</v>
      </c>
      <c r="C470" s="244" t="s">
        <v>8029</v>
      </c>
      <c r="D470" s="154" t="s">
        <v>781</v>
      </c>
      <c r="E470" s="154"/>
      <c r="F470" s="154" t="str">
        <f t="array" ref="F470">XLOOKUP(Cover!$D$12,$R$1:$Z$1,$R470:$Z470)</f>
        <v>Information</v>
      </c>
      <c r="G470" s="154" t="s">
        <v>8030</v>
      </c>
      <c r="H470" s="154" t="s">
        <v>7892</v>
      </c>
      <c r="I470" s="154" t="s">
        <v>8028</v>
      </c>
      <c r="J470" s="154" t="s">
        <v>6927</v>
      </c>
      <c r="K470" s="154" t="s">
        <v>7835</v>
      </c>
      <c r="L470" s="154" t="s">
        <v>6140</v>
      </c>
      <c r="M470" s="154"/>
      <c r="N470" s="154" t="s">
        <v>759</v>
      </c>
      <c r="O470" s="247" t="s">
        <v>516</v>
      </c>
      <c r="P470" s="247" t="s">
        <v>6776</v>
      </c>
      <c r="Q470" s="154" t="str">
        <f t="shared" si="1"/>
        <v>#ERROR!</v>
      </c>
      <c r="R470" s="154" t="s">
        <v>66</v>
      </c>
      <c r="S470" s="154" t="s">
        <v>66</v>
      </c>
      <c r="T470" s="154" t="s">
        <v>66</v>
      </c>
      <c r="U470" s="154" t="s">
        <v>66</v>
      </c>
      <c r="V470" s="154" t="s">
        <v>66</v>
      </c>
      <c r="W470" s="154" t="s">
        <v>66</v>
      </c>
      <c r="X470" s="154" t="s">
        <v>66</v>
      </c>
      <c r="Y470" s="154" t="s">
        <v>66</v>
      </c>
      <c r="Z470" s="154" t="s">
        <v>66</v>
      </c>
      <c r="AA470" s="154"/>
      <c r="AB470" s="242" t="str">
        <f t="shared" si="2"/>
        <v>#ERROR!</v>
      </c>
      <c r="AC470" s="154" t="s">
        <v>391</v>
      </c>
      <c r="AD470" s="242" t="b">
        <f t="shared" si="3"/>
        <v>0</v>
      </c>
      <c r="AE470" s="154"/>
      <c r="AF470" s="242" t="str">
        <f t="shared" si="4"/>
        <v>#ERROR!</v>
      </c>
      <c r="AG470" s="154" t="s">
        <v>652</v>
      </c>
      <c r="AH470" s="242" t="str">
        <f>IF(AG470="","N/A",INDIRECT("MTR!"&amp;ADDRESS(MATCH(LEFT(AG470,9),[1]MTR!C:C,0),COLUMN(J470)),TRUE) &amp; "")</f>
        <v>#ERROR!</v>
      </c>
      <c r="AI470" s="157" t="str">
        <f t="shared" si="5"/>
        <v>#ERROR!</v>
      </c>
    </row>
    <row r="471" ht="12.75" customHeight="1">
      <c r="A471" s="244" t="s">
        <v>5158</v>
      </c>
      <c r="B471" s="244" t="s">
        <v>231</v>
      </c>
      <c r="C471" s="244" t="s">
        <v>8031</v>
      </c>
      <c r="D471" s="154" t="s">
        <v>781</v>
      </c>
      <c r="E471" s="154"/>
      <c r="F471" s="154" t="str">
        <f t="array" ref="F471">XLOOKUP(Cover!$D$12,$R$1:$Z$1,$R471:$Z471)</f>
        <v>Information</v>
      </c>
      <c r="G471" s="154" t="s">
        <v>8032</v>
      </c>
      <c r="H471" s="154" t="s">
        <v>7844</v>
      </c>
      <c r="I471" s="154" t="s">
        <v>8028</v>
      </c>
      <c r="J471" s="154" t="s">
        <v>6927</v>
      </c>
      <c r="K471" s="154" t="s">
        <v>7835</v>
      </c>
      <c r="L471" s="154" t="s">
        <v>6140</v>
      </c>
      <c r="M471" s="154"/>
      <c r="N471" s="154" t="s">
        <v>759</v>
      </c>
      <c r="O471" s="247" t="s">
        <v>516</v>
      </c>
      <c r="P471" s="247" t="s">
        <v>6776</v>
      </c>
      <c r="Q471" s="154" t="str">
        <f t="shared" si="1"/>
        <v>#ERROR!</v>
      </c>
      <c r="R471" s="154" t="s">
        <v>66</v>
      </c>
      <c r="S471" s="154" t="s">
        <v>66</v>
      </c>
      <c r="T471" s="154" t="s">
        <v>66</v>
      </c>
      <c r="U471" s="154" t="s">
        <v>66</v>
      </c>
      <c r="V471" s="154" t="s">
        <v>66</v>
      </c>
      <c r="W471" s="154" t="s">
        <v>66</v>
      </c>
      <c r="X471" s="154" t="s">
        <v>66</v>
      </c>
      <c r="Y471" s="154" t="s">
        <v>66</v>
      </c>
      <c r="Z471" s="154" t="s">
        <v>66</v>
      </c>
      <c r="AA471" s="154"/>
      <c r="AB471" s="242" t="str">
        <f t="shared" si="2"/>
        <v>#ERROR!</v>
      </c>
      <c r="AC471" s="154" t="s">
        <v>391</v>
      </c>
      <c r="AD471" s="242" t="b">
        <f t="shared" si="3"/>
        <v>0</v>
      </c>
      <c r="AE471" s="154"/>
      <c r="AF471" s="242" t="str">
        <f t="shared" si="4"/>
        <v>#ERROR!</v>
      </c>
      <c r="AG471" s="154" t="s">
        <v>652</v>
      </c>
      <c r="AH471" s="242" t="str">
        <f>IF(AG471="","N/A",INDIRECT("MTR!"&amp;ADDRESS(MATCH(LEFT(AG471,9),[1]MTR!C:C,0),COLUMN(J471)),TRUE) &amp; "")</f>
        <v>#ERROR!</v>
      </c>
      <c r="AI471" s="157" t="str">
        <f t="shared" si="5"/>
        <v>#ERROR!</v>
      </c>
    </row>
    <row r="472" ht="12.75" customHeight="1">
      <c r="A472" s="244" t="s">
        <v>5158</v>
      </c>
      <c r="B472" s="244" t="s">
        <v>231</v>
      </c>
      <c r="C472" s="244" t="s">
        <v>8033</v>
      </c>
      <c r="D472" s="154" t="s">
        <v>503</v>
      </c>
      <c r="E472" s="154"/>
      <c r="F472" s="154" t="str">
        <f t="array" ref="F472">XLOOKUP(Cover!$D$12,$R$1:$Z$1,$R472:$Z472)</f>
        <v>Information</v>
      </c>
      <c r="G472" s="154" t="s">
        <v>8034</v>
      </c>
      <c r="H472" s="154" t="s">
        <v>7838</v>
      </c>
      <c r="I472" s="154" t="s">
        <v>8035</v>
      </c>
      <c r="J472" s="154" t="s">
        <v>6927</v>
      </c>
      <c r="K472" s="154" t="s">
        <v>7835</v>
      </c>
      <c r="L472" s="154" t="s">
        <v>6463</v>
      </c>
      <c r="M472" s="154"/>
      <c r="N472" s="154" t="s">
        <v>759</v>
      </c>
      <c r="O472" s="247" t="s">
        <v>516</v>
      </c>
      <c r="P472" s="247" t="s">
        <v>6776</v>
      </c>
      <c r="Q472" s="154" t="str">
        <f t="shared" si="1"/>
        <v>#ERROR!</v>
      </c>
      <c r="R472" s="154" t="s">
        <v>66</v>
      </c>
      <c r="S472" s="154" t="s">
        <v>66</v>
      </c>
      <c r="T472" s="154" t="s">
        <v>66</v>
      </c>
      <c r="U472" s="154" t="s">
        <v>66</v>
      </c>
      <c r="V472" s="154" t="s">
        <v>66</v>
      </c>
      <c r="W472" s="154" t="s">
        <v>66</v>
      </c>
      <c r="X472" s="154" t="s">
        <v>66</v>
      </c>
      <c r="Y472" s="154" t="s">
        <v>66</v>
      </c>
      <c r="Z472" s="154" t="s">
        <v>66</v>
      </c>
      <c r="AA472" s="154"/>
      <c r="AB472" s="242" t="str">
        <f t="shared" si="2"/>
        <v>#ERROR!</v>
      </c>
      <c r="AC472" s="154" t="s">
        <v>391</v>
      </c>
      <c r="AD472" s="242" t="b">
        <f t="shared" si="3"/>
        <v>0</v>
      </c>
      <c r="AE472" s="154"/>
      <c r="AF472" s="242" t="str">
        <f t="shared" si="4"/>
        <v>#ERROR!</v>
      </c>
      <c r="AG472" s="154" t="s">
        <v>652</v>
      </c>
      <c r="AH472" s="242" t="str">
        <f>IF(AG472="","N/A",INDIRECT("MTR!"&amp;ADDRESS(MATCH(LEFT(AG472,9),[1]MTR!C:C,0),COLUMN(J472)),TRUE) &amp; "")</f>
        <v>#ERROR!</v>
      </c>
      <c r="AI472" s="157" t="str">
        <f t="shared" si="5"/>
        <v>#ERROR!</v>
      </c>
    </row>
    <row r="473" ht="12.75" customHeight="1">
      <c r="A473" s="244" t="s">
        <v>5158</v>
      </c>
      <c r="B473" s="244" t="s">
        <v>231</v>
      </c>
      <c r="C473" s="244" t="s">
        <v>8036</v>
      </c>
      <c r="D473" s="154" t="s">
        <v>781</v>
      </c>
      <c r="E473" s="154"/>
      <c r="F473" s="154" t="str">
        <f t="array" ref="F473">XLOOKUP(Cover!$D$12,$R$1:$Z$1,$R473:$Z473)</f>
        <v>Information</v>
      </c>
      <c r="G473" s="154" t="s">
        <v>8037</v>
      </c>
      <c r="H473" s="154" t="s">
        <v>7838</v>
      </c>
      <c r="I473" s="154" t="s">
        <v>8038</v>
      </c>
      <c r="J473" s="154" t="s">
        <v>6935</v>
      </c>
      <c r="K473" s="154" t="s">
        <v>7835</v>
      </c>
      <c r="L473" s="154" t="s">
        <v>6140</v>
      </c>
      <c r="M473" s="154"/>
      <c r="N473" s="154" t="s">
        <v>759</v>
      </c>
      <c r="O473" s="247" t="s">
        <v>516</v>
      </c>
      <c r="P473" s="247" t="s">
        <v>6776</v>
      </c>
      <c r="Q473" s="154" t="str">
        <f t="shared" si="1"/>
        <v>#ERROR!</v>
      </c>
      <c r="R473" s="154" t="s">
        <v>66</v>
      </c>
      <c r="S473" s="154" t="s">
        <v>66</v>
      </c>
      <c r="T473" s="154" t="s">
        <v>66</v>
      </c>
      <c r="U473" s="154" t="s">
        <v>66</v>
      </c>
      <c r="V473" s="154" t="s">
        <v>66</v>
      </c>
      <c r="W473" s="154" t="s">
        <v>66</v>
      </c>
      <c r="X473" s="154" t="s">
        <v>66</v>
      </c>
      <c r="Y473" s="154" t="s">
        <v>66</v>
      </c>
      <c r="Z473" s="154" t="s">
        <v>66</v>
      </c>
      <c r="AA473" s="154"/>
      <c r="AB473" s="242" t="str">
        <f t="shared" si="2"/>
        <v>#ERROR!</v>
      </c>
      <c r="AC473" s="154" t="s">
        <v>391</v>
      </c>
      <c r="AD473" s="242" t="b">
        <f t="shared" si="3"/>
        <v>0</v>
      </c>
      <c r="AE473" s="154"/>
      <c r="AF473" s="242" t="str">
        <f t="shared" si="4"/>
        <v>#ERROR!</v>
      </c>
      <c r="AG473" s="154" t="s">
        <v>652</v>
      </c>
      <c r="AH473" s="242" t="str">
        <f>IF(AG473="","N/A",INDIRECT("MTR!"&amp;ADDRESS(MATCH(LEFT(AG473,9),[1]MTR!C:C,0),COLUMN(J473)),TRUE) &amp; "")</f>
        <v>#ERROR!</v>
      </c>
      <c r="AI473" s="157" t="str">
        <f t="shared" si="5"/>
        <v>#ERROR!</v>
      </c>
    </row>
    <row r="474" ht="12.75" customHeight="1">
      <c r="A474" s="244" t="s">
        <v>5158</v>
      </c>
      <c r="B474" s="244" t="s">
        <v>231</v>
      </c>
      <c r="C474" s="244" t="s">
        <v>8039</v>
      </c>
      <c r="D474" s="154" t="s">
        <v>781</v>
      </c>
      <c r="E474" s="154"/>
      <c r="F474" s="154" t="str">
        <f t="array" ref="F474">XLOOKUP(Cover!$D$12,$R$1:$Z$1,$R474:$Z474)</f>
        <v>Information</v>
      </c>
      <c r="G474" s="154" t="s">
        <v>8040</v>
      </c>
      <c r="H474" s="154" t="s">
        <v>7844</v>
      </c>
      <c r="I474" s="154" t="s">
        <v>8038</v>
      </c>
      <c r="J474" s="154" t="s">
        <v>6935</v>
      </c>
      <c r="K474" s="154" t="s">
        <v>7835</v>
      </c>
      <c r="L474" s="154" t="s">
        <v>6140</v>
      </c>
      <c r="M474" s="154"/>
      <c r="N474" s="154" t="s">
        <v>759</v>
      </c>
      <c r="O474" s="247" t="s">
        <v>516</v>
      </c>
      <c r="P474" s="247" t="s">
        <v>6776</v>
      </c>
      <c r="Q474" s="154" t="str">
        <f t="shared" si="1"/>
        <v>#ERROR!</v>
      </c>
      <c r="R474" s="154" t="s">
        <v>66</v>
      </c>
      <c r="S474" s="154" t="s">
        <v>66</v>
      </c>
      <c r="T474" s="154" t="s">
        <v>66</v>
      </c>
      <c r="U474" s="154" t="s">
        <v>66</v>
      </c>
      <c r="V474" s="154" t="s">
        <v>66</v>
      </c>
      <c r="W474" s="154" t="s">
        <v>66</v>
      </c>
      <c r="X474" s="154" t="s">
        <v>66</v>
      </c>
      <c r="Y474" s="154" t="s">
        <v>66</v>
      </c>
      <c r="Z474" s="154" t="s">
        <v>66</v>
      </c>
      <c r="AA474" s="154"/>
      <c r="AB474" s="242" t="str">
        <f t="shared" si="2"/>
        <v>#ERROR!</v>
      </c>
      <c r="AC474" s="154" t="s">
        <v>391</v>
      </c>
      <c r="AD474" s="242" t="b">
        <f t="shared" si="3"/>
        <v>0</v>
      </c>
      <c r="AE474" s="154"/>
      <c r="AF474" s="242" t="str">
        <f t="shared" si="4"/>
        <v>#ERROR!</v>
      </c>
      <c r="AG474" s="154" t="s">
        <v>652</v>
      </c>
      <c r="AH474" s="242" t="str">
        <f>IF(AG474="","N/A",INDIRECT("MTR!"&amp;ADDRESS(MATCH(LEFT(AG474,9),[1]MTR!C:C,0),COLUMN(J474)),TRUE) &amp; "")</f>
        <v>#ERROR!</v>
      </c>
      <c r="AI474" s="157" t="str">
        <f t="shared" si="5"/>
        <v>#ERROR!</v>
      </c>
    </row>
    <row r="475" ht="12.75" customHeight="1">
      <c r="A475" s="244" t="s">
        <v>5158</v>
      </c>
      <c r="B475" s="244" t="s">
        <v>231</v>
      </c>
      <c r="C475" s="244" t="s">
        <v>8041</v>
      </c>
      <c r="D475" s="154" t="s">
        <v>781</v>
      </c>
      <c r="E475" s="154"/>
      <c r="F475" s="154" t="str">
        <f t="array" ref="F475">XLOOKUP(Cover!$D$12,$R$1:$Z$1,$R475:$Z475)</f>
        <v>Mandatory</v>
      </c>
      <c r="G475" s="154" t="s">
        <v>8042</v>
      </c>
      <c r="H475" s="154" t="s">
        <v>7838</v>
      </c>
      <c r="I475" s="154" t="s">
        <v>8043</v>
      </c>
      <c r="J475" s="154" t="s">
        <v>6956</v>
      </c>
      <c r="K475" s="154" t="s">
        <v>7835</v>
      </c>
      <c r="L475" s="154" t="s">
        <v>6942</v>
      </c>
      <c r="M475" s="154" t="s">
        <v>1018</v>
      </c>
      <c r="N475" s="154" t="s">
        <v>759</v>
      </c>
      <c r="O475" s="247" t="s">
        <v>516</v>
      </c>
      <c r="P475" s="247" t="s">
        <v>7881</v>
      </c>
      <c r="Q475" s="154" t="str">
        <f t="shared" si="1"/>
        <v>#ERROR!</v>
      </c>
      <c r="R475" s="154" t="s">
        <v>66</v>
      </c>
      <c r="S475" s="154" t="s">
        <v>66</v>
      </c>
      <c r="T475" s="154" t="s">
        <v>66</v>
      </c>
      <c r="U475" s="154" t="s">
        <v>66</v>
      </c>
      <c r="V475" s="154" t="s">
        <v>66</v>
      </c>
      <c r="W475" s="154" t="s">
        <v>60</v>
      </c>
      <c r="X475" s="154" t="s">
        <v>66</v>
      </c>
      <c r="Y475" s="154" t="s">
        <v>66</v>
      </c>
      <c r="Z475" s="154" t="s">
        <v>60</v>
      </c>
      <c r="AA475" s="154"/>
      <c r="AB475" s="242" t="str">
        <f t="shared" si="2"/>
        <v>#ERROR!</v>
      </c>
      <c r="AC475" s="154" t="s">
        <v>391</v>
      </c>
      <c r="AD475" s="242" t="b">
        <f t="shared" si="3"/>
        <v>0</v>
      </c>
      <c r="AE475" s="154"/>
      <c r="AF475" s="242" t="str">
        <f t="shared" si="4"/>
        <v>#ERROR!</v>
      </c>
      <c r="AG475" s="154" t="s">
        <v>652</v>
      </c>
      <c r="AH475" s="242" t="str">
        <f>IF(AG475="","N/A",INDIRECT("MTR!"&amp;ADDRESS(MATCH(LEFT(AG475,9),[1]MTR!C:C,0),COLUMN(J475)),TRUE) &amp; "")</f>
        <v>#ERROR!</v>
      </c>
      <c r="AI475" s="157" t="str">
        <f t="shared" si="5"/>
        <v>#ERROR!</v>
      </c>
    </row>
    <row r="476" ht="12.75" customHeight="1">
      <c r="A476" s="244" t="s">
        <v>5158</v>
      </c>
      <c r="B476" s="244" t="s">
        <v>231</v>
      </c>
      <c r="C476" s="244" t="s">
        <v>8044</v>
      </c>
      <c r="D476" s="154" t="s">
        <v>781</v>
      </c>
      <c r="E476" s="154"/>
      <c r="F476" s="154" t="str">
        <f t="array" ref="F476">XLOOKUP(Cover!$D$12,$R$1:$Z$1,$R476:$Z476)</f>
        <v>Mandatory</v>
      </c>
      <c r="G476" s="154" t="s">
        <v>8045</v>
      </c>
      <c r="H476" s="154" t="s">
        <v>7892</v>
      </c>
      <c r="I476" s="154" t="s">
        <v>8043</v>
      </c>
      <c r="J476" s="154" t="s">
        <v>6956</v>
      </c>
      <c r="K476" s="154" t="s">
        <v>7835</v>
      </c>
      <c r="L476" s="154" t="s">
        <v>6942</v>
      </c>
      <c r="M476" s="154" t="s">
        <v>1018</v>
      </c>
      <c r="N476" s="154" t="s">
        <v>759</v>
      </c>
      <c r="O476" s="247" t="s">
        <v>516</v>
      </c>
      <c r="P476" s="247" t="s">
        <v>1575</v>
      </c>
      <c r="Q476" s="154" t="str">
        <f t="shared" si="1"/>
        <v>#ERROR!</v>
      </c>
      <c r="R476" s="154" t="s">
        <v>66</v>
      </c>
      <c r="S476" s="154" t="s">
        <v>66</v>
      </c>
      <c r="T476" s="154" t="s">
        <v>66</v>
      </c>
      <c r="U476" s="154" t="s">
        <v>66</v>
      </c>
      <c r="V476" s="154" t="s">
        <v>66</v>
      </c>
      <c r="W476" s="154" t="s">
        <v>60</v>
      </c>
      <c r="X476" s="154" t="s">
        <v>66</v>
      </c>
      <c r="Y476" s="154" t="s">
        <v>66</v>
      </c>
      <c r="Z476" s="154" t="s">
        <v>60</v>
      </c>
      <c r="AA476" s="154"/>
      <c r="AB476" s="242" t="str">
        <f t="shared" si="2"/>
        <v>#ERROR!</v>
      </c>
      <c r="AC476" s="154" t="s">
        <v>391</v>
      </c>
      <c r="AD476" s="242" t="b">
        <f t="shared" si="3"/>
        <v>0</v>
      </c>
      <c r="AE476" s="154"/>
      <c r="AF476" s="242" t="str">
        <f t="shared" si="4"/>
        <v>#ERROR!</v>
      </c>
      <c r="AG476" s="154" t="s">
        <v>652</v>
      </c>
      <c r="AH476" s="242" t="str">
        <f>IF(AG476="","N/A",INDIRECT("MTR!"&amp;ADDRESS(MATCH(LEFT(AG476,9),[1]MTR!C:C,0),COLUMN(J476)),TRUE) &amp; "")</f>
        <v>#ERROR!</v>
      </c>
      <c r="AI476" s="157" t="str">
        <f t="shared" si="5"/>
        <v>#ERROR!</v>
      </c>
    </row>
    <row r="477" ht="12.75" customHeight="1">
      <c r="A477" s="244" t="s">
        <v>5158</v>
      </c>
      <c r="B477" s="244" t="s">
        <v>231</v>
      </c>
      <c r="C477" s="244" t="s">
        <v>8046</v>
      </c>
      <c r="D477" s="154" t="s">
        <v>781</v>
      </c>
      <c r="E477" s="154"/>
      <c r="F477" s="154" t="str">
        <f t="array" ref="F477">XLOOKUP(Cover!$D$12,$R$1:$Z$1,$R477:$Z477)</f>
        <v>Mandatory</v>
      </c>
      <c r="G477" s="154" t="s">
        <v>8047</v>
      </c>
      <c r="H477" s="154" t="s">
        <v>7850</v>
      </c>
      <c r="I477" s="154" t="s">
        <v>8043</v>
      </c>
      <c r="J477" s="154" t="s">
        <v>6956</v>
      </c>
      <c r="K477" s="154" t="s">
        <v>7835</v>
      </c>
      <c r="L477" s="154" t="s">
        <v>6942</v>
      </c>
      <c r="M477" s="154" t="s">
        <v>1018</v>
      </c>
      <c r="N477" s="154" t="s">
        <v>759</v>
      </c>
      <c r="O477" s="247" t="s">
        <v>445</v>
      </c>
      <c r="P477" s="247" t="s">
        <v>89</v>
      </c>
      <c r="Q477" s="154" t="str">
        <f t="shared" si="1"/>
        <v>#ERROR!</v>
      </c>
      <c r="R477" s="154" t="s">
        <v>66</v>
      </c>
      <c r="S477" s="154" t="s">
        <v>66</v>
      </c>
      <c r="T477" s="154" t="s">
        <v>66</v>
      </c>
      <c r="U477" s="154" t="s">
        <v>66</v>
      </c>
      <c r="V477" s="154" t="s">
        <v>66</v>
      </c>
      <c r="W477" s="154" t="s">
        <v>60</v>
      </c>
      <c r="X477" s="154" t="s">
        <v>66</v>
      </c>
      <c r="Y477" s="154" t="s">
        <v>66</v>
      </c>
      <c r="Z477" s="154" t="s">
        <v>60</v>
      </c>
      <c r="AA477" s="154"/>
      <c r="AB477" s="242" t="str">
        <f t="shared" si="2"/>
        <v>#ERROR!</v>
      </c>
      <c r="AC477" s="154" t="s">
        <v>391</v>
      </c>
      <c r="AD477" s="242" t="b">
        <f t="shared" si="3"/>
        <v>0</v>
      </c>
      <c r="AE477" s="154"/>
      <c r="AF477" s="242" t="str">
        <f t="shared" si="4"/>
        <v>#ERROR!</v>
      </c>
      <c r="AG477" s="154" t="s">
        <v>652</v>
      </c>
      <c r="AH477" s="242" t="str">
        <f>IF(AG477="","N/A",INDIRECT("MTR!"&amp;ADDRESS(MATCH(LEFT(AG477,9),[1]MTR!C:C,0),COLUMN(J477)),TRUE) &amp; "")</f>
        <v>#ERROR!</v>
      </c>
      <c r="AI477" s="157" t="str">
        <f t="shared" si="5"/>
        <v>#ERROR!</v>
      </c>
    </row>
    <row r="478" ht="12.75" customHeight="1">
      <c r="A478" s="244" t="s">
        <v>5158</v>
      </c>
      <c r="B478" s="244" t="s">
        <v>231</v>
      </c>
      <c r="C478" s="244" t="s">
        <v>8048</v>
      </c>
      <c r="D478" s="154" t="s">
        <v>781</v>
      </c>
      <c r="E478" s="154"/>
      <c r="F478" s="154" t="str">
        <f t="array" ref="F478">XLOOKUP(Cover!$D$12,$R$1:$Z$1,$R478:$Z478)</f>
        <v>Information</v>
      </c>
      <c r="G478" s="154" t="s">
        <v>8049</v>
      </c>
      <c r="H478" s="154" t="s">
        <v>7838</v>
      </c>
      <c r="I478" s="154" t="s">
        <v>8050</v>
      </c>
      <c r="J478" s="154" t="s">
        <v>6970</v>
      </c>
      <c r="K478" s="154" t="s">
        <v>7835</v>
      </c>
      <c r="L478" s="154" t="s">
        <v>6140</v>
      </c>
      <c r="M478" s="154"/>
      <c r="N478" s="154" t="s">
        <v>759</v>
      </c>
      <c r="O478" s="247" t="s">
        <v>516</v>
      </c>
      <c r="P478" s="247" t="s">
        <v>7887</v>
      </c>
      <c r="Q478" s="154" t="str">
        <f t="shared" si="1"/>
        <v>#ERROR!</v>
      </c>
      <c r="R478" s="154" t="s">
        <v>66</v>
      </c>
      <c r="S478" s="154" t="s">
        <v>66</v>
      </c>
      <c r="T478" s="154" t="s">
        <v>66</v>
      </c>
      <c r="U478" s="154" t="s">
        <v>66</v>
      </c>
      <c r="V478" s="154" t="s">
        <v>66</v>
      </c>
      <c r="W478" s="154" t="s">
        <v>66</v>
      </c>
      <c r="X478" s="154" t="s">
        <v>66</v>
      </c>
      <c r="Y478" s="154" t="s">
        <v>66</v>
      </c>
      <c r="Z478" s="154" t="s">
        <v>66</v>
      </c>
      <c r="AA478" s="154"/>
      <c r="AB478" s="242" t="str">
        <f t="shared" si="2"/>
        <v>#ERROR!</v>
      </c>
      <c r="AC478" s="154" t="s">
        <v>391</v>
      </c>
      <c r="AD478" s="242" t="b">
        <f t="shared" si="3"/>
        <v>0</v>
      </c>
      <c r="AE478" s="154"/>
      <c r="AF478" s="242" t="str">
        <f t="shared" si="4"/>
        <v>#ERROR!</v>
      </c>
      <c r="AG478" s="154" t="s">
        <v>652</v>
      </c>
      <c r="AH478" s="242" t="str">
        <f>IF(AG478="","N/A",INDIRECT("MTR!"&amp;ADDRESS(MATCH(LEFT(AG478,9),[1]MTR!C:C,0),COLUMN(J478)),TRUE) &amp; "")</f>
        <v>#ERROR!</v>
      </c>
      <c r="AI478" s="157" t="str">
        <f t="shared" si="5"/>
        <v>#ERROR!</v>
      </c>
    </row>
    <row r="479" ht="12.75" customHeight="1">
      <c r="A479" s="244" t="s">
        <v>5158</v>
      </c>
      <c r="B479" s="244" t="s">
        <v>231</v>
      </c>
      <c r="C479" s="244" t="s">
        <v>8051</v>
      </c>
      <c r="D479" s="154" t="s">
        <v>781</v>
      </c>
      <c r="E479" s="154"/>
      <c r="F479" s="154" t="str">
        <f t="array" ref="F479">XLOOKUP(Cover!$D$12,$R$1:$Z$1,$R479:$Z479)</f>
        <v>Information</v>
      </c>
      <c r="G479" s="154" t="s">
        <v>8052</v>
      </c>
      <c r="H479" s="154" t="s">
        <v>7892</v>
      </c>
      <c r="I479" s="154" t="s">
        <v>8050</v>
      </c>
      <c r="J479" s="154" t="s">
        <v>6970</v>
      </c>
      <c r="K479" s="154" t="s">
        <v>7835</v>
      </c>
      <c r="L479" s="154" t="s">
        <v>6140</v>
      </c>
      <c r="M479" s="154"/>
      <c r="N479" s="154" t="s">
        <v>759</v>
      </c>
      <c r="O479" s="247" t="s">
        <v>516</v>
      </c>
      <c r="P479" s="247" t="s">
        <v>1575</v>
      </c>
      <c r="Q479" s="154" t="str">
        <f t="shared" si="1"/>
        <v>#ERROR!</v>
      </c>
      <c r="R479" s="154" t="s">
        <v>66</v>
      </c>
      <c r="S479" s="154" t="s">
        <v>66</v>
      </c>
      <c r="T479" s="154" t="s">
        <v>66</v>
      </c>
      <c r="U479" s="154" t="s">
        <v>66</v>
      </c>
      <c r="V479" s="154" t="s">
        <v>66</v>
      </c>
      <c r="W479" s="154" t="s">
        <v>66</v>
      </c>
      <c r="X479" s="154" t="s">
        <v>66</v>
      </c>
      <c r="Y479" s="154" t="s">
        <v>66</v>
      </c>
      <c r="Z479" s="154" t="s">
        <v>66</v>
      </c>
      <c r="AA479" s="154"/>
      <c r="AB479" s="242" t="str">
        <f t="shared" si="2"/>
        <v>#ERROR!</v>
      </c>
      <c r="AC479" s="154" t="s">
        <v>391</v>
      </c>
      <c r="AD479" s="242" t="b">
        <f t="shared" si="3"/>
        <v>0</v>
      </c>
      <c r="AE479" s="154"/>
      <c r="AF479" s="242" t="str">
        <f t="shared" si="4"/>
        <v>#ERROR!</v>
      </c>
      <c r="AG479" s="154" t="s">
        <v>652</v>
      </c>
      <c r="AH479" s="242" t="str">
        <f>IF(AG479="","N/A",INDIRECT("MTR!"&amp;ADDRESS(MATCH(LEFT(AG479,9),[1]MTR!C:C,0),COLUMN(J479)),TRUE) &amp; "")</f>
        <v>#ERROR!</v>
      </c>
      <c r="AI479" s="157" t="str">
        <f t="shared" si="5"/>
        <v>#ERROR!</v>
      </c>
    </row>
    <row r="480" ht="12.75" customHeight="1">
      <c r="A480" s="244" t="s">
        <v>5158</v>
      </c>
      <c r="B480" s="244" t="s">
        <v>231</v>
      </c>
      <c r="C480" s="244" t="s">
        <v>8053</v>
      </c>
      <c r="D480" s="154" t="s">
        <v>781</v>
      </c>
      <c r="E480" s="154"/>
      <c r="F480" s="154" t="str">
        <f t="array" ref="F480">XLOOKUP(Cover!$D$12,$R$1:$Z$1,$R480:$Z480)</f>
        <v>Information</v>
      </c>
      <c r="G480" s="154" t="s">
        <v>8054</v>
      </c>
      <c r="H480" s="154" t="s">
        <v>7853</v>
      </c>
      <c r="I480" s="154" t="s">
        <v>8050</v>
      </c>
      <c r="J480" s="154" t="s">
        <v>6970</v>
      </c>
      <c r="K480" s="154" t="s">
        <v>7835</v>
      </c>
      <c r="L480" s="154" t="s">
        <v>6140</v>
      </c>
      <c r="M480" s="154"/>
      <c r="N480" s="154" t="s">
        <v>759</v>
      </c>
      <c r="O480" s="247" t="s">
        <v>445</v>
      </c>
      <c r="P480" s="247" t="s">
        <v>89</v>
      </c>
      <c r="Q480" s="154" t="str">
        <f t="shared" si="1"/>
        <v>#ERROR!</v>
      </c>
      <c r="R480" s="154" t="s">
        <v>66</v>
      </c>
      <c r="S480" s="154" t="s">
        <v>66</v>
      </c>
      <c r="T480" s="154" t="s">
        <v>66</v>
      </c>
      <c r="U480" s="154" t="s">
        <v>66</v>
      </c>
      <c r="V480" s="154" t="s">
        <v>66</v>
      </c>
      <c r="W480" s="154" t="s">
        <v>66</v>
      </c>
      <c r="X480" s="154" t="s">
        <v>66</v>
      </c>
      <c r="Y480" s="154" t="s">
        <v>66</v>
      </c>
      <c r="Z480" s="154" t="s">
        <v>66</v>
      </c>
      <c r="AA480" s="154"/>
      <c r="AB480" s="242" t="str">
        <f t="shared" si="2"/>
        <v>#ERROR!</v>
      </c>
      <c r="AC480" s="154" t="s">
        <v>391</v>
      </c>
      <c r="AD480" s="242" t="b">
        <f t="shared" si="3"/>
        <v>0</v>
      </c>
      <c r="AE480" s="154"/>
      <c r="AF480" s="242" t="str">
        <f t="shared" si="4"/>
        <v>#ERROR!</v>
      </c>
      <c r="AG480" s="154" t="s">
        <v>652</v>
      </c>
      <c r="AH480" s="242" t="str">
        <f>IF(AG480="","N/A",INDIRECT("MTR!"&amp;ADDRESS(MATCH(LEFT(AG480,9),[1]MTR!C:C,0),COLUMN(J480)),TRUE) &amp; "")</f>
        <v>#ERROR!</v>
      </c>
      <c r="AI480" s="157" t="str">
        <f t="shared" si="5"/>
        <v>#ERROR!</v>
      </c>
    </row>
    <row r="481" ht="12.75" customHeight="1">
      <c r="A481" s="244" t="s">
        <v>5158</v>
      </c>
      <c r="B481" s="244" t="s">
        <v>231</v>
      </c>
      <c r="C481" s="244" t="s">
        <v>8055</v>
      </c>
      <c r="D481" s="154" t="s">
        <v>781</v>
      </c>
      <c r="E481" s="154"/>
      <c r="F481" s="154" t="str">
        <f t="array" ref="F481">XLOOKUP(Cover!$D$12,$R$1:$Z$1,$R481:$Z481)</f>
        <v>Information</v>
      </c>
      <c r="G481" s="154" t="s">
        <v>8056</v>
      </c>
      <c r="H481" s="154" t="s">
        <v>7838</v>
      </c>
      <c r="I481" s="154" t="s">
        <v>8057</v>
      </c>
      <c r="J481" s="154" t="s">
        <v>8058</v>
      </c>
      <c r="K481" s="154" t="s">
        <v>7835</v>
      </c>
      <c r="L481" s="154" t="s">
        <v>6140</v>
      </c>
      <c r="M481" s="154"/>
      <c r="N481" s="154" t="s">
        <v>759</v>
      </c>
      <c r="O481" s="247" t="s">
        <v>516</v>
      </c>
      <c r="P481" s="247" t="s">
        <v>7887</v>
      </c>
      <c r="Q481" s="154" t="str">
        <f t="shared" si="1"/>
        <v>#ERROR!</v>
      </c>
      <c r="R481" s="154" t="s">
        <v>66</v>
      </c>
      <c r="S481" s="154" t="s">
        <v>66</v>
      </c>
      <c r="T481" s="154" t="s">
        <v>66</v>
      </c>
      <c r="U481" s="154" t="s">
        <v>66</v>
      </c>
      <c r="V481" s="154" t="s">
        <v>66</v>
      </c>
      <c r="W481" s="154" t="s">
        <v>66</v>
      </c>
      <c r="X481" s="154" t="s">
        <v>66</v>
      </c>
      <c r="Y481" s="154" t="s">
        <v>66</v>
      </c>
      <c r="Z481" s="154" t="s">
        <v>66</v>
      </c>
      <c r="AA481" s="154"/>
      <c r="AB481" s="242" t="str">
        <f t="shared" si="2"/>
        <v>#ERROR!</v>
      </c>
      <c r="AC481" s="154" t="s">
        <v>391</v>
      </c>
      <c r="AD481" s="242" t="b">
        <f t="shared" si="3"/>
        <v>0</v>
      </c>
      <c r="AE481" s="154"/>
      <c r="AF481" s="242" t="str">
        <f t="shared" si="4"/>
        <v>#ERROR!</v>
      </c>
      <c r="AG481" s="154" t="s">
        <v>652</v>
      </c>
      <c r="AH481" s="242" t="str">
        <f>IF(AG481="","N/A",INDIRECT("MTR!"&amp;ADDRESS(MATCH(LEFT(AG481,9),[1]MTR!C:C,0),COLUMN(J481)),TRUE) &amp; "")</f>
        <v>#ERROR!</v>
      </c>
      <c r="AI481" s="157" t="str">
        <f t="shared" si="5"/>
        <v>#ERROR!</v>
      </c>
    </row>
    <row r="482" ht="12.75" customHeight="1">
      <c r="A482" s="244" t="s">
        <v>5158</v>
      </c>
      <c r="B482" s="244" t="s">
        <v>231</v>
      </c>
      <c r="C482" s="244" t="s">
        <v>8059</v>
      </c>
      <c r="D482" s="154" t="s">
        <v>781</v>
      </c>
      <c r="E482" s="154"/>
      <c r="F482" s="154" t="str">
        <f t="array" ref="F482">XLOOKUP(Cover!$D$12,$R$1:$Z$1,$R482:$Z482)</f>
        <v>Information</v>
      </c>
      <c r="G482" s="154" t="s">
        <v>8060</v>
      </c>
      <c r="H482" s="154" t="s">
        <v>7853</v>
      </c>
      <c r="I482" s="154" t="s">
        <v>8057</v>
      </c>
      <c r="J482" s="154" t="s">
        <v>8058</v>
      </c>
      <c r="K482" s="154" t="s">
        <v>7835</v>
      </c>
      <c r="L482" s="154" t="s">
        <v>6140</v>
      </c>
      <c r="M482" s="154"/>
      <c r="N482" s="154" t="s">
        <v>759</v>
      </c>
      <c r="O482" s="247" t="s">
        <v>445</v>
      </c>
      <c r="P482" s="247" t="s">
        <v>89</v>
      </c>
      <c r="Q482" s="154" t="str">
        <f t="shared" si="1"/>
        <v>#ERROR!</v>
      </c>
      <c r="R482" s="154" t="s">
        <v>66</v>
      </c>
      <c r="S482" s="154" t="s">
        <v>66</v>
      </c>
      <c r="T482" s="154" t="s">
        <v>66</v>
      </c>
      <c r="U482" s="154" t="s">
        <v>66</v>
      </c>
      <c r="V482" s="154" t="s">
        <v>66</v>
      </c>
      <c r="W482" s="154" t="s">
        <v>66</v>
      </c>
      <c r="X482" s="154" t="s">
        <v>66</v>
      </c>
      <c r="Y482" s="154" t="s">
        <v>66</v>
      </c>
      <c r="Z482" s="154" t="s">
        <v>66</v>
      </c>
      <c r="AA482" s="154"/>
      <c r="AB482" s="242" t="str">
        <f t="shared" si="2"/>
        <v>#ERROR!</v>
      </c>
      <c r="AC482" s="154" t="s">
        <v>391</v>
      </c>
      <c r="AD482" s="242" t="b">
        <f t="shared" si="3"/>
        <v>0</v>
      </c>
      <c r="AE482" s="154"/>
      <c r="AF482" s="242" t="str">
        <f t="shared" si="4"/>
        <v>#ERROR!</v>
      </c>
      <c r="AG482" s="154" t="s">
        <v>652</v>
      </c>
      <c r="AH482" s="242" t="str">
        <f>IF(AG482="","N/A",INDIRECT("MTR!"&amp;ADDRESS(MATCH(LEFT(AG482,9),[1]MTR!C:C,0),COLUMN(J482)),TRUE) &amp; "")</f>
        <v>#ERROR!</v>
      </c>
      <c r="AI482" s="157" t="str">
        <f t="shared" si="5"/>
        <v>#ERROR!</v>
      </c>
    </row>
    <row r="483" ht="12.75" customHeight="1">
      <c r="A483" s="244" t="s">
        <v>5158</v>
      </c>
      <c r="B483" s="244" t="s">
        <v>231</v>
      </c>
      <c r="C483" s="255" t="s">
        <v>8061</v>
      </c>
      <c r="D483" s="256" t="s">
        <v>42</v>
      </c>
      <c r="E483" s="256" t="s">
        <v>489</v>
      </c>
      <c r="F483" s="154" t="str">
        <f t="array" ref="F483">XLOOKUP(Cover!$D$12,$R$1:$Z$1,$R483:$Z483)</f>
        <v>Information</v>
      </c>
      <c r="G483" s="154" t="s">
        <v>8062</v>
      </c>
      <c r="H483" s="154" t="s">
        <v>7838</v>
      </c>
      <c r="I483" s="154" t="s">
        <v>8063</v>
      </c>
      <c r="J483" s="154" t="s">
        <v>6998</v>
      </c>
      <c r="K483" s="154" t="s">
        <v>7835</v>
      </c>
      <c r="L483" s="154" t="s">
        <v>5931</v>
      </c>
      <c r="M483" s="154"/>
      <c r="N483" s="154" t="s">
        <v>759</v>
      </c>
      <c r="O483" s="247" t="s">
        <v>516</v>
      </c>
      <c r="P483" s="247" t="s">
        <v>6776</v>
      </c>
      <c r="Q483" s="154" t="str">
        <f t="shared" si="1"/>
        <v>#ERROR!</v>
      </c>
      <c r="R483" s="154" t="s">
        <v>66</v>
      </c>
      <c r="S483" s="154" t="s">
        <v>66</v>
      </c>
      <c r="T483" s="154" t="s">
        <v>66</v>
      </c>
      <c r="U483" s="154" t="s">
        <v>66</v>
      </c>
      <c r="V483" s="154" t="s">
        <v>66</v>
      </c>
      <c r="W483" s="154" t="s">
        <v>66</v>
      </c>
      <c r="X483" s="154" t="s">
        <v>66</v>
      </c>
      <c r="Y483" s="154" t="s">
        <v>66</v>
      </c>
      <c r="Z483" s="154" t="s">
        <v>66</v>
      </c>
      <c r="AA483" s="154"/>
      <c r="AB483" s="242" t="str">
        <f t="shared" si="2"/>
        <v>#ERROR!</v>
      </c>
      <c r="AC483" s="154" t="s">
        <v>391</v>
      </c>
      <c r="AD483" s="242" t="b">
        <f t="shared" si="3"/>
        <v>0</v>
      </c>
      <c r="AE483" s="154"/>
      <c r="AF483" s="242" t="str">
        <f t="shared" si="4"/>
        <v>#ERROR!</v>
      </c>
      <c r="AG483" s="154" t="s">
        <v>652</v>
      </c>
      <c r="AH483" s="242" t="str">
        <f>IF(AG483="","N/A",INDIRECT("MTR!"&amp;ADDRESS(MATCH(LEFT(AG483,9),[1]MTR!C:C,0),COLUMN(J483)),TRUE) &amp; "")</f>
        <v>#ERROR!</v>
      </c>
      <c r="AI483" s="157" t="str">
        <f t="shared" si="5"/>
        <v>#ERROR!</v>
      </c>
    </row>
    <row r="484" ht="12.75" customHeight="1">
      <c r="A484" s="244" t="s">
        <v>5158</v>
      </c>
      <c r="B484" s="244" t="s">
        <v>231</v>
      </c>
      <c r="C484" s="255" t="s">
        <v>8064</v>
      </c>
      <c r="D484" s="256" t="s">
        <v>42</v>
      </c>
      <c r="E484" s="256" t="s">
        <v>489</v>
      </c>
      <c r="F484" s="154" t="str">
        <f t="array" ref="F484">XLOOKUP(Cover!$D$12,$R$1:$Z$1,$R484:$Z484)</f>
        <v>Information</v>
      </c>
      <c r="G484" s="154" t="s">
        <v>8065</v>
      </c>
      <c r="H484" s="154" t="s">
        <v>7844</v>
      </c>
      <c r="I484" s="154" t="s">
        <v>8063</v>
      </c>
      <c r="J484" s="154" t="s">
        <v>6998</v>
      </c>
      <c r="K484" s="154" t="s">
        <v>7835</v>
      </c>
      <c r="L484" s="154" t="s">
        <v>5931</v>
      </c>
      <c r="M484" s="154"/>
      <c r="N484" s="154" t="s">
        <v>759</v>
      </c>
      <c r="O484" s="247" t="s">
        <v>516</v>
      </c>
      <c r="P484" s="247" t="s">
        <v>6776</v>
      </c>
      <c r="Q484" s="154" t="str">
        <f t="shared" si="1"/>
        <v>#ERROR!</v>
      </c>
      <c r="R484" s="154" t="s">
        <v>66</v>
      </c>
      <c r="S484" s="154" t="s">
        <v>66</v>
      </c>
      <c r="T484" s="154" t="s">
        <v>66</v>
      </c>
      <c r="U484" s="154" t="s">
        <v>66</v>
      </c>
      <c r="V484" s="154" t="s">
        <v>66</v>
      </c>
      <c r="W484" s="154" t="s">
        <v>66</v>
      </c>
      <c r="X484" s="154" t="s">
        <v>66</v>
      </c>
      <c r="Y484" s="154" t="s">
        <v>66</v>
      </c>
      <c r="Z484" s="154" t="s">
        <v>66</v>
      </c>
      <c r="AA484" s="154"/>
      <c r="AB484" s="242" t="str">
        <f t="shared" si="2"/>
        <v>#ERROR!</v>
      </c>
      <c r="AC484" s="154" t="s">
        <v>391</v>
      </c>
      <c r="AD484" s="242" t="b">
        <f t="shared" si="3"/>
        <v>0</v>
      </c>
      <c r="AE484" s="154"/>
      <c r="AF484" s="242" t="str">
        <f t="shared" si="4"/>
        <v>#ERROR!</v>
      </c>
      <c r="AG484" s="154" t="s">
        <v>652</v>
      </c>
      <c r="AH484" s="242" t="str">
        <f>IF(AG484="","N/A",INDIRECT("MTR!"&amp;ADDRESS(MATCH(LEFT(AG484,9),[1]MTR!C:C,0),COLUMN(J484)),TRUE) &amp; "")</f>
        <v>#ERROR!</v>
      </c>
      <c r="AI484" s="157" t="str">
        <f t="shared" si="5"/>
        <v>#ERROR!</v>
      </c>
    </row>
    <row r="485" ht="12.75" customHeight="1">
      <c r="A485" s="244" t="s">
        <v>5158</v>
      </c>
      <c r="B485" s="244" t="s">
        <v>231</v>
      </c>
      <c r="C485" s="255" t="s">
        <v>8066</v>
      </c>
      <c r="D485" s="256" t="s">
        <v>42</v>
      </c>
      <c r="E485" s="256" t="s">
        <v>489</v>
      </c>
      <c r="F485" s="154" t="str">
        <f t="array" ref="F485">XLOOKUP(Cover!$D$12,$R$1:$Z$1,$R485:$Z485)</f>
        <v>Information</v>
      </c>
      <c r="G485" s="154" t="s">
        <v>8067</v>
      </c>
      <c r="H485" s="154" t="s">
        <v>7847</v>
      </c>
      <c r="I485" s="154" t="s">
        <v>8063</v>
      </c>
      <c r="J485" s="154" t="s">
        <v>6998</v>
      </c>
      <c r="K485" s="154" t="s">
        <v>7835</v>
      </c>
      <c r="L485" s="154" t="s">
        <v>5931</v>
      </c>
      <c r="M485" s="154"/>
      <c r="N485" s="154" t="s">
        <v>759</v>
      </c>
      <c r="O485" s="247" t="s">
        <v>516</v>
      </c>
      <c r="P485" s="247" t="s">
        <v>6776</v>
      </c>
      <c r="Q485" s="154" t="str">
        <f t="shared" si="1"/>
        <v>#ERROR!</v>
      </c>
      <c r="R485" s="154" t="s">
        <v>66</v>
      </c>
      <c r="S485" s="154" t="s">
        <v>66</v>
      </c>
      <c r="T485" s="154" t="s">
        <v>66</v>
      </c>
      <c r="U485" s="154" t="s">
        <v>66</v>
      </c>
      <c r="V485" s="154" t="s">
        <v>66</v>
      </c>
      <c r="W485" s="154" t="s">
        <v>66</v>
      </c>
      <c r="X485" s="154" t="s">
        <v>66</v>
      </c>
      <c r="Y485" s="154" t="s">
        <v>66</v>
      </c>
      <c r="Z485" s="154" t="s">
        <v>66</v>
      </c>
      <c r="AA485" s="154"/>
      <c r="AB485" s="242" t="str">
        <f t="shared" si="2"/>
        <v>#ERROR!</v>
      </c>
      <c r="AC485" s="154" t="s">
        <v>391</v>
      </c>
      <c r="AD485" s="242" t="b">
        <f t="shared" si="3"/>
        <v>0</v>
      </c>
      <c r="AE485" s="154"/>
      <c r="AF485" s="242" t="str">
        <f t="shared" si="4"/>
        <v>#ERROR!</v>
      </c>
      <c r="AG485" s="154" t="s">
        <v>652</v>
      </c>
      <c r="AH485" s="242" t="str">
        <f>IF(AG485="","N/A",INDIRECT("MTR!"&amp;ADDRESS(MATCH(LEFT(AG485,9),[1]MTR!C:C,0),COLUMN(J485)),TRUE) &amp; "")</f>
        <v>#ERROR!</v>
      </c>
      <c r="AI485" s="157" t="str">
        <f t="shared" si="5"/>
        <v>#ERROR!</v>
      </c>
    </row>
    <row r="486" ht="12.75" customHeight="1">
      <c r="A486" s="244" t="s">
        <v>5158</v>
      </c>
      <c r="B486" s="244" t="s">
        <v>231</v>
      </c>
      <c r="C486" s="244" t="s">
        <v>8068</v>
      </c>
      <c r="D486" s="154" t="s">
        <v>781</v>
      </c>
      <c r="E486" s="154"/>
      <c r="F486" s="154" t="str">
        <f t="array" ref="F486">XLOOKUP(Cover!$D$12,$R$1:$Z$1,$R486:$Z486)</f>
        <v>Information</v>
      </c>
      <c r="G486" s="154" t="s">
        <v>8069</v>
      </c>
      <c r="H486" s="154" t="s">
        <v>7838</v>
      </c>
      <c r="I486" s="154" t="s">
        <v>8070</v>
      </c>
      <c r="J486" s="154" t="s">
        <v>7014</v>
      </c>
      <c r="K486" s="154" t="s">
        <v>7835</v>
      </c>
      <c r="L486" s="154" t="s">
        <v>6140</v>
      </c>
      <c r="M486" s="154"/>
      <c r="N486" s="154" t="s">
        <v>759</v>
      </c>
      <c r="O486" s="247" t="s">
        <v>516</v>
      </c>
      <c r="P486" s="247" t="s">
        <v>6776</v>
      </c>
      <c r="Q486" s="154" t="str">
        <f t="shared" si="1"/>
        <v>#ERROR!</v>
      </c>
      <c r="R486" s="154" t="s">
        <v>66</v>
      </c>
      <c r="S486" s="154" t="s">
        <v>66</v>
      </c>
      <c r="T486" s="154" t="s">
        <v>66</v>
      </c>
      <c r="U486" s="154" t="s">
        <v>66</v>
      </c>
      <c r="V486" s="154" t="s">
        <v>66</v>
      </c>
      <c r="W486" s="154" t="s">
        <v>66</v>
      </c>
      <c r="X486" s="154" t="s">
        <v>66</v>
      </c>
      <c r="Y486" s="154" t="s">
        <v>66</v>
      </c>
      <c r="Z486" s="154" t="s">
        <v>66</v>
      </c>
      <c r="AA486" s="154"/>
      <c r="AB486" s="242" t="str">
        <f t="shared" si="2"/>
        <v>#ERROR!</v>
      </c>
      <c r="AC486" s="154" t="s">
        <v>391</v>
      </c>
      <c r="AD486" s="242" t="b">
        <f t="shared" si="3"/>
        <v>0</v>
      </c>
      <c r="AE486" s="154"/>
      <c r="AF486" s="242" t="str">
        <f t="shared" si="4"/>
        <v>#ERROR!</v>
      </c>
      <c r="AG486" s="154" t="s">
        <v>652</v>
      </c>
      <c r="AH486" s="242" t="str">
        <f>IF(AG486="","N/A",INDIRECT("MTR!"&amp;ADDRESS(MATCH(LEFT(AG486,9),[1]MTR!C:C,0),COLUMN(J486)),TRUE) &amp; "")</f>
        <v>#ERROR!</v>
      </c>
      <c r="AI486" s="157" t="str">
        <f t="shared" si="5"/>
        <v>#ERROR!</v>
      </c>
    </row>
    <row r="487" ht="12.75" customHeight="1">
      <c r="A487" s="244" t="s">
        <v>5158</v>
      </c>
      <c r="B487" s="244" t="s">
        <v>231</v>
      </c>
      <c r="C487" s="244" t="s">
        <v>8071</v>
      </c>
      <c r="D487" s="154" t="s">
        <v>781</v>
      </c>
      <c r="E487" s="154"/>
      <c r="F487" s="154" t="str">
        <f t="array" ref="F487">XLOOKUP(Cover!$D$12,$R$1:$Z$1,$R487:$Z487)</f>
        <v>Information</v>
      </c>
      <c r="G487" s="154" t="s">
        <v>8072</v>
      </c>
      <c r="H487" s="154" t="s">
        <v>7844</v>
      </c>
      <c r="I487" s="154" t="s">
        <v>8070</v>
      </c>
      <c r="J487" s="154" t="s">
        <v>7014</v>
      </c>
      <c r="K487" s="154" t="s">
        <v>7835</v>
      </c>
      <c r="L487" s="154" t="s">
        <v>6140</v>
      </c>
      <c r="M487" s="154"/>
      <c r="N487" s="154" t="s">
        <v>759</v>
      </c>
      <c r="O487" s="247" t="s">
        <v>516</v>
      </c>
      <c r="P487" s="247" t="s">
        <v>6776</v>
      </c>
      <c r="Q487" s="154" t="str">
        <f t="shared" si="1"/>
        <v>#ERROR!</v>
      </c>
      <c r="R487" s="154" t="s">
        <v>66</v>
      </c>
      <c r="S487" s="154" t="s">
        <v>66</v>
      </c>
      <c r="T487" s="154" t="s">
        <v>66</v>
      </c>
      <c r="U487" s="154" t="s">
        <v>66</v>
      </c>
      <c r="V487" s="154" t="s">
        <v>66</v>
      </c>
      <c r="W487" s="154" t="s">
        <v>66</v>
      </c>
      <c r="X487" s="154" t="s">
        <v>66</v>
      </c>
      <c r="Y487" s="154" t="s">
        <v>66</v>
      </c>
      <c r="Z487" s="154" t="s">
        <v>66</v>
      </c>
      <c r="AA487" s="154"/>
      <c r="AB487" s="242" t="str">
        <f t="shared" si="2"/>
        <v>#ERROR!</v>
      </c>
      <c r="AC487" s="154" t="s">
        <v>391</v>
      </c>
      <c r="AD487" s="242" t="b">
        <f t="shared" si="3"/>
        <v>0</v>
      </c>
      <c r="AE487" s="154"/>
      <c r="AF487" s="242" t="str">
        <f t="shared" si="4"/>
        <v>#ERROR!</v>
      </c>
      <c r="AG487" s="154" t="s">
        <v>652</v>
      </c>
      <c r="AH487" s="242" t="str">
        <f>IF(AG487="","N/A",INDIRECT("MTR!"&amp;ADDRESS(MATCH(LEFT(AG487,9),[1]MTR!C:C,0),COLUMN(J487)),TRUE) &amp; "")</f>
        <v>#ERROR!</v>
      </c>
      <c r="AI487" s="157" t="str">
        <f t="shared" si="5"/>
        <v>#ERROR!</v>
      </c>
    </row>
    <row r="488" ht="12.75" customHeight="1">
      <c r="A488" s="244" t="s">
        <v>5158</v>
      </c>
      <c r="B488" s="244" t="s">
        <v>231</v>
      </c>
      <c r="C488" s="244" t="s">
        <v>8073</v>
      </c>
      <c r="D488" s="154" t="s">
        <v>781</v>
      </c>
      <c r="E488" s="154"/>
      <c r="F488" s="154" t="str">
        <f t="array" ref="F488">XLOOKUP(Cover!$D$12,$R$1:$Z$1,$R488:$Z488)</f>
        <v>Information</v>
      </c>
      <c r="G488" s="154" t="s">
        <v>8074</v>
      </c>
      <c r="H488" s="154" t="s">
        <v>7853</v>
      </c>
      <c r="I488" s="154" t="s">
        <v>8070</v>
      </c>
      <c r="J488" s="154" t="s">
        <v>7014</v>
      </c>
      <c r="K488" s="154" t="s">
        <v>7835</v>
      </c>
      <c r="L488" s="154" t="s">
        <v>6140</v>
      </c>
      <c r="M488" s="154"/>
      <c r="N488" s="154" t="s">
        <v>759</v>
      </c>
      <c r="O488" s="247" t="s">
        <v>516</v>
      </c>
      <c r="P488" s="247" t="s">
        <v>6776</v>
      </c>
      <c r="Q488" s="154" t="str">
        <f t="shared" si="1"/>
        <v>#ERROR!</v>
      </c>
      <c r="R488" s="154" t="s">
        <v>66</v>
      </c>
      <c r="S488" s="154" t="s">
        <v>66</v>
      </c>
      <c r="T488" s="154" t="s">
        <v>66</v>
      </c>
      <c r="U488" s="154" t="s">
        <v>66</v>
      </c>
      <c r="V488" s="154" t="s">
        <v>66</v>
      </c>
      <c r="W488" s="154" t="s">
        <v>66</v>
      </c>
      <c r="X488" s="154" t="s">
        <v>66</v>
      </c>
      <c r="Y488" s="154" t="s">
        <v>66</v>
      </c>
      <c r="Z488" s="154" t="s">
        <v>66</v>
      </c>
      <c r="AA488" s="154"/>
      <c r="AB488" s="242" t="str">
        <f t="shared" si="2"/>
        <v>#ERROR!</v>
      </c>
      <c r="AC488" s="154" t="s">
        <v>391</v>
      </c>
      <c r="AD488" s="242" t="b">
        <f t="shared" si="3"/>
        <v>0</v>
      </c>
      <c r="AE488" s="154"/>
      <c r="AF488" s="242" t="str">
        <f t="shared" si="4"/>
        <v>#ERROR!</v>
      </c>
      <c r="AG488" s="154" t="s">
        <v>652</v>
      </c>
      <c r="AH488" s="242" t="str">
        <f>IF(AG488="","N/A",INDIRECT("MTR!"&amp;ADDRESS(MATCH(LEFT(AG488,9),[1]MTR!C:C,0),COLUMN(J488)),TRUE) &amp; "")</f>
        <v>#ERROR!</v>
      </c>
      <c r="AI488" s="157" t="str">
        <f t="shared" si="5"/>
        <v>#ERROR!</v>
      </c>
    </row>
    <row r="489" ht="12.75" customHeight="1">
      <c r="A489" s="244" t="s">
        <v>5158</v>
      </c>
      <c r="B489" s="244" t="s">
        <v>231</v>
      </c>
      <c r="C489" s="244" t="s">
        <v>8075</v>
      </c>
      <c r="D489" s="154" t="s">
        <v>503</v>
      </c>
      <c r="E489" s="154"/>
      <c r="F489" s="154" t="str">
        <f t="array" ref="F489">XLOOKUP(Cover!$D$12,$R$1:$Z$1,$R489:$Z489)</f>
        <v>Information</v>
      </c>
      <c r="G489" s="154" t="s">
        <v>8076</v>
      </c>
      <c r="H489" s="154" t="s">
        <v>7838</v>
      </c>
      <c r="I489" s="154" t="s">
        <v>8077</v>
      </c>
      <c r="J489" s="154" t="s">
        <v>7014</v>
      </c>
      <c r="K489" s="154" t="s">
        <v>7835</v>
      </c>
      <c r="L489" s="154" t="s">
        <v>6463</v>
      </c>
      <c r="M489" s="154"/>
      <c r="N489" s="154" t="s">
        <v>759</v>
      </c>
      <c r="O489" s="247" t="s">
        <v>516</v>
      </c>
      <c r="P489" s="247" t="s">
        <v>6776</v>
      </c>
      <c r="Q489" s="154" t="str">
        <f t="shared" si="1"/>
        <v>#ERROR!</v>
      </c>
      <c r="R489" s="154" t="s">
        <v>66</v>
      </c>
      <c r="S489" s="154" t="s">
        <v>66</v>
      </c>
      <c r="T489" s="154" t="s">
        <v>66</v>
      </c>
      <c r="U489" s="154" t="s">
        <v>66</v>
      </c>
      <c r="V489" s="154" t="s">
        <v>66</v>
      </c>
      <c r="W489" s="154" t="s">
        <v>66</v>
      </c>
      <c r="X489" s="154" t="s">
        <v>66</v>
      </c>
      <c r="Y489" s="154" t="s">
        <v>66</v>
      </c>
      <c r="Z489" s="154" t="s">
        <v>66</v>
      </c>
      <c r="AA489" s="154"/>
      <c r="AB489" s="242" t="str">
        <f t="shared" si="2"/>
        <v>#ERROR!</v>
      </c>
      <c r="AC489" s="154" t="s">
        <v>391</v>
      </c>
      <c r="AD489" s="242" t="b">
        <f t="shared" si="3"/>
        <v>0</v>
      </c>
      <c r="AE489" s="154"/>
      <c r="AF489" s="242" t="str">
        <f t="shared" si="4"/>
        <v>#ERROR!</v>
      </c>
      <c r="AG489" s="154" t="s">
        <v>652</v>
      </c>
      <c r="AH489" s="242" t="str">
        <f>IF(AG489="","N/A",INDIRECT("MTR!"&amp;ADDRESS(MATCH(LEFT(AG489,9),[1]MTR!C:C,0),COLUMN(J489)),TRUE) &amp; "")</f>
        <v>#ERROR!</v>
      </c>
      <c r="AI489" s="157" t="str">
        <f t="shared" si="5"/>
        <v>#ERROR!</v>
      </c>
    </row>
    <row r="490" ht="12.75" customHeight="1">
      <c r="A490" s="244" t="s">
        <v>5158</v>
      </c>
      <c r="B490" s="244" t="s">
        <v>231</v>
      </c>
      <c r="C490" s="244" t="s">
        <v>8078</v>
      </c>
      <c r="D490" s="154" t="s">
        <v>503</v>
      </c>
      <c r="E490" s="154"/>
      <c r="F490" s="154" t="str">
        <f t="array" ref="F490">XLOOKUP(Cover!$D$12,$R$1:$Z$1,$R490:$Z490)</f>
        <v>Information</v>
      </c>
      <c r="G490" s="154" t="s">
        <v>8079</v>
      </c>
      <c r="H490" s="154" t="s">
        <v>7853</v>
      </c>
      <c r="I490" s="154" t="s">
        <v>8077</v>
      </c>
      <c r="J490" s="154" t="s">
        <v>7014</v>
      </c>
      <c r="K490" s="154" t="s">
        <v>7835</v>
      </c>
      <c r="L490" s="154" t="s">
        <v>6463</v>
      </c>
      <c r="M490" s="154"/>
      <c r="N490" s="154" t="s">
        <v>759</v>
      </c>
      <c r="O490" s="247" t="s">
        <v>516</v>
      </c>
      <c r="P490" s="247" t="s">
        <v>6776</v>
      </c>
      <c r="Q490" s="154" t="str">
        <f t="shared" si="1"/>
        <v>#ERROR!</v>
      </c>
      <c r="R490" s="154" t="s">
        <v>66</v>
      </c>
      <c r="S490" s="154" t="s">
        <v>66</v>
      </c>
      <c r="T490" s="154" t="s">
        <v>66</v>
      </c>
      <c r="U490" s="154" t="s">
        <v>66</v>
      </c>
      <c r="V490" s="154" t="s">
        <v>66</v>
      </c>
      <c r="W490" s="154" t="s">
        <v>66</v>
      </c>
      <c r="X490" s="154" t="s">
        <v>66</v>
      </c>
      <c r="Y490" s="154" t="s">
        <v>66</v>
      </c>
      <c r="Z490" s="154" t="s">
        <v>66</v>
      </c>
      <c r="AA490" s="154"/>
      <c r="AB490" s="242" t="str">
        <f t="shared" si="2"/>
        <v>#ERROR!</v>
      </c>
      <c r="AC490" s="154" t="s">
        <v>391</v>
      </c>
      <c r="AD490" s="242" t="b">
        <f t="shared" si="3"/>
        <v>0</v>
      </c>
      <c r="AE490" s="154"/>
      <c r="AF490" s="242" t="str">
        <f t="shared" si="4"/>
        <v>#ERROR!</v>
      </c>
      <c r="AG490" s="154" t="s">
        <v>652</v>
      </c>
      <c r="AH490" s="242" t="str">
        <f>IF(AG490="","N/A",INDIRECT("MTR!"&amp;ADDRESS(MATCH(LEFT(AG490,9),[1]MTR!C:C,0),COLUMN(J490)),TRUE) &amp; "")</f>
        <v>#ERROR!</v>
      </c>
      <c r="AI490" s="157" t="str">
        <f t="shared" si="5"/>
        <v>#ERROR!</v>
      </c>
    </row>
    <row r="491" ht="12.75" customHeight="1">
      <c r="A491" s="244" t="s">
        <v>5158</v>
      </c>
      <c r="B491" s="244" t="s">
        <v>231</v>
      </c>
      <c r="C491" s="244" t="s">
        <v>8080</v>
      </c>
      <c r="D491" s="154" t="s">
        <v>503</v>
      </c>
      <c r="E491" s="154"/>
      <c r="F491" s="154" t="str">
        <f t="array" ref="F491">XLOOKUP(Cover!$D$12,$R$1:$Z$1,$R491:$Z491)</f>
        <v>Recommended</v>
      </c>
      <c r="G491" s="154" t="s">
        <v>8081</v>
      </c>
      <c r="H491" s="154" t="s">
        <v>7838</v>
      </c>
      <c r="I491" s="154" t="s">
        <v>8082</v>
      </c>
      <c r="J491" s="154" t="s">
        <v>7050</v>
      </c>
      <c r="K491" s="154" t="s">
        <v>7835</v>
      </c>
      <c r="L491" s="154" t="s">
        <v>6463</v>
      </c>
      <c r="M491" s="154"/>
      <c r="N491" s="154" t="s">
        <v>759</v>
      </c>
      <c r="O491" s="247" t="s">
        <v>516</v>
      </c>
      <c r="P491" s="247" t="s">
        <v>6776</v>
      </c>
      <c r="Q491" s="154" t="str">
        <f t="shared" si="1"/>
        <v>#ERROR!</v>
      </c>
      <c r="R491" s="154" t="s">
        <v>66</v>
      </c>
      <c r="S491" s="154" t="s">
        <v>66</v>
      </c>
      <c r="T491" s="154" t="s">
        <v>66</v>
      </c>
      <c r="U491" s="154" t="s">
        <v>66</v>
      </c>
      <c r="V491" s="154" t="s">
        <v>66</v>
      </c>
      <c r="W491" s="154" t="s">
        <v>64</v>
      </c>
      <c r="X491" s="154" t="s">
        <v>66</v>
      </c>
      <c r="Y491" s="154" t="s">
        <v>66</v>
      </c>
      <c r="Z491" s="154" t="s">
        <v>64</v>
      </c>
      <c r="AA491" s="154"/>
      <c r="AB491" s="242" t="str">
        <f t="shared" si="2"/>
        <v>#ERROR!</v>
      </c>
      <c r="AC491" s="154" t="s">
        <v>391</v>
      </c>
      <c r="AD491" s="242" t="b">
        <f t="shared" si="3"/>
        <v>0</v>
      </c>
      <c r="AE491" s="154"/>
      <c r="AF491" s="242" t="str">
        <f t="shared" si="4"/>
        <v>#ERROR!</v>
      </c>
      <c r="AG491" s="154" t="s">
        <v>652</v>
      </c>
      <c r="AH491" s="242" t="str">
        <f>IF(AG491="","N/A",INDIRECT("MTR!"&amp;ADDRESS(MATCH(LEFT(AG491,9),[1]MTR!C:C,0),COLUMN(J491)),TRUE) &amp; "")</f>
        <v>#ERROR!</v>
      </c>
      <c r="AI491" s="157" t="str">
        <f t="shared" si="5"/>
        <v>#ERROR!</v>
      </c>
    </row>
    <row r="492" ht="12.75" customHeight="1">
      <c r="A492" s="244" t="s">
        <v>5158</v>
      </c>
      <c r="B492" s="244" t="s">
        <v>231</v>
      </c>
      <c r="C492" s="244" t="s">
        <v>8083</v>
      </c>
      <c r="D492" s="154" t="s">
        <v>503</v>
      </c>
      <c r="E492" s="154"/>
      <c r="F492" s="154" t="str">
        <f t="array" ref="F492">XLOOKUP(Cover!$D$12,$R$1:$Z$1,$R492:$Z492)</f>
        <v>Recommended</v>
      </c>
      <c r="G492" s="154" t="s">
        <v>8084</v>
      </c>
      <c r="H492" s="154" t="s">
        <v>7850</v>
      </c>
      <c r="I492" s="154" t="s">
        <v>8082</v>
      </c>
      <c r="J492" s="154" t="s">
        <v>7050</v>
      </c>
      <c r="K492" s="154" t="s">
        <v>7835</v>
      </c>
      <c r="L492" s="154" t="s">
        <v>6463</v>
      </c>
      <c r="M492" s="154"/>
      <c r="N492" s="154" t="s">
        <v>759</v>
      </c>
      <c r="O492" s="247" t="s">
        <v>516</v>
      </c>
      <c r="P492" s="247" t="s">
        <v>6776</v>
      </c>
      <c r="Q492" s="154" t="str">
        <f t="shared" si="1"/>
        <v>#ERROR!</v>
      </c>
      <c r="R492" s="154" t="s">
        <v>66</v>
      </c>
      <c r="S492" s="154" t="s">
        <v>66</v>
      </c>
      <c r="T492" s="154" t="s">
        <v>66</v>
      </c>
      <c r="U492" s="154" t="s">
        <v>66</v>
      </c>
      <c r="V492" s="154" t="s">
        <v>66</v>
      </c>
      <c r="W492" s="154" t="s">
        <v>64</v>
      </c>
      <c r="X492" s="154" t="s">
        <v>66</v>
      </c>
      <c r="Y492" s="154" t="s">
        <v>66</v>
      </c>
      <c r="Z492" s="154" t="s">
        <v>64</v>
      </c>
      <c r="AA492" s="154"/>
      <c r="AB492" s="242" t="str">
        <f t="shared" si="2"/>
        <v>#ERROR!</v>
      </c>
      <c r="AC492" s="154" t="s">
        <v>391</v>
      </c>
      <c r="AD492" s="242" t="b">
        <f t="shared" si="3"/>
        <v>0</v>
      </c>
      <c r="AE492" s="154"/>
      <c r="AF492" s="242" t="str">
        <f t="shared" si="4"/>
        <v>#ERROR!</v>
      </c>
      <c r="AG492" s="154" t="s">
        <v>652</v>
      </c>
      <c r="AH492" s="242" t="str">
        <f>IF(AG492="","N/A",INDIRECT("MTR!"&amp;ADDRESS(MATCH(LEFT(AG492,9),[1]MTR!C:C,0),COLUMN(J492)),TRUE) &amp; "")</f>
        <v>#ERROR!</v>
      </c>
      <c r="AI492" s="157" t="str">
        <f t="shared" si="5"/>
        <v>#ERROR!</v>
      </c>
    </row>
    <row r="493" ht="12.75" customHeight="1">
      <c r="A493" s="238" t="s">
        <v>5158</v>
      </c>
      <c r="B493" s="238" t="s">
        <v>231</v>
      </c>
      <c r="C493" s="238" t="s">
        <v>8085</v>
      </c>
      <c r="D493" s="240"/>
      <c r="E493" s="240" t="s">
        <v>92</v>
      </c>
      <c r="F493" s="240" t="str">
        <f t="array" ref="F493">XLOOKUP(Cover!$D$12,$R$1:$Z$1,$R493:$Z493)</f>
        <v>Heading</v>
      </c>
      <c r="G493" s="239" t="s">
        <v>8086</v>
      </c>
      <c r="H493" s="240"/>
      <c r="I493" s="240"/>
      <c r="J493" s="240"/>
      <c r="K493" s="240"/>
      <c r="L493" s="240"/>
      <c r="M493" s="240"/>
      <c r="N493" s="240" t="s">
        <v>759</v>
      </c>
      <c r="O493" s="240"/>
      <c r="P493" s="240"/>
      <c r="Q493" s="240" t="str">
        <f t="shared" si="1"/>
        <v/>
      </c>
      <c r="R493" s="240" t="s">
        <v>390</v>
      </c>
      <c r="S493" s="240" t="s">
        <v>390</v>
      </c>
      <c r="T493" s="240" t="s">
        <v>390</v>
      </c>
      <c r="U493" s="240" t="s">
        <v>390</v>
      </c>
      <c r="V493" s="240" t="s">
        <v>390</v>
      </c>
      <c r="W493" s="240" t="s">
        <v>390</v>
      </c>
      <c r="X493" s="240" t="s">
        <v>390</v>
      </c>
      <c r="Y493" s="240" t="s">
        <v>390</v>
      </c>
      <c r="Z493" s="240" t="s">
        <v>390</v>
      </c>
      <c r="AA493" s="240"/>
      <c r="AB493" s="242" t="str">
        <f t="shared" si="2"/>
        <v>#ERROR!</v>
      </c>
      <c r="AC493" s="240" t="s">
        <v>391</v>
      </c>
      <c r="AD493" s="242" t="b">
        <f t="shared" si="3"/>
        <v>0</v>
      </c>
      <c r="AE493" s="240"/>
      <c r="AF493" s="242" t="str">
        <f t="shared" si="4"/>
        <v>#ERROR!</v>
      </c>
      <c r="AG493" s="240"/>
      <c r="AH493" s="242" t="str">
        <f>IF(AG493="","N/A",INDIRECT("MTR!"&amp;ADDRESS(MATCH(LEFT(AG493,9),[1]MTR!C:C,0),COLUMN(J493)),TRUE) &amp; "")</f>
        <v>#ERROR!</v>
      </c>
      <c r="AI493" s="157" t="str">
        <f t="shared" si="5"/>
        <v/>
      </c>
    </row>
    <row r="494" ht="12.75" customHeight="1">
      <c r="A494" s="244" t="s">
        <v>5158</v>
      </c>
      <c r="B494" s="244" t="s">
        <v>231</v>
      </c>
      <c r="C494" s="244" t="s">
        <v>8087</v>
      </c>
      <c r="D494" s="154" t="s">
        <v>781</v>
      </c>
      <c r="E494" s="154"/>
      <c r="F494" s="154" t="str">
        <f t="array" ref="F494">XLOOKUP(Cover!$D$12,$R$1:$Z$1,$R494:$Z494)</f>
        <v>Information</v>
      </c>
      <c r="G494" s="154" t="s">
        <v>8088</v>
      </c>
      <c r="H494" s="154" t="s">
        <v>7834</v>
      </c>
      <c r="I494" s="154" t="s">
        <v>8089</v>
      </c>
      <c r="J494" s="154" t="s">
        <v>8090</v>
      </c>
      <c r="K494" s="154" t="s">
        <v>7835</v>
      </c>
      <c r="L494" s="154" t="s">
        <v>6140</v>
      </c>
      <c r="M494" s="154"/>
      <c r="N494" s="154" t="s">
        <v>759</v>
      </c>
      <c r="O494" s="247" t="s">
        <v>516</v>
      </c>
      <c r="P494" s="247" t="s">
        <v>6776</v>
      </c>
      <c r="Q494" s="154" t="str">
        <f t="shared" si="1"/>
        <v>#ERROR!</v>
      </c>
      <c r="R494" s="154" t="s">
        <v>66</v>
      </c>
      <c r="S494" s="154" t="s">
        <v>66</v>
      </c>
      <c r="T494" s="154" t="s">
        <v>66</v>
      </c>
      <c r="U494" s="154" t="s">
        <v>66</v>
      </c>
      <c r="V494" s="154" t="s">
        <v>66</v>
      </c>
      <c r="W494" s="154" t="s">
        <v>66</v>
      </c>
      <c r="X494" s="154" t="s">
        <v>66</v>
      </c>
      <c r="Y494" s="154" t="s">
        <v>66</v>
      </c>
      <c r="Z494" s="154" t="s">
        <v>66</v>
      </c>
      <c r="AA494" s="154"/>
      <c r="AB494" s="242" t="str">
        <f t="shared" si="2"/>
        <v>#ERROR!</v>
      </c>
      <c r="AC494" s="154" t="s">
        <v>391</v>
      </c>
      <c r="AD494" s="242" t="b">
        <f t="shared" si="3"/>
        <v>0</v>
      </c>
      <c r="AE494" s="154"/>
      <c r="AF494" s="242" t="str">
        <f t="shared" si="4"/>
        <v>#ERROR!</v>
      </c>
      <c r="AG494" s="154" t="s">
        <v>652</v>
      </c>
      <c r="AH494" s="242" t="str">
        <f>IF(AG494="","N/A",INDIRECT("MTR!"&amp;ADDRESS(MATCH(LEFT(AG494,9),[1]MTR!C:C,0),COLUMN(J494)),TRUE) &amp; "")</f>
        <v>#ERROR!</v>
      </c>
      <c r="AI494" s="157" t="str">
        <f t="shared" si="5"/>
        <v>#ERROR!</v>
      </c>
    </row>
    <row r="495" ht="12.75" customHeight="1">
      <c r="A495" s="244" t="s">
        <v>5158</v>
      </c>
      <c r="B495" s="244" t="s">
        <v>231</v>
      </c>
      <c r="C495" s="244" t="s">
        <v>8091</v>
      </c>
      <c r="D495" s="154" t="s">
        <v>781</v>
      </c>
      <c r="E495" s="154"/>
      <c r="F495" s="154" t="str">
        <f t="array" ref="F495">XLOOKUP(Cover!$D$12,$R$1:$Z$1,$R495:$Z495)</f>
        <v>Information</v>
      </c>
      <c r="G495" s="154" t="s">
        <v>8092</v>
      </c>
      <c r="H495" s="154" t="s">
        <v>7838</v>
      </c>
      <c r="I495" s="154" t="s">
        <v>8089</v>
      </c>
      <c r="J495" s="154" t="s">
        <v>8090</v>
      </c>
      <c r="K495" s="154" t="s">
        <v>7835</v>
      </c>
      <c r="L495" s="154" t="s">
        <v>6140</v>
      </c>
      <c r="M495" s="154"/>
      <c r="N495" s="154" t="s">
        <v>759</v>
      </c>
      <c r="O495" s="247" t="s">
        <v>516</v>
      </c>
      <c r="P495" s="247" t="s">
        <v>6776</v>
      </c>
      <c r="Q495" s="154" t="str">
        <f t="shared" si="1"/>
        <v>#ERROR!</v>
      </c>
      <c r="R495" s="154" t="s">
        <v>66</v>
      </c>
      <c r="S495" s="154" t="s">
        <v>66</v>
      </c>
      <c r="T495" s="154" t="s">
        <v>66</v>
      </c>
      <c r="U495" s="154" t="s">
        <v>66</v>
      </c>
      <c r="V495" s="154" t="s">
        <v>66</v>
      </c>
      <c r="W495" s="154" t="s">
        <v>66</v>
      </c>
      <c r="X495" s="154" t="s">
        <v>66</v>
      </c>
      <c r="Y495" s="154" t="s">
        <v>66</v>
      </c>
      <c r="Z495" s="154" t="s">
        <v>66</v>
      </c>
      <c r="AA495" s="154"/>
      <c r="AB495" s="242" t="str">
        <f t="shared" si="2"/>
        <v>#ERROR!</v>
      </c>
      <c r="AC495" s="154" t="s">
        <v>391</v>
      </c>
      <c r="AD495" s="242" t="b">
        <f t="shared" si="3"/>
        <v>0</v>
      </c>
      <c r="AE495" s="154"/>
      <c r="AF495" s="242" t="str">
        <f t="shared" si="4"/>
        <v>#ERROR!</v>
      </c>
      <c r="AG495" s="154" t="s">
        <v>652</v>
      </c>
      <c r="AH495" s="242" t="str">
        <f>IF(AG495="","N/A",INDIRECT("MTR!"&amp;ADDRESS(MATCH(LEFT(AG495,9),[1]MTR!C:C,0),COLUMN(J495)),TRUE) &amp; "")</f>
        <v>#ERROR!</v>
      </c>
      <c r="AI495" s="157" t="str">
        <f t="shared" si="5"/>
        <v>#ERROR!</v>
      </c>
    </row>
    <row r="496" ht="12.75" customHeight="1">
      <c r="A496" s="244" t="s">
        <v>5158</v>
      </c>
      <c r="B496" s="244" t="s">
        <v>231</v>
      </c>
      <c r="C496" s="244" t="s">
        <v>8093</v>
      </c>
      <c r="D496" s="154" t="s">
        <v>781</v>
      </c>
      <c r="E496" s="154"/>
      <c r="F496" s="154" t="str">
        <f t="array" ref="F496">XLOOKUP(Cover!$D$12,$R$1:$Z$1,$R496:$Z496)</f>
        <v>Information</v>
      </c>
      <c r="G496" s="154" t="s">
        <v>8094</v>
      </c>
      <c r="H496" s="154" t="s">
        <v>7892</v>
      </c>
      <c r="I496" s="154" t="s">
        <v>8089</v>
      </c>
      <c r="J496" s="154" t="s">
        <v>8090</v>
      </c>
      <c r="K496" s="154" t="s">
        <v>7835</v>
      </c>
      <c r="L496" s="154" t="s">
        <v>6140</v>
      </c>
      <c r="M496" s="154"/>
      <c r="N496" s="154" t="s">
        <v>759</v>
      </c>
      <c r="O496" s="247" t="s">
        <v>516</v>
      </c>
      <c r="P496" s="247" t="s">
        <v>6776</v>
      </c>
      <c r="Q496" s="154" t="str">
        <f t="shared" si="1"/>
        <v>#ERROR!</v>
      </c>
      <c r="R496" s="154" t="s">
        <v>66</v>
      </c>
      <c r="S496" s="154" t="s">
        <v>66</v>
      </c>
      <c r="T496" s="154" t="s">
        <v>66</v>
      </c>
      <c r="U496" s="154" t="s">
        <v>66</v>
      </c>
      <c r="V496" s="154" t="s">
        <v>66</v>
      </c>
      <c r="W496" s="154" t="s">
        <v>66</v>
      </c>
      <c r="X496" s="154" t="s">
        <v>66</v>
      </c>
      <c r="Y496" s="154" t="s">
        <v>66</v>
      </c>
      <c r="Z496" s="154" t="s">
        <v>66</v>
      </c>
      <c r="AA496" s="154"/>
      <c r="AB496" s="242" t="str">
        <f t="shared" si="2"/>
        <v>#ERROR!</v>
      </c>
      <c r="AC496" s="154" t="s">
        <v>391</v>
      </c>
      <c r="AD496" s="242" t="b">
        <f t="shared" si="3"/>
        <v>0</v>
      </c>
      <c r="AE496" s="154"/>
      <c r="AF496" s="242" t="str">
        <f t="shared" si="4"/>
        <v>#ERROR!</v>
      </c>
      <c r="AG496" s="154" t="s">
        <v>652</v>
      </c>
      <c r="AH496" s="242" t="str">
        <f>IF(AG496="","N/A",INDIRECT("MTR!"&amp;ADDRESS(MATCH(LEFT(AG496,9),[1]MTR!C:C,0),COLUMN(J496)),TRUE) &amp; "")</f>
        <v>#ERROR!</v>
      </c>
      <c r="AI496" s="157" t="str">
        <f t="shared" si="5"/>
        <v>#ERROR!</v>
      </c>
    </row>
    <row r="497" ht="12.75" customHeight="1">
      <c r="A497" s="244" t="s">
        <v>5158</v>
      </c>
      <c r="B497" s="244" t="s">
        <v>231</v>
      </c>
      <c r="C497" s="244" t="s">
        <v>8095</v>
      </c>
      <c r="D497" s="154" t="s">
        <v>781</v>
      </c>
      <c r="E497" s="154"/>
      <c r="F497" s="154" t="str">
        <f t="array" ref="F497">XLOOKUP(Cover!$D$12,$R$1:$Z$1,$R497:$Z497)</f>
        <v>Information</v>
      </c>
      <c r="G497" s="154" t="s">
        <v>8096</v>
      </c>
      <c r="H497" s="154" t="s">
        <v>7834</v>
      </c>
      <c r="I497" s="154" t="s">
        <v>8097</v>
      </c>
      <c r="J497" s="154" t="s">
        <v>8098</v>
      </c>
      <c r="K497" s="154" t="s">
        <v>7835</v>
      </c>
      <c r="L497" s="154" t="s">
        <v>6140</v>
      </c>
      <c r="M497" s="154"/>
      <c r="N497" s="154" t="s">
        <v>759</v>
      </c>
      <c r="O497" s="247" t="s">
        <v>516</v>
      </c>
      <c r="P497" s="247" t="s">
        <v>6776</v>
      </c>
      <c r="Q497" s="154" t="str">
        <f t="shared" si="1"/>
        <v>#ERROR!</v>
      </c>
      <c r="R497" s="154" t="s">
        <v>66</v>
      </c>
      <c r="S497" s="154" t="s">
        <v>66</v>
      </c>
      <c r="T497" s="154" t="s">
        <v>66</v>
      </c>
      <c r="U497" s="154" t="s">
        <v>66</v>
      </c>
      <c r="V497" s="154" t="s">
        <v>66</v>
      </c>
      <c r="W497" s="154" t="s">
        <v>66</v>
      </c>
      <c r="X497" s="154" t="s">
        <v>66</v>
      </c>
      <c r="Y497" s="154" t="s">
        <v>66</v>
      </c>
      <c r="Z497" s="154" t="s">
        <v>66</v>
      </c>
      <c r="AA497" s="154"/>
      <c r="AB497" s="242" t="str">
        <f t="shared" si="2"/>
        <v>#ERROR!</v>
      </c>
      <c r="AC497" s="154" t="s">
        <v>391</v>
      </c>
      <c r="AD497" s="242" t="b">
        <f t="shared" si="3"/>
        <v>0</v>
      </c>
      <c r="AE497" s="154"/>
      <c r="AF497" s="242" t="str">
        <f t="shared" si="4"/>
        <v>#ERROR!</v>
      </c>
      <c r="AG497" s="154" t="s">
        <v>652</v>
      </c>
      <c r="AH497" s="242" t="str">
        <f>IF(AG497="","N/A",INDIRECT("MTR!"&amp;ADDRESS(MATCH(LEFT(AG497,9),[1]MTR!C:C,0),COLUMN(J497)),TRUE) &amp; "")</f>
        <v>#ERROR!</v>
      </c>
      <c r="AI497" s="157" t="str">
        <f t="shared" si="5"/>
        <v>#ERROR!</v>
      </c>
    </row>
    <row r="498" ht="12.75" customHeight="1">
      <c r="A498" s="244" t="s">
        <v>5158</v>
      </c>
      <c r="B498" s="244" t="s">
        <v>231</v>
      </c>
      <c r="C498" s="244" t="s">
        <v>8099</v>
      </c>
      <c r="D498" s="154" t="s">
        <v>781</v>
      </c>
      <c r="E498" s="154"/>
      <c r="F498" s="154" t="str">
        <f t="array" ref="F498">XLOOKUP(Cover!$D$12,$R$1:$Z$1,$R498:$Z498)</f>
        <v>Information</v>
      </c>
      <c r="G498" s="154" t="s">
        <v>8100</v>
      </c>
      <c r="H498" s="154" t="s">
        <v>7838</v>
      </c>
      <c r="I498" s="154" t="s">
        <v>8097</v>
      </c>
      <c r="J498" s="154" t="s">
        <v>8098</v>
      </c>
      <c r="K498" s="154" t="s">
        <v>7835</v>
      </c>
      <c r="L498" s="154" t="s">
        <v>6140</v>
      </c>
      <c r="M498" s="154"/>
      <c r="N498" s="154" t="s">
        <v>759</v>
      </c>
      <c r="O498" s="247" t="s">
        <v>516</v>
      </c>
      <c r="P498" s="247" t="s">
        <v>6776</v>
      </c>
      <c r="Q498" s="154" t="str">
        <f t="shared" si="1"/>
        <v>#ERROR!</v>
      </c>
      <c r="R498" s="154" t="s">
        <v>66</v>
      </c>
      <c r="S498" s="154" t="s">
        <v>66</v>
      </c>
      <c r="T498" s="154" t="s">
        <v>66</v>
      </c>
      <c r="U498" s="154" t="s">
        <v>66</v>
      </c>
      <c r="V498" s="154" t="s">
        <v>66</v>
      </c>
      <c r="W498" s="154" t="s">
        <v>66</v>
      </c>
      <c r="X498" s="154" t="s">
        <v>66</v>
      </c>
      <c r="Y498" s="154" t="s">
        <v>66</v>
      </c>
      <c r="Z498" s="154" t="s">
        <v>66</v>
      </c>
      <c r="AA498" s="154"/>
      <c r="AB498" s="242" t="str">
        <f t="shared" si="2"/>
        <v>#ERROR!</v>
      </c>
      <c r="AC498" s="154" t="s">
        <v>391</v>
      </c>
      <c r="AD498" s="242" t="b">
        <f t="shared" si="3"/>
        <v>0</v>
      </c>
      <c r="AE498" s="154"/>
      <c r="AF498" s="242" t="str">
        <f t="shared" si="4"/>
        <v>#ERROR!</v>
      </c>
      <c r="AG498" s="154" t="s">
        <v>652</v>
      </c>
      <c r="AH498" s="242" t="str">
        <f>IF(AG498="","N/A",INDIRECT("MTR!"&amp;ADDRESS(MATCH(LEFT(AG498,9),[1]MTR!C:C,0),COLUMN(J498)),TRUE) &amp; "")</f>
        <v>#ERROR!</v>
      </c>
      <c r="AI498" s="157" t="str">
        <f t="shared" si="5"/>
        <v>#ERROR!</v>
      </c>
    </row>
    <row r="499" ht="12.75" customHeight="1">
      <c r="A499" s="244" t="s">
        <v>5158</v>
      </c>
      <c r="B499" s="244" t="s">
        <v>231</v>
      </c>
      <c r="C499" s="244" t="s">
        <v>8101</v>
      </c>
      <c r="D499" s="154" t="s">
        <v>781</v>
      </c>
      <c r="E499" s="154"/>
      <c r="F499" s="154" t="str">
        <f t="array" ref="F499">XLOOKUP(Cover!$D$12,$R$1:$Z$1,$R499:$Z499)</f>
        <v>Information</v>
      </c>
      <c r="G499" s="154" t="s">
        <v>8102</v>
      </c>
      <c r="H499" s="154" t="s">
        <v>7834</v>
      </c>
      <c r="I499" s="154" t="s">
        <v>8103</v>
      </c>
      <c r="J499" s="154" t="s">
        <v>8104</v>
      </c>
      <c r="K499" s="154" t="s">
        <v>7835</v>
      </c>
      <c r="L499" s="154" t="s">
        <v>6140</v>
      </c>
      <c r="M499" s="154"/>
      <c r="N499" s="154" t="s">
        <v>759</v>
      </c>
      <c r="O499" s="247" t="s">
        <v>516</v>
      </c>
      <c r="P499" s="247" t="s">
        <v>6776</v>
      </c>
      <c r="Q499" s="154" t="str">
        <f t="shared" si="1"/>
        <v>#ERROR!</v>
      </c>
      <c r="R499" s="154" t="s">
        <v>66</v>
      </c>
      <c r="S499" s="154" t="s">
        <v>66</v>
      </c>
      <c r="T499" s="154" t="s">
        <v>66</v>
      </c>
      <c r="U499" s="154" t="s">
        <v>66</v>
      </c>
      <c r="V499" s="154" t="s">
        <v>66</v>
      </c>
      <c r="W499" s="154" t="s">
        <v>66</v>
      </c>
      <c r="X499" s="154" t="s">
        <v>66</v>
      </c>
      <c r="Y499" s="154" t="s">
        <v>66</v>
      </c>
      <c r="Z499" s="154" t="s">
        <v>66</v>
      </c>
      <c r="AA499" s="154"/>
      <c r="AB499" s="242" t="str">
        <f t="shared" si="2"/>
        <v>#ERROR!</v>
      </c>
      <c r="AC499" s="154" t="s">
        <v>391</v>
      </c>
      <c r="AD499" s="242" t="b">
        <f t="shared" si="3"/>
        <v>0</v>
      </c>
      <c r="AE499" s="154"/>
      <c r="AF499" s="242" t="str">
        <f t="shared" si="4"/>
        <v>#ERROR!</v>
      </c>
      <c r="AG499" s="154" t="s">
        <v>652</v>
      </c>
      <c r="AH499" s="242" t="str">
        <f>IF(AG499="","N/A",INDIRECT("MTR!"&amp;ADDRESS(MATCH(LEFT(AG499,9),[1]MTR!C:C,0),COLUMN(J499)),TRUE) &amp; "")</f>
        <v>#ERROR!</v>
      </c>
      <c r="AI499" s="157" t="str">
        <f t="shared" si="5"/>
        <v>#ERROR!</v>
      </c>
    </row>
    <row r="500" ht="12.75" customHeight="1">
      <c r="A500" s="244" t="s">
        <v>5158</v>
      </c>
      <c r="B500" s="244" t="s">
        <v>231</v>
      </c>
      <c r="C500" s="244" t="s">
        <v>8105</v>
      </c>
      <c r="D500" s="154" t="s">
        <v>781</v>
      </c>
      <c r="E500" s="154"/>
      <c r="F500" s="154" t="str">
        <f t="array" ref="F500">XLOOKUP(Cover!$D$12,$R$1:$Z$1,$R500:$Z500)</f>
        <v>Information</v>
      </c>
      <c r="G500" s="154" t="s">
        <v>8106</v>
      </c>
      <c r="H500" s="154" t="s">
        <v>7838</v>
      </c>
      <c r="I500" s="154" t="s">
        <v>8103</v>
      </c>
      <c r="J500" s="154" t="s">
        <v>8104</v>
      </c>
      <c r="K500" s="154" t="s">
        <v>7835</v>
      </c>
      <c r="L500" s="154" t="s">
        <v>6140</v>
      </c>
      <c r="M500" s="154"/>
      <c r="N500" s="154" t="s">
        <v>759</v>
      </c>
      <c r="O500" s="247" t="s">
        <v>516</v>
      </c>
      <c r="P500" s="247" t="s">
        <v>6776</v>
      </c>
      <c r="Q500" s="154" t="str">
        <f t="shared" si="1"/>
        <v>#ERROR!</v>
      </c>
      <c r="R500" s="154" t="s">
        <v>66</v>
      </c>
      <c r="S500" s="154" t="s">
        <v>66</v>
      </c>
      <c r="T500" s="154" t="s">
        <v>66</v>
      </c>
      <c r="U500" s="154" t="s">
        <v>66</v>
      </c>
      <c r="V500" s="154" t="s">
        <v>66</v>
      </c>
      <c r="W500" s="154" t="s">
        <v>66</v>
      </c>
      <c r="X500" s="154" t="s">
        <v>66</v>
      </c>
      <c r="Y500" s="154" t="s">
        <v>66</v>
      </c>
      <c r="Z500" s="154" t="s">
        <v>66</v>
      </c>
      <c r="AA500" s="154"/>
      <c r="AB500" s="242" t="str">
        <f t="shared" si="2"/>
        <v>#ERROR!</v>
      </c>
      <c r="AC500" s="154" t="s">
        <v>391</v>
      </c>
      <c r="AD500" s="242" t="b">
        <f t="shared" si="3"/>
        <v>0</v>
      </c>
      <c r="AE500" s="154"/>
      <c r="AF500" s="242" t="str">
        <f t="shared" si="4"/>
        <v>#ERROR!</v>
      </c>
      <c r="AG500" s="154" t="s">
        <v>652</v>
      </c>
      <c r="AH500" s="242" t="str">
        <f>IF(AG500="","N/A",INDIRECT("MTR!"&amp;ADDRESS(MATCH(LEFT(AG500,9),[1]MTR!C:C,0),COLUMN(J500)),TRUE) &amp; "")</f>
        <v>#ERROR!</v>
      </c>
      <c r="AI500" s="157" t="str">
        <f t="shared" si="5"/>
        <v>#ERROR!</v>
      </c>
    </row>
    <row r="501" ht="12.75" customHeight="1">
      <c r="A501" s="244" t="s">
        <v>5158</v>
      </c>
      <c r="B501" s="244" t="s">
        <v>231</v>
      </c>
      <c r="C501" s="244" t="s">
        <v>8107</v>
      </c>
      <c r="D501" s="154" t="s">
        <v>781</v>
      </c>
      <c r="E501" s="154"/>
      <c r="F501" s="154" t="str">
        <f t="array" ref="F501">XLOOKUP(Cover!$D$12,$R$1:$Z$1,$R501:$Z501)</f>
        <v>Information</v>
      </c>
      <c r="G501" s="154" t="s">
        <v>8108</v>
      </c>
      <c r="H501" s="154" t="s">
        <v>7844</v>
      </c>
      <c r="I501" s="154" t="s">
        <v>8103</v>
      </c>
      <c r="J501" s="154" t="s">
        <v>8104</v>
      </c>
      <c r="K501" s="154" t="s">
        <v>7835</v>
      </c>
      <c r="L501" s="154" t="s">
        <v>6140</v>
      </c>
      <c r="M501" s="154"/>
      <c r="N501" s="154" t="s">
        <v>759</v>
      </c>
      <c r="O501" s="247" t="s">
        <v>516</v>
      </c>
      <c r="P501" s="247" t="s">
        <v>6776</v>
      </c>
      <c r="Q501" s="154" t="str">
        <f t="shared" si="1"/>
        <v>#ERROR!</v>
      </c>
      <c r="R501" s="154" t="s">
        <v>66</v>
      </c>
      <c r="S501" s="154" t="s">
        <v>66</v>
      </c>
      <c r="T501" s="154" t="s">
        <v>66</v>
      </c>
      <c r="U501" s="154" t="s">
        <v>66</v>
      </c>
      <c r="V501" s="154" t="s">
        <v>66</v>
      </c>
      <c r="W501" s="154" t="s">
        <v>66</v>
      </c>
      <c r="X501" s="154" t="s">
        <v>66</v>
      </c>
      <c r="Y501" s="154" t="s">
        <v>66</v>
      </c>
      <c r="Z501" s="154" t="s">
        <v>66</v>
      </c>
      <c r="AA501" s="154"/>
      <c r="AB501" s="242" t="str">
        <f t="shared" si="2"/>
        <v>#ERROR!</v>
      </c>
      <c r="AC501" s="154" t="s">
        <v>391</v>
      </c>
      <c r="AD501" s="242" t="b">
        <f t="shared" si="3"/>
        <v>0</v>
      </c>
      <c r="AE501" s="154"/>
      <c r="AF501" s="242" t="str">
        <f t="shared" si="4"/>
        <v>#ERROR!</v>
      </c>
      <c r="AG501" s="154" t="s">
        <v>652</v>
      </c>
      <c r="AH501" s="242" t="str">
        <f>IF(AG501="","N/A",INDIRECT("MTR!"&amp;ADDRESS(MATCH(LEFT(AG501,9),[1]MTR!C:C,0),COLUMN(J501)),TRUE) &amp; "")</f>
        <v>#ERROR!</v>
      </c>
      <c r="AI501" s="157" t="str">
        <f t="shared" si="5"/>
        <v>#ERROR!</v>
      </c>
    </row>
    <row r="502" ht="12.75" customHeight="1">
      <c r="A502" s="244" t="s">
        <v>5158</v>
      </c>
      <c r="B502" s="244" t="s">
        <v>231</v>
      </c>
      <c r="C502" s="244" t="s">
        <v>8109</v>
      </c>
      <c r="D502" s="154" t="s">
        <v>781</v>
      </c>
      <c r="E502" s="154"/>
      <c r="F502" s="154" t="str">
        <f t="array" ref="F502">XLOOKUP(Cover!$D$12,$R$1:$Z$1,$R502:$Z502)</f>
        <v>Information</v>
      </c>
      <c r="G502" s="154" t="s">
        <v>8110</v>
      </c>
      <c r="H502" s="154" t="s">
        <v>7834</v>
      </c>
      <c r="I502" s="154" t="s">
        <v>8111</v>
      </c>
      <c r="J502" s="154" t="s">
        <v>8112</v>
      </c>
      <c r="K502" s="154" t="s">
        <v>7835</v>
      </c>
      <c r="L502" s="154" t="s">
        <v>6140</v>
      </c>
      <c r="M502" s="154"/>
      <c r="N502" s="154" t="s">
        <v>759</v>
      </c>
      <c r="O502" s="247" t="s">
        <v>516</v>
      </c>
      <c r="P502" s="247" t="s">
        <v>6776</v>
      </c>
      <c r="Q502" s="154" t="str">
        <f t="shared" si="1"/>
        <v>#ERROR!</v>
      </c>
      <c r="R502" s="154" t="s">
        <v>66</v>
      </c>
      <c r="S502" s="154" t="s">
        <v>66</v>
      </c>
      <c r="T502" s="154" t="s">
        <v>66</v>
      </c>
      <c r="U502" s="154" t="s">
        <v>66</v>
      </c>
      <c r="V502" s="154" t="s">
        <v>66</v>
      </c>
      <c r="W502" s="154" t="s">
        <v>66</v>
      </c>
      <c r="X502" s="154" t="s">
        <v>66</v>
      </c>
      <c r="Y502" s="154" t="s">
        <v>66</v>
      </c>
      <c r="Z502" s="154" t="s">
        <v>66</v>
      </c>
      <c r="AA502" s="154"/>
      <c r="AB502" s="242" t="str">
        <f t="shared" si="2"/>
        <v>#ERROR!</v>
      </c>
      <c r="AC502" s="154" t="s">
        <v>391</v>
      </c>
      <c r="AD502" s="242" t="b">
        <f t="shared" si="3"/>
        <v>0</v>
      </c>
      <c r="AE502" s="154"/>
      <c r="AF502" s="242" t="str">
        <f t="shared" si="4"/>
        <v>#ERROR!</v>
      </c>
      <c r="AG502" s="154" t="s">
        <v>652</v>
      </c>
      <c r="AH502" s="242" t="str">
        <f>IF(AG502="","N/A",INDIRECT("MTR!"&amp;ADDRESS(MATCH(LEFT(AG502,9),[1]MTR!C:C,0),COLUMN(J502)),TRUE) &amp; "")</f>
        <v>#ERROR!</v>
      </c>
      <c r="AI502" s="157" t="str">
        <f t="shared" si="5"/>
        <v>#ERROR!</v>
      </c>
    </row>
    <row r="503" ht="12.75" customHeight="1">
      <c r="A503" s="244" t="s">
        <v>5158</v>
      </c>
      <c r="B503" s="244" t="s">
        <v>231</v>
      </c>
      <c r="C503" s="244" t="s">
        <v>8113</v>
      </c>
      <c r="D503" s="154" t="s">
        <v>781</v>
      </c>
      <c r="E503" s="154"/>
      <c r="F503" s="154" t="str">
        <f t="array" ref="F503">XLOOKUP(Cover!$D$12,$R$1:$Z$1,$R503:$Z503)</f>
        <v>Information</v>
      </c>
      <c r="G503" s="154" t="s">
        <v>8114</v>
      </c>
      <c r="H503" s="154" t="s">
        <v>7838</v>
      </c>
      <c r="I503" s="154" t="s">
        <v>8111</v>
      </c>
      <c r="J503" s="154" t="s">
        <v>8112</v>
      </c>
      <c r="K503" s="154" t="s">
        <v>7835</v>
      </c>
      <c r="L503" s="154" t="s">
        <v>6140</v>
      </c>
      <c r="M503" s="154"/>
      <c r="N503" s="154" t="s">
        <v>759</v>
      </c>
      <c r="O503" s="247" t="s">
        <v>516</v>
      </c>
      <c r="P503" s="247" t="s">
        <v>6776</v>
      </c>
      <c r="Q503" s="154" t="str">
        <f t="shared" si="1"/>
        <v>#ERROR!</v>
      </c>
      <c r="R503" s="154" t="s">
        <v>66</v>
      </c>
      <c r="S503" s="154" t="s">
        <v>66</v>
      </c>
      <c r="T503" s="154" t="s">
        <v>66</v>
      </c>
      <c r="U503" s="154" t="s">
        <v>66</v>
      </c>
      <c r="V503" s="154" t="s">
        <v>66</v>
      </c>
      <c r="W503" s="154" t="s">
        <v>66</v>
      </c>
      <c r="X503" s="154" t="s">
        <v>66</v>
      </c>
      <c r="Y503" s="154" t="s">
        <v>66</v>
      </c>
      <c r="Z503" s="154" t="s">
        <v>66</v>
      </c>
      <c r="AA503" s="154"/>
      <c r="AB503" s="242" t="str">
        <f t="shared" si="2"/>
        <v>#ERROR!</v>
      </c>
      <c r="AC503" s="154" t="s">
        <v>391</v>
      </c>
      <c r="AD503" s="242" t="b">
        <f t="shared" si="3"/>
        <v>0</v>
      </c>
      <c r="AE503" s="154"/>
      <c r="AF503" s="242" t="str">
        <f t="shared" si="4"/>
        <v>#ERROR!</v>
      </c>
      <c r="AG503" s="154" t="s">
        <v>652</v>
      </c>
      <c r="AH503" s="242" t="str">
        <f>IF(AG503="","N/A",INDIRECT("MTR!"&amp;ADDRESS(MATCH(LEFT(AG503,9),[1]MTR!C:C,0),COLUMN(J503)),TRUE) &amp; "")</f>
        <v>#ERROR!</v>
      </c>
      <c r="AI503" s="157" t="str">
        <f t="shared" si="5"/>
        <v>#ERROR!</v>
      </c>
    </row>
    <row r="504" ht="12.75" customHeight="1">
      <c r="A504" s="244" t="s">
        <v>5158</v>
      </c>
      <c r="B504" s="244" t="s">
        <v>231</v>
      </c>
      <c r="C504" s="244" t="s">
        <v>8115</v>
      </c>
      <c r="D504" s="154" t="s">
        <v>781</v>
      </c>
      <c r="E504" s="154"/>
      <c r="F504" s="154" t="str">
        <f t="array" ref="F504">XLOOKUP(Cover!$D$12,$R$1:$Z$1,$R504:$Z504)</f>
        <v>Information</v>
      </c>
      <c r="G504" s="154" t="s">
        <v>8116</v>
      </c>
      <c r="H504" s="154" t="s">
        <v>7853</v>
      </c>
      <c r="I504" s="154" t="s">
        <v>8111</v>
      </c>
      <c r="J504" s="154" t="s">
        <v>8112</v>
      </c>
      <c r="K504" s="154" t="s">
        <v>7835</v>
      </c>
      <c r="L504" s="154" t="s">
        <v>6140</v>
      </c>
      <c r="M504" s="154"/>
      <c r="N504" s="154" t="s">
        <v>759</v>
      </c>
      <c r="O504" s="247" t="s">
        <v>516</v>
      </c>
      <c r="P504" s="247" t="s">
        <v>6776</v>
      </c>
      <c r="Q504" s="154" t="str">
        <f t="shared" si="1"/>
        <v>#ERROR!</v>
      </c>
      <c r="R504" s="154" t="s">
        <v>66</v>
      </c>
      <c r="S504" s="154" t="s">
        <v>66</v>
      </c>
      <c r="T504" s="154" t="s">
        <v>66</v>
      </c>
      <c r="U504" s="154" t="s">
        <v>66</v>
      </c>
      <c r="V504" s="154" t="s">
        <v>66</v>
      </c>
      <c r="W504" s="154" t="s">
        <v>66</v>
      </c>
      <c r="X504" s="154" t="s">
        <v>66</v>
      </c>
      <c r="Y504" s="154" t="s">
        <v>66</v>
      </c>
      <c r="Z504" s="154" t="s">
        <v>66</v>
      </c>
      <c r="AA504" s="154"/>
      <c r="AB504" s="242" t="str">
        <f t="shared" si="2"/>
        <v>#ERROR!</v>
      </c>
      <c r="AC504" s="154" t="s">
        <v>391</v>
      </c>
      <c r="AD504" s="242" t="b">
        <f t="shared" si="3"/>
        <v>0</v>
      </c>
      <c r="AE504" s="154"/>
      <c r="AF504" s="242" t="str">
        <f t="shared" si="4"/>
        <v>#ERROR!</v>
      </c>
      <c r="AG504" s="154" t="s">
        <v>652</v>
      </c>
      <c r="AH504" s="242" t="str">
        <f>IF(AG504="","N/A",INDIRECT("MTR!"&amp;ADDRESS(MATCH(LEFT(AG504,9),[1]MTR!C:C,0),COLUMN(J504)),TRUE) &amp; "")</f>
        <v>#ERROR!</v>
      </c>
      <c r="AI504" s="157" t="str">
        <f t="shared" si="5"/>
        <v>#ERROR!</v>
      </c>
    </row>
    <row r="505" ht="12.75" customHeight="1">
      <c r="A505" s="244" t="s">
        <v>5158</v>
      </c>
      <c r="B505" s="244" t="s">
        <v>231</v>
      </c>
      <c r="C505" s="244" t="s">
        <v>8117</v>
      </c>
      <c r="D505" s="154" t="s">
        <v>781</v>
      </c>
      <c r="E505" s="154"/>
      <c r="F505" s="154" t="str">
        <f t="array" ref="F505">XLOOKUP(Cover!$D$12,$R$1:$Z$1,$R505:$Z505)</f>
        <v>Information</v>
      </c>
      <c r="G505" s="154" t="s">
        <v>8118</v>
      </c>
      <c r="H505" s="154" t="s">
        <v>7834</v>
      </c>
      <c r="I505" s="154" t="s">
        <v>8119</v>
      </c>
      <c r="J505" s="154" t="s">
        <v>8120</v>
      </c>
      <c r="K505" s="154" t="s">
        <v>7835</v>
      </c>
      <c r="L505" s="154" t="s">
        <v>6140</v>
      </c>
      <c r="M505" s="154"/>
      <c r="N505" s="154" t="s">
        <v>759</v>
      </c>
      <c r="O505" s="247" t="s">
        <v>516</v>
      </c>
      <c r="P505" s="247" t="s">
        <v>6776</v>
      </c>
      <c r="Q505" s="154" t="str">
        <f t="shared" si="1"/>
        <v>#ERROR!</v>
      </c>
      <c r="R505" s="154" t="s">
        <v>66</v>
      </c>
      <c r="S505" s="154" t="s">
        <v>66</v>
      </c>
      <c r="T505" s="154" t="s">
        <v>66</v>
      </c>
      <c r="U505" s="154" t="s">
        <v>66</v>
      </c>
      <c r="V505" s="154" t="s">
        <v>66</v>
      </c>
      <c r="W505" s="154" t="s">
        <v>66</v>
      </c>
      <c r="X505" s="154" t="s">
        <v>66</v>
      </c>
      <c r="Y505" s="154" t="s">
        <v>66</v>
      </c>
      <c r="Z505" s="154" t="s">
        <v>66</v>
      </c>
      <c r="AA505" s="154"/>
      <c r="AB505" s="242" t="str">
        <f t="shared" si="2"/>
        <v>#ERROR!</v>
      </c>
      <c r="AC505" s="154" t="s">
        <v>391</v>
      </c>
      <c r="AD505" s="242" t="b">
        <f t="shared" si="3"/>
        <v>0</v>
      </c>
      <c r="AE505" s="154"/>
      <c r="AF505" s="242" t="str">
        <f t="shared" si="4"/>
        <v>#ERROR!</v>
      </c>
      <c r="AG505" s="154" t="s">
        <v>652</v>
      </c>
      <c r="AH505" s="242" t="str">
        <f>IF(AG505="","N/A",INDIRECT("MTR!"&amp;ADDRESS(MATCH(LEFT(AG505,9),[1]MTR!C:C,0),COLUMN(J505)),TRUE) &amp; "")</f>
        <v>#ERROR!</v>
      </c>
      <c r="AI505" s="157" t="str">
        <f t="shared" si="5"/>
        <v>#ERROR!</v>
      </c>
    </row>
    <row r="506" ht="12.75" customHeight="1">
      <c r="A506" s="244" t="s">
        <v>5158</v>
      </c>
      <c r="B506" s="244" t="s">
        <v>231</v>
      </c>
      <c r="C506" s="244" t="s">
        <v>8121</v>
      </c>
      <c r="D506" s="154" t="s">
        <v>781</v>
      </c>
      <c r="E506" s="154"/>
      <c r="F506" s="154" t="str">
        <f t="array" ref="F506">XLOOKUP(Cover!$D$12,$R$1:$Z$1,$R506:$Z506)</f>
        <v>Information</v>
      </c>
      <c r="G506" s="154" t="s">
        <v>8122</v>
      </c>
      <c r="H506" s="154" t="s">
        <v>7844</v>
      </c>
      <c r="I506" s="154" t="s">
        <v>8119</v>
      </c>
      <c r="J506" s="154" t="s">
        <v>8120</v>
      </c>
      <c r="K506" s="154" t="s">
        <v>7835</v>
      </c>
      <c r="L506" s="154" t="s">
        <v>6140</v>
      </c>
      <c r="M506" s="154"/>
      <c r="N506" s="154" t="s">
        <v>759</v>
      </c>
      <c r="O506" s="247" t="s">
        <v>516</v>
      </c>
      <c r="P506" s="247" t="s">
        <v>6776</v>
      </c>
      <c r="Q506" s="154" t="str">
        <f t="shared" si="1"/>
        <v>#ERROR!</v>
      </c>
      <c r="R506" s="154" t="s">
        <v>66</v>
      </c>
      <c r="S506" s="154" t="s">
        <v>66</v>
      </c>
      <c r="T506" s="154" t="s">
        <v>66</v>
      </c>
      <c r="U506" s="154" t="s">
        <v>66</v>
      </c>
      <c r="V506" s="154" t="s">
        <v>66</v>
      </c>
      <c r="W506" s="154" t="s">
        <v>66</v>
      </c>
      <c r="X506" s="154" t="s">
        <v>66</v>
      </c>
      <c r="Y506" s="154" t="s">
        <v>66</v>
      </c>
      <c r="Z506" s="154" t="s">
        <v>66</v>
      </c>
      <c r="AA506" s="154"/>
      <c r="AB506" s="242" t="str">
        <f t="shared" si="2"/>
        <v>#ERROR!</v>
      </c>
      <c r="AC506" s="154" t="s">
        <v>391</v>
      </c>
      <c r="AD506" s="242" t="b">
        <f t="shared" si="3"/>
        <v>0</v>
      </c>
      <c r="AE506" s="154"/>
      <c r="AF506" s="242" t="str">
        <f t="shared" si="4"/>
        <v>#ERROR!</v>
      </c>
      <c r="AG506" s="154" t="s">
        <v>652</v>
      </c>
      <c r="AH506" s="242" t="str">
        <f>IF(AG506="","N/A",INDIRECT("MTR!"&amp;ADDRESS(MATCH(LEFT(AG506,9),[1]MTR!C:C,0),COLUMN(J506)),TRUE) &amp; "")</f>
        <v>#ERROR!</v>
      </c>
      <c r="AI506" s="157" t="str">
        <f t="shared" si="5"/>
        <v>#ERROR!</v>
      </c>
    </row>
    <row r="507" ht="12.75" customHeight="1">
      <c r="A507" s="244" t="s">
        <v>5158</v>
      </c>
      <c r="B507" s="244" t="s">
        <v>231</v>
      </c>
      <c r="C507" s="244" t="s">
        <v>8123</v>
      </c>
      <c r="D507" s="154" t="s">
        <v>781</v>
      </c>
      <c r="E507" s="154"/>
      <c r="F507" s="154" t="str">
        <f t="array" ref="F507">XLOOKUP(Cover!$D$12,$R$1:$Z$1,$R507:$Z507)</f>
        <v>Information</v>
      </c>
      <c r="G507" s="154" t="s">
        <v>8124</v>
      </c>
      <c r="H507" s="154" t="s">
        <v>7853</v>
      </c>
      <c r="I507" s="154" t="s">
        <v>8119</v>
      </c>
      <c r="J507" s="154" t="s">
        <v>8120</v>
      </c>
      <c r="K507" s="154" t="s">
        <v>7835</v>
      </c>
      <c r="L507" s="154" t="s">
        <v>6140</v>
      </c>
      <c r="M507" s="154"/>
      <c r="N507" s="154" t="s">
        <v>759</v>
      </c>
      <c r="O507" s="247" t="s">
        <v>516</v>
      </c>
      <c r="P507" s="247" t="s">
        <v>6776</v>
      </c>
      <c r="Q507" s="154" t="str">
        <f t="shared" si="1"/>
        <v>#ERROR!</v>
      </c>
      <c r="R507" s="154" t="s">
        <v>66</v>
      </c>
      <c r="S507" s="154" t="s">
        <v>66</v>
      </c>
      <c r="T507" s="154" t="s">
        <v>66</v>
      </c>
      <c r="U507" s="154" t="s">
        <v>66</v>
      </c>
      <c r="V507" s="154" t="s">
        <v>66</v>
      </c>
      <c r="W507" s="154" t="s">
        <v>66</v>
      </c>
      <c r="X507" s="154" t="s">
        <v>66</v>
      </c>
      <c r="Y507" s="154" t="s">
        <v>66</v>
      </c>
      <c r="Z507" s="154" t="s">
        <v>66</v>
      </c>
      <c r="AA507" s="154"/>
      <c r="AB507" s="242" t="str">
        <f t="shared" si="2"/>
        <v>#ERROR!</v>
      </c>
      <c r="AC507" s="154" t="s">
        <v>391</v>
      </c>
      <c r="AD507" s="242" t="b">
        <f t="shared" si="3"/>
        <v>0</v>
      </c>
      <c r="AE507" s="154"/>
      <c r="AF507" s="242" t="str">
        <f t="shared" si="4"/>
        <v>#ERROR!</v>
      </c>
      <c r="AG507" s="154" t="s">
        <v>652</v>
      </c>
      <c r="AH507" s="242" t="str">
        <f>IF(AG507="","N/A",INDIRECT("MTR!"&amp;ADDRESS(MATCH(LEFT(AG507,9),[1]MTR!C:C,0),COLUMN(J507)),TRUE) &amp; "")</f>
        <v>#ERROR!</v>
      </c>
      <c r="AI507" s="157" t="str">
        <f t="shared" si="5"/>
        <v>#ERROR!</v>
      </c>
    </row>
    <row r="508" ht="12.75" customHeight="1">
      <c r="A508" s="244" t="s">
        <v>5158</v>
      </c>
      <c r="B508" s="244" t="s">
        <v>231</v>
      </c>
      <c r="C508" s="244" t="s">
        <v>8125</v>
      </c>
      <c r="D508" s="154" t="s">
        <v>781</v>
      </c>
      <c r="E508" s="154"/>
      <c r="F508" s="154" t="str">
        <f t="array" ref="F508">XLOOKUP(Cover!$D$12,$R$1:$Z$1,$R508:$Z508)</f>
        <v>Information</v>
      </c>
      <c r="G508" s="154" t="s">
        <v>8126</v>
      </c>
      <c r="H508" s="154" t="s">
        <v>7834</v>
      </c>
      <c r="I508" s="154" t="s">
        <v>8127</v>
      </c>
      <c r="J508" s="154" t="s">
        <v>8128</v>
      </c>
      <c r="K508" s="154" t="s">
        <v>7835</v>
      </c>
      <c r="L508" s="154" t="s">
        <v>6140</v>
      </c>
      <c r="M508" s="154"/>
      <c r="N508" s="154" t="s">
        <v>759</v>
      </c>
      <c r="O508" s="247" t="s">
        <v>516</v>
      </c>
      <c r="P508" s="247" t="s">
        <v>6776</v>
      </c>
      <c r="Q508" s="154" t="str">
        <f t="shared" si="1"/>
        <v>#ERROR!</v>
      </c>
      <c r="R508" s="154" t="s">
        <v>66</v>
      </c>
      <c r="S508" s="154" t="s">
        <v>66</v>
      </c>
      <c r="T508" s="154" t="s">
        <v>66</v>
      </c>
      <c r="U508" s="154" t="s">
        <v>66</v>
      </c>
      <c r="V508" s="154" t="s">
        <v>66</v>
      </c>
      <c r="W508" s="154" t="s">
        <v>66</v>
      </c>
      <c r="X508" s="154" t="s">
        <v>66</v>
      </c>
      <c r="Y508" s="154" t="s">
        <v>66</v>
      </c>
      <c r="Z508" s="154" t="s">
        <v>66</v>
      </c>
      <c r="AA508" s="154"/>
      <c r="AB508" s="242" t="str">
        <f t="shared" si="2"/>
        <v>#ERROR!</v>
      </c>
      <c r="AC508" s="154" t="s">
        <v>391</v>
      </c>
      <c r="AD508" s="242" t="b">
        <f t="shared" si="3"/>
        <v>0</v>
      </c>
      <c r="AE508" s="154"/>
      <c r="AF508" s="242" t="str">
        <f t="shared" si="4"/>
        <v>#ERROR!</v>
      </c>
      <c r="AG508" s="154" t="s">
        <v>652</v>
      </c>
      <c r="AH508" s="242" t="str">
        <f>IF(AG508="","N/A",INDIRECT("MTR!"&amp;ADDRESS(MATCH(LEFT(AG508,9),[1]MTR!C:C,0),COLUMN(J508)),TRUE) &amp; "")</f>
        <v>#ERROR!</v>
      </c>
      <c r="AI508" s="157" t="str">
        <f t="shared" si="5"/>
        <v>#ERROR!</v>
      </c>
    </row>
    <row r="509" ht="12.75" customHeight="1">
      <c r="A509" s="244" t="s">
        <v>5158</v>
      </c>
      <c r="B509" s="244" t="s">
        <v>231</v>
      </c>
      <c r="C509" s="244" t="s">
        <v>8129</v>
      </c>
      <c r="D509" s="154" t="s">
        <v>781</v>
      </c>
      <c r="E509" s="154"/>
      <c r="F509" s="154" t="str">
        <f t="array" ref="F509">XLOOKUP(Cover!$D$12,$R$1:$Z$1,$R509:$Z509)</f>
        <v>Information</v>
      </c>
      <c r="G509" s="154" t="s">
        <v>8130</v>
      </c>
      <c r="H509" s="154" t="s">
        <v>7838</v>
      </c>
      <c r="I509" s="154" t="s">
        <v>8127</v>
      </c>
      <c r="J509" s="154" t="s">
        <v>8128</v>
      </c>
      <c r="K509" s="154" t="s">
        <v>7835</v>
      </c>
      <c r="L509" s="154" t="s">
        <v>6140</v>
      </c>
      <c r="M509" s="154"/>
      <c r="N509" s="154" t="s">
        <v>759</v>
      </c>
      <c r="O509" s="247" t="s">
        <v>516</v>
      </c>
      <c r="P509" s="247" t="s">
        <v>6776</v>
      </c>
      <c r="Q509" s="154" t="str">
        <f t="shared" si="1"/>
        <v>#ERROR!</v>
      </c>
      <c r="R509" s="154" t="s">
        <v>66</v>
      </c>
      <c r="S509" s="154" t="s">
        <v>66</v>
      </c>
      <c r="T509" s="154" t="s">
        <v>66</v>
      </c>
      <c r="U509" s="154" t="s">
        <v>66</v>
      </c>
      <c r="V509" s="154" t="s">
        <v>66</v>
      </c>
      <c r="W509" s="154" t="s">
        <v>66</v>
      </c>
      <c r="X509" s="154" t="s">
        <v>66</v>
      </c>
      <c r="Y509" s="154" t="s">
        <v>66</v>
      </c>
      <c r="Z509" s="154" t="s">
        <v>66</v>
      </c>
      <c r="AA509" s="154"/>
      <c r="AB509" s="242" t="str">
        <f t="shared" si="2"/>
        <v>#ERROR!</v>
      </c>
      <c r="AC509" s="154" t="s">
        <v>391</v>
      </c>
      <c r="AD509" s="242" t="b">
        <f t="shared" si="3"/>
        <v>0</v>
      </c>
      <c r="AE509" s="154"/>
      <c r="AF509" s="242" t="str">
        <f t="shared" si="4"/>
        <v>#ERROR!</v>
      </c>
      <c r="AG509" s="154" t="s">
        <v>652</v>
      </c>
      <c r="AH509" s="242" t="str">
        <f>IF(AG509="","N/A",INDIRECT("MTR!"&amp;ADDRESS(MATCH(LEFT(AG509,9),[1]MTR!C:C,0),COLUMN(J509)),TRUE) &amp; "")</f>
        <v>#ERROR!</v>
      </c>
      <c r="AI509" s="157" t="str">
        <f t="shared" si="5"/>
        <v>#ERROR!</v>
      </c>
    </row>
    <row r="510" ht="12.75" customHeight="1">
      <c r="A510" s="244" t="s">
        <v>5158</v>
      </c>
      <c r="B510" s="244" t="s">
        <v>231</v>
      </c>
      <c r="C510" s="244" t="s">
        <v>8131</v>
      </c>
      <c r="D510" s="154" t="s">
        <v>781</v>
      </c>
      <c r="E510" s="154"/>
      <c r="F510" s="154" t="str">
        <f t="array" ref="F510">XLOOKUP(Cover!$D$12,$R$1:$Z$1,$R510:$Z510)</f>
        <v>Information</v>
      </c>
      <c r="G510" s="154" t="s">
        <v>8132</v>
      </c>
      <c r="H510" s="154" t="s">
        <v>7844</v>
      </c>
      <c r="I510" s="154" t="s">
        <v>8127</v>
      </c>
      <c r="J510" s="154" t="s">
        <v>8128</v>
      </c>
      <c r="K510" s="154" t="s">
        <v>7835</v>
      </c>
      <c r="L510" s="154" t="s">
        <v>6140</v>
      </c>
      <c r="M510" s="154"/>
      <c r="N510" s="154" t="s">
        <v>759</v>
      </c>
      <c r="O510" s="247" t="s">
        <v>516</v>
      </c>
      <c r="P510" s="247" t="s">
        <v>6776</v>
      </c>
      <c r="Q510" s="154" t="str">
        <f t="shared" si="1"/>
        <v>#ERROR!</v>
      </c>
      <c r="R510" s="154" t="s">
        <v>66</v>
      </c>
      <c r="S510" s="154" t="s">
        <v>66</v>
      </c>
      <c r="T510" s="154" t="s">
        <v>66</v>
      </c>
      <c r="U510" s="154" t="s">
        <v>66</v>
      </c>
      <c r="V510" s="154" t="s">
        <v>66</v>
      </c>
      <c r="W510" s="154" t="s">
        <v>66</v>
      </c>
      <c r="X510" s="154" t="s">
        <v>66</v>
      </c>
      <c r="Y510" s="154" t="s">
        <v>66</v>
      </c>
      <c r="Z510" s="154" t="s">
        <v>66</v>
      </c>
      <c r="AA510" s="154"/>
      <c r="AB510" s="242" t="str">
        <f t="shared" si="2"/>
        <v>#ERROR!</v>
      </c>
      <c r="AC510" s="154" t="s">
        <v>391</v>
      </c>
      <c r="AD510" s="242" t="b">
        <f t="shared" si="3"/>
        <v>0</v>
      </c>
      <c r="AE510" s="154"/>
      <c r="AF510" s="242" t="str">
        <f t="shared" si="4"/>
        <v>#ERROR!</v>
      </c>
      <c r="AG510" s="154" t="s">
        <v>652</v>
      </c>
      <c r="AH510" s="242" t="str">
        <f>IF(AG510="","N/A",INDIRECT("MTR!"&amp;ADDRESS(MATCH(LEFT(AG510,9),[1]MTR!C:C,0),COLUMN(J510)),TRUE) &amp; "")</f>
        <v>#ERROR!</v>
      </c>
      <c r="AI510" s="157" t="str">
        <f t="shared" si="5"/>
        <v>#ERROR!</v>
      </c>
    </row>
    <row r="511" ht="12.75" customHeight="1">
      <c r="A511" s="244" t="s">
        <v>5158</v>
      </c>
      <c r="B511" s="244" t="s">
        <v>231</v>
      </c>
      <c r="C511" s="244" t="s">
        <v>8133</v>
      </c>
      <c r="D511" s="154" t="s">
        <v>503</v>
      </c>
      <c r="E511" s="154"/>
      <c r="F511" s="154" t="str">
        <f t="array" ref="F511">XLOOKUP(Cover!$D$12,$R$1:$Z$1,$R511:$Z511)</f>
        <v>Information</v>
      </c>
      <c r="G511" s="154" t="s">
        <v>8134</v>
      </c>
      <c r="H511" s="154" t="s">
        <v>7834</v>
      </c>
      <c r="I511" s="154" t="s">
        <v>8135</v>
      </c>
      <c r="J511" s="154" t="s">
        <v>8128</v>
      </c>
      <c r="K511" s="154" t="s">
        <v>7835</v>
      </c>
      <c r="L511" s="154" t="s">
        <v>6463</v>
      </c>
      <c r="M511" s="154"/>
      <c r="N511" s="154" t="s">
        <v>759</v>
      </c>
      <c r="O511" s="247" t="s">
        <v>516</v>
      </c>
      <c r="P511" s="247" t="s">
        <v>6776</v>
      </c>
      <c r="Q511" s="154" t="str">
        <f t="shared" si="1"/>
        <v>#ERROR!</v>
      </c>
      <c r="R511" s="154" t="s">
        <v>66</v>
      </c>
      <c r="S511" s="154" t="s">
        <v>66</v>
      </c>
      <c r="T511" s="154" t="s">
        <v>66</v>
      </c>
      <c r="U511" s="154" t="s">
        <v>66</v>
      </c>
      <c r="V511" s="154" t="s">
        <v>66</v>
      </c>
      <c r="W511" s="154" t="s">
        <v>66</v>
      </c>
      <c r="X511" s="154" t="s">
        <v>66</v>
      </c>
      <c r="Y511" s="154" t="s">
        <v>66</v>
      </c>
      <c r="Z511" s="154" t="s">
        <v>66</v>
      </c>
      <c r="AA511" s="154"/>
      <c r="AB511" s="242" t="str">
        <f t="shared" si="2"/>
        <v>#ERROR!</v>
      </c>
      <c r="AC511" s="154" t="s">
        <v>391</v>
      </c>
      <c r="AD511" s="242" t="b">
        <f t="shared" si="3"/>
        <v>0</v>
      </c>
      <c r="AE511" s="154"/>
      <c r="AF511" s="242" t="str">
        <f t="shared" si="4"/>
        <v>#ERROR!</v>
      </c>
      <c r="AG511" s="154" t="s">
        <v>652</v>
      </c>
      <c r="AH511" s="242" t="str">
        <f>IF(AG511="","N/A",INDIRECT("MTR!"&amp;ADDRESS(MATCH(LEFT(AG511,9),[1]MTR!C:C,0),COLUMN(J511)),TRUE) &amp; "")</f>
        <v>#ERROR!</v>
      </c>
      <c r="AI511" s="157" t="str">
        <f t="shared" si="5"/>
        <v>#ERROR!</v>
      </c>
    </row>
    <row r="512" ht="12.75" customHeight="1">
      <c r="A512" s="244" t="s">
        <v>5158</v>
      </c>
      <c r="B512" s="244" t="s">
        <v>231</v>
      </c>
      <c r="C512" s="244" t="s">
        <v>8136</v>
      </c>
      <c r="D512" s="154" t="s">
        <v>503</v>
      </c>
      <c r="E512" s="154"/>
      <c r="F512" s="154" t="str">
        <f t="array" ref="F512">XLOOKUP(Cover!$D$12,$R$1:$Z$1,$R512:$Z512)</f>
        <v>Information</v>
      </c>
      <c r="G512" s="154" t="s">
        <v>8137</v>
      </c>
      <c r="H512" s="154" t="s">
        <v>7838</v>
      </c>
      <c r="I512" s="154" t="s">
        <v>8135</v>
      </c>
      <c r="J512" s="154" t="s">
        <v>8128</v>
      </c>
      <c r="K512" s="154" t="s">
        <v>7835</v>
      </c>
      <c r="L512" s="154" t="s">
        <v>6463</v>
      </c>
      <c r="M512" s="154"/>
      <c r="N512" s="154" t="s">
        <v>759</v>
      </c>
      <c r="O512" s="247" t="s">
        <v>516</v>
      </c>
      <c r="P512" s="247" t="s">
        <v>6776</v>
      </c>
      <c r="Q512" s="154" t="str">
        <f t="shared" si="1"/>
        <v>#ERROR!</v>
      </c>
      <c r="R512" s="154" t="s">
        <v>66</v>
      </c>
      <c r="S512" s="154" t="s">
        <v>66</v>
      </c>
      <c r="T512" s="154" t="s">
        <v>66</v>
      </c>
      <c r="U512" s="154" t="s">
        <v>66</v>
      </c>
      <c r="V512" s="154" t="s">
        <v>66</v>
      </c>
      <c r="W512" s="154" t="s">
        <v>66</v>
      </c>
      <c r="X512" s="154" t="s">
        <v>66</v>
      </c>
      <c r="Y512" s="154" t="s">
        <v>66</v>
      </c>
      <c r="Z512" s="154" t="s">
        <v>66</v>
      </c>
      <c r="AA512" s="154"/>
      <c r="AB512" s="242" t="str">
        <f t="shared" si="2"/>
        <v>#ERROR!</v>
      </c>
      <c r="AC512" s="154" t="s">
        <v>391</v>
      </c>
      <c r="AD512" s="242" t="b">
        <f t="shared" si="3"/>
        <v>0</v>
      </c>
      <c r="AE512" s="154"/>
      <c r="AF512" s="242" t="str">
        <f t="shared" si="4"/>
        <v>#ERROR!</v>
      </c>
      <c r="AG512" s="154" t="s">
        <v>652</v>
      </c>
      <c r="AH512" s="242" t="str">
        <f>IF(AG512="","N/A",INDIRECT("MTR!"&amp;ADDRESS(MATCH(LEFT(AG512,9),[1]MTR!C:C,0),COLUMN(J512)),TRUE) &amp; "")</f>
        <v>#ERROR!</v>
      </c>
      <c r="AI512" s="157" t="str">
        <f t="shared" si="5"/>
        <v>#ERROR!</v>
      </c>
    </row>
    <row r="513" ht="12.75" customHeight="1">
      <c r="A513" s="244" t="s">
        <v>5158</v>
      </c>
      <c r="B513" s="244" t="s">
        <v>231</v>
      </c>
      <c r="C513" s="244" t="s">
        <v>8138</v>
      </c>
      <c r="D513" s="154" t="s">
        <v>781</v>
      </c>
      <c r="E513" s="154"/>
      <c r="F513" s="154" t="str">
        <f t="array" ref="F513">XLOOKUP(Cover!$D$12,$R$1:$Z$1,$R513:$Z513)</f>
        <v>Information</v>
      </c>
      <c r="G513" s="154" t="s">
        <v>8139</v>
      </c>
      <c r="H513" s="154" t="s">
        <v>7834</v>
      </c>
      <c r="I513" s="154" t="s">
        <v>8140</v>
      </c>
      <c r="J513" s="154" t="s">
        <v>8141</v>
      </c>
      <c r="K513" s="154" t="s">
        <v>7835</v>
      </c>
      <c r="L513" s="154" t="s">
        <v>6140</v>
      </c>
      <c r="M513" s="154"/>
      <c r="N513" s="154" t="s">
        <v>759</v>
      </c>
      <c r="O513" s="247" t="s">
        <v>516</v>
      </c>
      <c r="P513" s="247" t="s">
        <v>6776</v>
      </c>
      <c r="Q513" s="154" t="str">
        <f t="shared" si="1"/>
        <v>#ERROR!</v>
      </c>
      <c r="R513" s="154" t="s">
        <v>66</v>
      </c>
      <c r="S513" s="154" t="s">
        <v>66</v>
      </c>
      <c r="T513" s="154" t="s">
        <v>66</v>
      </c>
      <c r="U513" s="154" t="s">
        <v>66</v>
      </c>
      <c r="V513" s="154" t="s">
        <v>66</v>
      </c>
      <c r="W513" s="154" t="s">
        <v>66</v>
      </c>
      <c r="X513" s="154" t="s">
        <v>66</v>
      </c>
      <c r="Y513" s="154" t="s">
        <v>66</v>
      </c>
      <c r="Z513" s="154" t="s">
        <v>66</v>
      </c>
      <c r="AA513" s="154"/>
      <c r="AB513" s="242" t="str">
        <f t="shared" si="2"/>
        <v>#ERROR!</v>
      </c>
      <c r="AC513" s="154" t="s">
        <v>391</v>
      </c>
      <c r="AD513" s="242" t="b">
        <f t="shared" si="3"/>
        <v>0</v>
      </c>
      <c r="AE513" s="154"/>
      <c r="AF513" s="242" t="str">
        <f t="shared" si="4"/>
        <v>#ERROR!</v>
      </c>
      <c r="AG513" s="154" t="s">
        <v>652</v>
      </c>
      <c r="AH513" s="242" t="str">
        <f>IF(AG513="","N/A",INDIRECT("MTR!"&amp;ADDRESS(MATCH(LEFT(AG513,9),[1]MTR!C:C,0),COLUMN(J513)),TRUE) &amp; "")</f>
        <v>#ERROR!</v>
      </c>
      <c r="AI513" s="157" t="str">
        <f t="shared" si="5"/>
        <v>#ERROR!</v>
      </c>
    </row>
    <row r="514" ht="12.75" customHeight="1">
      <c r="A514" s="244" t="s">
        <v>5158</v>
      </c>
      <c r="B514" s="244" t="s">
        <v>231</v>
      </c>
      <c r="C514" s="244" t="s">
        <v>8142</v>
      </c>
      <c r="D514" s="154" t="s">
        <v>781</v>
      </c>
      <c r="E514" s="154"/>
      <c r="F514" s="154" t="str">
        <f t="array" ref="F514">XLOOKUP(Cover!$D$12,$R$1:$Z$1,$R514:$Z514)</f>
        <v>Information</v>
      </c>
      <c r="G514" s="154" t="s">
        <v>8143</v>
      </c>
      <c r="H514" s="154" t="s">
        <v>7838</v>
      </c>
      <c r="I514" s="154" t="s">
        <v>8140</v>
      </c>
      <c r="J514" s="154" t="s">
        <v>8141</v>
      </c>
      <c r="K514" s="154" t="s">
        <v>7835</v>
      </c>
      <c r="L514" s="154" t="s">
        <v>6140</v>
      </c>
      <c r="M514" s="154"/>
      <c r="N514" s="154" t="s">
        <v>759</v>
      </c>
      <c r="O514" s="247" t="s">
        <v>516</v>
      </c>
      <c r="P514" s="247" t="s">
        <v>6776</v>
      </c>
      <c r="Q514" s="154" t="str">
        <f t="shared" si="1"/>
        <v>#ERROR!</v>
      </c>
      <c r="R514" s="154" t="s">
        <v>66</v>
      </c>
      <c r="S514" s="154" t="s">
        <v>66</v>
      </c>
      <c r="T514" s="154" t="s">
        <v>66</v>
      </c>
      <c r="U514" s="154" t="s">
        <v>66</v>
      </c>
      <c r="V514" s="154" t="s">
        <v>66</v>
      </c>
      <c r="W514" s="154" t="s">
        <v>66</v>
      </c>
      <c r="X514" s="154" t="s">
        <v>66</v>
      </c>
      <c r="Y514" s="154" t="s">
        <v>66</v>
      </c>
      <c r="Z514" s="154" t="s">
        <v>66</v>
      </c>
      <c r="AA514" s="154"/>
      <c r="AB514" s="242" t="str">
        <f t="shared" si="2"/>
        <v>#ERROR!</v>
      </c>
      <c r="AC514" s="154" t="s">
        <v>391</v>
      </c>
      <c r="AD514" s="242" t="b">
        <f t="shared" si="3"/>
        <v>0</v>
      </c>
      <c r="AE514" s="154"/>
      <c r="AF514" s="242" t="str">
        <f t="shared" si="4"/>
        <v>#ERROR!</v>
      </c>
      <c r="AG514" s="154" t="s">
        <v>652</v>
      </c>
      <c r="AH514" s="242" t="str">
        <f>IF(AG514="","N/A",INDIRECT("MTR!"&amp;ADDRESS(MATCH(LEFT(AG514,9),[1]MTR!C:C,0),COLUMN(J514)),TRUE) &amp; "")</f>
        <v>#ERROR!</v>
      </c>
      <c r="AI514" s="157" t="str">
        <f t="shared" si="5"/>
        <v>#ERROR!</v>
      </c>
    </row>
    <row r="515" ht="12.75" customHeight="1">
      <c r="A515" s="244" t="s">
        <v>5158</v>
      </c>
      <c r="B515" s="244" t="s">
        <v>231</v>
      </c>
      <c r="C515" s="244" t="s">
        <v>8144</v>
      </c>
      <c r="D515" s="154" t="s">
        <v>781</v>
      </c>
      <c r="E515" s="154"/>
      <c r="F515" s="154" t="str">
        <f t="array" ref="F515">XLOOKUP(Cover!$D$12,$R$1:$Z$1,$R515:$Z515)</f>
        <v>Information</v>
      </c>
      <c r="G515" s="154" t="s">
        <v>8145</v>
      </c>
      <c r="H515" s="154" t="s">
        <v>7844</v>
      </c>
      <c r="I515" s="154" t="s">
        <v>8140</v>
      </c>
      <c r="J515" s="154" t="s">
        <v>8141</v>
      </c>
      <c r="K515" s="154" t="s">
        <v>7835</v>
      </c>
      <c r="L515" s="154" t="s">
        <v>6140</v>
      </c>
      <c r="M515" s="154"/>
      <c r="N515" s="154" t="s">
        <v>759</v>
      </c>
      <c r="O515" s="247" t="s">
        <v>516</v>
      </c>
      <c r="P515" s="247" t="s">
        <v>6776</v>
      </c>
      <c r="Q515" s="154" t="str">
        <f t="shared" si="1"/>
        <v>#ERROR!</v>
      </c>
      <c r="R515" s="154" t="s">
        <v>66</v>
      </c>
      <c r="S515" s="154" t="s">
        <v>66</v>
      </c>
      <c r="T515" s="154" t="s">
        <v>66</v>
      </c>
      <c r="U515" s="154" t="s">
        <v>66</v>
      </c>
      <c r="V515" s="154" t="s">
        <v>66</v>
      </c>
      <c r="W515" s="154" t="s">
        <v>66</v>
      </c>
      <c r="X515" s="154" t="s">
        <v>66</v>
      </c>
      <c r="Y515" s="154" t="s">
        <v>66</v>
      </c>
      <c r="Z515" s="154" t="s">
        <v>66</v>
      </c>
      <c r="AA515" s="154"/>
      <c r="AB515" s="242" t="str">
        <f t="shared" si="2"/>
        <v>#ERROR!</v>
      </c>
      <c r="AC515" s="154" t="s">
        <v>391</v>
      </c>
      <c r="AD515" s="242" t="b">
        <f t="shared" si="3"/>
        <v>0</v>
      </c>
      <c r="AE515" s="154"/>
      <c r="AF515" s="242" t="str">
        <f t="shared" si="4"/>
        <v>#ERROR!</v>
      </c>
      <c r="AG515" s="154" t="s">
        <v>652</v>
      </c>
      <c r="AH515" s="242" t="str">
        <f>IF(AG515="","N/A",INDIRECT("MTR!"&amp;ADDRESS(MATCH(LEFT(AG515,9),[1]MTR!C:C,0),COLUMN(J515)),TRUE) &amp; "")</f>
        <v>#ERROR!</v>
      </c>
      <c r="AI515" s="157" t="str">
        <f t="shared" si="5"/>
        <v>#ERROR!</v>
      </c>
    </row>
    <row r="516" ht="12.75" customHeight="1">
      <c r="A516" s="244" t="s">
        <v>5158</v>
      </c>
      <c r="B516" s="244" t="s">
        <v>231</v>
      </c>
      <c r="C516" s="244" t="s">
        <v>8146</v>
      </c>
      <c r="D516" s="154" t="s">
        <v>781</v>
      </c>
      <c r="E516" s="154"/>
      <c r="F516" s="154" t="str">
        <f t="array" ref="F516">XLOOKUP(Cover!$D$12,$R$1:$Z$1,$R516:$Z516)</f>
        <v>Information</v>
      </c>
      <c r="G516" s="154" t="s">
        <v>8147</v>
      </c>
      <c r="H516" s="154" t="s">
        <v>7834</v>
      </c>
      <c r="I516" s="154" t="s">
        <v>8148</v>
      </c>
      <c r="J516" s="154" t="s">
        <v>8149</v>
      </c>
      <c r="K516" s="154" t="s">
        <v>7835</v>
      </c>
      <c r="L516" s="154" t="s">
        <v>6140</v>
      </c>
      <c r="M516" s="154"/>
      <c r="N516" s="154" t="s">
        <v>759</v>
      </c>
      <c r="O516" s="247" t="s">
        <v>516</v>
      </c>
      <c r="P516" s="247" t="s">
        <v>6776</v>
      </c>
      <c r="Q516" s="154" t="str">
        <f t="shared" si="1"/>
        <v>#ERROR!</v>
      </c>
      <c r="R516" s="154" t="s">
        <v>66</v>
      </c>
      <c r="S516" s="154" t="s">
        <v>66</v>
      </c>
      <c r="T516" s="154" t="s">
        <v>66</v>
      </c>
      <c r="U516" s="154" t="s">
        <v>66</v>
      </c>
      <c r="V516" s="154" t="s">
        <v>66</v>
      </c>
      <c r="W516" s="154" t="s">
        <v>66</v>
      </c>
      <c r="X516" s="154" t="s">
        <v>66</v>
      </c>
      <c r="Y516" s="154" t="s">
        <v>66</v>
      </c>
      <c r="Z516" s="154" t="s">
        <v>66</v>
      </c>
      <c r="AA516" s="154"/>
      <c r="AB516" s="242" t="str">
        <f t="shared" si="2"/>
        <v>#ERROR!</v>
      </c>
      <c r="AC516" s="154" t="s">
        <v>391</v>
      </c>
      <c r="AD516" s="242" t="b">
        <f t="shared" si="3"/>
        <v>0</v>
      </c>
      <c r="AE516" s="154"/>
      <c r="AF516" s="242" t="str">
        <f t="shared" si="4"/>
        <v>#ERROR!</v>
      </c>
      <c r="AG516" s="154" t="s">
        <v>652</v>
      </c>
      <c r="AH516" s="242" t="str">
        <f>IF(AG516="","N/A",INDIRECT("MTR!"&amp;ADDRESS(MATCH(LEFT(AG516,9),[1]MTR!C:C,0),COLUMN(J516)),TRUE) &amp; "")</f>
        <v>#ERROR!</v>
      </c>
      <c r="AI516" s="157" t="str">
        <f t="shared" si="5"/>
        <v>#ERROR!</v>
      </c>
    </row>
    <row r="517" ht="12.75" customHeight="1">
      <c r="A517" s="244" t="s">
        <v>5158</v>
      </c>
      <c r="B517" s="244" t="s">
        <v>231</v>
      </c>
      <c r="C517" s="244" t="s">
        <v>8150</v>
      </c>
      <c r="D517" s="154" t="s">
        <v>781</v>
      </c>
      <c r="E517" s="154"/>
      <c r="F517" s="154" t="str">
        <f t="array" ref="F517">XLOOKUP(Cover!$D$12,$R$1:$Z$1,$R517:$Z517)</f>
        <v>Information</v>
      </c>
      <c r="G517" s="154" t="s">
        <v>8151</v>
      </c>
      <c r="H517" s="154" t="s">
        <v>7838</v>
      </c>
      <c r="I517" s="154" t="s">
        <v>8148</v>
      </c>
      <c r="J517" s="154" t="s">
        <v>8149</v>
      </c>
      <c r="K517" s="154" t="s">
        <v>7835</v>
      </c>
      <c r="L517" s="154" t="s">
        <v>6140</v>
      </c>
      <c r="M517" s="154"/>
      <c r="N517" s="154" t="s">
        <v>759</v>
      </c>
      <c r="O517" s="247" t="s">
        <v>516</v>
      </c>
      <c r="P517" s="247" t="s">
        <v>6776</v>
      </c>
      <c r="Q517" s="154" t="str">
        <f t="shared" si="1"/>
        <v>#ERROR!</v>
      </c>
      <c r="R517" s="154" t="s">
        <v>66</v>
      </c>
      <c r="S517" s="154" t="s">
        <v>66</v>
      </c>
      <c r="T517" s="154" t="s">
        <v>66</v>
      </c>
      <c r="U517" s="154" t="s">
        <v>66</v>
      </c>
      <c r="V517" s="154" t="s">
        <v>66</v>
      </c>
      <c r="W517" s="154" t="s">
        <v>66</v>
      </c>
      <c r="X517" s="154" t="s">
        <v>66</v>
      </c>
      <c r="Y517" s="154" t="s">
        <v>66</v>
      </c>
      <c r="Z517" s="154" t="s">
        <v>66</v>
      </c>
      <c r="AA517" s="154"/>
      <c r="AB517" s="242" t="str">
        <f t="shared" si="2"/>
        <v>#ERROR!</v>
      </c>
      <c r="AC517" s="154" t="s">
        <v>391</v>
      </c>
      <c r="AD517" s="242" t="b">
        <f t="shared" si="3"/>
        <v>0</v>
      </c>
      <c r="AE517" s="154"/>
      <c r="AF517" s="242" t="str">
        <f t="shared" si="4"/>
        <v>#ERROR!</v>
      </c>
      <c r="AG517" s="154" t="s">
        <v>652</v>
      </c>
      <c r="AH517" s="242" t="str">
        <f>IF(AG517="","N/A",INDIRECT("MTR!"&amp;ADDRESS(MATCH(LEFT(AG517,9),[1]MTR!C:C,0),COLUMN(J517)),TRUE) &amp; "")</f>
        <v>#ERROR!</v>
      </c>
      <c r="AI517" s="157" t="str">
        <f t="shared" si="5"/>
        <v>#ERROR!</v>
      </c>
    </row>
    <row r="518" ht="12.75" customHeight="1">
      <c r="A518" s="244" t="s">
        <v>5158</v>
      </c>
      <c r="B518" s="244" t="s">
        <v>231</v>
      </c>
      <c r="C518" s="244" t="s">
        <v>8152</v>
      </c>
      <c r="D518" s="154" t="s">
        <v>781</v>
      </c>
      <c r="E518" s="154"/>
      <c r="F518" s="154" t="str">
        <f t="array" ref="F518">XLOOKUP(Cover!$D$12,$R$1:$Z$1,$R518:$Z518)</f>
        <v>Information</v>
      </c>
      <c r="G518" s="154" t="s">
        <v>8153</v>
      </c>
      <c r="H518" s="154" t="s">
        <v>7892</v>
      </c>
      <c r="I518" s="154" t="s">
        <v>8148</v>
      </c>
      <c r="J518" s="154" t="s">
        <v>8149</v>
      </c>
      <c r="K518" s="154" t="s">
        <v>7835</v>
      </c>
      <c r="L518" s="154" t="s">
        <v>6140</v>
      </c>
      <c r="M518" s="154"/>
      <c r="N518" s="154" t="s">
        <v>759</v>
      </c>
      <c r="O518" s="247" t="s">
        <v>516</v>
      </c>
      <c r="P518" s="247" t="s">
        <v>6776</v>
      </c>
      <c r="Q518" s="154" t="str">
        <f t="shared" si="1"/>
        <v>#ERROR!</v>
      </c>
      <c r="R518" s="154" t="s">
        <v>66</v>
      </c>
      <c r="S518" s="154" t="s">
        <v>66</v>
      </c>
      <c r="T518" s="154" t="s">
        <v>66</v>
      </c>
      <c r="U518" s="154" t="s">
        <v>66</v>
      </c>
      <c r="V518" s="154" t="s">
        <v>66</v>
      </c>
      <c r="W518" s="154" t="s">
        <v>66</v>
      </c>
      <c r="X518" s="154" t="s">
        <v>66</v>
      </c>
      <c r="Y518" s="154" t="s">
        <v>66</v>
      </c>
      <c r="Z518" s="154" t="s">
        <v>66</v>
      </c>
      <c r="AA518" s="154"/>
      <c r="AB518" s="242" t="str">
        <f t="shared" si="2"/>
        <v>#ERROR!</v>
      </c>
      <c r="AC518" s="154" t="s">
        <v>391</v>
      </c>
      <c r="AD518" s="242" t="b">
        <f t="shared" si="3"/>
        <v>0</v>
      </c>
      <c r="AE518" s="154"/>
      <c r="AF518" s="242" t="str">
        <f t="shared" si="4"/>
        <v>#ERROR!</v>
      </c>
      <c r="AG518" s="154" t="s">
        <v>652</v>
      </c>
      <c r="AH518" s="242" t="str">
        <f>IF(AG518="","N/A",INDIRECT("MTR!"&amp;ADDRESS(MATCH(LEFT(AG518,9),[1]MTR!C:C,0),COLUMN(J518)),TRUE) &amp; "")</f>
        <v>#ERROR!</v>
      </c>
      <c r="AI518" s="157" t="str">
        <f t="shared" si="5"/>
        <v>#ERROR!</v>
      </c>
    </row>
    <row r="519" ht="12.75" customHeight="1">
      <c r="A519" s="244" t="s">
        <v>5158</v>
      </c>
      <c r="B519" s="244" t="s">
        <v>231</v>
      </c>
      <c r="C519" s="244" t="s">
        <v>8154</v>
      </c>
      <c r="D519" s="154" t="s">
        <v>781</v>
      </c>
      <c r="E519" s="154"/>
      <c r="F519" s="154" t="str">
        <f t="array" ref="F519">XLOOKUP(Cover!$D$12,$R$1:$Z$1,$R519:$Z519)</f>
        <v>Information</v>
      </c>
      <c r="G519" s="154" t="s">
        <v>8155</v>
      </c>
      <c r="H519" s="154" t="s">
        <v>7853</v>
      </c>
      <c r="I519" s="154" t="s">
        <v>8148</v>
      </c>
      <c r="J519" s="154" t="s">
        <v>8149</v>
      </c>
      <c r="K519" s="154" t="s">
        <v>7835</v>
      </c>
      <c r="L519" s="154" t="s">
        <v>6140</v>
      </c>
      <c r="M519" s="154"/>
      <c r="N519" s="154" t="s">
        <v>759</v>
      </c>
      <c r="O519" s="247" t="s">
        <v>516</v>
      </c>
      <c r="P519" s="247" t="s">
        <v>6776</v>
      </c>
      <c r="Q519" s="154" t="str">
        <f t="shared" si="1"/>
        <v>#ERROR!</v>
      </c>
      <c r="R519" s="154" t="s">
        <v>66</v>
      </c>
      <c r="S519" s="154" t="s">
        <v>66</v>
      </c>
      <c r="T519" s="154" t="s">
        <v>66</v>
      </c>
      <c r="U519" s="154" t="s">
        <v>66</v>
      </c>
      <c r="V519" s="154" t="s">
        <v>66</v>
      </c>
      <c r="W519" s="154" t="s">
        <v>66</v>
      </c>
      <c r="X519" s="154" t="s">
        <v>66</v>
      </c>
      <c r="Y519" s="154" t="s">
        <v>66</v>
      </c>
      <c r="Z519" s="154" t="s">
        <v>66</v>
      </c>
      <c r="AA519" s="154"/>
      <c r="AB519" s="242" t="str">
        <f t="shared" si="2"/>
        <v>#ERROR!</v>
      </c>
      <c r="AC519" s="154" t="s">
        <v>391</v>
      </c>
      <c r="AD519" s="242" t="b">
        <f t="shared" si="3"/>
        <v>0</v>
      </c>
      <c r="AE519" s="154"/>
      <c r="AF519" s="242" t="str">
        <f t="shared" si="4"/>
        <v>#ERROR!</v>
      </c>
      <c r="AG519" s="154" t="s">
        <v>652</v>
      </c>
      <c r="AH519" s="242" t="str">
        <f>IF(AG519="","N/A",INDIRECT("MTR!"&amp;ADDRESS(MATCH(LEFT(AG519,9),[1]MTR!C:C,0),COLUMN(J519)),TRUE) &amp; "")</f>
        <v>#ERROR!</v>
      </c>
      <c r="AI519" s="157" t="str">
        <f t="shared" si="5"/>
        <v>#ERROR!</v>
      </c>
    </row>
    <row r="520" ht="12.75" customHeight="1">
      <c r="A520" s="244" t="s">
        <v>5158</v>
      </c>
      <c r="B520" s="244" t="s">
        <v>231</v>
      </c>
      <c r="C520" s="255" t="s">
        <v>8156</v>
      </c>
      <c r="D520" s="256" t="s">
        <v>42</v>
      </c>
      <c r="E520" s="256" t="s">
        <v>489</v>
      </c>
      <c r="F520" s="154" t="str">
        <f t="array" ref="F520">XLOOKUP(Cover!$D$12,$R$1:$Z$1,$R520:$Z520)</f>
        <v>Information</v>
      </c>
      <c r="G520" s="154" t="s">
        <v>8157</v>
      </c>
      <c r="H520" s="154" t="s">
        <v>7834</v>
      </c>
      <c r="I520" s="154" t="s">
        <v>8158</v>
      </c>
      <c r="J520" s="154" t="s">
        <v>8159</v>
      </c>
      <c r="K520" s="154" t="s">
        <v>7835</v>
      </c>
      <c r="L520" s="154" t="s">
        <v>5931</v>
      </c>
      <c r="M520" s="154"/>
      <c r="N520" s="154" t="s">
        <v>759</v>
      </c>
      <c r="O520" s="247" t="s">
        <v>516</v>
      </c>
      <c r="P520" s="247" t="s">
        <v>6776</v>
      </c>
      <c r="Q520" s="154" t="str">
        <f t="shared" si="1"/>
        <v>#ERROR!</v>
      </c>
      <c r="R520" s="154" t="s">
        <v>66</v>
      </c>
      <c r="S520" s="154" t="s">
        <v>66</v>
      </c>
      <c r="T520" s="154" t="s">
        <v>66</v>
      </c>
      <c r="U520" s="154" t="s">
        <v>66</v>
      </c>
      <c r="V520" s="154" t="s">
        <v>66</v>
      </c>
      <c r="W520" s="154" t="s">
        <v>66</v>
      </c>
      <c r="X520" s="154" t="s">
        <v>66</v>
      </c>
      <c r="Y520" s="154" t="s">
        <v>66</v>
      </c>
      <c r="Z520" s="154" t="s">
        <v>66</v>
      </c>
      <c r="AA520" s="154"/>
      <c r="AB520" s="242" t="str">
        <f t="shared" si="2"/>
        <v>#ERROR!</v>
      </c>
      <c r="AC520" s="154" t="s">
        <v>391</v>
      </c>
      <c r="AD520" s="242" t="b">
        <f t="shared" si="3"/>
        <v>0</v>
      </c>
      <c r="AE520" s="154"/>
      <c r="AF520" s="242" t="str">
        <f t="shared" si="4"/>
        <v>#ERROR!</v>
      </c>
      <c r="AG520" s="154" t="s">
        <v>652</v>
      </c>
      <c r="AH520" s="242" t="str">
        <f>IF(AG520="","N/A",INDIRECT("MTR!"&amp;ADDRESS(MATCH(LEFT(AG520,9),[1]MTR!C:C,0),COLUMN(J520)),TRUE) &amp; "")</f>
        <v>#ERROR!</v>
      </c>
      <c r="AI520" s="157" t="str">
        <f t="shared" si="5"/>
        <v>#ERROR!</v>
      </c>
    </row>
    <row r="521" ht="12.75" customHeight="1">
      <c r="A521" s="244" t="s">
        <v>5158</v>
      </c>
      <c r="B521" s="244" t="s">
        <v>231</v>
      </c>
      <c r="C521" s="255" t="s">
        <v>8160</v>
      </c>
      <c r="D521" s="256" t="s">
        <v>42</v>
      </c>
      <c r="E521" s="256" t="s">
        <v>489</v>
      </c>
      <c r="F521" s="154" t="str">
        <f t="array" ref="F521">XLOOKUP(Cover!$D$12,$R$1:$Z$1,$R521:$Z521)</f>
        <v>Information</v>
      </c>
      <c r="G521" s="154" t="s">
        <v>8161</v>
      </c>
      <c r="H521" s="154" t="s">
        <v>7838</v>
      </c>
      <c r="I521" s="154" t="s">
        <v>8158</v>
      </c>
      <c r="J521" s="154" t="s">
        <v>8159</v>
      </c>
      <c r="K521" s="154" t="s">
        <v>7835</v>
      </c>
      <c r="L521" s="154" t="s">
        <v>5931</v>
      </c>
      <c r="M521" s="154"/>
      <c r="N521" s="154" t="s">
        <v>759</v>
      </c>
      <c r="O521" s="247" t="s">
        <v>516</v>
      </c>
      <c r="P521" s="247" t="s">
        <v>6776</v>
      </c>
      <c r="Q521" s="154" t="str">
        <f t="shared" si="1"/>
        <v>#ERROR!</v>
      </c>
      <c r="R521" s="154" t="s">
        <v>66</v>
      </c>
      <c r="S521" s="154" t="s">
        <v>66</v>
      </c>
      <c r="T521" s="154" t="s">
        <v>66</v>
      </c>
      <c r="U521" s="154" t="s">
        <v>66</v>
      </c>
      <c r="V521" s="154" t="s">
        <v>66</v>
      </c>
      <c r="W521" s="154" t="s">
        <v>66</v>
      </c>
      <c r="X521" s="154" t="s">
        <v>66</v>
      </c>
      <c r="Y521" s="154" t="s">
        <v>66</v>
      </c>
      <c r="Z521" s="154" t="s">
        <v>66</v>
      </c>
      <c r="AA521" s="154"/>
      <c r="AB521" s="242" t="str">
        <f t="shared" si="2"/>
        <v>#ERROR!</v>
      </c>
      <c r="AC521" s="154" t="s">
        <v>391</v>
      </c>
      <c r="AD521" s="242" t="b">
        <f t="shared" si="3"/>
        <v>0</v>
      </c>
      <c r="AE521" s="154"/>
      <c r="AF521" s="242" t="str">
        <f t="shared" si="4"/>
        <v>#ERROR!</v>
      </c>
      <c r="AG521" s="154" t="s">
        <v>652</v>
      </c>
      <c r="AH521" s="242" t="str">
        <f>IF(AG521="","N/A",INDIRECT("MTR!"&amp;ADDRESS(MATCH(LEFT(AG521,9),[1]MTR!C:C,0),COLUMN(J521)),TRUE) &amp; "")</f>
        <v>#ERROR!</v>
      </c>
      <c r="AI521" s="157" t="str">
        <f t="shared" si="5"/>
        <v>#ERROR!</v>
      </c>
    </row>
    <row r="522" ht="12.75" customHeight="1">
      <c r="A522" s="244" t="s">
        <v>5158</v>
      </c>
      <c r="B522" s="244" t="s">
        <v>231</v>
      </c>
      <c r="C522" s="255" t="s">
        <v>8162</v>
      </c>
      <c r="D522" s="256" t="s">
        <v>42</v>
      </c>
      <c r="E522" s="256" t="s">
        <v>489</v>
      </c>
      <c r="F522" s="154" t="str">
        <f t="array" ref="F522">XLOOKUP(Cover!$D$12,$R$1:$Z$1,$R522:$Z522)</f>
        <v>Information</v>
      </c>
      <c r="G522" s="154" t="s">
        <v>8163</v>
      </c>
      <c r="H522" s="154" t="s">
        <v>7844</v>
      </c>
      <c r="I522" s="154" t="s">
        <v>8158</v>
      </c>
      <c r="J522" s="154" t="s">
        <v>8159</v>
      </c>
      <c r="K522" s="154" t="s">
        <v>7835</v>
      </c>
      <c r="L522" s="154" t="s">
        <v>5931</v>
      </c>
      <c r="M522" s="154"/>
      <c r="N522" s="154" t="s">
        <v>759</v>
      </c>
      <c r="O522" s="247" t="s">
        <v>516</v>
      </c>
      <c r="P522" s="247" t="s">
        <v>6776</v>
      </c>
      <c r="Q522" s="154" t="str">
        <f t="shared" si="1"/>
        <v>#ERROR!</v>
      </c>
      <c r="R522" s="154" t="s">
        <v>66</v>
      </c>
      <c r="S522" s="154" t="s">
        <v>66</v>
      </c>
      <c r="T522" s="154" t="s">
        <v>66</v>
      </c>
      <c r="U522" s="154" t="s">
        <v>66</v>
      </c>
      <c r="V522" s="154" t="s">
        <v>66</v>
      </c>
      <c r="W522" s="154" t="s">
        <v>66</v>
      </c>
      <c r="X522" s="154" t="s">
        <v>66</v>
      </c>
      <c r="Y522" s="154" t="s">
        <v>66</v>
      </c>
      <c r="Z522" s="154" t="s">
        <v>66</v>
      </c>
      <c r="AA522" s="154"/>
      <c r="AB522" s="242" t="str">
        <f t="shared" si="2"/>
        <v>#ERROR!</v>
      </c>
      <c r="AC522" s="154" t="s">
        <v>391</v>
      </c>
      <c r="AD522" s="242" t="b">
        <f t="shared" si="3"/>
        <v>0</v>
      </c>
      <c r="AE522" s="154"/>
      <c r="AF522" s="242" t="str">
        <f t="shared" si="4"/>
        <v>#ERROR!</v>
      </c>
      <c r="AG522" s="154" t="s">
        <v>652</v>
      </c>
      <c r="AH522" s="242" t="str">
        <f>IF(AG522="","N/A",INDIRECT("MTR!"&amp;ADDRESS(MATCH(LEFT(AG522,9),[1]MTR!C:C,0),COLUMN(J522)),TRUE) &amp; "")</f>
        <v>#ERROR!</v>
      </c>
      <c r="AI522" s="157" t="str">
        <f t="shared" si="5"/>
        <v>#ERROR!</v>
      </c>
    </row>
    <row r="523" ht="12.75" customHeight="1">
      <c r="A523" s="244" t="s">
        <v>5158</v>
      </c>
      <c r="B523" s="244" t="s">
        <v>231</v>
      </c>
      <c r="C523" s="255" t="s">
        <v>8164</v>
      </c>
      <c r="D523" s="256" t="s">
        <v>42</v>
      </c>
      <c r="E523" s="256" t="s">
        <v>489</v>
      </c>
      <c r="F523" s="154" t="str">
        <f t="array" ref="F523">XLOOKUP(Cover!$D$12,$R$1:$Z$1,$R523:$Z523)</f>
        <v>Information</v>
      </c>
      <c r="G523" s="154" t="s">
        <v>8165</v>
      </c>
      <c r="H523" s="154" t="s">
        <v>7847</v>
      </c>
      <c r="I523" s="154" t="s">
        <v>8158</v>
      </c>
      <c r="J523" s="154" t="s">
        <v>8159</v>
      </c>
      <c r="K523" s="154" t="s">
        <v>7835</v>
      </c>
      <c r="L523" s="154" t="s">
        <v>5931</v>
      </c>
      <c r="M523" s="154"/>
      <c r="N523" s="154" t="s">
        <v>759</v>
      </c>
      <c r="O523" s="247" t="s">
        <v>516</v>
      </c>
      <c r="P523" s="247" t="s">
        <v>6776</v>
      </c>
      <c r="Q523" s="154" t="str">
        <f t="shared" si="1"/>
        <v>#ERROR!</v>
      </c>
      <c r="R523" s="154" t="s">
        <v>66</v>
      </c>
      <c r="S523" s="154" t="s">
        <v>66</v>
      </c>
      <c r="T523" s="154" t="s">
        <v>66</v>
      </c>
      <c r="U523" s="154" t="s">
        <v>66</v>
      </c>
      <c r="V523" s="154" t="s">
        <v>66</v>
      </c>
      <c r="W523" s="154" t="s">
        <v>66</v>
      </c>
      <c r="X523" s="154" t="s">
        <v>66</v>
      </c>
      <c r="Y523" s="154" t="s">
        <v>66</v>
      </c>
      <c r="Z523" s="154" t="s">
        <v>66</v>
      </c>
      <c r="AA523" s="154"/>
      <c r="AB523" s="242" t="str">
        <f t="shared" si="2"/>
        <v>#ERROR!</v>
      </c>
      <c r="AC523" s="154" t="s">
        <v>391</v>
      </c>
      <c r="AD523" s="242" t="b">
        <f t="shared" si="3"/>
        <v>0</v>
      </c>
      <c r="AE523" s="154"/>
      <c r="AF523" s="242" t="str">
        <f t="shared" si="4"/>
        <v>#ERROR!</v>
      </c>
      <c r="AG523" s="154" t="s">
        <v>652</v>
      </c>
      <c r="AH523" s="242" t="str">
        <f>IF(AG523="","N/A",INDIRECT("MTR!"&amp;ADDRESS(MATCH(LEFT(AG523,9),[1]MTR!C:C,0),COLUMN(J523)),TRUE) &amp; "")</f>
        <v>#ERROR!</v>
      </c>
      <c r="AI523" s="157" t="str">
        <f t="shared" si="5"/>
        <v>#ERROR!</v>
      </c>
    </row>
    <row r="524" ht="12.75" customHeight="1">
      <c r="A524" s="244" t="s">
        <v>5158</v>
      </c>
      <c r="B524" s="244" t="s">
        <v>231</v>
      </c>
      <c r="C524" s="244" t="s">
        <v>8166</v>
      </c>
      <c r="D524" s="154" t="s">
        <v>781</v>
      </c>
      <c r="E524" s="154"/>
      <c r="F524" s="154" t="str">
        <f t="array" ref="F524">XLOOKUP(Cover!$D$12,$R$1:$Z$1,$R524:$Z524)</f>
        <v>Information</v>
      </c>
      <c r="G524" s="154" t="s">
        <v>8167</v>
      </c>
      <c r="H524" s="154" t="s">
        <v>7834</v>
      </c>
      <c r="I524" s="154" t="s">
        <v>8168</v>
      </c>
      <c r="J524" s="154" t="s">
        <v>8169</v>
      </c>
      <c r="K524" s="154" t="s">
        <v>7835</v>
      </c>
      <c r="L524" s="154" t="s">
        <v>6140</v>
      </c>
      <c r="M524" s="154"/>
      <c r="N524" s="154" t="s">
        <v>759</v>
      </c>
      <c r="O524" s="247" t="s">
        <v>516</v>
      </c>
      <c r="P524" s="247" t="s">
        <v>6776</v>
      </c>
      <c r="Q524" s="154" t="str">
        <f t="shared" si="1"/>
        <v>#ERROR!</v>
      </c>
      <c r="R524" s="154" t="s">
        <v>66</v>
      </c>
      <c r="S524" s="154" t="s">
        <v>66</v>
      </c>
      <c r="T524" s="154" t="s">
        <v>66</v>
      </c>
      <c r="U524" s="154" t="s">
        <v>66</v>
      </c>
      <c r="V524" s="154" t="s">
        <v>66</v>
      </c>
      <c r="W524" s="154" t="s">
        <v>66</v>
      </c>
      <c r="X524" s="154" t="s">
        <v>66</v>
      </c>
      <c r="Y524" s="154" t="s">
        <v>66</v>
      </c>
      <c r="Z524" s="154" t="s">
        <v>66</v>
      </c>
      <c r="AA524" s="154"/>
      <c r="AB524" s="242" t="str">
        <f t="shared" si="2"/>
        <v>#ERROR!</v>
      </c>
      <c r="AC524" s="154" t="s">
        <v>391</v>
      </c>
      <c r="AD524" s="242" t="b">
        <f t="shared" si="3"/>
        <v>0</v>
      </c>
      <c r="AE524" s="154"/>
      <c r="AF524" s="242" t="str">
        <f t="shared" si="4"/>
        <v>#ERROR!</v>
      </c>
      <c r="AG524" s="154" t="s">
        <v>652</v>
      </c>
      <c r="AH524" s="242" t="str">
        <f>IF(AG524="","N/A",INDIRECT("MTR!"&amp;ADDRESS(MATCH(LEFT(AG524,9),[1]MTR!C:C,0),COLUMN(J524)),TRUE) &amp; "")</f>
        <v>#ERROR!</v>
      </c>
      <c r="AI524" s="157" t="str">
        <f t="shared" si="5"/>
        <v>#ERROR!</v>
      </c>
    </row>
    <row r="525" ht="12.75" customHeight="1">
      <c r="A525" s="244" t="s">
        <v>5158</v>
      </c>
      <c r="B525" s="244" t="s">
        <v>231</v>
      </c>
      <c r="C525" s="244" t="s">
        <v>8170</v>
      </c>
      <c r="D525" s="154" t="s">
        <v>781</v>
      </c>
      <c r="E525" s="154"/>
      <c r="F525" s="154" t="str">
        <f t="array" ref="F525">XLOOKUP(Cover!$D$12,$R$1:$Z$1,$R525:$Z525)</f>
        <v>Information</v>
      </c>
      <c r="G525" s="154" t="s">
        <v>8171</v>
      </c>
      <c r="H525" s="154" t="s">
        <v>7838</v>
      </c>
      <c r="I525" s="154" t="s">
        <v>8168</v>
      </c>
      <c r="J525" s="154" t="s">
        <v>8169</v>
      </c>
      <c r="K525" s="154" t="s">
        <v>7835</v>
      </c>
      <c r="L525" s="154" t="s">
        <v>6140</v>
      </c>
      <c r="M525" s="154"/>
      <c r="N525" s="154" t="s">
        <v>759</v>
      </c>
      <c r="O525" s="247" t="s">
        <v>516</v>
      </c>
      <c r="P525" s="247" t="s">
        <v>6776</v>
      </c>
      <c r="Q525" s="154" t="str">
        <f t="shared" si="1"/>
        <v>#ERROR!</v>
      </c>
      <c r="R525" s="154" t="s">
        <v>66</v>
      </c>
      <c r="S525" s="154" t="s">
        <v>66</v>
      </c>
      <c r="T525" s="154" t="s">
        <v>66</v>
      </c>
      <c r="U525" s="154" t="s">
        <v>66</v>
      </c>
      <c r="V525" s="154" t="s">
        <v>66</v>
      </c>
      <c r="W525" s="154" t="s">
        <v>66</v>
      </c>
      <c r="X525" s="154" t="s">
        <v>66</v>
      </c>
      <c r="Y525" s="154" t="s">
        <v>66</v>
      </c>
      <c r="Z525" s="154" t="s">
        <v>66</v>
      </c>
      <c r="AA525" s="154"/>
      <c r="AB525" s="242" t="str">
        <f t="shared" si="2"/>
        <v>#ERROR!</v>
      </c>
      <c r="AC525" s="154" t="s">
        <v>391</v>
      </c>
      <c r="AD525" s="242" t="b">
        <f t="shared" si="3"/>
        <v>0</v>
      </c>
      <c r="AE525" s="154"/>
      <c r="AF525" s="242" t="str">
        <f t="shared" si="4"/>
        <v>#ERROR!</v>
      </c>
      <c r="AG525" s="154" t="s">
        <v>652</v>
      </c>
      <c r="AH525" s="242" t="str">
        <f>IF(AG525="","N/A",INDIRECT("MTR!"&amp;ADDRESS(MATCH(LEFT(AG525,9),[1]MTR!C:C,0),COLUMN(J525)),TRUE) &amp; "")</f>
        <v>#ERROR!</v>
      </c>
      <c r="AI525" s="157" t="str">
        <f t="shared" si="5"/>
        <v>#ERROR!</v>
      </c>
    </row>
    <row r="526" ht="12.75" customHeight="1">
      <c r="A526" s="244" t="s">
        <v>5158</v>
      </c>
      <c r="B526" s="244" t="s">
        <v>231</v>
      </c>
      <c r="C526" s="244" t="s">
        <v>8172</v>
      </c>
      <c r="D526" s="154" t="s">
        <v>781</v>
      </c>
      <c r="E526" s="154"/>
      <c r="F526" s="154" t="str">
        <f t="array" ref="F526">XLOOKUP(Cover!$D$12,$R$1:$Z$1,$R526:$Z526)</f>
        <v>Information</v>
      </c>
      <c r="G526" s="154" t="s">
        <v>8173</v>
      </c>
      <c r="H526" s="154" t="s">
        <v>7853</v>
      </c>
      <c r="I526" s="154" t="s">
        <v>8168</v>
      </c>
      <c r="J526" s="154" t="s">
        <v>8169</v>
      </c>
      <c r="K526" s="154" t="s">
        <v>7835</v>
      </c>
      <c r="L526" s="154" t="s">
        <v>6140</v>
      </c>
      <c r="M526" s="154"/>
      <c r="N526" s="154" t="s">
        <v>759</v>
      </c>
      <c r="O526" s="247" t="s">
        <v>516</v>
      </c>
      <c r="P526" s="247" t="s">
        <v>6776</v>
      </c>
      <c r="Q526" s="154" t="str">
        <f t="shared" si="1"/>
        <v>#ERROR!</v>
      </c>
      <c r="R526" s="154" t="s">
        <v>66</v>
      </c>
      <c r="S526" s="154" t="s">
        <v>66</v>
      </c>
      <c r="T526" s="154" t="s">
        <v>66</v>
      </c>
      <c r="U526" s="154" t="s">
        <v>66</v>
      </c>
      <c r="V526" s="154" t="s">
        <v>66</v>
      </c>
      <c r="W526" s="154" t="s">
        <v>66</v>
      </c>
      <c r="X526" s="154" t="s">
        <v>66</v>
      </c>
      <c r="Y526" s="154" t="s">
        <v>66</v>
      </c>
      <c r="Z526" s="154" t="s">
        <v>66</v>
      </c>
      <c r="AA526" s="154"/>
      <c r="AB526" s="242" t="str">
        <f t="shared" si="2"/>
        <v>#ERROR!</v>
      </c>
      <c r="AC526" s="154" t="s">
        <v>391</v>
      </c>
      <c r="AD526" s="242" t="b">
        <f t="shared" si="3"/>
        <v>0</v>
      </c>
      <c r="AE526" s="154"/>
      <c r="AF526" s="242" t="str">
        <f t="shared" si="4"/>
        <v>#ERROR!</v>
      </c>
      <c r="AG526" s="154" t="s">
        <v>652</v>
      </c>
      <c r="AH526" s="242" t="str">
        <f>IF(AG526="","N/A",INDIRECT("MTR!"&amp;ADDRESS(MATCH(LEFT(AG526,9),[1]MTR!C:C,0),COLUMN(J526)),TRUE) &amp; "")</f>
        <v>#ERROR!</v>
      </c>
      <c r="AI526" s="157" t="str">
        <f t="shared" si="5"/>
        <v>#ERROR!</v>
      </c>
    </row>
    <row r="527" ht="12.75" customHeight="1">
      <c r="A527" s="244" t="s">
        <v>5158</v>
      </c>
      <c r="B527" s="244" t="s">
        <v>231</v>
      </c>
      <c r="C527" s="244" t="s">
        <v>8174</v>
      </c>
      <c r="D527" s="154" t="s">
        <v>781</v>
      </c>
      <c r="E527" s="154"/>
      <c r="F527" s="154" t="str">
        <f t="array" ref="F527">XLOOKUP(Cover!$D$12,$R$1:$Z$1,$R527:$Z527)</f>
        <v>Information</v>
      </c>
      <c r="G527" s="154" t="s">
        <v>8175</v>
      </c>
      <c r="H527" s="154" t="s">
        <v>7834</v>
      </c>
      <c r="I527" s="154" t="s">
        <v>8176</v>
      </c>
      <c r="J527" s="154" t="s">
        <v>7656</v>
      </c>
      <c r="K527" s="154" t="s">
        <v>7835</v>
      </c>
      <c r="L527" s="154" t="s">
        <v>6140</v>
      </c>
      <c r="M527" s="154"/>
      <c r="N527" s="154" t="s">
        <v>759</v>
      </c>
      <c r="O527" s="247" t="s">
        <v>516</v>
      </c>
      <c r="P527" s="247" t="s">
        <v>6776</v>
      </c>
      <c r="Q527" s="154" t="str">
        <f t="shared" si="1"/>
        <v>#ERROR!</v>
      </c>
      <c r="R527" s="154" t="s">
        <v>66</v>
      </c>
      <c r="S527" s="154" t="s">
        <v>66</v>
      </c>
      <c r="T527" s="154" t="s">
        <v>66</v>
      </c>
      <c r="U527" s="154" t="s">
        <v>66</v>
      </c>
      <c r="V527" s="154" t="s">
        <v>66</v>
      </c>
      <c r="W527" s="154" t="s">
        <v>66</v>
      </c>
      <c r="X527" s="154" t="s">
        <v>66</v>
      </c>
      <c r="Y527" s="154" t="s">
        <v>66</v>
      </c>
      <c r="Z527" s="154" t="s">
        <v>66</v>
      </c>
      <c r="AA527" s="154"/>
      <c r="AB527" s="242" t="str">
        <f t="shared" si="2"/>
        <v>#ERROR!</v>
      </c>
      <c r="AC527" s="154" t="s">
        <v>391</v>
      </c>
      <c r="AD527" s="242" t="b">
        <f t="shared" si="3"/>
        <v>0</v>
      </c>
      <c r="AE527" s="154"/>
      <c r="AF527" s="242" t="str">
        <f t="shared" si="4"/>
        <v>#ERROR!</v>
      </c>
      <c r="AG527" s="154" t="s">
        <v>652</v>
      </c>
      <c r="AH527" s="242" t="str">
        <f>IF(AG527="","N/A",INDIRECT("MTR!"&amp;ADDRESS(MATCH(LEFT(AG527,9),[1]MTR!C:C,0),COLUMN(J527)),TRUE) &amp; "")</f>
        <v>#ERROR!</v>
      </c>
      <c r="AI527" s="157" t="str">
        <f t="shared" si="5"/>
        <v>#ERROR!</v>
      </c>
    </row>
    <row r="528" ht="12.75" customHeight="1">
      <c r="A528" s="244" t="s">
        <v>5158</v>
      </c>
      <c r="B528" s="244" t="s">
        <v>231</v>
      </c>
      <c r="C528" s="244" t="s">
        <v>8177</v>
      </c>
      <c r="D528" s="154" t="s">
        <v>781</v>
      </c>
      <c r="E528" s="154"/>
      <c r="F528" s="154" t="str">
        <f t="array" ref="F528">XLOOKUP(Cover!$D$12,$R$1:$Z$1,$R528:$Z528)</f>
        <v>Information</v>
      </c>
      <c r="G528" s="154" t="s">
        <v>8178</v>
      </c>
      <c r="H528" s="154" t="s">
        <v>7838</v>
      </c>
      <c r="I528" s="154" t="s">
        <v>8176</v>
      </c>
      <c r="J528" s="154" t="s">
        <v>7656</v>
      </c>
      <c r="K528" s="154" t="s">
        <v>7835</v>
      </c>
      <c r="L528" s="154" t="s">
        <v>6140</v>
      </c>
      <c r="M528" s="154"/>
      <c r="N528" s="154" t="s">
        <v>759</v>
      </c>
      <c r="O528" s="247" t="s">
        <v>516</v>
      </c>
      <c r="P528" s="247" t="s">
        <v>6776</v>
      </c>
      <c r="Q528" s="154" t="str">
        <f t="shared" si="1"/>
        <v>#ERROR!</v>
      </c>
      <c r="R528" s="154" t="s">
        <v>66</v>
      </c>
      <c r="S528" s="154" t="s">
        <v>66</v>
      </c>
      <c r="T528" s="154" t="s">
        <v>66</v>
      </c>
      <c r="U528" s="154" t="s">
        <v>66</v>
      </c>
      <c r="V528" s="154" t="s">
        <v>66</v>
      </c>
      <c r="W528" s="154" t="s">
        <v>66</v>
      </c>
      <c r="X528" s="154" t="s">
        <v>66</v>
      </c>
      <c r="Y528" s="154" t="s">
        <v>66</v>
      </c>
      <c r="Z528" s="154" t="s">
        <v>66</v>
      </c>
      <c r="AA528" s="154"/>
      <c r="AB528" s="242" t="str">
        <f t="shared" si="2"/>
        <v>#ERROR!</v>
      </c>
      <c r="AC528" s="154" t="s">
        <v>391</v>
      </c>
      <c r="AD528" s="242" t="b">
        <f t="shared" si="3"/>
        <v>0</v>
      </c>
      <c r="AE528" s="154"/>
      <c r="AF528" s="242" t="str">
        <f t="shared" si="4"/>
        <v>#ERROR!</v>
      </c>
      <c r="AG528" s="154" t="s">
        <v>652</v>
      </c>
      <c r="AH528" s="242" t="str">
        <f>IF(AG528="","N/A",INDIRECT("MTR!"&amp;ADDRESS(MATCH(LEFT(AG528,9),[1]MTR!C:C,0),COLUMN(J528)),TRUE) &amp; "")</f>
        <v>#ERROR!</v>
      </c>
      <c r="AI528" s="157" t="str">
        <f t="shared" si="5"/>
        <v>#ERROR!</v>
      </c>
    </row>
    <row r="529" ht="12.75" customHeight="1">
      <c r="A529" s="244" t="s">
        <v>5158</v>
      </c>
      <c r="B529" s="244" t="s">
        <v>231</v>
      </c>
      <c r="C529" s="244" t="s">
        <v>8179</v>
      </c>
      <c r="D529" s="154" t="s">
        <v>781</v>
      </c>
      <c r="E529" s="154"/>
      <c r="F529" s="154" t="str">
        <f t="array" ref="F529">XLOOKUP(Cover!$D$12,$R$1:$Z$1,$R529:$Z529)</f>
        <v>Information</v>
      </c>
      <c r="G529" s="154" t="s">
        <v>8180</v>
      </c>
      <c r="H529" s="154" t="s">
        <v>7844</v>
      </c>
      <c r="I529" s="154" t="s">
        <v>8176</v>
      </c>
      <c r="J529" s="154" t="s">
        <v>7656</v>
      </c>
      <c r="K529" s="154" t="s">
        <v>7835</v>
      </c>
      <c r="L529" s="154" t="s">
        <v>6140</v>
      </c>
      <c r="M529" s="154"/>
      <c r="N529" s="154" t="s">
        <v>759</v>
      </c>
      <c r="O529" s="247" t="s">
        <v>516</v>
      </c>
      <c r="P529" s="247" t="s">
        <v>6776</v>
      </c>
      <c r="Q529" s="154" t="str">
        <f t="shared" si="1"/>
        <v>#ERROR!</v>
      </c>
      <c r="R529" s="154" t="s">
        <v>66</v>
      </c>
      <c r="S529" s="154" t="s">
        <v>66</v>
      </c>
      <c r="T529" s="154" t="s">
        <v>66</v>
      </c>
      <c r="U529" s="154" t="s">
        <v>66</v>
      </c>
      <c r="V529" s="154" t="s">
        <v>66</v>
      </c>
      <c r="W529" s="154" t="s">
        <v>66</v>
      </c>
      <c r="X529" s="154" t="s">
        <v>66</v>
      </c>
      <c r="Y529" s="154" t="s">
        <v>66</v>
      </c>
      <c r="Z529" s="154" t="s">
        <v>66</v>
      </c>
      <c r="AA529" s="154"/>
      <c r="AB529" s="242" t="str">
        <f t="shared" si="2"/>
        <v>#ERROR!</v>
      </c>
      <c r="AC529" s="154" t="s">
        <v>391</v>
      </c>
      <c r="AD529" s="242" t="b">
        <f t="shared" si="3"/>
        <v>0</v>
      </c>
      <c r="AE529" s="154"/>
      <c r="AF529" s="242" t="str">
        <f t="shared" si="4"/>
        <v>#ERROR!</v>
      </c>
      <c r="AG529" s="154" t="s">
        <v>652</v>
      </c>
      <c r="AH529" s="242" t="str">
        <f>IF(AG529="","N/A",INDIRECT("MTR!"&amp;ADDRESS(MATCH(LEFT(AG529,9),[1]MTR!C:C,0),COLUMN(J529)),TRUE) &amp; "")</f>
        <v>#ERROR!</v>
      </c>
      <c r="AI529" s="157" t="str">
        <f t="shared" si="5"/>
        <v>#ERROR!</v>
      </c>
    </row>
    <row r="530" ht="12.75" customHeight="1">
      <c r="A530" s="244" t="s">
        <v>5158</v>
      </c>
      <c r="B530" s="244" t="s">
        <v>231</v>
      </c>
      <c r="C530" s="244" t="s">
        <v>8181</v>
      </c>
      <c r="D530" s="154" t="s">
        <v>781</v>
      </c>
      <c r="E530" s="154"/>
      <c r="F530" s="154" t="str">
        <f t="array" ref="F530">XLOOKUP(Cover!$D$12,$R$1:$Z$1,$R530:$Z530)</f>
        <v>Information</v>
      </c>
      <c r="G530" s="154" t="s">
        <v>8182</v>
      </c>
      <c r="H530" s="154" t="s">
        <v>7853</v>
      </c>
      <c r="I530" s="154" t="s">
        <v>8176</v>
      </c>
      <c r="J530" s="154" t="s">
        <v>7656</v>
      </c>
      <c r="K530" s="154" t="s">
        <v>7835</v>
      </c>
      <c r="L530" s="154" t="s">
        <v>6140</v>
      </c>
      <c r="M530" s="154"/>
      <c r="N530" s="154" t="s">
        <v>759</v>
      </c>
      <c r="O530" s="247" t="s">
        <v>516</v>
      </c>
      <c r="P530" s="247" t="s">
        <v>6776</v>
      </c>
      <c r="Q530" s="154" t="str">
        <f t="shared" si="1"/>
        <v>#ERROR!</v>
      </c>
      <c r="R530" s="154" t="s">
        <v>66</v>
      </c>
      <c r="S530" s="154" t="s">
        <v>66</v>
      </c>
      <c r="T530" s="154" t="s">
        <v>66</v>
      </c>
      <c r="U530" s="154" t="s">
        <v>66</v>
      </c>
      <c r="V530" s="154" t="s">
        <v>66</v>
      </c>
      <c r="W530" s="154" t="s">
        <v>66</v>
      </c>
      <c r="X530" s="154" t="s">
        <v>66</v>
      </c>
      <c r="Y530" s="154" t="s">
        <v>66</v>
      </c>
      <c r="Z530" s="154" t="s">
        <v>66</v>
      </c>
      <c r="AA530" s="154"/>
      <c r="AB530" s="242" t="str">
        <f t="shared" si="2"/>
        <v>#ERROR!</v>
      </c>
      <c r="AC530" s="154" t="s">
        <v>391</v>
      </c>
      <c r="AD530" s="242" t="b">
        <f t="shared" si="3"/>
        <v>0</v>
      </c>
      <c r="AE530" s="154"/>
      <c r="AF530" s="242" t="str">
        <f t="shared" si="4"/>
        <v>#ERROR!</v>
      </c>
      <c r="AG530" s="154" t="s">
        <v>652</v>
      </c>
      <c r="AH530" s="242" t="str">
        <f>IF(AG530="","N/A",INDIRECT("MTR!"&amp;ADDRESS(MATCH(LEFT(AG530,9),[1]MTR!C:C,0),COLUMN(J530)),TRUE) &amp; "")</f>
        <v>#ERROR!</v>
      </c>
      <c r="AI530" s="157" t="str">
        <f t="shared" si="5"/>
        <v>#ERROR!</v>
      </c>
    </row>
    <row r="531" ht="12.75" customHeight="1">
      <c r="A531" s="244" t="s">
        <v>5158</v>
      </c>
      <c r="B531" s="244" t="s">
        <v>231</v>
      </c>
      <c r="C531" s="244" t="s">
        <v>8183</v>
      </c>
      <c r="D531" s="154" t="s">
        <v>503</v>
      </c>
      <c r="E531" s="154"/>
      <c r="F531" s="154" t="str">
        <f t="array" ref="F531">XLOOKUP(Cover!$D$12,$R$1:$Z$1,$R531:$Z531)</f>
        <v>Information</v>
      </c>
      <c r="G531" s="154" t="s">
        <v>8184</v>
      </c>
      <c r="H531" s="154" t="s">
        <v>7834</v>
      </c>
      <c r="I531" s="154" t="s">
        <v>8185</v>
      </c>
      <c r="J531" s="154" t="s">
        <v>7656</v>
      </c>
      <c r="K531" s="154" t="s">
        <v>7835</v>
      </c>
      <c r="L531" s="154" t="s">
        <v>6463</v>
      </c>
      <c r="M531" s="154"/>
      <c r="N531" s="154" t="s">
        <v>759</v>
      </c>
      <c r="O531" s="247" t="s">
        <v>516</v>
      </c>
      <c r="P531" s="247" t="s">
        <v>6776</v>
      </c>
      <c r="Q531" s="154" t="str">
        <f t="shared" si="1"/>
        <v>#ERROR!</v>
      </c>
      <c r="R531" s="154" t="s">
        <v>66</v>
      </c>
      <c r="S531" s="154" t="s">
        <v>66</v>
      </c>
      <c r="T531" s="154" t="s">
        <v>66</v>
      </c>
      <c r="U531" s="154" t="s">
        <v>66</v>
      </c>
      <c r="V531" s="154" t="s">
        <v>66</v>
      </c>
      <c r="W531" s="154" t="s">
        <v>66</v>
      </c>
      <c r="X531" s="154" t="s">
        <v>66</v>
      </c>
      <c r="Y531" s="154" t="s">
        <v>66</v>
      </c>
      <c r="Z531" s="154" t="s">
        <v>66</v>
      </c>
      <c r="AA531" s="154"/>
      <c r="AB531" s="242" t="str">
        <f t="shared" si="2"/>
        <v>#ERROR!</v>
      </c>
      <c r="AC531" s="154" t="s">
        <v>391</v>
      </c>
      <c r="AD531" s="242" t="b">
        <f t="shared" si="3"/>
        <v>0</v>
      </c>
      <c r="AE531" s="154"/>
      <c r="AF531" s="242" t="str">
        <f t="shared" si="4"/>
        <v>#ERROR!</v>
      </c>
      <c r="AG531" s="154" t="s">
        <v>652</v>
      </c>
      <c r="AH531" s="242" t="str">
        <f>IF(AG531="","N/A",INDIRECT("MTR!"&amp;ADDRESS(MATCH(LEFT(AG531,9),[1]MTR!C:C,0),COLUMN(J531)),TRUE) &amp; "")</f>
        <v>#ERROR!</v>
      </c>
      <c r="AI531" s="157" t="str">
        <f t="shared" si="5"/>
        <v>#ERROR!</v>
      </c>
    </row>
    <row r="532" ht="12.75" customHeight="1">
      <c r="A532" s="244" t="s">
        <v>5158</v>
      </c>
      <c r="B532" s="244" t="s">
        <v>231</v>
      </c>
      <c r="C532" s="244" t="s">
        <v>8186</v>
      </c>
      <c r="D532" s="154" t="s">
        <v>503</v>
      </c>
      <c r="E532" s="154"/>
      <c r="F532" s="154" t="str">
        <f t="array" ref="F532">XLOOKUP(Cover!$D$12,$R$1:$Z$1,$R532:$Z532)</f>
        <v>Information</v>
      </c>
      <c r="G532" s="154" t="s">
        <v>8187</v>
      </c>
      <c r="H532" s="154" t="s">
        <v>7838</v>
      </c>
      <c r="I532" s="154" t="s">
        <v>8185</v>
      </c>
      <c r="J532" s="154" t="s">
        <v>7656</v>
      </c>
      <c r="K532" s="154" t="s">
        <v>7835</v>
      </c>
      <c r="L532" s="154" t="s">
        <v>6463</v>
      </c>
      <c r="M532" s="154"/>
      <c r="N532" s="154" t="s">
        <v>759</v>
      </c>
      <c r="O532" s="247" t="s">
        <v>516</v>
      </c>
      <c r="P532" s="247" t="s">
        <v>6776</v>
      </c>
      <c r="Q532" s="154" t="str">
        <f t="shared" si="1"/>
        <v>#ERROR!</v>
      </c>
      <c r="R532" s="154" t="s">
        <v>66</v>
      </c>
      <c r="S532" s="154" t="s">
        <v>66</v>
      </c>
      <c r="T532" s="154" t="s">
        <v>66</v>
      </c>
      <c r="U532" s="154" t="s">
        <v>66</v>
      </c>
      <c r="V532" s="154" t="s">
        <v>66</v>
      </c>
      <c r="W532" s="154" t="s">
        <v>66</v>
      </c>
      <c r="X532" s="154" t="s">
        <v>66</v>
      </c>
      <c r="Y532" s="154" t="s">
        <v>66</v>
      </c>
      <c r="Z532" s="154" t="s">
        <v>66</v>
      </c>
      <c r="AA532" s="154"/>
      <c r="AB532" s="242" t="str">
        <f t="shared" si="2"/>
        <v>#ERROR!</v>
      </c>
      <c r="AC532" s="154" t="s">
        <v>391</v>
      </c>
      <c r="AD532" s="242" t="b">
        <f t="shared" si="3"/>
        <v>0</v>
      </c>
      <c r="AE532" s="154"/>
      <c r="AF532" s="242" t="str">
        <f t="shared" si="4"/>
        <v>#ERROR!</v>
      </c>
      <c r="AG532" s="154" t="s">
        <v>652</v>
      </c>
      <c r="AH532" s="242" t="str">
        <f>IF(AG532="","N/A",INDIRECT("MTR!"&amp;ADDRESS(MATCH(LEFT(AG532,9),[1]MTR!C:C,0),COLUMN(J532)),TRUE) &amp; "")</f>
        <v>#ERROR!</v>
      </c>
      <c r="AI532" s="157" t="str">
        <f t="shared" si="5"/>
        <v>#ERROR!</v>
      </c>
    </row>
    <row r="533" ht="12.75" customHeight="1">
      <c r="A533" s="244" t="s">
        <v>5158</v>
      </c>
      <c r="B533" s="244" t="s">
        <v>231</v>
      </c>
      <c r="C533" s="244" t="s">
        <v>8188</v>
      </c>
      <c r="D533" s="154" t="s">
        <v>503</v>
      </c>
      <c r="E533" s="154"/>
      <c r="F533" s="154" t="str">
        <f t="array" ref="F533">XLOOKUP(Cover!$D$12,$R$1:$Z$1,$R533:$Z533)</f>
        <v>Information</v>
      </c>
      <c r="G533" s="154" t="s">
        <v>8189</v>
      </c>
      <c r="H533" s="154" t="s">
        <v>7853</v>
      </c>
      <c r="I533" s="154" t="s">
        <v>8185</v>
      </c>
      <c r="J533" s="154" t="s">
        <v>7656</v>
      </c>
      <c r="K533" s="154" t="s">
        <v>7835</v>
      </c>
      <c r="L533" s="154" t="s">
        <v>6463</v>
      </c>
      <c r="M533" s="154"/>
      <c r="N533" s="154" t="s">
        <v>759</v>
      </c>
      <c r="O533" s="247" t="s">
        <v>516</v>
      </c>
      <c r="P533" s="247" t="s">
        <v>6776</v>
      </c>
      <c r="Q533" s="154" t="str">
        <f t="shared" si="1"/>
        <v>#ERROR!</v>
      </c>
      <c r="R533" s="154" t="s">
        <v>66</v>
      </c>
      <c r="S533" s="154" t="s">
        <v>66</v>
      </c>
      <c r="T533" s="154" t="s">
        <v>66</v>
      </c>
      <c r="U533" s="154" t="s">
        <v>66</v>
      </c>
      <c r="V533" s="154" t="s">
        <v>66</v>
      </c>
      <c r="W533" s="154" t="s">
        <v>66</v>
      </c>
      <c r="X533" s="154" t="s">
        <v>66</v>
      </c>
      <c r="Y533" s="154" t="s">
        <v>66</v>
      </c>
      <c r="Z533" s="154" t="s">
        <v>66</v>
      </c>
      <c r="AA533" s="154"/>
      <c r="AB533" s="242" t="str">
        <f t="shared" si="2"/>
        <v>#ERROR!</v>
      </c>
      <c r="AC533" s="154" t="s">
        <v>391</v>
      </c>
      <c r="AD533" s="242" t="b">
        <f t="shared" si="3"/>
        <v>0</v>
      </c>
      <c r="AE533" s="154"/>
      <c r="AF533" s="242" t="str">
        <f t="shared" si="4"/>
        <v>#ERROR!</v>
      </c>
      <c r="AG533" s="154" t="s">
        <v>652</v>
      </c>
      <c r="AH533" s="242" t="str">
        <f>IF(AG533="","N/A",INDIRECT("MTR!"&amp;ADDRESS(MATCH(LEFT(AG533,9),[1]MTR!C:C,0),COLUMN(J533)),TRUE) &amp; "")</f>
        <v>#ERROR!</v>
      </c>
      <c r="AI533" s="157" t="str">
        <f t="shared" si="5"/>
        <v>#ERROR!</v>
      </c>
    </row>
    <row r="534" ht="12.75" customHeight="1">
      <c r="A534" s="244" t="s">
        <v>5158</v>
      </c>
      <c r="B534" s="244" t="s">
        <v>231</v>
      </c>
      <c r="C534" s="244" t="s">
        <v>8190</v>
      </c>
      <c r="D534" s="154" t="s">
        <v>781</v>
      </c>
      <c r="E534" s="154"/>
      <c r="F534" s="154" t="str">
        <f t="array" ref="F534">XLOOKUP(Cover!$D$12,$R$1:$Z$1,$R534:$Z534)</f>
        <v>Information</v>
      </c>
      <c r="G534" s="154" t="s">
        <v>8191</v>
      </c>
      <c r="H534" s="154" t="s">
        <v>7838</v>
      </c>
      <c r="I534" s="154" t="s">
        <v>8192</v>
      </c>
      <c r="J534" s="154" t="s">
        <v>7174</v>
      </c>
      <c r="K534" s="154" t="s">
        <v>7835</v>
      </c>
      <c r="L534" s="154" t="s">
        <v>6140</v>
      </c>
      <c r="M534" s="154"/>
      <c r="N534" s="154" t="s">
        <v>759</v>
      </c>
      <c r="O534" s="247" t="s">
        <v>516</v>
      </c>
      <c r="P534" s="247" t="s">
        <v>6776</v>
      </c>
      <c r="Q534" s="154" t="str">
        <f t="shared" si="1"/>
        <v>#ERROR!</v>
      </c>
      <c r="R534" s="154" t="s">
        <v>66</v>
      </c>
      <c r="S534" s="154" t="s">
        <v>66</v>
      </c>
      <c r="T534" s="154" t="s">
        <v>66</v>
      </c>
      <c r="U534" s="154" t="s">
        <v>66</v>
      </c>
      <c r="V534" s="154" t="s">
        <v>66</v>
      </c>
      <c r="W534" s="154" t="s">
        <v>66</v>
      </c>
      <c r="X534" s="154" t="s">
        <v>66</v>
      </c>
      <c r="Y534" s="154" t="s">
        <v>66</v>
      </c>
      <c r="Z534" s="154" t="s">
        <v>66</v>
      </c>
      <c r="AA534" s="154"/>
      <c r="AB534" s="242" t="str">
        <f t="shared" si="2"/>
        <v>#ERROR!</v>
      </c>
      <c r="AC534" s="154" t="s">
        <v>391</v>
      </c>
      <c r="AD534" s="242" t="b">
        <f t="shared" si="3"/>
        <v>0</v>
      </c>
      <c r="AE534" s="154"/>
      <c r="AF534" s="242" t="str">
        <f t="shared" si="4"/>
        <v>#ERROR!</v>
      </c>
      <c r="AG534" s="154" t="s">
        <v>652</v>
      </c>
      <c r="AH534" s="242" t="str">
        <f>IF(AG534="","N/A",INDIRECT("MTR!"&amp;ADDRESS(MATCH(LEFT(AG534,9),[1]MTR!C:C,0),COLUMN(J534)),TRUE) &amp; "")</f>
        <v>#ERROR!</v>
      </c>
      <c r="AI534" s="157" t="str">
        <f t="shared" si="5"/>
        <v>#ERROR!</v>
      </c>
    </row>
    <row r="535" ht="12.75" customHeight="1">
      <c r="A535" s="244" t="s">
        <v>5158</v>
      </c>
      <c r="B535" s="244" t="s">
        <v>231</v>
      </c>
      <c r="C535" s="244" t="s">
        <v>8193</v>
      </c>
      <c r="D535" s="154" t="s">
        <v>781</v>
      </c>
      <c r="E535" s="154"/>
      <c r="F535" s="154" t="str">
        <f t="array" ref="F535">XLOOKUP(Cover!$D$12,$R$1:$Z$1,$R535:$Z535)</f>
        <v>Information</v>
      </c>
      <c r="G535" s="154" t="s">
        <v>8194</v>
      </c>
      <c r="H535" s="154" t="s">
        <v>7892</v>
      </c>
      <c r="I535" s="154" t="s">
        <v>8192</v>
      </c>
      <c r="J535" s="154" t="s">
        <v>7174</v>
      </c>
      <c r="K535" s="154" t="s">
        <v>7835</v>
      </c>
      <c r="L535" s="154" t="s">
        <v>6140</v>
      </c>
      <c r="M535" s="154"/>
      <c r="N535" s="154" t="s">
        <v>759</v>
      </c>
      <c r="O535" s="247" t="s">
        <v>516</v>
      </c>
      <c r="P535" s="247" t="s">
        <v>6776</v>
      </c>
      <c r="Q535" s="154" t="str">
        <f t="shared" si="1"/>
        <v>#ERROR!</v>
      </c>
      <c r="R535" s="154" t="s">
        <v>66</v>
      </c>
      <c r="S535" s="154" t="s">
        <v>66</v>
      </c>
      <c r="T535" s="154" t="s">
        <v>66</v>
      </c>
      <c r="U535" s="154" t="s">
        <v>66</v>
      </c>
      <c r="V535" s="154" t="s">
        <v>66</v>
      </c>
      <c r="W535" s="154" t="s">
        <v>66</v>
      </c>
      <c r="X535" s="154" t="s">
        <v>66</v>
      </c>
      <c r="Y535" s="154" t="s">
        <v>66</v>
      </c>
      <c r="Z535" s="154" t="s">
        <v>66</v>
      </c>
      <c r="AA535" s="154"/>
      <c r="AB535" s="242" t="str">
        <f t="shared" si="2"/>
        <v>#ERROR!</v>
      </c>
      <c r="AC535" s="154" t="s">
        <v>391</v>
      </c>
      <c r="AD535" s="242" t="b">
        <f t="shared" si="3"/>
        <v>0</v>
      </c>
      <c r="AE535" s="154"/>
      <c r="AF535" s="242" t="str">
        <f t="shared" si="4"/>
        <v>#ERROR!</v>
      </c>
      <c r="AG535" s="154" t="s">
        <v>652</v>
      </c>
      <c r="AH535" s="242" t="str">
        <f>IF(AG535="","N/A",INDIRECT("MTR!"&amp;ADDRESS(MATCH(LEFT(AG535,9),[1]MTR!C:C,0),COLUMN(J535)),TRUE) &amp; "")</f>
        <v>#ERROR!</v>
      </c>
      <c r="AI535" s="157" t="str">
        <f t="shared" si="5"/>
        <v>#ERROR!</v>
      </c>
    </row>
    <row r="536" ht="12.75" customHeight="1">
      <c r="A536" s="244" t="s">
        <v>5158</v>
      </c>
      <c r="B536" s="244" t="s">
        <v>231</v>
      </c>
      <c r="C536" s="244" t="s">
        <v>8195</v>
      </c>
      <c r="D536" s="154" t="s">
        <v>781</v>
      </c>
      <c r="E536" s="154"/>
      <c r="F536" s="154" t="str">
        <f t="array" ref="F536">XLOOKUP(Cover!$D$12,$R$1:$Z$1,$R536:$Z536)</f>
        <v>Information</v>
      </c>
      <c r="G536" s="154" t="s">
        <v>8196</v>
      </c>
      <c r="H536" s="154" t="s">
        <v>7844</v>
      </c>
      <c r="I536" s="154" t="s">
        <v>8192</v>
      </c>
      <c r="J536" s="154" t="s">
        <v>7174</v>
      </c>
      <c r="K536" s="154" t="s">
        <v>7835</v>
      </c>
      <c r="L536" s="154" t="s">
        <v>6140</v>
      </c>
      <c r="M536" s="154"/>
      <c r="N536" s="154" t="s">
        <v>759</v>
      </c>
      <c r="O536" s="247" t="s">
        <v>516</v>
      </c>
      <c r="P536" s="247" t="s">
        <v>6776</v>
      </c>
      <c r="Q536" s="154" t="str">
        <f t="shared" si="1"/>
        <v>#ERROR!</v>
      </c>
      <c r="R536" s="154" t="s">
        <v>66</v>
      </c>
      <c r="S536" s="154" t="s">
        <v>66</v>
      </c>
      <c r="T536" s="154" t="s">
        <v>66</v>
      </c>
      <c r="U536" s="154" t="s">
        <v>66</v>
      </c>
      <c r="V536" s="154" t="s">
        <v>66</v>
      </c>
      <c r="W536" s="154" t="s">
        <v>66</v>
      </c>
      <c r="X536" s="154" t="s">
        <v>66</v>
      </c>
      <c r="Y536" s="154" t="s">
        <v>66</v>
      </c>
      <c r="Z536" s="154" t="s">
        <v>66</v>
      </c>
      <c r="AA536" s="154"/>
      <c r="AB536" s="242" t="str">
        <f t="shared" si="2"/>
        <v>#ERROR!</v>
      </c>
      <c r="AC536" s="154" t="s">
        <v>391</v>
      </c>
      <c r="AD536" s="242" t="b">
        <f t="shared" si="3"/>
        <v>0</v>
      </c>
      <c r="AE536" s="154"/>
      <c r="AF536" s="242" t="str">
        <f t="shared" si="4"/>
        <v>#ERROR!</v>
      </c>
      <c r="AG536" s="154" t="s">
        <v>652</v>
      </c>
      <c r="AH536" s="242" t="str">
        <f>IF(AG536="","N/A",INDIRECT("MTR!"&amp;ADDRESS(MATCH(LEFT(AG536,9),[1]MTR!C:C,0),COLUMN(J536)),TRUE) &amp; "")</f>
        <v>#ERROR!</v>
      </c>
      <c r="AI536" s="157" t="str">
        <f t="shared" si="5"/>
        <v>#ERROR!</v>
      </c>
    </row>
    <row r="537" ht="12.75" customHeight="1">
      <c r="A537" s="244" t="s">
        <v>5158</v>
      </c>
      <c r="B537" s="244" t="s">
        <v>231</v>
      </c>
      <c r="C537" s="244" t="s">
        <v>8197</v>
      </c>
      <c r="D537" s="154" t="s">
        <v>781</v>
      </c>
      <c r="E537" s="154"/>
      <c r="F537" s="154" t="str">
        <f t="array" ref="F537">XLOOKUP(Cover!$D$12,$R$1:$Z$1,$R537:$Z537)</f>
        <v>Information</v>
      </c>
      <c r="G537" s="154" t="s">
        <v>8198</v>
      </c>
      <c r="H537" s="154" t="s">
        <v>7853</v>
      </c>
      <c r="I537" s="154" t="s">
        <v>8192</v>
      </c>
      <c r="J537" s="154" t="s">
        <v>7174</v>
      </c>
      <c r="K537" s="154" t="s">
        <v>7835</v>
      </c>
      <c r="L537" s="154" t="s">
        <v>6140</v>
      </c>
      <c r="M537" s="154"/>
      <c r="N537" s="154" t="s">
        <v>759</v>
      </c>
      <c r="O537" s="247" t="s">
        <v>516</v>
      </c>
      <c r="P537" s="247" t="s">
        <v>6776</v>
      </c>
      <c r="Q537" s="154" t="str">
        <f t="shared" si="1"/>
        <v>#ERROR!</v>
      </c>
      <c r="R537" s="154" t="s">
        <v>66</v>
      </c>
      <c r="S537" s="154" t="s">
        <v>66</v>
      </c>
      <c r="T537" s="154" t="s">
        <v>66</v>
      </c>
      <c r="U537" s="154" t="s">
        <v>66</v>
      </c>
      <c r="V537" s="154" t="s">
        <v>66</v>
      </c>
      <c r="W537" s="154" t="s">
        <v>66</v>
      </c>
      <c r="X537" s="154" t="s">
        <v>66</v>
      </c>
      <c r="Y537" s="154" t="s">
        <v>66</v>
      </c>
      <c r="Z537" s="154" t="s">
        <v>66</v>
      </c>
      <c r="AA537" s="154"/>
      <c r="AB537" s="242" t="str">
        <f t="shared" si="2"/>
        <v>#ERROR!</v>
      </c>
      <c r="AC537" s="154" t="s">
        <v>391</v>
      </c>
      <c r="AD537" s="242" t="b">
        <f t="shared" si="3"/>
        <v>0</v>
      </c>
      <c r="AE537" s="154"/>
      <c r="AF537" s="242" t="str">
        <f t="shared" si="4"/>
        <v>#ERROR!</v>
      </c>
      <c r="AG537" s="154" t="s">
        <v>652</v>
      </c>
      <c r="AH537" s="242" t="str">
        <f>IF(AG537="","N/A",INDIRECT("MTR!"&amp;ADDRESS(MATCH(LEFT(AG537,9),[1]MTR!C:C,0),COLUMN(J537)),TRUE) &amp; "")</f>
        <v>#ERROR!</v>
      </c>
      <c r="AI537" s="157" t="str">
        <f t="shared" si="5"/>
        <v>#ERROR!</v>
      </c>
    </row>
    <row r="538" ht="12.75" customHeight="1">
      <c r="A538" s="244" t="s">
        <v>5158</v>
      </c>
      <c r="B538" s="244" t="s">
        <v>231</v>
      </c>
      <c r="C538" s="244" t="s">
        <v>8199</v>
      </c>
      <c r="D538" s="154" t="s">
        <v>503</v>
      </c>
      <c r="E538" s="154"/>
      <c r="F538" s="154" t="str">
        <f t="array" ref="F538">XLOOKUP(Cover!$D$12,$R$1:$Z$1,$R538:$Z538)</f>
        <v>Information</v>
      </c>
      <c r="G538" s="154" t="s">
        <v>8200</v>
      </c>
      <c r="H538" s="154" t="s">
        <v>7838</v>
      </c>
      <c r="I538" s="154" t="s">
        <v>8201</v>
      </c>
      <c r="J538" s="154" t="s">
        <v>7174</v>
      </c>
      <c r="K538" s="154" t="s">
        <v>7835</v>
      </c>
      <c r="L538" s="154" t="s">
        <v>6463</v>
      </c>
      <c r="M538" s="154"/>
      <c r="N538" s="154" t="s">
        <v>759</v>
      </c>
      <c r="O538" s="247" t="s">
        <v>516</v>
      </c>
      <c r="P538" s="247" t="s">
        <v>6776</v>
      </c>
      <c r="Q538" s="154" t="str">
        <f t="shared" si="1"/>
        <v>#ERROR!</v>
      </c>
      <c r="R538" s="154" t="s">
        <v>66</v>
      </c>
      <c r="S538" s="154" t="s">
        <v>66</v>
      </c>
      <c r="T538" s="154" t="s">
        <v>66</v>
      </c>
      <c r="U538" s="154" t="s">
        <v>66</v>
      </c>
      <c r="V538" s="154" t="s">
        <v>66</v>
      </c>
      <c r="W538" s="154" t="s">
        <v>66</v>
      </c>
      <c r="X538" s="154" t="s">
        <v>66</v>
      </c>
      <c r="Y538" s="154" t="s">
        <v>66</v>
      </c>
      <c r="Z538" s="154" t="s">
        <v>66</v>
      </c>
      <c r="AA538" s="154"/>
      <c r="AB538" s="242" t="str">
        <f t="shared" si="2"/>
        <v>#ERROR!</v>
      </c>
      <c r="AC538" s="154" t="s">
        <v>391</v>
      </c>
      <c r="AD538" s="242" t="b">
        <f t="shared" si="3"/>
        <v>0</v>
      </c>
      <c r="AE538" s="154"/>
      <c r="AF538" s="242" t="str">
        <f t="shared" si="4"/>
        <v>#ERROR!</v>
      </c>
      <c r="AG538" s="154" t="s">
        <v>652</v>
      </c>
      <c r="AH538" s="242" t="str">
        <f>IF(AG538="","N/A",INDIRECT("MTR!"&amp;ADDRESS(MATCH(LEFT(AG538,9),[1]MTR!C:C,0),COLUMN(J538)),TRUE) &amp; "")</f>
        <v>#ERROR!</v>
      </c>
      <c r="AI538" s="157" t="str">
        <f t="shared" si="5"/>
        <v>#ERROR!</v>
      </c>
    </row>
    <row r="539" ht="12.75" customHeight="1">
      <c r="A539" s="244" t="s">
        <v>5158</v>
      </c>
      <c r="B539" s="244" t="s">
        <v>231</v>
      </c>
      <c r="C539" s="244" t="s">
        <v>8202</v>
      </c>
      <c r="D539" s="154" t="s">
        <v>503</v>
      </c>
      <c r="E539" s="154"/>
      <c r="F539" s="154" t="str">
        <f t="array" ref="F539">XLOOKUP(Cover!$D$12,$R$1:$Z$1,$R539:$Z539)</f>
        <v>Information</v>
      </c>
      <c r="G539" s="154" t="s">
        <v>8203</v>
      </c>
      <c r="H539" s="154" t="s">
        <v>7853</v>
      </c>
      <c r="I539" s="154" t="s">
        <v>8201</v>
      </c>
      <c r="J539" s="154" t="s">
        <v>7174</v>
      </c>
      <c r="K539" s="154" t="s">
        <v>7835</v>
      </c>
      <c r="L539" s="154" t="s">
        <v>6463</v>
      </c>
      <c r="M539" s="154"/>
      <c r="N539" s="154" t="s">
        <v>759</v>
      </c>
      <c r="O539" s="247" t="s">
        <v>516</v>
      </c>
      <c r="P539" s="247" t="s">
        <v>6776</v>
      </c>
      <c r="Q539" s="154" t="str">
        <f t="shared" si="1"/>
        <v>#ERROR!</v>
      </c>
      <c r="R539" s="154" t="s">
        <v>66</v>
      </c>
      <c r="S539" s="154" t="s">
        <v>66</v>
      </c>
      <c r="T539" s="154" t="s">
        <v>66</v>
      </c>
      <c r="U539" s="154" t="s">
        <v>66</v>
      </c>
      <c r="V539" s="154" t="s">
        <v>66</v>
      </c>
      <c r="W539" s="154" t="s">
        <v>66</v>
      </c>
      <c r="X539" s="154" t="s">
        <v>66</v>
      </c>
      <c r="Y539" s="154" t="s">
        <v>66</v>
      </c>
      <c r="Z539" s="154" t="s">
        <v>66</v>
      </c>
      <c r="AA539" s="154"/>
      <c r="AB539" s="242" t="str">
        <f t="shared" si="2"/>
        <v>#ERROR!</v>
      </c>
      <c r="AC539" s="154" t="s">
        <v>391</v>
      </c>
      <c r="AD539" s="242" t="b">
        <f t="shared" si="3"/>
        <v>0</v>
      </c>
      <c r="AE539" s="154"/>
      <c r="AF539" s="242" t="str">
        <f t="shared" si="4"/>
        <v>#ERROR!</v>
      </c>
      <c r="AG539" s="154" t="s">
        <v>652</v>
      </c>
      <c r="AH539" s="242" t="str">
        <f>IF(AG539="","N/A",INDIRECT("MTR!"&amp;ADDRESS(MATCH(LEFT(AG539,9),[1]MTR!C:C,0),COLUMN(J539)),TRUE) &amp; "")</f>
        <v>#ERROR!</v>
      </c>
      <c r="AI539" s="157" t="str">
        <f t="shared" si="5"/>
        <v>#ERROR!</v>
      </c>
    </row>
    <row r="540" ht="12.75" customHeight="1">
      <c r="A540" s="244" t="s">
        <v>5158</v>
      </c>
      <c r="B540" s="244" t="s">
        <v>231</v>
      </c>
      <c r="C540" s="244" t="s">
        <v>8204</v>
      </c>
      <c r="D540" s="154" t="s">
        <v>781</v>
      </c>
      <c r="E540" s="154"/>
      <c r="F540" s="154" t="str">
        <f t="array" ref="F540">XLOOKUP(Cover!$D$12,$R$1:$Z$1,$R540:$Z540)</f>
        <v>Information</v>
      </c>
      <c r="G540" s="154" t="s">
        <v>8205</v>
      </c>
      <c r="H540" s="154" t="s">
        <v>7838</v>
      </c>
      <c r="I540" s="154" t="s">
        <v>8206</v>
      </c>
      <c r="J540" s="154" t="s">
        <v>8207</v>
      </c>
      <c r="K540" s="154" t="s">
        <v>7835</v>
      </c>
      <c r="L540" s="154" t="s">
        <v>6140</v>
      </c>
      <c r="M540" s="154"/>
      <c r="N540" s="154" t="s">
        <v>759</v>
      </c>
      <c r="O540" s="247" t="s">
        <v>516</v>
      </c>
      <c r="P540" s="247" t="s">
        <v>6776</v>
      </c>
      <c r="Q540" s="154" t="str">
        <f t="shared" si="1"/>
        <v>#ERROR!</v>
      </c>
      <c r="R540" s="154" t="s">
        <v>66</v>
      </c>
      <c r="S540" s="154" t="s">
        <v>66</v>
      </c>
      <c r="T540" s="154" t="s">
        <v>66</v>
      </c>
      <c r="U540" s="154" t="s">
        <v>66</v>
      </c>
      <c r="V540" s="154" t="s">
        <v>66</v>
      </c>
      <c r="W540" s="154" t="s">
        <v>66</v>
      </c>
      <c r="X540" s="154" t="s">
        <v>66</v>
      </c>
      <c r="Y540" s="154" t="s">
        <v>66</v>
      </c>
      <c r="Z540" s="154" t="s">
        <v>66</v>
      </c>
      <c r="AA540" s="154"/>
      <c r="AB540" s="242" t="str">
        <f t="shared" si="2"/>
        <v>#ERROR!</v>
      </c>
      <c r="AC540" s="154" t="s">
        <v>391</v>
      </c>
      <c r="AD540" s="242" t="b">
        <f t="shared" si="3"/>
        <v>0</v>
      </c>
      <c r="AE540" s="154"/>
      <c r="AF540" s="242" t="str">
        <f t="shared" si="4"/>
        <v>#ERROR!</v>
      </c>
      <c r="AG540" s="154" t="s">
        <v>652</v>
      </c>
      <c r="AH540" s="242" t="str">
        <f>IF(AG540="","N/A",INDIRECT("MTR!"&amp;ADDRESS(MATCH(LEFT(AG540,9),[1]MTR!C:C,0),COLUMN(J540)),TRUE) &amp; "")</f>
        <v>#ERROR!</v>
      </c>
      <c r="AI540" s="157" t="str">
        <f t="shared" si="5"/>
        <v>#ERROR!</v>
      </c>
    </row>
    <row r="541" ht="12.75" customHeight="1">
      <c r="A541" s="244" t="s">
        <v>5158</v>
      </c>
      <c r="B541" s="244" t="s">
        <v>231</v>
      </c>
      <c r="C541" s="244" t="s">
        <v>8208</v>
      </c>
      <c r="D541" s="154" t="s">
        <v>781</v>
      </c>
      <c r="E541" s="154"/>
      <c r="F541" s="154" t="str">
        <f t="array" ref="F541">XLOOKUP(Cover!$D$12,$R$1:$Z$1,$R541:$Z541)</f>
        <v>Information</v>
      </c>
      <c r="G541" s="154" t="s">
        <v>8209</v>
      </c>
      <c r="H541" s="154" t="s">
        <v>7844</v>
      </c>
      <c r="I541" s="154" t="s">
        <v>8206</v>
      </c>
      <c r="J541" s="154" t="s">
        <v>8207</v>
      </c>
      <c r="K541" s="154" t="s">
        <v>7835</v>
      </c>
      <c r="L541" s="154" t="s">
        <v>6140</v>
      </c>
      <c r="M541" s="154"/>
      <c r="N541" s="154" t="s">
        <v>759</v>
      </c>
      <c r="O541" s="247" t="s">
        <v>516</v>
      </c>
      <c r="P541" s="247" t="s">
        <v>6776</v>
      </c>
      <c r="Q541" s="154" t="str">
        <f t="shared" si="1"/>
        <v>#ERROR!</v>
      </c>
      <c r="R541" s="154" t="s">
        <v>66</v>
      </c>
      <c r="S541" s="154" t="s">
        <v>66</v>
      </c>
      <c r="T541" s="154" t="s">
        <v>66</v>
      </c>
      <c r="U541" s="154" t="s">
        <v>66</v>
      </c>
      <c r="V541" s="154" t="s">
        <v>66</v>
      </c>
      <c r="W541" s="154" t="s">
        <v>66</v>
      </c>
      <c r="X541" s="154" t="s">
        <v>66</v>
      </c>
      <c r="Y541" s="154" t="s">
        <v>66</v>
      </c>
      <c r="Z541" s="154" t="s">
        <v>66</v>
      </c>
      <c r="AA541" s="154"/>
      <c r="AB541" s="242" t="str">
        <f t="shared" si="2"/>
        <v>#ERROR!</v>
      </c>
      <c r="AC541" s="154" t="s">
        <v>391</v>
      </c>
      <c r="AD541" s="242" t="b">
        <f t="shared" si="3"/>
        <v>0</v>
      </c>
      <c r="AE541" s="154"/>
      <c r="AF541" s="242" t="str">
        <f t="shared" si="4"/>
        <v>#ERROR!</v>
      </c>
      <c r="AG541" s="154" t="s">
        <v>652</v>
      </c>
      <c r="AH541" s="242" t="str">
        <f>IF(AG541="","N/A",INDIRECT("MTR!"&amp;ADDRESS(MATCH(LEFT(AG541,9),[1]MTR!C:C,0),COLUMN(J541)),TRUE) &amp; "")</f>
        <v>#ERROR!</v>
      </c>
      <c r="AI541" s="157" t="str">
        <f t="shared" si="5"/>
        <v>#ERROR!</v>
      </c>
    </row>
    <row r="542" ht="12.75" customHeight="1">
      <c r="A542" s="244" t="s">
        <v>5158</v>
      </c>
      <c r="B542" s="244" t="s">
        <v>231</v>
      </c>
      <c r="C542" s="244" t="s">
        <v>8210</v>
      </c>
      <c r="D542" s="154" t="s">
        <v>781</v>
      </c>
      <c r="E542" s="154"/>
      <c r="F542" s="154" t="str">
        <f t="array" ref="F542">XLOOKUP(Cover!$D$12,$R$1:$Z$1,$R542:$Z542)</f>
        <v>Information</v>
      </c>
      <c r="G542" s="154" t="s">
        <v>8211</v>
      </c>
      <c r="H542" s="154" t="s">
        <v>7853</v>
      </c>
      <c r="I542" s="154" t="s">
        <v>8206</v>
      </c>
      <c r="J542" s="154" t="s">
        <v>8207</v>
      </c>
      <c r="K542" s="154" t="s">
        <v>7835</v>
      </c>
      <c r="L542" s="154" t="s">
        <v>6140</v>
      </c>
      <c r="M542" s="154"/>
      <c r="N542" s="154" t="s">
        <v>759</v>
      </c>
      <c r="O542" s="247" t="s">
        <v>516</v>
      </c>
      <c r="P542" s="247" t="s">
        <v>6776</v>
      </c>
      <c r="Q542" s="154" t="str">
        <f t="shared" si="1"/>
        <v>#ERROR!</v>
      </c>
      <c r="R542" s="154" t="s">
        <v>66</v>
      </c>
      <c r="S542" s="154" t="s">
        <v>66</v>
      </c>
      <c r="T542" s="154" t="s">
        <v>66</v>
      </c>
      <c r="U542" s="154" t="s">
        <v>66</v>
      </c>
      <c r="V542" s="154" t="s">
        <v>66</v>
      </c>
      <c r="W542" s="154" t="s">
        <v>66</v>
      </c>
      <c r="X542" s="154" t="s">
        <v>66</v>
      </c>
      <c r="Y542" s="154" t="s">
        <v>66</v>
      </c>
      <c r="Z542" s="154" t="s">
        <v>66</v>
      </c>
      <c r="AA542" s="154"/>
      <c r="AB542" s="242" t="str">
        <f t="shared" si="2"/>
        <v>#ERROR!</v>
      </c>
      <c r="AC542" s="154" t="s">
        <v>391</v>
      </c>
      <c r="AD542" s="242" t="b">
        <f t="shared" si="3"/>
        <v>0</v>
      </c>
      <c r="AE542" s="154"/>
      <c r="AF542" s="242" t="str">
        <f t="shared" si="4"/>
        <v>#ERROR!</v>
      </c>
      <c r="AG542" s="154" t="s">
        <v>652</v>
      </c>
      <c r="AH542" s="242" t="str">
        <f>IF(AG542="","N/A",INDIRECT("MTR!"&amp;ADDRESS(MATCH(LEFT(AG542,9),[1]MTR!C:C,0),COLUMN(J542)),TRUE) &amp; "")</f>
        <v>#ERROR!</v>
      </c>
      <c r="AI542" s="157" t="str">
        <f t="shared" si="5"/>
        <v>#ERROR!</v>
      </c>
    </row>
    <row r="543" ht="12.75" customHeight="1">
      <c r="A543" s="238" t="s">
        <v>5158</v>
      </c>
      <c r="B543" s="238" t="s">
        <v>231</v>
      </c>
      <c r="C543" s="238" t="s">
        <v>8212</v>
      </c>
      <c r="D543" s="240"/>
      <c r="E543" s="240" t="s">
        <v>92</v>
      </c>
      <c r="F543" s="240" t="str">
        <f t="array" ref="F543">XLOOKUP(Cover!$D$12,$R$1:$Z$1,$R543:$Z543)</f>
        <v>Heading</v>
      </c>
      <c r="G543" s="239" t="s">
        <v>8213</v>
      </c>
      <c r="H543" s="240"/>
      <c r="I543" s="240"/>
      <c r="J543" s="240"/>
      <c r="K543" s="240"/>
      <c r="L543" s="240"/>
      <c r="M543" s="240"/>
      <c r="N543" s="240" t="s">
        <v>759</v>
      </c>
      <c r="O543" s="240"/>
      <c r="P543" s="240"/>
      <c r="Q543" s="240" t="str">
        <f t="shared" si="1"/>
        <v/>
      </c>
      <c r="R543" s="240" t="s">
        <v>390</v>
      </c>
      <c r="S543" s="240" t="s">
        <v>390</v>
      </c>
      <c r="T543" s="240" t="s">
        <v>390</v>
      </c>
      <c r="U543" s="240" t="s">
        <v>390</v>
      </c>
      <c r="V543" s="240" t="s">
        <v>390</v>
      </c>
      <c r="W543" s="240" t="s">
        <v>390</v>
      </c>
      <c r="X543" s="240" t="s">
        <v>390</v>
      </c>
      <c r="Y543" s="240" t="s">
        <v>390</v>
      </c>
      <c r="Z543" s="240" t="s">
        <v>390</v>
      </c>
      <c r="AA543" s="240"/>
      <c r="AB543" s="242" t="str">
        <f t="shared" si="2"/>
        <v>#ERROR!</v>
      </c>
      <c r="AC543" s="240" t="s">
        <v>391</v>
      </c>
      <c r="AD543" s="242" t="b">
        <f t="shared" si="3"/>
        <v>0</v>
      </c>
      <c r="AE543" s="240"/>
      <c r="AF543" s="242" t="str">
        <f t="shared" si="4"/>
        <v>#ERROR!</v>
      </c>
      <c r="AG543" s="240"/>
      <c r="AH543" s="242" t="str">
        <f>IF(AG543="","N/A",INDIRECT("MTR!"&amp;ADDRESS(MATCH(LEFT(AG543,9),[1]MTR!C:C,0),COLUMN(J543)),TRUE) &amp; "")</f>
        <v>#ERROR!</v>
      </c>
      <c r="AI543" s="157" t="str">
        <f t="shared" si="5"/>
        <v/>
      </c>
    </row>
    <row r="544" ht="12.75" customHeight="1">
      <c r="A544" s="244" t="s">
        <v>5158</v>
      </c>
      <c r="B544" s="244" t="s">
        <v>231</v>
      </c>
      <c r="C544" s="244" t="s">
        <v>8214</v>
      </c>
      <c r="D544" s="154" t="s">
        <v>781</v>
      </c>
      <c r="E544" s="154"/>
      <c r="F544" s="154" t="str">
        <f t="array" ref="F544">XLOOKUP(Cover!$D$12,$R$1:$Z$1,$R544:$Z544)</f>
        <v>Information</v>
      </c>
      <c r="G544" s="154" t="s">
        <v>8215</v>
      </c>
      <c r="H544" s="154" t="s">
        <v>7834</v>
      </c>
      <c r="I544" s="154" t="s">
        <v>8216</v>
      </c>
      <c r="J544" s="154" t="s">
        <v>8217</v>
      </c>
      <c r="K544" s="154" t="s">
        <v>7835</v>
      </c>
      <c r="L544" s="154" t="s">
        <v>6140</v>
      </c>
      <c r="M544" s="154"/>
      <c r="N544" s="154" t="s">
        <v>759</v>
      </c>
      <c r="O544" s="247" t="s">
        <v>516</v>
      </c>
      <c r="P544" s="247" t="s">
        <v>6776</v>
      </c>
      <c r="Q544" s="154" t="str">
        <f t="shared" si="1"/>
        <v>#ERROR!</v>
      </c>
      <c r="R544" s="154" t="s">
        <v>66</v>
      </c>
      <c r="S544" s="154" t="s">
        <v>66</v>
      </c>
      <c r="T544" s="154" t="s">
        <v>66</v>
      </c>
      <c r="U544" s="154" t="s">
        <v>66</v>
      </c>
      <c r="V544" s="154" t="s">
        <v>66</v>
      </c>
      <c r="W544" s="154" t="s">
        <v>66</v>
      </c>
      <c r="X544" s="154" t="s">
        <v>66</v>
      </c>
      <c r="Y544" s="154" t="s">
        <v>66</v>
      </c>
      <c r="Z544" s="154" t="s">
        <v>66</v>
      </c>
      <c r="AA544" s="154"/>
      <c r="AB544" s="242" t="str">
        <f t="shared" si="2"/>
        <v>#ERROR!</v>
      </c>
      <c r="AC544" s="154" t="s">
        <v>391</v>
      </c>
      <c r="AD544" s="242" t="b">
        <f t="shared" si="3"/>
        <v>0</v>
      </c>
      <c r="AE544" s="154"/>
      <c r="AF544" s="242" t="str">
        <f t="shared" si="4"/>
        <v>#ERROR!</v>
      </c>
      <c r="AG544" s="154" t="s">
        <v>652</v>
      </c>
      <c r="AH544" s="242" t="str">
        <f>IF(AG544="","N/A",INDIRECT("MTR!"&amp;ADDRESS(MATCH(LEFT(AG544,9),[1]MTR!C:C,0),COLUMN(J544)),TRUE) &amp; "")</f>
        <v>#ERROR!</v>
      </c>
      <c r="AI544" s="157" t="str">
        <f t="shared" si="5"/>
        <v>#ERROR!</v>
      </c>
    </row>
    <row r="545" ht="12.75" customHeight="1">
      <c r="A545" s="244" t="s">
        <v>5158</v>
      </c>
      <c r="B545" s="244" t="s">
        <v>231</v>
      </c>
      <c r="C545" s="244" t="s">
        <v>8218</v>
      </c>
      <c r="D545" s="154" t="s">
        <v>781</v>
      </c>
      <c r="E545" s="154"/>
      <c r="F545" s="154" t="str">
        <f t="array" ref="F545">XLOOKUP(Cover!$D$12,$R$1:$Z$1,$R545:$Z545)</f>
        <v>Information</v>
      </c>
      <c r="G545" s="154" t="s">
        <v>8219</v>
      </c>
      <c r="H545" s="154" t="s">
        <v>7838</v>
      </c>
      <c r="I545" s="154" t="s">
        <v>8216</v>
      </c>
      <c r="J545" s="154" t="s">
        <v>8217</v>
      </c>
      <c r="K545" s="154" t="s">
        <v>7835</v>
      </c>
      <c r="L545" s="154" t="s">
        <v>6140</v>
      </c>
      <c r="M545" s="154"/>
      <c r="N545" s="154" t="s">
        <v>759</v>
      </c>
      <c r="O545" s="247" t="s">
        <v>516</v>
      </c>
      <c r="P545" s="247" t="s">
        <v>6776</v>
      </c>
      <c r="Q545" s="154" t="str">
        <f t="shared" si="1"/>
        <v>#ERROR!</v>
      </c>
      <c r="R545" s="154" t="s">
        <v>66</v>
      </c>
      <c r="S545" s="154" t="s">
        <v>66</v>
      </c>
      <c r="T545" s="154" t="s">
        <v>66</v>
      </c>
      <c r="U545" s="154" t="s">
        <v>66</v>
      </c>
      <c r="V545" s="154" t="s">
        <v>66</v>
      </c>
      <c r="W545" s="154" t="s">
        <v>66</v>
      </c>
      <c r="X545" s="154" t="s">
        <v>66</v>
      </c>
      <c r="Y545" s="154" t="s">
        <v>66</v>
      </c>
      <c r="Z545" s="154" t="s">
        <v>66</v>
      </c>
      <c r="AA545" s="154"/>
      <c r="AB545" s="242" t="str">
        <f t="shared" si="2"/>
        <v>#ERROR!</v>
      </c>
      <c r="AC545" s="154" t="s">
        <v>391</v>
      </c>
      <c r="AD545" s="242" t="b">
        <f t="shared" si="3"/>
        <v>0</v>
      </c>
      <c r="AE545" s="154"/>
      <c r="AF545" s="242" t="str">
        <f t="shared" si="4"/>
        <v>#ERROR!</v>
      </c>
      <c r="AG545" s="154" t="s">
        <v>652</v>
      </c>
      <c r="AH545" s="242" t="str">
        <f>IF(AG545="","N/A",INDIRECT("MTR!"&amp;ADDRESS(MATCH(LEFT(AG545,9),[1]MTR!C:C,0),COLUMN(J545)),TRUE) &amp; "")</f>
        <v>#ERROR!</v>
      </c>
      <c r="AI545" s="157" t="str">
        <f t="shared" si="5"/>
        <v>#ERROR!</v>
      </c>
    </row>
    <row r="546" ht="12.75" customHeight="1">
      <c r="A546" s="244" t="s">
        <v>5158</v>
      </c>
      <c r="B546" s="244" t="s">
        <v>231</v>
      </c>
      <c r="C546" s="244" t="s">
        <v>8220</v>
      </c>
      <c r="D546" s="154" t="s">
        <v>781</v>
      </c>
      <c r="E546" s="154"/>
      <c r="F546" s="154" t="str">
        <f t="array" ref="F546">XLOOKUP(Cover!$D$12,$R$1:$Z$1,$R546:$Z546)</f>
        <v>Information</v>
      </c>
      <c r="G546" s="154" t="s">
        <v>8221</v>
      </c>
      <c r="H546" s="154" t="s">
        <v>7892</v>
      </c>
      <c r="I546" s="154" t="s">
        <v>8216</v>
      </c>
      <c r="J546" s="154" t="s">
        <v>8217</v>
      </c>
      <c r="K546" s="154" t="s">
        <v>7835</v>
      </c>
      <c r="L546" s="154" t="s">
        <v>6140</v>
      </c>
      <c r="M546" s="154"/>
      <c r="N546" s="154" t="s">
        <v>759</v>
      </c>
      <c r="O546" s="247" t="s">
        <v>516</v>
      </c>
      <c r="P546" s="247" t="s">
        <v>6776</v>
      </c>
      <c r="Q546" s="154" t="str">
        <f t="shared" si="1"/>
        <v>#ERROR!</v>
      </c>
      <c r="R546" s="154" t="s">
        <v>66</v>
      </c>
      <c r="S546" s="154" t="s">
        <v>66</v>
      </c>
      <c r="T546" s="154" t="s">
        <v>66</v>
      </c>
      <c r="U546" s="154" t="s">
        <v>66</v>
      </c>
      <c r="V546" s="154" t="s">
        <v>66</v>
      </c>
      <c r="W546" s="154" t="s">
        <v>66</v>
      </c>
      <c r="X546" s="154" t="s">
        <v>66</v>
      </c>
      <c r="Y546" s="154" t="s">
        <v>66</v>
      </c>
      <c r="Z546" s="154" t="s">
        <v>66</v>
      </c>
      <c r="AA546" s="154"/>
      <c r="AB546" s="242" t="str">
        <f t="shared" si="2"/>
        <v>#ERROR!</v>
      </c>
      <c r="AC546" s="154" t="s">
        <v>391</v>
      </c>
      <c r="AD546" s="242" t="b">
        <f t="shared" si="3"/>
        <v>0</v>
      </c>
      <c r="AE546" s="154"/>
      <c r="AF546" s="242" t="str">
        <f t="shared" si="4"/>
        <v>#ERROR!</v>
      </c>
      <c r="AG546" s="154" t="s">
        <v>652</v>
      </c>
      <c r="AH546" s="242" t="str">
        <f>IF(AG546="","N/A",INDIRECT("MTR!"&amp;ADDRESS(MATCH(LEFT(AG546,9),[1]MTR!C:C,0),COLUMN(J546)),TRUE) &amp; "")</f>
        <v>#ERROR!</v>
      </c>
      <c r="AI546" s="157" t="str">
        <f t="shared" si="5"/>
        <v>#ERROR!</v>
      </c>
    </row>
    <row r="547" ht="12.75" customHeight="1">
      <c r="A547" s="244" t="s">
        <v>5158</v>
      </c>
      <c r="B547" s="244" t="s">
        <v>231</v>
      </c>
      <c r="C547" s="244" t="s">
        <v>8222</v>
      </c>
      <c r="D547" s="154" t="s">
        <v>781</v>
      </c>
      <c r="E547" s="154"/>
      <c r="F547" s="154" t="str">
        <f t="array" ref="F547">XLOOKUP(Cover!$D$12,$R$1:$Z$1,$R547:$Z547)</f>
        <v>Information</v>
      </c>
      <c r="G547" s="154" t="s">
        <v>8223</v>
      </c>
      <c r="H547" s="154" t="s">
        <v>7844</v>
      </c>
      <c r="I547" s="154" t="s">
        <v>8216</v>
      </c>
      <c r="J547" s="154" t="s">
        <v>8217</v>
      </c>
      <c r="K547" s="154" t="s">
        <v>7835</v>
      </c>
      <c r="L547" s="154" t="s">
        <v>6140</v>
      </c>
      <c r="M547" s="154"/>
      <c r="N547" s="154" t="s">
        <v>759</v>
      </c>
      <c r="O547" s="247" t="s">
        <v>516</v>
      </c>
      <c r="P547" s="247" t="s">
        <v>6776</v>
      </c>
      <c r="Q547" s="154" t="str">
        <f t="shared" si="1"/>
        <v>#ERROR!</v>
      </c>
      <c r="R547" s="154" t="s">
        <v>66</v>
      </c>
      <c r="S547" s="154" t="s">
        <v>66</v>
      </c>
      <c r="T547" s="154" t="s">
        <v>66</v>
      </c>
      <c r="U547" s="154" t="s">
        <v>66</v>
      </c>
      <c r="V547" s="154" t="s">
        <v>66</v>
      </c>
      <c r="W547" s="154" t="s">
        <v>66</v>
      </c>
      <c r="X547" s="154" t="s">
        <v>66</v>
      </c>
      <c r="Y547" s="154" t="s">
        <v>66</v>
      </c>
      <c r="Z547" s="154" t="s">
        <v>66</v>
      </c>
      <c r="AA547" s="154"/>
      <c r="AB547" s="242" t="str">
        <f t="shared" si="2"/>
        <v>#ERROR!</v>
      </c>
      <c r="AC547" s="154" t="s">
        <v>391</v>
      </c>
      <c r="AD547" s="242" t="b">
        <f t="shared" si="3"/>
        <v>0</v>
      </c>
      <c r="AE547" s="154"/>
      <c r="AF547" s="242" t="str">
        <f t="shared" si="4"/>
        <v>#ERROR!</v>
      </c>
      <c r="AG547" s="154" t="s">
        <v>652</v>
      </c>
      <c r="AH547" s="242" t="str">
        <f>IF(AG547="","N/A",INDIRECT("MTR!"&amp;ADDRESS(MATCH(LEFT(AG547,9),[1]MTR!C:C,0),COLUMN(J547)),TRUE) &amp; "")</f>
        <v>#ERROR!</v>
      </c>
      <c r="AI547" s="157" t="str">
        <f t="shared" si="5"/>
        <v>#ERROR!</v>
      </c>
    </row>
    <row r="548" ht="12.75" customHeight="1">
      <c r="A548" s="244" t="s">
        <v>5158</v>
      </c>
      <c r="B548" s="244" t="s">
        <v>231</v>
      </c>
      <c r="C548" s="244" t="s">
        <v>8224</v>
      </c>
      <c r="D548" s="154" t="s">
        <v>1069</v>
      </c>
      <c r="E548" s="154"/>
      <c r="F548" s="154" t="str">
        <f t="array" ref="F548">XLOOKUP(Cover!$D$12,$R$1:$Z$1,$R548:$Z548)</f>
        <v>Information</v>
      </c>
      <c r="G548" s="154" t="s">
        <v>8225</v>
      </c>
      <c r="H548" s="154" t="s">
        <v>7834</v>
      </c>
      <c r="I548" s="154" t="s">
        <v>8226</v>
      </c>
      <c r="J548" s="154" t="s">
        <v>8227</v>
      </c>
      <c r="K548" s="154" t="s">
        <v>7835</v>
      </c>
      <c r="L548" s="154" t="s">
        <v>5927</v>
      </c>
      <c r="M548" s="154"/>
      <c r="N548" s="154" t="s">
        <v>759</v>
      </c>
      <c r="O548" s="247" t="s">
        <v>516</v>
      </c>
      <c r="P548" s="247" t="s">
        <v>6776</v>
      </c>
      <c r="Q548" s="154" t="str">
        <f t="shared" si="1"/>
        <v>#ERROR!</v>
      </c>
      <c r="R548" s="154" t="s">
        <v>66</v>
      </c>
      <c r="S548" s="154" t="s">
        <v>66</v>
      </c>
      <c r="T548" s="154" t="s">
        <v>66</v>
      </c>
      <c r="U548" s="154" t="s">
        <v>66</v>
      </c>
      <c r="V548" s="154" t="s">
        <v>66</v>
      </c>
      <c r="W548" s="154" t="s">
        <v>66</v>
      </c>
      <c r="X548" s="154" t="s">
        <v>66</v>
      </c>
      <c r="Y548" s="154" t="s">
        <v>66</v>
      </c>
      <c r="Z548" s="154" t="s">
        <v>66</v>
      </c>
      <c r="AA548" s="154"/>
      <c r="AB548" s="242" t="str">
        <f t="shared" si="2"/>
        <v>#ERROR!</v>
      </c>
      <c r="AC548" s="154" t="s">
        <v>391</v>
      </c>
      <c r="AD548" s="242" t="b">
        <f t="shared" si="3"/>
        <v>0</v>
      </c>
      <c r="AE548" s="154"/>
      <c r="AF548" s="242" t="str">
        <f t="shared" si="4"/>
        <v>#ERROR!</v>
      </c>
      <c r="AG548" s="154" t="s">
        <v>652</v>
      </c>
      <c r="AH548" s="242" t="str">
        <f>IF(AG548="","N/A",INDIRECT("MTR!"&amp;ADDRESS(MATCH(LEFT(AG548,9),[1]MTR!C:C,0),COLUMN(J548)),TRUE) &amp; "")</f>
        <v>#ERROR!</v>
      </c>
      <c r="AI548" s="157" t="str">
        <f t="shared" si="5"/>
        <v>#ERROR!</v>
      </c>
    </row>
    <row r="549" ht="12.75" customHeight="1">
      <c r="A549" s="244" t="s">
        <v>5158</v>
      </c>
      <c r="B549" s="244" t="s">
        <v>231</v>
      </c>
      <c r="C549" s="244" t="s">
        <v>8228</v>
      </c>
      <c r="D549" s="154" t="s">
        <v>1069</v>
      </c>
      <c r="E549" s="154"/>
      <c r="F549" s="154" t="str">
        <f t="array" ref="F549">XLOOKUP(Cover!$D$12,$R$1:$Z$1,$R549:$Z549)</f>
        <v>Information</v>
      </c>
      <c r="G549" s="154" t="s">
        <v>8229</v>
      </c>
      <c r="H549" s="154" t="s">
        <v>7838</v>
      </c>
      <c r="I549" s="154" t="s">
        <v>8226</v>
      </c>
      <c r="J549" s="154" t="s">
        <v>8227</v>
      </c>
      <c r="K549" s="154" t="s">
        <v>7835</v>
      </c>
      <c r="L549" s="154" t="s">
        <v>5927</v>
      </c>
      <c r="M549" s="154"/>
      <c r="N549" s="154" t="s">
        <v>759</v>
      </c>
      <c r="O549" s="247" t="s">
        <v>516</v>
      </c>
      <c r="P549" s="247" t="s">
        <v>6776</v>
      </c>
      <c r="Q549" s="154" t="str">
        <f t="shared" si="1"/>
        <v>#ERROR!</v>
      </c>
      <c r="R549" s="154" t="s">
        <v>66</v>
      </c>
      <c r="S549" s="154" t="s">
        <v>66</v>
      </c>
      <c r="T549" s="154" t="s">
        <v>66</v>
      </c>
      <c r="U549" s="154" t="s">
        <v>66</v>
      </c>
      <c r="V549" s="154" t="s">
        <v>66</v>
      </c>
      <c r="W549" s="154" t="s">
        <v>66</v>
      </c>
      <c r="X549" s="154" t="s">
        <v>66</v>
      </c>
      <c r="Y549" s="154" t="s">
        <v>66</v>
      </c>
      <c r="Z549" s="154" t="s">
        <v>66</v>
      </c>
      <c r="AA549" s="154"/>
      <c r="AB549" s="242" t="str">
        <f t="shared" si="2"/>
        <v>#ERROR!</v>
      </c>
      <c r="AC549" s="154" t="s">
        <v>391</v>
      </c>
      <c r="AD549" s="242" t="b">
        <f t="shared" si="3"/>
        <v>0</v>
      </c>
      <c r="AE549" s="154"/>
      <c r="AF549" s="242" t="str">
        <f t="shared" si="4"/>
        <v>#ERROR!</v>
      </c>
      <c r="AG549" s="154" t="s">
        <v>652</v>
      </c>
      <c r="AH549" s="242" t="str">
        <f>IF(AG549="","N/A",INDIRECT("MTR!"&amp;ADDRESS(MATCH(LEFT(AG549,9),[1]MTR!C:C,0),COLUMN(J549)),TRUE) &amp; "")</f>
        <v>#ERROR!</v>
      </c>
      <c r="AI549" s="157" t="str">
        <f t="shared" si="5"/>
        <v>#ERROR!</v>
      </c>
    </row>
    <row r="550" ht="12.75" customHeight="1">
      <c r="A550" s="244" t="s">
        <v>5158</v>
      </c>
      <c r="B550" s="244" t="s">
        <v>231</v>
      </c>
      <c r="C550" s="244" t="s">
        <v>8230</v>
      </c>
      <c r="D550" s="154" t="s">
        <v>1069</v>
      </c>
      <c r="E550" s="154"/>
      <c r="F550" s="154" t="str">
        <f t="array" ref="F550">XLOOKUP(Cover!$D$12,$R$1:$Z$1,$R550:$Z550)</f>
        <v>Information</v>
      </c>
      <c r="G550" s="154" t="s">
        <v>8231</v>
      </c>
      <c r="H550" s="154" t="s">
        <v>7844</v>
      </c>
      <c r="I550" s="154" t="s">
        <v>8226</v>
      </c>
      <c r="J550" s="154" t="s">
        <v>8227</v>
      </c>
      <c r="K550" s="154" t="s">
        <v>7835</v>
      </c>
      <c r="L550" s="154" t="s">
        <v>5927</v>
      </c>
      <c r="M550" s="154"/>
      <c r="N550" s="154" t="s">
        <v>759</v>
      </c>
      <c r="O550" s="247" t="s">
        <v>516</v>
      </c>
      <c r="P550" s="247" t="s">
        <v>6776</v>
      </c>
      <c r="Q550" s="154" t="str">
        <f t="shared" si="1"/>
        <v>#ERROR!</v>
      </c>
      <c r="R550" s="154" t="s">
        <v>66</v>
      </c>
      <c r="S550" s="154" t="s">
        <v>66</v>
      </c>
      <c r="T550" s="154" t="s">
        <v>66</v>
      </c>
      <c r="U550" s="154" t="s">
        <v>66</v>
      </c>
      <c r="V550" s="154" t="s">
        <v>66</v>
      </c>
      <c r="W550" s="154" t="s">
        <v>66</v>
      </c>
      <c r="X550" s="154" t="s">
        <v>66</v>
      </c>
      <c r="Y550" s="154" t="s">
        <v>66</v>
      </c>
      <c r="Z550" s="154" t="s">
        <v>66</v>
      </c>
      <c r="AA550" s="154"/>
      <c r="AB550" s="242" t="str">
        <f t="shared" si="2"/>
        <v>#ERROR!</v>
      </c>
      <c r="AC550" s="154" t="s">
        <v>391</v>
      </c>
      <c r="AD550" s="242" t="b">
        <f t="shared" si="3"/>
        <v>0</v>
      </c>
      <c r="AE550" s="154"/>
      <c r="AF550" s="242" t="str">
        <f t="shared" si="4"/>
        <v>#ERROR!</v>
      </c>
      <c r="AG550" s="154" t="s">
        <v>652</v>
      </c>
      <c r="AH550" s="242" t="str">
        <f>IF(AG550="","N/A",INDIRECT("MTR!"&amp;ADDRESS(MATCH(LEFT(AG550,9),[1]MTR!C:C,0),COLUMN(J550)),TRUE) &amp; "")</f>
        <v>#ERROR!</v>
      </c>
      <c r="AI550" s="157" t="str">
        <f t="shared" si="5"/>
        <v>#ERROR!</v>
      </c>
    </row>
    <row r="551" ht="12.75" customHeight="1">
      <c r="A551" s="244" t="s">
        <v>5158</v>
      </c>
      <c r="B551" s="244" t="s">
        <v>231</v>
      </c>
      <c r="C551" s="244" t="s">
        <v>8232</v>
      </c>
      <c r="D551" s="154" t="s">
        <v>781</v>
      </c>
      <c r="E551" s="154"/>
      <c r="F551" s="154" t="str">
        <f t="array" ref="F551">XLOOKUP(Cover!$D$12,$R$1:$Z$1,$R551:$Z551)</f>
        <v>Information</v>
      </c>
      <c r="G551" s="154" t="s">
        <v>8233</v>
      </c>
      <c r="H551" s="154" t="s">
        <v>7834</v>
      </c>
      <c r="I551" s="154" t="s">
        <v>8234</v>
      </c>
      <c r="J551" s="154" t="s">
        <v>8235</v>
      </c>
      <c r="K551" s="154" t="s">
        <v>7835</v>
      </c>
      <c r="L551" s="154" t="s">
        <v>6140</v>
      </c>
      <c r="M551" s="154"/>
      <c r="N551" s="154" t="s">
        <v>759</v>
      </c>
      <c r="O551" s="247" t="s">
        <v>516</v>
      </c>
      <c r="P551" s="247" t="s">
        <v>6776</v>
      </c>
      <c r="Q551" s="154" t="str">
        <f t="shared" si="1"/>
        <v>#ERROR!</v>
      </c>
      <c r="R551" s="154" t="s">
        <v>66</v>
      </c>
      <c r="S551" s="154" t="s">
        <v>66</v>
      </c>
      <c r="T551" s="154" t="s">
        <v>66</v>
      </c>
      <c r="U551" s="154" t="s">
        <v>66</v>
      </c>
      <c r="V551" s="154" t="s">
        <v>66</v>
      </c>
      <c r="W551" s="154" t="s">
        <v>66</v>
      </c>
      <c r="X551" s="154" t="s">
        <v>66</v>
      </c>
      <c r="Y551" s="154" t="s">
        <v>66</v>
      </c>
      <c r="Z551" s="154" t="s">
        <v>66</v>
      </c>
      <c r="AA551" s="154"/>
      <c r="AB551" s="242" t="str">
        <f t="shared" si="2"/>
        <v>#ERROR!</v>
      </c>
      <c r="AC551" s="154" t="s">
        <v>391</v>
      </c>
      <c r="AD551" s="242" t="b">
        <f t="shared" si="3"/>
        <v>0</v>
      </c>
      <c r="AE551" s="154"/>
      <c r="AF551" s="242" t="str">
        <f t="shared" si="4"/>
        <v>#ERROR!</v>
      </c>
      <c r="AG551" s="154" t="s">
        <v>652</v>
      </c>
      <c r="AH551" s="242" t="str">
        <f>IF(AG551="","N/A",INDIRECT("MTR!"&amp;ADDRESS(MATCH(LEFT(AG551,9),[1]MTR!C:C,0),COLUMN(J551)),TRUE) &amp; "")</f>
        <v>#ERROR!</v>
      </c>
      <c r="AI551" s="157" t="str">
        <f t="shared" si="5"/>
        <v>#ERROR!</v>
      </c>
    </row>
    <row r="552" ht="12.75" customHeight="1">
      <c r="A552" s="244" t="s">
        <v>5158</v>
      </c>
      <c r="B552" s="244" t="s">
        <v>231</v>
      </c>
      <c r="C552" s="244" t="s">
        <v>8236</v>
      </c>
      <c r="D552" s="154" t="s">
        <v>781</v>
      </c>
      <c r="E552" s="154"/>
      <c r="F552" s="154" t="str">
        <f t="array" ref="F552">XLOOKUP(Cover!$D$12,$R$1:$Z$1,$R552:$Z552)</f>
        <v>Information</v>
      </c>
      <c r="G552" s="154" t="s">
        <v>8237</v>
      </c>
      <c r="H552" s="154" t="s">
        <v>7838</v>
      </c>
      <c r="I552" s="154" t="s">
        <v>8234</v>
      </c>
      <c r="J552" s="154" t="s">
        <v>8235</v>
      </c>
      <c r="K552" s="154" t="s">
        <v>7835</v>
      </c>
      <c r="L552" s="154" t="s">
        <v>6140</v>
      </c>
      <c r="M552" s="154"/>
      <c r="N552" s="154" t="s">
        <v>759</v>
      </c>
      <c r="O552" s="247" t="s">
        <v>516</v>
      </c>
      <c r="P552" s="247" t="s">
        <v>6776</v>
      </c>
      <c r="Q552" s="154" t="str">
        <f t="shared" si="1"/>
        <v>#ERROR!</v>
      </c>
      <c r="R552" s="154" t="s">
        <v>66</v>
      </c>
      <c r="S552" s="154" t="s">
        <v>66</v>
      </c>
      <c r="T552" s="154" t="s">
        <v>66</v>
      </c>
      <c r="U552" s="154" t="s">
        <v>66</v>
      </c>
      <c r="V552" s="154" t="s">
        <v>66</v>
      </c>
      <c r="W552" s="154" t="s">
        <v>66</v>
      </c>
      <c r="X552" s="154" t="s">
        <v>66</v>
      </c>
      <c r="Y552" s="154" t="s">
        <v>66</v>
      </c>
      <c r="Z552" s="154" t="s">
        <v>66</v>
      </c>
      <c r="AA552" s="154"/>
      <c r="AB552" s="242" t="str">
        <f t="shared" si="2"/>
        <v>#ERROR!</v>
      </c>
      <c r="AC552" s="154" t="s">
        <v>391</v>
      </c>
      <c r="AD552" s="242" t="b">
        <f t="shared" si="3"/>
        <v>0</v>
      </c>
      <c r="AE552" s="154"/>
      <c r="AF552" s="242" t="str">
        <f t="shared" si="4"/>
        <v>#ERROR!</v>
      </c>
      <c r="AG552" s="154" t="s">
        <v>652</v>
      </c>
      <c r="AH552" s="242" t="str">
        <f>IF(AG552="","N/A",INDIRECT("MTR!"&amp;ADDRESS(MATCH(LEFT(AG552,9),[1]MTR!C:C,0),COLUMN(J552)),TRUE) &amp; "")</f>
        <v>#ERROR!</v>
      </c>
      <c r="AI552" s="157" t="str">
        <f t="shared" si="5"/>
        <v>#ERROR!</v>
      </c>
    </row>
    <row r="553" ht="12.75" customHeight="1">
      <c r="A553" s="244" t="s">
        <v>5158</v>
      </c>
      <c r="B553" s="244" t="s">
        <v>231</v>
      </c>
      <c r="C553" s="244" t="s">
        <v>8238</v>
      </c>
      <c r="D553" s="154" t="s">
        <v>781</v>
      </c>
      <c r="E553" s="154"/>
      <c r="F553" s="154" t="str">
        <f t="array" ref="F553">XLOOKUP(Cover!$D$12,$R$1:$Z$1,$R553:$Z553)</f>
        <v>Information</v>
      </c>
      <c r="G553" s="154" t="s">
        <v>8239</v>
      </c>
      <c r="H553" s="154" t="s">
        <v>7892</v>
      </c>
      <c r="I553" s="154" t="s">
        <v>8234</v>
      </c>
      <c r="J553" s="154" t="s">
        <v>8235</v>
      </c>
      <c r="K553" s="154" t="s">
        <v>7835</v>
      </c>
      <c r="L553" s="154" t="s">
        <v>6140</v>
      </c>
      <c r="M553" s="154"/>
      <c r="N553" s="154" t="s">
        <v>759</v>
      </c>
      <c r="O553" s="247" t="s">
        <v>516</v>
      </c>
      <c r="P553" s="247" t="s">
        <v>6776</v>
      </c>
      <c r="Q553" s="154" t="str">
        <f t="shared" si="1"/>
        <v>#ERROR!</v>
      </c>
      <c r="R553" s="154" t="s">
        <v>66</v>
      </c>
      <c r="S553" s="154" t="s">
        <v>66</v>
      </c>
      <c r="T553" s="154" t="s">
        <v>66</v>
      </c>
      <c r="U553" s="154" t="s">
        <v>66</v>
      </c>
      <c r="V553" s="154" t="s">
        <v>66</v>
      </c>
      <c r="W553" s="154" t="s">
        <v>66</v>
      </c>
      <c r="X553" s="154" t="s">
        <v>66</v>
      </c>
      <c r="Y553" s="154" t="s">
        <v>66</v>
      </c>
      <c r="Z553" s="154" t="s">
        <v>66</v>
      </c>
      <c r="AA553" s="154"/>
      <c r="AB553" s="242" t="str">
        <f t="shared" si="2"/>
        <v>#ERROR!</v>
      </c>
      <c r="AC553" s="154" t="s">
        <v>391</v>
      </c>
      <c r="AD553" s="242" t="b">
        <f t="shared" si="3"/>
        <v>0</v>
      </c>
      <c r="AE553" s="154"/>
      <c r="AF553" s="242" t="str">
        <f t="shared" si="4"/>
        <v>#ERROR!</v>
      </c>
      <c r="AG553" s="154" t="s">
        <v>652</v>
      </c>
      <c r="AH553" s="242" t="str">
        <f>IF(AG553="","N/A",INDIRECT("MTR!"&amp;ADDRESS(MATCH(LEFT(AG553,9),[1]MTR!C:C,0),COLUMN(J553)),TRUE) &amp; "")</f>
        <v>#ERROR!</v>
      </c>
      <c r="AI553" s="157" t="str">
        <f t="shared" si="5"/>
        <v>#ERROR!</v>
      </c>
    </row>
    <row r="554" ht="12.75" customHeight="1">
      <c r="A554" s="244" t="s">
        <v>5158</v>
      </c>
      <c r="B554" s="244" t="s">
        <v>231</v>
      </c>
      <c r="C554" s="244" t="s">
        <v>8240</v>
      </c>
      <c r="D554" s="154" t="s">
        <v>781</v>
      </c>
      <c r="E554" s="154"/>
      <c r="F554" s="154" t="str">
        <f t="array" ref="F554">XLOOKUP(Cover!$D$12,$R$1:$Z$1,$R554:$Z554)</f>
        <v>Information</v>
      </c>
      <c r="G554" s="154" t="s">
        <v>8241</v>
      </c>
      <c r="H554" s="154" t="s">
        <v>7853</v>
      </c>
      <c r="I554" s="154" t="s">
        <v>8234</v>
      </c>
      <c r="J554" s="154" t="s">
        <v>8235</v>
      </c>
      <c r="K554" s="154" t="s">
        <v>7835</v>
      </c>
      <c r="L554" s="154" t="s">
        <v>6140</v>
      </c>
      <c r="M554" s="154"/>
      <c r="N554" s="154" t="s">
        <v>759</v>
      </c>
      <c r="O554" s="247" t="s">
        <v>516</v>
      </c>
      <c r="P554" s="247" t="s">
        <v>6776</v>
      </c>
      <c r="Q554" s="154" t="str">
        <f t="shared" si="1"/>
        <v>#ERROR!</v>
      </c>
      <c r="R554" s="154" t="s">
        <v>66</v>
      </c>
      <c r="S554" s="154" t="s">
        <v>66</v>
      </c>
      <c r="T554" s="154" t="s">
        <v>66</v>
      </c>
      <c r="U554" s="154" t="s">
        <v>66</v>
      </c>
      <c r="V554" s="154" t="s">
        <v>66</v>
      </c>
      <c r="W554" s="154" t="s">
        <v>66</v>
      </c>
      <c r="X554" s="154" t="s">
        <v>66</v>
      </c>
      <c r="Y554" s="154" t="s">
        <v>66</v>
      </c>
      <c r="Z554" s="154" t="s">
        <v>66</v>
      </c>
      <c r="AA554" s="154"/>
      <c r="AB554" s="242" t="str">
        <f t="shared" si="2"/>
        <v>#ERROR!</v>
      </c>
      <c r="AC554" s="154" t="s">
        <v>391</v>
      </c>
      <c r="AD554" s="242" t="b">
        <f t="shared" si="3"/>
        <v>0</v>
      </c>
      <c r="AE554" s="154"/>
      <c r="AF554" s="242" t="str">
        <f t="shared" si="4"/>
        <v>#ERROR!</v>
      </c>
      <c r="AG554" s="154" t="s">
        <v>652</v>
      </c>
      <c r="AH554" s="242" t="str">
        <f>IF(AG554="","N/A",INDIRECT("MTR!"&amp;ADDRESS(MATCH(LEFT(AG554,9),[1]MTR!C:C,0),COLUMN(J554)),TRUE) &amp; "")</f>
        <v>#ERROR!</v>
      </c>
      <c r="AI554" s="157" t="str">
        <f t="shared" si="5"/>
        <v>#ERROR!</v>
      </c>
    </row>
    <row r="555" ht="12.75" customHeight="1">
      <c r="A555" s="244" t="s">
        <v>5158</v>
      </c>
      <c r="B555" s="244" t="s">
        <v>231</v>
      </c>
      <c r="C555" s="244" t="s">
        <v>8242</v>
      </c>
      <c r="D555" s="154" t="s">
        <v>781</v>
      </c>
      <c r="E555" s="154"/>
      <c r="F555" s="154" t="str">
        <f t="array" ref="F555">XLOOKUP(Cover!$D$12,$R$1:$Z$1,$R555:$Z555)</f>
        <v>Information</v>
      </c>
      <c r="G555" s="154" t="s">
        <v>8243</v>
      </c>
      <c r="H555" s="154" t="s">
        <v>7834</v>
      </c>
      <c r="I555" s="154" t="s">
        <v>8244</v>
      </c>
      <c r="J555" s="154" t="s">
        <v>8245</v>
      </c>
      <c r="K555" s="154" t="s">
        <v>7835</v>
      </c>
      <c r="L555" s="154" t="s">
        <v>6140</v>
      </c>
      <c r="M555" s="154"/>
      <c r="N555" s="154" t="s">
        <v>759</v>
      </c>
      <c r="O555" s="247" t="s">
        <v>516</v>
      </c>
      <c r="P555" s="247" t="s">
        <v>6776</v>
      </c>
      <c r="Q555" s="154" t="str">
        <f t="shared" si="1"/>
        <v>#ERROR!</v>
      </c>
      <c r="R555" s="154" t="s">
        <v>66</v>
      </c>
      <c r="S555" s="154" t="s">
        <v>66</v>
      </c>
      <c r="T555" s="154" t="s">
        <v>66</v>
      </c>
      <c r="U555" s="154" t="s">
        <v>66</v>
      </c>
      <c r="V555" s="154" t="s">
        <v>66</v>
      </c>
      <c r="W555" s="154" t="s">
        <v>66</v>
      </c>
      <c r="X555" s="154" t="s">
        <v>66</v>
      </c>
      <c r="Y555" s="154" t="s">
        <v>66</v>
      </c>
      <c r="Z555" s="154" t="s">
        <v>66</v>
      </c>
      <c r="AA555" s="154"/>
      <c r="AB555" s="242" t="str">
        <f t="shared" si="2"/>
        <v>#ERROR!</v>
      </c>
      <c r="AC555" s="154" t="s">
        <v>391</v>
      </c>
      <c r="AD555" s="242" t="b">
        <f t="shared" si="3"/>
        <v>0</v>
      </c>
      <c r="AE555" s="154"/>
      <c r="AF555" s="242" t="str">
        <f t="shared" si="4"/>
        <v>#ERROR!</v>
      </c>
      <c r="AG555" s="154" t="s">
        <v>652</v>
      </c>
      <c r="AH555" s="242" t="str">
        <f>IF(AG555="","N/A",INDIRECT("MTR!"&amp;ADDRESS(MATCH(LEFT(AG555,9),[1]MTR!C:C,0),COLUMN(J555)),TRUE) &amp; "")</f>
        <v>#ERROR!</v>
      </c>
      <c r="AI555" s="157" t="str">
        <f t="shared" si="5"/>
        <v>#ERROR!</v>
      </c>
    </row>
    <row r="556" ht="12.75" customHeight="1">
      <c r="A556" s="244" t="s">
        <v>5158</v>
      </c>
      <c r="B556" s="244" t="s">
        <v>231</v>
      </c>
      <c r="C556" s="244" t="s">
        <v>8246</v>
      </c>
      <c r="D556" s="154" t="s">
        <v>781</v>
      </c>
      <c r="E556" s="154"/>
      <c r="F556" s="154" t="str">
        <f t="array" ref="F556">XLOOKUP(Cover!$D$12,$R$1:$Z$1,$R556:$Z556)</f>
        <v>Information</v>
      </c>
      <c r="G556" s="154" t="s">
        <v>8247</v>
      </c>
      <c r="H556" s="154" t="s">
        <v>7838</v>
      </c>
      <c r="I556" s="154" t="s">
        <v>8244</v>
      </c>
      <c r="J556" s="154" t="s">
        <v>8245</v>
      </c>
      <c r="K556" s="154" t="s">
        <v>7835</v>
      </c>
      <c r="L556" s="154" t="s">
        <v>6140</v>
      </c>
      <c r="M556" s="154"/>
      <c r="N556" s="154" t="s">
        <v>759</v>
      </c>
      <c r="O556" s="247" t="s">
        <v>516</v>
      </c>
      <c r="P556" s="247" t="s">
        <v>6776</v>
      </c>
      <c r="Q556" s="154" t="str">
        <f t="shared" si="1"/>
        <v>#ERROR!</v>
      </c>
      <c r="R556" s="154" t="s">
        <v>66</v>
      </c>
      <c r="S556" s="154" t="s">
        <v>66</v>
      </c>
      <c r="T556" s="154" t="s">
        <v>66</v>
      </c>
      <c r="U556" s="154" t="s">
        <v>66</v>
      </c>
      <c r="V556" s="154" t="s">
        <v>66</v>
      </c>
      <c r="W556" s="154" t="s">
        <v>66</v>
      </c>
      <c r="X556" s="154" t="s">
        <v>66</v>
      </c>
      <c r="Y556" s="154" t="s">
        <v>66</v>
      </c>
      <c r="Z556" s="154" t="s">
        <v>66</v>
      </c>
      <c r="AA556" s="154"/>
      <c r="AB556" s="242" t="str">
        <f t="shared" si="2"/>
        <v>#ERROR!</v>
      </c>
      <c r="AC556" s="154" t="s">
        <v>391</v>
      </c>
      <c r="AD556" s="242" t="b">
        <f t="shared" si="3"/>
        <v>0</v>
      </c>
      <c r="AE556" s="154"/>
      <c r="AF556" s="242" t="str">
        <f t="shared" si="4"/>
        <v>#ERROR!</v>
      </c>
      <c r="AG556" s="154" t="s">
        <v>652</v>
      </c>
      <c r="AH556" s="242" t="str">
        <f>IF(AG556="","N/A",INDIRECT("MTR!"&amp;ADDRESS(MATCH(LEFT(AG556,9),[1]MTR!C:C,0),COLUMN(J556)),TRUE) &amp; "")</f>
        <v>#ERROR!</v>
      </c>
      <c r="AI556" s="157" t="str">
        <f t="shared" si="5"/>
        <v>#ERROR!</v>
      </c>
    </row>
    <row r="557" ht="12.75" customHeight="1">
      <c r="A557" s="244" t="s">
        <v>5158</v>
      </c>
      <c r="B557" s="244" t="s">
        <v>231</v>
      </c>
      <c r="C557" s="244" t="s">
        <v>8248</v>
      </c>
      <c r="D557" s="154" t="s">
        <v>781</v>
      </c>
      <c r="E557" s="154"/>
      <c r="F557" s="154" t="str">
        <f t="array" ref="F557">XLOOKUP(Cover!$D$12,$R$1:$Z$1,$R557:$Z557)</f>
        <v>Information</v>
      </c>
      <c r="G557" s="154" t="s">
        <v>8249</v>
      </c>
      <c r="H557" s="154" t="s">
        <v>7853</v>
      </c>
      <c r="I557" s="154" t="s">
        <v>8244</v>
      </c>
      <c r="J557" s="154" t="s">
        <v>8245</v>
      </c>
      <c r="K557" s="154" t="s">
        <v>7835</v>
      </c>
      <c r="L557" s="154" t="s">
        <v>6140</v>
      </c>
      <c r="M557" s="154"/>
      <c r="N557" s="154" t="s">
        <v>759</v>
      </c>
      <c r="O557" s="247" t="s">
        <v>516</v>
      </c>
      <c r="P557" s="247" t="s">
        <v>6776</v>
      </c>
      <c r="Q557" s="154" t="str">
        <f t="shared" si="1"/>
        <v>#ERROR!</v>
      </c>
      <c r="R557" s="154" t="s">
        <v>66</v>
      </c>
      <c r="S557" s="154" t="s">
        <v>66</v>
      </c>
      <c r="T557" s="154" t="s">
        <v>66</v>
      </c>
      <c r="U557" s="154" t="s">
        <v>66</v>
      </c>
      <c r="V557" s="154" t="s">
        <v>66</v>
      </c>
      <c r="W557" s="154" t="s">
        <v>66</v>
      </c>
      <c r="X557" s="154" t="s">
        <v>66</v>
      </c>
      <c r="Y557" s="154" t="s">
        <v>66</v>
      </c>
      <c r="Z557" s="154" t="s">
        <v>66</v>
      </c>
      <c r="AA557" s="154"/>
      <c r="AB557" s="242" t="str">
        <f t="shared" si="2"/>
        <v>#ERROR!</v>
      </c>
      <c r="AC557" s="154" t="s">
        <v>391</v>
      </c>
      <c r="AD557" s="242" t="b">
        <f t="shared" si="3"/>
        <v>0</v>
      </c>
      <c r="AE557" s="154"/>
      <c r="AF557" s="242" t="str">
        <f t="shared" si="4"/>
        <v>#ERROR!</v>
      </c>
      <c r="AG557" s="154" t="s">
        <v>652</v>
      </c>
      <c r="AH557" s="242" t="str">
        <f>IF(AG557="","N/A",INDIRECT("MTR!"&amp;ADDRESS(MATCH(LEFT(AG557,9),[1]MTR!C:C,0),COLUMN(J557)),TRUE) &amp; "")</f>
        <v>#ERROR!</v>
      </c>
      <c r="AI557" s="157" t="str">
        <f t="shared" si="5"/>
        <v>#ERROR!</v>
      </c>
    </row>
    <row r="558" ht="12.75" customHeight="1">
      <c r="A558" s="244" t="s">
        <v>5158</v>
      </c>
      <c r="B558" s="244" t="s">
        <v>231</v>
      </c>
      <c r="C558" s="244" t="s">
        <v>8250</v>
      </c>
      <c r="D558" s="154" t="s">
        <v>781</v>
      </c>
      <c r="E558" s="154"/>
      <c r="F558" s="154" t="str">
        <f t="array" ref="F558">XLOOKUP(Cover!$D$12,$R$1:$Z$1,$R558:$Z558)</f>
        <v>Information</v>
      </c>
      <c r="G558" s="154" t="s">
        <v>8251</v>
      </c>
      <c r="H558" s="154" t="s">
        <v>7834</v>
      </c>
      <c r="I558" s="154" t="s">
        <v>8252</v>
      </c>
      <c r="J558" s="154" t="s">
        <v>8253</v>
      </c>
      <c r="K558" s="154" t="s">
        <v>7835</v>
      </c>
      <c r="L558" s="154" t="s">
        <v>6140</v>
      </c>
      <c r="M558" s="154"/>
      <c r="N558" s="154" t="s">
        <v>759</v>
      </c>
      <c r="O558" s="247" t="s">
        <v>516</v>
      </c>
      <c r="P558" s="247" t="s">
        <v>6776</v>
      </c>
      <c r="Q558" s="154" t="str">
        <f t="shared" si="1"/>
        <v>#ERROR!</v>
      </c>
      <c r="R558" s="154" t="s">
        <v>66</v>
      </c>
      <c r="S558" s="154" t="s">
        <v>66</v>
      </c>
      <c r="T558" s="154" t="s">
        <v>66</v>
      </c>
      <c r="U558" s="154" t="s">
        <v>66</v>
      </c>
      <c r="V558" s="154" t="s">
        <v>66</v>
      </c>
      <c r="W558" s="154" t="s">
        <v>66</v>
      </c>
      <c r="X558" s="154" t="s">
        <v>66</v>
      </c>
      <c r="Y558" s="154" t="s">
        <v>66</v>
      </c>
      <c r="Z558" s="154" t="s">
        <v>66</v>
      </c>
      <c r="AA558" s="154"/>
      <c r="AB558" s="242" t="str">
        <f t="shared" si="2"/>
        <v>#ERROR!</v>
      </c>
      <c r="AC558" s="154" t="s">
        <v>391</v>
      </c>
      <c r="AD558" s="242" t="b">
        <f t="shared" si="3"/>
        <v>0</v>
      </c>
      <c r="AE558" s="154"/>
      <c r="AF558" s="242" t="str">
        <f t="shared" si="4"/>
        <v>#ERROR!</v>
      </c>
      <c r="AG558" s="154" t="s">
        <v>652</v>
      </c>
      <c r="AH558" s="242" t="str">
        <f>IF(AG558="","N/A",INDIRECT("MTR!"&amp;ADDRESS(MATCH(LEFT(AG558,9),[1]MTR!C:C,0),COLUMN(J558)),TRUE) &amp; "")</f>
        <v>#ERROR!</v>
      </c>
      <c r="AI558" s="157" t="str">
        <f t="shared" si="5"/>
        <v>#ERROR!</v>
      </c>
    </row>
    <row r="559" ht="12.75" customHeight="1">
      <c r="A559" s="244" t="s">
        <v>5158</v>
      </c>
      <c r="B559" s="244" t="s">
        <v>231</v>
      </c>
      <c r="C559" s="244" t="s">
        <v>8254</v>
      </c>
      <c r="D559" s="154" t="s">
        <v>781</v>
      </c>
      <c r="E559" s="154"/>
      <c r="F559" s="154" t="str">
        <f t="array" ref="F559">XLOOKUP(Cover!$D$12,$R$1:$Z$1,$R559:$Z559)</f>
        <v>Information</v>
      </c>
      <c r="G559" s="154" t="s">
        <v>8255</v>
      </c>
      <c r="H559" s="154" t="s">
        <v>7838</v>
      </c>
      <c r="I559" s="154" t="s">
        <v>8252</v>
      </c>
      <c r="J559" s="154" t="s">
        <v>8253</v>
      </c>
      <c r="K559" s="154" t="s">
        <v>7835</v>
      </c>
      <c r="L559" s="154" t="s">
        <v>6140</v>
      </c>
      <c r="M559" s="154"/>
      <c r="N559" s="154" t="s">
        <v>759</v>
      </c>
      <c r="O559" s="247" t="s">
        <v>516</v>
      </c>
      <c r="P559" s="247" t="s">
        <v>6776</v>
      </c>
      <c r="Q559" s="154" t="str">
        <f t="shared" si="1"/>
        <v>#ERROR!</v>
      </c>
      <c r="R559" s="154" t="s">
        <v>66</v>
      </c>
      <c r="S559" s="154" t="s">
        <v>66</v>
      </c>
      <c r="T559" s="154" t="s">
        <v>66</v>
      </c>
      <c r="U559" s="154" t="s">
        <v>66</v>
      </c>
      <c r="V559" s="154" t="s">
        <v>66</v>
      </c>
      <c r="W559" s="154" t="s">
        <v>66</v>
      </c>
      <c r="X559" s="154" t="s">
        <v>66</v>
      </c>
      <c r="Y559" s="154" t="s">
        <v>66</v>
      </c>
      <c r="Z559" s="154" t="s">
        <v>66</v>
      </c>
      <c r="AA559" s="154"/>
      <c r="AB559" s="242" t="str">
        <f t="shared" si="2"/>
        <v>#ERROR!</v>
      </c>
      <c r="AC559" s="154" t="s">
        <v>391</v>
      </c>
      <c r="AD559" s="242" t="b">
        <f t="shared" si="3"/>
        <v>0</v>
      </c>
      <c r="AE559" s="154"/>
      <c r="AF559" s="242" t="str">
        <f t="shared" si="4"/>
        <v>#ERROR!</v>
      </c>
      <c r="AG559" s="154" t="s">
        <v>652</v>
      </c>
      <c r="AH559" s="242" t="str">
        <f>IF(AG559="","N/A",INDIRECT("MTR!"&amp;ADDRESS(MATCH(LEFT(AG559,9),[1]MTR!C:C,0),COLUMN(J559)),TRUE) &amp; "")</f>
        <v>#ERROR!</v>
      </c>
      <c r="AI559" s="157" t="str">
        <f t="shared" si="5"/>
        <v>#ERROR!</v>
      </c>
    </row>
    <row r="560" ht="12.75" customHeight="1">
      <c r="A560" s="244" t="s">
        <v>5158</v>
      </c>
      <c r="B560" s="244" t="s">
        <v>231</v>
      </c>
      <c r="C560" s="244" t="s">
        <v>8256</v>
      </c>
      <c r="D560" s="154" t="s">
        <v>781</v>
      </c>
      <c r="E560" s="154"/>
      <c r="F560" s="154" t="str">
        <f t="array" ref="F560">XLOOKUP(Cover!$D$12,$R$1:$Z$1,$R560:$Z560)</f>
        <v>Information</v>
      </c>
      <c r="G560" s="154" t="s">
        <v>8257</v>
      </c>
      <c r="H560" s="154" t="s">
        <v>7844</v>
      </c>
      <c r="I560" s="154" t="s">
        <v>8252</v>
      </c>
      <c r="J560" s="154" t="s">
        <v>8253</v>
      </c>
      <c r="K560" s="154" t="s">
        <v>7835</v>
      </c>
      <c r="L560" s="154" t="s">
        <v>6140</v>
      </c>
      <c r="M560" s="154"/>
      <c r="N560" s="154" t="s">
        <v>759</v>
      </c>
      <c r="O560" s="247" t="s">
        <v>516</v>
      </c>
      <c r="P560" s="247" t="s">
        <v>6776</v>
      </c>
      <c r="Q560" s="154" t="str">
        <f t="shared" si="1"/>
        <v>#ERROR!</v>
      </c>
      <c r="R560" s="154" t="s">
        <v>66</v>
      </c>
      <c r="S560" s="154" t="s">
        <v>66</v>
      </c>
      <c r="T560" s="154" t="s">
        <v>66</v>
      </c>
      <c r="U560" s="154" t="s">
        <v>66</v>
      </c>
      <c r="V560" s="154" t="s">
        <v>66</v>
      </c>
      <c r="W560" s="154" t="s">
        <v>66</v>
      </c>
      <c r="X560" s="154" t="s">
        <v>66</v>
      </c>
      <c r="Y560" s="154" t="s">
        <v>66</v>
      </c>
      <c r="Z560" s="154" t="s">
        <v>66</v>
      </c>
      <c r="AA560" s="154"/>
      <c r="AB560" s="242" t="str">
        <f t="shared" si="2"/>
        <v>#ERROR!</v>
      </c>
      <c r="AC560" s="154" t="s">
        <v>391</v>
      </c>
      <c r="AD560" s="242" t="b">
        <f t="shared" si="3"/>
        <v>0</v>
      </c>
      <c r="AE560" s="154"/>
      <c r="AF560" s="242" t="str">
        <f t="shared" si="4"/>
        <v>#ERROR!</v>
      </c>
      <c r="AG560" s="154" t="s">
        <v>652</v>
      </c>
      <c r="AH560" s="242" t="str">
        <f>IF(AG560="","N/A",INDIRECT("MTR!"&amp;ADDRESS(MATCH(LEFT(AG560,9),[1]MTR!C:C,0),COLUMN(J560)),TRUE) &amp; "")</f>
        <v>#ERROR!</v>
      </c>
      <c r="AI560" s="157" t="str">
        <f t="shared" si="5"/>
        <v>#ERROR!</v>
      </c>
    </row>
    <row r="561" ht="12.75" customHeight="1">
      <c r="A561" s="244" t="s">
        <v>5158</v>
      </c>
      <c r="B561" s="244" t="s">
        <v>231</v>
      </c>
      <c r="C561" s="244" t="s">
        <v>8258</v>
      </c>
      <c r="D561" s="154" t="s">
        <v>781</v>
      </c>
      <c r="E561" s="154"/>
      <c r="F561" s="154" t="str">
        <f t="array" ref="F561">XLOOKUP(Cover!$D$12,$R$1:$Z$1,$R561:$Z561)</f>
        <v>Information</v>
      </c>
      <c r="G561" s="154" t="s">
        <v>8259</v>
      </c>
      <c r="H561" s="154" t="s">
        <v>7853</v>
      </c>
      <c r="I561" s="154" t="s">
        <v>8252</v>
      </c>
      <c r="J561" s="154" t="s">
        <v>8253</v>
      </c>
      <c r="K561" s="154" t="s">
        <v>7835</v>
      </c>
      <c r="L561" s="154" t="s">
        <v>6140</v>
      </c>
      <c r="M561" s="154"/>
      <c r="N561" s="154" t="s">
        <v>759</v>
      </c>
      <c r="O561" s="247" t="s">
        <v>516</v>
      </c>
      <c r="P561" s="247" t="s">
        <v>6776</v>
      </c>
      <c r="Q561" s="154" t="str">
        <f t="shared" si="1"/>
        <v>#ERROR!</v>
      </c>
      <c r="R561" s="154" t="s">
        <v>66</v>
      </c>
      <c r="S561" s="154" t="s">
        <v>66</v>
      </c>
      <c r="T561" s="154" t="s">
        <v>66</v>
      </c>
      <c r="U561" s="154" t="s">
        <v>66</v>
      </c>
      <c r="V561" s="154" t="s">
        <v>66</v>
      </c>
      <c r="W561" s="154" t="s">
        <v>66</v>
      </c>
      <c r="X561" s="154" t="s">
        <v>66</v>
      </c>
      <c r="Y561" s="154" t="s">
        <v>66</v>
      </c>
      <c r="Z561" s="154" t="s">
        <v>66</v>
      </c>
      <c r="AA561" s="154"/>
      <c r="AB561" s="242" t="str">
        <f t="shared" si="2"/>
        <v>#ERROR!</v>
      </c>
      <c r="AC561" s="154" t="s">
        <v>391</v>
      </c>
      <c r="AD561" s="242" t="b">
        <f t="shared" si="3"/>
        <v>0</v>
      </c>
      <c r="AE561" s="154"/>
      <c r="AF561" s="242" t="str">
        <f t="shared" si="4"/>
        <v>#ERROR!</v>
      </c>
      <c r="AG561" s="154" t="s">
        <v>652</v>
      </c>
      <c r="AH561" s="242" t="str">
        <f>IF(AG561="","N/A",INDIRECT("MTR!"&amp;ADDRESS(MATCH(LEFT(AG561,9),[1]MTR!C:C,0),COLUMN(J561)),TRUE) &amp; "")</f>
        <v>#ERROR!</v>
      </c>
      <c r="AI561" s="157" t="str">
        <f t="shared" si="5"/>
        <v>#ERROR!</v>
      </c>
    </row>
    <row r="562" ht="12.75" customHeight="1">
      <c r="A562" s="244" t="s">
        <v>5158</v>
      </c>
      <c r="B562" s="244" t="s">
        <v>231</v>
      </c>
      <c r="C562" s="244" t="s">
        <v>8260</v>
      </c>
      <c r="D562" s="154" t="s">
        <v>781</v>
      </c>
      <c r="E562" s="154"/>
      <c r="F562" s="154" t="str">
        <f t="array" ref="F562">XLOOKUP(Cover!$D$12,$R$1:$Z$1,$R562:$Z562)</f>
        <v>Information</v>
      </c>
      <c r="G562" s="154" t="s">
        <v>8261</v>
      </c>
      <c r="H562" s="154" t="s">
        <v>7834</v>
      </c>
      <c r="I562" s="154" t="s">
        <v>8262</v>
      </c>
      <c r="J562" s="154" t="s">
        <v>8263</v>
      </c>
      <c r="K562" s="154" t="s">
        <v>7835</v>
      </c>
      <c r="L562" s="154" t="s">
        <v>6140</v>
      </c>
      <c r="M562" s="154"/>
      <c r="N562" s="154" t="s">
        <v>759</v>
      </c>
      <c r="O562" s="247" t="s">
        <v>516</v>
      </c>
      <c r="P562" s="247" t="s">
        <v>6776</v>
      </c>
      <c r="Q562" s="154" t="str">
        <f t="shared" si="1"/>
        <v>#ERROR!</v>
      </c>
      <c r="R562" s="154" t="s">
        <v>66</v>
      </c>
      <c r="S562" s="154" t="s">
        <v>66</v>
      </c>
      <c r="T562" s="154" t="s">
        <v>66</v>
      </c>
      <c r="U562" s="154" t="s">
        <v>66</v>
      </c>
      <c r="V562" s="154" t="s">
        <v>66</v>
      </c>
      <c r="W562" s="154" t="s">
        <v>66</v>
      </c>
      <c r="X562" s="154" t="s">
        <v>66</v>
      </c>
      <c r="Y562" s="154" t="s">
        <v>66</v>
      </c>
      <c r="Z562" s="154" t="s">
        <v>66</v>
      </c>
      <c r="AA562" s="154"/>
      <c r="AB562" s="242" t="str">
        <f t="shared" si="2"/>
        <v>#ERROR!</v>
      </c>
      <c r="AC562" s="154" t="s">
        <v>391</v>
      </c>
      <c r="AD562" s="242" t="b">
        <f t="shared" si="3"/>
        <v>0</v>
      </c>
      <c r="AE562" s="154"/>
      <c r="AF562" s="242" t="str">
        <f t="shared" si="4"/>
        <v>#ERROR!</v>
      </c>
      <c r="AG562" s="154" t="s">
        <v>652</v>
      </c>
      <c r="AH562" s="242" t="str">
        <f>IF(AG562="","N/A",INDIRECT("MTR!"&amp;ADDRESS(MATCH(LEFT(AG562,9),[1]MTR!C:C,0),COLUMN(J562)),TRUE) &amp; "")</f>
        <v>#ERROR!</v>
      </c>
      <c r="AI562" s="157" t="str">
        <f t="shared" si="5"/>
        <v>#ERROR!</v>
      </c>
    </row>
    <row r="563" ht="12.75" customHeight="1">
      <c r="A563" s="244" t="s">
        <v>5158</v>
      </c>
      <c r="B563" s="244" t="s">
        <v>231</v>
      </c>
      <c r="C563" s="244" t="s">
        <v>8264</v>
      </c>
      <c r="D563" s="154" t="s">
        <v>781</v>
      </c>
      <c r="E563" s="154"/>
      <c r="F563" s="154" t="str">
        <f t="array" ref="F563">XLOOKUP(Cover!$D$12,$R$1:$Z$1,$R563:$Z563)</f>
        <v>Information</v>
      </c>
      <c r="G563" s="154" t="s">
        <v>8265</v>
      </c>
      <c r="H563" s="154" t="s">
        <v>7838</v>
      </c>
      <c r="I563" s="154" t="s">
        <v>8262</v>
      </c>
      <c r="J563" s="154" t="s">
        <v>8263</v>
      </c>
      <c r="K563" s="154" t="s">
        <v>7835</v>
      </c>
      <c r="L563" s="154" t="s">
        <v>6140</v>
      </c>
      <c r="M563" s="154"/>
      <c r="N563" s="154" t="s">
        <v>759</v>
      </c>
      <c r="O563" s="247" t="s">
        <v>516</v>
      </c>
      <c r="P563" s="247" t="s">
        <v>6776</v>
      </c>
      <c r="Q563" s="154" t="str">
        <f t="shared" si="1"/>
        <v>#ERROR!</v>
      </c>
      <c r="R563" s="154" t="s">
        <v>66</v>
      </c>
      <c r="S563" s="154" t="s">
        <v>66</v>
      </c>
      <c r="T563" s="154" t="s">
        <v>66</v>
      </c>
      <c r="U563" s="154" t="s">
        <v>66</v>
      </c>
      <c r="V563" s="154" t="s">
        <v>66</v>
      </c>
      <c r="W563" s="154" t="s">
        <v>66</v>
      </c>
      <c r="X563" s="154" t="s">
        <v>66</v>
      </c>
      <c r="Y563" s="154" t="s">
        <v>66</v>
      </c>
      <c r="Z563" s="154" t="s">
        <v>66</v>
      </c>
      <c r="AA563" s="154"/>
      <c r="AB563" s="242" t="str">
        <f t="shared" si="2"/>
        <v>#ERROR!</v>
      </c>
      <c r="AC563" s="154" t="s">
        <v>391</v>
      </c>
      <c r="AD563" s="242" t="b">
        <f t="shared" si="3"/>
        <v>0</v>
      </c>
      <c r="AE563" s="154"/>
      <c r="AF563" s="242" t="str">
        <f t="shared" si="4"/>
        <v>#ERROR!</v>
      </c>
      <c r="AG563" s="154" t="s">
        <v>652</v>
      </c>
      <c r="AH563" s="242" t="str">
        <f>IF(AG563="","N/A",INDIRECT("MTR!"&amp;ADDRESS(MATCH(LEFT(AG563,9),[1]MTR!C:C,0),COLUMN(J563)),TRUE) &amp; "")</f>
        <v>#ERROR!</v>
      </c>
      <c r="AI563" s="157" t="str">
        <f t="shared" si="5"/>
        <v>#ERROR!</v>
      </c>
    </row>
    <row r="564" ht="12.75" customHeight="1">
      <c r="A564" s="244" t="s">
        <v>5158</v>
      </c>
      <c r="B564" s="244" t="s">
        <v>231</v>
      </c>
      <c r="C564" s="244" t="s">
        <v>8266</v>
      </c>
      <c r="D564" s="154" t="s">
        <v>781</v>
      </c>
      <c r="E564" s="154"/>
      <c r="F564" s="154" t="str">
        <f t="array" ref="F564">XLOOKUP(Cover!$D$12,$R$1:$Z$1,$R564:$Z564)</f>
        <v>Information</v>
      </c>
      <c r="G564" s="154" t="s">
        <v>8267</v>
      </c>
      <c r="H564" s="154" t="s">
        <v>7892</v>
      </c>
      <c r="I564" s="154" t="s">
        <v>8262</v>
      </c>
      <c r="J564" s="154" t="s">
        <v>8263</v>
      </c>
      <c r="K564" s="154" t="s">
        <v>7835</v>
      </c>
      <c r="L564" s="154" t="s">
        <v>6140</v>
      </c>
      <c r="M564" s="154"/>
      <c r="N564" s="154" t="s">
        <v>759</v>
      </c>
      <c r="O564" s="247" t="s">
        <v>516</v>
      </c>
      <c r="P564" s="247" t="s">
        <v>6776</v>
      </c>
      <c r="Q564" s="154" t="str">
        <f t="shared" si="1"/>
        <v>#ERROR!</v>
      </c>
      <c r="R564" s="154" t="s">
        <v>66</v>
      </c>
      <c r="S564" s="154" t="s">
        <v>66</v>
      </c>
      <c r="T564" s="154" t="s">
        <v>66</v>
      </c>
      <c r="U564" s="154" t="s">
        <v>66</v>
      </c>
      <c r="V564" s="154" t="s">
        <v>66</v>
      </c>
      <c r="W564" s="154" t="s">
        <v>66</v>
      </c>
      <c r="X564" s="154" t="s">
        <v>66</v>
      </c>
      <c r="Y564" s="154" t="s">
        <v>66</v>
      </c>
      <c r="Z564" s="154" t="s">
        <v>66</v>
      </c>
      <c r="AA564" s="154"/>
      <c r="AB564" s="242" t="str">
        <f t="shared" si="2"/>
        <v>#ERROR!</v>
      </c>
      <c r="AC564" s="154" t="s">
        <v>391</v>
      </c>
      <c r="AD564" s="242" t="b">
        <f t="shared" si="3"/>
        <v>0</v>
      </c>
      <c r="AE564" s="154"/>
      <c r="AF564" s="242" t="str">
        <f t="shared" si="4"/>
        <v>#ERROR!</v>
      </c>
      <c r="AG564" s="154" t="s">
        <v>652</v>
      </c>
      <c r="AH564" s="242" t="str">
        <f>IF(AG564="","N/A",INDIRECT("MTR!"&amp;ADDRESS(MATCH(LEFT(AG564,9),[1]MTR!C:C,0),COLUMN(J564)),TRUE) &amp; "")</f>
        <v>#ERROR!</v>
      </c>
      <c r="AI564" s="157" t="str">
        <f t="shared" si="5"/>
        <v>#ERROR!</v>
      </c>
    </row>
    <row r="565" ht="12.75" customHeight="1">
      <c r="A565" s="244" t="s">
        <v>5158</v>
      </c>
      <c r="B565" s="244" t="s">
        <v>231</v>
      </c>
      <c r="C565" s="244" t="s">
        <v>8268</v>
      </c>
      <c r="D565" s="154" t="s">
        <v>781</v>
      </c>
      <c r="E565" s="154"/>
      <c r="F565" s="154" t="str">
        <f t="array" ref="F565">XLOOKUP(Cover!$D$12,$R$1:$Z$1,$R565:$Z565)</f>
        <v>Information</v>
      </c>
      <c r="G565" s="154" t="s">
        <v>8269</v>
      </c>
      <c r="H565" s="154" t="s">
        <v>7844</v>
      </c>
      <c r="I565" s="154" t="s">
        <v>8262</v>
      </c>
      <c r="J565" s="154" t="s">
        <v>8263</v>
      </c>
      <c r="K565" s="154" t="s">
        <v>7835</v>
      </c>
      <c r="L565" s="154" t="s">
        <v>6140</v>
      </c>
      <c r="M565" s="154"/>
      <c r="N565" s="154" t="s">
        <v>759</v>
      </c>
      <c r="O565" s="247" t="s">
        <v>516</v>
      </c>
      <c r="P565" s="247" t="s">
        <v>6776</v>
      </c>
      <c r="Q565" s="154" t="str">
        <f t="shared" si="1"/>
        <v>#ERROR!</v>
      </c>
      <c r="R565" s="154" t="s">
        <v>66</v>
      </c>
      <c r="S565" s="154" t="s">
        <v>66</v>
      </c>
      <c r="T565" s="154" t="s">
        <v>66</v>
      </c>
      <c r="U565" s="154" t="s">
        <v>66</v>
      </c>
      <c r="V565" s="154" t="s">
        <v>66</v>
      </c>
      <c r="W565" s="154" t="s">
        <v>66</v>
      </c>
      <c r="X565" s="154" t="s">
        <v>66</v>
      </c>
      <c r="Y565" s="154" t="s">
        <v>66</v>
      </c>
      <c r="Z565" s="154" t="s">
        <v>66</v>
      </c>
      <c r="AA565" s="154"/>
      <c r="AB565" s="242" t="str">
        <f t="shared" si="2"/>
        <v>#ERROR!</v>
      </c>
      <c r="AC565" s="154" t="s">
        <v>391</v>
      </c>
      <c r="AD565" s="242" t="b">
        <f t="shared" si="3"/>
        <v>0</v>
      </c>
      <c r="AE565" s="154"/>
      <c r="AF565" s="242" t="str">
        <f t="shared" si="4"/>
        <v>#ERROR!</v>
      </c>
      <c r="AG565" s="154" t="s">
        <v>652</v>
      </c>
      <c r="AH565" s="242" t="str">
        <f>IF(AG565="","N/A",INDIRECT("MTR!"&amp;ADDRESS(MATCH(LEFT(AG565,9),[1]MTR!C:C,0),COLUMN(J565)),TRUE) &amp; "")</f>
        <v>#ERROR!</v>
      </c>
      <c r="AI565" s="157" t="str">
        <f t="shared" si="5"/>
        <v>#ERROR!</v>
      </c>
    </row>
    <row r="566" ht="12.75" customHeight="1">
      <c r="A566" s="244" t="s">
        <v>5158</v>
      </c>
      <c r="B566" s="244" t="s">
        <v>231</v>
      </c>
      <c r="C566" s="244" t="s">
        <v>8270</v>
      </c>
      <c r="D566" s="154" t="s">
        <v>781</v>
      </c>
      <c r="E566" s="154"/>
      <c r="F566" s="154" t="str">
        <f t="array" ref="F566">XLOOKUP(Cover!$D$12,$R$1:$Z$1,$R566:$Z566)</f>
        <v>Information</v>
      </c>
      <c r="G566" s="154" t="s">
        <v>8271</v>
      </c>
      <c r="H566" s="154" t="s">
        <v>7853</v>
      </c>
      <c r="I566" s="154" t="s">
        <v>8262</v>
      </c>
      <c r="J566" s="154" t="s">
        <v>8263</v>
      </c>
      <c r="K566" s="154" t="s">
        <v>7835</v>
      </c>
      <c r="L566" s="154" t="s">
        <v>6140</v>
      </c>
      <c r="M566" s="154"/>
      <c r="N566" s="154" t="s">
        <v>759</v>
      </c>
      <c r="O566" s="247" t="s">
        <v>516</v>
      </c>
      <c r="P566" s="247" t="s">
        <v>6776</v>
      </c>
      <c r="Q566" s="154" t="str">
        <f t="shared" si="1"/>
        <v>#ERROR!</v>
      </c>
      <c r="R566" s="154" t="s">
        <v>66</v>
      </c>
      <c r="S566" s="154" t="s">
        <v>66</v>
      </c>
      <c r="T566" s="154" t="s">
        <v>66</v>
      </c>
      <c r="U566" s="154" t="s">
        <v>66</v>
      </c>
      <c r="V566" s="154" t="s">
        <v>66</v>
      </c>
      <c r="W566" s="154" t="s">
        <v>66</v>
      </c>
      <c r="X566" s="154" t="s">
        <v>66</v>
      </c>
      <c r="Y566" s="154" t="s">
        <v>66</v>
      </c>
      <c r="Z566" s="154" t="s">
        <v>66</v>
      </c>
      <c r="AA566" s="154"/>
      <c r="AB566" s="242" t="str">
        <f t="shared" si="2"/>
        <v>#ERROR!</v>
      </c>
      <c r="AC566" s="154" t="s">
        <v>391</v>
      </c>
      <c r="AD566" s="242" t="b">
        <f t="shared" si="3"/>
        <v>0</v>
      </c>
      <c r="AE566" s="154"/>
      <c r="AF566" s="242" t="str">
        <f t="shared" si="4"/>
        <v>#ERROR!</v>
      </c>
      <c r="AG566" s="154" t="s">
        <v>652</v>
      </c>
      <c r="AH566" s="242" t="str">
        <f>IF(AG566="","N/A",INDIRECT("MTR!"&amp;ADDRESS(MATCH(LEFT(AG566,9),[1]MTR!C:C,0),COLUMN(J566)),TRUE) &amp; "")</f>
        <v>#ERROR!</v>
      </c>
      <c r="AI566" s="157" t="str">
        <f t="shared" si="5"/>
        <v>#ERROR!</v>
      </c>
    </row>
    <row r="567" ht="12.75" customHeight="1">
      <c r="A567" s="244" t="s">
        <v>5158</v>
      </c>
      <c r="B567" s="244" t="s">
        <v>231</v>
      </c>
      <c r="C567" s="244" t="s">
        <v>8272</v>
      </c>
      <c r="D567" s="154" t="s">
        <v>503</v>
      </c>
      <c r="E567" s="154"/>
      <c r="F567" s="154" t="str">
        <f t="array" ref="F567">XLOOKUP(Cover!$D$12,$R$1:$Z$1,$R567:$Z567)</f>
        <v>Information</v>
      </c>
      <c r="G567" s="154" t="s">
        <v>8273</v>
      </c>
      <c r="H567" s="154" t="s">
        <v>7834</v>
      </c>
      <c r="I567" s="154" t="s">
        <v>8274</v>
      </c>
      <c r="J567" s="154" t="s">
        <v>8263</v>
      </c>
      <c r="K567" s="154" t="s">
        <v>7835</v>
      </c>
      <c r="L567" s="154" t="s">
        <v>6463</v>
      </c>
      <c r="M567" s="154"/>
      <c r="N567" s="154" t="s">
        <v>759</v>
      </c>
      <c r="O567" s="247" t="s">
        <v>516</v>
      </c>
      <c r="P567" s="247" t="s">
        <v>6776</v>
      </c>
      <c r="Q567" s="154" t="str">
        <f t="shared" si="1"/>
        <v>#ERROR!</v>
      </c>
      <c r="R567" s="154" t="s">
        <v>66</v>
      </c>
      <c r="S567" s="154" t="s">
        <v>66</v>
      </c>
      <c r="T567" s="154" t="s">
        <v>66</v>
      </c>
      <c r="U567" s="154" t="s">
        <v>66</v>
      </c>
      <c r="V567" s="154" t="s">
        <v>66</v>
      </c>
      <c r="W567" s="154" t="s">
        <v>66</v>
      </c>
      <c r="X567" s="154" t="s">
        <v>66</v>
      </c>
      <c r="Y567" s="154" t="s">
        <v>66</v>
      </c>
      <c r="Z567" s="154" t="s">
        <v>66</v>
      </c>
      <c r="AA567" s="154"/>
      <c r="AB567" s="242" t="str">
        <f t="shared" si="2"/>
        <v>#ERROR!</v>
      </c>
      <c r="AC567" s="154" t="s">
        <v>391</v>
      </c>
      <c r="AD567" s="242" t="b">
        <f t="shared" si="3"/>
        <v>0</v>
      </c>
      <c r="AE567" s="154"/>
      <c r="AF567" s="242" t="str">
        <f t="shared" si="4"/>
        <v>#ERROR!</v>
      </c>
      <c r="AG567" s="154" t="s">
        <v>652</v>
      </c>
      <c r="AH567" s="242" t="str">
        <f>IF(AG567="","N/A",INDIRECT("MTR!"&amp;ADDRESS(MATCH(LEFT(AG567,9),[1]MTR!C:C,0),COLUMN(J567)),TRUE) &amp; "")</f>
        <v>#ERROR!</v>
      </c>
      <c r="AI567" s="157" t="str">
        <f t="shared" si="5"/>
        <v>#ERROR!</v>
      </c>
    </row>
    <row r="568" ht="12.75" customHeight="1">
      <c r="A568" s="244" t="s">
        <v>5158</v>
      </c>
      <c r="B568" s="244" t="s">
        <v>231</v>
      </c>
      <c r="C568" s="244" t="s">
        <v>8275</v>
      </c>
      <c r="D568" s="154" t="s">
        <v>503</v>
      </c>
      <c r="E568" s="154"/>
      <c r="F568" s="154" t="str">
        <f t="array" ref="F568">XLOOKUP(Cover!$D$12,$R$1:$Z$1,$R568:$Z568)</f>
        <v>Information</v>
      </c>
      <c r="G568" s="154" t="s">
        <v>8276</v>
      </c>
      <c r="H568" s="154" t="s">
        <v>7838</v>
      </c>
      <c r="I568" s="154" t="s">
        <v>8274</v>
      </c>
      <c r="J568" s="154" t="s">
        <v>8263</v>
      </c>
      <c r="K568" s="154" t="s">
        <v>7835</v>
      </c>
      <c r="L568" s="154" t="s">
        <v>6463</v>
      </c>
      <c r="M568" s="154"/>
      <c r="N568" s="154" t="s">
        <v>759</v>
      </c>
      <c r="O568" s="247" t="s">
        <v>516</v>
      </c>
      <c r="P568" s="247" t="s">
        <v>6776</v>
      </c>
      <c r="Q568" s="154" t="str">
        <f t="shared" si="1"/>
        <v>#ERROR!</v>
      </c>
      <c r="R568" s="154" t="s">
        <v>66</v>
      </c>
      <c r="S568" s="154" t="s">
        <v>66</v>
      </c>
      <c r="T568" s="154" t="s">
        <v>66</v>
      </c>
      <c r="U568" s="154" t="s">
        <v>66</v>
      </c>
      <c r="V568" s="154" t="s">
        <v>66</v>
      </c>
      <c r="W568" s="154" t="s">
        <v>66</v>
      </c>
      <c r="X568" s="154" t="s">
        <v>66</v>
      </c>
      <c r="Y568" s="154" t="s">
        <v>66</v>
      </c>
      <c r="Z568" s="154" t="s">
        <v>66</v>
      </c>
      <c r="AA568" s="154"/>
      <c r="AB568" s="242" t="str">
        <f t="shared" si="2"/>
        <v>#ERROR!</v>
      </c>
      <c r="AC568" s="154" t="s">
        <v>391</v>
      </c>
      <c r="AD568" s="242" t="b">
        <f t="shared" si="3"/>
        <v>0</v>
      </c>
      <c r="AE568" s="154"/>
      <c r="AF568" s="242" t="str">
        <f t="shared" si="4"/>
        <v>#ERROR!</v>
      </c>
      <c r="AG568" s="154" t="s">
        <v>652</v>
      </c>
      <c r="AH568" s="242" t="str">
        <f>IF(AG568="","N/A",INDIRECT("MTR!"&amp;ADDRESS(MATCH(LEFT(AG568,9),[1]MTR!C:C,0),COLUMN(J568)),TRUE) &amp; "")</f>
        <v>#ERROR!</v>
      </c>
      <c r="AI568" s="157" t="str">
        <f t="shared" si="5"/>
        <v>#ERROR!</v>
      </c>
    </row>
    <row r="569" ht="12.75" customHeight="1">
      <c r="A569" s="244" t="s">
        <v>5158</v>
      </c>
      <c r="B569" s="244" t="s">
        <v>231</v>
      </c>
      <c r="C569" s="244" t="s">
        <v>8277</v>
      </c>
      <c r="D569" s="154" t="s">
        <v>503</v>
      </c>
      <c r="E569" s="154"/>
      <c r="F569" s="154" t="str">
        <f t="array" ref="F569">XLOOKUP(Cover!$D$12,$R$1:$Z$1,$R569:$Z569)</f>
        <v>Information</v>
      </c>
      <c r="G569" s="154" t="s">
        <v>8278</v>
      </c>
      <c r="H569" s="154" t="s">
        <v>7853</v>
      </c>
      <c r="I569" s="154" t="s">
        <v>8274</v>
      </c>
      <c r="J569" s="154" t="s">
        <v>8263</v>
      </c>
      <c r="K569" s="154" t="s">
        <v>7835</v>
      </c>
      <c r="L569" s="154" t="s">
        <v>6463</v>
      </c>
      <c r="M569" s="154"/>
      <c r="N569" s="154" t="s">
        <v>759</v>
      </c>
      <c r="O569" s="247" t="s">
        <v>516</v>
      </c>
      <c r="P569" s="247" t="s">
        <v>6776</v>
      </c>
      <c r="Q569" s="154" t="str">
        <f t="shared" si="1"/>
        <v>#ERROR!</v>
      </c>
      <c r="R569" s="154" t="s">
        <v>66</v>
      </c>
      <c r="S569" s="154" t="s">
        <v>66</v>
      </c>
      <c r="T569" s="154" t="s">
        <v>66</v>
      </c>
      <c r="U569" s="154" t="s">
        <v>66</v>
      </c>
      <c r="V569" s="154" t="s">
        <v>66</v>
      </c>
      <c r="W569" s="154" t="s">
        <v>66</v>
      </c>
      <c r="X569" s="154" t="s">
        <v>66</v>
      </c>
      <c r="Y569" s="154" t="s">
        <v>66</v>
      </c>
      <c r="Z569" s="154" t="s">
        <v>66</v>
      </c>
      <c r="AA569" s="154"/>
      <c r="AB569" s="242" t="str">
        <f t="shared" si="2"/>
        <v>#ERROR!</v>
      </c>
      <c r="AC569" s="154" t="s">
        <v>391</v>
      </c>
      <c r="AD569" s="242" t="b">
        <f t="shared" si="3"/>
        <v>0</v>
      </c>
      <c r="AE569" s="154"/>
      <c r="AF569" s="242" t="str">
        <f t="shared" si="4"/>
        <v>#ERROR!</v>
      </c>
      <c r="AG569" s="154" t="s">
        <v>652</v>
      </c>
      <c r="AH569" s="242" t="str">
        <f>IF(AG569="","N/A",INDIRECT("MTR!"&amp;ADDRESS(MATCH(LEFT(AG569,9),[1]MTR!C:C,0),COLUMN(J569)),TRUE) &amp; "")</f>
        <v>#ERROR!</v>
      </c>
      <c r="AI569" s="157" t="str">
        <f t="shared" si="5"/>
        <v>#ERROR!</v>
      </c>
    </row>
    <row r="570" ht="12.75" customHeight="1">
      <c r="A570" s="244" t="s">
        <v>5158</v>
      </c>
      <c r="B570" s="244" t="s">
        <v>231</v>
      </c>
      <c r="C570" s="244" t="s">
        <v>8279</v>
      </c>
      <c r="D570" s="154" t="s">
        <v>781</v>
      </c>
      <c r="E570" s="154"/>
      <c r="F570" s="154" t="str">
        <f t="array" ref="F570">XLOOKUP(Cover!$D$12,$R$1:$Z$1,$R570:$Z570)</f>
        <v>Information</v>
      </c>
      <c r="G570" s="154" t="s">
        <v>8280</v>
      </c>
      <c r="H570" s="154" t="s">
        <v>7834</v>
      </c>
      <c r="I570" s="154" t="s">
        <v>8281</v>
      </c>
      <c r="J570" s="154" t="s">
        <v>8282</v>
      </c>
      <c r="K570" s="154" t="s">
        <v>7835</v>
      </c>
      <c r="L570" s="154" t="s">
        <v>6140</v>
      </c>
      <c r="M570" s="154"/>
      <c r="N570" s="154" t="s">
        <v>759</v>
      </c>
      <c r="O570" s="247" t="s">
        <v>516</v>
      </c>
      <c r="P570" s="247" t="s">
        <v>6776</v>
      </c>
      <c r="Q570" s="154" t="str">
        <f t="shared" si="1"/>
        <v>#ERROR!</v>
      </c>
      <c r="R570" s="154" t="s">
        <v>66</v>
      </c>
      <c r="S570" s="154" t="s">
        <v>66</v>
      </c>
      <c r="T570" s="154" t="s">
        <v>66</v>
      </c>
      <c r="U570" s="154" t="s">
        <v>66</v>
      </c>
      <c r="V570" s="154" t="s">
        <v>66</v>
      </c>
      <c r="W570" s="154" t="s">
        <v>66</v>
      </c>
      <c r="X570" s="154" t="s">
        <v>66</v>
      </c>
      <c r="Y570" s="154" t="s">
        <v>66</v>
      </c>
      <c r="Z570" s="154" t="s">
        <v>66</v>
      </c>
      <c r="AA570" s="154"/>
      <c r="AB570" s="242" t="str">
        <f t="shared" si="2"/>
        <v>#ERROR!</v>
      </c>
      <c r="AC570" s="154" t="s">
        <v>391</v>
      </c>
      <c r="AD570" s="242" t="b">
        <f t="shared" si="3"/>
        <v>0</v>
      </c>
      <c r="AE570" s="154"/>
      <c r="AF570" s="242" t="str">
        <f t="shared" si="4"/>
        <v>#ERROR!</v>
      </c>
      <c r="AG570" s="154" t="s">
        <v>652</v>
      </c>
      <c r="AH570" s="242" t="str">
        <f>IF(AG570="","N/A",INDIRECT("MTR!"&amp;ADDRESS(MATCH(LEFT(AG570,9),[1]MTR!C:C,0),COLUMN(J570)),TRUE) &amp; "")</f>
        <v>#ERROR!</v>
      </c>
      <c r="AI570" s="157" t="str">
        <f t="shared" si="5"/>
        <v>#ERROR!</v>
      </c>
    </row>
    <row r="571" ht="12.75" customHeight="1">
      <c r="A571" s="244" t="s">
        <v>5158</v>
      </c>
      <c r="B571" s="244" t="s">
        <v>231</v>
      </c>
      <c r="C571" s="244" t="s">
        <v>8283</v>
      </c>
      <c r="D571" s="154" t="s">
        <v>781</v>
      </c>
      <c r="E571" s="154"/>
      <c r="F571" s="154" t="str">
        <f t="array" ref="F571">XLOOKUP(Cover!$D$12,$R$1:$Z$1,$R571:$Z571)</f>
        <v>Information</v>
      </c>
      <c r="G571" s="154" t="s">
        <v>8284</v>
      </c>
      <c r="H571" s="154" t="s">
        <v>7838</v>
      </c>
      <c r="I571" s="154" t="s">
        <v>8281</v>
      </c>
      <c r="J571" s="154" t="s">
        <v>8282</v>
      </c>
      <c r="K571" s="154" t="s">
        <v>7835</v>
      </c>
      <c r="L571" s="154" t="s">
        <v>6140</v>
      </c>
      <c r="M571" s="154"/>
      <c r="N571" s="154" t="s">
        <v>759</v>
      </c>
      <c r="O571" s="247" t="s">
        <v>516</v>
      </c>
      <c r="P571" s="247" t="s">
        <v>6776</v>
      </c>
      <c r="Q571" s="154" t="str">
        <f t="shared" si="1"/>
        <v>#ERROR!</v>
      </c>
      <c r="R571" s="154" t="s">
        <v>66</v>
      </c>
      <c r="S571" s="154" t="s">
        <v>66</v>
      </c>
      <c r="T571" s="154" t="s">
        <v>66</v>
      </c>
      <c r="U571" s="154" t="s">
        <v>66</v>
      </c>
      <c r="V571" s="154" t="s">
        <v>66</v>
      </c>
      <c r="W571" s="154" t="s">
        <v>66</v>
      </c>
      <c r="X571" s="154" t="s">
        <v>66</v>
      </c>
      <c r="Y571" s="154" t="s">
        <v>66</v>
      </c>
      <c r="Z571" s="154" t="s">
        <v>66</v>
      </c>
      <c r="AA571" s="154"/>
      <c r="AB571" s="242" t="str">
        <f t="shared" si="2"/>
        <v>#ERROR!</v>
      </c>
      <c r="AC571" s="154" t="s">
        <v>391</v>
      </c>
      <c r="AD571" s="242" t="b">
        <f t="shared" si="3"/>
        <v>0</v>
      </c>
      <c r="AE571" s="154"/>
      <c r="AF571" s="242" t="str">
        <f t="shared" si="4"/>
        <v>#ERROR!</v>
      </c>
      <c r="AG571" s="154" t="s">
        <v>652</v>
      </c>
      <c r="AH571" s="242" t="str">
        <f>IF(AG571="","N/A",INDIRECT("MTR!"&amp;ADDRESS(MATCH(LEFT(AG571,9),[1]MTR!C:C,0),COLUMN(J571)),TRUE) &amp; "")</f>
        <v>#ERROR!</v>
      </c>
      <c r="AI571" s="157" t="str">
        <f t="shared" si="5"/>
        <v>#ERROR!</v>
      </c>
    </row>
    <row r="572" ht="12.75" customHeight="1">
      <c r="A572" s="244" t="s">
        <v>5158</v>
      </c>
      <c r="B572" s="244" t="s">
        <v>231</v>
      </c>
      <c r="C572" s="244" t="s">
        <v>8285</v>
      </c>
      <c r="D572" s="154" t="s">
        <v>781</v>
      </c>
      <c r="E572" s="154"/>
      <c r="F572" s="154" t="str">
        <f t="array" ref="F572">XLOOKUP(Cover!$D$12,$R$1:$Z$1,$R572:$Z572)</f>
        <v>Information</v>
      </c>
      <c r="G572" s="154" t="s">
        <v>8286</v>
      </c>
      <c r="H572" s="154" t="s">
        <v>7844</v>
      </c>
      <c r="I572" s="154" t="s">
        <v>8281</v>
      </c>
      <c r="J572" s="154" t="s">
        <v>8282</v>
      </c>
      <c r="K572" s="154" t="s">
        <v>7835</v>
      </c>
      <c r="L572" s="154" t="s">
        <v>6140</v>
      </c>
      <c r="M572" s="154"/>
      <c r="N572" s="154" t="s">
        <v>759</v>
      </c>
      <c r="O572" s="247" t="s">
        <v>516</v>
      </c>
      <c r="P572" s="247" t="s">
        <v>6776</v>
      </c>
      <c r="Q572" s="154" t="str">
        <f t="shared" si="1"/>
        <v>#ERROR!</v>
      </c>
      <c r="R572" s="154" t="s">
        <v>66</v>
      </c>
      <c r="S572" s="154" t="s">
        <v>66</v>
      </c>
      <c r="T572" s="154" t="s">
        <v>66</v>
      </c>
      <c r="U572" s="154" t="s">
        <v>66</v>
      </c>
      <c r="V572" s="154" t="s">
        <v>66</v>
      </c>
      <c r="W572" s="154" t="s">
        <v>66</v>
      </c>
      <c r="X572" s="154" t="s">
        <v>66</v>
      </c>
      <c r="Y572" s="154" t="s">
        <v>66</v>
      </c>
      <c r="Z572" s="154" t="s">
        <v>66</v>
      </c>
      <c r="AA572" s="154"/>
      <c r="AB572" s="242" t="str">
        <f t="shared" si="2"/>
        <v>#ERROR!</v>
      </c>
      <c r="AC572" s="154" t="s">
        <v>391</v>
      </c>
      <c r="AD572" s="242" t="b">
        <f t="shared" si="3"/>
        <v>0</v>
      </c>
      <c r="AE572" s="154"/>
      <c r="AF572" s="242" t="str">
        <f t="shared" si="4"/>
        <v>#ERROR!</v>
      </c>
      <c r="AG572" s="154" t="s">
        <v>652</v>
      </c>
      <c r="AH572" s="242" t="str">
        <f>IF(AG572="","N/A",INDIRECT("MTR!"&amp;ADDRESS(MATCH(LEFT(AG572,9),[1]MTR!C:C,0),COLUMN(J572)),TRUE) &amp; "")</f>
        <v>#ERROR!</v>
      </c>
      <c r="AI572" s="157" t="str">
        <f t="shared" si="5"/>
        <v>#ERROR!</v>
      </c>
    </row>
    <row r="573" ht="12.75" customHeight="1">
      <c r="A573" s="244" t="s">
        <v>5158</v>
      </c>
      <c r="B573" s="244" t="s">
        <v>231</v>
      </c>
      <c r="C573" s="244" t="s">
        <v>8287</v>
      </c>
      <c r="D573" s="154" t="s">
        <v>781</v>
      </c>
      <c r="E573" s="154"/>
      <c r="F573" s="154" t="str">
        <f t="array" ref="F573">XLOOKUP(Cover!$D$12,$R$1:$Z$1,$R573:$Z573)</f>
        <v>Information</v>
      </c>
      <c r="G573" s="154" t="s">
        <v>8288</v>
      </c>
      <c r="H573" s="154" t="s">
        <v>7853</v>
      </c>
      <c r="I573" s="154" t="s">
        <v>8281</v>
      </c>
      <c r="J573" s="154" t="s">
        <v>8282</v>
      </c>
      <c r="K573" s="154" t="s">
        <v>7835</v>
      </c>
      <c r="L573" s="154" t="s">
        <v>6140</v>
      </c>
      <c r="M573" s="154"/>
      <c r="N573" s="154" t="s">
        <v>759</v>
      </c>
      <c r="O573" s="247" t="s">
        <v>516</v>
      </c>
      <c r="P573" s="247" t="s">
        <v>6776</v>
      </c>
      <c r="Q573" s="154" t="str">
        <f t="shared" si="1"/>
        <v>#ERROR!</v>
      </c>
      <c r="R573" s="154" t="s">
        <v>66</v>
      </c>
      <c r="S573" s="154" t="s">
        <v>66</v>
      </c>
      <c r="T573" s="154" t="s">
        <v>66</v>
      </c>
      <c r="U573" s="154" t="s">
        <v>66</v>
      </c>
      <c r="V573" s="154" t="s">
        <v>66</v>
      </c>
      <c r="W573" s="154" t="s">
        <v>66</v>
      </c>
      <c r="X573" s="154" t="s">
        <v>66</v>
      </c>
      <c r="Y573" s="154" t="s">
        <v>66</v>
      </c>
      <c r="Z573" s="154" t="s">
        <v>66</v>
      </c>
      <c r="AA573" s="154"/>
      <c r="AB573" s="242" t="str">
        <f t="shared" si="2"/>
        <v>#ERROR!</v>
      </c>
      <c r="AC573" s="154" t="s">
        <v>391</v>
      </c>
      <c r="AD573" s="242" t="b">
        <f t="shared" si="3"/>
        <v>0</v>
      </c>
      <c r="AE573" s="154"/>
      <c r="AF573" s="242" t="str">
        <f t="shared" si="4"/>
        <v>#ERROR!</v>
      </c>
      <c r="AG573" s="154" t="s">
        <v>652</v>
      </c>
      <c r="AH573" s="242" t="str">
        <f>IF(AG573="","N/A",INDIRECT("MTR!"&amp;ADDRESS(MATCH(LEFT(AG573,9),[1]MTR!C:C,0),COLUMN(J573)),TRUE) &amp; "")</f>
        <v>#ERROR!</v>
      </c>
      <c r="AI573" s="157" t="str">
        <f t="shared" si="5"/>
        <v>#ERROR!</v>
      </c>
    </row>
    <row r="574" ht="12.75" customHeight="1">
      <c r="A574" s="238" t="s">
        <v>5158</v>
      </c>
      <c r="B574" s="238" t="s">
        <v>231</v>
      </c>
      <c r="C574" s="238" t="s">
        <v>8289</v>
      </c>
      <c r="D574" s="240"/>
      <c r="E574" s="240" t="s">
        <v>92</v>
      </c>
      <c r="F574" s="240" t="str">
        <f t="array" ref="F574">XLOOKUP(Cover!$D$12,$R$1:$Z$1,$R574:$Z574)</f>
        <v>Heading</v>
      </c>
      <c r="G574" s="239" t="s">
        <v>8290</v>
      </c>
      <c r="H574" s="240"/>
      <c r="I574" s="240"/>
      <c r="J574" s="240"/>
      <c r="K574" s="240"/>
      <c r="L574" s="240"/>
      <c r="M574" s="240"/>
      <c r="N574" s="240" t="s">
        <v>759</v>
      </c>
      <c r="O574" s="240"/>
      <c r="P574" s="240"/>
      <c r="Q574" s="240" t="str">
        <f t="shared" si="1"/>
        <v/>
      </c>
      <c r="R574" s="240" t="s">
        <v>390</v>
      </c>
      <c r="S574" s="240" t="s">
        <v>390</v>
      </c>
      <c r="T574" s="240" t="s">
        <v>390</v>
      </c>
      <c r="U574" s="240" t="s">
        <v>390</v>
      </c>
      <c r="V574" s="240" t="s">
        <v>390</v>
      </c>
      <c r="W574" s="240" t="s">
        <v>390</v>
      </c>
      <c r="X574" s="240" t="s">
        <v>390</v>
      </c>
      <c r="Y574" s="240" t="s">
        <v>390</v>
      </c>
      <c r="Z574" s="240" t="s">
        <v>390</v>
      </c>
      <c r="AA574" s="240"/>
      <c r="AB574" s="242" t="str">
        <f t="shared" si="2"/>
        <v>#ERROR!</v>
      </c>
      <c r="AC574" s="240" t="s">
        <v>391</v>
      </c>
      <c r="AD574" s="242" t="b">
        <f t="shared" si="3"/>
        <v>0</v>
      </c>
      <c r="AE574" s="240"/>
      <c r="AF574" s="242" t="str">
        <f t="shared" si="4"/>
        <v>#ERROR!</v>
      </c>
      <c r="AG574" s="240"/>
      <c r="AH574" s="242" t="str">
        <f>IF(AG574="","N/A",INDIRECT("MTR!"&amp;ADDRESS(MATCH(LEFT(AG574,9),[1]MTR!C:C,0),COLUMN(J574)),TRUE) &amp; "")</f>
        <v>#ERROR!</v>
      </c>
      <c r="AI574" s="157" t="str">
        <f t="shared" si="5"/>
        <v/>
      </c>
    </row>
    <row r="575" ht="12.75" customHeight="1">
      <c r="A575" s="238" t="s">
        <v>5158</v>
      </c>
      <c r="B575" s="238" t="s">
        <v>231</v>
      </c>
      <c r="C575" s="238" t="s">
        <v>8291</v>
      </c>
      <c r="D575" s="240"/>
      <c r="E575" s="240" t="s">
        <v>92</v>
      </c>
      <c r="F575" s="240" t="str">
        <f t="array" ref="F575">XLOOKUP(Cover!$D$12,$R$1:$Z$1,$R575:$Z575)</f>
        <v>Heading</v>
      </c>
      <c r="G575" s="239" t="s">
        <v>8292</v>
      </c>
      <c r="H575" s="240"/>
      <c r="I575" s="240"/>
      <c r="J575" s="240"/>
      <c r="K575" s="240"/>
      <c r="L575" s="240"/>
      <c r="M575" s="240"/>
      <c r="N575" s="240" t="s">
        <v>759</v>
      </c>
      <c r="O575" s="240"/>
      <c r="P575" s="240"/>
      <c r="Q575" s="240" t="str">
        <f t="shared" si="1"/>
        <v/>
      </c>
      <c r="R575" s="240" t="s">
        <v>390</v>
      </c>
      <c r="S575" s="240" t="s">
        <v>390</v>
      </c>
      <c r="T575" s="240" t="s">
        <v>390</v>
      </c>
      <c r="U575" s="240" t="s">
        <v>390</v>
      </c>
      <c r="V575" s="240" t="s">
        <v>390</v>
      </c>
      <c r="W575" s="240" t="s">
        <v>390</v>
      </c>
      <c r="X575" s="240" t="s">
        <v>390</v>
      </c>
      <c r="Y575" s="240" t="s">
        <v>390</v>
      </c>
      <c r="Z575" s="240" t="s">
        <v>390</v>
      </c>
      <c r="AA575" s="240"/>
      <c r="AB575" s="242" t="str">
        <f t="shared" si="2"/>
        <v>#ERROR!</v>
      </c>
      <c r="AC575" s="240" t="s">
        <v>391</v>
      </c>
      <c r="AD575" s="242" t="b">
        <f t="shared" si="3"/>
        <v>0</v>
      </c>
      <c r="AE575" s="240"/>
      <c r="AF575" s="242" t="str">
        <f t="shared" si="4"/>
        <v>#ERROR!</v>
      </c>
      <c r="AG575" s="240"/>
      <c r="AH575" s="242" t="str">
        <f>IF(AG575="","N/A",INDIRECT("MTR!"&amp;ADDRESS(MATCH(LEFT(AG575,9),[1]MTR!C:C,0),COLUMN(J575)),TRUE) &amp; "")</f>
        <v>#ERROR!</v>
      </c>
      <c r="AI575" s="157" t="str">
        <f t="shared" si="5"/>
        <v/>
      </c>
    </row>
    <row r="576" ht="12.75" customHeight="1">
      <c r="A576" s="244" t="s">
        <v>5158</v>
      </c>
      <c r="B576" s="244" t="s">
        <v>231</v>
      </c>
      <c r="C576" s="244" t="s">
        <v>8293</v>
      </c>
      <c r="D576" s="154" t="s">
        <v>781</v>
      </c>
      <c r="E576" s="154"/>
      <c r="F576" s="154" t="str">
        <f t="array" ref="F576">XLOOKUP(Cover!$D$12,$R$1:$Z$1,$R576:$Z576)</f>
        <v>Recommended</v>
      </c>
      <c r="G576" s="154" t="s">
        <v>8294</v>
      </c>
      <c r="H576" s="154" t="s">
        <v>8295</v>
      </c>
      <c r="I576" s="154" t="s">
        <v>8295</v>
      </c>
      <c r="J576" s="154" t="s">
        <v>5730</v>
      </c>
      <c r="K576" s="154" t="s">
        <v>8296</v>
      </c>
      <c r="L576" s="154" t="s">
        <v>6232</v>
      </c>
      <c r="M576" s="154"/>
      <c r="N576" s="154" t="s">
        <v>759</v>
      </c>
      <c r="O576" s="247" t="s">
        <v>445</v>
      </c>
      <c r="P576" s="247" t="s">
        <v>6772</v>
      </c>
      <c r="Q576" s="154" t="str">
        <f t="shared" si="1"/>
        <v>#ERROR!</v>
      </c>
      <c r="R576" s="154" t="s">
        <v>66</v>
      </c>
      <c r="S576" s="154" t="s">
        <v>66</v>
      </c>
      <c r="T576" s="154" t="s">
        <v>66</v>
      </c>
      <c r="U576" s="154" t="s">
        <v>66</v>
      </c>
      <c r="V576" s="154" t="s">
        <v>66</v>
      </c>
      <c r="W576" s="154" t="s">
        <v>64</v>
      </c>
      <c r="X576" s="154" t="s">
        <v>66</v>
      </c>
      <c r="Y576" s="154" t="s">
        <v>66</v>
      </c>
      <c r="Z576" s="154" t="s">
        <v>64</v>
      </c>
      <c r="AA576" s="154"/>
      <c r="AB576" s="242" t="str">
        <f t="shared" si="2"/>
        <v>#ERROR!</v>
      </c>
      <c r="AC576" s="154" t="s">
        <v>391</v>
      </c>
      <c r="AD576" s="242" t="b">
        <f t="shared" si="3"/>
        <v>0</v>
      </c>
      <c r="AE576" s="154"/>
      <c r="AF576" s="242" t="str">
        <f t="shared" si="4"/>
        <v>#ERROR!</v>
      </c>
      <c r="AG576" s="154" t="s">
        <v>652</v>
      </c>
      <c r="AH576" s="242" t="str">
        <f>IF(AG576="","N/A",INDIRECT("MTR!"&amp;ADDRESS(MATCH(LEFT(AG576,9),[1]MTR!C:C,0),COLUMN(J576)),TRUE) &amp; "")</f>
        <v>#ERROR!</v>
      </c>
      <c r="AI576" s="157" t="str">
        <f t="shared" si="5"/>
        <v>#ERROR!</v>
      </c>
    </row>
    <row r="577" ht="12.75" customHeight="1">
      <c r="A577" s="244" t="s">
        <v>5158</v>
      </c>
      <c r="B577" s="244" t="s">
        <v>231</v>
      </c>
      <c r="C577" s="244" t="s">
        <v>8297</v>
      </c>
      <c r="D577" s="154" t="s">
        <v>781</v>
      </c>
      <c r="E577" s="154"/>
      <c r="F577" s="154" t="str">
        <f t="array" ref="F577">XLOOKUP(Cover!$D$12,$R$1:$Z$1,$R577:$Z577)</f>
        <v>Recommended</v>
      </c>
      <c r="G577" s="154" t="s">
        <v>8298</v>
      </c>
      <c r="H577" s="154" t="s">
        <v>8299</v>
      </c>
      <c r="I577" s="154" t="s">
        <v>8299</v>
      </c>
      <c r="J577" s="154" t="s">
        <v>5782</v>
      </c>
      <c r="K577" s="154" t="s">
        <v>8296</v>
      </c>
      <c r="L577" s="154" t="s">
        <v>6942</v>
      </c>
      <c r="M577" s="154"/>
      <c r="N577" s="154" t="s">
        <v>759</v>
      </c>
      <c r="O577" s="247" t="s">
        <v>445</v>
      </c>
      <c r="P577" s="247" t="s">
        <v>6772</v>
      </c>
      <c r="Q577" s="154" t="str">
        <f t="shared" si="1"/>
        <v>#ERROR!</v>
      </c>
      <c r="R577" s="154" t="s">
        <v>66</v>
      </c>
      <c r="S577" s="154" t="s">
        <v>66</v>
      </c>
      <c r="T577" s="154" t="s">
        <v>66</v>
      </c>
      <c r="U577" s="154" t="s">
        <v>66</v>
      </c>
      <c r="V577" s="154" t="s">
        <v>66</v>
      </c>
      <c r="W577" s="154" t="s">
        <v>64</v>
      </c>
      <c r="X577" s="154" t="s">
        <v>66</v>
      </c>
      <c r="Y577" s="154" t="s">
        <v>66</v>
      </c>
      <c r="Z577" s="154" t="s">
        <v>64</v>
      </c>
      <c r="AA577" s="154"/>
      <c r="AB577" s="242" t="str">
        <f t="shared" si="2"/>
        <v>#ERROR!</v>
      </c>
      <c r="AC577" s="154" t="s">
        <v>391</v>
      </c>
      <c r="AD577" s="242" t="b">
        <f t="shared" si="3"/>
        <v>0</v>
      </c>
      <c r="AE577" s="154"/>
      <c r="AF577" s="242" t="str">
        <f t="shared" si="4"/>
        <v>#ERROR!</v>
      </c>
      <c r="AG577" s="154" t="s">
        <v>652</v>
      </c>
      <c r="AH577" s="242" t="str">
        <f>IF(AG577="","N/A",INDIRECT("MTR!"&amp;ADDRESS(MATCH(LEFT(AG577,9),[1]MTR!C:C,0),COLUMN(J577)),TRUE) &amp; "")</f>
        <v>#ERROR!</v>
      </c>
      <c r="AI577" s="157" t="str">
        <f t="shared" si="5"/>
        <v>#ERROR!</v>
      </c>
    </row>
    <row r="578" ht="12.75" customHeight="1">
      <c r="A578" s="244" t="s">
        <v>5158</v>
      </c>
      <c r="B578" s="244" t="s">
        <v>231</v>
      </c>
      <c r="C578" s="244" t="s">
        <v>8300</v>
      </c>
      <c r="D578" s="154" t="s">
        <v>781</v>
      </c>
      <c r="E578" s="154"/>
      <c r="F578" s="154" t="str">
        <f t="array" ref="F578">XLOOKUP(Cover!$D$12,$R$1:$Z$1,$R578:$Z578)</f>
        <v>Information</v>
      </c>
      <c r="G578" s="154" t="s">
        <v>8301</v>
      </c>
      <c r="H578" s="154" t="s">
        <v>8302</v>
      </c>
      <c r="I578" s="154" t="s">
        <v>8302</v>
      </c>
      <c r="J578" s="154" t="s">
        <v>5830</v>
      </c>
      <c r="K578" s="154" t="s">
        <v>8296</v>
      </c>
      <c r="L578" s="154" t="s">
        <v>6942</v>
      </c>
      <c r="M578" s="154"/>
      <c r="N578" s="154" t="s">
        <v>759</v>
      </c>
      <c r="O578" s="247" t="s">
        <v>445</v>
      </c>
      <c r="P578" s="247" t="s">
        <v>6772</v>
      </c>
      <c r="Q578" s="154" t="str">
        <f t="shared" si="1"/>
        <v>#ERROR!</v>
      </c>
      <c r="R578" s="154" t="s">
        <v>66</v>
      </c>
      <c r="S578" s="154" t="s">
        <v>66</v>
      </c>
      <c r="T578" s="154" t="s">
        <v>66</v>
      </c>
      <c r="U578" s="154" t="s">
        <v>66</v>
      </c>
      <c r="V578" s="154" t="s">
        <v>66</v>
      </c>
      <c r="W578" s="154" t="s">
        <v>66</v>
      </c>
      <c r="X578" s="154" t="s">
        <v>66</v>
      </c>
      <c r="Y578" s="154" t="s">
        <v>66</v>
      </c>
      <c r="Z578" s="154" t="s">
        <v>66</v>
      </c>
      <c r="AA578" s="154"/>
      <c r="AB578" s="242" t="str">
        <f t="shared" si="2"/>
        <v>#ERROR!</v>
      </c>
      <c r="AC578" s="154" t="s">
        <v>391</v>
      </c>
      <c r="AD578" s="242" t="b">
        <f t="shared" si="3"/>
        <v>0</v>
      </c>
      <c r="AE578" s="154"/>
      <c r="AF578" s="242" t="str">
        <f t="shared" si="4"/>
        <v>#ERROR!</v>
      </c>
      <c r="AG578" s="154" t="s">
        <v>652</v>
      </c>
      <c r="AH578" s="242" t="str">
        <f>IF(AG578="","N/A",INDIRECT("MTR!"&amp;ADDRESS(MATCH(LEFT(AG578,9),[1]MTR!C:C,0),COLUMN(J578)),TRUE) &amp; "")</f>
        <v>#ERROR!</v>
      </c>
      <c r="AI578" s="157" t="str">
        <f t="shared" si="5"/>
        <v>#ERROR!</v>
      </c>
    </row>
    <row r="579" ht="12.75" customHeight="1">
      <c r="A579" s="244" t="s">
        <v>5158</v>
      </c>
      <c r="B579" s="244" t="s">
        <v>231</v>
      </c>
      <c r="C579" s="244" t="s">
        <v>8303</v>
      </c>
      <c r="D579" s="154" t="s">
        <v>542</v>
      </c>
      <c r="E579" s="154"/>
      <c r="F579" s="154" t="str">
        <f t="array" ref="F579">XLOOKUP(Cover!$D$12,$R$1:$Z$1,$R579:$Z579)</f>
        <v>Information</v>
      </c>
      <c r="G579" s="154" t="s">
        <v>8304</v>
      </c>
      <c r="H579" s="154" t="s">
        <v>8305</v>
      </c>
      <c r="I579" s="154" t="s">
        <v>8305</v>
      </c>
      <c r="J579" s="154" t="s">
        <v>5897</v>
      </c>
      <c r="K579" s="154" t="s">
        <v>8296</v>
      </c>
      <c r="L579" s="154" t="s">
        <v>6064</v>
      </c>
      <c r="M579" s="154"/>
      <c r="N579" s="154" t="s">
        <v>759</v>
      </c>
      <c r="O579" s="247" t="s">
        <v>516</v>
      </c>
      <c r="P579" s="247" t="s">
        <v>6776</v>
      </c>
      <c r="Q579" s="154" t="str">
        <f t="shared" si="1"/>
        <v>#ERROR!</v>
      </c>
      <c r="R579" s="154" t="s">
        <v>66</v>
      </c>
      <c r="S579" s="154" t="s">
        <v>66</v>
      </c>
      <c r="T579" s="154" t="s">
        <v>66</v>
      </c>
      <c r="U579" s="154" t="s">
        <v>66</v>
      </c>
      <c r="V579" s="154" t="s">
        <v>66</v>
      </c>
      <c r="W579" s="154" t="s">
        <v>66</v>
      </c>
      <c r="X579" s="154" t="s">
        <v>66</v>
      </c>
      <c r="Y579" s="154" t="s">
        <v>66</v>
      </c>
      <c r="Z579" s="154" t="s">
        <v>66</v>
      </c>
      <c r="AA579" s="154"/>
      <c r="AB579" s="242" t="str">
        <f t="shared" si="2"/>
        <v>#ERROR!</v>
      </c>
      <c r="AC579" s="154" t="s">
        <v>391</v>
      </c>
      <c r="AD579" s="242" t="b">
        <f t="shared" si="3"/>
        <v>0</v>
      </c>
      <c r="AE579" s="154"/>
      <c r="AF579" s="242" t="str">
        <f t="shared" si="4"/>
        <v>#ERROR!</v>
      </c>
      <c r="AG579" s="154" t="s">
        <v>652</v>
      </c>
      <c r="AH579" s="242" t="str">
        <f>IF(AG579="","N/A",INDIRECT("MTR!"&amp;ADDRESS(MATCH(LEFT(AG579,9),[1]MTR!C:C,0),COLUMN(J579)),TRUE) &amp; "")</f>
        <v>#ERROR!</v>
      </c>
      <c r="AI579" s="157" t="str">
        <f t="shared" si="5"/>
        <v>#ERROR!</v>
      </c>
    </row>
    <row r="580" ht="12.75" customHeight="1">
      <c r="A580" s="244" t="s">
        <v>5158</v>
      </c>
      <c r="B580" s="244" t="s">
        <v>231</v>
      </c>
      <c r="C580" s="244" t="s">
        <v>8306</v>
      </c>
      <c r="D580" s="154" t="s">
        <v>747</v>
      </c>
      <c r="E580" s="154"/>
      <c r="F580" s="154" t="str">
        <f t="array" ref="F580">XLOOKUP(Cover!$D$12,$R$1:$Z$1,$R580:$Z580)</f>
        <v>Information</v>
      </c>
      <c r="G580" s="154" t="s">
        <v>8307</v>
      </c>
      <c r="H580" s="154" t="s">
        <v>8308</v>
      </c>
      <c r="I580" s="154" t="s">
        <v>8308</v>
      </c>
      <c r="J580" s="154" t="s">
        <v>5903</v>
      </c>
      <c r="K580" s="154" t="s">
        <v>8296</v>
      </c>
      <c r="L580" s="154" t="s">
        <v>6525</v>
      </c>
      <c r="M580" s="154"/>
      <c r="N580" s="154" t="s">
        <v>759</v>
      </c>
      <c r="O580" s="247" t="s">
        <v>516</v>
      </c>
      <c r="P580" s="247" t="s">
        <v>6776</v>
      </c>
      <c r="Q580" s="154" t="str">
        <f t="shared" si="1"/>
        <v>#ERROR!</v>
      </c>
      <c r="R580" s="154" t="s">
        <v>66</v>
      </c>
      <c r="S580" s="154" t="s">
        <v>66</v>
      </c>
      <c r="T580" s="154" t="s">
        <v>66</v>
      </c>
      <c r="U580" s="154" t="s">
        <v>66</v>
      </c>
      <c r="V580" s="154" t="s">
        <v>66</v>
      </c>
      <c r="W580" s="154" t="s">
        <v>66</v>
      </c>
      <c r="X580" s="154" t="s">
        <v>66</v>
      </c>
      <c r="Y580" s="154" t="s">
        <v>66</v>
      </c>
      <c r="Z580" s="154" t="s">
        <v>66</v>
      </c>
      <c r="AA580" s="154"/>
      <c r="AB580" s="242" t="str">
        <f t="shared" si="2"/>
        <v>#ERROR!</v>
      </c>
      <c r="AC580" s="154" t="s">
        <v>391</v>
      </c>
      <c r="AD580" s="242" t="b">
        <f t="shared" si="3"/>
        <v>0</v>
      </c>
      <c r="AE580" s="154"/>
      <c r="AF580" s="242" t="str">
        <f t="shared" si="4"/>
        <v>#ERROR!</v>
      </c>
      <c r="AG580" s="154" t="s">
        <v>652</v>
      </c>
      <c r="AH580" s="242" t="str">
        <f>IF(AG580="","N/A",INDIRECT("MTR!"&amp;ADDRESS(MATCH(LEFT(AG580,9),[1]MTR!C:C,0),COLUMN(J580)),TRUE) &amp; "")</f>
        <v>#ERROR!</v>
      </c>
      <c r="AI580" s="157" t="str">
        <f t="shared" si="5"/>
        <v>#ERROR!</v>
      </c>
    </row>
    <row r="581" ht="12.75" customHeight="1">
      <c r="A581" s="238" t="s">
        <v>5158</v>
      </c>
      <c r="B581" s="238" t="s">
        <v>231</v>
      </c>
      <c r="C581" s="238" t="s">
        <v>8309</v>
      </c>
      <c r="D581" s="240"/>
      <c r="E581" s="240" t="s">
        <v>92</v>
      </c>
      <c r="F581" s="240" t="str">
        <f t="array" ref="F581">XLOOKUP(Cover!$D$12,$R$1:$Z$1,$R581:$Z581)</f>
        <v>Heading</v>
      </c>
      <c r="G581" s="239" t="s">
        <v>8310</v>
      </c>
      <c r="H581" s="240"/>
      <c r="I581" s="240"/>
      <c r="J581" s="240"/>
      <c r="K581" s="240"/>
      <c r="L581" s="240"/>
      <c r="M581" s="240"/>
      <c r="N581" s="240" t="s">
        <v>759</v>
      </c>
      <c r="O581" s="240"/>
      <c r="P581" s="240"/>
      <c r="Q581" s="240" t="str">
        <f t="shared" si="1"/>
        <v/>
      </c>
      <c r="R581" s="240" t="s">
        <v>390</v>
      </c>
      <c r="S581" s="240" t="s">
        <v>390</v>
      </c>
      <c r="T581" s="240" t="s">
        <v>390</v>
      </c>
      <c r="U581" s="240" t="s">
        <v>390</v>
      </c>
      <c r="V581" s="240" t="s">
        <v>390</v>
      </c>
      <c r="W581" s="240" t="s">
        <v>390</v>
      </c>
      <c r="X581" s="240" t="s">
        <v>390</v>
      </c>
      <c r="Y581" s="240" t="s">
        <v>390</v>
      </c>
      <c r="Z581" s="240" t="s">
        <v>390</v>
      </c>
      <c r="AA581" s="240"/>
      <c r="AB581" s="242" t="str">
        <f t="shared" si="2"/>
        <v>#ERROR!</v>
      </c>
      <c r="AC581" s="240" t="s">
        <v>391</v>
      </c>
      <c r="AD581" s="242" t="b">
        <f t="shared" si="3"/>
        <v>0</v>
      </c>
      <c r="AE581" s="240"/>
      <c r="AF581" s="242" t="str">
        <f t="shared" si="4"/>
        <v>#ERROR!</v>
      </c>
      <c r="AG581" s="240"/>
      <c r="AH581" s="242" t="str">
        <f>IF(AG581="","N/A",INDIRECT("MTR!"&amp;ADDRESS(MATCH(LEFT(AG581,9),[1]MTR!C:C,0),COLUMN(J581)),TRUE) &amp; "")</f>
        <v>#ERROR!</v>
      </c>
      <c r="AI581" s="157" t="str">
        <f t="shared" si="5"/>
        <v/>
      </c>
    </row>
    <row r="582" ht="12.75" customHeight="1">
      <c r="A582" s="244" t="s">
        <v>5158</v>
      </c>
      <c r="B582" s="244" t="s">
        <v>231</v>
      </c>
      <c r="C582" s="244" t="s">
        <v>8311</v>
      </c>
      <c r="D582" s="154" t="s">
        <v>781</v>
      </c>
      <c r="E582" s="154"/>
      <c r="F582" s="154" t="str">
        <f t="array" ref="F582">XLOOKUP(Cover!$D$12,$R$1:$Z$1,$R582:$Z582)</f>
        <v>Recommended</v>
      </c>
      <c r="G582" s="154" t="s">
        <v>8312</v>
      </c>
      <c r="H582" s="154" t="s">
        <v>8295</v>
      </c>
      <c r="I582" s="154" t="s">
        <v>8313</v>
      </c>
      <c r="J582" s="154" t="s">
        <v>6791</v>
      </c>
      <c r="K582" s="154" t="s">
        <v>8296</v>
      </c>
      <c r="L582" s="154" t="s">
        <v>6942</v>
      </c>
      <c r="M582" s="154"/>
      <c r="N582" s="154" t="s">
        <v>759</v>
      </c>
      <c r="O582" s="247" t="s">
        <v>445</v>
      </c>
      <c r="P582" s="247" t="s">
        <v>6772</v>
      </c>
      <c r="Q582" s="154" t="str">
        <f t="shared" si="1"/>
        <v>#ERROR!</v>
      </c>
      <c r="R582" s="154" t="s">
        <v>66</v>
      </c>
      <c r="S582" s="154" t="s">
        <v>66</v>
      </c>
      <c r="T582" s="154" t="s">
        <v>66</v>
      </c>
      <c r="U582" s="154" t="s">
        <v>66</v>
      </c>
      <c r="V582" s="154" t="s">
        <v>66</v>
      </c>
      <c r="W582" s="154" t="s">
        <v>64</v>
      </c>
      <c r="X582" s="154" t="s">
        <v>66</v>
      </c>
      <c r="Y582" s="154" t="s">
        <v>66</v>
      </c>
      <c r="Z582" s="154" t="s">
        <v>64</v>
      </c>
      <c r="AA582" s="154"/>
      <c r="AB582" s="242" t="str">
        <f t="shared" si="2"/>
        <v>#ERROR!</v>
      </c>
      <c r="AC582" s="154" t="s">
        <v>391</v>
      </c>
      <c r="AD582" s="242" t="b">
        <f t="shared" si="3"/>
        <v>0</v>
      </c>
      <c r="AE582" s="154"/>
      <c r="AF582" s="242" t="str">
        <f t="shared" si="4"/>
        <v>#ERROR!</v>
      </c>
      <c r="AG582" s="154" t="s">
        <v>652</v>
      </c>
      <c r="AH582" s="242" t="str">
        <f>IF(AG582="","N/A",INDIRECT("MTR!"&amp;ADDRESS(MATCH(LEFT(AG582,9),[1]MTR!C:C,0),COLUMN(J582)),TRUE) &amp; "")</f>
        <v>#ERROR!</v>
      </c>
      <c r="AI582" s="157" t="str">
        <f t="shared" si="5"/>
        <v>#ERROR!</v>
      </c>
    </row>
    <row r="583" ht="12.75" customHeight="1">
      <c r="A583" s="244" t="s">
        <v>5158</v>
      </c>
      <c r="B583" s="244" t="s">
        <v>231</v>
      </c>
      <c r="C583" s="244" t="s">
        <v>8314</v>
      </c>
      <c r="D583" s="154" t="s">
        <v>781</v>
      </c>
      <c r="E583" s="154"/>
      <c r="F583" s="154" t="str">
        <f t="array" ref="F583">XLOOKUP(Cover!$D$12,$R$1:$Z$1,$R583:$Z583)</f>
        <v>Recommended</v>
      </c>
      <c r="G583" s="154" t="s">
        <v>8315</v>
      </c>
      <c r="H583" s="154" t="s">
        <v>8299</v>
      </c>
      <c r="I583" s="154" t="s">
        <v>8313</v>
      </c>
      <c r="J583" s="154" t="s">
        <v>6791</v>
      </c>
      <c r="K583" s="154" t="s">
        <v>8296</v>
      </c>
      <c r="L583" s="154" t="s">
        <v>6942</v>
      </c>
      <c r="M583" s="154"/>
      <c r="N583" s="154" t="s">
        <v>759</v>
      </c>
      <c r="O583" s="247" t="s">
        <v>445</v>
      </c>
      <c r="P583" s="247" t="s">
        <v>6772</v>
      </c>
      <c r="Q583" s="154" t="str">
        <f t="shared" si="1"/>
        <v>#ERROR!</v>
      </c>
      <c r="R583" s="154" t="s">
        <v>66</v>
      </c>
      <c r="S583" s="154" t="s">
        <v>66</v>
      </c>
      <c r="T583" s="154" t="s">
        <v>66</v>
      </c>
      <c r="U583" s="154" t="s">
        <v>66</v>
      </c>
      <c r="V583" s="154" t="s">
        <v>66</v>
      </c>
      <c r="W583" s="154" t="s">
        <v>64</v>
      </c>
      <c r="X583" s="154" t="s">
        <v>66</v>
      </c>
      <c r="Y583" s="154" t="s">
        <v>66</v>
      </c>
      <c r="Z583" s="154" t="s">
        <v>64</v>
      </c>
      <c r="AA583" s="154"/>
      <c r="AB583" s="242" t="str">
        <f t="shared" si="2"/>
        <v>#ERROR!</v>
      </c>
      <c r="AC583" s="154" t="s">
        <v>391</v>
      </c>
      <c r="AD583" s="242" t="b">
        <f t="shared" si="3"/>
        <v>0</v>
      </c>
      <c r="AE583" s="154"/>
      <c r="AF583" s="242" t="str">
        <f t="shared" si="4"/>
        <v>#ERROR!</v>
      </c>
      <c r="AG583" s="154" t="s">
        <v>652</v>
      </c>
      <c r="AH583" s="242" t="str">
        <f>IF(AG583="","N/A",INDIRECT("MTR!"&amp;ADDRESS(MATCH(LEFT(AG583,9),[1]MTR!C:C,0),COLUMN(J583)),TRUE) &amp; "")</f>
        <v>#ERROR!</v>
      </c>
      <c r="AI583" s="157" t="str">
        <f t="shared" si="5"/>
        <v>#ERROR!</v>
      </c>
    </row>
    <row r="584" ht="12.75" customHeight="1">
      <c r="A584" s="244" t="s">
        <v>5158</v>
      </c>
      <c r="B584" s="244" t="s">
        <v>231</v>
      </c>
      <c r="C584" s="244" t="s">
        <v>8316</v>
      </c>
      <c r="D584" s="154" t="s">
        <v>546</v>
      </c>
      <c r="E584" s="154"/>
      <c r="F584" s="154" t="str">
        <f t="array" ref="F584">XLOOKUP(Cover!$D$12,$R$1:$Z$1,$R584:$Z584)</f>
        <v>Recommended</v>
      </c>
      <c r="G584" s="154" t="s">
        <v>8317</v>
      </c>
      <c r="H584" s="154" t="s">
        <v>8295</v>
      </c>
      <c r="I584" s="154" t="s">
        <v>8318</v>
      </c>
      <c r="J584" s="154" t="s">
        <v>6797</v>
      </c>
      <c r="K584" s="154" t="s">
        <v>8296</v>
      </c>
      <c r="L584" s="154" t="s">
        <v>6942</v>
      </c>
      <c r="M584" s="154"/>
      <c r="N584" s="154" t="s">
        <v>759</v>
      </c>
      <c r="O584" s="247" t="s">
        <v>445</v>
      </c>
      <c r="P584" s="247" t="s">
        <v>89</v>
      </c>
      <c r="Q584" s="154" t="str">
        <f t="shared" si="1"/>
        <v>#ERROR!</v>
      </c>
      <c r="R584" s="154" t="s">
        <v>66</v>
      </c>
      <c r="S584" s="154" t="s">
        <v>66</v>
      </c>
      <c r="T584" s="154" t="s">
        <v>66</v>
      </c>
      <c r="U584" s="154" t="s">
        <v>66</v>
      </c>
      <c r="V584" s="154" t="s">
        <v>66</v>
      </c>
      <c r="W584" s="154" t="s">
        <v>64</v>
      </c>
      <c r="X584" s="154" t="s">
        <v>66</v>
      </c>
      <c r="Y584" s="154" t="s">
        <v>66</v>
      </c>
      <c r="Z584" s="154" t="s">
        <v>64</v>
      </c>
      <c r="AA584" s="154"/>
      <c r="AB584" s="242" t="str">
        <f t="shared" si="2"/>
        <v>#ERROR!</v>
      </c>
      <c r="AC584" s="154" t="s">
        <v>391</v>
      </c>
      <c r="AD584" s="242" t="b">
        <f t="shared" si="3"/>
        <v>0</v>
      </c>
      <c r="AE584" s="154"/>
      <c r="AF584" s="242" t="str">
        <f t="shared" si="4"/>
        <v>#ERROR!</v>
      </c>
      <c r="AG584" s="154" t="s">
        <v>652</v>
      </c>
      <c r="AH584" s="242" t="str">
        <f>IF(AG584="","N/A",INDIRECT("MTR!"&amp;ADDRESS(MATCH(LEFT(AG584,9),[1]MTR!C:C,0),COLUMN(J584)),TRUE) &amp; "")</f>
        <v>#ERROR!</v>
      </c>
      <c r="AI584" s="157" t="str">
        <f t="shared" si="5"/>
        <v>#ERROR!</v>
      </c>
    </row>
    <row r="585" ht="12.75" customHeight="1">
      <c r="A585" s="244" t="s">
        <v>5158</v>
      </c>
      <c r="B585" s="244" t="s">
        <v>231</v>
      </c>
      <c r="C585" s="244" t="s">
        <v>8319</v>
      </c>
      <c r="D585" s="154" t="s">
        <v>546</v>
      </c>
      <c r="E585" s="154"/>
      <c r="F585" s="154" t="str">
        <f t="array" ref="F585">XLOOKUP(Cover!$D$12,$R$1:$Z$1,$R585:$Z585)</f>
        <v>Information</v>
      </c>
      <c r="G585" s="154" t="s">
        <v>8320</v>
      </c>
      <c r="H585" s="154" t="s">
        <v>8302</v>
      </c>
      <c r="I585" s="154" t="s">
        <v>8318</v>
      </c>
      <c r="J585" s="154" t="s">
        <v>6797</v>
      </c>
      <c r="K585" s="154" t="s">
        <v>8296</v>
      </c>
      <c r="L585" s="154" t="s">
        <v>6942</v>
      </c>
      <c r="M585" s="154"/>
      <c r="N585" s="154" t="s">
        <v>759</v>
      </c>
      <c r="O585" s="247" t="s">
        <v>445</v>
      </c>
      <c r="P585" s="247" t="s">
        <v>89</v>
      </c>
      <c r="Q585" s="154" t="str">
        <f t="shared" si="1"/>
        <v>#ERROR!</v>
      </c>
      <c r="R585" s="154" t="s">
        <v>66</v>
      </c>
      <c r="S585" s="154" t="s">
        <v>66</v>
      </c>
      <c r="T585" s="154" t="s">
        <v>66</v>
      </c>
      <c r="U585" s="154" t="s">
        <v>66</v>
      </c>
      <c r="V585" s="154" t="s">
        <v>66</v>
      </c>
      <c r="W585" s="154" t="s">
        <v>66</v>
      </c>
      <c r="X585" s="154" t="s">
        <v>66</v>
      </c>
      <c r="Y585" s="154" t="s">
        <v>66</v>
      </c>
      <c r="Z585" s="154" t="s">
        <v>66</v>
      </c>
      <c r="AA585" s="154"/>
      <c r="AB585" s="242" t="str">
        <f t="shared" si="2"/>
        <v>#ERROR!</v>
      </c>
      <c r="AC585" s="154" t="s">
        <v>391</v>
      </c>
      <c r="AD585" s="242" t="b">
        <f t="shared" si="3"/>
        <v>0</v>
      </c>
      <c r="AE585" s="154"/>
      <c r="AF585" s="242" t="str">
        <f t="shared" si="4"/>
        <v>#ERROR!</v>
      </c>
      <c r="AG585" s="154" t="s">
        <v>652</v>
      </c>
      <c r="AH585" s="242" t="str">
        <f>IF(AG585="","N/A",INDIRECT("MTR!"&amp;ADDRESS(MATCH(LEFT(AG585,9),[1]MTR!C:C,0),COLUMN(J585)),TRUE) &amp; "")</f>
        <v>#ERROR!</v>
      </c>
      <c r="AI585" s="157" t="str">
        <f t="shared" si="5"/>
        <v>#ERROR!</v>
      </c>
    </row>
    <row r="586" ht="12.75" customHeight="1">
      <c r="A586" s="244" t="s">
        <v>5158</v>
      </c>
      <c r="B586" s="244" t="s">
        <v>231</v>
      </c>
      <c r="C586" s="244" t="s">
        <v>8321</v>
      </c>
      <c r="D586" s="154" t="s">
        <v>781</v>
      </c>
      <c r="E586" s="154"/>
      <c r="F586" s="154" t="str">
        <f t="array" ref="F586">XLOOKUP(Cover!$D$12,$R$1:$Z$1,$R586:$Z586)</f>
        <v>Information</v>
      </c>
      <c r="G586" s="154" t="s">
        <v>8322</v>
      </c>
      <c r="H586" s="154" t="s">
        <v>8295</v>
      </c>
      <c r="I586" s="154" t="s">
        <v>8323</v>
      </c>
      <c r="J586" s="154" t="s">
        <v>6803</v>
      </c>
      <c r="K586" s="154" t="s">
        <v>8296</v>
      </c>
      <c r="L586" s="154" t="s">
        <v>6942</v>
      </c>
      <c r="M586" s="154"/>
      <c r="N586" s="154" t="s">
        <v>759</v>
      </c>
      <c r="O586" s="247" t="s">
        <v>516</v>
      </c>
      <c r="P586" s="247" t="s">
        <v>6776</v>
      </c>
      <c r="Q586" s="154" t="str">
        <f t="shared" si="1"/>
        <v>#ERROR!</v>
      </c>
      <c r="R586" s="154" t="s">
        <v>66</v>
      </c>
      <c r="S586" s="154" t="s">
        <v>66</v>
      </c>
      <c r="T586" s="154" t="s">
        <v>66</v>
      </c>
      <c r="U586" s="154" t="s">
        <v>66</v>
      </c>
      <c r="V586" s="154" t="s">
        <v>66</v>
      </c>
      <c r="W586" s="154" t="s">
        <v>66</v>
      </c>
      <c r="X586" s="154" t="s">
        <v>66</v>
      </c>
      <c r="Y586" s="154" t="s">
        <v>66</v>
      </c>
      <c r="Z586" s="154" t="s">
        <v>66</v>
      </c>
      <c r="AA586" s="154"/>
      <c r="AB586" s="242" t="str">
        <f t="shared" si="2"/>
        <v>#ERROR!</v>
      </c>
      <c r="AC586" s="154" t="s">
        <v>391</v>
      </c>
      <c r="AD586" s="242" t="b">
        <f t="shared" si="3"/>
        <v>0</v>
      </c>
      <c r="AE586" s="154"/>
      <c r="AF586" s="242" t="str">
        <f t="shared" si="4"/>
        <v>#ERROR!</v>
      </c>
      <c r="AG586" s="154" t="s">
        <v>652</v>
      </c>
      <c r="AH586" s="242" t="str">
        <f>IF(AG586="","N/A",INDIRECT("MTR!"&amp;ADDRESS(MATCH(LEFT(AG586,9),[1]MTR!C:C,0),COLUMN(J586)),TRUE) &amp; "")</f>
        <v>#ERROR!</v>
      </c>
      <c r="AI586" s="157" t="str">
        <f t="shared" si="5"/>
        <v>#ERROR!</v>
      </c>
    </row>
    <row r="587" ht="12.75" customHeight="1">
      <c r="A587" s="244" t="s">
        <v>5158</v>
      </c>
      <c r="B587" s="244" t="s">
        <v>231</v>
      </c>
      <c r="C587" s="244" t="s">
        <v>8324</v>
      </c>
      <c r="D587" s="154" t="s">
        <v>781</v>
      </c>
      <c r="E587" s="154"/>
      <c r="F587" s="154" t="str">
        <f t="array" ref="F587">XLOOKUP(Cover!$D$12,$R$1:$Z$1,$R587:$Z587)</f>
        <v>Information</v>
      </c>
      <c r="G587" s="154" t="s">
        <v>8325</v>
      </c>
      <c r="H587" s="154" t="s">
        <v>8305</v>
      </c>
      <c r="I587" s="154" t="s">
        <v>8323</v>
      </c>
      <c r="J587" s="154" t="s">
        <v>6803</v>
      </c>
      <c r="K587" s="154" t="s">
        <v>8296</v>
      </c>
      <c r="L587" s="154" t="s">
        <v>6942</v>
      </c>
      <c r="M587" s="154"/>
      <c r="N587" s="154" t="s">
        <v>759</v>
      </c>
      <c r="O587" s="247" t="s">
        <v>516</v>
      </c>
      <c r="P587" s="247" t="s">
        <v>6776</v>
      </c>
      <c r="Q587" s="154" t="str">
        <f t="shared" si="1"/>
        <v>#ERROR!</v>
      </c>
      <c r="R587" s="154" t="s">
        <v>66</v>
      </c>
      <c r="S587" s="154" t="s">
        <v>66</v>
      </c>
      <c r="T587" s="154" t="s">
        <v>66</v>
      </c>
      <c r="U587" s="154" t="s">
        <v>66</v>
      </c>
      <c r="V587" s="154" t="s">
        <v>66</v>
      </c>
      <c r="W587" s="154" t="s">
        <v>66</v>
      </c>
      <c r="X587" s="154" t="s">
        <v>66</v>
      </c>
      <c r="Y587" s="154" t="s">
        <v>66</v>
      </c>
      <c r="Z587" s="154" t="s">
        <v>66</v>
      </c>
      <c r="AA587" s="154"/>
      <c r="AB587" s="242" t="str">
        <f t="shared" si="2"/>
        <v>#ERROR!</v>
      </c>
      <c r="AC587" s="154" t="s">
        <v>391</v>
      </c>
      <c r="AD587" s="242" t="b">
        <f t="shared" si="3"/>
        <v>0</v>
      </c>
      <c r="AE587" s="154"/>
      <c r="AF587" s="242" t="str">
        <f t="shared" si="4"/>
        <v>#ERROR!</v>
      </c>
      <c r="AG587" s="154" t="s">
        <v>652</v>
      </c>
      <c r="AH587" s="242" t="str">
        <f>IF(AG587="","N/A",INDIRECT("MTR!"&amp;ADDRESS(MATCH(LEFT(AG587,9),[1]MTR!C:C,0),COLUMN(J587)),TRUE) &amp; "")</f>
        <v>#ERROR!</v>
      </c>
      <c r="AI587" s="157" t="str">
        <f t="shared" si="5"/>
        <v>#ERROR!</v>
      </c>
    </row>
    <row r="588" ht="12.75" customHeight="1">
      <c r="A588" s="244" t="s">
        <v>5158</v>
      </c>
      <c r="B588" s="244" t="s">
        <v>231</v>
      </c>
      <c r="C588" s="244" t="s">
        <v>8326</v>
      </c>
      <c r="D588" s="154" t="s">
        <v>1315</v>
      </c>
      <c r="E588" s="154"/>
      <c r="F588" s="154" t="str">
        <f t="array" ref="F588">XLOOKUP(Cover!$D$12,$R$1:$Z$1,$R588:$Z588)</f>
        <v>Recommended</v>
      </c>
      <c r="G588" s="154" t="s">
        <v>8327</v>
      </c>
      <c r="H588" s="154" t="s">
        <v>8295</v>
      </c>
      <c r="I588" s="154" t="s">
        <v>8328</v>
      </c>
      <c r="J588" s="154" t="s">
        <v>7366</v>
      </c>
      <c r="K588" s="154" t="s">
        <v>8296</v>
      </c>
      <c r="L588" s="154" t="s">
        <v>6905</v>
      </c>
      <c r="M588" s="154"/>
      <c r="N588" s="154" t="s">
        <v>759</v>
      </c>
      <c r="O588" s="247" t="s">
        <v>445</v>
      </c>
      <c r="P588" s="247" t="s">
        <v>6772</v>
      </c>
      <c r="Q588" s="154" t="str">
        <f t="shared" si="1"/>
        <v>#ERROR!</v>
      </c>
      <c r="R588" s="154" t="s">
        <v>66</v>
      </c>
      <c r="S588" s="154" t="s">
        <v>66</v>
      </c>
      <c r="T588" s="154" t="s">
        <v>66</v>
      </c>
      <c r="U588" s="154" t="s">
        <v>66</v>
      </c>
      <c r="V588" s="154" t="s">
        <v>66</v>
      </c>
      <c r="W588" s="154" t="s">
        <v>64</v>
      </c>
      <c r="X588" s="154" t="s">
        <v>66</v>
      </c>
      <c r="Y588" s="154" t="s">
        <v>66</v>
      </c>
      <c r="Z588" s="154" t="s">
        <v>64</v>
      </c>
      <c r="AA588" s="154"/>
      <c r="AB588" s="242" t="str">
        <f t="shared" si="2"/>
        <v>#ERROR!</v>
      </c>
      <c r="AC588" s="154" t="s">
        <v>391</v>
      </c>
      <c r="AD588" s="242" t="b">
        <f t="shared" si="3"/>
        <v>0</v>
      </c>
      <c r="AE588" s="154"/>
      <c r="AF588" s="242" t="str">
        <f t="shared" si="4"/>
        <v>#ERROR!</v>
      </c>
      <c r="AG588" s="154" t="s">
        <v>652</v>
      </c>
      <c r="AH588" s="242" t="str">
        <f>IF(AG588="","N/A",INDIRECT("MTR!"&amp;ADDRESS(MATCH(LEFT(AG588,9),[1]MTR!C:C,0),COLUMN(J588)),TRUE) &amp; "")</f>
        <v>#ERROR!</v>
      </c>
      <c r="AI588" s="157" t="str">
        <f t="shared" si="5"/>
        <v>#ERROR!</v>
      </c>
    </row>
    <row r="589" ht="12.75" customHeight="1">
      <c r="A589" s="244" t="s">
        <v>5158</v>
      </c>
      <c r="B589" s="244" t="s">
        <v>231</v>
      </c>
      <c r="C589" s="244" t="s">
        <v>8329</v>
      </c>
      <c r="D589" s="154" t="s">
        <v>1315</v>
      </c>
      <c r="E589" s="154"/>
      <c r="F589" s="154" t="str">
        <f t="array" ref="F589">XLOOKUP(Cover!$D$12,$R$1:$Z$1,$R589:$Z589)</f>
        <v>Information</v>
      </c>
      <c r="G589" s="154" t="s">
        <v>8330</v>
      </c>
      <c r="H589" s="154" t="s">
        <v>8299</v>
      </c>
      <c r="I589" s="154" t="s">
        <v>8331</v>
      </c>
      <c r="J589" s="154" t="s">
        <v>6815</v>
      </c>
      <c r="K589" s="154" t="s">
        <v>8296</v>
      </c>
      <c r="L589" s="154" t="s">
        <v>6884</v>
      </c>
      <c r="M589" s="154"/>
      <c r="N589" s="154" t="s">
        <v>759</v>
      </c>
      <c r="O589" s="247" t="s">
        <v>445</v>
      </c>
      <c r="P589" s="247" t="s">
        <v>6772</v>
      </c>
      <c r="Q589" s="154" t="str">
        <f t="shared" si="1"/>
        <v>#ERROR!</v>
      </c>
      <c r="R589" s="154" t="s">
        <v>66</v>
      </c>
      <c r="S589" s="154" t="s">
        <v>66</v>
      </c>
      <c r="T589" s="154" t="s">
        <v>66</v>
      </c>
      <c r="U589" s="154" t="s">
        <v>66</v>
      </c>
      <c r="V589" s="154" t="s">
        <v>66</v>
      </c>
      <c r="W589" s="154" t="s">
        <v>66</v>
      </c>
      <c r="X589" s="154" t="s">
        <v>66</v>
      </c>
      <c r="Y589" s="154" t="s">
        <v>66</v>
      </c>
      <c r="Z589" s="154" t="s">
        <v>66</v>
      </c>
      <c r="AA589" s="154"/>
      <c r="AB589" s="242" t="str">
        <f t="shared" si="2"/>
        <v>#ERROR!</v>
      </c>
      <c r="AC589" s="154" t="s">
        <v>391</v>
      </c>
      <c r="AD589" s="242" t="b">
        <f t="shared" si="3"/>
        <v>0</v>
      </c>
      <c r="AE589" s="154"/>
      <c r="AF589" s="242" t="str">
        <f t="shared" si="4"/>
        <v>#ERROR!</v>
      </c>
      <c r="AG589" s="154" t="s">
        <v>652</v>
      </c>
      <c r="AH589" s="242" t="str">
        <f>IF(AG589="","N/A",INDIRECT("MTR!"&amp;ADDRESS(MATCH(LEFT(AG589,9),[1]MTR!C:C,0),COLUMN(J589)),TRUE) &amp; "")</f>
        <v>#ERROR!</v>
      </c>
      <c r="AI589" s="157" t="str">
        <f t="shared" si="5"/>
        <v>#ERROR!</v>
      </c>
    </row>
    <row r="590" ht="12.75" customHeight="1">
      <c r="A590" s="244" t="s">
        <v>5158</v>
      </c>
      <c r="B590" s="244" t="s">
        <v>231</v>
      </c>
      <c r="C590" s="244" t="s">
        <v>8332</v>
      </c>
      <c r="D590" s="154" t="s">
        <v>781</v>
      </c>
      <c r="E590" s="154"/>
      <c r="F590" s="154" t="str">
        <f t="array" ref="F590">XLOOKUP(Cover!$D$12,$R$1:$Z$1,$R590:$Z590)</f>
        <v>Recommended</v>
      </c>
      <c r="G590" s="154" t="s">
        <v>8333</v>
      </c>
      <c r="H590" s="154" t="s">
        <v>8299</v>
      </c>
      <c r="I590" s="154" t="s">
        <v>8334</v>
      </c>
      <c r="J590" s="154" t="s">
        <v>6819</v>
      </c>
      <c r="K590" s="154" t="s">
        <v>8296</v>
      </c>
      <c r="L590" s="154" t="s">
        <v>6942</v>
      </c>
      <c r="M590" s="154"/>
      <c r="N590" s="154" t="s">
        <v>759</v>
      </c>
      <c r="O590" s="247" t="s">
        <v>445</v>
      </c>
      <c r="P590" s="247" t="s">
        <v>89</v>
      </c>
      <c r="Q590" s="154" t="str">
        <f t="shared" si="1"/>
        <v>#ERROR!</v>
      </c>
      <c r="R590" s="154" t="s">
        <v>66</v>
      </c>
      <c r="S590" s="154" t="s">
        <v>66</v>
      </c>
      <c r="T590" s="154" t="s">
        <v>66</v>
      </c>
      <c r="U590" s="154" t="s">
        <v>66</v>
      </c>
      <c r="V590" s="154" t="s">
        <v>66</v>
      </c>
      <c r="W590" s="154" t="s">
        <v>64</v>
      </c>
      <c r="X590" s="154" t="s">
        <v>66</v>
      </c>
      <c r="Y590" s="154" t="s">
        <v>66</v>
      </c>
      <c r="Z590" s="154" t="s">
        <v>64</v>
      </c>
      <c r="AA590" s="154"/>
      <c r="AB590" s="242" t="str">
        <f t="shared" si="2"/>
        <v>#ERROR!</v>
      </c>
      <c r="AC590" s="154" t="s">
        <v>391</v>
      </c>
      <c r="AD590" s="242" t="b">
        <f t="shared" si="3"/>
        <v>0</v>
      </c>
      <c r="AE590" s="154"/>
      <c r="AF590" s="242" t="str">
        <f t="shared" si="4"/>
        <v>#ERROR!</v>
      </c>
      <c r="AG590" s="154" t="s">
        <v>652</v>
      </c>
      <c r="AH590" s="242" t="str">
        <f>IF(AG590="","N/A",INDIRECT("MTR!"&amp;ADDRESS(MATCH(LEFT(AG590,9),[1]MTR!C:C,0),COLUMN(J590)),TRUE) &amp; "")</f>
        <v>#ERROR!</v>
      </c>
      <c r="AI590" s="157" t="str">
        <f t="shared" si="5"/>
        <v>#ERROR!</v>
      </c>
    </row>
    <row r="591" ht="12.75" customHeight="1">
      <c r="A591" s="244" t="s">
        <v>5158</v>
      </c>
      <c r="B591" s="244" t="s">
        <v>231</v>
      </c>
      <c r="C591" s="244" t="s">
        <v>8335</v>
      </c>
      <c r="D591" s="154" t="s">
        <v>781</v>
      </c>
      <c r="E591" s="154"/>
      <c r="F591" s="154" t="str">
        <f t="array" ref="F591">XLOOKUP(Cover!$D$12,$R$1:$Z$1,$R591:$Z591)</f>
        <v>Information</v>
      </c>
      <c r="G591" s="154" t="s">
        <v>8336</v>
      </c>
      <c r="H591" s="154" t="s">
        <v>8302</v>
      </c>
      <c r="I591" s="154" t="s">
        <v>8334</v>
      </c>
      <c r="J591" s="154" t="s">
        <v>6819</v>
      </c>
      <c r="K591" s="154" t="s">
        <v>8296</v>
      </c>
      <c r="L591" s="154" t="s">
        <v>6942</v>
      </c>
      <c r="M591" s="154"/>
      <c r="N591" s="154" t="s">
        <v>759</v>
      </c>
      <c r="O591" s="247" t="s">
        <v>445</v>
      </c>
      <c r="P591" s="247" t="s">
        <v>89</v>
      </c>
      <c r="Q591" s="154" t="str">
        <f t="shared" si="1"/>
        <v>#ERROR!</v>
      </c>
      <c r="R591" s="154" t="s">
        <v>66</v>
      </c>
      <c r="S591" s="154" t="s">
        <v>66</v>
      </c>
      <c r="T591" s="154" t="s">
        <v>66</v>
      </c>
      <c r="U591" s="154" t="s">
        <v>66</v>
      </c>
      <c r="V591" s="154" t="s">
        <v>66</v>
      </c>
      <c r="W591" s="154" t="s">
        <v>66</v>
      </c>
      <c r="X591" s="154" t="s">
        <v>66</v>
      </c>
      <c r="Y591" s="154" t="s">
        <v>66</v>
      </c>
      <c r="Z591" s="154" t="s">
        <v>66</v>
      </c>
      <c r="AA591" s="154"/>
      <c r="AB591" s="242" t="str">
        <f t="shared" si="2"/>
        <v>#ERROR!</v>
      </c>
      <c r="AC591" s="154" t="s">
        <v>391</v>
      </c>
      <c r="AD591" s="242" t="b">
        <f t="shared" si="3"/>
        <v>0</v>
      </c>
      <c r="AE591" s="154"/>
      <c r="AF591" s="242" t="str">
        <f t="shared" si="4"/>
        <v>#ERROR!</v>
      </c>
      <c r="AG591" s="154" t="s">
        <v>652</v>
      </c>
      <c r="AH591" s="242" t="str">
        <f>IF(AG591="","N/A",INDIRECT("MTR!"&amp;ADDRESS(MATCH(LEFT(AG591,9),[1]MTR!C:C,0),COLUMN(J591)),TRUE) &amp; "")</f>
        <v>#ERROR!</v>
      </c>
      <c r="AI591" s="157" t="str">
        <f t="shared" si="5"/>
        <v>#ERROR!</v>
      </c>
    </row>
    <row r="592" ht="12.75" customHeight="1">
      <c r="A592" s="244" t="s">
        <v>5158</v>
      </c>
      <c r="B592" s="244" t="s">
        <v>231</v>
      </c>
      <c r="C592" s="244" t="s">
        <v>8337</v>
      </c>
      <c r="D592" s="154" t="s">
        <v>781</v>
      </c>
      <c r="E592" s="154"/>
      <c r="F592" s="154" t="str">
        <f t="array" ref="F592">XLOOKUP(Cover!$D$12,$R$1:$Z$1,$R592:$Z592)</f>
        <v>Information</v>
      </c>
      <c r="G592" s="154" t="s">
        <v>8338</v>
      </c>
      <c r="H592" s="154" t="s">
        <v>8299</v>
      </c>
      <c r="I592" s="154" t="s">
        <v>8339</v>
      </c>
      <c r="J592" s="154" t="s">
        <v>6832</v>
      </c>
      <c r="K592" s="154" t="s">
        <v>8296</v>
      </c>
      <c r="L592" s="154" t="s">
        <v>6942</v>
      </c>
      <c r="M592" s="154"/>
      <c r="N592" s="154" t="s">
        <v>759</v>
      </c>
      <c r="O592" s="247" t="s">
        <v>516</v>
      </c>
      <c r="P592" s="247" t="s">
        <v>6776</v>
      </c>
      <c r="Q592" s="154" t="str">
        <f t="shared" si="1"/>
        <v>#ERROR!</v>
      </c>
      <c r="R592" s="154" t="s">
        <v>66</v>
      </c>
      <c r="S592" s="154" t="s">
        <v>66</v>
      </c>
      <c r="T592" s="154" t="s">
        <v>66</v>
      </c>
      <c r="U592" s="154" t="s">
        <v>66</v>
      </c>
      <c r="V592" s="154" t="s">
        <v>66</v>
      </c>
      <c r="W592" s="154" t="s">
        <v>66</v>
      </c>
      <c r="X592" s="154" t="s">
        <v>66</v>
      </c>
      <c r="Y592" s="154" t="s">
        <v>66</v>
      </c>
      <c r="Z592" s="154" t="s">
        <v>66</v>
      </c>
      <c r="AA592" s="154"/>
      <c r="AB592" s="242" t="str">
        <f t="shared" si="2"/>
        <v>#ERROR!</v>
      </c>
      <c r="AC592" s="154" t="s">
        <v>391</v>
      </c>
      <c r="AD592" s="242" t="b">
        <f t="shared" si="3"/>
        <v>0</v>
      </c>
      <c r="AE592" s="154"/>
      <c r="AF592" s="242" t="str">
        <f t="shared" si="4"/>
        <v>#ERROR!</v>
      </c>
      <c r="AG592" s="154" t="s">
        <v>652</v>
      </c>
      <c r="AH592" s="242" t="str">
        <f>IF(AG592="","N/A",INDIRECT("MTR!"&amp;ADDRESS(MATCH(LEFT(AG592,9),[1]MTR!C:C,0),COLUMN(J592)),TRUE) &amp; "")</f>
        <v>#ERROR!</v>
      </c>
      <c r="AI592" s="157" t="str">
        <f t="shared" si="5"/>
        <v>#ERROR!</v>
      </c>
    </row>
    <row r="593" ht="12.75" customHeight="1">
      <c r="A593" s="244" t="s">
        <v>5158</v>
      </c>
      <c r="B593" s="244" t="s">
        <v>231</v>
      </c>
      <c r="C593" s="244" t="s">
        <v>8340</v>
      </c>
      <c r="D593" s="154" t="s">
        <v>781</v>
      </c>
      <c r="E593" s="154"/>
      <c r="F593" s="154" t="str">
        <f t="array" ref="F593">XLOOKUP(Cover!$D$12,$R$1:$Z$1,$R593:$Z593)</f>
        <v>Information</v>
      </c>
      <c r="G593" s="154" t="s">
        <v>8341</v>
      </c>
      <c r="H593" s="154" t="s">
        <v>8305</v>
      </c>
      <c r="I593" s="154" t="s">
        <v>8339</v>
      </c>
      <c r="J593" s="154" t="s">
        <v>6832</v>
      </c>
      <c r="K593" s="154" t="s">
        <v>8296</v>
      </c>
      <c r="L593" s="154" t="s">
        <v>6942</v>
      </c>
      <c r="M593" s="154"/>
      <c r="N593" s="154" t="s">
        <v>759</v>
      </c>
      <c r="O593" s="247" t="s">
        <v>516</v>
      </c>
      <c r="P593" s="247" t="s">
        <v>6776</v>
      </c>
      <c r="Q593" s="154" t="str">
        <f t="shared" si="1"/>
        <v>#ERROR!</v>
      </c>
      <c r="R593" s="154" t="s">
        <v>66</v>
      </c>
      <c r="S593" s="154" t="s">
        <v>66</v>
      </c>
      <c r="T593" s="154" t="s">
        <v>66</v>
      </c>
      <c r="U593" s="154" t="s">
        <v>66</v>
      </c>
      <c r="V593" s="154" t="s">
        <v>66</v>
      </c>
      <c r="W593" s="154" t="s">
        <v>66</v>
      </c>
      <c r="X593" s="154" t="s">
        <v>66</v>
      </c>
      <c r="Y593" s="154" t="s">
        <v>66</v>
      </c>
      <c r="Z593" s="154" t="s">
        <v>66</v>
      </c>
      <c r="AA593" s="154"/>
      <c r="AB593" s="242" t="str">
        <f t="shared" si="2"/>
        <v>#ERROR!</v>
      </c>
      <c r="AC593" s="154" t="s">
        <v>391</v>
      </c>
      <c r="AD593" s="242" t="b">
        <f t="shared" si="3"/>
        <v>0</v>
      </c>
      <c r="AE593" s="154"/>
      <c r="AF593" s="242" t="str">
        <f t="shared" si="4"/>
        <v>#ERROR!</v>
      </c>
      <c r="AG593" s="154" t="s">
        <v>652</v>
      </c>
      <c r="AH593" s="242" t="str">
        <f>IF(AG593="","N/A",INDIRECT("MTR!"&amp;ADDRESS(MATCH(LEFT(AG593,9),[1]MTR!C:C,0),COLUMN(J593)),TRUE) &amp; "")</f>
        <v>#ERROR!</v>
      </c>
      <c r="AI593" s="157" t="str">
        <f t="shared" si="5"/>
        <v>#ERROR!</v>
      </c>
    </row>
    <row r="594" ht="12.75" customHeight="1">
      <c r="A594" s="244" t="s">
        <v>5158</v>
      </c>
      <c r="B594" s="244" t="s">
        <v>231</v>
      </c>
      <c r="C594" s="244" t="s">
        <v>8342</v>
      </c>
      <c r="D594" s="154" t="s">
        <v>1315</v>
      </c>
      <c r="E594" s="154"/>
      <c r="F594" s="154" t="str">
        <f t="array" ref="F594">XLOOKUP(Cover!$D$12,$R$1:$Z$1,$R594:$Z594)</f>
        <v>Information</v>
      </c>
      <c r="G594" s="154" t="s">
        <v>8343</v>
      </c>
      <c r="H594" s="154" t="s">
        <v>8302</v>
      </c>
      <c r="I594" s="154" t="s">
        <v>8344</v>
      </c>
      <c r="J594" s="154" t="s">
        <v>6854</v>
      </c>
      <c r="K594" s="154" t="s">
        <v>8296</v>
      </c>
      <c r="L594" s="154" t="s">
        <v>6884</v>
      </c>
      <c r="M594" s="154"/>
      <c r="N594" s="154" t="s">
        <v>759</v>
      </c>
      <c r="O594" s="247" t="s">
        <v>516</v>
      </c>
      <c r="P594" s="247" t="s">
        <v>5876</v>
      </c>
      <c r="Q594" s="154" t="str">
        <f t="shared" si="1"/>
        <v>#ERROR!</v>
      </c>
      <c r="R594" s="154" t="s">
        <v>66</v>
      </c>
      <c r="S594" s="154" t="s">
        <v>66</v>
      </c>
      <c r="T594" s="154" t="s">
        <v>66</v>
      </c>
      <c r="U594" s="154" t="s">
        <v>66</v>
      </c>
      <c r="V594" s="154" t="s">
        <v>66</v>
      </c>
      <c r="W594" s="154" t="s">
        <v>66</v>
      </c>
      <c r="X594" s="154" t="s">
        <v>66</v>
      </c>
      <c r="Y594" s="154" t="s">
        <v>66</v>
      </c>
      <c r="Z594" s="154" t="s">
        <v>66</v>
      </c>
      <c r="AA594" s="154"/>
      <c r="AB594" s="242" t="str">
        <f t="shared" si="2"/>
        <v>#ERROR!</v>
      </c>
      <c r="AC594" s="154" t="s">
        <v>391</v>
      </c>
      <c r="AD594" s="242" t="b">
        <f t="shared" si="3"/>
        <v>0</v>
      </c>
      <c r="AE594" s="154"/>
      <c r="AF594" s="242" t="str">
        <f t="shared" si="4"/>
        <v>#ERROR!</v>
      </c>
      <c r="AG594" s="154" t="s">
        <v>652</v>
      </c>
      <c r="AH594" s="242" t="str">
        <f>IF(AG594="","N/A",INDIRECT("MTR!"&amp;ADDRESS(MATCH(LEFT(AG594,9),[1]MTR!C:C,0),COLUMN(J594)),TRUE) &amp; "")</f>
        <v>#ERROR!</v>
      </c>
      <c r="AI594" s="157" t="str">
        <f t="shared" si="5"/>
        <v>#ERROR!</v>
      </c>
    </row>
    <row r="595" ht="12.75" customHeight="1">
      <c r="A595" s="244" t="s">
        <v>5158</v>
      </c>
      <c r="B595" s="244" t="s">
        <v>231</v>
      </c>
      <c r="C595" s="244" t="s">
        <v>8345</v>
      </c>
      <c r="D595" s="154" t="s">
        <v>781</v>
      </c>
      <c r="E595" s="154"/>
      <c r="F595" s="154" t="str">
        <f t="array" ref="F595">XLOOKUP(Cover!$D$12,$R$1:$Z$1,$R595:$Z595)</f>
        <v>Information</v>
      </c>
      <c r="G595" s="154" t="s">
        <v>8346</v>
      </c>
      <c r="H595" s="154" t="s">
        <v>8302</v>
      </c>
      <c r="I595" s="154" t="s">
        <v>8347</v>
      </c>
      <c r="J595" s="154" t="s">
        <v>6865</v>
      </c>
      <c r="K595" s="154" t="s">
        <v>8296</v>
      </c>
      <c r="L595" s="154" t="s">
        <v>6942</v>
      </c>
      <c r="M595" s="154"/>
      <c r="N595" s="154" t="s">
        <v>759</v>
      </c>
      <c r="O595" s="247" t="s">
        <v>516</v>
      </c>
      <c r="P595" s="247" t="s">
        <v>6776</v>
      </c>
      <c r="Q595" s="154" t="str">
        <f t="shared" si="1"/>
        <v>#ERROR!</v>
      </c>
      <c r="R595" s="154" t="s">
        <v>66</v>
      </c>
      <c r="S595" s="154" t="s">
        <v>66</v>
      </c>
      <c r="T595" s="154" t="s">
        <v>66</v>
      </c>
      <c r="U595" s="154" t="s">
        <v>66</v>
      </c>
      <c r="V595" s="154" t="s">
        <v>66</v>
      </c>
      <c r="W595" s="154" t="s">
        <v>66</v>
      </c>
      <c r="X595" s="154" t="s">
        <v>66</v>
      </c>
      <c r="Y595" s="154" t="s">
        <v>66</v>
      </c>
      <c r="Z595" s="154" t="s">
        <v>66</v>
      </c>
      <c r="AA595" s="154"/>
      <c r="AB595" s="242" t="str">
        <f t="shared" si="2"/>
        <v>#ERROR!</v>
      </c>
      <c r="AC595" s="154" t="s">
        <v>391</v>
      </c>
      <c r="AD595" s="242" t="b">
        <f t="shared" si="3"/>
        <v>0</v>
      </c>
      <c r="AE595" s="154"/>
      <c r="AF595" s="242" t="str">
        <f t="shared" si="4"/>
        <v>#ERROR!</v>
      </c>
      <c r="AG595" s="154" t="s">
        <v>652</v>
      </c>
      <c r="AH595" s="242" t="str">
        <f>IF(AG595="","N/A",INDIRECT("MTR!"&amp;ADDRESS(MATCH(LEFT(AG595,9),[1]MTR!C:C,0),COLUMN(J595)),TRUE) &amp; "")</f>
        <v>#ERROR!</v>
      </c>
      <c r="AI595" s="157" t="str">
        <f t="shared" si="5"/>
        <v>#ERROR!</v>
      </c>
    </row>
    <row r="596" ht="12.75" customHeight="1">
      <c r="A596" s="244" t="s">
        <v>5158</v>
      </c>
      <c r="B596" s="244" t="s">
        <v>231</v>
      </c>
      <c r="C596" s="244" t="s">
        <v>8348</v>
      </c>
      <c r="D596" s="154" t="s">
        <v>781</v>
      </c>
      <c r="E596" s="154"/>
      <c r="F596" s="154" t="str">
        <f t="array" ref="F596">XLOOKUP(Cover!$D$12,$R$1:$Z$1,$R596:$Z596)</f>
        <v>Information</v>
      </c>
      <c r="G596" s="154" t="s">
        <v>8349</v>
      </c>
      <c r="H596" s="154" t="s">
        <v>8305</v>
      </c>
      <c r="I596" s="154" t="s">
        <v>8347</v>
      </c>
      <c r="J596" s="154" t="s">
        <v>6865</v>
      </c>
      <c r="K596" s="154" t="s">
        <v>8296</v>
      </c>
      <c r="L596" s="154" t="s">
        <v>6942</v>
      </c>
      <c r="M596" s="154"/>
      <c r="N596" s="154" t="s">
        <v>759</v>
      </c>
      <c r="O596" s="247" t="s">
        <v>516</v>
      </c>
      <c r="P596" s="247" t="s">
        <v>6776</v>
      </c>
      <c r="Q596" s="154" t="str">
        <f t="shared" si="1"/>
        <v>#ERROR!</v>
      </c>
      <c r="R596" s="154" t="s">
        <v>66</v>
      </c>
      <c r="S596" s="154" t="s">
        <v>66</v>
      </c>
      <c r="T596" s="154" t="s">
        <v>66</v>
      </c>
      <c r="U596" s="154" t="s">
        <v>66</v>
      </c>
      <c r="V596" s="154" t="s">
        <v>66</v>
      </c>
      <c r="W596" s="154" t="s">
        <v>66</v>
      </c>
      <c r="X596" s="154" t="s">
        <v>66</v>
      </c>
      <c r="Y596" s="154" t="s">
        <v>66</v>
      </c>
      <c r="Z596" s="154" t="s">
        <v>66</v>
      </c>
      <c r="AA596" s="154"/>
      <c r="AB596" s="242" t="str">
        <f t="shared" si="2"/>
        <v>#ERROR!</v>
      </c>
      <c r="AC596" s="154" t="s">
        <v>391</v>
      </c>
      <c r="AD596" s="242" t="b">
        <f t="shared" si="3"/>
        <v>0</v>
      </c>
      <c r="AE596" s="154"/>
      <c r="AF596" s="242" t="str">
        <f t="shared" si="4"/>
        <v>#ERROR!</v>
      </c>
      <c r="AG596" s="154" t="s">
        <v>652</v>
      </c>
      <c r="AH596" s="242" t="str">
        <f>IF(AG596="","N/A",INDIRECT("MTR!"&amp;ADDRESS(MATCH(LEFT(AG596,9),[1]MTR!C:C,0),COLUMN(J596)),TRUE) &amp; "")</f>
        <v>#ERROR!</v>
      </c>
      <c r="AI596" s="157" t="str">
        <f t="shared" si="5"/>
        <v>#ERROR!</v>
      </c>
    </row>
    <row r="597" ht="12.75" customHeight="1">
      <c r="A597" s="244" t="s">
        <v>5158</v>
      </c>
      <c r="B597" s="244" t="s">
        <v>231</v>
      </c>
      <c r="C597" s="244" t="s">
        <v>8350</v>
      </c>
      <c r="D597" s="154" t="s">
        <v>1315</v>
      </c>
      <c r="E597" s="154"/>
      <c r="F597" s="154" t="str">
        <f t="array" ref="F597">XLOOKUP(Cover!$D$12,$R$1:$Z$1,$R597:$Z597)</f>
        <v>Information</v>
      </c>
      <c r="G597" s="154" t="s">
        <v>8351</v>
      </c>
      <c r="H597" s="154" t="s">
        <v>8302</v>
      </c>
      <c r="I597" s="154" t="s">
        <v>8352</v>
      </c>
      <c r="J597" s="154" t="s">
        <v>6879</v>
      </c>
      <c r="K597" s="154" t="s">
        <v>8296</v>
      </c>
      <c r="L597" s="154" t="s">
        <v>6905</v>
      </c>
      <c r="M597" s="154"/>
      <c r="N597" s="154" t="s">
        <v>759</v>
      </c>
      <c r="O597" s="247" t="s">
        <v>445</v>
      </c>
      <c r="P597" s="247" t="s">
        <v>6772</v>
      </c>
      <c r="Q597" s="154" t="str">
        <f t="shared" si="1"/>
        <v>#ERROR!</v>
      </c>
      <c r="R597" s="154" t="s">
        <v>66</v>
      </c>
      <c r="S597" s="154" t="s">
        <v>66</v>
      </c>
      <c r="T597" s="154" t="s">
        <v>66</v>
      </c>
      <c r="U597" s="154" t="s">
        <v>66</v>
      </c>
      <c r="V597" s="154" t="s">
        <v>66</v>
      </c>
      <c r="W597" s="154" t="s">
        <v>66</v>
      </c>
      <c r="X597" s="154" t="s">
        <v>66</v>
      </c>
      <c r="Y597" s="154" t="s">
        <v>66</v>
      </c>
      <c r="Z597" s="154" t="s">
        <v>66</v>
      </c>
      <c r="AA597" s="154"/>
      <c r="AB597" s="242" t="str">
        <f t="shared" si="2"/>
        <v>#ERROR!</v>
      </c>
      <c r="AC597" s="154" t="s">
        <v>391</v>
      </c>
      <c r="AD597" s="242" t="b">
        <f t="shared" si="3"/>
        <v>0</v>
      </c>
      <c r="AE597" s="154"/>
      <c r="AF597" s="242" t="str">
        <f t="shared" si="4"/>
        <v>#ERROR!</v>
      </c>
      <c r="AG597" s="154" t="s">
        <v>652</v>
      </c>
      <c r="AH597" s="242" t="str">
        <f>IF(AG597="","N/A",INDIRECT("MTR!"&amp;ADDRESS(MATCH(LEFT(AG597,9),[1]MTR!C:C,0),COLUMN(J597)),TRUE) &amp; "")</f>
        <v>#ERROR!</v>
      </c>
      <c r="AI597" s="157" t="str">
        <f t="shared" si="5"/>
        <v>#ERROR!</v>
      </c>
    </row>
    <row r="598" ht="12.75" customHeight="1">
      <c r="A598" s="244" t="s">
        <v>5158</v>
      </c>
      <c r="B598" s="244" t="s">
        <v>231</v>
      </c>
      <c r="C598" s="244" t="s">
        <v>8353</v>
      </c>
      <c r="D598" s="154" t="s">
        <v>1315</v>
      </c>
      <c r="E598" s="154"/>
      <c r="F598" s="154" t="str">
        <f t="array" ref="F598">XLOOKUP(Cover!$D$12,$R$1:$Z$1,$R598:$Z598)</f>
        <v>Information</v>
      </c>
      <c r="G598" s="154" t="s">
        <v>8354</v>
      </c>
      <c r="H598" s="154" t="s">
        <v>8305</v>
      </c>
      <c r="I598" s="154" t="s">
        <v>8355</v>
      </c>
      <c r="J598" s="154" t="s">
        <v>6900</v>
      </c>
      <c r="K598" s="154" t="s">
        <v>8296</v>
      </c>
      <c r="L598" s="154" t="s">
        <v>6905</v>
      </c>
      <c r="M598" s="154"/>
      <c r="N598" s="154" t="s">
        <v>759</v>
      </c>
      <c r="O598" s="247" t="s">
        <v>516</v>
      </c>
      <c r="P598" s="247" t="s">
        <v>6776</v>
      </c>
      <c r="Q598" s="154" t="str">
        <f t="shared" si="1"/>
        <v>#ERROR!</v>
      </c>
      <c r="R598" s="154" t="s">
        <v>66</v>
      </c>
      <c r="S598" s="154" t="s">
        <v>66</v>
      </c>
      <c r="T598" s="154" t="s">
        <v>66</v>
      </c>
      <c r="U598" s="154" t="s">
        <v>66</v>
      </c>
      <c r="V598" s="154" t="s">
        <v>66</v>
      </c>
      <c r="W598" s="154" t="s">
        <v>66</v>
      </c>
      <c r="X598" s="154" t="s">
        <v>66</v>
      </c>
      <c r="Y598" s="154" t="s">
        <v>66</v>
      </c>
      <c r="Z598" s="154" t="s">
        <v>66</v>
      </c>
      <c r="AA598" s="154"/>
      <c r="AB598" s="242" t="str">
        <f t="shared" si="2"/>
        <v>#ERROR!</v>
      </c>
      <c r="AC598" s="154" t="s">
        <v>391</v>
      </c>
      <c r="AD598" s="242" t="b">
        <f t="shared" si="3"/>
        <v>0</v>
      </c>
      <c r="AE598" s="154"/>
      <c r="AF598" s="242" t="str">
        <f t="shared" si="4"/>
        <v>#ERROR!</v>
      </c>
      <c r="AG598" s="154" t="s">
        <v>652</v>
      </c>
      <c r="AH598" s="242" t="str">
        <f>IF(AG598="","N/A",INDIRECT("MTR!"&amp;ADDRESS(MATCH(LEFT(AG598,9),[1]MTR!C:C,0),COLUMN(J598)),TRUE) &amp; "")</f>
        <v>#ERROR!</v>
      </c>
      <c r="AI598" s="157" t="str">
        <f t="shared" si="5"/>
        <v>#ERROR!</v>
      </c>
    </row>
    <row r="599" ht="12.75" customHeight="1">
      <c r="A599" s="238" t="s">
        <v>5158</v>
      </c>
      <c r="B599" s="238" t="s">
        <v>231</v>
      </c>
      <c r="C599" s="238" t="s">
        <v>8356</v>
      </c>
      <c r="D599" s="240"/>
      <c r="E599" s="240" t="s">
        <v>92</v>
      </c>
      <c r="F599" s="240" t="str">
        <f t="array" ref="F599">XLOOKUP(Cover!$D$12,$R$1:$Z$1,$R599:$Z599)</f>
        <v>Heading</v>
      </c>
      <c r="G599" s="239" t="s">
        <v>8357</v>
      </c>
      <c r="H599" s="240"/>
      <c r="I599" s="240"/>
      <c r="J599" s="240"/>
      <c r="K599" s="240"/>
      <c r="L599" s="240"/>
      <c r="M599" s="240"/>
      <c r="N599" s="240" t="s">
        <v>759</v>
      </c>
      <c r="O599" s="240"/>
      <c r="P599" s="240"/>
      <c r="Q599" s="240" t="str">
        <f t="shared" si="1"/>
        <v/>
      </c>
      <c r="R599" s="240" t="s">
        <v>390</v>
      </c>
      <c r="S599" s="240" t="s">
        <v>390</v>
      </c>
      <c r="T599" s="240" t="s">
        <v>390</v>
      </c>
      <c r="U599" s="240" t="s">
        <v>390</v>
      </c>
      <c r="V599" s="240" t="s">
        <v>390</v>
      </c>
      <c r="W599" s="240" t="s">
        <v>390</v>
      </c>
      <c r="X599" s="240" t="s">
        <v>390</v>
      </c>
      <c r="Y599" s="240" t="s">
        <v>390</v>
      </c>
      <c r="Z599" s="240" t="s">
        <v>390</v>
      </c>
      <c r="AA599" s="240"/>
      <c r="AB599" s="242" t="str">
        <f t="shared" si="2"/>
        <v>#ERROR!</v>
      </c>
      <c r="AC599" s="240" t="s">
        <v>391</v>
      </c>
      <c r="AD599" s="242" t="b">
        <f t="shared" si="3"/>
        <v>0</v>
      </c>
      <c r="AE599" s="240"/>
      <c r="AF599" s="242" t="str">
        <f t="shared" si="4"/>
        <v>#ERROR!</v>
      </c>
      <c r="AG599" s="240"/>
      <c r="AH599" s="242" t="str">
        <f>IF(AG599="","N/A",INDIRECT("MTR!"&amp;ADDRESS(MATCH(LEFT(AG599,9),[1]MTR!C:C,0),COLUMN(J599)),TRUE) &amp; "")</f>
        <v>#ERROR!</v>
      </c>
      <c r="AI599" s="157" t="str">
        <f t="shared" si="5"/>
        <v/>
      </c>
    </row>
    <row r="600" ht="12.75" customHeight="1">
      <c r="A600" s="244" t="s">
        <v>5158</v>
      </c>
      <c r="B600" s="244" t="s">
        <v>231</v>
      </c>
      <c r="C600" s="244" t="s">
        <v>8358</v>
      </c>
      <c r="D600" s="154" t="s">
        <v>546</v>
      </c>
      <c r="E600" s="154"/>
      <c r="F600" s="154" t="str">
        <f t="array" ref="F600">XLOOKUP(Cover!$D$12,$R$1:$Z$1,$R600:$Z600)</f>
        <v>Recommended</v>
      </c>
      <c r="G600" s="154" t="s">
        <v>8359</v>
      </c>
      <c r="H600" s="154" t="s">
        <v>8295</v>
      </c>
      <c r="I600" s="154" t="s">
        <v>8360</v>
      </c>
      <c r="J600" s="154" t="s">
        <v>6911</v>
      </c>
      <c r="K600" s="154" t="s">
        <v>8296</v>
      </c>
      <c r="L600" s="154" t="s">
        <v>6529</v>
      </c>
      <c r="M600" s="154"/>
      <c r="N600" s="154" t="s">
        <v>759</v>
      </c>
      <c r="O600" s="247" t="s">
        <v>516</v>
      </c>
      <c r="P600" s="247" t="s">
        <v>6776</v>
      </c>
      <c r="Q600" s="154" t="str">
        <f t="shared" si="1"/>
        <v>#ERROR!</v>
      </c>
      <c r="R600" s="154" t="s">
        <v>66</v>
      </c>
      <c r="S600" s="154" t="s">
        <v>66</v>
      </c>
      <c r="T600" s="154" t="s">
        <v>66</v>
      </c>
      <c r="U600" s="154" t="s">
        <v>66</v>
      </c>
      <c r="V600" s="154" t="s">
        <v>66</v>
      </c>
      <c r="W600" s="154" t="s">
        <v>64</v>
      </c>
      <c r="X600" s="154" t="s">
        <v>66</v>
      </c>
      <c r="Y600" s="154" t="s">
        <v>66</v>
      </c>
      <c r="Z600" s="154" t="s">
        <v>64</v>
      </c>
      <c r="AA600" s="154"/>
      <c r="AB600" s="242" t="str">
        <f t="shared" si="2"/>
        <v>#ERROR!</v>
      </c>
      <c r="AC600" s="154" t="s">
        <v>391</v>
      </c>
      <c r="AD600" s="242" t="b">
        <f t="shared" si="3"/>
        <v>0</v>
      </c>
      <c r="AE600" s="154"/>
      <c r="AF600" s="242" t="str">
        <f t="shared" si="4"/>
        <v>#ERROR!</v>
      </c>
      <c r="AG600" s="154" t="s">
        <v>652</v>
      </c>
      <c r="AH600" s="242" t="str">
        <f>IF(AG600="","N/A",INDIRECT("MTR!"&amp;ADDRESS(MATCH(LEFT(AG600,9),[1]MTR!C:C,0),COLUMN(J600)),TRUE) &amp; "")</f>
        <v>#ERROR!</v>
      </c>
      <c r="AI600" s="157" t="str">
        <f t="shared" si="5"/>
        <v>#ERROR!</v>
      </c>
    </row>
    <row r="601" ht="12.75" customHeight="1">
      <c r="A601" s="244" t="s">
        <v>5158</v>
      </c>
      <c r="B601" s="244" t="s">
        <v>231</v>
      </c>
      <c r="C601" s="244" t="s">
        <v>8361</v>
      </c>
      <c r="D601" s="154" t="s">
        <v>546</v>
      </c>
      <c r="E601" s="154"/>
      <c r="F601" s="154" t="str">
        <f t="array" ref="F601">XLOOKUP(Cover!$D$12,$R$1:$Z$1,$R601:$Z601)</f>
        <v>Recommended</v>
      </c>
      <c r="G601" s="154" t="s">
        <v>8362</v>
      </c>
      <c r="H601" s="154" t="s">
        <v>8299</v>
      </c>
      <c r="I601" s="154" t="s">
        <v>8360</v>
      </c>
      <c r="J601" s="154" t="s">
        <v>6911</v>
      </c>
      <c r="K601" s="154" t="s">
        <v>8296</v>
      </c>
      <c r="L601" s="154" t="s">
        <v>6529</v>
      </c>
      <c r="M601" s="154"/>
      <c r="N601" s="154" t="s">
        <v>759</v>
      </c>
      <c r="O601" s="247" t="s">
        <v>516</v>
      </c>
      <c r="P601" s="247" t="s">
        <v>6776</v>
      </c>
      <c r="Q601" s="154" t="str">
        <f t="shared" si="1"/>
        <v>#ERROR!</v>
      </c>
      <c r="R601" s="154" t="s">
        <v>66</v>
      </c>
      <c r="S601" s="154" t="s">
        <v>66</v>
      </c>
      <c r="T601" s="154" t="s">
        <v>66</v>
      </c>
      <c r="U601" s="154" t="s">
        <v>66</v>
      </c>
      <c r="V601" s="154" t="s">
        <v>66</v>
      </c>
      <c r="W601" s="154" t="s">
        <v>64</v>
      </c>
      <c r="X601" s="154" t="s">
        <v>66</v>
      </c>
      <c r="Y601" s="154" t="s">
        <v>66</v>
      </c>
      <c r="Z601" s="154" t="s">
        <v>64</v>
      </c>
      <c r="AA601" s="154"/>
      <c r="AB601" s="242" t="str">
        <f t="shared" si="2"/>
        <v>#ERROR!</v>
      </c>
      <c r="AC601" s="154" t="s">
        <v>391</v>
      </c>
      <c r="AD601" s="242" t="b">
        <f t="shared" si="3"/>
        <v>0</v>
      </c>
      <c r="AE601" s="154"/>
      <c r="AF601" s="242" t="str">
        <f t="shared" si="4"/>
        <v>#ERROR!</v>
      </c>
      <c r="AG601" s="154" t="s">
        <v>652</v>
      </c>
      <c r="AH601" s="242" t="str">
        <f>IF(AG601="","N/A",INDIRECT("MTR!"&amp;ADDRESS(MATCH(LEFT(AG601,9),[1]MTR!C:C,0),COLUMN(J601)),TRUE) &amp; "")</f>
        <v>#ERROR!</v>
      </c>
      <c r="AI601" s="157" t="str">
        <f t="shared" si="5"/>
        <v>#ERROR!</v>
      </c>
    </row>
    <row r="602" ht="12.75" customHeight="1">
      <c r="A602" s="244" t="s">
        <v>5158</v>
      </c>
      <c r="B602" s="244" t="s">
        <v>231</v>
      </c>
      <c r="C602" s="244" t="s">
        <v>8363</v>
      </c>
      <c r="D602" s="154" t="s">
        <v>546</v>
      </c>
      <c r="E602" s="154"/>
      <c r="F602" s="154" t="str">
        <f t="array" ref="F602">XLOOKUP(Cover!$D$12,$R$1:$Z$1,$R602:$Z602)</f>
        <v>Information</v>
      </c>
      <c r="G602" s="154" t="s">
        <v>8364</v>
      </c>
      <c r="H602" s="154" t="s">
        <v>8302</v>
      </c>
      <c r="I602" s="154" t="s">
        <v>8360</v>
      </c>
      <c r="J602" s="154" t="s">
        <v>6911</v>
      </c>
      <c r="K602" s="154" t="s">
        <v>8296</v>
      </c>
      <c r="L602" s="154" t="s">
        <v>6529</v>
      </c>
      <c r="M602" s="154"/>
      <c r="N602" s="154" t="s">
        <v>759</v>
      </c>
      <c r="O602" s="247" t="s">
        <v>516</v>
      </c>
      <c r="P602" s="247" t="s">
        <v>6776</v>
      </c>
      <c r="Q602" s="154" t="str">
        <f t="shared" si="1"/>
        <v>#ERROR!</v>
      </c>
      <c r="R602" s="154" t="s">
        <v>66</v>
      </c>
      <c r="S602" s="154" t="s">
        <v>66</v>
      </c>
      <c r="T602" s="154" t="s">
        <v>66</v>
      </c>
      <c r="U602" s="154" t="s">
        <v>66</v>
      </c>
      <c r="V602" s="154" t="s">
        <v>66</v>
      </c>
      <c r="W602" s="154" t="s">
        <v>66</v>
      </c>
      <c r="X602" s="154" t="s">
        <v>66</v>
      </c>
      <c r="Y602" s="154" t="s">
        <v>66</v>
      </c>
      <c r="Z602" s="154" t="s">
        <v>66</v>
      </c>
      <c r="AA602" s="154"/>
      <c r="AB602" s="242" t="str">
        <f t="shared" si="2"/>
        <v>#ERROR!</v>
      </c>
      <c r="AC602" s="154" t="s">
        <v>391</v>
      </c>
      <c r="AD602" s="242" t="b">
        <f t="shared" si="3"/>
        <v>0</v>
      </c>
      <c r="AE602" s="154"/>
      <c r="AF602" s="242" t="str">
        <f t="shared" si="4"/>
        <v>#ERROR!</v>
      </c>
      <c r="AG602" s="154" t="s">
        <v>652</v>
      </c>
      <c r="AH602" s="242" t="str">
        <f>IF(AG602="","N/A",INDIRECT("MTR!"&amp;ADDRESS(MATCH(LEFT(AG602,9),[1]MTR!C:C,0),COLUMN(J602)),TRUE) &amp; "")</f>
        <v>#ERROR!</v>
      </c>
      <c r="AI602" s="157" t="str">
        <f t="shared" si="5"/>
        <v>#ERROR!</v>
      </c>
    </row>
    <row r="603" ht="12.75" customHeight="1">
      <c r="A603" s="244" t="s">
        <v>5158</v>
      </c>
      <c r="B603" s="244" t="s">
        <v>231</v>
      </c>
      <c r="C603" s="244" t="s">
        <v>8365</v>
      </c>
      <c r="D603" s="154" t="s">
        <v>546</v>
      </c>
      <c r="E603" s="154"/>
      <c r="F603" s="154" t="str">
        <f t="array" ref="F603">XLOOKUP(Cover!$D$12,$R$1:$Z$1,$R603:$Z603)</f>
        <v>Information</v>
      </c>
      <c r="G603" s="154" t="s">
        <v>8366</v>
      </c>
      <c r="H603" s="154" t="s">
        <v>8295</v>
      </c>
      <c r="I603" s="154" t="s">
        <v>8367</v>
      </c>
      <c r="J603" s="154" t="s">
        <v>6919</v>
      </c>
      <c r="K603" s="154" t="s">
        <v>8296</v>
      </c>
      <c r="L603" s="154" t="s">
        <v>6529</v>
      </c>
      <c r="M603" s="154"/>
      <c r="N603" s="154" t="s">
        <v>759</v>
      </c>
      <c r="O603" s="247" t="s">
        <v>516</v>
      </c>
      <c r="P603" s="247" t="s">
        <v>6776</v>
      </c>
      <c r="Q603" s="154" t="str">
        <f t="shared" si="1"/>
        <v>#ERROR!</v>
      </c>
      <c r="R603" s="154" t="s">
        <v>66</v>
      </c>
      <c r="S603" s="154" t="s">
        <v>66</v>
      </c>
      <c r="T603" s="154" t="s">
        <v>66</v>
      </c>
      <c r="U603" s="154" t="s">
        <v>66</v>
      </c>
      <c r="V603" s="154" t="s">
        <v>66</v>
      </c>
      <c r="W603" s="154" t="s">
        <v>66</v>
      </c>
      <c r="X603" s="154" t="s">
        <v>66</v>
      </c>
      <c r="Y603" s="154" t="s">
        <v>66</v>
      </c>
      <c r="Z603" s="154" t="s">
        <v>66</v>
      </c>
      <c r="AA603" s="154"/>
      <c r="AB603" s="242" t="str">
        <f t="shared" si="2"/>
        <v>#ERROR!</v>
      </c>
      <c r="AC603" s="154" t="s">
        <v>391</v>
      </c>
      <c r="AD603" s="242" t="b">
        <f t="shared" si="3"/>
        <v>0</v>
      </c>
      <c r="AE603" s="154"/>
      <c r="AF603" s="242" t="str">
        <f t="shared" si="4"/>
        <v>#ERROR!</v>
      </c>
      <c r="AG603" s="154" t="s">
        <v>652</v>
      </c>
      <c r="AH603" s="242" t="str">
        <f>IF(AG603="","N/A",INDIRECT("MTR!"&amp;ADDRESS(MATCH(LEFT(AG603,9),[1]MTR!C:C,0),COLUMN(J603)),TRUE) &amp; "")</f>
        <v>#ERROR!</v>
      </c>
      <c r="AI603" s="157" t="str">
        <f t="shared" si="5"/>
        <v>#ERROR!</v>
      </c>
    </row>
    <row r="604" ht="12.75" customHeight="1">
      <c r="A604" s="244" t="s">
        <v>5158</v>
      </c>
      <c r="B604" s="244" t="s">
        <v>231</v>
      </c>
      <c r="C604" s="244" t="s">
        <v>8368</v>
      </c>
      <c r="D604" s="154" t="s">
        <v>546</v>
      </c>
      <c r="E604" s="154"/>
      <c r="F604" s="154" t="str">
        <f t="array" ref="F604">XLOOKUP(Cover!$D$12,$R$1:$Z$1,$R604:$Z604)</f>
        <v>Information</v>
      </c>
      <c r="G604" s="154" t="s">
        <v>8369</v>
      </c>
      <c r="H604" s="154" t="s">
        <v>8299</v>
      </c>
      <c r="I604" s="154" t="s">
        <v>8367</v>
      </c>
      <c r="J604" s="154" t="s">
        <v>6919</v>
      </c>
      <c r="K604" s="154" t="s">
        <v>8296</v>
      </c>
      <c r="L604" s="154" t="s">
        <v>6529</v>
      </c>
      <c r="M604" s="154"/>
      <c r="N604" s="154" t="s">
        <v>759</v>
      </c>
      <c r="O604" s="247" t="s">
        <v>516</v>
      </c>
      <c r="P604" s="247" t="s">
        <v>6776</v>
      </c>
      <c r="Q604" s="154" t="str">
        <f t="shared" si="1"/>
        <v>#ERROR!</v>
      </c>
      <c r="R604" s="154" t="s">
        <v>66</v>
      </c>
      <c r="S604" s="154" t="s">
        <v>66</v>
      </c>
      <c r="T604" s="154" t="s">
        <v>66</v>
      </c>
      <c r="U604" s="154" t="s">
        <v>66</v>
      </c>
      <c r="V604" s="154" t="s">
        <v>66</v>
      </c>
      <c r="W604" s="154" t="s">
        <v>66</v>
      </c>
      <c r="X604" s="154" t="s">
        <v>66</v>
      </c>
      <c r="Y604" s="154" t="s">
        <v>66</v>
      </c>
      <c r="Z604" s="154" t="s">
        <v>66</v>
      </c>
      <c r="AA604" s="154"/>
      <c r="AB604" s="242" t="str">
        <f t="shared" si="2"/>
        <v>#ERROR!</v>
      </c>
      <c r="AC604" s="154" t="s">
        <v>391</v>
      </c>
      <c r="AD604" s="242" t="b">
        <f t="shared" si="3"/>
        <v>0</v>
      </c>
      <c r="AE604" s="154"/>
      <c r="AF604" s="242" t="str">
        <f t="shared" si="4"/>
        <v>#ERROR!</v>
      </c>
      <c r="AG604" s="154" t="s">
        <v>652</v>
      </c>
      <c r="AH604" s="242" t="str">
        <f>IF(AG604="","N/A",INDIRECT("MTR!"&amp;ADDRESS(MATCH(LEFT(AG604,9),[1]MTR!C:C,0),COLUMN(J604)),TRUE) &amp; "")</f>
        <v>#ERROR!</v>
      </c>
      <c r="AI604" s="157" t="str">
        <f t="shared" si="5"/>
        <v>#ERROR!</v>
      </c>
    </row>
    <row r="605" ht="12.75" customHeight="1">
      <c r="A605" s="244" t="s">
        <v>5158</v>
      </c>
      <c r="B605" s="244" t="s">
        <v>231</v>
      </c>
      <c r="C605" s="244" t="s">
        <v>8370</v>
      </c>
      <c r="D605" s="154" t="s">
        <v>546</v>
      </c>
      <c r="E605" s="154"/>
      <c r="F605" s="154" t="str">
        <f t="array" ref="F605">XLOOKUP(Cover!$D$12,$R$1:$Z$1,$R605:$Z605)</f>
        <v>Information</v>
      </c>
      <c r="G605" s="154" t="s">
        <v>8371</v>
      </c>
      <c r="H605" s="154" t="s">
        <v>8305</v>
      </c>
      <c r="I605" s="154" t="s">
        <v>8367</v>
      </c>
      <c r="J605" s="154" t="s">
        <v>6919</v>
      </c>
      <c r="K605" s="154" t="s">
        <v>8296</v>
      </c>
      <c r="L605" s="154" t="s">
        <v>6529</v>
      </c>
      <c r="M605" s="154"/>
      <c r="N605" s="154" t="s">
        <v>759</v>
      </c>
      <c r="O605" s="247" t="s">
        <v>516</v>
      </c>
      <c r="P605" s="247" t="s">
        <v>6776</v>
      </c>
      <c r="Q605" s="154" t="str">
        <f t="shared" si="1"/>
        <v>#ERROR!</v>
      </c>
      <c r="R605" s="154" t="s">
        <v>66</v>
      </c>
      <c r="S605" s="154" t="s">
        <v>66</v>
      </c>
      <c r="T605" s="154" t="s">
        <v>66</v>
      </c>
      <c r="U605" s="154" t="s">
        <v>66</v>
      </c>
      <c r="V605" s="154" t="s">
        <v>66</v>
      </c>
      <c r="W605" s="154" t="s">
        <v>66</v>
      </c>
      <c r="X605" s="154" t="s">
        <v>66</v>
      </c>
      <c r="Y605" s="154" t="s">
        <v>66</v>
      </c>
      <c r="Z605" s="154" t="s">
        <v>66</v>
      </c>
      <c r="AA605" s="154"/>
      <c r="AB605" s="242" t="str">
        <f t="shared" si="2"/>
        <v>#ERROR!</v>
      </c>
      <c r="AC605" s="154" t="s">
        <v>391</v>
      </c>
      <c r="AD605" s="242" t="b">
        <f t="shared" si="3"/>
        <v>0</v>
      </c>
      <c r="AE605" s="154"/>
      <c r="AF605" s="242" t="str">
        <f t="shared" si="4"/>
        <v>#ERROR!</v>
      </c>
      <c r="AG605" s="154" t="s">
        <v>652</v>
      </c>
      <c r="AH605" s="242" t="str">
        <f>IF(AG605="","N/A",INDIRECT("MTR!"&amp;ADDRESS(MATCH(LEFT(AG605,9),[1]MTR!C:C,0),COLUMN(J605)),TRUE) &amp; "")</f>
        <v>#ERROR!</v>
      </c>
      <c r="AI605" s="157" t="str">
        <f t="shared" si="5"/>
        <v>#ERROR!</v>
      </c>
    </row>
    <row r="606" ht="12.75" customHeight="1">
      <c r="A606" s="244" t="s">
        <v>5158</v>
      </c>
      <c r="B606" s="244" t="s">
        <v>231</v>
      </c>
      <c r="C606" s="244" t="s">
        <v>8372</v>
      </c>
      <c r="D606" s="154" t="s">
        <v>546</v>
      </c>
      <c r="E606" s="154"/>
      <c r="F606" s="154" t="str">
        <f t="array" ref="F606">XLOOKUP(Cover!$D$12,$R$1:$Z$1,$R606:$Z606)</f>
        <v>Information</v>
      </c>
      <c r="G606" s="154" t="s">
        <v>8373</v>
      </c>
      <c r="H606" s="154" t="s">
        <v>8295</v>
      </c>
      <c r="I606" s="154" t="s">
        <v>8374</v>
      </c>
      <c r="J606" s="154" t="s">
        <v>7502</v>
      </c>
      <c r="K606" s="154" t="s">
        <v>8296</v>
      </c>
      <c r="L606" s="154" t="s">
        <v>6529</v>
      </c>
      <c r="M606" s="154"/>
      <c r="N606" s="154" t="s">
        <v>759</v>
      </c>
      <c r="O606" s="247" t="s">
        <v>516</v>
      </c>
      <c r="P606" s="247" t="s">
        <v>6776</v>
      </c>
      <c r="Q606" s="154" t="str">
        <f t="shared" si="1"/>
        <v>#ERROR!</v>
      </c>
      <c r="R606" s="154" t="s">
        <v>66</v>
      </c>
      <c r="S606" s="154" t="s">
        <v>66</v>
      </c>
      <c r="T606" s="154" t="s">
        <v>66</v>
      </c>
      <c r="U606" s="154" t="s">
        <v>66</v>
      </c>
      <c r="V606" s="154" t="s">
        <v>66</v>
      </c>
      <c r="W606" s="154" t="s">
        <v>66</v>
      </c>
      <c r="X606" s="154" t="s">
        <v>66</v>
      </c>
      <c r="Y606" s="154" t="s">
        <v>66</v>
      </c>
      <c r="Z606" s="154" t="s">
        <v>66</v>
      </c>
      <c r="AA606" s="154"/>
      <c r="AB606" s="242" t="str">
        <f t="shared" si="2"/>
        <v>#ERROR!</v>
      </c>
      <c r="AC606" s="154" t="s">
        <v>391</v>
      </c>
      <c r="AD606" s="242" t="b">
        <f t="shared" si="3"/>
        <v>0</v>
      </c>
      <c r="AE606" s="154"/>
      <c r="AF606" s="242" t="str">
        <f t="shared" si="4"/>
        <v>#ERROR!</v>
      </c>
      <c r="AG606" s="154" t="s">
        <v>652</v>
      </c>
      <c r="AH606" s="242" t="str">
        <f>IF(AG606="","N/A",INDIRECT("MTR!"&amp;ADDRESS(MATCH(LEFT(AG606,9),[1]MTR!C:C,0),COLUMN(J606)),TRUE) &amp; "")</f>
        <v>#ERROR!</v>
      </c>
      <c r="AI606" s="157" t="str">
        <f t="shared" si="5"/>
        <v>#ERROR!</v>
      </c>
    </row>
    <row r="607" ht="12.75" customHeight="1">
      <c r="A607" s="244" t="s">
        <v>5158</v>
      </c>
      <c r="B607" s="244" t="s">
        <v>231</v>
      </c>
      <c r="C607" s="244" t="s">
        <v>8375</v>
      </c>
      <c r="D607" s="154" t="s">
        <v>546</v>
      </c>
      <c r="E607" s="154"/>
      <c r="F607" s="154" t="str">
        <f t="array" ref="F607">XLOOKUP(Cover!$D$12,$R$1:$Z$1,$R607:$Z607)</f>
        <v>Information</v>
      </c>
      <c r="G607" s="154" t="s">
        <v>8376</v>
      </c>
      <c r="H607" s="154" t="s">
        <v>8302</v>
      </c>
      <c r="I607" s="154" t="s">
        <v>8374</v>
      </c>
      <c r="J607" s="154" t="s">
        <v>7502</v>
      </c>
      <c r="K607" s="154" t="s">
        <v>8296</v>
      </c>
      <c r="L607" s="154" t="s">
        <v>6529</v>
      </c>
      <c r="M607" s="154"/>
      <c r="N607" s="154" t="s">
        <v>759</v>
      </c>
      <c r="O607" s="247" t="s">
        <v>516</v>
      </c>
      <c r="P607" s="247" t="s">
        <v>6776</v>
      </c>
      <c r="Q607" s="154" t="str">
        <f t="shared" si="1"/>
        <v>#ERROR!</v>
      </c>
      <c r="R607" s="154" t="s">
        <v>66</v>
      </c>
      <c r="S607" s="154" t="s">
        <v>66</v>
      </c>
      <c r="T607" s="154" t="s">
        <v>66</v>
      </c>
      <c r="U607" s="154" t="s">
        <v>66</v>
      </c>
      <c r="V607" s="154" t="s">
        <v>66</v>
      </c>
      <c r="W607" s="154" t="s">
        <v>66</v>
      </c>
      <c r="X607" s="154" t="s">
        <v>66</v>
      </c>
      <c r="Y607" s="154" t="s">
        <v>66</v>
      </c>
      <c r="Z607" s="154" t="s">
        <v>66</v>
      </c>
      <c r="AA607" s="154"/>
      <c r="AB607" s="242" t="str">
        <f t="shared" si="2"/>
        <v>#ERROR!</v>
      </c>
      <c r="AC607" s="154" t="s">
        <v>391</v>
      </c>
      <c r="AD607" s="242" t="b">
        <f t="shared" si="3"/>
        <v>0</v>
      </c>
      <c r="AE607" s="154"/>
      <c r="AF607" s="242" t="str">
        <f t="shared" si="4"/>
        <v>#ERROR!</v>
      </c>
      <c r="AG607" s="154" t="s">
        <v>652</v>
      </c>
      <c r="AH607" s="242" t="str">
        <f>IF(AG607="","N/A",INDIRECT("MTR!"&amp;ADDRESS(MATCH(LEFT(AG607,9),[1]MTR!C:C,0),COLUMN(J607)),TRUE) &amp; "")</f>
        <v>#ERROR!</v>
      </c>
      <c r="AI607" s="157" t="str">
        <f t="shared" si="5"/>
        <v>#ERROR!</v>
      </c>
    </row>
    <row r="608" ht="12.75" customHeight="1">
      <c r="A608" s="244" t="s">
        <v>5158</v>
      </c>
      <c r="B608" s="244" t="s">
        <v>231</v>
      </c>
      <c r="C608" s="244" t="s">
        <v>8377</v>
      </c>
      <c r="D608" s="154" t="s">
        <v>546</v>
      </c>
      <c r="E608" s="154"/>
      <c r="F608" s="154" t="str">
        <f t="array" ref="F608">XLOOKUP(Cover!$D$12,$R$1:$Z$1,$R608:$Z608)</f>
        <v>Information</v>
      </c>
      <c r="G608" s="154" t="s">
        <v>8378</v>
      </c>
      <c r="H608" s="154" t="s">
        <v>8305</v>
      </c>
      <c r="I608" s="154" t="s">
        <v>8374</v>
      </c>
      <c r="J608" s="154" t="s">
        <v>7502</v>
      </c>
      <c r="K608" s="154" t="s">
        <v>8296</v>
      </c>
      <c r="L608" s="154" t="s">
        <v>6529</v>
      </c>
      <c r="M608" s="154"/>
      <c r="N608" s="154" t="s">
        <v>759</v>
      </c>
      <c r="O608" s="247" t="s">
        <v>516</v>
      </c>
      <c r="P608" s="247" t="s">
        <v>6776</v>
      </c>
      <c r="Q608" s="154" t="str">
        <f t="shared" si="1"/>
        <v>#ERROR!</v>
      </c>
      <c r="R608" s="154" t="s">
        <v>66</v>
      </c>
      <c r="S608" s="154" t="s">
        <v>66</v>
      </c>
      <c r="T608" s="154" t="s">
        <v>66</v>
      </c>
      <c r="U608" s="154" t="s">
        <v>66</v>
      </c>
      <c r="V608" s="154" t="s">
        <v>66</v>
      </c>
      <c r="W608" s="154" t="s">
        <v>66</v>
      </c>
      <c r="X608" s="154" t="s">
        <v>66</v>
      </c>
      <c r="Y608" s="154" t="s">
        <v>66</v>
      </c>
      <c r="Z608" s="154" t="s">
        <v>66</v>
      </c>
      <c r="AA608" s="154"/>
      <c r="AB608" s="242" t="str">
        <f t="shared" si="2"/>
        <v>#ERROR!</v>
      </c>
      <c r="AC608" s="154" t="s">
        <v>391</v>
      </c>
      <c r="AD608" s="242" t="b">
        <f t="shared" si="3"/>
        <v>0</v>
      </c>
      <c r="AE608" s="154"/>
      <c r="AF608" s="242" t="str">
        <f t="shared" si="4"/>
        <v>#ERROR!</v>
      </c>
      <c r="AG608" s="154" t="s">
        <v>652</v>
      </c>
      <c r="AH608" s="242" t="str">
        <f>IF(AG608="","N/A",INDIRECT("MTR!"&amp;ADDRESS(MATCH(LEFT(AG608,9),[1]MTR!C:C,0),COLUMN(J608)),TRUE) &amp; "")</f>
        <v>#ERROR!</v>
      </c>
      <c r="AI608" s="157" t="str">
        <f t="shared" si="5"/>
        <v>#ERROR!</v>
      </c>
    </row>
    <row r="609" ht="12.75" customHeight="1">
      <c r="A609" s="244" t="s">
        <v>5158</v>
      </c>
      <c r="B609" s="244" t="s">
        <v>231</v>
      </c>
      <c r="C609" s="244" t="s">
        <v>8379</v>
      </c>
      <c r="D609" s="154" t="s">
        <v>1315</v>
      </c>
      <c r="E609" s="154"/>
      <c r="F609" s="154" t="str">
        <f t="array" ref="F609">XLOOKUP(Cover!$D$12,$R$1:$Z$1,$R609:$Z609)</f>
        <v>Recommended</v>
      </c>
      <c r="G609" s="154" t="s">
        <v>8380</v>
      </c>
      <c r="H609" s="154" t="s">
        <v>8295</v>
      </c>
      <c r="I609" s="154" t="s">
        <v>8381</v>
      </c>
      <c r="J609" s="154" t="s">
        <v>7518</v>
      </c>
      <c r="K609" s="154" t="s">
        <v>8296</v>
      </c>
      <c r="L609" s="154" t="s">
        <v>6905</v>
      </c>
      <c r="M609" s="154"/>
      <c r="N609" s="154" t="s">
        <v>759</v>
      </c>
      <c r="O609" s="247" t="s">
        <v>516</v>
      </c>
      <c r="P609" s="247" t="s">
        <v>6776</v>
      </c>
      <c r="Q609" s="154" t="str">
        <f t="shared" si="1"/>
        <v>#ERROR!</v>
      </c>
      <c r="R609" s="154" t="s">
        <v>66</v>
      </c>
      <c r="S609" s="154" t="s">
        <v>66</v>
      </c>
      <c r="T609" s="154" t="s">
        <v>66</v>
      </c>
      <c r="U609" s="154" t="s">
        <v>66</v>
      </c>
      <c r="V609" s="154" t="s">
        <v>66</v>
      </c>
      <c r="W609" s="154" t="s">
        <v>64</v>
      </c>
      <c r="X609" s="154" t="s">
        <v>66</v>
      </c>
      <c r="Y609" s="154" t="s">
        <v>66</v>
      </c>
      <c r="Z609" s="154" t="s">
        <v>64</v>
      </c>
      <c r="AA609" s="154"/>
      <c r="AB609" s="242" t="str">
        <f t="shared" si="2"/>
        <v>#ERROR!</v>
      </c>
      <c r="AC609" s="154" t="s">
        <v>391</v>
      </c>
      <c r="AD609" s="242" t="b">
        <f t="shared" si="3"/>
        <v>0</v>
      </c>
      <c r="AE609" s="154"/>
      <c r="AF609" s="242" t="str">
        <f t="shared" si="4"/>
        <v>#ERROR!</v>
      </c>
      <c r="AG609" s="154" t="s">
        <v>652</v>
      </c>
      <c r="AH609" s="242" t="str">
        <f>IF(AG609="","N/A",INDIRECT("MTR!"&amp;ADDRESS(MATCH(LEFT(AG609,9),[1]MTR!C:C,0),COLUMN(J609)),TRUE) &amp; "")</f>
        <v>#ERROR!</v>
      </c>
      <c r="AI609" s="157" t="str">
        <f t="shared" si="5"/>
        <v>#ERROR!</v>
      </c>
    </row>
    <row r="610" ht="12.75" customHeight="1">
      <c r="A610" s="244" t="s">
        <v>5158</v>
      </c>
      <c r="B610" s="244" t="s">
        <v>231</v>
      </c>
      <c r="C610" s="244" t="s">
        <v>8382</v>
      </c>
      <c r="D610" s="154" t="s">
        <v>1315</v>
      </c>
      <c r="E610" s="154"/>
      <c r="F610" s="154" t="str">
        <f t="array" ref="F610">XLOOKUP(Cover!$D$12,$R$1:$Z$1,$R610:$Z610)</f>
        <v>Information</v>
      </c>
      <c r="G610" s="154" t="s">
        <v>8383</v>
      </c>
      <c r="H610" s="154" t="s">
        <v>8302</v>
      </c>
      <c r="I610" s="154" t="s">
        <v>8381</v>
      </c>
      <c r="J610" s="154" t="s">
        <v>7518</v>
      </c>
      <c r="K610" s="154" t="s">
        <v>8296</v>
      </c>
      <c r="L610" s="154" t="s">
        <v>6905</v>
      </c>
      <c r="M610" s="154"/>
      <c r="N610" s="154" t="s">
        <v>759</v>
      </c>
      <c r="O610" s="247" t="s">
        <v>516</v>
      </c>
      <c r="P610" s="247" t="s">
        <v>6776</v>
      </c>
      <c r="Q610" s="154" t="str">
        <f t="shared" si="1"/>
        <v>#ERROR!</v>
      </c>
      <c r="R610" s="154" t="s">
        <v>66</v>
      </c>
      <c r="S610" s="154" t="s">
        <v>66</v>
      </c>
      <c r="T610" s="154" t="s">
        <v>66</v>
      </c>
      <c r="U610" s="154" t="s">
        <v>66</v>
      </c>
      <c r="V610" s="154" t="s">
        <v>66</v>
      </c>
      <c r="W610" s="154" t="s">
        <v>66</v>
      </c>
      <c r="X610" s="154" t="s">
        <v>66</v>
      </c>
      <c r="Y610" s="154" t="s">
        <v>66</v>
      </c>
      <c r="Z610" s="154" t="s">
        <v>66</v>
      </c>
      <c r="AA610" s="154"/>
      <c r="AB610" s="242" t="str">
        <f t="shared" si="2"/>
        <v>#ERROR!</v>
      </c>
      <c r="AC610" s="154" t="s">
        <v>391</v>
      </c>
      <c r="AD610" s="242" t="b">
        <f t="shared" si="3"/>
        <v>0</v>
      </c>
      <c r="AE610" s="154"/>
      <c r="AF610" s="242" t="str">
        <f t="shared" si="4"/>
        <v>#ERROR!</v>
      </c>
      <c r="AG610" s="154" t="s">
        <v>652</v>
      </c>
      <c r="AH610" s="242" t="str">
        <f>IF(AG610="","N/A",INDIRECT("MTR!"&amp;ADDRESS(MATCH(LEFT(AG610,9),[1]MTR!C:C,0),COLUMN(J610)),TRUE) &amp; "")</f>
        <v>#ERROR!</v>
      </c>
      <c r="AI610" s="157" t="str">
        <f t="shared" si="5"/>
        <v>#ERROR!</v>
      </c>
    </row>
    <row r="611" ht="12.75" customHeight="1">
      <c r="A611" s="244" t="s">
        <v>5158</v>
      </c>
      <c r="B611" s="244" t="s">
        <v>231</v>
      </c>
      <c r="C611" s="244" t="s">
        <v>8384</v>
      </c>
      <c r="D611" s="154" t="s">
        <v>1315</v>
      </c>
      <c r="E611" s="154"/>
      <c r="F611" s="154" t="str">
        <f t="array" ref="F611">XLOOKUP(Cover!$D$12,$R$1:$Z$1,$R611:$Z611)</f>
        <v>Information</v>
      </c>
      <c r="G611" s="154" t="s">
        <v>8385</v>
      </c>
      <c r="H611" s="154" t="s">
        <v>8295</v>
      </c>
      <c r="I611" s="154" t="s">
        <v>8386</v>
      </c>
      <c r="J611" s="154" t="s">
        <v>7554</v>
      </c>
      <c r="K611" s="154" t="s">
        <v>8296</v>
      </c>
      <c r="L611" s="154" t="s">
        <v>6905</v>
      </c>
      <c r="M611" s="154"/>
      <c r="N611" s="154" t="s">
        <v>759</v>
      </c>
      <c r="O611" s="247" t="s">
        <v>516</v>
      </c>
      <c r="P611" s="247" t="s">
        <v>6776</v>
      </c>
      <c r="Q611" s="154" t="str">
        <f t="shared" si="1"/>
        <v>#ERROR!</v>
      </c>
      <c r="R611" s="154" t="s">
        <v>66</v>
      </c>
      <c r="S611" s="154" t="s">
        <v>66</v>
      </c>
      <c r="T611" s="154" t="s">
        <v>66</v>
      </c>
      <c r="U611" s="154" t="s">
        <v>66</v>
      </c>
      <c r="V611" s="154" t="s">
        <v>66</v>
      </c>
      <c r="W611" s="154" t="s">
        <v>66</v>
      </c>
      <c r="X611" s="154" t="s">
        <v>66</v>
      </c>
      <c r="Y611" s="154" t="s">
        <v>66</v>
      </c>
      <c r="Z611" s="154" t="s">
        <v>66</v>
      </c>
      <c r="AA611" s="154"/>
      <c r="AB611" s="242" t="str">
        <f t="shared" si="2"/>
        <v>#ERROR!</v>
      </c>
      <c r="AC611" s="154" t="s">
        <v>391</v>
      </c>
      <c r="AD611" s="242" t="b">
        <f t="shared" si="3"/>
        <v>0</v>
      </c>
      <c r="AE611" s="154"/>
      <c r="AF611" s="242" t="str">
        <f t="shared" si="4"/>
        <v>#ERROR!</v>
      </c>
      <c r="AG611" s="154" t="s">
        <v>652</v>
      </c>
      <c r="AH611" s="242" t="str">
        <f>IF(AG611="","N/A",INDIRECT("MTR!"&amp;ADDRESS(MATCH(LEFT(AG611,9),[1]MTR!C:C,0),COLUMN(J611)),TRUE) &amp; "")</f>
        <v>#ERROR!</v>
      </c>
      <c r="AI611" s="157" t="str">
        <f t="shared" si="5"/>
        <v>#ERROR!</v>
      </c>
    </row>
    <row r="612" ht="12.75" customHeight="1">
      <c r="A612" s="244" t="s">
        <v>5158</v>
      </c>
      <c r="B612" s="244" t="s">
        <v>231</v>
      </c>
      <c r="C612" s="244" t="s">
        <v>8387</v>
      </c>
      <c r="D612" s="154" t="s">
        <v>1315</v>
      </c>
      <c r="E612" s="154"/>
      <c r="F612" s="154" t="str">
        <f t="array" ref="F612">XLOOKUP(Cover!$D$12,$R$1:$Z$1,$R612:$Z612)</f>
        <v>Information</v>
      </c>
      <c r="G612" s="154" t="s">
        <v>8388</v>
      </c>
      <c r="H612" s="154" t="s">
        <v>8305</v>
      </c>
      <c r="I612" s="154" t="s">
        <v>8386</v>
      </c>
      <c r="J612" s="154" t="s">
        <v>7554</v>
      </c>
      <c r="K612" s="154" t="s">
        <v>8296</v>
      </c>
      <c r="L612" s="154" t="s">
        <v>6905</v>
      </c>
      <c r="M612" s="154"/>
      <c r="N612" s="154" t="s">
        <v>759</v>
      </c>
      <c r="O612" s="247" t="s">
        <v>516</v>
      </c>
      <c r="P612" s="247" t="s">
        <v>6776</v>
      </c>
      <c r="Q612" s="154" t="str">
        <f t="shared" si="1"/>
        <v>#ERROR!</v>
      </c>
      <c r="R612" s="154" t="s">
        <v>66</v>
      </c>
      <c r="S612" s="154" t="s">
        <v>66</v>
      </c>
      <c r="T612" s="154" t="s">
        <v>66</v>
      </c>
      <c r="U612" s="154" t="s">
        <v>66</v>
      </c>
      <c r="V612" s="154" t="s">
        <v>66</v>
      </c>
      <c r="W612" s="154" t="s">
        <v>66</v>
      </c>
      <c r="X612" s="154" t="s">
        <v>66</v>
      </c>
      <c r="Y612" s="154" t="s">
        <v>66</v>
      </c>
      <c r="Z612" s="154" t="s">
        <v>66</v>
      </c>
      <c r="AA612" s="154"/>
      <c r="AB612" s="242" t="str">
        <f t="shared" si="2"/>
        <v>#ERROR!</v>
      </c>
      <c r="AC612" s="154" t="s">
        <v>391</v>
      </c>
      <c r="AD612" s="242" t="b">
        <f t="shared" si="3"/>
        <v>0</v>
      </c>
      <c r="AE612" s="154"/>
      <c r="AF612" s="242" t="str">
        <f t="shared" si="4"/>
        <v>#ERROR!</v>
      </c>
      <c r="AG612" s="154" t="s">
        <v>652</v>
      </c>
      <c r="AH612" s="242" t="str">
        <f>IF(AG612="","N/A",INDIRECT("MTR!"&amp;ADDRESS(MATCH(LEFT(AG612,9),[1]MTR!C:C,0),COLUMN(J612)),TRUE) &amp; "")</f>
        <v>#ERROR!</v>
      </c>
      <c r="AI612" s="157" t="str">
        <f t="shared" si="5"/>
        <v>#ERROR!</v>
      </c>
    </row>
    <row r="613" ht="12.75" customHeight="1">
      <c r="A613" s="244" t="s">
        <v>5158</v>
      </c>
      <c r="B613" s="244" t="s">
        <v>231</v>
      </c>
      <c r="C613" s="244" t="s">
        <v>8389</v>
      </c>
      <c r="D613" s="154" t="s">
        <v>1315</v>
      </c>
      <c r="E613" s="154"/>
      <c r="F613" s="154" t="str">
        <f t="array" ref="F613">XLOOKUP(Cover!$D$12,$R$1:$Z$1,$R613:$Z613)</f>
        <v>Information</v>
      </c>
      <c r="G613" s="154" t="s">
        <v>8390</v>
      </c>
      <c r="H613" s="154" t="s">
        <v>8299</v>
      </c>
      <c r="I613" s="154" t="s">
        <v>8391</v>
      </c>
      <c r="J613" s="154" t="s">
        <v>6935</v>
      </c>
      <c r="K613" s="154" t="s">
        <v>8296</v>
      </c>
      <c r="L613" s="154" t="s">
        <v>6884</v>
      </c>
      <c r="M613" s="154"/>
      <c r="N613" s="154" t="s">
        <v>759</v>
      </c>
      <c r="O613" s="247" t="s">
        <v>516</v>
      </c>
      <c r="P613" s="247" t="s">
        <v>5876</v>
      </c>
      <c r="Q613" s="154" t="str">
        <f t="shared" si="1"/>
        <v>#ERROR!</v>
      </c>
      <c r="R613" s="154" t="s">
        <v>66</v>
      </c>
      <c r="S613" s="154" t="s">
        <v>66</v>
      </c>
      <c r="T613" s="154" t="s">
        <v>66</v>
      </c>
      <c r="U613" s="154" t="s">
        <v>66</v>
      </c>
      <c r="V613" s="154" t="s">
        <v>66</v>
      </c>
      <c r="W613" s="154" t="s">
        <v>66</v>
      </c>
      <c r="X613" s="154" t="s">
        <v>66</v>
      </c>
      <c r="Y613" s="154" t="s">
        <v>66</v>
      </c>
      <c r="Z613" s="154" t="s">
        <v>66</v>
      </c>
      <c r="AA613" s="154"/>
      <c r="AB613" s="242" t="str">
        <f t="shared" si="2"/>
        <v>#ERROR!</v>
      </c>
      <c r="AC613" s="154" t="s">
        <v>391</v>
      </c>
      <c r="AD613" s="242" t="b">
        <f t="shared" si="3"/>
        <v>0</v>
      </c>
      <c r="AE613" s="154"/>
      <c r="AF613" s="242" t="str">
        <f t="shared" si="4"/>
        <v>#ERROR!</v>
      </c>
      <c r="AG613" s="154" t="s">
        <v>652</v>
      </c>
      <c r="AH613" s="242" t="str">
        <f>IF(AG613="","N/A",INDIRECT("MTR!"&amp;ADDRESS(MATCH(LEFT(AG613,9),[1]MTR!C:C,0),COLUMN(J613)),TRUE) &amp; "")</f>
        <v>#ERROR!</v>
      </c>
      <c r="AI613" s="157" t="str">
        <f t="shared" si="5"/>
        <v>#ERROR!</v>
      </c>
    </row>
    <row r="614" ht="12.75" customHeight="1">
      <c r="A614" s="244" t="s">
        <v>5158</v>
      </c>
      <c r="B614" s="244" t="s">
        <v>231</v>
      </c>
      <c r="C614" s="244" t="s">
        <v>8392</v>
      </c>
      <c r="D614" s="154" t="s">
        <v>1315</v>
      </c>
      <c r="E614" s="154"/>
      <c r="F614" s="154" t="str">
        <f t="array" ref="F614">XLOOKUP(Cover!$D$12,$R$1:$Z$1,$R614:$Z614)</f>
        <v>Information</v>
      </c>
      <c r="G614" s="154" t="s">
        <v>8393</v>
      </c>
      <c r="H614" s="154" t="s">
        <v>8302</v>
      </c>
      <c r="I614" s="154" t="s">
        <v>8391</v>
      </c>
      <c r="J614" s="154" t="s">
        <v>6935</v>
      </c>
      <c r="K614" s="154" t="s">
        <v>8296</v>
      </c>
      <c r="L614" s="154" t="s">
        <v>6884</v>
      </c>
      <c r="M614" s="154"/>
      <c r="N614" s="154" t="s">
        <v>759</v>
      </c>
      <c r="O614" s="247" t="s">
        <v>516</v>
      </c>
      <c r="P614" s="247" t="s">
        <v>5876</v>
      </c>
      <c r="Q614" s="154" t="str">
        <f t="shared" si="1"/>
        <v>#ERROR!</v>
      </c>
      <c r="R614" s="154" t="s">
        <v>66</v>
      </c>
      <c r="S614" s="154" t="s">
        <v>66</v>
      </c>
      <c r="T614" s="154" t="s">
        <v>66</v>
      </c>
      <c r="U614" s="154" t="s">
        <v>66</v>
      </c>
      <c r="V614" s="154" t="s">
        <v>66</v>
      </c>
      <c r="W614" s="154" t="s">
        <v>66</v>
      </c>
      <c r="X614" s="154" t="s">
        <v>66</v>
      </c>
      <c r="Y614" s="154" t="s">
        <v>66</v>
      </c>
      <c r="Z614" s="154" t="s">
        <v>66</v>
      </c>
      <c r="AA614" s="154"/>
      <c r="AB614" s="242" t="str">
        <f t="shared" si="2"/>
        <v>#ERROR!</v>
      </c>
      <c r="AC614" s="154" t="s">
        <v>391</v>
      </c>
      <c r="AD614" s="242" t="b">
        <f t="shared" si="3"/>
        <v>0</v>
      </c>
      <c r="AE614" s="154"/>
      <c r="AF614" s="242" t="str">
        <f t="shared" si="4"/>
        <v>#ERROR!</v>
      </c>
      <c r="AG614" s="154" t="s">
        <v>652</v>
      </c>
      <c r="AH614" s="242" t="str">
        <f>IF(AG614="","N/A",INDIRECT("MTR!"&amp;ADDRESS(MATCH(LEFT(AG614,9),[1]MTR!C:C,0),COLUMN(J614)),TRUE) &amp; "")</f>
        <v>#ERROR!</v>
      </c>
      <c r="AI614" s="157" t="str">
        <f t="shared" si="5"/>
        <v>#ERROR!</v>
      </c>
    </row>
    <row r="615" ht="12.75" customHeight="1">
      <c r="A615" s="244" t="s">
        <v>5158</v>
      </c>
      <c r="B615" s="244" t="s">
        <v>231</v>
      </c>
      <c r="C615" s="244" t="s">
        <v>8394</v>
      </c>
      <c r="D615" s="154" t="s">
        <v>1315</v>
      </c>
      <c r="E615" s="154"/>
      <c r="F615" s="154" t="str">
        <f t="array" ref="F615">XLOOKUP(Cover!$D$12,$R$1:$Z$1,$R615:$Z615)</f>
        <v>Information</v>
      </c>
      <c r="G615" s="154" t="s">
        <v>8395</v>
      </c>
      <c r="H615" s="154" t="s">
        <v>8299</v>
      </c>
      <c r="I615" s="154" t="s">
        <v>8396</v>
      </c>
      <c r="J615" s="154" t="s">
        <v>6992</v>
      </c>
      <c r="K615" s="154" t="s">
        <v>8296</v>
      </c>
      <c r="L615" s="154" t="s">
        <v>6884</v>
      </c>
      <c r="M615" s="154"/>
      <c r="N615" s="154" t="s">
        <v>759</v>
      </c>
      <c r="O615" s="247" t="s">
        <v>516</v>
      </c>
      <c r="P615" s="247" t="s">
        <v>5876</v>
      </c>
      <c r="Q615" s="154" t="str">
        <f t="shared" si="1"/>
        <v>#ERROR!</v>
      </c>
      <c r="R615" s="154" t="s">
        <v>66</v>
      </c>
      <c r="S615" s="154" t="s">
        <v>66</v>
      </c>
      <c r="T615" s="154" t="s">
        <v>66</v>
      </c>
      <c r="U615" s="154" t="s">
        <v>66</v>
      </c>
      <c r="V615" s="154" t="s">
        <v>66</v>
      </c>
      <c r="W615" s="154" t="s">
        <v>66</v>
      </c>
      <c r="X615" s="154" t="s">
        <v>66</v>
      </c>
      <c r="Y615" s="154" t="s">
        <v>66</v>
      </c>
      <c r="Z615" s="154" t="s">
        <v>66</v>
      </c>
      <c r="AA615" s="154"/>
      <c r="AB615" s="242" t="str">
        <f t="shared" si="2"/>
        <v>#ERROR!</v>
      </c>
      <c r="AC615" s="154" t="s">
        <v>391</v>
      </c>
      <c r="AD615" s="242" t="b">
        <f t="shared" si="3"/>
        <v>0</v>
      </c>
      <c r="AE615" s="154"/>
      <c r="AF615" s="242" t="str">
        <f t="shared" si="4"/>
        <v>#ERROR!</v>
      </c>
      <c r="AG615" s="154" t="s">
        <v>652</v>
      </c>
      <c r="AH615" s="242" t="str">
        <f>IF(AG615="","N/A",INDIRECT("MTR!"&amp;ADDRESS(MATCH(LEFT(AG615,9),[1]MTR!C:C,0),COLUMN(J615)),TRUE) &amp; "")</f>
        <v>#ERROR!</v>
      </c>
      <c r="AI615" s="157" t="str">
        <f t="shared" si="5"/>
        <v>#ERROR!</v>
      </c>
    </row>
    <row r="616" ht="12.75" customHeight="1">
      <c r="A616" s="244" t="s">
        <v>5158</v>
      </c>
      <c r="B616" s="244" t="s">
        <v>231</v>
      </c>
      <c r="C616" s="244" t="s">
        <v>8397</v>
      </c>
      <c r="D616" s="154" t="s">
        <v>1315</v>
      </c>
      <c r="E616" s="154"/>
      <c r="F616" s="154" t="str">
        <f t="array" ref="F616">XLOOKUP(Cover!$D$12,$R$1:$Z$1,$R616:$Z616)</f>
        <v>Information</v>
      </c>
      <c r="G616" s="154" t="s">
        <v>8398</v>
      </c>
      <c r="H616" s="154" t="s">
        <v>8302</v>
      </c>
      <c r="I616" s="154" t="s">
        <v>8396</v>
      </c>
      <c r="J616" s="154" t="s">
        <v>6992</v>
      </c>
      <c r="K616" s="154" t="s">
        <v>8296</v>
      </c>
      <c r="L616" s="154" t="s">
        <v>6884</v>
      </c>
      <c r="M616" s="154"/>
      <c r="N616" s="154" t="s">
        <v>759</v>
      </c>
      <c r="O616" s="247" t="s">
        <v>516</v>
      </c>
      <c r="P616" s="247" t="s">
        <v>5876</v>
      </c>
      <c r="Q616" s="154" t="str">
        <f t="shared" si="1"/>
        <v>#ERROR!</v>
      </c>
      <c r="R616" s="154" t="s">
        <v>66</v>
      </c>
      <c r="S616" s="154" t="s">
        <v>66</v>
      </c>
      <c r="T616" s="154" t="s">
        <v>66</v>
      </c>
      <c r="U616" s="154" t="s">
        <v>66</v>
      </c>
      <c r="V616" s="154" t="s">
        <v>66</v>
      </c>
      <c r="W616" s="154" t="s">
        <v>66</v>
      </c>
      <c r="X616" s="154" t="s">
        <v>66</v>
      </c>
      <c r="Y616" s="154" t="s">
        <v>66</v>
      </c>
      <c r="Z616" s="154" t="s">
        <v>66</v>
      </c>
      <c r="AA616" s="154"/>
      <c r="AB616" s="242" t="str">
        <f t="shared" si="2"/>
        <v>#ERROR!</v>
      </c>
      <c r="AC616" s="154" t="s">
        <v>391</v>
      </c>
      <c r="AD616" s="242" t="b">
        <f t="shared" si="3"/>
        <v>0</v>
      </c>
      <c r="AE616" s="154"/>
      <c r="AF616" s="242" t="str">
        <f t="shared" si="4"/>
        <v>#ERROR!</v>
      </c>
      <c r="AG616" s="154" t="s">
        <v>652</v>
      </c>
      <c r="AH616" s="242" t="str">
        <f>IF(AG616="","N/A",INDIRECT("MTR!"&amp;ADDRESS(MATCH(LEFT(AG616,9),[1]MTR!C:C,0),COLUMN(J616)),TRUE) &amp; "")</f>
        <v>#ERROR!</v>
      </c>
      <c r="AI616" s="157" t="str">
        <f t="shared" si="5"/>
        <v>#ERROR!</v>
      </c>
    </row>
    <row r="617" ht="12.75" customHeight="1">
      <c r="A617" s="244" t="s">
        <v>5158</v>
      </c>
      <c r="B617" s="244" t="s">
        <v>231</v>
      </c>
      <c r="C617" s="244" t="s">
        <v>8399</v>
      </c>
      <c r="D617" s="154" t="s">
        <v>546</v>
      </c>
      <c r="E617" s="154"/>
      <c r="F617" s="154" t="str">
        <f t="array" ref="F617">XLOOKUP(Cover!$D$12,$R$1:$Z$1,$R617:$Z617)</f>
        <v>Information</v>
      </c>
      <c r="G617" s="154" t="s">
        <v>8400</v>
      </c>
      <c r="H617" s="154" t="s">
        <v>8299</v>
      </c>
      <c r="I617" s="154" t="s">
        <v>8401</v>
      </c>
      <c r="J617" s="154" t="s">
        <v>7006</v>
      </c>
      <c r="K617" s="154" t="s">
        <v>8296</v>
      </c>
      <c r="L617" s="154" t="s">
        <v>6529</v>
      </c>
      <c r="M617" s="154"/>
      <c r="N617" s="154" t="s">
        <v>759</v>
      </c>
      <c r="O617" s="247" t="s">
        <v>516</v>
      </c>
      <c r="P617" s="247" t="s">
        <v>6776</v>
      </c>
      <c r="Q617" s="154" t="str">
        <f t="shared" si="1"/>
        <v>#ERROR!</v>
      </c>
      <c r="R617" s="154" t="s">
        <v>66</v>
      </c>
      <c r="S617" s="154" t="s">
        <v>66</v>
      </c>
      <c r="T617" s="154" t="s">
        <v>66</v>
      </c>
      <c r="U617" s="154" t="s">
        <v>66</v>
      </c>
      <c r="V617" s="154" t="s">
        <v>66</v>
      </c>
      <c r="W617" s="154" t="s">
        <v>66</v>
      </c>
      <c r="X617" s="154" t="s">
        <v>66</v>
      </c>
      <c r="Y617" s="154" t="s">
        <v>66</v>
      </c>
      <c r="Z617" s="154" t="s">
        <v>66</v>
      </c>
      <c r="AA617" s="154"/>
      <c r="AB617" s="242" t="str">
        <f t="shared" si="2"/>
        <v>#ERROR!</v>
      </c>
      <c r="AC617" s="154" t="s">
        <v>391</v>
      </c>
      <c r="AD617" s="242" t="b">
        <f t="shared" si="3"/>
        <v>0</v>
      </c>
      <c r="AE617" s="154"/>
      <c r="AF617" s="242" t="str">
        <f t="shared" si="4"/>
        <v>#ERROR!</v>
      </c>
      <c r="AG617" s="154" t="s">
        <v>652</v>
      </c>
      <c r="AH617" s="242" t="str">
        <f>IF(AG617="","N/A",INDIRECT("MTR!"&amp;ADDRESS(MATCH(LEFT(AG617,9),[1]MTR!C:C,0),COLUMN(J617)),TRUE) &amp; "")</f>
        <v>#ERROR!</v>
      </c>
      <c r="AI617" s="157" t="str">
        <f t="shared" si="5"/>
        <v>#ERROR!</v>
      </c>
    </row>
    <row r="618" ht="12.75" customHeight="1">
      <c r="A618" s="244" t="s">
        <v>5158</v>
      </c>
      <c r="B618" s="244" t="s">
        <v>231</v>
      </c>
      <c r="C618" s="244" t="s">
        <v>8402</v>
      </c>
      <c r="D618" s="154" t="s">
        <v>546</v>
      </c>
      <c r="E618" s="154"/>
      <c r="F618" s="154" t="str">
        <f t="array" ref="F618">XLOOKUP(Cover!$D$12,$R$1:$Z$1,$R618:$Z618)</f>
        <v>Information</v>
      </c>
      <c r="G618" s="154" t="s">
        <v>8403</v>
      </c>
      <c r="H618" s="154" t="s">
        <v>8302</v>
      </c>
      <c r="I618" s="154" t="s">
        <v>8401</v>
      </c>
      <c r="J618" s="154" t="s">
        <v>7006</v>
      </c>
      <c r="K618" s="154" t="s">
        <v>8296</v>
      </c>
      <c r="L618" s="154" t="s">
        <v>6529</v>
      </c>
      <c r="M618" s="154"/>
      <c r="N618" s="154" t="s">
        <v>759</v>
      </c>
      <c r="O618" s="247" t="s">
        <v>516</v>
      </c>
      <c r="P618" s="247" t="s">
        <v>6776</v>
      </c>
      <c r="Q618" s="154" t="str">
        <f t="shared" si="1"/>
        <v>#ERROR!</v>
      </c>
      <c r="R618" s="154" t="s">
        <v>66</v>
      </c>
      <c r="S618" s="154" t="s">
        <v>66</v>
      </c>
      <c r="T618" s="154" t="s">
        <v>66</v>
      </c>
      <c r="U618" s="154" t="s">
        <v>66</v>
      </c>
      <c r="V618" s="154" t="s">
        <v>66</v>
      </c>
      <c r="W618" s="154" t="s">
        <v>66</v>
      </c>
      <c r="X618" s="154" t="s">
        <v>66</v>
      </c>
      <c r="Y618" s="154" t="s">
        <v>66</v>
      </c>
      <c r="Z618" s="154" t="s">
        <v>66</v>
      </c>
      <c r="AA618" s="154"/>
      <c r="AB618" s="242" t="str">
        <f t="shared" si="2"/>
        <v>#ERROR!</v>
      </c>
      <c r="AC618" s="154" t="s">
        <v>391</v>
      </c>
      <c r="AD618" s="242" t="b">
        <f t="shared" si="3"/>
        <v>0</v>
      </c>
      <c r="AE618" s="154"/>
      <c r="AF618" s="242" t="str">
        <f t="shared" si="4"/>
        <v>#ERROR!</v>
      </c>
      <c r="AG618" s="154" t="s">
        <v>652</v>
      </c>
      <c r="AH618" s="242" t="str">
        <f>IF(AG618="","N/A",INDIRECT("MTR!"&amp;ADDRESS(MATCH(LEFT(AG618,9),[1]MTR!C:C,0),COLUMN(J618)),TRUE) &amp; "")</f>
        <v>#ERROR!</v>
      </c>
      <c r="AI618" s="157" t="str">
        <f t="shared" si="5"/>
        <v>#ERROR!</v>
      </c>
    </row>
    <row r="619" ht="12.75" customHeight="1">
      <c r="A619" s="244" t="s">
        <v>5158</v>
      </c>
      <c r="B619" s="244" t="s">
        <v>231</v>
      </c>
      <c r="C619" s="244" t="s">
        <v>8404</v>
      </c>
      <c r="D619" s="154" t="s">
        <v>546</v>
      </c>
      <c r="E619" s="154"/>
      <c r="F619" s="154" t="str">
        <f t="array" ref="F619">XLOOKUP(Cover!$D$12,$R$1:$Z$1,$R619:$Z619)</f>
        <v>Information</v>
      </c>
      <c r="G619" s="154" t="s">
        <v>8405</v>
      </c>
      <c r="H619" s="154" t="s">
        <v>8305</v>
      </c>
      <c r="I619" s="154" t="s">
        <v>8401</v>
      </c>
      <c r="J619" s="154" t="s">
        <v>7006</v>
      </c>
      <c r="K619" s="154" t="s">
        <v>8296</v>
      </c>
      <c r="L619" s="154" t="s">
        <v>6529</v>
      </c>
      <c r="M619" s="154"/>
      <c r="N619" s="154" t="s">
        <v>759</v>
      </c>
      <c r="O619" s="247" t="s">
        <v>516</v>
      </c>
      <c r="P619" s="247" t="s">
        <v>6776</v>
      </c>
      <c r="Q619" s="154" t="str">
        <f t="shared" si="1"/>
        <v>#ERROR!</v>
      </c>
      <c r="R619" s="154" t="s">
        <v>66</v>
      </c>
      <c r="S619" s="154" t="s">
        <v>66</v>
      </c>
      <c r="T619" s="154" t="s">
        <v>66</v>
      </c>
      <c r="U619" s="154" t="s">
        <v>66</v>
      </c>
      <c r="V619" s="154" t="s">
        <v>66</v>
      </c>
      <c r="W619" s="154" t="s">
        <v>66</v>
      </c>
      <c r="X619" s="154" t="s">
        <v>66</v>
      </c>
      <c r="Y619" s="154" t="s">
        <v>66</v>
      </c>
      <c r="Z619" s="154" t="s">
        <v>66</v>
      </c>
      <c r="AA619" s="154"/>
      <c r="AB619" s="242" t="str">
        <f t="shared" si="2"/>
        <v>#ERROR!</v>
      </c>
      <c r="AC619" s="154" t="s">
        <v>391</v>
      </c>
      <c r="AD619" s="242" t="b">
        <f t="shared" si="3"/>
        <v>0</v>
      </c>
      <c r="AE619" s="154"/>
      <c r="AF619" s="242" t="str">
        <f t="shared" si="4"/>
        <v>#ERROR!</v>
      </c>
      <c r="AG619" s="154" t="s">
        <v>652</v>
      </c>
      <c r="AH619" s="242" t="str">
        <f>IF(AG619="","N/A",INDIRECT("MTR!"&amp;ADDRESS(MATCH(LEFT(AG619,9),[1]MTR!C:C,0),COLUMN(J619)),TRUE) &amp; "")</f>
        <v>#ERROR!</v>
      </c>
      <c r="AI619" s="157" t="str">
        <f t="shared" si="5"/>
        <v>#ERROR!</v>
      </c>
    </row>
    <row r="620" ht="12.75" customHeight="1">
      <c r="A620" s="244" t="s">
        <v>5158</v>
      </c>
      <c r="B620" s="244" t="s">
        <v>231</v>
      </c>
      <c r="C620" s="244" t="s">
        <v>8406</v>
      </c>
      <c r="D620" s="154" t="s">
        <v>1315</v>
      </c>
      <c r="E620" s="154"/>
      <c r="F620" s="154" t="str">
        <f t="array" ref="F620">XLOOKUP(Cover!$D$12,$R$1:$Z$1,$R620:$Z620)</f>
        <v>Information</v>
      </c>
      <c r="G620" s="154" t="s">
        <v>8407</v>
      </c>
      <c r="H620" s="154" t="s">
        <v>8302</v>
      </c>
      <c r="I620" s="154" t="s">
        <v>8408</v>
      </c>
      <c r="J620" s="154" t="s">
        <v>7104</v>
      </c>
      <c r="K620" s="154" t="s">
        <v>8296</v>
      </c>
      <c r="L620" s="154" t="s">
        <v>6905</v>
      </c>
      <c r="M620" s="154"/>
      <c r="N620" s="154" t="s">
        <v>759</v>
      </c>
      <c r="O620" s="247" t="s">
        <v>516</v>
      </c>
      <c r="P620" s="247" t="s">
        <v>6776</v>
      </c>
      <c r="Q620" s="154" t="str">
        <f t="shared" si="1"/>
        <v>#ERROR!</v>
      </c>
      <c r="R620" s="154" t="s">
        <v>66</v>
      </c>
      <c r="S620" s="154" t="s">
        <v>66</v>
      </c>
      <c r="T620" s="154" t="s">
        <v>66</v>
      </c>
      <c r="U620" s="154" t="s">
        <v>66</v>
      </c>
      <c r="V620" s="154" t="s">
        <v>66</v>
      </c>
      <c r="W620" s="154" t="s">
        <v>66</v>
      </c>
      <c r="X620" s="154" t="s">
        <v>66</v>
      </c>
      <c r="Y620" s="154" t="s">
        <v>66</v>
      </c>
      <c r="Z620" s="154" t="s">
        <v>66</v>
      </c>
      <c r="AA620" s="154"/>
      <c r="AB620" s="242" t="str">
        <f t="shared" si="2"/>
        <v>#ERROR!</v>
      </c>
      <c r="AC620" s="154" t="s">
        <v>391</v>
      </c>
      <c r="AD620" s="242" t="b">
        <f t="shared" si="3"/>
        <v>0</v>
      </c>
      <c r="AE620" s="154"/>
      <c r="AF620" s="242" t="str">
        <f t="shared" si="4"/>
        <v>#ERROR!</v>
      </c>
      <c r="AG620" s="154" t="s">
        <v>652</v>
      </c>
      <c r="AH620" s="242" t="str">
        <f>IF(AG620="","N/A",INDIRECT("MTR!"&amp;ADDRESS(MATCH(LEFT(AG620,9),[1]MTR!C:C,0),COLUMN(J620)),TRUE) &amp; "")</f>
        <v>#ERROR!</v>
      </c>
      <c r="AI620" s="157" t="str">
        <f t="shared" si="5"/>
        <v>#ERROR!</v>
      </c>
    </row>
    <row r="621" ht="12.75" customHeight="1">
      <c r="A621" s="244" t="s">
        <v>5158</v>
      </c>
      <c r="B621" s="244" t="s">
        <v>231</v>
      </c>
      <c r="C621" s="244" t="s">
        <v>8409</v>
      </c>
      <c r="D621" s="154" t="s">
        <v>1315</v>
      </c>
      <c r="E621" s="154"/>
      <c r="F621" s="154" t="str">
        <f t="array" ref="F621">XLOOKUP(Cover!$D$12,$R$1:$Z$1,$R621:$Z621)</f>
        <v>Information</v>
      </c>
      <c r="G621" s="154" t="s">
        <v>8410</v>
      </c>
      <c r="H621" s="154" t="s">
        <v>8305</v>
      </c>
      <c r="I621" s="154" t="s">
        <v>8408</v>
      </c>
      <c r="J621" s="154" t="s">
        <v>7104</v>
      </c>
      <c r="K621" s="154" t="s">
        <v>8296</v>
      </c>
      <c r="L621" s="154" t="s">
        <v>6905</v>
      </c>
      <c r="M621" s="154"/>
      <c r="N621" s="154" t="s">
        <v>759</v>
      </c>
      <c r="O621" s="247" t="s">
        <v>516</v>
      </c>
      <c r="P621" s="247" t="s">
        <v>6776</v>
      </c>
      <c r="Q621" s="154" t="str">
        <f t="shared" si="1"/>
        <v>#ERROR!</v>
      </c>
      <c r="R621" s="154" t="s">
        <v>66</v>
      </c>
      <c r="S621" s="154" t="s">
        <v>66</v>
      </c>
      <c r="T621" s="154" t="s">
        <v>66</v>
      </c>
      <c r="U621" s="154" t="s">
        <v>66</v>
      </c>
      <c r="V621" s="154" t="s">
        <v>66</v>
      </c>
      <c r="W621" s="154" t="s">
        <v>66</v>
      </c>
      <c r="X621" s="154" t="s">
        <v>66</v>
      </c>
      <c r="Y621" s="154" t="s">
        <v>66</v>
      </c>
      <c r="Z621" s="154" t="s">
        <v>66</v>
      </c>
      <c r="AA621" s="154"/>
      <c r="AB621" s="242" t="str">
        <f t="shared" si="2"/>
        <v>#ERROR!</v>
      </c>
      <c r="AC621" s="154" t="s">
        <v>391</v>
      </c>
      <c r="AD621" s="242" t="b">
        <f t="shared" si="3"/>
        <v>0</v>
      </c>
      <c r="AE621" s="154"/>
      <c r="AF621" s="242" t="str">
        <f t="shared" si="4"/>
        <v>#ERROR!</v>
      </c>
      <c r="AG621" s="154" t="s">
        <v>652</v>
      </c>
      <c r="AH621" s="242" t="str">
        <f>IF(AG621="","N/A",INDIRECT("MTR!"&amp;ADDRESS(MATCH(LEFT(AG621,9),[1]MTR!C:C,0),COLUMN(J621)),TRUE) &amp; "")</f>
        <v>#ERROR!</v>
      </c>
      <c r="AI621" s="157" t="str">
        <f t="shared" si="5"/>
        <v>#ERROR!</v>
      </c>
    </row>
    <row r="622" ht="12.75" customHeight="1">
      <c r="A622" s="238" t="s">
        <v>5158</v>
      </c>
      <c r="B622" s="238" t="s">
        <v>231</v>
      </c>
      <c r="C622" s="238" t="s">
        <v>8411</v>
      </c>
      <c r="D622" s="240"/>
      <c r="E622" s="240" t="s">
        <v>92</v>
      </c>
      <c r="F622" s="240" t="str">
        <f t="array" ref="F622">XLOOKUP(Cover!$D$12,$R$1:$Z$1,$R622:$Z622)</f>
        <v>Heading</v>
      </c>
      <c r="G622" s="239" t="s">
        <v>8412</v>
      </c>
      <c r="H622" s="240"/>
      <c r="I622" s="240"/>
      <c r="J622" s="240"/>
      <c r="K622" s="240"/>
      <c r="L622" s="240"/>
      <c r="M622" s="240"/>
      <c r="N622" s="240" t="s">
        <v>759</v>
      </c>
      <c r="O622" s="240"/>
      <c r="P622" s="240"/>
      <c r="Q622" s="240" t="str">
        <f t="shared" si="1"/>
        <v/>
      </c>
      <c r="R622" s="240" t="s">
        <v>390</v>
      </c>
      <c r="S622" s="240" t="s">
        <v>390</v>
      </c>
      <c r="T622" s="240" t="s">
        <v>390</v>
      </c>
      <c r="U622" s="240" t="s">
        <v>390</v>
      </c>
      <c r="V622" s="240" t="s">
        <v>390</v>
      </c>
      <c r="W622" s="240" t="s">
        <v>390</v>
      </c>
      <c r="X622" s="240" t="s">
        <v>390</v>
      </c>
      <c r="Y622" s="240" t="s">
        <v>390</v>
      </c>
      <c r="Z622" s="240" t="s">
        <v>390</v>
      </c>
      <c r="AA622" s="240"/>
      <c r="AB622" s="242" t="str">
        <f t="shared" si="2"/>
        <v>#ERROR!</v>
      </c>
      <c r="AC622" s="240" t="s">
        <v>391</v>
      </c>
      <c r="AD622" s="242" t="b">
        <f t="shared" si="3"/>
        <v>0</v>
      </c>
      <c r="AE622" s="240"/>
      <c r="AF622" s="242" t="str">
        <f t="shared" si="4"/>
        <v>#ERROR!</v>
      </c>
      <c r="AG622" s="240"/>
      <c r="AH622" s="242" t="str">
        <f>IF(AG622="","N/A",INDIRECT("MTR!"&amp;ADDRESS(MATCH(LEFT(AG622,9),[1]MTR!C:C,0),COLUMN(J622)),TRUE) &amp; "")</f>
        <v>#ERROR!</v>
      </c>
      <c r="AI622" s="157" t="str">
        <f t="shared" si="5"/>
        <v/>
      </c>
    </row>
    <row r="623" ht="12.75" customHeight="1">
      <c r="A623" s="244" t="s">
        <v>5158</v>
      </c>
      <c r="B623" s="244" t="s">
        <v>231</v>
      </c>
      <c r="C623" s="244" t="s">
        <v>8413</v>
      </c>
      <c r="D623" s="154" t="s">
        <v>546</v>
      </c>
      <c r="E623" s="154"/>
      <c r="F623" s="154" t="str">
        <f t="array" ref="F623">XLOOKUP(Cover!$D$12,$R$1:$Z$1,$R623:$Z623)</f>
        <v>Information</v>
      </c>
      <c r="G623" s="154" t="s">
        <v>8414</v>
      </c>
      <c r="H623" s="154" t="s">
        <v>8295</v>
      </c>
      <c r="I623" s="154" t="s">
        <v>8415</v>
      </c>
      <c r="J623" s="154" t="s">
        <v>8416</v>
      </c>
      <c r="K623" s="154" t="s">
        <v>8296</v>
      </c>
      <c r="L623" s="154" t="s">
        <v>6529</v>
      </c>
      <c r="M623" s="154"/>
      <c r="N623" s="154" t="s">
        <v>759</v>
      </c>
      <c r="O623" s="247" t="s">
        <v>516</v>
      </c>
      <c r="P623" s="247" t="s">
        <v>6776</v>
      </c>
      <c r="Q623" s="154" t="str">
        <f t="shared" si="1"/>
        <v>#ERROR!</v>
      </c>
      <c r="R623" s="154" t="s">
        <v>66</v>
      </c>
      <c r="S623" s="154" t="s">
        <v>66</v>
      </c>
      <c r="T623" s="154" t="s">
        <v>66</v>
      </c>
      <c r="U623" s="154" t="s">
        <v>66</v>
      </c>
      <c r="V623" s="154" t="s">
        <v>66</v>
      </c>
      <c r="W623" s="154" t="s">
        <v>66</v>
      </c>
      <c r="X623" s="154" t="s">
        <v>66</v>
      </c>
      <c r="Y623" s="154" t="s">
        <v>66</v>
      </c>
      <c r="Z623" s="154" t="s">
        <v>66</v>
      </c>
      <c r="AA623" s="154"/>
      <c r="AB623" s="242" t="str">
        <f t="shared" si="2"/>
        <v>#ERROR!</v>
      </c>
      <c r="AC623" s="154" t="s">
        <v>391</v>
      </c>
      <c r="AD623" s="242" t="b">
        <f t="shared" si="3"/>
        <v>0</v>
      </c>
      <c r="AE623" s="154"/>
      <c r="AF623" s="242" t="str">
        <f t="shared" si="4"/>
        <v>#ERROR!</v>
      </c>
      <c r="AG623" s="154" t="s">
        <v>652</v>
      </c>
      <c r="AH623" s="242" t="str">
        <f>IF(AG623="","N/A",INDIRECT("MTR!"&amp;ADDRESS(MATCH(LEFT(AG623,9),[1]MTR!C:C,0),COLUMN(J623)),TRUE) &amp; "")</f>
        <v>#ERROR!</v>
      </c>
      <c r="AI623" s="157" t="str">
        <f t="shared" si="5"/>
        <v>#ERROR!</v>
      </c>
    </row>
    <row r="624" ht="12.75" customHeight="1">
      <c r="A624" s="244" t="s">
        <v>5158</v>
      </c>
      <c r="B624" s="244" t="s">
        <v>231</v>
      </c>
      <c r="C624" s="244" t="s">
        <v>8417</v>
      </c>
      <c r="D624" s="154" t="s">
        <v>546</v>
      </c>
      <c r="E624" s="154"/>
      <c r="F624" s="154" t="str">
        <f t="array" ref="F624">XLOOKUP(Cover!$D$12,$R$1:$Z$1,$R624:$Z624)</f>
        <v>Information</v>
      </c>
      <c r="G624" s="154" t="s">
        <v>8418</v>
      </c>
      <c r="H624" s="154" t="s">
        <v>8299</v>
      </c>
      <c r="I624" s="154" t="s">
        <v>8415</v>
      </c>
      <c r="J624" s="154" t="s">
        <v>8416</v>
      </c>
      <c r="K624" s="154" t="s">
        <v>8296</v>
      </c>
      <c r="L624" s="154" t="s">
        <v>6529</v>
      </c>
      <c r="M624" s="154"/>
      <c r="N624" s="154" t="s">
        <v>759</v>
      </c>
      <c r="O624" s="247" t="s">
        <v>516</v>
      </c>
      <c r="P624" s="247" t="s">
        <v>6776</v>
      </c>
      <c r="Q624" s="154" t="str">
        <f t="shared" si="1"/>
        <v>#ERROR!</v>
      </c>
      <c r="R624" s="154" t="s">
        <v>66</v>
      </c>
      <c r="S624" s="154" t="s">
        <v>66</v>
      </c>
      <c r="T624" s="154" t="s">
        <v>66</v>
      </c>
      <c r="U624" s="154" t="s">
        <v>66</v>
      </c>
      <c r="V624" s="154" t="s">
        <v>66</v>
      </c>
      <c r="W624" s="154" t="s">
        <v>66</v>
      </c>
      <c r="X624" s="154" t="s">
        <v>66</v>
      </c>
      <c r="Y624" s="154" t="s">
        <v>66</v>
      </c>
      <c r="Z624" s="154" t="s">
        <v>66</v>
      </c>
      <c r="AA624" s="154"/>
      <c r="AB624" s="242" t="str">
        <f t="shared" si="2"/>
        <v>#ERROR!</v>
      </c>
      <c r="AC624" s="154" t="s">
        <v>391</v>
      </c>
      <c r="AD624" s="242" t="b">
        <f t="shared" si="3"/>
        <v>0</v>
      </c>
      <c r="AE624" s="154"/>
      <c r="AF624" s="242" t="str">
        <f t="shared" si="4"/>
        <v>#ERROR!</v>
      </c>
      <c r="AG624" s="154" t="s">
        <v>652</v>
      </c>
      <c r="AH624" s="242" t="str">
        <f>IF(AG624="","N/A",INDIRECT("MTR!"&amp;ADDRESS(MATCH(LEFT(AG624,9),[1]MTR!C:C,0),COLUMN(J624)),TRUE) &amp; "")</f>
        <v>#ERROR!</v>
      </c>
      <c r="AI624" s="157" t="str">
        <f t="shared" si="5"/>
        <v>#ERROR!</v>
      </c>
    </row>
    <row r="625" ht="12.75" customHeight="1">
      <c r="A625" s="244" t="s">
        <v>5158</v>
      </c>
      <c r="B625" s="244" t="s">
        <v>231</v>
      </c>
      <c r="C625" s="244" t="s">
        <v>8419</v>
      </c>
      <c r="D625" s="154" t="s">
        <v>546</v>
      </c>
      <c r="E625" s="154"/>
      <c r="F625" s="154" t="str">
        <f t="array" ref="F625">XLOOKUP(Cover!$D$12,$R$1:$Z$1,$R625:$Z625)</f>
        <v>Information</v>
      </c>
      <c r="G625" s="154" t="s">
        <v>8420</v>
      </c>
      <c r="H625" s="154" t="s">
        <v>8302</v>
      </c>
      <c r="I625" s="154" t="s">
        <v>8415</v>
      </c>
      <c r="J625" s="154" t="s">
        <v>8416</v>
      </c>
      <c r="K625" s="154" t="s">
        <v>8296</v>
      </c>
      <c r="L625" s="154" t="s">
        <v>6529</v>
      </c>
      <c r="M625" s="154"/>
      <c r="N625" s="154" t="s">
        <v>759</v>
      </c>
      <c r="O625" s="247" t="s">
        <v>516</v>
      </c>
      <c r="P625" s="247" t="s">
        <v>6776</v>
      </c>
      <c r="Q625" s="154" t="str">
        <f t="shared" si="1"/>
        <v>#ERROR!</v>
      </c>
      <c r="R625" s="154" t="s">
        <v>66</v>
      </c>
      <c r="S625" s="154" t="s">
        <v>66</v>
      </c>
      <c r="T625" s="154" t="s">
        <v>66</v>
      </c>
      <c r="U625" s="154" t="s">
        <v>66</v>
      </c>
      <c r="V625" s="154" t="s">
        <v>66</v>
      </c>
      <c r="W625" s="154" t="s">
        <v>66</v>
      </c>
      <c r="X625" s="154" t="s">
        <v>66</v>
      </c>
      <c r="Y625" s="154" t="s">
        <v>66</v>
      </c>
      <c r="Z625" s="154" t="s">
        <v>66</v>
      </c>
      <c r="AA625" s="154"/>
      <c r="AB625" s="242" t="str">
        <f t="shared" si="2"/>
        <v>#ERROR!</v>
      </c>
      <c r="AC625" s="154" t="s">
        <v>391</v>
      </c>
      <c r="AD625" s="242" t="b">
        <f t="shared" si="3"/>
        <v>0</v>
      </c>
      <c r="AE625" s="154"/>
      <c r="AF625" s="242" t="str">
        <f t="shared" si="4"/>
        <v>#ERROR!</v>
      </c>
      <c r="AG625" s="154" t="s">
        <v>652</v>
      </c>
      <c r="AH625" s="242" t="str">
        <f>IF(AG625="","N/A",INDIRECT("MTR!"&amp;ADDRESS(MATCH(LEFT(AG625,9),[1]MTR!C:C,0),COLUMN(J625)),TRUE) &amp; "")</f>
        <v>#ERROR!</v>
      </c>
      <c r="AI625" s="157" t="str">
        <f t="shared" si="5"/>
        <v>#ERROR!</v>
      </c>
    </row>
    <row r="626" ht="12.75" customHeight="1">
      <c r="A626" s="244" t="s">
        <v>5158</v>
      </c>
      <c r="B626" s="244" t="s">
        <v>231</v>
      </c>
      <c r="C626" s="244" t="s">
        <v>8421</v>
      </c>
      <c r="D626" s="154" t="s">
        <v>546</v>
      </c>
      <c r="E626" s="154"/>
      <c r="F626" s="154" t="str">
        <f t="array" ref="F626">XLOOKUP(Cover!$D$12,$R$1:$Z$1,$R626:$Z626)</f>
        <v>Information</v>
      </c>
      <c r="G626" s="154" t="s">
        <v>8422</v>
      </c>
      <c r="H626" s="154" t="s">
        <v>8305</v>
      </c>
      <c r="I626" s="154" t="s">
        <v>8415</v>
      </c>
      <c r="J626" s="154" t="s">
        <v>8416</v>
      </c>
      <c r="K626" s="154" t="s">
        <v>8296</v>
      </c>
      <c r="L626" s="154" t="s">
        <v>6529</v>
      </c>
      <c r="M626" s="154"/>
      <c r="N626" s="154" t="s">
        <v>759</v>
      </c>
      <c r="O626" s="247" t="s">
        <v>516</v>
      </c>
      <c r="P626" s="247" t="s">
        <v>6776</v>
      </c>
      <c r="Q626" s="154" t="str">
        <f t="shared" si="1"/>
        <v>#ERROR!</v>
      </c>
      <c r="R626" s="154" t="s">
        <v>66</v>
      </c>
      <c r="S626" s="154" t="s">
        <v>66</v>
      </c>
      <c r="T626" s="154" t="s">
        <v>66</v>
      </c>
      <c r="U626" s="154" t="s">
        <v>66</v>
      </c>
      <c r="V626" s="154" t="s">
        <v>66</v>
      </c>
      <c r="W626" s="154" t="s">
        <v>66</v>
      </c>
      <c r="X626" s="154" t="s">
        <v>66</v>
      </c>
      <c r="Y626" s="154" t="s">
        <v>66</v>
      </c>
      <c r="Z626" s="154" t="s">
        <v>66</v>
      </c>
      <c r="AA626" s="154"/>
      <c r="AB626" s="242" t="str">
        <f t="shared" si="2"/>
        <v>#ERROR!</v>
      </c>
      <c r="AC626" s="154" t="s">
        <v>391</v>
      </c>
      <c r="AD626" s="242" t="b">
        <f t="shared" si="3"/>
        <v>0</v>
      </c>
      <c r="AE626" s="154"/>
      <c r="AF626" s="242" t="str">
        <f t="shared" si="4"/>
        <v>#ERROR!</v>
      </c>
      <c r="AG626" s="154" t="s">
        <v>652</v>
      </c>
      <c r="AH626" s="242" t="str">
        <f>IF(AG626="","N/A",INDIRECT("MTR!"&amp;ADDRESS(MATCH(LEFT(AG626,9),[1]MTR!C:C,0),COLUMN(J626)),TRUE) &amp; "")</f>
        <v>#ERROR!</v>
      </c>
      <c r="AI626" s="157" t="str">
        <f t="shared" si="5"/>
        <v>#ERROR!</v>
      </c>
    </row>
    <row r="627" ht="12.75" customHeight="1">
      <c r="A627" s="244" t="s">
        <v>5158</v>
      </c>
      <c r="B627" s="244" t="s">
        <v>231</v>
      </c>
      <c r="C627" s="244" t="s">
        <v>8423</v>
      </c>
      <c r="D627" s="154" t="s">
        <v>1315</v>
      </c>
      <c r="E627" s="154"/>
      <c r="F627" s="154" t="str">
        <f t="array" ref="F627">XLOOKUP(Cover!$D$12,$R$1:$Z$1,$R627:$Z627)</f>
        <v>Information</v>
      </c>
      <c r="G627" s="154" t="s">
        <v>8424</v>
      </c>
      <c r="H627" s="154" t="s">
        <v>8295</v>
      </c>
      <c r="I627" s="154" t="s">
        <v>8425</v>
      </c>
      <c r="J627" s="154" t="s">
        <v>7712</v>
      </c>
      <c r="K627" s="154" t="s">
        <v>8296</v>
      </c>
      <c r="L627" s="154" t="s">
        <v>6905</v>
      </c>
      <c r="M627" s="154"/>
      <c r="N627" s="154" t="s">
        <v>759</v>
      </c>
      <c r="O627" s="247" t="s">
        <v>516</v>
      </c>
      <c r="P627" s="247" t="s">
        <v>6776</v>
      </c>
      <c r="Q627" s="154" t="str">
        <f t="shared" si="1"/>
        <v>#ERROR!</v>
      </c>
      <c r="R627" s="154" t="s">
        <v>66</v>
      </c>
      <c r="S627" s="154" t="s">
        <v>66</v>
      </c>
      <c r="T627" s="154" t="s">
        <v>66</v>
      </c>
      <c r="U627" s="154" t="s">
        <v>66</v>
      </c>
      <c r="V627" s="154" t="s">
        <v>66</v>
      </c>
      <c r="W627" s="154" t="s">
        <v>66</v>
      </c>
      <c r="X627" s="154" t="s">
        <v>66</v>
      </c>
      <c r="Y627" s="154" t="s">
        <v>66</v>
      </c>
      <c r="Z627" s="154" t="s">
        <v>66</v>
      </c>
      <c r="AA627" s="154"/>
      <c r="AB627" s="242" t="str">
        <f t="shared" si="2"/>
        <v>#ERROR!</v>
      </c>
      <c r="AC627" s="154" t="s">
        <v>391</v>
      </c>
      <c r="AD627" s="242" t="b">
        <f t="shared" si="3"/>
        <v>0</v>
      </c>
      <c r="AE627" s="154"/>
      <c r="AF627" s="242" t="str">
        <f t="shared" si="4"/>
        <v>#ERROR!</v>
      </c>
      <c r="AG627" s="154" t="s">
        <v>652</v>
      </c>
      <c r="AH627" s="242" t="str">
        <f>IF(AG627="","N/A",INDIRECT("MTR!"&amp;ADDRESS(MATCH(LEFT(AG627,9),[1]MTR!C:C,0),COLUMN(J627)),TRUE) &amp; "")</f>
        <v>#ERROR!</v>
      </c>
      <c r="AI627" s="157" t="str">
        <f t="shared" si="5"/>
        <v>#ERROR!</v>
      </c>
    </row>
    <row r="628" ht="12.75" customHeight="1">
      <c r="A628" s="244" t="s">
        <v>5158</v>
      </c>
      <c r="B628" s="244" t="s">
        <v>231</v>
      </c>
      <c r="C628" s="244" t="s">
        <v>8426</v>
      </c>
      <c r="D628" s="154" t="s">
        <v>1315</v>
      </c>
      <c r="E628" s="154"/>
      <c r="F628" s="154" t="str">
        <f t="array" ref="F628">XLOOKUP(Cover!$D$12,$R$1:$Z$1,$R628:$Z628)</f>
        <v>Information</v>
      </c>
      <c r="G628" s="154" t="s">
        <v>8427</v>
      </c>
      <c r="H628" s="154" t="s">
        <v>8302</v>
      </c>
      <c r="I628" s="154" t="s">
        <v>8425</v>
      </c>
      <c r="J628" s="154" t="s">
        <v>7712</v>
      </c>
      <c r="K628" s="154" t="s">
        <v>8296</v>
      </c>
      <c r="L628" s="154" t="s">
        <v>6905</v>
      </c>
      <c r="M628" s="154"/>
      <c r="N628" s="154" t="s">
        <v>759</v>
      </c>
      <c r="O628" s="247" t="s">
        <v>516</v>
      </c>
      <c r="P628" s="247" t="s">
        <v>6776</v>
      </c>
      <c r="Q628" s="154" t="str">
        <f t="shared" si="1"/>
        <v>#ERROR!</v>
      </c>
      <c r="R628" s="154" t="s">
        <v>66</v>
      </c>
      <c r="S628" s="154" t="s">
        <v>66</v>
      </c>
      <c r="T628" s="154" t="s">
        <v>66</v>
      </c>
      <c r="U628" s="154" t="s">
        <v>66</v>
      </c>
      <c r="V628" s="154" t="s">
        <v>66</v>
      </c>
      <c r="W628" s="154" t="s">
        <v>66</v>
      </c>
      <c r="X628" s="154" t="s">
        <v>66</v>
      </c>
      <c r="Y628" s="154" t="s">
        <v>66</v>
      </c>
      <c r="Z628" s="154" t="s">
        <v>66</v>
      </c>
      <c r="AA628" s="154"/>
      <c r="AB628" s="242" t="str">
        <f t="shared" si="2"/>
        <v>#ERROR!</v>
      </c>
      <c r="AC628" s="154" t="s">
        <v>391</v>
      </c>
      <c r="AD628" s="242" t="b">
        <f t="shared" si="3"/>
        <v>0</v>
      </c>
      <c r="AE628" s="154"/>
      <c r="AF628" s="242" t="str">
        <f t="shared" si="4"/>
        <v>#ERROR!</v>
      </c>
      <c r="AG628" s="154" t="s">
        <v>652</v>
      </c>
      <c r="AH628" s="242" t="str">
        <f>IF(AG628="","N/A",INDIRECT("MTR!"&amp;ADDRESS(MATCH(LEFT(AG628,9),[1]MTR!C:C,0),COLUMN(J628)),TRUE) &amp; "")</f>
        <v>#ERROR!</v>
      </c>
      <c r="AI628" s="157" t="str">
        <f t="shared" si="5"/>
        <v>#ERROR!</v>
      </c>
    </row>
    <row r="629" ht="12.75" customHeight="1">
      <c r="A629" s="244" t="s">
        <v>5158</v>
      </c>
      <c r="B629" s="244" t="s">
        <v>231</v>
      </c>
      <c r="C629" s="244" t="s">
        <v>8428</v>
      </c>
      <c r="D629" s="154" t="s">
        <v>1315</v>
      </c>
      <c r="E629" s="154"/>
      <c r="F629" s="154" t="str">
        <f t="array" ref="F629">XLOOKUP(Cover!$D$12,$R$1:$Z$1,$R629:$Z629)</f>
        <v>Information</v>
      </c>
      <c r="G629" s="154" t="s">
        <v>8429</v>
      </c>
      <c r="H629" s="154" t="s">
        <v>8305</v>
      </c>
      <c r="I629" s="154" t="s">
        <v>8425</v>
      </c>
      <c r="J629" s="154" t="s">
        <v>7712</v>
      </c>
      <c r="K629" s="154" t="s">
        <v>8296</v>
      </c>
      <c r="L629" s="154" t="s">
        <v>6905</v>
      </c>
      <c r="M629" s="154"/>
      <c r="N629" s="154" t="s">
        <v>759</v>
      </c>
      <c r="O629" s="247" t="s">
        <v>516</v>
      </c>
      <c r="P629" s="247" t="s">
        <v>6776</v>
      </c>
      <c r="Q629" s="154" t="str">
        <f t="shared" si="1"/>
        <v>#ERROR!</v>
      </c>
      <c r="R629" s="154" t="s">
        <v>66</v>
      </c>
      <c r="S629" s="154" t="s">
        <v>66</v>
      </c>
      <c r="T629" s="154" t="s">
        <v>66</v>
      </c>
      <c r="U629" s="154" t="s">
        <v>66</v>
      </c>
      <c r="V629" s="154" t="s">
        <v>66</v>
      </c>
      <c r="W629" s="154" t="s">
        <v>66</v>
      </c>
      <c r="X629" s="154" t="s">
        <v>66</v>
      </c>
      <c r="Y629" s="154" t="s">
        <v>66</v>
      </c>
      <c r="Z629" s="154" t="s">
        <v>66</v>
      </c>
      <c r="AA629" s="154"/>
      <c r="AB629" s="242" t="str">
        <f t="shared" si="2"/>
        <v>#ERROR!</v>
      </c>
      <c r="AC629" s="154" t="s">
        <v>391</v>
      </c>
      <c r="AD629" s="242" t="b">
        <f t="shared" si="3"/>
        <v>0</v>
      </c>
      <c r="AE629" s="154"/>
      <c r="AF629" s="242" t="str">
        <f t="shared" si="4"/>
        <v>#ERROR!</v>
      </c>
      <c r="AG629" s="154" t="s">
        <v>652</v>
      </c>
      <c r="AH629" s="242" t="str">
        <f>IF(AG629="","N/A",INDIRECT("MTR!"&amp;ADDRESS(MATCH(LEFT(AG629,9),[1]MTR!C:C,0),COLUMN(J629)),TRUE) &amp; "")</f>
        <v>#ERROR!</v>
      </c>
      <c r="AI629" s="157" t="str">
        <f t="shared" si="5"/>
        <v>#ERROR!</v>
      </c>
    </row>
    <row r="630" ht="12.75" customHeight="1">
      <c r="A630" s="244" t="s">
        <v>5158</v>
      </c>
      <c r="B630" s="244" t="s">
        <v>231</v>
      </c>
      <c r="C630" s="244" t="s">
        <v>8430</v>
      </c>
      <c r="D630" s="154" t="s">
        <v>1315</v>
      </c>
      <c r="E630" s="154"/>
      <c r="F630" s="154" t="str">
        <f t="array" ref="F630">XLOOKUP(Cover!$D$12,$R$1:$Z$1,$R630:$Z630)</f>
        <v>Information</v>
      </c>
      <c r="G630" s="154" t="s">
        <v>8431</v>
      </c>
      <c r="H630" s="154" t="s">
        <v>8299</v>
      </c>
      <c r="I630" s="154" t="s">
        <v>8432</v>
      </c>
      <c r="J630" s="154" t="s">
        <v>7130</v>
      </c>
      <c r="K630" s="154" t="s">
        <v>8296</v>
      </c>
      <c r="L630" s="154" t="s">
        <v>6884</v>
      </c>
      <c r="M630" s="154"/>
      <c r="N630" s="154" t="s">
        <v>759</v>
      </c>
      <c r="O630" s="247" t="s">
        <v>516</v>
      </c>
      <c r="P630" s="247" t="s">
        <v>5876</v>
      </c>
      <c r="Q630" s="154" t="str">
        <f t="shared" si="1"/>
        <v>#ERROR!</v>
      </c>
      <c r="R630" s="154" t="s">
        <v>66</v>
      </c>
      <c r="S630" s="154" t="s">
        <v>66</v>
      </c>
      <c r="T630" s="154" t="s">
        <v>66</v>
      </c>
      <c r="U630" s="154" t="s">
        <v>66</v>
      </c>
      <c r="V630" s="154" t="s">
        <v>66</v>
      </c>
      <c r="W630" s="154" t="s">
        <v>66</v>
      </c>
      <c r="X630" s="154" t="s">
        <v>66</v>
      </c>
      <c r="Y630" s="154" t="s">
        <v>66</v>
      </c>
      <c r="Z630" s="154" t="s">
        <v>66</v>
      </c>
      <c r="AA630" s="154"/>
      <c r="AB630" s="242" t="str">
        <f t="shared" si="2"/>
        <v>#ERROR!</v>
      </c>
      <c r="AC630" s="154" t="s">
        <v>391</v>
      </c>
      <c r="AD630" s="242" t="b">
        <f t="shared" si="3"/>
        <v>0</v>
      </c>
      <c r="AE630" s="154"/>
      <c r="AF630" s="242" t="str">
        <f t="shared" si="4"/>
        <v>#ERROR!</v>
      </c>
      <c r="AG630" s="154" t="s">
        <v>652</v>
      </c>
      <c r="AH630" s="242" t="str">
        <f>IF(AG630="","N/A",INDIRECT("MTR!"&amp;ADDRESS(MATCH(LEFT(AG630,9),[1]MTR!C:C,0),COLUMN(J630)),TRUE) &amp; "")</f>
        <v>#ERROR!</v>
      </c>
      <c r="AI630" s="157" t="str">
        <f t="shared" si="5"/>
        <v>#ERROR!</v>
      </c>
    </row>
    <row r="631" ht="12.75" customHeight="1">
      <c r="A631" s="244" t="s">
        <v>5158</v>
      </c>
      <c r="B631" s="244" t="s">
        <v>231</v>
      </c>
      <c r="C631" s="244" t="s">
        <v>8433</v>
      </c>
      <c r="D631" s="154" t="s">
        <v>1315</v>
      </c>
      <c r="E631" s="154"/>
      <c r="F631" s="154" t="str">
        <f t="array" ref="F631">XLOOKUP(Cover!$D$12,$R$1:$Z$1,$R631:$Z631)</f>
        <v>Information</v>
      </c>
      <c r="G631" s="154" t="s">
        <v>8434</v>
      </c>
      <c r="H631" s="154" t="s">
        <v>8302</v>
      </c>
      <c r="I631" s="154" t="s">
        <v>8432</v>
      </c>
      <c r="J631" s="154" t="s">
        <v>7130</v>
      </c>
      <c r="K631" s="154" t="s">
        <v>8296</v>
      </c>
      <c r="L631" s="154" t="s">
        <v>6884</v>
      </c>
      <c r="M631" s="154"/>
      <c r="N631" s="154" t="s">
        <v>759</v>
      </c>
      <c r="O631" s="247" t="s">
        <v>516</v>
      </c>
      <c r="P631" s="247" t="s">
        <v>5876</v>
      </c>
      <c r="Q631" s="154" t="str">
        <f t="shared" si="1"/>
        <v>#ERROR!</v>
      </c>
      <c r="R631" s="154" t="s">
        <v>66</v>
      </c>
      <c r="S631" s="154" t="s">
        <v>66</v>
      </c>
      <c r="T631" s="154" t="s">
        <v>66</v>
      </c>
      <c r="U631" s="154" t="s">
        <v>66</v>
      </c>
      <c r="V631" s="154" t="s">
        <v>66</v>
      </c>
      <c r="W631" s="154" t="s">
        <v>66</v>
      </c>
      <c r="X631" s="154" t="s">
        <v>66</v>
      </c>
      <c r="Y631" s="154" t="s">
        <v>66</v>
      </c>
      <c r="Z631" s="154" t="s">
        <v>66</v>
      </c>
      <c r="AA631" s="154"/>
      <c r="AB631" s="242" t="str">
        <f t="shared" si="2"/>
        <v>#ERROR!</v>
      </c>
      <c r="AC631" s="154" t="s">
        <v>391</v>
      </c>
      <c r="AD631" s="242" t="b">
        <f t="shared" si="3"/>
        <v>0</v>
      </c>
      <c r="AE631" s="154"/>
      <c r="AF631" s="242" t="str">
        <f t="shared" si="4"/>
        <v>#ERROR!</v>
      </c>
      <c r="AG631" s="154" t="s">
        <v>652</v>
      </c>
      <c r="AH631" s="242" t="str">
        <f>IF(AG631="","N/A",INDIRECT("MTR!"&amp;ADDRESS(MATCH(LEFT(AG631,9),[1]MTR!C:C,0),COLUMN(J631)),TRUE) &amp; "")</f>
        <v>#ERROR!</v>
      </c>
      <c r="AI631" s="157" t="str">
        <f t="shared" si="5"/>
        <v>#ERROR!</v>
      </c>
    </row>
    <row r="632" ht="12.75" customHeight="1">
      <c r="A632" s="238" t="s">
        <v>5158</v>
      </c>
      <c r="B632" s="238" t="s">
        <v>231</v>
      </c>
      <c r="C632" s="238" t="s">
        <v>8435</v>
      </c>
      <c r="D632" s="240"/>
      <c r="E632" s="240" t="s">
        <v>92</v>
      </c>
      <c r="F632" s="240" t="str">
        <f t="array" ref="F632">XLOOKUP(Cover!$D$12,$R$1:$Z$1,$R632:$Z632)</f>
        <v>Heading</v>
      </c>
      <c r="G632" s="239" t="s">
        <v>8436</v>
      </c>
      <c r="H632" s="240"/>
      <c r="I632" s="240"/>
      <c r="J632" s="240"/>
      <c r="K632" s="240"/>
      <c r="L632" s="240"/>
      <c r="M632" s="240"/>
      <c r="N632" s="240" t="s">
        <v>759</v>
      </c>
      <c r="O632" s="240"/>
      <c r="P632" s="240"/>
      <c r="Q632" s="240" t="str">
        <f t="shared" si="1"/>
        <v/>
      </c>
      <c r="R632" s="240" t="s">
        <v>390</v>
      </c>
      <c r="S632" s="240" t="s">
        <v>390</v>
      </c>
      <c r="T632" s="240" t="s">
        <v>390</v>
      </c>
      <c r="U632" s="240" t="s">
        <v>390</v>
      </c>
      <c r="V632" s="240" t="s">
        <v>390</v>
      </c>
      <c r="W632" s="240" t="s">
        <v>390</v>
      </c>
      <c r="X632" s="240" t="s">
        <v>390</v>
      </c>
      <c r="Y632" s="240" t="s">
        <v>390</v>
      </c>
      <c r="Z632" s="240" t="s">
        <v>390</v>
      </c>
      <c r="AA632" s="240"/>
      <c r="AB632" s="242" t="str">
        <f t="shared" si="2"/>
        <v>#ERROR!</v>
      </c>
      <c r="AC632" s="240" t="s">
        <v>391</v>
      </c>
      <c r="AD632" s="242" t="b">
        <f t="shared" si="3"/>
        <v>0</v>
      </c>
      <c r="AE632" s="240"/>
      <c r="AF632" s="242" t="str">
        <f t="shared" si="4"/>
        <v>#ERROR!</v>
      </c>
      <c r="AG632" s="240"/>
      <c r="AH632" s="242" t="str">
        <f>IF(AG632="","N/A",INDIRECT("MTR!"&amp;ADDRESS(MATCH(LEFT(AG632,9),[1]MTR!C:C,0),COLUMN(J632)),TRUE) &amp; "")</f>
        <v>#ERROR!</v>
      </c>
      <c r="AI632" s="157" t="str">
        <f t="shared" si="5"/>
        <v/>
      </c>
    </row>
    <row r="633" ht="12.75" customHeight="1">
      <c r="A633" s="238" t="s">
        <v>5158</v>
      </c>
      <c r="B633" s="238" t="s">
        <v>231</v>
      </c>
      <c r="C633" s="238" t="s">
        <v>8437</v>
      </c>
      <c r="D633" s="240"/>
      <c r="E633" s="240" t="s">
        <v>92</v>
      </c>
      <c r="F633" s="240" t="str">
        <f t="array" ref="F633">XLOOKUP(Cover!$D$12,$R$1:$Z$1,$R633:$Z633)</f>
        <v>Heading</v>
      </c>
      <c r="G633" s="239" t="s">
        <v>8438</v>
      </c>
      <c r="H633" s="240"/>
      <c r="I633" s="240"/>
      <c r="J633" s="240"/>
      <c r="K633" s="240"/>
      <c r="L633" s="240"/>
      <c r="M633" s="240"/>
      <c r="N633" s="240" t="s">
        <v>759</v>
      </c>
      <c r="O633" s="240"/>
      <c r="P633" s="240"/>
      <c r="Q633" s="240" t="str">
        <f t="shared" si="1"/>
        <v/>
      </c>
      <c r="R633" s="240" t="s">
        <v>390</v>
      </c>
      <c r="S633" s="240" t="s">
        <v>390</v>
      </c>
      <c r="T633" s="240" t="s">
        <v>390</v>
      </c>
      <c r="U633" s="240" t="s">
        <v>390</v>
      </c>
      <c r="V633" s="240" t="s">
        <v>390</v>
      </c>
      <c r="W633" s="240" t="s">
        <v>390</v>
      </c>
      <c r="X633" s="240" t="s">
        <v>390</v>
      </c>
      <c r="Y633" s="240" t="s">
        <v>390</v>
      </c>
      <c r="Z633" s="240" t="s">
        <v>390</v>
      </c>
      <c r="AA633" s="240"/>
      <c r="AB633" s="242" t="str">
        <f t="shared" si="2"/>
        <v>#ERROR!</v>
      </c>
      <c r="AC633" s="240" t="s">
        <v>391</v>
      </c>
      <c r="AD633" s="242" t="b">
        <f t="shared" si="3"/>
        <v>0</v>
      </c>
      <c r="AE633" s="240"/>
      <c r="AF633" s="242" t="str">
        <f t="shared" si="4"/>
        <v>#ERROR!</v>
      </c>
      <c r="AG633" s="240"/>
      <c r="AH633" s="242" t="str">
        <f>IF(AG633="","N/A",INDIRECT("MTR!"&amp;ADDRESS(MATCH(LEFT(AG633,9),[1]MTR!C:C,0),COLUMN(J633)),TRUE) &amp; "")</f>
        <v>#ERROR!</v>
      </c>
      <c r="AI633" s="157" t="str">
        <f t="shared" si="5"/>
        <v/>
      </c>
    </row>
    <row r="634" ht="12.75" customHeight="1">
      <c r="A634" s="244" t="s">
        <v>5158</v>
      </c>
      <c r="B634" s="244" t="s">
        <v>231</v>
      </c>
      <c r="C634" s="244" t="s">
        <v>8439</v>
      </c>
      <c r="D634" s="154" t="s">
        <v>546</v>
      </c>
      <c r="E634" s="154"/>
      <c r="F634" s="154" t="str">
        <f t="array" ref="F634">XLOOKUP(Cover!$D$12,$R$1:$Z$1,$R634:$Z634)</f>
        <v>Recommended</v>
      </c>
      <c r="G634" s="154" t="s">
        <v>8440</v>
      </c>
      <c r="H634" s="154" t="s">
        <v>8441</v>
      </c>
      <c r="I634" s="154" t="s">
        <v>8441</v>
      </c>
      <c r="J634" s="154" t="s">
        <v>5730</v>
      </c>
      <c r="K634" s="154" t="s">
        <v>8442</v>
      </c>
      <c r="L634" s="154" t="s">
        <v>6529</v>
      </c>
      <c r="M634" s="154"/>
      <c r="N634" s="154" t="s">
        <v>759</v>
      </c>
      <c r="O634" s="247" t="s">
        <v>445</v>
      </c>
      <c r="P634" s="247" t="s">
        <v>6772</v>
      </c>
      <c r="Q634" s="154" t="str">
        <f t="shared" si="1"/>
        <v>#ERROR!</v>
      </c>
      <c r="R634" s="154" t="s">
        <v>66</v>
      </c>
      <c r="S634" s="154" t="s">
        <v>66</v>
      </c>
      <c r="T634" s="154" t="s">
        <v>66</v>
      </c>
      <c r="U634" s="154" t="s">
        <v>66</v>
      </c>
      <c r="V634" s="154" t="s">
        <v>66</v>
      </c>
      <c r="W634" s="154" t="s">
        <v>64</v>
      </c>
      <c r="X634" s="154" t="s">
        <v>66</v>
      </c>
      <c r="Y634" s="154" t="s">
        <v>66</v>
      </c>
      <c r="Z634" s="154" t="s">
        <v>64</v>
      </c>
      <c r="AA634" s="154"/>
      <c r="AB634" s="242" t="str">
        <f t="shared" si="2"/>
        <v>#ERROR!</v>
      </c>
      <c r="AC634" s="154" t="s">
        <v>391</v>
      </c>
      <c r="AD634" s="242" t="b">
        <f t="shared" si="3"/>
        <v>0</v>
      </c>
      <c r="AE634" s="154"/>
      <c r="AF634" s="242" t="str">
        <f t="shared" si="4"/>
        <v>#ERROR!</v>
      </c>
      <c r="AG634" s="154" t="s">
        <v>652</v>
      </c>
      <c r="AH634" s="242" t="str">
        <f>IF(AG634="","N/A",INDIRECT("MTR!"&amp;ADDRESS(MATCH(LEFT(AG634,9),[1]MTR!C:C,0),COLUMN(J634)),TRUE) &amp; "")</f>
        <v>#ERROR!</v>
      </c>
      <c r="AI634" s="157" t="str">
        <f t="shared" si="5"/>
        <v>#ERROR!</v>
      </c>
    </row>
    <row r="635" ht="12.75" customHeight="1">
      <c r="A635" s="244" t="s">
        <v>5158</v>
      </c>
      <c r="B635" s="244" t="s">
        <v>231</v>
      </c>
      <c r="C635" s="244" t="s">
        <v>8443</v>
      </c>
      <c r="D635" s="154" t="s">
        <v>781</v>
      </c>
      <c r="E635" s="154"/>
      <c r="F635" s="154" t="str">
        <f t="array" ref="F635">XLOOKUP(Cover!$D$12,$R$1:$Z$1,$R635:$Z635)</f>
        <v>Recommended</v>
      </c>
      <c r="G635" s="154" t="s">
        <v>8444</v>
      </c>
      <c r="H635" s="154" t="s">
        <v>8445</v>
      </c>
      <c r="I635" s="154" t="s">
        <v>8445</v>
      </c>
      <c r="J635" s="154" t="s">
        <v>5782</v>
      </c>
      <c r="K635" s="154" t="s">
        <v>8442</v>
      </c>
      <c r="L635" s="154" t="s">
        <v>6525</v>
      </c>
      <c r="M635" s="154"/>
      <c r="N635" s="154" t="s">
        <v>759</v>
      </c>
      <c r="O635" s="247" t="s">
        <v>445</v>
      </c>
      <c r="P635" s="247" t="s">
        <v>6772</v>
      </c>
      <c r="Q635" s="154" t="str">
        <f t="shared" si="1"/>
        <v>#ERROR!</v>
      </c>
      <c r="R635" s="154" t="s">
        <v>66</v>
      </c>
      <c r="S635" s="154" t="s">
        <v>66</v>
      </c>
      <c r="T635" s="154" t="s">
        <v>66</v>
      </c>
      <c r="U635" s="154" t="s">
        <v>66</v>
      </c>
      <c r="V635" s="154" t="s">
        <v>66</v>
      </c>
      <c r="W635" s="154" t="s">
        <v>64</v>
      </c>
      <c r="X635" s="154" t="s">
        <v>66</v>
      </c>
      <c r="Y635" s="154" t="s">
        <v>66</v>
      </c>
      <c r="Z635" s="154" t="s">
        <v>64</v>
      </c>
      <c r="AA635" s="154"/>
      <c r="AB635" s="242" t="str">
        <f t="shared" si="2"/>
        <v>#ERROR!</v>
      </c>
      <c r="AC635" s="154" t="s">
        <v>391</v>
      </c>
      <c r="AD635" s="242" t="b">
        <f t="shared" si="3"/>
        <v>0</v>
      </c>
      <c r="AE635" s="154"/>
      <c r="AF635" s="242" t="str">
        <f t="shared" si="4"/>
        <v>#ERROR!</v>
      </c>
      <c r="AG635" s="154" t="s">
        <v>652</v>
      </c>
      <c r="AH635" s="242" t="str">
        <f>IF(AG635="","N/A",INDIRECT("MTR!"&amp;ADDRESS(MATCH(LEFT(AG635,9),[1]MTR!C:C,0),COLUMN(J635)),TRUE) &amp; "")</f>
        <v>#ERROR!</v>
      </c>
      <c r="AI635" s="157" t="str">
        <f t="shared" si="5"/>
        <v>#ERROR!</v>
      </c>
    </row>
    <row r="636" ht="12.75" customHeight="1">
      <c r="A636" s="244" t="s">
        <v>5158</v>
      </c>
      <c r="B636" s="244" t="s">
        <v>231</v>
      </c>
      <c r="C636" s="244" t="s">
        <v>8446</v>
      </c>
      <c r="D636" s="154" t="s">
        <v>546</v>
      </c>
      <c r="E636" s="154"/>
      <c r="F636" s="154" t="str">
        <f t="array" ref="F636">XLOOKUP(Cover!$D$12,$R$1:$Z$1,$R636:$Z636)</f>
        <v>Information</v>
      </c>
      <c r="G636" s="154" t="s">
        <v>8447</v>
      </c>
      <c r="H636" s="154" t="s">
        <v>8448</v>
      </c>
      <c r="I636" s="154" t="s">
        <v>8448</v>
      </c>
      <c r="J636" s="154" t="s">
        <v>5830</v>
      </c>
      <c r="K636" s="154" t="s">
        <v>8442</v>
      </c>
      <c r="L636" s="154" t="s">
        <v>6529</v>
      </c>
      <c r="M636" s="154"/>
      <c r="N636" s="154" t="s">
        <v>759</v>
      </c>
      <c r="O636" s="247" t="s">
        <v>445</v>
      </c>
      <c r="P636" s="247" t="s">
        <v>6772</v>
      </c>
      <c r="Q636" s="154" t="str">
        <f t="shared" si="1"/>
        <v>#ERROR!</v>
      </c>
      <c r="R636" s="154" t="s">
        <v>66</v>
      </c>
      <c r="S636" s="154" t="s">
        <v>66</v>
      </c>
      <c r="T636" s="154" t="s">
        <v>66</v>
      </c>
      <c r="U636" s="154" t="s">
        <v>66</v>
      </c>
      <c r="V636" s="154" t="s">
        <v>66</v>
      </c>
      <c r="W636" s="154" t="s">
        <v>66</v>
      </c>
      <c r="X636" s="154" t="s">
        <v>66</v>
      </c>
      <c r="Y636" s="154" t="s">
        <v>66</v>
      </c>
      <c r="Z636" s="154" t="s">
        <v>66</v>
      </c>
      <c r="AA636" s="154"/>
      <c r="AB636" s="242" t="str">
        <f t="shared" si="2"/>
        <v>#ERROR!</v>
      </c>
      <c r="AC636" s="154" t="s">
        <v>391</v>
      </c>
      <c r="AD636" s="242" t="b">
        <f t="shared" si="3"/>
        <v>0</v>
      </c>
      <c r="AE636" s="154"/>
      <c r="AF636" s="242" t="str">
        <f t="shared" si="4"/>
        <v>#ERROR!</v>
      </c>
      <c r="AG636" s="154" t="s">
        <v>652</v>
      </c>
      <c r="AH636" s="242" t="str">
        <f>IF(AG636="","N/A",INDIRECT("MTR!"&amp;ADDRESS(MATCH(LEFT(AG636,9),[1]MTR!C:C,0),COLUMN(J636)),TRUE) &amp; "")</f>
        <v>#ERROR!</v>
      </c>
      <c r="AI636" s="157" t="str">
        <f t="shared" si="5"/>
        <v>#ERROR!</v>
      </c>
    </row>
    <row r="637" ht="12.75" customHeight="1">
      <c r="A637" s="244" t="s">
        <v>5158</v>
      </c>
      <c r="B637" s="244" t="s">
        <v>231</v>
      </c>
      <c r="C637" s="244" t="s">
        <v>8449</v>
      </c>
      <c r="D637" s="154" t="s">
        <v>546</v>
      </c>
      <c r="E637" s="154"/>
      <c r="F637" s="154" t="str">
        <f t="array" ref="F637">XLOOKUP(Cover!$D$12,$R$1:$Z$1,$R637:$Z637)</f>
        <v>Information</v>
      </c>
      <c r="G637" s="154" t="s">
        <v>8450</v>
      </c>
      <c r="H637" s="154" t="s">
        <v>8451</v>
      </c>
      <c r="I637" s="154" t="s">
        <v>8451</v>
      </c>
      <c r="J637" s="154" t="s">
        <v>5888</v>
      </c>
      <c r="K637" s="154" t="s">
        <v>8442</v>
      </c>
      <c r="L637" s="154" t="s">
        <v>6529</v>
      </c>
      <c r="M637" s="154"/>
      <c r="N637" s="154" t="s">
        <v>759</v>
      </c>
      <c r="O637" s="247" t="s">
        <v>516</v>
      </c>
      <c r="P637" s="247" t="s">
        <v>6776</v>
      </c>
      <c r="Q637" s="154" t="str">
        <f t="shared" si="1"/>
        <v>#ERROR!</v>
      </c>
      <c r="R637" s="154" t="s">
        <v>66</v>
      </c>
      <c r="S637" s="154" t="s">
        <v>66</v>
      </c>
      <c r="T637" s="154" t="s">
        <v>66</v>
      </c>
      <c r="U637" s="154" t="s">
        <v>66</v>
      </c>
      <c r="V637" s="154" t="s">
        <v>66</v>
      </c>
      <c r="W637" s="154" t="s">
        <v>66</v>
      </c>
      <c r="X637" s="154" t="s">
        <v>66</v>
      </c>
      <c r="Y637" s="154" t="s">
        <v>66</v>
      </c>
      <c r="Z637" s="154" t="s">
        <v>66</v>
      </c>
      <c r="AA637" s="154"/>
      <c r="AB637" s="242" t="str">
        <f t="shared" si="2"/>
        <v>#ERROR!</v>
      </c>
      <c r="AC637" s="154" t="s">
        <v>391</v>
      </c>
      <c r="AD637" s="242" t="b">
        <f t="shared" si="3"/>
        <v>0</v>
      </c>
      <c r="AE637" s="154"/>
      <c r="AF637" s="242" t="str">
        <f t="shared" si="4"/>
        <v>#ERROR!</v>
      </c>
      <c r="AG637" s="154" t="s">
        <v>652</v>
      </c>
      <c r="AH637" s="242" t="str">
        <f>IF(AG637="","N/A",INDIRECT("MTR!"&amp;ADDRESS(MATCH(LEFT(AG637,9),[1]MTR!C:C,0),COLUMN(J637)),TRUE) &amp; "")</f>
        <v>#ERROR!</v>
      </c>
      <c r="AI637" s="157" t="str">
        <f t="shared" si="5"/>
        <v>#ERROR!</v>
      </c>
    </row>
    <row r="638" ht="12.75" customHeight="1">
      <c r="A638" s="244" t="s">
        <v>5158</v>
      </c>
      <c r="B638" s="244" t="s">
        <v>231</v>
      </c>
      <c r="C638" s="244" t="s">
        <v>8452</v>
      </c>
      <c r="D638" s="154" t="s">
        <v>503</v>
      </c>
      <c r="E638" s="154"/>
      <c r="F638" s="154" t="str">
        <f t="array" ref="F638">XLOOKUP(Cover!$D$12,$R$1:$Z$1,$R638:$Z638)</f>
        <v>Information</v>
      </c>
      <c r="G638" s="154" t="s">
        <v>8453</v>
      </c>
      <c r="H638" s="154" t="s">
        <v>8454</v>
      </c>
      <c r="I638" s="154" t="s">
        <v>8454</v>
      </c>
      <c r="J638" s="154" t="s">
        <v>5903</v>
      </c>
      <c r="K638" s="154" t="s">
        <v>8442</v>
      </c>
      <c r="L638" s="154" t="s">
        <v>6463</v>
      </c>
      <c r="M638" s="154"/>
      <c r="N638" s="154" t="s">
        <v>759</v>
      </c>
      <c r="O638" s="247" t="s">
        <v>516</v>
      </c>
      <c r="P638" s="247" t="s">
        <v>6776</v>
      </c>
      <c r="Q638" s="154" t="str">
        <f t="shared" si="1"/>
        <v>#ERROR!</v>
      </c>
      <c r="R638" s="154" t="s">
        <v>66</v>
      </c>
      <c r="S638" s="154" t="s">
        <v>66</v>
      </c>
      <c r="T638" s="154" t="s">
        <v>66</v>
      </c>
      <c r="U638" s="154" t="s">
        <v>66</v>
      </c>
      <c r="V638" s="154" t="s">
        <v>66</v>
      </c>
      <c r="W638" s="154" t="s">
        <v>66</v>
      </c>
      <c r="X638" s="154" t="s">
        <v>66</v>
      </c>
      <c r="Y638" s="154" t="s">
        <v>66</v>
      </c>
      <c r="Z638" s="154" t="s">
        <v>66</v>
      </c>
      <c r="AA638" s="154"/>
      <c r="AB638" s="242" t="str">
        <f t="shared" si="2"/>
        <v>#ERROR!</v>
      </c>
      <c r="AC638" s="154" t="s">
        <v>391</v>
      </c>
      <c r="AD638" s="242" t="b">
        <f t="shared" si="3"/>
        <v>0</v>
      </c>
      <c r="AE638" s="154"/>
      <c r="AF638" s="242" t="str">
        <f t="shared" si="4"/>
        <v>#ERROR!</v>
      </c>
      <c r="AG638" s="154" t="s">
        <v>652</v>
      </c>
      <c r="AH638" s="242" t="str">
        <f>IF(AG638="","N/A",INDIRECT("MTR!"&amp;ADDRESS(MATCH(LEFT(AG638,9),[1]MTR!C:C,0),COLUMN(J638)),TRUE) &amp; "")</f>
        <v>#ERROR!</v>
      </c>
      <c r="AI638" s="157" t="str">
        <f t="shared" si="5"/>
        <v>#ERROR!</v>
      </c>
    </row>
    <row r="639" ht="12.75" customHeight="1">
      <c r="A639" s="238" t="s">
        <v>5158</v>
      </c>
      <c r="B639" s="238" t="s">
        <v>231</v>
      </c>
      <c r="C639" s="238" t="s">
        <v>8455</v>
      </c>
      <c r="D639" s="240"/>
      <c r="E639" s="240" t="s">
        <v>92</v>
      </c>
      <c r="F639" s="240" t="str">
        <f t="array" ref="F639">XLOOKUP(Cover!$D$12,$R$1:$Z$1,$R639:$Z639)</f>
        <v>Heading</v>
      </c>
      <c r="G639" s="239" t="s">
        <v>8456</v>
      </c>
      <c r="H639" s="240"/>
      <c r="I639" s="240"/>
      <c r="J639" s="240"/>
      <c r="K639" s="240"/>
      <c r="L639" s="240"/>
      <c r="M639" s="240"/>
      <c r="N639" s="240" t="s">
        <v>759</v>
      </c>
      <c r="O639" s="240"/>
      <c r="P639" s="240"/>
      <c r="Q639" s="240" t="str">
        <f t="shared" si="1"/>
        <v/>
      </c>
      <c r="R639" s="240" t="s">
        <v>390</v>
      </c>
      <c r="S639" s="240" t="s">
        <v>390</v>
      </c>
      <c r="T639" s="240" t="s">
        <v>390</v>
      </c>
      <c r="U639" s="240" t="s">
        <v>390</v>
      </c>
      <c r="V639" s="240" t="s">
        <v>390</v>
      </c>
      <c r="W639" s="240" t="s">
        <v>390</v>
      </c>
      <c r="X639" s="240" t="s">
        <v>390</v>
      </c>
      <c r="Y639" s="240" t="s">
        <v>390</v>
      </c>
      <c r="Z639" s="240" t="s">
        <v>390</v>
      </c>
      <c r="AA639" s="240"/>
      <c r="AB639" s="242" t="str">
        <f t="shared" si="2"/>
        <v>#ERROR!</v>
      </c>
      <c r="AC639" s="240" t="s">
        <v>391</v>
      </c>
      <c r="AD639" s="242" t="b">
        <f t="shared" si="3"/>
        <v>0</v>
      </c>
      <c r="AE639" s="240"/>
      <c r="AF639" s="242" t="str">
        <f t="shared" si="4"/>
        <v>#ERROR!</v>
      </c>
      <c r="AG639" s="240"/>
      <c r="AH639" s="242" t="str">
        <f>IF(AG639="","N/A",INDIRECT("MTR!"&amp;ADDRESS(MATCH(LEFT(AG639,9),[1]MTR!C:C,0),COLUMN(J639)),TRUE) &amp; "")</f>
        <v>#ERROR!</v>
      </c>
      <c r="AI639" s="157" t="str">
        <f t="shared" si="5"/>
        <v/>
      </c>
    </row>
    <row r="640" ht="12.75" customHeight="1">
      <c r="A640" s="244" t="s">
        <v>5158</v>
      </c>
      <c r="B640" s="244" t="s">
        <v>231</v>
      </c>
      <c r="C640" s="244" t="s">
        <v>8457</v>
      </c>
      <c r="D640" s="154" t="s">
        <v>503</v>
      </c>
      <c r="E640" s="154"/>
      <c r="F640" s="154" t="str">
        <f t="array" ref="F640">XLOOKUP(Cover!$D$12,$R$1:$Z$1,$R640:$Z640)</f>
        <v>Recommended</v>
      </c>
      <c r="G640" s="154" t="s">
        <v>8458</v>
      </c>
      <c r="H640" s="154" t="s">
        <v>8441</v>
      </c>
      <c r="I640" s="154" t="s">
        <v>8459</v>
      </c>
      <c r="J640" s="154" t="s">
        <v>6797</v>
      </c>
      <c r="K640" s="154" t="s">
        <v>8442</v>
      </c>
      <c r="L640" s="154" t="s">
        <v>6463</v>
      </c>
      <c r="M640" s="154"/>
      <c r="N640" s="154" t="s">
        <v>759</v>
      </c>
      <c r="O640" s="247" t="s">
        <v>506</v>
      </c>
      <c r="P640" s="247" t="s">
        <v>6722</v>
      </c>
      <c r="Q640" s="154" t="str">
        <f t="shared" si="1"/>
        <v>#ERROR!</v>
      </c>
      <c r="R640" s="154" t="s">
        <v>66</v>
      </c>
      <c r="S640" s="154" t="s">
        <v>66</v>
      </c>
      <c r="T640" s="154" t="s">
        <v>66</v>
      </c>
      <c r="U640" s="154" t="s">
        <v>66</v>
      </c>
      <c r="V640" s="154" t="s">
        <v>66</v>
      </c>
      <c r="W640" s="154" t="s">
        <v>64</v>
      </c>
      <c r="X640" s="154" t="s">
        <v>66</v>
      </c>
      <c r="Y640" s="154" t="s">
        <v>66</v>
      </c>
      <c r="Z640" s="154" t="s">
        <v>64</v>
      </c>
      <c r="AA640" s="154"/>
      <c r="AB640" s="242" t="str">
        <f t="shared" si="2"/>
        <v>#ERROR!</v>
      </c>
      <c r="AC640" s="154" t="s">
        <v>391</v>
      </c>
      <c r="AD640" s="242" t="b">
        <f t="shared" si="3"/>
        <v>0</v>
      </c>
      <c r="AE640" s="154"/>
      <c r="AF640" s="242" t="str">
        <f t="shared" si="4"/>
        <v>#ERROR!</v>
      </c>
      <c r="AG640" s="154" t="s">
        <v>652</v>
      </c>
      <c r="AH640" s="242" t="str">
        <f>IF(AG640="","N/A",INDIRECT("MTR!"&amp;ADDRESS(MATCH(LEFT(AG640,9),[1]MTR!C:C,0),COLUMN(J640)),TRUE) &amp; "")</f>
        <v>#ERROR!</v>
      </c>
      <c r="AI640" s="157" t="str">
        <f t="shared" si="5"/>
        <v>#ERROR!</v>
      </c>
    </row>
    <row r="641" ht="12.75" customHeight="1">
      <c r="A641" s="244" t="s">
        <v>5158</v>
      </c>
      <c r="B641" s="244" t="s">
        <v>231</v>
      </c>
      <c r="C641" s="244" t="s">
        <v>8460</v>
      </c>
      <c r="D641" s="154" t="s">
        <v>503</v>
      </c>
      <c r="E641" s="154"/>
      <c r="F641" s="154" t="str">
        <f t="array" ref="F641">XLOOKUP(Cover!$D$12,$R$1:$Z$1,$R641:$Z641)</f>
        <v>Information</v>
      </c>
      <c r="G641" s="154" t="s">
        <v>8461</v>
      </c>
      <c r="H641" s="154" t="s">
        <v>8448</v>
      </c>
      <c r="I641" s="154" t="s">
        <v>8459</v>
      </c>
      <c r="J641" s="154" t="s">
        <v>6797</v>
      </c>
      <c r="K641" s="154" t="s">
        <v>8442</v>
      </c>
      <c r="L641" s="154" t="s">
        <v>6463</v>
      </c>
      <c r="M641" s="154"/>
      <c r="N641" s="154" t="s">
        <v>759</v>
      </c>
      <c r="O641" s="247" t="s">
        <v>506</v>
      </c>
      <c r="P641" s="247" t="s">
        <v>6722</v>
      </c>
      <c r="Q641" s="154" t="str">
        <f t="shared" si="1"/>
        <v>#ERROR!</v>
      </c>
      <c r="R641" s="154" t="s">
        <v>66</v>
      </c>
      <c r="S641" s="154" t="s">
        <v>66</v>
      </c>
      <c r="T641" s="154" t="s">
        <v>66</v>
      </c>
      <c r="U641" s="154" t="s">
        <v>66</v>
      </c>
      <c r="V641" s="154" t="s">
        <v>66</v>
      </c>
      <c r="W641" s="154" t="s">
        <v>66</v>
      </c>
      <c r="X641" s="154" t="s">
        <v>66</v>
      </c>
      <c r="Y641" s="154" t="s">
        <v>66</v>
      </c>
      <c r="Z641" s="154" t="s">
        <v>66</v>
      </c>
      <c r="AA641" s="154"/>
      <c r="AB641" s="242" t="str">
        <f t="shared" si="2"/>
        <v>#ERROR!</v>
      </c>
      <c r="AC641" s="154" t="s">
        <v>391</v>
      </c>
      <c r="AD641" s="242" t="b">
        <f t="shared" si="3"/>
        <v>0</v>
      </c>
      <c r="AE641" s="154"/>
      <c r="AF641" s="242" t="str">
        <f t="shared" si="4"/>
        <v>#ERROR!</v>
      </c>
      <c r="AG641" s="154" t="s">
        <v>652</v>
      </c>
      <c r="AH641" s="242" t="str">
        <f>IF(AG641="","N/A",INDIRECT("MTR!"&amp;ADDRESS(MATCH(LEFT(AG641,9),[1]MTR!C:C,0),COLUMN(J641)),TRUE) &amp; "")</f>
        <v>#ERROR!</v>
      </c>
      <c r="AI641" s="157" t="str">
        <f t="shared" si="5"/>
        <v>#ERROR!</v>
      </c>
    </row>
    <row r="642" ht="12.75" customHeight="1">
      <c r="A642" s="244" t="s">
        <v>5158</v>
      </c>
      <c r="B642" s="244" t="s">
        <v>231</v>
      </c>
      <c r="C642" s="244" t="s">
        <v>8462</v>
      </c>
      <c r="D642" s="154" t="s">
        <v>503</v>
      </c>
      <c r="E642" s="154"/>
      <c r="F642" s="154" t="str">
        <f t="array" ref="F642">XLOOKUP(Cover!$D$12,$R$1:$Z$1,$R642:$Z642)</f>
        <v>Information</v>
      </c>
      <c r="G642" s="154" t="s">
        <v>8463</v>
      </c>
      <c r="H642" s="154" t="s">
        <v>8441</v>
      </c>
      <c r="I642" s="154" t="s">
        <v>8464</v>
      </c>
      <c r="J642" s="154" t="s">
        <v>7349</v>
      </c>
      <c r="K642" s="154" t="s">
        <v>8442</v>
      </c>
      <c r="L642" s="154" t="s">
        <v>6463</v>
      </c>
      <c r="M642" s="154"/>
      <c r="N642" s="154" t="s">
        <v>759</v>
      </c>
      <c r="O642" s="247" t="s">
        <v>516</v>
      </c>
      <c r="P642" s="247" t="s">
        <v>6776</v>
      </c>
      <c r="Q642" s="154" t="str">
        <f t="shared" si="1"/>
        <v>#ERROR!</v>
      </c>
      <c r="R642" s="154" t="s">
        <v>66</v>
      </c>
      <c r="S642" s="154" t="s">
        <v>66</v>
      </c>
      <c r="T642" s="154" t="s">
        <v>66</v>
      </c>
      <c r="U642" s="154" t="s">
        <v>66</v>
      </c>
      <c r="V642" s="154" t="s">
        <v>66</v>
      </c>
      <c r="W642" s="154" t="s">
        <v>66</v>
      </c>
      <c r="X642" s="154" t="s">
        <v>66</v>
      </c>
      <c r="Y642" s="154" t="s">
        <v>66</v>
      </c>
      <c r="Z642" s="154" t="s">
        <v>66</v>
      </c>
      <c r="AA642" s="154"/>
      <c r="AB642" s="242" t="str">
        <f t="shared" si="2"/>
        <v>#ERROR!</v>
      </c>
      <c r="AC642" s="154" t="s">
        <v>391</v>
      </c>
      <c r="AD642" s="242" t="b">
        <f t="shared" si="3"/>
        <v>0</v>
      </c>
      <c r="AE642" s="154"/>
      <c r="AF642" s="242" t="str">
        <f t="shared" si="4"/>
        <v>#ERROR!</v>
      </c>
      <c r="AG642" s="154" t="s">
        <v>652</v>
      </c>
      <c r="AH642" s="242" t="str">
        <f>IF(AG642="","N/A",INDIRECT("MTR!"&amp;ADDRESS(MATCH(LEFT(AG642,9),[1]MTR!C:C,0),COLUMN(J642)),TRUE) &amp; "")</f>
        <v>#ERROR!</v>
      </c>
      <c r="AI642" s="157" t="str">
        <f t="shared" si="5"/>
        <v>#ERROR!</v>
      </c>
    </row>
    <row r="643" ht="12.75" customHeight="1">
      <c r="A643" s="244" t="s">
        <v>5158</v>
      </c>
      <c r="B643" s="244" t="s">
        <v>231</v>
      </c>
      <c r="C643" s="244" t="s">
        <v>8465</v>
      </c>
      <c r="D643" s="154" t="s">
        <v>503</v>
      </c>
      <c r="E643" s="154"/>
      <c r="F643" s="154" t="str">
        <f t="array" ref="F643">XLOOKUP(Cover!$D$12,$R$1:$Z$1,$R643:$Z643)</f>
        <v>Information</v>
      </c>
      <c r="G643" s="154" t="s">
        <v>8466</v>
      </c>
      <c r="H643" s="154" t="s">
        <v>8451</v>
      </c>
      <c r="I643" s="154" t="s">
        <v>8464</v>
      </c>
      <c r="J643" s="154" t="s">
        <v>7349</v>
      </c>
      <c r="K643" s="154" t="s">
        <v>8442</v>
      </c>
      <c r="L643" s="154" t="s">
        <v>6463</v>
      </c>
      <c r="M643" s="154"/>
      <c r="N643" s="154" t="s">
        <v>759</v>
      </c>
      <c r="O643" s="247" t="s">
        <v>516</v>
      </c>
      <c r="P643" s="247" t="s">
        <v>6776</v>
      </c>
      <c r="Q643" s="154" t="str">
        <f t="shared" si="1"/>
        <v>#ERROR!</v>
      </c>
      <c r="R643" s="154" t="s">
        <v>66</v>
      </c>
      <c r="S643" s="154" t="s">
        <v>66</v>
      </c>
      <c r="T643" s="154" t="s">
        <v>66</v>
      </c>
      <c r="U643" s="154" t="s">
        <v>66</v>
      </c>
      <c r="V643" s="154" t="s">
        <v>66</v>
      </c>
      <c r="W643" s="154" t="s">
        <v>66</v>
      </c>
      <c r="X643" s="154" t="s">
        <v>66</v>
      </c>
      <c r="Y643" s="154" t="s">
        <v>66</v>
      </c>
      <c r="Z643" s="154" t="s">
        <v>66</v>
      </c>
      <c r="AA643" s="154"/>
      <c r="AB643" s="242" t="str">
        <f t="shared" si="2"/>
        <v>#ERROR!</v>
      </c>
      <c r="AC643" s="154" t="s">
        <v>391</v>
      </c>
      <c r="AD643" s="242" t="b">
        <f t="shared" si="3"/>
        <v>0</v>
      </c>
      <c r="AE643" s="154"/>
      <c r="AF643" s="242" t="str">
        <f t="shared" si="4"/>
        <v>#ERROR!</v>
      </c>
      <c r="AG643" s="154" t="s">
        <v>652</v>
      </c>
      <c r="AH643" s="242" t="str">
        <f>IF(AG643="","N/A",INDIRECT("MTR!"&amp;ADDRESS(MATCH(LEFT(AG643,9),[1]MTR!C:C,0),COLUMN(J643)),TRUE) &amp; "")</f>
        <v>#ERROR!</v>
      </c>
      <c r="AI643" s="157" t="str">
        <f t="shared" si="5"/>
        <v>#ERROR!</v>
      </c>
    </row>
    <row r="644" ht="12.75" customHeight="1">
      <c r="A644" s="244" t="s">
        <v>5158</v>
      </c>
      <c r="B644" s="244" t="s">
        <v>231</v>
      </c>
      <c r="C644" s="244" t="s">
        <v>8467</v>
      </c>
      <c r="D644" s="154" t="s">
        <v>503</v>
      </c>
      <c r="E644" s="154"/>
      <c r="F644" s="154" t="str">
        <f t="array" ref="F644">XLOOKUP(Cover!$D$12,$R$1:$Z$1,$R644:$Z644)</f>
        <v>Information</v>
      </c>
      <c r="G644" s="154" t="s">
        <v>8468</v>
      </c>
      <c r="H644" s="154" t="s">
        <v>8441</v>
      </c>
      <c r="I644" s="154" t="s">
        <v>8469</v>
      </c>
      <c r="J644" s="154" t="s">
        <v>7360</v>
      </c>
      <c r="K644" s="154" t="s">
        <v>8442</v>
      </c>
      <c r="L644" s="154" t="s">
        <v>6463</v>
      </c>
      <c r="M644" s="154"/>
      <c r="N644" s="154" t="s">
        <v>759</v>
      </c>
      <c r="O644" s="247" t="s">
        <v>506</v>
      </c>
      <c r="P644" s="247" t="s">
        <v>6722</v>
      </c>
      <c r="Q644" s="154" t="str">
        <f t="shared" si="1"/>
        <v>#ERROR!</v>
      </c>
      <c r="R644" s="154" t="s">
        <v>66</v>
      </c>
      <c r="S644" s="154" t="s">
        <v>66</v>
      </c>
      <c r="T644" s="154" t="s">
        <v>66</v>
      </c>
      <c r="U644" s="154" t="s">
        <v>66</v>
      </c>
      <c r="V644" s="154" t="s">
        <v>66</v>
      </c>
      <c r="W644" s="154" t="s">
        <v>66</v>
      </c>
      <c r="X644" s="154" t="s">
        <v>66</v>
      </c>
      <c r="Y644" s="154" t="s">
        <v>66</v>
      </c>
      <c r="Z644" s="154" t="s">
        <v>66</v>
      </c>
      <c r="AA644" s="154"/>
      <c r="AB644" s="242" t="str">
        <f t="shared" si="2"/>
        <v>#ERROR!</v>
      </c>
      <c r="AC644" s="154" t="s">
        <v>391</v>
      </c>
      <c r="AD644" s="242" t="b">
        <f t="shared" si="3"/>
        <v>0</v>
      </c>
      <c r="AE644" s="154"/>
      <c r="AF644" s="242" t="str">
        <f t="shared" si="4"/>
        <v>#ERROR!</v>
      </c>
      <c r="AG644" s="154" t="s">
        <v>652</v>
      </c>
      <c r="AH644" s="242" t="str">
        <f>IF(AG644="","N/A",INDIRECT("MTR!"&amp;ADDRESS(MATCH(LEFT(AG644,9),[1]MTR!C:C,0),COLUMN(J644)),TRUE) &amp; "")</f>
        <v>#ERROR!</v>
      </c>
      <c r="AI644" s="157" t="str">
        <f t="shared" si="5"/>
        <v>#ERROR!</v>
      </c>
    </row>
    <row r="645" ht="12.75" customHeight="1">
      <c r="A645" s="244" t="s">
        <v>5158</v>
      </c>
      <c r="B645" s="244" t="s">
        <v>231</v>
      </c>
      <c r="C645" s="244" t="s">
        <v>8470</v>
      </c>
      <c r="D645" s="154" t="s">
        <v>503</v>
      </c>
      <c r="E645" s="154"/>
      <c r="F645" s="154" t="str">
        <f t="array" ref="F645">XLOOKUP(Cover!$D$12,$R$1:$Z$1,$R645:$Z645)</f>
        <v>Information</v>
      </c>
      <c r="G645" s="154" t="s">
        <v>8471</v>
      </c>
      <c r="H645" s="154" t="s">
        <v>8454</v>
      </c>
      <c r="I645" s="154" t="s">
        <v>8469</v>
      </c>
      <c r="J645" s="154" t="s">
        <v>7360</v>
      </c>
      <c r="K645" s="154" t="s">
        <v>8442</v>
      </c>
      <c r="L645" s="154" t="s">
        <v>6463</v>
      </c>
      <c r="M645" s="154"/>
      <c r="N645" s="154" t="s">
        <v>759</v>
      </c>
      <c r="O645" s="247" t="s">
        <v>516</v>
      </c>
      <c r="P645" s="247" t="s">
        <v>6776</v>
      </c>
      <c r="Q645" s="154" t="str">
        <f t="shared" si="1"/>
        <v>#ERROR!</v>
      </c>
      <c r="R645" s="154" t="s">
        <v>66</v>
      </c>
      <c r="S645" s="154" t="s">
        <v>66</v>
      </c>
      <c r="T645" s="154" t="s">
        <v>66</v>
      </c>
      <c r="U645" s="154" t="s">
        <v>66</v>
      </c>
      <c r="V645" s="154" t="s">
        <v>66</v>
      </c>
      <c r="W645" s="154" t="s">
        <v>66</v>
      </c>
      <c r="X645" s="154" t="s">
        <v>66</v>
      </c>
      <c r="Y645" s="154" t="s">
        <v>66</v>
      </c>
      <c r="Z645" s="154" t="s">
        <v>66</v>
      </c>
      <c r="AA645" s="154"/>
      <c r="AB645" s="242" t="str">
        <f t="shared" si="2"/>
        <v>#ERROR!</v>
      </c>
      <c r="AC645" s="154" t="s">
        <v>391</v>
      </c>
      <c r="AD645" s="242" t="b">
        <f t="shared" si="3"/>
        <v>0</v>
      </c>
      <c r="AE645" s="154"/>
      <c r="AF645" s="242" t="str">
        <f t="shared" si="4"/>
        <v>#ERROR!</v>
      </c>
      <c r="AG645" s="154" t="s">
        <v>652</v>
      </c>
      <c r="AH645" s="242" t="str">
        <f>IF(AG645="","N/A",INDIRECT("MTR!"&amp;ADDRESS(MATCH(LEFT(AG645,9),[1]MTR!C:C,0),COLUMN(J645)),TRUE) &amp; "")</f>
        <v>#ERROR!</v>
      </c>
      <c r="AI645" s="157" t="str">
        <f t="shared" si="5"/>
        <v>#ERROR!</v>
      </c>
    </row>
    <row r="646" ht="12.75" customHeight="1">
      <c r="A646" s="244" t="s">
        <v>5158</v>
      </c>
      <c r="B646" s="244" t="s">
        <v>231</v>
      </c>
      <c r="C646" s="244" t="s">
        <v>8472</v>
      </c>
      <c r="D646" s="154" t="s">
        <v>1773</v>
      </c>
      <c r="E646" s="154"/>
      <c r="F646" s="154" t="str">
        <f t="array" ref="F646">XLOOKUP(Cover!$D$12,$R$1:$Z$1,$R646:$Z646)</f>
        <v>Recommended</v>
      </c>
      <c r="G646" s="154" t="s">
        <v>8473</v>
      </c>
      <c r="H646" s="154" t="s">
        <v>8445</v>
      </c>
      <c r="I646" s="154" t="s">
        <v>8474</v>
      </c>
      <c r="J646" s="154" t="s">
        <v>6809</v>
      </c>
      <c r="K646" s="154" t="s">
        <v>8442</v>
      </c>
      <c r="L646" s="154" t="s">
        <v>7175</v>
      </c>
      <c r="M646" s="154"/>
      <c r="N646" s="154" t="s">
        <v>759</v>
      </c>
      <c r="O646" s="247" t="s">
        <v>445</v>
      </c>
      <c r="P646" s="247" t="s">
        <v>6772</v>
      </c>
      <c r="Q646" s="154" t="str">
        <f t="shared" si="1"/>
        <v>#ERROR!</v>
      </c>
      <c r="R646" s="154" t="s">
        <v>66</v>
      </c>
      <c r="S646" s="154" t="s">
        <v>66</v>
      </c>
      <c r="T646" s="154" t="s">
        <v>66</v>
      </c>
      <c r="U646" s="154" t="s">
        <v>66</v>
      </c>
      <c r="V646" s="154" t="s">
        <v>66</v>
      </c>
      <c r="W646" s="154" t="s">
        <v>64</v>
      </c>
      <c r="X646" s="154" t="s">
        <v>66</v>
      </c>
      <c r="Y646" s="154" t="s">
        <v>66</v>
      </c>
      <c r="Z646" s="154" t="s">
        <v>64</v>
      </c>
      <c r="AA646" s="154"/>
      <c r="AB646" s="242" t="str">
        <f t="shared" si="2"/>
        <v>#ERROR!</v>
      </c>
      <c r="AC646" s="154" t="s">
        <v>391</v>
      </c>
      <c r="AD646" s="242" t="b">
        <f t="shared" si="3"/>
        <v>0</v>
      </c>
      <c r="AE646" s="154"/>
      <c r="AF646" s="242" t="str">
        <f t="shared" si="4"/>
        <v>#ERROR!</v>
      </c>
      <c r="AG646" s="154" t="s">
        <v>652</v>
      </c>
      <c r="AH646" s="242" t="str">
        <f>IF(AG646="","N/A",INDIRECT("MTR!"&amp;ADDRESS(MATCH(LEFT(AG646,9),[1]MTR!C:C,0),COLUMN(J646)),TRUE) &amp; "")</f>
        <v>#ERROR!</v>
      </c>
      <c r="AI646" s="157" t="str">
        <f t="shared" si="5"/>
        <v>#ERROR!</v>
      </c>
    </row>
    <row r="647" ht="12.75" customHeight="1">
      <c r="A647" s="244" t="s">
        <v>5158</v>
      </c>
      <c r="B647" s="244" t="s">
        <v>231</v>
      </c>
      <c r="C647" s="244" t="s">
        <v>8475</v>
      </c>
      <c r="D647" s="154" t="s">
        <v>503</v>
      </c>
      <c r="E647" s="154"/>
      <c r="F647" s="154" t="str">
        <f t="array" ref="F647">XLOOKUP(Cover!$D$12,$R$1:$Z$1,$R647:$Z647)</f>
        <v>Information</v>
      </c>
      <c r="G647" s="154" t="s">
        <v>8476</v>
      </c>
      <c r="H647" s="154" t="s">
        <v>8451</v>
      </c>
      <c r="I647" s="154" t="s">
        <v>8477</v>
      </c>
      <c r="J647" s="154" t="s">
        <v>6858</v>
      </c>
      <c r="K647" s="154" t="s">
        <v>8442</v>
      </c>
      <c r="L647" s="154" t="s">
        <v>6463</v>
      </c>
      <c r="M647" s="154"/>
      <c r="N647" s="154" t="s">
        <v>759</v>
      </c>
      <c r="O647" s="247" t="s">
        <v>516</v>
      </c>
      <c r="P647" s="247" t="s">
        <v>6776</v>
      </c>
      <c r="Q647" s="154" t="str">
        <f t="shared" si="1"/>
        <v>#ERROR!</v>
      </c>
      <c r="R647" s="154" t="s">
        <v>66</v>
      </c>
      <c r="S647" s="154" t="s">
        <v>66</v>
      </c>
      <c r="T647" s="154" t="s">
        <v>66</v>
      </c>
      <c r="U647" s="154" t="s">
        <v>66</v>
      </c>
      <c r="V647" s="154" t="s">
        <v>66</v>
      </c>
      <c r="W647" s="154" t="s">
        <v>66</v>
      </c>
      <c r="X647" s="154" t="s">
        <v>66</v>
      </c>
      <c r="Y647" s="154" t="s">
        <v>66</v>
      </c>
      <c r="Z647" s="154" t="s">
        <v>66</v>
      </c>
      <c r="AA647" s="154"/>
      <c r="AB647" s="242" t="str">
        <f t="shared" si="2"/>
        <v>#ERROR!</v>
      </c>
      <c r="AC647" s="154" t="s">
        <v>391</v>
      </c>
      <c r="AD647" s="242" t="b">
        <f t="shared" si="3"/>
        <v>0</v>
      </c>
      <c r="AE647" s="154"/>
      <c r="AF647" s="242" t="str">
        <f t="shared" si="4"/>
        <v>#ERROR!</v>
      </c>
      <c r="AG647" s="154" t="s">
        <v>652</v>
      </c>
      <c r="AH647" s="242" t="str">
        <f>IF(AG647="","N/A",INDIRECT("MTR!"&amp;ADDRESS(MATCH(LEFT(AG647,9),[1]MTR!C:C,0),COLUMN(J647)),TRUE) &amp; "")</f>
        <v>#ERROR!</v>
      </c>
      <c r="AI647" s="157" t="str">
        <f t="shared" si="5"/>
        <v>#ERROR!</v>
      </c>
    </row>
    <row r="648" ht="12.75" customHeight="1">
      <c r="A648" s="244" t="s">
        <v>5158</v>
      </c>
      <c r="B648" s="244" t="s">
        <v>231</v>
      </c>
      <c r="C648" s="244" t="s">
        <v>8478</v>
      </c>
      <c r="D648" s="154" t="s">
        <v>503</v>
      </c>
      <c r="E648" s="154"/>
      <c r="F648" s="154" t="str">
        <f t="array" ref="F648">XLOOKUP(Cover!$D$12,$R$1:$Z$1,$R648:$Z648)</f>
        <v>Information</v>
      </c>
      <c r="G648" s="154" t="s">
        <v>8479</v>
      </c>
      <c r="H648" s="154" t="s">
        <v>8448</v>
      </c>
      <c r="I648" s="154" t="s">
        <v>8477</v>
      </c>
      <c r="J648" s="154" t="s">
        <v>6858</v>
      </c>
      <c r="K648" s="154" t="s">
        <v>8442</v>
      </c>
      <c r="L648" s="154" t="s">
        <v>6463</v>
      </c>
      <c r="M648" s="154"/>
      <c r="N648" s="154" t="s">
        <v>759</v>
      </c>
      <c r="O648" s="247" t="s">
        <v>516</v>
      </c>
      <c r="P648" s="247" t="s">
        <v>6776</v>
      </c>
      <c r="Q648" s="154" t="str">
        <f t="shared" si="1"/>
        <v>#ERROR!</v>
      </c>
      <c r="R648" s="154" t="s">
        <v>66</v>
      </c>
      <c r="S648" s="154" t="s">
        <v>66</v>
      </c>
      <c r="T648" s="154" t="s">
        <v>66</v>
      </c>
      <c r="U648" s="154" t="s">
        <v>66</v>
      </c>
      <c r="V648" s="154" t="s">
        <v>66</v>
      </c>
      <c r="W648" s="154" t="s">
        <v>66</v>
      </c>
      <c r="X648" s="154" t="s">
        <v>66</v>
      </c>
      <c r="Y648" s="154" t="s">
        <v>66</v>
      </c>
      <c r="Z648" s="154" t="s">
        <v>66</v>
      </c>
      <c r="AA648" s="154"/>
      <c r="AB648" s="242" t="str">
        <f t="shared" si="2"/>
        <v>#ERROR!</v>
      </c>
      <c r="AC648" s="154" t="s">
        <v>391</v>
      </c>
      <c r="AD648" s="242" t="b">
        <f t="shared" si="3"/>
        <v>0</v>
      </c>
      <c r="AE648" s="154"/>
      <c r="AF648" s="242" t="str">
        <f t="shared" si="4"/>
        <v>#ERROR!</v>
      </c>
      <c r="AG648" s="154" t="s">
        <v>652</v>
      </c>
      <c r="AH648" s="242" t="str">
        <f>IF(AG648="","N/A",INDIRECT("MTR!"&amp;ADDRESS(MATCH(LEFT(AG648,9),[1]MTR!C:C,0),COLUMN(J648)),TRUE) &amp; "")</f>
        <v>#ERROR!</v>
      </c>
      <c r="AI648" s="157" t="str">
        <f t="shared" si="5"/>
        <v>#ERROR!</v>
      </c>
    </row>
    <row r="649" ht="12.75" customHeight="1">
      <c r="A649" s="244" t="s">
        <v>5158</v>
      </c>
      <c r="B649" s="244" t="s">
        <v>231</v>
      </c>
      <c r="C649" s="244" t="s">
        <v>8480</v>
      </c>
      <c r="D649" s="154" t="s">
        <v>503</v>
      </c>
      <c r="E649" s="154"/>
      <c r="F649" s="154" t="str">
        <f t="array" ref="F649">XLOOKUP(Cover!$D$12,$R$1:$Z$1,$R649:$Z649)</f>
        <v>Information</v>
      </c>
      <c r="G649" s="154" t="s">
        <v>8481</v>
      </c>
      <c r="H649" s="154" t="s">
        <v>8448</v>
      </c>
      <c r="I649" s="154" t="s">
        <v>8482</v>
      </c>
      <c r="J649" s="154" t="s">
        <v>6872</v>
      </c>
      <c r="K649" s="154" t="s">
        <v>8442</v>
      </c>
      <c r="L649" s="154" t="s">
        <v>6463</v>
      </c>
      <c r="M649" s="154"/>
      <c r="N649" s="154" t="s">
        <v>759</v>
      </c>
      <c r="O649" s="247" t="s">
        <v>506</v>
      </c>
      <c r="P649" s="247" t="s">
        <v>6722</v>
      </c>
      <c r="Q649" s="154" t="str">
        <f t="shared" si="1"/>
        <v>#ERROR!</v>
      </c>
      <c r="R649" s="154" t="s">
        <v>66</v>
      </c>
      <c r="S649" s="154" t="s">
        <v>66</v>
      </c>
      <c r="T649" s="154" t="s">
        <v>66</v>
      </c>
      <c r="U649" s="154" t="s">
        <v>66</v>
      </c>
      <c r="V649" s="154" t="s">
        <v>66</v>
      </c>
      <c r="W649" s="154" t="s">
        <v>66</v>
      </c>
      <c r="X649" s="154" t="s">
        <v>66</v>
      </c>
      <c r="Y649" s="154" t="s">
        <v>66</v>
      </c>
      <c r="Z649" s="154" t="s">
        <v>66</v>
      </c>
      <c r="AA649" s="154"/>
      <c r="AB649" s="242" t="str">
        <f t="shared" si="2"/>
        <v>#ERROR!</v>
      </c>
      <c r="AC649" s="154" t="s">
        <v>391</v>
      </c>
      <c r="AD649" s="242" t="b">
        <f t="shared" si="3"/>
        <v>0</v>
      </c>
      <c r="AE649" s="154"/>
      <c r="AF649" s="242" t="str">
        <f t="shared" si="4"/>
        <v>#ERROR!</v>
      </c>
      <c r="AG649" s="154" t="s">
        <v>652</v>
      </c>
      <c r="AH649" s="242" t="str">
        <f>IF(AG649="","N/A",INDIRECT("MTR!"&amp;ADDRESS(MATCH(LEFT(AG649,9),[1]MTR!C:C,0),COLUMN(J649)),TRUE) &amp; "")</f>
        <v>#ERROR!</v>
      </c>
      <c r="AI649" s="157" t="str">
        <f t="shared" si="5"/>
        <v>#ERROR!</v>
      </c>
    </row>
    <row r="650" ht="12.75" customHeight="1">
      <c r="A650" s="244" t="s">
        <v>5158</v>
      </c>
      <c r="B650" s="244" t="s">
        <v>231</v>
      </c>
      <c r="C650" s="244" t="s">
        <v>8483</v>
      </c>
      <c r="D650" s="154" t="s">
        <v>503</v>
      </c>
      <c r="E650" s="154"/>
      <c r="F650" s="154" t="str">
        <f t="array" ref="F650">XLOOKUP(Cover!$D$12,$R$1:$Z$1,$R650:$Z650)</f>
        <v>Information</v>
      </c>
      <c r="G650" s="154" t="s">
        <v>8484</v>
      </c>
      <c r="H650" s="154" t="s">
        <v>8454</v>
      </c>
      <c r="I650" s="154" t="s">
        <v>8482</v>
      </c>
      <c r="J650" s="154" t="s">
        <v>6872</v>
      </c>
      <c r="K650" s="154" t="s">
        <v>8442</v>
      </c>
      <c r="L650" s="154" t="s">
        <v>6463</v>
      </c>
      <c r="M650" s="154"/>
      <c r="N650" s="154" t="s">
        <v>759</v>
      </c>
      <c r="O650" s="247" t="s">
        <v>516</v>
      </c>
      <c r="P650" s="247" t="s">
        <v>6776</v>
      </c>
      <c r="Q650" s="154" t="str">
        <f t="shared" si="1"/>
        <v>#ERROR!</v>
      </c>
      <c r="R650" s="154" t="s">
        <v>66</v>
      </c>
      <c r="S650" s="154" t="s">
        <v>66</v>
      </c>
      <c r="T650" s="154" t="s">
        <v>66</v>
      </c>
      <c r="U650" s="154" t="s">
        <v>66</v>
      </c>
      <c r="V650" s="154" t="s">
        <v>66</v>
      </c>
      <c r="W650" s="154" t="s">
        <v>66</v>
      </c>
      <c r="X650" s="154" t="s">
        <v>66</v>
      </c>
      <c r="Y650" s="154" t="s">
        <v>66</v>
      </c>
      <c r="Z650" s="154" t="s">
        <v>66</v>
      </c>
      <c r="AA650" s="154"/>
      <c r="AB650" s="242" t="str">
        <f t="shared" si="2"/>
        <v>#ERROR!</v>
      </c>
      <c r="AC650" s="154" t="s">
        <v>391</v>
      </c>
      <c r="AD650" s="242" t="b">
        <f t="shared" si="3"/>
        <v>0</v>
      </c>
      <c r="AE650" s="154"/>
      <c r="AF650" s="242" t="str">
        <f t="shared" si="4"/>
        <v>#ERROR!</v>
      </c>
      <c r="AG650" s="154" t="s">
        <v>652</v>
      </c>
      <c r="AH650" s="242" t="str">
        <f>IF(AG650="","N/A",INDIRECT("MTR!"&amp;ADDRESS(MATCH(LEFT(AG650,9),[1]MTR!C:C,0),COLUMN(J650)),TRUE) &amp; "")</f>
        <v>#ERROR!</v>
      </c>
      <c r="AI650" s="157" t="str">
        <f t="shared" si="5"/>
        <v>#ERROR!</v>
      </c>
    </row>
    <row r="651" ht="12.75" customHeight="1">
      <c r="A651" s="238" t="s">
        <v>5158</v>
      </c>
      <c r="B651" s="238" t="s">
        <v>231</v>
      </c>
      <c r="C651" s="238" t="s">
        <v>8485</v>
      </c>
      <c r="D651" s="240"/>
      <c r="E651" s="240" t="s">
        <v>92</v>
      </c>
      <c r="F651" s="240" t="str">
        <f t="array" ref="F651">XLOOKUP(Cover!$D$12,$R$1:$Z$1,$R651:$Z651)</f>
        <v>Heading</v>
      </c>
      <c r="G651" s="239" t="s">
        <v>8486</v>
      </c>
      <c r="H651" s="240"/>
      <c r="I651" s="240"/>
      <c r="J651" s="240"/>
      <c r="K651" s="240"/>
      <c r="L651" s="240"/>
      <c r="M651" s="240"/>
      <c r="N651" s="240" t="s">
        <v>759</v>
      </c>
      <c r="O651" s="240"/>
      <c r="P651" s="240"/>
      <c r="Q651" s="240" t="str">
        <f t="shared" si="1"/>
        <v/>
      </c>
      <c r="R651" s="240" t="s">
        <v>390</v>
      </c>
      <c r="S651" s="240" t="s">
        <v>390</v>
      </c>
      <c r="T651" s="240" t="s">
        <v>390</v>
      </c>
      <c r="U651" s="240" t="s">
        <v>390</v>
      </c>
      <c r="V651" s="240" t="s">
        <v>390</v>
      </c>
      <c r="W651" s="240" t="s">
        <v>390</v>
      </c>
      <c r="X651" s="240" t="s">
        <v>390</v>
      </c>
      <c r="Y651" s="240" t="s">
        <v>390</v>
      </c>
      <c r="Z651" s="240" t="s">
        <v>390</v>
      </c>
      <c r="AA651" s="240"/>
      <c r="AB651" s="242" t="str">
        <f t="shared" si="2"/>
        <v>#ERROR!</v>
      </c>
      <c r="AC651" s="240" t="s">
        <v>391</v>
      </c>
      <c r="AD651" s="242" t="b">
        <f t="shared" si="3"/>
        <v>0</v>
      </c>
      <c r="AE651" s="240"/>
      <c r="AF651" s="242" t="str">
        <f t="shared" si="4"/>
        <v>#ERROR!</v>
      </c>
      <c r="AG651" s="240"/>
      <c r="AH651" s="242" t="str">
        <f>IF(AG651="","N/A",INDIRECT("MTR!"&amp;ADDRESS(MATCH(LEFT(AG651,9),[1]MTR!C:C,0),COLUMN(J651)),TRUE) &amp; "")</f>
        <v>#ERROR!</v>
      </c>
      <c r="AI651" s="157" t="str">
        <f t="shared" si="5"/>
        <v/>
      </c>
    </row>
    <row r="652" ht="12.75" customHeight="1">
      <c r="A652" s="244" t="s">
        <v>5158</v>
      </c>
      <c r="B652" s="244" t="s">
        <v>231</v>
      </c>
      <c r="C652" s="244" t="s">
        <v>8487</v>
      </c>
      <c r="D652" s="154" t="s">
        <v>503</v>
      </c>
      <c r="E652" s="154"/>
      <c r="F652" s="154" t="str">
        <f t="array" ref="F652">XLOOKUP(Cover!$D$12,$R$1:$Z$1,$R652:$Z652)</f>
        <v>Information</v>
      </c>
      <c r="G652" s="154" t="s">
        <v>8488</v>
      </c>
      <c r="H652" s="154" t="s">
        <v>8441</v>
      </c>
      <c r="I652" s="154" t="s">
        <v>8489</v>
      </c>
      <c r="J652" s="154" t="s">
        <v>7494</v>
      </c>
      <c r="K652" s="154" t="s">
        <v>8442</v>
      </c>
      <c r="L652" s="154" t="s">
        <v>6463</v>
      </c>
      <c r="M652" s="154"/>
      <c r="N652" s="154" t="s">
        <v>759</v>
      </c>
      <c r="O652" s="247" t="s">
        <v>516</v>
      </c>
      <c r="P652" s="247" t="s">
        <v>6776</v>
      </c>
      <c r="Q652" s="154" t="str">
        <f t="shared" si="1"/>
        <v>#ERROR!</v>
      </c>
      <c r="R652" s="154" t="s">
        <v>66</v>
      </c>
      <c r="S652" s="154" t="s">
        <v>66</v>
      </c>
      <c r="T652" s="154" t="s">
        <v>66</v>
      </c>
      <c r="U652" s="154" t="s">
        <v>66</v>
      </c>
      <c r="V652" s="154" t="s">
        <v>66</v>
      </c>
      <c r="W652" s="154" t="s">
        <v>66</v>
      </c>
      <c r="X652" s="154" t="s">
        <v>66</v>
      </c>
      <c r="Y652" s="154" t="s">
        <v>66</v>
      </c>
      <c r="Z652" s="154" t="s">
        <v>66</v>
      </c>
      <c r="AA652" s="154"/>
      <c r="AB652" s="242" t="str">
        <f t="shared" si="2"/>
        <v>#ERROR!</v>
      </c>
      <c r="AC652" s="154" t="s">
        <v>391</v>
      </c>
      <c r="AD652" s="242" t="b">
        <f t="shared" si="3"/>
        <v>0</v>
      </c>
      <c r="AE652" s="154"/>
      <c r="AF652" s="242" t="str">
        <f t="shared" si="4"/>
        <v>#ERROR!</v>
      </c>
      <c r="AG652" s="154" t="s">
        <v>652</v>
      </c>
      <c r="AH652" s="242" t="str">
        <f>IF(AG652="","N/A",INDIRECT("MTR!"&amp;ADDRESS(MATCH(LEFT(AG652,9),[1]MTR!C:C,0),COLUMN(J652)),TRUE) &amp; "")</f>
        <v>#ERROR!</v>
      </c>
      <c r="AI652" s="157" t="str">
        <f t="shared" si="5"/>
        <v>#ERROR!</v>
      </c>
    </row>
    <row r="653" ht="12.75" customHeight="1">
      <c r="A653" s="244" t="s">
        <v>5158</v>
      </c>
      <c r="B653" s="244" t="s">
        <v>231</v>
      </c>
      <c r="C653" s="244" t="s">
        <v>8490</v>
      </c>
      <c r="D653" s="154" t="s">
        <v>503</v>
      </c>
      <c r="E653" s="154"/>
      <c r="F653" s="154" t="str">
        <f t="array" ref="F653">XLOOKUP(Cover!$D$12,$R$1:$Z$1,$R653:$Z653)</f>
        <v>Information</v>
      </c>
      <c r="G653" s="154" t="s">
        <v>8491</v>
      </c>
      <c r="H653" s="154" t="s">
        <v>8448</v>
      </c>
      <c r="I653" s="154" t="s">
        <v>8489</v>
      </c>
      <c r="J653" s="154" t="s">
        <v>7494</v>
      </c>
      <c r="K653" s="154" t="s">
        <v>8442</v>
      </c>
      <c r="L653" s="154" t="s">
        <v>6463</v>
      </c>
      <c r="M653" s="154"/>
      <c r="N653" s="154" t="s">
        <v>759</v>
      </c>
      <c r="O653" s="247" t="s">
        <v>516</v>
      </c>
      <c r="P653" s="247" t="s">
        <v>6776</v>
      </c>
      <c r="Q653" s="154" t="str">
        <f t="shared" si="1"/>
        <v>#ERROR!</v>
      </c>
      <c r="R653" s="154" t="s">
        <v>66</v>
      </c>
      <c r="S653" s="154" t="s">
        <v>66</v>
      </c>
      <c r="T653" s="154" t="s">
        <v>66</v>
      </c>
      <c r="U653" s="154" t="s">
        <v>66</v>
      </c>
      <c r="V653" s="154" t="s">
        <v>66</v>
      </c>
      <c r="W653" s="154" t="s">
        <v>66</v>
      </c>
      <c r="X653" s="154" t="s">
        <v>66</v>
      </c>
      <c r="Y653" s="154" t="s">
        <v>66</v>
      </c>
      <c r="Z653" s="154" t="s">
        <v>66</v>
      </c>
      <c r="AA653" s="154"/>
      <c r="AB653" s="242" t="str">
        <f t="shared" si="2"/>
        <v>#ERROR!</v>
      </c>
      <c r="AC653" s="154" t="s">
        <v>391</v>
      </c>
      <c r="AD653" s="242" t="b">
        <f t="shared" si="3"/>
        <v>0</v>
      </c>
      <c r="AE653" s="154"/>
      <c r="AF653" s="242" t="str">
        <f t="shared" si="4"/>
        <v>#ERROR!</v>
      </c>
      <c r="AG653" s="154" t="s">
        <v>652</v>
      </c>
      <c r="AH653" s="242" t="str">
        <f>IF(AG653="","N/A",INDIRECT("MTR!"&amp;ADDRESS(MATCH(LEFT(AG653,9),[1]MTR!C:C,0),COLUMN(J653)),TRUE) &amp; "")</f>
        <v>#ERROR!</v>
      </c>
      <c r="AI653" s="157" t="str">
        <f t="shared" si="5"/>
        <v>#ERROR!</v>
      </c>
    </row>
    <row r="654" ht="12.75" customHeight="1">
      <c r="A654" s="244" t="s">
        <v>5158</v>
      </c>
      <c r="B654" s="244" t="s">
        <v>231</v>
      </c>
      <c r="C654" s="244" t="s">
        <v>8492</v>
      </c>
      <c r="D654" s="154" t="s">
        <v>503</v>
      </c>
      <c r="E654" s="154"/>
      <c r="F654" s="154" t="str">
        <f t="array" ref="F654">XLOOKUP(Cover!$D$12,$R$1:$Z$1,$R654:$Z654)</f>
        <v>Information</v>
      </c>
      <c r="G654" s="154" t="s">
        <v>8493</v>
      </c>
      <c r="H654" s="154" t="s">
        <v>8451</v>
      </c>
      <c r="I654" s="154" t="s">
        <v>8489</v>
      </c>
      <c r="J654" s="154" t="s">
        <v>7494</v>
      </c>
      <c r="K654" s="154" t="s">
        <v>8442</v>
      </c>
      <c r="L654" s="154" t="s">
        <v>6463</v>
      </c>
      <c r="M654" s="154"/>
      <c r="N654" s="154" t="s">
        <v>759</v>
      </c>
      <c r="O654" s="247" t="s">
        <v>516</v>
      </c>
      <c r="P654" s="247" t="s">
        <v>6776</v>
      </c>
      <c r="Q654" s="154" t="str">
        <f t="shared" si="1"/>
        <v>#ERROR!</v>
      </c>
      <c r="R654" s="154" t="s">
        <v>66</v>
      </c>
      <c r="S654" s="154" t="s">
        <v>66</v>
      </c>
      <c r="T654" s="154" t="s">
        <v>66</v>
      </c>
      <c r="U654" s="154" t="s">
        <v>66</v>
      </c>
      <c r="V654" s="154" t="s">
        <v>66</v>
      </c>
      <c r="W654" s="154" t="s">
        <v>66</v>
      </c>
      <c r="X654" s="154" t="s">
        <v>66</v>
      </c>
      <c r="Y654" s="154" t="s">
        <v>66</v>
      </c>
      <c r="Z654" s="154" t="s">
        <v>66</v>
      </c>
      <c r="AA654" s="154"/>
      <c r="AB654" s="242" t="str">
        <f t="shared" si="2"/>
        <v>#ERROR!</v>
      </c>
      <c r="AC654" s="154" t="s">
        <v>391</v>
      </c>
      <c r="AD654" s="242" t="b">
        <f t="shared" si="3"/>
        <v>0</v>
      </c>
      <c r="AE654" s="154"/>
      <c r="AF654" s="242" t="str">
        <f t="shared" si="4"/>
        <v>#ERROR!</v>
      </c>
      <c r="AG654" s="154" t="s">
        <v>652</v>
      </c>
      <c r="AH654" s="242" t="str">
        <f>IF(AG654="","N/A",INDIRECT("MTR!"&amp;ADDRESS(MATCH(LEFT(AG654,9),[1]MTR!C:C,0),COLUMN(J654)),TRUE) &amp; "")</f>
        <v>#ERROR!</v>
      </c>
      <c r="AI654" s="157" t="str">
        <f t="shared" si="5"/>
        <v>#ERROR!</v>
      </c>
    </row>
    <row r="655" ht="12.75" customHeight="1">
      <c r="A655" s="244" t="s">
        <v>5158</v>
      </c>
      <c r="B655" s="244" t="s">
        <v>231</v>
      </c>
      <c r="C655" s="244" t="s">
        <v>8494</v>
      </c>
      <c r="D655" s="154" t="s">
        <v>503</v>
      </c>
      <c r="E655" s="154"/>
      <c r="F655" s="154" t="str">
        <f t="array" ref="F655">XLOOKUP(Cover!$D$12,$R$1:$Z$1,$R655:$Z655)</f>
        <v>Information</v>
      </c>
      <c r="G655" s="154" t="s">
        <v>8495</v>
      </c>
      <c r="H655" s="154" t="s">
        <v>8441</v>
      </c>
      <c r="I655" s="154" t="s">
        <v>8496</v>
      </c>
      <c r="J655" s="154" t="s">
        <v>7510</v>
      </c>
      <c r="K655" s="154" t="s">
        <v>8442</v>
      </c>
      <c r="L655" s="154" t="s">
        <v>6463</v>
      </c>
      <c r="M655" s="154"/>
      <c r="N655" s="154" t="s">
        <v>759</v>
      </c>
      <c r="O655" s="247" t="s">
        <v>516</v>
      </c>
      <c r="P655" s="247" t="s">
        <v>6776</v>
      </c>
      <c r="Q655" s="154" t="str">
        <f t="shared" si="1"/>
        <v>#ERROR!</v>
      </c>
      <c r="R655" s="154" t="s">
        <v>66</v>
      </c>
      <c r="S655" s="154" t="s">
        <v>66</v>
      </c>
      <c r="T655" s="154" t="s">
        <v>66</v>
      </c>
      <c r="U655" s="154" t="s">
        <v>66</v>
      </c>
      <c r="V655" s="154" t="s">
        <v>66</v>
      </c>
      <c r="W655" s="154" t="s">
        <v>66</v>
      </c>
      <c r="X655" s="154" t="s">
        <v>66</v>
      </c>
      <c r="Y655" s="154" t="s">
        <v>66</v>
      </c>
      <c r="Z655" s="154" t="s">
        <v>66</v>
      </c>
      <c r="AA655" s="154"/>
      <c r="AB655" s="242" t="str">
        <f t="shared" si="2"/>
        <v>#ERROR!</v>
      </c>
      <c r="AC655" s="154" t="s">
        <v>391</v>
      </c>
      <c r="AD655" s="242" t="b">
        <f t="shared" si="3"/>
        <v>0</v>
      </c>
      <c r="AE655" s="154"/>
      <c r="AF655" s="242" t="str">
        <f t="shared" si="4"/>
        <v>#ERROR!</v>
      </c>
      <c r="AG655" s="154" t="s">
        <v>652</v>
      </c>
      <c r="AH655" s="242" t="str">
        <f>IF(AG655="","N/A",INDIRECT("MTR!"&amp;ADDRESS(MATCH(LEFT(AG655,9),[1]MTR!C:C,0),COLUMN(J655)),TRUE) &amp; "")</f>
        <v>#ERROR!</v>
      </c>
      <c r="AI655" s="157" t="str">
        <f t="shared" si="5"/>
        <v>#ERROR!</v>
      </c>
    </row>
    <row r="656" ht="12.75" customHeight="1">
      <c r="A656" s="244" t="s">
        <v>5158</v>
      </c>
      <c r="B656" s="244" t="s">
        <v>231</v>
      </c>
      <c r="C656" s="244" t="s">
        <v>8497</v>
      </c>
      <c r="D656" s="154" t="s">
        <v>503</v>
      </c>
      <c r="E656" s="154"/>
      <c r="F656" s="154" t="str">
        <f t="array" ref="F656">XLOOKUP(Cover!$D$12,$R$1:$Z$1,$R656:$Z656)</f>
        <v>Information</v>
      </c>
      <c r="G656" s="154" t="s">
        <v>8498</v>
      </c>
      <c r="H656" s="154" t="s">
        <v>8448</v>
      </c>
      <c r="I656" s="154" t="s">
        <v>8496</v>
      </c>
      <c r="J656" s="154" t="s">
        <v>7510</v>
      </c>
      <c r="K656" s="154" t="s">
        <v>8442</v>
      </c>
      <c r="L656" s="154" t="s">
        <v>6463</v>
      </c>
      <c r="M656" s="154"/>
      <c r="N656" s="154" t="s">
        <v>759</v>
      </c>
      <c r="O656" s="247" t="s">
        <v>516</v>
      </c>
      <c r="P656" s="247" t="s">
        <v>6776</v>
      </c>
      <c r="Q656" s="154" t="str">
        <f t="shared" si="1"/>
        <v>#ERROR!</v>
      </c>
      <c r="R656" s="154" t="s">
        <v>66</v>
      </c>
      <c r="S656" s="154" t="s">
        <v>66</v>
      </c>
      <c r="T656" s="154" t="s">
        <v>66</v>
      </c>
      <c r="U656" s="154" t="s">
        <v>66</v>
      </c>
      <c r="V656" s="154" t="s">
        <v>66</v>
      </c>
      <c r="W656" s="154" t="s">
        <v>66</v>
      </c>
      <c r="X656" s="154" t="s">
        <v>66</v>
      </c>
      <c r="Y656" s="154" t="s">
        <v>66</v>
      </c>
      <c r="Z656" s="154" t="s">
        <v>66</v>
      </c>
      <c r="AA656" s="154"/>
      <c r="AB656" s="242" t="str">
        <f t="shared" si="2"/>
        <v>#ERROR!</v>
      </c>
      <c r="AC656" s="154" t="s">
        <v>391</v>
      </c>
      <c r="AD656" s="242" t="b">
        <f t="shared" si="3"/>
        <v>0</v>
      </c>
      <c r="AE656" s="154"/>
      <c r="AF656" s="242" t="str">
        <f t="shared" si="4"/>
        <v>#ERROR!</v>
      </c>
      <c r="AG656" s="154" t="s">
        <v>652</v>
      </c>
      <c r="AH656" s="242" t="str">
        <f>IF(AG656="","N/A",INDIRECT("MTR!"&amp;ADDRESS(MATCH(LEFT(AG656,9),[1]MTR!C:C,0),COLUMN(J656)),TRUE) &amp; "")</f>
        <v>#ERROR!</v>
      </c>
      <c r="AI656" s="157" t="str">
        <f t="shared" si="5"/>
        <v>#ERROR!</v>
      </c>
    </row>
    <row r="657" ht="12.75" customHeight="1">
      <c r="A657" s="244" t="s">
        <v>5158</v>
      </c>
      <c r="B657" s="244" t="s">
        <v>231</v>
      </c>
      <c r="C657" s="244" t="s">
        <v>8499</v>
      </c>
      <c r="D657" s="154" t="s">
        <v>503</v>
      </c>
      <c r="E657" s="154"/>
      <c r="F657" s="154" t="str">
        <f t="array" ref="F657">XLOOKUP(Cover!$D$12,$R$1:$Z$1,$R657:$Z657)</f>
        <v>Information</v>
      </c>
      <c r="G657" s="154" t="s">
        <v>8500</v>
      </c>
      <c r="H657" s="154" t="s">
        <v>8454</v>
      </c>
      <c r="I657" s="154" t="s">
        <v>8496</v>
      </c>
      <c r="J657" s="154" t="s">
        <v>7510</v>
      </c>
      <c r="K657" s="154" t="s">
        <v>8442</v>
      </c>
      <c r="L657" s="154" t="s">
        <v>6463</v>
      </c>
      <c r="M657" s="154"/>
      <c r="N657" s="154" t="s">
        <v>759</v>
      </c>
      <c r="O657" s="247" t="s">
        <v>516</v>
      </c>
      <c r="P657" s="247" t="s">
        <v>6776</v>
      </c>
      <c r="Q657" s="154" t="str">
        <f t="shared" si="1"/>
        <v>#ERROR!</v>
      </c>
      <c r="R657" s="154" t="s">
        <v>66</v>
      </c>
      <c r="S657" s="154" t="s">
        <v>66</v>
      </c>
      <c r="T657" s="154" t="s">
        <v>66</v>
      </c>
      <c r="U657" s="154" t="s">
        <v>66</v>
      </c>
      <c r="V657" s="154" t="s">
        <v>66</v>
      </c>
      <c r="W657" s="154" t="s">
        <v>66</v>
      </c>
      <c r="X657" s="154" t="s">
        <v>66</v>
      </c>
      <c r="Y657" s="154" t="s">
        <v>66</v>
      </c>
      <c r="Z657" s="154" t="s">
        <v>66</v>
      </c>
      <c r="AA657" s="154"/>
      <c r="AB657" s="242" t="str">
        <f t="shared" si="2"/>
        <v>#ERROR!</v>
      </c>
      <c r="AC657" s="154" t="s">
        <v>391</v>
      </c>
      <c r="AD657" s="242" t="b">
        <f t="shared" si="3"/>
        <v>0</v>
      </c>
      <c r="AE657" s="154"/>
      <c r="AF657" s="242" t="str">
        <f t="shared" si="4"/>
        <v>#ERROR!</v>
      </c>
      <c r="AG657" s="154" t="s">
        <v>652</v>
      </c>
      <c r="AH657" s="242" t="str">
        <f>IF(AG657="","N/A",INDIRECT("MTR!"&amp;ADDRESS(MATCH(LEFT(AG657,9),[1]MTR!C:C,0),COLUMN(J657)),TRUE) &amp; "")</f>
        <v>#ERROR!</v>
      </c>
      <c r="AI657" s="157" t="str">
        <f t="shared" si="5"/>
        <v>#ERROR!</v>
      </c>
    </row>
    <row r="658" ht="12.75" customHeight="1">
      <c r="A658" s="238" t="s">
        <v>5158</v>
      </c>
      <c r="B658" s="238" t="s">
        <v>231</v>
      </c>
      <c r="C658" s="238" t="s">
        <v>8501</v>
      </c>
      <c r="D658" s="240"/>
      <c r="E658" s="240" t="s">
        <v>92</v>
      </c>
      <c r="F658" s="240" t="str">
        <f t="array" ref="F658">XLOOKUP(Cover!$D$12,$R$1:$Z$1,$R658:$Z658)</f>
        <v>Heading</v>
      </c>
      <c r="G658" s="239" t="s">
        <v>8502</v>
      </c>
      <c r="H658" s="240"/>
      <c r="I658" s="240"/>
      <c r="J658" s="240"/>
      <c r="K658" s="240"/>
      <c r="L658" s="240"/>
      <c r="M658" s="240"/>
      <c r="N658" s="240" t="s">
        <v>759</v>
      </c>
      <c r="O658" s="240"/>
      <c r="P658" s="240"/>
      <c r="Q658" s="240" t="str">
        <f t="shared" si="1"/>
        <v/>
      </c>
      <c r="R658" s="240" t="s">
        <v>390</v>
      </c>
      <c r="S658" s="240" t="s">
        <v>390</v>
      </c>
      <c r="T658" s="240" t="s">
        <v>390</v>
      </c>
      <c r="U658" s="240" t="s">
        <v>390</v>
      </c>
      <c r="V658" s="240" t="s">
        <v>390</v>
      </c>
      <c r="W658" s="240" t="s">
        <v>390</v>
      </c>
      <c r="X658" s="240" t="s">
        <v>390</v>
      </c>
      <c r="Y658" s="240" t="s">
        <v>390</v>
      </c>
      <c r="Z658" s="240" t="s">
        <v>390</v>
      </c>
      <c r="AA658" s="240"/>
      <c r="AB658" s="242" t="str">
        <f t="shared" si="2"/>
        <v>#ERROR!</v>
      </c>
      <c r="AC658" s="240" t="s">
        <v>391</v>
      </c>
      <c r="AD658" s="242" t="b">
        <f t="shared" si="3"/>
        <v>0</v>
      </c>
      <c r="AE658" s="240"/>
      <c r="AF658" s="242" t="str">
        <f t="shared" si="4"/>
        <v>#ERROR!</v>
      </c>
      <c r="AG658" s="240"/>
      <c r="AH658" s="242" t="str">
        <f>IF(AG658="","N/A",INDIRECT("MTR!"&amp;ADDRESS(MATCH(LEFT(AG658,9),[1]MTR!C:C,0),COLUMN(J658)),TRUE) &amp; "")</f>
        <v>#ERROR!</v>
      </c>
      <c r="AI658" s="157" t="str">
        <f t="shared" si="5"/>
        <v/>
      </c>
    </row>
    <row r="659" ht="12.75" customHeight="1">
      <c r="A659" s="238" t="s">
        <v>5158</v>
      </c>
      <c r="B659" s="238" t="s">
        <v>231</v>
      </c>
      <c r="C659" s="238" t="s">
        <v>8503</v>
      </c>
      <c r="D659" s="240"/>
      <c r="E659" s="240" t="s">
        <v>92</v>
      </c>
      <c r="F659" s="240" t="str">
        <f t="array" ref="F659">XLOOKUP(Cover!$D$12,$R$1:$Z$1,$R659:$Z659)</f>
        <v>Heading</v>
      </c>
      <c r="G659" s="239" t="s">
        <v>8504</v>
      </c>
      <c r="H659" s="240"/>
      <c r="I659" s="240"/>
      <c r="J659" s="240"/>
      <c r="K659" s="240"/>
      <c r="L659" s="240"/>
      <c r="M659" s="240"/>
      <c r="N659" s="240" t="s">
        <v>759</v>
      </c>
      <c r="O659" s="240"/>
      <c r="P659" s="240"/>
      <c r="Q659" s="240" t="str">
        <f t="shared" si="1"/>
        <v/>
      </c>
      <c r="R659" s="240" t="s">
        <v>390</v>
      </c>
      <c r="S659" s="240" t="s">
        <v>390</v>
      </c>
      <c r="T659" s="240" t="s">
        <v>390</v>
      </c>
      <c r="U659" s="240" t="s">
        <v>390</v>
      </c>
      <c r="V659" s="240" t="s">
        <v>390</v>
      </c>
      <c r="W659" s="240" t="s">
        <v>390</v>
      </c>
      <c r="X659" s="240" t="s">
        <v>390</v>
      </c>
      <c r="Y659" s="240" t="s">
        <v>390</v>
      </c>
      <c r="Z659" s="240" t="s">
        <v>390</v>
      </c>
      <c r="AA659" s="240"/>
      <c r="AB659" s="242" t="str">
        <f t="shared" si="2"/>
        <v>#ERROR!</v>
      </c>
      <c r="AC659" s="240" t="s">
        <v>391</v>
      </c>
      <c r="AD659" s="242" t="b">
        <f t="shared" si="3"/>
        <v>0</v>
      </c>
      <c r="AE659" s="240"/>
      <c r="AF659" s="242" t="str">
        <f t="shared" si="4"/>
        <v>#ERROR!</v>
      </c>
      <c r="AG659" s="240"/>
      <c r="AH659" s="242" t="str">
        <f>IF(AG659="","N/A",INDIRECT("MTR!"&amp;ADDRESS(MATCH(LEFT(AG659,9),[1]MTR!C:C,0),COLUMN(J659)),TRUE) &amp; "")</f>
        <v>#ERROR!</v>
      </c>
      <c r="AI659" s="157" t="str">
        <f t="shared" si="5"/>
        <v/>
      </c>
    </row>
    <row r="660" ht="12.75" customHeight="1">
      <c r="A660" s="244" t="s">
        <v>5158</v>
      </c>
      <c r="B660" s="244" t="s">
        <v>231</v>
      </c>
      <c r="C660" s="244" t="s">
        <v>8505</v>
      </c>
      <c r="D660" s="154" t="s">
        <v>542</v>
      </c>
      <c r="E660" s="154"/>
      <c r="F660" s="154" t="str">
        <f t="array" ref="F660">XLOOKUP(Cover!$D$12,$R$1:$Z$1,$R660:$Z660)</f>
        <v>Mandatory</v>
      </c>
      <c r="G660" s="154" t="s">
        <v>8506</v>
      </c>
      <c r="H660" s="154" t="s">
        <v>8507</v>
      </c>
      <c r="I660" s="154" t="s">
        <v>8507</v>
      </c>
      <c r="J660" s="154" t="s">
        <v>5730</v>
      </c>
      <c r="K660" s="154" t="s">
        <v>8508</v>
      </c>
      <c r="L660" s="154" t="s">
        <v>5905</v>
      </c>
      <c r="M660" s="154" t="s">
        <v>1122</v>
      </c>
      <c r="N660" s="154" t="s">
        <v>759</v>
      </c>
      <c r="O660" s="247" t="s">
        <v>445</v>
      </c>
      <c r="P660" s="247" t="s">
        <v>6772</v>
      </c>
      <c r="Q660" s="154" t="str">
        <f t="shared" si="1"/>
        <v>#ERROR!</v>
      </c>
      <c r="R660" s="154" t="s">
        <v>66</v>
      </c>
      <c r="S660" s="154" t="s">
        <v>66</v>
      </c>
      <c r="T660" s="154" t="s">
        <v>60</v>
      </c>
      <c r="U660" s="154" t="s">
        <v>60</v>
      </c>
      <c r="V660" s="154" t="s">
        <v>60</v>
      </c>
      <c r="W660" s="154" t="s">
        <v>60</v>
      </c>
      <c r="X660" s="154" t="s">
        <v>66</v>
      </c>
      <c r="Y660" s="154" t="s">
        <v>60</v>
      </c>
      <c r="Z660" s="154" t="s">
        <v>60</v>
      </c>
      <c r="AA660" s="154"/>
      <c r="AB660" s="242" t="str">
        <f t="shared" si="2"/>
        <v>#ERROR!</v>
      </c>
      <c r="AC660" s="154" t="s">
        <v>391</v>
      </c>
      <c r="AD660" s="242" t="b">
        <f t="shared" si="3"/>
        <v>0</v>
      </c>
      <c r="AE660" s="154"/>
      <c r="AF660" s="242" t="str">
        <f t="shared" si="4"/>
        <v>#ERROR!</v>
      </c>
      <c r="AG660" s="154" t="s">
        <v>652</v>
      </c>
      <c r="AH660" s="242" t="str">
        <f>IF(AG660="","N/A",INDIRECT("MTR!"&amp;ADDRESS(MATCH(LEFT(AG660,9),[1]MTR!C:C,0),COLUMN(J660)),TRUE) &amp; "")</f>
        <v>#ERROR!</v>
      </c>
      <c r="AI660" s="157" t="str">
        <f t="shared" si="5"/>
        <v>#ERROR!</v>
      </c>
    </row>
    <row r="661" ht="12.75" customHeight="1">
      <c r="A661" s="244" t="s">
        <v>5158</v>
      </c>
      <c r="B661" s="244" t="s">
        <v>231</v>
      </c>
      <c r="C661" s="244" t="s">
        <v>8509</v>
      </c>
      <c r="D661" s="154" t="s">
        <v>542</v>
      </c>
      <c r="E661" s="154"/>
      <c r="F661" s="154" t="str">
        <f t="array" ref="F661">XLOOKUP(Cover!$D$12,$R$1:$Z$1,$R661:$Z661)</f>
        <v>Mandatory</v>
      </c>
      <c r="G661" s="154" t="s">
        <v>8510</v>
      </c>
      <c r="H661" s="154" t="s">
        <v>1489</v>
      </c>
      <c r="I661" s="154" t="s">
        <v>1489</v>
      </c>
      <c r="J661" s="154" t="s">
        <v>5782</v>
      </c>
      <c r="K661" s="154" t="s">
        <v>8508</v>
      </c>
      <c r="L661" s="154" t="s">
        <v>5905</v>
      </c>
      <c r="M661" s="154" t="s">
        <v>1122</v>
      </c>
      <c r="N661" s="154" t="s">
        <v>759</v>
      </c>
      <c r="O661" s="247" t="s">
        <v>445</v>
      </c>
      <c r="P661" s="247" t="s">
        <v>6772</v>
      </c>
      <c r="Q661" s="154" t="str">
        <f t="shared" si="1"/>
        <v>#ERROR!</v>
      </c>
      <c r="R661" s="154" t="s">
        <v>66</v>
      </c>
      <c r="S661" s="154" t="s">
        <v>66</v>
      </c>
      <c r="T661" s="154" t="s">
        <v>60</v>
      </c>
      <c r="U661" s="154" t="s">
        <v>60</v>
      </c>
      <c r="V661" s="154" t="s">
        <v>60</v>
      </c>
      <c r="W661" s="154" t="s">
        <v>60</v>
      </c>
      <c r="X661" s="154" t="s">
        <v>66</v>
      </c>
      <c r="Y661" s="154" t="s">
        <v>60</v>
      </c>
      <c r="Z661" s="154" t="s">
        <v>60</v>
      </c>
      <c r="AA661" s="154"/>
      <c r="AB661" s="242" t="str">
        <f t="shared" si="2"/>
        <v>#ERROR!</v>
      </c>
      <c r="AC661" s="154" t="s">
        <v>391</v>
      </c>
      <c r="AD661" s="242" t="b">
        <f t="shared" si="3"/>
        <v>0</v>
      </c>
      <c r="AE661" s="154"/>
      <c r="AF661" s="242" t="str">
        <f t="shared" si="4"/>
        <v>#ERROR!</v>
      </c>
      <c r="AG661" s="154" t="s">
        <v>652</v>
      </c>
      <c r="AH661" s="242" t="str">
        <f>IF(AG661="","N/A",INDIRECT("MTR!"&amp;ADDRESS(MATCH(LEFT(AG661,9),[1]MTR!C:C,0),COLUMN(J661)),TRUE) &amp; "")</f>
        <v>#ERROR!</v>
      </c>
      <c r="AI661" s="157" t="str">
        <f t="shared" si="5"/>
        <v>#ERROR!</v>
      </c>
    </row>
    <row r="662" ht="12.75" customHeight="1">
      <c r="A662" s="244" t="s">
        <v>5158</v>
      </c>
      <c r="B662" s="244" t="s">
        <v>231</v>
      </c>
      <c r="C662" s="244" t="s">
        <v>8511</v>
      </c>
      <c r="D662" s="154" t="s">
        <v>542</v>
      </c>
      <c r="E662" s="154"/>
      <c r="F662" s="154" t="str">
        <f t="array" ref="F662">XLOOKUP(Cover!$D$12,$R$1:$Z$1,$R662:$Z662)</f>
        <v>Mandatory</v>
      </c>
      <c r="G662" s="154" t="s">
        <v>8512</v>
      </c>
      <c r="H662" s="154" t="s">
        <v>8513</v>
      </c>
      <c r="I662" s="154" t="s">
        <v>8513</v>
      </c>
      <c r="J662" s="154" t="s">
        <v>5830</v>
      </c>
      <c r="K662" s="154" t="s">
        <v>8508</v>
      </c>
      <c r="L662" s="154" t="s">
        <v>5905</v>
      </c>
      <c r="M662" s="154" t="s">
        <v>1122</v>
      </c>
      <c r="N662" s="154" t="s">
        <v>759</v>
      </c>
      <c r="O662" s="247" t="s">
        <v>445</v>
      </c>
      <c r="P662" s="247" t="s">
        <v>6772</v>
      </c>
      <c r="Q662" s="154" t="str">
        <f t="shared" si="1"/>
        <v>#ERROR!</v>
      </c>
      <c r="R662" s="154" t="s">
        <v>66</v>
      </c>
      <c r="S662" s="154" t="s">
        <v>66</v>
      </c>
      <c r="T662" s="154" t="s">
        <v>60</v>
      </c>
      <c r="U662" s="154" t="s">
        <v>60</v>
      </c>
      <c r="V662" s="154" t="s">
        <v>60</v>
      </c>
      <c r="W662" s="154" t="s">
        <v>60</v>
      </c>
      <c r="X662" s="154" t="s">
        <v>66</v>
      </c>
      <c r="Y662" s="154" t="s">
        <v>60</v>
      </c>
      <c r="Z662" s="154" t="s">
        <v>60</v>
      </c>
      <c r="AA662" s="154"/>
      <c r="AB662" s="242" t="str">
        <f t="shared" si="2"/>
        <v>#ERROR!</v>
      </c>
      <c r="AC662" s="154" t="s">
        <v>391</v>
      </c>
      <c r="AD662" s="242" t="b">
        <f t="shared" si="3"/>
        <v>0</v>
      </c>
      <c r="AE662" s="154"/>
      <c r="AF662" s="242" t="str">
        <f t="shared" si="4"/>
        <v>#ERROR!</v>
      </c>
      <c r="AG662" s="154" t="s">
        <v>652</v>
      </c>
      <c r="AH662" s="242" t="str">
        <f>IF(AG662="","N/A",INDIRECT("MTR!"&amp;ADDRESS(MATCH(LEFT(AG662,9),[1]MTR!C:C,0),COLUMN(J662)),TRUE) &amp; "")</f>
        <v>#ERROR!</v>
      </c>
      <c r="AI662" s="157" t="str">
        <f t="shared" si="5"/>
        <v>#ERROR!</v>
      </c>
    </row>
    <row r="663" ht="12.75" customHeight="1">
      <c r="A663" s="244" t="s">
        <v>5158</v>
      </c>
      <c r="B663" s="244" t="s">
        <v>231</v>
      </c>
      <c r="C663" s="244" t="s">
        <v>8514</v>
      </c>
      <c r="D663" s="154" t="s">
        <v>747</v>
      </c>
      <c r="E663" s="154"/>
      <c r="F663" s="154" t="str">
        <f t="array" ref="F663">XLOOKUP(Cover!$D$12,$R$1:$Z$1,$R663:$Z663)</f>
        <v>Recommended</v>
      </c>
      <c r="G663" s="154" t="s">
        <v>8515</v>
      </c>
      <c r="H663" s="154" t="s">
        <v>8516</v>
      </c>
      <c r="I663" s="154" t="s">
        <v>8516</v>
      </c>
      <c r="J663" s="154" t="s">
        <v>5888</v>
      </c>
      <c r="K663" s="154" t="s">
        <v>8508</v>
      </c>
      <c r="L663" s="154" t="s">
        <v>6140</v>
      </c>
      <c r="M663" s="154"/>
      <c r="N663" s="154" t="s">
        <v>759</v>
      </c>
      <c r="O663" s="247" t="s">
        <v>516</v>
      </c>
      <c r="P663" s="247" t="s">
        <v>6776</v>
      </c>
      <c r="Q663" s="154" t="str">
        <f t="shared" si="1"/>
        <v>#ERROR!</v>
      </c>
      <c r="R663" s="154" t="s">
        <v>66</v>
      </c>
      <c r="S663" s="154" t="s">
        <v>66</v>
      </c>
      <c r="T663" s="154" t="s">
        <v>64</v>
      </c>
      <c r="U663" s="154" t="s">
        <v>64</v>
      </c>
      <c r="V663" s="154" t="s">
        <v>64</v>
      </c>
      <c r="W663" s="154" t="s">
        <v>64</v>
      </c>
      <c r="X663" s="154" t="s">
        <v>66</v>
      </c>
      <c r="Y663" s="154" t="s">
        <v>64</v>
      </c>
      <c r="Z663" s="154" t="s">
        <v>64</v>
      </c>
      <c r="AA663" s="154"/>
      <c r="AB663" s="242" t="str">
        <f t="shared" si="2"/>
        <v>#ERROR!</v>
      </c>
      <c r="AC663" s="154" t="s">
        <v>391</v>
      </c>
      <c r="AD663" s="242" t="b">
        <f t="shared" si="3"/>
        <v>0</v>
      </c>
      <c r="AE663" s="154"/>
      <c r="AF663" s="242" t="str">
        <f t="shared" si="4"/>
        <v>#ERROR!</v>
      </c>
      <c r="AG663" s="154" t="s">
        <v>652</v>
      </c>
      <c r="AH663" s="242" t="str">
        <f>IF(AG663="","N/A",INDIRECT("MTR!"&amp;ADDRESS(MATCH(LEFT(AG663,9),[1]MTR!C:C,0),COLUMN(J663)),TRUE) &amp; "")</f>
        <v>#ERROR!</v>
      </c>
      <c r="AI663" s="157" t="str">
        <f t="shared" si="5"/>
        <v>#ERROR!</v>
      </c>
    </row>
    <row r="664" ht="12.75" customHeight="1">
      <c r="A664" s="244" t="s">
        <v>5158</v>
      </c>
      <c r="B664" s="244" t="s">
        <v>231</v>
      </c>
      <c r="C664" s="244" t="s">
        <v>8517</v>
      </c>
      <c r="D664" s="154" t="s">
        <v>542</v>
      </c>
      <c r="E664" s="154"/>
      <c r="F664" s="154" t="str">
        <f t="array" ref="F664">XLOOKUP(Cover!$D$12,$R$1:$Z$1,$R664:$Z664)</f>
        <v>Mandatory</v>
      </c>
      <c r="G664" s="154" t="s">
        <v>8518</v>
      </c>
      <c r="H664" s="154" t="s">
        <v>8519</v>
      </c>
      <c r="I664" s="154" t="s">
        <v>8519</v>
      </c>
      <c r="J664" s="154" t="s">
        <v>5897</v>
      </c>
      <c r="K664" s="154" t="s">
        <v>8508</v>
      </c>
      <c r="L664" s="154" t="s">
        <v>5905</v>
      </c>
      <c r="M664" s="154" t="s">
        <v>1122</v>
      </c>
      <c r="N664" s="154" t="s">
        <v>759</v>
      </c>
      <c r="O664" s="247" t="s">
        <v>445</v>
      </c>
      <c r="P664" s="247" t="s">
        <v>6772</v>
      </c>
      <c r="Q664" s="154" t="str">
        <f t="shared" si="1"/>
        <v>#ERROR!</v>
      </c>
      <c r="R664" s="154" t="s">
        <v>66</v>
      </c>
      <c r="S664" s="154" t="s">
        <v>66</v>
      </c>
      <c r="T664" s="154" t="s">
        <v>60</v>
      </c>
      <c r="U664" s="154" t="s">
        <v>60</v>
      </c>
      <c r="V664" s="154" t="s">
        <v>60</v>
      </c>
      <c r="W664" s="154" t="s">
        <v>60</v>
      </c>
      <c r="X664" s="154" t="s">
        <v>66</v>
      </c>
      <c r="Y664" s="154" t="s">
        <v>60</v>
      </c>
      <c r="Z664" s="154" t="s">
        <v>60</v>
      </c>
      <c r="AA664" s="154"/>
      <c r="AB664" s="242" t="str">
        <f t="shared" si="2"/>
        <v>#ERROR!</v>
      </c>
      <c r="AC664" s="154" t="s">
        <v>391</v>
      </c>
      <c r="AD664" s="242" t="b">
        <f t="shared" si="3"/>
        <v>0</v>
      </c>
      <c r="AE664" s="154"/>
      <c r="AF664" s="242" t="str">
        <f t="shared" si="4"/>
        <v>#ERROR!</v>
      </c>
      <c r="AG664" s="154" t="s">
        <v>652</v>
      </c>
      <c r="AH664" s="242" t="str">
        <f>IF(AG664="","N/A",INDIRECT("MTR!"&amp;ADDRESS(MATCH(LEFT(AG664,9),[1]MTR!C:C,0),COLUMN(J664)),TRUE) &amp; "")</f>
        <v>#ERROR!</v>
      </c>
      <c r="AI664" s="157" t="str">
        <f t="shared" si="5"/>
        <v>#ERROR!</v>
      </c>
    </row>
    <row r="665" ht="12.75" customHeight="1">
      <c r="A665" s="238" t="s">
        <v>5158</v>
      </c>
      <c r="B665" s="238" t="s">
        <v>231</v>
      </c>
      <c r="C665" s="238" t="s">
        <v>8520</v>
      </c>
      <c r="D665" s="240"/>
      <c r="E665" s="240" t="s">
        <v>92</v>
      </c>
      <c r="F665" s="240" t="str">
        <f t="array" ref="F665">XLOOKUP(Cover!$D$12,$R$1:$Z$1,$R665:$Z665)</f>
        <v>Heading</v>
      </c>
      <c r="G665" s="239" t="s">
        <v>8521</v>
      </c>
      <c r="H665" s="240"/>
      <c r="I665" s="240"/>
      <c r="J665" s="240"/>
      <c r="K665" s="240"/>
      <c r="L665" s="240"/>
      <c r="M665" s="240"/>
      <c r="N665" s="240" t="s">
        <v>759</v>
      </c>
      <c r="O665" s="240"/>
      <c r="P665" s="240"/>
      <c r="Q665" s="240" t="str">
        <f t="shared" si="1"/>
        <v/>
      </c>
      <c r="R665" s="240" t="s">
        <v>390</v>
      </c>
      <c r="S665" s="240" t="s">
        <v>390</v>
      </c>
      <c r="T665" s="240" t="s">
        <v>390</v>
      </c>
      <c r="U665" s="240" t="s">
        <v>390</v>
      </c>
      <c r="V665" s="240" t="s">
        <v>390</v>
      </c>
      <c r="W665" s="240" t="s">
        <v>390</v>
      </c>
      <c r="X665" s="240" t="s">
        <v>390</v>
      </c>
      <c r="Y665" s="240" t="s">
        <v>390</v>
      </c>
      <c r="Z665" s="240" t="s">
        <v>390</v>
      </c>
      <c r="AA665" s="240"/>
      <c r="AB665" s="242" t="str">
        <f t="shared" si="2"/>
        <v>#ERROR!</v>
      </c>
      <c r="AC665" s="240" t="s">
        <v>391</v>
      </c>
      <c r="AD665" s="242" t="b">
        <f t="shared" si="3"/>
        <v>0</v>
      </c>
      <c r="AE665" s="240"/>
      <c r="AF665" s="242" t="str">
        <f t="shared" si="4"/>
        <v>#ERROR!</v>
      </c>
      <c r="AG665" s="240"/>
      <c r="AH665" s="242" t="str">
        <f>IF(AG665="","N/A",INDIRECT("MTR!"&amp;ADDRESS(MATCH(LEFT(AG665,9),[1]MTR!C:C,0),COLUMN(J665)),TRUE) &amp; "")</f>
        <v>#ERROR!</v>
      </c>
      <c r="AI665" s="157" t="str">
        <f t="shared" si="5"/>
        <v/>
      </c>
    </row>
    <row r="666" ht="12.75" customHeight="1">
      <c r="A666" s="244" t="s">
        <v>5158</v>
      </c>
      <c r="B666" s="244" t="s">
        <v>231</v>
      </c>
      <c r="C666" s="244" t="s">
        <v>8522</v>
      </c>
      <c r="D666" s="154" t="s">
        <v>861</v>
      </c>
      <c r="E666" s="154"/>
      <c r="F666" s="154" t="str">
        <f t="array" ref="F666">XLOOKUP(Cover!$D$12,$R$1:$Z$1,$R666:$Z666)</f>
        <v>Information</v>
      </c>
      <c r="G666" s="154" t="s">
        <v>8523</v>
      </c>
      <c r="H666" s="154" t="s">
        <v>8507</v>
      </c>
      <c r="I666" s="154" t="s">
        <v>8524</v>
      </c>
      <c r="J666" s="154" t="s">
        <v>7859</v>
      </c>
      <c r="K666" s="154" t="s">
        <v>8508</v>
      </c>
      <c r="L666" s="154" t="s">
        <v>6428</v>
      </c>
      <c r="M666" s="154"/>
      <c r="N666" s="154" t="s">
        <v>759</v>
      </c>
      <c r="O666" s="247" t="s">
        <v>445</v>
      </c>
      <c r="P666" s="247" t="s">
        <v>6772</v>
      </c>
      <c r="Q666" s="154" t="str">
        <f t="shared" si="1"/>
        <v>#ERROR!</v>
      </c>
      <c r="R666" s="154" t="s">
        <v>66</v>
      </c>
      <c r="S666" s="154" t="s">
        <v>66</v>
      </c>
      <c r="T666" s="154" t="s">
        <v>66</v>
      </c>
      <c r="U666" s="154" t="s">
        <v>66</v>
      </c>
      <c r="V666" s="154" t="s">
        <v>66</v>
      </c>
      <c r="W666" s="154" t="s">
        <v>66</v>
      </c>
      <c r="X666" s="154" t="s">
        <v>66</v>
      </c>
      <c r="Y666" s="154" t="s">
        <v>66</v>
      </c>
      <c r="Z666" s="154" t="s">
        <v>66</v>
      </c>
      <c r="AA666" s="154"/>
      <c r="AB666" s="242" t="str">
        <f t="shared" si="2"/>
        <v>#ERROR!</v>
      </c>
      <c r="AC666" s="154" t="s">
        <v>391</v>
      </c>
      <c r="AD666" s="242" t="b">
        <f t="shared" si="3"/>
        <v>0</v>
      </c>
      <c r="AE666" s="154"/>
      <c r="AF666" s="242" t="str">
        <f t="shared" si="4"/>
        <v>#ERROR!</v>
      </c>
      <c r="AG666" s="154" t="s">
        <v>652</v>
      </c>
      <c r="AH666" s="242" t="str">
        <f>IF(AG666="","N/A",INDIRECT("MTR!"&amp;ADDRESS(MATCH(LEFT(AG666,9),[1]MTR!C:C,0),COLUMN(J666)),TRUE) &amp; "")</f>
        <v>#ERROR!</v>
      </c>
      <c r="AI666" s="157" t="str">
        <f t="shared" si="5"/>
        <v>#ERROR!</v>
      </c>
    </row>
    <row r="667" ht="12.75" customHeight="1">
      <c r="A667" s="244" t="s">
        <v>5158</v>
      </c>
      <c r="B667" s="244" t="s">
        <v>231</v>
      </c>
      <c r="C667" s="244" t="s">
        <v>8525</v>
      </c>
      <c r="D667" s="154" t="s">
        <v>542</v>
      </c>
      <c r="E667" s="154"/>
      <c r="F667" s="154" t="str">
        <f t="array" ref="F667">XLOOKUP(Cover!$D$12,$R$1:$Z$1,$R667:$Z667)</f>
        <v>Mandatory</v>
      </c>
      <c r="G667" s="154" t="s">
        <v>8526</v>
      </c>
      <c r="H667" s="154" t="s">
        <v>8507</v>
      </c>
      <c r="I667" s="154" t="s">
        <v>8527</v>
      </c>
      <c r="J667" s="154" t="s">
        <v>6791</v>
      </c>
      <c r="K667" s="154" t="s">
        <v>8508</v>
      </c>
      <c r="L667" s="154" t="s">
        <v>6064</v>
      </c>
      <c r="M667" s="154" t="s">
        <v>1122</v>
      </c>
      <c r="N667" s="154" t="s">
        <v>759</v>
      </c>
      <c r="O667" s="247" t="s">
        <v>445</v>
      </c>
      <c r="P667" s="247" t="s">
        <v>6772</v>
      </c>
      <c r="Q667" s="154" t="str">
        <f t="shared" si="1"/>
        <v>#ERROR!</v>
      </c>
      <c r="R667" s="154" t="s">
        <v>66</v>
      </c>
      <c r="S667" s="154" t="s">
        <v>66</v>
      </c>
      <c r="T667" s="154" t="s">
        <v>60</v>
      </c>
      <c r="U667" s="154" t="s">
        <v>60</v>
      </c>
      <c r="V667" s="154" t="s">
        <v>60</v>
      </c>
      <c r="W667" s="154" t="s">
        <v>60</v>
      </c>
      <c r="X667" s="154" t="s">
        <v>66</v>
      </c>
      <c r="Y667" s="154" t="s">
        <v>60</v>
      </c>
      <c r="Z667" s="154" t="s">
        <v>60</v>
      </c>
      <c r="AA667" s="154"/>
      <c r="AB667" s="242" t="str">
        <f t="shared" si="2"/>
        <v>#ERROR!</v>
      </c>
      <c r="AC667" s="154" t="s">
        <v>391</v>
      </c>
      <c r="AD667" s="242" t="b">
        <f t="shared" si="3"/>
        <v>0</v>
      </c>
      <c r="AE667" s="154"/>
      <c r="AF667" s="242" t="str">
        <f t="shared" si="4"/>
        <v>#ERROR!</v>
      </c>
      <c r="AG667" s="154" t="s">
        <v>652</v>
      </c>
      <c r="AH667" s="242" t="str">
        <f>IF(AG667="","N/A",INDIRECT("MTR!"&amp;ADDRESS(MATCH(LEFT(AG667,9),[1]MTR!C:C,0),COLUMN(J667)),TRUE) &amp; "")</f>
        <v>#ERROR!</v>
      </c>
      <c r="AI667" s="157" t="str">
        <f t="shared" si="5"/>
        <v>#ERROR!</v>
      </c>
    </row>
    <row r="668" ht="12.75" customHeight="1">
      <c r="A668" s="244" t="s">
        <v>5158</v>
      </c>
      <c r="B668" s="244" t="s">
        <v>231</v>
      </c>
      <c r="C668" s="244" t="s">
        <v>8528</v>
      </c>
      <c r="D668" s="154" t="s">
        <v>542</v>
      </c>
      <c r="E668" s="154"/>
      <c r="F668" s="154" t="str">
        <f t="array" ref="F668">XLOOKUP(Cover!$D$12,$R$1:$Z$1,$R668:$Z668)</f>
        <v>Mandatory</v>
      </c>
      <c r="G668" s="154" t="s">
        <v>8529</v>
      </c>
      <c r="H668" s="154" t="s">
        <v>1489</v>
      </c>
      <c r="I668" s="154" t="s">
        <v>8527</v>
      </c>
      <c r="J668" s="154" t="s">
        <v>6791</v>
      </c>
      <c r="K668" s="154" t="s">
        <v>8508</v>
      </c>
      <c r="L668" s="154" t="s">
        <v>6064</v>
      </c>
      <c r="M668" s="154" t="s">
        <v>1122</v>
      </c>
      <c r="N668" s="154" t="s">
        <v>759</v>
      </c>
      <c r="O668" s="247" t="s">
        <v>445</v>
      </c>
      <c r="P668" s="247" t="s">
        <v>6772</v>
      </c>
      <c r="Q668" s="154" t="str">
        <f t="shared" si="1"/>
        <v>#ERROR!</v>
      </c>
      <c r="R668" s="154" t="s">
        <v>66</v>
      </c>
      <c r="S668" s="154" t="s">
        <v>66</v>
      </c>
      <c r="T668" s="154" t="s">
        <v>60</v>
      </c>
      <c r="U668" s="154" t="s">
        <v>60</v>
      </c>
      <c r="V668" s="154" t="s">
        <v>60</v>
      </c>
      <c r="W668" s="154" t="s">
        <v>60</v>
      </c>
      <c r="X668" s="154" t="s">
        <v>66</v>
      </c>
      <c r="Y668" s="154" t="s">
        <v>60</v>
      </c>
      <c r="Z668" s="154" t="s">
        <v>60</v>
      </c>
      <c r="AA668" s="154"/>
      <c r="AB668" s="242" t="str">
        <f t="shared" si="2"/>
        <v>#ERROR!</v>
      </c>
      <c r="AC668" s="154" t="s">
        <v>391</v>
      </c>
      <c r="AD668" s="242" t="b">
        <f t="shared" si="3"/>
        <v>0</v>
      </c>
      <c r="AE668" s="154"/>
      <c r="AF668" s="242" t="str">
        <f t="shared" si="4"/>
        <v>#ERROR!</v>
      </c>
      <c r="AG668" s="154" t="s">
        <v>652</v>
      </c>
      <c r="AH668" s="242" t="str">
        <f>IF(AG668="","N/A",INDIRECT("MTR!"&amp;ADDRESS(MATCH(LEFT(AG668,9),[1]MTR!C:C,0),COLUMN(J668)),TRUE) &amp; "")</f>
        <v>#ERROR!</v>
      </c>
      <c r="AI668" s="157" t="str">
        <f t="shared" si="5"/>
        <v>#ERROR!</v>
      </c>
    </row>
    <row r="669" ht="12.75" customHeight="1">
      <c r="A669" s="244" t="s">
        <v>5158</v>
      </c>
      <c r="B669" s="244" t="s">
        <v>231</v>
      </c>
      <c r="C669" s="244" t="s">
        <v>8530</v>
      </c>
      <c r="D669" s="154" t="s">
        <v>542</v>
      </c>
      <c r="E669" s="154"/>
      <c r="F669" s="154" t="str">
        <f t="array" ref="F669">XLOOKUP(Cover!$D$12,$R$1:$Z$1,$R669:$Z669)</f>
        <v>Mandatory</v>
      </c>
      <c r="G669" s="154" t="s">
        <v>8531</v>
      </c>
      <c r="H669" s="154" t="s">
        <v>8507</v>
      </c>
      <c r="I669" s="154" t="s">
        <v>8532</v>
      </c>
      <c r="J669" s="154" t="s">
        <v>6797</v>
      </c>
      <c r="K669" s="154" t="s">
        <v>8508</v>
      </c>
      <c r="L669" s="154" t="s">
        <v>6064</v>
      </c>
      <c r="M669" s="154" t="s">
        <v>1122</v>
      </c>
      <c r="N669" s="154" t="s">
        <v>759</v>
      </c>
      <c r="O669" s="247" t="s">
        <v>445</v>
      </c>
      <c r="P669" s="247" t="s">
        <v>89</v>
      </c>
      <c r="Q669" s="154" t="str">
        <f t="shared" si="1"/>
        <v>#ERROR!</v>
      </c>
      <c r="R669" s="154" t="s">
        <v>66</v>
      </c>
      <c r="S669" s="154" t="s">
        <v>66</v>
      </c>
      <c r="T669" s="154" t="s">
        <v>60</v>
      </c>
      <c r="U669" s="154" t="s">
        <v>60</v>
      </c>
      <c r="V669" s="154" t="s">
        <v>60</v>
      </c>
      <c r="W669" s="154" t="s">
        <v>60</v>
      </c>
      <c r="X669" s="154" t="s">
        <v>66</v>
      </c>
      <c r="Y669" s="154" t="s">
        <v>60</v>
      </c>
      <c r="Z669" s="154" t="s">
        <v>60</v>
      </c>
      <c r="AA669" s="154"/>
      <c r="AB669" s="242" t="str">
        <f t="shared" si="2"/>
        <v>#ERROR!</v>
      </c>
      <c r="AC669" s="154" t="s">
        <v>391</v>
      </c>
      <c r="AD669" s="242" t="b">
        <f t="shared" si="3"/>
        <v>0</v>
      </c>
      <c r="AE669" s="154"/>
      <c r="AF669" s="242" t="str">
        <f t="shared" si="4"/>
        <v>#ERROR!</v>
      </c>
      <c r="AG669" s="154" t="s">
        <v>652</v>
      </c>
      <c r="AH669" s="242" t="str">
        <f>IF(AG669="","N/A",INDIRECT("MTR!"&amp;ADDRESS(MATCH(LEFT(AG669,9),[1]MTR!C:C,0),COLUMN(J669)),TRUE) &amp; "")</f>
        <v>#ERROR!</v>
      </c>
      <c r="AI669" s="157" t="str">
        <f t="shared" si="5"/>
        <v>#ERROR!</v>
      </c>
    </row>
    <row r="670" ht="12.75" customHeight="1">
      <c r="A670" s="244" t="s">
        <v>5158</v>
      </c>
      <c r="B670" s="244" t="s">
        <v>231</v>
      </c>
      <c r="C670" s="244" t="s">
        <v>8533</v>
      </c>
      <c r="D670" s="154" t="s">
        <v>542</v>
      </c>
      <c r="E670" s="154"/>
      <c r="F670" s="154" t="str">
        <f t="array" ref="F670">XLOOKUP(Cover!$D$12,$R$1:$Z$1,$R670:$Z670)</f>
        <v>Mandatory</v>
      </c>
      <c r="G670" s="154" t="s">
        <v>8534</v>
      </c>
      <c r="H670" s="154" t="s">
        <v>8513</v>
      </c>
      <c r="I670" s="154" t="s">
        <v>8532</v>
      </c>
      <c r="J670" s="154" t="s">
        <v>6797</v>
      </c>
      <c r="K670" s="154" t="s">
        <v>8508</v>
      </c>
      <c r="L670" s="154" t="s">
        <v>6064</v>
      </c>
      <c r="M670" s="154" t="s">
        <v>1122</v>
      </c>
      <c r="N670" s="154" t="s">
        <v>759</v>
      </c>
      <c r="O670" s="247" t="s">
        <v>445</v>
      </c>
      <c r="P670" s="247" t="s">
        <v>89</v>
      </c>
      <c r="Q670" s="154" t="str">
        <f t="shared" si="1"/>
        <v>#ERROR!</v>
      </c>
      <c r="R670" s="154" t="s">
        <v>66</v>
      </c>
      <c r="S670" s="154" t="s">
        <v>66</v>
      </c>
      <c r="T670" s="154" t="s">
        <v>60</v>
      </c>
      <c r="U670" s="154" t="s">
        <v>60</v>
      </c>
      <c r="V670" s="154" t="s">
        <v>60</v>
      </c>
      <c r="W670" s="154" t="s">
        <v>60</v>
      </c>
      <c r="X670" s="154" t="s">
        <v>66</v>
      </c>
      <c r="Y670" s="154" t="s">
        <v>60</v>
      </c>
      <c r="Z670" s="154" t="s">
        <v>60</v>
      </c>
      <c r="AA670" s="154"/>
      <c r="AB670" s="242" t="str">
        <f t="shared" si="2"/>
        <v>#ERROR!</v>
      </c>
      <c r="AC670" s="154" t="s">
        <v>391</v>
      </c>
      <c r="AD670" s="242" t="b">
        <f t="shared" si="3"/>
        <v>0</v>
      </c>
      <c r="AE670" s="154"/>
      <c r="AF670" s="242" t="str">
        <f t="shared" si="4"/>
        <v>#ERROR!</v>
      </c>
      <c r="AG670" s="154" t="s">
        <v>652</v>
      </c>
      <c r="AH670" s="242" t="str">
        <f>IF(AG670="","N/A",INDIRECT("MTR!"&amp;ADDRESS(MATCH(LEFT(AG670,9),[1]MTR!C:C,0),COLUMN(J670)),TRUE) &amp; "")</f>
        <v>#ERROR!</v>
      </c>
      <c r="AI670" s="157" t="str">
        <f t="shared" si="5"/>
        <v>#ERROR!</v>
      </c>
    </row>
    <row r="671" ht="12.75" customHeight="1">
      <c r="A671" s="244" t="s">
        <v>5158</v>
      </c>
      <c r="B671" s="244" t="s">
        <v>231</v>
      </c>
      <c r="C671" s="244" t="s">
        <v>8535</v>
      </c>
      <c r="D671" s="154" t="s">
        <v>781</v>
      </c>
      <c r="E671" s="154"/>
      <c r="F671" s="154" t="str">
        <f t="array" ref="F671">XLOOKUP(Cover!$D$12,$R$1:$Z$1,$R671:$Z671)</f>
        <v>Recommended</v>
      </c>
      <c r="G671" s="154" t="s">
        <v>8536</v>
      </c>
      <c r="H671" s="154" t="s">
        <v>8507</v>
      </c>
      <c r="I671" s="154" t="s">
        <v>8537</v>
      </c>
      <c r="J671" s="154" t="s">
        <v>7349</v>
      </c>
      <c r="K671" s="154" t="s">
        <v>8508</v>
      </c>
      <c r="L671" s="154" t="s">
        <v>6140</v>
      </c>
      <c r="M671" s="154"/>
      <c r="N671" s="154" t="s">
        <v>759</v>
      </c>
      <c r="O671" s="247" t="s">
        <v>516</v>
      </c>
      <c r="P671" s="247" t="s">
        <v>6776</v>
      </c>
      <c r="Q671" s="154" t="str">
        <f t="shared" si="1"/>
        <v>#ERROR!</v>
      </c>
      <c r="R671" s="154" t="s">
        <v>66</v>
      </c>
      <c r="S671" s="154" t="s">
        <v>66</v>
      </c>
      <c r="T671" s="154" t="s">
        <v>64</v>
      </c>
      <c r="U671" s="154" t="s">
        <v>64</v>
      </c>
      <c r="V671" s="154" t="s">
        <v>64</v>
      </c>
      <c r="W671" s="154" t="s">
        <v>64</v>
      </c>
      <c r="X671" s="154" t="s">
        <v>66</v>
      </c>
      <c r="Y671" s="154" t="s">
        <v>64</v>
      </c>
      <c r="Z671" s="154" t="s">
        <v>64</v>
      </c>
      <c r="AA671" s="154"/>
      <c r="AB671" s="242" t="str">
        <f t="shared" si="2"/>
        <v>#ERROR!</v>
      </c>
      <c r="AC671" s="154" t="s">
        <v>391</v>
      </c>
      <c r="AD671" s="242" t="b">
        <f t="shared" si="3"/>
        <v>0</v>
      </c>
      <c r="AE671" s="154"/>
      <c r="AF671" s="242" t="str">
        <f t="shared" si="4"/>
        <v>#ERROR!</v>
      </c>
      <c r="AG671" s="154" t="s">
        <v>652</v>
      </c>
      <c r="AH671" s="242" t="str">
        <f>IF(AG671="","N/A",INDIRECT("MTR!"&amp;ADDRESS(MATCH(LEFT(AG671,9),[1]MTR!C:C,0),COLUMN(J671)),TRUE) &amp; "")</f>
        <v>#ERROR!</v>
      </c>
      <c r="AI671" s="157" t="str">
        <f t="shared" si="5"/>
        <v>#ERROR!</v>
      </c>
    </row>
    <row r="672" ht="12.75" customHeight="1">
      <c r="A672" s="244" t="s">
        <v>5158</v>
      </c>
      <c r="B672" s="244" t="s">
        <v>231</v>
      </c>
      <c r="C672" s="244" t="s">
        <v>8538</v>
      </c>
      <c r="D672" s="154" t="s">
        <v>781</v>
      </c>
      <c r="E672" s="154"/>
      <c r="F672" s="154" t="str">
        <f t="array" ref="F672">XLOOKUP(Cover!$D$12,$R$1:$Z$1,$R672:$Z672)</f>
        <v>Recommended</v>
      </c>
      <c r="G672" s="154" t="s">
        <v>8539</v>
      </c>
      <c r="H672" s="154" t="s">
        <v>8516</v>
      </c>
      <c r="I672" s="154" t="s">
        <v>8537</v>
      </c>
      <c r="J672" s="154" t="s">
        <v>7349</v>
      </c>
      <c r="K672" s="154" t="s">
        <v>8508</v>
      </c>
      <c r="L672" s="154" t="s">
        <v>6140</v>
      </c>
      <c r="M672" s="154"/>
      <c r="N672" s="154" t="s">
        <v>759</v>
      </c>
      <c r="O672" s="247" t="s">
        <v>516</v>
      </c>
      <c r="P672" s="247" t="s">
        <v>6776</v>
      </c>
      <c r="Q672" s="154" t="str">
        <f t="shared" si="1"/>
        <v>#ERROR!</v>
      </c>
      <c r="R672" s="154" t="s">
        <v>66</v>
      </c>
      <c r="S672" s="154" t="s">
        <v>66</v>
      </c>
      <c r="T672" s="154" t="s">
        <v>64</v>
      </c>
      <c r="U672" s="154" t="s">
        <v>64</v>
      </c>
      <c r="V672" s="154" t="s">
        <v>64</v>
      </c>
      <c r="W672" s="154" t="s">
        <v>64</v>
      </c>
      <c r="X672" s="154" t="s">
        <v>66</v>
      </c>
      <c r="Y672" s="154" t="s">
        <v>64</v>
      </c>
      <c r="Z672" s="154" t="s">
        <v>64</v>
      </c>
      <c r="AA672" s="154"/>
      <c r="AB672" s="242" t="str">
        <f t="shared" si="2"/>
        <v>#ERROR!</v>
      </c>
      <c r="AC672" s="154" t="s">
        <v>391</v>
      </c>
      <c r="AD672" s="242" t="b">
        <f t="shared" si="3"/>
        <v>0</v>
      </c>
      <c r="AE672" s="154"/>
      <c r="AF672" s="242" t="str">
        <f t="shared" si="4"/>
        <v>#ERROR!</v>
      </c>
      <c r="AG672" s="154" t="s">
        <v>652</v>
      </c>
      <c r="AH672" s="242" t="str">
        <f>IF(AG672="","N/A",INDIRECT("MTR!"&amp;ADDRESS(MATCH(LEFT(AG672,9),[1]MTR!C:C,0),COLUMN(J672)),TRUE) &amp; "")</f>
        <v>#ERROR!</v>
      </c>
      <c r="AI672" s="157" t="str">
        <f t="shared" si="5"/>
        <v>#ERROR!</v>
      </c>
    </row>
    <row r="673" ht="12.75" customHeight="1">
      <c r="A673" s="244" t="s">
        <v>5158</v>
      </c>
      <c r="B673" s="244" t="s">
        <v>231</v>
      </c>
      <c r="C673" s="244" t="s">
        <v>8540</v>
      </c>
      <c r="D673" s="154" t="s">
        <v>602</v>
      </c>
      <c r="E673" s="154"/>
      <c r="F673" s="154" t="str">
        <f t="array" ref="F673">XLOOKUP(Cover!$D$12,$R$1:$Z$1,$R673:$Z673)</f>
        <v>Mandatory</v>
      </c>
      <c r="G673" s="154" t="s">
        <v>8541</v>
      </c>
      <c r="H673" s="154" t="s">
        <v>8507</v>
      </c>
      <c r="I673" s="154" t="s">
        <v>8542</v>
      </c>
      <c r="J673" s="154" t="s">
        <v>6803</v>
      </c>
      <c r="K673" s="154" t="s">
        <v>8508</v>
      </c>
      <c r="L673" s="154" t="s">
        <v>6064</v>
      </c>
      <c r="M673" s="154" t="s">
        <v>1122</v>
      </c>
      <c r="N673" s="154" t="s">
        <v>759</v>
      </c>
      <c r="O673" s="247" t="s">
        <v>445</v>
      </c>
      <c r="P673" s="247" t="s">
        <v>6772</v>
      </c>
      <c r="Q673" s="154" t="str">
        <f t="shared" si="1"/>
        <v>#ERROR!</v>
      </c>
      <c r="R673" s="154" t="s">
        <v>66</v>
      </c>
      <c r="S673" s="154" t="s">
        <v>66</v>
      </c>
      <c r="T673" s="155" t="s">
        <v>64</v>
      </c>
      <c r="U673" s="155" t="s">
        <v>64</v>
      </c>
      <c r="V673" s="154" t="s">
        <v>60</v>
      </c>
      <c r="W673" s="154" t="s">
        <v>60</v>
      </c>
      <c r="X673" s="154" t="s">
        <v>66</v>
      </c>
      <c r="Y673" s="155" t="s">
        <v>64</v>
      </c>
      <c r="Z673" s="154" t="s">
        <v>60</v>
      </c>
      <c r="AA673" s="154"/>
      <c r="AB673" s="242" t="str">
        <f t="shared" si="2"/>
        <v>#ERROR!</v>
      </c>
      <c r="AC673" s="154" t="s">
        <v>391</v>
      </c>
      <c r="AD673" s="242" t="b">
        <f t="shared" si="3"/>
        <v>0</v>
      </c>
      <c r="AE673" s="154"/>
      <c r="AF673" s="242" t="str">
        <f t="shared" si="4"/>
        <v>#ERROR!</v>
      </c>
      <c r="AG673" s="154" t="s">
        <v>652</v>
      </c>
      <c r="AH673" s="242" t="str">
        <f>IF(AG673="","N/A",INDIRECT("MTR!"&amp;ADDRESS(MATCH(LEFT(AG673,9),[1]MTR!C:C,0),COLUMN(J673)),TRUE) &amp; "")</f>
        <v>#ERROR!</v>
      </c>
      <c r="AI673" s="157" t="str">
        <f t="shared" si="5"/>
        <v>#ERROR!</v>
      </c>
    </row>
    <row r="674" ht="12.75" customHeight="1">
      <c r="A674" s="244" t="s">
        <v>5158</v>
      </c>
      <c r="B674" s="244" t="s">
        <v>231</v>
      </c>
      <c r="C674" s="244" t="s">
        <v>8543</v>
      </c>
      <c r="D674" s="154" t="s">
        <v>602</v>
      </c>
      <c r="E674" s="154"/>
      <c r="F674" s="154" t="str">
        <f t="array" ref="F674">XLOOKUP(Cover!$D$12,$R$1:$Z$1,$R674:$Z674)</f>
        <v>Mandatory</v>
      </c>
      <c r="G674" s="154" t="s">
        <v>8544</v>
      </c>
      <c r="H674" s="154" t="s">
        <v>8519</v>
      </c>
      <c r="I674" s="154" t="s">
        <v>8542</v>
      </c>
      <c r="J674" s="154" t="s">
        <v>6803</v>
      </c>
      <c r="K674" s="154" t="s">
        <v>8508</v>
      </c>
      <c r="L674" s="154" t="s">
        <v>6064</v>
      </c>
      <c r="M674" s="154" t="s">
        <v>1122</v>
      </c>
      <c r="N674" s="154" t="s">
        <v>759</v>
      </c>
      <c r="O674" s="247" t="s">
        <v>445</v>
      </c>
      <c r="P674" s="247" t="s">
        <v>6772</v>
      </c>
      <c r="Q674" s="154" t="str">
        <f t="shared" si="1"/>
        <v>#ERROR!</v>
      </c>
      <c r="R674" s="154" t="s">
        <v>66</v>
      </c>
      <c r="S674" s="154" t="s">
        <v>66</v>
      </c>
      <c r="T674" s="155" t="s">
        <v>64</v>
      </c>
      <c r="U674" s="155" t="s">
        <v>64</v>
      </c>
      <c r="V674" s="154" t="s">
        <v>60</v>
      </c>
      <c r="W674" s="154" t="s">
        <v>60</v>
      </c>
      <c r="X674" s="154" t="s">
        <v>66</v>
      </c>
      <c r="Y674" s="155" t="s">
        <v>64</v>
      </c>
      <c r="Z674" s="154" t="s">
        <v>60</v>
      </c>
      <c r="AA674" s="154"/>
      <c r="AB674" s="242" t="str">
        <f t="shared" si="2"/>
        <v>#ERROR!</v>
      </c>
      <c r="AC674" s="154" t="s">
        <v>391</v>
      </c>
      <c r="AD674" s="242" t="b">
        <f t="shared" si="3"/>
        <v>0</v>
      </c>
      <c r="AE674" s="154"/>
      <c r="AF674" s="242" t="str">
        <f t="shared" si="4"/>
        <v>#ERROR!</v>
      </c>
      <c r="AG674" s="154" t="s">
        <v>652</v>
      </c>
      <c r="AH674" s="242" t="str">
        <f>IF(AG674="","N/A",INDIRECT("MTR!"&amp;ADDRESS(MATCH(LEFT(AG674,9),[1]MTR!C:C,0),COLUMN(J674)),TRUE) &amp; "")</f>
        <v>#ERROR!</v>
      </c>
      <c r="AI674" s="157" t="str">
        <f t="shared" si="5"/>
        <v>#ERROR!</v>
      </c>
    </row>
    <row r="675" ht="12.75" customHeight="1">
      <c r="A675" s="244" t="s">
        <v>5158</v>
      </c>
      <c r="B675" s="244" t="s">
        <v>231</v>
      </c>
      <c r="C675" s="244" t="s">
        <v>8545</v>
      </c>
      <c r="D675" s="154" t="s">
        <v>861</v>
      </c>
      <c r="E675" s="154"/>
      <c r="F675" s="154" t="str">
        <f t="array" ref="F675">XLOOKUP(Cover!$D$12,$R$1:$Z$1,$R675:$Z675)</f>
        <v>Mandatory</v>
      </c>
      <c r="G675" s="154" t="s">
        <v>8546</v>
      </c>
      <c r="H675" s="154" t="s">
        <v>8507</v>
      </c>
      <c r="I675" s="154" t="s">
        <v>8547</v>
      </c>
      <c r="J675" s="154" t="s">
        <v>7366</v>
      </c>
      <c r="K675" s="154" t="s">
        <v>8508</v>
      </c>
      <c r="L675" s="154" t="s">
        <v>6428</v>
      </c>
      <c r="M675" s="154" t="s">
        <v>1122</v>
      </c>
      <c r="N675" s="154" t="s">
        <v>759</v>
      </c>
      <c r="O675" s="247" t="s">
        <v>445</v>
      </c>
      <c r="P675" s="247" t="s">
        <v>6772</v>
      </c>
      <c r="Q675" s="154" t="str">
        <f t="shared" si="1"/>
        <v>#ERROR!</v>
      </c>
      <c r="R675" s="154" t="s">
        <v>66</v>
      </c>
      <c r="S675" s="154" t="s">
        <v>66</v>
      </c>
      <c r="T675" s="154" t="s">
        <v>60</v>
      </c>
      <c r="U675" s="154" t="s">
        <v>60</v>
      </c>
      <c r="V675" s="154" t="s">
        <v>60</v>
      </c>
      <c r="W675" s="154" t="s">
        <v>60</v>
      </c>
      <c r="X675" s="154" t="s">
        <v>66</v>
      </c>
      <c r="Y675" s="154" t="s">
        <v>60</v>
      </c>
      <c r="Z675" s="154" t="s">
        <v>60</v>
      </c>
      <c r="AA675" s="154"/>
      <c r="AB675" s="242" t="str">
        <f t="shared" si="2"/>
        <v>#ERROR!</v>
      </c>
      <c r="AC675" s="154" t="s">
        <v>391</v>
      </c>
      <c r="AD675" s="242" t="b">
        <f t="shared" si="3"/>
        <v>0</v>
      </c>
      <c r="AE675" s="154"/>
      <c r="AF675" s="242" t="str">
        <f t="shared" si="4"/>
        <v>#ERROR!</v>
      </c>
      <c r="AG675" s="154" t="s">
        <v>652</v>
      </c>
      <c r="AH675" s="242" t="str">
        <f>IF(AG675="","N/A",INDIRECT("MTR!"&amp;ADDRESS(MATCH(LEFT(AG675,9),[1]MTR!C:C,0),COLUMN(J675)),TRUE) &amp; "")</f>
        <v>#ERROR!</v>
      </c>
      <c r="AI675" s="157" t="str">
        <f t="shared" si="5"/>
        <v>#ERROR!</v>
      </c>
    </row>
    <row r="676" ht="12.75" customHeight="1">
      <c r="A676" s="244" t="s">
        <v>5158</v>
      </c>
      <c r="B676" s="244" t="s">
        <v>231</v>
      </c>
      <c r="C676" s="244" t="s">
        <v>8548</v>
      </c>
      <c r="D676" s="154" t="s">
        <v>747</v>
      </c>
      <c r="E676" s="154"/>
      <c r="F676" s="154" t="str">
        <f t="array" ref="F676">XLOOKUP(Cover!$D$12,$R$1:$Z$1,$R676:$Z676)</f>
        <v>Mandatory</v>
      </c>
      <c r="G676" s="154" t="s">
        <v>8549</v>
      </c>
      <c r="H676" s="154" t="s">
        <v>1489</v>
      </c>
      <c r="I676" s="154" t="s">
        <v>8550</v>
      </c>
      <c r="J676" s="154" t="s">
        <v>6809</v>
      </c>
      <c r="K676" s="154" t="s">
        <v>8508</v>
      </c>
      <c r="L676" s="154" t="s">
        <v>6525</v>
      </c>
      <c r="M676" s="154" t="s">
        <v>1122</v>
      </c>
      <c r="N676" s="154" t="s">
        <v>759</v>
      </c>
      <c r="O676" s="247" t="s">
        <v>445</v>
      </c>
      <c r="P676" s="247" t="s">
        <v>6772</v>
      </c>
      <c r="Q676" s="154" t="str">
        <f t="shared" si="1"/>
        <v>#ERROR!</v>
      </c>
      <c r="R676" s="154" t="s">
        <v>66</v>
      </c>
      <c r="S676" s="154" t="s">
        <v>66</v>
      </c>
      <c r="T676" s="154" t="s">
        <v>60</v>
      </c>
      <c r="U676" s="154" t="s">
        <v>60</v>
      </c>
      <c r="V676" s="154" t="s">
        <v>60</v>
      </c>
      <c r="W676" s="154" t="s">
        <v>60</v>
      </c>
      <c r="X676" s="154" t="s">
        <v>66</v>
      </c>
      <c r="Y676" s="154" t="s">
        <v>60</v>
      </c>
      <c r="Z676" s="154" t="s">
        <v>60</v>
      </c>
      <c r="AA676" s="154"/>
      <c r="AB676" s="242" t="str">
        <f t="shared" si="2"/>
        <v>#ERROR!</v>
      </c>
      <c r="AC676" s="154" t="s">
        <v>391</v>
      </c>
      <c r="AD676" s="242" t="b">
        <f t="shared" si="3"/>
        <v>0</v>
      </c>
      <c r="AE676" s="154"/>
      <c r="AF676" s="242" t="str">
        <f t="shared" si="4"/>
        <v>#ERROR!</v>
      </c>
      <c r="AG676" s="154" t="s">
        <v>652</v>
      </c>
      <c r="AH676" s="242" t="str">
        <f>IF(AG676="","N/A",INDIRECT("MTR!"&amp;ADDRESS(MATCH(LEFT(AG676,9),[1]MTR!C:C,0),COLUMN(J676)),TRUE) &amp; "")</f>
        <v>#ERROR!</v>
      </c>
      <c r="AI676" s="157" t="str">
        <f t="shared" si="5"/>
        <v>#ERROR!</v>
      </c>
    </row>
    <row r="677" ht="12.75" customHeight="1">
      <c r="A677" s="244" t="s">
        <v>5158</v>
      </c>
      <c r="B677" s="244" t="s">
        <v>231</v>
      </c>
      <c r="C677" s="244" t="s">
        <v>8551</v>
      </c>
      <c r="D677" s="154" t="s">
        <v>747</v>
      </c>
      <c r="E677" s="154"/>
      <c r="F677" s="154" t="str">
        <f t="array" ref="F677">XLOOKUP(Cover!$D$12,$R$1:$Z$1,$R677:$Z677)</f>
        <v>Mandatory</v>
      </c>
      <c r="G677" s="154" t="s">
        <v>8552</v>
      </c>
      <c r="H677" s="154" t="s">
        <v>8550</v>
      </c>
      <c r="I677" s="154" t="s">
        <v>8550</v>
      </c>
      <c r="J677" s="154" t="s">
        <v>6809</v>
      </c>
      <c r="K677" s="154" t="s">
        <v>8508</v>
      </c>
      <c r="L677" s="154" t="s">
        <v>6525</v>
      </c>
      <c r="M677" s="154" t="s">
        <v>1122</v>
      </c>
      <c r="N677" s="154" t="s">
        <v>759</v>
      </c>
      <c r="O677" s="247" t="s">
        <v>516</v>
      </c>
      <c r="P677" s="247" t="s">
        <v>1575</v>
      </c>
      <c r="Q677" s="154" t="str">
        <f t="shared" si="1"/>
        <v>#ERROR!</v>
      </c>
      <c r="R677" s="154" t="s">
        <v>66</v>
      </c>
      <c r="S677" s="154" t="s">
        <v>66</v>
      </c>
      <c r="T677" s="154" t="s">
        <v>60</v>
      </c>
      <c r="U677" s="154" t="s">
        <v>60</v>
      </c>
      <c r="V677" s="154" t="s">
        <v>60</v>
      </c>
      <c r="W677" s="154" t="s">
        <v>60</v>
      </c>
      <c r="X677" s="154" t="s">
        <v>66</v>
      </c>
      <c r="Y677" s="154" t="s">
        <v>60</v>
      </c>
      <c r="Z677" s="154" t="s">
        <v>60</v>
      </c>
      <c r="AA677" s="154"/>
      <c r="AB677" s="242" t="str">
        <f t="shared" si="2"/>
        <v>#ERROR!</v>
      </c>
      <c r="AC677" s="154" t="s">
        <v>391</v>
      </c>
      <c r="AD677" s="242" t="b">
        <f t="shared" si="3"/>
        <v>0</v>
      </c>
      <c r="AE677" s="154"/>
      <c r="AF677" s="242" t="str">
        <f t="shared" si="4"/>
        <v>#ERROR!</v>
      </c>
      <c r="AG677" s="154" t="s">
        <v>652</v>
      </c>
      <c r="AH677" s="242" t="str">
        <f>IF(AG677="","N/A",INDIRECT("MTR!"&amp;ADDRESS(MATCH(LEFT(AG677,9),[1]MTR!C:C,0),COLUMN(J677)),TRUE) &amp; "")</f>
        <v>#ERROR!</v>
      </c>
      <c r="AI677" s="157" t="str">
        <f t="shared" si="5"/>
        <v>#ERROR!</v>
      </c>
    </row>
    <row r="678" ht="12.75" customHeight="1">
      <c r="A678" s="244" t="s">
        <v>5158</v>
      </c>
      <c r="B678" s="244" t="s">
        <v>231</v>
      </c>
      <c r="C678" s="244" t="s">
        <v>8553</v>
      </c>
      <c r="D678" s="154" t="s">
        <v>542</v>
      </c>
      <c r="E678" s="154"/>
      <c r="F678" s="154" t="str">
        <f t="array" ref="F678">XLOOKUP(Cover!$D$12,$R$1:$Z$1,$R678:$Z678)</f>
        <v>Mandatory</v>
      </c>
      <c r="G678" s="154" t="s">
        <v>8554</v>
      </c>
      <c r="H678" s="154" t="s">
        <v>1489</v>
      </c>
      <c r="I678" s="154" t="s">
        <v>8555</v>
      </c>
      <c r="J678" s="154" t="s">
        <v>6819</v>
      </c>
      <c r="K678" s="154" t="s">
        <v>8508</v>
      </c>
      <c r="L678" s="154" t="s">
        <v>6064</v>
      </c>
      <c r="M678" s="154" t="s">
        <v>1122</v>
      </c>
      <c r="N678" s="154" t="s">
        <v>759</v>
      </c>
      <c r="O678" s="247" t="s">
        <v>445</v>
      </c>
      <c r="P678" s="247" t="s">
        <v>89</v>
      </c>
      <c r="Q678" s="154" t="str">
        <f t="shared" si="1"/>
        <v>#ERROR!</v>
      </c>
      <c r="R678" s="154" t="s">
        <v>66</v>
      </c>
      <c r="S678" s="154" t="s">
        <v>66</v>
      </c>
      <c r="T678" s="154" t="s">
        <v>60</v>
      </c>
      <c r="U678" s="154" t="s">
        <v>60</v>
      </c>
      <c r="V678" s="154" t="s">
        <v>60</v>
      </c>
      <c r="W678" s="154" t="s">
        <v>60</v>
      </c>
      <c r="X678" s="154" t="s">
        <v>66</v>
      </c>
      <c r="Y678" s="154" t="s">
        <v>60</v>
      </c>
      <c r="Z678" s="154" t="s">
        <v>60</v>
      </c>
      <c r="AA678" s="154"/>
      <c r="AB678" s="242" t="str">
        <f t="shared" si="2"/>
        <v>#ERROR!</v>
      </c>
      <c r="AC678" s="154" t="s">
        <v>391</v>
      </c>
      <c r="AD678" s="242" t="b">
        <f t="shared" si="3"/>
        <v>0</v>
      </c>
      <c r="AE678" s="154"/>
      <c r="AF678" s="242" t="str">
        <f t="shared" si="4"/>
        <v>#ERROR!</v>
      </c>
      <c r="AG678" s="154" t="s">
        <v>652</v>
      </c>
      <c r="AH678" s="242" t="str">
        <f>IF(AG678="","N/A",INDIRECT("MTR!"&amp;ADDRESS(MATCH(LEFT(AG678,9),[1]MTR!C:C,0),COLUMN(J678)),TRUE) &amp; "")</f>
        <v>#ERROR!</v>
      </c>
      <c r="AI678" s="157" t="str">
        <f t="shared" si="5"/>
        <v>#ERROR!</v>
      </c>
    </row>
    <row r="679" ht="12.75" customHeight="1">
      <c r="A679" s="244" t="s">
        <v>5158</v>
      </c>
      <c r="B679" s="244" t="s">
        <v>231</v>
      </c>
      <c r="C679" s="244" t="s">
        <v>8556</v>
      </c>
      <c r="D679" s="154" t="s">
        <v>542</v>
      </c>
      <c r="E679" s="154"/>
      <c r="F679" s="154" t="str">
        <f t="array" ref="F679">XLOOKUP(Cover!$D$12,$R$1:$Z$1,$R679:$Z679)</f>
        <v>Mandatory</v>
      </c>
      <c r="G679" s="154" t="s">
        <v>8557</v>
      </c>
      <c r="H679" s="154" t="s">
        <v>8513</v>
      </c>
      <c r="I679" s="154" t="s">
        <v>8555</v>
      </c>
      <c r="J679" s="154" t="s">
        <v>6819</v>
      </c>
      <c r="K679" s="154" t="s">
        <v>8508</v>
      </c>
      <c r="L679" s="154" t="s">
        <v>6064</v>
      </c>
      <c r="M679" s="154" t="s">
        <v>1122</v>
      </c>
      <c r="N679" s="154" t="s">
        <v>759</v>
      </c>
      <c r="O679" s="247" t="s">
        <v>445</v>
      </c>
      <c r="P679" s="247" t="s">
        <v>89</v>
      </c>
      <c r="Q679" s="154" t="str">
        <f t="shared" si="1"/>
        <v>#ERROR!</v>
      </c>
      <c r="R679" s="154" t="s">
        <v>66</v>
      </c>
      <c r="S679" s="154" t="s">
        <v>66</v>
      </c>
      <c r="T679" s="154" t="s">
        <v>60</v>
      </c>
      <c r="U679" s="154" t="s">
        <v>60</v>
      </c>
      <c r="V679" s="154" t="s">
        <v>60</v>
      </c>
      <c r="W679" s="154" t="s">
        <v>60</v>
      </c>
      <c r="X679" s="154" t="s">
        <v>66</v>
      </c>
      <c r="Y679" s="154" t="s">
        <v>60</v>
      </c>
      <c r="Z679" s="154" t="s">
        <v>60</v>
      </c>
      <c r="AA679" s="154"/>
      <c r="AB679" s="242" t="str">
        <f t="shared" si="2"/>
        <v>#ERROR!</v>
      </c>
      <c r="AC679" s="154" t="s">
        <v>391</v>
      </c>
      <c r="AD679" s="242" t="b">
        <f t="shared" si="3"/>
        <v>0</v>
      </c>
      <c r="AE679" s="154"/>
      <c r="AF679" s="242" t="str">
        <f t="shared" si="4"/>
        <v>#ERROR!</v>
      </c>
      <c r="AG679" s="154" t="s">
        <v>652</v>
      </c>
      <c r="AH679" s="242" t="str">
        <f>IF(AG679="","N/A",INDIRECT("MTR!"&amp;ADDRESS(MATCH(LEFT(AG679,9),[1]MTR!C:C,0),COLUMN(J679)),TRUE) &amp; "")</f>
        <v>#ERROR!</v>
      </c>
      <c r="AI679" s="157" t="str">
        <f t="shared" si="5"/>
        <v>#ERROR!</v>
      </c>
    </row>
    <row r="680" ht="12.75" customHeight="1">
      <c r="A680" s="244" t="s">
        <v>5158</v>
      </c>
      <c r="B680" s="244" t="s">
        <v>231</v>
      </c>
      <c r="C680" s="244" t="s">
        <v>8558</v>
      </c>
      <c r="D680" s="154" t="s">
        <v>546</v>
      </c>
      <c r="E680" s="154"/>
      <c r="F680" s="154" t="str">
        <f t="array" ref="F680">XLOOKUP(Cover!$D$12,$R$1:$Z$1,$R680:$Z680)</f>
        <v>Recommended</v>
      </c>
      <c r="G680" s="154" t="s">
        <v>8559</v>
      </c>
      <c r="H680" s="154" t="s">
        <v>1489</v>
      </c>
      <c r="I680" s="154" t="s">
        <v>8560</v>
      </c>
      <c r="J680" s="154" t="s">
        <v>6826</v>
      </c>
      <c r="K680" s="154" t="s">
        <v>8508</v>
      </c>
      <c r="L680" s="154" t="s">
        <v>6529</v>
      </c>
      <c r="M680" s="154"/>
      <c r="N680" s="154" t="s">
        <v>759</v>
      </c>
      <c r="O680" s="247" t="s">
        <v>516</v>
      </c>
      <c r="P680" s="247" t="s">
        <v>6776</v>
      </c>
      <c r="Q680" s="154" t="str">
        <f t="shared" si="1"/>
        <v>#ERROR!</v>
      </c>
      <c r="R680" s="154" t="s">
        <v>66</v>
      </c>
      <c r="S680" s="154" t="s">
        <v>66</v>
      </c>
      <c r="T680" s="154" t="s">
        <v>64</v>
      </c>
      <c r="U680" s="154" t="s">
        <v>64</v>
      </c>
      <c r="V680" s="154" t="s">
        <v>64</v>
      </c>
      <c r="W680" s="154" t="s">
        <v>64</v>
      </c>
      <c r="X680" s="154" t="s">
        <v>66</v>
      </c>
      <c r="Y680" s="154" t="s">
        <v>64</v>
      </c>
      <c r="Z680" s="154" t="s">
        <v>64</v>
      </c>
      <c r="AA680" s="154"/>
      <c r="AB680" s="242" t="str">
        <f t="shared" si="2"/>
        <v>#ERROR!</v>
      </c>
      <c r="AC680" s="154" t="s">
        <v>391</v>
      </c>
      <c r="AD680" s="242" t="b">
        <f t="shared" si="3"/>
        <v>0</v>
      </c>
      <c r="AE680" s="154"/>
      <c r="AF680" s="242" t="str">
        <f t="shared" si="4"/>
        <v>#ERROR!</v>
      </c>
      <c r="AG680" s="154" t="s">
        <v>652</v>
      </c>
      <c r="AH680" s="242" t="str">
        <f>IF(AG680="","N/A",INDIRECT("MTR!"&amp;ADDRESS(MATCH(LEFT(AG680,9),[1]MTR!C:C,0),COLUMN(J680)),TRUE) &amp; "")</f>
        <v>#ERROR!</v>
      </c>
      <c r="AI680" s="157" t="str">
        <f t="shared" si="5"/>
        <v>#ERROR!</v>
      </c>
    </row>
    <row r="681" ht="12.75" customHeight="1">
      <c r="A681" s="244" t="s">
        <v>5158</v>
      </c>
      <c r="B681" s="244" t="s">
        <v>231</v>
      </c>
      <c r="C681" s="244" t="s">
        <v>8561</v>
      </c>
      <c r="D681" s="154" t="s">
        <v>546</v>
      </c>
      <c r="E681" s="154"/>
      <c r="F681" s="154" t="str">
        <f t="array" ref="F681">XLOOKUP(Cover!$D$12,$R$1:$Z$1,$R681:$Z681)</f>
        <v>Recommended</v>
      </c>
      <c r="G681" s="154" t="s">
        <v>8562</v>
      </c>
      <c r="H681" s="154" t="s">
        <v>8516</v>
      </c>
      <c r="I681" s="154" t="s">
        <v>8560</v>
      </c>
      <c r="J681" s="154" t="s">
        <v>6826</v>
      </c>
      <c r="K681" s="154" t="s">
        <v>8508</v>
      </c>
      <c r="L681" s="154" t="s">
        <v>6529</v>
      </c>
      <c r="M681" s="154"/>
      <c r="N681" s="154" t="s">
        <v>759</v>
      </c>
      <c r="O681" s="247" t="s">
        <v>516</v>
      </c>
      <c r="P681" s="247" t="s">
        <v>6776</v>
      </c>
      <c r="Q681" s="154" t="str">
        <f t="shared" si="1"/>
        <v>#ERROR!</v>
      </c>
      <c r="R681" s="154" t="s">
        <v>66</v>
      </c>
      <c r="S681" s="154" t="s">
        <v>66</v>
      </c>
      <c r="T681" s="154" t="s">
        <v>64</v>
      </c>
      <c r="U681" s="154" t="s">
        <v>64</v>
      </c>
      <c r="V681" s="154" t="s">
        <v>64</v>
      </c>
      <c r="W681" s="154" t="s">
        <v>64</v>
      </c>
      <c r="X681" s="154" t="s">
        <v>66</v>
      </c>
      <c r="Y681" s="154" t="s">
        <v>64</v>
      </c>
      <c r="Z681" s="154" t="s">
        <v>64</v>
      </c>
      <c r="AA681" s="154"/>
      <c r="AB681" s="242" t="str">
        <f t="shared" si="2"/>
        <v>#ERROR!</v>
      </c>
      <c r="AC681" s="154" t="s">
        <v>391</v>
      </c>
      <c r="AD681" s="242" t="b">
        <f t="shared" si="3"/>
        <v>0</v>
      </c>
      <c r="AE681" s="154"/>
      <c r="AF681" s="242" t="str">
        <f t="shared" si="4"/>
        <v>#ERROR!</v>
      </c>
      <c r="AG681" s="154" t="s">
        <v>652</v>
      </c>
      <c r="AH681" s="242" t="str">
        <f>IF(AG681="","N/A",INDIRECT("MTR!"&amp;ADDRESS(MATCH(LEFT(AG681,9),[1]MTR!C:C,0),COLUMN(J681)),TRUE) &amp; "")</f>
        <v>#ERROR!</v>
      </c>
      <c r="AI681" s="157" t="str">
        <f t="shared" si="5"/>
        <v>#ERROR!</v>
      </c>
    </row>
    <row r="682" ht="12.75" customHeight="1">
      <c r="A682" s="244" t="s">
        <v>5158</v>
      </c>
      <c r="B682" s="244" t="s">
        <v>231</v>
      </c>
      <c r="C682" s="244" t="s">
        <v>8563</v>
      </c>
      <c r="D682" s="154" t="s">
        <v>542</v>
      </c>
      <c r="E682" s="154"/>
      <c r="F682" s="154" t="str">
        <f t="array" ref="F682">XLOOKUP(Cover!$D$12,$R$1:$Z$1,$R682:$Z682)</f>
        <v>Mandatory</v>
      </c>
      <c r="G682" s="154" t="s">
        <v>8564</v>
      </c>
      <c r="H682" s="154" t="s">
        <v>1489</v>
      </c>
      <c r="I682" s="154" t="s">
        <v>8565</v>
      </c>
      <c r="J682" s="154" t="s">
        <v>6832</v>
      </c>
      <c r="K682" s="154" t="s">
        <v>8508</v>
      </c>
      <c r="L682" s="154" t="s">
        <v>6064</v>
      </c>
      <c r="M682" s="154" t="s">
        <v>1122</v>
      </c>
      <c r="N682" s="154" t="s">
        <v>759</v>
      </c>
      <c r="O682" s="247" t="s">
        <v>445</v>
      </c>
      <c r="P682" s="247" t="s">
        <v>6772</v>
      </c>
      <c r="Q682" s="154" t="str">
        <f t="shared" si="1"/>
        <v>#ERROR!</v>
      </c>
      <c r="R682" s="154" t="s">
        <v>66</v>
      </c>
      <c r="S682" s="154" t="s">
        <v>66</v>
      </c>
      <c r="T682" s="154" t="s">
        <v>60</v>
      </c>
      <c r="U682" s="154" t="s">
        <v>60</v>
      </c>
      <c r="V682" s="154" t="s">
        <v>60</v>
      </c>
      <c r="W682" s="154" t="s">
        <v>60</v>
      </c>
      <c r="X682" s="154" t="s">
        <v>66</v>
      </c>
      <c r="Y682" s="154" t="s">
        <v>60</v>
      </c>
      <c r="Z682" s="154" t="s">
        <v>60</v>
      </c>
      <c r="AA682" s="154"/>
      <c r="AB682" s="242" t="str">
        <f t="shared" si="2"/>
        <v>#ERROR!</v>
      </c>
      <c r="AC682" s="154" t="s">
        <v>391</v>
      </c>
      <c r="AD682" s="242" t="b">
        <f t="shared" si="3"/>
        <v>0</v>
      </c>
      <c r="AE682" s="154"/>
      <c r="AF682" s="242" t="str">
        <f t="shared" si="4"/>
        <v>#ERROR!</v>
      </c>
      <c r="AG682" s="154" t="s">
        <v>652</v>
      </c>
      <c r="AH682" s="242" t="str">
        <f>IF(AG682="","N/A",INDIRECT("MTR!"&amp;ADDRESS(MATCH(LEFT(AG682,9),[1]MTR!C:C,0),COLUMN(J682)),TRUE) &amp; "")</f>
        <v>#ERROR!</v>
      </c>
      <c r="AI682" s="157" t="str">
        <f t="shared" si="5"/>
        <v>#ERROR!</v>
      </c>
    </row>
    <row r="683" ht="12.75" customHeight="1">
      <c r="A683" s="244" t="s">
        <v>5158</v>
      </c>
      <c r="B683" s="244" t="s">
        <v>231</v>
      </c>
      <c r="C683" s="244" t="s">
        <v>8566</v>
      </c>
      <c r="D683" s="154" t="s">
        <v>542</v>
      </c>
      <c r="E683" s="154"/>
      <c r="F683" s="154" t="str">
        <f t="array" ref="F683">XLOOKUP(Cover!$D$12,$R$1:$Z$1,$R683:$Z683)</f>
        <v>Mandatory</v>
      </c>
      <c r="G683" s="154" t="s">
        <v>8567</v>
      </c>
      <c r="H683" s="154" t="s">
        <v>8519</v>
      </c>
      <c r="I683" s="154" t="s">
        <v>8565</v>
      </c>
      <c r="J683" s="154" t="s">
        <v>6832</v>
      </c>
      <c r="K683" s="154" t="s">
        <v>8508</v>
      </c>
      <c r="L683" s="154" t="s">
        <v>6064</v>
      </c>
      <c r="M683" s="154" t="s">
        <v>1122</v>
      </c>
      <c r="N683" s="154" t="s">
        <v>759</v>
      </c>
      <c r="O683" s="247" t="s">
        <v>445</v>
      </c>
      <c r="P683" s="247" t="s">
        <v>6772</v>
      </c>
      <c r="Q683" s="154" t="str">
        <f t="shared" si="1"/>
        <v>#ERROR!</v>
      </c>
      <c r="R683" s="154" t="s">
        <v>66</v>
      </c>
      <c r="S683" s="154" t="s">
        <v>66</v>
      </c>
      <c r="T683" s="154" t="s">
        <v>60</v>
      </c>
      <c r="U683" s="154" t="s">
        <v>60</v>
      </c>
      <c r="V683" s="154" t="s">
        <v>60</v>
      </c>
      <c r="W683" s="154" t="s">
        <v>60</v>
      </c>
      <c r="X683" s="154" t="s">
        <v>66</v>
      </c>
      <c r="Y683" s="154" t="s">
        <v>60</v>
      </c>
      <c r="Z683" s="154" t="s">
        <v>60</v>
      </c>
      <c r="AA683" s="154"/>
      <c r="AB683" s="242" t="str">
        <f t="shared" si="2"/>
        <v>#ERROR!</v>
      </c>
      <c r="AC683" s="154" t="s">
        <v>391</v>
      </c>
      <c r="AD683" s="242" t="b">
        <f t="shared" si="3"/>
        <v>0</v>
      </c>
      <c r="AE683" s="154"/>
      <c r="AF683" s="242" t="str">
        <f t="shared" si="4"/>
        <v>#ERROR!</v>
      </c>
      <c r="AG683" s="154" t="s">
        <v>652</v>
      </c>
      <c r="AH683" s="242" t="str">
        <f>IF(AG683="","N/A",INDIRECT("MTR!"&amp;ADDRESS(MATCH(LEFT(AG683,9),[1]MTR!C:C,0),COLUMN(J683)),TRUE) &amp; "")</f>
        <v>#ERROR!</v>
      </c>
      <c r="AI683" s="157" t="str">
        <f t="shared" si="5"/>
        <v>#ERROR!</v>
      </c>
    </row>
    <row r="684" ht="12.75" customHeight="1">
      <c r="A684" s="244" t="s">
        <v>5158</v>
      </c>
      <c r="B684" s="244" t="s">
        <v>231</v>
      </c>
      <c r="C684" s="244" t="s">
        <v>8568</v>
      </c>
      <c r="D684" s="154" t="s">
        <v>1315</v>
      </c>
      <c r="E684" s="154"/>
      <c r="F684" s="154" t="str">
        <f t="array" ref="F684">XLOOKUP(Cover!$D$12,$R$1:$Z$1,$R684:$Z684)</f>
        <v>Mandatory</v>
      </c>
      <c r="G684" s="154" t="s">
        <v>8569</v>
      </c>
      <c r="H684" s="154" t="s">
        <v>1489</v>
      </c>
      <c r="I684" s="154" t="s">
        <v>8570</v>
      </c>
      <c r="J684" s="154" t="s">
        <v>6844</v>
      </c>
      <c r="K684" s="154" t="s">
        <v>8508</v>
      </c>
      <c r="L684" s="154" t="s">
        <v>6905</v>
      </c>
      <c r="M684" s="154" t="s">
        <v>1122</v>
      </c>
      <c r="N684" s="154" t="s">
        <v>759</v>
      </c>
      <c r="O684" s="247" t="s">
        <v>445</v>
      </c>
      <c r="P684" s="247" t="s">
        <v>6772</v>
      </c>
      <c r="Q684" s="154" t="str">
        <f t="shared" si="1"/>
        <v>#ERROR!</v>
      </c>
      <c r="R684" s="154" t="s">
        <v>66</v>
      </c>
      <c r="S684" s="154" t="s">
        <v>66</v>
      </c>
      <c r="T684" s="154" t="s">
        <v>60</v>
      </c>
      <c r="U684" s="154" t="s">
        <v>60</v>
      </c>
      <c r="V684" s="154" t="s">
        <v>60</v>
      </c>
      <c r="W684" s="154" t="s">
        <v>60</v>
      </c>
      <c r="X684" s="154" t="s">
        <v>66</v>
      </c>
      <c r="Y684" s="154" t="s">
        <v>60</v>
      </c>
      <c r="Z684" s="154" t="s">
        <v>60</v>
      </c>
      <c r="AA684" s="154"/>
      <c r="AB684" s="242" t="str">
        <f t="shared" si="2"/>
        <v>#ERROR!</v>
      </c>
      <c r="AC684" s="154" t="s">
        <v>391</v>
      </c>
      <c r="AD684" s="242" t="b">
        <f t="shared" si="3"/>
        <v>0</v>
      </c>
      <c r="AE684" s="154"/>
      <c r="AF684" s="242" t="str">
        <f t="shared" si="4"/>
        <v>#ERROR!</v>
      </c>
      <c r="AG684" s="154" t="s">
        <v>652</v>
      </c>
      <c r="AH684" s="242" t="str">
        <f>IF(AG684="","N/A",INDIRECT("MTR!"&amp;ADDRESS(MATCH(LEFT(AG684,9),[1]MTR!C:C,0),COLUMN(J684)),TRUE) &amp; "")</f>
        <v>#ERROR!</v>
      </c>
      <c r="AI684" s="157" t="str">
        <f t="shared" si="5"/>
        <v>#ERROR!</v>
      </c>
    </row>
    <row r="685" ht="12.75" customHeight="1">
      <c r="A685" s="244" t="s">
        <v>5158</v>
      </c>
      <c r="B685" s="244" t="s">
        <v>231</v>
      </c>
      <c r="C685" s="244" t="s">
        <v>8571</v>
      </c>
      <c r="D685" s="154" t="s">
        <v>747</v>
      </c>
      <c r="E685" s="154"/>
      <c r="F685" s="154" t="str">
        <f t="array" ref="F685">XLOOKUP(Cover!$D$12,$R$1:$Z$1,$R685:$Z685)</f>
        <v>Recommended</v>
      </c>
      <c r="G685" s="154" t="s">
        <v>8572</v>
      </c>
      <c r="H685" s="154" t="s">
        <v>8513</v>
      </c>
      <c r="I685" s="154" t="s">
        <v>8573</v>
      </c>
      <c r="J685" s="154" t="s">
        <v>6848</v>
      </c>
      <c r="K685" s="154" t="s">
        <v>8508</v>
      </c>
      <c r="L685" s="154" t="s">
        <v>6525</v>
      </c>
      <c r="M685" s="154"/>
      <c r="N685" s="154" t="s">
        <v>759</v>
      </c>
      <c r="O685" s="247" t="s">
        <v>445</v>
      </c>
      <c r="P685" s="247" t="s">
        <v>6772</v>
      </c>
      <c r="Q685" s="154" t="str">
        <f t="shared" si="1"/>
        <v>#ERROR!</v>
      </c>
      <c r="R685" s="154" t="s">
        <v>66</v>
      </c>
      <c r="S685" s="154" t="s">
        <v>66</v>
      </c>
      <c r="T685" s="154" t="s">
        <v>64</v>
      </c>
      <c r="U685" s="154" t="s">
        <v>64</v>
      </c>
      <c r="V685" s="154" t="s">
        <v>64</v>
      </c>
      <c r="W685" s="154" t="s">
        <v>64</v>
      </c>
      <c r="X685" s="154" t="s">
        <v>66</v>
      </c>
      <c r="Y685" s="154" t="s">
        <v>64</v>
      </c>
      <c r="Z685" s="154" t="s">
        <v>64</v>
      </c>
      <c r="AA685" s="154"/>
      <c r="AB685" s="242" t="str">
        <f t="shared" si="2"/>
        <v>#ERROR!</v>
      </c>
      <c r="AC685" s="154" t="s">
        <v>391</v>
      </c>
      <c r="AD685" s="242" t="b">
        <f t="shared" si="3"/>
        <v>0</v>
      </c>
      <c r="AE685" s="154"/>
      <c r="AF685" s="242" t="str">
        <f t="shared" si="4"/>
        <v>#ERROR!</v>
      </c>
      <c r="AG685" s="154" t="s">
        <v>652</v>
      </c>
      <c r="AH685" s="242" t="str">
        <f>IF(AG685="","N/A",INDIRECT("MTR!"&amp;ADDRESS(MATCH(LEFT(AG685,9),[1]MTR!C:C,0),COLUMN(J685)),TRUE) &amp; "")</f>
        <v>#ERROR!</v>
      </c>
      <c r="AI685" s="157" t="str">
        <f t="shared" si="5"/>
        <v>#ERROR!</v>
      </c>
    </row>
    <row r="686" ht="12.75" customHeight="1">
      <c r="A686" s="244" t="s">
        <v>5158</v>
      </c>
      <c r="B686" s="244" t="s">
        <v>231</v>
      </c>
      <c r="C686" s="244" t="s">
        <v>8574</v>
      </c>
      <c r="D686" s="154" t="s">
        <v>747</v>
      </c>
      <c r="E686" s="154"/>
      <c r="F686" s="154" t="str">
        <f t="array" ref="F686">XLOOKUP(Cover!$D$12,$R$1:$Z$1,$R686:$Z686)</f>
        <v>Recommended</v>
      </c>
      <c r="G686" s="154" t="s">
        <v>8575</v>
      </c>
      <c r="H686" s="154" t="s">
        <v>8573</v>
      </c>
      <c r="I686" s="154" t="s">
        <v>8573</v>
      </c>
      <c r="J686" s="154" t="s">
        <v>6848</v>
      </c>
      <c r="K686" s="154" t="s">
        <v>8508</v>
      </c>
      <c r="L686" s="154" t="s">
        <v>6525</v>
      </c>
      <c r="M686" s="154"/>
      <c r="N686" s="154" t="s">
        <v>759</v>
      </c>
      <c r="O686" s="247" t="s">
        <v>516</v>
      </c>
      <c r="P686" s="247" t="s">
        <v>1575</v>
      </c>
      <c r="Q686" s="154" t="str">
        <f t="shared" si="1"/>
        <v>#ERROR!</v>
      </c>
      <c r="R686" s="154" t="s">
        <v>66</v>
      </c>
      <c r="S686" s="154" t="s">
        <v>66</v>
      </c>
      <c r="T686" s="154" t="s">
        <v>64</v>
      </c>
      <c r="U686" s="154" t="s">
        <v>64</v>
      </c>
      <c r="V686" s="154" t="s">
        <v>64</v>
      </c>
      <c r="W686" s="154" t="s">
        <v>64</v>
      </c>
      <c r="X686" s="154" t="s">
        <v>66</v>
      </c>
      <c r="Y686" s="154" t="s">
        <v>64</v>
      </c>
      <c r="Z686" s="154" t="s">
        <v>64</v>
      </c>
      <c r="AA686" s="154"/>
      <c r="AB686" s="242" t="str">
        <f t="shared" si="2"/>
        <v>#ERROR!</v>
      </c>
      <c r="AC686" s="154" t="s">
        <v>391</v>
      </c>
      <c r="AD686" s="242" t="b">
        <f t="shared" si="3"/>
        <v>0</v>
      </c>
      <c r="AE686" s="154"/>
      <c r="AF686" s="242" t="str">
        <f t="shared" si="4"/>
        <v>#ERROR!</v>
      </c>
      <c r="AG686" s="154" t="s">
        <v>652</v>
      </c>
      <c r="AH686" s="242" t="str">
        <f>IF(AG686="","N/A",INDIRECT("MTR!"&amp;ADDRESS(MATCH(LEFT(AG686,9),[1]MTR!C:C,0),COLUMN(J686)),TRUE) &amp; "")</f>
        <v>#ERROR!</v>
      </c>
      <c r="AI686" s="157" t="str">
        <f t="shared" si="5"/>
        <v>#ERROR!</v>
      </c>
    </row>
    <row r="687" ht="12.75" customHeight="1">
      <c r="A687" s="244" t="s">
        <v>5158</v>
      </c>
      <c r="B687" s="244" t="s">
        <v>231</v>
      </c>
      <c r="C687" s="244" t="s">
        <v>8576</v>
      </c>
      <c r="D687" s="154" t="s">
        <v>503</v>
      </c>
      <c r="E687" s="154"/>
      <c r="F687" s="154" t="str">
        <f t="array" ref="F687">XLOOKUP(Cover!$D$12,$R$1:$Z$1,$R687:$Z687)</f>
        <v>Information</v>
      </c>
      <c r="G687" s="154" t="s">
        <v>8577</v>
      </c>
      <c r="H687" s="154" t="s">
        <v>8513</v>
      </c>
      <c r="I687" s="154" t="s">
        <v>8578</v>
      </c>
      <c r="J687" s="154" t="s">
        <v>6854</v>
      </c>
      <c r="K687" s="154" t="s">
        <v>8508</v>
      </c>
      <c r="L687" s="154" t="s">
        <v>6463</v>
      </c>
      <c r="M687" s="154"/>
      <c r="N687" s="154" t="s">
        <v>759</v>
      </c>
      <c r="O687" s="247" t="s">
        <v>516</v>
      </c>
      <c r="P687" s="247" t="s">
        <v>6776</v>
      </c>
      <c r="Q687" s="154" t="str">
        <f t="shared" si="1"/>
        <v>#ERROR!</v>
      </c>
      <c r="R687" s="154" t="s">
        <v>66</v>
      </c>
      <c r="S687" s="154" t="s">
        <v>66</v>
      </c>
      <c r="T687" s="154" t="s">
        <v>66</v>
      </c>
      <c r="U687" s="154" t="s">
        <v>66</v>
      </c>
      <c r="V687" s="154" t="s">
        <v>66</v>
      </c>
      <c r="W687" s="154" t="s">
        <v>66</v>
      </c>
      <c r="X687" s="154" t="s">
        <v>66</v>
      </c>
      <c r="Y687" s="154" t="s">
        <v>66</v>
      </c>
      <c r="Z687" s="154" t="s">
        <v>66</v>
      </c>
      <c r="AA687" s="154"/>
      <c r="AB687" s="242" t="str">
        <f t="shared" si="2"/>
        <v>#ERROR!</v>
      </c>
      <c r="AC687" s="154" t="s">
        <v>391</v>
      </c>
      <c r="AD687" s="242" t="b">
        <f t="shared" si="3"/>
        <v>0</v>
      </c>
      <c r="AE687" s="154"/>
      <c r="AF687" s="242" t="str">
        <f t="shared" si="4"/>
        <v>#ERROR!</v>
      </c>
      <c r="AG687" s="154" t="s">
        <v>652</v>
      </c>
      <c r="AH687" s="242" t="str">
        <f>IF(AG687="","N/A",INDIRECT("MTR!"&amp;ADDRESS(MATCH(LEFT(AG687,9),[1]MTR!C:C,0),COLUMN(J687)),TRUE) &amp; "")</f>
        <v>#ERROR!</v>
      </c>
      <c r="AI687" s="157" t="str">
        <f t="shared" si="5"/>
        <v>#ERROR!</v>
      </c>
    </row>
    <row r="688" ht="12.75" customHeight="1">
      <c r="A688" s="244" t="s">
        <v>5158</v>
      </c>
      <c r="B688" s="244" t="s">
        <v>231</v>
      </c>
      <c r="C688" s="244" t="s">
        <v>8579</v>
      </c>
      <c r="D688" s="154" t="s">
        <v>861</v>
      </c>
      <c r="E688" s="154"/>
      <c r="F688" s="154" t="str">
        <f t="array" ref="F688">XLOOKUP(Cover!$D$12,$R$1:$Z$1,$R688:$Z688)</f>
        <v>Recommended</v>
      </c>
      <c r="G688" s="154" t="s">
        <v>8580</v>
      </c>
      <c r="H688" s="154" t="s">
        <v>8513</v>
      </c>
      <c r="I688" s="154" t="s">
        <v>8581</v>
      </c>
      <c r="J688" s="154" t="s">
        <v>6858</v>
      </c>
      <c r="K688" s="154" t="s">
        <v>8508</v>
      </c>
      <c r="L688" s="154" t="s">
        <v>6428</v>
      </c>
      <c r="M688" s="154"/>
      <c r="N688" s="154" t="s">
        <v>759</v>
      </c>
      <c r="O688" s="247" t="s">
        <v>516</v>
      </c>
      <c r="P688" s="247" t="s">
        <v>6776</v>
      </c>
      <c r="Q688" s="154" t="str">
        <f t="shared" si="1"/>
        <v>#ERROR!</v>
      </c>
      <c r="R688" s="154" t="s">
        <v>66</v>
      </c>
      <c r="S688" s="154" t="s">
        <v>66</v>
      </c>
      <c r="T688" s="154" t="s">
        <v>64</v>
      </c>
      <c r="U688" s="154" t="s">
        <v>64</v>
      </c>
      <c r="V688" s="154" t="s">
        <v>64</v>
      </c>
      <c r="W688" s="154" t="s">
        <v>64</v>
      </c>
      <c r="X688" s="154" t="s">
        <v>66</v>
      </c>
      <c r="Y688" s="154" t="s">
        <v>64</v>
      </c>
      <c r="Z688" s="154" t="s">
        <v>64</v>
      </c>
      <c r="AA688" s="154"/>
      <c r="AB688" s="242" t="str">
        <f t="shared" si="2"/>
        <v>#ERROR!</v>
      </c>
      <c r="AC688" s="154" t="s">
        <v>391</v>
      </c>
      <c r="AD688" s="242" t="b">
        <f t="shared" si="3"/>
        <v>0</v>
      </c>
      <c r="AE688" s="154"/>
      <c r="AF688" s="242" t="str">
        <f t="shared" si="4"/>
        <v>#ERROR!</v>
      </c>
      <c r="AG688" s="154" t="s">
        <v>652</v>
      </c>
      <c r="AH688" s="242" t="str">
        <f>IF(AG688="","N/A",INDIRECT("MTR!"&amp;ADDRESS(MATCH(LEFT(AG688,9),[1]MTR!C:C,0),COLUMN(J688)),TRUE) &amp; "")</f>
        <v>#ERROR!</v>
      </c>
      <c r="AI688" s="157" t="str">
        <f t="shared" si="5"/>
        <v>#ERROR!</v>
      </c>
    </row>
    <row r="689" ht="12.75" customHeight="1">
      <c r="A689" s="244" t="s">
        <v>5158</v>
      </c>
      <c r="B689" s="244" t="s">
        <v>231</v>
      </c>
      <c r="C689" s="244" t="s">
        <v>8582</v>
      </c>
      <c r="D689" s="154" t="s">
        <v>861</v>
      </c>
      <c r="E689" s="154"/>
      <c r="F689" s="154" t="str">
        <f t="array" ref="F689">XLOOKUP(Cover!$D$12,$R$1:$Z$1,$R689:$Z689)</f>
        <v>Recommended</v>
      </c>
      <c r="G689" s="154" t="s">
        <v>8583</v>
      </c>
      <c r="H689" s="154" t="s">
        <v>8516</v>
      </c>
      <c r="I689" s="154" t="s">
        <v>8581</v>
      </c>
      <c r="J689" s="154" t="s">
        <v>6858</v>
      </c>
      <c r="K689" s="154" t="s">
        <v>8508</v>
      </c>
      <c r="L689" s="154" t="s">
        <v>6428</v>
      </c>
      <c r="M689" s="154"/>
      <c r="N689" s="154" t="s">
        <v>759</v>
      </c>
      <c r="O689" s="247" t="s">
        <v>516</v>
      </c>
      <c r="P689" s="247" t="s">
        <v>6776</v>
      </c>
      <c r="Q689" s="154" t="str">
        <f t="shared" si="1"/>
        <v>#ERROR!</v>
      </c>
      <c r="R689" s="154" t="s">
        <v>66</v>
      </c>
      <c r="S689" s="154" t="s">
        <v>66</v>
      </c>
      <c r="T689" s="154" t="s">
        <v>64</v>
      </c>
      <c r="U689" s="154" t="s">
        <v>64</v>
      </c>
      <c r="V689" s="154" t="s">
        <v>64</v>
      </c>
      <c r="W689" s="154" t="s">
        <v>64</v>
      </c>
      <c r="X689" s="154" t="s">
        <v>66</v>
      </c>
      <c r="Y689" s="154" t="s">
        <v>64</v>
      </c>
      <c r="Z689" s="154" t="s">
        <v>64</v>
      </c>
      <c r="AA689" s="154"/>
      <c r="AB689" s="242" t="str">
        <f t="shared" si="2"/>
        <v>#ERROR!</v>
      </c>
      <c r="AC689" s="154" t="s">
        <v>391</v>
      </c>
      <c r="AD689" s="242" t="b">
        <f t="shared" si="3"/>
        <v>0</v>
      </c>
      <c r="AE689" s="154"/>
      <c r="AF689" s="242" t="str">
        <f t="shared" si="4"/>
        <v>#ERROR!</v>
      </c>
      <c r="AG689" s="154" t="s">
        <v>652</v>
      </c>
      <c r="AH689" s="242" t="str">
        <f>IF(AG689="","N/A",INDIRECT("MTR!"&amp;ADDRESS(MATCH(LEFT(AG689,9),[1]MTR!C:C,0),COLUMN(J689)),TRUE) &amp; "")</f>
        <v>#ERROR!</v>
      </c>
      <c r="AI689" s="157" t="str">
        <f t="shared" si="5"/>
        <v>#ERROR!</v>
      </c>
    </row>
    <row r="690" ht="12.75" customHeight="1">
      <c r="A690" s="244" t="s">
        <v>5158</v>
      </c>
      <c r="B690" s="244" t="s">
        <v>231</v>
      </c>
      <c r="C690" s="244" t="s">
        <v>8584</v>
      </c>
      <c r="D690" s="154" t="s">
        <v>542</v>
      </c>
      <c r="E690" s="154"/>
      <c r="F690" s="154" t="str">
        <f t="array" ref="F690">XLOOKUP(Cover!$D$12,$R$1:$Z$1,$R690:$Z690)</f>
        <v>Mandatory</v>
      </c>
      <c r="G690" s="154" t="s">
        <v>8585</v>
      </c>
      <c r="H690" s="154" t="s">
        <v>8513</v>
      </c>
      <c r="I690" s="154" t="s">
        <v>8586</v>
      </c>
      <c r="J690" s="154" t="s">
        <v>6865</v>
      </c>
      <c r="K690" s="154" t="s">
        <v>8508</v>
      </c>
      <c r="L690" s="154" t="s">
        <v>6064</v>
      </c>
      <c r="M690" s="154" t="s">
        <v>1122</v>
      </c>
      <c r="N690" s="154" t="s">
        <v>759</v>
      </c>
      <c r="O690" s="247" t="s">
        <v>445</v>
      </c>
      <c r="P690" s="247" t="s">
        <v>6772</v>
      </c>
      <c r="Q690" s="154" t="str">
        <f t="shared" si="1"/>
        <v>#ERROR!</v>
      </c>
      <c r="R690" s="154" t="s">
        <v>66</v>
      </c>
      <c r="S690" s="154" t="s">
        <v>66</v>
      </c>
      <c r="T690" s="154" t="s">
        <v>60</v>
      </c>
      <c r="U690" s="154" t="s">
        <v>60</v>
      </c>
      <c r="V690" s="154" t="s">
        <v>60</v>
      </c>
      <c r="W690" s="154" t="s">
        <v>60</v>
      </c>
      <c r="X690" s="154" t="s">
        <v>66</v>
      </c>
      <c r="Y690" s="154" t="s">
        <v>60</v>
      </c>
      <c r="Z690" s="154" t="s">
        <v>60</v>
      </c>
      <c r="AA690" s="154"/>
      <c r="AB690" s="242" t="str">
        <f t="shared" si="2"/>
        <v>#ERROR!</v>
      </c>
      <c r="AC690" s="154" t="s">
        <v>391</v>
      </c>
      <c r="AD690" s="242" t="b">
        <f t="shared" si="3"/>
        <v>0</v>
      </c>
      <c r="AE690" s="154"/>
      <c r="AF690" s="242" t="str">
        <f t="shared" si="4"/>
        <v>#ERROR!</v>
      </c>
      <c r="AG690" s="154" t="s">
        <v>652</v>
      </c>
      <c r="AH690" s="242" t="str">
        <f>IF(AG690="","N/A",INDIRECT("MTR!"&amp;ADDRESS(MATCH(LEFT(AG690,9),[1]MTR!C:C,0),COLUMN(J690)),TRUE) &amp; "")</f>
        <v>#ERROR!</v>
      </c>
      <c r="AI690" s="157" t="str">
        <f t="shared" si="5"/>
        <v>#ERROR!</v>
      </c>
    </row>
    <row r="691" ht="12.75" customHeight="1">
      <c r="A691" s="244" t="s">
        <v>5158</v>
      </c>
      <c r="B691" s="244" t="s">
        <v>231</v>
      </c>
      <c r="C691" s="244" t="s">
        <v>8587</v>
      </c>
      <c r="D691" s="154" t="s">
        <v>542</v>
      </c>
      <c r="E691" s="154"/>
      <c r="F691" s="154" t="str">
        <f t="array" ref="F691">XLOOKUP(Cover!$D$12,$R$1:$Z$1,$R691:$Z691)</f>
        <v>Mandatory</v>
      </c>
      <c r="G691" s="154" t="s">
        <v>8588</v>
      </c>
      <c r="H691" s="154" t="s">
        <v>8519</v>
      </c>
      <c r="I691" s="154" t="s">
        <v>8586</v>
      </c>
      <c r="J691" s="154" t="s">
        <v>6865</v>
      </c>
      <c r="K691" s="154" t="s">
        <v>8508</v>
      </c>
      <c r="L691" s="154" t="s">
        <v>6064</v>
      </c>
      <c r="M691" s="154" t="s">
        <v>1122</v>
      </c>
      <c r="N691" s="154" t="s">
        <v>759</v>
      </c>
      <c r="O691" s="247" t="s">
        <v>445</v>
      </c>
      <c r="P691" s="247" t="s">
        <v>6772</v>
      </c>
      <c r="Q691" s="154" t="str">
        <f t="shared" si="1"/>
        <v>#ERROR!</v>
      </c>
      <c r="R691" s="154" t="s">
        <v>66</v>
      </c>
      <c r="S691" s="154" t="s">
        <v>66</v>
      </c>
      <c r="T691" s="154" t="s">
        <v>60</v>
      </c>
      <c r="U691" s="154" t="s">
        <v>60</v>
      </c>
      <c r="V691" s="154" t="s">
        <v>60</v>
      </c>
      <c r="W691" s="154" t="s">
        <v>60</v>
      </c>
      <c r="X691" s="154" t="s">
        <v>66</v>
      </c>
      <c r="Y691" s="154" t="s">
        <v>60</v>
      </c>
      <c r="Z691" s="154" t="s">
        <v>60</v>
      </c>
      <c r="AA691" s="154"/>
      <c r="AB691" s="242" t="str">
        <f t="shared" si="2"/>
        <v>#ERROR!</v>
      </c>
      <c r="AC691" s="154" t="s">
        <v>391</v>
      </c>
      <c r="AD691" s="242" t="b">
        <f t="shared" si="3"/>
        <v>0</v>
      </c>
      <c r="AE691" s="154"/>
      <c r="AF691" s="242" t="str">
        <f t="shared" si="4"/>
        <v>#ERROR!</v>
      </c>
      <c r="AG691" s="154" t="s">
        <v>652</v>
      </c>
      <c r="AH691" s="242" t="str">
        <f>IF(AG691="","N/A",INDIRECT("MTR!"&amp;ADDRESS(MATCH(LEFT(AG691,9),[1]MTR!C:C,0),COLUMN(J691)),TRUE) &amp; "")</f>
        <v>#ERROR!</v>
      </c>
      <c r="AI691" s="157" t="str">
        <f t="shared" si="5"/>
        <v>#ERROR!</v>
      </c>
    </row>
    <row r="692" ht="12.75" customHeight="1">
      <c r="A692" s="244" t="s">
        <v>5158</v>
      </c>
      <c r="B692" s="244" t="s">
        <v>231</v>
      </c>
      <c r="C692" s="244" t="s">
        <v>8589</v>
      </c>
      <c r="D692" s="154" t="s">
        <v>861</v>
      </c>
      <c r="E692" s="154"/>
      <c r="F692" s="154" t="str">
        <f t="array" ref="F692">XLOOKUP(Cover!$D$12,$R$1:$Z$1,$R692:$Z692)</f>
        <v>Mandatory</v>
      </c>
      <c r="G692" s="154" t="s">
        <v>8590</v>
      </c>
      <c r="H692" s="154" t="s">
        <v>8513</v>
      </c>
      <c r="I692" s="154" t="s">
        <v>8591</v>
      </c>
      <c r="J692" s="154" t="s">
        <v>6879</v>
      </c>
      <c r="K692" s="154" t="s">
        <v>8508</v>
      </c>
      <c r="L692" s="154" t="s">
        <v>6428</v>
      </c>
      <c r="M692" s="154" t="s">
        <v>1122</v>
      </c>
      <c r="N692" s="154" t="s">
        <v>759</v>
      </c>
      <c r="O692" s="247" t="s">
        <v>445</v>
      </c>
      <c r="P692" s="247" t="s">
        <v>6772</v>
      </c>
      <c r="Q692" s="154" t="str">
        <f t="shared" si="1"/>
        <v>#ERROR!</v>
      </c>
      <c r="R692" s="154" t="s">
        <v>66</v>
      </c>
      <c r="S692" s="154" t="s">
        <v>66</v>
      </c>
      <c r="T692" s="154" t="s">
        <v>60</v>
      </c>
      <c r="U692" s="154" t="s">
        <v>60</v>
      </c>
      <c r="V692" s="154" t="s">
        <v>60</v>
      </c>
      <c r="W692" s="154" t="s">
        <v>60</v>
      </c>
      <c r="X692" s="154" t="s">
        <v>66</v>
      </c>
      <c r="Y692" s="154" t="s">
        <v>60</v>
      </c>
      <c r="Z692" s="154" t="s">
        <v>60</v>
      </c>
      <c r="AA692" s="154"/>
      <c r="AB692" s="242" t="str">
        <f t="shared" si="2"/>
        <v>#ERROR!</v>
      </c>
      <c r="AC692" s="154" t="s">
        <v>391</v>
      </c>
      <c r="AD692" s="242" t="b">
        <f t="shared" si="3"/>
        <v>0</v>
      </c>
      <c r="AE692" s="154"/>
      <c r="AF692" s="242" t="str">
        <f t="shared" si="4"/>
        <v>#ERROR!</v>
      </c>
      <c r="AG692" s="154" t="s">
        <v>652</v>
      </c>
      <c r="AH692" s="242" t="str">
        <f>IF(AG692="","N/A",INDIRECT("MTR!"&amp;ADDRESS(MATCH(LEFT(AG692,9),[1]MTR!C:C,0),COLUMN(J692)),TRUE) &amp; "")</f>
        <v>#ERROR!</v>
      </c>
      <c r="AI692" s="157" t="str">
        <f t="shared" si="5"/>
        <v>#ERROR!</v>
      </c>
    </row>
    <row r="693" ht="12.75" customHeight="1">
      <c r="A693" s="244" t="s">
        <v>5158</v>
      </c>
      <c r="B693" s="244" t="s">
        <v>231</v>
      </c>
      <c r="C693" s="244" t="s">
        <v>8592</v>
      </c>
      <c r="D693" s="154" t="s">
        <v>1315</v>
      </c>
      <c r="E693" s="154"/>
      <c r="F693" s="154" t="str">
        <f t="array" ref="F693">XLOOKUP(Cover!$D$12,$R$1:$Z$1,$R693:$Z693)</f>
        <v>Information</v>
      </c>
      <c r="G693" s="154" t="s">
        <v>8593</v>
      </c>
      <c r="H693" s="154" t="s">
        <v>8516</v>
      </c>
      <c r="I693" s="154" t="s">
        <v>8594</v>
      </c>
      <c r="J693" s="154" t="s">
        <v>6883</v>
      </c>
      <c r="K693" s="154" t="s">
        <v>8508</v>
      </c>
      <c r="L693" s="154" t="s">
        <v>6905</v>
      </c>
      <c r="M693" s="154"/>
      <c r="N693" s="154" t="s">
        <v>759</v>
      </c>
      <c r="O693" s="247" t="s">
        <v>516</v>
      </c>
      <c r="P693" s="247" t="s">
        <v>6776</v>
      </c>
      <c r="Q693" s="154" t="str">
        <f t="shared" si="1"/>
        <v>#ERROR!</v>
      </c>
      <c r="R693" s="154" t="s">
        <v>66</v>
      </c>
      <c r="S693" s="154" t="s">
        <v>66</v>
      </c>
      <c r="T693" s="154" t="s">
        <v>66</v>
      </c>
      <c r="U693" s="154" t="s">
        <v>66</v>
      </c>
      <c r="V693" s="154" t="s">
        <v>66</v>
      </c>
      <c r="W693" s="154" t="s">
        <v>66</v>
      </c>
      <c r="X693" s="154" t="s">
        <v>66</v>
      </c>
      <c r="Y693" s="154" t="s">
        <v>66</v>
      </c>
      <c r="Z693" s="154" t="s">
        <v>66</v>
      </c>
      <c r="AA693" s="154"/>
      <c r="AB693" s="242" t="str">
        <f t="shared" si="2"/>
        <v>#ERROR!</v>
      </c>
      <c r="AC693" s="154" t="s">
        <v>391</v>
      </c>
      <c r="AD693" s="242" t="b">
        <f t="shared" si="3"/>
        <v>0</v>
      </c>
      <c r="AE693" s="154"/>
      <c r="AF693" s="242" t="str">
        <f t="shared" si="4"/>
        <v>#ERROR!</v>
      </c>
      <c r="AG693" s="154" t="s">
        <v>652</v>
      </c>
      <c r="AH693" s="242" t="str">
        <f>IF(AG693="","N/A",INDIRECT("MTR!"&amp;ADDRESS(MATCH(LEFT(AG693,9),[1]MTR!C:C,0),COLUMN(J693)),TRUE) &amp; "")</f>
        <v>#ERROR!</v>
      </c>
      <c r="AI693" s="157" t="str">
        <f t="shared" si="5"/>
        <v>#ERROR!</v>
      </c>
    </row>
    <row r="694" ht="12.75" customHeight="1">
      <c r="A694" s="244" t="s">
        <v>5158</v>
      </c>
      <c r="B694" s="244" t="s">
        <v>231</v>
      </c>
      <c r="C694" s="244" t="s">
        <v>8595</v>
      </c>
      <c r="D694" s="154" t="s">
        <v>1315</v>
      </c>
      <c r="E694" s="154"/>
      <c r="F694" s="154" t="str">
        <f t="array" ref="F694">XLOOKUP(Cover!$D$12,$R$1:$Z$1,$R694:$Z694)</f>
        <v>Recommended</v>
      </c>
      <c r="G694" s="154" t="s">
        <v>8596</v>
      </c>
      <c r="H694" s="154" t="s">
        <v>8519</v>
      </c>
      <c r="I694" s="154" t="s">
        <v>8594</v>
      </c>
      <c r="J694" s="154" t="s">
        <v>6883</v>
      </c>
      <c r="K694" s="154" t="s">
        <v>8508</v>
      </c>
      <c r="L694" s="154" t="s">
        <v>6905</v>
      </c>
      <c r="M694" s="154"/>
      <c r="N694" s="154" t="s">
        <v>759</v>
      </c>
      <c r="O694" s="247" t="s">
        <v>516</v>
      </c>
      <c r="P694" s="247" t="s">
        <v>6776</v>
      </c>
      <c r="Q694" s="154" t="str">
        <f t="shared" si="1"/>
        <v>#ERROR!</v>
      </c>
      <c r="R694" s="154" t="s">
        <v>66</v>
      </c>
      <c r="S694" s="154" t="s">
        <v>66</v>
      </c>
      <c r="T694" s="154" t="s">
        <v>64</v>
      </c>
      <c r="U694" s="154" t="s">
        <v>64</v>
      </c>
      <c r="V694" s="154" t="s">
        <v>64</v>
      </c>
      <c r="W694" s="154" t="s">
        <v>64</v>
      </c>
      <c r="X694" s="154" t="s">
        <v>66</v>
      </c>
      <c r="Y694" s="154" t="s">
        <v>64</v>
      </c>
      <c r="Z694" s="154" t="s">
        <v>64</v>
      </c>
      <c r="AA694" s="154"/>
      <c r="AB694" s="242" t="str">
        <f t="shared" si="2"/>
        <v>#ERROR!</v>
      </c>
      <c r="AC694" s="154" t="s">
        <v>391</v>
      </c>
      <c r="AD694" s="242" t="b">
        <f t="shared" si="3"/>
        <v>0</v>
      </c>
      <c r="AE694" s="154"/>
      <c r="AF694" s="242" t="str">
        <f t="shared" si="4"/>
        <v>#ERROR!</v>
      </c>
      <c r="AG694" s="154" t="s">
        <v>652</v>
      </c>
      <c r="AH694" s="242" t="str">
        <f>IF(AG694="","N/A",INDIRECT("MTR!"&amp;ADDRESS(MATCH(LEFT(AG694,9),[1]MTR!C:C,0),COLUMN(J694)),TRUE) &amp; "")</f>
        <v>#ERROR!</v>
      </c>
      <c r="AI694" s="157" t="str">
        <f t="shared" si="5"/>
        <v>#ERROR!</v>
      </c>
    </row>
    <row r="695" ht="12.75" customHeight="1">
      <c r="A695" s="244" t="s">
        <v>5158</v>
      </c>
      <c r="B695" s="244" t="s">
        <v>231</v>
      </c>
      <c r="C695" s="244" t="s">
        <v>8597</v>
      </c>
      <c r="D695" s="154" t="s">
        <v>1069</v>
      </c>
      <c r="E695" s="154"/>
      <c r="F695" s="154" t="str">
        <f t="array" ref="F695">XLOOKUP(Cover!$D$12,$R$1:$Z$1,$R695:$Z695)</f>
        <v>Recommended</v>
      </c>
      <c r="G695" s="154" t="s">
        <v>8598</v>
      </c>
      <c r="H695" s="154" t="s">
        <v>8516</v>
      </c>
      <c r="I695" s="154" t="s">
        <v>8599</v>
      </c>
      <c r="J695" s="154" t="s">
        <v>6890</v>
      </c>
      <c r="K695" s="154" t="s">
        <v>8508</v>
      </c>
      <c r="L695" s="154" t="s">
        <v>5927</v>
      </c>
      <c r="M695" s="154"/>
      <c r="N695" s="154" t="s">
        <v>759</v>
      </c>
      <c r="O695" s="247" t="s">
        <v>516</v>
      </c>
      <c r="P695" s="247" t="s">
        <v>6776</v>
      </c>
      <c r="Q695" s="154" t="str">
        <f t="shared" si="1"/>
        <v>#ERROR!</v>
      </c>
      <c r="R695" s="154" t="s">
        <v>66</v>
      </c>
      <c r="S695" s="154" t="s">
        <v>66</v>
      </c>
      <c r="T695" s="154" t="s">
        <v>64</v>
      </c>
      <c r="U695" s="154" t="s">
        <v>64</v>
      </c>
      <c r="V695" s="154" t="s">
        <v>64</v>
      </c>
      <c r="W695" s="154" t="s">
        <v>64</v>
      </c>
      <c r="X695" s="154" t="s">
        <v>66</v>
      </c>
      <c r="Y695" s="154" t="s">
        <v>64</v>
      </c>
      <c r="Z695" s="154" t="s">
        <v>64</v>
      </c>
      <c r="AA695" s="154"/>
      <c r="AB695" s="242" t="str">
        <f t="shared" si="2"/>
        <v>#ERROR!</v>
      </c>
      <c r="AC695" s="154" t="s">
        <v>391</v>
      </c>
      <c r="AD695" s="242" t="b">
        <f t="shared" si="3"/>
        <v>0</v>
      </c>
      <c r="AE695" s="154"/>
      <c r="AF695" s="242" t="str">
        <f t="shared" si="4"/>
        <v>#ERROR!</v>
      </c>
      <c r="AG695" s="154" t="s">
        <v>652</v>
      </c>
      <c r="AH695" s="242" t="str">
        <f>IF(AG695="","N/A",INDIRECT("MTR!"&amp;ADDRESS(MATCH(LEFT(AG695,9),[1]MTR!C:C,0),COLUMN(J695)),TRUE) &amp; "")</f>
        <v>#ERROR!</v>
      </c>
      <c r="AI695" s="157" t="str">
        <f t="shared" si="5"/>
        <v>#ERROR!</v>
      </c>
    </row>
    <row r="696" ht="12.75" customHeight="1">
      <c r="A696" s="244" t="s">
        <v>5158</v>
      </c>
      <c r="B696" s="244" t="s">
        <v>231</v>
      </c>
      <c r="C696" s="244" t="s">
        <v>8600</v>
      </c>
      <c r="D696" s="154" t="s">
        <v>861</v>
      </c>
      <c r="E696" s="154"/>
      <c r="F696" s="154" t="str">
        <f t="array" ref="F696">XLOOKUP(Cover!$D$12,$R$1:$Z$1,$R696:$Z696)</f>
        <v>Mandatory</v>
      </c>
      <c r="G696" s="154" t="s">
        <v>8601</v>
      </c>
      <c r="H696" s="154" t="s">
        <v>8519</v>
      </c>
      <c r="I696" s="154" t="s">
        <v>8602</v>
      </c>
      <c r="J696" s="154" t="s">
        <v>6900</v>
      </c>
      <c r="K696" s="154" t="s">
        <v>8508</v>
      </c>
      <c r="L696" s="154" t="s">
        <v>6428</v>
      </c>
      <c r="M696" s="154" t="s">
        <v>1122</v>
      </c>
      <c r="N696" s="154" t="s">
        <v>759</v>
      </c>
      <c r="O696" s="247" t="s">
        <v>445</v>
      </c>
      <c r="P696" s="247" t="s">
        <v>6772</v>
      </c>
      <c r="Q696" s="154" t="str">
        <f t="shared" si="1"/>
        <v>#ERROR!</v>
      </c>
      <c r="R696" s="154" t="s">
        <v>66</v>
      </c>
      <c r="S696" s="154" t="s">
        <v>66</v>
      </c>
      <c r="T696" s="154" t="s">
        <v>60</v>
      </c>
      <c r="U696" s="154" t="s">
        <v>60</v>
      </c>
      <c r="V696" s="154" t="s">
        <v>60</v>
      </c>
      <c r="W696" s="154" t="s">
        <v>60</v>
      </c>
      <c r="X696" s="154" t="s">
        <v>66</v>
      </c>
      <c r="Y696" s="154" t="s">
        <v>60</v>
      </c>
      <c r="Z696" s="154" t="s">
        <v>60</v>
      </c>
      <c r="AA696" s="154"/>
      <c r="AB696" s="242" t="str">
        <f t="shared" si="2"/>
        <v>#ERROR!</v>
      </c>
      <c r="AC696" s="154" t="s">
        <v>391</v>
      </c>
      <c r="AD696" s="242" t="b">
        <f t="shared" si="3"/>
        <v>0</v>
      </c>
      <c r="AE696" s="154"/>
      <c r="AF696" s="242" t="str">
        <f t="shared" si="4"/>
        <v>#ERROR!</v>
      </c>
      <c r="AG696" s="154" t="s">
        <v>652</v>
      </c>
      <c r="AH696" s="242" t="str">
        <f>IF(AG696="","N/A",INDIRECT("MTR!"&amp;ADDRESS(MATCH(LEFT(AG696,9),[1]MTR!C:C,0),COLUMN(J696)),TRUE) &amp; "")</f>
        <v>#ERROR!</v>
      </c>
      <c r="AI696" s="157" t="str">
        <f t="shared" si="5"/>
        <v>#ERROR!</v>
      </c>
    </row>
    <row r="697" ht="12.75" customHeight="1">
      <c r="A697" s="238" t="s">
        <v>5158</v>
      </c>
      <c r="B697" s="238" t="s">
        <v>231</v>
      </c>
      <c r="C697" s="238" t="s">
        <v>8603</v>
      </c>
      <c r="D697" s="240"/>
      <c r="E697" s="240" t="s">
        <v>92</v>
      </c>
      <c r="F697" s="240" t="str">
        <f t="array" ref="F697">XLOOKUP(Cover!$D$12,$R$1:$Z$1,$R697:$Z697)</f>
        <v>Heading</v>
      </c>
      <c r="G697" s="239" t="s">
        <v>8604</v>
      </c>
      <c r="H697" s="240"/>
      <c r="I697" s="240"/>
      <c r="J697" s="240"/>
      <c r="K697" s="240"/>
      <c r="L697" s="240"/>
      <c r="M697" s="240"/>
      <c r="N697" s="240" t="s">
        <v>759</v>
      </c>
      <c r="O697" s="240"/>
      <c r="P697" s="240"/>
      <c r="Q697" s="240" t="str">
        <f t="shared" si="1"/>
        <v/>
      </c>
      <c r="R697" s="240" t="s">
        <v>390</v>
      </c>
      <c r="S697" s="240" t="s">
        <v>390</v>
      </c>
      <c r="T697" s="240" t="s">
        <v>390</v>
      </c>
      <c r="U697" s="240" t="s">
        <v>390</v>
      </c>
      <c r="V697" s="240" t="s">
        <v>390</v>
      </c>
      <c r="W697" s="240" t="s">
        <v>390</v>
      </c>
      <c r="X697" s="240" t="s">
        <v>390</v>
      </c>
      <c r="Y697" s="240" t="s">
        <v>390</v>
      </c>
      <c r="Z697" s="240" t="s">
        <v>390</v>
      </c>
      <c r="AA697" s="240"/>
      <c r="AB697" s="242" t="str">
        <f t="shared" si="2"/>
        <v>#ERROR!</v>
      </c>
      <c r="AC697" s="240" t="s">
        <v>391</v>
      </c>
      <c r="AD697" s="242" t="b">
        <f t="shared" si="3"/>
        <v>0</v>
      </c>
      <c r="AE697" s="240"/>
      <c r="AF697" s="242" t="str">
        <f t="shared" si="4"/>
        <v>#ERROR!</v>
      </c>
      <c r="AG697" s="240"/>
      <c r="AH697" s="242" t="str">
        <f>IF(AG697="","N/A",INDIRECT("MTR!"&amp;ADDRESS(MATCH(LEFT(AG697,9),[1]MTR!C:C,0),COLUMN(J697)),TRUE) &amp; "")</f>
        <v>#ERROR!</v>
      </c>
      <c r="AI697" s="157" t="str">
        <f t="shared" si="5"/>
        <v/>
      </c>
    </row>
    <row r="698" ht="12.75" customHeight="1">
      <c r="A698" s="244" t="s">
        <v>5158</v>
      </c>
      <c r="B698" s="244" t="s">
        <v>231</v>
      </c>
      <c r="C698" s="244" t="s">
        <v>8605</v>
      </c>
      <c r="D698" s="154" t="s">
        <v>861</v>
      </c>
      <c r="E698" s="154"/>
      <c r="F698" s="154" t="str">
        <f t="array" ref="F698">XLOOKUP(Cover!$D$12,$R$1:$Z$1,$R698:$Z698)</f>
        <v>Information</v>
      </c>
      <c r="G698" s="154" t="s">
        <v>8606</v>
      </c>
      <c r="H698" s="154" t="s">
        <v>8507</v>
      </c>
      <c r="I698" s="154" t="s">
        <v>8607</v>
      </c>
      <c r="J698" s="154" t="s">
        <v>7945</v>
      </c>
      <c r="K698" s="154" t="s">
        <v>8508</v>
      </c>
      <c r="L698" s="154" t="s">
        <v>6428</v>
      </c>
      <c r="M698" s="154"/>
      <c r="N698" s="154" t="s">
        <v>759</v>
      </c>
      <c r="O698" s="247" t="s">
        <v>445</v>
      </c>
      <c r="P698" s="247" t="s">
        <v>6772</v>
      </c>
      <c r="Q698" s="154" t="str">
        <f t="shared" si="1"/>
        <v>#ERROR!</v>
      </c>
      <c r="R698" s="154" t="s">
        <v>66</v>
      </c>
      <c r="S698" s="154" t="s">
        <v>66</v>
      </c>
      <c r="T698" s="154" t="s">
        <v>66</v>
      </c>
      <c r="U698" s="154" t="s">
        <v>66</v>
      </c>
      <c r="V698" s="154" t="s">
        <v>66</v>
      </c>
      <c r="W698" s="154" t="s">
        <v>66</v>
      </c>
      <c r="X698" s="154" t="s">
        <v>66</v>
      </c>
      <c r="Y698" s="154" t="s">
        <v>66</v>
      </c>
      <c r="Z698" s="154" t="s">
        <v>66</v>
      </c>
      <c r="AA698" s="154"/>
      <c r="AB698" s="242" t="str">
        <f t="shared" si="2"/>
        <v>#ERROR!</v>
      </c>
      <c r="AC698" s="154" t="s">
        <v>391</v>
      </c>
      <c r="AD698" s="242" t="b">
        <f t="shared" si="3"/>
        <v>0</v>
      </c>
      <c r="AE698" s="154"/>
      <c r="AF698" s="242" t="str">
        <f t="shared" si="4"/>
        <v>#ERROR!</v>
      </c>
      <c r="AG698" s="154" t="s">
        <v>652</v>
      </c>
      <c r="AH698" s="242" t="str">
        <f>IF(AG698="","N/A",INDIRECT("MTR!"&amp;ADDRESS(MATCH(LEFT(AG698,9),[1]MTR!C:C,0),COLUMN(J698)),TRUE) &amp; "")</f>
        <v>#ERROR!</v>
      </c>
      <c r="AI698" s="157" t="str">
        <f t="shared" si="5"/>
        <v>#ERROR!</v>
      </c>
    </row>
    <row r="699" ht="12.75" customHeight="1">
      <c r="A699" s="244" t="s">
        <v>5158</v>
      </c>
      <c r="B699" s="244" t="s">
        <v>231</v>
      </c>
      <c r="C699" s="244" t="s">
        <v>8608</v>
      </c>
      <c r="D699" s="154" t="s">
        <v>861</v>
      </c>
      <c r="E699" s="154"/>
      <c r="F699" s="154" t="str">
        <f t="array" ref="F699">XLOOKUP(Cover!$D$12,$R$1:$Z$1,$R699:$Z699)</f>
        <v>Information</v>
      </c>
      <c r="G699" s="154" t="s">
        <v>8609</v>
      </c>
      <c r="H699" s="154" t="s">
        <v>1489</v>
      </c>
      <c r="I699" s="154" t="s">
        <v>8607</v>
      </c>
      <c r="J699" s="154" t="s">
        <v>7945</v>
      </c>
      <c r="K699" s="154" t="s">
        <v>8508</v>
      </c>
      <c r="L699" s="154" t="s">
        <v>6428</v>
      </c>
      <c r="M699" s="154"/>
      <c r="N699" s="154" t="s">
        <v>759</v>
      </c>
      <c r="O699" s="247" t="s">
        <v>445</v>
      </c>
      <c r="P699" s="247" t="s">
        <v>6772</v>
      </c>
      <c r="Q699" s="154" t="str">
        <f t="shared" si="1"/>
        <v>#ERROR!</v>
      </c>
      <c r="R699" s="154" t="s">
        <v>66</v>
      </c>
      <c r="S699" s="154" t="s">
        <v>66</v>
      </c>
      <c r="T699" s="154" t="s">
        <v>66</v>
      </c>
      <c r="U699" s="154" t="s">
        <v>66</v>
      </c>
      <c r="V699" s="154" t="s">
        <v>66</v>
      </c>
      <c r="W699" s="154" t="s">
        <v>66</v>
      </c>
      <c r="X699" s="154" t="s">
        <v>66</v>
      </c>
      <c r="Y699" s="154" t="s">
        <v>66</v>
      </c>
      <c r="Z699" s="154" t="s">
        <v>66</v>
      </c>
      <c r="AA699" s="154"/>
      <c r="AB699" s="242" t="str">
        <f t="shared" si="2"/>
        <v>#ERROR!</v>
      </c>
      <c r="AC699" s="154" t="s">
        <v>391</v>
      </c>
      <c r="AD699" s="242" t="b">
        <f t="shared" si="3"/>
        <v>0</v>
      </c>
      <c r="AE699" s="154"/>
      <c r="AF699" s="242" t="str">
        <f t="shared" si="4"/>
        <v>#ERROR!</v>
      </c>
      <c r="AG699" s="154" t="s">
        <v>652</v>
      </c>
      <c r="AH699" s="242" t="str">
        <f>IF(AG699="","N/A",INDIRECT("MTR!"&amp;ADDRESS(MATCH(LEFT(AG699,9),[1]MTR!C:C,0),COLUMN(J699)),TRUE) &amp; "")</f>
        <v>#ERROR!</v>
      </c>
      <c r="AI699" s="157" t="str">
        <f t="shared" si="5"/>
        <v>#ERROR!</v>
      </c>
    </row>
    <row r="700" ht="12.75" customHeight="1">
      <c r="A700" s="244" t="s">
        <v>5158</v>
      </c>
      <c r="B700" s="244" t="s">
        <v>231</v>
      </c>
      <c r="C700" s="244" t="s">
        <v>8610</v>
      </c>
      <c r="D700" s="154" t="s">
        <v>861</v>
      </c>
      <c r="E700" s="154"/>
      <c r="F700" s="154" t="str">
        <f t="array" ref="F700">XLOOKUP(Cover!$D$12,$R$1:$Z$1,$R700:$Z700)</f>
        <v>Information</v>
      </c>
      <c r="G700" s="154" t="s">
        <v>8611</v>
      </c>
      <c r="H700" s="154" t="s">
        <v>8507</v>
      </c>
      <c r="I700" s="154" t="s">
        <v>8612</v>
      </c>
      <c r="J700" s="154" t="s">
        <v>7951</v>
      </c>
      <c r="K700" s="154" t="s">
        <v>8508</v>
      </c>
      <c r="L700" s="154" t="s">
        <v>6428</v>
      </c>
      <c r="M700" s="154"/>
      <c r="N700" s="154" t="s">
        <v>759</v>
      </c>
      <c r="O700" s="247" t="s">
        <v>445</v>
      </c>
      <c r="P700" s="247" t="s">
        <v>89</v>
      </c>
      <c r="Q700" s="154" t="str">
        <f t="shared" si="1"/>
        <v>#ERROR!</v>
      </c>
      <c r="R700" s="154" t="s">
        <v>66</v>
      </c>
      <c r="S700" s="154" t="s">
        <v>66</v>
      </c>
      <c r="T700" s="154" t="s">
        <v>66</v>
      </c>
      <c r="U700" s="154" t="s">
        <v>66</v>
      </c>
      <c r="V700" s="154" t="s">
        <v>66</v>
      </c>
      <c r="W700" s="154" t="s">
        <v>66</v>
      </c>
      <c r="X700" s="154" t="s">
        <v>66</v>
      </c>
      <c r="Y700" s="154" t="s">
        <v>66</v>
      </c>
      <c r="Z700" s="154" t="s">
        <v>66</v>
      </c>
      <c r="AA700" s="154"/>
      <c r="AB700" s="242" t="str">
        <f t="shared" si="2"/>
        <v>#ERROR!</v>
      </c>
      <c r="AC700" s="154" t="s">
        <v>391</v>
      </c>
      <c r="AD700" s="242" t="b">
        <f t="shared" si="3"/>
        <v>0</v>
      </c>
      <c r="AE700" s="154"/>
      <c r="AF700" s="242" t="str">
        <f t="shared" si="4"/>
        <v>#ERROR!</v>
      </c>
      <c r="AG700" s="154" t="s">
        <v>652</v>
      </c>
      <c r="AH700" s="242" t="str">
        <f>IF(AG700="","N/A",INDIRECT("MTR!"&amp;ADDRESS(MATCH(LEFT(AG700,9),[1]MTR!C:C,0),COLUMN(J700)),TRUE) &amp; "")</f>
        <v>#ERROR!</v>
      </c>
      <c r="AI700" s="157" t="str">
        <f t="shared" si="5"/>
        <v>#ERROR!</v>
      </c>
    </row>
    <row r="701" ht="12.75" customHeight="1">
      <c r="A701" s="244" t="s">
        <v>5158</v>
      </c>
      <c r="B701" s="244" t="s">
        <v>231</v>
      </c>
      <c r="C701" s="244" t="s">
        <v>8613</v>
      </c>
      <c r="D701" s="154" t="s">
        <v>861</v>
      </c>
      <c r="E701" s="154"/>
      <c r="F701" s="154" t="str">
        <f t="array" ref="F701">XLOOKUP(Cover!$D$12,$R$1:$Z$1,$R701:$Z701)</f>
        <v>Information</v>
      </c>
      <c r="G701" s="154" t="s">
        <v>8614</v>
      </c>
      <c r="H701" s="154" t="s">
        <v>8513</v>
      </c>
      <c r="I701" s="154" t="s">
        <v>8612</v>
      </c>
      <c r="J701" s="154" t="s">
        <v>7951</v>
      </c>
      <c r="K701" s="154" t="s">
        <v>8508</v>
      </c>
      <c r="L701" s="154" t="s">
        <v>6428</v>
      </c>
      <c r="M701" s="154"/>
      <c r="N701" s="154" t="s">
        <v>759</v>
      </c>
      <c r="O701" s="247" t="s">
        <v>445</v>
      </c>
      <c r="P701" s="247" t="s">
        <v>89</v>
      </c>
      <c r="Q701" s="154" t="str">
        <f t="shared" si="1"/>
        <v>#ERROR!</v>
      </c>
      <c r="R701" s="154" t="s">
        <v>66</v>
      </c>
      <c r="S701" s="154" t="s">
        <v>66</v>
      </c>
      <c r="T701" s="154" t="s">
        <v>66</v>
      </c>
      <c r="U701" s="154" t="s">
        <v>66</v>
      </c>
      <c r="V701" s="154" t="s">
        <v>66</v>
      </c>
      <c r="W701" s="154" t="s">
        <v>66</v>
      </c>
      <c r="X701" s="154" t="s">
        <v>66</v>
      </c>
      <c r="Y701" s="154" t="s">
        <v>66</v>
      </c>
      <c r="Z701" s="154" t="s">
        <v>66</v>
      </c>
      <c r="AA701" s="154"/>
      <c r="AB701" s="242" t="str">
        <f t="shared" si="2"/>
        <v>#ERROR!</v>
      </c>
      <c r="AC701" s="154" t="s">
        <v>391</v>
      </c>
      <c r="AD701" s="242" t="b">
        <f t="shared" si="3"/>
        <v>0</v>
      </c>
      <c r="AE701" s="154"/>
      <c r="AF701" s="242" t="str">
        <f t="shared" si="4"/>
        <v>#ERROR!</v>
      </c>
      <c r="AG701" s="154" t="s">
        <v>652</v>
      </c>
      <c r="AH701" s="242" t="str">
        <f>IF(AG701="","N/A",INDIRECT("MTR!"&amp;ADDRESS(MATCH(LEFT(AG701,9),[1]MTR!C:C,0),COLUMN(J701)),TRUE) &amp; "")</f>
        <v>#ERROR!</v>
      </c>
      <c r="AI701" s="157" t="str">
        <f t="shared" si="5"/>
        <v>#ERROR!</v>
      </c>
    </row>
    <row r="702" ht="12.75" customHeight="1">
      <c r="A702" s="244" t="s">
        <v>5158</v>
      </c>
      <c r="B702" s="244" t="s">
        <v>231</v>
      </c>
      <c r="C702" s="244" t="s">
        <v>8615</v>
      </c>
      <c r="D702" s="154" t="s">
        <v>747</v>
      </c>
      <c r="E702" s="154"/>
      <c r="F702" s="154" t="str">
        <f t="array" ref="F702">XLOOKUP(Cover!$D$12,$R$1:$Z$1,$R702:$Z702)</f>
        <v>Mandatory</v>
      </c>
      <c r="G702" s="154" t="s">
        <v>8616</v>
      </c>
      <c r="H702" s="154" t="s">
        <v>8507</v>
      </c>
      <c r="I702" s="154" t="s">
        <v>8617</v>
      </c>
      <c r="J702" s="154" t="s">
        <v>7963</v>
      </c>
      <c r="K702" s="154" t="s">
        <v>8508</v>
      </c>
      <c r="L702" s="154" t="s">
        <v>6525</v>
      </c>
      <c r="M702" s="154" t="s">
        <v>1018</v>
      </c>
      <c r="N702" s="154" t="s">
        <v>759</v>
      </c>
      <c r="O702" s="247" t="s">
        <v>445</v>
      </c>
      <c r="P702" s="247" t="s">
        <v>6772</v>
      </c>
      <c r="Q702" s="154" t="str">
        <f t="shared" si="1"/>
        <v>#ERROR!</v>
      </c>
      <c r="R702" s="154" t="s">
        <v>66</v>
      </c>
      <c r="S702" s="154" t="s">
        <v>66</v>
      </c>
      <c r="T702" s="155" t="s">
        <v>64</v>
      </c>
      <c r="U702" s="155" t="s">
        <v>64</v>
      </c>
      <c r="V702" s="154" t="s">
        <v>60</v>
      </c>
      <c r="W702" s="154" t="s">
        <v>60</v>
      </c>
      <c r="X702" s="154" t="s">
        <v>66</v>
      </c>
      <c r="Y702" s="155" t="s">
        <v>64</v>
      </c>
      <c r="Z702" s="154" t="s">
        <v>60</v>
      </c>
      <c r="AA702" s="154"/>
      <c r="AB702" s="242" t="str">
        <f t="shared" si="2"/>
        <v>#ERROR!</v>
      </c>
      <c r="AC702" s="154" t="s">
        <v>391</v>
      </c>
      <c r="AD702" s="242" t="b">
        <f t="shared" si="3"/>
        <v>0</v>
      </c>
      <c r="AE702" s="154"/>
      <c r="AF702" s="242" t="str">
        <f t="shared" si="4"/>
        <v>#ERROR!</v>
      </c>
      <c r="AG702" s="154" t="s">
        <v>652</v>
      </c>
      <c r="AH702" s="242" t="str">
        <f>IF(AG702="","N/A",INDIRECT("MTR!"&amp;ADDRESS(MATCH(LEFT(AG702,9),[1]MTR!C:C,0),COLUMN(J702)),TRUE) &amp; "")</f>
        <v>#ERROR!</v>
      </c>
      <c r="AI702" s="157" t="str">
        <f t="shared" si="5"/>
        <v>#ERROR!</v>
      </c>
    </row>
    <row r="703" ht="12.75" customHeight="1">
      <c r="A703" s="244" t="s">
        <v>5158</v>
      </c>
      <c r="B703" s="244" t="s">
        <v>231</v>
      </c>
      <c r="C703" s="244" t="s">
        <v>8618</v>
      </c>
      <c r="D703" s="154" t="s">
        <v>747</v>
      </c>
      <c r="E703" s="154"/>
      <c r="F703" s="154" t="str">
        <f t="array" ref="F703">XLOOKUP(Cover!$D$12,$R$1:$Z$1,$R703:$Z703)</f>
        <v>Mandatory</v>
      </c>
      <c r="G703" s="154" t="s">
        <v>8619</v>
      </c>
      <c r="H703" s="154" t="s">
        <v>1489</v>
      </c>
      <c r="I703" s="154" t="s">
        <v>8617</v>
      </c>
      <c r="J703" s="154" t="s">
        <v>7963</v>
      </c>
      <c r="K703" s="154" t="s">
        <v>8508</v>
      </c>
      <c r="L703" s="154" t="s">
        <v>6525</v>
      </c>
      <c r="M703" s="154" t="s">
        <v>1018</v>
      </c>
      <c r="N703" s="154" t="s">
        <v>759</v>
      </c>
      <c r="O703" s="247" t="s">
        <v>445</v>
      </c>
      <c r="P703" s="247" t="s">
        <v>6772</v>
      </c>
      <c r="Q703" s="154" t="str">
        <f t="shared" si="1"/>
        <v>#ERROR!</v>
      </c>
      <c r="R703" s="154" t="s">
        <v>66</v>
      </c>
      <c r="S703" s="154" t="s">
        <v>66</v>
      </c>
      <c r="T703" s="155" t="s">
        <v>64</v>
      </c>
      <c r="U703" s="155" t="s">
        <v>64</v>
      </c>
      <c r="V703" s="154" t="s">
        <v>60</v>
      </c>
      <c r="W703" s="154" t="s">
        <v>60</v>
      </c>
      <c r="X703" s="154" t="s">
        <v>66</v>
      </c>
      <c r="Y703" s="155" t="s">
        <v>64</v>
      </c>
      <c r="Z703" s="154" t="s">
        <v>60</v>
      </c>
      <c r="AA703" s="154"/>
      <c r="AB703" s="242" t="str">
        <f t="shared" si="2"/>
        <v>#ERROR!</v>
      </c>
      <c r="AC703" s="154" t="s">
        <v>391</v>
      </c>
      <c r="AD703" s="242" t="b">
        <f t="shared" si="3"/>
        <v>0</v>
      </c>
      <c r="AE703" s="154"/>
      <c r="AF703" s="242" t="str">
        <f t="shared" si="4"/>
        <v>#ERROR!</v>
      </c>
      <c r="AG703" s="154" t="s">
        <v>652</v>
      </c>
      <c r="AH703" s="242" t="str">
        <f>IF(AG703="","N/A",INDIRECT("MTR!"&amp;ADDRESS(MATCH(LEFT(AG703,9),[1]MTR!C:C,0),COLUMN(J703)),TRUE) &amp; "")</f>
        <v>#ERROR!</v>
      </c>
      <c r="AI703" s="157" t="str">
        <f t="shared" si="5"/>
        <v>#ERROR!</v>
      </c>
    </row>
    <row r="704" ht="12.75" customHeight="1">
      <c r="A704" s="244" t="s">
        <v>5158</v>
      </c>
      <c r="B704" s="244" t="s">
        <v>231</v>
      </c>
      <c r="C704" s="244" t="s">
        <v>8620</v>
      </c>
      <c r="D704" s="154" t="s">
        <v>747</v>
      </c>
      <c r="E704" s="154"/>
      <c r="F704" s="154" t="str">
        <f t="array" ref="F704">XLOOKUP(Cover!$D$12,$R$1:$Z$1,$R704:$Z704)</f>
        <v>Mandatory</v>
      </c>
      <c r="G704" s="154" t="s">
        <v>8621</v>
      </c>
      <c r="H704" s="154" t="s">
        <v>8550</v>
      </c>
      <c r="I704" s="154" t="s">
        <v>8617</v>
      </c>
      <c r="J704" s="154" t="s">
        <v>7963</v>
      </c>
      <c r="K704" s="154" t="s">
        <v>8508</v>
      </c>
      <c r="L704" s="154" t="s">
        <v>6525</v>
      </c>
      <c r="M704" s="154" t="s">
        <v>1018</v>
      </c>
      <c r="N704" s="154" t="s">
        <v>759</v>
      </c>
      <c r="O704" s="247" t="s">
        <v>516</v>
      </c>
      <c r="P704" s="247" t="s">
        <v>1575</v>
      </c>
      <c r="Q704" s="154" t="str">
        <f t="shared" si="1"/>
        <v>#ERROR!</v>
      </c>
      <c r="R704" s="154" t="s">
        <v>66</v>
      </c>
      <c r="S704" s="154" t="s">
        <v>66</v>
      </c>
      <c r="T704" s="155" t="s">
        <v>64</v>
      </c>
      <c r="U704" s="155" t="s">
        <v>64</v>
      </c>
      <c r="V704" s="154" t="s">
        <v>60</v>
      </c>
      <c r="W704" s="154" t="s">
        <v>60</v>
      </c>
      <c r="X704" s="154" t="s">
        <v>66</v>
      </c>
      <c r="Y704" s="155" t="s">
        <v>64</v>
      </c>
      <c r="Z704" s="154" t="s">
        <v>60</v>
      </c>
      <c r="AA704" s="154"/>
      <c r="AB704" s="242" t="str">
        <f t="shared" si="2"/>
        <v>#ERROR!</v>
      </c>
      <c r="AC704" s="154" t="s">
        <v>391</v>
      </c>
      <c r="AD704" s="242" t="b">
        <f t="shared" si="3"/>
        <v>0</v>
      </c>
      <c r="AE704" s="154"/>
      <c r="AF704" s="242" t="str">
        <f t="shared" si="4"/>
        <v>#ERROR!</v>
      </c>
      <c r="AG704" s="154" t="s">
        <v>652</v>
      </c>
      <c r="AH704" s="242" t="str">
        <f>IF(AG704="","N/A",INDIRECT("MTR!"&amp;ADDRESS(MATCH(LEFT(AG704,9),[1]MTR!C:C,0),COLUMN(J704)),TRUE) &amp; "")</f>
        <v>#ERROR!</v>
      </c>
      <c r="AI704" s="157" t="str">
        <f t="shared" si="5"/>
        <v>#ERROR!</v>
      </c>
    </row>
    <row r="705" ht="12.75" customHeight="1">
      <c r="A705" s="244" t="s">
        <v>5158</v>
      </c>
      <c r="B705" s="244" t="s">
        <v>231</v>
      </c>
      <c r="C705" s="244" t="s">
        <v>8622</v>
      </c>
      <c r="D705" s="154" t="s">
        <v>542</v>
      </c>
      <c r="E705" s="154"/>
      <c r="F705" s="154" t="str">
        <f t="array" ref="F705">XLOOKUP(Cover!$D$12,$R$1:$Z$1,$R705:$Z705)</f>
        <v>Mandatory</v>
      </c>
      <c r="G705" s="154" t="s">
        <v>8623</v>
      </c>
      <c r="H705" s="154" t="s">
        <v>8507</v>
      </c>
      <c r="I705" s="154" t="s">
        <v>8624</v>
      </c>
      <c r="J705" s="154" t="s">
        <v>6911</v>
      </c>
      <c r="K705" s="154" t="s">
        <v>8508</v>
      </c>
      <c r="L705" s="154" t="s">
        <v>5905</v>
      </c>
      <c r="M705" s="154" t="s">
        <v>1018</v>
      </c>
      <c r="N705" s="154" t="s">
        <v>759</v>
      </c>
      <c r="O705" s="247" t="s">
        <v>516</v>
      </c>
      <c r="P705" s="247" t="s">
        <v>6776</v>
      </c>
      <c r="Q705" s="154" t="str">
        <f t="shared" si="1"/>
        <v>#ERROR!</v>
      </c>
      <c r="R705" s="154" t="s">
        <v>66</v>
      </c>
      <c r="S705" s="154" t="s">
        <v>66</v>
      </c>
      <c r="T705" s="155" t="s">
        <v>64</v>
      </c>
      <c r="U705" s="155" t="s">
        <v>64</v>
      </c>
      <c r="V705" s="154" t="s">
        <v>60</v>
      </c>
      <c r="W705" s="154" t="s">
        <v>60</v>
      </c>
      <c r="X705" s="154" t="s">
        <v>66</v>
      </c>
      <c r="Y705" s="155" t="s">
        <v>64</v>
      </c>
      <c r="Z705" s="154" t="s">
        <v>60</v>
      </c>
      <c r="AA705" s="154"/>
      <c r="AB705" s="242" t="str">
        <f t="shared" si="2"/>
        <v>#ERROR!</v>
      </c>
      <c r="AC705" s="154" t="s">
        <v>391</v>
      </c>
      <c r="AD705" s="242" t="b">
        <f t="shared" si="3"/>
        <v>0</v>
      </c>
      <c r="AE705" s="154"/>
      <c r="AF705" s="242" t="str">
        <f t="shared" si="4"/>
        <v>#ERROR!</v>
      </c>
      <c r="AG705" s="154" t="s">
        <v>652</v>
      </c>
      <c r="AH705" s="242" t="str">
        <f>IF(AG705="","N/A",INDIRECT("MTR!"&amp;ADDRESS(MATCH(LEFT(AG705,9),[1]MTR!C:C,0),COLUMN(J705)),TRUE) &amp; "")</f>
        <v>#ERROR!</v>
      </c>
      <c r="AI705" s="157" t="str">
        <f t="shared" si="5"/>
        <v>#ERROR!</v>
      </c>
    </row>
    <row r="706" ht="12.75" customHeight="1">
      <c r="A706" s="244" t="s">
        <v>5158</v>
      </c>
      <c r="B706" s="244" t="s">
        <v>231</v>
      </c>
      <c r="C706" s="244" t="s">
        <v>8625</v>
      </c>
      <c r="D706" s="154" t="s">
        <v>542</v>
      </c>
      <c r="E706" s="154"/>
      <c r="F706" s="154" t="str">
        <f t="array" ref="F706">XLOOKUP(Cover!$D$12,$R$1:$Z$1,$R706:$Z706)</f>
        <v>Mandatory</v>
      </c>
      <c r="G706" s="154" t="s">
        <v>8626</v>
      </c>
      <c r="H706" s="154" t="s">
        <v>1489</v>
      </c>
      <c r="I706" s="154" t="s">
        <v>8624</v>
      </c>
      <c r="J706" s="154" t="s">
        <v>6911</v>
      </c>
      <c r="K706" s="154" t="s">
        <v>8508</v>
      </c>
      <c r="L706" s="154" t="s">
        <v>5905</v>
      </c>
      <c r="M706" s="154" t="s">
        <v>1018</v>
      </c>
      <c r="N706" s="154" t="s">
        <v>759</v>
      </c>
      <c r="O706" s="247" t="s">
        <v>516</v>
      </c>
      <c r="P706" s="247" t="s">
        <v>6776</v>
      </c>
      <c r="Q706" s="154" t="str">
        <f t="shared" si="1"/>
        <v>#ERROR!</v>
      </c>
      <c r="R706" s="154" t="s">
        <v>66</v>
      </c>
      <c r="S706" s="154" t="s">
        <v>66</v>
      </c>
      <c r="T706" s="155" t="s">
        <v>64</v>
      </c>
      <c r="U706" s="155" t="s">
        <v>64</v>
      </c>
      <c r="V706" s="154" t="s">
        <v>60</v>
      </c>
      <c r="W706" s="154" t="s">
        <v>60</v>
      </c>
      <c r="X706" s="154" t="s">
        <v>66</v>
      </c>
      <c r="Y706" s="155" t="s">
        <v>64</v>
      </c>
      <c r="Z706" s="154" t="s">
        <v>60</v>
      </c>
      <c r="AA706" s="154"/>
      <c r="AB706" s="242" t="str">
        <f t="shared" si="2"/>
        <v>#ERROR!</v>
      </c>
      <c r="AC706" s="154" t="s">
        <v>391</v>
      </c>
      <c r="AD706" s="242" t="b">
        <f t="shared" si="3"/>
        <v>0</v>
      </c>
      <c r="AE706" s="154"/>
      <c r="AF706" s="242" t="str">
        <f t="shared" si="4"/>
        <v>#ERROR!</v>
      </c>
      <c r="AG706" s="154" t="s">
        <v>652</v>
      </c>
      <c r="AH706" s="242" t="str">
        <f>IF(AG706="","N/A",INDIRECT("MTR!"&amp;ADDRESS(MATCH(LEFT(AG706,9),[1]MTR!C:C,0),COLUMN(J706)),TRUE) &amp; "")</f>
        <v>#ERROR!</v>
      </c>
      <c r="AI706" s="157" t="str">
        <f t="shared" si="5"/>
        <v>#ERROR!</v>
      </c>
    </row>
    <row r="707" ht="12.75" customHeight="1">
      <c r="A707" s="244" t="s">
        <v>5158</v>
      </c>
      <c r="B707" s="244" t="s">
        <v>231</v>
      </c>
      <c r="C707" s="244" t="s">
        <v>8627</v>
      </c>
      <c r="D707" s="154" t="s">
        <v>542</v>
      </c>
      <c r="E707" s="154"/>
      <c r="F707" s="154" t="str">
        <f t="array" ref="F707">XLOOKUP(Cover!$D$12,$R$1:$Z$1,$R707:$Z707)</f>
        <v>Mandatory</v>
      </c>
      <c r="G707" s="154" t="s">
        <v>8628</v>
      </c>
      <c r="H707" s="154" t="s">
        <v>8513</v>
      </c>
      <c r="I707" s="154" t="s">
        <v>8624</v>
      </c>
      <c r="J707" s="154" t="s">
        <v>6911</v>
      </c>
      <c r="K707" s="154" t="s">
        <v>8508</v>
      </c>
      <c r="L707" s="154" t="s">
        <v>5905</v>
      </c>
      <c r="M707" s="154" t="s">
        <v>1018</v>
      </c>
      <c r="N707" s="154" t="s">
        <v>759</v>
      </c>
      <c r="O707" s="247" t="s">
        <v>516</v>
      </c>
      <c r="P707" s="247" t="s">
        <v>6776</v>
      </c>
      <c r="Q707" s="154" t="str">
        <f t="shared" si="1"/>
        <v>#ERROR!</v>
      </c>
      <c r="R707" s="154" t="s">
        <v>66</v>
      </c>
      <c r="S707" s="154" t="s">
        <v>66</v>
      </c>
      <c r="T707" s="155" t="s">
        <v>64</v>
      </c>
      <c r="U707" s="155" t="s">
        <v>64</v>
      </c>
      <c r="V707" s="154" t="s">
        <v>60</v>
      </c>
      <c r="W707" s="154" t="s">
        <v>60</v>
      </c>
      <c r="X707" s="154" t="s">
        <v>66</v>
      </c>
      <c r="Y707" s="155" t="s">
        <v>64</v>
      </c>
      <c r="Z707" s="154" t="s">
        <v>60</v>
      </c>
      <c r="AA707" s="154"/>
      <c r="AB707" s="242" t="str">
        <f t="shared" si="2"/>
        <v>#ERROR!</v>
      </c>
      <c r="AC707" s="154" t="s">
        <v>391</v>
      </c>
      <c r="AD707" s="242" t="b">
        <f t="shared" si="3"/>
        <v>0</v>
      </c>
      <c r="AE707" s="154"/>
      <c r="AF707" s="242" t="str">
        <f t="shared" si="4"/>
        <v>#ERROR!</v>
      </c>
      <c r="AG707" s="154" t="s">
        <v>652</v>
      </c>
      <c r="AH707" s="242" t="str">
        <f>IF(AG707="","N/A",INDIRECT("MTR!"&amp;ADDRESS(MATCH(LEFT(AG707,9),[1]MTR!C:C,0),COLUMN(J707)),TRUE) &amp; "")</f>
        <v>#ERROR!</v>
      </c>
      <c r="AI707" s="157" t="str">
        <f t="shared" si="5"/>
        <v>#ERROR!</v>
      </c>
    </row>
    <row r="708" ht="12.75" customHeight="1">
      <c r="A708" s="244" t="s">
        <v>5158</v>
      </c>
      <c r="B708" s="244" t="s">
        <v>231</v>
      </c>
      <c r="C708" s="244" t="s">
        <v>8629</v>
      </c>
      <c r="D708" s="154" t="s">
        <v>546</v>
      </c>
      <c r="E708" s="154"/>
      <c r="F708" s="154" t="str">
        <f t="array" ref="F708">XLOOKUP(Cover!$D$12,$R$1:$Z$1,$R708:$Z708)</f>
        <v>Recommended</v>
      </c>
      <c r="G708" s="154" t="s">
        <v>8630</v>
      </c>
      <c r="H708" s="154" t="s">
        <v>8507</v>
      </c>
      <c r="I708" s="154" t="s">
        <v>8631</v>
      </c>
      <c r="J708" s="154" t="s">
        <v>7463</v>
      </c>
      <c r="K708" s="154" t="s">
        <v>8508</v>
      </c>
      <c r="L708" s="154" t="s">
        <v>6529</v>
      </c>
      <c r="M708" s="154"/>
      <c r="N708" s="154" t="s">
        <v>759</v>
      </c>
      <c r="O708" s="247" t="s">
        <v>516</v>
      </c>
      <c r="P708" s="247" t="s">
        <v>6776</v>
      </c>
      <c r="Q708" s="154" t="str">
        <f t="shared" si="1"/>
        <v>#ERROR!</v>
      </c>
      <c r="R708" s="154" t="s">
        <v>66</v>
      </c>
      <c r="S708" s="154" t="s">
        <v>66</v>
      </c>
      <c r="T708" s="154" t="s">
        <v>64</v>
      </c>
      <c r="U708" s="154" t="s">
        <v>64</v>
      </c>
      <c r="V708" s="154" t="s">
        <v>64</v>
      </c>
      <c r="W708" s="154" t="s">
        <v>64</v>
      </c>
      <c r="X708" s="154" t="s">
        <v>66</v>
      </c>
      <c r="Y708" s="154" t="s">
        <v>64</v>
      </c>
      <c r="Z708" s="154" t="s">
        <v>64</v>
      </c>
      <c r="AA708" s="154"/>
      <c r="AB708" s="242" t="str">
        <f t="shared" si="2"/>
        <v>#ERROR!</v>
      </c>
      <c r="AC708" s="154" t="s">
        <v>391</v>
      </c>
      <c r="AD708" s="242" t="b">
        <f t="shared" si="3"/>
        <v>0</v>
      </c>
      <c r="AE708" s="154"/>
      <c r="AF708" s="242" t="str">
        <f t="shared" si="4"/>
        <v>#ERROR!</v>
      </c>
      <c r="AG708" s="154" t="s">
        <v>652</v>
      </c>
      <c r="AH708" s="242" t="str">
        <f>IF(AG708="","N/A",INDIRECT("MTR!"&amp;ADDRESS(MATCH(LEFT(AG708,9),[1]MTR!C:C,0),COLUMN(J708)),TRUE) &amp; "")</f>
        <v>#ERROR!</v>
      </c>
      <c r="AI708" s="157" t="str">
        <f t="shared" si="5"/>
        <v>#ERROR!</v>
      </c>
    </row>
    <row r="709" ht="12.75" customHeight="1">
      <c r="A709" s="244" t="s">
        <v>5158</v>
      </c>
      <c r="B709" s="244" t="s">
        <v>231</v>
      </c>
      <c r="C709" s="244" t="s">
        <v>8632</v>
      </c>
      <c r="D709" s="154" t="s">
        <v>546</v>
      </c>
      <c r="E709" s="154"/>
      <c r="F709" s="154" t="str">
        <f t="array" ref="F709">XLOOKUP(Cover!$D$12,$R$1:$Z$1,$R709:$Z709)</f>
        <v>Recommended</v>
      </c>
      <c r="G709" s="154" t="s">
        <v>8633</v>
      </c>
      <c r="H709" s="154" t="s">
        <v>1489</v>
      </c>
      <c r="I709" s="154" t="s">
        <v>8631</v>
      </c>
      <c r="J709" s="154" t="s">
        <v>7463</v>
      </c>
      <c r="K709" s="154" t="s">
        <v>8508</v>
      </c>
      <c r="L709" s="154" t="s">
        <v>6529</v>
      </c>
      <c r="M709" s="154"/>
      <c r="N709" s="154" t="s">
        <v>759</v>
      </c>
      <c r="O709" s="247" t="s">
        <v>516</v>
      </c>
      <c r="P709" s="247" t="s">
        <v>6776</v>
      </c>
      <c r="Q709" s="154" t="str">
        <f t="shared" si="1"/>
        <v>#ERROR!</v>
      </c>
      <c r="R709" s="154" t="s">
        <v>66</v>
      </c>
      <c r="S709" s="154" t="s">
        <v>66</v>
      </c>
      <c r="T709" s="154" t="s">
        <v>64</v>
      </c>
      <c r="U709" s="154" t="s">
        <v>64</v>
      </c>
      <c r="V709" s="154" t="s">
        <v>64</v>
      </c>
      <c r="W709" s="154" t="s">
        <v>64</v>
      </c>
      <c r="X709" s="154" t="s">
        <v>66</v>
      </c>
      <c r="Y709" s="154" t="s">
        <v>64</v>
      </c>
      <c r="Z709" s="154" t="s">
        <v>64</v>
      </c>
      <c r="AA709" s="154"/>
      <c r="AB709" s="242" t="str">
        <f t="shared" si="2"/>
        <v>#ERROR!</v>
      </c>
      <c r="AC709" s="154" t="s">
        <v>391</v>
      </c>
      <c r="AD709" s="242" t="b">
        <f t="shared" si="3"/>
        <v>0</v>
      </c>
      <c r="AE709" s="154"/>
      <c r="AF709" s="242" t="str">
        <f t="shared" si="4"/>
        <v>#ERROR!</v>
      </c>
      <c r="AG709" s="154" t="s">
        <v>652</v>
      </c>
      <c r="AH709" s="242" t="str">
        <f>IF(AG709="","N/A",INDIRECT("MTR!"&amp;ADDRESS(MATCH(LEFT(AG709,9),[1]MTR!C:C,0),COLUMN(J709)),TRUE) &amp; "")</f>
        <v>#ERROR!</v>
      </c>
      <c r="AI709" s="157" t="str">
        <f t="shared" si="5"/>
        <v>#ERROR!</v>
      </c>
    </row>
    <row r="710" ht="12.75" customHeight="1">
      <c r="A710" s="244" t="s">
        <v>5158</v>
      </c>
      <c r="B710" s="244" t="s">
        <v>231</v>
      </c>
      <c r="C710" s="244" t="s">
        <v>8634</v>
      </c>
      <c r="D710" s="154" t="s">
        <v>546</v>
      </c>
      <c r="E710" s="154"/>
      <c r="F710" s="154" t="str">
        <f t="array" ref="F710">XLOOKUP(Cover!$D$12,$R$1:$Z$1,$R710:$Z710)</f>
        <v>Recommended</v>
      </c>
      <c r="G710" s="154" t="s">
        <v>8635</v>
      </c>
      <c r="H710" s="154" t="s">
        <v>8516</v>
      </c>
      <c r="I710" s="154" t="s">
        <v>8631</v>
      </c>
      <c r="J710" s="154" t="s">
        <v>7463</v>
      </c>
      <c r="K710" s="154" t="s">
        <v>8508</v>
      </c>
      <c r="L710" s="154" t="s">
        <v>6529</v>
      </c>
      <c r="M710" s="154"/>
      <c r="N710" s="154" t="s">
        <v>759</v>
      </c>
      <c r="O710" s="247" t="s">
        <v>516</v>
      </c>
      <c r="P710" s="247" t="s">
        <v>6776</v>
      </c>
      <c r="Q710" s="154" t="str">
        <f t="shared" si="1"/>
        <v>#ERROR!</v>
      </c>
      <c r="R710" s="154" t="s">
        <v>66</v>
      </c>
      <c r="S710" s="154" t="s">
        <v>66</v>
      </c>
      <c r="T710" s="154" t="s">
        <v>64</v>
      </c>
      <c r="U710" s="154" t="s">
        <v>64</v>
      </c>
      <c r="V710" s="154" t="s">
        <v>64</v>
      </c>
      <c r="W710" s="154" t="s">
        <v>64</v>
      </c>
      <c r="X710" s="154" t="s">
        <v>66</v>
      </c>
      <c r="Y710" s="154" t="s">
        <v>64</v>
      </c>
      <c r="Z710" s="154" t="s">
        <v>64</v>
      </c>
      <c r="AA710" s="154"/>
      <c r="AB710" s="242" t="str">
        <f t="shared" si="2"/>
        <v>#ERROR!</v>
      </c>
      <c r="AC710" s="154" t="s">
        <v>391</v>
      </c>
      <c r="AD710" s="242" t="b">
        <f t="shared" si="3"/>
        <v>0</v>
      </c>
      <c r="AE710" s="154"/>
      <c r="AF710" s="242" t="str">
        <f t="shared" si="4"/>
        <v>#ERROR!</v>
      </c>
      <c r="AG710" s="154" t="s">
        <v>652</v>
      </c>
      <c r="AH710" s="242" t="str">
        <f>IF(AG710="","N/A",INDIRECT("MTR!"&amp;ADDRESS(MATCH(LEFT(AG710,9),[1]MTR!C:C,0),COLUMN(J710)),TRUE) &amp; "")</f>
        <v>#ERROR!</v>
      </c>
      <c r="AI710" s="157" t="str">
        <f t="shared" si="5"/>
        <v>#ERROR!</v>
      </c>
    </row>
    <row r="711" ht="12.75" customHeight="1">
      <c r="A711" s="244" t="s">
        <v>5158</v>
      </c>
      <c r="B711" s="244" t="s">
        <v>231</v>
      </c>
      <c r="C711" s="244" t="s">
        <v>8636</v>
      </c>
      <c r="D711" s="154" t="s">
        <v>542</v>
      </c>
      <c r="E711" s="154"/>
      <c r="F711" s="154" t="str">
        <f t="array" ref="F711">XLOOKUP(Cover!$D$12,$R$1:$Z$1,$R711:$Z711)</f>
        <v>Mandatory</v>
      </c>
      <c r="G711" s="154" t="s">
        <v>8637</v>
      </c>
      <c r="H711" s="154" t="s">
        <v>8507</v>
      </c>
      <c r="I711" s="154" t="s">
        <v>8638</v>
      </c>
      <c r="J711" s="154" t="s">
        <v>6919</v>
      </c>
      <c r="K711" s="154" t="s">
        <v>8508</v>
      </c>
      <c r="L711" s="154" t="s">
        <v>6064</v>
      </c>
      <c r="M711" s="154" t="s">
        <v>1018</v>
      </c>
      <c r="N711" s="154" t="s">
        <v>759</v>
      </c>
      <c r="O711" s="247" t="s">
        <v>516</v>
      </c>
      <c r="P711" s="247" t="s">
        <v>6776</v>
      </c>
      <c r="Q711" s="154" t="str">
        <f t="shared" si="1"/>
        <v>#ERROR!</v>
      </c>
      <c r="R711" s="154" t="s">
        <v>66</v>
      </c>
      <c r="S711" s="154" t="s">
        <v>66</v>
      </c>
      <c r="T711" s="155" t="s">
        <v>64</v>
      </c>
      <c r="U711" s="155" t="s">
        <v>64</v>
      </c>
      <c r="V711" s="154" t="s">
        <v>60</v>
      </c>
      <c r="W711" s="154" t="s">
        <v>60</v>
      </c>
      <c r="X711" s="154" t="s">
        <v>66</v>
      </c>
      <c r="Y711" s="155" t="s">
        <v>64</v>
      </c>
      <c r="Z711" s="154" t="s">
        <v>60</v>
      </c>
      <c r="AA711" s="154"/>
      <c r="AB711" s="242" t="str">
        <f t="shared" si="2"/>
        <v>#ERROR!</v>
      </c>
      <c r="AC711" s="154" t="s">
        <v>391</v>
      </c>
      <c r="AD711" s="242" t="b">
        <f t="shared" si="3"/>
        <v>0</v>
      </c>
      <c r="AE711" s="154"/>
      <c r="AF711" s="242" t="str">
        <f t="shared" si="4"/>
        <v>#ERROR!</v>
      </c>
      <c r="AG711" s="154" t="s">
        <v>652</v>
      </c>
      <c r="AH711" s="242" t="str">
        <f>IF(AG711="","N/A",INDIRECT("MTR!"&amp;ADDRESS(MATCH(LEFT(AG711,9),[1]MTR!C:C,0),COLUMN(J711)),TRUE) &amp; "")</f>
        <v>#ERROR!</v>
      </c>
      <c r="AI711" s="157" t="str">
        <f t="shared" si="5"/>
        <v>#ERROR!</v>
      </c>
    </row>
    <row r="712" ht="12.75" customHeight="1">
      <c r="A712" s="244" t="s">
        <v>5158</v>
      </c>
      <c r="B712" s="244" t="s">
        <v>231</v>
      </c>
      <c r="C712" s="244" t="s">
        <v>8639</v>
      </c>
      <c r="D712" s="154" t="s">
        <v>542</v>
      </c>
      <c r="E712" s="154"/>
      <c r="F712" s="154" t="str">
        <f t="array" ref="F712">XLOOKUP(Cover!$D$12,$R$1:$Z$1,$R712:$Z712)</f>
        <v>Mandatory</v>
      </c>
      <c r="G712" s="154" t="s">
        <v>8640</v>
      </c>
      <c r="H712" s="154" t="s">
        <v>1489</v>
      </c>
      <c r="I712" s="154" t="s">
        <v>8638</v>
      </c>
      <c r="J712" s="154" t="s">
        <v>6919</v>
      </c>
      <c r="K712" s="154" t="s">
        <v>8508</v>
      </c>
      <c r="L712" s="154" t="s">
        <v>6064</v>
      </c>
      <c r="M712" s="154" t="s">
        <v>1018</v>
      </c>
      <c r="N712" s="154" t="s">
        <v>759</v>
      </c>
      <c r="O712" s="247" t="s">
        <v>516</v>
      </c>
      <c r="P712" s="247" t="s">
        <v>6776</v>
      </c>
      <c r="Q712" s="154" t="str">
        <f t="shared" si="1"/>
        <v>#ERROR!</v>
      </c>
      <c r="R712" s="154" t="s">
        <v>66</v>
      </c>
      <c r="S712" s="154" t="s">
        <v>66</v>
      </c>
      <c r="T712" s="155" t="s">
        <v>64</v>
      </c>
      <c r="U712" s="155" t="s">
        <v>64</v>
      </c>
      <c r="V712" s="154" t="s">
        <v>60</v>
      </c>
      <c r="W712" s="154" t="s">
        <v>60</v>
      </c>
      <c r="X712" s="154" t="s">
        <v>66</v>
      </c>
      <c r="Y712" s="155" t="s">
        <v>64</v>
      </c>
      <c r="Z712" s="154" t="s">
        <v>60</v>
      </c>
      <c r="AA712" s="154"/>
      <c r="AB712" s="242" t="str">
        <f t="shared" si="2"/>
        <v>#ERROR!</v>
      </c>
      <c r="AC712" s="154" t="s">
        <v>391</v>
      </c>
      <c r="AD712" s="242" t="b">
        <f t="shared" si="3"/>
        <v>0</v>
      </c>
      <c r="AE712" s="154"/>
      <c r="AF712" s="242" t="str">
        <f t="shared" si="4"/>
        <v>#ERROR!</v>
      </c>
      <c r="AG712" s="154" t="s">
        <v>652</v>
      </c>
      <c r="AH712" s="242" t="str">
        <f>IF(AG712="","N/A",INDIRECT("MTR!"&amp;ADDRESS(MATCH(LEFT(AG712,9),[1]MTR!C:C,0),COLUMN(J712)),TRUE) &amp; "")</f>
        <v>#ERROR!</v>
      </c>
      <c r="AI712" s="157" t="str">
        <f t="shared" si="5"/>
        <v>#ERROR!</v>
      </c>
    </row>
    <row r="713" ht="12.75" customHeight="1">
      <c r="A713" s="244" t="s">
        <v>5158</v>
      </c>
      <c r="B713" s="244" t="s">
        <v>231</v>
      </c>
      <c r="C713" s="244" t="s">
        <v>8641</v>
      </c>
      <c r="D713" s="154" t="s">
        <v>542</v>
      </c>
      <c r="E713" s="154"/>
      <c r="F713" s="154" t="str">
        <f t="array" ref="F713">XLOOKUP(Cover!$D$12,$R$1:$Z$1,$R713:$Z713)</f>
        <v>Mandatory</v>
      </c>
      <c r="G713" s="154" t="s">
        <v>8642</v>
      </c>
      <c r="H713" s="154" t="s">
        <v>8519</v>
      </c>
      <c r="I713" s="154" t="s">
        <v>8638</v>
      </c>
      <c r="J713" s="154" t="s">
        <v>6919</v>
      </c>
      <c r="K713" s="154" t="s">
        <v>8508</v>
      </c>
      <c r="L713" s="154" t="s">
        <v>6064</v>
      </c>
      <c r="M713" s="154" t="s">
        <v>1018</v>
      </c>
      <c r="N713" s="154" t="s">
        <v>759</v>
      </c>
      <c r="O713" s="247" t="s">
        <v>516</v>
      </c>
      <c r="P713" s="247" t="s">
        <v>6776</v>
      </c>
      <c r="Q713" s="154" t="str">
        <f t="shared" si="1"/>
        <v>#ERROR!</v>
      </c>
      <c r="R713" s="154" t="s">
        <v>66</v>
      </c>
      <c r="S713" s="154" t="s">
        <v>66</v>
      </c>
      <c r="T713" s="155" t="s">
        <v>64</v>
      </c>
      <c r="U713" s="155" t="s">
        <v>64</v>
      </c>
      <c r="V713" s="154" t="s">
        <v>60</v>
      </c>
      <c r="W713" s="154" t="s">
        <v>60</v>
      </c>
      <c r="X713" s="154" t="s">
        <v>66</v>
      </c>
      <c r="Y713" s="155" t="s">
        <v>64</v>
      </c>
      <c r="Z713" s="154" t="s">
        <v>60</v>
      </c>
      <c r="AA713" s="154"/>
      <c r="AB713" s="242" t="str">
        <f t="shared" si="2"/>
        <v>#ERROR!</v>
      </c>
      <c r="AC713" s="154" t="s">
        <v>391</v>
      </c>
      <c r="AD713" s="242" t="b">
        <f t="shared" si="3"/>
        <v>0</v>
      </c>
      <c r="AE713" s="154"/>
      <c r="AF713" s="242" t="str">
        <f t="shared" si="4"/>
        <v>#ERROR!</v>
      </c>
      <c r="AG713" s="154" t="s">
        <v>652</v>
      </c>
      <c r="AH713" s="242" t="str">
        <f>IF(AG713="","N/A",INDIRECT("MTR!"&amp;ADDRESS(MATCH(LEFT(AG713,9),[1]MTR!C:C,0),COLUMN(J713)),TRUE) &amp; "")</f>
        <v>#ERROR!</v>
      </c>
      <c r="AI713" s="157" t="str">
        <f t="shared" si="5"/>
        <v>#ERROR!</v>
      </c>
    </row>
    <row r="714" ht="12.75" customHeight="1">
      <c r="A714" s="244" t="s">
        <v>5158</v>
      </c>
      <c r="B714" s="244" t="s">
        <v>231</v>
      </c>
      <c r="C714" s="244" t="s">
        <v>8643</v>
      </c>
      <c r="D714" s="154" t="s">
        <v>1773</v>
      </c>
      <c r="E714" s="154"/>
      <c r="F714" s="154" t="str">
        <f t="array" ref="F714">XLOOKUP(Cover!$D$12,$R$1:$Z$1,$R714:$Z714)</f>
        <v>Mandatory</v>
      </c>
      <c r="G714" s="154" t="s">
        <v>8644</v>
      </c>
      <c r="H714" s="154" t="s">
        <v>8507</v>
      </c>
      <c r="I714" s="154" t="s">
        <v>8645</v>
      </c>
      <c r="J714" s="154" t="s">
        <v>8646</v>
      </c>
      <c r="K714" s="154" t="s">
        <v>8508</v>
      </c>
      <c r="L714" s="154" t="s">
        <v>6126</v>
      </c>
      <c r="M714" s="154" t="s">
        <v>1018</v>
      </c>
      <c r="N714" s="154" t="s">
        <v>759</v>
      </c>
      <c r="O714" s="247" t="s">
        <v>516</v>
      </c>
      <c r="P714" s="247" t="s">
        <v>6776</v>
      </c>
      <c r="Q714" s="154" t="str">
        <f t="shared" si="1"/>
        <v>#ERROR!</v>
      </c>
      <c r="R714" s="154" t="s">
        <v>66</v>
      </c>
      <c r="S714" s="154" t="s">
        <v>66</v>
      </c>
      <c r="T714" s="155" t="s">
        <v>64</v>
      </c>
      <c r="U714" s="155" t="s">
        <v>64</v>
      </c>
      <c r="V714" s="154" t="s">
        <v>60</v>
      </c>
      <c r="W714" s="154" t="s">
        <v>60</v>
      </c>
      <c r="X714" s="154" t="s">
        <v>66</v>
      </c>
      <c r="Y714" s="155" t="s">
        <v>64</v>
      </c>
      <c r="Z714" s="154" t="s">
        <v>60</v>
      </c>
      <c r="AA714" s="154"/>
      <c r="AB714" s="242" t="str">
        <f t="shared" si="2"/>
        <v>#ERROR!</v>
      </c>
      <c r="AC714" s="154" t="s">
        <v>391</v>
      </c>
      <c r="AD714" s="242" t="b">
        <f t="shared" si="3"/>
        <v>0</v>
      </c>
      <c r="AE714" s="154"/>
      <c r="AF714" s="242" t="str">
        <f t="shared" si="4"/>
        <v>#ERROR!</v>
      </c>
      <c r="AG714" s="154" t="s">
        <v>652</v>
      </c>
      <c r="AH714" s="242" t="str">
        <f>IF(AG714="","N/A",INDIRECT("MTR!"&amp;ADDRESS(MATCH(LEFT(AG714,9),[1]MTR!C:C,0),COLUMN(J714)),TRUE) &amp; "")</f>
        <v>#ERROR!</v>
      </c>
      <c r="AI714" s="157" t="str">
        <f t="shared" si="5"/>
        <v>#ERROR!</v>
      </c>
    </row>
    <row r="715" ht="12.75" customHeight="1">
      <c r="A715" s="244" t="s">
        <v>5158</v>
      </c>
      <c r="B715" s="244" t="s">
        <v>231</v>
      </c>
      <c r="C715" s="244" t="s">
        <v>8647</v>
      </c>
      <c r="D715" s="154" t="s">
        <v>1773</v>
      </c>
      <c r="E715" s="154"/>
      <c r="F715" s="154" t="str">
        <f t="array" ref="F715">XLOOKUP(Cover!$D$12,$R$1:$Z$1,$R715:$Z715)</f>
        <v>Mandatory</v>
      </c>
      <c r="G715" s="154" t="s">
        <v>8648</v>
      </c>
      <c r="H715" s="154" t="s">
        <v>1489</v>
      </c>
      <c r="I715" s="154" t="s">
        <v>8645</v>
      </c>
      <c r="J715" s="154" t="s">
        <v>8646</v>
      </c>
      <c r="K715" s="154" t="s">
        <v>8508</v>
      </c>
      <c r="L715" s="154" t="s">
        <v>6126</v>
      </c>
      <c r="M715" s="154" t="s">
        <v>1018</v>
      </c>
      <c r="N715" s="154" t="s">
        <v>759</v>
      </c>
      <c r="O715" s="247" t="s">
        <v>516</v>
      </c>
      <c r="P715" s="247" t="s">
        <v>6776</v>
      </c>
      <c r="Q715" s="154" t="str">
        <f t="shared" si="1"/>
        <v>#ERROR!</v>
      </c>
      <c r="R715" s="154" t="s">
        <v>66</v>
      </c>
      <c r="S715" s="154" t="s">
        <v>66</v>
      </c>
      <c r="T715" s="155" t="s">
        <v>64</v>
      </c>
      <c r="U715" s="155" t="s">
        <v>64</v>
      </c>
      <c r="V715" s="154" t="s">
        <v>60</v>
      </c>
      <c r="W715" s="154" t="s">
        <v>60</v>
      </c>
      <c r="X715" s="154" t="s">
        <v>66</v>
      </c>
      <c r="Y715" s="155" t="s">
        <v>64</v>
      </c>
      <c r="Z715" s="154" t="s">
        <v>60</v>
      </c>
      <c r="AA715" s="154"/>
      <c r="AB715" s="242" t="str">
        <f t="shared" si="2"/>
        <v>#ERROR!</v>
      </c>
      <c r="AC715" s="154" t="s">
        <v>391</v>
      </c>
      <c r="AD715" s="242" t="b">
        <f t="shared" si="3"/>
        <v>0</v>
      </c>
      <c r="AE715" s="154"/>
      <c r="AF715" s="242" t="str">
        <f t="shared" si="4"/>
        <v>#ERROR!</v>
      </c>
      <c r="AG715" s="154" t="s">
        <v>652</v>
      </c>
      <c r="AH715" s="242" t="str">
        <f>IF(AG715="","N/A",INDIRECT("MTR!"&amp;ADDRESS(MATCH(LEFT(AG715,9),[1]MTR!C:C,0),COLUMN(J715)),TRUE) &amp; "")</f>
        <v>#ERROR!</v>
      </c>
      <c r="AI715" s="157" t="str">
        <f t="shared" si="5"/>
        <v>#ERROR!</v>
      </c>
    </row>
    <row r="716" ht="12.75" customHeight="1">
      <c r="A716" s="244" t="s">
        <v>5158</v>
      </c>
      <c r="B716" s="244" t="s">
        <v>231</v>
      </c>
      <c r="C716" s="244" t="s">
        <v>8649</v>
      </c>
      <c r="D716" s="154" t="s">
        <v>1773</v>
      </c>
      <c r="E716" s="154"/>
      <c r="F716" s="154" t="str">
        <f t="array" ref="F716">XLOOKUP(Cover!$D$12,$R$1:$Z$1,$R716:$Z716)</f>
        <v>Recommended</v>
      </c>
      <c r="G716" s="154" t="s">
        <v>8650</v>
      </c>
      <c r="H716" s="154" t="s">
        <v>8507</v>
      </c>
      <c r="I716" s="154" t="s">
        <v>8651</v>
      </c>
      <c r="J716" s="154" t="s">
        <v>7524</v>
      </c>
      <c r="K716" s="154" t="s">
        <v>8508</v>
      </c>
      <c r="L716" s="154" t="s">
        <v>6126</v>
      </c>
      <c r="M716" s="154"/>
      <c r="N716" s="154" t="s">
        <v>759</v>
      </c>
      <c r="O716" s="247" t="s">
        <v>516</v>
      </c>
      <c r="P716" s="247" t="s">
        <v>6776</v>
      </c>
      <c r="Q716" s="154" t="str">
        <f t="shared" si="1"/>
        <v>#ERROR!</v>
      </c>
      <c r="R716" s="154" t="s">
        <v>66</v>
      </c>
      <c r="S716" s="154" t="s">
        <v>66</v>
      </c>
      <c r="T716" s="154" t="s">
        <v>64</v>
      </c>
      <c r="U716" s="154" t="s">
        <v>64</v>
      </c>
      <c r="V716" s="154" t="s">
        <v>64</v>
      </c>
      <c r="W716" s="154" t="s">
        <v>64</v>
      </c>
      <c r="X716" s="154" t="s">
        <v>66</v>
      </c>
      <c r="Y716" s="154" t="s">
        <v>64</v>
      </c>
      <c r="Z716" s="154" t="s">
        <v>64</v>
      </c>
      <c r="AA716" s="154"/>
      <c r="AB716" s="242" t="str">
        <f t="shared" si="2"/>
        <v>#ERROR!</v>
      </c>
      <c r="AC716" s="154" t="s">
        <v>391</v>
      </c>
      <c r="AD716" s="242" t="b">
        <f t="shared" si="3"/>
        <v>0</v>
      </c>
      <c r="AE716" s="154"/>
      <c r="AF716" s="242" t="str">
        <f t="shared" si="4"/>
        <v>#ERROR!</v>
      </c>
      <c r="AG716" s="154" t="s">
        <v>652</v>
      </c>
      <c r="AH716" s="242" t="str">
        <f>IF(AG716="","N/A",INDIRECT("MTR!"&amp;ADDRESS(MATCH(LEFT(AG716,9),[1]MTR!C:C,0),COLUMN(J716)),TRUE) &amp; "")</f>
        <v>#ERROR!</v>
      </c>
      <c r="AI716" s="157" t="str">
        <f t="shared" si="5"/>
        <v>#ERROR!</v>
      </c>
    </row>
    <row r="717" ht="12.75" customHeight="1">
      <c r="A717" s="244" t="s">
        <v>5158</v>
      </c>
      <c r="B717" s="244" t="s">
        <v>231</v>
      </c>
      <c r="C717" s="244" t="s">
        <v>8652</v>
      </c>
      <c r="D717" s="154" t="s">
        <v>747</v>
      </c>
      <c r="E717" s="154"/>
      <c r="F717" s="154" t="str">
        <f t="array" ref="F717">XLOOKUP(Cover!$D$12,$R$1:$Z$1,$R717:$Z717)</f>
        <v>Mandatory</v>
      </c>
      <c r="G717" s="154" t="s">
        <v>8653</v>
      </c>
      <c r="H717" s="154" t="s">
        <v>8507</v>
      </c>
      <c r="I717" s="154" t="s">
        <v>8654</v>
      </c>
      <c r="J717" s="154" t="s">
        <v>7486</v>
      </c>
      <c r="K717" s="154" t="s">
        <v>8508</v>
      </c>
      <c r="L717" s="154" t="s">
        <v>6525</v>
      </c>
      <c r="M717" s="154" t="s">
        <v>1018</v>
      </c>
      <c r="N717" s="154" t="s">
        <v>759</v>
      </c>
      <c r="O717" s="247" t="s">
        <v>445</v>
      </c>
      <c r="P717" s="247" t="s">
        <v>89</v>
      </c>
      <c r="Q717" s="154" t="str">
        <f t="shared" si="1"/>
        <v>#ERROR!</v>
      </c>
      <c r="R717" s="154" t="s">
        <v>66</v>
      </c>
      <c r="S717" s="154" t="s">
        <v>66</v>
      </c>
      <c r="T717" s="155" t="s">
        <v>64</v>
      </c>
      <c r="U717" s="155" t="s">
        <v>64</v>
      </c>
      <c r="V717" s="154" t="s">
        <v>60</v>
      </c>
      <c r="W717" s="154" t="s">
        <v>60</v>
      </c>
      <c r="X717" s="154" t="s">
        <v>66</v>
      </c>
      <c r="Y717" s="155" t="s">
        <v>64</v>
      </c>
      <c r="Z717" s="154" t="s">
        <v>60</v>
      </c>
      <c r="AA717" s="154"/>
      <c r="AB717" s="242" t="str">
        <f t="shared" si="2"/>
        <v>#ERROR!</v>
      </c>
      <c r="AC717" s="154" t="s">
        <v>391</v>
      </c>
      <c r="AD717" s="242" t="b">
        <f t="shared" si="3"/>
        <v>0</v>
      </c>
      <c r="AE717" s="154"/>
      <c r="AF717" s="242" t="str">
        <f t="shared" si="4"/>
        <v>#ERROR!</v>
      </c>
      <c r="AG717" s="154" t="s">
        <v>652</v>
      </c>
      <c r="AH717" s="242" t="str">
        <f>IF(AG717="","N/A",INDIRECT("MTR!"&amp;ADDRESS(MATCH(LEFT(AG717,9),[1]MTR!C:C,0),COLUMN(J717)),TRUE) &amp; "")</f>
        <v>#ERROR!</v>
      </c>
      <c r="AI717" s="157" t="str">
        <f t="shared" si="5"/>
        <v>#ERROR!</v>
      </c>
    </row>
    <row r="718" ht="12.75" customHeight="1">
      <c r="A718" s="244" t="s">
        <v>5158</v>
      </c>
      <c r="B718" s="244" t="s">
        <v>231</v>
      </c>
      <c r="C718" s="244" t="s">
        <v>8655</v>
      </c>
      <c r="D718" s="154" t="s">
        <v>747</v>
      </c>
      <c r="E718" s="154"/>
      <c r="F718" s="154" t="str">
        <f t="array" ref="F718">XLOOKUP(Cover!$D$12,$R$1:$Z$1,$R718:$Z718)</f>
        <v>Recommended</v>
      </c>
      <c r="G718" s="154" t="s">
        <v>8656</v>
      </c>
      <c r="H718" s="154" t="s">
        <v>8513</v>
      </c>
      <c r="I718" s="154" t="s">
        <v>8654</v>
      </c>
      <c r="J718" s="154" t="s">
        <v>7486</v>
      </c>
      <c r="K718" s="154" t="s">
        <v>8508</v>
      </c>
      <c r="L718" s="154" t="s">
        <v>6525</v>
      </c>
      <c r="M718" s="154"/>
      <c r="N718" s="154" t="s">
        <v>759</v>
      </c>
      <c r="O718" s="247" t="s">
        <v>445</v>
      </c>
      <c r="P718" s="247" t="s">
        <v>89</v>
      </c>
      <c r="Q718" s="154" t="str">
        <f t="shared" si="1"/>
        <v>#ERROR!</v>
      </c>
      <c r="R718" s="154" t="s">
        <v>66</v>
      </c>
      <c r="S718" s="154" t="s">
        <v>66</v>
      </c>
      <c r="T718" s="154" t="s">
        <v>64</v>
      </c>
      <c r="U718" s="154" t="s">
        <v>64</v>
      </c>
      <c r="V718" s="154" t="s">
        <v>64</v>
      </c>
      <c r="W718" s="154" t="s">
        <v>64</v>
      </c>
      <c r="X718" s="154" t="s">
        <v>66</v>
      </c>
      <c r="Y718" s="154" t="s">
        <v>64</v>
      </c>
      <c r="Z718" s="154" t="s">
        <v>64</v>
      </c>
      <c r="AA718" s="154"/>
      <c r="AB718" s="242" t="str">
        <f t="shared" si="2"/>
        <v>#ERROR!</v>
      </c>
      <c r="AC718" s="154" t="s">
        <v>391</v>
      </c>
      <c r="AD718" s="242" t="b">
        <f t="shared" si="3"/>
        <v>0</v>
      </c>
      <c r="AE718" s="154"/>
      <c r="AF718" s="242" t="str">
        <f t="shared" si="4"/>
        <v>#ERROR!</v>
      </c>
      <c r="AG718" s="154" t="s">
        <v>652</v>
      </c>
      <c r="AH718" s="242" t="str">
        <f>IF(AG718="","N/A",INDIRECT("MTR!"&amp;ADDRESS(MATCH(LEFT(AG718,9),[1]MTR!C:C,0),COLUMN(J718)),TRUE) &amp; "")</f>
        <v>#ERROR!</v>
      </c>
      <c r="AI718" s="157" t="str">
        <f t="shared" si="5"/>
        <v>#ERROR!</v>
      </c>
    </row>
    <row r="719" ht="12.75" customHeight="1">
      <c r="A719" s="244" t="s">
        <v>5158</v>
      </c>
      <c r="B719" s="244" t="s">
        <v>231</v>
      </c>
      <c r="C719" s="244" t="s">
        <v>8657</v>
      </c>
      <c r="D719" s="154" t="s">
        <v>747</v>
      </c>
      <c r="E719" s="154"/>
      <c r="F719" s="154" t="str">
        <f t="array" ref="F719">XLOOKUP(Cover!$D$12,$R$1:$Z$1,$R719:$Z719)</f>
        <v>Recommended</v>
      </c>
      <c r="G719" s="154" t="s">
        <v>8658</v>
      </c>
      <c r="H719" s="154" t="s">
        <v>8573</v>
      </c>
      <c r="I719" s="154" t="s">
        <v>8654</v>
      </c>
      <c r="J719" s="154" t="s">
        <v>7486</v>
      </c>
      <c r="K719" s="154" t="s">
        <v>8508</v>
      </c>
      <c r="L719" s="154" t="s">
        <v>6525</v>
      </c>
      <c r="M719" s="154"/>
      <c r="N719" s="154" t="s">
        <v>759</v>
      </c>
      <c r="O719" s="247" t="s">
        <v>516</v>
      </c>
      <c r="P719" s="247" t="s">
        <v>1575</v>
      </c>
      <c r="Q719" s="154" t="str">
        <f t="shared" si="1"/>
        <v>#ERROR!</v>
      </c>
      <c r="R719" s="154" t="s">
        <v>66</v>
      </c>
      <c r="S719" s="154" t="s">
        <v>66</v>
      </c>
      <c r="T719" s="154" t="s">
        <v>64</v>
      </c>
      <c r="U719" s="154" t="s">
        <v>64</v>
      </c>
      <c r="V719" s="154" t="s">
        <v>64</v>
      </c>
      <c r="W719" s="154" t="s">
        <v>64</v>
      </c>
      <c r="X719" s="154" t="s">
        <v>66</v>
      </c>
      <c r="Y719" s="154" t="s">
        <v>64</v>
      </c>
      <c r="Z719" s="154" t="s">
        <v>64</v>
      </c>
      <c r="AA719" s="154"/>
      <c r="AB719" s="242" t="str">
        <f t="shared" si="2"/>
        <v>#ERROR!</v>
      </c>
      <c r="AC719" s="154" t="s">
        <v>391</v>
      </c>
      <c r="AD719" s="242" t="b">
        <f t="shared" si="3"/>
        <v>0</v>
      </c>
      <c r="AE719" s="154"/>
      <c r="AF719" s="242" t="str">
        <f t="shared" si="4"/>
        <v>#ERROR!</v>
      </c>
      <c r="AG719" s="154" t="s">
        <v>652</v>
      </c>
      <c r="AH719" s="242" t="str">
        <f>IF(AG719="","N/A",INDIRECT("MTR!"&amp;ADDRESS(MATCH(LEFT(AG719,9),[1]MTR!C:C,0),COLUMN(J719)),TRUE) &amp; "")</f>
        <v>#ERROR!</v>
      </c>
      <c r="AI719" s="157" t="str">
        <f t="shared" si="5"/>
        <v>#ERROR!</v>
      </c>
    </row>
    <row r="720" ht="12.75" customHeight="1">
      <c r="A720" s="244" t="s">
        <v>5158</v>
      </c>
      <c r="B720" s="244" t="s">
        <v>231</v>
      </c>
      <c r="C720" s="244" t="s">
        <v>8659</v>
      </c>
      <c r="D720" s="154" t="s">
        <v>503</v>
      </c>
      <c r="E720" s="154"/>
      <c r="F720" s="154" t="str">
        <f t="array" ref="F720">XLOOKUP(Cover!$D$12,$R$1:$Z$1,$R720:$Z720)</f>
        <v>Information</v>
      </c>
      <c r="G720" s="154" t="s">
        <v>8660</v>
      </c>
      <c r="H720" s="154" t="s">
        <v>8507</v>
      </c>
      <c r="I720" s="154" t="s">
        <v>8661</v>
      </c>
      <c r="J720" s="154" t="s">
        <v>8662</v>
      </c>
      <c r="K720" s="154" t="s">
        <v>8508</v>
      </c>
      <c r="L720" s="154" t="s">
        <v>6463</v>
      </c>
      <c r="M720" s="154"/>
      <c r="N720" s="154" t="s">
        <v>759</v>
      </c>
      <c r="O720" s="247" t="s">
        <v>516</v>
      </c>
      <c r="P720" s="247" t="s">
        <v>6776</v>
      </c>
      <c r="Q720" s="154" t="str">
        <f t="shared" si="1"/>
        <v>#ERROR!</v>
      </c>
      <c r="R720" s="154" t="s">
        <v>66</v>
      </c>
      <c r="S720" s="154" t="s">
        <v>66</v>
      </c>
      <c r="T720" s="154" t="s">
        <v>66</v>
      </c>
      <c r="U720" s="154" t="s">
        <v>66</v>
      </c>
      <c r="V720" s="154" t="s">
        <v>66</v>
      </c>
      <c r="W720" s="154" t="s">
        <v>66</v>
      </c>
      <c r="X720" s="154" t="s">
        <v>66</v>
      </c>
      <c r="Y720" s="154" t="s">
        <v>66</v>
      </c>
      <c r="Z720" s="154" t="s">
        <v>66</v>
      </c>
      <c r="AA720" s="154"/>
      <c r="AB720" s="242" t="str">
        <f t="shared" si="2"/>
        <v>#ERROR!</v>
      </c>
      <c r="AC720" s="154" t="s">
        <v>391</v>
      </c>
      <c r="AD720" s="242" t="b">
        <f t="shared" si="3"/>
        <v>0</v>
      </c>
      <c r="AE720" s="154"/>
      <c r="AF720" s="242" t="str">
        <f t="shared" si="4"/>
        <v>#ERROR!</v>
      </c>
      <c r="AG720" s="154" t="s">
        <v>652</v>
      </c>
      <c r="AH720" s="242" t="str">
        <f>IF(AG720="","N/A",INDIRECT("MTR!"&amp;ADDRESS(MATCH(LEFT(AG720,9),[1]MTR!C:C,0),COLUMN(J720)),TRUE) &amp; "")</f>
        <v>#ERROR!</v>
      </c>
      <c r="AI720" s="157" t="str">
        <f t="shared" si="5"/>
        <v>#ERROR!</v>
      </c>
    </row>
    <row r="721" ht="12.75" customHeight="1">
      <c r="A721" s="244" t="s">
        <v>5158</v>
      </c>
      <c r="B721" s="244" t="s">
        <v>231</v>
      </c>
      <c r="C721" s="244" t="s">
        <v>8663</v>
      </c>
      <c r="D721" s="154" t="s">
        <v>503</v>
      </c>
      <c r="E721" s="154"/>
      <c r="F721" s="154" t="str">
        <f t="array" ref="F721">XLOOKUP(Cover!$D$12,$R$1:$Z$1,$R721:$Z721)</f>
        <v>Information</v>
      </c>
      <c r="G721" s="154" t="s">
        <v>8664</v>
      </c>
      <c r="H721" s="154" t="s">
        <v>8513</v>
      </c>
      <c r="I721" s="154" t="s">
        <v>8661</v>
      </c>
      <c r="J721" s="154" t="s">
        <v>8662</v>
      </c>
      <c r="K721" s="154" t="s">
        <v>8508</v>
      </c>
      <c r="L721" s="154" t="s">
        <v>6463</v>
      </c>
      <c r="M721" s="154"/>
      <c r="N721" s="154" t="s">
        <v>759</v>
      </c>
      <c r="O721" s="247" t="s">
        <v>516</v>
      </c>
      <c r="P721" s="247" t="s">
        <v>6776</v>
      </c>
      <c r="Q721" s="154" t="str">
        <f t="shared" si="1"/>
        <v>#ERROR!</v>
      </c>
      <c r="R721" s="154" t="s">
        <v>66</v>
      </c>
      <c r="S721" s="154" t="s">
        <v>66</v>
      </c>
      <c r="T721" s="154" t="s">
        <v>66</v>
      </c>
      <c r="U721" s="154" t="s">
        <v>66</v>
      </c>
      <c r="V721" s="154" t="s">
        <v>66</v>
      </c>
      <c r="W721" s="154" t="s">
        <v>66</v>
      </c>
      <c r="X721" s="154" t="s">
        <v>66</v>
      </c>
      <c r="Y721" s="154" t="s">
        <v>66</v>
      </c>
      <c r="Z721" s="154" t="s">
        <v>66</v>
      </c>
      <c r="AA721" s="154"/>
      <c r="AB721" s="242" t="str">
        <f t="shared" si="2"/>
        <v>#ERROR!</v>
      </c>
      <c r="AC721" s="154" t="s">
        <v>391</v>
      </c>
      <c r="AD721" s="242" t="b">
        <f t="shared" si="3"/>
        <v>0</v>
      </c>
      <c r="AE721" s="154"/>
      <c r="AF721" s="242" t="str">
        <f t="shared" si="4"/>
        <v>#ERROR!</v>
      </c>
      <c r="AG721" s="154" t="s">
        <v>652</v>
      </c>
      <c r="AH721" s="242" t="str">
        <f>IF(AG721="","N/A",INDIRECT("MTR!"&amp;ADDRESS(MATCH(LEFT(AG721,9),[1]MTR!C:C,0),COLUMN(J721)),TRUE) &amp; "")</f>
        <v>#ERROR!</v>
      </c>
      <c r="AI721" s="157" t="str">
        <f t="shared" si="5"/>
        <v>#ERROR!</v>
      </c>
    </row>
    <row r="722" ht="12.75" customHeight="1">
      <c r="A722" s="244" t="s">
        <v>5158</v>
      </c>
      <c r="B722" s="244" t="s">
        <v>231</v>
      </c>
      <c r="C722" s="244" t="s">
        <v>8665</v>
      </c>
      <c r="D722" s="154" t="s">
        <v>861</v>
      </c>
      <c r="E722" s="154"/>
      <c r="F722" s="154" t="str">
        <f t="array" ref="F722">XLOOKUP(Cover!$D$12,$R$1:$Z$1,$R722:$Z722)</f>
        <v>Recommended</v>
      </c>
      <c r="G722" s="154" t="s">
        <v>8666</v>
      </c>
      <c r="H722" s="154" t="s">
        <v>8507</v>
      </c>
      <c r="I722" s="154" t="s">
        <v>8667</v>
      </c>
      <c r="J722" s="154" t="s">
        <v>7494</v>
      </c>
      <c r="K722" s="154" t="s">
        <v>8508</v>
      </c>
      <c r="L722" s="154" t="s">
        <v>6428</v>
      </c>
      <c r="M722" s="154"/>
      <c r="N722" s="154" t="s">
        <v>759</v>
      </c>
      <c r="O722" s="247" t="s">
        <v>516</v>
      </c>
      <c r="P722" s="247" t="s">
        <v>6776</v>
      </c>
      <c r="Q722" s="154" t="str">
        <f t="shared" si="1"/>
        <v>#ERROR!</v>
      </c>
      <c r="R722" s="154" t="s">
        <v>66</v>
      </c>
      <c r="S722" s="154" t="s">
        <v>66</v>
      </c>
      <c r="T722" s="154" t="s">
        <v>64</v>
      </c>
      <c r="U722" s="154" t="s">
        <v>64</v>
      </c>
      <c r="V722" s="154" t="s">
        <v>64</v>
      </c>
      <c r="W722" s="154" t="s">
        <v>64</v>
      </c>
      <c r="X722" s="154" t="s">
        <v>66</v>
      </c>
      <c r="Y722" s="154" t="s">
        <v>64</v>
      </c>
      <c r="Z722" s="154" t="s">
        <v>64</v>
      </c>
      <c r="AA722" s="154"/>
      <c r="AB722" s="242" t="str">
        <f t="shared" si="2"/>
        <v>#ERROR!</v>
      </c>
      <c r="AC722" s="154" t="s">
        <v>391</v>
      </c>
      <c r="AD722" s="242" t="b">
        <f t="shared" si="3"/>
        <v>0</v>
      </c>
      <c r="AE722" s="154"/>
      <c r="AF722" s="242" t="str">
        <f t="shared" si="4"/>
        <v>#ERROR!</v>
      </c>
      <c r="AG722" s="154" t="s">
        <v>652</v>
      </c>
      <c r="AH722" s="242" t="str">
        <f>IF(AG722="","N/A",INDIRECT("MTR!"&amp;ADDRESS(MATCH(LEFT(AG722,9),[1]MTR!C:C,0),COLUMN(J722)),TRUE) &amp; "")</f>
        <v>#ERROR!</v>
      </c>
      <c r="AI722" s="157" t="str">
        <f t="shared" si="5"/>
        <v>#ERROR!</v>
      </c>
    </row>
    <row r="723" ht="12.75" customHeight="1">
      <c r="A723" s="244" t="s">
        <v>5158</v>
      </c>
      <c r="B723" s="244" t="s">
        <v>231</v>
      </c>
      <c r="C723" s="244" t="s">
        <v>8668</v>
      </c>
      <c r="D723" s="154" t="s">
        <v>861</v>
      </c>
      <c r="E723" s="154"/>
      <c r="F723" s="154" t="str">
        <f t="array" ref="F723">XLOOKUP(Cover!$D$12,$R$1:$Z$1,$R723:$Z723)</f>
        <v>Recommended</v>
      </c>
      <c r="G723" s="154" t="s">
        <v>8669</v>
      </c>
      <c r="H723" s="154" t="s">
        <v>8513</v>
      </c>
      <c r="I723" s="154" t="s">
        <v>8667</v>
      </c>
      <c r="J723" s="154" t="s">
        <v>7494</v>
      </c>
      <c r="K723" s="154" t="s">
        <v>8508</v>
      </c>
      <c r="L723" s="154" t="s">
        <v>6428</v>
      </c>
      <c r="M723" s="154"/>
      <c r="N723" s="154" t="s">
        <v>759</v>
      </c>
      <c r="O723" s="247" t="s">
        <v>516</v>
      </c>
      <c r="P723" s="247" t="s">
        <v>6776</v>
      </c>
      <c r="Q723" s="154" t="str">
        <f t="shared" si="1"/>
        <v>#ERROR!</v>
      </c>
      <c r="R723" s="154" t="s">
        <v>66</v>
      </c>
      <c r="S723" s="154" t="s">
        <v>66</v>
      </c>
      <c r="T723" s="154" t="s">
        <v>64</v>
      </c>
      <c r="U723" s="154" t="s">
        <v>64</v>
      </c>
      <c r="V723" s="154" t="s">
        <v>64</v>
      </c>
      <c r="W723" s="154" t="s">
        <v>64</v>
      </c>
      <c r="X723" s="154" t="s">
        <v>66</v>
      </c>
      <c r="Y723" s="154" t="s">
        <v>64</v>
      </c>
      <c r="Z723" s="154" t="s">
        <v>64</v>
      </c>
      <c r="AA723" s="154"/>
      <c r="AB723" s="242" t="str">
        <f t="shared" si="2"/>
        <v>#ERROR!</v>
      </c>
      <c r="AC723" s="154" t="s">
        <v>391</v>
      </c>
      <c r="AD723" s="242" t="b">
        <f t="shared" si="3"/>
        <v>0</v>
      </c>
      <c r="AE723" s="154"/>
      <c r="AF723" s="242" t="str">
        <f t="shared" si="4"/>
        <v>#ERROR!</v>
      </c>
      <c r="AG723" s="154" t="s">
        <v>652</v>
      </c>
      <c r="AH723" s="242" t="str">
        <f>IF(AG723="","N/A",INDIRECT("MTR!"&amp;ADDRESS(MATCH(LEFT(AG723,9),[1]MTR!C:C,0),COLUMN(J723)),TRUE) &amp; "")</f>
        <v>#ERROR!</v>
      </c>
      <c r="AI723" s="157" t="str">
        <f t="shared" si="5"/>
        <v>#ERROR!</v>
      </c>
    </row>
    <row r="724" ht="12.75" customHeight="1">
      <c r="A724" s="244" t="s">
        <v>5158</v>
      </c>
      <c r="B724" s="244" t="s">
        <v>231</v>
      </c>
      <c r="C724" s="244" t="s">
        <v>8670</v>
      </c>
      <c r="D724" s="154" t="s">
        <v>861</v>
      </c>
      <c r="E724" s="154"/>
      <c r="F724" s="154" t="str">
        <f t="array" ref="F724">XLOOKUP(Cover!$D$12,$R$1:$Z$1,$R724:$Z724)</f>
        <v>Recommended</v>
      </c>
      <c r="G724" s="154" t="s">
        <v>8671</v>
      </c>
      <c r="H724" s="154" t="s">
        <v>8516</v>
      </c>
      <c r="I724" s="154" t="s">
        <v>8667</v>
      </c>
      <c r="J724" s="154" t="s">
        <v>7494</v>
      </c>
      <c r="K724" s="154" t="s">
        <v>8508</v>
      </c>
      <c r="L724" s="154" t="s">
        <v>6428</v>
      </c>
      <c r="M724" s="154"/>
      <c r="N724" s="154" t="s">
        <v>759</v>
      </c>
      <c r="O724" s="247" t="s">
        <v>516</v>
      </c>
      <c r="P724" s="247" t="s">
        <v>6776</v>
      </c>
      <c r="Q724" s="154" t="str">
        <f t="shared" si="1"/>
        <v>#ERROR!</v>
      </c>
      <c r="R724" s="154" t="s">
        <v>66</v>
      </c>
      <c r="S724" s="154" t="s">
        <v>66</v>
      </c>
      <c r="T724" s="154" t="s">
        <v>64</v>
      </c>
      <c r="U724" s="154" t="s">
        <v>64</v>
      </c>
      <c r="V724" s="154" t="s">
        <v>64</v>
      </c>
      <c r="W724" s="154" t="s">
        <v>64</v>
      </c>
      <c r="X724" s="154" t="s">
        <v>66</v>
      </c>
      <c r="Y724" s="154" t="s">
        <v>64</v>
      </c>
      <c r="Z724" s="154" t="s">
        <v>64</v>
      </c>
      <c r="AA724" s="154"/>
      <c r="AB724" s="242" t="str">
        <f t="shared" si="2"/>
        <v>#ERROR!</v>
      </c>
      <c r="AC724" s="154" t="s">
        <v>391</v>
      </c>
      <c r="AD724" s="242" t="b">
        <f t="shared" si="3"/>
        <v>0</v>
      </c>
      <c r="AE724" s="154"/>
      <c r="AF724" s="242" t="str">
        <f t="shared" si="4"/>
        <v>#ERROR!</v>
      </c>
      <c r="AG724" s="154" t="s">
        <v>652</v>
      </c>
      <c r="AH724" s="242" t="str">
        <f>IF(AG724="","N/A",INDIRECT("MTR!"&amp;ADDRESS(MATCH(LEFT(AG724,9),[1]MTR!C:C,0),COLUMN(J724)),TRUE) &amp; "")</f>
        <v>#ERROR!</v>
      </c>
      <c r="AI724" s="157" t="str">
        <f t="shared" si="5"/>
        <v>#ERROR!</v>
      </c>
    </row>
    <row r="725" ht="12.75" customHeight="1">
      <c r="A725" s="244" t="s">
        <v>5158</v>
      </c>
      <c r="B725" s="244" t="s">
        <v>231</v>
      </c>
      <c r="C725" s="244" t="s">
        <v>8672</v>
      </c>
      <c r="D725" s="154" t="s">
        <v>542</v>
      </c>
      <c r="E725" s="154"/>
      <c r="F725" s="154" t="str">
        <f t="array" ref="F725">XLOOKUP(Cover!$D$12,$R$1:$Z$1,$R725:$Z725)</f>
        <v>Mandatory</v>
      </c>
      <c r="G725" s="154" t="s">
        <v>8673</v>
      </c>
      <c r="H725" s="154" t="s">
        <v>8507</v>
      </c>
      <c r="I725" s="154" t="s">
        <v>8674</v>
      </c>
      <c r="J725" s="154" t="s">
        <v>7502</v>
      </c>
      <c r="K725" s="154" t="s">
        <v>8508</v>
      </c>
      <c r="L725" s="154" t="s">
        <v>6064</v>
      </c>
      <c r="M725" s="154" t="s">
        <v>1018</v>
      </c>
      <c r="N725" s="154" t="s">
        <v>759</v>
      </c>
      <c r="O725" s="247" t="s">
        <v>516</v>
      </c>
      <c r="P725" s="247" t="s">
        <v>6776</v>
      </c>
      <c r="Q725" s="154" t="str">
        <f t="shared" si="1"/>
        <v>#ERROR!</v>
      </c>
      <c r="R725" s="154" t="s">
        <v>66</v>
      </c>
      <c r="S725" s="154" t="s">
        <v>66</v>
      </c>
      <c r="T725" s="155" t="s">
        <v>64</v>
      </c>
      <c r="U725" s="155" t="s">
        <v>64</v>
      </c>
      <c r="V725" s="154" t="s">
        <v>60</v>
      </c>
      <c r="W725" s="154" t="s">
        <v>60</v>
      </c>
      <c r="X725" s="154" t="s">
        <v>66</v>
      </c>
      <c r="Y725" s="155" t="s">
        <v>64</v>
      </c>
      <c r="Z725" s="154" t="s">
        <v>60</v>
      </c>
      <c r="AA725" s="154"/>
      <c r="AB725" s="242" t="str">
        <f t="shared" si="2"/>
        <v>#ERROR!</v>
      </c>
      <c r="AC725" s="154" t="s">
        <v>391</v>
      </c>
      <c r="AD725" s="242" t="b">
        <f t="shared" si="3"/>
        <v>0</v>
      </c>
      <c r="AE725" s="154"/>
      <c r="AF725" s="242" t="str">
        <f t="shared" si="4"/>
        <v>#ERROR!</v>
      </c>
      <c r="AG725" s="154" t="s">
        <v>652</v>
      </c>
      <c r="AH725" s="242" t="str">
        <f>IF(AG725="","N/A",INDIRECT("MTR!"&amp;ADDRESS(MATCH(LEFT(AG725,9),[1]MTR!C:C,0),COLUMN(J725)),TRUE) &amp; "")</f>
        <v>#ERROR!</v>
      </c>
      <c r="AI725" s="157" t="str">
        <f t="shared" si="5"/>
        <v>#ERROR!</v>
      </c>
    </row>
    <row r="726" ht="12.75" customHeight="1">
      <c r="A726" s="244" t="s">
        <v>5158</v>
      </c>
      <c r="B726" s="244" t="s">
        <v>231</v>
      </c>
      <c r="C726" s="244" t="s">
        <v>8675</v>
      </c>
      <c r="D726" s="154" t="s">
        <v>542</v>
      </c>
      <c r="E726" s="154"/>
      <c r="F726" s="154" t="str">
        <f t="array" ref="F726">XLOOKUP(Cover!$D$12,$R$1:$Z$1,$R726:$Z726)</f>
        <v>Mandatory</v>
      </c>
      <c r="G726" s="154" t="s">
        <v>8676</v>
      </c>
      <c r="H726" s="154" t="s">
        <v>8513</v>
      </c>
      <c r="I726" s="154" t="s">
        <v>8674</v>
      </c>
      <c r="J726" s="154" t="s">
        <v>7502</v>
      </c>
      <c r="K726" s="154" t="s">
        <v>8508</v>
      </c>
      <c r="L726" s="154" t="s">
        <v>6064</v>
      </c>
      <c r="M726" s="154" t="s">
        <v>1018</v>
      </c>
      <c r="N726" s="154" t="s">
        <v>759</v>
      </c>
      <c r="O726" s="247" t="s">
        <v>516</v>
      </c>
      <c r="P726" s="247" t="s">
        <v>6776</v>
      </c>
      <c r="Q726" s="154" t="str">
        <f t="shared" si="1"/>
        <v>#ERROR!</v>
      </c>
      <c r="R726" s="154" t="s">
        <v>66</v>
      </c>
      <c r="S726" s="154" t="s">
        <v>66</v>
      </c>
      <c r="T726" s="155" t="s">
        <v>64</v>
      </c>
      <c r="U726" s="155" t="s">
        <v>64</v>
      </c>
      <c r="V726" s="154" t="s">
        <v>60</v>
      </c>
      <c r="W726" s="154" t="s">
        <v>60</v>
      </c>
      <c r="X726" s="154" t="s">
        <v>66</v>
      </c>
      <c r="Y726" s="155" t="s">
        <v>64</v>
      </c>
      <c r="Z726" s="154" t="s">
        <v>60</v>
      </c>
      <c r="AA726" s="154"/>
      <c r="AB726" s="242" t="str">
        <f t="shared" si="2"/>
        <v>#ERROR!</v>
      </c>
      <c r="AC726" s="154" t="s">
        <v>391</v>
      </c>
      <c r="AD726" s="242" t="b">
        <f t="shared" si="3"/>
        <v>0</v>
      </c>
      <c r="AE726" s="154"/>
      <c r="AF726" s="242" t="str">
        <f t="shared" si="4"/>
        <v>#ERROR!</v>
      </c>
      <c r="AG726" s="154" t="s">
        <v>652</v>
      </c>
      <c r="AH726" s="242" t="str">
        <f>IF(AG726="","N/A",INDIRECT("MTR!"&amp;ADDRESS(MATCH(LEFT(AG726,9),[1]MTR!C:C,0),COLUMN(J726)),TRUE) &amp; "")</f>
        <v>#ERROR!</v>
      </c>
      <c r="AI726" s="157" t="str">
        <f t="shared" si="5"/>
        <v>#ERROR!</v>
      </c>
    </row>
    <row r="727" ht="12.75" customHeight="1">
      <c r="A727" s="244" t="s">
        <v>5158</v>
      </c>
      <c r="B727" s="244" t="s">
        <v>231</v>
      </c>
      <c r="C727" s="244" t="s">
        <v>8677</v>
      </c>
      <c r="D727" s="154" t="s">
        <v>542</v>
      </c>
      <c r="E727" s="154"/>
      <c r="F727" s="154" t="str">
        <f t="array" ref="F727">XLOOKUP(Cover!$D$12,$R$1:$Z$1,$R727:$Z727)</f>
        <v>Mandatory</v>
      </c>
      <c r="G727" s="154" t="s">
        <v>8678</v>
      </c>
      <c r="H727" s="154" t="s">
        <v>8519</v>
      </c>
      <c r="I727" s="154" t="s">
        <v>8674</v>
      </c>
      <c r="J727" s="154" t="s">
        <v>7502</v>
      </c>
      <c r="K727" s="154" t="s">
        <v>8508</v>
      </c>
      <c r="L727" s="154" t="s">
        <v>6064</v>
      </c>
      <c r="M727" s="154" t="s">
        <v>1018</v>
      </c>
      <c r="N727" s="154" t="s">
        <v>759</v>
      </c>
      <c r="O727" s="247" t="s">
        <v>516</v>
      </c>
      <c r="P727" s="247" t="s">
        <v>6776</v>
      </c>
      <c r="Q727" s="154" t="str">
        <f t="shared" si="1"/>
        <v>#ERROR!</v>
      </c>
      <c r="R727" s="154" t="s">
        <v>66</v>
      </c>
      <c r="S727" s="154" t="s">
        <v>66</v>
      </c>
      <c r="T727" s="155" t="s">
        <v>64</v>
      </c>
      <c r="U727" s="155" t="s">
        <v>64</v>
      </c>
      <c r="V727" s="154" t="s">
        <v>60</v>
      </c>
      <c r="W727" s="154" t="s">
        <v>60</v>
      </c>
      <c r="X727" s="154" t="s">
        <v>66</v>
      </c>
      <c r="Y727" s="155" t="s">
        <v>64</v>
      </c>
      <c r="Z727" s="154" t="s">
        <v>60</v>
      </c>
      <c r="AA727" s="154"/>
      <c r="AB727" s="242" t="str">
        <f t="shared" si="2"/>
        <v>#ERROR!</v>
      </c>
      <c r="AC727" s="154" t="s">
        <v>391</v>
      </c>
      <c r="AD727" s="242" t="b">
        <f t="shared" si="3"/>
        <v>0</v>
      </c>
      <c r="AE727" s="154"/>
      <c r="AF727" s="242" t="str">
        <f t="shared" si="4"/>
        <v>#ERROR!</v>
      </c>
      <c r="AG727" s="154" t="s">
        <v>652</v>
      </c>
      <c r="AH727" s="242" t="str">
        <f>IF(AG727="","N/A",INDIRECT("MTR!"&amp;ADDRESS(MATCH(LEFT(AG727,9),[1]MTR!C:C,0),COLUMN(J727)),TRUE) &amp; "")</f>
        <v>#ERROR!</v>
      </c>
      <c r="AI727" s="157" t="str">
        <f t="shared" si="5"/>
        <v>#ERROR!</v>
      </c>
    </row>
    <row r="728" ht="12.75" customHeight="1">
      <c r="A728" s="244" t="s">
        <v>5158</v>
      </c>
      <c r="B728" s="244" t="s">
        <v>231</v>
      </c>
      <c r="C728" s="244" t="s">
        <v>8679</v>
      </c>
      <c r="D728" s="154" t="s">
        <v>861</v>
      </c>
      <c r="E728" s="154"/>
      <c r="F728" s="154" t="str">
        <f t="array" ref="F728">XLOOKUP(Cover!$D$12,$R$1:$Z$1,$R728:$Z728)</f>
        <v>Mandatory</v>
      </c>
      <c r="G728" s="154" t="s">
        <v>8680</v>
      </c>
      <c r="H728" s="154" t="s">
        <v>8507</v>
      </c>
      <c r="I728" s="154" t="s">
        <v>8681</v>
      </c>
      <c r="J728" s="154" t="s">
        <v>7518</v>
      </c>
      <c r="K728" s="154" t="s">
        <v>8508</v>
      </c>
      <c r="L728" s="154" t="s">
        <v>6428</v>
      </c>
      <c r="M728" s="154" t="s">
        <v>1018</v>
      </c>
      <c r="N728" s="154" t="s">
        <v>759</v>
      </c>
      <c r="O728" s="247" t="s">
        <v>516</v>
      </c>
      <c r="P728" s="247" t="s">
        <v>6776</v>
      </c>
      <c r="Q728" s="154" t="str">
        <f t="shared" si="1"/>
        <v>#ERROR!</v>
      </c>
      <c r="R728" s="154" t="s">
        <v>66</v>
      </c>
      <c r="S728" s="154" t="s">
        <v>66</v>
      </c>
      <c r="T728" s="155" t="s">
        <v>64</v>
      </c>
      <c r="U728" s="155" t="s">
        <v>64</v>
      </c>
      <c r="V728" s="154" t="s">
        <v>60</v>
      </c>
      <c r="W728" s="154" t="s">
        <v>60</v>
      </c>
      <c r="X728" s="154" t="s">
        <v>66</v>
      </c>
      <c r="Y728" s="155" t="s">
        <v>64</v>
      </c>
      <c r="Z728" s="154" t="s">
        <v>60</v>
      </c>
      <c r="AA728" s="154"/>
      <c r="AB728" s="242" t="str">
        <f t="shared" si="2"/>
        <v>#ERROR!</v>
      </c>
      <c r="AC728" s="154" t="s">
        <v>391</v>
      </c>
      <c r="AD728" s="242" t="b">
        <f t="shared" si="3"/>
        <v>0</v>
      </c>
      <c r="AE728" s="154"/>
      <c r="AF728" s="242" t="str">
        <f t="shared" si="4"/>
        <v>#ERROR!</v>
      </c>
      <c r="AG728" s="154" t="s">
        <v>652</v>
      </c>
      <c r="AH728" s="242" t="str">
        <f>IF(AG728="","N/A",INDIRECT("MTR!"&amp;ADDRESS(MATCH(LEFT(AG728,9),[1]MTR!C:C,0),COLUMN(J728)),TRUE) &amp; "")</f>
        <v>#ERROR!</v>
      </c>
      <c r="AI728" s="157" t="str">
        <f t="shared" si="5"/>
        <v>#ERROR!</v>
      </c>
    </row>
    <row r="729" ht="12.75" customHeight="1">
      <c r="A729" s="244" t="s">
        <v>5158</v>
      </c>
      <c r="B729" s="244" t="s">
        <v>231</v>
      </c>
      <c r="C729" s="244" t="s">
        <v>8682</v>
      </c>
      <c r="D729" s="154" t="s">
        <v>861</v>
      </c>
      <c r="E729" s="154"/>
      <c r="F729" s="154" t="str">
        <f t="array" ref="F729">XLOOKUP(Cover!$D$12,$R$1:$Z$1,$R729:$Z729)</f>
        <v>Mandatory</v>
      </c>
      <c r="G729" s="154" t="s">
        <v>8683</v>
      </c>
      <c r="H729" s="154" t="s">
        <v>8513</v>
      </c>
      <c r="I729" s="154" t="s">
        <v>8681</v>
      </c>
      <c r="J729" s="154" t="s">
        <v>7518</v>
      </c>
      <c r="K729" s="154" t="s">
        <v>8508</v>
      </c>
      <c r="L729" s="154" t="s">
        <v>6428</v>
      </c>
      <c r="M729" s="154" t="s">
        <v>1018</v>
      </c>
      <c r="N729" s="154" t="s">
        <v>759</v>
      </c>
      <c r="O729" s="247" t="s">
        <v>516</v>
      </c>
      <c r="P729" s="247" t="s">
        <v>6776</v>
      </c>
      <c r="Q729" s="154" t="str">
        <f t="shared" si="1"/>
        <v>#ERROR!</v>
      </c>
      <c r="R729" s="154" t="s">
        <v>66</v>
      </c>
      <c r="S729" s="154" t="s">
        <v>66</v>
      </c>
      <c r="T729" s="155" t="s">
        <v>64</v>
      </c>
      <c r="U729" s="155" t="s">
        <v>64</v>
      </c>
      <c r="V729" s="154" t="s">
        <v>60</v>
      </c>
      <c r="W729" s="154" t="s">
        <v>60</v>
      </c>
      <c r="X729" s="154" t="s">
        <v>66</v>
      </c>
      <c r="Y729" s="155" t="s">
        <v>64</v>
      </c>
      <c r="Z729" s="154" t="s">
        <v>60</v>
      </c>
      <c r="AA729" s="154"/>
      <c r="AB729" s="242" t="str">
        <f t="shared" si="2"/>
        <v>#ERROR!</v>
      </c>
      <c r="AC729" s="154" t="s">
        <v>391</v>
      </c>
      <c r="AD729" s="242" t="b">
        <f t="shared" si="3"/>
        <v>0</v>
      </c>
      <c r="AE729" s="154"/>
      <c r="AF729" s="242" t="str">
        <f t="shared" si="4"/>
        <v>#ERROR!</v>
      </c>
      <c r="AG729" s="154" t="s">
        <v>652</v>
      </c>
      <c r="AH729" s="242" t="str">
        <f>IF(AG729="","N/A",INDIRECT("MTR!"&amp;ADDRESS(MATCH(LEFT(AG729,9),[1]MTR!C:C,0),COLUMN(J729)),TRUE) &amp; "")</f>
        <v>#ERROR!</v>
      </c>
      <c r="AI729" s="157" t="str">
        <f t="shared" si="5"/>
        <v>#ERROR!</v>
      </c>
    </row>
    <row r="730" ht="12.75" customHeight="1">
      <c r="A730" s="244" t="s">
        <v>5158</v>
      </c>
      <c r="B730" s="244" t="s">
        <v>231</v>
      </c>
      <c r="C730" s="244" t="s">
        <v>8684</v>
      </c>
      <c r="D730" s="154" t="s">
        <v>1773</v>
      </c>
      <c r="E730" s="154"/>
      <c r="F730" s="154" t="str">
        <f t="array" ref="F730">XLOOKUP(Cover!$D$12,$R$1:$Z$1,$R730:$Z730)</f>
        <v>Information</v>
      </c>
      <c r="G730" s="154" t="s">
        <v>8685</v>
      </c>
      <c r="H730" s="154" t="s">
        <v>8516</v>
      </c>
      <c r="I730" s="154" t="s">
        <v>8651</v>
      </c>
      <c r="J730" s="154" t="s">
        <v>7524</v>
      </c>
      <c r="K730" s="154" t="s">
        <v>8508</v>
      </c>
      <c r="L730" s="154" t="s">
        <v>6126</v>
      </c>
      <c r="M730" s="154"/>
      <c r="N730" s="154" t="s">
        <v>759</v>
      </c>
      <c r="O730" s="247" t="s">
        <v>516</v>
      </c>
      <c r="P730" s="247" t="s">
        <v>6776</v>
      </c>
      <c r="Q730" s="154" t="str">
        <f t="shared" si="1"/>
        <v>#ERROR!</v>
      </c>
      <c r="R730" s="154" t="s">
        <v>66</v>
      </c>
      <c r="S730" s="154" t="s">
        <v>66</v>
      </c>
      <c r="T730" s="154" t="s">
        <v>66</v>
      </c>
      <c r="U730" s="154" t="s">
        <v>66</v>
      </c>
      <c r="V730" s="154" t="s">
        <v>66</v>
      </c>
      <c r="W730" s="154" t="s">
        <v>66</v>
      </c>
      <c r="X730" s="154" t="s">
        <v>66</v>
      </c>
      <c r="Y730" s="154" t="s">
        <v>66</v>
      </c>
      <c r="Z730" s="154" t="s">
        <v>66</v>
      </c>
      <c r="AA730" s="154"/>
      <c r="AB730" s="242" t="str">
        <f t="shared" si="2"/>
        <v>#ERROR!</v>
      </c>
      <c r="AC730" s="154" t="s">
        <v>391</v>
      </c>
      <c r="AD730" s="242" t="b">
        <f t="shared" si="3"/>
        <v>0</v>
      </c>
      <c r="AE730" s="154"/>
      <c r="AF730" s="242" t="str">
        <f t="shared" si="4"/>
        <v>#ERROR!</v>
      </c>
      <c r="AG730" s="154" t="s">
        <v>652</v>
      </c>
      <c r="AH730" s="242" t="str">
        <f>IF(AG730="","N/A",INDIRECT("MTR!"&amp;ADDRESS(MATCH(LEFT(AG730,9),[1]MTR!C:C,0),COLUMN(J730)),TRUE) &amp; "")</f>
        <v>#ERROR!</v>
      </c>
      <c r="AI730" s="157" t="str">
        <f t="shared" si="5"/>
        <v>#ERROR!</v>
      </c>
    </row>
    <row r="731" ht="12.75" customHeight="1">
      <c r="A731" s="244" t="s">
        <v>5158</v>
      </c>
      <c r="B731" s="244" t="s">
        <v>231</v>
      </c>
      <c r="C731" s="244" t="s">
        <v>8686</v>
      </c>
      <c r="D731" s="154" t="s">
        <v>1773</v>
      </c>
      <c r="E731" s="154"/>
      <c r="F731" s="154" t="str">
        <f t="array" ref="F731">XLOOKUP(Cover!$D$12,$R$1:$Z$1,$R731:$Z731)</f>
        <v>Recommended</v>
      </c>
      <c r="G731" s="154" t="s">
        <v>8687</v>
      </c>
      <c r="H731" s="154" t="s">
        <v>8519</v>
      </c>
      <c r="I731" s="154" t="s">
        <v>8651</v>
      </c>
      <c r="J731" s="154" t="s">
        <v>7524</v>
      </c>
      <c r="K731" s="154" t="s">
        <v>8508</v>
      </c>
      <c r="L731" s="154" t="s">
        <v>6126</v>
      </c>
      <c r="M731" s="154"/>
      <c r="N731" s="154" t="s">
        <v>759</v>
      </c>
      <c r="O731" s="247" t="s">
        <v>516</v>
      </c>
      <c r="P731" s="247" t="s">
        <v>6776</v>
      </c>
      <c r="Q731" s="154" t="str">
        <f t="shared" si="1"/>
        <v>#ERROR!</v>
      </c>
      <c r="R731" s="154" t="s">
        <v>66</v>
      </c>
      <c r="S731" s="154" t="s">
        <v>66</v>
      </c>
      <c r="T731" s="154" t="s">
        <v>64</v>
      </c>
      <c r="U731" s="154" t="s">
        <v>64</v>
      </c>
      <c r="V731" s="154" t="s">
        <v>64</v>
      </c>
      <c r="W731" s="154" t="s">
        <v>64</v>
      </c>
      <c r="X731" s="154" t="s">
        <v>66</v>
      </c>
      <c r="Y731" s="154" t="s">
        <v>64</v>
      </c>
      <c r="Z731" s="154" t="s">
        <v>64</v>
      </c>
      <c r="AA731" s="154"/>
      <c r="AB731" s="242" t="str">
        <f t="shared" si="2"/>
        <v>#ERROR!</v>
      </c>
      <c r="AC731" s="154" t="s">
        <v>391</v>
      </c>
      <c r="AD731" s="242" t="b">
        <f t="shared" si="3"/>
        <v>0</v>
      </c>
      <c r="AE731" s="154"/>
      <c r="AF731" s="242" t="str">
        <f t="shared" si="4"/>
        <v>#ERROR!</v>
      </c>
      <c r="AG731" s="154" t="s">
        <v>652</v>
      </c>
      <c r="AH731" s="242" t="str">
        <f>IF(AG731="","N/A",INDIRECT("MTR!"&amp;ADDRESS(MATCH(LEFT(AG731,9),[1]MTR!C:C,0),COLUMN(J731)),TRUE) &amp; "")</f>
        <v>#ERROR!</v>
      </c>
      <c r="AI731" s="157" t="str">
        <f t="shared" si="5"/>
        <v>#ERROR!</v>
      </c>
    </row>
    <row r="732" ht="12.75" customHeight="1">
      <c r="A732" s="244" t="s">
        <v>5158</v>
      </c>
      <c r="B732" s="244" t="s">
        <v>231</v>
      </c>
      <c r="C732" s="244" t="s">
        <v>8688</v>
      </c>
      <c r="D732" s="154" t="s">
        <v>1315</v>
      </c>
      <c r="E732" s="154"/>
      <c r="F732" s="154" t="str">
        <f t="array" ref="F732">XLOOKUP(Cover!$D$12,$R$1:$Z$1,$R732:$Z732)</f>
        <v>Mandatory</v>
      </c>
      <c r="G732" s="154" t="s">
        <v>8689</v>
      </c>
      <c r="H732" s="154" t="s">
        <v>8507</v>
      </c>
      <c r="I732" s="154" t="s">
        <v>8690</v>
      </c>
      <c r="J732" s="154" t="s">
        <v>7554</v>
      </c>
      <c r="K732" s="154" t="s">
        <v>8508</v>
      </c>
      <c r="L732" s="154" t="s">
        <v>6884</v>
      </c>
      <c r="M732" s="154" t="s">
        <v>1018</v>
      </c>
      <c r="N732" s="154" t="s">
        <v>759</v>
      </c>
      <c r="O732" s="247" t="s">
        <v>516</v>
      </c>
      <c r="P732" s="247" t="s">
        <v>6776</v>
      </c>
      <c r="Q732" s="154" t="str">
        <f t="shared" si="1"/>
        <v>#ERROR!</v>
      </c>
      <c r="R732" s="154" t="s">
        <v>66</v>
      </c>
      <c r="S732" s="154" t="s">
        <v>66</v>
      </c>
      <c r="T732" s="155" t="s">
        <v>64</v>
      </c>
      <c r="U732" s="155" t="s">
        <v>64</v>
      </c>
      <c r="V732" s="154" t="s">
        <v>60</v>
      </c>
      <c r="W732" s="154" t="s">
        <v>60</v>
      </c>
      <c r="X732" s="154" t="s">
        <v>66</v>
      </c>
      <c r="Y732" s="155" t="s">
        <v>64</v>
      </c>
      <c r="Z732" s="154" t="s">
        <v>60</v>
      </c>
      <c r="AA732" s="154"/>
      <c r="AB732" s="242" t="str">
        <f t="shared" si="2"/>
        <v>#ERROR!</v>
      </c>
      <c r="AC732" s="154" t="s">
        <v>391</v>
      </c>
      <c r="AD732" s="242" t="b">
        <f t="shared" si="3"/>
        <v>0</v>
      </c>
      <c r="AE732" s="154"/>
      <c r="AF732" s="242" t="str">
        <f t="shared" si="4"/>
        <v>#ERROR!</v>
      </c>
      <c r="AG732" s="154" t="s">
        <v>652</v>
      </c>
      <c r="AH732" s="242" t="str">
        <f>IF(AG732="","N/A",INDIRECT("MTR!"&amp;ADDRESS(MATCH(LEFT(AG732,9),[1]MTR!C:C,0),COLUMN(J732)),TRUE) &amp; "")</f>
        <v>#ERROR!</v>
      </c>
      <c r="AI732" s="157" t="str">
        <f t="shared" si="5"/>
        <v>#ERROR!</v>
      </c>
    </row>
    <row r="733" ht="12.75" customHeight="1">
      <c r="A733" s="244" t="s">
        <v>5158</v>
      </c>
      <c r="B733" s="244" t="s">
        <v>231</v>
      </c>
      <c r="C733" s="244" t="s">
        <v>8691</v>
      </c>
      <c r="D733" s="154" t="s">
        <v>1315</v>
      </c>
      <c r="E733" s="154"/>
      <c r="F733" s="154" t="str">
        <f t="array" ref="F733">XLOOKUP(Cover!$D$12,$R$1:$Z$1,$R733:$Z733)</f>
        <v>Mandatory</v>
      </c>
      <c r="G733" s="154" t="s">
        <v>8692</v>
      </c>
      <c r="H733" s="154" t="s">
        <v>8519</v>
      </c>
      <c r="I733" s="154" t="s">
        <v>8690</v>
      </c>
      <c r="J733" s="154" t="s">
        <v>7554</v>
      </c>
      <c r="K733" s="154" t="s">
        <v>8508</v>
      </c>
      <c r="L733" s="154" t="s">
        <v>6884</v>
      </c>
      <c r="M733" s="154" t="s">
        <v>1018</v>
      </c>
      <c r="N733" s="154" t="s">
        <v>759</v>
      </c>
      <c r="O733" s="247" t="s">
        <v>516</v>
      </c>
      <c r="P733" s="247" t="s">
        <v>6776</v>
      </c>
      <c r="Q733" s="154" t="str">
        <f t="shared" si="1"/>
        <v>#ERROR!</v>
      </c>
      <c r="R733" s="154" t="s">
        <v>66</v>
      </c>
      <c r="S733" s="154" t="s">
        <v>66</v>
      </c>
      <c r="T733" s="155" t="s">
        <v>64</v>
      </c>
      <c r="U733" s="155" t="s">
        <v>64</v>
      </c>
      <c r="V733" s="154" t="s">
        <v>60</v>
      </c>
      <c r="W733" s="154" t="s">
        <v>60</v>
      </c>
      <c r="X733" s="154" t="s">
        <v>66</v>
      </c>
      <c r="Y733" s="155" t="s">
        <v>64</v>
      </c>
      <c r="Z733" s="154" t="s">
        <v>60</v>
      </c>
      <c r="AA733" s="154"/>
      <c r="AB733" s="242" t="str">
        <f t="shared" si="2"/>
        <v>#ERROR!</v>
      </c>
      <c r="AC733" s="154" t="s">
        <v>391</v>
      </c>
      <c r="AD733" s="242" t="b">
        <f t="shared" si="3"/>
        <v>0</v>
      </c>
      <c r="AE733" s="154"/>
      <c r="AF733" s="242" t="str">
        <f t="shared" si="4"/>
        <v>#ERROR!</v>
      </c>
      <c r="AG733" s="154" t="s">
        <v>652</v>
      </c>
      <c r="AH733" s="242" t="str">
        <f>IF(AG733="","N/A",INDIRECT("MTR!"&amp;ADDRESS(MATCH(LEFT(AG733,9),[1]MTR!C:C,0),COLUMN(J733)),TRUE) &amp; "")</f>
        <v>#ERROR!</v>
      </c>
      <c r="AI733" s="157" t="str">
        <f t="shared" si="5"/>
        <v>#ERROR!</v>
      </c>
    </row>
    <row r="734" ht="12.75" customHeight="1">
      <c r="A734" s="244" t="s">
        <v>5158</v>
      </c>
      <c r="B734" s="244" t="s">
        <v>231</v>
      </c>
      <c r="C734" s="244" t="s">
        <v>8693</v>
      </c>
      <c r="D734" s="154" t="s">
        <v>747</v>
      </c>
      <c r="E734" s="154"/>
      <c r="F734" s="154" t="str">
        <f t="array" ref="F734">XLOOKUP(Cover!$D$12,$R$1:$Z$1,$R734:$Z734)</f>
        <v>Mandatory</v>
      </c>
      <c r="G734" s="154" t="s">
        <v>8694</v>
      </c>
      <c r="H734" s="154" t="s">
        <v>1489</v>
      </c>
      <c r="I734" s="154" t="s">
        <v>8695</v>
      </c>
      <c r="J734" s="154" t="s">
        <v>6927</v>
      </c>
      <c r="K734" s="154" t="s">
        <v>8508</v>
      </c>
      <c r="L734" s="154" t="s">
        <v>6525</v>
      </c>
      <c r="M734" s="154" t="s">
        <v>1018</v>
      </c>
      <c r="N734" s="154" t="s">
        <v>759</v>
      </c>
      <c r="O734" s="247" t="s">
        <v>445</v>
      </c>
      <c r="P734" s="247" t="s">
        <v>89</v>
      </c>
      <c r="Q734" s="154" t="str">
        <f t="shared" si="1"/>
        <v>#ERROR!</v>
      </c>
      <c r="R734" s="154" t="s">
        <v>66</v>
      </c>
      <c r="S734" s="154" t="s">
        <v>66</v>
      </c>
      <c r="T734" s="155" t="s">
        <v>64</v>
      </c>
      <c r="U734" s="155" t="s">
        <v>64</v>
      </c>
      <c r="V734" s="154" t="s">
        <v>60</v>
      </c>
      <c r="W734" s="154" t="s">
        <v>60</v>
      </c>
      <c r="X734" s="154" t="s">
        <v>66</v>
      </c>
      <c r="Y734" s="155" t="s">
        <v>64</v>
      </c>
      <c r="Z734" s="154" t="s">
        <v>60</v>
      </c>
      <c r="AA734" s="154"/>
      <c r="AB734" s="242" t="str">
        <f t="shared" si="2"/>
        <v>#ERROR!</v>
      </c>
      <c r="AC734" s="154" t="s">
        <v>391</v>
      </c>
      <c r="AD734" s="242" t="b">
        <f t="shared" si="3"/>
        <v>0</v>
      </c>
      <c r="AE734" s="154"/>
      <c r="AF734" s="242" t="str">
        <f t="shared" si="4"/>
        <v>#ERROR!</v>
      </c>
      <c r="AG734" s="154" t="s">
        <v>652</v>
      </c>
      <c r="AH734" s="242" t="str">
        <f>IF(AG734="","N/A",INDIRECT("MTR!"&amp;ADDRESS(MATCH(LEFT(AG734,9),[1]MTR!C:C,0),COLUMN(J734)),TRUE) &amp; "")</f>
        <v>#ERROR!</v>
      </c>
      <c r="AI734" s="157" t="str">
        <f t="shared" si="5"/>
        <v>#ERROR!</v>
      </c>
    </row>
    <row r="735" ht="12.75" customHeight="1">
      <c r="A735" s="244" t="s">
        <v>5158</v>
      </c>
      <c r="B735" s="244" t="s">
        <v>231</v>
      </c>
      <c r="C735" s="244" t="s">
        <v>8696</v>
      </c>
      <c r="D735" s="154" t="s">
        <v>747</v>
      </c>
      <c r="E735" s="154"/>
      <c r="F735" s="154" t="str">
        <f t="array" ref="F735">XLOOKUP(Cover!$D$12,$R$1:$Z$1,$R735:$Z735)</f>
        <v>Mandatory</v>
      </c>
      <c r="G735" s="154" t="s">
        <v>8697</v>
      </c>
      <c r="H735" s="154" t="s">
        <v>8550</v>
      </c>
      <c r="I735" s="154" t="s">
        <v>8695</v>
      </c>
      <c r="J735" s="154" t="s">
        <v>6927</v>
      </c>
      <c r="K735" s="154" t="s">
        <v>8508</v>
      </c>
      <c r="L735" s="154" t="s">
        <v>6525</v>
      </c>
      <c r="M735" s="154" t="s">
        <v>1018</v>
      </c>
      <c r="N735" s="154" t="s">
        <v>759</v>
      </c>
      <c r="O735" s="247" t="s">
        <v>516</v>
      </c>
      <c r="P735" s="247" t="s">
        <v>1575</v>
      </c>
      <c r="Q735" s="154" t="str">
        <f t="shared" si="1"/>
        <v>#ERROR!</v>
      </c>
      <c r="R735" s="154" t="s">
        <v>66</v>
      </c>
      <c r="S735" s="154" t="s">
        <v>66</v>
      </c>
      <c r="T735" s="155" t="s">
        <v>64</v>
      </c>
      <c r="U735" s="155" t="s">
        <v>64</v>
      </c>
      <c r="V735" s="154" t="s">
        <v>60</v>
      </c>
      <c r="W735" s="154" t="s">
        <v>60</v>
      </c>
      <c r="X735" s="154" t="s">
        <v>66</v>
      </c>
      <c r="Y735" s="155" t="s">
        <v>64</v>
      </c>
      <c r="Z735" s="154" t="s">
        <v>60</v>
      </c>
      <c r="AA735" s="154"/>
      <c r="AB735" s="242" t="str">
        <f t="shared" si="2"/>
        <v>#ERROR!</v>
      </c>
      <c r="AC735" s="154" t="s">
        <v>391</v>
      </c>
      <c r="AD735" s="242" t="b">
        <f t="shared" si="3"/>
        <v>0</v>
      </c>
      <c r="AE735" s="154"/>
      <c r="AF735" s="242" t="str">
        <f t="shared" si="4"/>
        <v>#ERROR!</v>
      </c>
      <c r="AG735" s="154" t="s">
        <v>652</v>
      </c>
      <c r="AH735" s="242" t="str">
        <f>IF(AG735="","N/A",INDIRECT("MTR!"&amp;ADDRESS(MATCH(LEFT(AG735,9),[1]MTR!C:C,0),COLUMN(J735)),TRUE) &amp; "")</f>
        <v>#ERROR!</v>
      </c>
      <c r="AI735" s="157" t="str">
        <f t="shared" si="5"/>
        <v>#ERROR!</v>
      </c>
    </row>
    <row r="736" ht="12.75" customHeight="1">
      <c r="A736" s="244" t="s">
        <v>5158</v>
      </c>
      <c r="B736" s="244" t="s">
        <v>231</v>
      </c>
      <c r="C736" s="244" t="s">
        <v>8698</v>
      </c>
      <c r="D736" s="154" t="s">
        <v>747</v>
      </c>
      <c r="E736" s="154"/>
      <c r="F736" s="154" t="str">
        <f t="array" ref="F736">XLOOKUP(Cover!$D$12,$R$1:$Z$1,$R736:$Z736)</f>
        <v>Mandatory</v>
      </c>
      <c r="G736" s="154" t="s">
        <v>8699</v>
      </c>
      <c r="H736" s="154" t="s">
        <v>8513</v>
      </c>
      <c r="I736" s="154" t="s">
        <v>8695</v>
      </c>
      <c r="J736" s="154" t="s">
        <v>6927</v>
      </c>
      <c r="K736" s="154" t="s">
        <v>8508</v>
      </c>
      <c r="L736" s="154" t="s">
        <v>6525</v>
      </c>
      <c r="M736" s="154" t="s">
        <v>1018</v>
      </c>
      <c r="N736" s="154" t="s">
        <v>759</v>
      </c>
      <c r="O736" s="247" t="s">
        <v>445</v>
      </c>
      <c r="P736" s="247" t="s">
        <v>89</v>
      </c>
      <c r="Q736" s="154" t="str">
        <f t="shared" si="1"/>
        <v>#ERROR!</v>
      </c>
      <c r="R736" s="154" t="s">
        <v>66</v>
      </c>
      <c r="S736" s="154" t="s">
        <v>66</v>
      </c>
      <c r="T736" s="155" t="s">
        <v>64</v>
      </c>
      <c r="U736" s="155" t="s">
        <v>64</v>
      </c>
      <c r="V736" s="154" t="s">
        <v>60</v>
      </c>
      <c r="W736" s="154" t="s">
        <v>60</v>
      </c>
      <c r="X736" s="154" t="s">
        <v>66</v>
      </c>
      <c r="Y736" s="155" t="s">
        <v>64</v>
      </c>
      <c r="Z736" s="154" t="s">
        <v>60</v>
      </c>
      <c r="AA736" s="154"/>
      <c r="AB736" s="242" t="str">
        <f t="shared" si="2"/>
        <v>#ERROR!</v>
      </c>
      <c r="AC736" s="154" t="s">
        <v>391</v>
      </c>
      <c r="AD736" s="242" t="b">
        <f t="shared" si="3"/>
        <v>0</v>
      </c>
      <c r="AE736" s="154"/>
      <c r="AF736" s="242" t="str">
        <f t="shared" si="4"/>
        <v>#ERROR!</v>
      </c>
      <c r="AG736" s="154" t="s">
        <v>652</v>
      </c>
      <c r="AH736" s="242" t="str">
        <f>IF(AG736="","N/A",INDIRECT("MTR!"&amp;ADDRESS(MATCH(LEFT(AG736,9),[1]MTR!C:C,0),COLUMN(J736)),TRUE) &amp; "")</f>
        <v>#ERROR!</v>
      </c>
      <c r="AI736" s="157" t="str">
        <f t="shared" si="5"/>
        <v>#ERROR!</v>
      </c>
    </row>
    <row r="737" ht="12.75" customHeight="1">
      <c r="A737" s="244" t="s">
        <v>5158</v>
      </c>
      <c r="B737" s="244" t="s">
        <v>231</v>
      </c>
      <c r="C737" s="244" t="s">
        <v>8700</v>
      </c>
      <c r="D737" s="154" t="s">
        <v>1069</v>
      </c>
      <c r="E737" s="154"/>
      <c r="F737" s="154" t="str">
        <f t="array" ref="F737">XLOOKUP(Cover!$D$12,$R$1:$Z$1,$R737:$Z737)</f>
        <v>Recommended</v>
      </c>
      <c r="G737" s="154" t="s">
        <v>8701</v>
      </c>
      <c r="H737" s="154" t="s">
        <v>1489</v>
      </c>
      <c r="I737" s="154" t="s">
        <v>8702</v>
      </c>
      <c r="J737" s="154" t="s">
        <v>6941</v>
      </c>
      <c r="K737" s="154" t="s">
        <v>8508</v>
      </c>
      <c r="L737" s="154" t="s">
        <v>6154</v>
      </c>
      <c r="M737" s="154"/>
      <c r="N737" s="154" t="s">
        <v>759</v>
      </c>
      <c r="O737" s="247" t="s">
        <v>516</v>
      </c>
      <c r="P737" s="247" t="s">
        <v>6776</v>
      </c>
      <c r="Q737" s="154" t="str">
        <f t="shared" si="1"/>
        <v>#ERROR!</v>
      </c>
      <c r="R737" s="154" t="s">
        <v>66</v>
      </c>
      <c r="S737" s="154" t="s">
        <v>66</v>
      </c>
      <c r="T737" s="154" t="s">
        <v>64</v>
      </c>
      <c r="U737" s="154" t="s">
        <v>64</v>
      </c>
      <c r="V737" s="154" t="s">
        <v>64</v>
      </c>
      <c r="W737" s="154" t="s">
        <v>64</v>
      </c>
      <c r="X737" s="154" t="s">
        <v>66</v>
      </c>
      <c r="Y737" s="154" t="s">
        <v>64</v>
      </c>
      <c r="Z737" s="154" t="s">
        <v>64</v>
      </c>
      <c r="AA737" s="154"/>
      <c r="AB737" s="242" t="str">
        <f t="shared" si="2"/>
        <v>#ERROR!</v>
      </c>
      <c r="AC737" s="154" t="s">
        <v>391</v>
      </c>
      <c r="AD737" s="242" t="b">
        <f t="shared" si="3"/>
        <v>0</v>
      </c>
      <c r="AE737" s="154"/>
      <c r="AF737" s="242" t="str">
        <f t="shared" si="4"/>
        <v>#ERROR!</v>
      </c>
      <c r="AG737" s="154" t="s">
        <v>652</v>
      </c>
      <c r="AH737" s="242" t="str">
        <f>IF(AG737="","N/A",INDIRECT("MTR!"&amp;ADDRESS(MATCH(LEFT(AG737,9),[1]MTR!C:C,0),COLUMN(J737)),TRUE) &amp; "")</f>
        <v>#ERROR!</v>
      </c>
      <c r="AI737" s="157" t="str">
        <f t="shared" si="5"/>
        <v>#ERROR!</v>
      </c>
    </row>
    <row r="738" ht="12.75" customHeight="1">
      <c r="A738" s="244" t="s">
        <v>5158</v>
      </c>
      <c r="B738" s="244" t="s">
        <v>231</v>
      </c>
      <c r="C738" s="244" t="s">
        <v>8703</v>
      </c>
      <c r="D738" s="154" t="s">
        <v>45</v>
      </c>
      <c r="E738" s="154"/>
      <c r="F738" s="154" t="str">
        <f t="array" ref="F738">XLOOKUP(Cover!$D$12,$R$1:$Z$1,$R738:$Z738)</f>
        <v>Recommended</v>
      </c>
      <c r="G738" s="154" t="s">
        <v>8704</v>
      </c>
      <c r="H738" s="154" t="s">
        <v>8550</v>
      </c>
      <c r="I738" s="154" t="s">
        <v>8702</v>
      </c>
      <c r="J738" s="154" t="s">
        <v>6941</v>
      </c>
      <c r="K738" s="154" t="s">
        <v>8508</v>
      </c>
      <c r="L738" s="154" t="s">
        <v>6655</v>
      </c>
      <c r="M738" s="154"/>
      <c r="N738" s="154" t="s">
        <v>759</v>
      </c>
      <c r="O738" s="247" t="s">
        <v>516</v>
      </c>
      <c r="P738" s="247" t="s">
        <v>6776</v>
      </c>
      <c r="Q738" s="154" t="str">
        <f t="shared" si="1"/>
        <v>#ERROR!</v>
      </c>
      <c r="R738" s="154" t="s">
        <v>66</v>
      </c>
      <c r="S738" s="154" t="s">
        <v>66</v>
      </c>
      <c r="T738" s="154" t="s">
        <v>64</v>
      </c>
      <c r="U738" s="154" t="s">
        <v>64</v>
      </c>
      <c r="V738" s="154" t="s">
        <v>64</v>
      </c>
      <c r="W738" s="154" t="s">
        <v>64</v>
      </c>
      <c r="X738" s="154" t="s">
        <v>66</v>
      </c>
      <c r="Y738" s="154" t="s">
        <v>64</v>
      </c>
      <c r="Z738" s="154" t="s">
        <v>64</v>
      </c>
      <c r="AA738" s="154"/>
      <c r="AB738" s="242" t="str">
        <f t="shared" si="2"/>
        <v>#ERROR!</v>
      </c>
      <c r="AC738" s="154" t="s">
        <v>391</v>
      </c>
      <c r="AD738" s="242" t="b">
        <f t="shared" si="3"/>
        <v>0</v>
      </c>
      <c r="AE738" s="154"/>
      <c r="AF738" s="242" t="str">
        <f t="shared" si="4"/>
        <v>#ERROR!</v>
      </c>
      <c r="AG738" s="154" t="s">
        <v>652</v>
      </c>
      <c r="AH738" s="242" t="str">
        <f>IF(AG738="","N/A",INDIRECT("MTR!"&amp;ADDRESS(MATCH(LEFT(AG738,9),[1]MTR!C:C,0),COLUMN(J738)),TRUE) &amp; "")</f>
        <v>#ERROR!</v>
      </c>
      <c r="AI738" s="157" t="str">
        <f t="shared" si="5"/>
        <v>#ERROR!</v>
      </c>
    </row>
    <row r="739" ht="12.75" customHeight="1">
      <c r="A739" s="244" t="s">
        <v>5158</v>
      </c>
      <c r="B739" s="244" t="s">
        <v>231</v>
      </c>
      <c r="C739" s="244" t="s">
        <v>8705</v>
      </c>
      <c r="D739" s="154" t="s">
        <v>1069</v>
      </c>
      <c r="E739" s="154"/>
      <c r="F739" s="154" t="str">
        <f t="array" ref="F739">XLOOKUP(Cover!$D$12,$R$1:$Z$1,$R739:$Z739)</f>
        <v>Recommended</v>
      </c>
      <c r="G739" s="154" t="s">
        <v>8706</v>
      </c>
      <c r="H739" s="154" t="s">
        <v>8516</v>
      </c>
      <c r="I739" s="154" t="s">
        <v>8702</v>
      </c>
      <c r="J739" s="154" t="s">
        <v>6941</v>
      </c>
      <c r="K739" s="154" t="s">
        <v>8508</v>
      </c>
      <c r="L739" s="154" t="s">
        <v>6154</v>
      </c>
      <c r="M739" s="154"/>
      <c r="N739" s="154" t="s">
        <v>759</v>
      </c>
      <c r="O739" s="247" t="s">
        <v>516</v>
      </c>
      <c r="P739" s="247" t="s">
        <v>6776</v>
      </c>
      <c r="Q739" s="154" t="str">
        <f t="shared" si="1"/>
        <v>#ERROR!</v>
      </c>
      <c r="R739" s="154" t="s">
        <v>66</v>
      </c>
      <c r="S739" s="154" t="s">
        <v>66</v>
      </c>
      <c r="T739" s="154" t="s">
        <v>64</v>
      </c>
      <c r="U739" s="154" t="s">
        <v>64</v>
      </c>
      <c r="V739" s="154" t="s">
        <v>64</v>
      </c>
      <c r="W739" s="154" t="s">
        <v>64</v>
      </c>
      <c r="X739" s="154" t="s">
        <v>66</v>
      </c>
      <c r="Y739" s="154" t="s">
        <v>64</v>
      </c>
      <c r="Z739" s="154" t="s">
        <v>64</v>
      </c>
      <c r="AA739" s="154"/>
      <c r="AB739" s="242" t="str">
        <f t="shared" si="2"/>
        <v>#ERROR!</v>
      </c>
      <c r="AC739" s="154" t="s">
        <v>391</v>
      </c>
      <c r="AD739" s="242" t="b">
        <f t="shared" si="3"/>
        <v>0</v>
      </c>
      <c r="AE739" s="154"/>
      <c r="AF739" s="242" t="str">
        <f t="shared" si="4"/>
        <v>#ERROR!</v>
      </c>
      <c r="AG739" s="154" t="s">
        <v>652</v>
      </c>
      <c r="AH739" s="242" t="str">
        <f>IF(AG739="","N/A",INDIRECT("MTR!"&amp;ADDRESS(MATCH(LEFT(AG739,9),[1]MTR!C:C,0),COLUMN(J739)),TRUE) &amp; "")</f>
        <v>#ERROR!</v>
      </c>
      <c r="AI739" s="157" t="str">
        <f t="shared" si="5"/>
        <v>#ERROR!</v>
      </c>
    </row>
    <row r="740" ht="12.75" customHeight="1">
      <c r="A740" s="244" t="s">
        <v>5158</v>
      </c>
      <c r="B740" s="244" t="s">
        <v>231</v>
      </c>
      <c r="C740" s="244" t="s">
        <v>8707</v>
      </c>
      <c r="D740" s="154" t="s">
        <v>747</v>
      </c>
      <c r="E740" s="154"/>
      <c r="F740" s="154" t="str">
        <f t="array" ref="F740">XLOOKUP(Cover!$D$12,$R$1:$Z$1,$R740:$Z740)</f>
        <v>Mandatory</v>
      </c>
      <c r="G740" s="154" t="s">
        <v>8708</v>
      </c>
      <c r="H740" s="154" t="s">
        <v>1489</v>
      </c>
      <c r="I740" s="154" t="s">
        <v>8709</v>
      </c>
      <c r="J740" s="154" t="s">
        <v>6956</v>
      </c>
      <c r="K740" s="154" t="s">
        <v>8508</v>
      </c>
      <c r="L740" s="154" t="s">
        <v>6525</v>
      </c>
      <c r="M740" s="154" t="s">
        <v>1018</v>
      </c>
      <c r="N740" s="154" t="s">
        <v>759</v>
      </c>
      <c r="O740" s="247" t="s">
        <v>445</v>
      </c>
      <c r="P740" s="247" t="s">
        <v>6772</v>
      </c>
      <c r="Q740" s="154" t="str">
        <f t="shared" si="1"/>
        <v>#ERROR!</v>
      </c>
      <c r="R740" s="154" t="s">
        <v>66</v>
      </c>
      <c r="S740" s="154" t="s">
        <v>66</v>
      </c>
      <c r="T740" s="154" t="s">
        <v>60</v>
      </c>
      <c r="U740" s="154" t="s">
        <v>60</v>
      </c>
      <c r="V740" s="154" t="s">
        <v>60</v>
      </c>
      <c r="W740" s="154" t="s">
        <v>60</v>
      </c>
      <c r="X740" s="154" t="s">
        <v>66</v>
      </c>
      <c r="Y740" s="154" t="s">
        <v>60</v>
      </c>
      <c r="Z740" s="154" t="s">
        <v>60</v>
      </c>
      <c r="AA740" s="154"/>
      <c r="AB740" s="242" t="str">
        <f t="shared" si="2"/>
        <v>#ERROR!</v>
      </c>
      <c r="AC740" s="154" t="s">
        <v>391</v>
      </c>
      <c r="AD740" s="242" t="b">
        <f t="shared" si="3"/>
        <v>0</v>
      </c>
      <c r="AE740" s="154"/>
      <c r="AF740" s="242" t="str">
        <f t="shared" si="4"/>
        <v>#ERROR!</v>
      </c>
      <c r="AG740" s="154" t="s">
        <v>652</v>
      </c>
      <c r="AH740" s="242" t="str">
        <f>IF(AG740="","N/A",INDIRECT("MTR!"&amp;ADDRESS(MATCH(LEFT(AG740,9),[1]MTR!C:C,0),COLUMN(J740)),TRUE) &amp; "")</f>
        <v>#ERROR!</v>
      </c>
      <c r="AI740" s="157" t="str">
        <f t="shared" si="5"/>
        <v>#ERROR!</v>
      </c>
    </row>
    <row r="741" ht="12.75" customHeight="1">
      <c r="A741" s="244" t="s">
        <v>5158</v>
      </c>
      <c r="B741" s="244" t="s">
        <v>231</v>
      </c>
      <c r="C741" s="244" t="s">
        <v>8710</v>
      </c>
      <c r="D741" s="154" t="s">
        <v>747</v>
      </c>
      <c r="E741" s="154"/>
      <c r="F741" s="154" t="str">
        <f t="array" ref="F741">XLOOKUP(Cover!$D$12,$R$1:$Z$1,$R741:$Z741)</f>
        <v>Mandatory</v>
      </c>
      <c r="G741" s="154" t="s">
        <v>8711</v>
      </c>
      <c r="H741" s="154" t="s">
        <v>8550</v>
      </c>
      <c r="I741" s="154" t="s">
        <v>8709</v>
      </c>
      <c r="J741" s="154" t="s">
        <v>6956</v>
      </c>
      <c r="K741" s="154" t="s">
        <v>8508</v>
      </c>
      <c r="L741" s="154" t="s">
        <v>6525</v>
      </c>
      <c r="M741" s="154" t="s">
        <v>1018</v>
      </c>
      <c r="N741" s="154" t="s">
        <v>759</v>
      </c>
      <c r="O741" s="247" t="s">
        <v>516</v>
      </c>
      <c r="P741" s="247" t="s">
        <v>1575</v>
      </c>
      <c r="Q741" s="154" t="str">
        <f t="shared" si="1"/>
        <v>#ERROR!</v>
      </c>
      <c r="R741" s="154" t="s">
        <v>66</v>
      </c>
      <c r="S741" s="154" t="s">
        <v>66</v>
      </c>
      <c r="T741" s="154" t="s">
        <v>60</v>
      </c>
      <c r="U741" s="154" t="s">
        <v>60</v>
      </c>
      <c r="V741" s="154" t="s">
        <v>60</v>
      </c>
      <c r="W741" s="154" t="s">
        <v>60</v>
      </c>
      <c r="X741" s="154" t="s">
        <v>66</v>
      </c>
      <c r="Y741" s="154" t="s">
        <v>60</v>
      </c>
      <c r="Z741" s="154" t="s">
        <v>60</v>
      </c>
      <c r="AA741" s="154"/>
      <c r="AB741" s="242" t="str">
        <f t="shared" si="2"/>
        <v>#ERROR!</v>
      </c>
      <c r="AC741" s="154" t="s">
        <v>391</v>
      </c>
      <c r="AD741" s="242" t="b">
        <f t="shared" si="3"/>
        <v>0</v>
      </c>
      <c r="AE741" s="154"/>
      <c r="AF741" s="242" t="str">
        <f t="shared" si="4"/>
        <v>#ERROR!</v>
      </c>
      <c r="AG741" s="154" t="s">
        <v>652</v>
      </c>
      <c r="AH741" s="242" t="str">
        <f>IF(AG741="","N/A",INDIRECT("MTR!"&amp;ADDRESS(MATCH(LEFT(AG741,9),[1]MTR!C:C,0),COLUMN(J741)),TRUE) &amp; "")</f>
        <v>#ERROR!</v>
      </c>
      <c r="AI741" s="157" t="str">
        <f t="shared" si="5"/>
        <v>#ERROR!</v>
      </c>
    </row>
    <row r="742" ht="12.75" customHeight="1">
      <c r="A742" s="244" t="s">
        <v>5158</v>
      </c>
      <c r="B742" s="244" t="s">
        <v>231</v>
      </c>
      <c r="C742" s="244" t="s">
        <v>8712</v>
      </c>
      <c r="D742" s="154" t="s">
        <v>747</v>
      </c>
      <c r="E742" s="154"/>
      <c r="F742" s="154" t="str">
        <f t="array" ref="F742">XLOOKUP(Cover!$D$12,$R$1:$Z$1,$R742:$Z742)</f>
        <v>Mandatory</v>
      </c>
      <c r="G742" s="154" t="s">
        <v>8713</v>
      </c>
      <c r="H742" s="154" t="s">
        <v>8519</v>
      </c>
      <c r="I742" s="154" t="s">
        <v>8709</v>
      </c>
      <c r="J742" s="154" t="s">
        <v>6956</v>
      </c>
      <c r="K742" s="154" t="s">
        <v>8508</v>
      </c>
      <c r="L742" s="154" t="s">
        <v>6525</v>
      </c>
      <c r="M742" s="154" t="s">
        <v>1018</v>
      </c>
      <c r="N742" s="154" t="s">
        <v>759</v>
      </c>
      <c r="O742" s="247" t="s">
        <v>445</v>
      </c>
      <c r="P742" s="247" t="s">
        <v>6772</v>
      </c>
      <c r="Q742" s="154" t="str">
        <f t="shared" si="1"/>
        <v>#ERROR!</v>
      </c>
      <c r="R742" s="154" t="s">
        <v>66</v>
      </c>
      <c r="S742" s="154" t="s">
        <v>66</v>
      </c>
      <c r="T742" s="154" t="s">
        <v>60</v>
      </c>
      <c r="U742" s="154" t="s">
        <v>60</v>
      </c>
      <c r="V742" s="154" t="s">
        <v>60</v>
      </c>
      <c r="W742" s="154" t="s">
        <v>60</v>
      </c>
      <c r="X742" s="154" t="s">
        <v>66</v>
      </c>
      <c r="Y742" s="154" t="s">
        <v>60</v>
      </c>
      <c r="Z742" s="154" t="s">
        <v>60</v>
      </c>
      <c r="AA742" s="154"/>
      <c r="AB742" s="242" t="str">
        <f t="shared" si="2"/>
        <v>#ERROR!</v>
      </c>
      <c r="AC742" s="154" t="s">
        <v>391</v>
      </c>
      <c r="AD742" s="242" t="b">
        <f t="shared" si="3"/>
        <v>0</v>
      </c>
      <c r="AE742" s="154"/>
      <c r="AF742" s="242" t="str">
        <f t="shared" si="4"/>
        <v>#ERROR!</v>
      </c>
      <c r="AG742" s="154" t="s">
        <v>652</v>
      </c>
      <c r="AH742" s="242" t="str">
        <f>IF(AG742="","N/A",INDIRECT("MTR!"&amp;ADDRESS(MATCH(LEFT(AG742,9),[1]MTR!C:C,0),COLUMN(J742)),TRUE) &amp; "")</f>
        <v>#ERROR!</v>
      </c>
      <c r="AI742" s="157" t="str">
        <f t="shared" si="5"/>
        <v>#ERROR!</v>
      </c>
    </row>
    <row r="743" ht="12.75" customHeight="1">
      <c r="A743" s="244" t="s">
        <v>5158</v>
      </c>
      <c r="B743" s="244" t="s">
        <v>231</v>
      </c>
      <c r="C743" s="244" t="s">
        <v>8714</v>
      </c>
      <c r="D743" s="154" t="s">
        <v>1315</v>
      </c>
      <c r="E743" s="154"/>
      <c r="F743" s="154" t="str">
        <f t="array" ref="F743">XLOOKUP(Cover!$D$12,$R$1:$Z$1,$R743:$Z743)</f>
        <v>Mandatory</v>
      </c>
      <c r="G743" s="154" t="s">
        <v>8715</v>
      </c>
      <c r="H743" s="154" t="s">
        <v>1489</v>
      </c>
      <c r="I743" s="154" t="s">
        <v>8716</v>
      </c>
      <c r="J743" s="154" t="s">
        <v>6978</v>
      </c>
      <c r="K743" s="154" t="s">
        <v>8508</v>
      </c>
      <c r="L743" s="154" t="s">
        <v>6905</v>
      </c>
      <c r="M743" s="154" t="s">
        <v>1018</v>
      </c>
      <c r="N743" s="154" t="s">
        <v>759</v>
      </c>
      <c r="O743" s="247" t="s">
        <v>445</v>
      </c>
      <c r="P743" s="247" t="s">
        <v>6772</v>
      </c>
      <c r="Q743" s="154" t="str">
        <f t="shared" si="1"/>
        <v>#ERROR!</v>
      </c>
      <c r="R743" s="154" t="s">
        <v>66</v>
      </c>
      <c r="S743" s="154" t="s">
        <v>66</v>
      </c>
      <c r="T743" s="155" t="s">
        <v>64</v>
      </c>
      <c r="U743" s="155" t="s">
        <v>64</v>
      </c>
      <c r="V743" s="154" t="s">
        <v>60</v>
      </c>
      <c r="W743" s="154" t="s">
        <v>60</v>
      </c>
      <c r="X743" s="154" t="s">
        <v>66</v>
      </c>
      <c r="Y743" s="155" t="s">
        <v>64</v>
      </c>
      <c r="Z743" s="154" t="s">
        <v>60</v>
      </c>
      <c r="AA743" s="154"/>
      <c r="AB743" s="242" t="str">
        <f t="shared" si="2"/>
        <v>#ERROR!</v>
      </c>
      <c r="AC743" s="154" t="s">
        <v>391</v>
      </c>
      <c r="AD743" s="242" t="b">
        <f t="shared" si="3"/>
        <v>0</v>
      </c>
      <c r="AE743" s="154"/>
      <c r="AF743" s="242" t="str">
        <f t="shared" si="4"/>
        <v>#ERROR!</v>
      </c>
      <c r="AG743" s="154" t="s">
        <v>652</v>
      </c>
      <c r="AH743" s="242" t="str">
        <f>IF(AG743="","N/A",INDIRECT("MTR!"&amp;ADDRESS(MATCH(LEFT(AG743,9),[1]MTR!C:C,0),COLUMN(J743)),TRUE) &amp; "")</f>
        <v>#ERROR!</v>
      </c>
      <c r="AI743" s="157" t="str">
        <f t="shared" si="5"/>
        <v>#ERROR!</v>
      </c>
    </row>
    <row r="744" ht="12.75" customHeight="1">
      <c r="A744" s="244" t="s">
        <v>5158</v>
      </c>
      <c r="B744" s="244" t="s">
        <v>231</v>
      </c>
      <c r="C744" s="244" t="s">
        <v>8717</v>
      </c>
      <c r="D744" s="154" t="s">
        <v>1315</v>
      </c>
      <c r="E744" s="154"/>
      <c r="F744" s="154" t="str">
        <f t="array" ref="F744">XLOOKUP(Cover!$D$12,$R$1:$Z$1,$R744:$Z744)</f>
        <v>Mandatory</v>
      </c>
      <c r="G744" s="154" t="s">
        <v>8718</v>
      </c>
      <c r="H744" s="154" t="s">
        <v>8550</v>
      </c>
      <c r="I744" s="154" t="s">
        <v>8716</v>
      </c>
      <c r="J744" s="154" t="s">
        <v>6978</v>
      </c>
      <c r="K744" s="154" t="s">
        <v>8508</v>
      </c>
      <c r="L744" s="154" t="s">
        <v>6905</v>
      </c>
      <c r="M744" s="154" t="s">
        <v>1018</v>
      </c>
      <c r="N744" s="154" t="s">
        <v>759</v>
      </c>
      <c r="O744" s="247" t="s">
        <v>516</v>
      </c>
      <c r="P744" s="247" t="s">
        <v>1575</v>
      </c>
      <c r="Q744" s="154" t="str">
        <f t="shared" si="1"/>
        <v>#ERROR!</v>
      </c>
      <c r="R744" s="154" t="s">
        <v>66</v>
      </c>
      <c r="S744" s="154" t="s">
        <v>66</v>
      </c>
      <c r="T744" s="155" t="s">
        <v>64</v>
      </c>
      <c r="U744" s="155" t="s">
        <v>64</v>
      </c>
      <c r="V744" s="154" t="s">
        <v>60</v>
      </c>
      <c r="W744" s="154" t="s">
        <v>60</v>
      </c>
      <c r="X744" s="154" t="s">
        <v>66</v>
      </c>
      <c r="Y744" s="155" t="s">
        <v>64</v>
      </c>
      <c r="Z744" s="154" t="s">
        <v>60</v>
      </c>
      <c r="AA744" s="154"/>
      <c r="AB744" s="242" t="str">
        <f t="shared" si="2"/>
        <v>#ERROR!</v>
      </c>
      <c r="AC744" s="154" t="s">
        <v>391</v>
      </c>
      <c r="AD744" s="242" t="b">
        <f t="shared" si="3"/>
        <v>0</v>
      </c>
      <c r="AE744" s="154"/>
      <c r="AF744" s="242" t="str">
        <f t="shared" si="4"/>
        <v>#ERROR!</v>
      </c>
      <c r="AG744" s="154" t="s">
        <v>652</v>
      </c>
      <c r="AH744" s="242" t="str">
        <f>IF(AG744="","N/A",INDIRECT("MTR!"&amp;ADDRESS(MATCH(LEFT(AG744,9),[1]MTR!C:C,0),COLUMN(J744)),TRUE) &amp; "")</f>
        <v>#ERROR!</v>
      </c>
      <c r="AI744" s="157" t="str">
        <f t="shared" si="5"/>
        <v>#ERROR!</v>
      </c>
    </row>
    <row r="745" ht="12.75" customHeight="1">
      <c r="A745" s="244" t="s">
        <v>5158</v>
      </c>
      <c r="B745" s="244" t="s">
        <v>231</v>
      </c>
      <c r="C745" s="244" t="s">
        <v>8719</v>
      </c>
      <c r="D745" s="154" t="s">
        <v>747</v>
      </c>
      <c r="E745" s="154"/>
      <c r="F745" s="154" t="str">
        <f t="array" ref="F745">XLOOKUP(Cover!$D$12,$R$1:$Z$1,$R745:$Z745)</f>
        <v>Mandatory</v>
      </c>
      <c r="G745" s="154" t="s">
        <v>8720</v>
      </c>
      <c r="H745" s="154" t="s">
        <v>1489</v>
      </c>
      <c r="I745" s="154" t="s">
        <v>8721</v>
      </c>
      <c r="J745" s="154" t="s">
        <v>6984</v>
      </c>
      <c r="K745" s="154" t="s">
        <v>8508</v>
      </c>
      <c r="L745" s="154" t="s">
        <v>6525</v>
      </c>
      <c r="M745" s="154" t="s">
        <v>1018</v>
      </c>
      <c r="N745" s="154" t="s">
        <v>759</v>
      </c>
      <c r="O745" s="247" t="s">
        <v>445</v>
      </c>
      <c r="P745" s="247" t="s">
        <v>89</v>
      </c>
      <c r="Q745" s="154" t="str">
        <f t="shared" si="1"/>
        <v>#ERROR!</v>
      </c>
      <c r="R745" s="154" t="s">
        <v>66</v>
      </c>
      <c r="S745" s="154" t="s">
        <v>66</v>
      </c>
      <c r="T745" s="155" t="s">
        <v>64</v>
      </c>
      <c r="U745" s="155" t="s">
        <v>64</v>
      </c>
      <c r="V745" s="154" t="s">
        <v>60</v>
      </c>
      <c r="W745" s="154" t="s">
        <v>60</v>
      </c>
      <c r="X745" s="154" t="s">
        <v>66</v>
      </c>
      <c r="Y745" s="155" t="s">
        <v>64</v>
      </c>
      <c r="Z745" s="154" t="s">
        <v>60</v>
      </c>
      <c r="AA745" s="154"/>
      <c r="AB745" s="242" t="str">
        <f t="shared" si="2"/>
        <v>#ERROR!</v>
      </c>
      <c r="AC745" s="154" t="s">
        <v>391</v>
      </c>
      <c r="AD745" s="242" t="b">
        <f t="shared" si="3"/>
        <v>0</v>
      </c>
      <c r="AE745" s="154"/>
      <c r="AF745" s="242" t="str">
        <f t="shared" si="4"/>
        <v>#ERROR!</v>
      </c>
      <c r="AG745" s="154" t="s">
        <v>652</v>
      </c>
      <c r="AH745" s="242" t="str">
        <f>IF(AG745="","N/A",INDIRECT("MTR!"&amp;ADDRESS(MATCH(LEFT(AG745,9),[1]MTR!C:C,0),COLUMN(J745)),TRUE) &amp; "")</f>
        <v>#ERROR!</v>
      </c>
      <c r="AI745" s="157" t="str">
        <f t="shared" si="5"/>
        <v>#ERROR!</v>
      </c>
    </row>
    <row r="746" ht="12.75" customHeight="1">
      <c r="A746" s="244" t="s">
        <v>5158</v>
      </c>
      <c r="B746" s="244" t="s">
        <v>231</v>
      </c>
      <c r="C746" s="244" t="s">
        <v>8722</v>
      </c>
      <c r="D746" s="154" t="s">
        <v>747</v>
      </c>
      <c r="E746" s="154"/>
      <c r="F746" s="154" t="str">
        <f t="array" ref="F746">XLOOKUP(Cover!$D$12,$R$1:$Z$1,$R746:$Z746)</f>
        <v>Recommended</v>
      </c>
      <c r="G746" s="154" t="s">
        <v>8723</v>
      </c>
      <c r="H746" s="154" t="s">
        <v>8513</v>
      </c>
      <c r="I746" s="154" t="s">
        <v>8721</v>
      </c>
      <c r="J746" s="154" t="s">
        <v>6984</v>
      </c>
      <c r="K746" s="154" t="s">
        <v>8508</v>
      </c>
      <c r="L746" s="154" t="s">
        <v>6525</v>
      </c>
      <c r="M746" s="154"/>
      <c r="N746" s="154" t="s">
        <v>759</v>
      </c>
      <c r="O746" s="247" t="s">
        <v>445</v>
      </c>
      <c r="P746" s="247" t="s">
        <v>89</v>
      </c>
      <c r="Q746" s="154" t="str">
        <f t="shared" si="1"/>
        <v>#ERROR!</v>
      </c>
      <c r="R746" s="154" t="s">
        <v>66</v>
      </c>
      <c r="S746" s="154" t="s">
        <v>66</v>
      </c>
      <c r="T746" s="154" t="s">
        <v>64</v>
      </c>
      <c r="U746" s="154" t="s">
        <v>64</v>
      </c>
      <c r="V746" s="154" t="s">
        <v>64</v>
      </c>
      <c r="W746" s="154" t="s">
        <v>64</v>
      </c>
      <c r="X746" s="154" t="s">
        <v>66</v>
      </c>
      <c r="Y746" s="154" t="s">
        <v>64</v>
      </c>
      <c r="Z746" s="154" t="s">
        <v>64</v>
      </c>
      <c r="AA746" s="154"/>
      <c r="AB746" s="242" t="str">
        <f t="shared" si="2"/>
        <v>#ERROR!</v>
      </c>
      <c r="AC746" s="154" t="s">
        <v>391</v>
      </c>
      <c r="AD746" s="242" t="b">
        <f t="shared" si="3"/>
        <v>0</v>
      </c>
      <c r="AE746" s="154"/>
      <c r="AF746" s="242" t="str">
        <f t="shared" si="4"/>
        <v>#ERROR!</v>
      </c>
      <c r="AG746" s="154" t="s">
        <v>652</v>
      </c>
      <c r="AH746" s="242" t="str">
        <f>IF(AG746="","N/A",INDIRECT("MTR!"&amp;ADDRESS(MATCH(LEFT(AG746,9),[1]MTR!C:C,0),COLUMN(J746)),TRUE) &amp; "")</f>
        <v>#ERROR!</v>
      </c>
      <c r="AI746" s="157" t="str">
        <f t="shared" si="5"/>
        <v>#ERROR!</v>
      </c>
    </row>
    <row r="747" ht="12.75" customHeight="1">
      <c r="A747" s="244" t="s">
        <v>5158</v>
      </c>
      <c r="B747" s="244" t="s">
        <v>231</v>
      </c>
      <c r="C747" s="244" t="s">
        <v>8724</v>
      </c>
      <c r="D747" s="154" t="s">
        <v>747</v>
      </c>
      <c r="E747" s="154"/>
      <c r="F747" s="154" t="str">
        <f t="array" ref="F747">XLOOKUP(Cover!$D$12,$R$1:$Z$1,$R747:$Z747)</f>
        <v>Recommended</v>
      </c>
      <c r="G747" s="154" t="s">
        <v>8725</v>
      </c>
      <c r="H747" s="154" t="s">
        <v>8573</v>
      </c>
      <c r="I747" s="154" t="s">
        <v>8721</v>
      </c>
      <c r="J747" s="154" t="s">
        <v>6984</v>
      </c>
      <c r="K747" s="154" t="s">
        <v>8508</v>
      </c>
      <c r="L747" s="154" t="s">
        <v>6525</v>
      </c>
      <c r="M747" s="154"/>
      <c r="N747" s="154" t="s">
        <v>759</v>
      </c>
      <c r="O747" s="247" t="s">
        <v>516</v>
      </c>
      <c r="P747" s="247" t="s">
        <v>1575</v>
      </c>
      <c r="Q747" s="154" t="str">
        <f t="shared" si="1"/>
        <v>#ERROR!</v>
      </c>
      <c r="R747" s="154" t="s">
        <v>66</v>
      </c>
      <c r="S747" s="154" t="s">
        <v>66</v>
      </c>
      <c r="T747" s="154" t="s">
        <v>64</v>
      </c>
      <c r="U747" s="154" t="s">
        <v>64</v>
      </c>
      <c r="V747" s="154" t="s">
        <v>64</v>
      </c>
      <c r="W747" s="154" t="s">
        <v>64</v>
      </c>
      <c r="X747" s="154" t="s">
        <v>66</v>
      </c>
      <c r="Y747" s="154" t="s">
        <v>64</v>
      </c>
      <c r="Z747" s="154" t="s">
        <v>64</v>
      </c>
      <c r="AA747" s="154"/>
      <c r="AB747" s="242" t="str">
        <f t="shared" si="2"/>
        <v>#ERROR!</v>
      </c>
      <c r="AC747" s="154" t="s">
        <v>391</v>
      </c>
      <c r="AD747" s="242" t="b">
        <f t="shared" si="3"/>
        <v>0</v>
      </c>
      <c r="AE747" s="154"/>
      <c r="AF747" s="242" t="str">
        <f t="shared" si="4"/>
        <v>#ERROR!</v>
      </c>
      <c r="AG747" s="154" t="s">
        <v>652</v>
      </c>
      <c r="AH747" s="242" t="str">
        <f>IF(AG747="","N/A",INDIRECT("MTR!"&amp;ADDRESS(MATCH(LEFT(AG747,9),[1]MTR!C:C,0),COLUMN(J747)),TRUE) &amp; "")</f>
        <v>#ERROR!</v>
      </c>
      <c r="AI747" s="157" t="str">
        <f t="shared" si="5"/>
        <v>#ERROR!</v>
      </c>
    </row>
    <row r="748" ht="12.75" customHeight="1">
      <c r="A748" s="244" t="s">
        <v>5158</v>
      </c>
      <c r="B748" s="244" t="s">
        <v>231</v>
      </c>
      <c r="C748" s="244" t="s">
        <v>8726</v>
      </c>
      <c r="D748" s="154" t="s">
        <v>503</v>
      </c>
      <c r="E748" s="154"/>
      <c r="F748" s="154" t="str">
        <f t="array" ref="F748">XLOOKUP(Cover!$D$12,$R$1:$Z$1,$R748:$Z748)</f>
        <v>Information</v>
      </c>
      <c r="G748" s="154" t="s">
        <v>8727</v>
      </c>
      <c r="H748" s="154" t="s">
        <v>1489</v>
      </c>
      <c r="I748" s="154" t="s">
        <v>8728</v>
      </c>
      <c r="J748" s="154" t="s">
        <v>6992</v>
      </c>
      <c r="K748" s="154" t="s">
        <v>8508</v>
      </c>
      <c r="L748" s="154" t="s">
        <v>6463</v>
      </c>
      <c r="M748" s="154"/>
      <c r="N748" s="154" t="s">
        <v>759</v>
      </c>
      <c r="O748" s="247" t="s">
        <v>516</v>
      </c>
      <c r="P748" s="247" t="s">
        <v>6776</v>
      </c>
      <c r="Q748" s="154" t="str">
        <f t="shared" si="1"/>
        <v>#ERROR!</v>
      </c>
      <c r="R748" s="154" t="s">
        <v>66</v>
      </c>
      <c r="S748" s="154" t="s">
        <v>66</v>
      </c>
      <c r="T748" s="154" t="s">
        <v>66</v>
      </c>
      <c r="U748" s="154" t="s">
        <v>66</v>
      </c>
      <c r="V748" s="154" t="s">
        <v>66</v>
      </c>
      <c r="W748" s="154" t="s">
        <v>66</v>
      </c>
      <c r="X748" s="154" t="s">
        <v>66</v>
      </c>
      <c r="Y748" s="154" t="s">
        <v>66</v>
      </c>
      <c r="Z748" s="154" t="s">
        <v>66</v>
      </c>
      <c r="AA748" s="154"/>
      <c r="AB748" s="242" t="str">
        <f t="shared" si="2"/>
        <v>#ERROR!</v>
      </c>
      <c r="AC748" s="154" t="s">
        <v>391</v>
      </c>
      <c r="AD748" s="242" t="b">
        <f t="shared" si="3"/>
        <v>0</v>
      </c>
      <c r="AE748" s="154"/>
      <c r="AF748" s="242" t="str">
        <f t="shared" si="4"/>
        <v>#ERROR!</v>
      </c>
      <c r="AG748" s="154" t="s">
        <v>652</v>
      </c>
      <c r="AH748" s="242" t="str">
        <f>IF(AG748="","N/A",INDIRECT("MTR!"&amp;ADDRESS(MATCH(LEFT(AG748,9),[1]MTR!C:C,0),COLUMN(J748)),TRUE) &amp; "")</f>
        <v>#ERROR!</v>
      </c>
      <c r="AI748" s="157" t="str">
        <f t="shared" si="5"/>
        <v>#ERROR!</v>
      </c>
    </row>
    <row r="749" ht="12.75" customHeight="1">
      <c r="A749" s="244" t="s">
        <v>5158</v>
      </c>
      <c r="B749" s="244" t="s">
        <v>231</v>
      </c>
      <c r="C749" s="244" t="s">
        <v>8729</v>
      </c>
      <c r="D749" s="154" t="s">
        <v>503</v>
      </c>
      <c r="E749" s="154"/>
      <c r="F749" s="154" t="str">
        <f t="array" ref="F749">XLOOKUP(Cover!$D$12,$R$1:$Z$1,$R749:$Z749)</f>
        <v>Information</v>
      </c>
      <c r="G749" s="154" t="s">
        <v>8730</v>
      </c>
      <c r="H749" s="154" t="s">
        <v>8513</v>
      </c>
      <c r="I749" s="154" t="s">
        <v>8728</v>
      </c>
      <c r="J749" s="154" t="s">
        <v>6992</v>
      </c>
      <c r="K749" s="154" t="s">
        <v>8508</v>
      </c>
      <c r="L749" s="154" t="s">
        <v>6463</v>
      </c>
      <c r="M749" s="154"/>
      <c r="N749" s="154" t="s">
        <v>759</v>
      </c>
      <c r="O749" s="247" t="s">
        <v>516</v>
      </c>
      <c r="P749" s="247" t="s">
        <v>6776</v>
      </c>
      <c r="Q749" s="154" t="str">
        <f t="shared" si="1"/>
        <v>#ERROR!</v>
      </c>
      <c r="R749" s="154" t="s">
        <v>66</v>
      </c>
      <c r="S749" s="154" t="s">
        <v>66</v>
      </c>
      <c r="T749" s="154" t="s">
        <v>66</v>
      </c>
      <c r="U749" s="154" t="s">
        <v>66</v>
      </c>
      <c r="V749" s="154" t="s">
        <v>66</v>
      </c>
      <c r="W749" s="154" t="s">
        <v>66</v>
      </c>
      <c r="X749" s="154" t="s">
        <v>66</v>
      </c>
      <c r="Y749" s="154" t="s">
        <v>66</v>
      </c>
      <c r="Z749" s="154" t="s">
        <v>66</v>
      </c>
      <c r="AA749" s="154"/>
      <c r="AB749" s="242" t="str">
        <f t="shared" si="2"/>
        <v>#ERROR!</v>
      </c>
      <c r="AC749" s="154" t="s">
        <v>391</v>
      </c>
      <c r="AD749" s="242" t="b">
        <f t="shared" si="3"/>
        <v>0</v>
      </c>
      <c r="AE749" s="154"/>
      <c r="AF749" s="242" t="str">
        <f t="shared" si="4"/>
        <v>#ERROR!</v>
      </c>
      <c r="AG749" s="154" t="s">
        <v>652</v>
      </c>
      <c r="AH749" s="242" t="str">
        <f>IF(AG749="","N/A",INDIRECT("MTR!"&amp;ADDRESS(MATCH(LEFT(AG749,9),[1]MTR!C:C,0),COLUMN(J749)),TRUE) &amp; "")</f>
        <v>#ERROR!</v>
      </c>
      <c r="AI749" s="157" t="str">
        <f t="shared" si="5"/>
        <v>#ERROR!</v>
      </c>
    </row>
    <row r="750" ht="12.75" customHeight="1">
      <c r="A750" s="244" t="s">
        <v>5158</v>
      </c>
      <c r="B750" s="244" t="s">
        <v>231</v>
      </c>
      <c r="C750" s="244" t="s">
        <v>8731</v>
      </c>
      <c r="D750" s="154" t="s">
        <v>861</v>
      </c>
      <c r="E750" s="154"/>
      <c r="F750" s="154" t="str">
        <f t="array" ref="F750">XLOOKUP(Cover!$D$12,$R$1:$Z$1,$R750:$Z750)</f>
        <v>Recommended</v>
      </c>
      <c r="G750" s="154" t="s">
        <v>8732</v>
      </c>
      <c r="H750" s="154" t="s">
        <v>1489</v>
      </c>
      <c r="I750" s="154" t="s">
        <v>8733</v>
      </c>
      <c r="J750" s="154" t="s">
        <v>6998</v>
      </c>
      <c r="K750" s="154" t="s">
        <v>8508</v>
      </c>
      <c r="L750" s="154" t="s">
        <v>6428</v>
      </c>
      <c r="M750" s="154"/>
      <c r="N750" s="154" t="s">
        <v>759</v>
      </c>
      <c r="O750" s="247" t="s">
        <v>516</v>
      </c>
      <c r="P750" s="247" t="s">
        <v>6776</v>
      </c>
      <c r="Q750" s="154" t="str">
        <f t="shared" si="1"/>
        <v>#ERROR!</v>
      </c>
      <c r="R750" s="154" t="s">
        <v>66</v>
      </c>
      <c r="S750" s="154" t="s">
        <v>66</v>
      </c>
      <c r="T750" s="154" t="s">
        <v>64</v>
      </c>
      <c r="U750" s="154" t="s">
        <v>64</v>
      </c>
      <c r="V750" s="154" t="s">
        <v>64</v>
      </c>
      <c r="W750" s="154" t="s">
        <v>64</v>
      </c>
      <c r="X750" s="154" t="s">
        <v>66</v>
      </c>
      <c r="Y750" s="154" t="s">
        <v>64</v>
      </c>
      <c r="Z750" s="154" t="s">
        <v>64</v>
      </c>
      <c r="AA750" s="154"/>
      <c r="AB750" s="242" t="str">
        <f t="shared" si="2"/>
        <v>#ERROR!</v>
      </c>
      <c r="AC750" s="154" t="s">
        <v>391</v>
      </c>
      <c r="AD750" s="242" t="b">
        <f t="shared" si="3"/>
        <v>0</v>
      </c>
      <c r="AE750" s="154"/>
      <c r="AF750" s="242" t="str">
        <f t="shared" si="4"/>
        <v>#ERROR!</v>
      </c>
      <c r="AG750" s="154" t="s">
        <v>652</v>
      </c>
      <c r="AH750" s="242" t="str">
        <f>IF(AG750="","N/A",INDIRECT("MTR!"&amp;ADDRESS(MATCH(LEFT(AG750,9),[1]MTR!C:C,0),COLUMN(J750)),TRUE) &amp; "")</f>
        <v>#ERROR!</v>
      </c>
      <c r="AI750" s="157" t="str">
        <f t="shared" si="5"/>
        <v>#ERROR!</v>
      </c>
    </row>
    <row r="751" ht="12.75" customHeight="1">
      <c r="A751" s="244" t="s">
        <v>5158</v>
      </c>
      <c r="B751" s="244" t="s">
        <v>231</v>
      </c>
      <c r="C751" s="244" t="s">
        <v>8734</v>
      </c>
      <c r="D751" s="154" t="s">
        <v>861</v>
      </c>
      <c r="E751" s="154"/>
      <c r="F751" s="154" t="str">
        <f t="array" ref="F751">XLOOKUP(Cover!$D$12,$R$1:$Z$1,$R751:$Z751)</f>
        <v>Recommended</v>
      </c>
      <c r="G751" s="154" t="s">
        <v>8735</v>
      </c>
      <c r="H751" s="154" t="s">
        <v>8513</v>
      </c>
      <c r="I751" s="154" t="s">
        <v>8733</v>
      </c>
      <c r="J751" s="154" t="s">
        <v>6998</v>
      </c>
      <c r="K751" s="154" t="s">
        <v>8508</v>
      </c>
      <c r="L751" s="154" t="s">
        <v>6428</v>
      </c>
      <c r="M751" s="154"/>
      <c r="N751" s="154" t="s">
        <v>759</v>
      </c>
      <c r="O751" s="247" t="s">
        <v>516</v>
      </c>
      <c r="P751" s="247" t="s">
        <v>6776</v>
      </c>
      <c r="Q751" s="154" t="str">
        <f t="shared" si="1"/>
        <v>#ERROR!</v>
      </c>
      <c r="R751" s="154" t="s">
        <v>66</v>
      </c>
      <c r="S751" s="154" t="s">
        <v>66</v>
      </c>
      <c r="T751" s="154" t="s">
        <v>64</v>
      </c>
      <c r="U751" s="154" t="s">
        <v>64</v>
      </c>
      <c r="V751" s="154" t="s">
        <v>64</v>
      </c>
      <c r="W751" s="154" t="s">
        <v>64</v>
      </c>
      <c r="X751" s="154" t="s">
        <v>66</v>
      </c>
      <c r="Y751" s="154" t="s">
        <v>64</v>
      </c>
      <c r="Z751" s="154" t="s">
        <v>64</v>
      </c>
      <c r="AA751" s="154"/>
      <c r="AB751" s="242" t="str">
        <f t="shared" si="2"/>
        <v>#ERROR!</v>
      </c>
      <c r="AC751" s="154" t="s">
        <v>391</v>
      </c>
      <c r="AD751" s="242" t="b">
        <f t="shared" si="3"/>
        <v>0</v>
      </c>
      <c r="AE751" s="154"/>
      <c r="AF751" s="242" t="str">
        <f t="shared" si="4"/>
        <v>#ERROR!</v>
      </c>
      <c r="AG751" s="154" t="s">
        <v>652</v>
      </c>
      <c r="AH751" s="242" t="str">
        <f>IF(AG751="","N/A",INDIRECT("MTR!"&amp;ADDRESS(MATCH(LEFT(AG751,9),[1]MTR!C:C,0),COLUMN(J751)),TRUE) &amp; "")</f>
        <v>#ERROR!</v>
      </c>
      <c r="AI751" s="157" t="str">
        <f t="shared" si="5"/>
        <v>#ERROR!</v>
      </c>
    </row>
    <row r="752" ht="12.75" customHeight="1">
      <c r="A752" s="244" t="s">
        <v>5158</v>
      </c>
      <c r="B752" s="244" t="s">
        <v>231</v>
      </c>
      <c r="C752" s="244" t="s">
        <v>8736</v>
      </c>
      <c r="D752" s="154" t="s">
        <v>861</v>
      </c>
      <c r="E752" s="154"/>
      <c r="F752" s="154" t="str">
        <f t="array" ref="F752">XLOOKUP(Cover!$D$12,$R$1:$Z$1,$R752:$Z752)</f>
        <v>Recommended</v>
      </c>
      <c r="G752" s="154" t="s">
        <v>8737</v>
      </c>
      <c r="H752" s="154" t="s">
        <v>8516</v>
      </c>
      <c r="I752" s="154" t="s">
        <v>8733</v>
      </c>
      <c r="J752" s="154" t="s">
        <v>6998</v>
      </c>
      <c r="K752" s="154" t="s">
        <v>8508</v>
      </c>
      <c r="L752" s="154" t="s">
        <v>6428</v>
      </c>
      <c r="M752" s="154"/>
      <c r="N752" s="154" t="s">
        <v>759</v>
      </c>
      <c r="O752" s="247" t="s">
        <v>516</v>
      </c>
      <c r="P752" s="247" t="s">
        <v>6776</v>
      </c>
      <c r="Q752" s="154" t="str">
        <f t="shared" si="1"/>
        <v>#ERROR!</v>
      </c>
      <c r="R752" s="154" t="s">
        <v>66</v>
      </c>
      <c r="S752" s="154" t="s">
        <v>66</v>
      </c>
      <c r="T752" s="154" t="s">
        <v>64</v>
      </c>
      <c r="U752" s="154" t="s">
        <v>64</v>
      </c>
      <c r="V752" s="154" t="s">
        <v>64</v>
      </c>
      <c r="W752" s="154" t="s">
        <v>64</v>
      </c>
      <c r="X752" s="154" t="s">
        <v>66</v>
      </c>
      <c r="Y752" s="154" t="s">
        <v>64</v>
      </c>
      <c r="Z752" s="154" t="s">
        <v>64</v>
      </c>
      <c r="AA752" s="154"/>
      <c r="AB752" s="242" t="str">
        <f t="shared" si="2"/>
        <v>#ERROR!</v>
      </c>
      <c r="AC752" s="154" t="s">
        <v>391</v>
      </c>
      <c r="AD752" s="242" t="b">
        <f t="shared" si="3"/>
        <v>0</v>
      </c>
      <c r="AE752" s="154"/>
      <c r="AF752" s="242" t="str">
        <f t="shared" si="4"/>
        <v>#ERROR!</v>
      </c>
      <c r="AG752" s="154" t="s">
        <v>652</v>
      </c>
      <c r="AH752" s="242" t="str">
        <f>IF(AG752="","N/A",INDIRECT("MTR!"&amp;ADDRESS(MATCH(LEFT(AG752,9),[1]MTR!C:C,0),COLUMN(J752)),TRUE) &amp; "")</f>
        <v>#ERROR!</v>
      </c>
      <c r="AI752" s="157" t="str">
        <f t="shared" si="5"/>
        <v>#ERROR!</v>
      </c>
    </row>
    <row r="753" ht="12.75" customHeight="1">
      <c r="A753" s="244" t="s">
        <v>5158</v>
      </c>
      <c r="B753" s="244" t="s">
        <v>231</v>
      </c>
      <c r="C753" s="244" t="s">
        <v>8738</v>
      </c>
      <c r="D753" s="154" t="s">
        <v>542</v>
      </c>
      <c r="E753" s="154"/>
      <c r="F753" s="154" t="str">
        <f t="array" ref="F753">XLOOKUP(Cover!$D$12,$R$1:$Z$1,$R753:$Z753)</f>
        <v>Mandatory</v>
      </c>
      <c r="G753" s="154" t="s">
        <v>8739</v>
      </c>
      <c r="H753" s="154" t="s">
        <v>1489</v>
      </c>
      <c r="I753" s="154" t="s">
        <v>8740</v>
      </c>
      <c r="J753" s="154" t="s">
        <v>7006</v>
      </c>
      <c r="K753" s="154" t="s">
        <v>8508</v>
      </c>
      <c r="L753" s="154" t="s">
        <v>6064</v>
      </c>
      <c r="M753" s="154" t="s">
        <v>1018</v>
      </c>
      <c r="N753" s="154" t="s">
        <v>759</v>
      </c>
      <c r="O753" s="247" t="s">
        <v>516</v>
      </c>
      <c r="P753" s="247" t="s">
        <v>6776</v>
      </c>
      <c r="Q753" s="154" t="str">
        <f t="shared" si="1"/>
        <v>#ERROR!</v>
      </c>
      <c r="R753" s="154" t="s">
        <v>66</v>
      </c>
      <c r="S753" s="154" t="s">
        <v>66</v>
      </c>
      <c r="T753" s="155" t="s">
        <v>64</v>
      </c>
      <c r="U753" s="155" t="s">
        <v>64</v>
      </c>
      <c r="V753" s="154" t="s">
        <v>60</v>
      </c>
      <c r="W753" s="154" t="s">
        <v>60</v>
      </c>
      <c r="X753" s="154" t="s">
        <v>66</v>
      </c>
      <c r="Y753" s="155" t="s">
        <v>64</v>
      </c>
      <c r="Z753" s="154" t="s">
        <v>60</v>
      </c>
      <c r="AA753" s="154"/>
      <c r="AB753" s="242" t="str">
        <f t="shared" si="2"/>
        <v>#ERROR!</v>
      </c>
      <c r="AC753" s="154" t="s">
        <v>391</v>
      </c>
      <c r="AD753" s="242" t="b">
        <f t="shared" si="3"/>
        <v>0</v>
      </c>
      <c r="AE753" s="154"/>
      <c r="AF753" s="242" t="str">
        <f t="shared" si="4"/>
        <v>#ERROR!</v>
      </c>
      <c r="AG753" s="154" t="s">
        <v>652</v>
      </c>
      <c r="AH753" s="242" t="str">
        <f>IF(AG753="","N/A",INDIRECT("MTR!"&amp;ADDRESS(MATCH(LEFT(AG753,9),[1]MTR!C:C,0),COLUMN(J753)),TRUE) &amp; "")</f>
        <v>#ERROR!</v>
      </c>
      <c r="AI753" s="157" t="str">
        <f t="shared" si="5"/>
        <v>#ERROR!</v>
      </c>
    </row>
    <row r="754" ht="12.75" customHeight="1">
      <c r="A754" s="244" t="s">
        <v>5158</v>
      </c>
      <c r="B754" s="244" t="s">
        <v>231</v>
      </c>
      <c r="C754" s="244" t="s">
        <v>8741</v>
      </c>
      <c r="D754" s="154" t="s">
        <v>542</v>
      </c>
      <c r="E754" s="154"/>
      <c r="F754" s="154" t="str">
        <f t="array" ref="F754">XLOOKUP(Cover!$D$12,$R$1:$Z$1,$R754:$Z754)</f>
        <v>Mandatory</v>
      </c>
      <c r="G754" s="154" t="s">
        <v>8742</v>
      </c>
      <c r="H754" s="154" t="s">
        <v>8513</v>
      </c>
      <c r="I754" s="154" t="s">
        <v>8740</v>
      </c>
      <c r="J754" s="154" t="s">
        <v>7006</v>
      </c>
      <c r="K754" s="154" t="s">
        <v>8508</v>
      </c>
      <c r="L754" s="154" t="s">
        <v>6064</v>
      </c>
      <c r="M754" s="154" t="s">
        <v>1018</v>
      </c>
      <c r="N754" s="154" t="s">
        <v>759</v>
      </c>
      <c r="O754" s="247" t="s">
        <v>516</v>
      </c>
      <c r="P754" s="247" t="s">
        <v>6776</v>
      </c>
      <c r="Q754" s="154" t="str">
        <f t="shared" si="1"/>
        <v>#ERROR!</v>
      </c>
      <c r="R754" s="154" t="s">
        <v>66</v>
      </c>
      <c r="S754" s="154" t="s">
        <v>66</v>
      </c>
      <c r="T754" s="155" t="s">
        <v>64</v>
      </c>
      <c r="U754" s="155" t="s">
        <v>64</v>
      </c>
      <c r="V754" s="154" t="s">
        <v>60</v>
      </c>
      <c r="W754" s="154" t="s">
        <v>60</v>
      </c>
      <c r="X754" s="154" t="s">
        <v>66</v>
      </c>
      <c r="Y754" s="155" t="s">
        <v>64</v>
      </c>
      <c r="Z754" s="154" t="s">
        <v>60</v>
      </c>
      <c r="AA754" s="154"/>
      <c r="AB754" s="242" t="str">
        <f t="shared" si="2"/>
        <v>#ERROR!</v>
      </c>
      <c r="AC754" s="154" t="s">
        <v>391</v>
      </c>
      <c r="AD754" s="242" t="b">
        <f t="shared" si="3"/>
        <v>0</v>
      </c>
      <c r="AE754" s="154"/>
      <c r="AF754" s="242" t="str">
        <f t="shared" si="4"/>
        <v>#ERROR!</v>
      </c>
      <c r="AG754" s="154" t="s">
        <v>652</v>
      </c>
      <c r="AH754" s="242" t="str">
        <f>IF(AG754="","N/A",INDIRECT("MTR!"&amp;ADDRESS(MATCH(LEFT(AG754,9),[1]MTR!C:C,0),COLUMN(J754)),TRUE) &amp; "")</f>
        <v>#ERROR!</v>
      </c>
      <c r="AI754" s="157" t="str">
        <f t="shared" si="5"/>
        <v>#ERROR!</v>
      </c>
    </row>
    <row r="755" ht="12.75" customHeight="1">
      <c r="A755" s="244" t="s">
        <v>5158</v>
      </c>
      <c r="B755" s="244" t="s">
        <v>231</v>
      </c>
      <c r="C755" s="244" t="s">
        <v>8743</v>
      </c>
      <c r="D755" s="154" t="s">
        <v>542</v>
      </c>
      <c r="E755" s="154"/>
      <c r="F755" s="154" t="str">
        <f t="array" ref="F755">XLOOKUP(Cover!$D$12,$R$1:$Z$1,$R755:$Z755)</f>
        <v>Mandatory</v>
      </c>
      <c r="G755" s="154" t="s">
        <v>8744</v>
      </c>
      <c r="H755" s="154" t="s">
        <v>8519</v>
      </c>
      <c r="I755" s="154" t="s">
        <v>8740</v>
      </c>
      <c r="J755" s="154" t="s">
        <v>7006</v>
      </c>
      <c r="K755" s="154" t="s">
        <v>8508</v>
      </c>
      <c r="L755" s="154" t="s">
        <v>6064</v>
      </c>
      <c r="M755" s="154" t="s">
        <v>1018</v>
      </c>
      <c r="N755" s="154" t="s">
        <v>759</v>
      </c>
      <c r="O755" s="247" t="s">
        <v>516</v>
      </c>
      <c r="P755" s="247" t="s">
        <v>6776</v>
      </c>
      <c r="Q755" s="154" t="str">
        <f t="shared" si="1"/>
        <v>#ERROR!</v>
      </c>
      <c r="R755" s="154" t="s">
        <v>66</v>
      </c>
      <c r="S755" s="154" t="s">
        <v>66</v>
      </c>
      <c r="T755" s="155" t="s">
        <v>64</v>
      </c>
      <c r="U755" s="155" t="s">
        <v>64</v>
      </c>
      <c r="V755" s="154" t="s">
        <v>60</v>
      </c>
      <c r="W755" s="154" t="s">
        <v>60</v>
      </c>
      <c r="X755" s="154" t="s">
        <v>66</v>
      </c>
      <c r="Y755" s="155" t="s">
        <v>64</v>
      </c>
      <c r="Z755" s="154" t="s">
        <v>60</v>
      </c>
      <c r="AA755" s="154"/>
      <c r="AB755" s="242" t="str">
        <f t="shared" si="2"/>
        <v>#ERROR!</v>
      </c>
      <c r="AC755" s="154" t="s">
        <v>391</v>
      </c>
      <c r="AD755" s="242" t="b">
        <f t="shared" si="3"/>
        <v>0</v>
      </c>
      <c r="AE755" s="154"/>
      <c r="AF755" s="242" t="str">
        <f t="shared" si="4"/>
        <v>#ERROR!</v>
      </c>
      <c r="AG755" s="154" t="s">
        <v>652</v>
      </c>
      <c r="AH755" s="242" t="str">
        <f>IF(AG755="","N/A",INDIRECT("MTR!"&amp;ADDRESS(MATCH(LEFT(AG755,9),[1]MTR!C:C,0),COLUMN(J755)),TRUE) &amp; "")</f>
        <v>#ERROR!</v>
      </c>
      <c r="AI755" s="157" t="str">
        <f t="shared" si="5"/>
        <v>#ERROR!</v>
      </c>
    </row>
    <row r="756" ht="12.75" customHeight="1">
      <c r="A756" s="244" t="s">
        <v>5158</v>
      </c>
      <c r="B756" s="244" t="s">
        <v>231</v>
      </c>
      <c r="C756" s="244" t="s">
        <v>8745</v>
      </c>
      <c r="D756" s="154" t="s">
        <v>1773</v>
      </c>
      <c r="E756" s="154"/>
      <c r="F756" s="154" t="str">
        <f t="array" ref="F756">XLOOKUP(Cover!$D$12,$R$1:$Z$1,$R756:$Z756)</f>
        <v>Mandatory</v>
      </c>
      <c r="G756" s="154" t="s">
        <v>8746</v>
      </c>
      <c r="H756" s="154" t="s">
        <v>1489</v>
      </c>
      <c r="I756" s="154" t="s">
        <v>8747</v>
      </c>
      <c r="J756" s="154" t="s">
        <v>7022</v>
      </c>
      <c r="K756" s="154" t="s">
        <v>8508</v>
      </c>
      <c r="L756" s="154" t="s">
        <v>6126</v>
      </c>
      <c r="M756" s="154" t="s">
        <v>1018</v>
      </c>
      <c r="N756" s="154" t="s">
        <v>759</v>
      </c>
      <c r="O756" s="247" t="s">
        <v>516</v>
      </c>
      <c r="P756" s="247" t="s">
        <v>6776</v>
      </c>
      <c r="Q756" s="154" t="str">
        <f t="shared" si="1"/>
        <v>#ERROR!</v>
      </c>
      <c r="R756" s="154" t="s">
        <v>66</v>
      </c>
      <c r="S756" s="154" t="s">
        <v>66</v>
      </c>
      <c r="T756" s="155" t="s">
        <v>64</v>
      </c>
      <c r="U756" s="155" t="s">
        <v>64</v>
      </c>
      <c r="V756" s="154" t="s">
        <v>60</v>
      </c>
      <c r="W756" s="154" t="s">
        <v>60</v>
      </c>
      <c r="X756" s="154" t="s">
        <v>66</v>
      </c>
      <c r="Y756" s="155" t="s">
        <v>64</v>
      </c>
      <c r="Z756" s="154" t="s">
        <v>60</v>
      </c>
      <c r="AA756" s="154"/>
      <c r="AB756" s="242" t="str">
        <f t="shared" si="2"/>
        <v>#ERROR!</v>
      </c>
      <c r="AC756" s="154" t="s">
        <v>391</v>
      </c>
      <c r="AD756" s="242" t="b">
        <f t="shared" si="3"/>
        <v>0</v>
      </c>
      <c r="AE756" s="154"/>
      <c r="AF756" s="242" t="str">
        <f t="shared" si="4"/>
        <v>#ERROR!</v>
      </c>
      <c r="AG756" s="154" t="s">
        <v>652</v>
      </c>
      <c r="AH756" s="242" t="str">
        <f>IF(AG756="","N/A",INDIRECT("MTR!"&amp;ADDRESS(MATCH(LEFT(AG756,9),[1]MTR!C:C,0),COLUMN(J756)),TRUE) &amp; "")</f>
        <v>#ERROR!</v>
      </c>
      <c r="AI756" s="157" t="str">
        <f t="shared" si="5"/>
        <v>#ERROR!</v>
      </c>
    </row>
    <row r="757" ht="12.75" customHeight="1">
      <c r="A757" s="244" t="s">
        <v>5158</v>
      </c>
      <c r="B757" s="244" t="s">
        <v>231</v>
      </c>
      <c r="C757" s="244" t="s">
        <v>8748</v>
      </c>
      <c r="D757" s="154" t="s">
        <v>1773</v>
      </c>
      <c r="E757" s="154"/>
      <c r="F757" s="154" t="str">
        <f t="array" ref="F757">XLOOKUP(Cover!$D$12,$R$1:$Z$1,$R757:$Z757)</f>
        <v>Mandatory</v>
      </c>
      <c r="G757" s="154" t="s">
        <v>8749</v>
      </c>
      <c r="H757" s="154" t="s">
        <v>8513</v>
      </c>
      <c r="I757" s="154" t="s">
        <v>8747</v>
      </c>
      <c r="J757" s="154" t="s">
        <v>7022</v>
      </c>
      <c r="K757" s="154" t="s">
        <v>8508</v>
      </c>
      <c r="L757" s="154" t="s">
        <v>6126</v>
      </c>
      <c r="M757" s="154" t="s">
        <v>1018</v>
      </c>
      <c r="N757" s="154" t="s">
        <v>759</v>
      </c>
      <c r="O757" s="247" t="s">
        <v>516</v>
      </c>
      <c r="P757" s="247" t="s">
        <v>6776</v>
      </c>
      <c r="Q757" s="154" t="str">
        <f t="shared" si="1"/>
        <v>#ERROR!</v>
      </c>
      <c r="R757" s="154" t="s">
        <v>66</v>
      </c>
      <c r="S757" s="154" t="s">
        <v>66</v>
      </c>
      <c r="T757" s="155" t="s">
        <v>64</v>
      </c>
      <c r="U757" s="155" t="s">
        <v>64</v>
      </c>
      <c r="V757" s="154" t="s">
        <v>60</v>
      </c>
      <c r="W757" s="154" t="s">
        <v>60</v>
      </c>
      <c r="X757" s="154" t="s">
        <v>66</v>
      </c>
      <c r="Y757" s="155" t="s">
        <v>64</v>
      </c>
      <c r="Z757" s="154" t="s">
        <v>60</v>
      </c>
      <c r="AA757" s="154"/>
      <c r="AB757" s="242" t="str">
        <f t="shared" si="2"/>
        <v>#ERROR!</v>
      </c>
      <c r="AC757" s="154" t="s">
        <v>391</v>
      </c>
      <c r="AD757" s="242" t="b">
        <f t="shared" si="3"/>
        <v>0</v>
      </c>
      <c r="AE757" s="154"/>
      <c r="AF757" s="242" t="str">
        <f t="shared" si="4"/>
        <v>#ERROR!</v>
      </c>
      <c r="AG757" s="154" t="s">
        <v>652</v>
      </c>
      <c r="AH757" s="242" t="str">
        <f>IF(AG757="","N/A",INDIRECT("MTR!"&amp;ADDRESS(MATCH(LEFT(AG757,9),[1]MTR!C:C,0),COLUMN(J757)),TRUE) &amp; "")</f>
        <v>#ERROR!</v>
      </c>
      <c r="AI757" s="157" t="str">
        <f t="shared" si="5"/>
        <v>#ERROR!</v>
      </c>
    </row>
    <row r="758" ht="12.75" customHeight="1">
      <c r="A758" s="244" t="s">
        <v>5158</v>
      </c>
      <c r="B758" s="244" t="s">
        <v>231</v>
      </c>
      <c r="C758" s="244" t="s">
        <v>8750</v>
      </c>
      <c r="D758" s="154" t="s">
        <v>503</v>
      </c>
      <c r="E758" s="154"/>
      <c r="F758" s="154" t="str">
        <f t="array" ref="F758">XLOOKUP(Cover!$D$12,$R$1:$Z$1,$R758:$Z758)</f>
        <v>Recommended</v>
      </c>
      <c r="G758" s="154" t="s">
        <v>8751</v>
      </c>
      <c r="H758" s="154" t="s">
        <v>1489</v>
      </c>
      <c r="I758" s="154" t="s">
        <v>8752</v>
      </c>
      <c r="J758" s="154" t="s">
        <v>7028</v>
      </c>
      <c r="K758" s="154" t="s">
        <v>8508</v>
      </c>
      <c r="L758" s="154" t="s">
        <v>7431</v>
      </c>
      <c r="M758" s="154"/>
      <c r="N758" s="154" t="s">
        <v>759</v>
      </c>
      <c r="O758" s="247" t="s">
        <v>516</v>
      </c>
      <c r="P758" s="247" t="s">
        <v>6776</v>
      </c>
      <c r="Q758" s="154" t="str">
        <f t="shared" si="1"/>
        <v>#ERROR!</v>
      </c>
      <c r="R758" s="154" t="s">
        <v>66</v>
      </c>
      <c r="S758" s="154" t="s">
        <v>66</v>
      </c>
      <c r="T758" s="154" t="s">
        <v>64</v>
      </c>
      <c r="U758" s="154" t="s">
        <v>64</v>
      </c>
      <c r="V758" s="154" t="s">
        <v>64</v>
      </c>
      <c r="W758" s="154" t="s">
        <v>64</v>
      </c>
      <c r="X758" s="154" t="s">
        <v>66</v>
      </c>
      <c r="Y758" s="154" t="s">
        <v>64</v>
      </c>
      <c r="Z758" s="154" t="s">
        <v>64</v>
      </c>
      <c r="AA758" s="154"/>
      <c r="AB758" s="242" t="str">
        <f t="shared" si="2"/>
        <v>#ERROR!</v>
      </c>
      <c r="AC758" s="154" t="s">
        <v>391</v>
      </c>
      <c r="AD758" s="242" t="b">
        <f t="shared" si="3"/>
        <v>0</v>
      </c>
      <c r="AE758" s="154"/>
      <c r="AF758" s="242" t="str">
        <f t="shared" si="4"/>
        <v>#ERROR!</v>
      </c>
      <c r="AG758" s="154" t="s">
        <v>652</v>
      </c>
      <c r="AH758" s="242" t="str">
        <f>IF(AG758="","N/A",INDIRECT("MTR!"&amp;ADDRESS(MATCH(LEFT(AG758,9),[1]MTR!C:C,0),COLUMN(J758)),TRUE) &amp; "")</f>
        <v>#ERROR!</v>
      </c>
      <c r="AI758" s="157" t="str">
        <f t="shared" si="5"/>
        <v>#ERROR!</v>
      </c>
    </row>
    <row r="759" ht="12.75" customHeight="1">
      <c r="A759" s="244" t="s">
        <v>5158</v>
      </c>
      <c r="B759" s="244" t="s">
        <v>231</v>
      </c>
      <c r="C759" s="244" t="s">
        <v>8753</v>
      </c>
      <c r="D759" s="154" t="s">
        <v>503</v>
      </c>
      <c r="E759" s="154"/>
      <c r="F759" s="154" t="str">
        <f t="array" ref="F759">XLOOKUP(Cover!$D$12,$R$1:$Z$1,$R759:$Z759)</f>
        <v>Information</v>
      </c>
      <c r="G759" s="154" t="s">
        <v>8754</v>
      </c>
      <c r="H759" s="154" t="s">
        <v>8516</v>
      </c>
      <c r="I759" s="154" t="s">
        <v>8752</v>
      </c>
      <c r="J759" s="154" t="s">
        <v>7028</v>
      </c>
      <c r="K759" s="154" t="s">
        <v>8508</v>
      </c>
      <c r="L759" s="154" t="s">
        <v>7431</v>
      </c>
      <c r="M759" s="154"/>
      <c r="N759" s="154" t="s">
        <v>759</v>
      </c>
      <c r="O759" s="247" t="s">
        <v>516</v>
      </c>
      <c r="P759" s="247" t="s">
        <v>6776</v>
      </c>
      <c r="Q759" s="154" t="str">
        <f t="shared" si="1"/>
        <v>#ERROR!</v>
      </c>
      <c r="R759" s="154" t="s">
        <v>66</v>
      </c>
      <c r="S759" s="154" t="s">
        <v>66</v>
      </c>
      <c r="T759" s="154" t="s">
        <v>66</v>
      </c>
      <c r="U759" s="154" t="s">
        <v>66</v>
      </c>
      <c r="V759" s="154" t="s">
        <v>66</v>
      </c>
      <c r="W759" s="154" t="s">
        <v>66</v>
      </c>
      <c r="X759" s="154" t="s">
        <v>66</v>
      </c>
      <c r="Y759" s="154" t="s">
        <v>66</v>
      </c>
      <c r="Z759" s="154" t="s">
        <v>66</v>
      </c>
      <c r="AA759" s="154"/>
      <c r="AB759" s="242" t="str">
        <f t="shared" si="2"/>
        <v>#ERROR!</v>
      </c>
      <c r="AC759" s="154" t="s">
        <v>391</v>
      </c>
      <c r="AD759" s="242" t="b">
        <f t="shared" si="3"/>
        <v>0</v>
      </c>
      <c r="AE759" s="154"/>
      <c r="AF759" s="242" t="str">
        <f t="shared" si="4"/>
        <v>#ERROR!</v>
      </c>
      <c r="AG759" s="154" t="s">
        <v>652</v>
      </c>
      <c r="AH759" s="242" t="str">
        <f>IF(AG759="","N/A",INDIRECT("MTR!"&amp;ADDRESS(MATCH(LEFT(AG759,9),[1]MTR!C:C,0),COLUMN(J759)),TRUE) &amp; "")</f>
        <v>#ERROR!</v>
      </c>
      <c r="AI759" s="157" t="str">
        <f t="shared" si="5"/>
        <v>#ERROR!</v>
      </c>
    </row>
    <row r="760" ht="12.75" customHeight="1">
      <c r="A760" s="244" t="s">
        <v>5158</v>
      </c>
      <c r="B760" s="244" t="s">
        <v>231</v>
      </c>
      <c r="C760" s="244" t="s">
        <v>8755</v>
      </c>
      <c r="D760" s="154" t="s">
        <v>503</v>
      </c>
      <c r="E760" s="154"/>
      <c r="F760" s="154" t="str">
        <f t="array" ref="F760">XLOOKUP(Cover!$D$12,$R$1:$Z$1,$R760:$Z760)</f>
        <v>Recommended</v>
      </c>
      <c r="G760" s="154" t="s">
        <v>8756</v>
      </c>
      <c r="H760" s="154" t="s">
        <v>8519</v>
      </c>
      <c r="I760" s="154" t="s">
        <v>8752</v>
      </c>
      <c r="J760" s="154" t="s">
        <v>7028</v>
      </c>
      <c r="K760" s="154" t="s">
        <v>8508</v>
      </c>
      <c r="L760" s="154" t="s">
        <v>7431</v>
      </c>
      <c r="M760" s="154"/>
      <c r="N760" s="154" t="s">
        <v>759</v>
      </c>
      <c r="O760" s="247" t="s">
        <v>516</v>
      </c>
      <c r="P760" s="247" t="s">
        <v>6776</v>
      </c>
      <c r="Q760" s="154" t="str">
        <f t="shared" si="1"/>
        <v>#ERROR!</v>
      </c>
      <c r="R760" s="154" t="s">
        <v>66</v>
      </c>
      <c r="S760" s="154" t="s">
        <v>66</v>
      </c>
      <c r="T760" s="154" t="s">
        <v>64</v>
      </c>
      <c r="U760" s="154" t="s">
        <v>64</v>
      </c>
      <c r="V760" s="154" t="s">
        <v>64</v>
      </c>
      <c r="W760" s="154" t="s">
        <v>64</v>
      </c>
      <c r="X760" s="154" t="s">
        <v>66</v>
      </c>
      <c r="Y760" s="154" t="s">
        <v>64</v>
      </c>
      <c r="Z760" s="154" t="s">
        <v>64</v>
      </c>
      <c r="AA760" s="154"/>
      <c r="AB760" s="242" t="str">
        <f t="shared" si="2"/>
        <v>#ERROR!</v>
      </c>
      <c r="AC760" s="154" t="s">
        <v>391</v>
      </c>
      <c r="AD760" s="242" t="b">
        <f t="shared" si="3"/>
        <v>0</v>
      </c>
      <c r="AE760" s="154"/>
      <c r="AF760" s="242" t="str">
        <f t="shared" si="4"/>
        <v>#ERROR!</v>
      </c>
      <c r="AG760" s="154" t="s">
        <v>652</v>
      </c>
      <c r="AH760" s="242" t="str">
        <f>IF(AG760="","N/A",INDIRECT("MTR!"&amp;ADDRESS(MATCH(LEFT(AG760,9),[1]MTR!C:C,0),COLUMN(J760)),TRUE) &amp; "")</f>
        <v>#ERROR!</v>
      </c>
      <c r="AI760" s="157" t="str">
        <f t="shared" si="5"/>
        <v>#ERROR!</v>
      </c>
    </row>
    <row r="761" ht="12.75" customHeight="1">
      <c r="A761" s="244" t="s">
        <v>5158</v>
      </c>
      <c r="B761" s="244" t="s">
        <v>231</v>
      </c>
      <c r="C761" s="244" t="s">
        <v>8757</v>
      </c>
      <c r="D761" s="154" t="s">
        <v>1069</v>
      </c>
      <c r="E761" s="154"/>
      <c r="F761" s="154" t="str">
        <f t="array" ref="F761">XLOOKUP(Cover!$D$12,$R$1:$Z$1,$R761:$Z761)</f>
        <v>Recommended</v>
      </c>
      <c r="G761" s="154" t="s">
        <v>8758</v>
      </c>
      <c r="H761" s="154" t="s">
        <v>1489</v>
      </c>
      <c r="I761" s="154" t="s">
        <v>8759</v>
      </c>
      <c r="J761" s="154" t="s">
        <v>7036</v>
      </c>
      <c r="K761" s="154" t="s">
        <v>8508</v>
      </c>
      <c r="L761" s="154" t="s">
        <v>5927</v>
      </c>
      <c r="M761" s="154"/>
      <c r="N761" s="154" t="s">
        <v>759</v>
      </c>
      <c r="O761" s="247" t="s">
        <v>516</v>
      </c>
      <c r="P761" s="247" t="s">
        <v>6776</v>
      </c>
      <c r="Q761" s="154" t="str">
        <f t="shared" si="1"/>
        <v>#ERROR!</v>
      </c>
      <c r="R761" s="154" t="s">
        <v>66</v>
      </c>
      <c r="S761" s="154" t="s">
        <v>66</v>
      </c>
      <c r="T761" s="154" t="s">
        <v>64</v>
      </c>
      <c r="U761" s="154" t="s">
        <v>64</v>
      </c>
      <c r="V761" s="154" t="s">
        <v>64</v>
      </c>
      <c r="W761" s="154" t="s">
        <v>64</v>
      </c>
      <c r="X761" s="154" t="s">
        <v>66</v>
      </c>
      <c r="Y761" s="154" t="s">
        <v>64</v>
      </c>
      <c r="Z761" s="154" t="s">
        <v>64</v>
      </c>
      <c r="AA761" s="154"/>
      <c r="AB761" s="242" t="str">
        <f t="shared" si="2"/>
        <v>#ERROR!</v>
      </c>
      <c r="AC761" s="154" t="s">
        <v>391</v>
      </c>
      <c r="AD761" s="242" t="b">
        <f t="shared" si="3"/>
        <v>0</v>
      </c>
      <c r="AE761" s="154"/>
      <c r="AF761" s="242" t="str">
        <f t="shared" si="4"/>
        <v>#ERROR!</v>
      </c>
      <c r="AG761" s="154" t="s">
        <v>652</v>
      </c>
      <c r="AH761" s="242" t="str">
        <f>IF(AG761="","N/A",INDIRECT("MTR!"&amp;ADDRESS(MATCH(LEFT(AG761,9),[1]MTR!C:C,0),COLUMN(J761)),TRUE) &amp; "")</f>
        <v>#ERROR!</v>
      </c>
      <c r="AI761" s="157" t="str">
        <f t="shared" si="5"/>
        <v>#ERROR!</v>
      </c>
    </row>
    <row r="762" ht="12.75" customHeight="1">
      <c r="A762" s="244" t="s">
        <v>5158</v>
      </c>
      <c r="B762" s="244" t="s">
        <v>231</v>
      </c>
      <c r="C762" s="244" t="s">
        <v>8760</v>
      </c>
      <c r="D762" s="154" t="s">
        <v>1069</v>
      </c>
      <c r="E762" s="154"/>
      <c r="F762" s="154" t="str">
        <f t="array" ref="F762">XLOOKUP(Cover!$D$12,$R$1:$Z$1,$R762:$Z762)</f>
        <v>Recommended</v>
      </c>
      <c r="G762" s="154" t="s">
        <v>8761</v>
      </c>
      <c r="H762" s="154" t="s">
        <v>8516</v>
      </c>
      <c r="I762" s="154" t="s">
        <v>8759</v>
      </c>
      <c r="J762" s="154" t="s">
        <v>7036</v>
      </c>
      <c r="K762" s="154" t="s">
        <v>8508</v>
      </c>
      <c r="L762" s="154" t="s">
        <v>5927</v>
      </c>
      <c r="M762" s="154"/>
      <c r="N762" s="154" t="s">
        <v>759</v>
      </c>
      <c r="O762" s="247" t="s">
        <v>516</v>
      </c>
      <c r="P762" s="247" t="s">
        <v>6776</v>
      </c>
      <c r="Q762" s="154" t="str">
        <f t="shared" si="1"/>
        <v>#ERROR!</v>
      </c>
      <c r="R762" s="154" t="s">
        <v>66</v>
      </c>
      <c r="S762" s="154" t="s">
        <v>66</v>
      </c>
      <c r="T762" s="154" t="s">
        <v>64</v>
      </c>
      <c r="U762" s="154" t="s">
        <v>64</v>
      </c>
      <c r="V762" s="154" t="s">
        <v>64</v>
      </c>
      <c r="W762" s="154" t="s">
        <v>64</v>
      </c>
      <c r="X762" s="154" t="s">
        <v>66</v>
      </c>
      <c r="Y762" s="154" t="s">
        <v>64</v>
      </c>
      <c r="Z762" s="154" t="s">
        <v>64</v>
      </c>
      <c r="AA762" s="154"/>
      <c r="AB762" s="242" t="str">
        <f t="shared" si="2"/>
        <v>#ERROR!</v>
      </c>
      <c r="AC762" s="154" t="s">
        <v>391</v>
      </c>
      <c r="AD762" s="242" t="b">
        <f t="shared" si="3"/>
        <v>0</v>
      </c>
      <c r="AE762" s="154"/>
      <c r="AF762" s="242" t="str">
        <f t="shared" si="4"/>
        <v>#ERROR!</v>
      </c>
      <c r="AG762" s="154" t="s">
        <v>652</v>
      </c>
      <c r="AH762" s="242" t="str">
        <f>IF(AG762="","N/A",INDIRECT("MTR!"&amp;ADDRESS(MATCH(LEFT(AG762,9),[1]MTR!C:C,0),COLUMN(J762)),TRUE) &amp; "")</f>
        <v>#ERROR!</v>
      </c>
      <c r="AI762" s="157" t="str">
        <f t="shared" si="5"/>
        <v>#ERROR!</v>
      </c>
    </row>
    <row r="763" ht="12.75" customHeight="1">
      <c r="A763" s="244" t="s">
        <v>5158</v>
      </c>
      <c r="B763" s="244" t="s">
        <v>231</v>
      </c>
      <c r="C763" s="244" t="s">
        <v>8762</v>
      </c>
      <c r="D763" s="154" t="s">
        <v>1773</v>
      </c>
      <c r="E763" s="154"/>
      <c r="F763" s="154" t="str">
        <f t="array" ref="F763">XLOOKUP(Cover!$D$12,$R$1:$Z$1,$R763:$Z763)</f>
        <v>Mandatory</v>
      </c>
      <c r="G763" s="154" t="s">
        <v>8763</v>
      </c>
      <c r="H763" s="154" t="s">
        <v>1489</v>
      </c>
      <c r="I763" s="154" t="s">
        <v>8764</v>
      </c>
      <c r="J763" s="154" t="s">
        <v>7050</v>
      </c>
      <c r="K763" s="154" t="s">
        <v>8508</v>
      </c>
      <c r="L763" s="154" t="s">
        <v>6126</v>
      </c>
      <c r="M763" s="154" t="s">
        <v>1018</v>
      </c>
      <c r="N763" s="154" t="s">
        <v>759</v>
      </c>
      <c r="O763" s="247" t="s">
        <v>516</v>
      </c>
      <c r="P763" s="247" t="s">
        <v>6776</v>
      </c>
      <c r="Q763" s="154" t="str">
        <f t="shared" si="1"/>
        <v>#ERROR!</v>
      </c>
      <c r="R763" s="154" t="s">
        <v>66</v>
      </c>
      <c r="S763" s="154" t="s">
        <v>66</v>
      </c>
      <c r="T763" s="155" t="s">
        <v>64</v>
      </c>
      <c r="U763" s="155" t="s">
        <v>64</v>
      </c>
      <c r="V763" s="154" t="s">
        <v>60</v>
      </c>
      <c r="W763" s="154" t="s">
        <v>60</v>
      </c>
      <c r="X763" s="154" t="s">
        <v>66</v>
      </c>
      <c r="Y763" s="155" t="s">
        <v>64</v>
      </c>
      <c r="Z763" s="154" t="s">
        <v>60</v>
      </c>
      <c r="AA763" s="154"/>
      <c r="AB763" s="242" t="str">
        <f t="shared" si="2"/>
        <v>#ERROR!</v>
      </c>
      <c r="AC763" s="154" t="s">
        <v>391</v>
      </c>
      <c r="AD763" s="242" t="b">
        <f t="shared" si="3"/>
        <v>0</v>
      </c>
      <c r="AE763" s="154"/>
      <c r="AF763" s="242" t="str">
        <f t="shared" si="4"/>
        <v>#ERROR!</v>
      </c>
      <c r="AG763" s="154" t="s">
        <v>652</v>
      </c>
      <c r="AH763" s="242" t="str">
        <f>IF(AG763="","N/A",INDIRECT("MTR!"&amp;ADDRESS(MATCH(LEFT(AG763,9),[1]MTR!C:C,0),COLUMN(J763)),TRUE) &amp; "")</f>
        <v>#ERROR!</v>
      </c>
      <c r="AI763" s="157" t="str">
        <f t="shared" si="5"/>
        <v>#ERROR!</v>
      </c>
    </row>
    <row r="764" ht="12.75" customHeight="1">
      <c r="A764" s="244" t="s">
        <v>5158</v>
      </c>
      <c r="B764" s="244" t="s">
        <v>231</v>
      </c>
      <c r="C764" s="244" t="s">
        <v>8765</v>
      </c>
      <c r="D764" s="154" t="s">
        <v>1773</v>
      </c>
      <c r="E764" s="154"/>
      <c r="F764" s="154" t="str">
        <f t="array" ref="F764">XLOOKUP(Cover!$D$12,$R$1:$Z$1,$R764:$Z764)</f>
        <v>Mandatory</v>
      </c>
      <c r="G764" s="154" t="s">
        <v>8766</v>
      </c>
      <c r="H764" s="154" t="s">
        <v>8519</v>
      </c>
      <c r="I764" s="154" t="s">
        <v>8764</v>
      </c>
      <c r="J764" s="154" t="s">
        <v>7050</v>
      </c>
      <c r="K764" s="154" t="s">
        <v>8508</v>
      </c>
      <c r="L764" s="154" t="s">
        <v>6126</v>
      </c>
      <c r="M764" s="154" t="s">
        <v>1018</v>
      </c>
      <c r="N764" s="154" t="s">
        <v>759</v>
      </c>
      <c r="O764" s="247" t="s">
        <v>516</v>
      </c>
      <c r="P764" s="247" t="s">
        <v>6776</v>
      </c>
      <c r="Q764" s="154" t="str">
        <f t="shared" si="1"/>
        <v>#ERROR!</v>
      </c>
      <c r="R764" s="154" t="s">
        <v>66</v>
      </c>
      <c r="S764" s="154" t="s">
        <v>66</v>
      </c>
      <c r="T764" s="155" t="s">
        <v>64</v>
      </c>
      <c r="U764" s="155" t="s">
        <v>64</v>
      </c>
      <c r="V764" s="154" t="s">
        <v>60</v>
      </c>
      <c r="W764" s="154" t="s">
        <v>60</v>
      </c>
      <c r="X764" s="154" t="s">
        <v>66</v>
      </c>
      <c r="Y764" s="155" t="s">
        <v>64</v>
      </c>
      <c r="Z764" s="154" t="s">
        <v>60</v>
      </c>
      <c r="AA764" s="154"/>
      <c r="AB764" s="242" t="str">
        <f t="shared" si="2"/>
        <v>#ERROR!</v>
      </c>
      <c r="AC764" s="154" t="s">
        <v>391</v>
      </c>
      <c r="AD764" s="242" t="b">
        <f t="shared" si="3"/>
        <v>0</v>
      </c>
      <c r="AE764" s="154"/>
      <c r="AF764" s="242" t="str">
        <f t="shared" si="4"/>
        <v>#ERROR!</v>
      </c>
      <c r="AG764" s="154" t="s">
        <v>652</v>
      </c>
      <c r="AH764" s="242" t="str">
        <f>IF(AG764="","N/A",INDIRECT("MTR!"&amp;ADDRESS(MATCH(LEFT(AG764,9),[1]MTR!C:C,0),COLUMN(J764)),TRUE) &amp; "")</f>
        <v>#ERROR!</v>
      </c>
      <c r="AI764" s="157" t="str">
        <f t="shared" si="5"/>
        <v>#ERROR!</v>
      </c>
    </row>
    <row r="765" ht="12.75" customHeight="1">
      <c r="A765" s="244" t="s">
        <v>5158</v>
      </c>
      <c r="B765" s="244" t="s">
        <v>231</v>
      </c>
      <c r="C765" s="244" t="s">
        <v>8767</v>
      </c>
      <c r="D765" s="154" t="s">
        <v>503</v>
      </c>
      <c r="E765" s="154"/>
      <c r="F765" s="154" t="str">
        <f t="array" ref="F765">XLOOKUP(Cover!$D$12,$R$1:$Z$1,$R765:$Z765)</f>
        <v>Information</v>
      </c>
      <c r="G765" s="154" t="s">
        <v>8768</v>
      </c>
      <c r="H765" s="154" t="s">
        <v>8513</v>
      </c>
      <c r="I765" s="154" t="s">
        <v>8769</v>
      </c>
      <c r="J765" s="154" t="s">
        <v>7062</v>
      </c>
      <c r="K765" s="154" t="s">
        <v>8508</v>
      </c>
      <c r="L765" s="154" t="s">
        <v>6463</v>
      </c>
      <c r="M765" s="154"/>
      <c r="N765" s="154" t="s">
        <v>759</v>
      </c>
      <c r="O765" s="247" t="s">
        <v>516</v>
      </c>
      <c r="P765" s="247" t="s">
        <v>6776</v>
      </c>
      <c r="Q765" s="154" t="str">
        <f t="shared" si="1"/>
        <v>#ERROR!</v>
      </c>
      <c r="R765" s="154" t="s">
        <v>66</v>
      </c>
      <c r="S765" s="154" t="s">
        <v>66</v>
      </c>
      <c r="T765" s="154" t="s">
        <v>66</v>
      </c>
      <c r="U765" s="154" t="s">
        <v>66</v>
      </c>
      <c r="V765" s="154" t="s">
        <v>66</v>
      </c>
      <c r="W765" s="154" t="s">
        <v>66</v>
      </c>
      <c r="X765" s="154" t="s">
        <v>66</v>
      </c>
      <c r="Y765" s="154" t="s">
        <v>66</v>
      </c>
      <c r="Z765" s="154" t="s">
        <v>66</v>
      </c>
      <c r="AA765" s="154"/>
      <c r="AB765" s="242" t="str">
        <f t="shared" si="2"/>
        <v>#ERROR!</v>
      </c>
      <c r="AC765" s="154" t="s">
        <v>391</v>
      </c>
      <c r="AD765" s="242" t="b">
        <f t="shared" si="3"/>
        <v>0</v>
      </c>
      <c r="AE765" s="154"/>
      <c r="AF765" s="242" t="str">
        <f t="shared" si="4"/>
        <v>#ERROR!</v>
      </c>
      <c r="AG765" s="154" t="s">
        <v>652</v>
      </c>
      <c r="AH765" s="242" t="str">
        <f>IF(AG765="","N/A",INDIRECT("MTR!"&amp;ADDRESS(MATCH(LEFT(AG765,9),[1]MTR!C:C,0),COLUMN(J765)),TRUE) &amp; "")</f>
        <v>#ERROR!</v>
      </c>
      <c r="AI765" s="157" t="str">
        <f t="shared" si="5"/>
        <v>#ERROR!</v>
      </c>
    </row>
    <row r="766" ht="12.75" customHeight="1">
      <c r="A766" s="244" t="s">
        <v>5158</v>
      </c>
      <c r="B766" s="244" t="s">
        <v>231</v>
      </c>
      <c r="C766" s="244" t="s">
        <v>8770</v>
      </c>
      <c r="D766" s="154" t="s">
        <v>503</v>
      </c>
      <c r="E766" s="154"/>
      <c r="F766" s="154" t="str">
        <f t="array" ref="F766">XLOOKUP(Cover!$D$12,$R$1:$Z$1,$R766:$Z766)</f>
        <v>Information</v>
      </c>
      <c r="G766" s="154" t="s">
        <v>8771</v>
      </c>
      <c r="H766" s="154" t="s">
        <v>8516</v>
      </c>
      <c r="I766" s="154" t="s">
        <v>8769</v>
      </c>
      <c r="J766" s="154" t="s">
        <v>7062</v>
      </c>
      <c r="K766" s="154" t="s">
        <v>8508</v>
      </c>
      <c r="L766" s="154" t="s">
        <v>6463</v>
      </c>
      <c r="M766" s="154"/>
      <c r="N766" s="154" t="s">
        <v>759</v>
      </c>
      <c r="O766" s="247" t="s">
        <v>516</v>
      </c>
      <c r="P766" s="247" t="s">
        <v>6776</v>
      </c>
      <c r="Q766" s="154" t="str">
        <f t="shared" si="1"/>
        <v>#ERROR!</v>
      </c>
      <c r="R766" s="154" t="s">
        <v>66</v>
      </c>
      <c r="S766" s="154" t="s">
        <v>66</v>
      </c>
      <c r="T766" s="154" t="s">
        <v>66</v>
      </c>
      <c r="U766" s="154" t="s">
        <v>66</v>
      </c>
      <c r="V766" s="154" t="s">
        <v>66</v>
      </c>
      <c r="W766" s="154" t="s">
        <v>66</v>
      </c>
      <c r="X766" s="154" t="s">
        <v>66</v>
      </c>
      <c r="Y766" s="154" t="s">
        <v>66</v>
      </c>
      <c r="Z766" s="154" t="s">
        <v>66</v>
      </c>
      <c r="AA766" s="154"/>
      <c r="AB766" s="242" t="str">
        <f t="shared" si="2"/>
        <v>#ERROR!</v>
      </c>
      <c r="AC766" s="154" t="s">
        <v>391</v>
      </c>
      <c r="AD766" s="242" t="b">
        <f t="shared" si="3"/>
        <v>0</v>
      </c>
      <c r="AE766" s="154"/>
      <c r="AF766" s="242" t="str">
        <f t="shared" si="4"/>
        <v>#ERROR!</v>
      </c>
      <c r="AG766" s="154" t="s">
        <v>652</v>
      </c>
      <c r="AH766" s="242" t="str">
        <f>IF(AG766="","N/A",INDIRECT("MTR!"&amp;ADDRESS(MATCH(LEFT(AG766,9),[1]MTR!C:C,0),COLUMN(J766)),TRUE) &amp; "")</f>
        <v>#ERROR!</v>
      </c>
      <c r="AI766" s="157" t="str">
        <f t="shared" si="5"/>
        <v>#ERROR!</v>
      </c>
    </row>
    <row r="767" ht="12.75" customHeight="1">
      <c r="A767" s="244" t="s">
        <v>5158</v>
      </c>
      <c r="B767" s="244" t="s">
        <v>231</v>
      </c>
      <c r="C767" s="244" t="s">
        <v>8772</v>
      </c>
      <c r="D767" s="154" t="s">
        <v>1069</v>
      </c>
      <c r="E767" s="154"/>
      <c r="F767" s="154" t="str">
        <f t="array" ref="F767">XLOOKUP(Cover!$D$12,$R$1:$Z$1,$R767:$Z767)</f>
        <v>Recommended</v>
      </c>
      <c r="G767" s="154" t="s">
        <v>8773</v>
      </c>
      <c r="H767" s="154" t="s">
        <v>8513</v>
      </c>
      <c r="I767" s="154" t="s">
        <v>8774</v>
      </c>
      <c r="J767" s="154" t="s">
        <v>7082</v>
      </c>
      <c r="K767" s="154" t="s">
        <v>8508</v>
      </c>
      <c r="L767" s="154" t="s">
        <v>6154</v>
      </c>
      <c r="M767" s="154"/>
      <c r="N767" s="154" t="s">
        <v>759</v>
      </c>
      <c r="O767" s="247" t="s">
        <v>516</v>
      </c>
      <c r="P767" s="247" t="s">
        <v>6776</v>
      </c>
      <c r="Q767" s="154" t="str">
        <f t="shared" si="1"/>
        <v>#ERROR!</v>
      </c>
      <c r="R767" s="154" t="s">
        <v>66</v>
      </c>
      <c r="S767" s="154" t="s">
        <v>66</v>
      </c>
      <c r="T767" s="154" t="s">
        <v>64</v>
      </c>
      <c r="U767" s="154" t="s">
        <v>64</v>
      </c>
      <c r="V767" s="154" t="s">
        <v>64</v>
      </c>
      <c r="W767" s="154" t="s">
        <v>64</v>
      </c>
      <c r="X767" s="154" t="s">
        <v>66</v>
      </c>
      <c r="Y767" s="154" t="s">
        <v>64</v>
      </c>
      <c r="Z767" s="154" t="s">
        <v>64</v>
      </c>
      <c r="AA767" s="154"/>
      <c r="AB767" s="242" t="str">
        <f t="shared" si="2"/>
        <v>#ERROR!</v>
      </c>
      <c r="AC767" s="154" t="s">
        <v>391</v>
      </c>
      <c r="AD767" s="242" t="b">
        <f t="shared" si="3"/>
        <v>0</v>
      </c>
      <c r="AE767" s="154"/>
      <c r="AF767" s="242" t="str">
        <f t="shared" si="4"/>
        <v>#ERROR!</v>
      </c>
      <c r="AG767" s="154" t="s">
        <v>652</v>
      </c>
      <c r="AH767" s="242" t="str">
        <f>IF(AG767="","N/A",INDIRECT("MTR!"&amp;ADDRESS(MATCH(LEFT(AG767,9),[1]MTR!C:C,0),COLUMN(J767)),TRUE) &amp; "")</f>
        <v>#ERROR!</v>
      </c>
      <c r="AI767" s="157" t="str">
        <f t="shared" si="5"/>
        <v>#ERROR!</v>
      </c>
    </row>
    <row r="768" ht="12.75" customHeight="1">
      <c r="A768" s="244" t="s">
        <v>5158</v>
      </c>
      <c r="B768" s="244" t="s">
        <v>231</v>
      </c>
      <c r="C768" s="244" t="s">
        <v>8775</v>
      </c>
      <c r="D768" s="154" t="s">
        <v>861</v>
      </c>
      <c r="E768" s="154"/>
      <c r="F768" s="154" t="str">
        <f t="array" ref="F768">XLOOKUP(Cover!$D$12,$R$1:$Z$1,$R768:$Z768)</f>
        <v>Mandatory</v>
      </c>
      <c r="G768" s="154" t="s">
        <v>8776</v>
      </c>
      <c r="H768" s="154" t="s">
        <v>8513</v>
      </c>
      <c r="I768" s="154" t="s">
        <v>8777</v>
      </c>
      <c r="J768" s="154" t="s">
        <v>7104</v>
      </c>
      <c r="K768" s="154" t="s">
        <v>8508</v>
      </c>
      <c r="L768" s="154" t="s">
        <v>6428</v>
      </c>
      <c r="M768" s="154" t="s">
        <v>1018</v>
      </c>
      <c r="N768" s="154" t="s">
        <v>759</v>
      </c>
      <c r="O768" s="247" t="s">
        <v>516</v>
      </c>
      <c r="P768" s="247" t="s">
        <v>6776</v>
      </c>
      <c r="Q768" s="154" t="str">
        <f t="shared" si="1"/>
        <v>#ERROR!</v>
      </c>
      <c r="R768" s="154" t="s">
        <v>66</v>
      </c>
      <c r="S768" s="154" t="s">
        <v>66</v>
      </c>
      <c r="T768" s="155" t="s">
        <v>64</v>
      </c>
      <c r="U768" s="155" t="s">
        <v>64</v>
      </c>
      <c r="V768" s="154" t="s">
        <v>60</v>
      </c>
      <c r="W768" s="154" t="s">
        <v>60</v>
      </c>
      <c r="X768" s="154" t="s">
        <v>66</v>
      </c>
      <c r="Y768" s="155" t="s">
        <v>64</v>
      </c>
      <c r="Z768" s="154" t="s">
        <v>60</v>
      </c>
      <c r="AA768" s="154"/>
      <c r="AB768" s="242" t="str">
        <f t="shared" si="2"/>
        <v>#ERROR!</v>
      </c>
      <c r="AC768" s="154" t="s">
        <v>391</v>
      </c>
      <c r="AD768" s="242" t="b">
        <f t="shared" si="3"/>
        <v>0</v>
      </c>
      <c r="AE768" s="154"/>
      <c r="AF768" s="242" t="str">
        <f t="shared" si="4"/>
        <v>#ERROR!</v>
      </c>
      <c r="AG768" s="154" t="s">
        <v>652</v>
      </c>
      <c r="AH768" s="242" t="str">
        <f>IF(AG768="","N/A",INDIRECT("MTR!"&amp;ADDRESS(MATCH(LEFT(AG768,9),[1]MTR!C:C,0),COLUMN(J768)),TRUE) &amp; "")</f>
        <v>#ERROR!</v>
      </c>
      <c r="AI768" s="157" t="str">
        <f t="shared" si="5"/>
        <v>#ERROR!</v>
      </c>
    </row>
    <row r="769" ht="12.75" customHeight="1">
      <c r="A769" s="244" t="s">
        <v>5158</v>
      </c>
      <c r="B769" s="244" t="s">
        <v>231</v>
      </c>
      <c r="C769" s="244" t="s">
        <v>8778</v>
      </c>
      <c r="D769" s="154" t="s">
        <v>861</v>
      </c>
      <c r="E769" s="154"/>
      <c r="F769" s="154" t="str">
        <f t="array" ref="F769">XLOOKUP(Cover!$D$12,$R$1:$Z$1,$R769:$Z769)</f>
        <v>Mandatory</v>
      </c>
      <c r="G769" s="154" t="s">
        <v>8779</v>
      </c>
      <c r="H769" s="154" t="s">
        <v>8519</v>
      </c>
      <c r="I769" s="154" t="s">
        <v>8777</v>
      </c>
      <c r="J769" s="154" t="s">
        <v>7104</v>
      </c>
      <c r="K769" s="154" t="s">
        <v>8508</v>
      </c>
      <c r="L769" s="154" t="s">
        <v>6428</v>
      </c>
      <c r="M769" s="154" t="s">
        <v>1018</v>
      </c>
      <c r="N769" s="154" t="s">
        <v>759</v>
      </c>
      <c r="O769" s="247" t="s">
        <v>516</v>
      </c>
      <c r="P769" s="247" t="s">
        <v>6776</v>
      </c>
      <c r="Q769" s="154" t="str">
        <f t="shared" si="1"/>
        <v>#ERROR!</v>
      </c>
      <c r="R769" s="154" t="s">
        <v>66</v>
      </c>
      <c r="S769" s="154" t="s">
        <v>66</v>
      </c>
      <c r="T769" s="155" t="s">
        <v>64</v>
      </c>
      <c r="U769" s="155" t="s">
        <v>64</v>
      </c>
      <c r="V769" s="154" t="s">
        <v>60</v>
      </c>
      <c r="W769" s="154" t="s">
        <v>60</v>
      </c>
      <c r="X769" s="154" t="s">
        <v>66</v>
      </c>
      <c r="Y769" s="155" t="s">
        <v>64</v>
      </c>
      <c r="Z769" s="154" t="s">
        <v>60</v>
      </c>
      <c r="AA769" s="154"/>
      <c r="AB769" s="242" t="str">
        <f t="shared" si="2"/>
        <v>#ERROR!</v>
      </c>
      <c r="AC769" s="154" t="s">
        <v>391</v>
      </c>
      <c r="AD769" s="242" t="b">
        <f t="shared" si="3"/>
        <v>0</v>
      </c>
      <c r="AE769" s="154"/>
      <c r="AF769" s="242" t="str">
        <f t="shared" si="4"/>
        <v>#ERROR!</v>
      </c>
      <c r="AG769" s="154" t="s">
        <v>652</v>
      </c>
      <c r="AH769" s="242" t="str">
        <f>IF(AG769="","N/A",INDIRECT("MTR!"&amp;ADDRESS(MATCH(LEFT(AG769,9),[1]MTR!C:C,0),COLUMN(J769)),TRUE) &amp; "")</f>
        <v>#ERROR!</v>
      </c>
      <c r="AI769" s="157" t="str">
        <f t="shared" si="5"/>
        <v>#ERROR!</v>
      </c>
    </row>
    <row r="770" ht="12.75" customHeight="1">
      <c r="A770" s="238" t="s">
        <v>5158</v>
      </c>
      <c r="B770" s="238" t="s">
        <v>231</v>
      </c>
      <c r="C770" s="238" t="s">
        <v>8780</v>
      </c>
      <c r="D770" s="240"/>
      <c r="E770" s="240" t="s">
        <v>92</v>
      </c>
      <c r="F770" s="240" t="str">
        <f t="array" ref="F770">XLOOKUP(Cover!$D$12,$R$1:$Z$1,$R770:$Z770)</f>
        <v>Heading</v>
      </c>
      <c r="G770" s="239" t="s">
        <v>8781</v>
      </c>
      <c r="H770" s="240"/>
      <c r="I770" s="240"/>
      <c r="J770" s="240"/>
      <c r="K770" s="240"/>
      <c r="L770" s="240"/>
      <c r="M770" s="240"/>
      <c r="N770" s="240" t="s">
        <v>759</v>
      </c>
      <c r="O770" s="240"/>
      <c r="P770" s="240"/>
      <c r="Q770" s="240" t="str">
        <f t="shared" si="1"/>
        <v/>
      </c>
      <c r="R770" s="240" t="s">
        <v>390</v>
      </c>
      <c r="S770" s="240" t="s">
        <v>390</v>
      </c>
      <c r="T770" s="240" t="s">
        <v>390</v>
      </c>
      <c r="U770" s="240" t="s">
        <v>390</v>
      </c>
      <c r="V770" s="240" t="s">
        <v>390</v>
      </c>
      <c r="W770" s="240" t="s">
        <v>390</v>
      </c>
      <c r="X770" s="240" t="s">
        <v>390</v>
      </c>
      <c r="Y770" s="240" t="s">
        <v>390</v>
      </c>
      <c r="Z770" s="240" t="s">
        <v>390</v>
      </c>
      <c r="AA770" s="240"/>
      <c r="AB770" s="242" t="str">
        <f t="shared" si="2"/>
        <v>#ERROR!</v>
      </c>
      <c r="AC770" s="240" t="s">
        <v>391</v>
      </c>
      <c r="AD770" s="242" t="b">
        <f t="shared" si="3"/>
        <v>0</v>
      </c>
      <c r="AE770" s="240"/>
      <c r="AF770" s="242" t="str">
        <f t="shared" si="4"/>
        <v>#ERROR!</v>
      </c>
      <c r="AG770" s="240"/>
      <c r="AH770" s="242" t="str">
        <f>IF(AG770="","N/A",INDIRECT("MTR!"&amp;ADDRESS(MATCH(LEFT(AG770,9),[1]MTR!C:C,0),COLUMN(J770)),TRUE) &amp; "")</f>
        <v>#ERROR!</v>
      </c>
      <c r="AI770" s="157" t="str">
        <f t="shared" si="5"/>
        <v/>
      </c>
    </row>
    <row r="771" ht="12.75" customHeight="1">
      <c r="A771" s="244" t="s">
        <v>5158</v>
      </c>
      <c r="B771" s="244" t="s">
        <v>231</v>
      </c>
      <c r="C771" s="244" t="s">
        <v>8782</v>
      </c>
      <c r="D771" s="154" t="s">
        <v>861</v>
      </c>
      <c r="E771" s="154"/>
      <c r="F771" s="154" t="str">
        <f t="array" ref="F771">XLOOKUP(Cover!$D$12,$R$1:$Z$1,$R771:$Z771)</f>
        <v>Information</v>
      </c>
      <c r="G771" s="154" t="s">
        <v>8783</v>
      </c>
      <c r="H771" s="154" t="s">
        <v>8507</v>
      </c>
      <c r="I771" s="154" t="s">
        <v>8784</v>
      </c>
      <c r="J771" s="154" t="s">
        <v>8090</v>
      </c>
      <c r="K771" s="154" t="s">
        <v>8508</v>
      </c>
      <c r="L771" s="154" t="s">
        <v>6428</v>
      </c>
      <c r="M771" s="154"/>
      <c r="N771" s="154" t="s">
        <v>759</v>
      </c>
      <c r="O771" s="247" t="s">
        <v>445</v>
      </c>
      <c r="P771" s="247" t="s">
        <v>6772</v>
      </c>
      <c r="Q771" s="154" t="str">
        <f t="shared" si="1"/>
        <v>#ERROR!</v>
      </c>
      <c r="R771" s="154" t="s">
        <v>66</v>
      </c>
      <c r="S771" s="154" t="s">
        <v>66</v>
      </c>
      <c r="T771" s="154" t="s">
        <v>66</v>
      </c>
      <c r="U771" s="154" t="s">
        <v>66</v>
      </c>
      <c r="V771" s="154" t="s">
        <v>66</v>
      </c>
      <c r="W771" s="154" t="s">
        <v>66</v>
      </c>
      <c r="X771" s="154" t="s">
        <v>66</v>
      </c>
      <c r="Y771" s="154" t="s">
        <v>66</v>
      </c>
      <c r="Z771" s="154" t="s">
        <v>66</v>
      </c>
      <c r="AA771" s="154"/>
      <c r="AB771" s="242" t="str">
        <f t="shared" si="2"/>
        <v>#ERROR!</v>
      </c>
      <c r="AC771" s="154" t="s">
        <v>391</v>
      </c>
      <c r="AD771" s="242" t="b">
        <f t="shared" si="3"/>
        <v>0</v>
      </c>
      <c r="AE771" s="154"/>
      <c r="AF771" s="242" t="str">
        <f t="shared" si="4"/>
        <v>#ERROR!</v>
      </c>
      <c r="AG771" s="154" t="s">
        <v>652</v>
      </c>
      <c r="AH771" s="242" t="str">
        <f>IF(AG771="","N/A",INDIRECT("MTR!"&amp;ADDRESS(MATCH(LEFT(AG771,9),[1]MTR!C:C,0),COLUMN(J771)),TRUE) &amp; "")</f>
        <v>#ERROR!</v>
      </c>
      <c r="AI771" s="157" t="str">
        <f t="shared" si="5"/>
        <v>#ERROR!</v>
      </c>
    </row>
    <row r="772" ht="12.75" customHeight="1">
      <c r="A772" s="244" t="s">
        <v>5158</v>
      </c>
      <c r="B772" s="244" t="s">
        <v>231</v>
      </c>
      <c r="C772" s="244" t="s">
        <v>8785</v>
      </c>
      <c r="D772" s="154" t="s">
        <v>861</v>
      </c>
      <c r="E772" s="154"/>
      <c r="F772" s="154" t="str">
        <f t="array" ref="F772">XLOOKUP(Cover!$D$12,$R$1:$Z$1,$R772:$Z772)</f>
        <v>Information</v>
      </c>
      <c r="G772" s="154" t="s">
        <v>8786</v>
      </c>
      <c r="H772" s="154" t="s">
        <v>1489</v>
      </c>
      <c r="I772" s="154" t="s">
        <v>8784</v>
      </c>
      <c r="J772" s="154" t="s">
        <v>8090</v>
      </c>
      <c r="K772" s="154" t="s">
        <v>8508</v>
      </c>
      <c r="L772" s="154" t="s">
        <v>6428</v>
      </c>
      <c r="M772" s="154"/>
      <c r="N772" s="154" t="s">
        <v>759</v>
      </c>
      <c r="O772" s="247" t="s">
        <v>445</v>
      </c>
      <c r="P772" s="247" t="s">
        <v>6772</v>
      </c>
      <c r="Q772" s="154" t="str">
        <f t="shared" si="1"/>
        <v>#ERROR!</v>
      </c>
      <c r="R772" s="154" t="s">
        <v>66</v>
      </c>
      <c r="S772" s="154" t="s">
        <v>66</v>
      </c>
      <c r="T772" s="154" t="s">
        <v>66</v>
      </c>
      <c r="U772" s="154" t="s">
        <v>66</v>
      </c>
      <c r="V772" s="154" t="s">
        <v>66</v>
      </c>
      <c r="W772" s="154" t="s">
        <v>66</v>
      </c>
      <c r="X772" s="154" t="s">
        <v>66</v>
      </c>
      <c r="Y772" s="154" t="s">
        <v>66</v>
      </c>
      <c r="Z772" s="154" t="s">
        <v>66</v>
      </c>
      <c r="AA772" s="154"/>
      <c r="AB772" s="242" t="str">
        <f t="shared" si="2"/>
        <v>#ERROR!</v>
      </c>
      <c r="AC772" s="154" t="s">
        <v>391</v>
      </c>
      <c r="AD772" s="242" t="b">
        <f t="shared" si="3"/>
        <v>0</v>
      </c>
      <c r="AE772" s="154"/>
      <c r="AF772" s="242" t="str">
        <f t="shared" si="4"/>
        <v>#ERROR!</v>
      </c>
      <c r="AG772" s="154" t="s">
        <v>652</v>
      </c>
      <c r="AH772" s="242" t="str">
        <f>IF(AG772="","N/A",INDIRECT("MTR!"&amp;ADDRESS(MATCH(LEFT(AG772,9),[1]MTR!C:C,0),COLUMN(J772)),TRUE) &amp; "")</f>
        <v>#ERROR!</v>
      </c>
      <c r="AI772" s="157" t="str">
        <f t="shared" si="5"/>
        <v>#ERROR!</v>
      </c>
    </row>
    <row r="773" ht="12.75" customHeight="1">
      <c r="A773" s="244" t="s">
        <v>5158</v>
      </c>
      <c r="B773" s="244" t="s">
        <v>231</v>
      </c>
      <c r="C773" s="244" t="s">
        <v>8787</v>
      </c>
      <c r="D773" s="154" t="s">
        <v>861</v>
      </c>
      <c r="E773" s="154"/>
      <c r="F773" s="154" t="str">
        <f t="array" ref="F773">XLOOKUP(Cover!$D$12,$R$1:$Z$1,$R773:$Z773)</f>
        <v>Information</v>
      </c>
      <c r="G773" s="154" t="s">
        <v>8788</v>
      </c>
      <c r="H773" s="154" t="s">
        <v>8550</v>
      </c>
      <c r="I773" s="154" t="s">
        <v>8784</v>
      </c>
      <c r="J773" s="154" t="s">
        <v>8090</v>
      </c>
      <c r="K773" s="154" t="s">
        <v>8508</v>
      </c>
      <c r="L773" s="154" t="s">
        <v>6428</v>
      </c>
      <c r="M773" s="154"/>
      <c r="N773" s="154" t="s">
        <v>759</v>
      </c>
      <c r="O773" s="247" t="s">
        <v>516</v>
      </c>
      <c r="P773" s="247" t="s">
        <v>1575</v>
      </c>
      <c r="Q773" s="154" t="str">
        <f t="shared" si="1"/>
        <v>#ERROR!</v>
      </c>
      <c r="R773" s="154" t="s">
        <v>66</v>
      </c>
      <c r="S773" s="154" t="s">
        <v>66</v>
      </c>
      <c r="T773" s="154" t="s">
        <v>66</v>
      </c>
      <c r="U773" s="154" t="s">
        <v>66</v>
      </c>
      <c r="V773" s="154" t="s">
        <v>66</v>
      </c>
      <c r="W773" s="154" t="s">
        <v>66</v>
      </c>
      <c r="X773" s="154" t="s">
        <v>66</v>
      </c>
      <c r="Y773" s="154" t="s">
        <v>66</v>
      </c>
      <c r="Z773" s="154" t="s">
        <v>66</v>
      </c>
      <c r="AA773" s="154"/>
      <c r="AB773" s="242" t="str">
        <f t="shared" si="2"/>
        <v>#ERROR!</v>
      </c>
      <c r="AC773" s="154" t="s">
        <v>391</v>
      </c>
      <c r="AD773" s="242" t="b">
        <f t="shared" si="3"/>
        <v>0</v>
      </c>
      <c r="AE773" s="154"/>
      <c r="AF773" s="242" t="str">
        <f t="shared" si="4"/>
        <v>#ERROR!</v>
      </c>
      <c r="AG773" s="154" t="s">
        <v>652</v>
      </c>
      <c r="AH773" s="242" t="str">
        <f>IF(AG773="","N/A",INDIRECT("MTR!"&amp;ADDRESS(MATCH(LEFT(AG773,9),[1]MTR!C:C,0),COLUMN(J773)),TRUE) &amp; "")</f>
        <v>#ERROR!</v>
      </c>
      <c r="AI773" s="157" t="str">
        <f t="shared" si="5"/>
        <v>#ERROR!</v>
      </c>
    </row>
    <row r="774" ht="12.75" customHeight="1">
      <c r="A774" s="244" t="s">
        <v>5158</v>
      </c>
      <c r="B774" s="244" t="s">
        <v>231</v>
      </c>
      <c r="C774" s="244" t="s">
        <v>8789</v>
      </c>
      <c r="D774" s="154" t="s">
        <v>1069</v>
      </c>
      <c r="E774" s="154"/>
      <c r="F774" s="154" t="str">
        <f t="array" ref="F774">XLOOKUP(Cover!$D$12,$R$1:$Z$1,$R774:$Z774)</f>
        <v>Information</v>
      </c>
      <c r="G774" s="154" t="s">
        <v>8790</v>
      </c>
      <c r="H774" s="154" t="s">
        <v>8507</v>
      </c>
      <c r="I774" s="154" t="s">
        <v>8791</v>
      </c>
      <c r="J774" s="154" t="s">
        <v>8104</v>
      </c>
      <c r="K774" s="154" t="s">
        <v>8508</v>
      </c>
      <c r="L774" s="154" t="s">
        <v>5927</v>
      </c>
      <c r="M774" s="154"/>
      <c r="N774" s="154" t="s">
        <v>759</v>
      </c>
      <c r="O774" s="247" t="s">
        <v>516</v>
      </c>
      <c r="P774" s="247" t="s">
        <v>6776</v>
      </c>
      <c r="Q774" s="154" t="str">
        <f t="shared" si="1"/>
        <v>#ERROR!</v>
      </c>
      <c r="R774" s="154" t="s">
        <v>66</v>
      </c>
      <c r="S774" s="154" t="s">
        <v>66</v>
      </c>
      <c r="T774" s="154" t="s">
        <v>66</v>
      </c>
      <c r="U774" s="154" t="s">
        <v>66</v>
      </c>
      <c r="V774" s="154" t="s">
        <v>66</v>
      </c>
      <c r="W774" s="154" t="s">
        <v>66</v>
      </c>
      <c r="X774" s="154" t="s">
        <v>66</v>
      </c>
      <c r="Y774" s="154" t="s">
        <v>66</v>
      </c>
      <c r="Z774" s="154" t="s">
        <v>66</v>
      </c>
      <c r="AA774" s="154"/>
      <c r="AB774" s="242" t="str">
        <f t="shared" si="2"/>
        <v>#ERROR!</v>
      </c>
      <c r="AC774" s="154" t="s">
        <v>391</v>
      </c>
      <c r="AD774" s="242" t="b">
        <f t="shared" si="3"/>
        <v>0</v>
      </c>
      <c r="AE774" s="154"/>
      <c r="AF774" s="242" t="str">
        <f t="shared" si="4"/>
        <v>#ERROR!</v>
      </c>
      <c r="AG774" s="154" t="s">
        <v>652</v>
      </c>
      <c r="AH774" s="242" t="str">
        <f>IF(AG774="","N/A",INDIRECT("MTR!"&amp;ADDRESS(MATCH(LEFT(AG774,9),[1]MTR!C:C,0),COLUMN(J774)),TRUE) &amp; "")</f>
        <v>#ERROR!</v>
      </c>
      <c r="AI774" s="157" t="str">
        <f t="shared" si="5"/>
        <v>#ERROR!</v>
      </c>
    </row>
    <row r="775" ht="12.75" customHeight="1">
      <c r="A775" s="244" t="s">
        <v>5158</v>
      </c>
      <c r="B775" s="244" t="s">
        <v>231</v>
      </c>
      <c r="C775" s="244" t="s">
        <v>8792</v>
      </c>
      <c r="D775" s="154" t="s">
        <v>1069</v>
      </c>
      <c r="E775" s="154"/>
      <c r="F775" s="154" t="str">
        <f t="array" ref="F775">XLOOKUP(Cover!$D$12,$R$1:$Z$1,$R775:$Z775)</f>
        <v>Information</v>
      </c>
      <c r="G775" s="154" t="s">
        <v>8793</v>
      </c>
      <c r="H775" s="154" t="s">
        <v>1489</v>
      </c>
      <c r="I775" s="154" t="s">
        <v>8791</v>
      </c>
      <c r="J775" s="154" t="s">
        <v>8104</v>
      </c>
      <c r="K775" s="154" t="s">
        <v>8508</v>
      </c>
      <c r="L775" s="154" t="s">
        <v>5927</v>
      </c>
      <c r="M775" s="154"/>
      <c r="N775" s="154" t="s">
        <v>759</v>
      </c>
      <c r="O775" s="247" t="s">
        <v>516</v>
      </c>
      <c r="P775" s="247" t="s">
        <v>6776</v>
      </c>
      <c r="Q775" s="154" t="str">
        <f t="shared" si="1"/>
        <v>#ERROR!</v>
      </c>
      <c r="R775" s="154" t="s">
        <v>66</v>
      </c>
      <c r="S775" s="154" t="s">
        <v>66</v>
      </c>
      <c r="T775" s="154" t="s">
        <v>66</v>
      </c>
      <c r="U775" s="154" t="s">
        <v>66</v>
      </c>
      <c r="V775" s="154" t="s">
        <v>66</v>
      </c>
      <c r="W775" s="154" t="s">
        <v>66</v>
      </c>
      <c r="X775" s="154" t="s">
        <v>66</v>
      </c>
      <c r="Y775" s="154" t="s">
        <v>66</v>
      </c>
      <c r="Z775" s="154" t="s">
        <v>66</v>
      </c>
      <c r="AA775" s="154"/>
      <c r="AB775" s="242" t="str">
        <f t="shared" si="2"/>
        <v>#ERROR!</v>
      </c>
      <c r="AC775" s="154" t="s">
        <v>391</v>
      </c>
      <c r="AD775" s="242" t="b">
        <f t="shared" si="3"/>
        <v>0</v>
      </c>
      <c r="AE775" s="154"/>
      <c r="AF775" s="242" t="str">
        <f t="shared" si="4"/>
        <v>#ERROR!</v>
      </c>
      <c r="AG775" s="154" t="s">
        <v>652</v>
      </c>
      <c r="AH775" s="242" t="str">
        <f>IF(AG775="","N/A",INDIRECT("MTR!"&amp;ADDRESS(MATCH(LEFT(AG775,9),[1]MTR!C:C,0),COLUMN(J775)),TRUE) &amp; "")</f>
        <v>#ERROR!</v>
      </c>
      <c r="AI775" s="157" t="str">
        <f t="shared" si="5"/>
        <v>#ERROR!</v>
      </c>
    </row>
    <row r="776" ht="12.75" customHeight="1">
      <c r="A776" s="244" t="s">
        <v>5158</v>
      </c>
      <c r="B776" s="244" t="s">
        <v>231</v>
      </c>
      <c r="C776" s="244" t="s">
        <v>8794</v>
      </c>
      <c r="D776" s="154" t="s">
        <v>1069</v>
      </c>
      <c r="E776" s="154"/>
      <c r="F776" s="154" t="str">
        <f t="array" ref="F776">XLOOKUP(Cover!$D$12,$R$1:$Z$1,$R776:$Z776)</f>
        <v>Information</v>
      </c>
      <c r="G776" s="154" t="s">
        <v>8795</v>
      </c>
      <c r="H776" s="154" t="s">
        <v>8513</v>
      </c>
      <c r="I776" s="154" t="s">
        <v>8791</v>
      </c>
      <c r="J776" s="154" t="s">
        <v>8104</v>
      </c>
      <c r="K776" s="154" t="s">
        <v>8508</v>
      </c>
      <c r="L776" s="154" t="s">
        <v>5927</v>
      </c>
      <c r="M776" s="154"/>
      <c r="N776" s="154" t="s">
        <v>759</v>
      </c>
      <c r="O776" s="247" t="s">
        <v>516</v>
      </c>
      <c r="P776" s="247" t="s">
        <v>6776</v>
      </c>
      <c r="Q776" s="154" t="str">
        <f t="shared" si="1"/>
        <v>#ERROR!</v>
      </c>
      <c r="R776" s="154" t="s">
        <v>66</v>
      </c>
      <c r="S776" s="154" t="s">
        <v>66</v>
      </c>
      <c r="T776" s="154" t="s">
        <v>66</v>
      </c>
      <c r="U776" s="154" t="s">
        <v>66</v>
      </c>
      <c r="V776" s="154" t="s">
        <v>66</v>
      </c>
      <c r="W776" s="154" t="s">
        <v>66</v>
      </c>
      <c r="X776" s="154" t="s">
        <v>66</v>
      </c>
      <c r="Y776" s="154" t="s">
        <v>66</v>
      </c>
      <c r="Z776" s="154" t="s">
        <v>66</v>
      </c>
      <c r="AA776" s="154"/>
      <c r="AB776" s="242" t="str">
        <f t="shared" si="2"/>
        <v>#ERROR!</v>
      </c>
      <c r="AC776" s="154" t="s">
        <v>391</v>
      </c>
      <c r="AD776" s="242" t="b">
        <f t="shared" si="3"/>
        <v>0</v>
      </c>
      <c r="AE776" s="154"/>
      <c r="AF776" s="242" t="str">
        <f t="shared" si="4"/>
        <v>#ERROR!</v>
      </c>
      <c r="AG776" s="154" t="s">
        <v>652</v>
      </c>
      <c r="AH776" s="242" t="str">
        <f>IF(AG776="","N/A",INDIRECT("MTR!"&amp;ADDRESS(MATCH(LEFT(AG776,9),[1]MTR!C:C,0),COLUMN(J776)),TRUE) &amp; "")</f>
        <v>#ERROR!</v>
      </c>
      <c r="AI776" s="157" t="str">
        <f t="shared" si="5"/>
        <v>#ERROR!</v>
      </c>
    </row>
    <row r="777" ht="12.75" customHeight="1">
      <c r="A777" s="244" t="s">
        <v>5158</v>
      </c>
      <c r="B777" s="244" t="s">
        <v>231</v>
      </c>
      <c r="C777" s="244" t="s">
        <v>8796</v>
      </c>
      <c r="D777" s="154" t="s">
        <v>747</v>
      </c>
      <c r="E777" s="154"/>
      <c r="F777" s="154" t="str">
        <f t="array" ref="F777">XLOOKUP(Cover!$D$12,$R$1:$Z$1,$R777:$Z777)</f>
        <v>Mandatory</v>
      </c>
      <c r="G777" s="154" t="s">
        <v>8797</v>
      </c>
      <c r="H777" s="154" t="s">
        <v>8507</v>
      </c>
      <c r="I777" s="154" t="s">
        <v>8798</v>
      </c>
      <c r="J777" s="154" t="s">
        <v>8128</v>
      </c>
      <c r="K777" s="154" t="s">
        <v>8508</v>
      </c>
      <c r="L777" s="154" t="s">
        <v>6525</v>
      </c>
      <c r="M777" s="154" t="s">
        <v>175</v>
      </c>
      <c r="N777" s="154" t="s">
        <v>759</v>
      </c>
      <c r="O777" s="247" t="s">
        <v>516</v>
      </c>
      <c r="P777" s="247" t="s">
        <v>6776</v>
      </c>
      <c r="Q777" s="154" t="str">
        <f t="shared" si="1"/>
        <v>#ERROR!</v>
      </c>
      <c r="R777" s="154" t="s">
        <v>66</v>
      </c>
      <c r="S777" s="154" t="s">
        <v>66</v>
      </c>
      <c r="T777" s="155" t="s">
        <v>64</v>
      </c>
      <c r="U777" s="155" t="s">
        <v>64</v>
      </c>
      <c r="V777" s="154" t="s">
        <v>60</v>
      </c>
      <c r="W777" s="154" t="s">
        <v>60</v>
      </c>
      <c r="X777" s="154" t="s">
        <v>66</v>
      </c>
      <c r="Y777" s="155" t="s">
        <v>64</v>
      </c>
      <c r="Z777" s="154" t="s">
        <v>60</v>
      </c>
      <c r="AA777" s="154"/>
      <c r="AB777" s="242" t="str">
        <f t="shared" si="2"/>
        <v>#ERROR!</v>
      </c>
      <c r="AC777" s="154" t="s">
        <v>391</v>
      </c>
      <c r="AD777" s="242" t="b">
        <f t="shared" si="3"/>
        <v>0</v>
      </c>
      <c r="AE777" s="154"/>
      <c r="AF777" s="242" t="str">
        <f t="shared" si="4"/>
        <v>#ERROR!</v>
      </c>
      <c r="AG777" s="154" t="s">
        <v>652</v>
      </c>
      <c r="AH777" s="242" t="str">
        <f>IF(AG777="","N/A",INDIRECT("MTR!"&amp;ADDRESS(MATCH(LEFT(AG777,9),[1]MTR!C:C,0),COLUMN(J777)),TRUE) &amp; "")</f>
        <v>#ERROR!</v>
      </c>
      <c r="AI777" s="157" t="str">
        <f t="shared" si="5"/>
        <v>#ERROR!</v>
      </c>
    </row>
    <row r="778" ht="12.75" customHeight="1">
      <c r="A778" s="244" t="s">
        <v>5158</v>
      </c>
      <c r="B778" s="244" t="s">
        <v>231</v>
      </c>
      <c r="C778" s="244" t="s">
        <v>8799</v>
      </c>
      <c r="D778" s="154" t="s">
        <v>747</v>
      </c>
      <c r="E778" s="154"/>
      <c r="F778" s="154" t="str">
        <f t="array" ref="F778">XLOOKUP(Cover!$D$12,$R$1:$Z$1,$R778:$Z778)</f>
        <v>Mandatory</v>
      </c>
      <c r="G778" s="154" t="s">
        <v>8800</v>
      </c>
      <c r="H778" s="154" t="s">
        <v>1489</v>
      </c>
      <c r="I778" s="154" t="s">
        <v>8798</v>
      </c>
      <c r="J778" s="154" t="s">
        <v>8128</v>
      </c>
      <c r="K778" s="154" t="s">
        <v>8508</v>
      </c>
      <c r="L778" s="154" t="s">
        <v>6525</v>
      </c>
      <c r="M778" s="154" t="s">
        <v>175</v>
      </c>
      <c r="N778" s="154" t="s">
        <v>759</v>
      </c>
      <c r="O778" s="247" t="s">
        <v>516</v>
      </c>
      <c r="P778" s="247" t="s">
        <v>6776</v>
      </c>
      <c r="Q778" s="154" t="str">
        <f t="shared" si="1"/>
        <v>#ERROR!</v>
      </c>
      <c r="R778" s="154" t="s">
        <v>66</v>
      </c>
      <c r="S778" s="154" t="s">
        <v>66</v>
      </c>
      <c r="T778" s="155" t="s">
        <v>64</v>
      </c>
      <c r="U778" s="155" t="s">
        <v>64</v>
      </c>
      <c r="V778" s="154" t="s">
        <v>60</v>
      </c>
      <c r="W778" s="154" t="s">
        <v>60</v>
      </c>
      <c r="X778" s="154" t="s">
        <v>66</v>
      </c>
      <c r="Y778" s="155" t="s">
        <v>64</v>
      </c>
      <c r="Z778" s="154" t="s">
        <v>60</v>
      </c>
      <c r="AA778" s="154"/>
      <c r="AB778" s="242" t="str">
        <f t="shared" si="2"/>
        <v>#ERROR!</v>
      </c>
      <c r="AC778" s="154" t="s">
        <v>391</v>
      </c>
      <c r="AD778" s="242" t="b">
        <f t="shared" si="3"/>
        <v>0</v>
      </c>
      <c r="AE778" s="154"/>
      <c r="AF778" s="242" t="str">
        <f t="shared" si="4"/>
        <v>#ERROR!</v>
      </c>
      <c r="AG778" s="154" t="s">
        <v>652</v>
      </c>
      <c r="AH778" s="242" t="str">
        <f>IF(AG778="","N/A",INDIRECT("MTR!"&amp;ADDRESS(MATCH(LEFT(AG778,9),[1]MTR!C:C,0),COLUMN(J778)),TRUE) &amp; "")</f>
        <v>#ERROR!</v>
      </c>
      <c r="AI778" s="157" t="str">
        <f t="shared" si="5"/>
        <v>#ERROR!</v>
      </c>
    </row>
    <row r="779" ht="12.75" customHeight="1">
      <c r="A779" s="244" t="s">
        <v>5158</v>
      </c>
      <c r="B779" s="244" t="s">
        <v>231</v>
      </c>
      <c r="C779" s="244" t="s">
        <v>8801</v>
      </c>
      <c r="D779" s="154" t="s">
        <v>747</v>
      </c>
      <c r="E779" s="154"/>
      <c r="F779" s="154" t="str">
        <f t="array" ref="F779">XLOOKUP(Cover!$D$12,$R$1:$Z$1,$R779:$Z779)</f>
        <v>Mandatory</v>
      </c>
      <c r="G779" s="154" t="s">
        <v>8802</v>
      </c>
      <c r="H779" s="154" t="s">
        <v>8550</v>
      </c>
      <c r="I779" s="154" t="s">
        <v>8798</v>
      </c>
      <c r="J779" s="154" t="s">
        <v>8128</v>
      </c>
      <c r="K779" s="154" t="s">
        <v>8508</v>
      </c>
      <c r="L779" s="154" t="s">
        <v>6525</v>
      </c>
      <c r="M779" s="154" t="s">
        <v>175</v>
      </c>
      <c r="N779" s="154" t="s">
        <v>759</v>
      </c>
      <c r="O779" s="247" t="s">
        <v>516</v>
      </c>
      <c r="P779" s="247" t="s">
        <v>6776</v>
      </c>
      <c r="Q779" s="154" t="str">
        <f t="shared" si="1"/>
        <v>#ERROR!</v>
      </c>
      <c r="R779" s="154" t="s">
        <v>66</v>
      </c>
      <c r="S779" s="154" t="s">
        <v>66</v>
      </c>
      <c r="T779" s="155" t="s">
        <v>64</v>
      </c>
      <c r="U779" s="155" t="s">
        <v>64</v>
      </c>
      <c r="V779" s="154" t="s">
        <v>60</v>
      </c>
      <c r="W779" s="154" t="s">
        <v>60</v>
      </c>
      <c r="X779" s="154" t="s">
        <v>66</v>
      </c>
      <c r="Y779" s="155" t="s">
        <v>64</v>
      </c>
      <c r="Z779" s="154" t="s">
        <v>60</v>
      </c>
      <c r="AA779" s="154"/>
      <c r="AB779" s="242" t="str">
        <f t="shared" si="2"/>
        <v>#ERROR!</v>
      </c>
      <c r="AC779" s="154" t="s">
        <v>391</v>
      </c>
      <c r="AD779" s="242" t="b">
        <f t="shared" si="3"/>
        <v>0</v>
      </c>
      <c r="AE779" s="154"/>
      <c r="AF779" s="242" t="str">
        <f t="shared" si="4"/>
        <v>#ERROR!</v>
      </c>
      <c r="AG779" s="154" t="s">
        <v>652</v>
      </c>
      <c r="AH779" s="242" t="str">
        <f>IF(AG779="","N/A",INDIRECT("MTR!"&amp;ADDRESS(MATCH(LEFT(AG779,9),[1]MTR!C:C,0),COLUMN(J779)),TRUE) &amp; "")</f>
        <v>#ERROR!</v>
      </c>
      <c r="AI779" s="157" t="str">
        <f t="shared" si="5"/>
        <v>#ERROR!</v>
      </c>
    </row>
    <row r="780" ht="12.75" customHeight="1">
      <c r="A780" s="244" t="s">
        <v>5158</v>
      </c>
      <c r="B780" s="244" t="s">
        <v>231</v>
      </c>
      <c r="C780" s="244" t="s">
        <v>8803</v>
      </c>
      <c r="D780" s="154" t="s">
        <v>747</v>
      </c>
      <c r="E780" s="154"/>
      <c r="F780" s="154" t="str">
        <f t="array" ref="F780">XLOOKUP(Cover!$D$12,$R$1:$Z$1,$R780:$Z780)</f>
        <v>Mandatory</v>
      </c>
      <c r="G780" s="154" t="s">
        <v>8804</v>
      </c>
      <c r="H780" s="154" t="s">
        <v>8513</v>
      </c>
      <c r="I780" s="154" t="s">
        <v>8798</v>
      </c>
      <c r="J780" s="154" t="s">
        <v>8128</v>
      </c>
      <c r="K780" s="154" t="s">
        <v>8508</v>
      </c>
      <c r="L780" s="154" t="s">
        <v>6525</v>
      </c>
      <c r="M780" s="154" t="s">
        <v>175</v>
      </c>
      <c r="N780" s="154" t="s">
        <v>759</v>
      </c>
      <c r="O780" s="247" t="s">
        <v>516</v>
      </c>
      <c r="P780" s="247" t="s">
        <v>6776</v>
      </c>
      <c r="Q780" s="154" t="str">
        <f t="shared" si="1"/>
        <v>#ERROR!</v>
      </c>
      <c r="R780" s="154" t="s">
        <v>66</v>
      </c>
      <c r="S780" s="154" t="s">
        <v>66</v>
      </c>
      <c r="T780" s="155" t="s">
        <v>64</v>
      </c>
      <c r="U780" s="155" t="s">
        <v>64</v>
      </c>
      <c r="V780" s="154" t="s">
        <v>60</v>
      </c>
      <c r="W780" s="154" t="s">
        <v>60</v>
      </c>
      <c r="X780" s="154" t="s">
        <v>66</v>
      </c>
      <c r="Y780" s="155" t="s">
        <v>64</v>
      </c>
      <c r="Z780" s="154" t="s">
        <v>60</v>
      </c>
      <c r="AA780" s="154"/>
      <c r="AB780" s="242" t="str">
        <f t="shared" si="2"/>
        <v>#ERROR!</v>
      </c>
      <c r="AC780" s="154" t="s">
        <v>391</v>
      </c>
      <c r="AD780" s="242" t="b">
        <f t="shared" si="3"/>
        <v>0</v>
      </c>
      <c r="AE780" s="154"/>
      <c r="AF780" s="242" t="str">
        <f t="shared" si="4"/>
        <v>#ERROR!</v>
      </c>
      <c r="AG780" s="154" t="s">
        <v>652</v>
      </c>
      <c r="AH780" s="242" t="str">
        <f>IF(AG780="","N/A",INDIRECT("MTR!"&amp;ADDRESS(MATCH(LEFT(AG780,9),[1]MTR!C:C,0),COLUMN(J780)),TRUE) &amp; "")</f>
        <v>#ERROR!</v>
      </c>
      <c r="AI780" s="157" t="str">
        <f t="shared" si="5"/>
        <v>#ERROR!</v>
      </c>
    </row>
    <row r="781" ht="12.75" customHeight="1">
      <c r="A781" s="244" t="s">
        <v>5158</v>
      </c>
      <c r="B781" s="244" t="s">
        <v>231</v>
      </c>
      <c r="C781" s="244" t="s">
        <v>8805</v>
      </c>
      <c r="D781" s="154" t="s">
        <v>1773</v>
      </c>
      <c r="E781" s="154"/>
      <c r="F781" s="154" t="str">
        <f t="array" ref="F781">XLOOKUP(Cover!$D$12,$R$1:$Z$1,$R781:$Z781)</f>
        <v>Mandatory</v>
      </c>
      <c r="G781" s="154" t="s">
        <v>8806</v>
      </c>
      <c r="H781" s="154" t="s">
        <v>8507</v>
      </c>
      <c r="I781" s="154" t="s">
        <v>8807</v>
      </c>
      <c r="J781" s="154" t="s">
        <v>8808</v>
      </c>
      <c r="K781" s="154" t="s">
        <v>8508</v>
      </c>
      <c r="L781" s="154" t="s">
        <v>6126</v>
      </c>
      <c r="M781" s="154" t="s">
        <v>175</v>
      </c>
      <c r="N781" s="154" t="s">
        <v>759</v>
      </c>
      <c r="O781" s="247" t="s">
        <v>516</v>
      </c>
      <c r="P781" s="247" t="s">
        <v>6776</v>
      </c>
      <c r="Q781" s="154" t="str">
        <f t="shared" si="1"/>
        <v>#ERROR!</v>
      </c>
      <c r="R781" s="154" t="s">
        <v>66</v>
      </c>
      <c r="S781" s="154" t="s">
        <v>66</v>
      </c>
      <c r="T781" s="155" t="s">
        <v>64</v>
      </c>
      <c r="U781" s="155" t="s">
        <v>64</v>
      </c>
      <c r="V781" s="154" t="s">
        <v>60</v>
      </c>
      <c r="W781" s="154" t="s">
        <v>60</v>
      </c>
      <c r="X781" s="154" t="s">
        <v>66</v>
      </c>
      <c r="Y781" s="155" t="s">
        <v>64</v>
      </c>
      <c r="Z781" s="154" t="s">
        <v>60</v>
      </c>
      <c r="AA781" s="154"/>
      <c r="AB781" s="242" t="str">
        <f t="shared" si="2"/>
        <v>#ERROR!</v>
      </c>
      <c r="AC781" s="154" t="s">
        <v>391</v>
      </c>
      <c r="AD781" s="242" t="b">
        <f t="shared" si="3"/>
        <v>0</v>
      </c>
      <c r="AE781" s="154"/>
      <c r="AF781" s="242" t="str">
        <f t="shared" si="4"/>
        <v>#ERROR!</v>
      </c>
      <c r="AG781" s="154" t="s">
        <v>652</v>
      </c>
      <c r="AH781" s="242" t="str">
        <f>IF(AG781="","N/A",INDIRECT("MTR!"&amp;ADDRESS(MATCH(LEFT(AG781,9),[1]MTR!C:C,0),COLUMN(J781)),TRUE) &amp; "")</f>
        <v>#ERROR!</v>
      </c>
      <c r="AI781" s="157" t="str">
        <f t="shared" si="5"/>
        <v>#ERROR!</v>
      </c>
    </row>
    <row r="782" ht="12.75" customHeight="1">
      <c r="A782" s="244" t="s">
        <v>5158</v>
      </c>
      <c r="B782" s="244" t="s">
        <v>231</v>
      </c>
      <c r="C782" s="244" t="s">
        <v>8809</v>
      </c>
      <c r="D782" s="154" t="s">
        <v>1773</v>
      </c>
      <c r="E782" s="154"/>
      <c r="F782" s="154" t="str">
        <f t="array" ref="F782">XLOOKUP(Cover!$D$12,$R$1:$Z$1,$R782:$Z782)</f>
        <v>Mandatory</v>
      </c>
      <c r="G782" s="154" t="s">
        <v>8810</v>
      </c>
      <c r="H782" s="154" t="s">
        <v>1489</v>
      </c>
      <c r="I782" s="154" t="s">
        <v>8807</v>
      </c>
      <c r="J782" s="154" t="s">
        <v>8808</v>
      </c>
      <c r="K782" s="154" t="s">
        <v>8508</v>
      </c>
      <c r="L782" s="154" t="s">
        <v>6126</v>
      </c>
      <c r="M782" s="154" t="s">
        <v>175</v>
      </c>
      <c r="N782" s="154" t="s">
        <v>759</v>
      </c>
      <c r="O782" s="247" t="s">
        <v>516</v>
      </c>
      <c r="P782" s="247" t="s">
        <v>6776</v>
      </c>
      <c r="Q782" s="154" t="str">
        <f t="shared" si="1"/>
        <v>#ERROR!</v>
      </c>
      <c r="R782" s="154" t="s">
        <v>66</v>
      </c>
      <c r="S782" s="154" t="s">
        <v>66</v>
      </c>
      <c r="T782" s="155" t="s">
        <v>64</v>
      </c>
      <c r="U782" s="155" t="s">
        <v>64</v>
      </c>
      <c r="V782" s="154" t="s">
        <v>60</v>
      </c>
      <c r="W782" s="154" t="s">
        <v>60</v>
      </c>
      <c r="X782" s="154" t="s">
        <v>66</v>
      </c>
      <c r="Y782" s="155" t="s">
        <v>64</v>
      </c>
      <c r="Z782" s="154" t="s">
        <v>60</v>
      </c>
      <c r="AA782" s="154"/>
      <c r="AB782" s="242" t="str">
        <f t="shared" si="2"/>
        <v>#ERROR!</v>
      </c>
      <c r="AC782" s="154" t="s">
        <v>391</v>
      </c>
      <c r="AD782" s="242" t="b">
        <f t="shared" si="3"/>
        <v>0</v>
      </c>
      <c r="AE782" s="154"/>
      <c r="AF782" s="242" t="str">
        <f t="shared" si="4"/>
        <v>#ERROR!</v>
      </c>
      <c r="AG782" s="154" t="s">
        <v>652</v>
      </c>
      <c r="AH782" s="242" t="str">
        <f>IF(AG782="","N/A",INDIRECT("MTR!"&amp;ADDRESS(MATCH(LEFT(AG782,9),[1]MTR!C:C,0),COLUMN(J782)),TRUE) &amp; "")</f>
        <v>#ERROR!</v>
      </c>
      <c r="AI782" s="157" t="str">
        <f t="shared" si="5"/>
        <v>#ERROR!</v>
      </c>
    </row>
    <row r="783" ht="12.75" customHeight="1">
      <c r="A783" s="244" t="s">
        <v>5158</v>
      </c>
      <c r="B783" s="244" t="s">
        <v>231</v>
      </c>
      <c r="C783" s="244" t="s">
        <v>8811</v>
      </c>
      <c r="D783" s="154" t="s">
        <v>1773</v>
      </c>
      <c r="E783" s="154"/>
      <c r="F783" s="154" t="str">
        <f t="array" ref="F783">XLOOKUP(Cover!$D$12,$R$1:$Z$1,$R783:$Z783)</f>
        <v>Mandatory</v>
      </c>
      <c r="G783" s="154" t="s">
        <v>8812</v>
      </c>
      <c r="H783" s="154" t="s">
        <v>8550</v>
      </c>
      <c r="I783" s="154" t="s">
        <v>8807</v>
      </c>
      <c r="J783" s="154" t="s">
        <v>8808</v>
      </c>
      <c r="K783" s="154" t="s">
        <v>8508</v>
      </c>
      <c r="L783" s="154" t="s">
        <v>7175</v>
      </c>
      <c r="M783" s="154" t="s">
        <v>175</v>
      </c>
      <c r="N783" s="154" t="s">
        <v>759</v>
      </c>
      <c r="O783" s="247" t="s">
        <v>516</v>
      </c>
      <c r="P783" s="247" t="s">
        <v>6776</v>
      </c>
      <c r="Q783" s="154" t="str">
        <f t="shared" si="1"/>
        <v>#ERROR!</v>
      </c>
      <c r="R783" s="154" t="s">
        <v>66</v>
      </c>
      <c r="S783" s="154" t="s">
        <v>66</v>
      </c>
      <c r="T783" s="155" t="s">
        <v>64</v>
      </c>
      <c r="U783" s="155" t="s">
        <v>64</v>
      </c>
      <c r="V783" s="154" t="s">
        <v>60</v>
      </c>
      <c r="W783" s="154" t="s">
        <v>60</v>
      </c>
      <c r="X783" s="154" t="s">
        <v>66</v>
      </c>
      <c r="Y783" s="155" t="s">
        <v>64</v>
      </c>
      <c r="Z783" s="154" t="s">
        <v>60</v>
      </c>
      <c r="AA783" s="154"/>
      <c r="AB783" s="242" t="str">
        <f t="shared" si="2"/>
        <v>#ERROR!</v>
      </c>
      <c r="AC783" s="154" t="s">
        <v>391</v>
      </c>
      <c r="AD783" s="242" t="b">
        <f t="shared" si="3"/>
        <v>0</v>
      </c>
      <c r="AE783" s="154"/>
      <c r="AF783" s="242" t="str">
        <f t="shared" si="4"/>
        <v>#ERROR!</v>
      </c>
      <c r="AG783" s="154" t="s">
        <v>652</v>
      </c>
      <c r="AH783" s="242" t="str">
        <f>IF(AG783="","N/A",INDIRECT("MTR!"&amp;ADDRESS(MATCH(LEFT(AG783,9),[1]MTR!C:C,0),COLUMN(J783)),TRUE) &amp; "")</f>
        <v>#ERROR!</v>
      </c>
      <c r="AI783" s="157" t="str">
        <f t="shared" si="5"/>
        <v>#ERROR!</v>
      </c>
    </row>
    <row r="784" ht="12.75" customHeight="1">
      <c r="A784" s="244" t="s">
        <v>5158</v>
      </c>
      <c r="B784" s="244" t="s">
        <v>231</v>
      </c>
      <c r="C784" s="244" t="s">
        <v>8813</v>
      </c>
      <c r="D784" s="154" t="s">
        <v>1773</v>
      </c>
      <c r="E784" s="154"/>
      <c r="F784" s="154" t="str">
        <f t="array" ref="F784">XLOOKUP(Cover!$D$12,$R$1:$Z$1,$R784:$Z784)</f>
        <v>Mandatory</v>
      </c>
      <c r="G784" s="154" t="s">
        <v>8814</v>
      </c>
      <c r="H784" s="154" t="s">
        <v>8519</v>
      </c>
      <c r="I784" s="154" t="s">
        <v>8807</v>
      </c>
      <c r="J784" s="154" t="s">
        <v>8808</v>
      </c>
      <c r="K784" s="154" t="s">
        <v>8508</v>
      </c>
      <c r="L784" s="154" t="s">
        <v>6126</v>
      </c>
      <c r="M784" s="154" t="s">
        <v>175</v>
      </c>
      <c r="N784" s="154" t="s">
        <v>759</v>
      </c>
      <c r="O784" s="247" t="s">
        <v>516</v>
      </c>
      <c r="P784" s="247" t="s">
        <v>6776</v>
      </c>
      <c r="Q784" s="154" t="str">
        <f t="shared" si="1"/>
        <v>#ERROR!</v>
      </c>
      <c r="R784" s="154" t="s">
        <v>66</v>
      </c>
      <c r="S784" s="154" t="s">
        <v>66</v>
      </c>
      <c r="T784" s="155" t="s">
        <v>64</v>
      </c>
      <c r="U784" s="155" t="s">
        <v>64</v>
      </c>
      <c r="V784" s="154" t="s">
        <v>60</v>
      </c>
      <c r="W784" s="154" t="s">
        <v>60</v>
      </c>
      <c r="X784" s="154" t="s">
        <v>66</v>
      </c>
      <c r="Y784" s="155" t="s">
        <v>64</v>
      </c>
      <c r="Z784" s="154" t="s">
        <v>60</v>
      </c>
      <c r="AA784" s="154"/>
      <c r="AB784" s="242" t="str">
        <f t="shared" si="2"/>
        <v>#ERROR!</v>
      </c>
      <c r="AC784" s="154" t="s">
        <v>391</v>
      </c>
      <c r="AD784" s="242" t="b">
        <f t="shared" si="3"/>
        <v>0</v>
      </c>
      <c r="AE784" s="154"/>
      <c r="AF784" s="242" t="str">
        <f t="shared" si="4"/>
        <v>#ERROR!</v>
      </c>
      <c r="AG784" s="154" t="s">
        <v>652</v>
      </c>
      <c r="AH784" s="242" t="str">
        <f>IF(AG784="","N/A",INDIRECT("MTR!"&amp;ADDRESS(MATCH(LEFT(AG784,9),[1]MTR!C:C,0),COLUMN(J784)),TRUE) &amp; "")</f>
        <v>#ERROR!</v>
      </c>
      <c r="AI784" s="157" t="str">
        <f t="shared" si="5"/>
        <v>#ERROR!</v>
      </c>
    </row>
    <row r="785" ht="12.75" customHeight="1">
      <c r="A785" s="244" t="s">
        <v>5158</v>
      </c>
      <c r="B785" s="244" t="s">
        <v>231</v>
      </c>
      <c r="C785" s="244" t="s">
        <v>8815</v>
      </c>
      <c r="D785" s="154" t="s">
        <v>1773</v>
      </c>
      <c r="E785" s="154"/>
      <c r="F785" s="154" t="str">
        <f t="array" ref="F785">XLOOKUP(Cover!$D$12,$R$1:$Z$1,$R785:$Z785)</f>
        <v>Mandatory</v>
      </c>
      <c r="G785" s="154" t="s">
        <v>8816</v>
      </c>
      <c r="H785" s="154" t="s">
        <v>8507</v>
      </c>
      <c r="I785" s="154" t="s">
        <v>8817</v>
      </c>
      <c r="J785" s="154" t="s">
        <v>8818</v>
      </c>
      <c r="K785" s="154" t="s">
        <v>8508</v>
      </c>
      <c r="L785" s="154" t="s">
        <v>6126</v>
      </c>
      <c r="M785" s="154" t="s">
        <v>175</v>
      </c>
      <c r="N785" s="154" t="s">
        <v>759</v>
      </c>
      <c r="O785" s="247" t="s">
        <v>516</v>
      </c>
      <c r="P785" s="247" t="s">
        <v>6776</v>
      </c>
      <c r="Q785" s="154" t="str">
        <f t="shared" si="1"/>
        <v>#ERROR!</v>
      </c>
      <c r="R785" s="154" t="s">
        <v>66</v>
      </c>
      <c r="S785" s="154" t="s">
        <v>66</v>
      </c>
      <c r="T785" s="155" t="s">
        <v>64</v>
      </c>
      <c r="U785" s="155" t="s">
        <v>64</v>
      </c>
      <c r="V785" s="154" t="s">
        <v>60</v>
      </c>
      <c r="W785" s="154" t="s">
        <v>60</v>
      </c>
      <c r="X785" s="154" t="s">
        <v>66</v>
      </c>
      <c r="Y785" s="155" t="s">
        <v>64</v>
      </c>
      <c r="Z785" s="154" t="s">
        <v>60</v>
      </c>
      <c r="AA785" s="154"/>
      <c r="AB785" s="242" t="str">
        <f t="shared" si="2"/>
        <v>#ERROR!</v>
      </c>
      <c r="AC785" s="154" t="s">
        <v>391</v>
      </c>
      <c r="AD785" s="242" t="b">
        <f t="shared" si="3"/>
        <v>0</v>
      </c>
      <c r="AE785" s="154"/>
      <c r="AF785" s="242" t="str">
        <f t="shared" si="4"/>
        <v>#ERROR!</v>
      </c>
      <c r="AG785" s="154" t="s">
        <v>652</v>
      </c>
      <c r="AH785" s="242" t="str">
        <f>IF(AG785="","N/A",INDIRECT("MTR!"&amp;ADDRESS(MATCH(LEFT(AG785,9),[1]MTR!C:C,0),COLUMN(J785)),TRUE) &amp; "")</f>
        <v>#ERROR!</v>
      </c>
      <c r="AI785" s="157" t="str">
        <f t="shared" si="5"/>
        <v>#ERROR!</v>
      </c>
    </row>
    <row r="786" ht="12.75" customHeight="1">
      <c r="A786" s="244" t="s">
        <v>5158</v>
      </c>
      <c r="B786" s="244" t="s">
        <v>231</v>
      </c>
      <c r="C786" s="244" t="s">
        <v>8819</v>
      </c>
      <c r="D786" s="154" t="s">
        <v>1773</v>
      </c>
      <c r="E786" s="154"/>
      <c r="F786" s="154" t="str">
        <f t="array" ref="F786">XLOOKUP(Cover!$D$12,$R$1:$Z$1,$R786:$Z786)</f>
        <v>Mandatory</v>
      </c>
      <c r="G786" s="154" t="s">
        <v>8820</v>
      </c>
      <c r="H786" s="154" t="s">
        <v>1489</v>
      </c>
      <c r="I786" s="154" t="s">
        <v>8817</v>
      </c>
      <c r="J786" s="154" t="s">
        <v>8818</v>
      </c>
      <c r="K786" s="154" t="s">
        <v>8508</v>
      </c>
      <c r="L786" s="154" t="s">
        <v>6126</v>
      </c>
      <c r="M786" s="154" t="s">
        <v>175</v>
      </c>
      <c r="N786" s="154" t="s">
        <v>759</v>
      </c>
      <c r="O786" s="247" t="s">
        <v>516</v>
      </c>
      <c r="P786" s="247" t="s">
        <v>6776</v>
      </c>
      <c r="Q786" s="154" t="str">
        <f t="shared" si="1"/>
        <v>#ERROR!</v>
      </c>
      <c r="R786" s="154" t="s">
        <v>66</v>
      </c>
      <c r="S786" s="154" t="s">
        <v>66</v>
      </c>
      <c r="T786" s="155" t="s">
        <v>64</v>
      </c>
      <c r="U786" s="155" t="s">
        <v>64</v>
      </c>
      <c r="V786" s="154" t="s">
        <v>60</v>
      </c>
      <c r="W786" s="154" t="s">
        <v>60</v>
      </c>
      <c r="X786" s="154" t="s">
        <v>66</v>
      </c>
      <c r="Y786" s="155" t="s">
        <v>64</v>
      </c>
      <c r="Z786" s="154" t="s">
        <v>60</v>
      </c>
      <c r="AA786" s="154"/>
      <c r="AB786" s="242" t="str">
        <f t="shared" si="2"/>
        <v>#ERROR!</v>
      </c>
      <c r="AC786" s="154" t="s">
        <v>391</v>
      </c>
      <c r="AD786" s="242" t="b">
        <f t="shared" si="3"/>
        <v>0</v>
      </c>
      <c r="AE786" s="154"/>
      <c r="AF786" s="242" t="str">
        <f t="shared" si="4"/>
        <v>#ERROR!</v>
      </c>
      <c r="AG786" s="154" t="s">
        <v>652</v>
      </c>
      <c r="AH786" s="242" t="str">
        <f>IF(AG786="","N/A",INDIRECT("MTR!"&amp;ADDRESS(MATCH(LEFT(AG786,9),[1]MTR!C:C,0),COLUMN(J786)),TRUE) &amp; "")</f>
        <v>#ERROR!</v>
      </c>
      <c r="AI786" s="157" t="str">
        <f t="shared" si="5"/>
        <v>#ERROR!</v>
      </c>
    </row>
    <row r="787" ht="12.75" customHeight="1">
      <c r="A787" s="244" t="s">
        <v>5158</v>
      </c>
      <c r="B787" s="244" t="s">
        <v>231</v>
      </c>
      <c r="C787" s="244" t="s">
        <v>8821</v>
      </c>
      <c r="D787" s="154" t="s">
        <v>1773</v>
      </c>
      <c r="E787" s="154"/>
      <c r="F787" s="154" t="str">
        <f t="array" ref="F787">XLOOKUP(Cover!$D$12,$R$1:$Z$1,$R787:$Z787)</f>
        <v>Mandatory</v>
      </c>
      <c r="G787" s="154" t="s">
        <v>8822</v>
      </c>
      <c r="H787" s="154" t="s">
        <v>8550</v>
      </c>
      <c r="I787" s="154" t="s">
        <v>8817</v>
      </c>
      <c r="J787" s="154" t="s">
        <v>8818</v>
      </c>
      <c r="K787" s="154" t="s">
        <v>8508</v>
      </c>
      <c r="L787" s="154" t="s">
        <v>6126</v>
      </c>
      <c r="M787" s="154" t="s">
        <v>175</v>
      </c>
      <c r="N787" s="154" t="s">
        <v>759</v>
      </c>
      <c r="O787" s="247" t="s">
        <v>516</v>
      </c>
      <c r="P787" s="247" t="s">
        <v>6776</v>
      </c>
      <c r="Q787" s="154" t="str">
        <f t="shared" si="1"/>
        <v>#ERROR!</v>
      </c>
      <c r="R787" s="154" t="s">
        <v>66</v>
      </c>
      <c r="S787" s="154" t="s">
        <v>66</v>
      </c>
      <c r="T787" s="155" t="s">
        <v>64</v>
      </c>
      <c r="U787" s="155" t="s">
        <v>64</v>
      </c>
      <c r="V787" s="154" t="s">
        <v>60</v>
      </c>
      <c r="W787" s="154" t="s">
        <v>60</v>
      </c>
      <c r="X787" s="154" t="s">
        <v>66</v>
      </c>
      <c r="Y787" s="155" t="s">
        <v>64</v>
      </c>
      <c r="Z787" s="154" t="s">
        <v>60</v>
      </c>
      <c r="AA787" s="154"/>
      <c r="AB787" s="242" t="str">
        <f t="shared" si="2"/>
        <v>#ERROR!</v>
      </c>
      <c r="AC787" s="154" t="s">
        <v>391</v>
      </c>
      <c r="AD787" s="242" t="b">
        <f t="shared" si="3"/>
        <v>0</v>
      </c>
      <c r="AE787" s="154"/>
      <c r="AF787" s="242" t="str">
        <f t="shared" si="4"/>
        <v>#ERROR!</v>
      </c>
      <c r="AG787" s="154" t="s">
        <v>652</v>
      </c>
      <c r="AH787" s="242" t="str">
        <f>IF(AG787="","N/A",INDIRECT("MTR!"&amp;ADDRESS(MATCH(LEFT(AG787,9),[1]MTR!C:C,0),COLUMN(J787)),TRUE) &amp; "")</f>
        <v>#ERROR!</v>
      </c>
      <c r="AI787" s="157" t="str">
        <f t="shared" si="5"/>
        <v>#ERROR!</v>
      </c>
    </row>
    <row r="788" ht="12.75" customHeight="1">
      <c r="A788" s="244" t="s">
        <v>5158</v>
      </c>
      <c r="B788" s="244" t="s">
        <v>231</v>
      </c>
      <c r="C788" s="244" t="s">
        <v>8823</v>
      </c>
      <c r="D788" s="154" t="s">
        <v>747</v>
      </c>
      <c r="E788" s="154"/>
      <c r="F788" s="154" t="str">
        <f t="array" ref="F788">XLOOKUP(Cover!$D$12,$R$1:$Z$1,$R788:$Z788)</f>
        <v>Mandatory</v>
      </c>
      <c r="G788" s="154" t="s">
        <v>8824</v>
      </c>
      <c r="H788" s="154" t="s">
        <v>8507</v>
      </c>
      <c r="I788" s="154" t="s">
        <v>8825</v>
      </c>
      <c r="J788" s="154" t="s">
        <v>7648</v>
      </c>
      <c r="K788" s="154" t="s">
        <v>8508</v>
      </c>
      <c r="L788" s="154" t="s">
        <v>6525</v>
      </c>
      <c r="M788" s="154" t="s">
        <v>175</v>
      </c>
      <c r="N788" s="154" t="s">
        <v>759</v>
      </c>
      <c r="O788" s="247" t="s">
        <v>516</v>
      </c>
      <c r="P788" s="247" t="s">
        <v>6776</v>
      </c>
      <c r="Q788" s="154" t="str">
        <f t="shared" si="1"/>
        <v>#ERROR!</v>
      </c>
      <c r="R788" s="154" t="s">
        <v>66</v>
      </c>
      <c r="S788" s="154" t="s">
        <v>66</v>
      </c>
      <c r="T788" s="155" t="s">
        <v>64</v>
      </c>
      <c r="U788" s="155" t="s">
        <v>64</v>
      </c>
      <c r="V788" s="154" t="s">
        <v>60</v>
      </c>
      <c r="W788" s="154" t="s">
        <v>60</v>
      </c>
      <c r="X788" s="154" t="s">
        <v>66</v>
      </c>
      <c r="Y788" s="155" t="s">
        <v>64</v>
      </c>
      <c r="Z788" s="154" t="s">
        <v>60</v>
      </c>
      <c r="AA788" s="154"/>
      <c r="AB788" s="242" t="str">
        <f t="shared" si="2"/>
        <v>#ERROR!</v>
      </c>
      <c r="AC788" s="154" t="s">
        <v>391</v>
      </c>
      <c r="AD788" s="242" t="b">
        <f t="shared" si="3"/>
        <v>0</v>
      </c>
      <c r="AE788" s="154"/>
      <c r="AF788" s="242" t="str">
        <f t="shared" si="4"/>
        <v>#ERROR!</v>
      </c>
      <c r="AG788" s="154" t="s">
        <v>652</v>
      </c>
      <c r="AH788" s="242" t="str">
        <f>IF(AG788="","N/A",INDIRECT("MTR!"&amp;ADDRESS(MATCH(LEFT(AG788,9),[1]MTR!C:C,0),COLUMN(J788)),TRUE) &amp; "")</f>
        <v>#ERROR!</v>
      </c>
      <c r="AI788" s="157" t="str">
        <f t="shared" si="5"/>
        <v>#ERROR!</v>
      </c>
    </row>
    <row r="789" ht="12.75" customHeight="1">
      <c r="A789" s="244" t="s">
        <v>5158</v>
      </c>
      <c r="B789" s="244" t="s">
        <v>231</v>
      </c>
      <c r="C789" s="244" t="s">
        <v>8826</v>
      </c>
      <c r="D789" s="154" t="s">
        <v>747</v>
      </c>
      <c r="E789" s="154"/>
      <c r="F789" s="154" t="str">
        <f t="array" ref="F789">XLOOKUP(Cover!$D$12,$R$1:$Z$1,$R789:$Z789)</f>
        <v>Mandatory</v>
      </c>
      <c r="G789" s="154" t="s">
        <v>8827</v>
      </c>
      <c r="H789" s="154" t="s">
        <v>1489</v>
      </c>
      <c r="I789" s="154" t="s">
        <v>8825</v>
      </c>
      <c r="J789" s="154" t="s">
        <v>7648</v>
      </c>
      <c r="K789" s="154" t="s">
        <v>8508</v>
      </c>
      <c r="L789" s="154" t="s">
        <v>6525</v>
      </c>
      <c r="M789" s="154" t="s">
        <v>175</v>
      </c>
      <c r="N789" s="154" t="s">
        <v>759</v>
      </c>
      <c r="O789" s="247" t="s">
        <v>516</v>
      </c>
      <c r="P789" s="247" t="s">
        <v>6776</v>
      </c>
      <c r="Q789" s="154" t="str">
        <f t="shared" si="1"/>
        <v>#ERROR!</v>
      </c>
      <c r="R789" s="154" t="s">
        <v>66</v>
      </c>
      <c r="S789" s="154" t="s">
        <v>66</v>
      </c>
      <c r="T789" s="155" t="s">
        <v>64</v>
      </c>
      <c r="U789" s="155" t="s">
        <v>64</v>
      </c>
      <c r="V789" s="154" t="s">
        <v>60</v>
      </c>
      <c r="W789" s="154" t="s">
        <v>60</v>
      </c>
      <c r="X789" s="154" t="s">
        <v>66</v>
      </c>
      <c r="Y789" s="155" t="s">
        <v>64</v>
      </c>
      <c r="Z789" s="154" t="s">
        <v>60</v>
      </c>
      <c r="AA789" s="154"/>
      <c r="AB789" s="242" t="str">
        <f t="shared" si="2"/>
        <v>#ERROR!</v>
      </c>
      <c r="AC789" s="154" t="s">
        <v>391</v>
      </c>
      <c r="AD789" s="242" t="b">
        <f t="shared" si="3"/>
        <v>0</v>
      </c>
      <c r="AE789" s="154"/>
      <c r="AF789" s="242" t="str">
        <f t="shared" si="4"/>
        <v>#ERROR!</v>
      </c>
      <c r="AG789" s="154" t="s">
        <v>652</v>
      </c>
      <c r="AH789" s="242" t="str">
        <f>IF(AG789="","N/A",INDIRECT("MTR!"&amp;ADDRESS(MATCH(LEFT(AG789,9),[1]MTR!C:C,0),COLUMN(J789)),TRUE) &amp; "")</f>
        <v>#ERROR!</v>
      </c>
      <c r="AI789" s="157" t="str">
        <f t="shared" si="5"/>
        <v>#ERROR!</v>
      </c>
    </row>
    <row r="790" ht="12.75" customHeight="1">
      <c r="A790" s="244" t="s">
        <v>5158</v>
      </c>
      <c r="B790" s="244" t="s">
        <v>231</v>
      </c>
      <c r="C790" s="244" t="s">
        <v>8828</v>
      </c>
      <c r="D790" s="154" t="s">
        <v>747</v>
      </c>
      <c r="E790" s="154"/>
      <c r="F790" s="154" t="str">
        <f t="array" ref="F790">XLOOKUP(Cover!$D$12,$R$1:$Z$1,$R790:$Z790)</f>
        <v>Recommended</v>
      </c>
      <c r="G790" s="154" t="s">
        <v>8829</v>
      </c>
      <c r="H790" s="154" t="s">
        <v>8513</v>
      </c>
      <c r="I790" s="154" t="s">
        <v>8825</v>
      </c>
      <c r="J790" s="154" t="s">
        <v>7648</v>
      </c>
      <c r="K790" s="154" t="s">
        <v>8508</v>
      </c>
      <c r="L790" s="154" t="s">
        <v>6525</v>
      </c>
      <c r="M790" s="154"/>
      <c r="N790" s="154" t="s">
        <v>759</v>
      </c>
      <c r="O790" s="247" t="s">
        <v>516</v>
      </c>
      <c r="P790" s="247" t="s">
        <v>6776</v>
      </c>
      <c r="Q790" s="154" t="str">
        <f t="shared" si="1"/>
        <v>#ERROR!</v>
      </c>
      <c r="R790" s="154" t="s">
        <v>66</v>
      </c>
      <c r="S790" s="154" t="s">
        <v>66</v>
      </c>
      <c r="T790" s="154" t="s">
        <v>64</v>
      </c>
      <c r="U790" s="154" t="s">
        <v>64</v>
      </c>
      <c r="V790" s="154" t="s">
        <v>64</v>
      </c>
      <c r="W790" s="154" t="s">
        <v>64</v>
      </c>
      <c r="X790" s="154" t="s">
        <v>66</v>
      </c>
      <c r="Y790" s="154" t="s">
        <v>64</v>
      </c>
      <c r="Z790" s="154" t="s">
        <v>64</v>
      </c>
      <c r="AA790" s="154"/>
      <c r="AB790" s="242" t="str">
        <f t="shared" si="2"/>
        <v>#ERROR!</v>
      </c>
      <c r="AC790" s="154" t="s">
        <v>391</v>
      </c>
      <c r="AD790" s="242" t="b">
        <f t="shared" si="3"/>
        <v>0</v>
      </c>
      <c r="AE790" s="154"/>
      <c r="AF790" s="242" t="str">
        <f t="shared" si="4"/>
        <v>#ERROR!</v>
      </c>
      <c r="AG790" s="154" t="s">
        <v>652</v>
      </c>
      <c r="AH790" s="242" t="str">
        <f>IF(AG790="","N/A",INDIRECT("MTR!"&amp;ADDRESS(MATCH(LEFT(AG790,9),[1]MTR!C:C,0),COLUMN(J790)),TRUE) &amp; "")</f>
        <v>#ERROR!</v>
      </c>
      <c r="AI790" s="157" t="str">
        <f t="shared" si="5"/>
        <v>#ERROR!</v>
      </c>
    </row>
    <row r="791" ht="12.75" customHeight="1">
      <c r="A791" s="244" t="s">
        <v>5158</v>
      </c>
      <c r="B791" s="244" t="s">
        <v>231</v>
      </c>
      <c r="C791" s="244" t="s">
        <v>8830</v>
      </c>
      <c r="D791" s="154" t="s">
        <v>747</v>
      </c>
      <c r="E791" s="154"/>
      <c r="F791" s="154" t="str">
        <f t="array" ref="F791">XLOOKUP(Cover!$D$12,$R$1:$Z$1,$R791:$Z791)</f>
        <v>Recommended</v>
      </c>
      <c r="G791" s="154" t="s">
        <v>8831</v>
      </c>
      <c r="H791" s="154" t="s">
        <v>8573</v>
      </c>
      <c r="I791" s="154" t="s">
        <v>8825</v>
      </c>
      <c r="J791" s="154" t="s">
        <v>7648</v>
      </c>
      <c r="K791" s="154" t="s">
        <v>8508</v>
      </c>
      <c r="L791" s="154" t="s">
        <v>6525</v>
      </c>
      <c r="M791" s="154"/>
      <c r="N791" s="154" t="s">
        <v>759</v>
      </c>
      <c r="O791" s="247" t="s">
        <v>516</v>
      </c>
      <c r="P791" s="247" t="s">
        <v>6776</v>
      </c>
      <c r="Q791" s="154" t="str">
        <f t="shared" si="1"/>
        <v>#ERROR!</v>
      </c>
      <c r="R791" s="154" t="s">
        <v>66</v>
      </c>
      <c r="S791" s="154" t="s">
        <v>66</v>
      </c>
      <c r="T791" s="154" t="s">
        <v>64</v>
      </c>
      <c r="U791" s="154" t="s">
        <v>64</v>
      </c>
      <c r="V791" s="154" t="s">
        <v>64</v>
      </c>
      <c r="W791" s="154" t="s">
        <v>64</v>
      </c>
      <c r="X791" s="154" t="s">
        <v>66</v>
      </c>
      <c r="Y791" s="154" t="s">
        <v>64</v>
      </c>
      <c r="Z791" s="154" t="s">
        <v>64</v>
      </c>
      <c r="AA791" s="154"/>
      <c r="AB791" s="242" t="str">
        <f t="shared" si="2"/>
        <v>#ERROR!</v>
      </c>
      <c r="AC791" s="154" t="s">
        <v>391</v>
      </c>
      <c r="AD791" s="242" t="b">
        <f t="shared" si="3"/>
        <v>0</v>
      </c>
      <c r="AE791" s="154"/>
      <c r="AF791" s="242" t="str">
        <f t="shared" si="4"/>
        <v>#ERROR!</v>
      </c>
      <c r="AG791" s="154" t="s">
        <v>652</v>
      </c>
      <c r="AH791" s="242" t="str">
        <f>IF(AG791="","N/A",INDIRECT("MTR!"&amp;ADDRESS(MATCH(LEFT(AG791,9),[1]MTR!C:C,0),COLUMN(J791)),TRUE) &amp; "")</f>
        <v>#ERROR!</v>
      </c>
      <c r="AI791" s="157" t="str">
        <f t="shared" si="5"/>
        <v>#ERROR!</v>
      </c>
    </row>
    <row r="792" ht="12.75" customHeight="1">
      <c r="A792" s="244" t="s">
        <v>5158</v>
      </c>
      <c r="B792" s="244" t="s">
        <v>231</v>
      </c>
      <c r="C792" s="255" t="s">
        <v>8832</v>
      </c>
      <c r="D792" s="256" t="s">
        <v>42</v>
      </c>
      <c r="E792" s="256" t="s">
        <v>489</v>
      </c>
      <c r="F792" s="154" t="str">
        <f t="array" ref="F792">XLOOKUP(Cover!$D$12,$R$1:$Z$1,$R792:$Z792)</f>
        <v>Information</v>
      </c>
      <c r="G792" s="154" t="s">
        <v>8833</v>
      </c>
      <c r="H792" s="154" t="s">
        <v>8507</v>
      </c>
      <c r="I792" s="154" t="s">
        <v>8834</v>
      </c>
      <c r="J792" s="154" t="s">
        <v>8835</v>
      </c>
      <c r="K792" s="154" t="s">
        <v>8508</v>
      </c>
      <c r="L792" s="154" t="s">
        <v>5931</v>
      </c>
      <c r="M792" s="154"/>
      <c r="N792" s="154" t="s">
        <v>759</v>
      </c>
      <c r="O792" s="247" t="s">
        <v>516</v>
      </c>
      <c r="P792" s="247" t="s">
        <v>6776</v>
      </c>
      <c r="Q792" s="154" t="str">
        <f t="shared" si="1"/>
        <v>#ERROR!</v>
      </c>
      <c r="R792" s="154" t="s">
        <v>66</v>
      </c>
      <c r="S792" s="154" t="s">
        <v>66</v>
      </c>
      <c r="T792" s="154" t="s">
        <v>66</v>
      </c>
      <c r="U792" s="154" t="s">
        <v>66</v>
      </c>
      <c r="V792" s="154" t="s">
        <v>66</v>
      </c>
      <c r="W792" s="154" t="s">
        <v>66</v>
      </c>
      <c r="X792" s="154" t="s">
        <v>66</v>
      </c>
      <c r="Y792" s="154" t="s">
        <v>66</v>
      </c>
      <c r="Z792" s="154" t="s">
        <v>66</v>
      </c>
      <c r="AA792" s="154"/>
      <c r="AB792" s="242" t="str">
        <f t="shared" si="2"/>
        <v>#ERROR!</v>
      </c>
      <c r="AC792" s="154" t="s">
        <v>391</v>
      </c>
      <c r="AD792" s="242" t="b">
        <f t="shared" si="3"/>
        <v>0</v>
      </c>
      <c r="AE792" s="154"/>
      <c r="AF792" s="242" t="str">
        <f t="shared" si="4"/>
        <v>#ERROR!</v>
      </c>
      <c r="AG792" s="154" t="s">
        <v>652</v>
      </c>
      <c r="AH792" s="242" t="str">
        <f>IF(AG792="","N/A",INDIRECT("MTR!"&amp;ADDRESS(MATCH(LEFT(AG792,9),[1]MTR!C:C,0),COLUMN(J792)),TRUE) &amp; "")</f>
        <v>#ERROR!</v>
      </c>
      <c r="AI792" s="157" t="str">
        <f t="shared" si="5"/>
        <v>#ERROR!</v>
      </c>
    </row>
    <row r="793" ht="12.75" customHeight="1">
      <c r="A793" s="244" t="s">
        <v>5158</v>
      </c>
      <c r="B793" s="244" t="s">
        <v>231</v>
      </c>
      <c r="C793" s="255" t="s">
        <v>8836</v>
      </c>
      <c r="D793" s="256" t="s">
        <v>42</v>
      </c>
      <c r="E793" s="256" t="s">
        <v>489</v>
      </c>
      <c r="F793" s="154" t="str">
        <f t="array" ref="F793">XLOOKUP(Cover!$D$12,$R$1:$Z$1,$R793:$Z793)</f>
        <v>Information</v>
      </c>
      <c r="G793" s="154" t="s">
        <v>8837</v>
      </c>
      <c r="H793" s="154" t="s">
        <v>1489</v>
      </c>
      <c r="I793" s="154" t="s">
        <v>8834</v>
      </c>
      <c r="J793" s="154" t="s">
        <v>8835</v>
      </c>
      <c r="K793" s="154" t="s">
        <v>8508</v>
      </c>
      <c r="L793" s="154" t="s">
        <v>5931</v>
      </c>
      <c r="M793" s="154"/>
      <c r="N793" s="154" t="s">
        <v>759</v>
      </c>
      <c r="O793" s="247" t="s">
        <v>516</v>
      </c>
      <c r="P793" s="247" t="s">
        <v>6776</v>
      </c>
      <c r="Q793" s="154" t="str">
        <f t="shared" si="1"/>
        <v>#ERROR!</v>
      </c>
      <c r="R793" s="154" t="s">
        <v>66</v>
      </c>
      <c r="S793" s="154" t="s">
        <v>66</v>
      </c>
      <c r="T793" s="154" t="s">
        <v>66</v>
      </c>
      <c r="U793" s="154" t="s">
        <v>66</v>
      </c>
      <c r="V793" s="154" t="s">
        <v>66</v>
      </c>
      <c r="W793" s="154" t="s">
        <v>66</v>
      </c>
      <c r="X793" s="154" t="s">
        <v>66</v>
      </c>
      <c r="Y793" s="154" t="s">
        <v>66</v>
      </c>
      <c r="Z793" s="154" t="s">
        <v>66</v>
      </c>
      <c r="AA793" s="154"/>
      <c r="AB793" s="242" t="str">
        <f t="shared" si="2"/>
        <v>#ERROR!</v>
      </c>
      <c r="AC793" s="154" t="s">
        <v>391</v>
      </c>
      <c r="AD793" s="242" t="b">
        <f t="shared" si="3"/>
        <v>0</v>
      </c>
      <c r="AE793" s="154"/>
      <c r="AF793" s="242" t="str">
        <f t="shared" si="4"/>
        <v>#ERROR!</v>
      </c>
      <c r="AG793" s="154" t="s">
        <v>652</v>
      </c>
      <c r="AH793" s="242" t="str">
        <f>IF(AG793="","N/A",INDIRECT("MTR!"&amp;ADDRESS(MATCH(LEFT(AG793,9),[1]MTR!C:C,0),COLUMN(J793)),TRUE) &amp; "")</f>
        <v>#ERROR!</v>
      </c>
      <c r="AI793" s="157" t="str">
        <f t="shared" si="5"/>
        <v>#ERROR!</v>
      </c>
    </row>
    <row r="794" ht="12.75" customHeight="1">
      <c r="A794" s="244" t="s">
        <v>5158</v>
      </c>
      <c r="B794" s="244" t="s">
        <v>231</v>
      </c>
      <c r="C794" s="255" t="s">
        <v>8838</v>
      </c>
      <c r="D794" s="256" t="s">
        <v>42</v>
      </c>
      <c r="E794" s="256" t="s">
        <v>489</v>
      </c>
      <c r="F794" s="154" t="str">
        <f t="array" ref="F794">XLOOKUP(Cover!$D$12,$R$1:$Z$1,$R794:$Z794)</f>
        <v>Information</v>
      </c>
      <c r="G794" s="154" t="s">
        <v>8839</v>
      </c>
      <c r="H794" s="154" t="s">
        <v>8513</v>
      </c>
      <c r="I794" s="154" t="s">
        <v>8834</v>
      </c>
      <c r="J794" s="154" t="s">
        <v>8835</v>
      </c>
      <c r="K794" s="154" t="s">
        <v>8508</v>
      </c>
      <c r="L794" s="154" t="s">
        <v>5931</v>
      </c>
      <c r="M794" s="154"/>
      <c r="N794" s="154" t="s">
        <v>759</v>
      </c>
      <c r="O794" s="247" t="s">
        <v>516</v>
      </c>
      <c r="P794" s="247" t="s">
        <v>6776</v>
      </c>
      <c r="Q794" s="154" t="str">
        <f t="shared" si="1"/>
        <v>#ERROR!</v>
      </c>
      <c r="R794" s="154" t="s">
        <v>66</v>
      </c>
      <c r="S794" s="154" t="s">
        <v>66</v>
      </c>
      <c r="T794" s="154" t="s">
        <v>66</v>
      </c>
      <c r="U794" s="154" t="s">
        <v>66</v>
      </c>
      <c r="V794" s="154" t="s">
        <v>66</v>
      </c>
      <c r="W794" s="154" t="s">
        <v>66</v>
      </c>
      <c r="X794" s="154" t="s">
        <v>66</v>
      </c>
      <c r="Y794" s="154" t="s">
        <v>66</v>
      </c>
      <c r="Z794" s="154" t="s">
        <v>66</v>
      </c>
      <c r="AA794" s="154"/>
      <c r="AB794" s="242" t="str">
        <f t="shared" si="2"/>
        <v>#ERROR!</v>
      </c>
      <c r="AC794" s="154" t="s">
        <v>391</v>
      </c>
      <c r="AD794" s="242" t="b">
        <f t="shared" si="3"/>
        <v>0</v>
      </c>
      <c r="AE794" s="154"/>
      <c r="AF794" s="242" t="str">
        <f t="shared" si="4"/>
        <v>#ERROR!</v>
      </c>
      <c r="AG794" s="154" t="s">
        <v>652</v>
      </c>
      <c r="AH794" s="242" t="str">
        <f>IF(AG794="","N/A",INDIRECT("MTR!"&amp;ADDRESS(MATCH(LEFT(AG794,9),[1]MTR!C:C,0),COLUMN(J794)),TRUE) &amp; "")</f>
        <v>#ERROR!</v>
      </c>
      <c r="AI794" s="157" t="str">
        <f t="shared" si="5"/>
        <v>#ERROR!</v>
      </c>
    </row>
    <row r="795" ht="12.75" customHeight="1">
      <c r="A795" s="244" t="s">
        <v>5158</v>
      </c>
      <c r="B795" s="244" t="s">
        <v>231</v>
      </c>
      <c r="C795" s="244" t="s">
        <v>8840</v>
      </c>
      <c r="D795" s="154" t="s">
        <v>861</v>
      </c>
      <c r="E795" s="154"/>
      <c r="F795" s="154" t="str">
        <f t="array" ref="F795">XLOOKUP(Cover!$D$12,$R$1:$Z$1,$R795:$Z795)</f>
        <v>Recommended</v>
      </c>
      <c r="G795" s="154" t="s">
        <v>8841</v>
      </c>
      <c r="H795" s="154" t="s">
        <v>8507</v>
      </c>
      <c r="I795" s="154" t="s">
        <v>8842</v>
      </c>
      <c r="J795" s="154" t="s">
        <v>8159</v>
      </c>
      <c r="K795" s="154" t="s">
        <v>8508</v>
      </c>
      <c r="L795" s="154" t="s">
        <v>6428</v>
      </c>
      <c r="M795" s="154"/>
      <c r="N795" s="154" t="s">
        <v>759</v>
      </c>
      <c r="O795" s="247" t="s">
        <v>516</v>
      </c>
      <c r="P795" s="247" t="s">
        <v>6776</v>
      </c>
      <c r="Q795" s="154" t="str">
        <f t="shared" si="1"/>
        <v>#ERROR!</v>
      </c>
      <c r="R795" s="154" t="s">
        <v>66</v>
      </c>
      <c r="S795" s="154" t="s">
        <v>66</v>
      </c>
      <c r="T795" s="154" t="s">
        <v>64</v>
      </c>
      <c r="U795" s="154" t="s">
        <v>64</v>
      </c>
      <c r="V795" s="154" t="s">
        <v>64</v>
      </c>
      <c r="W795" s="154" t="s">
        <v>64</v>
      </c>
      <c r="X795" s="154" t="s">
        <v>66</v>
      </c>
      <c r="Y795" s="154" t="s">
        <v>64</v>
      </c>
      <c r="Z795" s="154" t="s">
        <v>64</v>
      </c>
      <c r="AA795" s="154"/>
      <c r="AB795" s="242" t="str">
        <f t="shared" si="2"/>
        <v>#ERROR!</v>
      </c>
      <c r="AC795" s="154" t="s">
        <v>391</v>
      </c>
      <c r="AD795" s="242" t="b">
        <f t="shared" si="3"/>
        <v>0</v>
      </c>
      <c r="AE795" s="154"/>
      <c r="AF795" s="242" t="str">
        <f t="shared" si="4"/>
        <v>#ERROR!</v>
      </c>
      <c r="AG795" s="154" t="s">
        <v>652</v>
      </c>
      <c r="AH795" s="242" t="str">
        <f>IF(AG795="","N/A",INDIRECT("MTR!"&amp;ADDRESS(MATCH(LEFT(AG795,9),[1]MTR!C:C,0),COLUMN(J795)),TRUE) &amp; "")</f>
        <v>#ERROR!</v>
      </c>
      <c r="AI795" s="157" t="str">
        <f t="shared" si="5"/>
        <v>#ERROR!</v>
      </c>
    </row>
    <row r="796" ht="12.75" customHeight="1">
      <c r="A796" s="244" t="s">
        <v>5158</v>
      </c>
      <c r="B796" s="244" t="s">
        <v>231</v>
      </c>
      <c r="C796" s="244" t="s">
        <v>8843</v>
      </c>
      <c r="D796" s="154" t="s">
        <v>861</v>
      </c>
      <c r="E796" s="154"/>
      <c r="F796" s="154" t="str">
        <f t="array" ref="F796">XLOOKUP(Cover!$D$12,$R$1:$Z$1,$R796:$Z796)</f>
        <v>Recommended</v>
      </c>
      <c r="G796" s="154" t="s">
        <v>8844</v>
      </c>
      <c r="H796" s="154" t="s">
        <v>1489</v>
      </c>
      <c r="I796" s="154" t="s">
        <v>8842</v>
      </c>
      <c r="J796" s="154" t="s">
        <v>8159</v>
      </c>
      <c r="K796" s="154" t="s">
        <v>8508</v>
      </c>
      <c r="L796" s="154" t="s">
        <v>6428</v>
      </c>
      <c r="M796" s="154"/>
      <c r="N796" s="154" t="s">
        <v>759</v>
      </c>
      <c r="O796" s="247" t="s">
        <v>516</v>
      </c>
      <c r="P796" s="247" t="s">
        <v>6776</v>
      </c>
      <c r="Q796" s="154" t="str">
        <f t="shared" si="1"/>
        <v>#ERROR!</v>
      </c>
      <c r="R796" s="154" t="s">
        <v>66</v>
      </c>
      <c r="S796" s="154" t="s">
        <v>66</v>
      </c>
      <c r="T796" s="154" t="s">
        <v>64</v>
      </c>
      <c r="U796" s="154" t="s">
        <v>64</v>
      </c>
      <c r="V796" s="154" t="s">
        <v>64</v>
      </c>
      <c r="W796" s="154" t="s">
        <v>64</v>
      </c>
      <c r="X796" s="154" t="s">
        <v>66</v>
      </c>
      <c r="Y796" s="154" t="s">
        <v>64</v>
      </c>
      <c r="Z796" s="154" t="s">
        <v>64</v>
      </c>
      <c r="AA796" s="154"/>
      <c r="AB796" s="242" t="str">
        <f t="shared" si="2"/>
        <v>#ERROR!</v>
      </c>
      <c r="AC796" s="154" t="s">
        <v>391</v>
      </c>
      <c r="AD796" s="242" t="b">
        <f t="shared" si="3"/>
        <v>0</v>
      </c>
      <c r="AE796" s="154"/>
      <c r="AF796" s="242" t="str">
        <f t="shared" si="4"/>
        <v>#ERROR!</v>
      </c>
      <c r="AG796" s="154" t="s">
        <v>652</v>
      </c>
      <c r="AH796" s="242" t="str">
        <f>IF(AG796="","N/A",INDIRECT("MTR!"&amp;ADDRESS(MATCH(LEFT(AG796,9),[1]MTR!C:C,0),COLUMN(J796)),TRUE) &amp; "")</f>
        <v>#ERROR!</v>
      </c>
      <c r="AI796" s="157" t="str">
        <f t="shared" si="5"/>
        <v>#ERROR!</v>
      </c>
    </row>
    <row r="797" ht="12.75" customHeight="1">
      <c r="A797" s="244" t="s">
        <v>5158</v>
      </c>
      <c r="B797" s="244" t="s">
        <v>231</v>
      </c>
      <c r="C797" s="244" t="s">
        <v>8845</v>
      </c>
      <c r="D797" s="154" t="s">
        <v>861</v>
      </c>
      <c r="E797" s="154"/>
      <c r="F797" s="154" t="str">
        <f t="array" ref="F797">XLOOKUP(Cover!$D$12,$R$1:$Z$1,$R797:$Z797)</f>
        <v>Recommended</v>
      </c>
      <c r="G797" s="154" t="s">
        <v>8846</v>
      </c>
      <c r="H797" s="154" t="s">
        <v>8513</v>
      </c>
      <c r="I797" s="154" t="s">
        <v>8842</v>
      </c>
      <c r="J797" s="154" t="s">
        <v>8159</v>
      </c>
      <c r="K797" s="154" t="s">
        <v>8508</v>
      </c>
      <c r="L797" s="154" t="s">
        <v>6428</v>
      </c>
      <c r="M797" s="154"/>
      <c r="N797" s="154" t="s">
        <v>759</v>
      </c>
      <c r="O797" s="247" t="s">
        <v>516</v>
      </c>
      <c r="P797" s="247" t="s">
        <v>6776</v>
      </c>
      <c r="Q797" s="154" t="str">
        <f t="shared" si="1"/>
        <v>#ERROR!</v>
      </c>
      <c r="R797" s="154" t="s">
        <v>66</v>
      </c>
      <c r="S797" s="154" t="s">
        <v>66</v>
      </c>
      <c r="T797" s="154" t="s">
        <v>64</v>
      </c>
      <c r="U797" s="154" t="s">
        <v>64</v>
      </c>
      <c r="V797" s="154" t="s">
        <v>64</v>
      </c>
      <c r="W797" s="154" t="s">
        <v>64</v>
      </c>
      <c r="X797" s="154" t="s">
        <v>66</v>
      </c>
      <c r="Y797" s="154" t="s">
        <v>64</v>
      </c>
      <c r="Z797" s="154" t="s">
        <v>64</v>
      </c>
      <c r="AA797" s="154"/>
      <c r="AB797" s="242" t="str">
        <f t="shared" si="2"/>
        <v>#ERROR!</v>
      </c>
      <c r="AC797" s="154" t="s">
        <v>391</v>
      </c>
      <c r="AD797" s="242" t="b">
        <f t="shared" si="3"/>
        <v>0</v>
      </c>
      <c r="AE797" s="154"/>
      <c r="AF797" s="242" t="str">
        <f t="shared" si="4"/>
        <v>#ERROR!</v>
      </c>
      <c r="AG797" s="154" t="s">
        <v>652</v>
      </c>
      <c r="AH797" s="242" t="str">
        <f>IF(AG797="","N/A",INDIRECT("MTR!"&amp;ADDRESS(MATCH(LEFT(AG797,9),[1]MTR!C:C,0),COLUMN(J797)),TRUE) &amp; "")</f>
        <v>#ERROR!</v>
      </c>
      <c r="AI797" s="157" t="str">
        <f t="shared" si="5"/>
        <v>#ERROR!</v>
      </c>
    </row>
    <row r="798" ht="12.75" customHeight="1">
      <c r="A798" s="244" t="s">
        <v>5158</v>
      </c>
      <c r="B798" s="244" t="s">
        <v>231</v>
      </c>
      <c r="C798" s="244" t="s">
        <v>8847</v>
      </c>
      <c r="D798" s="154" t="s">
        <v>861</v>
      </c>
      <c r="E798" s="154"/>
      <c r="F798" s="154" t="str">
        <f t="array" ref="F798">XLOOKUP(Cover!$D$12,$R$1:$Z$1,$R798:$Z798)</f>
        <v>Recommended</v>
      </c>
      <c r="G798" s="154" t="s">
        <v>8848</v>
      </c>
      <c r="H798" s="154" t="s">
        <v>8516</v>
      </c>
      <c r="I798" s="154" t="s">
        <v>8842</v>
      </c>
      <c r="J798" s="154" t="s">
        <v>8159</v>
      </c>
      <c r="K798" s="154" t="s">
        <v>8508</v>
      </c>
      <c r="L798" s="154" t="s">
        <v>6428</v>
      </c>
      <c r="M798" s="154"/>
      <c r="N798" s="154" t="s">
        <v>759</v>
      </c>
      <c r="O798" s="247" t="s">
        <v>516</v>
      </c>
      <c r="P798" s="247" t="s">
        <v>6776</v>
      </c>
      <c r="Q798" s="154" t="str">
        <f t="shared" si="1"/>
        <v>#ERROR!</v>
      </c>
      <c r="R798" s="154" t="s">
        <v>66</v>
      </c>
      <c r="S798" s="154" t="s">
        <v>66</v>
      </c>
      <c r="T798" s="154" t="s">
        <v>64</v>
      </c>
      <c r="U798" s="154" t="s">
        <v>64</v>
      </c>
      <c r="V798" s="154" t="s">
        <v>64</v>
      </c>
      <c r="W798" s="154" t="s">
        <v>64</v>
      </c>
      <c r="X798" s="154" t="s">
        <v>66</v>
      </c>
      <c r="Y798" s="154" t="s">
        <v>64</v>
      </c>
      <c r="Z798" s="154" t="s">
        <v>64</v>
      </c>
      <c r="AA798" s="154"/>
      <c r="AB798" s="242" t="str">
        <f t="shared" si="2"/>
        <v>#ERROR!</v>
      </c>
      <c r="AC798" s="154" t="s">
        <v>391</v>
      </c>
      <c r="AD798" s="242" t="b">
        <f t="shared" si="3"/>
        <v>0</v>
      </c>
      <c r="AE798" s="154"/>
      <c r="AF798" s="242" t="str">
        <f t="shared" si="4"/>
        <v>#ERROR!</v>
      </c>
      <c r="AG798" s="154" t="s">
        <v>652</v>
      </c>
      <c r="AH798" s="242" t="str">
        <f>IF(AG798="","N/A",INDIRECT("MTR!"&amp;ADDRESS(MATCH(LEFT(AG798,9),[1]MTR!C:C,0),COLUMN(J798)),TRUE) &amp; "")</f>
        <v>#ERROR!</v>
      </c>
      <c r="AI798" s="157" t="str">
        <f t="shared" si="5"/>
        <v>#ERROR!</v>
      </c>
    </row>
    <row r="799" ht="12.75" customHeight="1">
      <c r="A799" s="244" t="s">
        <v>5158</v>
      </c>
      <c r="B799" s="244" t="s">
        <v>231</v>
      </c>
      <c r="C799" s="244" t="s">
        <v>8849</v>
      </c>
      <c r="D799" s="154" t="s">
        <v>542</v>
      </c>
      <c r="E799" s="154"/>
      <c r="F799" s="154" t="str">
        <f t="array" ref="F799">XLOOKUP(Cover!$D$12,$R$1:$Z$1,$R799:$Z799)</f>
        <v>Mandatory</v>
      </c>
      <c r="G799" s="154" t="s">
        <v>8850</v>
      </c>
      <c r="H799" s="154" t="s">
        <v>8507</v>
      </c>
      <c r="I799" s="154" t="s">
        <v>8851</v>
      </c>
      <c r="J799" s="154" t="s">
        <v>8416</v>
      </c>
      <c r="K799" s="154" t="s">
        <v>8508</v>
      </c>
      <c r="L799" s="154" t="s">
        <v>6140</v>
      </c>
      <c r="M799" s="154" t="s">
        <v>175</v>
      </c>
      <c r="N799" s="154" t="s">
        <v>759</v>
      </c>
      <c r="O799" s="247" t="s">
        <v>516</v>
      </c>
      <c r="P799" s="247" t="s">
        <v>6776</v>
      </c>
      <c r="Q799" s="154" t="str">
        <f t="shared" si="1"/>
        <v>#ERROR!</v>
      </c>
      <c r="R799" s="154" t="s">
        <v>66</v>
      </c>
      <c r="S799" s="154" t="s">
        <v>66</v>
      </c>
      <c r="T799" s="155" t="s">
        <v>64</v>
      </c>
      <c r="U799" s="155" t="s">
        <v>64</v>
      </c>
      <c r="V799" s="154" t="s">
        <v>60</v>
      </c>
      <c r="W799" s="154" t="s">
        <v>60</v>
      </c>
      <c r="X799" s="154" t="s">
        <v>66</v>
      </c>
      <c r="Y799" s="155" t="s">
        <v>64</v>
      </c>
      <c r="Z799" s="154" t="s">
        <v>60</v>
      </c>
      <c r="AA799" s="154"/>
      <c r="AB799" s="242" t="str">
        <f t="shared" si="2"/>
        <v>#ERROR!</v>
      </c>
      <c r="AC799" s="154" t="s">
        <v>391</v>
      </c>
      <c r="AD799" s="242" t="b">
        <f t="shared" si="3"/>
        <v>0</v>
      </c>
      <c r="AE799" s="154"/>
      <c r="AF799" s="242" t="str">
        <f t="shared" si="4"/>
        <v>#ERROR!</v>
      </c>
      <c r="AG799" s="154" t="s">
        <v>652</v>
      </c>
      <c r="AH799" s="242" t="str">
        <f>IF(AG799="","N/A",INDIRECT("MTR!"&amp;ADDRESS(MATCH(LEFT(AG799,9),[1]MTR!C:C,0),COLUMN(J799)),TRUE) &amp; "")</f>
        <v>#ERROR!</v>
      </c>
      <c r="AI799" s="157" t="str">
        <f t="shared" si="5"/>
        <v>#ERROR!</v>
      </c>
    </row>
    <row r="800" ht="12.75" customHeight="1">
      <c r="A800" s="244" t="s">
        <v>5158</v>
      </c>
      <c r="B800" s="244" t="s">
        <v>231</v>
      </c>
      <c r="C800" s="244" t="s">
        <v>8852</v>
      </c>
      <c r="D800" s="154" t="s">
        <v>542</v>
      </c>
      <c r="E800" s="154"/>
      <c r="F800" s="154" t="str">
        <f t="array" ref="F800">XLOOKUP(Cover!$D$12,$R$1:$Z$1,$R800:$Z800)</f>
        <v>Mandatory</v>
      </c>
      <c r="G800" s="154" t="s">
        <v>8853</v>
      </c>
      <c r="H800" s="154" t="s">
        <v>1489</v>
      </c>
      <c r="I800" s="154" t="s">
        <v>8851</v>
      </c>
      <c r="J800" s="154" t="s">
        <v>8416</v>
      </c>
      <c r="K800" s="154" t="s">
        <v>8508</v>
      </c>
      <c r="L800" s="154" t="s">
        <v>6140</v>
      </c>
      <c r="M800" s="154" t="s">
        <v>175</v>
      </c>
      <c r="N800" s="154" t="s">
        <v>759</v>
      </c>
      <c r="O800" s="247" t="s">
        <v>516</v>
      </c>
      <c r="P800" s="247" t="s">
        <v>6776</v>
      </c>
      <c r="Q800" s="154" t="str">
        <f t="shared" si="1"/>
        <v>#ERROR!</v>
      </c>
      <c r="R800" s="154" t="s">
        <v>66</v>
      </c>
      <c r="S800" s="154" t="s">
        <v>66</v>
      </c>
      <c r="T800" s="155" t="s">
        <v>64</v>
      </c>
      <c r="U800" s="155" t="s">
        <v>64</v>
      </c>
      <c r="V800" s="154" t="s">
        <v>60</v>
      </c>
      <c r="W800" s="154" t="s">
        <v>60</v>
      </c>
      <c r="X800" s="154" t="s">
        <v>66</v>
      </c>
      <c r="Y800" s="155" t="s">
        <v>64</v>
      </c>
      <c r="Z800" s="154" t="s">
        <v>60</v>
      </c>
      <c r="AA800" s="154"/>
      <c r="AB800" s="242" t="str">
        <f t="shared" si="2"/>
        <v>#ERROR!</v>
      </c>
      <c r="AC800" s="154" t="s">
        <v>391</v>
      </c>
      <c r="AD800" s="242" t="b">
        <f t="shared" si="3"/>
        <v>0</v>
      </c>
      <c r="AE800" s="154"/>
      <c r="AF800" s="242" t="str">
        <f t="shared" si="4"/>
        <v>#ERROR!</v>
      </c>
      <c r="AG800" s="154" t="s">
        <v>652</v>
      </c>
      <c r="AH800" s="242" t="str">
        <f>IF(AG800="","N/A",INDIRECT("MTR!"&amp;ADDRESS(MATCH(LEFT(AG800,9),[1]MTR!C:C,0),COLUMN(J800)),TRUE) &amp; "")</f>
        <v>#ERROR!</v>
      </c>
      <c r="AI800" s="157" t="str">
        <f t="shared" si="5"/>
        <v>#ERROR!</v>
      </c>
    </row>
    <row r="801" ht="12.75" customHeight="1">
      <c r="A801" s="244" t="s">
        <v>5158</v>
      </c>
      <c r="B801" s="244" t="s">
        <v>231</v>
      </c>
      <c r="C801" s="244" t="s">
        <v>8854</v>
      </c>
      <c r="D801" s="154" t="s">
        <v>542</v>
      </c>
      <c r="E801" s="154"/>
      <c r="F801" s="154" t="str">
        <f t="array" ref="F801">XLOOKUP(Cover!$D$12,$R$1:$Z$1,$R801:$Z801)</f>
        <v>Mandatory</v>
      </c>
      <c r="G801" s="154" t="s">
        <v>8855</v>
      </c>
      <c r="H801" s="154" t="s">
        <v>8513</v>
      </c>
      <c r="I801" s="154" t="s">
        <v>8851</v>
      </c>
      <c r="J801" s="154" t="s">
        <v>8416</v>
      </c>
      <c r="K801" s="154" t="s">
        <v>8508</v>
      </c>
      <c r="L801" s="154" t="s">
        <v>6140</v>
      </c>
      <c r="M801" s="154" t="s">
        <v>175</v>
      </c>
      <c r="N801" s="154" t="s">
        <v>759</v>
      </c>
      <c r="O801" s="247" t="s">
        <v>516</v>
      </c>
      <c r="P801" s="247" t="s">
        <v>6776</v>
      </c>
      <c r="Q801" s="154" t="str">
        <f t="shared" si="1"/>
        <v>#ERROR!</v>
      </c>
      <c r="R801" s="154" t="s">
        <v>66</v>
      </c>
      <c r="S801" s="154" t="s">
        <v>66</v>
      </c>
      <c r="T801" s="155" t="s">
        <v>64</v>
      </c>
      <c r="U801" s="155" t="s">
        <v>64</v>
      </c>
      <c r="V801" s="154" t="s">
        <v>60</v>
      </c>
      <c r="W801" s="154" t="s">
        <v>60</v>
      </c>
      <c r="X801" s="154" t="s">
        <v>66</v>
      </c>
      <c r="Y801" s="155" t="s">
        <v>64</v>
      </c>
      <c r="Z801" s="154" t="s">
        <v>60</v>
      </c>
      <c r="AA801" s="154"/>
      <c r="AB801" s="242" t="str">
        <f t="shared" si="2"/>
        <v>#ERROR!</v>
      </c>
      <c r="AC801" s="154" t="s">
        <v>391</v>
      </c>
      <c r="AD801" s="242" t="b">
        <f t="shared" si="3"/>
        <v>0</v>
      </c>
      <c r="AE801" s="154"/>
      <c r="AF801" s="242" t="str">
        <f t="shared" si="4"/>
        <v>#ERROR!</v>
      </c>
      <c r="AG801" s="154" t="s">
        <v>652</v>
      </c>
      <c r="AH801" s="242" t="str">
        <f>IF(AG801="","N/A",INDIRECT("MTR!"&amp;ADDRESS(MATCH(LEFT(AG801,9),[1]MTR!C:C,0),COLUMN(J801)),TRUE) &amp; "")</f>
        <v>#ERROR!</v>
      </c>
      <c r="AI801" s="157" t="str">
        <f t="shared" si="5"/>
        <v>#ERROR!</v>
      </c>
    </row>
    <row r="802" ht="12.75" customHeight="1">
      <c r="A802" s="244" t="s">
        <v>5158</v>
      </c>
      <c r="B802" s="244" t="s">
        <v>231</v>
      </c>
      <c r="C802" s="244" t="s">
        <v>8856</v>
      </c>
      <c r="D802" s="154" t="s">
        <v>542</v>
      </c>
      <c r="E802" s="154"/>
      <c r="F802" s="154" t="str">
        <f t="array" ref="F802">XLOOKUP(Cover!$D$12,$R$1:$Z$1,$R802:$Z802)</f>
        <v>Mandatory</v>
      </c>
      <c r="G802" s="154" t="s">
        <v>8857</v>
      </c>
      <c r="H802" s="154" t="s">
        <v>8519</v>
      </c>
      <c r="I802" s="154" t="s">
        <v>8851</v>
      </c>
      <c r="J802" s="154" t="s">
        <v>8416</v>
      </c>
      <c r="K802" s="154" t="s">
        <v>8508</v>
      </c>
      <c r="L802" s="154" t="s">
        <v>6140</v>
      </c>
      <c r="M802" s="154" t="s">
        <v>175</v>
      </c>
      <c r="N802" s="154" t="s">
        <v>759</v>
      </c>
      <c r="O802" s="247" t="s">
        <v>516</v>
      </c>
      <c r="P802" s="247" t="s">
        <v>6776</v>
      </c>
      <c r="Q802" s="154" t="str">
        <f t="shared" si="1"/>
        <v>#ERROR!</v>
      </c>
      <c r="R802" s="154" t="s">
        <v>66</v>
      </c>
      <c r="S802" s="154" t="s">
        <v>66</v>
      </c>
      <c r="T802" s="155" t="s">
        <v>64</v>
      </c>
      <c r="U802" s="155" t="s">
        <v>64</v>
      </c>
      <c r="V802" s="154" t="s">
        <v>60</v>
      </c>
      <c r="W802" s="154" t="s">
        <v>60</v>
      </c>
      <c r="X802" s="154" t="s">
        <v>66</v>
      </c>
      <c r="Y802" s="155" t="s">
        <v>64</v>
      </c>
      <c r="Z802" s="154" t="s">
        <v>60</v>
      </c>
      <c r="AA802" s="154"/>
      <c r="AB802" s="242" t="str">
        <f t="shared" si="2"/>
        <v>#ERROR!</v>
      </c>
      <c r="AC802" s="154" t="s">
        <v>391</v>
      </c>
      <c r="AD802" s="242" t="b">
        <f t="shared" si="3"/>
        <v>0</v>
      </c>
      <c r="AE802" s="154"/>
      <c r="AF802" s="242" t="str">
        <f t="shared" si="4"/>
        <v>#ERROR!</v>
      </c>
      <c r="AG802" s="154" t="s">
        <v>652</v>
      </c>
      <c r="AH802" s="242" t="str">
        <f>IF(AG802="","N/A",INDIRECT("MTR!"&amp;ADDRESS(MATCH(LEFT(AG802,9),[1]MTR!C:C,0),COLUMN(J802)),TRUE) &amp; "")</f>
        <v>#ERROR!</v>
      </c>
      <c r="AI802" s="157" t="str">
        <f t="shared" si="5"/>
        <v>#ERROR!</v>
      </c>
    </row>
    <row r="803" ht="12.75" customHeight="1">
      <c r="A803" s="244" t="s">
        <v>5158</v>
      </c>
      <c r="B803" s="244" t="s">
        <v>231</v>
      </c>
      <c r="C803" s="244" t="s">
        <v>8858</v>
      </c>
      <c r="D803" s="154" t="s">
        <v>1773</v>
      </c>
      <c r="E803" s="154"/>
      <c r="F803" s="154" t="str">
        <f t="array" ref="F803">XLOOKUP(Cover!$D$12,$R$1:$Z$1,$R803:$Z803)</f>
        <v>Mandatory</v>
      </c>
      <c r="G803" s="154" t="s">
        <v>8859</v>
      </c>
      <c r="H803" s="154" t="s">
        <v>8507</v>
      </c>
      <c r="I803" s="154" t="s">
        <v>8860</v>
      </c>
      <c r="J803" s="154" t="s">
        <v>8861</v>
      </c>
      <c r="K803" s="154" t="s">
        <v>8508</v>
      </c>
      <c r="L803" s="154" t="s">
        <v>6126</v>
      </c>
      <c r="M803" s="154" t="s">
        <v>175</v>
      </c>
      <c r="N803" s="154" t="s">
        <v>759</v>
      </c>
      <c r="O803" s="247" t="s">
        <v>516</v>
      </c>
      <c r="P803" s="247" t="s">
        <v>6776</v>
      </c>
      <c r="Q803" s="154" t="str">
        <f t="shared" si="1"/>
        <v>#ERROR!</v>
      </c>
      <c r="R803" s="154" t="s">
        <v>66</v>
      </c>
      <c r="S803" s="154" t="s">
        <v>66</v>
      </c>
      <c r="T803" s="155" t="s">
        <v>64</v>
      </c>
      <c r="U803" s="155" t="s">
        <v>64</v>
      </c>
      <c r="V803" s="154" t="s">
        <v>60</v>
      </c>
      <c r="W803" s="154" t="s">
        <v>60</v>
      </c>
      <c r="X803" s="154" t="s">
        <v>66</v>
      </c>
      <c r="Y803" s="155" t="s">
        <v>64</v>
      </c>
      <c r="Z803" s="154" t="s">
        <v>60</v>
      </c>
      <c r="AA803" s="154"/>
      <c r="AB803" s="242" t="str">
        <f t="shared" si="2"/>
        <v>#ERROR!</v>
      </c>
      <c r="AC803" s="154" t="s">
        <v>391</v>
      </c>
      <c r="AD803" s="242" t="b">
        <f t="shared" si="3"/>
        <v>0</v>
      </c>
      <c r="AE803" s="154"/>
      <c r="AF803" s="242" t="str">
        <f t="shared" si="4"/>
        <v>#ERROR!</v>
      </c>
      <c r="AG803" s="154" t="s">
        <v>652</v>
      </c>
      <c r="AH803" s="242" t="str">
        <f>IF(AG803="","N/A",INDIRECT("MTR!"&amp;ADDRESS(MATCH(LEFT(AG803,9),[1]MTR!C:C,0),COLUMN(J803)),TRUE) &amp; "")</f>
        <v>#ERROR!</v>
      </c>
      <c r="AI803" s="157" t="str">
        <f t="shared" si="5"/>
        <v>#ERROR!</v>
      </c>
    </row>
    <row r="804" ht="12.75" customHeight="1">
      <c r="A804" s="244" t="s">
        <v>5158</v>
      </c>
      <c r="B804" s="244" t="s">
        <v>231</v>
      </c>
      <c r="C804" s="244" t="s">
        <v>8862</v>
      </c>
      <c r="D804" s="154" t="s">
        <v>1773</v>
      </c>
      <c r="E804" s="154"/>
      <c r="F804" s="154" t="str">
        <f t="array" ref="F804">XLOOKUP(Cover!$D$12,$R$1:$Z$1,$R804:$Z804)</f>
        <v>Mandatory</v>
      </c>
      <c r="G804" s="154" t="s">
        <v>8863</v>
      </c>
      <c r="H804" s="154" t="s">
        <v>1489</v>
      </c>
      <c r="I804" s="154" t="s">
        <v>8860</v>
      </c>
      <c r="J804" s="154" t="s">
        <v>8861</v>
      </c>
      <c r="K804" s="154" t="s">
        <v>8508</v>
      </c>
      <c r="L804" s="154" t="s">
        <v>6126</v>
      </c>
      <c r="M804" s="154" t="s">
        <v>175</v>
      </c>
      <c r="N804" s="154" t="s">
        <v>759</v>
      </c>
      <c r="O804" s="247" t="s">
        <v>516</v>
      </c>
      <c r="P804" s="247" t="s">
        <v>6776</v>
      </c>
      <c r="Q804" s="154" t="str">
        <f t="shared" si="1"/>
        <v>#ERROR!</v>
      </c>
      <c r="R804" s="154" t="s">
        <v>66</v>
      </c>
      <c r="S804" s="154" t="s">
        <v>66</v>
      </c>
      <c r="T804" s="155" t="s">
        <v>64</v>
      </c>
      <c r="U804" s="155" t="s">
        <v>64</v>
      </c>
      <c r="V804" s="154" t="s">
        <v>60</v>
      </c>
      <c r="W804" s="154" t="s">
        <v>60</v>
      </c>
      <c r="X804" s="154" t="s">
        <v>66</v>
      </c>
      <c r="Y804" s="155" t="s">
        <v>64</v>
      </c>
      <c r="Z804" s="154" t="s">
        <v>60</v>
      </c>
      <c r="AA804" s="154"/>
      <c r="AB804" s="242" t="str">
        <f t="shared" si="2"/>
        <v>#ERROR!</v>
      </c>
      <c r="AC804" s="154" t="s">
        <v>391</v>
      </c>
      <c r="AD804" s="242" t="b">
        <f t="shared" si="3"/>
        <v>0</v>
      </c>
      <c r="AE804" s="154"/>
      <c r="AF804" s="242" t="str">
        <f t="shared" si="4"/>
        <v>#ERROR!</v>
      </c>
      <c r="AG804" s="154" t="s">
        <v>652</v>
      </c>
      <c r="AH804" s="242" t="str">
        <f>IF(AG804="","N/A",INDIRECT("MTR!"&amp;ADDRESS(MATCH(LEFT(AG804,9),[1]MTR!C:C,0),COLUMN(J804)),TRUE) &amp; "")</f>
        <v>#ERROR!</v>
      </c>
      <c r="AI804" s="157" t="str">
        <f t="shared" si="5"/>
        <v>#ERROR!</v>
      </c>
    </row>
    <row r="805" ht="12.75" customHeight="1">
      <c r="A805" s="244" t="s">
        <v>5158</v>
      </c>
      <c r="B805" s="244" t="s">
        <v>231</v>
      </c>
      <c r="C805" s="244" t="s">
        <v>8864</v>
      </c>
      <c r="D805" s="154" t="s">
        <v>1773</v>
      </c>
      <c r="E805" s="154"/>
      <c r="F805" s="154" t="str">
        <f t="array" ref="F805">XLOOKUP(Cover!$D$12,$R$1:$Z$1,$R805:$Z805)</f>
        <v>Mandatory</v>
      </c>
      <c r="G805" s="154" t="s">
        <v>8865</v>
      </c>
      <c r="H805" s="154" t="s">
        <v>8513</v>
      </c>
      <c r="I805" s="154" t="s">
        <v>8860</v>
      </c>
      <c r="J805" s="154" t="s">
        <v>8861</v>
      </c>
      <c r="K805" s="154" t="s">
        <v>8508</v>
      </c>
      <c r="L805" s="154" t="s">
        <v>6126</v>
      </c>
      <c r="M805" s="154" t="s">
        <v>175</v>
      </c>
      <c r="N805" s="154" t="s">
        <v>759</v>
      </c>
      <c r="O805" s="247" t="s">
        <v>516</v>
      </c>
      <c r="P805" s="247" t="s">
        <v>6776</v>
      </c>
      <c r="Q805" s="154" t="str">
        <f t="shared" si="1"/>
        <v>#ERROR!</v>
      </c>
      <c r="R805" s="154" t="s">
        <v>66</v>
      </c>
      <c r="S805" s="154" t="s">
        <v>66</v>
      </c>
      <c r="T805" s="155" t="s">
        <v>64</v>
      </c>
      <c r="U805" s="155" t="s">
        <v>64</v>
      </c>
      <c r="V805" s="154" t="s">
        <v>60</v>
      </c>
      <c r="W805" s="154" t="s">
        <v>60</v>
      </c>
      <c r="X805" s="154" t="s">
        <v>66</v>
      </c>
      <c r="Y805" s="155" t="s">
        <v>64</v>
      </c>
      <c r="Z805" s="154" t="s">
        <v>60</v>
      </c>
      <c r="AA805" s="154"/>
      <c r="AB805" s="242" t="str">
        <f t="shared" si="2"/>
        <v>#ERROR!</v>
      </c>
      <c r="AC805" s="154" t="s">
        <v>391</v>
      </c>
      <c r="AD805" s="242" t="b">
        <f t="shared" si="3"/>
        <v>0</v>
      </c>
      <c r="AE805" s="154"/>
      <c r="AF805" s="242" t="str">
        <f t="shared" si="4"/>
        <v>#ERROR!</v>
      </c>
      <c r="AG805" s="154" t="s">
        <v>652</v>
      </c>
      <c r="AH805" s="242" t="str">
        <f>IF(AG805="","N/A",INDIRECT("MTR!"&amp;ADDRESS(MATCH(LEFT(AG805,9),[1]MTR!C:C,0),COLUMN(J805)),TRUE) &amp; "")</f>
        <v>#ERROR!</v>
      </c>
      <c r="AI805" s="157" t="str">
        <f t="shared" si="5"/>
        <v>#ERROR!</v>
      </c>
    </row>
    <row r="806" ht="12.75" customHeight="1">
      <c r="A806" s="244" t="s">
        <v>5158</v>
      </c>
      <c r="B806" s="244" t="s">
        <v>231</v>
      </c>
      <c r="C806" s="244" t="s">
        <v>8866</v>
      </c>
      <c r="D806" s="154" t="s">
        <v>1773</v>
      </c>
      <c r="E806" s="154"/>
      <c r="F806" s="154" t="str">
        <f t="array" ref="F806">XLOOKUP(Cover!$D$12,$R$1:$Z$1,$R806:$Z806)</f>
        <v>Mandatory</v>
      </c>
      <c r="G806" s="154" t="s">
        <v>8867</v>
      </c>
      <c r="H806" s="154" t="s">
        <v>8507</v>
      </c>
      <c r="I806" s="154" t="s">
        <v>8868</v>
      </c>
      <c r="J806" s="154" t="s">
        <v>8869</v>
      </c>
      <c r="K806" s="154" t="s">
        <v>8508</v>
      </c>
      <c r="L806" s="154" t="s">
        <v>6126</v>
      </c>
      <c r="M806" s="154" t="s">
        <v>175</v>
      </c>
      <c r="N806" s="154" t="s">
        <v>759</v>
      </c>
      <c r="O806" s="247" t="s">
        <v>516</v>
      </c>
      <c r="P806" s="247" t="s">
        <v>6776</v>
      </c>
      <c r="Q806" s="154" t="str">
        <f t="shared" si="1"/>
        <v>#ERROR!</v>
      </c>
      <c r="R806" s="154" t="s">
        <v>66</v>
      </c>
      <c r="S806" s="154" t="s">
        <v>66</v>
      </c>
      <c r="T806" s="155" t="s">
        <v>64</v>
      </c>
      <c r="U806" s="155" t="s">
        <v>64</v>
      </c>
      <c r="V806" s="154" t="s">
        <v>60</v>
      </c>
      <c r="W806" s="154" t="s">
        <v>60</v>
      </c>
      <c r="X806" s="154" t="s">
        <v>66</v>
      </c>
      <c r="Y806" s="155" t="s">
        <v>64</v>
      </c>
      <c r="Z806" s="154" t="s">
        <v>60</v>
      </c>
      <c r="AA806" s="154"/>
      <c r="AB806" s="242" t="str">
        <f t="shared" si="2"/>
        <v>#ERROR!</v>
      </c>
      <c r="AC806" s="154" t="s">
        <v>391</v>
      </c>
      <c r="AD806" s="242" t="b">
        <f t="shared" si="3"/>
        <v>0</v>
      </c>
      <c r="AE806" s="154"/>
      <c r="AF806" s="242" t="str">
        <f t="shared" si="4"/>
        <v>#ERROR!</v>
      </c>
      <c r="AG806" s="154" t="s">
        <v>652</v>
      </c>
      <c r="AH806" s="242" t="str">
        <f>IF(AG806="","N/A",INDIRECT("MTR!"&amp;ADDRESS(MATCH(LEFT(AG806,9),[1]MTR!C:C,0),COLUMN(J806)),TRUE) &amp; "")</f>
        <v>#ERROR!</v>
      </c>
      <c r="AI806" s="157" t="str">
        <f t="shared" si="5"/>
        <v>#ERROR!</v>
      </c>
    </row>
    <row r="807" ht="12.75" customHeight="1">
      <c r="A807" s="244" t="s">
        <v>5158</v>
      </c>
      <c r="B807" s="244" t="s">
        <v>231</v>
      </c>
      <c r="C807" s="244" t="s">
        <v>8870</v>
      </c>
      <c r="D807" s="154" t="s">
        <v>1773</v>
      </c>
      <c r="E807" s="154"/>
      <c r="F807" s="154" t="str">
        <f t="array" ref="F807">XLOOKUP(Cover!$D$12,$R$1:$Z$1,$R807:$Z807)</f>
        <v>Mandatory</v>
      </c>
      <c r="G807" s="154" t="s">
        <v>8871</v>
      </c>
      <c r="H807" s="154" t="s">
        <v>1489</v>
      </c>
      <c r="I807" s="154" t="s">
        <v>8868</v>
      </c>
      <c r="J807" s="154" t="s">
        <v>8869</v>
      </c>
      <c r="K807" s="154" t="s">
        <v>8508</v>
      </c>
      <c r="L807" s="154" t="s">
        <v>6126</v>
      </c>
      <c r="M807" s="154" t="s">
        <v>175</v>
      </c>
      <c r="N807" s="154" t="s">
        <v>759</v>
      </c>
      <c r="O807" s="247" t="s">
        <v>516</v>
      </c>
      <c r="P807" s="247" t="s">
        <v>6776</v>
      </c>
      <c r="Q807" s="154" t="str">
        <f t="shared" si="1"/>
        <v>#ERROR!</v>
      </c>
      <c r="R807" s="154" t="s">
        <v>66</v>
      </c>
      <c r="S807" s="154" t="s">
        <v>66</v>
      </c>
      <c r="T807" s="155" t="s">
        <v>64</v>
      </c>
      <c r="U807" s="155" t="s">
        <v>64</v>
      </c>
      <c r="V807" s="154" t="s">
        <v>60</v>
      </c>
      <c r="W807" s="154" t="s">
        <v>60</v>
      </c>
      <c r="X807" s="154" t="s">
        <v>66</v>
      </c>
      <c r="Y807" s="155" t="s">
        <v>64</v>
      </c>
      <c r="Z807" s="154" t="s">
        <v>60</v>
      </c>
      <c r="AA807" s="154"/>
      <c r="AB807" s="242" t="str">
        <f t="shared" si="2"/>
        <v>#ERROR!</v>
      </c>
      <c r="AC807" s="154" t="s">
        <v>391</v>
      </c>
      <c r="AD807" s="242" t="b">
        <f t="shared" si="3"/>
        <v>0</v>
      </c>
      <c r="AE807" s="154"/>
      <c r="AF807" s="242" t="str">
        <f t="shared" si="4"/>
        <v>#ERROR!</v>
      </c>
      <c r="AG807" s="154" t="s">
        <v>652</v>
      </c>
      <c r="AH807" s="242" t="str">
        <f>IF(AG807="","N/A",INDIRECT("MTR!"&amp;ADDRESS(MATCH(LEFT(AG807,9),[1]MTR!C:C,0),COLUMN(J807)),TRUE) &amp; "")</f>
        <v>#ERROR!</v>
      </c>
      <c r="AI807" s="157" t="str">
        <f t="shared" si="5"/>
        <v>#ERROR!</v>
      </c>
    </row>
    <row r="808" ht="12.75" customHeight="1">
      <c r="A808" s="244" t="s">
        <v>5158</v>
      </c>
      <c r="B808" s="244" t="s">
        <v>231</v>
      </c>
      <c r="C808" s="244" t="s">
        <v>8872</v>
      </c>
      <c r="D808" s="154" t="s">
        <v>1773</v>
      </c>
      <c r="E808" s="154"/>
      <c r="F808" s="154" t="str">
        <f t="array" ref="F808">XLOOKUP(Cover!$D$12,$R$1:$Z$1,$R808:$Z808)</f>
        <v>Mandatory</v>
      </c>
      <c r="G808" s="154" t="s">
        <v>8873</v>
      </c>
      <c r="H808" s="154" t="s">
        <v>8519</v>
      </c>
      <c r="I808" s="154" t="s">
        <v>8868</v>
      </c>
      <c r="J808" s="154" t="s">
        <v>8869</v>
      </c>
      <c r="K808" s="154" t="s">
        <v>8508</v>
      </c>
      <c r="L808" s="154" t="s">
        <v>6126</v>
      </c>
      <c r="M808" s="154" t="s">
        <v>175</v>
      </c>
      <c r="N808" s="154" t="s">
        <v>759</v>
      </c>
      <c r="O808" s="247" t="s">
        <v>516</v>
      </c>
      <c r="P808" s="247" t="s">
        <v>6776</v>
      </c>
      <c r="Q808" s="154" t="str">
        <f t="shared" si="1"/>
        <v>#ERROR!</v>
      </c>
      <c r="R808" s="154" t="s">
        <v>66</v>
      </c>
      <c r="S808" s="154" t="s">
        <v>66</v>
      </c>
      <c r="T808" s="155" t="s">
        <v>64</v>
      </c>
      <c r="U808" s="155" t="s">
        <v>64</v>
      </c>
      <c r="V808" s="154" t="s">
        <v>60</v>
      </c>
      <c r="W808" s="154" t="s">
        <v>60</v>
      </c>
      <c r="X808" s="154" t="s">
        <v>66</v>
      </c>
      <c r="Y808" s="155" t="s">
        <v>64</v>
      </c>
      <c r="Z808" s="154" t="s">
        <v>60</v>
      </c>
      <c r="AA808" s="154"/>
      <c r="AB808" s="242" t="str">
        <f t="shared" si="2"/>
        <v>#ERROR!</v>
      </c>
      <c r="AC808" s="154" t="s">
        <v>391</v>
      </c>
      <c r="AD808" s="242" t="b">
        <f t="shared" si="3"/>
        <v>0</v>
      </c>
      <c r="AE808" s="154"/>
      <c r="AF808" s="242" t="str">
        <f t="shared" si="4"/>
        <v>#ERROR!</v>
      </c>
      <c r="AG808" s="154" t="s">
        <v>652</v>
      </c>
      <c r="AH808" s="242" t="str">
        <f>IF(AG808="","N/A",INDIRECT("MTR!"&amp;ADDRESS(MATCH(LEFT(AG808,9),[1]MTR!C:C,0),COLUMN(J808)),TRUE) &amp; "")</f>
        <v>#ERROR!</v>
      </c>
      <c r="AI808" s="157" t="str">
        <f t="shared" si="5"/>
        <v>#ERROR!</v>
      </c>
    </row>
    <row r="809" ht="12.75" customHeight="1">
      <c r="A809" s="244" t="s">
        <v>5158</v>
      </c>
      <c r="B809" s="244" t="s">
        <v>231</v>
      </c>
      <c r="C809" s="255" t="s">
        <v>8874</v>
      </c>
      <c r="D809" s="256" t="s">
        <v>42</v>
      </c>
      <c r="E809" s="256" t="s">
        <v>489</v>
      </c>
      <c r="F809" s="154" t="str">
        <f t="array" ref="F809">XLOOKUP(Cover!$D$12,$R$1:$Z$1,$R809:$Z809)</f>
        <v>Information</v>
      </c>
      <c r="G809" s="154" t="s">
        <v>8875</v>
      </c>
      <c r="H809" s="154" t="s">
        <v>8507</v>
      </c>
      <c r="I809" s="154" t="s">
        <v>8876</v>
      </c>
      <c r="J809" s="154" t="s">
        <v>8877</v>
      </c>
      <c r="K809" s="154" t="s">
        <v>8508</v>
      </c>
      <c r="L809" s="154" t="s">
        <v>5931</v>
      </c>
      <c r="M809" s="154"/>
      <c r="N809" s="154" t="s">
        <v>759</v>
      </c>
      <c r="O809" s="247" t="s">
        <v>516</v>
      </c>
      <c r="P809" s="247" t="s">
        <v>6776</v>
      </c>
      <c r="Q809" s="154" t="str">
        <f t="shared" si="1"/>
        <v>#ERROR!</v>
      </c>
      <c r="R809" s="154" t="s">
        <v>66</v>
      </c>
      <c r="S809" s="154" t="s">
        <v>66</v>
      </c>
      <c r="T809" s="154" t="s">
        <v>66</v>
      </c>
      <c r="U809" s="154" t="s">
        <v>66</v>
      </c>
      <c r="V809" s="154" t="s">
        <v>66</v>
      </c>
      <c r="W809" s="154" t="s">
        <v>66</v>
      </c>
      <c r="X809" s="154" t="s">
        <v>66</v>
      </c>
      <c r="Y809" s="154" t="s">
        <v>66</v>
      </c>
      <c r="Z809" s="154" t="s">
        <v>66</v>
      </c>
      <c r="AA809" s="154"/>
      <c r="AB809" s="242" t="str">
        <f t="shared" si="2"/>
        <v>#ERROR!</v>
      </c>
      <c r="AC809" s="154" t="s">
        <v>391</v>
      </c>
      <c r="AD809" s="242" t="b">
        <f t="shared" si="3"/>
        <v>0</v>
      </c>
      <c r="AE809" s="154"/>
      <c r="AF809" s="242" t="str">
        <f t="shared" si="4"/>
        <v>#ERROR!</v>
      </c>
      <c r="AG809" s="154" t="s">
        <v>652</v>
      </c>
      <c r="AH809" s="242" t="str">
        <f>IF(AG809="","N/A",INDIRECT("MTR!"&amp;ADDRESS(MATCH(LEFT(AG809,9),[1]MTR!C:C,0),COLUMN(J809)),TRUE) &amp; "")</f>
        <v>#ERROR!</v>
      </c>
      <c r="AI809" s="157" t="str">
        <f t="shared" si="5"/>
        <v>#ERROR!</v>
      </c>
    </row>
    <row r="810" ht="12.75" customHeight="1">
      <c r="A810" s="244" t="s">
        <v>5158</v>
      </c>
      <c r="B810" s="244" t="s">
        <v>231</v>
      </c>
      <c r="C810" s="255" t="s">
        <v>8878</v>
      </c>
      <c r="D810" s="256" t="s">
        <v>42</v>
      </c>
      <c r="E810" s="256" t="s">
        <v>489</v>
      </c>
      <c r="F810" s="154" t="str">
        <f t="array" ref="F810">XLOOKUP(Cover!$D$12,$R$1:$Z$1,$R810:$Z810)</f>
        <v>Information</v>
      </c>
      <c r="G810" s="154" t="s">
        <v>8879</v>
      </c>
      <c r="H810" s="154" t="s">
        <v>8513</v>
      </c>
      <c r="I810" s="154" t="s">
        <v>8876</v>
      </c>
      <c r="J810" s="154" t="s">
        <v>8877</v>
      </c>
      <c r="K810" s="154" t="s">
        <v>8508</v>
      </c>
      <c r="L810" s="154" t="s">
        <v>5931</v>
      </c>
      <c r="M810" s="154"/>
      <c r="N810" s="154" t="s">
        <v>759</v>
      </c>
      <c r="O810" s="247" t="s">
        <v>516</v>
      </c>
      <c r="P810" s="247" t="s">
        <v>6776</v>
      </c>
      <c r="Q810" s="154" t="str">
        <f t="shared" si="1"/>
        <v>#ERROR!</v>
      </c>
      <c r="R810" s="154" t="s">
        <v>66</v>
      </c>
      <c r="S810" s="154" t="s">
        <v>66</v>
      </c>
      <c r="T810" s="154" t="s">
        <v>66</v>
      </c>
      <c r="U810" s="154" t="s">
        <v>66</v>
      </c>
      <c r="V810" s="154" t="s">
        <v>66</v>
      </c>
      <c r="W810" s="154" t="s">
        <v>66</v>
      </c>
      <c r="X810" s="154" t="s">
        <v>66</v>
      </c>
      <c r="Y810" s="154" t="s">
        <v>66</v>
      </c>
      <c r="Z810" s="154" t="s">
        <v>66</v>
      </c>
      <c r="AA810" s="154"/>
      <c r="AB810" s="242" t="str">
        <f t="shared" si="2"/>
        <v>#ERROR!</v>
      </c>
      <c r="AC810" s="154" t="s">
        <v>391</v>
      </c>
      <c r="AD810" s="242" t="b">
        <f t="shared" si="3"/>
        <v>0</v>
      </c>
      <c r="AE810" s="154"/>
      <c r="AF810" s="242" t="str">
        <f t="shared" si="4"/>
        <v>#ERROR!</v>
      </c>
      <c r="AG810" s="154" t="s">
        <v>652</v>
      </c>
      <c r="AH810" s="242" t="str">
        <f>IF(AG810="","N/A",INDIRECT("MTR!"&amp;ADDRESS(MATCH(LEFT(AG810,9),[1]MTR!C:C,0),COLUMN(J810)),TRUE) &amp; "")</f>
        <v>#ERROR!</v>
      </c>
      <c r="AI810" s="157" t="str">
        <f t="shared" si="5"/>
        <v>#ERROR!</v>
      </c>
    </row>
    <row r="811" ht="12.75" customHeight="1">
      <c r="A811" s="244" t="s">
        <v>5158</v>
      </c>
      <c r="B811" s="244" t="s">
        <v>231</v>
      </c>
      <c r="C811" s="255" t="s">
        <v>8880</v>
      </c>
      <c r="D811" s="256" t="s">
        <v>42</v>
      </c>
      <c r="E811" s="256" t="s">
        <v>489</v>
      </c>
      <c r="F811" s="154" t="str">
        <f t="array" ref="F811">XLOOKUP(Cover!$D$12,$R$1:$Z$1,$R811:$Z811)</f>
        <v>Information</v>
      </c>
      <c r="G811" s="154" t="s">
        <v>8881</v>
      </c>
      <c r="H811" s="154" t="s">
        <v>8516</v>
      </c>
      <c r="I811" s="154" t="s">
        <v>8876</v>
      </c>
      <c r="J811" s="154" t="s">
        <v>8877</v>
      </c>
      <c r="K811" s="154" t="s">
        <v>8508</v>
      </c>
      <c r="L811" s="154" t="s">
        <v>5931</v>
      </c>
      <c r="M811" s="154"/>
      <c r="N811" s="154" t="s">
        <v>759</v>
      </c>
      <c r="O811" s="247" t="s">
        <v>516</v>
      </c>
      <c r="P811" s="247" t="s">
        <v>6776</v>
      </c>
      <c r="Q811" s="154" t="str">
        <f t="shared" si="1"/>
        <v>#ERROR!</v>
      </c>
      <c r="R811" s="154" t="s">
        <v>66</v>
      </c>
      <c r="S811" s="154" t="s">
        <v>66</v>
      </c>
      <c r="T811" s="154" t="s">
        <v>66</v>
      </c>
      <c r="U811" s="154" t="s">
        <v>66</v>
      </c>
      <c r="V811" s="154" t="s">
        <v>66</v>
      </c>
      <c r="W811" s="154" t="s">
        <v>66</v>
      </c>
      <c r="X811" s="154" t="s">
        <v>66</v>
      </c>
      <c r="Y811" s="154" t="s">
        <v>66</v>
      </c>
      <c r="Z811" s="154" t="s">
        <v>66</v>
      </c>
      <c r="AA811" s="154"/>
      <c r="AB811" s="242" t="str">
        <f t="shared" si="2"/>
        <v>#ERROR!</v>
      </c>
      <c r="AC811" s="154" t="s">
        <v>391</v>
      </c>
      <c r="AD811" s="242" t="b">
        <f t="shared" si="3"/>
        <v>0</v>
      </c>
      <c r="AE811" s="154"/>
      <c r="AF811" s="242" t="str">
        <f t="shared" si="4"/>
        <v>#ERROR!</v>
      </c>
      <c r="AG811" s="154" t="s">
        <v>652</v>
      </c>
      <c r="AH811" s="242" t="str">
        <f>IF(AG811="","N/A",INDIRECT("MTR!"&amp;ADDRESS(MATCH(LEFT(AG811,9),[1]MTR!C:C,0),COLUMN(J811)),TRUE) &amp; "")</f>
        <v>#ERROR!</v>
      </c>
      <c r="AI811" s="157" t="str">
        <f t="shared" si="5"/>
        <v>#ERROR!</v>
      </c>
    </row>
    <row r="812" ht="12.75" customHeight="1">
      <c r="A812" s="244" t="s">
        <v>5158</v>
      </c>
      <c r="B812" s="244" t="s">
        <v>231</v>
      </c>
      <c r="C812" s="244" t="s">
        <v>8882</v>
      </c>
      <c r="D812" s="154" t="s">
        <v>1773</v>
      </c>
      <c r="E812" s="154"/>
      <c r="F812" s="154" t="str">
        <f t="array" ref="F812">XLOOKUP(Cover!$D$12,$R$1:$Z$1,$R812:$Z812)</f>
        <v>Recommended</v>
      </c>
      <c r="G812" s="154" t="s">
        <v>8883</v>
      </c>
      <c r="H812" s="154" t="s">
        <v>8507</v>
      </c>
      <c r="I812" s="154" t="s">
        <v>8884</v>
      </c>
      <c r="J812" s="154" t="s">
        <v>7692</v>
      </c>
      <c r="K812" s="154" t="s">
        <v>8508</v>
      </c>
      <c r="L812" s="154" t="s">
        <v>6126</v>
      </c>
      <c r="M812" s="154"/>
      <c r="N812" s="154" t="s">
        <v>759</v>
      </c>
      <c r="O812" s="247" t="s">
        <v>516</v>
      </c>
      <c r="P812" s="247" t="s">
        <v>6776</v>
      </c>
      <c r="Q812" s="154" t="str">
        <f t="shared" si="1"/>
        <v>#ERROR!</v>
      </c>
      <c r="R812" s="154" t="s">
        <v>66</v>
      </c>
      <c r="S812" s="154" t="s">
        <v>66</v>
      </c>
      <c r="T812" s="154" t="s">
        <v>64</v>
      </c>
      <c r="U812" s="154" t="s">
        <v>64</v>
      </c>
      <c r="V812" s="154" t="s">
        <v>64</v>
      </c>
      <c r="W812" s="154" t="s">
        <v>64</v>
      </c>
      <c r="X812" s="154" t="s">
        <v>66</v>
      </c>
      <c r="Y812" s="154" t="s">
        <v>64</v>
      </c>
      <c r="Z812" s="154" t="s">
        <v>64</v>
      </c>
      <c r="AA812" s="154"/>
      <c r="AB812" s="242" t="str">
        <f t="shared" si="2"/>
        <v>#ERROR!</v>
      </c>
      <c r="AC812" s="154" t="s">
        <v>391</v>
      </c>
      <c r="AD812" s="242" t="b">
        <f t="shared" si="3"/>
        <v>0</v>
      </c>
      <c r="AE812" s="154"/>
      <c r="AF812" s="242" t="str">
        <f t="shared" si="4"/>
        <v>#ERROR!</v>
      </c>
      <c r="AG812" s="154" t="s">
        <v>652</v>
      </c>
      <c r="AH812" s="242" t="str">
        <f>IF(AG812="","N/A",INDIRECT("MTR!"&amp;ADDRESS(MATCH(LEFT(AG812,9),[1]MTR!C:C,0),COLUMN(J812)),TRUE) &amp; "")</f>
        <v>#ERROR!</v>
      </c>
      <c r="AI812" s="157" t="str">
        <f t="shared" si="5"/>
        <v>#ERROR!</v>
      </c>
    </row>
    <row r="813" ht="12.75" customHeight="1">
      <c r="A813" s="244" t="s">
        <v>5158</v>
      </c>
      <c r="B813" s="244" t="s">
        <v>231</v>
      </c>
      <c r="C813" s="244" t="s">
        <v>8885</v>
      </c>
      <c r="D813" s="154" t="s">
        <v>1773</v>
      </c>
      <c r="E813" s="154"/>
      <c r="F813" s="154" t="str">
        <f t="array" ref="F813">XLOOKUP(Cover!$D$12,$R$1:$Z$1,$R813:$Z813)</f>
        <v>Recommended</v>
      </c>
      <c r="G813" s="154" t="s">
        <v>8886</v>
      </c>
      <c r="H813" s="154" t="s">
        <v>8513</v>
      </c>
      <c r="I813" s="154" t="s">
        <v>8884</v>
      </c>
      <c r="J813" s="154" t="s">
        <v>7692</v>
      </c>
      <c r="K813" s="154" t="s">
        <v>8508</v>
      </c>
      <c r="L813" s="154" t="s">
        <v>6126</v>
      </c>
      <c r="M813" s="154"/>
      <c r="N813" s="154" t="s">
        <v>759</v>
      </c>
      <c r="O813" s="247" t="s">
        <v>516</v>
      </c>
      <c r="P813" s="247" t="s">
        <v>6776</v>
      </c>
      <c r="Q813" s="154" t="str">
        <f t="shared" si="1"/>
        <v>#ERROR!</v>
      </c>
      <c r="R813" s="154" t="s">
        <v>66</v>
      </c>
      <c r="S813" s="154" t="s">
        <v>66</v>
      </c>
      <c r="T813" s="154" t="s">
        <v>64</v>
      </c>
      <c r="U813" s="154" t="s">
        <v>64</v>
      </c>
      <c r="V813" s="154" t="s">
        <v>64</v>
      </c>
      <c r="W813" s="154" t="s">
        <v>64</v>
      </c>
      <c r="X813" s="154" t="s">
        <v>66</v>
      </c>
      <c r="Y813" s="154" t="s">
        <v>64</v>
      </c>
      <c r="Z813" s="154" t="s">
        <v>64</v>
      </c>
      <c r="AA813" s="154"/>
      <c r="AB813" s="242" t="str">
        <f t="shared" si="2"/>
        <v>#ERROR!</v>
      </c>
      <c r="AC813" s="154" t="s">
        <v>391</v>
      </c>
      <c r="AD813" s="242" t="b">
        <f t="shared" si="3"/>
        <v>0</v>
      </c>
      <c r="AE813" s="154"/>
      <c r="AF813" s="242" t="str">
        <f t="shared" si="4"/>
        <v>#ERROR!</v>
      </c>
      <c r="AG813" s="154" t="s">
        <v>652</v>
      </c>
      <c r="AH813" s="242" t="str">
        <f>IF(AG813="","N/A",INDIRECT("MTR!"&amp;ADDRESS(MATCH(LEFT(AG813,9),[1]MTR!C:C,0),COLUMN(J813)),TRUE) &amp; "")</f>
        <v>#ERROR!</v>
      </c>
      <c r="AI813" s="157" t="str">
        <f t="shared" si="5"/>
        <v>#ERROR!</v>
      </c>
    </row>
    <row r="814" ht="12.75" customHeight="1">
      <c r="A814" s="244" t="s">
        <v>5158</v>
      </c>
      <c r="B814" s="244" t="s">
        <v>231</v>
      </c>
      <c r="C814" s="244" t="s">
        <v>8887</v>
      </c>
      <c r="D814" s="154" t="s">
        <v>1773</v>
      </c>
      <c r="E814" s="154"/>
      <c r="F814" s="154" t="str">
        <f t="array" ref="F814">XLOOKUP(Cover!$D$12,$R$1:$Z$1,$R814:$Z814)</f>
        <v>Information</v>
      </c>
      <c r="G814" s="154" t="s">
        <v>8888</v>
      </c>
      <c r="H814" s="154" t="s">
        <v>8516</v>
      </c>
      <c r="I814" s="154" t="s">
        <v>8884</v>
      </c>
      <c r="J814" s="154" t="s">
        <v>7692</v>
      </c>
      <c r="K814" s="154" t="s">
        <v>8508</v>
      </c>
      <c r="L814" s="154" t="s">
        <v>6126</v>
      </c>
      <c r="M814" s="154"/>
      <c r="N814" s="154" t="s">
        <v>759</v>
      </c>
      <c r="O814" s="247" t="s">
        <v>516</v>
      </c>
      <c r="P814" s="247" t="s">
        <v>6776</v>
      </c>
      <c r="Q814" s="154" t="str">
        <f t="shared" si="1"/>
        <v>#ERROR!</v>
      </c>
      <c r="R814" s="154" t="s">
        <v>66</v>
      </c>
      <c r="S814" s="154" t="s">
        <v>66</v>
      </c>
      <c r="T814" s="154" t="s">
        <v>66</v>
      </c>
      <c r="U814" s="154" t="s">
        <v>66</v>
      </c>
      <c r="V814" s="154" t="s">
        <v>66</v>
      </c>
      <c r="W814" s="154" t="s">
        <v>66</v>
      </c>
      <c r="X814" s="154" t="s">
        <v>66</v>
      </c>
      <c r="Y814" s="154" t="s">
        <v>66</v>
      </c>
      <c r="Z814" s="154" t="s">
        <v>66</v>
      </c>
      <c r="AA814" s="154"/>
      <c r="AB814" s="242" t="str">
        <f t="shared" si="2"/>
        <v>#ERROR!</v>
      </c>
      <c r="AC814" s="154" t="s">
        <v>391</v>
      </c>
      <c r="AD814" s="242" t="b">
        <f t="shared" si="3"/>
        <v>0</v>
      </c>
      <c r="AE814" s="154"/>
      <c r="AF814" s="242" t="str">
        <f t="shared" si="4"/>
        <v>#ERROR!</v>
      </c>
      <c r="AG814" s="154" t="s">
        <v>652</v>
      </c>
      <c r="AH814" s="242" t="str">
        <f>IF(AG814="","N/A",INDIRECT("MTR!"&amp;ADDRESS(MATCH(LEFT(AG814,9),[1]MTR!C:C,0),COLUMN(J814)),TRUE) &amp; "")</f>
        <v>#ERROR!</v>
      </c>
      <c r="AI814" s="157" t="str">
        <f t="shared" si="5"/>
        <v>#ERROR!</v>
      </c>
    </row>
    <row r="815" ht="12.75" customHeight="1">
      <c r="A815" s="244" t="s">
        <v>5158</v>
      </c>
      <c r="B815" s="244" t="s">
        <v>231</v>
      </c>
      <c r="C815" s="244" t="s">
        <v>8889</v>
      </c>
      <c r="D815" s="154" t="s">
        <v>1773</v>
      </c>
      <c r="E815" s="154"/>
      <c r="F815" s="154" t="str">
        <f t="array" ref="F815">XLOOKUP(Cover!$D$12,$R$1:$Z$1,$R815:$Z815)</f>
        <v>Recommended</v>
      </c>
      <c r="G815" s="154" t="s">
        <v>8890</v>
      </c>
      <c r="H815" s="154" t="s">
        <v>8519</v>
      </c>
      <c r="I815" s="154" t="s">
        <v>8884</v>
      </c>
      <c r="J815" s="154" t="s">
        <v>7692</v>
      </c>
      <c r="K815" s="154" t="s">
        <v>8508</v>
      </c>
      <c r="L815" s="154" t="s">
        <v>6126</v>
      </c>
      <c r="M815" s="154"/>
      <c r="N815" s="154" t="s">
        <v>759</v>
      </c>
      <c r="O815" s="247" t="s">
        <v>516</v>
      </c>
      <c r="P815" s="247" t="s">
        <v>6776</v>
      </c>
      <c r="Q815" s="154" t="str">
        <f t="shared" si="1"/>
        <v>#ERROR!</v>
      </c>
      <c r="R815" s="154" t="s">
        <v>66</v>
      </c>
      <c r="S815" s="154" t="s">
        <v>66</v>
      </c>
      <c r="T815" s="154" t="s">
        <v>64</v>
      </c>
      <c r="U815" s="154" t="s">
        <v>64</v>
      </c>
      <c r="V815" s="154" t="s">
        <v>64</v>
      </c>
      <c r="W815" s="154" t="s">
        <v>64</v>
      </c>
      <c r="X815" s="154" t="s">
        <v>66</v>
      </c>
      <c r="Y815" s="154" t="s">
        <v>64</v>
      </c>
      <c r="Z815" s="154" t="s">
        <v>64</v>
      </c>
      <c r="AA815" s="154"/>
      <c r="AB815" s="242" t="str">
        <f t="shared" si="2"/>
        <v>#ERROR!</v>
      </c>
      <c r="AC815" s="154" t="s">
        <v>391</v>
      </c>
      <c r="AD815" s="242" t="b">
        <f t="shared" si="3"/>
        <v>0</v>
      </c>
      <c r="AE815" s="154"/>
      <c r="AF815" s="242" t="str">
        <f t="shared" si="4"/>
        <v>#ERROR!</v>
      </c>
      <c r="AG815" s="154" t="s">
        <v>652</v>
      </c>
      <c r="AH815" s="242" t="str">
        <f>IF(AG815="","N/A",INDIRECT("MTR!"&amp;ADDRESS(MATCH(LEFT(AG815,9),[1]MTR!C:C,0),COLUMN(J815)),TRUE) &amp; "")</f>
        <v>#ERROR!</v>
      </c>
      <c r="AI815" s="157" t="str">
        <f t="shared" si="5"/>
        <v>#ERROR!</v>
      </c>
    </row>
    <row r="816" ht="12.75" customHeight="1">
      <c r="A816" s="244" t="s">
        <v>5158</v>
      </c>
      <c r="B816" s="244" t="s">
        <v>231</v>
      </c>
      <c r="C816" s="244" t="s">
        <v>8891</v>
      </c>
      <c r="D816" s="154" t="s">
        <v>861</v>
      </c>
      <c r="E816" s="154"/>
      <c r="F816" s="154" t="str">
        <f t="array" ref="F816">XLOOKUP(Cover!$D$12,$R$1:$Z$1,$R816:$Z816)</f>
        <v>Mandatory</v>
      </c>
      <c r="G816" s="154" t="s">
        <v>8892</v>
      </c>
      <c r="H816" s="154" t="s">
        <v>8507</v>
      </c>
      <c r="I816" s="154" t="s">
        <v>8893</v>
      </c>
      <c r="J816" s="154" t="s">
        <v>7712</v>
      </c>
      <c r="K816" s="154" t="s">
        <v>8508</v>
      </c>
      <c r="L816" s="154" t="s">
        <v>6428</v>
      </c>
      <c r="M816" s="154" t="s">
        <v>175</v>
      </c>
      <c r="N816" s="154" t="s">
        <v>759</v>
      </c>
      <c r="O816" s="247" t="s">
        <v>516</v>
      </c>
      <c r="P816" s="247" t="s">
        <v>6776</v>
      </c>
      <c r="Q816" s="154" t="str">
        <f t="shared" si="1"/>
        <v>#ERROR!</v>
      </c>
      <c r="R816" s="154" t="s">
        <v>66</v>
      </c>
      <c r="S816" s="154" t="s">
        <v>66</v>
      </c>
      <c r="T816" s="155" t="s">
        <v>64</v>
      </c>
      <c r="U816" s="155" t="s">
        <v>64</v>
      </c>
      <c r="V816" s="154" t="s">
        <v>60</v>
      </c>
      <c r="W816" s="154" t="s">
        <v>60</v>
      </c>
      <c r="X816" s="154" t="s">
        <v>66</v>
      </c>
      <c r="Y816" s="155" t="s">
        <v>64</v>
      </c>
      <c r="Z816" s="154" t="s">
        <v>60</v>
      </c>
      <c r="AA816" s="154"/>
      <c r="AB816" s="242" t="str">
        <f t="shared" si="2"/>
        <v>#ERROR!</v>
      </c>
      <c r="AC816" s="154" t="s">
        <v>391</v>
      </c>
      <c r="AD816" s="242" t="b">
        <f t="shared" si="3"/>
        <v>0</v>
      </c>
      <c r="AE816" s="154"/>
      <c r="AF816" s="242" t="str">
        <f t="shared" si="4"/>
        <v>#ERROR!</v>
      </c>
      <c r="AG816" s="154" t="s">
        <v>652</v>
      </c>
      <c r="AH816" s="242" t="str">
        <f>IF(AG816="","N/A",INDIRECT("MTR!"&amp;ADDRESS(MATCH(LEFT(AG816,9),[1]MTR!C:C,0),COLUMN(J816)),TRUE) &amp; "")</f>
        <v>#ERROR!</v>
      </c>
      <c r="AI816" s="157" t="str">
        <f t="shared" si="5"/>
        <v>#ERROR!</v>
      </c>
    </row>
    <row r="817" ht="12.75" customHeight="1">
      <c r="A817" s="244" t="s">
        <v>5158</v>
      </c>
      <c r="B817" s="244" t="s">
        <v>231</v>
      </c>
      <c r="C817" s="244" t="s">
        <v>8894</v>
      </c>
      <c r="D817" s="154" t="s">
        <v>861</v>
      </c>
      <c r="E817" s="154"/>
      <c r="F817" s="154" t="str">
        <f t="array" ref="F817">XLOOKUP(Cover!$D$12,$R$1:$Z$1,$R817:$Z817)</f>
        <v>Mandatory</v>
      </c>
      <c r="G817" s="154" t="s">
        <v>8895</v>
      </c>
      <c r="H817" s="154" t="s">
        <v>8513</v>
      </c>
      <c r="I817" s="154" t="s">
        <v>8893</v>
      </c>
      <c r="J817" s="154" t="s">
        <v>7712</v>
      </c>
      <c r="K817" s="154" t="s">
        <v>8508</v>
      </c>
      <c r="L817" s="154" t="s">
        <v>6428</v>
      </c>
      <c r="M817" s="154" t="s">
        <v>175</v>
      </c>
      <c r="N817" s="154" t="s">
        <v>759</v>
      </c>
      <c r="O817" s="247" t="s">
        <v>516</v>
      </c>
      <c r="P817" s="247" t="s">
        <v>6776</v>
      </c>
      <c r="Q817" s="154" t="str">
        <f t="shared" si="1"/>
        <v>#ERROR!</v>
      </c>
      <c r="R817" s="154" t="s">
        <v>66</v>
      </c>
      <c r="S817" s="154" t="s">
        <v>66</v>
      </c>
      <c r="T817" s="155" t="s">
        <v>64</v>
      </c>
      <c r="U817" s="155" t="s">
        <v>64</v>
      </c>
      <c r="V817" s="154" t="s">
        <v>60</v>
      </c>
      <c r="W817" s="154" t="s">
        <v>60</v>
      </c>
      <c r="X817" s="154" t="s">
        <v>66</v>
      </c>
      <c r="Y817" s="155" t="s">
        <v>64</v>
      </c>
      <c r="Z817" s="154" t="s">
        <v>60</v>
      </c>
      <c r="AA817" s="154"/>
      <c r="AB817" s="242" t="str">
        <f t="shared" si="2"/>
        <v>#ERROR!</v>
      </c>
      <c r="AC817" s="154" t="s">
        <v>391</v>
      </c>
      <c r="AD817" s="242" t="b">
        <f t="shared" si="3"/>
        <v>0</v>
      </c>
      <c r="AE817" s="154"/>
      <c r="AF817" s="242" t="str">
        <f t="shared" si="4"/>
        <v>#ERROR!</v>
      </c>
      <c r="AG817" s="154" t="s">
        <v>652</v>
      </c>
      <c r="AH817" s="242" t="str">
        <f>IF(AG817="","N/A",INDIRECT("MTR!"&amp;ADDRESS(MATCH(LEFT(AG817,9),[1]MTR!C:C,0),COLUMN(J817)),TRUE) &amp; "")</f>
        <v>#ERROR!</v>
      </c>
      <c r="AI817" s="157" t="str">
        <f t="shared" si="5"/>
        <v>#ERROR!</v>
      </c>
    </row>
    <row r="818" ht="12.75" customHeight="1">
      <c r="A818" s="244" t="s">
        <v>5158</v>
      </c>
      <c r="B818" s="244" t="s">
        <v>231</v>
      </c>
      <c r="C818" s="244" t="s">
        <v>8896</v>
      </c>
      <c r="D818" s="154" t="s">
        <v>861</v>
      </c>
      <c r="E818" s="154"/>
      <c r="F818" s="154" t="str">
        <f t="array" ref="F818">XLOOKUP(Cover!$D$12,$R$1:$Z$1,$R818:$Z818)</f>
        <v>Mandatory</v>
      </c>
      <c r="G818" s="154" t="s">
        <v>8897</v>
      </c>
      <c r="H818" s="154" t="s">
        <v>8519</v>
      </c>
      <c r="I818" s="154" t="s">
        <v>8893</v>
      </c>
      <c r="J818" s="154" t="s">
        <v>7712</v>
      </c>
      <c r="K818" s="154" t="s">
        <v>8508</v>
      </c>
      <c r="L818" s="154" t="s">
        <v>6428</v>
      </c>
      <c r="M818" s="154" t="s">
        <v>175</v>
      </c>
      <c r="N818" s="154" t="s">
        <v>759</v>
      </c>
      <c r="O818" s="247" t="s">
        <v>516</v>
      </c>
      <c r="P818" s="247" t="s">
        <v>6776</v>
      </c>
      <c r="Q818" s="154" t="str">
        <f t="shared" si="1"/>
        <v>#ERROR!</v>
      </c>
      <c r="R818" s="154" t="s">
        <v>66</v>
      </c>
      <c r="S818" s="154" t="s">
        <v>66</v>
      </c>
      <c r="T818" s="155" t="s">
        <v>64</v>
      </c>
      <c r="U818" s="155" t="s">
        <v>64</v>
      </c>
      <c r="V818" s="154" t="s">
        <v>60</v>
      </c>
      <c r="W818" s="154" t="s">
        <v>60</v>
      </c>
      <c r="X818" s="154" t="s">
        <v>66</v>
      </c>
      <c r="Y818" s="155" t="s">
        <v>64</v>
      </c>
      <c r="Z818" s="154" t="s">
        <v>60</v>
      </c>
      <c r="AA818" s="154"/>
      <c r="AB818" s="242" t="str">
        <f t="shared" si="2"/>
        <v>#ERROR!</v>
      </c>
      <c r="AC818" s="154" t="s">
        <v>391</v>
      </c>
      <c r="AD818" s="242" t="b">
        <f t="shared" si="3"/>
        <v>0</v>
      </c>
      <c r="AE818" s="154"/>
      <c r="AF818" s="242" t="str">
        <f t="shared" si="4"/>
        <v>#ERROR!</v>
      </c>
      <c r="AG818" s="154" t="s">
        <v>652</v>
      </c>
      <c r="AH818" s="242" t="str">
        <f>IF(AG818="","N/A",INDIRECT("MTR!"&amp;ADDRESS(MATCH(LEFT(AG818,9),[1]MTR!C:C,0),COLUMN(J818)),TRUE) &amp; "")</f>
        <v>#ERROR!</v>
      </c>
      <c r="AI818" s="157" t="str">
        <f t="shared" si="5"/>
        <v>#ERROR!</v>
      </c>
    </row>
    <row r="819" ht="12.75" customHeight="1">
      <c r="A819" s="244" t="s">
        <v>5158</v>
      </c>
      <c r="B819" s="244" t="s">
        <v>231</v>
      </c>
      <c r="C819" s="244" t="s">
        <v>8898</v>
      </c>
      <c r="D819" s="154" t="s">
        <v>747</v>
      </c>
      <c r="E819" s="154"/>
      <c r="F819" s="154" t="str">
        <f t="array" ref="F819">XLOOKUP(Cover!$D$12,$R$1:$Z$1,$R819:$Z819)</f>
        <v>Mandatory</v>
      </c>
      <c r="G819" s="154" t="s">
        <v>8899</v>
      </c>
      <c r="H819" s="154" t="s">
        <v>1489</v>
      </c>
      <c r="I819" s="154" t="s">
        <v>8900</v>
      </c>
      <c r="J819" s="154" t="s">
        <v>7136</v>
      </c>
      <c r="K819" s="154" t="s">
        <v>8508</v>
      </c>
      <c r="L819" s="154" t="s">
        <v>6525</v>
      </c>
      <c r="M819" s="154" t="s">
        <v>175</v>
      </c>
      <c r="N819" s="154" t="s">
        <v>759</v>
      </c>
      <c r="O819" s="247" t="s">
        <v>445</v>
      </c>
      <c r="P819" s="247" t="s">
        <v>89</v>
      </c>
      <c r="Q819" s="154" t="str">
        <f t="shared" si="1"/>
        <v>#ERROR!</v>
      </c>
      <c r="R819" s="154" t="s">
        <v>66</v>
      </c>
      <c r="S819" s="154" t="s">
        <v>66</v>
      </c>
      <c r="T819" s="155" t="s">
        <v>64</v>
      </c>
      <c r="U819" s="155" t="s">
        <v>64</v>
      </c>
      <c r="V819" s="154" t="s">
        <v>60</v>
      </c>
      <c r="W819" s="154" t="s">
        <v>60</v>
      </c>
      <c r="X819" s="154" t="s">
        <v>66</v>
      </c>
      <c r="Y819" s="155" t="s">
        <v>64</v>
      </c>
      <c r="Z819" s="154" t="s">
        <v>60</v>
      </c>
      <c r="AA819" s="154"/>
      <c r="AB819" s="242" t="str">
        <f t="shared" si="2"/>
        <v>#ERROR!</v>
      </c>
      <c r="AC819" s="154" t="s">
        <v>391</v>
      </c>
      <c r="AD819" s="242" t="b">
        <f t="shared" si="3"/>
        <v>0</v>
      </c>
      <c r="AE819" s="154"/>
      <c r="AF819" s="242" t="str">
        <f t="shared" si="4"/>
        <v>#ERROR!</v>
      </c>
      <c r="AG819" s="154" t="s">
        <v>652</v>
      </c>
      <c r="AH819" s="242" t="str">
        <f>IF(AG819="","N/A",INDIRECT("MTR!"&amp;ADDRESS(MATCH(LEFT(AG819,9),[1]MTR!C:C,0),COLUMN(J819)),TRUE) &amp; "")</f>
        <v>#ERROR!</v>
      </c>
      <c r="AI819" s="157" t="str">
        <f t="shared" si="5"/>
        <v>#ERROR!</v>
      </c>
    </row>
    <row r="820" ht="12.75" customHeight="1">
      <c r="A820" s="244" t="s">
        <v>5158</v>
      </c>
      <c r="B820" s="244" t="s">
        <v>231</v>
      </c>
      <c r="C820" s="244" t="s">
        <v>8901</v>
      </c>
      <c r="D820" s="154" t="s">
        <v>747</v>
      </c>
      <c r="E820" s="154"/>
      <c r="F820" s="154" t="str">
        <f t="array" ref="F820">XLOOKUP(Cover!$D$12,$R$1:$Z$1,$R820:$Z820)</f>
        <v>Mandatory</v>
      </c>
      <c r="G820" s="154" t="s">
        <v>8902</v>
      </c>
      <c r="H820" s="154" t="s">
        <v>8550</v>
      </c>
      <c r="I820" s="154" t="s">
        <v>8900</v>
      </c>
      <c r="J820" s="154" t="s">
        <v>7136</v>
      </c>
      <c r="K820" s="154" t="s">
        <v>8508</v>
      </c>
      <c r="L820" s="154" t="s">
        <v>6525</v>
      </c>
      <c r="M820" s="154" t="s">
        <v>175</v>
      </c>
      <c r="N820" s="154" t="s">
        <v>759</v>
      </c>
      <c r="O820" s="247" t="s">
        <v>516</v>
      </c>
      <c r="P820" s="247" t="s">
        <v>1575</v>
      </c>
      <c r="Q820" s="154" t="str">
        <f t="shared" si="1"/>
        <v>#ERROR!</v>
      </c>
      <c r="R820" s="154" t="s">
        <v>66</v>
      </c>
      <c r="S820" s="154" t="s">
        <v>66</v>
      </c>
      <c r="T820" s="155" t="s">
        <v>64</v>
      </c>
      <c r="U820" s="155" t="s">
        <v>64</v>
      </c>
      <c r="V820" s="154" t="s">
        <v>60</v>
      </c>
      <c r="W820" s="154" t="s">
        <v>60</v>
      </c>
      <c r="X820" s="154" t="s">
        <v>66</v>
      </c>
      <c r="Y820" s="155" t="s">
        <v>64</v>
      </c>
      <c r="Z820" s="154" t="s">
        <v>60</v>
      </c>
      <c r="AA820" s="154"/>
      <c r="AB820" s="242" t="str">
        <f t="shared" si="2"/>
        <v>#ERROR!</v>
      </c>
      <c r="AC820" s="154" t="s">
        <v>391</v>
      </c>
      <c r="AD820" s="242" t="b">
        <f t="shared" si="3"/>
        <v>0</v>
      </c>
      <c r="AE820" s="154"/>
      <c r="AF820" s="242" t="str">
        <f t="shared" si="4"/>
        <v>#ERROR!</v>
      </c>
      <c r="AG820" s="154" t="s">
        <v>652</v>
      </c>
      <c r="AH820" s="242" t="str">
        <f>IF(AG820="","N/A",INDIRECT("MTR!"&amp;ADDRESS(MATCH(LEFT(AG820,9),[1]MTR!C:C,0),COLUMN(J820)),TRUE) &amp; "")</f>
        <v>#ERROR!</v>
      </c>
      <c r="AI820" s="157" t="str">
        <f t="shared" si="5"/>
        <v>#ERROR!</v>
      </c>
    </row>
    <row r="821" ht="12.75" customHeight="1">
      <c r="A821" s="244" t="s">
        <v>5158</v>
      </c>
      <c r="B821" s="244" t="s">
        <v>231</v>
      </c>
      <c r="C821" s="244" t="s">
        <v>8903</v>
      </c>
      <c r="D821" s="154" t="s">
        <v>747</v>
      </c>
      <c r="E821" s="154"/>
      <c r="F821" s="154" t="str">
        <f t="array" ref="F821">XLOOKUP(Cover!$D$12,$R$1:$Z$1,$R821:$Z821)</f>
        <v>Recommended</v>
      </c>
      <c r="G821" s="154" t="s">
        <v>8904</v>
      </c>
      <c r="H821" s="154" t="s">
        <v>8513</v>
      </c>
      <c r="I821" s="154" t="s">
        <v>8900</v>
      </c>
      <c r="J821" s="154" t="s">
        <v>7136</v>
      </c>
      <c r="K821" s="154" t="s">
        <v>8508</v>
      </c>
      <c r="L821" s="154" t="s">
        <v>6525</v>
      </c>
      <c r="M821" s="154"/>
      <c r="N821" s="154" t="s">
        <v>759</v>
      </c>
      <c r="O821" s="247" t="s">
        <v>445</v>
      </c>
      <c r="P821" s="247" t="s">
        <v>89</v>
      </c>
      <c r="Q821" s="154" t="str">
        <f t="shared" si="1"/>
        <v>#ERROR!</v>
      </c>
      <c r="R821" s="154" t="s">
        <v>66</v>
      </c>
      <c r="S821" s="154" t="s">
        <v>66</v>
      </c>
      <c r="T821" s="154" t="s">
        <v>64</v>
      </c>
      <c r="U821" s="154" t="s">
        <v>64</v>
      </c>
      <c r="V821" s="154" t="s">
        <v>64</v>
      </c>
      <c r="W821" s="154" t="s">
        <v>64</v>
      </c>
      <c r="X821" s="154" t="s">
        <v>66</v>
      </c>
      <c r="Y821" s="154" t="s">
        <v>64</v>
      </c>
      <c r="Z821" s="154" t="s">
        <v>64</v>
      </c>
      <c r="AA821" s="154"/>
      <c r="AB821" s="242" t="str">
        <f t="shared" si="2"/>
        <v>#ERROR!</v>
      </c>
      <c r="AC821" s="154" t="s">
        <v>391</v>
      </c>
      <c r="AD821" s="242" t="b">
        <f t="shared" si="3"/>
        <v>0</v>
      </c>
      <c r="AE821" s="154"/>
      <c r="AF821" s="242" t="str">
        <f t="shared" si="4"/>
        <v>#ERROR!</v>
      </c>
      <c r="AG821" s="154" t="s">
        <v>652</v>
      </c>
      <c r="AH821" s="242" t="str">
        <f>IF(AG821="","N/A",INDIRECT("MTR!"&amp;ADDRESS(MATCH(LEFT(AG821,9),[1]MTR!C:C,0),COLUMN(J821)),TRUE) &amp; "")</f>
        <v>#ERROR!</v>
      </c>
      <c r="AI821" s="157" t="str">
        <f t="shared" si="5"/>
        <v>#ERROR!</v>
      </c>
    </row>
    <row r="822" ht="12.75" customHeight="1">
      <c r="A822" s="244" t="s">
        <v>5158</v>
      </c>
      <c r="B822" s="244" t="s">
        <v>231</v>
      </c>
      <c r="C822" s="244" t="s">
        <v>8905</v>
      </c>
      <c r="D822" s="154" t="s">
        <v>747</v>
      </c>
      <c r="E822" s="154"/>
      <c r="F822" s="154" t="str">
        <f t="array" ref="F822">XLOOKUP(Cover!$D$12,$R$1:$Z$1,$R822:$Z822)</f>
        <v>Recommended</v>
      </c>
      <c r="G822" s="154" t="s">
        <v>8906</v>
      </c>
      <c r="H822" s="154" t="s">
        <v>8573</v>
      </c>
      <c r="I822" s="154" t="s">
        <v>8900</v>
      </c>
      <c r="J822" s="154" t="s">
        <v>7136</v>
      </c>
      <c r="K822" s="154" t="s">
        <v>8508</v>
      </c>
      <c r="L822" s="154" t="s">
        <v>6525</v>
      </c>
      <c r="M822" s="154"/>
      <c r="N822" s="154" t="s">
        <v>759</v>
      </c>
      <c r="O822" s="247" t="s">
        <v>516</v>
      </c>
      <c r="P822" s="247" t="s">
        <v>1575</v>
      </c>
      <c r="Q822" s="154" t="str">
        <f t="shared" si="1"/>
        <v>#ERROR!</v>
      </c>
      <c r="R822" s="154" t="s">
        <v>66</v>
      </c>
      <c r="S822" s="154" t="s">
        <v>66</v>
      </c>
      <c r="T822" s="154" t="s">
        <v>64</v>
      </c>
      <c r="U822" s="154" t="s">
        <v>64</v>
      </c>
      <c r="V822" s="154" t="s">
        <v>64</v>
      </c>
      <c r="W822" s="154" t="s">
        <v>64</v>
      </c>
      <c r="X822" s="154" t="s">
        <v>66</v>
      </c>
      <c r="Y822" s="154" t="s">
        <v>64</v>
      </c>
      <c r="Z822" s="154" t="s">
        <v>64</v>
      </c>
      <c r="AA822" s="154"/>
      <c r="AB822" s="242" t="str">
        <f t="shared" si="2"/>
        <v>#ERROR!</v>
      </c>
      <c r="AC822" s="154" t="s">
        <v>391</v>
      </c>
      <c r="AD822" s="242" t="b">
        <f t="shared" si="3"/>
        <v>0</v>
      </c>
      <c r="AE822" s="154"/>
      <c r="AF822" s="242" t="str">
        <f t="shared" si="4"/>
        <v>#ERROR!</v>
      </c>
      <c r="AG822" s="154" t="s">
        <v>652</v>
      </c>
      <c r="AH822" s="242" t="str">
        <f>IF(AG822="","N/A",INDIRECT("MTR!"&amp;ADDRESS(MATCH(LEFT(AG822,9),[1]MTR!C:C,0),COLUMN(J822)),TRUE) &amp; "")</f>
        <v>#ERROR!</v>
      </c>
      <c r="AI822" s="157" t="str">
        <f t="shared" si="5"/>
        <v>#ERROR!</v>
      </c>
    </row>
    <row r="823" ht="12.75" customHeight="1">
      <c r="A823" s="244" t="s">
        <v>5158</v>
      </c>
      <c r="B823" s="244" t="s">
        <v>231</v>
      </c>
      <c r="C823" s="244" t="s">
        <v>8907</v>
      </c>
      <c r="D823" s="154" t="s">
        <v>1773</v>
      </c>
      <c r="E823" s="154"/>
      <c r="F823" s="154" t="str">
        <f t="array" ref="F823">XLOOKUP(Cover!$D$12,$R$1:$Z$1,$R823:$Z823)</f>
        <v>Mandatory</v>
      </c>
      <c r="G823" s="154" t="s">
        <v>8908</v>
      </c>
      <c r="H823" s="154" t="s">
        <v>1489</v>
      </c>
      <c r="I823" s="154" t="s">
        <v>8909</v>
      </c>
      <c r="J823" s="154" t="s">
        <v>7164</v>
      </c>
      <c r="K823" s="154" t="s">
        <v>8508</v>
      </c>
      <c r="L823" s="154" t="s">
        <v>7175</v>
      </c>
      <c r="M823" s="154" t="s">
        <v>175</v>
      </c>
      <c r="N823" s="154" t="s">
        <v>759</v>
      </c>
      <c r="O823" s="247" t="s">
        <v>516</v>
      </c>
      <c r="P823" s="247" t="s">
        <v>6776</v>
      </c>
      <c r="Q823" s="154" t="str">
        <f t="shared" si="1"/>
        <v>#ERROR!</v>
      </c>
      <c r="R823" s="154" t="s">
        <v>66</v>
      </c>
      <c r="S823" s="154" t="s">
        <v>66</v>
      </c>
      <c r="T823" s="155" t="s">
        <v>64</v>
      </c>
      <c r="U823" s="155" t="s">
        <v>64</v>
      </c>
      <c r="V823" s="154" t="s">
        <v>60</v>
      </c>
      <c r="W823" s="154" t="s">
        <v>60</v>
      </c>
      <c r="X823" s="154" t="s">
        <v>66</v>
      </c>
      <c r="Y823" s="155" t="s">
        <v>64</v>
      </c>
      <c r="Z823" s="154" t="s">
        <v>60</v>
      </c>
      <c r="AA823" s="154"/>
      <c r="AB823" s="242" t="str">
        <f t="shared" si="2"/>
        <v>#ERROR!</v>
      </c>
      <c r="AC823" s="154" t="s">
        <v>391</v>
      </c>
      <c r="AD823" s="242" t="b">
        <f t="shared" si="3"/>
        <v>0</v>
      </c>
      <c r="AE823" s="154"/>
      <c r="AF823" s="242" t="str">
        <f t="shared" si="4"/>
        <v>#ERROR!</v>
      </c>
      <c r="AG823" s="154" t="s">
        <v>652</v>
      </c>
      <c r="AH823" s="242" t="str">
        <f>IF(AG823="","N/A",INDIRECT("MTR!"&amp;ADDRESS(MATCH(LEFT(AG823,9),[1]MTR!C:C,0),COLUMN(J823)),TRUE) &amp; "")</f>
        <v>#ERROR!</v>
      </c>
      <c r="AI823" s="157" t="str">
        <f t="shared" si="5"/>
        <v>#ERROR!</v>
      </c>
    </row>
    <row r="824" ht="12.75" customHeight="1">
      <c r="A824" s="244" t="s">
        <v>5158</v>
      </c>
      <c r="B824" s="244" t="s">
        <v>231</v>
      </c>
      <c r="C824" s="244" t="s">
        <v>8910</v>
      </c>
      <c r="D824" s="154" t="s">
        <v>1773</v>
      </c>
      <c r="E824" s="154"/>
      <c r="F824" s="154" t="str">
        <f t="array" ref="F824">XLOOKUP(Cover!$D$12,$R$1:$Z$1,$R824:$Z824)</f>
        <v>Mandatory</v>
      </c>
      <c r="G824" s="154" t="s">
        <v>8911</v>
      </c>
      <c r="H824" s="154" t="s">
        <v>8550</v>
      </c>
      <c r="I824" s="154" t="s">
        <v>8909</v>
      </c>
      <c r="J824" s="154" t="s">
        <v>7164</v>
      </c>
      <c r="K824" s="154" t="s">
        <v>8508</v>
      </c>
      <c r="L824" s="154" t="s">
        <v>7175</v>
      </c>
      <c r="M824" s="154" t="s">
        <v>175</v>
      </c>
      <c r="N824" s="154" t="s">
        <v>759</v>
      </c>
      <c r="O824" s="247" t="s">
        <v>516</v>
      </c>
      <c r="P824" s="247" t="s">
        <v>6776</v>
      </c>
      <c r="Q824" s="154" t="str">
        <f t="shared" si="1"/>
        <v>#ERROR!</v>
      </c>
      <c r="R824" s="154" t="s">
        <v>66</v>
      </c>
      <c r="S824" s="154" t="s">
        <v>66</v>
      </c>
      <c r="T824" s="155" t="s">
        <v>64</v>
      </c>
      <c r="U824" s="155" t="s">
        <v>64</v>
      </c>
      <c r="V824" s="154" t="s">
        <v>60</v>
      </c>
      <c r="W824" s="154" t="s">
        <v>60</v>
      </c>
      <c r="X824" s="154" t="s">
        <v>66</v>
      </c>
      <c r="Y824" s="155" t="s">
        <v>64</v>
      </c>
      <c r="Z824" s="154" t="s">
        <v>60</v>
      </c>
      <c r="AA824" s="154"/>
      <c r="AB824" s="242" t="str">
        <f t="shared" si="2"/>
        <v>#ERROR!</v>
      </c>
      <c r="AC824" s="154" t="s">
        <v>391</v>
      </c>
      <c r="AD824" s="242" t="b">
        <f t="shared" si="3"/>
        <v>0</v>
      </c>
      <c r="AE824" s="154"/>
      <c r="AF824" s="242" t="str">
        <f t="shared" si="4"/>
        <v>#ERROR!</v>
      </c>
      <c r="AG824" s="154" t="s">
        <v>652</v>
      </c>
      <c r="AH824" s="242" t="str">
        <f>IF(AG824="","N/A",INDIRECT("MTR!"&amp;ADDRESS(MATCH(LEFT(AG824,9),[1]MTR!C:C,0),COLUMN(J824)),TRUE) &amp; "")</f>
        <v>#ERROR!</v>
      </c>
      <c r="AI824" s="157" t="str">
        <f t="shared" si="5"/>
        <v>#ERROR!</v>
      </c>
    </row>
    <row r="825" ht="12.75" customHeight="1">
      <c r="A825" s="244" t="s">
        <v>5158</v>
      </c>
      <c r="B825" s="244" t="s">
        <v>231</v>
      </c>
      <c r="C825" s="244" t="s">
        <v>8912</v>
      </c>
      <c r="D825" s="154" t="s">
        <v>1773</v>
      </c>
      <c r="E825" s="154"/>
      <c r="F825" s="154" t="str">
        <f t="array" ref="F825">XLOOKUP(Cover!$D$12,$R$1:$Z$1,$R825:$Z825)</f>
        <v>Mandatory</v>
      </c>
      <c r="G825" s="154" t="s">
        <v>8913</v>
      </c>
      <c r="H825" s="154" t="s">
        <v>8513</v>
      </c>
      <c r="I825" s="154" t="s">
        <v>8909</v>
      </c>
      <c r="J825" s="154" t="s">
        <v>7164</v>
      </c>
      <c r="K825" s="154" t="s">
        <v>8508</v>
      </c>
      <c r="L825" s="154" t="s">
        <v>7175</v>
      </c>
      <c r="M825" s="154" t="s">
        <v>175</v>
      </c>
      <c r="N825" s="154" t="s">
        <v>759</v>
      </c>
      <c r="O825" s="247" t="s">
        <v>516</v>
      </c>
      <c r="P825" s="247" t="s">
        <v>6776</v>
      </c>
      <c r="Q825" s="154" t="str">
        <f t="shared" si="1"/>
        <v>#ERROR!</v>
      </c>
      <c r="R825" s="154" t="s">
        <v>66</v>
      </c>
      <c r="S825" s="154" t="s">
        <v>66</v>
      </c>
      <c r="T825" s="155" t="s">
        <v>64</v>
      </c>
      <c r="U825" s="155" t="s">
        <v>64</v>
      </c>
      <c r="V825" s="154" t="s">
        <v>60</v>
      </c>
      <c r="W825" s="154" t="s">
        <v>60</v>
      </c>
      <c r="X825" s="154" t="s">
        <v>66</v>
      </c>
      <c r="Y825" s="155" t="s">
        <v>64</v>
      </c>
      <c r="Z825" s="154" t="s">
        <v>60</v>
      </c>
      <c r="AA825" s="154"/>
      <c r="AB825" s="242" t="str">
        <f t="shared" si="2"/>
        <v>#ERROR!</v>
      </c>
      <c r="AC825" s="154" t="s">
        <v>391</v>
      </c>
      <c r="AD825" s="242" t="b">
        <f t="shared" si="3"/>
        <v>0</v>
      </c>
      <c r="AE825" s="154"/>
      <c r="AF825" s="242" t="str">
        <f t="shared" si="4"/>
        <v>#ERROR!</v>
      </c>
      <c r="AG825" s="154" t="s">
        <v>652</v>
      </c>
      <c r="AH825" s="242" t="str">
        <f>IF(AG825="","N/A",INDIRECT("MTR!"&amp;ADDRESS(MATCH(LEFT(AG825,9),[1]MTR!C:C,0),COLUMN(J825)),TRUE) &amp; "")</f>
        <v>#ERROR!</v>
      </c>
      <c r="AI825" s="157" t="str">
        <f t="shared" si="5"/>
        <v>#ERROR!</v>
      </c>
    </row>
    <row r="826" ht="12.75" customHeight="1">
      <c r="A826" s="244" t="s">
        <v>5158</v>
      </c>
      <c r="B826" s="244" t="s">
        <v>231</v>
      </c>
      <c r="C826" s="244" t="s">
        <v>8914</v>
      </c>
      <c r="D826" s="154" t="s">
        <v>1773</v>
      </c>
      <c r="E826" s="154"/>
      <c r="F826" s="154" t="str">
        <f t="array" ref="F826">XLOOKUP(Cover!$D$12,$R$1:$Z$1,$R826:$Z826)</f>
        <v>Mandatory</v>
      </c>
      <c r="G826" s="154" t="s">
        <v>8915</v>
      </c>
      <c r="H826" s="154" t="s">
        <v>8519</v>
      </c>
      <c r="I826" s="154" t="s">
        <v>8909</v>
      </c>
      <c r="J826" s="154" t="s">
        <v>7164</v>
      </c>
      <c r="K826" s="154" t="s">
        <v>8508</v>
      </c>
      <c r="L826" s="154" t="s">
        <v>7175</v>
      </c>
      <c r="M826" s="154" t="s">
        <v>175</v>
      </c>
      <c r="N826" s="154" t="s">
        <v>759</v>
      </c>
      <c r="O826" s="247" t="s">
        <v>516</v>
      </c>
      <c r="P826" s="247" t="s">
        <v>6776</v>
      </c>
      <c r="Q826" s="154" t="str">
        <f t="shared" si="1"/>
        <v>#ERROR!</v>
      </c>
      <c r="R826" s="154" t="s">
        <v>66</v>
      </c>
      <c r="S826" s="154" t="s">
        <v>66</v>
      </c>
      <c r="T826" s="155" t="s">
        <v>64</v>
      </c>
      <c r="U826" s="155" t="s">
        <v>64</v>
      </c>
      <c r="V826" s="154" t="s">
        <v>60</v>
      </c>
      <c r="W826" s="154" t="s">
        <v>60</v>
      </c>
      <c r="X826" s="154" t="s">
        <v>66</v>
      </c>
      <c r="Y826" s="155" t="s">
        <v>64</v>
      </c>
      <c r="Z826" s="154" t="s">
        <v>60</v>
      </c>
      <c r="AA826" s="154"/>
      <c r="AB826" s="242" t="str">
        <f t="shared" si="2"/>
        <v>#ERROR!</v>
      </c>
      <c r="AC826" s="154" t="s">
        <v>391</v>
      </c>
      <c r="AD826" s="242" t="b">
        <f t="shared" si="3"/>
        <v>0</v>
      </c>
      <c r="AE826" s="154"/>
      <c r="AF826" s="242" t="str">
        <f t="shared" si="4"/>
        <v>#ERROR!</v>
      </c>
      <c r="AG826" s="154" t="s">
        <v>652</v>
      </c>
      <c r="AH826" s="242" t="str">
        <f>IF(AG826="","N/A",INDIRECT("MTR!"&amp;ADDRESS(MATCH(LEFT(AG826,9),[1]MTR!C:C,0),COLUMN(J826)),TRUE) &amp; "")</f>
        <v>#ERROR!</v>
      </c>
      <c r="AI826" s="157" t="str">
        <f t="shared" si="5"/>
        <v>#ERROR!</v>
      </c>
    </row>
    <row r="827" ht="12.75" customHeight="1">
      <c r="A827" s="244" t="s">
        <v>5158</v>
      </c>
      <c r="B827" s="244" t="s">
        <v>231</v>
      </c>
      <c r="C827" s="244" t="s">
        <v>8916</v>
      </c>
      <c r="D827" s="154" t="s">
        <v>1773</v>
      </c>
      <c r="E827" s="154"/>
      <c r="F827" s="154" t="str">
        <f t="array" ref="F827">XLOOKUP(Cover!$D$12,$R$1:$Z$1,$R827:$Z827)</f>
        <v>Mandatory</v>
      </c>
      <c r="G827" s="154" t="s">
        <v>8917</v>
      </c>
      <c r="H827" s="154" t="s">
        <v>1489</v>
      </c>
      <c r="I827" s="154" t="s">
        <v>8918</v>
      </c>
      <c r="J827" s="154" t="s">
        <v>7185</v>
      </c>
      <c r="K827" s="154" t="s">
        <v>8508</v>
      </c>
      <c r="L827" s="154" t="s">
        <v>6126</v>
      </c>
      <c r="M827" s="154" t="s">
        <v>175</v>
      </c>
      <c r="N827" s="154" t="s">
        <v>759</v>
      </c>
      <c r="O827" s="247" t="s">
        <v>516</v>
      </c>
      <c r="P827" s="247" t="s">
        <v>6776</v>
      </c>
      <c r="Q827" s="154" t="str">
        <f t="shared" si="1"/>
        <v>#ERROR!</v>
      </c>
      <c r="R827" s="154" t="s">
        <v>66</v>
      </c>
      <c r="S827" s="154" t="s">
        <v>66</v>
      </c>
      <c r="T827" s="155" t="s">
        <v>64</v>
      </c>
      <c r="U827" s="155" t="s">
        <v>64</v>
      </c>
      <c r="V827" s="154" t="s">
        <v>60</v>
      </c>
      <c r="W827" s="154" t="s">
        <v>60</v>
      </c>
      <c r="X827" s="154" t="s">
        <v>66</v>
      </c>
      <c r="Y827" s="155" t="s">
        <v>64</v>
      </c>
      <c r="Z827" s="154" t="s">
        <v>60</v>
      </c>
      <c r="AA827" s="154"/>
      <c r="AB827" s="242" t="str">
        <f t="shared" si="2"/>
        <v>#ERROR!</v>
      </c>
      <c r="AC827" s="154" t="s">
        <v>391</v>
      </c>
      <c r="AD827" s="242" t="b">
        <f t="shared" si="3"/>
        <v>0</v>
      </c>
      <c r="AE827" s="154"/>
      <c r="AF827" s="242" t="str">
        <f t="shared" si="4"/>
        <v>#ERROR!</v>
      </c>
      <c r="AG827" s="154" t="s">
        <v>652</v>
      </c>
      <c r="AH827" s="242" t="str">
        <f>IF(AG827="","N/A",INDIRECT("MTR!"&amp;ADDRESS(MATCH(LEFT(AG827,9),[1]MTR!C:C,0),COLUMN(J827)),TRUE) &amp; "")</f>
        <v>#ERROR!</v>
      </c>
      <c r="AI827" s="157" t="str">
        <f t="shared" si="5"/>
        <v>#ERROR!</v>
      </c>
    </row>
    <row r="828" ht="12.75" customHeight="1">
      <c r="A828" s="244" t="s">
        <v>5158</v>
      </c>
      <c r="B828" s="244" t="s">
        <v>231</v>
      </c>
      <c r="C828" s="244" t="s">
        <v>8919</v>
      </c>
      <c r="D828" s="154" t="s">
        <v>1773</v>
      </c>
      <c r="E828" s="154"/>
      <c r="F828" s="154" t="str">
        <f t="array" ref="F828">XLOOKUP(Cover!$D$12,$R$1:$Z$1,$R828:$Z828)</f>
        <v>Mandatory</v>
      </c>
      <c r="G828" s="154" t="s">
        <v>8920</v>
      </c>
      <c r="H828" s="154" t="s">
        <v>8550</v>
      </c>
      <c r="I828" s="154" t="s">
        <v>8918</v>
      </c>
      <c r="J828" s="154" t="s">
        <v>7185</v>
      </c>
      <c r="K828" s="154" t="s">
        <v>8508</v>
      </c>
      <c r="L828" s="154" t="s">
        <v>6126</v>
      </c>
      <c r="M828" s="154" t="s">
        <v>175</v>
      </c>
      <c r="N828" s="154" t="s">
        <v>759</v>
      </c>
      <c r="O828" s="247" t="s">
        <v>516</v>
      </c>
      <c r="P828" s="247" t="s">
        <v>6776</v>
      </c>
      <c r="Q828" s="154" t="str">
        <f t="shared" si="1"/>
        <v>#ERROR!</v>
      </c>
      <c r="R828" s="154" t="s">
        <v>66</v>
      </c>
      <c r="S828" s="154" t="s">
        <v>66</v>
      </c>
      <c r="T828" s="155" t="s">
        <v>64</v>
      </c>
      <c r="U828" s="155" t="s">
        <v>64</v>
      </c>
      <c r="V828" s="154" t="s">
        <v>60</v>
      </c>
      <c r="W828" s="154" t="s">
        <v>60</v>
      </c>
      <c r="X828" s="154" t="s">
        <v>66</v>
      </c>
      <c r="Y828" s="155" t="s">
        <v>64</v>
      </c>
      <c r="Z828" s="154" t="s">
        <v>60</v>
      </c>
      <c r="AA828" s="154"/>
      <c r="AB828" s="242" t="str">
        <f t="shared" si="2"/>
        <v>#ERROR!</v>
      </c>
      <c r="AC828" s="154" t="s">
        <v>391</v>
      </c>
      <c r="AD828" s="242" t="b">
        <f t="shared" si="3"/>
        <v>0</v>
      </c>
      <c r="AE828" s="154"/>
      <c r="AF828" s="242" t="str">
        <f t="shared" si="4"/>
        <v>#ERROR!</v>
      </c>
      <c r="AG828" s="154" t="s">
        <v>652</v>
      </c>
      <c r="AH828" s="242" t="str">
        <f>IF(AG828="","N/A",INDIRECT("MTR!"&amp;ADDRESS(MATCH(LEFT(AG828,9),[1]MTR!C:C,0),COLUMN(J828)),TRUE) &amp; "")</f>
        <v>#ERROR!</v>
      </c>
      <c r="AI828" s="157" t="str">
        <f t="shared" si="5"/>
        <v>#ERROR!</v>
      </c>
    </row>
    <row r="829" ht="12.75" customHeight="1">
      <c r="A829" s="244" t="s">
        <v>5158</v>
      </c>
      <c r="B829" s="244" t="s">
        <v>231</v>
      </c>
      <c r="C829" s="244" t="s">
        <v>8921</v>
      </c>
      <c r="D829" s="154" t="s">
        <v>1773</v>
      </c>
      <c r="E829" s="154"/>
      <c r="F829" s="154" t="str">
        <f t="array" ref="F829">XLOOKUP(Cover!$D$12,$R$1:$Z$1,$R829:$Z829)</f>
        <v>Mandatory</v>
      </c>
      <c r="G829" s="154" t="s">
        <v>8922</v>
      </c>
      <c r="H829" s="154" t="s">
        <v>8513</v>
      </c>
      <c r="I829" s="154" t="s">
        <v>8918</v>
      </c>
      <c r="J829" s="154" t="s">
        <v>7185</v>
      </c>
      <c r="K829" s="154" t="s">
        <v>8508</v>
      </c>
      <c r="L829" s="154" t="s">
        <v>6126</v>
      </c>
      <c r="M829" s="154" t="s">
        <v>175</v>
      </c>
      <c r="N829" s="154" t="s">
        <v>759</v>
      </c>
      <c r="O829" s="247" t="s">
        <v>516</v>
      </c>
      <c r="P829" s="247" t="s">
        <v>6776</v>
      </c>
      <c r="Q829" s="154" t="str">
        <f t="shared" si="1"/>
        <v>#ERROR!</v>
      </c>
      <c r="R829" s="154" t="s">
        <v>66</v>
      </c>
      <c r="S829" s="154" t="s">
        <v>66</v>
      </c>
      <c r="T829" s="155" t="s">
        <v>64</v>
      </c>
      <c r="U829" s="155" t="s">
        <v>64</v>
      </c>
      <c r="V829" s="154" t="s">
        <v>60</v>
      </c>
      <c r="W829" s="154" t="s">
        <v>60</v>
      </c>
      <c r="X829" s="154" t="s">
        <v>66</v>
      </c>
      <c r="Y829" s="155" t="s">
        <v>64</v>
      </c>
      <c r="Z829" s="154" t="s">
        <v>60</v>
      </c>
      <c r="AA829" s="154"/>
      <c r="AB829" s="242" t="str">
        <f t="shared" si="2"/>
        <v>#ERROR!</v>
      </c>
      <c r="AC829" s="154" t="s">
        <v>391</v>
      </c>
      <c r="AD829" s="242" t="b">
        <f t="shared" si="3"/>
        <v>0</v>
      </c>
      <c r="AE829" s="154"/>
      <c r="AF829" s="242" t="str">
        <f t="shared" si="4"/>
        <v>#ERROR!</v>
      </c>
      <c r="AG829" s="154" t="s">
        <v>652</v>
      </c>
      <c r="AH829" s="242" t="str">
        <f>IF(AG829="","N/A",INDIRECT("MTR!"&amp;ADDRESS(MATCH(LEFT(AG829,9),[1]MTR!C:C,0),COLUMN(J829)),TRUE) &amp; "")</f>
        <v>#ERROR!</v>
      </c>
      <c r="AI829" s="157" t="str">
        <f t="shared" si="5"/>
        <v>#ERROR!</v>
      </c>
    </row>
    <row r="830" ht="12.75" customHeight="1">
      <c r="A830" s="244" t="s">
        <v>5158</v>
      </c>
      <c r="B830" s="244" t="s">
        <v>231</v>
      </c>
      <c r="C830" s="244" t="s">
        <v>8923</v>
      </c>
      <c r="D830" s="154" t="s">
        <v>503</v>
      </c>
      <c r="E830" s="154"/>
      <c r="F830" s="154" t="str">
        <f t="array" ref="F830">XLOOKUP(Cover!$D$12,$R$1:$Z$1,$R830:$Z830)</f>
        <v>Recommended</v>
      </c>
      <c r="G830" s="154" t="s">
        <v>8924</v>
      </c>
      <c r="H830" s="154" t="s">
        <v>1489</v>
      </c>
      <c r="I830" s="154" t="s">
        <v>8925</v>
      </c>
      <c r="J830" s="154" t="s">
        <v>8926</v>
      </c>
      <c r="K830" s="154" t="s">
        <v>8508</v>
      </c>
      <c r="L830" s="154" t="s">
        <v>7431</v>
      </c>
      <c r="M830" s="154"/>
      <c r="N830" s="154" t="s">
        <v>759</v>
      </c>
      <c r="O830" s="247" t="s">
        <v>516</v>
      </c>
      <c r="P830" s="247" t="s">
        <v>6776</v>
      </c>
      <c r="Q830" s="154" t="str">
        <f t="shared" si="1"/>
        <v>#ERROR!</v>
      </c>
      <c r="R830" s="154" t="s">
        <v>66</v>
      </c>
      <c r="S830" s="154" t="s">
        <v>66</v>
      </c>
      <c r="T830" s="154" t="s">
        <v>64</v>
      </c>
      <c r="U830" s="154" t="s">
        <v>64</v>
      </c>
      <c r="V830" s="154" t="s">
        <v>64</v>
      </c>
      <c r="W830" s="154" t="s">
        <v>64</v>
      </c>
      <c r="X830" s="154" t="s">
        <v>66</v>
      </c>
      <c r="Y830" s="154" t="s">
        <v>64</v>
      </c>
      <c r="Z830" s="154" t="s">
        <v>64</v>
      </c>
      <c r="AA830" s="154"/>
      <c r="AB830" s="242" t="str">
        <f t="shared" si="2"/>
        <v>#ERROR!</v>
      </c>
      <c r="AC830" s="154" t="s">
        <v>391</v>
      </c>
      <c r="AD830" s="242" t="b">
        <f t="shared" si="3"/>
        <v>0</v>
      </c>
      <c r="AE830" s="154"/>
      <c r="AF830" s="242" t="str">
        <f t="shared" si="4"/>
        <v>#ERROR!</v>
      </c>
      <c r="AG830" s="154" t="s">
        <v>652</v>
      </c>
      <c r="AH830" s="242" t="str">
        <f>IF(AG830="","N/A",INDIRECT("MTR!"&amp;ADDRESS(MATCH(LEFT(AG830,9),[1]MTR!C:C,0),COLUMN(J830)),TRUE) &amp; "")</f>
        <v>#ERROR!</v>
      </c>
      <c r="AI830" s="157" t="str">
        <f t="shared" si="5"/>
        <v>#ERROR!</v>
      </c>
    </row>
    <row r="831" ht="12.75" customHeight="1">
      <c r="A831" s="244" t="s">
        <v>5158</v>
      </c>
      <c r="B831" s="244" t="s">
        <v>231</v>
      </c>
      <c r="C831" s="244" t="s">
        <v>8927</v>
      </c>
      <c r="D831" s="154" t="s">
        <v>503</v>
      </c>
      <c r="E831" s="154"/>
      <c r="F831" s="154" t="str">
        <f t="array" ref="F831">XLOOKUP(Cover!$D$12,$R$1:$Z$1,$R831:$Z831)</f>
        <v>Recommended</v>
      </c>
      <c r="G831" s="154" t="s">
        <v>8928</v>
      </c>
      <c r="H831" s="154" t="s">
        <v>8550</v>
      </c>
      <c r="I831" s="154" t="s">
        <v>8925</v>
      </c>
      <c r="J831" s="154" t="s">
        <v>8926</v>
      </c>
      <c r="K831" s="154" t="s">
        <v>8508</v>
      </c>
      <c r="L831" s="154" t="s">
        <v>7431</v>
      </c>
      <c r="M831" s="154"/>
      <c r="N831" s="154" t="s">
        <v>759</v>
      </c>
      <c r="O831" s="247" t="s">
        <v>516</v>
      </c>
      <c r="P831" s="247" t="s">
        <v>6776</v>
      </c>
      <c r="Q831" s="154" t="str">
        <f t="shared" si="1"/>
        <v>#ERROR!</v>
      </c>
      <c r="R831" s="154" t="s">
        <v>66</v>
      </c>
      <c r="S831" s="154" t="s">
        <v>66</v>
      </c>
      <c r="T831" s="154" t="s">
        <v>64</v>
      </c>
      <c r="U831" s="154" t="s">
        <v>64</v>
      </c>
      <c r="V831" s="154" t="s">
        <v>64</v>
      </c>
      <c r="W831" s="154" t="s">
        <v>64</v>
      </c>
      <c r="X831" s="154" t="s">
        <v>66</v>
      </c>
      <c r="Y831" s="154" t="s">
        <v>64</v>
      </c>
      <c r="Z831" s="154" t="s">
        <v>64</v>
      </c>
      <c r="AA831" s="154"/>
      <c r="AB831" s="242" t="str">
        <f t="shared" si="2"/>
        <v>#ERROR!</v>
      </c>
      <c r="AC831" s="154" t="s">
        <v>391</v>
      </c>
      <c r="AD831" s="242" t="b">
        <f t="shared" si="3"/>
        <v>0</v>
      </c>
      <c r="AE831" s="154"/>
      <c r="AF831" s="242" t="str">
        <f t="shared" si="4"/>
        <v>#ERROR!</v>
      </c>
      <c r="AG831" s="154" t="s">
        <v>652</v>
      </c>
      <c r="AH831" s="242" t="str">
        <f>IF(AG831="","N/A",INDIRECT("MTR!"&amp;ADDRESS(MATCH(LEFT(AG831,9),[1]MTR!C:C,0),COLUMN(J831)),TRUE) &amp; "")</f>
        <v>#ERROR!</v>
      </c>
      <c r="AI831" s="157" t="str">
        <f t="shared" si="5"/>
        <v>#ERROR!</v>
      </c>
    </row>
    <row r="832" ht="12.75" customHeight="1">
      <c r="A832" s="244" t="s">
        <v>5158</v>
      </c>
      <c r="B832" s="244" t="s">
        <v>231</v>
      </c>
      <c r="C832" s="244" t="s">
        <v>8929</v>
      </c>
      <c r="D832" s="154" t="s">
        <v>503</v>
      </c>
      <c r="E832" s="154"/>
      <c r="F832" s="154" t="str">
        <f t="array" ref="F832">XLOOKUP(Cover!$D$12,$R$1:$Z$1,$R832:$Z832)</f>
        <v>Information</v>
      </c>
      <c r="G832" s="154" t="s">
        <v>8930</v>
      </c>
      <c r="H832" s="154" t="s">
        <v>8516</v>
      </c>
      <c r="I832" s="154" t="s">
        <v>8925</v>
      </c>
      <c r="J832" s="154" t="s">
        <v>8926</v>
      </c>
      <c r="K832" s="154" t="s">
        <v>8508</v>
      </c>
      <c r="L832" s="154" t="s">
        <v>7431</v>
      </c>
      <c r="M832" s="154"/>
      <c r="N832" s="154" t="s">
        <v>759</v>
      </c>
      <c r="O832" s="247" t="s">
        <v>516</v>
      </c>
      <c r="P832" s="247" t="s">
        <v>6776</v>
      </c>
      <c r="Q832" s="154" t="str">
        <f t="shared" si="1"/>
        <v>#ERROR!</v>
      </c>
      <c r="R832" s="154" t="s">
        <v>66</v>
      </c>
      <c r="S832" s="154" t="s">
        <v>66</v>
      </c>
      <c r="T832" s="154" t="s">
        <v>66</v>
      </c>
      <c r="U832" s="154" t="s">
        <v>66</v>
      </c>
      <c r="V832" s="154" t="s">
        <v>66</v>
      </c>
      <c r="W832" s="154" t="s">
        <v>66</v>
      </c>
      <c r="X832" s="154" t="s">
        <v>66</v>
      </c>
      <c r="Y832" s="154" t="s">
        <v>66</v>
      </c>
      <c r="Z832" s="154" t="s">
        <v>66</v>
      </c>
      <c r="AA832" s="154"/>
      <c r="AB832" s="242" t="str">
        <f t="shared" si="2"/>
        <v>#ERROR!</v>
      </c>
      <c r="AC832" s="154" t="s">
        <v>391</v>
      </c>
      <c r="AD832" s="242" t="b">
        <f t="shared" si="3"/>
        <v>0</v>
      </c>
      <c r="AE832" s="154"/>
      <c r="AF832" s="242" t="str">
        <f t="shared" si="4"/>
        <v>#ERROR!</v>
      </c>
      <c r="AG832" s="154" t="s">
        <v>652</v>
      </c>
      <c r="AH832" s="242" t="str">
        <f>IF(AG832="","N/A",INDIRECT("MTR!"&amp;ADDRESS(MATCH(LEFT(AG832,9),[1]MTR!C:C,0),COLUMN(J832)),TRUE) &amp; "")</f>
        <v>#ERROR!</v>
      </c>
      <c r="AI832" s="157" t="str">
        <f t="shared" si="5"/>
        <v>#ERROR!</v>
      </c>
    </row>
    <row r="833" ht="12.75" customHeight="1">
      <c r="A833" s="244" t="s">
        <v>5158</v>
      </c>
      <c r="B833" s="244" t="s">
        <v>231</v>
      </c>
      <c r="C833" s="244" t="s">
        <v>8931</v>
      </c>
      <c r="D833" s="154" t="s">
        <v>503</v>
      </c>
      <c r="E833" s="154"/>
      <c r="F833" s="154" t="str">
        <f t="array" ref="F833">XLOOKUP(Cover!$D$12,$R$1:$Z$1,$R833:$Z833)</f>
        <v>Recommended</v>
      </c>
      <c r="G833" s="154" t="s">
        <v>8932</v>
      </c>
      <c r="H833" s="154" t="s">
        <v>8519</v>
      </c>
      <c r="I833" s="154" t="s">
        <v>8925</v>
      </c>
      <c r="J833" s="154" t="s">
        <v>8926</v>
      </c>
      <c r="K833" s="154" t="s">
        <v>8508</v>
      </c>
      <c r="L833" s="154" t="s">
        <v>7431</v>
      </c>
      <c r="M833" s="154"/>
      <c r="N833" s="154" t="s">
        <v>759</v>
      </c>
      <c r="O833" s="247" t="s">
        <v>516</v>
      </c>
      <c r="P833" s="247" t="s">
        <v>6776</v>
      </c>
      <c r="Q833" s="154" t="str">
        <f t="shared" si="1"/>
        <v>#ERROR!</v>
      </c>
      <c r="R833" s="154" t="s">
        <v>66</v>
      </c>
      <c r="S833" s="154" t="s">
        <v>66</v>
      </c>
      <c r="T833" s="154" t="s">
        <v>64</v>
      </c>
      <c r="U833" s="154" t="s">
        <v>64</v>
      </c>
      <c r="V833" s="154" t="s">
        <v>64</v>
      </c>
      <c r="W833" s="154" t="s">
        <v>64</v>
      </c>
      <c r="X833" s="154" t="s">
        <v>66</v>
      </c>
      <c r="Y833" s="154" t="s">
        <v>64</v>
      </c>
      <c r="Z833" s="154" t="s">
        <v>64</v>
      </c>
      <c r="AA833" s="154"/>
      <c r="AB833" s="242" t="str">
        <f t="shared" si="2"/>
        <v>#ERROR!</v>
      </c>
      <c r="AC833" s="154" t="s">
        <v>391</v>
      </c>
      <c r="AD833" s="242" t="b">
        <f t="shared" si="3"/>
        <v>0</v>
      </c>
      <c r="AE833" s="154"/>
      <c r="AF833" s="242" t="str">
        <f t="shared" si="4"/>
        <v>#ERROR!</v>
      </c>
      <c r="AG833" s="154" t="s">
        <v>652</v>
      </c>
      <c r="AH833" s="242" t="str">
        <f>IF(AG833="","N/A",INDIRECT("MTR!"&amp;ADDRESS(MATCH(LEFT(AG833,9),[1]MTR!C:C,0),COLUMN(J833)),TRUE) &amp; "")</f>
        <v>#ERROR!</v>
      </c>
      <c r="AI833" s="157" t="str">
        <f t="shared" si="5"/>
        <v>#ERROR!</v>
      </c>
    </row>
    <row r="834" ht="12.75" customHeight="1">
      <c r="A834" s="244" t="s">
        <v>5158</v>
      </c>
      <c r="B834" s="244" t="s">
        <v>231</v>
      </c>
      <c r="C834" s="244" t="s">
        <v>8933</v>
      </c>
      <c r="D834" s="154" t="s">
        <v>1069</v>
      </c>
      <c r="E834" s="154"/>
      <c r="F834" s="154" t="str">
        <f t="array" ref="F834">XLOOKUP(Cover!$D$12,$R$1:$Z$1,$R834:$Z834)</f>
        <v>Recommended</v>
      </c>
      <c r="G834" s="154" t="s">
        <v>8934</v>
      </c>
      <c r="H834" s="154" t="s">
        <v>1489</v>
      </c>
      <c r="I834" s="154" t="s">
        <v>8935</v>
      </c>
      <c r="J834" s="154" t="s">
        <v>8936</v>
      </c>
      <c r="K834" s="154" t="s">
        <v>8508</v>
      </c>
      <c r="L834" s="154" t="s">
        <v>5927</v>
      </c>
      <c r="M834" s="154"/>
      <c r="N834" s="154" t="s">
        <v>759</v>
      </c>
      <c r="O834" s="247" t="s">
        <v>516</v>
      </c>
      <c r="P834" s="247" t="s">
        <v>6776</v>
      </c>
      <c r="Q834" s="154" t="str">
        <f t="shared" si="1"/>
        <v>#ERROR!</v>
      </c>
      <c r="R834" s="154" t="s">
        <v>66</v>
      </c>
      <c r="S834" s="154" t="s">
        <v>66</v>
      </c>
      <c r="T834" s="154" t="s">
        <v>64</v>
      </c>
      <c r="U834" s="154" t="s">
        <v>64</v>
      </c>
      <c r="V834" s="154" t="s">
        <v>64</v>
      </c>
      <c r="W834" s="154" t="s">
        <v>64</v>
      </c>
      <c r="X834" s="154" t="s">
        <v>66</v>
      </c>
      <c r="Y834" s="154" t="s">
        <v>64</v>
      </c>
      <c r="Z834" s="154" t="s">
        <v>64</v>
      </c>
      <c r="AA834" s="154"/>
      <c r="AB834" s="242" t="str">
        <f t="shared" si="2"/>
        <v>#ERROR!</v>
      </c>
      <c r="AC834" s="154" t="s">
        <v>391</v>
      </c>
      <c r="AD834" s="242" t="b">
        <f t="shared" si="3"/>
        <v>0</v>
      </c>
      <c r="AE834" s="154"/>
      <c r="AF834" s="242" t="str">
        <f t="shared" si="4"/>
        <v>#ERROR!</v>
      </c>
      <c r="AG834" s="154" t="s">
        <v>652</v>
      </c>
      <c r="AH834" s="242" t="str">
        <f>IF(AG834="","N/A",INDIRECT("MTR!"&amp;ADDRESS(MATCH(LEFT(AG834,9),[1]MTR!C:C,0),COLUMN(J834)),TRUE) &amp; "")</f>
        <v>#ERROR!</v>
      </c>
      <c r="AI834" s="157" t="str">
        <f t="shared" si="5"/>
        <v>#ERROR!</v>
      </c>
    </row>
    <row r="835" ht="12.75" customHeight="1">
      <c r="A835" s="244" t="s">
        <v>5158</v>
      </c>
      <c r="B835" s="244" t="s">
        <v>231</v>
      </c>
      <c r="C835" s="244" t="s">
        <v>8937</v>
      </c>
      <c r="D835" s="154" t="s">
        <v>1069</v>
      </c>
      <c r="E835" s="154"/>
      <c r="F835" s="154" t="str">
        <f t="array" ref="F835">XLOOKUP(Cover!$D$12,$R$1:$Z$1,$R835:$Z835)</f>
        <v>Recommended</v>
      </c>
      <c r="G835" s="154" t="s">
        <v>8938</v>
      </c>
      <c r="H835" s="154" t="s">
        <v>8516</v>
      </c>
      <c r="I835" s="154" t="s">
        <v>8935</v>
      </c>
      <c r="J835" s="154" t="s">
        <v>8936</v>
      </c>
      <c r="K835" s="154" t="s">
        <v>8508</v>
      </c>
      <c r="L835" s="154" t="s">
        <v>5927</v>
      </c>
      <c r="M835" s="154"/>
      <c r="N835" s="154" t="s">
        <v>759</v>
      </c>
      <c r="O835" s="247" t="s">
        <v>516</v>
      </c>
      <c r="P835" s="247" t="s">
        <v>6776</v>
      </c>
      <c r="Q835" s="154" t="str">
        <f t="shared" si="1"/>
        <v>#ERROR!</v>
      </c>
      <c r="R835" s="154" t="s">
        <v>66</v>
      </c>
      <c r="S835" s="154" t="s">
        <v>66</v>
      </c>
      <c r="T835" s="154" t="s">
        <v>64</v>
      </c>
      <c r="U835" s="154" t="s">
        <v>64</v>
      </c>
      <c r="V835" s="154" t="s">
        <v>64</v>
      </c>
      <c r="W835" s="154" t="s">
        <v>64</v>
      </c>
      <c r="X835" s="154" t="s">
        <v>66</v>
      </c>
      <c r="Y835" s="154" t="s">
        <v>64</v>
      </c>
      <c r="Z835" s="154" t="s">
        <v>64</v>
      </c>
      <c r="AA835" s="154"/>
      <c r="AB835" s="242" t="str">
        <f t="shared" si="2"/>
        <v>#ERROR!</v>
      </c>
      <c r="AC835" s="154" t="s">
        <v>391</v>
      </c>
      <c r="AD835" s="242" t="b">
        <f t="shared" si="3"/>
        <v>0</v>
      </c>
      <c r="AE835" s="154"/>
      <c r="AF835" s="242" t="str">
        <f t="shared" si="4"/>
        <v>#ERROR!</v>
      </c>
      <c r="AG835" s="154" t="s">
        <v>652</v>
      </c>
      <c r="AH835" s="242" t="str">
        <f>IF(AG835="","N/A",INDIRECT("MTR!"&amp;ADDRESS(MATCH(LEFT(AG835,9),[1]MTR!C:C,0),COLUMN(J835)),TRUE) &amp; "")</f>
        <v>#ERROR!</v>
      </c>
      <c r="AI835" s="157" t="str">
        <f t="shared" si="5"/>
        <v>#ERROR!</v>
      </c>
    </row>
    <row r="836" ht="12.75" customHeight="1">
      <c r="A836" s="244" t="s">
        <v>5158</v>
      </c>
      <c r="B836" s="244" t="s">
        <v>231</v>
      </c>
      <c r="C836" s="244" t="s">
        <v>8939</v>
      </c>
      <c r="D836" s="154" t="s">
        <v>1773</v>
      </c>
      <c r="E836" s="154"/>
      <c r="F836" s="154" t="str">
        <f t="array" ref="F836">XLOOKUP(Cover!$D$12,$R$1:$Z$1,$R836:$Z836)</f>
        <v>Mandatory</v>
      </c>
      <c r="G836" s="154" t="s">
        <v>8940</v>
      </c>
      <c r="H836" s="154" t="s">
        <v>1489</v>
      </c>
      <c r="I836" s="154" t="s">
        <v>8941</v>
      </c>
      <c r="J836" s="154" t="s">
        <v>7193</v>
      </c>
      <c r="K836" s="154" t="s">
        <v>8508</v>
      </c>
      <c r="L836" s="154" t="s">
        <v>6126</v>
      </c>
      <c r="M836" s="154" t="s">
        <v>175</v>
      </c>
      <c r="N836" s="154" t="s">
        <v>759</v>
      </c>
      <c r="O836" s="247" t="s">
        <v>516</v>
      </c>
      <c r="P836" s="247" t="s">
        <v>6776</v>
      </c>
      <c r="Q836" s="154" t="str">
        <f t="shared" si="1"/>
        <v>#ERROR!</v>
      </c>
      <c r="R836" s="154" t="s">
        <v>66</v>
      </c>
      <c r="S836" s="154" t="s">
        <v>66</v>
      </c>
      <c r="T836" s="155" t="s">
        <v>64</v>
      </c>
      <c r="U836" s="155" t="s">
        <v>64</v>
      </c>
      <c r="V836" s="154" t="s">
        <v>60</v>
      </c>
      <c r="W836" s="154" t="s">
        <v>60</v>
      </c>
      <c r="X836" s="154" t="s">
        <v>66</v>
      </c>
      <c r="Y836" s="155" t="s">
        <v>64</v>
      </c>
      <c r="Z836" s="154" t="s">
        <v>60</v>
      </c>
      <c r="AA836" s="154"/>
      <c r="AB836" s="242" t="str">
        <f t="shared" si="2"/>
        <v>#ERROR!</v>
      </c>
      <c r="AC836" s="154" t="s">
        <v>391</v>
      </c>
      <c r="AD836" s="242" t="b">
        <f t="shared" si="3"/>
        <v>0</v>
      </c>
      <c r="AE836" s="154"/>
      <c r="AF836" s="242" t="str">
        <f t="shared" si="4"/>
        <v>#ERROR!</v>
      </c>
      <c r="AG836" s="154" t="s">
        <v>652</v>
      </c>
      <c r="AH836" s="242" t="str">
        <f>IF(AG836="","N/A",INDIRECT("MTR!"&amp;ADDRESS(MATCH(LEFT(AG836,9),[1]MTR!C:C,0),COLUMN(J836)),TRUE) &amp; "")</f>
        <v>#ERROR!</v>
      </c>
      <c r="AI836" s="157" t="str">
        <f t="shared" si="5"/>
        <v>#ERROR!</v>
      </c>
    </row>
    <row r="837" ht="12.75" customHeight="1">
      <c r="A837" s="244" t="s">
        <v>5158</v>
      </c>
      <c r="B837" s="244" t="s">
        <v>231</v>
      </c>
      <c r="C837" s="244" t="s">
        <v>8942</v>
      </c>
      <c r="D837" s="154" t="s">
        <v>1773</v>
      </c>
      <c r="E837" s="154"/>
      <c r="F837" s="154" t="str">
        <f t="array" ref="F837">XLOOKUP(Cover!$D$12,$R$1:$Z$1,$R837:$Z837)</f>
        <v>Mandatory</v>
      </c>
      <c r="G837" s="154" t="s">
        <v>8943</v>
      </c>
      <c r="H837" s="154" t="s">
        <v>8550</v>
      </c>
      <c r="I837" s="154" t="s">
        <v>8941</v>
      </c>
      <c r="J837" s="154" t="s">
        <v>7193</v>
      </c>
      <c r="K837" s="154" t="s">
        <v>8508</v>
      </c>
      <c r="L837" s="154" t="s">
        <v>6126</v>
      </c>
      <c r="M837" s="154" t="s">
        <v>175</v>
      </c>
      <c r="N837" s="154" t="s">
        <v>759</v>
      </c>
      <c r="O837" s="247" t="s">
        <v>516</v>
      </c>
      <c r="P837" s="247" t="s">
        <v>6776</v>
      </c>
      <c r="Q837" s="154" t="str">
        <f t="shared" si="1"/>
        <v>#ERROR!</v>
      </c>
      <c r="R837" s="154" t="s">
        <v>66</v>
      </c>
      <c r="S837" s="154" t="s">
        <v>66</v>
      </c>
      <c r="T837" s="155" t="s">
        <v>64</v>
      </c>
      <c r="U837" s="155" t="s">
        <v>64</v>
      </c>
      <c r="V837" s="154" t="s">
        <v>60</v>
      </c>
      <c r="W837" s="154" t="s">
        <v>60</v>
      </c>
      <c r="X837" s="154" t="s">
        <v>66</v>
      </c>
      <c r="Y837" s="155" t="s">
        <v>64</v>
      </c>
      <c r="Z837" s="154" t="s">
        <v>60</v>
      </c>
      <c r="AA837" s="154"/>
      <c r="AB837" s="242" t="str">
        <f t="shared" si="2"/>
        <v>#ERROR!</v>
      </c>
      <c r="AC837" s="154" t="s">
        <v>391</v>
      </c>
      <c r="AD837" s="242" t="b">
        <f t="shared" si="3"/>
        <v>0</v>
      </c>
      <c r="AE837" s="154"/>
      <c r="AF837" s="242" t="str">
        <f t="shared" si="4"/>
        <v>#ERROR!</v>
      </c>
      <c r="AG837" s="154" t="s">
        <v>652</v>
      </c>
      <c r="AH837" s="242" t="str">
        <f>IF(AG837="","N/A",INDIRECT("MTR!"&amp;ADDRESS(MATCH(LEFT(AG837,9),[1]MTR!C:C,0),COLUMN(J837)),TRUE) &amp; "")</f>
        <v>#ERROR!</v>
      </c>
      <c r="AI837" s="157" t="str">
        <f t="shared" si="5"/>
        <v>#ERROR!</v>
      </c>
    </row>
    <row r="838" ht="12.75" customHeight="1">
      <c r="A838" s="244" t="s">
        <v>5158</v>
      </c>
      <c r="B838" s="244" t="s">
        <v>231</v>
      </c>
      <c r="C838" s="244" t="s">
        <v>8944</v>
      </c>
      <c r="D838" s="154" t="s">
        <v>1773</v>
      </c>
      <c r="E838" s="154"/>
      <c r="F838" s="154" t="str">
        <f t="array" ref="F838">XLOOKUP(Cover!$D$12,$R$1:$Z$1,$R838:$Z838)</f>
        <v>Mandatory</v>
      </c>
      <c r="G838" s="154" t="s">
        <v>8945</v>
      </c>
      <c r="H838" s="154" t="s">
        <v>8519</v>
      </c>
      <c r="I838" s="154" t="s">
        <v>8941</v>
      </c>
      <c r="J838" s="154" t="s">
        <v>7193</v>
      </c>
      <c r="K838" s="154" t="s">
        <v>8508</v>
      </c>
      <c r="L838" s="154" t="s">
        <v>6126</v>
      </c>
      <c r="M838" s="154" t="s">
        <v>175</v>
      </c>
      <c r="N838" s="154" t="s">
        <v>759</v>
      </c>
      <c r="O838" s="247" t="s">
        <v>516</v>
      </c>
      <c r="P838" s="247" t="s">
        <v>6776</v>
      </c>
      <c r="Q838" s="154" t="str">
        <f t="shared" si="1"/>
        <v>#ERROR!</v>
      </c>
      <c r="R838" s="154" t="s">
        <v>66</v>
      </c>
      <c r="S838" s="154" t="s">
        <v>66</v>
      </c>
      <c r="T838" s="155" t="s">
        <v>64</v>
      </c>
      <c r="U838" s="155" t="s">
        <v>64</v>
      </c>
      <c r="V838" s="154" t="s">
        <v>60</v>
      </c>
      <c r="W838" s="154" t="s">
        <v>60</v>
      </c>
      <c r="X838" s="154" t="s">
        <v>66</v>
      </c>
      <c r="Y838" s="155" t="s">
        <v>64</v>
      </c>
      <c r="Z838" s="154" t="s">
        <v>60</v>
      </c>
      <c r="AA838" s="154"/>
      <c r="AB838" s="242" t="str">
        <f t="shared" si="2"/>
        <v>#ERROR!</v>
      </c>
      <c r="AC838" s="154" t="s">
        <v>391</v>
      </c>
      <c r="AD838" s="242" t="b">
        <f t="shared" si="3"/>
        <v>0</v>
      </c>
      <c r="AE838" s="154"/>
      <c r="AF838" s="242" t="str">
        <f t="shared" si="4"/>
        <v>#ERROR!</v>
      </c>
      <c r="AG838" s="154" t="s">
        <v>652</v>
      </c>
      <c r="AH838" s="242" t="str">
        <f>IF(AG838="","N/A",INDIRECT("MTR!"&amp;ADDRESS(MATCH(LEFT(AG838,9),[1]MTR!C:C,0),COLUMN(J838)),TRUE) &amp; "")</f>
        <v>#ERROR!</v>
      </c>
      <c r="AI838" s="157" t="str">
        <f t="shared" si="5"/>
        <v>#ERROR!</v>
      </c>
    </row>
    <row r="839" ht="12.75" customHeight="1">
      <c r="A839" s="244" t="s">
        <v>5158</v>
      </c>
      <c r="B839" s="244" t="s">
        <v>231</v>
      </c>
      <c r="C839" s="255" t="s">
        <v>8946</v>
      </c>
      <c r="D839" s="256" t="s">
        <v>42</v>
      </c>
      <c r="E839" s="256" t="s">
        <v>489</v>
      </c>
      <c r="F839" s="154" t="str">
        <f t="array" ref="F839">XLOOKUP(Cover!$D$12,$R$1:$Z$1,$R839:$Z839)</f>
        <v>Information</v>
      </c>
      <c r="G839" s="154" t="s">
        <v>8947</v>
      </c>
      <c r="H839" s="154" t="s">
        <v>1489</v>
      </c>
      <c r="I839" s="154" t="s">
        <v>8948</v>
      </c>
      <c r="J839" s="154" t="s">
        <v>7201</v>
      </c>
      <c r="K839" s="154" t="s">
        <v>8508</v>
      </c>
      <c r="L839" s="154" t="s">
        <v>5931</v>
      </c>
      <c r="M839" s="154"/>
      <c r="N839" s="154" t="s">
        <v>759</v>
      </c>
      <c r="O839" s="247" t="s">
        <v>516</v>
      </c>
      <c r="P839" s="247" t="s">
        <v>6776</v>
      </c>
      <c r="Q839" s="154" t="str">
        <f t="shared" si="1"/>
        <v>#ERROR!</v>
      </c>
      <c r="R839" s="154" t="s">
        <v>66</v>
      </c>
      <c r="S839" s="154" t="s">
        <v>66</v>
      </c>
      <c r="T839" s="154" t="s">
        <v>66</v>
      </c>
      <c r="U839" s="154" t="s">
        <v>66</v>
      </c>
      <c r="V839" s="154" t="s">
        <v>66</v>
      </c>
      <c r="W839" s="154" t="s">
        <v>66</v>
      </c>
      <c r="X839" s="154" t="s">
        <v>66</v>
      </c>
      <c r="Y839" s="154" t="s">
        <v>66</v>
      </c>
      <c r="Z839" s="154" t="s">
        <v>66</v>
      </c>
      <c r="AA839" s="154"/>
      <c r="AB839" s="242" t="str">
        <f t="shared" si="2"/>
        <v>#ERROR!</v>
      </c>
      <c r="AC839" s="154" t="s">
        <v>391</v>
      </c>
      <c r="AD839" s="242" t="b">
        <f t="shared" si="3"/>
        <v>0</v>
      </c>
      <c r="AE839" s="154"/>
      <c r="AF839" s="242" t="str">
        <f t="shared" si="4"/>
        <v>#ERROR!</v>
      </c>
      <c r="AG839" s="154" t="s">
        <v>652</v>
      </c>
      <c r="AH839" s="242" t="str">
        <f>IF(AG839="","N/A",INDIRECT("MTR!"&amp;ADDRESS(MATCH(LEFT(AG839,9),[1]MTR!C:C,0),COLUMN(J839)),TRUE) &amp; "")</f>
        <v>#ERROR!</v>
      </c>
      <c r="AI839" s="157" t="str">
        <f t="shared" si="5"/>
        <v>#ERROR!</v>
      </c>
    </row>
    <row r="840" ht="12.75" customHeight="1">
      <c r="A840" s="244" t="s">
        <v>5158</v>
      </c>
      <c r="B840" s="244" t="s">
        <v>231</v>
      </c>
      <c r="C840" s="255" t="s">
        <v>8949</v>
      </c>
      <c r="D840" s="256" t="s">
        <v>42</v>
      </c>
      <c r="E840" s="256" t="s">
        <v>489</v>
      </c>
      <c r="F840" s="154" t="str">
        <f t="array" ref="F840">XLOOKUP(Cover!$D$12,$R$1:$Z$1,$R840:$Z840)</f>
        <v>Information</v>
      </c>
      <c r="G840" s="154" t="s">
        <v>8950</v>
      </c>
      <c r="H840" s="154" t="s">
        <v>8513</v>
      </c>
      <c r="I840" s="154" t="s">
        <v>8948</v>
      </c>
      <c r="J840" s="154" t="s">
        <v>7201</v>
      </c>
      <c r="K840" s="154" t="s">
        <v>8508</v>
      </c>
      <c r="L840" s="154" t="s">
        <v>5931</v>
      </c>
      <c r="M840" s="154"/>
      <c r="N840" s="154" t="s">
        <v>759</v>
      </c>
      <c r="O840" s="247" t="s">
        <v>516</v>
      </c>
      <c r="P840" s="247" t="s">
        <v>6776</v>
      </c>
      <c r="Q840" s="154" t="str">
        <f t="shared" si="1"/>
        <v>#ERROR!</v>
      </c>
      <c r="R840" s="154" t="s">
        <v>66</v>
      </c>
      <c r="S840" s="154" t="s">
        <v>66</v>
      </c>
      <c r="T840" s="154" t="s">
        <v>66</v>
      </c>
      <c r="U840" s="154" t="s">
        <v>66</v>
      </c>
      <c r="V840" s="154" t="s">
        <v>66</v>
      </c>
      <c r="W840" s="154" t="s">
        <v>66</v>
      </c>
      <c r="X840" s="154" t="s">
        <v>66</v>
      </c>
      <c r="Y840" s="154" t="s">
        <v>66</v>
      </c>
      <c r="Z840" s="154" t="s">
        <v>66</v>
      </c>
      <c r="AA840" s="154"/>
      <c r="AB840" s="242" t="str">
        <f t="shared" si="2"/>
        <v>#ERROR!</v>
      </c>
      <c r="AC840" s="154" t="s">
        <v>391</v>
      </c>
      <c r="AD840" s="242" t="b">
        <f t="shared" si="3"/>
        <v>0</v>
      </c>
      <c r="AE840" s="154"/>
      <c r="AF840" s="242" t="str">
        <f t="shared" si="4"/>
        <v>#ERROR!</v>
      </c>
      <c r="AG840" s="154" t="s">
        <v>652</v>
      </c>
      <c r="AH840" s="242" t="str">
        <f>IF(AG840="","N/A",INDIRECT("MTR!"&amp;ADDRESS(MATCH(LEFT(AG840,9),[1]MTR!C:C,0),COLUMN(J840)),TRUE) &amp; "")</f>
        <v>#ERROR!</v>
      </c>
      <c r="AI840" s="157" t="str">
        <f t="shared" si="5"/>
        <v>#ERROR!</v>
      </c>
    </row>
    <row r="841" ht="12.75" customHeight="1">
      <c r="A841" s="244" t="s">
        <v>5158</v>
      </c>
      <c r="B841" s="244" t="s">
        <v>231</v>
      </c>
      <c r="C841" s="255" t="s">
        <v>8951</v>
      </c>
      <c r="D841" s="256" t="s">
        <v>42</v>
      </c>
      <c r="E841" s="256" t="s">
        <v>489</v>
      </c>
      <c r="F841" s="154" t="str">
        <f t="array" ref="F841">XLOOKUP(Cover!$D$12,$R$1:$Z$1,$R841:$Z841)</f>
        <v>Information</v>
      </c>
      <c r="G841" s="154" t="s">
        <v>8952</v>
      </c>
      <c r="H841" s="154" t="s">
        <v>8516</v>
      </c>
      <c r="I841" s="154" t="s">
        <v>8948</v>
      </c>
      <c r="J841" s="154" t="s">
        <v>7201</v>
      </c>
      <c r="K841" s="154" t="s">
        <v>8508</v>
      </c>
      <c r="L841" s="154" t="s">
        <v>5931</v>
      </c>
      <c r="M841" s="154"/>
      <c r="N841" s="154" t="s">
        <v>759</v>
      </c>
      <c r="O841" s="247" t="s">
        <v>516</v>
      </c>
      <c r="P841" s="247" t="s">
        <v>6776</v>
      </c>
      <c r="Q841" s="154" t="str">
        <f t="shared" si="1"/>
        <v>#ERROR!</v>
      </c>
      <c r="R841" s="154" t="s">
        <v>66</v>
      </c>
      <c r="S841" s="154" t="s">
        <v>66</v>
      </c>
      <c r="T841" s="154" t="s">
        <v>66</v>
      </c>
      <c r="U841" s="154" t="s">
        <v>66</v>
      </c>
      <c r="V841" s="154" t="s">
        <v>66</v>
      </c>
      <c r="W841" s="154" t="s">
        <v>66</v>
      </c>
      <c r="X841" s="154" t="s">
        <v>66</v>
      </c>
      <c r="Y841" s="154" t="s">
        <v>66</v>
      </c>
      <c r="Z841" s="154" t="s">
        <v>66</v>
      </c>
      <c r="AA841" s="154"/>
      <c r="AB841" s="242" t="str">
        <f t="shared" si="2"/>
        <v>#ERROR!</v>
      </c>
      <c r="AC841" s="154" t="s">
        <v>391</v>
      </c>
      <c r="AD841" s="242" t="b">
        <f t="shared" si="3"/>
        <v>0</v>
      </c>
      <c r="AE841" s="154"/>
      <c r="AF841" s="242" t="str">
        <f t="shared" si="4"/>
        <v>#ERROR!</v>
      </c>
      <c r="AG841" s="154" t="s">
        <v>652</v>
      </c>
      <c r="AH841" s="242" t="str">
        <f>IF(AG841="","N/A",INDIRECT("MTR!"&amp;ADDRESS(MATCH(LEFT(AG841,9),[1]MTR!C:C,0),COLUMN(J841)),TRUE) &amp; "")</f>
        <v>#ERROR!</v>
      </c>
      <c r="AI841" s="157" t="str">
        <f t="shared" si="5"/>
        <v>#ERROR!</v>
      </c>
    </row>
    <row r="842" ht="12.75" customHeight="1">
      <c r="A842" s="238" t="s">
        <v>5158</v>
      </c>
      <c r="B842" s="238" t="s">
        <v>231</v>
      </c>
      <c r="C842" s="238" t="s">
        <v>8953</v>
      </c>
      <c r="D842" s="240"/>
      <c r="E842" s="240" t="s">
        <v>92</v>
      </c>
      <c r="F842" s="240" t="str">
        <f t="array" ref="F842">XLOOKUP(Cover!$D$12,$R$1:$Z$1,$R842:$Z842)</f>
        <v>Heading</v>
      </c>
      <c r="G842" s="239" t="s">
        <v>8954</v>
      </c>
      <c r="H842" s="240"/>
      <c r="I842" s="240"/>
      <c r="J842" s="240"/>
      <c r="K842" s="240"/>
      <c r="L842" s="240"/>
      <c r="M842" s="240"/>
      <c r="N842" s="240" t="s">
        <v>759</v>
      </c>
      <c r="O842" s="240"/>
      <c r="P842" s="240"/>
      <c r="Q842" s="240" t="str">
        <f t="shared" si="1"/>
        <v/>
      </c>
      <c r="R842" s="240" t="s">
        <v>390</v>
      </c>
      <c r="S842" s="240" t="s">
        <v>390</v>
      </c>
      <c r="T842" s="240" t="s">
        <v>390</v>
      </c>
      <c r="U842" s="240" t="s">
        <v>390</v>
      </c>
      <c r="V842" s="240" t="s">
        <v>390</v>
      </c>
      <c r="W842" s="240" t="s">
        <v>390</v>
      </c>
      <c r="X842" s="240" t="s">
        <v>390</v>
      </c>
      <c r="Y842" s="240" t="s">
        <v>390</v>
      </c>
      <c r="Z842" s="240" t="s">
        <v>390</v>
      </c>
      <c r="AA842" s="240"/>
      <c r="AB842" s="242" t="str">
        <f t="shared" si="2"/>
        <v>#ERROR!</v>
      </c>
      <c r="AC842" s="240" t="s">
        <v>391</v>
      </c>
      <c r="AD842" s="242" t="b">
        <f t="shared" si="3"/>
        <v>0</v>
      </c>
      <c r="AE842" s="240"/>
      <c r="AF842" s="242" t="str">
        <f t="shared" si="4"/>
        <v>#ERROR!</v>
      </c>
      <c r="AG842" s="240"/>
      <c r="AH842" s="242" t="str">
        <f>IF(AG842="","N/A",INDIRECT("MTR!"&amp;ADDRESS(MATCH(LEFT(AG842,9),[1]MTR!C:C,0),COLUMN(J842)),TRUE) &amp; "")</f>
        <v>#ERROR!</v>
      </c>
      <c r="AI842" s="157" t="str">
        <f t="shared" si="5"/>
        <v/>
      </c>
    </row>
    <row r="843" ht="12.75" customHeight="1">
      <c r="A843" s="244" t="s">
        <v>5158</v>
      </c>
      <c r="B843" s="244" t="s">
        <v>231</v>
      </c>
      <c r="C843" s="244" t="s">
        <v>8955</v>
      </c>
      <c r="D843" s="154" t="s">
        <v>861</v>
      </c>
      <c r="E843" s="154"/>
      <c r="F843" s="154" t="str">
        <f t="array" ref="F843">XLOOKUP(Cover!$D$12,$R$1:$Z$1,$R843:$Z843)</f>
        <v>Information</v>
      </c>
      <c r="G843" s="154" t="s">
        <v>8956</v>
      </c>
      <c r="H843" s="154" t="s">
        <v>8507</v>
      </c>
      <c r="I843" s="154" t="s">
        <v>8957</v>
      </c>
      <c r="J843" s="154" t="s">
        <v>8217</v>
      </c>
      <c r="K843" s="154" t="s">
        <v>8508</v>
      </c>
      <c r="L843" s="154" t="s">
        <v>6428</v>
      </c>
      <c r="M843" s="154"/>
      <c r="N843" s="154" t="s">
        <v>759</v>
      </c>
      <c r="O843" s="247" t="s">
        <v>516</v>
      </c>
      <c r="P843" s="247" t="s">
        <v>6776</v>
      </c>
      <c r="Q843" s="154" t="str">
        <f t="shared" si="1"/>
        <v>#ERROR!</v>
      </c>
      <c r="R843" s="154" t="s">
        <v>66</v>
      </c>
      <c r="S843" s="154" t="s">
        <v>66</v>
      </c>
      <c r="T843" s="154" t="s">
        <v>66</v>
      </c>
      <c r="U843" s="154" t="s">
        <v>66</v>
      </c>
      <c r="V843" s="154" t="s">
        <v>66</v>
      </c>
      <c r="W843" s="154" t="s">
        <v>66</v>
      </c>
      <c r="X843" s="154" t="s">
        <v>66</v>
      </c>
      <c r="Y843" s="154" t="s">
        <v>66</v>
      </c>
      <c r="Z843" s="154" t="s">
        <v>66</v>
      </c>
      <c r="AA843" s="154"/>
      <c r="AB843" s="242" t="str">
        <f t="shared" si="2"/>
        <v>#ERROR!</v>
      </c>
      <c r="AC843" s="154" t="s">
        <v>391</v>
      </c>
      <c r="AD843" s="242" t="b">
        <f t="shared" si="3"/>
        <v>0</v>
      </c>
      <c r="AE843" s="154"/>
      <c r="AF843" s="242" t="str">
        <f t="shared" si="4"/>
        <v>#ERROR!</v>
      </c>
      <c r="AG843" s="154" t="s">
        <v>652</v>
      </c>
      <c r="AH843" s="242" t="str">
        <f>IF(AG843="","N/A",INDIRECT("MTR!"&amp;ADDRESS(MATCH(LEFT(AG843,9),[1]MTR!C:C,0),COLUMN(J843)),TRUE) &amp; "")</f>
        <v>#ERROR!</v>
      </c>
      <c r="AI843" s="157" t="str">
        <f t="shared" si="5"/>
        <v>#ERROR!</v>
      </c>
    </row>
    <row r="844" ht="12.75" customHeight="1">
      <c r="A844" s="244" t="s">
        <v>5158</v>
      </c>
      <c r="B844" s="244" t="s">
        <v>231</v>
      </c>
      <c r="C844" s="244" t="s">
        <v>8958</v>
      </c>
      <c r="D844" s="154" t="s">
        <v>861</v>
      </c>
      <c r="E844" s="154"/>
      <c r="F844" s="154" t="str">
        <f t="array" ref="F844">XLOOKUP(Cover!$D$12,$R$1:$Z$1,$R844:$Z844)</f>
        <v>Information</v>
      </c>
      <c r="G844" s="154" t="s">
        <v>8959</v>
      </c>
      <c r="H844" s="154" t="s">
        <v>1489</v>
      </c>
      <c r="I844" s="154" t="s">
        <v>8957</v>
      </c>
      <c r="J844" s="154" t="s">
        <v>8217</v>
      </c>
      <c r="K844" s="154" t="s">
        <v>8508</v>
      </c>
      <c r="L844" s="154" t="s">
        <v>6428</v>
      </c>
      <c r="M844" s="154"/>
      <c r="N844" s="154" t="s">
        <v>759</v>
      </c>
      <c r="O844" s="247" t="s">
        <v>516</v>
      </c>
      <c r="P844" s="247" t="s">
        <v>6776</v>
      </c>
      <c r="Q844" s="154" t="str">
        <f t="shared" si="1"/>
        <v>#ERROR!</v>
      </c>
      <c r="R844" s="154" t="s">
        <v>66</v>
      </c>
      <c r="S844" s="154" t="s">
        <v>66</v>
      </c>
      <c r="T844" s="154" t="s">
        <v>66</v>
      </c>
      <c r="U844" s="154" t="s">
        <v>66</v>
      </c>
      <c r="V844" s="154" t="s">
        <v>66</v>
      </c>
      <c r="W844" s="154" t="s">
        <v>66</v>
      </c>
      <c r="X844" s="154" t="s">
        <v>66</v>
      </c>
      <c r="Y844" s="154" t="s">
        <v>66</v>
      </c>
      <c r="Z844" s="154" t="s">
        <v>66</v>
      </c>
      <c r="AA844" s="154"/>
      <c r="AB844" s="242" t="str">
        <f t="shared" si="2"/>
        <v>#ERROR!</v>
      </c>
      <c r="AC844" s="154" t="s">
        <v>391</v>
      </c>
      <c r="AD844" s="242" t="b">
        <f t="shared" si="3"/>
        <v>0</v>
      </c>
      <c r="AE844" s="154"/>
      <c r="AF844" s="242" t="str">
        <f t="shared" si="4"/>
        <v>#ERROR!</v>
      </c>
      <c r="AG844" s="154" t="s">
        <v>652</v>
      </c>
      <c r="AH844" s="242" t="str">
        <f>IF(AG844="","N/A",INDIRECT("MTR!"&amp;ADDRESS(MATCH(LEFT(AG844,9),[1]MTR!C:C,0),COLUMN(J844)),TRUE) &amp; "")</f>
        <v>#ERROR!</v>
      </c>
      <c r="AI844" s="157" t="str">
        <f t="shared" si="5"/>
        <v>#ERROR!</v>
      </c>
    </row>
    <row r="845" ht="12.75" customHeight="1">
      <c r="A845" s="244" t="s">
        <v>5158</v>
      </c>
      <c r="B845" s="244" t="s">
        <v>231</v>
      </c>
      <c r="C845" s="244" t="s">
        <v>8960</v>
      </c>
      <c r="D845" s="154" t="s">
        <v>861</v>
      </c>
      <c r="E845" s="154"/>
      <c r="F845" s="154" t="str">
        <f t="array" ref="F845">XLOOKUP(Cover!$D$12,$R$1:$Z$1,$R845:$Z845)</f>
        <v>Information</v>
      </c>
      <c r="G845" s="154" t="s">
        <v>8961</v>
      </c>
      <c r="H845" s="154" t="s">
        <v>8550</v>
      </c>
      <c r="I845" s="154" t="s">
        <v>8957</v>
      </c>
      <c r="J845" s="154" t="s">
        <v>8217</v>
      </c>
      <c r="K845" s="154" t="s">
        <v>8508</v>
      </c>
      <c r="L845" s="154" t="s">
        <v>6428</v>
      </c>
      <c r="M845" s="154"/>
      <c r="N845" s="154" t="s">
        <v>759</v>
      </c>
      <c r="O845" s="247" t="s">
        <v>516</v>
      </c>
      <c r="P845" s="247" t="s">
        <v>6776</v>
      </c>
      <c r="Q845" s="154" t="str">
        <f t="shared" si="1"/>
        <v>#ERROR!</v>
      </c>
      <c r="R845" s="154" t="s">
        <v>66</v>
      </c>
      <c r="S845" s="154" t="s">
        <v>66</v>
      </c>
      <c r="T845" s="154" t="s">
        <v>66</v>
      </c>
      <c r="U845" s="154" t="s">
        <v>66</v>
      </c>
      <c r="V845" s="154" t="s">
        <v>66</v>
      </c>
      <c r="W845" s="154" t="s">
        <v>66</v>
      </c>
      <c r="X845" s="154" t="s">
        <v>66</v>
      </c>
      <c r="Y845" s="154" t="s">
        <v>66</v>
      </c>
      <c r="Z845" s="154" t="s">
        <v>66</v>
      </c>
      <c r="AA845" s="154"/>
      <c r="AB845" s="242" t="str">
        <f t="shared" si="2"/>
        <v>#ERROR!</v>
      </c>
      <c r="AC845" s="154" t="s">
        <v>391</v>
      </c>
      <c r="AD845" s="242" t="b">
        <f t="shared" si="3"/>
        <v>0</v>
      </c>
      <c r="AE845" s="154"/>
      <c r="AF845" s="242" t="str">
        <f t="shared" si="4"/>
        <v>#ERROR!</v>
      </c>
      <c r="AG845" s="154" t="s">
        <v>652</v>
      </c>
      <c r="AH845" s="242" t="str">
        <f>IF(AG845="","N/A",INDIRECT("MTR!"&amp;ADDRESS(MATCH(LEFT(AG845,9),[1]MTR!C:C,0),COLUMN(J845)),TRUE) &amp; "")</f>
        <v>#ERROR!</v>
      </c>
      <c r="AI845" s="157" t="str">
        <f t="shared" si="5"/>
        <v>#ERROR!</v>
      </c>
    </row>
    <row r="846" ht="12.75" customHeight="1">
      <c r="A846" s="244" t="s">
        <v>5158</v>
      </c>
      <c r="B846" s="244" t="s">
        <v>231</v>
      </c>
      <c r="C846" s="244" t="s">
        <v>8962</v>
      </c>
      <c r="D846" s="154" t="s">
        <v>861</v>
      </c>
      <c r="E846" s="154"/>
      <c r="F846" s="154" t="str">
        <f t="array" ref="F846">XLOOKUP(Cover!$D$12,$R$1:$Z$1,$R846:$Z846)</f>
        <v>Information</v>
      </c>
      <c r="G846" s="154" t="s">
        <v>8963</v>
      </c>
      <c r="H846" s="154" t="s">
        <v>8513</v>
      </c>
      <c r="I846" s="154" t="s">
        <v>8957</v>
      </c>
      <c r="J846" s="154" t="s">
        <v>8217</v>
      </c>
      <c r="K846" s="154" t="s">
        <v>8508</v>
      </c>
      <c r="L846" s="154" t="s">
        <v>6428</v>
      </c>
      <c r="M846" s="154"/>
      <c r="N846" s="154" t="s">
        <v>759</v>
      </c>
      <c r="O846" s="247" t="s">
        <v>516</v>
      </c>
      <c r="P846" s="247" t="s">
        <v>6776</v>
      </c>
      <c r="Q846" s="154" t="str">
        <f t="shared" si="1"/>
        <v>#ERROR!</v>
      </c>
      <c r="R846" s="154" t="s">
        <v>66</v>
      </c>
      <c r="S846" s="154" t="s">
        <v>66</v>
      </c>
      <c r="T846" s="154" t="s">
        <v>66</v>
      </c>
      <c r="U846" s="154" t="s">
        <v>66</v>
      </c>
      <c r="V846" s="154" t="s">
        <v>66</v>
      </c>
      <c r="W846" s="154" t="s">
        <v>66</v>
      </c>
      <c r="X846" s="154" t="s">
        <v>66</v>
      </c>
      <c r="Y846" s="154" t="s">
        <v>66</v>
      </c>
      <c r="Z846" s="154" t="s">
        <v>66</v>
      </c>
      <c r="AA846" s="154"/>
      <c r="AB846" s="242" t="str">
        <f t="shared" si="2"/>
        <v>#ERROR!</v>
      </c>
      <c r="AC846" s="154" t="s">
        <v>391</v>
      </c>
      <c r="AD846" s="242" t="b">
        <f t="shared" si="3"/>
        <v>0</v>
      </c>
      <c r="AE846" s="154"/>
      <c r="AF846" s="242" t="str">
        <f t="shared" si="4"/>
        <v>#ERROR!</v>
      </c>
      <c r="AG846" s="154" t="s">
        <v>652</v>
      </c>
      <c r="AH846" s="242" t="str">
        <f>IF(AG846="","N/A",INDIRECT("MTR!"&amp;ADDRESS(MATCH(LEFT(AG846,9),[1]MTR!C:C,0),COLUMN(J846)),TRUE) &amp; "")</f>
        <v>#ERROR!</v>
      </c>
      <c r="AI846" s="157" t="str">
        <f t="shared" si="5"/>
        <v>#ERROR!</v>
      </c>
    </row>
    <row r="847" ht="12.75" customHeight="1">
      <c r="A847" s="244" t="s">
        <v>5158</v>
      </c>
      <c r="B847" s="244" t="s">
        <v>231</v>
      </c>
      <c r="C847" s="244" t="s">
        <v>8964</v>
      </c>
      <c r="D847" s="154" t="s">
        <v>747</v>
      </c>
      <c r="E847" s="154"/>
      <c r="F847" s="154" t="str">
        <f t="array" ref="F847">XLOOKUP(Cover!$D$12,$R$1:$Z$1,$R847:$Z847)</f>
        <v>Mandatory</v>
      </c>
      <c r="G847" s="154" t="s">
        <v>8965</v>
      </c>
      <c r="H847" s="154" t="s">
        <v>8507</v>
      </c>
      <c r="I847" s="154" t="s">
        <v>8966</v>
      </c>
      <c r="J847" s="154" t="s">
        <v>8967</v>
      </c>
      <c r="K847" s="154" t="s">
        <v>8508</v>
      </c>
      <c r="L847" s="154" t="s">
        <v>6525</v>
      </c>
      <c r="M847" s="154" t="s">
        <v>175</v>
      </c>
      <c r="N847" s="154" t="s">
        <v>759</v>
      </c>
      <c r="O847" s="247" t="s">
        <v>516</v>
      </c>
      <c r="P847" s="247" t="s">
        <v>6776</v>
      </c>
      <c r="Q847" s="154" t="str">
        <f t="shared" si="1"/>
        <v>#ERROR!</v>
      </c>
      <c r="R847" s="154" t="s">
        <v>66</v>
      </c>
      <c r="S847" s="154" t="s">
        <v>66</v>
      </c>
      <c r="T847" s="155" t="s">
        <v>64</v>
      </c>
      <c r="U847" s="155" t="s">
        <v>64</v>
      </c>
      <c r="V847" s="154" t="s">
        <v>60</v>
      </c>
      <c r="W847" s="154" t="s">
        <v>60</v>
      </c>
      <c r="X847" s="154" t="s">
        <v>66</v>
      </c>
      <c r="Y847" s="155" t="s">
        <v>64</v>
      </c>
      <c r="Z847" s="154" t="s">
        <v>60</v>
      </c>
      <c r="AA847" s="154"/>
      <c r="AB847" s="242" t="str">
        <f t="shared" si="2"/>
        <v>#ERROR!</v>
      </c>
      <c r="AC847" s="154" t="s">
        <v>391</v>
      </c>
      <c r="AD847" s="242" t="b">
        <f t="shared" si="3"/>
        <v>0</v>
      </c>
      <c r="AE847" s="154"/>
      <c r="AF847" s="242" t="str">
        <f t="shared" si="4"/>
        <v>#ERROR!</v>
      </c>
      <c r="AG847" s="154" t="s">
        <v>652</v>
      </c>
      <c r="AH847" s="242" t="str">
        <f>IF(AG847="","N/A",INDIRECT("MTR!"&amp;ADDRESS(MATCH(LEFT(AG847,9),[1]MTR!C:C,0),COLUMN(J847)),TRUE) &amp; "")</f>
        <v>#ERROR!</v>
      </c>
      <c r="AI847" s="157" t="str">
        <f t="shared" si="5"/>
        <v>#ERROR!</v>
      </c>
    </row>
    <row r="848" ht="12.75" customHeight="1">
      <c r="A848" s="244" t="s">
        <v>5158</v>
      </c>
      <c r="B848" s="244" t="s">
        <v>231</v>
      </c>
      <c r="C848" s="244" t="s">
        <v>8968</v>
      </c>
      <c r="D848" s="154" t="s">
        <v>747</v>
      </c>
      <c r="E848" s="154"/>
      <c r="F848" s="154" t="str">
        <f t="array" ref="F848">XLOOKUP(Cover!$D$12,$R$1:$Z$1,$R848:$Z848)</f>
        <v>Mandatory</v>
      </c>
      <c r="G848" s="154" t="s">
        <v>8969</v>
      </c>
      <c r="H848" s="154" t="s">
        <v>1489</v>
      </c>
      <c r="I848" s="154" t="s">
        <v>8966</v>
      </c>
      <c r="J848" s="154" t="s">
        <v>8967</v>
      </c>
      <c r="K848" s="154" t="s">
        <v>8508</v>
      </c>
      <c r="L848" s="154" t="s">
        <v>6525</v>
      </c>
      <c r="M848" s="154" t="s">
        <v>175</v>
      </c>
      <c r="N848" s="154" t="s">
        <v>759</v>
      </c>
      <c r="O848" s="247" t="s">
        <v>516</v>
      </c>
      <c r="P848" s="247" t="s">
        <v>6776</v>
      </c>
      <c r="Q848" s="154" t="str">
        <f t="shared" si="1"/>
        <v>#ERROR!</v>
      </c>
      <c r="R848" s="154" t="s">
        <v>66</v>
      </c>
      <c r="S848" s="154" t="s">
        <v>66</v>
      </c>
      <c r="T848" s="155" t="s">
        <v>64</v>
      </c>
      <c r="U848" s="155" t="s">
        <v>64</v>
      </c>
      <c r="V848" s="154" t="s">
        <v>60</v>
      </c>
      <c r="W848" s="154" t="s">
        <v>60</v>
      </c>
      <c r="X848" s="154" t="s">
        <v>66</v>
      </c>
      <c r="Y848" s="155" t="s">
        <v>64</v>
      </c>
      <c r="Z848" s="154" t="s">
        <v>60</v>
      </c>
      <c r="AA848" s="154"/>
      <c r="AB848" s="242" t="str">
        <f t="shared" si="2"/>
        <v>#ERROR!</v>
      </c>
      <c r="AC848" s="154" t="s">
        <v>391</v>
      </c>
      <c r="AD848" s="242" t="b">
        <f t="shared" si="3"/>
        <v>0</v>
      </c>
      <c r="AE848" s="154"/>
      <c r="AF848" s="242" t="str">
        <f t="shared" si="4"/>
        <v>#ERROR!</v>
      </c>
      <c r="AG848" s="154" t="s">
        <v>652</v>
      </c>
      <c r="AH848" s="242" t="str">
        <f>IF(AG848="","N/A",INDIRECT("MTR!"&amp;ADDRESS(MATCH(LEFT(AG848,9),[1]MTR!C:C,0),COLUMN(J848)),TRUE) &amp; "")</f>
        <v>#ERROR!</v>
      </c>
      <c r="AI848" s="157" t="str">
        <f t="shared" si="5"/>
        <v>#ERROR!</v>
      </c>
    </row>
    <row r="849" ht="12.75" customHeight="1">
      <c r="A849" s="244" t="s">
        <v>5158</v>
      </c>
      <c r="B849" s="244" t="s">
        <v>231</v>
      </c>
      <c r="C849" s="244" t="s">
        <v>8970</v>
      </c>
      <c r="D849" s="154" t="s">
        <v>747</v>
      </c>
      <c r="E849" s="154"/>
      <c r="F849" s="154" t="str">
        <f t="array" ref="F849">XLOOKUP(Cover!$D$12,$R$1:$Z$1,$R849:$Z849)</f>
        <v>Mandatory</v>
      </c>
      <c r="G849" s="154" t="s">
        <v>8971</v>
      </c>
      <c r="H849" s="154" t="s">
        <v>8550</v>
      </c>
      <c r="I849" s="154" t="s">
        <v>8966</v>
      </c>
      <c r="J849" s="154" t="s">
        <v>8967</v>
      </c>
      <c r="K849" s="154" t="s">
        <v>8508</v>
      </c>
      <c r="L849" s="154" t="s">
        <v>6525</v>
      </c>
      <c r="M849" s="154" t="s">
        <v>175</v>
      </c>
      <c r="N849" s="154" t="s">
        <v>759</v>
      </c>
      <c r="O849" s="247" t="s">
        <v>516</v>
      </c>
      <c r="P849" s="247" t="s">
        <v>6776</v>
      </c>
      <c r="Q849" s="154" t="str">
        <f t="shared" si="1"/>
        <v>#ERROR!</v>
      </c>
      <c r="R849" s="154" t="s">
        <v>66</v>
      </c>
      <c r="S849" s="154" t="s">
        <v>66</v>
      </c>
      <c r="T849" s="155" t="s">
        <v>64</v>
      </c>
      <c r="U849" s="155" t="s">
        <v>64</v>
      </c>
      <c r="V849" s="154" t="s">
        <v>60</v>
      </c>
      <c r="W849" s="154" t="s">
        <v>60</v>
      </c>
      <c r="X849" s="154" t="s">
        <v>66</v>
      </c>
      <c r="Y849" s="155" t="s">
        <v>64</v>
      </c>
      <c r="Z849" s="154" t="s">
        <v>60</v>
      </c>
      <c r="AA849" s="154"/>
      <c r="AB849" s="242" t="str">
        <f t="shared" si="2"/>
        <v>#ERROR!</v>
      </c>
      <c r="AC849" s="154" t="s">
        <v>391</v>
      </c>
      <c r="AD849" s="242" t="b">
        <f t="shared" si="3"/>
        <v>0</v>
      </c>
      <c r="AE849" s="154"/>
      <c r="AF849" s="242" t="str">
        <f t="shared" si="4"/>
        <v>#ERROR!</v>
      </c>
      <c r="AG849" s="154" t="s">
        <v>652</v>
      </c>
      <c r="AH849" s="242" t="str">
        <f>IF(AG849="","N/A",INDIRECT("MTR!"&amp;ADDRESS(MATCH(LEFT(AG849,9),[1]MTR!C:C,0),COLUMN(J849)),TRUE) &amp; "")</f>
        <v>#ERROR!</v>
      </c>
      <c r="AI849" s="157" t="str">
        <f t="shared" si="5"/>
        <v>#ERROR!</v>
      </c>
    </row>
    <row r="850" ht="12.75" customHeight="1">
      <c r="A850" s="244" t="s">
        <v>5158</v>
      </c>
      <c r="B850" s="244" t="s">
        <v>231</v>
      </c>
      <c r="C850" s="244" t="s">
        <v>8972</v>
      </c>
      <c r="D850" s="154" t="s">
        <v>747</v>
      </c>
      <c r="E850" s="154"/>
      <c r="F850" s="154" t="str">
        <f t="array" ref="F850">XLOOKUP(Cover!$D$12,$R$1:$Z$1,$R850:$Z850)</f>
        <v>Recommended</v>
      </c>
      <c r="G850" s="154" t="s">
        <v>8973</v>
      </c>
      <c r="H850" s="154" t="s">
        <v>8513</v>
      </c>
      <c r="I850" s="154" t="s">
        <v>8966</v>
      </c>
      <c r="J850" s="154" t="s">
        <v>8967</v>
      </c>
      <c r="K850" s="154" t="s">
        <v>8508</v>
      </c>
      <c r="L850" s="154" t="s">
        <v>6525</v>
      </c>
      <c r="M850" s="154"/>
      <c r="N850" s="154" t="s">
        <v>759</v>
      </c>
      <c r="O850" s="247" t="s">
        <v>516</v>
      </c>
      <c r="P850" s="247" t="s">
        <v>6776</v>
      </c>
      <c r="Q850" s="154" t="str">
        <f t="shared" si="1"/>
        <v>#ERROR!</v>
      </c>
      <c r="R850" s="154" t="s">
        <v>66</v>
      </c>
      <c r="S850" s="154" t="s">
        <v>66</v>
      </c>
      <c r="T850" s="154" t="s">
        <v>64</v>
      </c>
      <c r="U850" s="154" t="s">
        <v>64</v>
      </c>
      <c r="V850" s="154" t="s">
        <v>64</v>
      </c>
      <c r="W850" s="154" t="s">
        <v>64</v>
      </c>
      <c r="X850" s="154" t="s">
        <v>66</v>
      </c>
      <c r="Y850" s="154" t="s">
        <v>64</v>
      </c>
      <c r="Z850" s="154" t="s">
        <v>64</v>
      </c>
      <c r="AA850" s="154"/>
      <c r="AB850" s="242" t="str">
        <f t="shared" si="2"/>
        <v>#ERROR!</v>
      </c>
      <c r="AC850" s="154" t="s">
        <v>391</v>
      </c>
      <c r="AD850" s="242" t="b">
        <f t="shared" si="3"/>
        <v>0</v>
      </c>
      <c r="AE850" s="154"/>
      <c r="AF850" s="242" t="str">
        <f t="shared" si="4"/>
        <v>#ERROR!</v>
      </c>
      <c r="AG850" s="154" t="s">
        <v>652</v>
      </c>
      <c r="AH850" s="242" t="str">
        <f>IF(AG850="","N/A",INDIRECT("MTR!"&amp;ADDRESS(MATCH(LEFT(AG850,9),[1]MTR!C:C,0),COLUMN(J850)),TRUE) &amp; "")</f>
        <v>#ERROR!</v>
      </c>
      <c r="AI850" s="157" t="str">
        <f t="shared" si="5"/>
        <v>#ERROR!</v>
      </c>
    </row>
    <row r="851" ht="12.75" customHeight="1">
      <c r="A851" s="244" t="s">
        <v>5158</v>
      </c>
      <c r="B851" s="244" t="s">
        <v>231</v>
      </c>
      <c r="C851" s="244" t="s">
        <v>8974</v>
      </c>
      <c r="D851" s="154" t="s">
        <v>747</v>
      </c>
      <c r="E851" s="154"/>
      <c r="F851" s="154" t="str">
        <f t="array" ref="F851">XLOOKUP(Cover!$D$12,$R$1:$Z$1,$R851:$Z851)</f>
        <v>Recommended</v>
      </c>
      <c r="G851" s="154" t="s">
        <v>8975</v>
      </c>
      <c r="H851" s="154" t="s">
        <v>8573</v>
      </c>
      <c r="I851" s="154" t="s">
        <v>8966</v>
      </c>
      <c r="J851" s="154" t="s">
        <v>8967</v>
      </c>
      <c r="K851" s="154" t="s">
        <v>8508</v>
      </c>
      <c r="L851" s="154" t="s">
        <v>6525</v>
      </c>
      <c r="M851" s="154"/>
      <c r="N851" s="154" t="s">
        <v>759</v>
      </c>
      <c r="O851" s="247" t="s">
        <v>516</v>
      </c>
      <c r="P851" s="247" t="s">
        <v>6776</v>
      </c>
      <c r="Q851" s="154" t="str">
        <f t="shared" si="1"/>
        <v>#ERROR!</v>
      </c>
      <c r="R851" s="154" t="s">
        <v>66</v>
      </c>
      <c r="S851" s="154" t="s">
        <v>66</v>
      </c>
      <c r="T851" s="154" t="s">
        <v>64</v>
      </c>
      <c r="U851" s="154" t="s">
        <v>64</v>
      </c>
      <c r="V851" s="154" t="s">
        <v>64</v>
      </c>
      <c r="W851" s="154" t="s">
        <v>64</v>
      </c>
      <c r="X851" s="154" t="s">
        <v>66</v>
      </c>
      <c r="Y851" s="154" t="s">
        <v>64</v>
      </c>
      <c r="Z851" s="154" t="s">
        <v>64</v>
      </c>
      <c r="AA851" s="154"/>
      <c r="AB851" s="242" t="str">
        <f t="shared" si="2"/>
        <v>#ERROR!</v>
      </c>
      <c r="AC851" s="154" t="s">
        <v>391</v>
      </c>
      <c r="AD851" s="242" t="b">
        <f t="shared" si="3"/>
        <v>0</v>
      </c>
      <c r="AE851" s="154"/>
      <c r="AF851" s="242" t="str">
        <f t="shared" si="4"/>
        <v>#ERROR!</v>
      </c>
      <c r="AG851" s="154" t="s">
        <v>652</v>
      </c>
      <c r="AH851" s="242" t="str">
        <f>IF(AG851="","N/A",INDIRECT("MTR!"&amp;ADDRESS(MATCH(LEFT(AG851,9),[1]MTR!C:C,0),COLUMN(J851)),TRUE) &amp; "")</f>
        <v>#ERROR!</v>
      </c>
      <c r="AI851" s="157" t="str">
        <f t="shared" si="5"/>
        <v>#ERROR!</v>
      </c>
    </row>
    <row r="852" ht="12.75" customHeight="1">
      <c r="A852" s="244" t="s">
        <v>5158</v>
      </c>
      <c r="B852" s="244" t="s">
        <v>231</v>
      </c>
      <c r="C852" s="244" t="s">
        <v>8976</v>
      </c>
      <c r="D852" s="154" t="s">
        <v>1773</v>
      </c>
      <c r="E852" s="154"/>
      <c r="F852" s="154" t="str">
        <f t="array" ref="F852">XLOOKUP(Cover!$D$12,$R$1:$Z$1,$R852:$Z852)</f>
        <v>Mandatory</v>
      </c>
      <c r="G852" s="154" t="s">
        <v>8977</v>
      </c>
      <c r="H852" s="154" t="s">
        <v>8507</v>
      </c>
      <c r="I852" s="154" t="s">
        <v>8978</v>
      </c>
      <c r="J852" s="154" t="s">
        <v>8979</v>
      </c>
      <c r="K852" s="154" t="s">
        <v>8508</v>
      </c>
      <c r="L852" s="154" t="s">
        <v>6126</v>
      </c>
      <c r="M852" s="154" t="s">
        <v>175</v>
      </c>
      <c r="N852" s="154" t="s">
        <v>759</v>
      </c>
      <c r="O852" s="247" t="s">
        <v>516</v>
      </c>
      <c r="P852" s="247" t="s">
        <v>6776</v>
      </c>
      <c r="Q852" s="154" t="str">
        <f t="shared" si="1"/>
        <v>#ERROR!</v>
      </c>
      <c r="R852" s="154" t="s">
        <v>66</v>
      </c>
      <c r="S852" s="154" t="s">
        <v>66</v>
      </c>
      <c r="T852" s="155" t="s">
        <v>64</v>
      </c>
      <c r="U852" s="155" t="s">
        <v>64</v>
      </c>
      <c r="V852" s="154" t="s">
        <v>60</v>
      </c>
      <c r="W852" s="154" t="s">
        <v>60</v>
      </c>
      <c r="X852" s="154" t="s">
        <v>66</v>
      </c>
      <c r="Y852" s="155" t="s">
        <v>64</v>
      </c>
      <c r="Z852" s="154" t="s">
        <v>60</v>
      </c>
      <c r="AA852" s="154"/>
      <c r="AB852" s="242" t="str">
        <f t="shared" si="2"/>
        <v>#ERROR!</v>
      </c>
      <c r="AC852" s="154" t="s">
        <v>391</v>
      </c>
      <c r="AD852" s="242" t="b">
        <f t="shared" si="3"/>
        <v>0</v>
      </c>
      <c r="AE852" s="154"/>
      <c r="AF852" s="242" t="str">
        <f t="shared" si="4"/>
        <v>#ERROR!</v>
      </c>
      <c r="AG852" s="154" t="s">
        <v>652</v>
      </c>
      <c r="AH852" s="242" t="str">
        <f>IF(AG852="","N/A",INDIRECT("MTR!"&amp;ADDRESS(MATCH(LEFT(AG852,9),[1]MTR!C:C,0),COLUMN(J852)),TRUE) &amp; "")</f>
        <v>#ERROR!</v>
      </c>
      <c r="AI852" s="157" t="str">
        <f t="shared" si="5"/>
        <v>#ERROR!</v>
      </c>
    </row>
    <row r="853" ht="12.75" customHeight="1">
      <c r="A853" s="244" t="s">
        <v>5158</v>
      </c>
      <c r="B853" s="244" t="s">
        <v>231</v>
      </c>
      <c r="C853" s="244" t="s">
        <v>8980</v>
      </c>
      <c r="D853" s="154" t="s">
        <v>1773</v>
      </c>
      <c r="E853" s="154"/>
      <c r="F853" s="154" t="str">
        <f t="array" ref="F853">XLOOKUP(Cover!$D$12,$R$1:$Z$1,$R853:$Z853)</f>
        <v>Mandatory</v>
      </c>
      <c r="G853" s="154" t="s">
        <v>8981</v>
      </c>
      <c r="H853" s="154" t="s">
        <v>1489</v>
      </c>
      <c r="I853" s="154" t="s">
        <v>8978</v>
      </c>
      <c r="J853" s="154" t="s">
        <v>8979</v>
      </c>
      <c r="K853" s="154" t="s">
        <v>8508</v>
      </c>
      <c r="L853" s="154" t="s">
        <v>6126</v>
      </c>
      <c r="M853" s="154" t="s">
        <v>175</v>
      </c>
      <c r="N853" s="154" t="s">
        <v>759</v>
      </c>
      <c r="O853" s="247" t="s">
        <v>516</v>
      </c>
      <c r="P853" s="247" t="s">
        <v>6776</v>
      </c>
      <c r="Q853" s="154" t="str">
        <f t="shared" si="1"/>
        <v>#ERROR!</v>
      </c>
      <c r="R853" s="154" t="s">
        <v>66</v>
      </c>
      <c r="S853" s="154" t="s">
        <v>66</v>
      </c>
      <c r="T853" s="155" t="s">
        <v>64</v>
      </c>
      <c r="U853" s="155" t="s">
        <v>64</v>
      </c>
      <c r="V853" s="154" t="s">
        <v>60</v>
      </c>
      <c r="W853" s="154" t="s">
        <v>60</v>
      </c>
      <c r="X853" s="154" t="s">
        <v>66</v>
      </c>
      <c r="Y853" s="155" t="s">
        <v>64</v>
      </c>
      <c r="Z853" s="154" t="s">
        <v>60</v>
      </c>
      <c r="AA853" s="154"/>
      <c r="AB853" s="242" t="str">
        <f t="shared" si="2"/>
        <v>#ERROR!</v>
      </c>
      <c r="AC853" s="154" t="s">
        <v>391</v>
      </c>
      <c r="AD853" s="242" t="b">
        <f t="shared" si="3"/>
        <v>0</v>
      </c>
      <c r="AE853" s="154"/>
      <c r="AF853" s="242" t="str">
        <f t="shared" si="4"/>
        <v>#ERROR!</v>
      </c>
      <c r="AG853" s="154" t="s">
        <v>652</v>
      </c>
      <c r="AH853" s="242" t="str">
        <f>IF(AG853="","N/A",INDIRECT("MTR!"&amp;ADDRESS(MATCH(LEFT(AG853,9),[1]MTR!C:C,0),COLUMN(J853)),TRUE) &amp; "")</f>
        <v>#ERROR!</v>
      </c>
      <c r="AI853" s="157" t="str">
        <f t="shared" si="5"/>
        <v>#ERROR!</v>
      </c>
    </row>
    <row r="854" ht="12.75" customHeight="1">
      <c r="A854" s="244" t="s">
        <v>5158</v>
      </c>
      <c r="B854" s="244" t="s">
        <v>231</v>
      </c>
      <c r="C854" s="244" t="s">
        <v>8982</v>
      </c>
      <c r="D854" s="154" t="s">
        <v>1773</v>
      </c>
      <c r="E854" s="154"/>
      <c r="F854" s="154" t="str">
        <f t="array" ref="F854">XLOOKUP(Cover!$D$12,$R$1:$Z$1,$R854:$Z854)</f>
        <v>Mandatory</v>
      </c>
      <c r="G854" s="154" t="s">
        <v>8983</v>
      </c>
      <c r="H854" s="154" t="s">
        <v>8550</v>
      </c>
      <c r="I854" s="154" t="s">
        <v>8978</v>
      </c>
      <c r="J854" s="154" t="s">
        <v>8979</v>
      </c>
      <c r="K854" s="154" t="s">
        <v>8508</v>
      </c>
      <c r="L854" s="154" t="s">
        <v>6126</v>
      </c>
      <c r="M854" s="154" t="s">
        <v>175</v>
      </c>
      <c r="N854" s="154" t="s">
        <v>759</v>
      </c>
      <c r="O854" s="247" t="s">
        <v>516</v>
      </c>
      <c r="P854" s="247" t="s">
        <v>6776</v>
      </c>
      <c r="Q854" s="154" t="str">
        <f t="shared" si="1"/>
        <v>#ERROR!</v>
      </c>
      <c r="R854" s="154" t="s">
        <v>66</v>
      </c>
      <c r="S854" s="154" t="s">
        <v>66</v>
      </c>
      <c r="T854" s="155" t="s">
        <v>64</v>
      </c>
      <c r="U854" s="155" t="s">
        <v>64</v>
      </c>
      <c r="V854" s="154" t="s">
        <v>60</v>
      </c>
      <c r="W854" s="154" t="s">
        <v>60</v>
      </c>
      <c r="X854" s="154" t="s">
        <v>66</v>
      </c>
      <c r="Y854" s="155" t="s">
        <v>64</v>
      </c>
      <c r="Z854" s="154" t="s">
        <v>60</v>
      </c>
      <c r="AA854" s="154"/>
      <c r="AB854" s="242" t="str">
        <f t="shared" si="2"/>
        <v>#ERROR!</v>
      </c>
      <c r="AC854" s="154" t="s">
        <v>391</v>
      </c>
      <c r="AD854" s="242" t="b">
        <f t="shared" si="3"/>
        <v>0</v>
      </c>
      <c r="AE854" s="154"/>
      <c r="AF854" s="242" t="str">
        <f t="shared" si="4"/>
        <v>#ERROR!</v>
      </c>
      <c r="AG854" s="154" t="s">
        <v>652</v>
      </c>
      <c r="AH854" s="242" t="str">
        <f>IF(AG854="","N/A",INDIRECT("MTR!"&amp;ADDRESS(MATCH(LEFT(AG854,9),[1]MTR!C:C,0),COLUMN(J854)),TRUE) &amp; "")</f>
        <v>#ERROR!</v>
      </c>
      <c r="AI854" s="157" t="str">
        <f t="shared" si="5"/>
        <v>#ERROR!</v>
      </c>
    </row>
    <row r="855" ht="12.75" customHeight="1">
      <c r="A855" s="244" t="s">
        <v>5158</v>
      </c>
      <c r="B855" s="244" t="s">
        <v>231</v>
      </c>
      <c r="C855" s="244" t="s">
        <v>8984</v>
      </c>
      <c r="D855" s="154" t="s">
        <v>1773</v>
      </c>
      <c r="E855" s="154"/>
      <c r="F855" s="154" t="str">
        <f t="array" ref="F855">XLOOKUP(Cover!$D$12,$R$1:$Z$1,$R855:$Z855)</f>
        <v>Mandatory</v>
      </c>
      <c r="G855" s="154" t="s">
        <v>8985</v>
      </c>
      <c r="H855" s="154" t="s">
        <v>8513</v>
      </c>
      <c r="I855" s="154" t="s">
        <v>8978</v>
      </c>
      <c r="J855" s="154" t="s">
        <v>8979</v>
      </c>
      <c r="K855" s="154" t="s">
        <v>8508</v>
      </c>
      <c r="L855" s="154" t="s">
        <v>6126</v>
      </c>
      <c r="M855" s="154" t="s">
        <v>175</v>
      </c>
      <c r="N855" s="154" t="s">
        <v>759</v>
      </c>
      <c r="O855" s="247" t="s">
        <v>516</v>
      </c>
      <c r="P855" s="247" t="s">
        <v>6776</v>
      </c>
      <c r="Q855" s="154" t="str">
        <f t="shared" si="1"/>
        <v>#ERROR!</v>
      </c>
      <c r="R855" s="154" t="s">
        <v>66</v>
      </c>
      <c r="S855" s="154" t="s">
        <v>66</v>
      </c>
      <c r="T855" s="155" t="s">
        <v>64</v>
      </c>
      <c r="U855" s="155" t="s">
        <v>64</v>
      </c>
      <c r="V855" s="154" t="s">
        <v>60</v>
      </c>
      <c r="W855" s="154" t="s">
        <v>60</v>
      </c>
      <c r="X855" s="154" t="s">
        <v>66</v>
      </c>
      <c r="Y855" s="155" t="s">
        <v>64</v>
      </c>
      <c r="Z855" s="154" t="s">
        <v>60</v>
      </c>
      <c r="AA855" s="154"/>
      <c r="AB855" s="242" t="str">
        <f t="shared" si="2"/>
        <v>#ERROR!</v>
      </c>
      <c r="AC855" s="154" t="s">
        <v>391</v>
      </c>
      <c r="AD855" s="242" t="b">
        <f t="shared" si="3"/>
        <v>0</v>
      </c>
      <c r="AE855" s="154"/>
      <c r="AF855" s="242" t="str">
        <f t="shared" si="4"/>
        <v>#ERROR!</v>
      </c>
      <c r="AG855" s="154" t="s">
        <v>652</v>
      </c>
      <c r="AH855" s="242" t="str">
        <f>IF(AG855="","N/A",INDIRECT("MTR!"&amp;ADDRESS(MATCH(LEFT(AG855,9),[1]MTR!C:C,0),COLUMN(J855)),TRUE) &amp; "")</f>
        <v>#ERROR!</v>
      </c>
      <c r="AI855" s="157" t="str">
        <f t="shared" si="5"/>
        <v>#ERROR!</v>
      </c>
    </row>
    <row r="856" ht="12.75" customHeight="1">
      <c r="A856" s="244" t="s">
        <v>5158</v>
      </c>
      <c r="B856" s="244" t="s">
        <v>231</v>
      </c>
      <c r="C856" s="244" t="s">
        <v>8986</v>
      </c>
      <c r="D856" s="154" t="s">
        <v>1773</v>
      </c>
      <c r="E856" s="154"/>
      <c r="F856" s="154" t="str">
        <f t="array" ref="F856">XLOOKUP(Cover!$D$12,$R$1:$Z$1,$R856:$Z856)</f>
        <v>Mandatory</v>
      </c>
      <c r="G856" s="154" t="s">
        <v>8987</v>
      </c>
      <c r="H856" s="154" t="s">
        <v>8507</v>
      </c>
      <c r="I856" s="154" t="s">
        <v>8988</v>
      </c>
      <c r="J856" s="154" t="s">
        <v>8989</v>
      </c>
      <c r="K856" s="154" t="s">
        <v>8508</v>
      </c>
      <c r="L856" s="154" t="s">
        <v>6126</v>
      </c>
      <c r="M856" s="154" t="s">
        <v>175</v>
      </c>
      <c r="N856" s="154" t="s">
        <v>759</v>
      </c>
      <c r="O856" s="247" t="s">
        <v>516</v>
      </c>
      <c r="P856" s="247" t="s">
        <v>6776</v>
      </c>
      <c r="Q856" s="154" t="str">
        <f t="shared" si="1"/>
        <v>#ERROR!</v>
      </c>
      <c r="R856" s="154" t="s">
        <v>66</v>
      </c>
      <c r="S856" s="154" t="s">
        <v>66</v>
      </c>
      <c r="T856" s="155" t="s">
        <v>64</v>
      </c>
      <c r="U856" s="155" t="s">
        <v>64</v>
      </c>
      <c r="V856" s="154" t="s">
        <v>60</v>
      </c>
      <c r="W856" s="154" t="s">
        <v>60</v>
      </c>
      <c r="X856" s="154" t="s">
        <v>66</v>
      </c>
      <c r="Y856" s="155" t="s">
        <v>64</v>
      </c>
      <c r="Z856" s="154" t="s">
        <v>60</v>
      </c>
      <c r="AA856" s="154"/>
      <c r="AB856" s="242" t="str">
        <f t="shared" si="2"/>
        <v>#ERROR!</v>
      </c>
      <c r="AC856" s="154" t="s">
        <v>391</v>
      </c>
      <c r="AD856" s="242" t="b">
        <f t="shared" si="3"/>
        <v>0</v>
      </c>
      <c r="AE856" s="154"/>
      <c r="AF856" s="242" t="str">
        <f t="shared" si="4"/>
        <v>#ERROR!</v>
      </c>
      <c r="AG856" s="154" t="s">
        <v>652</v>
      </c>
      <c r="AH856" s="242" t="str">
        <f>IF(AG856="","N/A",INDIRECT("MTR!"&amp;ADDRESS(MATCH(LEFT(AG856,9),[1]MTR!C:C,0),COLUMN(J856)),TRUE) &amp; "")</f>
        <v>#ERROR!</v>
      </c>
      <c r="AI856" s="157" t="str">
        <f t="shared" si="5"/>
        <v>#ERROR!</v>
      </c>
    </row>
    <row r="857" ht="12.75" customHeight="1">
      <c r="A857" s="244" t="s">
        <v>5158</v>
      </c>
      <c r="B857" s="244" t="s">
        <v>231</v>
      </c>
      <c r="C857" s="244" t="s">
        <v>8990</v>
      </c>
      <c r="D857" s="154" t="s">
        <v>1773</v>
      </c>
      <c r="E857" s="154"/>
      <c r="F857" s="154" t="str">
        <f t="array" ref="F857">XLOOKUP(Cover!$D$12,$R$1:$Z$1,$R857:$Z857)</f>
        <v>Mandatory</v>
      </c>
      <c r="G857" s="154" t="s">
        <v>8991</v>
      </c>
      <c r="H857" s="154" t="s">
        <v>1489</v>
      </c>
      <c r="I857" s="154" t="s">
        <v>8988</v>
      </c>
      <c r="J857" s="154" t="s">
        <v>8989</v>
      </c>
      <c r="K857" s="154" t="s">
        <v>8508</v>
      </c>
      <c r="L857" s="154" t="s">
        <v>6126</v>
      </c>
      <c r="M857" s="154" t="s">
        <v>175</v>
      </c>
      <c r="N857" s="154" t="s">
        <v>759</v>
      </c>
      <c r="O857" s="247" t="s">
        <v>516</v>
      </c>
      <c r="P857" s="247" t="s">
        <v>6776</v>
      </c>
      <c r="Q857" s="154" t="str">
        <f t="shared" si="1"/>
        <v>#ERROR!</v>
      </c>
      <c r="R857" s="154" t="s">
        <v>66</v>
      </c>
      <c r="S857" s="154" t="s">
        <v>66</v>
      </c>
      <c r="T857" s="155" t="s">
        <v>64</v>
      </c>
      <c r="U857" s="155" t="s">
        <v>64</v>
      </c>
      <c r="V857" s="154" t="s">
        <v>60</v>
      </c>
      <c r="W857" s="154" t="s">
        <v>60</v>
      </c>
      <c r="X857" s="154" t="s">
        <v>66</v>
      </c>
      <c r="Y857" s="155" t="s">
        <v>64</v>
      </c>
      <c r="Z857" s="154" t="s">
        <v>60</v>
      </c>
      <c r="AA857" s="154"/>
      <c r="AB857" s="242" t="str">
        <f t="shared" si="2"/>
        <v>#ERROR!</v>
      </c>
      <c r="AC857" s="154" t="s">
        <v>391</v>
      </c>
      <c r="AD857" s="242" t="b">
        <f t="shared" si="3"/>
        <v>0</v>
      </c>
      <c r="AE857" s="154"/>
      <c r="AF857" s="242" t="str">
        <f t="shared" si="4"/>
        <v>#ERROR!</v>
      </c>
      <c r="AG857" s="154" t="s">
        <v>652</v>
      </c>
      <c r="AH857" s="242" t="str">
        <f>IF(AG857="","N/A",INDIRECT("MTR!"&amp;ADDRESS(MATCH(LEFT(AG857,9),[1]MTR!C:C,0),COLUMN(J857)),TRUE) &amp; "")</f>
        <v>#ERROR!</v>
      </c>
      <c r="AI857" s="157" t="str">
        <f t="shared" si="5"/>
        <v>#ERROR!</v>
      </c>
    </row>
    <row r="858" ht="12.75" customHeight="1">
      <c r="A858" s="244" t="s">
        <v>5158</v>
      </c>
      <c r="B858" s="244" t="s">
        <v>231</v>
      </c>
      <c r="C858" s="244" t="s">
        <v>8992</v>
      </c>
      <c r="D858" s="154" t="s">
        <v>1773</v>
      </c>
      <c r="E858" s="154"/>
      <c r="F858" s="154" t="str">
        <f t="array" ref="F858">XLOOKUP(Cover!$D$12,$R$1:$Z$1,$R858:$Z858)</f>
        <v>Mandatory</v>
      </c>
      <c r="G858" s="154" t="s">
        <v>8993</v>
      </c>
      <c r="H858" s="154" t="s">
        <v>8550</v>
      </c>
      <c r="I858" s="154" t="s">
        <v>8988</v>
      </c>
      <c r="J858" s="154" t="s">
        <v>8989</v>
      </c>
      <c r="K858" s="154" t="s">
        <v>8508</v>
      </c>
      <c r="L858" s="154" t="s">
        <v>6126</v>
      </c>
      <c r="M858" s="154" t="s">
        <v>175</v>
      </c>
      <c r="N858" s="154" t="s">
        <v>759</v>
      </c>
      <c r="O858" s="247" t="s">
        <v>516</v>
      </c>
      <c r="P858" s="247" t="s">
        <v>6776</v>
      </c>
      <c r="Q858" s="154" t="str">
        <f t="shared" si="1"/>
        <v>#ERROR!</v>
      </c>
      <c r="R858" s="154" t="s">
        <v>66</v>
      </c>
      <c r="S858" s="154" t="s">
        <v>66</v>
      </c>
      <c r="T858" s="155" t="s">
        <v>64</v>
      </c>
      <c r="U858" s="155" t="s">
        <v>64</v>
      </c>
      <c r="V858" s="154" t="s">
        <v>60</v>
      </c>
      <c r="W858" s="154" t="s">
        <v>60</v>
      </c>
      <c r="X858" s="154" t="s">
        <v>66</v>
      </c>
      <c r="Y858" s="155" t="s">
        <v>64</v>
      </c>
      <c r="Z858" s="154" t="s">
        <v>60</v>
      </c>
      <c r="AA858" s="154"/>
      <c r="AB858" s="242" t="str">
        <f t="shared" si="2"/>
        <v>#ERROR!</v>
      </c>
      <c r="AC858" s="154" t="s">
        <v>391</v>
      </c>
      <c r="AD858" s="242" t="b">
        <f t="shared" si="3"/>
        <v>0</v>
      </c>
      <c r="AE858" s="154"/>
      <c r="AF858" s="242" t="str">
        <f t="shared" si="4"/>
        <v>#ERROR!</v>
      </c>
      <c r="AG858" s="154" t="s">
        <v>652</v>
      </c>
      <c r="AH858" s="242" t="str">
        <f>IF(AG858="","N/A",INDIRECT("MTR!"&amp;ADDRESS(MATCH(LEFT(AG858,9),[1]MTR!C:C,0),COLUMN(J858)),TRUE) &amp; "")</f>
        <v>#ERROR!</v>
      </c>
      <c r="AI858" s="157" t="str">
        <f t="shared" si="5"/>
        <v>#ERROR!</v>
      </c>
    </row>
    <row r="859" ht="12.75" customHeight="1">
      <c r="A859" s="244" t="s">
        <v>5158</v>
      </c>
      <c r="B859" s="244" t="s">
        <v>231</v>
      </c>
      <c r="C859" s="244" t="s">
        <v>8994</v>
      </c>
      <c r="D859" s="154" t="s">
        <v>1773</v>
      </c>
      <c r="E859" s="154"/>
      <c r="F859" s="154" t="str">
        <f t="array" ref="F859">XLOOKUP(Cover!$D$12,$R$1:$Z$1,$R859:$Z859)</f>
        <v>Mandatory</v>
      </c>
      <c r="G859" s="154" t="s">
        <v>8995</v>
      </c>
      <c r="H859" s="154" t="s">
        <v>8519</v>
      </c>
      <c r="I859" s="154" t="s">
        <v>8988</v>
      </c>
      <c r="J859" s="154" t="s">
        <v>8989</v>
      </c>
      <c r="K859" s="154" t="s">
        <v>8508</v>
      </c>
      <c r="L859" s="154" t="s">
        <v>6126</v>
      </c>
      <c r="M859" s="154" t="s">
        <v>175</v>
      </c>
      <c r="N859" s="154" t="s">
        <v>759</v>
      </c>
      <c r="O859" s="247" t="s">
        <v>516</v>
      </c>
      <c r="P859" s="247" t="s">
        <v>6776</v>
      </c>
      <c r="Q859" s="154" t="str">
        <f t="shared" si="1"/>
        <v>#ERROR!</v>
      </c>
      <c r="R859" s="154" t="s">
        <v>66</v>
      </c>
      <c r="S859" s="154" t="s">
        <v>66</v>
      </c>
      <c r="T859" s="155" t="s">
        <v>64</v>
      </c>
      <c r="U859" s="155" t="s">
        <v>64</v>
      </c>
      <c r="V859" s="154" t="s">
        <v>60</v>
      </c>
      <c r="W859" s="154" t="s">
        <v>60</v>
      </c>
      <c r="X859" s="154" t="s">
        <v>66</v>
      </c>
      <c r="Y859" s="155" t="s">
        <v>64</v>
      </c>
      <c r="Z859" s="154" t="s">
        <v>60</v>
      </c>
      <c r="AA859" s="154"/>
      <c r="AB859" s="242" t="str">
        <f t="shared" si="2"/>
        <v>#ERROR!</v>
      </c>
      <c r="AC859" s="154" t="s">
        <v>391</v>
      </c>
      <c r="AD859" s="242" t="b">
        <f t="shared" si="3"/>
        <v>0</v>
      </c>
      <c r="AE859" s="154"/>
      <c r="AF859" s="242" t="str">
        <f t="shared" si="4"/>
        <v>#ERROR!</v>
      </c>
      <c r="AG859" s="154" t="s">
        <v>652</v>
      </c>
      <c r="AH859" s="242" t="str">
        <f>IF(AG859="","N/A",INDIRECT("MTR!"&amp;ADDRESS(MATCH(LEFT(AG859,9),[1]MTR!C:C,0),COLUMN(J859)),TRUE) &amp; "")</f>
        <v>#ERROR!</v>
      </c>
      <c r="AI859" s="157" t="str">
        <f t="shared" si="5"/>
        <v>#ERROR!</v>
      </c>
    </row>
    <row r="860" ht="12.75" customHeight="1">
      <c r="A860" s="238" t="s">
        <v>5158</v>
      </c>
      <c r="B860" s="238" t="s">
        <v>231</v>
      </c>
      <c r="C860" s="238" t="s">
        <v>8996</v>
      </c>
      <c r="D860" s="240"/>
      <c r="E860" s="240" t="s">
        <v>92</v>
      </c>
      <c r="F860" s="240" t="str">
        <f t="array" ref="F860">XLOOKUP(Cover!$D$12,$R$1:$Z$1,$R860:$Z860)</f>
        <v>Heading</v>
      </c>
      <c r="G860" s="239" t="s">
        <v>8997</v>
      </c>
      <c r="H860" s="240"/>
      <c r="I860" s="240"/>
      <c r="J860" s="240"/>
      <c r="K860" s="240"/>
      <c r="L860" s="240"/>
      <c r="M860" s="240"/>
      <c r="N860" s="240" t="s">
        <v>759</v>
      </c>
      <c r="O860" s="240"/>
      <c r="P860" s="240"/>
      <c r="Q860" s="240" t="str">
        <f t="shared" si="1"/>
        <v/>
      </c>
      <c r="R860" s="240" t="s">
        <v>390</v>
      </c>
      <c r="S860" s="240" t="s">
        <v>390</v>
      </c>
      <c r="T860" s="240" t="s">
        <v>390</v>
      </c>
      <c r="U860" s="240" t="s">
        <v>390</v>
      </c>
      <c r="V860" s="240" t="s">
        <v>390</v>
      </c>
      <c r="W860" s="240" t="s">
        <v>390</v>
      </c>
      <c r="X860" s="240" t="s">
        <v>390</v>
      </c>
      <c r="Y860" s="240" t="s">
        <v>390</v>
      </c>
      <c r="Z860" s="240" t="s">
        <v>390</v>
      </c>
      <c r="AA860" s="240"/>
      <c r="AB860" s="242" t="str">
        <f t="shared" si="2"/>
        <v>#ERROR!</v>
      </c>
      <c r="AC860" s="240" t="s">
        <v>391</v>
      </c>
      <c r="AD860" s="242" t="b">
        <f t="shared" si="3"/>
        <v>0</v>
      </c>
      <c r="AE860" s="240"/>
      <c r="AF860" s="242" t="str">
        <f t="shared" si="4"/>
        <v>#ERROR!</v>
      </c>
      <c r="AG860" s="240"/>
      <c r="AH860" s="242" t="str">
        <f>IF(AG860="","N/A",INDIRECT("MTR!"&amp;ADDRESS(MATCH(LEFT(AG860,9),[1]MTR!C:C,0),COLUMN(J860)),TRUE) &amp; "")</f>
        <v>#ERROR!</v>
      </c>
      <c r="AI860" s="157" t="str">
        <f t="shared" si="5"/>
        <v/>
      </c>
    </row>
    <row r="861" ht="12.75" customHeight="1">
      <c r="A861" s="238" t="s">
        <v>5158</v>
      </c>
      <c r="B861" s="238" t="s">
        <v>231</v>
      </c>
      <c r="C861" s="238" t="s">
        <v>8998</v>
      </c>
      <c r="D861" s="240"/>
      <c r="E861" s="240" t="s">
        <v>92</v>
      </c>
      <c r="F861" s="240" t="str">
        <f t="array" ref="F861">XLOOKUP(Cover!$D$12,$R$1:$Z$1,$R861:$Z861)</f>
        <v>Heading</v>
      </c>
      <c r="G861" s="239" t="s">
        <v>8999</v>
      </c>
      <c r="H861" s="240"/>
      <c r="I861" s="240"/>
      <c r="J861" s="240"/>
      <c r="K861" s="240"/>
      <c r="L861" s="240"/>
      <c r="M861" s="240"/>
      <c r="N861" s="240" t="s">
        <v>759</v>
      </c>
      <c r="O861" s="240"/>
      <c r="P861" s="240"/>
      <c r="Q861" s="240" t="str">
        <f t="shared" si="1"/>
        <v/>
      </c>
      <c r="R861" s="240" t="s">
        <v>390</v>
      </c>
      <c r="S861" s="240" t="s">
        <v>390</v>
      </c>
      <c r="T861" s="240" t="s">
        <v>390</v>
      </c>
      <c r="U861" s="240" t="s">
        <v>390</v>
      </c>
      <c r="V861" s="240" t="s">
        <v>390</v>
      </c>
      <c r="W861" s="240" t="s">
        <v>390</v>
      </c>
      <c r="X861" s="240" t="s">
        <v>390</v>
      </c>
      <c r="Y861" s="240" t="s">
        <v>390</v>
      </c>
      <c r="Z861" s="240" t="s">
        <v>390</v>
      </c>
      <c r="AA861" s="240"/>
      <c r="AB861" s="242" t="str">
        <f t="shared" si="2"/>
        <v>#ERROR!</v>
      </c>
      <c r="AC861" s="240" t="s">
        <v>391</v>
      </c>
      <c r="AD861" s="242" t="b">
        <f t="shared" si="3"/>
        <v>0</v>
      </c>
      <c r="AE861" s="240"/>
      <c r="AF861" s="242" t="str">
        <f t="shared" si="4"/>
        <v>#ERROR!</v>
      </c>
      <c r="AG861" s="240"/>
      <c r="AH861" s="242" t="str">
        <f>IF(AG861="","N/A",INDIRECT("MTR!"&amp;ADDRESS(MATCH(LEFT(AG861,9),[1]MTR!C:C,0),COLUMN(J861)),TRUE) &amp; "")</f>
        <v>#ERROR!</v>
      </c>
      <c r="AI861" s="157" t="str">
        <f t="shared" si="5"/>
        <v/>
      </c>
    </row>
    <row r="862" ht="12.75" customHeight="1">
      <c r="A862" s="244" t="s">
        <v>5158</v>
      </c>
      <c r="B862" s="244" t="s">
        <v>231</v>
      </c>
      <c r="C862" s="244" t="s">
        <v>9000</v>
      </c>
      <c r="D862" s="154" t="s">
        <v>542</v>
      </c>
      <c r="E862" s="154"/>
      <c r="F862" s="154" t="str">
        <f t="array" ref="F862">XLOOKUP(Cover!$D$12,$R$1:$Z$1,$R862:$Z862)</f>
        <v>Mandatory</v>
      </c>
      <c r="G862" s="154" t="s">
        <v>9001</v>
      </c>
      <c r="H862" s="154" t="s">
        <v>9002</v>
      </c>
      <c r="I862" s="154" t="s">
        <v>9002</v>
      </c>
      <c r="J862" s="154" t="s">
        <v>5730</v>
      </c>
      <c r="K862" s="154" t="s">
        <v>9003</v>
      </c>
      <c r="L862" s="154" t="s">
        <v>5905</v>
      </c>
      <c r="M862" s="154" t="s">
        <v>1122</v>
      </c>
      <c r="N862" s="154" t="s">
        <v>759</v>
      </c>
      <c r="O862" s="247" t="s">
        <v>445</v>
      </c>
      <c r="P862" s="247" t="s">
        <v>6772</v>
      </c>
      <c r="Q862" s="154" t="str">
        <f t="shared" si="1"/>
        <v>#ERROR!</v>
      </c>
      <c r="R862" s="154" t="s">
        <v>66</v>
      </c>
      <c r="S862" s="154" t="s">
        <v>66</v>
      </c>
      <c r="T862" s="154" t="s">
        <v>60</v>
      </c>
      <c r="U862" s="154" t="s">
        <v>60</v>
      </c>
      <c r="V862" s="154" t="s">
        <v>60</v>
      </c>
      <c r="W862" s="154" t="s">
        <v>60</v>
      </c>
      <c r="X862" s="154" t="s">
        <v>66</v>
      </c>
      <c r="Y862" s="154" t="s">
        <v>60</v>
      </c>
      <c r="Z862" s="154" t="s">
        <v>60</v>
      </c>
      <c r="AA862" s="154"/>
      <c r="AB862" s="242" t="str">
        <f t="shared" si="2"/>
        <v>#ERROR!</v>
      </c>
      <c r="AC862" s="154" t="s">
        <v>391</v>
      </c>
      <c r="AD862" s="242" t="b">
        <f t="shared" si="3"/>
        <v>0</v>
      </c>
      <c r="AE862" s="154"/>
      <c r="AF862" s="242" t="str">
        <f t="shared" si="4"/>
        <v>#ERROR!</v>
      </c>
      <c r="AG862" s="154" t="s">
        <v>652</v>
      </c>
      <c r="AH862" s="242" t="str">
        <f>IF(AG862="","N/A",INDIRECT("MTR!"&amp;ADDRESS(MATCH(LEFT(AG862,9),[1]MTR!C:C,0),COLUMN(J862)),TRUE) &amp; "")</f>
        <v>#ERROR!</v>
      </c>
      <c r="AI862" s="157" t="str">
        <f t="shared" si="5"/>
        <v>#ERROR!</v>
      </c>
    </row>
    <row r="863" ht="12.75" customHeight="1">
      <c r="A863" s="244" t="s">
        <v>5158</v>
      </c>
      <c r="B863" s="244" t="s">
        <v>231</v>
      </c>
      <c r="C863" s="244" t="s">
        <v>9004</v>
      </c>
      <c r="D863" s="154" t="s">
        <v>542</v>
      </c>
      <c r="E863" s="154"/>
      <c r="F863" s="154" t="str">
        <f t="array" ref="F863">XLOOKUP(Cover!$D$12,$R$1:$Z$1,$R863:$Z863)</f>
        <v>Mandatory</v>
      </c>
      <c r="G863" s="154" t="s">
        <v>9005</v>
      </c>
      <c r="H863" s="154" t="s">
        <v>9006</v>
      </c>
      <c r="I863" s="154" t="s">
        <v>9006</v>
      </c>
      <c r="J863" s="154" t="s">
        <v>5782</v>
      </c>
      <c r="K863" s="154" t="s">
        <v>9003</v>
      </c>
      <c r="L863" s="154" t="s">
        <v>5905</v>
      </c>
      <c r="M863" s="154" t="s">
        <v>1122</v>
      </c>
      <c r="N863" s="154" t="s">
        <v>759</v>
      </c>
      <c r="O863" s="247" t="s">
        <v>445</v>
      </c>
      <c r="P863" s="247" t="s">
        <v>6772</v>
      </c>
      <c r="Q863" s="154" t="str">
        <f t="shared" si="1"/>
        <v>#ERROR!</v>
      </c>
      <c r="R863" s="154" t="s">
        <v>66</v>
      </c>
      <c r="S863" s="154" t="s">
        <v>66</v>
      </c>
      <c r="T863" s="154" t="s">
        <v>60</v>
      </c>
      <c r="U863" s="154" t="s">
        <v>60</v>
      </c>
      <c r="V863" s="154" t="s">
        <v>60</v>
      </c>
      <c r="W863" s="154" t="s">
        <v>60</v>
      </c>
      <c r="X863" s="154" t="s">
        <v>66</v>
      </c>
      <c r="Y863" s="154" t="s">
        <v>60</v>
      </c>
      <c r="Z863" s="154" t="s">
        <v>60</v>
      </c>
      <c r="AA863" s="154"/>
      <c r="AB863" s="242" t="str">
        <f t="shared" si="2"/>
        <v>#ERROR!</v>
      </c>
      <c r="AC863" s="154" t="s">
        <v>391</v>
      </c>
      <c r="AD863" s="242" t="b">
        <f t="shared" si="3"/>
        <v>0</v>
      </c>
      <c r="AE863" s="154"/>
      <c r="AF863" s="242" t="str">
        <f t="shared" si="4"/>
        <v>#ERROR!</v>
      </c>
      <c r="AG863" s="154" t="s">
        <v>652</v>
      </c>
      <c r="AH863" s="242" t="str">
        <f>IF(AG863="","N/A",INDIRECT("MTR!"&amp;ADDRESS(MATCH(LEFT(AG863,9),[1]MTR!C:C,0),COLUMN(J863)),TRUE) &amp; "")</f>
        <v>#ERROR!</v>
      </c>
      <c r="AI863" s="157" t="str">
        <f t="shared" si="5"/>
        <v>#ERROR!</v>
      </c>
    </row>
    <row r="864" ht="12.75" customHeight="1">
      <c r="A864" s="244" t="s">
        <v>5158</v>
      </c>
      <c r="B864" s="244" t="s">
        <v>231</v>
      </c>
      <c r="C864" s="244" t="s">
        <v>9007</v>
      </c>
      <c r="D864" s="154" t="s">
        <v>542</v>
      </c>
      <c r="E864" s="154"/>
      <c r="F864" s="154" t="str">
        <f t="array" ref="F864">XLOOKUP(Cover!$D$12,$R$1:$Z$1,$R864:$Z864)</f>
        <v>Mandatory</v>
      </c>
      <c r="G864" s="154" t="s">
        <v>9008</v>
      </c>
      <c r="H864" s="154" t="s">
        <v>9009</v>
      </c>
      <c r="I864" s="154" t="s">
        <v>9009</v>
      </c>
      <c r="J864" s="154" t="s">
        <v>5830</v>
      </c>
      <c r="K864" s="154" t="s">
        <v>9003</v>
      </c>
      <c r="L864" s="154" t="s">
        <v>5905</v>
      </c>
      <c r="M864" s="154" t="s">
        <v>1122</v>
      </c>
      <c r="N864" s="154" t="s">
        <v>759</v>
      </c>
      <c r="O864" s="247" t="s">
        <v>445</v>
      </c>
      <c r="P864" s="247" t="s">
        <v>6772</v>
      </c>
      <c r="Q864" s="154" t="str">
        <f t="shared" si="1"/>
        <v>#ERROR!</v>
      </c>
      <c r="R864" s="154" t="s">
        <v>66</v>
      </c>
      <c r="S864" s="154" t="s">
        <v>66</v>
      </c>
      <c r="T864" s="154" t="s">
        <v>60</v>
      </c>
      <c r="U864" s="154" t="s">
        <v>60</v>
      </c>
      <c r="V864" s="154" t="s">
        <v>60</v>
      </c>
      <c r="W864" s="154" t="s">
        <v>60</v>
      </c>
      <c r="X864" s="154" t="s">
        <v>66</v>
      </c>
      <c r="Y864" s="154" t="s">
        <v>60</v>
      </c>
      <c r="Z864" s="154" t="s">
        <v>60</v>
      </c>
      <c r="AA864" s="154"/>
      <c r="AB864" s="242" t="str">
        <f t="shared" si="2"/>
        <v>#ERROR!</v>
      </c>
      <c r="AC864" s="154" t="s">
        <v>391</v>
      </c>
      <c r="AD864" s="242" t="b">
        <f t="shared" si="3"/>
        <v>0</v>
      </c>
      <c r="AE864" s="154"/>
      <c r="AF864" s="242" t="str">
        <f t="shared" si="4"/>
        <v>#ERROR!</v>
      </c>
      <c r="AG864" s="154" t="s">
        <v>652</v>
      </c>
      <c r="AH864" s="242" t="str">
        <f>IF(AG864="","N/A",INDIRECT("MTR!"&amp;ADDRESS(MATCH(LEFT(AG864,9),[1]MTR!C:C,0),COLUMN(J864)),TRUE) &amp; "")</f>
        <v>#ERROR!</v>
      </c>
      <c r="AI864" s="157" t="str">
        <f t="shared" si="5"/>
        <v>#ERROR!</v>
      </c>
    </row>
    <row r="865" ht="12.75" customHeight="1">
      <c r="A865" s="244" t="s">
        <v>5158</v>
      </c>
      <c r="B865" s="244" t="s">
        <v>231</v>
      </c>
      <c r="C865" s="244" t="s">
        <v>9010</v>
      </c>
      <c r="D865" s="154" t="s">
        <v>542</v>
      </c>
      <c r="E865" s="154"/>
      <c r="F865" s="154" t="str">
        <f t="array" ref="F865">XLOOKUP(Cover!$D$12,$R$1:$Z$1,$R865:$Z865)</f>
        <v>Mandatory</v>
      </c>
      <c r="G865" s="154" t="s">
        <v>9011</v>
      </c>
      <c r="H865" s="154" t="s">
        <v>9012</v>
      </c>
      <c r="I865" s="154" t="s">
        <v>9012</v>
      </c>
      <c r="J865" s="154" t="s">
        <v>5888</v>
      </c>
      <c r="K865" s="154" t="s">
        <v>9003</v>
      </c>
      <c r="L865" s="154" t="s">
        <v>6064</v>
      </c>
      <c r="M865" s="154" t="s">
        <v>1122</v>
      </c>
      <c r="N865" s="154" t="s">
        <v>759</v>
      </c>
      <c r="O865" s="247" t="s">
        <v>445</v>
      </c>
      <c r="P865" s="247" t="s">
        <v>6772</v>
      </c>
      <c r="Q865" s="154" t="str">
        <f t="shared" si="1"/>
        <v>#ERROR!</v>
      </c>
      <c r="R865" s="154" t="s">
        <v>66</v>
      </c>
      <c r="S865" s="154" t="s">
        <v>66</v>
      </c>
      <c r="T865" s="154" t="s">
        <v>60</v>
      </c>
      <c r="U865" s="154" t="s">
        <v>60</v>
      </c>
      <c r="V865" s="154" t="s">
        <v>60</v>
      </c>
      <c r="W865" s="154" t="s">
        <v>60</v>
      </c>
      <c r="X865" s="154" t="s">
        <v>66</v>
      </c>
      <c r="Y865" s="154" t="s">
        <v>60</v>
      </c>
      <c r="Z865" s="154" t="s">
        <v>60</v>
      </c>
      <c r="AA865" s="154"/>
      <c r="AB865" s="242" t="str">
        <f t="shared" si="2"/>
        <v>#ERROR!</v>
      </c>
      <c r="AC865" s="154" t="s">
        <v>391</v>
      </c>
      <c r="AD865" s="242" t="b">
        <f t="shared" si="3"/>
        <v>0</v>
      </c>
      <c r="AE865" s="154"/>
      <c r="AF865" s="242" t="str">
        <f t="shared" si="4"/>
        <v>#ERROR!</v>
      </c>
      <c r="AG865" s="154" t="s">
        <v>652</v>
      </c>
      <c r="AH865" s="242" t="str">
        <f>IF(AG865="","N/A",INDIRECT("MTR!"&amp;ADDRESS(MATCH(LEFT(AG865,9),[1]MTR!C:C,0),COLUMN(J865)),TRUE) &amp; "")</f>
        <v>#ERROR!</v>
      </c>
      <c r="AI865" s="157" t="str">
        <f t="shared" si="5"/>
        <v>#ERROR!</v>
      </c>
    </row>
    <row r="866" ht="12.75" customHeight="1">
      <c r="A866" s="244" t="s">
        <v>5158</v>
      </c>
      <c r="B866" s="244" t="s">
        <v>231</v>
      </c>
      <c r="C866" s="244" t="s">
        <v>9013</v>
      </c>
      <c r="D866" s="154" t="s">
        <v>542</v>
      </c>
      <c r="E866" s="154"/>
      <c r="F866" s="154" t="str">
        <f t="array" ref="F866">XLOOKUP(Cover!$D$12,$R$1:$Z$1,$R866:$Z866)</f>
        <v>Mandatory</v>
      </c>
      <c r="G866" s="154" t="s">
        <v>9014</v>
      </c>
      <c r="H866" s="154" t="s">
        <v>9015</v>
      </c>
      <c r="I866" s="154" t="s">
        <v>9015</v>
      </c>
      <c r="J866" s="154" t="s">
        <v>5897</v>
      </c>
      <c r="K866" s="154" t="s">
        <v>9003</v>
      </c>
      <c r="L866" s="154" t="s">
        <v>5905</v>
      </c>
      <c r="M866" s="154" t="s">
        <v>1122</v>
      </c>
      <c r="N866" s="154" t="s">
        <v>759</v>
      </c>
      <c r="O866" s="247" t="s">
        <v>445</v>
      </c>
      <c r="P866" s="247" t="s">
        <v>6772</v>
      </c>
      <c r="Q866" s="154" t="str">
        <f t="shared" si="1"/>
        <v>#ERROR!</v>
      </c>
      <c r="R866" s="154" t="s">
        <v>66</v>
      </c>
      <c r="S866" s="154" t="s">
        <v>66</v>
      </c>
      <c r="T866" s="154" t="s">
        <v>60</v>
      </c>
      <c r="U866" s="154" t="s">
        <v>60</v>
      </c>
      <c r="V866" s="154" t="s">
        <v>60</v>
      </c>
      <c r="W866" s="154" t="s">
        <v>60</v>
      </c>
      <c r="X866" s="154" t="s">
        <v>66</v>
      </c>
      <c r="Y866" s="154" t="s">
        <v>60</v>
      </c>
      <c r="Z866" s="154" t="s">
        <v>60</v>
      </c>
      <c r="AA866" s="154"/>
      <c r="AB866" s="242" t="str">
        <f t="shared" si="2"/>
        <v>#ERROR!</v>
      </c>
      <c r="AC866" s="154" t="s">
        <v>391</v>
      </c>
      <c r="AD866" s="242" t="b">
        <f t="shared" si="3"/>
        <v>0</v>
      </c>
      <c r="AE866" s="154"/>
      <c r="AF866" s="242" t="str">
        <f t="shared" si="4"/>
        <v>#ERROR!</v>
      </c>
      <c r="AG866" s="154" t="s">
        <v>652</v>
      </c>
      <c r="AH866" s="242" t="str">
        <f>IF(AG866="","N/A",INDIRECT("MTR!"&amp;ADDRESS(MATCH(LEFT(AG866,9),[1]MTR!C:C,0),COLUMN(J866)),TRUE) &amp; "")</f>
        <v>#ERROR!</v>
      </c>
      <c r="AI866" s="157" t="str">
        <f t="shared" si="5"/>
        <v>#ERROR!</v>
      </c>
    </row>
    <row r="867" ht="12.75" customHeight="1">
      <c r="A867" s="244" t="s">
        <v>5158</v>
      </c>
      <c r="B867" s="244" t="s">
        <v>231</v>
      </c>
      <c r="C867" s="244" t="s">
        <v>9016</v>
      </c>
      <c r="D867" s="154" t="s">
        <v>542</v>
      </c>
      <c r="E867" s="154"/>
      <c r="F867" s="154" t="str">
        <f t="array" ref="F867">XLOOKUP(Cover!$D$12,$R$1:$Z$1,$R867:$Z867)</f>
        <v>Mandatory</v>
      </c>
      <c r="G867" s="154" t="s">
        <v>9017</v>
      </c>
      <c r="H867" s="154" t="s">
        <v>1541</v>
      </c>
      <c r="I867" s="154" t="s">
        <v>1541</v>
      </c>
      <c r="J867" s="154" t="s">
        <v>5903</v>
      </c>
      <c r="K867" s="154" t="s">
        <v>9003</v>
      </c>
      <c r="L867" s="154" t="s">
        <v>5905</v>
      </c>
      <c r="M867" s="154" t="s">
        <v>1122</v>
      </c>
      <c r="N867" s="154" t="s">
        <v>759</v>
      </c>
      <c r="O867" s="247" t="s">
        <v>445</v>
      </c>
      <c r="P867" s="247" t="s">
        <v>6772</v>
      </c>
      <c r="Q867" s="154" t="str">
        <f t="shared" si="1"/>
        <v>#ERROR!</v>
      </c>
      <c r="R867" s="154" t="s">
        <v>66</v>
      </c>
      <c r="S867" s="154" t="s">
        <v>66</v>
      </c>
      <c r="T867" s="154" t="s">
        <v>60</v>
      </c>
      <c r="U867" s="154" t="s">
        <v>60</v>
      </c>
      <c r="V867" s="154" t="s">
        <v>60</v>
      </c>
      <c r="W867" s="154" t="s">
        <v>60</v>
      </c>
      <c r="X867" s="154" t="s">
        <v>66</v>
      </c>
      <c r="Y867" s="154" t="s">
        <v>60</v>
      </c>
      <c r="Z867" s="154" t="s">
        <v>60</v>
      </c>
      <c r="AA867" s="154"/>
      <c r="AB867" s="242" t="str">
        <f t="shared" si="2"/>
        <v>#ERROR!</v>
      </c>
      <c r="AC867" s="154" t="s">
        <v>391</v>
      </c>
      <c r="AD867" s="242" t="b">
        <f t="shared" si="3"/>
        <v>0</v>
      </c>
      <c r="AE867" s="154"/>
      <c r="AF867" s="242" t="str">
        <f t="shared" si="4"/>
        <v>#ERROR!</v>
      </c>
      <c r="AG867" s="154" t="s">
        <v>652</v>
      </c>
      <c r="AH867" s="242" t="str">
        <f>IF(AG867="","N/A",INDIRECT("MTR!"&amp;ADDRESS(MATCH(LEFT(AG867,9),[1]MTR!C:C,0),COLUMN(J867)),TRUE) &amp; "")</f>
        <v>#ERROR!</v>
      </c>
      <c r="AI867" s="157" t="str">
        <f t="shared" si="5"/>
        <v>#ERROR!</v>
      </c>
    </row>
    <row r="868" ht="12.75" customHeight="1">
      <c r="A868" s="238" t="s">
        <v>5158</v>
      </c>
      <c r="B868" s="238" t="s">
        <v>231</v>
      </c>
      <c r="C868" s="238" t="s">
        <v>9018</v>
      </c>
      <c r="D868" s="240"/>
      <c r="E868" s="240" t="s">
        <v>92</v>
      </c>
      <c r="F868" s="240" t="str">
        <f t="array" ref="F868">XLOOKUP(Cover!$D$12,$R$1:$Z$1,$R868:$Z868)</f>
        <v>Heading</v>
      </c>
      <c r="G868" s="239" t="s">
        <v>9019</v>
      </c>
      <c r="H868" s="240"/>
      <c r="I868" s="240"/>
      <c r="J868" s="240"/>
      <c r="K868" s="240"/>
      <c r="L868" s="240"/>
      <c r="M868" s="240"/>
      <c r="N868" s="240" t="s">
        <v>759</v>
      </c>
      <c r="O868" s="240"/>
      <c r="P868" s="240"/>
      <c r="Q868" s="240" t="str">
        <f t="shared" si="1"/>
        <v/>
      </c>
      <c r="R868" s="240" t="s">
        <v>390</v>
      </c>
      <c r="S868" s="240" t="s">
        <v>390</v>
      </c>
      <c r="T868" s="240" t="s">
        <v>390</v>
      </c>
      <c r="U868" s="240" t="s">
        <v>390</v>
      </c>
      <c r="V868" s="240" t="s">
        <v>390</v>
      </c>
      <c r="W868" s="240" t="s">
        <v>390</v>
      </c>
      <c r="X868" s="240" t="s">
        <v>390</v>
      </c>
      <c r="Y868" s="240" t="s">
        <v>390</v>
      </c>
      <c r="Z868" s="240" t="s">
        <v>390</v>
      </c>
      <c r="AA868" s="240"/>
      <c r="AB868" s="242" t="str">
        <f t="shared" si="2"/>
        <v>#ERROR!</v>
      </c>
      <c r="AC868" s="240" t="s">
        <v>391</v>
      </c>
      <c r="AD868" s="242" t="b">
        <f t="shared" si="3"/>
        <v>0</v>
      </c>
      <c r="AE868" s="240"/>
      <c r="AF868" s="242" t="str">
        <f t="shared" si="4"/>
        <v>#ERROR!</v>
      </c>
      <c r="AG868" s="240"/>
      <c r="AH868" s="242" t="str">
        <f>IF(AG868="","N/A",INDIRECT("MTR!"&amp;ADDRESS(MATCH(LEFT(AG868,9),[1]MTR!C:C,0),COLUMN(J868)),TRUE) &amp; "")</f>
        <v>#ERROR!</v>
      </c>
      <c r="AI868" s="157" t="str">
        <f t="shared" si="5"/>
        <v/>
      </c>
    </row>
    <row r="869" ht="12.75" customHeight="1">
      <c r="A869" s="244" t="s">
        <v>5158</v>
      </c>
      <c r="B869" s="244" t="s">
        <v>231</v>
      </c>
      <c r="C869" s="244" t="s">
        <v>9020</v>
      </c>
      <c r="D869" s="154" t="s">
        <v>861</v>
      </c>
      <c r="E869" s="154"/>
      <c r="F869" s="154" t="str">
        <f t="array" ref="F869">XLOOKUP(Cover!$D$12,$R$1:$Z$1,$R869:$Z869)</f>
        <v>Information</v>
      </c>
      <c r="G869" s="154" t="s">
        <v>9021</v>
      </c>
      <c r="H869" s="154" t="s">
        <v>9002</v>
      </c>
      <c r="I869" s="154" t="s">
        <v>9022</v>
      </c>
      <c r="J869" s="154" t="s">
        <v>7859</v>
      </c>
      <c r="K869" s="154" t="s">
        <v>9003</v>
      </c>
      <c r="L869" s="154" t="s">
        <v>6428</v>
      </c>
      <c r="M869" s="154"/>
      <c r="N869" s="154" t="s">
        <v>759</v>
      </c>
      <c r="O869" s="247" t="s">
        <v>445</v>
      </c>
      <c r="P869" s="247" t="s">
        <v>6772</v>
      </c>
      <c r="Q869" s="154" t="str">
        <f t="shared" si="1"/>
        <v>#ERROR!</v>
      </c>
      <c r="R869" s="154" t="s">
        <v>66</v>
      </c>
      <c r="S869" s="154" t="s">
        <v>66</v>
      </c>
      <c r="T869" s="154" t="s">
        <v>66</v>
      </c>
      <c r="U869" s="154" t="s">
        <v>66</v>
      </c>
      <c r="V869" s="154" t="s">
        <v>66</v>
      </c>
      <c r="W869" s="154" t="s">
        <v>66</v>
      </c>
      <c r="X869" s="154" t="s">
        <v>66</v>
      </c>
      <c r="Y869" s="154" t="s">
        <v>66</v>
      </c>
      <c r="Z869" s="154" t="s">
        <v>66</v>
      </c>
      <c r="AA869" s="154"/>
      <c r="AB869" s="242" t="str">
        <f t="shared" si="2"/>
        <v>#ERROR!</v>
      </c>
      <c r="AC869" s="154" t="s">
        <v>391</v>
      </c>
      <c r="AD869" s="242" t="b">
        <f t="shared" si="3"/>
        <v>0</v>
      </c>
      <c r="AE869" s="154"/>
      <c r="AF869" s="242" t="str">
        <f t="shared" si="4"/>
        <v>#ERROR!</v>
      </c>
      <c r="AG869" s="154" t="s">
        <v>652</v>
      </c>
      <c r="AH869" s="242" t="str">
        <f>IF(AG869="","N/A",INDIRECT("MTR!"&amp;ADDRESS(MATCH(LEFT(AG869,9),[1]MTR!C:C,0),COLUMN(J869)),TRUE) &amp; "")</f>
        <v>#ERROR!</v>
      </c>
      <c r="AI869" s="157" t="str">
        <f t="shared" si="5"/>
        <v>#ERROR!</v>
      </c>
    </row>
    <row r="870" ht="12.75" customHeight="1">
      <c r="A870" s="244" t="s">
        <v>5158</v>
      </c>
      <c r="B870" s="244" t="s">
        <v>231</v>
      </c>
      <c r="C870" s="244" t="s">
        <v>9023</v>
      </c>
      <c r="D870" s="154" t="s">
        <v>542</v>
      </c>
      <c r="E870" s="154"/>
      <c r="F870" s="154" t="str">
        <f t="array" ref="F870">XLOOKUP(Cover!$D$12,$R$1:$Z$1,$R870:$Z870)</f>
        <v>Mandatory</v>
      </c>
      <c r="G870" s="154" t="s">
        <v>9024</v>
      </c>
      <c r="H870" s="154" t="s">
        <v>9002</v>
      </c>
      <c r="I870" s="154" t="s">
        <v>9025</v>
      </c>
      <c r="J870" s="154" t="s">
        <v>6791</v>
      </c>
      <c r="K870" s="154" t="s">
        <v>9003</v>
      </c>
      <c r="L870" s="154" t="s">
        <v>5905</v>
      </c>
      <c r="M870" s="154" t="s">
        <v>1122</v>
      </c>
      <c r="N870" s="154" t="s">
        <v>759</v>
      </c>
      <c r="O870" s="247" t="s">
        <v>445</v>
      </c>
      <c r="P870" s="247" t="s">
        <v>6772</v>
      </c>
      <c r="Q870" s="154" t="str">
        <f t="shared" si="1"/>
        <v>#ERROR!</v>
      </c>
      <c r="R870" s="154" t="s">
        <v>66</v>
      </c>
      <c r="S870" s="154" t="s">
        <v>66</v>
      </c>
      <c r="T870" s="154" t="s">
        <v>60</v>
      </c>
      <c r="U870" s="154" t="s">
        <v>60</v>
      </c>
      <c r="V870" s="154" t="s">
        <v>60</v>
      </c>
      <c r="W870" s="154" t="s">
        <v>60</v>
      </c>
      <c r="X870" s="154" t="s">
        <v>66</v>
      </c>
      <c r="Y870" s="154" t="s">
        <v>60</v>
      </c>
      <c r="Z870" s="154" t="s">
        <v>60</v>
      </c>
      <c r="AA870" s="154"/>
      <c r="AB870" s="242" t="str">
        <f t="shared" si="2"/>
        <v>#ERROR!</v>
      </c>
      <c r="AC870" s="154" t="s">
        <v>391</v>
      </c>
      <c r="AD870" s="242" t="b">
        <f t="shared" si="3"/>
        <v>0</v>
      </c>
      <c r="AE870" s="154"/>
      <c r="AF870" s="242" t="str">
        <f t="shared" si="4"/>
        <v>#ERROR!</v>
      </c>
      <c r="AG870" s="154" t="s">
        <v>652</v>
      </c>
      <c r="AH870" s="242" t="str">
        <f>IF(AG870="","N/A",INDIRECT("MTR!"&amp;ADDRESS(MATCH(LEFT(AG870,9),[1]MTR!C:C,0),COLUMN(J870)),TRUE) &amp; "")</f>
        <v>#ERROR!</v>
      </c>
      <c r="AI870" s="157" t="str">
        <f t="shared" si="5"/>
        <v>#ERROR!</v>
      </c>
    </row>
    <row r="871" ht="12.75" customHeight="1">
      <c r="A871" s="244" t="s">
        <v>5158</v>
      </c>
      <c r="B871" s="244" t="s">
        <v>231</v>
      </c>
      <c r="C871" s="244" t="s">
        <v>9026</v>
      </c>
      <c r="D871" s="154" t="s">
        <v>542</v>
      </c>
      <c r="E871" s="154"/>
      <c r="F871" s="154" t="str">
        <f t="array" ref="F871">XLOOKUP(Cover!$D$12,$R$1:$Z$1,$R871:$Z871)</f>
        <v>Mandatory</v>
      </c>
      <c r="G871" s="154" t="s">
        <v>9027</v>
      </c>
      <c r="H871" s="154" t="s">
        <v>9006</v>
      </c>
      <c r="I871" s="154" t="s">
        <v>9025</v>
      </c>
      <c r="J871" s="154" t="s">
        <v>6791</v>
      </c>
      <c r="K871" s="154" t="s">
        <v>9003</v>
      </c>
      <c r="L871" s="154" t="s">
        <v>5905</v>
      </c>
      <c r="M871" s="154" t="s">
        <v>1122</v>
      </c>
      <c r="N871" s="154" t="s">
        <v>759</v>
      </c>
      <c r="O871" s="247" t="s">
        <v>445</v>
      </c>
      <c r="P871" s="247" t="s">
        <v>6772</v>
      </c>
      <c r="Q871" s="154" t="str">
        <f t="shared" si="1"/>
        <v>#ERROR!</v>
      </c>
      <c r="R871" s="154" t="s">
        <v>66</v>
      </c>
      <c r="S871" s="154" t="s">
        <v>66</v>
      </c>
      <c r="T871" s="154" t="s">
        <v>60</v>
      </c>
      <c r="U871" s="154" t="s">
        <v>60</v>
      </c>
      <c r="V871" s="154" t="s">
        <v>60</v>
      </c>
      <c r="W871" s="154" t="s">
        <v>60</v>
      </c>
      <c r="X871" s="154" t="s">
        <v>66</v>
      </c>
      <c r="Y871" s="154" t="s">
        <v>60</v>
      </c>
      <c r="Z871" s="154" t="s">
        <v>60</v>
      </c>
      <c r="AA871" s="154"/>
      <c r="AB871" s="242" t="str">
        <f t="shared" si="2"/>
        <v>#ERROR!</v>
      </c>
      <c r="AC871" s="154" t="s">
        <v>391</v>
      </c>
      <c r="AD871" s="242" t="b">
        <f t="shared" si="3"/>
        <v>0</v>
      </c>
      <c r="AE871" s="154"/>
      <c r="AF871" s="242" t="str">
        <f t="shared" si="4"/>
        <v>#ERROR!</v>
      </c>
      <c r="AG871" s="154" t="s">
        <v>652</v>
      </c>
      <c r="AH871" s="242" t="str">
        <f>IF(AG871="","N/A",INDIRECT("MTR!"&amp;ADDRESS(MATCH(LEFT(AG871,9),[1]MTR!C:C,0),COLUMN(J871)),TRUE) &amp; "")</f>
        <v>#ERROR!</v>
      </c>
      <c r="AI871" s="157" t="str">
        <f t="shared" si="5"/>
        <v>#ERROR!</v>
      </c>
    </row>
    <row r="872" ht="12.75" customHeight="1">
      <c r="A872" s="244" t="s">
        <v>5158</v>
      </c>
      <c r="B872" s="244" t="s">
        <v>231</v>
      </c>
      <c r="C872" s="244" t="s">
        <v>9028</v>
      </c>
      <c r="D872" s="154" t="s">
        <v>542</v>
      </c>
      <c r="E872" s="154"/>
      <c r="F872" s="154" t="str">
        <f t="array" ref="F872">XLOOKUP(Cover!$D$12,$R$1:$Z$1,$R872:$Z872)</f>
        <v>Mandatory</v>
      </c>
      <c r="G872" s="154" t="s">
        <v>9029</v>
      </c>
      <c r="H872" s="154" t="s">
        <v>9002</v>
      </c>
      <c r="I872" s="154" t="s">
        <v>9030</v>
      </c>
      <c r="J872" s="154" t="s">
        <v>6797</v>
      </c>
      <c r="K872" s="154" t="s">
        <v>9003</v>
      </c>
      <c r="L872" s="154" t="s">
        <v>5905</v>
      </c>
      <c r="M872" s="154" t="s">
        <v>1122</v>
      </c>
      <c r="N872" s="154" t="s">
        <v>759</v>
      </c>
      <c r="O872" s="247" t="s">
        <v>445</v>
      </c>
      <c r="P872" s="247" t="s">
        <v>89</v>
      </c>
      <c r="Q872" s="154" t="str">
        <f t="shared" si="1"/>
        <v>#ERROR!</v>
      </c>
      <c r="R872" s="154" t="s">
        <v>66</v>
      </c>
      <c r="S872" s="154" t="s">
        <v>66</v>
      </c>
      <c r="T872" s="154" t="s">
        <v>60</v>
      </c>
      <c r="U872" s="154" t="s">
        <v>60</v>
      </c>
      <c r="V872" s="154" t="s">
        <v>60</v>
      </c>
      <c r="W872" s="154" t="s">
        <v>60</v>
      </c>
      <c r="X872" s="154" t="s">
        <v>66</v>
      </c>
      <c r="Y872" s="154" t="s">
        <v>60</v>
      </c>
      <c r="Z872" s="154" t="s">
        <v>60</v>
      </c>
      <c r="AA872" s="154"/>
      <c r="AB872" s="242" t="str">
        <f t="shared" si="2"/>
        <v>#ERROR!</v>
      </c>
      <c r="AC872" s="154" t="s">
        <v>391</v>
      </c>
      <c r="AD872" s="242" t="b">
        <f t="shared" si="3"/>
        <v>0</v>
      </c>
      <c r="AE872" s="154"/>
      <c r="AF872" s="242" t="str">
        <f t="shared" si="4"/>
        <v>#ERROR!</v>
      </c>
      <c r="AG872" s="154" t="s">
        <v>652</v>
      </c>
      <c r="AH872" s="242" t="str">
        <f>IF(AG872="","N/A",INDIRECT("MTR!"&amp;ADDRESS(MATCH(LEFT(AG872,9),[1]MTR!C:C,0),COLUMN(J872)),TRUE) &amp; "")</f>
        <v>#ERROR!</v>
      </c>
      <c r="AI872" s="157" t="str">
        <f t="shared" si="5"/>
        <v>#ERROR!</v>
      </c>
    </row>
    <row r="873" ht="12.75" customHeight="1">
      <c r="A873" s="244" t="s">
        <v>5158</v>
      </c>
      <c r="B873" s="244" t="s">
        <v>231</v>
      </c>
      <c r="C873" s="244" t="s">
        <v>9031</v>
      </c>
      <c r="D873" s="154" t="s">
        <v>542</v>
      </c>
      <c r="E873" s="154"/>
      <c r="F873" s="154" t="str">
        <f t="array" ref="F873">XLOOKUP(Cover!$D$12,$R$1:$Z$1,$R873:$Z873)</f>
        <v>Mandatory</v>
      </c>
      <c r="G873" s="154" t="s">
        <v>9032</v>
      </c>
      <c r="H873" s="154" t="s">
        <v>9009</v>
      </c>
      <c r="I873" s="154" t="s">
        <v>9030</v>
      </c>
      <c r="J873" s="154" t="s">
        <v>6797</v>
      </c>
      <c r="K873" s="154" t="s">
        <v>9003</v>
      </c>
      <c r="L873" s="154" t="s">
        <v>5905</v>
      </c>
      <c r="M873" s="154" t="s">
        <v>1122</v>
      </c>
      <c r="N873" s="154" t="s">
        <v>759</v>
      </c>
      <c r="O873" s="247" t="s">
        <v>445</v>
      </c>
      <c r="P873" s="247" t="s">
        <v>89</v>
      </c>
      <c r="Q873" s="154" t="str">
        <f t="shared" si="1"/>
        <v>#ERROR!</v>
      </c>
      <c r="R873" s="154" t="s">
        <v>66</v>
      </c>
      <c r="S873" s="154" t="s">
        <v>66</v>
      </c>
      <c r="T873" s="154" t="s">
        <v>60</v>
      </c>
      <c r="U873" s="154" t="s">
        <v>60</v>
      </c>
      <c r="V873" s="154" t="s">
        <v>60</v>
      </c>
      <c r="W873" s="154" t="s">
        <v>60</v>
      </c>
      <c r="X873" s="154" t="s">
        <v>66</v>
      </c>
      <c r="Y873" s="154" t="s">
        <v>60</v>
      </c>
      <c r="Z873" s="154" t="s">
        <v>60</v>
      </c>
      <c r="AA873" s="154"/>
      <c r="AB873" s="242" t="str">
        <f t="shared" si="2"/>
        <v>#ERROR!</v>
      </c>
      <c r="AC873" s="154" t="s">
        <v>391</v>
      </c>
      <c r="AD873" s="242" t="b">
        <f t="shared" si="3"/>
        <v>0</v>
      </c>
      <c r="AE873" s="154"/>
      <c r="AF873" s="242" t="str">
        <f t="shared" si="4"/>
        <v>#ERROR!</v>
      </c>
      <c r="AG873" s="154" t="s">
        <v>652</v>
      </c>
      <c r="AH873" s="242" t="str">
        <f>IF(AG873="","N/A",INDIRECT("MTR!"&amp;ADDRESS(MATCH(LEFT(AG873,9),[1]MTR!C:C,0),COLUMN(J873)),TRUE) &amp; "")</f>
        <v>#ERROR!</v>
      </c>
      <c r="AI873" s="157" t="str">
        <f t="shared" si="5"/>
        <v>#ERROR!</v>
      </c>
    </row>
    <row r="874" ht="12.75" customHeight="1">
      <c r="A874" s="244" t="s">
        <v>5158</v>
      </c>
      <c r="B874" s="244" t="s">
        <v>231</v>
      </c>
      <c r="C874" s="244" t="s">
        <v>9033</v>
      </c>
      <c r="D874" s="154" t="s">
        <v>542</v>
      </c>
      <c r="E874" s="154"/>
      <c r="F874" s="154" t="str">
        <f t="array" ref="F874">XLOOKUP(Cover!$D$12,$R$1:$Z$1,$R874:$Z874)</f>
        <v>Mandatory</v>
      </c>
      <c r="G874" s="154" t="s">
        <v>9034</v>
      </c>
      <c r="H874" s="154" t="s">
        <v>9002</v>
      </c>
      <c r="I874" s="154" t="s">
        <v>9035</v>
      </c>
      <c r="J874" s="154" t="s">
        <v>7349</v>
      </c>
      <c r="K874" s="154" t="s">
        <v>9003</v>
      </c>
      <c r="L874" s="154" t="s">
        <v>6064</v>
      </c>
      <c r="M874" s="154" t="s">
        <v>1122</v>
      </c>
      <c r="N874" s="154" t="s">
        <v>759</v>
      </c>
      <c r="O874" s="247" t="s">
        <v>445</v>
      </c>
      <c r="P874" s="247" t="s">
        <v>6772</v>
      </c>
      <c r="Q874" s="154" t="str">
        <f t="shared" si="1"/>
        <v>#ERROR!</v>
      </c>
      <c r="R874" s="154" t="s">
        <v>66</v>
      </c>
      <c r="S874" s="154" t="s">
        <v>66</v>
      </c>
      <c r="T874" s="154" t="s">
        <v>60</v>
      </c>
      <c r="U874" s="154" t="s">
        <v>60</v>
      </c>
      <c r="V874" s="154" t="s">
        <v>60</v>
      </c>
      <c r="W874" s="154" t="s">
        <v>60</v>
      </c>
      <c r="X874" s="154" t="s">
        <v>66</v>
      </c>
      <c r="Y874" s="154" t="s">
        <v>60</v>
      </c>
      <c r="Z874" s="154" t="s">
        <v>60</v>
      </c>
      <c r="AA874" s="154"/>
      <c r="AB874" s="242" t="str">
        <f t="shared" si="2"/>
        <v>#ERROR!</v>
      </c>
      <c r="AC874" s="154" t="s">
        <v>391</v>
      </c>
      <c r="AD874" s="242" t="b">
        <f t="shared" si="3"/>
        <v>0</v>
      </c>
      <c r="AE874" s="154"/>
      <c r="AF874" s="242" t="str">
        <f t="shared" si="4"/>
        <v>#ERROR!</v>
      </c>
      <c r="AG874" s="154" t="s">
        <v>652</v>
      </c>
      <c r="AH874" s="242" t="str">
        <f>IF(AG874="","N/A",INDIRECT("MTR!"&amp;ADDRESS(MATCH(LEFT(AG874,9),[1]MTR!C:C,0),COLUMN(J874)),TRUE) &amp; "")</f>
        <v>#ERROR!</v>
      </c>
      <c r="AI874" s="157" t="str">
        <f t="shared" si="5"/>
        <v>#ERROR!</v>
      </c>
    </row>
    <row r="875" ht="12.75" customHeight="1">
      <c r="A875" s="244" t="s">
        <v>5158</v>
      </c>
      <c r="B875" s="244" t="s">
        <v>231</v>
      </c>
      <c r="C875" s="244" t="s">
        <v>9036</v>
      </c>
      <c r="D875" s="154" t="s">
        <v>542</v>
      </c>
      <c r="E875" s="154"/>
      <c r="F875" s="154" t="str">
        <f t="array" ref="F875">XLOOKUP(Cover!$D$12,$R$1:$Z$1,$R875:$Z875)</f>
        <v>Mandatory</v>
      </c>
      <c r="G875" s="154" t="s">
        <v>9037</v>
      </c>
      <c r="H875" s="154" t="s">
        <v>9012</v>
      </c>
      <c r="I875" s="154" t="s">
        <v>9035</v>
      </c>
      <c r="J875" s="154" t="s">
        <v>7349</v>
      </c>
      <c r="K875" s="154" t="s">
        <v>9003</v>
      </c>
      <c r="L875" s="154" t="s">
        <v>6064</v>
      </c>
      <c r="M875" s="154" t="s">
        <v>1122</v>
      </c>
      <c r="N875" s="154" t="s">
        <v>759</v>
      </c>
      <c r="O875" s="247" t="s">
        <v>445</v>
      </c>
      <c r="P875" s="247" t="s">
        <v>6772</v>
      </c>
      <c r="Q875" s="154" t="str">
        <f t="shared" si="1"/>
        <v>#ERROR!</v>
      </c>
      <c r="R875" s="154" t="s">
        <v>66</v>
      </c>
      <c r="S875" s="154" t="s">
        <v>66</v>
      </c>
      <c r="T875" s="154" t="s">
        <v>60</v>
      </c>
      <c r="U875" s="154" t="s">
        <v>60</v>
      </c>
      <c r="V875" s="154" t="s">
        <v>60</v>
      </c>
      <c r="W875" s="154" t="s">
        <v>60</v>
      </c>
      <c r="X875" s="154" t="s">
        <v>66</v>
      </c>
      <c r="Y875" s="154" t="s">
        <v>60</v>
      </c>
      <c r="Z875" s="154" t="s">
        <v>60</v>
      </c>
      <c r="AA875" s="154"/>
      <c r="AB875" s="242" t="str">
        <f t="shared" si="2"/>
        <v>#ERROR!</v>
      </c>
      <c r="AC875" s="154" t="s">
        <v>391</v>
      </c>
      <c r="AD875" s="242" t="b">
        <f t="shared" si="3"/>
        <v>0</v>
      </c>
      <c r="AE875" s="154"/>
      <c r="AF875" s="242" t="str">
        <f t="shared" si="4"/>
        <v>#ERROR!</v>
      </c>
      <c r="AG875" s="154" t="s">
        <v>652</v>
      </c>
      <c r="AH875" s="242" t="str">
        <f>IF(AG875="","N/A",INDIRECT("MTR!"&amp;ADDRESS(MATCH(LEFT(AG875,9),[1]MTR!C:C,0),COLUMN(J875)),TRUE) &amp; "")</f>
        <v>#ERROR!</v>
      </c>
      <c r="AI875" s="157" t="str">
        <f t="shared" si="5"/>
        <v>#ERROR!</v>
      </c>
    </row>
    <row r="876" ht="12.75" customHeight="1">
      <c r="A876" s="244" t="s">
        <v>5158</v>
      </c>
      <c r="B876" s="244" t="s">
        <v>231</v>
      </c>
      <c r="C876" s="244" t="s">
        <v>9038</v>
      </c>
      <c r="D876" s="154" t="s">
        <v>542</v>
      </c>
      <c r="E876" s="154"/>
      <c r="F876" s="154" t="str">
        <f t="array" ref="F876">XLOOKUP(Cover!$D$12,$R$1:$Z$1,$R876:$Z876)</f>
        <v>Mandatory</v>
      </c>
      <c r="G876" s="154" t="s">
        <v>9039</v>
      </c>
      <c r="H876" s="154" t="s">
        <v>9002</v>
      </c>
      <c r="I876" s="154" t="s">
        <v>9040</v>
      </c>
      <c r="J876" s="154" t="s">
        <v>6803</v>
      </c>
      <c r="K876" s="154" t="s">
        <v>9003</v>
      </c>
      <c r="L876" s="154" t="s">
        <v>6064</v>
      </c>
      <c r="M876" s="154" t="s">
        <v>1122</v>
      </c>
      <c r="N876" s="154" t="s">
        <v>759</v>
      </c>
      <c r="O876" s="247" t="s">
        <v>445</v>
      </c>
      <c r="P876" s="247" t="s">
        <v>6772</v>
      </c>
      <c r="Q876" s="154" t="str">
        <f t="shared" si="1"/>
        <v>#ERROR!</v>
      </c>
      <c r="R876" s="154" t="s">
        <v>66</v>
      </c>
      <c r="S876" s="154" t="s">
        <v>66</v>
      </c>
      <c r="T876" s="155" t="s">
        <v>64</v>
      </c>
      <c r="U876" s="155" t="s">
        <v>64</v>
      </c>
      <c r="V876" s="154" t="s">
        <v>60</v>
      </c>
      <c r="W876" s="154" t="s">
        <v>60</v>
      </c>
      <c r="X876" s="154" t="s">
        <v>66</v>
      </c>
      <c r="Y876" s="155" t="s">
        <v>64</v>
      </c>
      <c r="Z876" s="154" t="s">
        <v>60</v>
      </c>
      <c r="AA876" s="154"/>
      <c r="AB876" s="242" t="str">
        <f t="shared" si="2"/>
        <v>#ERROR!</v>
      </c>
      <c r="AC876" s="154" t="s">
        <v>391</v>
      </c>
      <c r="AD876" s="242" t="b">
        <f t="shared" si="3"/>
        <v>0</v>
      </c>
      <c r="AE876" s="154"/>
      <c r="AF876" s="242" t="str">
        <f t="shared" si="4"/>
        <v>#ERROR!</v>
      </c>
      <c r="AG876" s="154" t="s">
        <v>652</v>
      </c>
      <c r="AH876" s="242" t="str">
        <f>IF(AG876="","N/A",INDIRECT("MTR!"&amp;ADDRESS(MATCH(LEFT(AG876,9),[1]MTR!C:C,0),COLUMN(J876)),TRUE) &amp; "")</f>
        <v>#ERROR!</v>
      </c>
      <c r="AI876" s="157" t="str">
        <f t="shared" si="5"/>
        <v>#ERROR!</v>
      </c>
    </row>
    <row r="877" ht="12.75" customHeight="1">
      <c r="A877" s="244" t="s">
        <v>5158</v>
      </c>
      <c r="B877" s="244" t="s">
        <v>231</v>
      </c>
      <c r="C877" s="244" t="s">
        <v>9041</v>
      </c>
      <c r="D877" s="154" t="s">
        <v>542</v>
      </c>
      <c r="E877" s="154"/>
      <c r="F877" s="154" t="str">
        <f t="array" ref="F877">XLOOKUP(Cover!$D$12,$R$1:$Z$1,$R877:$Z877)</f>
        <v>Mandatory</v>
      </c>
      <c r="G877" s="154" t="s">
        <v>9042</v>
      </c>
      <c r="H877" s="154" t="s">
        <v>9015</v>
      </c>
      <c r="I877" s="154" t="s">
        <v>9040</v>
      </c>
      <c r="J877" s="154" t="s">
        <v>6803</v>
      </c>
      <c r="K877" s="154" t="s">
        <v>9003</v>
      </c>
      <c r="L877" s="154" t="s">
        <v>6064</v>
      </c>
      <c r="M877" s="154" t="s">
        <v>1122</v>
      </c>
      <c r="N877" s="154" t="s">
        <v>759</v>
      </c>
      <c r="O877" s="247" t="s">
        <v>445</v>
      </c>
      <c r="P877" s="247" t="s">
        <v>6772</v>
      </c>
      <c r="Q877" s="154" t="str">
        <f t="shared" si="1"/>
        <v>#ERROR!</v>
      </c>
      <c r="R877" s="154" t="s">
        <v>66</v>
      </c>
      <c r="S877" s="154" t="s">
        <v>66</v>
      </c>
      <c r="T877" s="155" t="s">
        <v>64</v>
      </c>
      <c r="U877" s="155" t="s">
        <v>64</v>
      </c>
      <c r="V877" s="154" t="s">
        <v>60</v>
      </c>
      <c r="W877" s="154" t="s">
        <v>60</v>
      </c>
      <c r="X877" s="154" t="s">
        <v>66</v>
      </c>
      <c r="Y877" s="155" t="s">
        <v>64</v>
      </c>
      <c r="Z877" s="154" t="s">
        <v>60</v>
      </c>
      <c r="AA877" s="154"/>
      <c r="AB877" s="242" t="str">
        <f t="shared" si="2"/>
        <v>#ERROR!</v>
      </c>
      <c r="AC877" s="154" t="s">
        <v>391</v>
      </c>
      <c r="AD877" s="242" t="b">
        <f t="shared" si="3"/>
        <v>0</v>
      </c>
      <c r="AE877" s="154"/>
      <c r="AF877" s="242" t="str">
        <f t="shared" si="4"/>
        <v>#ERROR!</v>
      </c>
      <c r="AG877" s="154" t="s">
        <v>652</v>
      </c>
      <c r="AH877" s="242" t="str">
        <f>IF(AG877="","N/A",INDIRECT("MTR!"&amp;ADDRESS(MATCH(LEFT(AG877,9),[1]MTR!C:C,0),COLUMN(J877)),TRUE) &amp; "")</f>
        <v>#ERROR!</v>
      </c>
      <c r="AI877" s="157" t="str">
        <f t="shared" si="5"/>
        <v>#ERROR!</v>
      </c>
    </row>
    <row r="878" ht="12.75" customHeight="1">
      <c r="A878" s="244" t="s">
        <v>5158</v>
      </c>
      <c r="B878" s="244" t="s">
        <v>231</v>
      </c>
      <c r="C878" s="244" t="s">
        <v>9043</v>
      </c>
      <c r="D878" s="154" t="s">
        <v>542</v>
      </c>
      <c r="E878" s="154"/>
      <c r="F878" s="154" t="str">
        <f t="array" ref="F878">XLOOKUP(Cover!$D$12,$R$1:$Z$1,$R878:$Z878)</f>
        <v>Mandatory</v>
      </c>
      <c r="G878" s="154" t="s">
        <v>9044</v>
      </c>
      <c r="H878" s="154" t="s">
        <v>9002</v>
      </c>
      <c r="I878" s="154" t="s">
        <v>9045</v>
      </c>
      <c r="J878" s="154" t="s">
        <v>7360</v>
      </c>
      <c r="K878" s="154" t="s">
        <v>9003</v>
      </c>
      <c r="L878" s="154" t="s">
        <v>6064</v>
      </c>
      <c r="M878" s="154" t="s">
        <v>1122</v>
      </c>
      <c r="N878" s="154" t="s">
        <v>759</v>
      </c>
      <c r="O878" s="247" t="s">
        <v>445</v>
      </c>
      <c r="P878" s="247" t="s">
        <v>6772</v>
      </c>
      <c r="Q878" s="154" t="str">
        <f t="shared" si="1"/>
        <v>#ERROR!</v>
      </c>
      <c r="R878" s="154" t="s">
        <v>66</v>
      </c>
      <c r="S878" s="154" t="s">
        <v>66</v>
      </c>
      <c r="T878" s="154" t="s">
        <v>60</v>
      </c>
      <c r="U878" s="154" t="s">
        <v>60</v>
      </c>
      <c r="V878" s="154" t="s">
        <v>60</v>
      </c>
      <c r="W878" s="154" t="s">
        <v>60</v>
      </c>
      <c r="X878" s="154" t="s">
        <v>66</v>
      </c>
      <c r="Y878" s="154" t="s">
        <v>60</v>
      </c>
      <c r="Z878" s="154" t="s">
        <v>60</v>
      </c>
      <c r="AA878" s="154"/>
      <c r="AB878" s="242" t="str">
        <f t="shared" si="2"/>
        <v>#ERROR!</v>
      </c>
      <c r="AC878" s="154" t="s">
        <v>391</v>
      </c>
      <c r="AD878" s="242" t="b">
        <f t="shared" si="3"/>
        <v>0</v>
      </c>
      <c r="AE878" s="154"/>
      <c r="AF878" s="242" t="str">
        <f t="shared" si="4"/>
        <v>#ERROR!</v>
      </c>
      <c r="AG878" s="154" t="s">
        <v>652</v>
      </c>
      <c r="AH878" s="242" t="str">
        <f>IF(AG878="","N/A",INDIRECT("MTR!"&amp;ADDRESS(MATCH(LEFT(AG878,9),[1]MTR!C:C,0),COLUMN(J878)),TRUE) &amp; "")</f>
        <v>#ERROR!</v>
      </c>
      <c r="AI878" s="157" t="str">
        <f t="shared" si="5"/>
        <v>#ERROR!</v>
      </c>
    </row>
    <row r="879" ht="12.75" customHeight="1">
      <c r="A879" s="244" t="s">
        <v>5158</v>
      </c>
      <c r="B879" s="244" t="s">
        <v>231</v>
      </c>
      <c r="C879" s="244" t="s">
        <v>9046</v>
      </c>
      <c r="D879" s="154" t="s">
        <v>747</v>
      </c>
      <c r="E879" s="154"/>
      <c r="F879" s="154" t="str">
        <f t="array" ref="F879">XLOOKUP(Cover!$D$12,$R$1:$Z$1,$R879:$Z879)</f>
        <v>Mandatory</v>
      </c>
      <c r="G879" s="154" t="s">
        <v>9047</v>
      </c>
      <c r="H879" s="154" t="s">
        <v>1541</v>
      </c>
      <c r="I879" s="154" t="s">
        <v>9045</v>
      </c>
      <c r="J879" s="154" t="s">
        <v>7360</v>
      </c>
      <c r="K879" s="154" t="s">
        <v>9003</v>
      </c>
      <c r="L879" s="154" t="s">
        <v>6525</v>
      </c>
      <c r="M879" s="154" t="s">
        <v>1122</v>
      </c>
      <c r="N879" s="154" t="s">
        <v>759</v>
      </c>
      <c r="O879" s="247" t="s">
        <v>445</v>
      </c>
      <c r="P879" s="247" t="s">
        <v>6772</v>
      </c>
      <c r="Q879" s="154" t="str">
        <f t="shared" si="1"/>
        <v>#ERROR!</v>
      </c>
      <c r="R879" s="154" t="s">
        <v>66</v>
      </c>
      <c r="S879" s="154" t="s">
        <v>66</v>
      </c>
      <c r="T879" s="154" t="s">
        <v>60</v>
      </c>
      <c r="U879" s="154" t="s">
        <v>60</v>
      </c>
      <c r="V879" s="154" t="s">
        <v>60</v>
      </c>
      <c r="W879" s="154" t="s">
        <v>60</v>
      </c>
      <c r="X879" s="154" t="s">
        <v>66</v>
      </c>
      <c r="Y879" s="154" t="s">
        <v>60</v>
      </c>
      <c r="Z879" s="154" t="s">
        <v>60</v>
      </c>
      <c r="AA879" s="154"/>
      <c r="AB879" s="242" t="str">
        <f t="shared" si="2"/>
        <v>#ERROR!</v>
      </c>
      <c r="AC879" s="154" t="s">
        <v>391</v>
      </c>
      <c r="AD879" s="242" t="b">
        <f t="shared" si="3"/>
        <v>0</v>
      </c>
      <c r="AE879" s="154"/>
      <c r="AF879" s="242" t="str">
        <f t="shared" si="4"/>
        <v>#ERROR!</v>
      </c>
      <c r="AG879" s="154" t="s">
        <v>652</v>
      </c>
      <c r="AH879" s="242" t="str">
        <f>IF(AG879="","N/A",INDIRECT("MTR!"&amp;ADDRESS(MATCH(LEFT(AG879,9),[1]MTR!C:C,0),COLUMN(J879)),TRUE) &amp; "")</f>
        <v>#ERROR!</v>
      </c>
      <c r="AI879" s="157" t="str">
        <f t="shared" si="5"/>
        <v>#ERROR!</v>
      </c>
    </row>
    <row r="880" ht="12.75" customHeight="1">
      <c r="A880" s="244" t="s">
        <v>5158</v>
      </c>
      <c r="B880" s="244" t="s">
        <v>231</v>
      </c>
      <c r="C880" s="244" t="s">
        <v>9048</v>
      </c>
      <c r="D880" s="154" t="s">
        <v>546</v>
      </c>
      <c r="E880" s="154"/>
      <c r="F880" s="154" t="str">
        <f t="array" ref="F880">XLOOKUP(Cover!$D$12,$R$1:$Z$1,$R880:$Z880)</f>
        <v>Mandatory</v>
      </c>
      <c r="G880" s="154" t="s">
        <v>9049</v>
      </c>
      <c r="H880" s="154" t="s">
        <v>9002</v>
      </c>
      <c r="I880" s="154" t="s">
        <v>9050</v>
      </c>
      <c r="J880" s="154" t="s">
        <v>7366</v>
      </c>
      <c r="K880" s="154" t="s">
        <v>9003</v>
      </c>
      <c r="L880" s="154" t="s">
        <v>6529</v>
      </c>
      <c r="M880" s="154" t="s">
        <v>1122</v>
      </c>
      <c r="N880" s="154" t="s">
        <v>759</v>
      </c>
      <c r="O880" s="247" t="s">
        <v>445</v>
      </c>
      <c r="P880" s="247" t="s">
        <v>6772</v>
      </c>
      <c r="Q880" s="154" t="str">
        <f t="shared" si="1"/>
        <v>#ERROR!</v>
      </c>
      <c r="R880" s="154" t="s">
        <v>66</v>
      </c>
      <c r="S880" s="154" t="s">
        <v>66</v>
      </c>
      <c r="T880" s="154" t="s">
        <v>60</v>
      </c>
      <c r="U880" s="154" t="s">
        <v>60</v>
      </c>
      <c r="V880" s="154" t="s">
        <v>60</v>
      </c>
      <c r="W880" s="154" t="s">
        <v>60</v>
      </c>
      <c r="X880" s="154" t="s">
        <v>66</v>
      </c>
      <c r="Y880" s="154" t="s">
        <v>60</v>
      </c>
      <c r="Z880" s="154" t="s">
        <v>60</v>
      </c>
      <c r="AA880" s="154"/>
      <c r="AB880" s="242" t="str">
        <f t="shared" si="2"/>
        <v>#ERROR!</v>
      </c>
      <c r="AC880" s="154" t="s">
        <v>391</v>
      </c>
      <c r="AD880" s="242" t="b">
        <f t="shared" si="3"/>
        <v>0</v>
      </c>
      <c r="AE880" s="154"/>
      <c r="AF880" s="242" t="str">
        <f t="shared" si="4"/>
        <v>#ERROR!</v>
      </c>
      <c r="AG880" s="154" t="s">
        <v>652</v>
      </c>
      <c r="AH880" s="242" t="str">
        <f>IF(AG880="","N/A",INDIRECT("MTR!"&amp;ADDRESS(MATCH(LEFT(AG880,9),[1]MTR!C:C,0),COLUMN(J880)),TRUE) &amp; "")</f>
        <v>#ERROR!</v>
      </c>
      <c r="AI880" s="157" t="str">
        <f t="shared" si="5"/>
        <v>#ERROR!</v>
      </c>
    </row>
    <row r="881" ht="12.75" customHeight="1">
      <c r="A881" s="244" t="s">
        <v>5158</v>
      </c>
      <c r="B881" s="244" t="s">
        <v>231</v>
      </c>
      <c r="C881" s="244" t="s">
        <v>9051</v>
      </c>
      <c r="D881" s="154" t="s">
        <v>542</v>
      </c>
      <c r="E881" s="154"/>
      <c r="F881" s="154" t="str">
        <f t="array" ref="F881">XLOOKUP(Cover!$D$12,$R$1:$Z$1,$R881:$Z881)</f>
        <v>Mandatory</v>
      </c>
      <c r="G881" s="154" t="s">
        <v>9052</v>
      </c>
      <c r="H881" s="154" t="s">
        <v>9006</v>
      </c>
      <c r="I881" s="154" t="s">
        <v>9053</v>
      </c>
      <c r="J881" s="154" t="s">
        <v>6809</v>
      </c>
      <c r="K881" s="154" t="s">
        <v>9003</v>
      </c>
      <c r="L881" s="154" t="s">
        <v>6064</v>
      </c>
      <c r="M881" s="154" t="s">
        <v>1122</v>
      </c>
      <c r="N881" s="154" t="s">
        <v>759</v>
      </c>
      <c r="O881" s="247" t="s">
        <v>445</v>
      </c>
      <c r="P881" s="247" t="s">
        <v>6772</v>
      </c>
      <c r="Q881" s="154" t="str">
        <f t="shared" si="1"/>
        <v>#ERROR!</v>
      </c>
      <c r="R881" s="154" t="s">
        <v>66</v>
      </c>
      <c r="S881" s="154" t="s">
        <v>66</v>
      </c>
      <c r="T881" s="154" t="s">
        <v>60</v>
      </c>
      <c r="U881" s="154" t="s">
        <v>60</v>
      </c>
      <c r="V881" s="154" t="s">
        <v>60</v>
      </c>
      <c r="W881" s="154" t="s">
        <v>60</v>
      </c>
      <c r="X881" s="154" t="s">
        <v>66</v>
      </c>
      <c r="Y881" s="154" t="s">
        <v>60</v>
      </c>
      <c r="Z881" s="154" t="s">
        <v>60</v>
      </c>
      <c r="AA881" s="154"/>
      <c r="AB881" s="242" t="str">
        <f t="shared" si="2"/>
        <v>#ERROR!</v>
      </c>
      <c r="AC881" s="154" t="s">
        <v>391</v>
      </c>
      <c r="AD881" s="242" t="b">
        <f t="shared" si="3"/>
        <v>0</v>
      </c>
      <c r="AE881" s="154"/>
      <c r="AF881" s="242" t="str">
        <f t="shared" si="4"/>
        <v>#ERROR!</v>
      </c>
      <c r="AG881" s="154" t="s">
        <v>652</v>
      </c>
      <c r="AH881" s="242" t="str">
        <f>IF(AG881="","N/A",INDIRECT("MTR!"&amp;ADDRESS(MATCH(LEFT(AG881,9),[1]MTR!C:C,0),COLUMN(J881)),TRUE) &amp; "")</f>
        <v>#ERROR!</v>
      </c>
      <c r="AI881" s="157" t="str">
        <f t="shared" si="5"/>
        <v>#ERROR!</v>
      </c>
    </row>
    <row r="882" ht="12.75" customHeight="1">
      <c r="A882" s="244" t="s">
        <v>5158</v>
      </c>
      <c r="B882" s="244" t="s">
        <v>231</v>
      </c>
      <c r="C882" s="244" t="s">
        <v>9054</v>
      </c>
      <c r="D882" s="154" t="s">
        <v>861</v>
      </c>
      <c r="E882" s="154"/>
      <c r="F882" s="154" t="str">
        <f t="array" ref="F882">XLOOKUP(Cover!$D$12,$R$1:$Z$1,$R882:$Z882)</f>
        <v>Mandatory</v>
      </c>
      <c r="G882" s="154" t="s">
        <v>9055</v>
      </c>
      <c r="H882" s="154" t="s">
        <v>9053</v>
      </c>
      <c r="I882" s="154" t="s">
        <v>9053</v>
      </c>
      <c r="J882" s="154" t="s">
        <v>6809</v>
      </c>
      <c r="K882" s="154" t="s">
        <v>9003</v>
      </c>
      <c r="L882" s="154" t="s">
        <v>6428</v>
      </c>
      <c r="M882" s="154" t="s">
        <v>1122</v>
      </c>
      <c r="N882" s="154" t="s">
        <v>759</v>
      </c>
      <c r="O882" s="247" t="s">
        <v>516</v>
      </c>
      <c r="P882" s="247" t="s">
        <v>1575</v>
      </c>
      <c r="Q882" s="154" t="str">
        <f t="shared" si="1"/>
        <v>#ERROR!</v>
      </c>
      <c r="R882" s="154" t="s">
        <v>66</v>
      </c>
      <c r="S882" s="154" t="s">
        <v>66</v>
      </c>
      <c r="T882" s="154" t="s">
        <v>60</v>
      </c>
      <c r="U882" s="154" t="s">
        <v>60</v>
      </c>
      <c r="V882" s="154" t="s">
        <v>60</v>
      </c>
      <c r="W882" s="154" t="s">
        <v>60</v>
      </c>
      <c r="X882" s="154" t="s">
        <v>66</v>
      </c>
      <c r="Y882" s="154" t="s">
        <v>60</v>
      </c>
      <c r="Z882" s="154" t="s">
        <v>60</v>
      </c>
      <c r="AA882" s="154"/>
      <c r="AB882" s="242" t="str">
        <f t="shared" si="2"/>
        <v>#ERROR!</v>
      </c>
      <c r="AC882" s="154" t="s">
        <v>391</v>
      </c>
      <c r="AD882" s="242" t="b">
        <f t="shared" si="3"/>
        <v>0</v>
      </c>
      <c r="AE882" s="154"/>
      <c r="AF882" s="242" t="str">
        <f t="shared" si="4"/>
        <v>#ERROR!</v>
      </c>
      <c r="AG882" s="154" t="s">
        <v>652</v>
      </c>
      <c r="AH882" s="242" t="str">
        <f>IF(AG882="","N/A",INDIRECT("MTR!"&amp;ADDRESS(MATCH(LEFT(AG882,9),[1]MTR!C:C,0),COLUMN(J882)),TRUE) &amp; "")</f>
        <v>#ERROR!</v>
      </c>
      <c r="AI882" s="157" t="str">
        <f t="shared" si="5"/>
        <v>#ERROR!</v>
      </c>
    </row>
    <row r="883" ht="12.75" customHeight="1">
      <c r="A883" s="244" t="s">
        <v>5158</v>
      </c>
      <c r="B883" s="244" t="s">
        <v>231</v>
      </c>
      <c r="C883" s="245" t="s">
        <v>9056</v>
      </c>
      <c r="D883" s="155" t="s">
        <v>747</v>
      </c>
      <c r="E883" s="155" t="s">
        <v>92</v>
      </c>
      <c r="F883" s="154" t="str">
        <f t="array" ref="F883">XLOOKUP(Cover!$D$12,$R$1:$Z$1,$R883:$Z883)</f>
        <v>Information</v>
      </c>
      <c r="G883" s="154" t="s">
        <v>9057</v>
      </c>
      <c r="H883" s="154" t="s">
        <v>9006</v>
      </c>
      <c r="I883" s="154" t="s">
        <v>9058</v>
      </c>
      <c r="J883" s="154" t="s">
        <v>6815</v>
      </c>
      <c r="K883" s="154" t="s">
        <v>9003</v>
      </c>
      <c r="L883" s="154" t="s">
        <v>6525</v>
      </c>
      <c r="M883" s="154"/>
      <c r="N883" s="154" t="s">
        <v>759</v>
      </c>
      <c r="O883" s="247" t="s">
        <v>445</v>
      </c>
      <c r="P883" s="247" t="s">
        <v>6772</v>
      </c>
      <c r="Q883" s="154" t="str">
        <f t="shared" si="1"/>
        <v>#ERROR!</v>
      </c>
      <c r="R883" s="154" t="s">
        <v>66</v>
      </c>
      <c r="S883" s="154" t="s">
        <v>66</v>
      </c>
      <c r="T883" s="154" t="s">
        <v>66</v>
      </c>
      <c r="U883" s="154" t="s">
        <v>66</v>
      </c>
      <c r="V883" s="154" t="s">
        <v>66</v>
      </c>
      <c r="W883" s="154" t="s">
        <v>66</v>
      </c>
      <c r="X883" s="154" t="s">
        <v>66</v>
      </c>
      <c r="Y883" s="154" t="s">
        <v>66</v>
      </c>
      <c r="Z883" s="154" t="s">
        <v>66</v>
      </c>
      <c r="AA883" s="154"/>
      <c r="AB883" s="242" t="str">
        <f t="shared" si="2"/>
        <v>#ERROR!</v>
      </c>
      <c r="AC883" s="154" t="s">
        <v>391</v>
      </c>
      <c r="AD883" s="242" t="b">
        <f t="shared" si="3"/>
        <v>0</v>
      </c>
      <c r="AE883" s="154"/>
      <c r="AF883" s="242" t="str">
        <f t="shared" si="4"/>
        <v>#ERROR!</v>
      </c>
      <c r="AG883" s="154" t="s">
        <v>652</v>
      </c>
      <c r="AH883" s="242" t="str">
        <f>IF(AG883="","N/A",INDIRECT("MTR!"&amp;ADDRESS(MATCH(LEFT(AG883,9),[1]MTR!C:C,0),COLUMN(J883)),TRUE) &amp; "")</f>
        <v>#ERROR!</v>
      </c>
      <c r="AI883" s="157" t="str">
        <f t="shared" si="5"/>
        <v>#ERROR!</v>
      </c>
    </row>
    <row r="884" ht="12.75" customHeight="1">
      <c r="A884" s="244" t="s">
        <v>5158</v>
      </c>
      <c r="B884" s="244" t="s">
        <v>231</v>
      </c>
      <c r="C884" s="244" t="s">
        <v>9059</v>
      </c>
      <c r="D884" s="154" t="s">
        <v>542</v>
      </c>
      <c r="E884" s="154"/>
      <c r="F884" s="154" t="str">
        <f t="array" ref="F884">XLOOKUP(Cover!$D$12,$R$1:$Z$1,$R884:$Z884)</f>
        <v>Mandatory</v>
      </c>
      <c r="G884" s="154" t="s">
        <v>9060</v>
      </c>
      <c r="H884" s="154" t="s">
        <v>9006</v>
      </c>
      <c r="I884" s="154" t="s">
        <v>9061</v>
      </c>
      <c r="J884" s="154" t="s">
        <v>6819</v>
      </c>
      <c r="K884" s="154" t="s">
        <v>9003</v>
      </c>
      <c r="L884" s="154" t="s">
        <v>5905</v>
      </c>
      <c r="M884" s="154" t="s">
        <v>1122</v>
      </c>
      <c r="N884" s="154" t="s">
        <v>759</v>
      </c>
      <c r="O884" s="247" t="s">
        <v>445</v>
      </c>
      <c r="P884" s="247" t="s">
        <v>89</v>
      </c>
      <c r="Q884" s="154" t="str">
        <f t="shared" si="1"/>
        <v>#ERROR!</v>
      </c>
      <c r="R884" s="154" t="s">
        <v>66</v>
      </c>
      <c r="S884" s="154" t="s">
        <v>66</v>
      </c>
      <c r="T884" s="154" t="s">
        <v>60</v>
      </c>
      <c r="U884" s="154" t="s">
        <v>60</v>
      </c>
      <c r="V884" s="154" t="s">
        <v>60</v>
      </c>
      <c r="W884" s="154" t="s">
        <v>60</v>
      </c>
      <c r="X884" s="154" t="s">
        <v>66</v>
      </c>
      <c r="Y884" s="154" t="s">
        <v>60</v>
      </c>
      <c r="Z884" s="154" t="s">
        <v>60</v>
      </c>
      <c r="AA884" s="154"/>
      <c r="AB884" s="242" t="str">
        <f t="shared" si="2"/>
        <v>#ERROR!</v>
      </c>
      <c r="AC884" s="154" t="s">
        <v>391</v>
      </c>
      <c r="AD884" s="242" t="b">
        <f t="shared" si="3"/>
        <v>0</v>
      </c>
      <c r="AE884" s="154"/>
      <c r="AF884" s="242" t="str">
        <f t="shared" si="4"/>
        <v>#ERROR!</v>
      </c>
      <c r="AG884" s="154" t="s">
        <v>652</v>
      </c>
      <c r="AH884" s="242" t="str">
        <f>IF(AG884="","N/A",INDIRECT("MTR!"&amp;ADDRESS(MATCH(LEFT(AG884,9),[1]MTR!C:C,0),COLUMN(J884)),TRUE) &amp; "")</f>
        <v>#ERROR!</v>
      </c>
      <c r="AI884" s="157" t="str">
        <f t="shared" si="5"/>
        <v>#ERROR!</v>
      </c>
    </row>
    <row r="885" ht="12.75" customHeight="1">
      <c r="A885" s="244" t="s">
        <v>5158</v>
      </c>
      <c r="B885" s="244" t="s">
        <v>231</v>
      </c>
      <c r="C885" s="244" t="s">
        <v>9062</v>
      </c>
      <c r="D885" s="154" t="s">
        <v>542</v>
      </c>
      <c r="E885" s="154"/>
      <c r="F885" s="154" t="str">
        <f t="array" ref="F885">XLOOKUP(Cover!$D$12,$R$1:$Z$1,$R885:$Z885)</f>
        <v>Mandatory</v>
      </c>
      <c r="G885" s="154" t="s">
        <v>9063</v>
      </c>
      <c r="H885" s="154" t="s">
        <v>9009</v>
      </c>
      <c r="I885" s="154" t="s">
        <v>9061</v>
      </c>
      <c r="J885" s="154" t="s">
        <v>6819</v>
      </c>
      <c r="K885" s="154" t="s">
        <v>9003</v>
      </c>
      <c r="L885" s="154" t="s">
        <v>6525</v>
      </c>
      <c r="M885" s="154" t="s">
        <v>1122</v>
      </c>
      <c r="N885" s="154" t="s">
        <v>759</v>
      </c>
      <c r="O885" s="247" t="s">
        <v>445</v>
      </c>
      <c r="P885" s="247" t="s">
        <v>89</v>
      </c>
      <c r="Q885" s="154" t="str">
        <f t="shared" si="1"/>
        <v>#ERROR!</v>
      </c>
      <c r="R885" s="154" t="s">
        <v>66</v>
      </c>
      <c r="S885" s="154" t="s">
        <v>66</v>
      </c>
      <c r="T885" s="154" t="s">
        <v>60</v>
      </c>
      <c r="U885" s="154" t="s">
        <v>60</v>
      </c>
      <c r="V885" s="154" t="s">
        <v>60</v>
      </c>
      <c r="W885" s="154" t="s">
        <v>60</v>
      </c>
      <c r="X885" s="154" t="s">
        <v>66</v>
      </c>
      <c r="Y885" s="154" t="s">
        <v>60</v>
      </c>
      <c r="Z885" s="154" t="s">
        <v>60</v>
      </c>
      <c r="AA885" s="154"/>
      <c r="AB885" s="242" t="str">
        <f t="shared" si="2"/>
        <v>#ERROR!</v>
      </c>
      <c r="AC885" s="154" t="s">
        <v>391</v>
      </c>
      <c r="AD885" s="242" t="b">
        <f t="shared" si="3"/>
        <v>0</v>
      </c>
      <c r="AE885" s="154"/>
      <c r="AF885" s="242" t="str">
        <f t="shared" si="4"/>
        <v>#ERROR!</v>
      </c>
      <c r="AG885" s="154" t="s">
        <v>652</v>
      </c>
      <c r="AH885" s="242" t="str">
        <f>IF(AG885="","N/A",INDIRECT("MTR!"&amp;ADDRESS(MATCH(LEFT(AG885,9),[1]MTR!C:C,0),COLUMN(J885)),TRUE) &amp; "")</f>
        <v>#ERROR!</v>
      </c>
      <c r="AI885" s="157" t="str">
        <f t="shared" si="5"/>
        <v>#ERROR!</v>
      </c>
    </row>
    <row r="886" ht="12.75" customHeight="1">
      <c r="A886" s="244" t="s">
        <v>5158</v>
      </c>
      <c r="B886" s="244" t="s">
        <v>231</v>
      </c>
      <c r="C886" s="244" t="s">
        <v>9064</v>
      </c>
      <c r="D886" s="154" t="s">
        <v>542</v>
      </c>
      <c r="E886" s="154"/>
      <c r="F886" s="154" t="str">
        <f t="array" ref="F886">XLOOKUP(Cover!$D$12,$R$1:$Z$1,$R886:$Z886)</f>
        <v>Mandatory</v>
      </c>
      <c r="G886" s="154" t="s">
        <v>9065</v>
      </c>
      <c r="H886" s="154" t="s">
        <v>9006</v>
      </c>
      <c r="I886" s="154" t="s">
        <v>9066</v>
      </c>
      <c r="J886" s="154" t="s">
        <v>6826</v>
      </c>
      <c r="K886" s="154" t="s">
        <v>9003</v>
      </c>
      <c r="L886" s="154" t="s">
        <v>6064</v>
      </c>
      <c r="M886" s="154" t="s">
        <v>1122</v>
      </c>
      <c r="N886" s="154" t="s">
        <v>759</v>
      </c>
      <c r="O886" s="247" t="s">
        <v>445</v>
      </c>
      <c r="P886" s="247" t="s">
        <v>6772</v>
      </c>
      <c r="Q886" s="154" t="str">
        <f t="shared" si="1"/>
        <v>#ERROR!</v>
      </c>
      <c r="R886" s="154" t="s">
        <v>66</v>
      </c>
      <c r="S886" s="154" t="s">
        <v>66</v>
      </c>
      <c r="T886" s="154" t="s">
        <v>60</v>
      </c>
      <c r="U886" s="154" t="s">
        <v>60</v>
      </c>
      <c r="V886" s="154" t="s">
        <v>60</v>
      </c>
      <c r="W886" s="154" t="s">
        <v>60</v>
      </c>
      <c r="X886" s="154" t="s">
        <v>66</v>
      </c>
      <c r="Y886" s="154" t="s">
        <v>60</v>
      </c>
      <c r="Z886" s="154" t="s">
        <v>60</v>
      </c>
      <c r="AA886" s="154"/>
      <c r="AB886" s="242" t="str">
        <f t="shared" si="2"/>
        <v>#ERROR!</v>
      </c>
      <c r="AC886" s="154" t="s">
        <v>391</v>
      </c>
      <c r="AD886" s="242" t="b">
        <f t="shared" si="3"/>
        <v>0</v>
      </c>
      <c r="AE886" s="154"/>
      <c r="AF886" s="242" t="str">
        <f t="shared" si="4"/>
        <v>#ERROR!</v>
      </c>
      <c r="AG886" s="154" t="s">
        <v>652</v>
      </c>
      <c r="AH886" s="242" t="str">
        <f>IF(AG886="","N/A",INDIRECT("MTR!"&amp;ADDRESS(MATCH(LEFT(AG886,9),[1]MTR!C:C,0),COLUMN(J886)),TRUE) &amp; "")</f>
        <v>#ERROR!</v>
      </c>
      <c r="AI886" s="157" t="str">
        <f t="shared" si="5"/>
        <v>#ERROR!</v>
      </c>
    </row>
    <row r="887" ht="12.75" customHeight="1">
      <c r="A887" s="244" t="s">
        <v>5158</v>
      </c>
      <c r="B887" s="244" t="s">
        <v>231</v>
      </c>
      <c r="C887" s="244" t="s">
        <v>9067</v>
      </c>
      <c r="D887" s="154" t="s">
        <v>542</v>
      </c>
      <c r="E887" s="154"/>
      <c r="F887" s="154" t="str">
        <f t="array" ref="F887">XLOOKUP(Cover!$D$12,$R$1:$Z$1,$R887:$Z887)</f>
        <v>Mandatory</v>
      </c>
      <c r="G887" s="154" t="s">
        <v>9068</v>
      </c>
      <c r="H887" s="154" t="s">
        <v>9012</v>
      </c>
      <c r="I887" s="154" t="s">
        <v>9066</v>
      </c>
      <c r="J887" s="154" t="s">
        <v>6826</v>
      </c>
      <c r="K887" s="154" t="s">
        <v>9003</v>
      </c>
      <c r="L887" s="154" t="s">
        <v>6064</v>
      </c>
      <c r="M887" s="154" t="s">
        <v>1122</v>
      </c>
      <c r="N887" s="154" t="s">
        <v>759</v>
      </c>
      <c r="O887" s="247" t="s">
        <v>445</v>
      </c>
      <c r="P887" s="247" t="s">
        <v>6772</v>
      </c>
      <c r="Q887" s="154" t="str">
        <f t="shared" si="1"/>
        <v>#ERROR!</v>
      </c>
      <c r="R887" s="154" t="s">
        <v>66</v>
      </c>
      <c r="S887" s="154" t="s">
        <v>66</v>
      </c>
      <c r="T887" s="154" t="s">
        <v>60</v>
      </c>
      <c r="U887" s="154" t="s">
        <v>60</v>
      </c>
      <c r="V887" s="154" t="s">
        <v>60</v>
      </c>
      <c r="W887" s="154" t="s">
        <v>60</v>
      </c>
      <c r="X887" s="154" t="s">
        <v>66</v>
      </c>
      <c r="Y887" s="154" t="s">
        <v>60</v>
      </c>
      <c r="Z887" s="154" t="s">
        <v>60</v>
      </c>
      <c r="AA887" s="154"/>
      <c r="AB887" s="242" t="str">
        <f t="shared" si="2"/>
        <v>#ERROR!</v>
      </c>
      <c r="AC887" s="154" t="s">
        <v>391</v>
      </c>
      <c r="AD887" s="242" t="b">
        <f t="shared" si="3"/>
        <v>0</v>
      </c>
      <c r="AE887" s="154"/>
      <c r="AF887" s="242" t="str">
        <f t="shared" si="4"/>
        <v>#ERROR!</v>
      </c>
      <c r="AG887" s="154" t="s">
        <v>652</v>
      </c>
      <c r="AH887" s="242" t="str">
        <f>IF(AG887="","N/A",INDIRECT("MTR!"&amp;ADDRESS(MATCH(LEFT(AG887,9),[1]MTR!C:C,0),COLUMN(J887)),TRUE) &amp; "")</f>
        <v>#ERROR!</v>
      </c>
      <c r="AI887" s="157" t="str">
        <f t="shared" si="5"/>
        <v>#ERROR!</v>
      </c>
    </row>
    <row r="888" ht="12.75" customHeight="1">
      <c r="A888" s="244" t="s">
        <v>5158</v>
      </c>
      <c r="B888" s="244" t="s">
        <v>231</v>
      </c>
      <c r="C888" s="244" t="s">
        <v>9069</v>
      </c>
      <c r="D888" s="154" t="s">
        <v>542</v>
      </c>
      <c r="E888" s="154"/>
      <c r="F888" s="154" t="str">
        <f t="array" ref="F888">XLOOKUP(Cover!$D$12,$R$1:$Z$1,$R888:$Z888)</f>
        <v>Mandatory</v>
      </c>
      <c r="G888" s="154" t="s">
        <v>9070</v>
      </c>
      <c r="H888" s="154" t="s">
        <v>9006</v>
      </c>
      <c r="I888" s="154" t="s">
        <v>9071</v>
      </c>
      <c r="J888" s="154" t="s">
        <v>6832</v>
      </c>
      <c r="K888" s="154" t="s">
        <v>9003</v>
      </c>
      <c r="L888" s="154" t="s">
        <v>5905</v>
      </c>
      <c r="M888" s="154" t="s">
        <v>1122</v>
      </c>
      <c r="N888" s="154" t="s">
        <v>759</v>
      </c>
      <c r="O888" s="247" t="s">
        <v>445</v>
      </c>
      <c r="P888" s="247" t="s">
        <v>6772</v>
      </c>
      <c r="Q888" s="154" t="str">
        <f t="shared" si="1"/>
        <v>#ERROR!</v>
      </c>
      <c r="R888" s="154" t="s">
        <v>66</v>
      </c>
      <c r="S888" s="154" t="s">
        <v>66</v>
      </c>
      <c r="T888" s="154" t="s">
        <v>60</v>
      </c>
      <c r="U888" s="154" t="s">
        <v>60</v>
      </c>
      <c r="V888" s="154" t="s">
        <v>60</v>
      </c>
      <c r="W888" s="154" t="s">
        <v>60</v>
      </c>
      <c r="X888" s="154" t="s">
        <v>66</v>
      </c>
      <c r="Y888" s="154" t="s">
        <v>60</v>
      </c>
      <c r="Z888" s="154" t="s">
        <v>60</v>
      </c>
      <c r="AA888" s="154"/>
      <c r="AB888" s="242" t="str">
        <f t="shared" si="2"/>
        <v>#ERROR!</v>
      </c>
      <c r="AC888" s="154" t="s">
        <v>391</v>
      </c>
      <c r="AD888" s="242" t="b">
        <f t="shared" si="3"/>
        <v>0</v>
      </c>
      <c r="AE888" s="154"/>
      <c r="AF888" s="242" t="str">
        <f t="shared" si="4"/>
        <v>#ERROR!</v>
      </c>
      <c r="AG888" s="154" t="s">
        <v>652</v>
      </c>
      <c r="AH888" s="242" t="str">
        <f>IF(AG888="","N/A",INDIRECT("MTR!"&amp;ADDRESS(MATCH(LEFT(AG888,9),[1]MTR!C:C,0),COLUMN(J888)),TRUE) &amp; "")</f>
        <v>#ERROR!</v>
      </c>
      <c r="AI888" s="157" t="str">
        <f t="shared" si="5"/>
        <v>#ERROR!</v>
      </c>
    </row>
    <row r="889" ht="12.75" customHeight="1">
      <c r="A889" s="244" t="s">
        <v>5158</v>
      </c>
      <c r="B889" s="244" t="s">
        <v>231</v>
      </c>
      <c r="C889" s="244" t="s">
        <v>9072</v>
      </c>
      <c r="D889" s="154" t="s">
        <v>542</v>
      </c>
      <c r="E889" s="154"/>
      <c r="F889" s="154" t="str">
        <f t="array" ref="F889">XLOOKUP(Cover!$D$12,$R$1:$Z$1,$R889:$Z889)</f>
        <v>Mandatory</v>
      </c>
      <c r="G889" s="154" t="s">
        <v>9073</v>
      </c>
      <c r="H889" s="154" t="s">
        <v>9015</v>
      </c>
      <c r="I889" s="154" t="s">
        <v>9071</v>
      </c>
      <c r="J889" s="154" t="s">
        <v>6832</v>
      </c>
      <c r="K889" s="154" t="s">
        <v>9003</v>
      </c>
      <c r="L889" s="154" t="s">
        <v>6525</v>
      </c>
      <c r="M889" s="154" t="s">
        <v>1122</v>
      </c>
      <c r="N889" s="154" t="s">
        <v>759</v>
      </c>
      <c r="O889" s="247" t="s">
        <v>445</v>
      </c>
      <c r="P889" s="247" t="s">
        <v>6772</v>
      </c>
      <c r="Q889" s="154" t="str">
        <f t="shared" si="1"/>
        <v>#ERROR!</v>
      </c>
      <c r="R889" s="154" t="s">
        <v>66</v>
      </c>
      <c r="S889" s="154" t="s">
        <v>66</v>
      </c>
      <c r="T889" s="154" t="s">
        <v>60</v>
      </c>
      <c r="U889" s="154" t="s">
        <v>60</v>
      </c>
      <c r="V889" s="154" t="s">
        <v>60</v>
      </c>
      <c r="W889" s="154" t="s">
        <v>60</v>
      </c>
      <c r="X889" s="154" t="s">
        <v>66</v>
      </c>
      <c r="Y889" s="154" t="s">
        <v>60</v>
      </c>
      <c r="Z889" s="154" t="s">
        <v>60</v>
      </c>
      <c r="AA889" s="154"/>
      <c r="AB889" s="242" t="str">
        <f t="shared" si="2"/>
        <v>#ERROR!</v>
      </c>
      <c r="AC889" s="154" t="s">
        <v>391</v>
      </c>
      <c r="AD889" s="242" t="b">
        <f t="shared" si="3"/>
        <v>0</v>
      </c>
      <c r="AE889" s="154"/>
      <c r="AF889" s="242" t="str">
        <f t="shared" si="4"/>
        <v>#ERROR!</v>
      </c>
      <c r="AG889" s="154" t="s">
        <v>652</v>
      </c>
      <c r="AH889" s="242" t="str">
        <f>IF(AG889="","N/A",INDIRECT("MTR!"&amp;ADDRESS(MATCH(LEFT(AG889,9),[1]MTR!C:C,0),COLUMN(J889)),TRUE) &amp; "")</f>
        <v>#ERROR!</v>
      </c>
      <c r="AI889" s="157" t="str">
        <f t="shared" si="5"/>
        <v>#ERROR!</v>
      </c>
    </row>
    <row r="890" ht="12.75" customHeight="1">
      <c r="A890" s="244" t="s">
        <v>5158</v>
      </c>
      <c r="B890" s="244" t="s">
        <v>231</v>
      </c>
      <c r="C890" s="244" t="s">
        <v>9074</v>
      </c>
      <c r="D890" s="154" t="s">
        <v>542</v>
      </c>
      <c r="E890" s="154"/>
      <c r="F890" s="154" t="str">
        <f t="array" ref="F890">XLOOKUP(Cover!$D$12,$R$1:$Z$1,$R890:$Z890)</f>
        <v>Mandatory</v>
      </c>
      <c r="G890" s="154" t="s">
        <v>9075</v>
      </c>
      <c r="H890" s="154" t="s">
        <v>9006</v>
      </c>
      <c r="I890" s="154" t="s">
        <v>9076</v>
      </c>
      <c r="J890" s="154" t="s">
        <v>6838</v>
      </c>
      <c r="K890" s="154" t="s">
        <v>9003</v>
      </c>
      <c r="L890" s="154" t="s">
        <v>6064</v>
      </c>
      <c r="M890" s="154" t="s">
        <v>1122</v>
      </c>
      <c r="N890" s="154" t="s">
        <v>759</v>
      </c>
      <c r="O890" s="247" t="s">
        <v>445</v>
      </c>
      <c r="P890" s="247" t="s">
        <v>6772</v>
      </c>
      <c r="Q890" s="154" t="str">
        <f t="shared" si="1"/>
        <v>#ERROR!</v>
      </c>
      <c r="R890" s="154" t="s">
        <v>66</v>
      </c>
      <c r="S890" s="154" t="s">
        <v>66</v>
      </c>
      <c r="T890" s="154" t="s">
        <v>60</v>
      </c>
      <c r="U890" s="154" t="s">
        <v>60</v>
      </c>
      <c r="V890" s="154" t="s">
        <v>60</v>
      </c>
      <c r="W890" s="154" t="s">
        <v>60</v>
      </c>
      <c r="X890" s="154" t="s">
        <v>66</v>
      </c>
      <c r="Y890" s="154" t="s">
        <v>60</v>
      </c>
      <c r="Z890" s="154" t="s">
        <v>60</v>
      </c>
      <c r="AA890" s="154"/>
      <c r="AB890" s="242" t="str">
        <f t="shared" si="2"/>
        <v>#ERROR!</v>
      </c>
      <c r="AC890" s="154" t="s">
        <v>391</v>
      </c>
      <c r="AD890" s="242" t="b">
        <f t="shared" si="3"/>
        <v>0</v>
      </c>
      <c r="AE890" s="154"/>
      <c r="AF890" s="242" t="str">
        <f t="shared" si="4"/>
        <v>#ERROR!</v>
      </c>
      <c r="AG890" s="154" t="s">
        <v>652</v>
      </c>
      <c r="AH890" s="242" t="str">
        <f>IF(AG890="","N/A",INDIRECT("MTR!"&amp;ADDRESS(MATCH(LEFT(AG890,9),[1]MTR!C:C,0),COLUMN(J890)),TRUE) &amp; "")</f>
        <v>#ERROR!</v>
      </c>
      <c r="AI890" s="157" t="str">
        <f t="shared" si="5"/>
        <v>#ERROR!</v>
      </c>
    </row>
    <row r="891" ht="12.75" customHeight="1">
      <c r="A891" s="244" t="s">
        <v>5158</v>
      </c>
      <c r="B891" s="244" t="s">
        <v>231</v>
      </c>
      <c r="C891" s="244" t="s">
        <v>9077</v>
      </c>
      <c r="D891" s="154" t="s">
        <v>747</v>
      </c>
      <c r="E891" s="154"/>
      <c r="F891" s="154" t="str">
        <f t="array" ref="F891">XLOOKUP(Cover!$D$12,$R$1:$Z$1,$R891:$Z891)</f>
        <v>Mandatory</v>
      </c>
      <c r="G891" s="154" t="s">
        <v>9078</v>
      </c>
      <c r="H891" s="154" t="s">
        <v>1541</v>
      </c>
      <c r="I891" s="154" t="s">
        <v>9076</v>
      </c>
      <c r="J891" s="154" t="s">
        <v>6838</v>
      </c>
      <c r="K891" s="154" t="s">
        <v>9003</v>
      </c>
      <c r="L891" s="154" t="s">
        <v>6525</v>
      </c>
      <c r="M891" s="154" t="s">
        <v>1122</v>
      </c>
      <c r="N891" s="154" t="s">
        <v>759</v>
      </c>
      <c r="O891" s="247" t="s">
        <v>445</v>
      </c>
      <c r="P891" s="247" t="s">
        <v>6772</v>
      </c>
      <c r="Q891" s="154" t="str">
        <f t="shared" si="1"/>
        <v>#ERROR!</v>
      </c>
      <c r="R891" s="154" t="s">
        <v>66</v>
      </c>
      <c r="S891" s="154" t="s">
        <v>66</v>
      </c>
      <c r="T891" s="154" t="s">
        <v>60</v>
      </c>
      <c r="U891" s="154" t="s">
        <v>60</v>
      </c>
      <c r="V891" s="154" t="s">
        <v>60</v>
      </c>
      <c r="W891" s="154" t="s">
        <v>60</v>
      </c>
      <c r="X891" s="154" t="s">
        <v>66</v>
      </c>
      <c r="Y891" s="154" t="s">
        <v>60</v>
      </c>
      <c r="Z891" s="154" t="s">
        <v>60</v>
      </c>
      <c r="AA891" s="154"/>
      <c r="AB891" s="242" t="str">
        <f t="shared" si="2"/>
        <v>#ERROR!</v>
      </c>
      <c r="AC891" s="154" t="s">
        <v>391</v>
      </c>
      <c r="AD891" s="242" t="b">
        <f t="shared" si="3"/>
        <v>0</v>
      </c>
      <c r="AE891" s="154"/>
      <c r="AF891" s="242" t="str">
        <f t="shared" si="4"/>
        <v>#ERROR!</v>
      </c>
      <c r="AG891" s="154" t="s">
        <v>652</v>
      </c>
      <c r="AH891" s="242" t="str">
        <f>IF(AG891="","N/A",INDIRECT("MTR!"&amp;ADDRESS(MATCH(LEFT(AG891,9),[1]MTR!C:C,0),COLUMN(J891)),TRUE) &amp; "")</f>
        <v>#ERROR!</v>
      </c>
      <c r="AI891" s="157" t="str">
        <f t="shared" si="5"/>
        <v>#ERROR!</v>
      </c>
    </row>
    <row r="892" ht="12.75" customHeight="1">
      <c r="A892" s="244" t="s">
        <v>5158</v>
      </c>
      <c r="B892" s="244" t="s">
        <v>231</v>
      </c>
      <c r="C892" s="244" t="s">
        <v>9079</v>
      </c>
      <c r="D892" s="154" t="s">
        <v>546</v>
      </c>
      <c r="E892" s="154"/>
      <c r="F892" s="154" t="str">
        <f t="array" ref="F892">XLOOKUP(Cover!$D$12,$R$1:$Z$1,$R892:$Z892)</f>
        <v>Mandatory</v>
      </c>
      <c r="G892" s="154" t="s">
        <v>9080</v>
      </c>
      <c r="H892" s="154" t="s">
        <v>9006</v>
      </c>
      <c r="I892" s="154" t="s">
        <v>9081</v>
      </c>
      <c r="J892" s="154" t="s">
        <v>6844</v>
      </c>
      <c r="K892" s="154" t="s">
        <v>9003</v>
      </c>
      <c r="L892" s="154" t="s">
        <v>6529</v>
      </c>
      <c r="M892" s="154" t="s">
        <v>1122</v>
      </c>
      <c r="N892" s="154" t="s">
        <v>759</v>
      </c>
      <c r="O892" s="247" t="s">
        <v>445</v>
      </c>
      <c r="P892" s="247" t="s">
        <v>6772</v>
      </c>
      <c r="Q892" s="154" t="str">
        <f t="shared" si="1"/>
        <v>#ERROR!</v>
      </c>
      <c r="R892" s="154" t="s">
        <v>66</v>
      </c>
      <c r="S892" s="154" t="s">
        <v>66</v>
      </c>
      <c r="T892" s="154" t="s">
        <v>60</v>
      </c>
      <c r="U892" s="154" t="s">
        <v>60</v>
      </c>
      <c r="V892" s="154" t="s">
        <v>60</v>
      </c>
      <c r="W892" s="154" t="s">
        <v>60</v>
      </c>
      <c r="X892" s="154" t="s">
        <v>66</v>
      </c>
      <c r="Y892" s="154" t="s">
        <v>60</v>
      </c>
      <c r="Z892" s="154" t="s">
        <v>60</v>
      </c>
      <c r="AA892" s="154"/>
      <c r="AB892" s="242" t="str">
        <f t="shared" si="2"/>
        <v>#ERROR!</v>
      </c>
      <c r="AC892" s="154" t="s">
        <v>391</v>
      </c>
      <c r="AD892" s="242" t="b">
        <f t="shared" si="3"/>
        <v>0</v>
      </c>
      <c r="AE892" s="154"/>
      <c r="AF892" s="242" t="str">
        <f t="shared" si="4"/>
        <v>#ERROR!</v>
      </c>
      <c r="AG892" s="154" t="s">
        <v>652</v>
      </c>
      <c r="AH892" s="242" t="str">
        <f>IF(AG892="","N/A",INDIRECT("MTR!"&amp;ADDRESS(MATCH(LEFT(AG892,9),[1]MTR!C:C,0),COLUMN(J892)),TRUE) &amp; "")</f>
        <v>#ERROR!</v>
      </c>
      <c r="AI892" s="157" t="str">
        <f t="shared" si="5"/>
        <v>#ERROR!</v>
      </c>
    </row>
    <row r="893" ht="12.75" customHeight="1">
      <c r="A893" s="244" t="s">
        <v>5158</v>
      </c>
      <c r="B893" s="244" t="s">
        <v>231</v>
      </c>
      <c r="C893" s="244" t="s">
        <v>9082</v>
      </c>
      <c r="D893" s="154" t="s">
        <v>542</v>
      </c>
      <c r="E893" s="154"/>
      <c r="F893" s="154" t="str">
        <f t="array" ref="F893">XLOOKUP(Cover!$D$12,$R$1:$Z$1,$R893:$Z893)</f>
        <v>Recommended</v>
      </c>
      <c r="G893" s="154" t="s">
        <v>9083</v>
      </c>
      <c r="H893" s="154" t="s">
        <v>9009</v>
      </c>
      <c r="I893" s="154" t="s">
        <v>9084</v>
      </c>
      <c r="J893" s="154" t="s">
        <v>6848</v>
      </c>
      <c r="K893" s="154" t="s">
        <v>9003</v>
      </c>
      <c r="L893" s="154" t="s">
        <v>6525</v>
      </c>
      <c r="M893" s="154"/>
      <c r="N893" s="154" t="s">
        <v>759</v>
      </c>
      <c r="O893" s="247" t="s">
        <v>445</v>
      </c>
      <c r="P893" s="247" t="s">
        <v>6772</v>
      </c>
      <c r="Q893" s="154" t="str">
        <f t="shared" si="1"/>
        <v>#ERROR!</v>
      </c>
      <c r="R893" s="154" t="s">
        <v>66</v>
      </c>
      <c r="S893" s="154" t="s">
        <v>66</v>
      </c>
      <c r="T893" s="154" t="s">
        <v>64</v>
      </c>
      <c r="U893" s="154" t="s">
        <v>64</v>
      </c>
      <c r="V893" s="154" t="s">
        <v>64</v>
      </c>
      <c r="W893" s="154" t="s">
        <v>64</v>
      </c>
      <c r="X893" s="154" t="s">
        <v>66</v>
      </c>
      <c r="Y893" s="154" t="s">
        <v>64</v>
      </c>
      <c r="Z893" s="154" t="s">
        <v>64</v>
      </c>
      <c r="AA893" s="154"/>
      <c r="AB893" s="242" t="str">
        <f t="shared" si="2"/>
        <v>#ERROR!</v>
      </c>
      <c r="AC893" s="154" t="s">
        <v>391</v>
      </c>
      <c r="AD893" s="242" t="b">
        <f t="shared" si="3"/>
        <v>0</v>
      </c>
      <c r="AE893" s="154"/>
      <c r="AF893" s="242" t="str">
        <f t="shared" si="4"/>
        <v>#ERROR!</v>
      </c>
      <c r="AG893" s="154" t="s">
        <v>652</v>
      </c>
      <c r="AH893" s="242" t="str">
        <f>IF(AG893="","N/A",INDIRECT("MTR!"&amp;ADDRESS(MATCH(LEFT(AG893,9),[1]MTR!C:C,0),COLUMN(J893)),TRUE) &amp; "")</f>
        <v>#ERROR!</v>
      </c>
      <c r="AI893" s="157" t="str">
        <f t="shared" si="5"/>
        <v>#ERROR!</v>
      </c>
    </row>
    <row r="894" ht="12.75" customHeight="1">
      <c r="A894" s="244" t="s">
        <v>5158</v>
      </c>
      <c r="B894" s="244" t="s">
        <v>231</v>
      </c>
      <c r="C894" s="244" t="s">
        <v>9085</v>
      </c>
      <c r="D894" s="154" t="s">
        <v>542</v>
      </c>
      <c r="E894" s="154"/>
      <c r="F894" s="154" t="str">
        <f t="array" ref="F894">XLOOKUP(Cover!$D$12,$R$1:$Z$1,$R894:$Z894)</f>
        <v>Recommended</v>
      </c>
      <c r="G894" s="154" t="s">
        <v>9086</v>
      </c>
      <c r="H894" s="154" t="s">
        <v>9084</v>
      </c>
      <c r="I894" s="154" t="s">
        <v>9084</v>
      </c>
      <c r="J894" s="154" t="s">
        <v>6848</v>
      </c>
      <c r="K894" s="154" t="s">
        <v>9003</v>
      </c>
      <c r="L894" s="154" t="s">
        <v>6140</v>
      </c>
      <c r="M894" s="154"/>
      <c r="N894" s="154" t="s">
        <v>759</v>
      </c>
      <c r="O894" s="247" t="s">
        <v>516</v>
      </c>
      <c r="P894" s="247" t="s">
        <v>1575</v>
      </c>
      <c r="Q894" s="154" t="str">
        <f t="shared" si="1"/>
        <v>#ERROR!</v>
      </c>
      <c r="R894" s="154" t="s">
        <v>66</v>
      </c>
      <c r="S894" s="154" t="s">
        <v>66</v>
      </c>
      <c r="T894" s="154" t="s">
        <v>64</v>
      </c>
      <c r="U894" s="154" t="s">
        <v>64</v>
      </c>
      <c r="V894" s="154" t="s">
        <v>64</v>
      </c>
      <c r="W894" s="154" t="s">
        <v>64</v>
      </c>
      <c r="X894" s="154" t="s">
        <v>66</v>
      </c>
      <c r="Y894" s="154" t="s">
        <v>64</v>
      </c>
      <c r="Z894" s="154" t="s">
        <v>64</v>
      </c>
      <c r="AA894" s="154"/>
      <c r="AB894" s="242" t="str">
        <f t="shared" si="2"/>
        <v>#ERROR!</v>
      </c>
      <c r="AC894" s="154" t="s">
        <v>391</v>
      </c>
      <c r="AD894" s="242" t="b">
        <f t="shared" si="3"/>
        <v>0</v>
      </c>
      <c r="AE894" s="154"/>
      <c r="AF894" s="242" t="str">
        <f t="shared" si="4"/>
        <v>#ERROR!</v>
      </c>
      <c r="AG894" s="154" t="s">
        <v>652</v>
      </c>
      <c r="AH894" s="242" t="str">
        <f>IF(AG894="","N/A",INDIRECT("MTR!"&amp;ADDRESS(MATCH(LEFT(AG894,9),[1]MTR!C:C,0),COLUMN(J894)),TRUE) &amp; "")</f>
        <v>#ERROR!</v>
      </c>
      <c r="AI894" s="157" t="str">
        <f t="shared" si="5"/>
        <v>#ERROR!</v>
      </c>
    </row>
    <row r="895" ht="12.75" customHeight="1">
      <c r="A895" s="244" t="s">
        <v>5158</v>
      </c>
      <c r="B895" s="244" t="s">
        <v>231</v>
      </c>
      <c r="C895" s="244" t="s">
        <v>9087</v>
      </c>
      <c r="D895" s="154" t="s">
        <v>542</v>
      </c>
      <c r="E895" s="154"/>
      <c r="F895" s="154" t="str">
        <f t="array" ref="F895">XLOOKUP(Cover!$D$12,$R$1:$Z$1,$R895:$Z895)</f>
        <v>Information</v>
      </c>
      <c r="G895" s="154" t="s">
        <v>9088</v>
      </c>
      <c r="H895" s="154" t="s">
        <v>9009</v>
      </c>
      <c r="I895" s="154" t="s">
        <v>9089</v>
      </c>
      <c r="J895" s="154" t="s">
        <v>6854</v>
      </c>
      <c r="K895" s="154" t="s">
        <v>9003</v>
      </c>
      <c r="L895" s="154" t="s">
        <v>5905</v>
      </c>
      <c r="M895" s="154"/>
      <c r="N895" s="154" t="s">
        <v>759</v>
      </c>
      <c r="O895" s="247" t="s">
        <v>445</v>
      </c>
      <c r="P895" s="247" t="s">
        <v>6772</v>
      </c>
      <c r="Q895" s="154" t="str">
        <f t="shared" si="1"/>
        <v>#ERROR!</v>
      </c>
      <c r="R895" s="154" t="s">
        <v>66</v>
      </c>
      <c r="S895" s="154" t="s">
        <v>66</v>
      </c>
      <c r="T895" s="154" t="s">
        <v>66</v>
      </c>
      <c r="U895" s="154" t="s">
        <v>66</v>
      </c>
      <c r="V895" s="154" t="s">
        <v>66</v>
      </c>
      <c r="W895" s="154" t="s">
        <v>66</v>
      </c>
      <c r="X895" s="154" t="s">
        <v>66</v>
      </c>
      <c r="Y895" s="154" t="s">
        <v>66</v>
      </c>
      <c r="Z895" s="154" t="s">
        <v>66</v>
      </c>
      <c r="AA895" s="154"/>
      <c r="AB895" s="242" t="str">
        <f t="shared" si="2"/>
        <v>#ERROR!</v>
      </c>
      <c r="AC895" s="154" t="s">
        <v>391</v>
      </c>
      <c r="AD895" s="242" t="b">
        <f t="shared" si="3"/>
        <v>0</v>
      </c>
      <c r="AE895" s="154"/>
      <c r="AF895" s="242" t="str">
        <f t="shared" si="4"/>
        <v>#ERROR!</v>
      </c>
      <c r="AG895" s="154" t="s">
        <v>652</v>
      </c>
      <c r="AH895" s="242" t="str">
        <f>IF(AG895="","N/A",INDIRECT("MTR!"&amp;ADDRESS(MATCH(LEFT(AG895,9),[1]MTR!C:C,0),COLUMN(J895)),TRUE) &amp; "")</f>
        <v>#ERROR!</v>
      </c>
      <c r="AI895" s="157" t="str">
        <f t="shared" si="5"/>
        <v>#ERROR!</v>
      </c>
    </row>
    <row r="896" ht="12.75" customHeight="1">
      <c r="A896" s="244" t="s">
        <v>5158</v>
      </c>
      <c r="B896" s="244" t="s">
        <v>231</v>
      </c>
      <c r="C896" s="244" t="s">
        <v>9090</v>
      </c>
      <c r="D896" s="154" t="s">
        <v>747</v>
      </c>
      <c r="E896" s="154"/>
      <c r="F896" s="154" t="str">
        <f t="array" ref="F896">XLOOKUP(Cover!$D$12,$R$1:$Z$1,$R896:$Z896)</f>
        <v>Mandatory</v>
      </c>
      <c r="G896" s="154" t="s">
        <v>9091</v>
      </c>
      <c r="H896" s="154" t="s">
        <v>9009</v>
      </c>
      <c r="I896" s="154" t="s">
        <v>9092</v>
      </c>
      <c r="J896" s="154" t="s">
        <v>6858</v>
      </c>
      <c r="K896" s="154" t="s">
        <v>9003</v>
      </c>
      <c r="L896" s="154" t="s">
        <v>6525</v>
      </c>
      <c r="M896" s="154" t="s">
        <v>1122</v>
      </c>
      <c r="N896" s="154" t="s">
        <v>759</v>
      </c>
      <c r="O896" s="247" t="s">
        <v>445</v>
      </c>
      <c r="P896" s="247" t="s">
        <v>6772</v>
      </c>
      <c r="Q896" s="154" t="str">
        <f t="shared" si="1"/>
        <v>#ERROR!</v>
      </c>
      <c r="R896" s="154" t="s">
        <v>66</v>
      </c>
      <c r="S896" s="154" t="s">
        <v>66</v>
      </c>
      <c r="T896" s="154" t="s">
        <v>60</v>
      </c>
      <c r="U896" s="154" t="s">
        <v>60</v>
      </c>
      <c r="V896" s="154" t="s">
        <v>60</v>
      </c>
      <c r="W896" s="154" t="s">
        <v>60</v>
      </c>
      <c r="X896" s="154" t="s">
        <v>66</v>
      </c>
      <c r="Y896" s="154" t="s">
        <v>60</v>
      </c>
      <c r="Z896" s="154" t="s">
        <v>60</v>
      </c>
      <c r="AA896" s="154"/>
      <c r="AB896" s="242" t="str">
        <f t="shared" si="2"/>
        <v>#ERROR!</v>
      </c>
      <c r="AC896" s="154" t="s">
        <v>391</v>
      </c>
      <c r="AD896" s="242" t="b">
        <f t="shared" si="3"/>
        <v>0</v>
      </c>
      <c r="AE896" s="154"/>
      <c r="AF896" s="242" t="str">
        <f t="shared" si="4"/>
        <v>#ERROR!</v>
      </c>
      <c r="AG896" s="154" t="s">
        <v>652</v>
      </c>
      <c r="AH896" s="242" t="str">
        <f>IF(AG896="","N/A",INDIRECT("MTR!"&amp;ADDRESS(MATCH(LEFT(AG896,9),[1]MTR!C:C,0),COLUMN(J896)),TRUE) &amp; "")</f>
        <v>#ERROR!</v>
      </c>
      <c r="AI896" s="157" t="str">
        <f t="shared" si="5"/>
        <v>#ERROR!</v>
      </c>
    </row>
    <row r="897" ht="12.75" customHeight="1">
      <c r="A897" s="244" t="s">
        <v>5158</v>
      </c>
      <c r="B897" s="244" t="s">
        <v>231</v>
      </c>
      <c r="C897" s="244" t="s">
        <v>9093</v>
      </c>
      <c r="D897" s="154" t="s">
        <v>747</v>
      </c>
      <c r="E897" s="154"/>
      <c r="F897" s="154" t="str">
        <f t="array" ref="F897">XLOOKUP(Cover!$D$12,$R$1:$Z$1,$R897:$Z897)</f>
        <v>Mandatory</v>
      </c>
      <c r="G897" s="154" t="s">
        <v>9094</v>
      </c>
      <c r="H897" s="154" t="s">
        <v>9012</v>
      </c>
      <c r="I897" s="154" t="s">
        <v>9092</v>
      </c>
      <c r="J897" s="154" t="s">
        <v>6858</v>
      </c>
      <c r="K897" s="154" t="s">
        <v>9003</v>
      </c>
      <c r="L897" s="154" t="s">
        <v>6525</v>
      </c>
      <c r="M897" s="154" t="s">
        <v>1122</v>
      </c>
      <c r="N897" s="154" t="s">
        <v>759</v>
      </c>
      <c r="O897" s="247" t="s">
        <v>445</v>
      </c>
      <c r="P897" s="247" t="s">
        <v>6772</v>
      </c>
      <c r="Q897" s="154" t="str">
        <f t="shared" si="1"/>
        <v>#ERROR!</v>
      </c>
      <c r="R897" s="154" t="s">
        <v>66</v>
      </c>
      <c r="S897" s="154" t="s">
        <v>66</v>
      </c>
      <c r="T897" s="154" t="s">
        <v>60</v>
      </c>
      <c r="U897" s="154" t="s">
        <v>60</v>
      </c>
      <c r="V897" s="154" t="s">
        <v>60</v>
      </c>
      <c r="W897" s="154" t="s">
        <v>60</v>
      </c>
      <c r="X897" s="154" t="s">
        <v>66</v>
      </c>
      <c r="Y897" s="154" t="s">
        <v>60</v>
      </c>
      <c r="Z897" s="154" t="s">
        <v>60</v>
      </c>
      <c r="AA897" s="154"/>
      <c r="AB897" s="242" t="str">
        <f t="shared" si="2"/>
        <v>#ERROR!</v>
      </c>
      <c r="AC897" s="154" t="s">
        <v>391</v>
      </c>
      <c r="AD897" s="242" t="b">
        <f t="shared" si="3"/>
        <v>0</v>
      </c>
      <c r="AE897" s="154"/>
      <c r="AF897" s="242" t="str">
        <f t="shared" si="4"/>
        <v>#ERROR!</v>
      </c>
      <c r="AG897" s="154" t="s">
        <v>652</v>
      </c>
      <c r="AH897" s="242" t="str">
        <f>IF(AG897="","N/A",INDIRECT("MTR!"&amp;ADDRESS(MATCH(LEFT(AG897,9),[1]MTR!C:C,0),COLUMN(J897)),TRUE) &amp; "")</f>
        <v>#ERROR!</v>
      </c>
      <c r="AI897" s="157" t="str">
        <f t="shared" si="5"/>
        <v>#ERROR!</v>
      </c>
    </row>
    <row r="898" ht="12.75" customHeight="1">
      <c r="A898" s="244" t="s">
        <v>5158</v>
      </c>
      <c r="B898" s="244" t="s">
        <v>231</v>
      </c>
      <c r="C898" s="244" t="s">
        <v>9095</v>
      </c>
      <c r="D898" s="154" t="s">
        <v>542</v>
      </c>
      <c r="E898" s="154"/>
      <c r="F898" s="154" t="str">
        <f t="array" ref="F898">XLOOKUP(Cover!$D$12,$R$1:$Z$1,$R898:$Z898)</f>
        <v>Mandatory</v>
      </c>
      <c r="G898" s="154" t="s">
        <v>9096</v>
      </c>
      <c r="H898" s="154" t="s">
        <v>9009</v>
      </c>
      <c r="I898" s="154" t="s">
        <v>9097</v>
      </c>
      <c r="J898" s="154" t="s">
        <v>6865</v>
      </c>
      <c r="K898" s="154" t="s">
        <v>9003</v>
      </c>
      <c r="L898" s="154" t="s">
        <v>5905</v>
      </c>
      <c r="M898" s="154" t="s">
        <v>1122</v>
      </c>
      <c r="N898" s="154" t="s">
        <v>759</v>
      </c>
      <c r="O898" s="247" t="s">
        <v>445</v>
      </c>
      <c r="P898" s="247" t="s">
        <v>6772</v>
      </c>
      <c r="Q898" s="154" t="str">
        <f t="shared" si="1"/>
        <v>#ERROR!</v>
      </c>
      <c r="R898" s="154" t="s">
        <v>66</v>
      </c>
      <c r="S898" s="154" t="s">
        <v>66</v>
      </c>
      <c r="T898" s="154" t="s">
        <v>60</v>
      </c>
      <c r="U898" s="154" t="s">
        <v>60</v>
      </c>
      <c r="V898" s="154" t="s">
        <v>60</v>
      </c>
      <c r="W898" s="154" t="s">
        <v>60</v>
      </c>
      <c r="X898" s="154" t="s">
        <v>66</v>
      </c>
      <c r="Y898" s="154" t="s">
        <v>60</v>
      </c>
      <c r="Z898" s="154" t="s">
        <v>60</v>
      </c>
      <c r="AA898" s="154"/>
      <c r="AB898" s="242" t="str">
        <f t="shared" si="2"/>
        <v>#ERROR!</v>
      </c>
      <c r="AC898" s="154" t="s">
        <v>391</v>
      </c>
      <c r="AD898" s="242" t="b">
        <f t="shared" si="3"/>
        <v>0</v>
      </c>
      <c r="AE898" s="154"/>
      <c r="AF898" s="242" t="str">
        <f t="shared" si="4"/>
        <v>#ERROR!</v>
      </c>
      <c r="AG898" s="154" t="s">
        <v>652</v>
      </c>
      <c r="AH898" s="242" t="str">
        <f>IF(AG898="","N/A",INDIRECT("MTR!"&amp;ADDRESS(MATCH(LEFT(AG898,9),[1]MTR!C:C,0),COLUMN(J898)),TRUE) &amp; "")</f>
        <v>#ERROR!</v>
      </c>
      <c r="AI898" s="157" t="str">
        <f t="shared" si="5"/>
        <v>#ERROR!</v>
      </c>
    </row>
    <row r="899" ht="12.75" customHeight="1">
      <c r="A899" s="244" t="s">
        <v>5158</v>
      </c>
      <c r="B899" s="244" t="s">
        <v>231</v>
      </c>
      <c r="C899" s="244" t="s">
        <v>9098</v>
      </c>
      <c r="D899" s="154" t="s">
        <v>542</v>
      </c>
      <c r="E899" s="154"/>
      <c r="F899" s="154" t="str">
        <f t="array" ref="F899">XLOOKUP(Cover!$D$12,$R$1:$Z$1,$R899:$Z899)</f>
        <v>Mandatory</v>
      </c>
      <c r="G899" s="154" t="s">
        <v>9099</v>
      </c>
      <c r="H899" s="154" t="s">
        <v>9015</v>
      </c>
      <c r="I899" s="154" t="s">
        <v>9097</v>
      </c>
      <c r="J899" s="154" t="s">
        <v>6865</v>
      </c>
      <c r="K899" s="154" t="s">
        <v>9003</v>
      </c>
      <c r="L899" s="154" t="s">
        <v>5905</v>
      </c>
      <c r="M899" s="154" t="s">
        <v>1122</v>
      </c>
      <c r="N899" s="154" t="s">
        <v>759</v>
      </c>
      <c r="O899" s="247" t="s">
        <v>445</v>
      </c>
      <c r="P899" s="247" t="s">
        <v>6772</v>
      </c>
      <c r="Q899" s="154" t="str">
        <f t="shared" si="1"/>
        <v>#ERROR!</v>
      </c>
      <c r="R899" s="154" t="s">
        <v>66</v>
      </c>
      <c r="S899" s="154" t="s">
        <v>66</v>
      </c>
      <c r="T899" s="154" t="s">
        <v>60</v>
      </c>
      <c r="U899" s="154" t="s">
        <v>60</v>
      </c>
      <c r="V899" s="154" t="s">
        <v>60</v>
      </c>
      <c r="W899" s="154" t="s">
        <v>60</v>
      </c>
      <c r="X899" s="154" t="s">
        <v>66</v>
      </c>
      <c r="Y899" s="154" t="s">
        <v>60</v>
      </c>
      <c r="Z899" s="154" t="s">
        <v>60</v>
      </c>
      <c r="AA899" s="154"/>
      <c r="AB899" s="242" t="str">
        <f t="shared" si="2"/>
        <v>#ERROR!</v>
      </c>
      <c r="AC899" s="154" t="s">
        <v>391</v>
      </c>
      <c r="AD899" s="242" t="b">
        <f t="shared" si="3"/>
        <v>0</v>
      </c>
      <c r="AE899" s="154"/>
      <c r="AF899" s="242" t="str">
        <f t="shared" si="4"/>
        <v>#ERROR!</v>
      </c>
      <c r="AG899" s="154" t="s">
        <v>652</v>
      </c>
      <c r="AH899" s="242" t="str">
        <f>IF(AG899="","N/A",INDIRECT("MTR!"&amp;ADDRESS(MATCH(LEFT(AG899,9),[1]MTR!C:C,0),COLUMN(J899)),TRUE) &amp; "")</f>
        <v>#ERROR!</v>
      </c>
      <c r="AI899" s="157" t="str">
        <f t="shared" si="5"/>
        <v>#ERROR!</v>
      </c>
    </row>
    <row r="900" ht="12.75" customHeight="1">
      <c r="A900" s="244" t="s">
        <v>5158</v>
      </c>
      <c r="B900" s="244" t="s">
        <v>231</v>
      </c>
      <c r="C900" s="244" t="s">
        <v>9100</v>
      </c>
      <c r="D900" s="154" t="s">
        <v>542</v>
      </c>
      <c r="E900" s="154"/>
      <c r="F900" s="154" t="str">
        <f t="array" ref="F900">XLOOKUP(Cover!$D$12,$R$1:$Z$1,$R900:$Z900)</f>
        <v>Recommended</v>
      </c>
      <c r="G900" s="154" t="s">
        <v>9101</v>
      </c>
      <c r="H900" s="154" t="s">
        <v>9009</v>
      </c>
      <c r="I900" s="154" t="s">
        <v>9102</v>
      </c>
      <c r="J900" s="154" t="s">
        <v>6872</v>
      </c>
      <c r="K900" s="154" t="s">
        <v>9003</v>
      </c>
      <c r="L900" s="154" t="s">
        <v>6064</v>
      </c>
      <c r="M900" s="154"/>
      <c r="N900" s="154" t="s">
        <v>759</v>
      </c>
      <c r="O900" s="247" t="s">
        <v>445</v>
      </c>
      <c r="P900" s="247" t="s">
        <v>6772</v>
      </c>
      <c r="Q900" s="154" t="str">
        <f t="shared" si="1"/>
        <v>#ERROR!</v>
      </c>
      <c r="R900" s="154" t="s">
        <v>66</v>
      </c>
      <c r="S900" s="154" t="s">
        <v>66</v>
      </c>
      <c r="T900" s="154" t="s">
        <v>64</v>
      </c>
      <c r="U900" s="154" t="s">
        <v>64</v>
      </c>
      <c r="V900" s="154" t="s">
        <v>64</v>
      </c>
      <c r="W900" s="154" t="s">
        <v>64</v>
      </c>
      <c r="X900" s="154" t="s">
        <v>66</v>
      </c>
      <c r="Y900" s="154" t="s">
        <v>64</v>
      </c>
      <c r="Z900" s="154" t="s">
        <v>64</v>
      </c>
      <c r="AA900" s="154"/>
      <c r="AB900" s="242" t="str">
        <f t="shared" si="2"/>
        <v>#ERROR!</v>
      </c>
      <c r="AC900" s="154" t="s">
        <v>391</v>
      </c>
      <c r="AD900" s="242" t="b">
        <f t="shared" si="3"/>
        <v>0</v>
      </c>
      <c r="AE900" s="154"/>
      <c r="AF900" s="242" t="str">
        <f t="shared" si="4"/>
        <v>#ERROR!</v>
      </c>
      <c r="AG900" s="154" t="s">
        <v>652</v>
      </c>
      <c r="AH900" s="242" t="str">
        <f>IF(AG900="","N/A",INDIRECT("MTR!"&amp;ADDRESS(MATCH(LEFT(AG900,9),[1]MTR!C:C,0),COLUMN(J900)),TRUE) &amp; "")</f>
        <v>#ERROR!</v>
      </c>
      <c r="AI900" s="157" t="str">
        <f t="shared" si="5"/>
        <v>#ERROR!</v>
      </c>
    </row>
    <row r="901" ht="12.75" customHeight="1">
      <c r="A901" s="244" t="s">
        <v>5158</v>
      </c>
      <c r="B901" s="244" t="s">
        <v>231</v>
      </c>
      <c r="C901" s="244" t="s">
        <v>9103</v>
      </c>
      <c r="D901" s="154" t="s">
        <v>542</v>
      </c>
      <c r="E901" s="154"/>
      <c r="F901" s="154" t="str">
        <f t="array" ref="F901">XLOOKUP(Cover!$D$12,$R$1:$Z$1,$R901:$Z901)</f>
        <v>Mandatory</v>
      </c>
      <c r="G901" s="154" t="s">
        <v>9104</v>
      </c>
      <c r="H901" s="154" t="s">
        <v>1541</v>
      </c>
      <c r="I901" s="154" t="s">
        <v>9102</v>
      </c>
      <c r="J901" s="154" t="s">
        <v>6872</v>
      </c>
      <c r="K901" s="154" t="s">
        <v>9003</v>
      </c>
      <c r="L901" s="154" t="s">
        <v>6064</v>
      </c>
      <c r="M901" s="154" t="s">
        <v>1122</v>
      </c>
      <c r="N901" s="154" t="s">
        <v>759</v>
      </c>
      <c r="O901" s="247" t="s">
        <v>445</v>
      </c>
      <c r="P901" s="247" t="s">
        <v>6772</v>
      </c>
      <c r="Q901" s="154" t="str">
        <f t="shared" si="1"/>
        <v>#ERROR!</v>
      </c>
      <c r="R901" s="154" t="s">
        <v>66</v>
      </c>
      <c r="S901" s="154" t="s">
        <v>66</v>
      </c>
      <c r="T901" s="154" t="s">
        <v>60</v>
      </c>
      <c r="U901" s="154" t="s">
        <v>60</v>
      </c>
      <c r="V901" s="154" t="s">
        <v>60</v>
      </c>
      <c r="W901" s="154" t="s">
        <v>60</v>
      </c>
      <c r="X901" s="154" t="s">
        <v>66</v>
      </c>
      <c r="Y901" s="154" t="s">
        <v>60</v>
      </c>
      <c r="Z901" s="154" t="s">
        <v>60</v>
      </c>
      <c r="AA901" s="154"/>
      <c r="AB901" s="242" t="str">
        <f t="shared" si="2"/>
        <v>#ERROR!</v>
      </c>
      <c r="AC901" s="154" t="s">
        <v>391</v>
      </c>
      <c r="AD901" s="242" t="b">
        <f t="shared" si="3"/>
        <v>0</v>
      </c>
      <c r="AE901" s="154"/>
      <c r="AF901" s="242" t="str">
        <f t="shared" si="4"/>
        <v>#ERROR!</v>
      </c>
      <c r="AG901" s="154" t="s">
        <v>652</v>
      </c>
      <c r="AH901" s="242" t="str">
        <f>IF(AG901="","N/A",INDIRECT("MTR!"&amp;ADDRESS(MATCH(LEFT(AG901,9),[1]MTR!C:C,0),COLUMN(J901)),TRUE) &amp; "")</f>
        <v>#ERROR!</v>
      </c>
      <c r="AI901" s="157" t="str">
        <f t="shared" si="5"/>
        <v>#ERROR!</v>
      </c>
    </row>
    <row r="902" ht="12.75" customHeight="1">
      <c r="A902" s="244" t="s">
        <v>5158</v>
      </c>
      <c r="B902" s="244" t="s">
        <v>231</v>
      </c>
      <c r="C902" s="244" t="s">
        <v>9105</v>
      </c>
      <c r="D902" s="154" t="s">
        <v>861</v>
      </c>
      <c r="E902" s="154"/>
      <c r="F902" s="154" t="str">
        <f t="array" ref="F902">XLOOKUP(Cover!$D$12,$R$1:$Z$1,$R902:$Z902)</f>
        <v>Mandatory</v>
      </c>
      <c r="G902" s="154" t="s">
        <v>9106</v>
      </c>
      <c r="H902" s="154" t="s">
        <v>9009</v>
      </c>
      <c r="I902" s="154" t="s">
        <v>9107</v>
      </c>
      <c r="J902" s="154" t="s">
        <v>6879</v>
      </c>
      <c r="K902" s="154" t="s">
        <v>9003</v>
      </c>
      <c r="L902" s="154" t="s">
        <v>6428</v>
      </c>
      <c r="M902" s="154" t="s">
        <v>1122</v>
      </c>
      <c r="N902" s="154" t="s">
        <v>759</v>
      </c>
      <c r="O902" s="247" t="s">
        <v>445</v>
      </c>
      <c r="P902" s="247" t="s">
        <v>6772</v>
      </c>
      <c r="Q902" s="154" t="str">
        <f t="shared" si="1"/>
        <v>#ERROR!</v>
      </c>
      <c r="R902" s="154" t="s">
        <v>66</v>
      </c>
      <c r="S902" s="154" t="s">
        <v>66</v>
      </c>
      <c r="T902" s="154" t="s">
        <v>60</v>
      </c>
      <c r="U902" s="154" t="s">
        <v>60</v>
      </c>
      <c r="V902" s="154" t="s">
        <v>60</v>
      </c>
      <c r="W902" s="154" t="s">
        <v>60</v>
      </c>
      <c r="X902" s="154" t="s">
        <v>66</v>
      </c>
      <c r="Y902" s="154" t="s">
        <v>60</v>
      </c>
      <c r="Z902" s="154" t="s">
        <v>60</v>
      </c>
      <c r="AA902" s="154"/>
      <c r="AB902" s="242" t="str">
        <f t="shared" si="2"/>
        <v>#ERROR!</v>
      </c>
      <c r="AC902" s="154" t="s">
        <v>391</v>
      </c>
      <c r="AD902" s="242" t="b">
        <f t="shared" si="3"/>
        <v>0</v>
      </c>
      <c r="AE902" s="154"/>
      <c r="AF902" s="242" t="str">
        <f t="shared" si="4"/>
        <v>#ERROR!</v>
      </c>
      <c r="AG902" s="154" t="s">
        <v>652</v>
      </c>
      <c r="AH902" s="242" t="str">
        <f>IF(AG902="","N/A",INDIRECT("MTR!"&amp;ADDRESS(MATCH(LEFT(AG902,9),[1]MTR!C:C,0),COLUMN(J902)),TRUE) &amp; "")</f>
        <v>#ERROR!</v>
      </c>
      <c r="AI902" s="157" t="str">
        <f t="shared" si="5"/>
        <v>#ERROR!</v>
      </c>
    </row>
    <row r="903" ht="12.75" customHeight="1">
      <c r="A903" s="244" t="s">
        <v>5158</v>
      </c>
      <c r="B903" s="244" t="s">
        <v>231</v>
      </c>
      <c r="C903" s="244" t="s">
        <v>9108</v>
      </c>
      <c r="D903" s="154" t="s">
        <v>747</v>
      </c>
      <c r="E903" s="154"/>
      <c r="F903" s="154" t="str">
        <f t="array" ref="F903">XLOOKUP(Cover!$D$12,$R$1:$Z$1,$R903:$Z903)</f>
        <v>Recommended</v>
      </c>
      <c r="G903" s="154" t="s">
        <v>9109</v>
      </c>
      <c r="H903" s="154" t="s">
        <v>9012</v>
      </c>
      <c r="I903" s="154" t="s">
        <v>9110</v>
      </c>
      <c r="J903" s="154" t="s">
        <v>6883</v>
      </c>
      <c r="K903" s="154" t="s">
        <v>9003</v>
      </c>
      <c r="L903" s="154" t="s">
        <v>6525</v>
      </c>
      <c r="M903" s="154"/>
      <c r="N903" s="154" t="s">
        <v>759</v>
      </c>
      <c r="O903" s="247" t="s">
        <v>516</v>
      </c>
      <c r="P903" s="247" t="s">
        <v>6776</v>
      </c>
      <c r="Q903" s="154" t="str">
        <f t="shared" si="1"/>
        <v>#ERROR!</v>
      </c>
      <c r="R903" s="154" t="s">
        <v>66</v>
      </c>
      <c r="S903" s="154" t="s">
        <v>66</v>
      </c>
      <c r="T903" s="154" t="s">
        <v>64</v>
      </c>
      <c r="U903" s="154" t="s">
        <v>64</v>
      </c>
      <c r="V903" s="154" t="s">
        <v>64</v>
      </c>
      <c r="W903" s="154" t="s">
        <v>64</v>
      </c>
      <c r="X903" s="154" t="s">
        <v>66</v>
      </c>
      <c r="Y903" s="154" t="s">
        <v>64</v>
      </c>
      <c r="Z903" s="154" t="s">
        <v>64</v>
      </c>
      <c r="AA903" s="154"/>
      <c r="AB903" s="242" t="str">
        <f t="shared" si="2"/>
        <v>#ERROR!</v>
      </c>
      <c r="AC903" s="154" t="s">
        <v>391</v>
      </c>
      <c r="AD903" s="242" t="b">
        <f t="shared" si="3"/>
        <v>0</v>
      </c>
      <c r="AE903" s="154"/>
      <c r="AF903" s="242" t="str">
        <f t="shared" si="4"/>
        <v>#ERROR!</v>
      </c>
      <c r="AG903" s="154" t="s">
        <v>652</v>
      </c>
      <c r="AH903" s="242" t="str">
        <f>IF(AG903="","N/A",INDIRECT("MTR!"&amp;ADDRESS(MATCH(LEFT(AG903,9),[1]MTR!C:C,0),COLUMN(J903)),TRUE) &amp; "")</f>
        <v>#ERROR!</v>
      </c>
      <c r="AI903" s="157" t="str">
        <f t="shared" si="5"/>
        <v>#ERROR!</v>
      </c>
    </row>
    <row r="904" ht="12.75" customHeight="1">
      <c r="A904" s="244" t="s">
        <v>5158</v>
      </c>
      <c r="B904" s="244" t="s">
        <v>231</v>
      </c>
      <c r="C904" s="244" t="s">
        <v>9111</v>
      </c>
      <c r="D904" s="154" t="s">
        <v>747</v>
      </c>
      <c r="E904" s="154"/>
      <c r="F904" s="154" t="str">
        <f t="array" ref="F904">XLOOKUP(Cover!$D$12,$R$1:$Z$1,$R904:$Z904)</f>
        <v>Recommended</v>
      </c>
      <c r="G904" s="154" t="s">
        <v>9112</v>
      </c>
      <c r="H904" s="154" t="s">
        <v>9015</v>
      </c>
      <c r="I904" s="154" t="s">
        <v>9110</v>
      </c>
      <c r="J904" s="154" t="s">
        <v>6883</v>
      </c>
      <c r="K904" s="154" t="s">
        <v>9003</v>
      </c>
      <c r="L904" s="154" t="s">
        <v>6525</v>
      </c>
      <c r="M904" s="154"/>
      <c r="N904" s="154" t="s">
        <v>759</v>
      </c>
      <c r="O904" s="247" t="s">
        <v>516</v>
      </c>
      <c r="P904" s="247" t="s">
        <v>6776</v>
      </c>
      <c r="Q904" s="154" t="str">
        <f t="shared" si="1"/>
        <v>#ERROR!</v>
      </c>
      <c r="R904" s="154" t="s">
        <v>66</v>
      </c>
      <c r="S904" s="154" t="s">
        <v>66</v>
      </c>
      <c r="T904" s="154" t="s">
        <v>64</v>
      </c>
      <c r="U904" s="154" t="s">
        <v>64</v>
      </c>
      <c r="V904" s="154" t="s">
        <v>64</v>
      </c>
      <c r="W904" s="154" t="s">
        <v>64</v>
      </c>
      <c r="X904" s="154" t="s">
        <v>66</v>
      </c>
      <c r="Y904" s="154" t="s">
        <v>64</v>
      </c>
      <c r="Z904" s="154" t="s">
        <v>64</v>
      </c>
      <c r="AA904" s="154"/>
      <c r="AB904" s="242" t="str">
        <f t="shared" si="2"/>
        <v>#ERROR!</v>
      </c>
      <c r="AC904" s="154" t="s">
        <v>391</v>
      </c>
      <c r="AD904" s="242" t="b">
        <f t="shared" si="3"/>
        <v>0</v>
      </c>
      <c r="AE904" s="154"/>
      <c r="AF904" s="242" t="str">
        <f t="shared" si="4"/>
        <v>#ERROR!</v>
      </c>
      <c r="AG904" s="154" t="s">
        <v>652</v>
      </c>
      <c r="AH904" s="242" t="str">
        <f>IF(AG904="","N/A",INDIRECT("MTR!"&amp;ADDRESS(MATCH(LEFT(AG904,9),[1]MTR!C:C,0),COLUMN(J904)),TRUE) &amp; "")</f>
        <v>#ERROR!</v>
      </c>
      <c r="AI904" s="157" t="str">
        <f t="shared" si="5"/>
        <v>#ERROR!</v>
      </c>
    </row>
    <row r="905" ht="12.75" customHeight="1">
      <c r="A905" s="244" t="s">
        <v>5158</v>
      </c>
      <c r="B905" s="244" t="s">
        <v>231</v>
      </c>
      <c r="C905" s="244" t="s">
        <v>9113</v>
      </c>
      <c r="D905" s="154" t="s">
        <v>1069</v>
      </c>
      <c r="E905" s="154"/>
      <c r="F905" s="154" t="str">
        <f t="array" ref="F905">XLOOKUP(Cover!$D$12,$R$1:$Z$1,$R905:$Z905)</f>
        <v>Information</v>
      </c>
      <c r="G905" s="154" t="s">
        <v>9114</v>
      </c>
      <c r="H905" s="154" t="s">
        <v>9012</v>
      </c>
      <c r="I905" s="154" t="s">
        <v>9115</v>
      </c>
      <c r="J905" s="154" t="s">
        <v>7422</v>
      </c>
      <c r="K905" s="154" t="s">
        <v>9003</v>
      </c>
      <c r="L905" s="154" t="s">
        <v>6154</v>
      </c>
      <c r="M905" s="154"/>
      <c r="N905" s="154" t="s">
        <v>759</v>
      </c>
      <c r="O905" s="247" t="s">
        <v>516</v>
      </c>
      <c r="P905" s="247" t="s">
        <v>6776</v>
      </c>
      <c r="Q905" s="154" t="str">
        <f t="shared" si="1"/>
        <v>#ERROR!</v>
      </c>
      <c r="R905" s="154" t="s">
        <v>66</v>
      </c>
      <c r="S905" s="154" t="s">
        <v>66</v>
      </c>
      <c r="T905" s="154" t="s">
        <v>66</v>
      </c>
      <c r="U905" s="154" t="s">
        <v>66</v>
      </c>
      <c r="V905" s="154" t="s">
        <v>66</v>
      </c>
      <c r="W905" s="154" t="s">
        <v>66</v>
      </c>
      <c r="X905" s="154" t="s">
        <v>66</v>
      </c>
      <c r="Y905" s="154" t="s">
        <v>66</v>
      </c>
      <c r="Z905" s="154" t="s">
        <v>66</v>
      </c>
      <c r="AA905" s="154"/>
      <c r="AB905" s="242" t="str">
        <f t="shared" si="2"/>
        <v>#ERROR!</v>
      </c>
      <c r="AC905" s="154" t="s">
        <v>391</v>
      </c>
      <c r="AD905" s="242" t="b">
        <f t="shared" si="3"/>
        <v>0</v>
      </c>
      <c r="AE905" s="154"/>
      <c r="AF905" s="242" t="str">
        <f t="shared" si="4"/>
        <v>#ERROR!</v>
      </c>
      <c r="AG905" s="154" t="s">
        <v>652</v>
      </c>
      <c r="AH905" s="242" t="str">
        <f>IF(AG905="","N/A",INDIRECT("MTR!"&amp;ADDRESS(MATCH(LEFT(AG905,9),[1]MTR!C:C,0),COLUMN(J905)),TRUE) &amp; "")</f>
        <v>#ERROR!</v>
      </c>
      <c r="AI905" s="157" t="str">
        <f t="shared" si="5"/>
        <v>#ERROR!</v>
      </c>
    </row>
    <row r="906" ht="12.75" customHeight="1">
      <c r="A906" s="244" t="s">
        <v>5158</v>
      </c>
      <c r="B906" s="244" t="s">
        <v>231</v>
      </c>
      <c r="C906" s="244" t="s">
        <v>9116</v>
      </c>
      <c r="D906" s="154" t="s">
        <v>1069</v>
      </c>
      <c r="E906" s="154"/>
      <c r="F906" s="154" t="str">
        <f t="array" ref="F906">XLOOKUP(Cover!$D$12,$R$1:$Z$1,$R906:$Z906)</f>
        <v>Information</v>
      </c>
      <c r="G906" s="154" t="s">
        <v>9117</v>
      </c>
      <c r="H906" s="154" t="s">
        <v>1541</v>
      </c>
      <c r="I906" s="154" t="s">
        <v>9115</v>
      </c>
      <c r="J906" s="154" t="s">
        <v>7422</v>
      </c>
      <c r="K906" s="154" t="s">
        <v>9003</v>
      </c>
      <c r="L906" s="154" t="s">
        <v>6154</v>
      </c>
      <c r="M906" s="154"/>
      <c r="N906" s="154" t="s">
        <v>759</v>
      </c>
      <c r="O906" s="247" t="s">
        <v>516</v>
      </c>
      <c r="P906" s="247" t="s">
        <v>6776</v>
      </c>
      <c r="Q906" s="154" t="str">
        <f t="shared" si="1"/>
        <v>#ERROR!</v>
      </c>
      <c r="R906" s="154" t="s">
        <v>66</v>
      </c>
      <c r="S906" s="154" t="s">
        <v>66</v>
      </c>
      <c r="T906" s="154" t="s">
        <v>66</v>
      </c>
      <c r="U906" s="154" t="s">
        <v>66</v>
      </c>
      <c r="V906" s="154" t="s">
        <v>66</v>
      </c>
      <c r="W906" s="154" t="s">
        <v>66</v>
      </c>
      <c r="X906" s="154" t="s">
        <v>66</v>
      </c>
      <c r="Y906" s="154" t="s">
        <v>66</v>
      </c>
      <c r="Z906" s="154" t="s">
        <v>66</v>
      </c>
      <c r="AA906" s="154"/>
      <c r="AB906" s="242" t="str">
        <f t="shared" si="2"/>
        <v>#ERROR!</v>
      </c>
      <c r="AC906" s="154" t="s">
        <v>391</v>
      </c>
      <c r="AD906" s="242" t="b">
        <f t="shared" si="3"/>
        <v>0</v>
      </c>
      <c r="AE906" s="154"/>
      <c r="AF906" s="242" t="str">
        <f t="shared" si="4"/>
        <v>#ERROR!</v>
      </c>
      <c r="AG906" s="154" t="s">
        <v>652</v>
      </c>
      <c r="AH906" s="242" t="str">
        <f>IF(AG906="","N/A",INDIRECT("MTR!"&amp;ADDRESS(MATCH(LEFT(AG906,9),[1]MTR!C:C,0),COLUMN(J906)),TRUE) &amp; "")</f>
        <v>#ERROR!</v>
      </c>
      <c r="AI906" s="157" t="str">
        <f t="shared" si="5"/>
        <v>#ERROR!</v>
      </c>
    </row>
    <row r="907" ht="12.75" customHeight="1">
      <c r="A907" s="244" t="s">
        <v>5158</v>
      </c>
      <c r="B907" s="244" t="s">
        <v>231</v>
      </c>
      <c r="C907" s="244" t="s">
        <v>9118</v>
      </c>
      <c r="D907" s="154" t="s">
        <v>1069</v>
      </c>
      <c r="E907" s="154"/>
      <c r="F907" s="154" t="str">
        <f t="array" ref="F907">XLOOKUP(Cover!$D$12,$R$1:$Z$1,$R907:$Z907)</f>
        <v>Mandatory</v>
      </c>
      <c r="G907" s="154" t="s">
        <v>9119</v>
      </c>
      <c r="H907" s="154" t="s">
        <v>9012</v>
      </c>
      <c r="I907" s="154" t="s">
        <v>9120</v>
      </c>
      <c r="J907" s="154" t="s">
        <v>6890</v>
      </c>
      <c r="K907" s="154" t="s">
        <v>9003</v>
      </c>
      <c r="L907" s="154" t="s">
        <v>5927</v>
      </c>
      <c r="M907" s="154" t="s">
        <v>1122</v>
      </c>
      <c r="N907" s="154" t="s">
        <v>759</v>
      </c>
      <c r="O907" s="247" t="s">
        <v>445</v>
      </c>
      <c r="P907" s="247" t="s">
        <v>6772</v>
      </c>
      <c r="Q907" s="154" t="str">
        <f t="shared" si="1"/>
        <v>#ERROR!</v>
      </c>
      <c r="R907" s="154" t="s">
        <v>66</v>
      </c>
      <c r="S907" s="154" t="s">
        <v>66</v>
      </c>
      <c r="T907" s="154" t="s">
        <v>60</v>
      </c>
      <c r="U907" s="154" t="s">
        <v>60</v>
      </c>
      <c r="V907" s="154" t="s">
        <v>60</v>
      </c>
      <c r="W907" s="154" t="s">
        <v>60</v>
      </c>
      <c r="X907" s="154" t="s">
        <v>66</v>
      </c>
      <c r="Y907" s="154" t="s">
        <v>60</v>
      </c>
      <c r="Z907" s="154" t="s">
        <v>60</v>
      </c>
      <c r="AA907" s="154"/>
      <c r="AB907" s="242" t="str">
        <f t="shared" si="2"/>
        <v>#ERROR!</v>
      </c>
      <c r="AC907" s="154" t="s">
        <v>391</v>
      </c>
      <c r="AD907" s="242" t="b">
        <f t="shared" si="3"/>
        <v>0</v>
      </c>
      <c r="AE907" s="154"/>
      <c r="AF907" s="242" t="str">
        <f t="shared" si="4"/>
        <v>#ERROR!</v>
      </c>
      <c r="AG907" s="154" t="s">
        <v>652</v>
      </c>
      <c r="AH907" s="242" t="str">
        <f>IF(AG907="","N/A",INDIRECT("MTR!"&amp;ADDRESS(MATCH(LEFT(AG907,9),[1]MTR!C:C,0),COLUMN(J907)),TRUE) &amp; "")</f>
        <v>#ERROR!</v>
      </c>
      <c r="AI907" s="157" t="str">
        <f t="shared" si="5"/>
        <v>#ERROR!</v>
      </c>
    </row>
    <row r="908" ht="12.75" customHeight="1">
      <c r="A908" s="244" t="s">
        <v>5158</v>
      </c>
      <c r="B908" s="244" t="s">
        <v>231</v>
      </c>
      <c r="C908" s="245" t="s">
        <v>9121</v>
      </c>
      <c r="D908" s="155" t="s">
        <v>1069</v>
      </c>
      <c r="E908" s="155" t="s">
        <v>92</v>
      </c>
      <c r="F908" s="154" t="str">
        <f t="array" ref="F908">XLOOKUP(Cover!$D$12,$R$1:$Z$1,$R908:$Z908)</f>
        <v>Recommended</v>
      </c>
      <c r="G908" s="154" t="s">
        <v>9122</v>
      </c>
      <c r="H908" s="154" t="s">
        <v>9015</v>
      </c>
      <c r="I908" s="154" t="s">
        <v>9123</v>
      </c>
      <c r="J908" s="154" t="s">
        <v>6894</v>
      </c>
      <c r="K908" s="154" t="s">
        <v>9003</v>
      </c>
      <c r="L908" s="154" t="s">
        <v>6154</v>
      </c>
      <c r="M908" s="154"/>
      <c r="N908" s="154" t="s">
        <v>759</v>
      </c>
      <c r="O908" s="247" t="s">
        <v>445</v>
      </c>
      <c r="P908" s="247" t="s">
        <v>6772</v>
      </c>
      <c r="Q908" s="154" t="str">
        <f t="shared" si="1"/>
        <v>#ERROR!</v>
      </c>
      <c r="R908" s="154" t="s">
        <v>66</v>
      </c>
      <c r="S908" s="154" t="s">
        <v>66</v>
      </c>
      <c r="T908" s="154" t="s">
        <v>64</v>
      </c>
      <c r="U908" s="154" t="s">
        <v>64</v>
      </c>
      <c r="V908" s="154" t="s">
        <v>64</v>
      </c>
      <c r="W908" s="154" t="s">
        <v>64</v>
      </c>
      <c r="X908" s="154" t="s">
        <v>66</v>
      </c>
      <c r="Y908" s="154" t="s">
        <v>64</v>
      </c>
      <c r="Z908" s="154" t="s">
        <v>64</v>
      </c>
      <c r="AA908" s="154"/>
      <c r="AB908" s="242" t="str">
        <f t="shared" si="2"/>
        <v>#ERROR!</v>
      </c>
      <c r="AC908" s="154" t="s">
        <v>391</v>
      </c>
      <c r="AD908" s="242" t="b">
        <f t="shared" si="3"/>
        <v>0</v>
      </c>
      <c r="AE908" s="154"/>
      <c r="AF908" s="242" t="str">
        <f t="shared" si="4"/>
        <v>#ERROR!</v>
      </c>
      <c r="AG908" s="154" t="s">
        <v>652</v>
      </c>
      <c r="AH908" s="242" t="str">
        <f>IF(AG908="","N/A",INDIRECT("MTR!"&amp;ADDRESS(MATCH(LEFT(AG908,9),[1]MTR!C:C,0),COLUMN(J908)),TRUE) &amp; "")</f>
        <v>#ERROR!</v>
      </c>
      <c r="AI908" s="157" t="str">
        <f t="shared" si="5"/>
        <v>#ERROR!</v>
      </c>
    </row>
    <row r="909" ht="12.75" customHeight="1">
      <c r="A909" s="244" t="s">
        <v>5158</v>
      </c>
      <c r="B909" s="244" t="s">
        <v>231</v>
      </c>
      <c r="C909" s="245" t="s">
        <v>9124</v>
      </c>
      <c r="D909" s="155" t="s">
        <v>1069</v>
      </c>
      <c r="E909" s="155" t="s">
        <v>92</v>
      </c>
      <c r="F909" s="154" t="str">
        <f t="array" ref="F909">XLOOKUP(Cover!$D$12,$R$1:$Z$1,$R909:$Z909)</f>
        <v>Recommended</v>
      </c>
      <c r="G909" s="154" t="s">
        <v>9125</v>
      </c>
      <c r="H909" s="154" t="s">
        <v>1541</v>
      </c>
      <c r="I909" s="154" t="s">
        <v>9123</v>
      </c>
      <c r="J909" s="154" t="s">
        <v>6894</v>
      </c>
      <c r="K909" s="154" t="s">
        <v>9003</v>
      </c>
      <c r="L909" s="154" t="s">
        <v>6154</v>
      </c>
      <c r="M909" s="154"/>
      <c r="N909" s="154" t="s">
        <v>759</v>
      </c>
      <c r="O909" s="247" t="s">
        <v>445</v>
      </c>
      <c r="P909" s="247" t="s">
        <v>6772</v>
      </c>
      <c r="Q909" s="154" t="str">
        <f t="shared" si="1"/>
        <v>#ERROR!</v>
      </c>
      <c r="R909" s="154" t="s">
        <v>66</v>
      </c>
      <c r="S909" s="154" t="s">
        <v>66</v>
      </c>
      <c r="T909" s="154" t="s">
        <v>64</v>
      </c>
      <c r="U909" s="154" t="s">
        <v>64</v>
      </c>
      <c r="V909" s="154" t="s">
        <v>64</v>
      </c>
      <c r="W909" s="154" t="s">
        <v>64</v>
      </c>
      <c r="X909" s="154" t="s">
        <v>66</v>
      </c>
      <c r="Y909" s="154" t="s">
        <v>64</v>
      </c>
      <c r="Z909" s="154" t="s">
        <v>64</v>
      </c>
      <c r="AA909" s="154"/>
      <c r="AB909" s="242" t="str">
        <f t="shared" si="2"/>
        <v>#ERROR!</v>
      </c>
      <c r="AC909" s="154" t="s">
        <v>391</v>
      </c>
      <c r="AD909" s="242" t="b">
        <f t="shared" si="3"/>
        <v>0</v>
      </c>
      <c r="AE909" s="154"/>
      <c r="AF909" s="242" t="str">
        <f t="shared" si="4"/>
        <v>#ERROR!</v>
      </c>
      <c r="AG909" s="154" t="s">
        <v>652</v>
      </c>
      <c r="AH909" s="242" t="str">
        <f>IF(AG909="","N/A",INDIRECT("MTR!"&amp;ADDRESS(MATCH(LEFT(AG909,9),[1]MTR!C:C,0),COLUMN(J909)),TRUE) &amp; "")</f>
        <v>#ERROR!</v>
      </c>
      <c r="AI909" s="157" t="str">
        <f t="shared" si="5"/>
        <v>#ERROR!</v>
      </c>
    </row>
    <row r="910" ht="12.75" customHeight="1">
      <c r="A910" s="244" t="s">
        <v>5158</v>
      </c>
      <c r="B910" s="244" t="s">
        <v>231</v>
      </c>
      <c r="C910" s="244" t="s">
        <v>9126</v>
      </c>
      <c r="D910" s="154" t="s">
        <v>546</v>
      </c>
      <c r="E910" s="154"/>
      <c r="F910" s="154" t="str">
        <f t="array" ref="F910">XLOOKUP(Cover!$D$12,$R$1:$Z$1,$R910:$Z910)</f>
        <v>Mandatory</v>
      </c>
      <c r="G910" s="154" t="s">
        <v>9127</v>
      </c>
      <c r="H910" s="154" t="s">
        <v>9015</v>
      </c>
      <c r="I910" s="154" t="s">
        <v>9128</v>
      </c>
      <c r="J910" s="154" t="s">
        <v>6900</v>
      </c>
      <c r="K910" s="154" t="s">
        <v>9003</v>
      </c>
      <c r="L910" s="154" t="s">
        <v>6529</v>
      </c>
      <c r="M910" s="154" t="s">
        <v>1122</v>
      </c>
      <c r="N910" s="154" t="s">
        <v>759</v>
      </c>
      <c r="O910" s="247" t="s">
        <v>445</v>
      </c>
      <c r="P910" s="247" t="s">
        <v>6772</v>
      </c>
      <c r="Q910" s="154" t="str">
        <f t="shared" si="1"/>
        <v>#ERROR!</v>
      </c>
      <c r="R910" s="154" t="s">
        <v>66</v>
      </c>
      <c r="S910" s="154" t="s">
        <v>66</v>
      </c>
      <c r="T910" s="154" t="s">
        <v>60</v>
      </c>
      <c r="U910" s="154" t="s">
        <v>60</v>
      </c>
      <c r="V910" s="154" t="s">
        <v>60</v>
      </c>
      <c r="W910" s="154" t="s">
        <v>60</v>
      </c>
      <c r="X910" s="154" t="s">
        <v>66</v>
      </c>
      <c r="Y910" s="154" t="s">
        <v>60</v>
      </c>
      <c r="Z910" s="154" t="s">
        <v>60</v>
      </c>
      <c r="AA910" s="154"/>
      <c r="AB910" s="242" t="str">
        <f t="shared" si="2"/>
        <v>#ERROR!</v>
      </c>
      <c r="AC910" s="154" t="s">
        <v>391</v>
      </c>
      <c r="AD910" s="242" t="b">
        <f t="shared" si="3"/>
        <v>0</v>
      </c>
      <c r="AE910" s="154"/>
      <c r="AF910" s="242" t="str">
        <f t="shared" si="4"/>
        <v>#ERROR!</v>
      </c>
      <c r="AG910" s="154" t="s">
        <v>652</v>
      </c>
      <c r="AH910" s="242" t="str">
        <f>IF(AG910="","N/A",INDIRECT("MTR!"&amp;ADDRESS(MATCH(LEFT(AG910,9),[1]MTR!C:C,0),COLUMN(J910)),TRUE) &amp; "")</f>
        <v>#ERROR!</v>
      </c>
      <c r="AI910" s="157" t="str">
        <f t="shared" si="5"/>
        <v>#ERROR!</v>
      </c>
    </row>
    <row r="911" ht="12.75" customHeight="1">
      <c r="A911" s="238" t="s">
        <v>5158</v>
      </c>
      <c r="B911" s="238" t="s">
        <v>231</v>
      </c>
      <c r="C911" s="238" t="s">
        <v>9129</v>
      </c>
      <c r="D911" s="240"/>
      <c r="E911" s="240" t="s">
        <v>92</v>
      </c>
      <c r="F911" s="240" t="str">
        <f t="array" ref="F911">XLOOKUP(Cover!$D$12,$R$1:$Z$1,$R911:$Z911)</f>
        <v>Heading</v>
      </c>
      <c r="G911" s="239" t="s">
        <v>9130</v>
      </c>
      <c r="H911" s="240"/>
      <c r="I911" s="240"/>
      <c r="J911" s="240"/>
      <c r="K911" s="240"/>
      <c r="L911" s="240"/>
      <c r="M911" s="240"/>
      <c r="N911" s="240" t="s">
        <v>759</v>
      </c>
      <c r="O911" s="240"/>
      <c r="P911" s="240"/>
      <c r="Q911" s="240" t="str">
        <f t="shared" si="1"/>
        <v/>
      </c>
      <c r="R911" s="240" t="s">
        <v>390</v>
      </c>
      <c r="S911" s="240" t="s">
        <v>390</v>
      </c>
      <c r="T911" s="240" t="s">
        <v>390</v>
      </c>
      <c r="U911" s="240" t="s">
        <v>390</v>
      </c>
      <c r="V911" s="240" t="s">
        <v>390</v>
      </c>
      <c r="W911" s="240" t="s">
        <v>390</v>
      </c>
      <c r="X911" s="240" t="s">
        <v>390</v>
      </c>
      <c r="Y911" s="240" t="s">
        <v>390</v>
      </c>
      <c r="Z911" s="240" t="s">
        <v>390</v>
      </c>
      <c r="AA911" s="240"/>
      <c r="AB911" s="242" t="str">
        <f t="shared" si="2"/>
        <v>#ERROR!</v>
      </c>
      <c r="AC911" s="240" t="s">
        <v>391</v>
      </c>
      <c r="AD911" s="242" t="b">
        <f t="shared" si="3"/>
        <v>0</v>
      </c>
      <c r="AE911" s="240"/>
      <c r="AF911" s="242" t="str">
        <f t="shared" si="4"/>
        <v>#ERROR!</v>
      </c>
      <c r="AG911" s="240"/>
      <c r="AH911" s="242" t="str">
        <f>IF(AG911="","N/A",INDIRECT("MTR!"&amp;ADDRESS(MATCH(LEFT(AG911,9),[1]MTR!C:C,0),COLUMN(J911)),TRUE) &amp; "")</f>
        <v>#ERROR!</v>
      </c>
      <c r="AI911" s="157" t="str">
        <f t="shared" si="5"/>
        <v/>
      </c>
    </row>
    <row r="912" ht="12.75" customHeight="1">
      <c r="A912" s="244" t="s">
        <v>5158</v>
      </c>
      <c r="B912" s="244" t="s">
        <v>231</v>
      </c>
      <c r="C912" s="244" t="s">
        <v>9131</v>
      </c>
      <c r="D912" s="154" t="s">
        <v>861</v>
      </c>
      <c r="E912" s="154"/>
      <c r="F912" s="154" t="str">
        <f t="array" ref="F912">XLOOKUP(Cover!$D$12,$R$1:$Z$1,$R912:$Z912)</f>
        <v>Information</v>
      </c>
      <c r="G912" s="154" t="s">
        <v>9132</v>
      </c>
      <c r="H912" s="154" t="s">
        <v>9002</v>
      </c>
      <c r="I912" s="154" t="s">
        <v>9133</v>
      </c>
      <c r="J912" s="154" t="s">
        <v>7945</v>
      </c>
      <c r="K912" s="154" t="s">
        <v>9003</v>
      </c>
      <c r="L912" s="154" t="s">
        <v>6428</v>
      </c>
      <c r="M912" s="154"/>
      <c r="N912" s="154" t="s">
        <v>759</v>
      </c>
      <c r="O912" s="247" t="s">
        <v>445</v>
      </c>
      <c r="P912" s="247" t="s">
        <v>6772</v>
      </c>
      <c r="Q912" s="154" t="str">
        <f t="shared" si="1"/>
        <v>#ERROR!</v>
      </c>
      <c r="R912" s="154" t="s">
        <v>66</v>
      </c>
      <c r="S912" s="154" t="s">
        <v>66</v>
      </c>
      <c r="T912" s="154" t="s">
        <v>66</v>
      </c>
      <c r="U912" s="154" t="s">
        <v>66</v>
      </c>
      <c r="V912" s="154" t="s">
        <v>66</v>
      </c>
      <c r="W912" s="154" t="s">
        <v>66</v>
      </c>
      <c r="X912" s="154" t="s">
        <v>66</v>
      </c>
      <c r="Y912" s="154" t="s">
        <v>66</v>
      </c>
      <c r="Z912" s="154" t="s">
        <v>66</v>
      </c>
      <c r="AA912" s="154"/>
      <c r="AB912" s="242" t="str">
        <f t="shared" si="2"/>
        <v>#ERROR!</v>
      </c>
      <c r="AC912" s="154" t="s">
        <v>391</v>
      </c>
      <c r="AD912" s="242" t="b">
        <f t="shared" si="3"/>
        <v>0</v>
      </c>
      <c r="AE912" s="154"/>
      <c r="AF912" s="242" t="str">
        <f t="shared" si="4"/>
        <v>#ERROR!</v>
      </c>
      <c r="AG912" s="154" t="s">
        <v>652</v>
      </c>
      <c r="AH912" s="242" t="str">
        <f>IF(AG912="","N/A",INDIRECT("MTR!"&amp;ADDRESS(MATCH(LEFT(AG912,9),[1]MTR!C:C,0),COLUMN(J912)),TRUE) &amp; "")</f>
        <v>#ERROR!</v>
      </c>
      <c r="AI912" s="157" t="str">
        <f t="shared" si="5"/>
        <v>#ERROR!</v>
      </c>
    </row>
    <row r="913" ht="12.75" customHeight="1">
      <c r="A913" s="244" t="s">
        <v>5158</v>
      </c>
      <c r="B913" s="244" t="s">
        <v>231</v>
      </c>
      <c r="C913" s="244" t="s">
        <v>9134</v>
      </c>
      <c r="D913" s="154" t="s">
        <v>861</v>
      </c>
      <c r="E913" s="154"/>
      <c r="F913" s="154" t="str">
        <f t="array" ref="F913">XLOOKUP(Cover!$D$12,$R$1:$Z$1,$R913:$Z913)</f>
        <v>Information</v>
      </c>
      <c r="G913" s="154" t="s">
        <v>9135</v>
      </c>
      <c r="H913" s="154" t="s">
        <v>9006</v>
      </c>
      <c r="I913" s="154" t="s">
        <v>9133</v>
      </c>
      <c r="J913" s="154" t="s">
        <v>7945</v>
      </c>
      <c r="K913" s="154" t="s">
        <v>9003</v>
      </c>
      <c r="L913" s="154" t="s">
        <v>6428</v>
      </c>
      <c r="M913" s="154"/>
      <c r="N913" s="154" t="s">
        <v>759</v>
      </c>
      <c r="O913" s="247" t="s">
        <v>445</v>
      </c>
      <c r="P913" s="247" t="s">
        <v>6772</v>
      </c>
      <c r="Q913" s="154" t="str">
        <f t="shared" si="1"/>
        <v>#ERROR!</v>
      </c>
      <c r="R913" s="154" t="s">
        <v>66</v>
      </c>
      <c r="S913" s="154" t="s">
        <v>66</v>
      </c>
      <c r="T913" s="154" t="s">
        <v>66</v>
      </c>
      <c r="U913" s="154" t="s">
        <v>66</v>
      </c>
      <c r="V913" s="154" t="s">
        <v>66</v>
      </c>
      <c r="W913" s="154" t="s">
        <v>66</v>
      </c>
      <c r="X913" s="154" t="s">
        <v>66</v>
      </c>
      <c r="Y913" s="154" t="s">
        <v>66</v>
      </c>
      <c r="Z913" s="154" t="s">
        <v>66</v>
      </c>
      <c r="AA913" s="154"/>
      <c r="AB913" s="242" t="str">
        <f t="shared" si="2"/>
        <v>#ERROR!</v>
      </c>
      <c r="AC913" s="154" t="s">
        <v>391</v>
      </c>
      <c r="AD913" s="242" t="b">
        <f t="shared" si="3"/>
        <v>0</v>
      </c>
      <c r="AE913" s="154"/>
      <c r="AF913" s="242" t="str">
        <f t="shared" si="4"/>
        <v>#ERROR!</v>
      </c>
      <c r="AG913" s="154" t="s">
        <v>652</v>
      </c>
      <c r="AH913" s="242" t="str">
        <f>IF(AG913="","N/A",INDIRECT("MTR!"&amp;ADDRESS(MATCH(LEFT(AG913,9),[1]MTR!C:C,0),COLUMN(J913)),TRUE) &amp; "")</f>
        <v>#ERROR!</v>
      </c>
      <c r="AI913" s="157" t="str">
        <f t="shared" si="5"/>
        <v>#ERROR!</v>
      </c>
    </row>
    <row r="914" ht="12.75" customHeight="1">
      <c r="A914" s="244" t="s">
        <v>5158</v>
      </c>
      <c r="B914" s="244" t="s">
        <v>231</v>
      </c>
      <c r="C914" s="244" t="s">
        <v>9136</v>
      </c>
      <c r="D914" s="154" t="s">
        <v>1069</v>
      </c>
      <c r="E914" s="154"/>
      <c r="F914" s="154" t="str">
        <f t="array" ref="F914">XLOOKUP(Cover!$D$12,$R$1:$Z$1,$R914:$Z914)</f>
        <v>Information</v>
      </c>
      <c r="G914" s="154" t="s">
        <v>9137</v>
      </c>
      <c r="H914" s="154" t="s">
        <v>9002</v>
      </c>
      <c r="I914" s="154" t="s">
        <v>9138</v>
      </c>
      <c r="J914" s="154" t="s">
        <v>7951</v>
      </c>
      <c r="K914" s="154" t="s">
        <v>9003</v>
      </c>
      <c r="L914" s="154" t="s">
        <v>5927</v>
      </c>
      <c r="M914" s="154"/>
      <c r="N914" s="154" t="s">
        <v>759</v>
      </c>
      <c r="O914" s="247" t="s">
        <v>445</v>
      </c>
      <c r="P914" s="247" t="s">
        <v>89</v>
      </c>
      <c r="Q914" s="154" t="str">
        <f t="shared" si="1"/>
        <v>#ERROR!</v>
      </c>
      <c r="R914" s="154" t="s">
        <v>66</v>
      </c>
      <c r="S914" s="154" t="s">
        <v>66</v>
      </c>
      <c r="T914" s="154" t="s">
        <v>66</v>
      </c>
      <c r="U914" s="154" t="s">
        <v>66</v>
      </c>
      <c r="V914" s="154" t="s">
        <v>66</v>
      </c>
      <c r="W914" s="154" t="s">
        <v>66</v>
      </c>
      <c r="X914" s="154" t="s">
        <v>66</v>
      </c>
      <c r="Y914" s="154" t="s">
        <v>66</v>
      </c>
      <c r="Z914" s="154" t="s">
        <v>66</v>
      </c>
      <c r="AA914" s="154"/>
      <c r="AB914" s="242" t="str">
        <f t="shared" si="2"/>
        <v>#ERROR!</v>
      </c>
      <c r="AC914" s="154" t="s">
        <v>391</v>
      </c>
      <c r="AD914" s="242" t="b">
        <f t="shared" si="3"/>
        <v>0</v>
      </c>
      <c r="AE914" s="154"/>
      <c r="AF914" s="242" t="str">
        <f t="shared" si="4"/>
        <v>#ERROR!</v>
      </c>
      <c r="AG914" s="154" t="s">
        <v>652</v>
      </c>
      <c r="AH914" s="242" t="str">
        <f>IF(AG914="","N/A",INDIRECT("MTR!"&amp;ADDRESS(MATCH(LEFT(AG914,9),[1]MTR!C:C,0),COLUMN(J914)),TRUE) &amp; "")</f>
        <v>#ERROR!</v>
      </c>
      <c r="AI914" s="157" t="str">
        <f t="shared" si="5"/>
        <v>#ERROR!</v>
      </c>
    </row>
    <row r="915" ht="12.75" customHeight="1">
      <c r="A915" s="244" t="s">
        <v>5158</v>
      </c>
      <c r="B915" s="244" t="s">
        <v>231</v>
      </c>
      <c r="C915" s="244" t="s">
        <v>9139</v>
      </c>
      <c r="D915" s="154" t="s">
        <v>1069</v>
      </c>
      <c r="E915" s="154"/>
      <c r="F915" s="154" t="str">
        <f t="array" ref="F915">XLOOKUP(Cover!$D$12,$R$1:$Z$1,$R915:$Z915)</f>
        <v>Information</v>
      </c>
      <c r="G915" s="154" t="s">
        <v>9140</v>
      </c>
      <c r="H915" s="154" t="s">
        <v>9009</v>
      </c>
      <c r="I915" s="154" t="s">
        <v>9138</v>
      </c>
      <c r="J915" s="154" t="s">
        <v>7951</v>
      </c>
      <c r="K915" s="154" t="s">
        <v>9003</v>
      </c>
      <c r="L915" s="154" t="s">
        <v>5927</v>
      </c>
      <c r="M915" s="154"/>
      <c r="N915" s="154" t="s">
        <v>759</v>
      </c>
      <c r="O915" s="247" t="s">
        <v>445</v>
      </c>
      <c r="P915" s="247" t="s">
        <v>89</v>
      </c>
      <c r="Q915" s="154" t="str">
        <f t="shared" si="1"/>
        <v>#ERROR!</v>
      </c>
      <c r="R915" s="154" t="s">
        <v>66</v>
      </c>
      <c r="S915" s="154" t="s">
        <v>66</v>
      </c>
      <c r="T915" s="154" t="s">
        <v>66</v>
      </c>
      <c r="U915" s="154" t="s">
        <v>66</v>
      </c>
      <c r="V915" s="154" t="s">
        <v>66</v>
      </c>
      <c r="W915" s="154" t="s">
        <v>66</v>
      </c>
      <c r="X915" s="154" t="s">
        <v>66</v>
      </c>
      <c r="Y915" s="154" t="s">
        <v>66</v>
      </c>
      <c r="Z915" s="154" t="s">
        <v>66</v>
      </c>
      <c r="AA915" s="154"/>
      <c r="AB915" s="242" t="str">
        <f t="shared" si="2"/>
        <v>#ERROR!</v>
      </c>
      <c r="AC915" s="154" t="s">
        <v>391</v>
      </c>
      <c r="AD915" s="242" t="b">
        <f t="shared" si="3"/>
        <v>0</v>
      </c>
      <c r="AE915" s="154"/>
      <c r="AF915" s="242" t="str">
        <f t="shared" si="4"/>
        <v>#ERROR!</v>
      </c>
      <c r="AG915" s="154" t="s">
        <v>652</v>
      </c>
      <c r="AH915" s="242" t="str">
        <f>IF(AG915="","N/A",INDIRECT("MTR!"&amp;ADDRESS(MATCH(LEFT(AG915,9),[1]MTR!C:C,0),COLUMN(J915)),TRUE) &amp; "")</f>
        <v>#ERROR!</v>
      </c>
      <c r="AI915" s="157" t="str">
        <f t="shared" si="5"/>
        <v>#ERROR!</v>
      </c>
    </row>
    <row r="916" ht="12.75" customHeight="1">
      <c r="A916" s="244" t="s">
        <v>5158</v>
      </c>
      <c r="B916" s="244" t="s">
        <v>231</v>
      </c>
      <c r="C916" s="244" t="s">
        <v>9141</v>
      </c>
      <c r="D916" s="154" t="s">
        <v>45</v>
      </c>
      <c r="E916" s="154"/>
      <c r="F916" s="154" t="str">
        <f t="array" ref="F916">XLOOKUP(Cover!$D$12,$R$1:$Z$1,$R916:$Z916)</f>
        <v>Information</v>
      </c>
      <c r="G916" s="154" t="s">
        <v>9142</v>
      </c>
      <c r="H916" s="154" t="s">
        <v>9002</v>
      </c>
      <c r="I916" s="154" t="s">
        <v>9143</v>
      </c>
      <c r="J916" s="154" t="s">
        <v>9144</v>
      </c>
      <c r="K916" s="154" t="s">
        <v>9003</v>
      </c>
      <c r="L916" s="154" t="s">
        <v>6655</v>
      </c>
      <c r="M916" s="154"/>
      <c r="N916" s="154" t="s">
        <v>759</v>
      </c>
      <c r="O916" s="247" t="s">
        <v>516</v>
      </c>
      <c r="P916" s="247" t="s">
        <v>6776</v>
      </c>
      <c r="Q916" s="154" t="str">
        <f t="shared" si="1"/>
        <v>#ERROR!</v>
      </c>
      <c r="R916" s="154" t="s">
        <v>66</v>
      </c>
      <c r="S916" s="154" t="s">
        <v>66</v>
      </c>
      <c r="T916" s="154" t="s">
        <v>66</v>
      </c>
      <c r="U916" s="154" t="s">
        <v>66</v>
      </c>
      <c r="V916" s="154" t="s">
        <v>66</v>
      </c>
      <c r="W916" s="154" t="s">
        <v>66</v>
      </c>
      <c r="X916" s="154" t="s">
        <v>66</v>
      </c>
      <c r="Y916" s="154" t="s">
        <v>66</v>
      </c>
      <c r="Z916" s="154" t="s">
        <v>66</v>
      </c>
      <c r="AA916" s="154"/>
      <c r="AB916" s="242" t="str">
        <f t="shared" si="2"/>
        <v>#ERROR!</v>
      </c>
      <c r="AC916" s="154" t="s">
        <v>391</v>
      </c>
      <c r="AD916" s="242" t="b">
        <f t="shared" si="3"/>
        <v>0</v>
      </c>
      <c r="AE916" s="154"/>
      <c r="AF916" s="242" t="str">
        <f t="shared" si="4"/>
        <v>#ERROR!</v>
      </c>
      <c r="AG916" s="154" t="s">
        <v>652</v>
      </c>
      <c r="AH916" s="242" t="str">
        <f>IF(AG916="","N/A",INDIRECT("MTR!"&amp;ADDRESS(MATCH(LEFT(AG916,9),[1]MTR!C:C,0),COLUMN(J916)),TRUE) &amp; "")</f>
        <v>#ERROR!</v>
      </c>
      <c r="AI916" s="157" t="str">
        <f t="shared" si="5"/>
        <v>#ERROR!</v>
      </c>
    </row>
    <row r="917" ht="12.75" customHeight="1">
      <c r="A917" s="244" t="s">
        <v>5158</v>
      </c>
      <c r="B917" s="244" t="s">
        <v>231</v>
      </c>
      <c r="C917" s="244" t="s">
        <v>9145</v>
      </c>
      <c r="D917" s="154" t="s">
        <v>45</v>
      </c>
      <c r="E917" s="154"/>
      <c r="F917" s="154" t="str">
        <f t="array" ref="F917">XLOOKUP(Cover!$D$12,$R$1:$Z$1,$R917:$Z917)</f>
        <v>Information</v>
      </c>
      <c r="G917" s="154" t="s">
        <v>9146</v>
      </c>
      <c r="H917" s="154" t="s">
        <v>9015</v>
      </c>
      <c r="I917" s="154" t="s">
        <v>9143</v>
      </c>
      <c r="J917" s="154" t="s">
        <v>9144</v>
      </c>
      <c r="K917" s="154" t="s">
        <v>9003</v>
      </c>
      <c r="L917" s="154" t="s">
        <v>6655</v>
      </c>
      <c r="M917" s="154"/>
      <c r="N917" s="154" t="s">
        <v>759</v>
      </c>
      <c r="O917" s="247" t="s">
        <v>516</v>
      </c>
      <c r="P917" s="247" t="s">
        <v>6776</v>
      </c>
      <c r="Q917" s="154" t="str">
        <f t="shared" si="1"/>
        <v>#ERROR!</v>
      </c>
      <c r="R917" s="154" t="s">
        <v>66</v>
      </c>
      <c r="S917" s="154" t="s">
        <v>66</v>
      </c>
      <c r="T917" s="154" t="s">
        <v>66</v>
      </c>
      <c r="U917" s="154" t="s">
        <v>66</v>
      </c>
      <c r="V917" s="154" t="s">
        <v>66</v>
      </c>
      <c r="W917" s="154" t="s">
        <v>66</v>
      </c>
      <c r="X917" s="154" t="s">
        <v>66</v>
      </c>
      <c r="Y917" s="154" t="s">
        <v>66</v>
      </c>
      <c r="Z917" s="154" t="s">
        <v>66</v>
      </c>
      <c r="AA917" s="154"/>
      <c r="AB917" s="242" t="str">
        <f t="shared" si="2"/>
        <v>#ERROR!</v>
      </c>
      <c r="AC917" s="154" t="s">
        <v>391</v>
      </c>
      <c r="AD917" s="242" t="b">
        <f t="shared" si="3"/>
        <v>0</v>
      </c>
      <c r="AE917" s="154"/>
      <c r="AF917" s="242" t="str">
        <f t="shared" si="4"/>
        <v>#ERROR!</v>
      </c>
      <c r="AG917" s="154" t="s">
        <v>652</v>
      </c>
      <c r="AH917" s="242" t="str">
        <f>IF(AG917="","N/A",INDIRECT("MTR!"&amp;ADDRESS(MATCH(LEFT(AG917,9),[1]MTR!C:C,0),COLUMN(J917)),TRUE) &amp; "")</f>
        <v>#ERROR!</v>
      </c>
      <c r="AI917" s="157" t="str">
        <f t="shared" si="5"/>
        <v>#ERROR!</v>
      </c>
    </row>
    <row r="918" ht="12.75" customHeight="1">
      <c r="A918" s="244" t="s">
        <v>5158</v>
      </c>
      <c r="B918" s="244" t="s">
        <v>231</v>
      </c>
      <c r="C918" s="244" t="s">
        <v>9147</v>
      </c>
      <c r="D918" s="154" t="s">
        <v>861</v>
      </c>
      <c r="E918" s="154"/>
      <c r="F918" s="154" t="str">
        <f t="array" ref="F918">XLOOKUP(Cover!$D$12,$R$1:$Z$1,$R918:$Z918)</f>
        <v>Information</v>
      </c>
      <c r="G918" s="154" t="s">
        <v>9148</v>
      </c>
      <c r="H918" s="154" t="s">
        <v>9002</v>
      </c>
      <c r="I918" s="154" t="s">
        <v>9149</v>
      </c>
      <c r="J918" s="154" t="s">
        <v>7957</v>
      </c>
      <c r="K918" s="154" t="s">
        <v>9003</v>
      </c>
      <c r="L918" s="154" t="s">
        <v>6428</v>
      </c>
      <c r="M918" s="154"/>
      <c r="N918" s="154" t="s">
        <v>759</v>
      </c>
      <c r="O918" s="247" t="s">
        <v>445</v>
      </c>
      <c r="P918" s="247" t="s">
        <v>6772</v>
      </c>
      <c r="Q918" s="154" t="str">
        <f t="shared" si="1"/>
        <v>#ERROR!</v>
      </c>
      <c r="R918" s="154" t="s">
        <v>66</v>
      </c>
      <c r="S918" s="154" t="s">
        <v>66</v>
      </c>
      <c r="T918" s="154" t="s">
        <v>66</v>
      </c>
      <c r="U918" s="154" t="s">
        <v>66</v>
      </c>
      <c r="V918" s="154" t="s">
        <v>66</v>
      </c>
      <c r="W918" s="154" t="s">
        <v>66</v>
      </c>
      <c r="X918" s="154" t="s">
        <v>66</v>
      </c>
      <c r="Y918" s="154" t="s">
        <v>66</v>
      </c>
      <c r="Z918" s="154" t="s">
        <v>66</v>
      </c>
      <c r="AA918" s="154"/>
      <c r="AB918" s="242" t="str">
        <f t="shared" si="2"/>
        <v>#ERROR!</v>
      </c>
      <c r="AC918" s="154" t="s">
        <v>391</v>
      </c>
      <c r="AD918" s="242" t="b">
        <f t="shared" si="3"/>
        <v>0</v>
      </c>
      <c r="AE918" s="154"/>
      <c r="AF918" s="242" t="str">
        <f t="shared" si="4"/>
        <v>#ERROR!</v>
      </c>
      <c r="AG918" s="154" t="s">
        <v>652</v>
      </c>
      <c r="AH918" s="242" t="str">
        <f>IF(AG918="","N/A",INDIRECT("MTR!"&amp;ADDRESS(MATCH(LEFT(AG918,9),[1]MTR!C:C,0),COLUMN(J918)),TRUE) &amp; "")</f>
        <v>#ERROR!</v>
      </c>
      <c r="AI918" s="157" t="str">
        <f t="shared" si="5"/>
        <v>#ERROR!</v>
      </c>
    </row>
    <row r="919" ht="12.75" customHeight="1">
      <c r="A919" s="244" t="s">
        <v>5158</v>
      </c>
      <c r="B919" s="244" t="s">
        <v>231</v>
      </c>
      <c r="C919" s="244" t="s">
        <v>9150</v>
      </c>
      <c r="D919" s="154" t="s">
        <v>861</v>
      </c>
      <c r="E919" s="154"/>
      <c r="F919" s="154" t="str">
        <f t="array" ref="F919">XLOOKUP(Cover!$D$12,$R$1:$Z$1,$R919:$Z919)</f>
        <v>Information</v>
      </c>
      <c r="G919" s="154" t="s">
        <v>9151</v>
      </c>
      <c r="H919" s="154" t="s">
        <v>1541</v>
      </c>
      <c r="I919" s="154" t="s">
        <v>9149</v>
      </c>
      <c r="J919" s="154" t="s">
        <v>7957</v>
      </c>
      <c r="K919" s="154" t="s">
        <v>9003</v>
      </c>
      <c r="L919" s="154" t="s">
        <v>6428</v>
      </c>
      <c r="M919" s="154"/>
      <c r="N919" s="154" t="s">
        <v>759</v>
      </c>
      <c r="O919" s="247" t="s">
        <v>445</v>
      </c>
      <c r="P919" s="247" t="s">
        <v>6772</v>
      </c>
      <c r="Q919" s="154" t="str">
        <f t="shared" si="1"/>
        <v>#ERROR!</v>
      </c>
      <c r="R919" s="154" t="s">
        <v>66</v>
      </c>
      <c r="S919" s="154" t="s">
        <v>66</v>
      </c>
      <c r="T919" s="154" t="s">
        <v>66</v>
      </c>
      <c r="U919" s="154" t="s">
        <v>66</v>
      </c>
      <c r="V919" s="154" t="s">
        <v>66</v>
      </c>
      <c r="W919" s="154" t="s">
        <v>66</v>
      </c>
      <c r="X919" s="154" t="s">
        <v>66</v>
      </c>
      <c r="Y919" s="154" t="s">
        <v>66</v>
      </c>
      <c r="Z919" s="154" t="s">
        <v>66</v>
      </c>
      <c r="AA919" s="154"/>
      <c r="AB919" s="242" t="str">
        <f t="shared" si="2"/>
        <v>#ERROR!</v>
      </c>
      <c r="AC919" s="154" t="s">
        <v>391</v>
      </c>
      <c r="AD919" s="242" t="b">
        <f t="shared" si="3"/>
        <v>0</v>
      </c>
      <c r="AE919" s="154"/>
      <c r="AF919" s="242" t="str">
        <f t="shared" si="4"/>
        <v>#ERROR!</v>
      </c>
      <c r="AG919" s="154" t="s">
        <v>652</v>
      </c>
      <c r="AH919" s="242" t="str">
        <f>IF(AG919="","N/A",INDIRECT("MTR!"&amp;ADDRESS(MATCH(LEFT(AG919,9),[1]MTR!C:C,0),COLUMN(J919)),TRUE) &amp; "")</f>
        <v>#ERROR!</v>
      </c>
      <c r="AI919" s="157" t="str">
        <f t="shared" si="5"/>
        <v>#ERROR!</v>
      </c>
    </row>
    <row r="920" ht="12.75" customHeight="1">
      <c r="A920" s="244" t="s">
        <v>5158</v>
      </c>
      <c r="B920" s="244" t="s">
        <v>231</v>
      </c>
      <c r="C920" s="244" t="s">
        <v>9152</v>
      </c>
      <c r="D920" s="154" t="s">
        <v>542</v>
      </c>
      <c r="E920" s="154"/>
      <c r="F920" s="154" t="str">
        <f t="array" ref="F920">XLOOKUP(Cover!$D$12,$R$1:$Z$1,$R920:$Z920)</f>
        <v>Mandatory</v>
      </c>
      <c r="G920" s="154" t="s">
        <v>9153</v>
      </c>
      <c r="H920" s="154" t="s">
        <v>9002</v>
      </c>
      <c r="I920" s="154" t="s">
        <v>9154</v>
      </c>
      <c r="J920" s="154" t="s">
        <v>7963</v>
      </c>
      <c r="K920" s="154" t="s">
        <v>9003</v>
      </c>
      <c r="L920" s="154" t="s">
        <v>6064</v>
      </c>
      <c r="M920" s="154" t="s">
        <v>175</v>
      </c>
      <c r="N920" s="154" t="s">
        <v>759</v>
      </c>
      <c r="O920" s="247" t="s">
        <v>445</v>
      </c>
      <c r="P920" s="247" t="s">
        <v>6772</v>
      </c>
      <c r="Q920" s="154" t="str">
        <f t="shared" si="1"/>
        <v>#ERROR!</v>
      </c>
      <c r="R920" s="154" t="s">
        <v>66</v>
      </c>
      <c r="S920" s="154" t="s">
        <v>66</v>
      </c>
      <c r="T920" s="155" t="s">
        <v>64</v>
      </c>
      <c r="U920" s="155" t="s">
        <v>64</v>
      </c>
      <c r="V920" s="154" t="s">
        <v>60</v>
      </c>
      <c r="W920" s="154" t="s">
        <v>60</v>
      </c>
      <c r="X920" s="154" t="s">
        <v>66</v>
      </c>
      <c r="Y920" s="155" t="s">
        <v>64</v>
      </c>
      <c r="Z920" s="154" t="s">
        <v>60</v>
      </c>
      <c r="AA920" s="154"/>
      <c r="AB920" s="242" t="str">
        <f t="shared" si="2"/>
        <v>#ERROR!</v>
      </c>
      <c r="AC920" s="154" t="s">
        <v>391</v>
      </c>
      <c r="AD920" s="242" t="b">
        <f t="shared" si="3"/>
        <v>0</v>
      </c>
      <c r="AE920" s="154"/>
      <c r="AF920" s="242" t="str">
        <f t="shared" si="4"/>
        <v>#ERROR!</v>
      </c>
      <c r="AG920" s="154" t="s">
        <v>652</v>
      </c>
      <c r="AH920" s="242" t="str">
        <f>IF(AG920="","N/A",INDIRECT("MTR!"&amp;ADDRESS(MATCH(LEFT(AG920,9),[1]MTR!C:C,0),COLUMN(J920)),TRUE) &amp; "")</f>
        <v>#ERROR!</v>
      </c>
      <c r="AI920" s="157" t="str">
        <f t="shared" si="5"/>
        <v>#ERROR!</v>
      </c>
    </row>
    <row r="921" ht="12.75" customHeight="1">
      <c r="A921" s="244" t="s">
        <v>5158</v>
      </c>
      <c r="B921" s="244" t="s">
        <v>231</v>
      </c>
      <c r="C921" s="244" t="s">
        <v>9155</v>
      </c>
      <c r="D921" s="154" t="s">
        <v>542</v>
      </c>
      <c r="E921" s="154"/>
      <c r="F921" s="154" t="str">
        <f t="array" ref="F921">XLOOKUP(Cover!$D$12,$R$1:$Z$1,$R921:$Z921)</f>
        <v>Mandatory</v>
      </c>
      <c r="G921" s="154" t="s">
        <v>9156</v>
      </c>
      <c r="H921" s="154" t="s">
        <v>9006</v>
      </c>
      <c r="I921" s="154" t="s">
        <v>9154</v>
      </c>
      <c r="J921" s="154" t="s">
        <v>7963</v>
      </c>
      <c r="K921" s="154" t="s">
        <v>9003</v>
      </c>
      <c r="L921" s="154" t="s">
        <v>6064</v>
      </c>
      <c r="M921" s="154" t="s">
        <v>175</v>
      </c>
      <c r="N921" s="154" t="s">
        <v>759</v>
      </c>
      <c r="O921" s="247" t="s">
        <v>445</v>
      </c>
      <c r="P921" s="247" t="s">
        <v>6772</v>
      </c>
      <c r="Q921" s="154" t="str">
        <f t="shared" si="1"/>
        <v>#ERROR!</v>
      </c>
      <c r="R921" s="154" t="s">
        <v>66</v>
      </c>
      <c r="S921" s="154" t="s">
        <v>66</v>
      </c>
      <c r="T921" s="155" t="s">
        <v>64</v>
      </c>
      <c r="U921" s="155" t="s">
        <v>64</v>
      </c>
      <c r="V921" s="154" t="s">
        <v>60</v>
      </c>
      <c r="W921" s="154" t="s">
        <v>60</v>
      </c>
      <c r="X921" s="154" t="s">
        <v>66</v>
      </c>
      <c r="Y921" s="155" t="s">
        <v>64</v>
      </c>
      <c r="Z921" s="154" t="s">
        <v>60</v>
      </c>
      <c r="AA921" s="154"/>
      <c r="AB921" s="242" t="str">
        <f t="shared" si="2"/>
        <v>#ERROR!</v>
      </c>
      <c r="AC921" s="154" t="s">
        <v>391</v>
      </c>
      <c r="AD921" s="242" t="b">
        <f t="shared" si="3"/>
        <v>0</v>
      </c>
      <c r="AE921" s="154"/>
      <c r="AF921" s="242" t="str">
        <f t="shared" si="4"/>
        <v>#ERROR!</v>
      </c>
      <c r="AG921" s="154" t="s">
        <v>652</v>
      </c>
      <c r="AH921" s="242" t="str">
        <f>IF(AG921="","N/A",INDIRECT("MTR!"&amp;ADDRESS(MATCH(LEFT(AG921,9),[1]MTR!C:C,0),COLUMN(J921)),TRUE) &amp; "")</f>
        <v>#ERROR!</v>
      </c>
      <c r="AI921" s="157" t="str">
        <f t="shared" si="5"/>
        <v>#ERROR!</v>
      </c>
    </row>
    <row r="922" ht="12.75" customHeight="1">
      <c r="A922" s="244" t="s">
        <v>5158</v>
      </c>
      <c r="B922" s="244" t="s">
        <v>231</v>
      </c>
      <c r="C922" s="244" t="s">
        <v>9157</v>
      </c>
      <c r="D922" s="154" t="s">
        <v>1315</v>
      </c>
      <c r="E922" s="154"/>
      <c r="F922" s="154" t="str">
        <f t="array" ref="F922">XLOOKUP(Cover!$D$12,$R$1:$Z$1,$R922:$Z922)</f>
        <v>Mandatory</v>
      </c>
      <c r="G922" s="154" t="s">
        <v>9158</v>
      </c>
      <c r="H922" s="154" t="s">
        <v>9053</v>
      </c>
      <c r="I922" s="154" t="s">
        <v>9154</v>
      </c>
      <c r="J922" s="154" t="s">
        <v>7963</v>
      </c>
      <c r="K922" s="154" t="s">
        <v>9003</v>
      </c>
      <c r="L922" s="154" t="s">
        <v>6905</v>
      </c>
      <c r="M922" s="154" t="s">
        <v>175</v>
      </c>
      <c r="N922" s="154" t="s">
        <v>759</v>
      </c>
      <c r="O922" s="247" t="s">
        <v>516</v>
      </c>
      <c r="P922" s="247" t="s">
        <v>1575</v>
      </c>
      <c r="Q922" s="154" t="str">
        <f t="shared" si="1"/>
        <v>#ERROR!</v>
      </c>
      <c r="R922" s="154" t="s">
        <v>66</v>
      </c>
      <c r="S922" s="154" t="s">
        <v>66</v>
      </c>
      <c r="T922" s="155" t="s">
        <v>64</v>
      </c>
      <c r="U922" s="155" t="s">
        <v>64</v>
      </c>
      <c r="V922" s="154" t="s">
        <v>60</v>
      </c>
      <c r="W922" s="154" t="s">
        <v>60</v>
      </c>
      <c r="X922" s="154" t="s">
        <v>66</v>
      </c>
      <c r="Y922" s="155" t="s">
        <v>64</v>
      </c>
      <c r="Z922" s="154" t="s">
        <v>60</v>
      </c>
      <c r="AA922" s="154"/>
      <c r="AB922" s="242" t="str">
        <f t="shared" si="2"/>
        <v>#ERROR!</v>
      </c>
      <c r="AC922" s="154" t="s">
        <v>391</v>
      </c>
      <c r="AD922" s="242" t="b">
        <f t="shared" si="3"/>
        <v>0</v>
      </c>
      <c r="AE922" s="154"/>
      <c r="AF922" s="242" t="str">
        <f t="shared" si="4"/>
        <v>#ERROR!</v>
      </c>
      <c r="AG922" s="154" t="s">
        <v>652</v>
      </c>
      <c r="AH922" s="242" t="str">
        <f>IF(AG922="","N/A",INDIRECT("MTR!"&amp;ADDRESS(MATCH(LEFT(AG922,9),[1]MTR!C:C,0),COLUMN(J922)),TRUE) &amp; "")</f>
        <v>#ERROR!</v>
      </c>
      <c r="AI922" s="157" t="str">
        <f t="shared" si="5"/>
        <v>#ERROR!</v>
      </c>
    </row>
    <row r="923" ht="12.75" customHeight="1">
      <c r="A923" s="244" t="s">
        <v>5158</v>
      </c>
      <c r="B923" s="244" t="s">
        <v>231</v>
      </c>
      <c r="C923" s="245" t="s">
        <v>9159</v>
      </c>
      <c r="D923" s="155" t="s">
        <v>45</v>
      </c>
      <c r="E923" s="155" t="s">
        <v>92</v>
      </c>
      <c r="F923" s="154" t="str">
        <f t="array" ref="F923">XLOOKUP(Cover!$D$12,$R$1:$Z$1,$R923:$Z923)</f>
        <v>Information</v>
      </c>
      <c r="G923" s="154" t="s">
        <v>9160</v>
      </c>
      <c r="H923" s="154" t="s">
        <v>9002</v>
      </c>
      <c r="I923" s="154" t="s">
        <v>9161</v>
      </c>
      <c r="J923" s="154" t="s">
        <v>7971</v>
      </c>
      <c r="K923" s="154" t="s">
        <v>9003</v>
      </c>
      <c r="L923" s="154" t="s">
        <v>6655</v>
      </c>
      <c r="M923" s="154"/>
      <c r="N923" s="154" t="s">
        <v>759</v>
      </c>
      <c r="O923" s="247" t="s">
        <v>516</v>
      </c>
      <c r="P923" s="247" t="s">
        <v>5876</v>
      </c>
      <c r="Q923" s="154" t="str">
        <f t="shared" si="1"/>
        <v>#ERROR!</v>
      </c>
      <c r="R923" s="154" t="s">
        <v>66</v>
      </c>
      <c r="S923" s="154" t="s">
        <v>66</v>
      </c>
      <c r="T923" s="154" t="s">
        <v>66</v>
      </c>
      <c r="U923" s="154" t="s">
        <v>66</v>
      </c>
      <c r="V923" s="154" t="s">
        <v>66</v>
      </c>
      <c r="W923" s="154" t="s">
        <v>66</v>
      </c>
      <c r="X923" s="154" t="s">
        <v>66</v>
      </c>
      <c r="Y923" s="154" t="s">
        <v>66</v>
      </c>
      <c r="Z923" s="154" t="s">
        <v>66</v>
      </c>
      <c r="AA923" s="154"/>
      <c r="AB923" s="242" t="str">
        <f t="shared" si="2"/>
        <v>#ERROR!</v>
      </c>
      <c r="AC923" s="154" t="s">
        <v>391</v>
      </c>
      <c r="AD923" s="242" t="b">
        <f t="shared" si="3"/>
        <v>0</v>
      </c>
      <c r="AE923" s="154"/>
      <c r="AF923" s="242" t="str">
        <f t="shared" si="4"/>
        <v>#ERROR!</v>
      </c>
      <c r="AG923" s="154" t="s">
        <v>652</v>
      </c>
      <c r="AH923" s="242" t="str">
        <f>IF(AG923="","N/A",INDIRECT("MTR!"&amp;ADDRESS(MATCH(LEFT(AG923,9),[1]MTR!C:C,0),COLUMN(J923)),TRUE) &amp; "")</f>
        <v>#ERROR!</v>
      </c>
      <c r="AI923" s="157" t="str">
        <f t="shared" si="5"/>
        <v>#ERROR!</v>
      </c>
    </row>
    <row r="924" ht="12.75" customHeight="1">
      <c r="A924" s="244" t="s">
        <v>5158</v>
      </c>
      <c r="B924" s="244" t="s">
        <v>231</v>
      </c>
      <c r="C924" s="245" t="s">
        <v>9162</v>
      </c>
      <c r="D924" s="155" t="s">
        <v>45</v>
      </c>
      <c r="E924" s="155" t="s">
        <v>92</v>
      </c>
      <c r="F924" s="154" t="str">
        <f t="array" ref="F924">XLOOKUP(Cover!$D$12,$R$1:$Z$1,$R924:$Z924)</f>
        <v>Information</v>
      </c>
      <c r="G924" s="154" t="s">
        <v>9163</v>
      </c>
      <c r="H924" s="154" t="s">
        <v>9006</v>
      </c>
      <c r="I924" s="154" t="s">
        <v>9161</v>
      </c>
      <c r="J924" s="154" t="s">
        <v>7971</v>
      </c>
      <c r="K924" s="154" t="s">
        <v>9003</v>
      </c>
      <c r="L924" s="154" t="s">
        <v>6655</v>
      </c>
      <c r="M924" s="154"/>
      <c r="N924" s="154" t="s">
        <v>759</v>
      </c>
      <c r="O924" s="247" t="s">
        <v>516</v>
      </c>
      <c r="P924" s="247" t="s">
        <v>5876</v>
      </c>
      <c r="Q924" s="154" t="str">
        <f t="shared" si="1"/>
        <v>#ERROR!</v>
      </c>
      <c r="R924" s="154" t="s">
        <v>66</v>
      </c>
      <c r="S924" s="154" t="s">
        <v>66</v>
      </c>
      <c r="T924" s="154" t="s">
        <v>66</v>
      </c>
      <c r="U924" s="154" t="s">
        <v>66</v>
      </c>
      <c r="V924" s="154" t="s">
        <v>66</v>
      </c>
      <c r="W924" s="154" t="s">
        <v>66</v>
      </c>
      <c r="X924" s="154" t="s">
        <v>66</v>
      </c>
      <c r="Y924" s="154" t="s">
        <v>66</v>
      </c>
      <c r="Z924" s="154" t="s">
        <v>66</v>
      </c>
      <c r="AA924" s="154"/>
      <c r="AB924" s="242" t="str">
        <f t="shared" si="2"/>
        <v>#ERROR!</v>
      </c>
      <c r="AC924" s="154" t="s">
        <v>391</v>
      </c>
      <c r="AD924" s="242" t="b">
        <f t="shared" si="3"/>
        <v>0</v>
      </c>
      <c r="AE924" s="154"/>
      <c r="AF924" s="242" t="str">
        <f t="shared" si="4"/>
        <v>#ERROR!</v>
      </c>
      <c r="AG924" s="154" t="s">
        <v>652</v>
      </c>
      <c r="AH924" s="242" t="str">
        <f>IF(AG924="","N/A",INDIRECT("MTR!"&amp;ADDRESS(MATCH(LEFT(AG924,9),[1]MTR!C:C,0),COLUMN(J924)),TRUE) &amp; "")</f>
        <v>#ERROR!</v>
      </c>
      <c r="AI924" s="157" t="str">
        <f t="shared" si="5"/>
        <v>#ERROR!</v>
      </c>
    </row>
    <row r="925" ht="12.75" customHeight="1">
      <c r="A925" s="244" t="s">
        <v>5158</v>
      </c>
      <c r="B925" s="244" t="s">
        <v>231</v>
      </c>
      <c r="C925" s="244" t="s">
        <v>9164</v>
      </c>
      <c r="D925" s="154" t="s">
        <v>542</v>
      </c>
      <c r="E925" s="154"/>
      <c r="F925" s="154" t="str">
        <f t="array" ref="F925">XLOOKUP(Cover!$D$12,$R$1:$Z$1,$R925:$Z925)</f>
        <v>Mandatory</v>
      </c>
      <c r="G925" s="154" t="s">
        <v>9165</v>
      </c>
      <c r="H925" s="154" t="s">
        <v>9002</v>
      </c>
      <c r="I925" s="154" t="s">
        <v>9166</v>
      </c>
      <c r="J925" s="154" t="s">
        <v>6911</v>
      </c>
      <c r="K925" s="154" t="s">
        <v>9003</v>
      </c>
      <c r="L925" s="154" t="s">
        <v>6064</v>
      </c>
      <c r="M925" s="154" t="s">
        <v>175</v>
      </c>
      <c r="N925" s="154" t="s">
        <v>759</v>
      </c>
      <c r="O925" s="247" t="s">
        <v>516</v>
      </c>
      <c r="P925" s="247" t="s">
        <v>6776</v>
      </c>
      <c r="Q925" s="154" t="str">
        <f t="shared" si="1"/>
        <v>#ERROR!</v>
      </c>
      <c r="R925" s="154" t="s">
        <v>66</v>
      </c>
      <c r="S925" s="154" t="s">
        <v>66</v>
      </c>
      <c r="T925" s="155" t="s">
        <v>64</v>
      </c>
      <c r="U925" s="155" t="s">
        <v>64</v>
      </c>
      <c r="V925" s="154" t="s">
        <v>60</v>
      </c>
      <c r="W925" s="154" t="s">
        <v>60</v>
      </c>
      <c r="X925" s="154" t="s">
        <v>66</v>
      </c>
      <c r="Y925" s="155" t="s">
        <v>64</v>
      </c>
      <c r="Z925" s="154" t="s">
        <v>60</v>
      </c>
      <c r="AA925" s="154"/>
      <c r="AB925" s="242" t="str">
        <f t="shared" si="2"/>
        <v>#ERROR!</v>
      </c>
      <c r="AC925" s="154" t="s">
        <v>391</v>
      </c>
      <c r="AD925" s="242" t="b">
        <f t="shared" si="3"/>
        <v>0</v>
      </c>
      <c r="AE925" s="154"/>
      <c r="AF925" s="242" t="str">
        <f t="shared" si="4"/>
        <v>#ERROR!</v>
      </c>
      <c r="AG925" s="154" t="s">
        <v>652</v>
      </c>
      <c r="AH925" s="242" t="str">
        <f>IF(AG925="","N/A",INDIRECT("MTR!"&amp;ADDRESS(MATCH(LEFT(AG925,9),[1]MTR!C:C,0),COLUMN(J925)),TRUE) &amp; "")</f>
        <v>#ERROR!</v>
      </c>
      <c r="AI925" s="157" t="str">
        <f t="shared" si="5"/>
        <v>#ERROR!</v>
      </c>
    </row>
    <row r="926" ht="12.75" customHeight="1">
      <c r="A926" s="244" t="s">
        <v>5158</v>
      </c>
      <c r="B926" s="244" t="s">
        <v>231</v>
      </c>
      <c r="C926" s="244" t="s">
        <v>9167</v>
      </c>
      <c r="D926" s="154" t="s">
        <v>542</v>
      </c>
      <c r="E926" s="154"/>
      <c r="F926" s="154" t="str">
        <f t="array" ref="F926">XLOOKUP(Cover!$D$12,$R$1:$Z$1,$R926:$Z926)</f>
        <v>Mandatory</v>
      </c>
      <c r="G926" s="154" t="s">
        <v>9168</v>
      </c>
      <c r="H926" s="154" t="s">
        <v>9006</v>
      </c>
      <c r="I926" s="154" t="s">
        <v>9166</v>
      </c>
      <c r="J926" s="154" t="s">
        <v>6911</v>
      </c>
      <c r="K926" s="154" t="s">
        <v>9003</v>
      </c>
      <c r="L926" s="154" t="s">
        <v>6064</v>
      </c>
      <c r="M926" s="154" t="s">
        <v>175</v>
      </c>
      <c r="N926" s="154" t="s">
        <v>759</v>
      </c>
      <c r="O926" s="247" t="s">
        <v>516</v>
      </c>
      <c r="P926" s="247" t="s">
        <v>6776</v>
      </c>
      <c r="Q926" s="154" t="str">
        <f t="shared" si="1"/>
        <v>#ERROR!</v>
      </c>
      <c r="R926" s="154" t="s">
        <v>66</v>
      </c>
      <c r="S926" s="154" t="s">
        <v>66</v>
      </c>
      <c r="T926" s="155" t="s">
        <v>64</v>
      </c>
      <c r="U926" s="155" t="s">
        <v>64</v>
      </c>
      <c r="V926" s="154" t="s">
        <v>60</v>
      </c>
      <c r="W926" s="154" t="s">
        <v>60</v>
      </c>
      <c r="X926" s="154" t="s">
        <v>66</v>
      </c>
      <c r="Y926" s="155" t="s">
        <v>64</v>
      </c>
      <c r="Z926" s="154" t="s">
        <v>60</v>
      </c>
      <c r="AA926" s="154"/>
      <c r="AB926" s="242" t="str">
        <f t="shared" si="2"/>
        <v>#ERROR!</v>
      </c>
      <c r="AC926" s="154" t="s">
        <v>391</v>
      </c>
      <c r="AD926" s="242" t="b">
        <f t="shared" si="3"/>
        <v>0</v>
      </c>
      <c r="AE926" s="154"/>
      <c r="AF926" s="242" t="str">
        <f t="shared" si="4"/>
        <v>#ERROR!</v>
      </c>
      <c r="AG926" s="154" t="s">
        <v>652</v>
      </c>
      <c r="AH926" s="242" t="str">
        <f>IF(AG926="","N/A",INDIRECT("MTR!"&amp;ADDRESS(MATCH(LEFT(AG926,9),[1]MTR!C:C,0),COLUMN(J926)),TRUE) &amp; "")</f>
        <v>#ERROR!</v>
      </c>
      <c r="AI926" s="157" t="str">
        <f t="shared" si="5"/>
        <v>#ERROR!</v>
      </c>
    </row>
    <row r="927" ht="12.75" customHeight="1">
      <c r="A927" s="244" t="s">
        <v>5158</v>
      </c>
      <c r="B927" s="244" t="s">
        <v>231</v>
      </c>
      <c r="C927" s="244" t="s">
        <v>9169</v>
      </c>
      <c r="D927" s="154" t="s">
        <v>542</v>
      </c>
      <c r="E927" s="154"/>
      <c r="F927" s="154" t="str">
        <f t="array" ref="F927">XLOOKUP(Cover!$D$12,$R$1:$Z$1,$R927:$Z927)</f>
        <v>Mandatory</v>
      </c>
      <c r="G927" s="154" t="s">
        <v>9170</v>
      </c>
      <c r="H927" s="154" t="s">
        <v>9009</v>
      </c>
      <c r="I927" s="154" t="s">
        <v>9166</v>
      </c>
      <c r="J927" s="154" t="s">
        <v>6911</v>
      </c>
      <c r="K927" s="154" t="s">
        <v>9003</v>
      </c>
      <c r="L927" s="154" t="s">
        <v>6064</v>
      </c>
      <c r="M927" s="154" t="s">
        <v>175</v>
      </c>
      <c r="N927" s="154" t="s">
        <v>759</v>
      </c>
      <c r="O927" s="247" t="s">
        <v>516</v>
      </c>
      <c r="P927" s="247" t="s">
        <v>6776</v>
      </c>
      <c r="Q927" s="154" t="str">
        <f t="shared" si="1"/>
        <v>#ERROR!</v>
      </c>
      <c r="R927" s="154" t="s">
        <v>66</v>
      </c>
      <c r="S927" s="154" t="s">
        <v>66</v>
      </c>
      <c r="T927" s="155" t="s">
        <v>64</v>
      </c>
      <c r="U927" s="155" t="s">
        <v>64</v>
      </c>
      <c r="V927" s="154" t="s">
        <v>60</v>
      </c>
      <c r="W927" s="154" t="s">
        <v>60</v>
      </c>
      <c r="X927" s="154" t="s">
        <v>66</v>
      </c>
      <c r="Y927" s="155" t="s">
        <v>64</v>
      </c>
      <c r="Z927" s="154" t="s">
        <v>60</v>
      </c>
      <c r="AA927" s="154"/>
      <c r="AB927" s="242" t="str">
        <f t="shared" si="2"/>
        <v>#ERROR!</v>
      </c>
      <c r="AC927" s="154" t="s">
        <v>391</v>
      </c>
      <c r="AD927" s="242" t="b">
        <f t="shared" si="3"/>
        <v>0</v>
      </c>
      <c r="AE927" s="154"/>
      <c r="AF927" s="242" t="str">
        <f t="shared" si="4"/>
        <v>#ERROR!</v>
      </c>
      <c r="AG927" s="154" t="s">
        <v>652</v>
      </c>
      <c r="AH927" s="242" t="str">
        <f>IF(AG927="","N/A",INDIRECT("MTR!"&amp;ADDRESS(MATCH(LEFT(AG927,9),[1]MTR!C:C,0),COLUMN(J927)),TRUE) &amp; "")</f>
        <v>#ERROR!</v>
      </c>
      <c r="AI927" s="157" t="str">
        <f t="shared" si="5"/>
        <v>#ERROR!</v>
      </c>
    </row>
    <row r="928" ht="12.75" customHeight="1">
      <c r="A928" s="244" t="s">
        <v>5158</v>
      </c>
      <c r="B928" s="244" t="s">
        <v>231</v>
      </c>
      <c r="C928" s="244" t="s">
        <v>9171</v>
      </c>
      <c r="D928" s="154" t="s">
        <v>542</v>
      </c>
      <c r="E928" s="154"/>
      <c r="F928" s="154" t="str">
        <f t="array" ref="F928">XLOOKUP(Cover!$D$12,$R$1:$Z$1,$R928:$Z928)</f>
        <v>Mandatory</v>
      </c>
      <c r="G928" s="154" t="s">
        <v>9172</v>
      </c>
      <c r="H928" s="154" t="s">
        <v>9002</v>
      </c>
      <c r="I928" s="154" t="s">
        <v>9173</v>
      </c>
      <c r="J928" s="154" t="s">
        <v>7463</v>
      </c>
      <c r="K928" s="154" t="s">
        <v>9003</v>
      </c>
      <c r="L928" s="154" t="s">
        <v>6064</v>
      </c>
      <c r="M928" s="154" t="s">
        <v>175</v>
      </c>
      <c r="N928" s="154" t="s">
        <v>759</v>
      </c>
      <c r="O928" s="247" t="s">
        <v>516</v>
      </c>
      <c r="P928" s="247" t="s">
        <v>6776</v>
      </c>
      <c r="Q928" s="154" t="str">
        <f t="shared" si="1"/>
        <v>#ERROR!</v>
      </c>
      <c r="R928" s="154" t="s">
        <v>66</v>
      </c>
      <c r="S928" s="154" t="s">
        <v>66</v>
      </c>
      <c r="T928" s="155" t="s">
        <v>64</v>
      </c>
      <c r="U928" s="155" t="s">
        <v>64</v>
      </c>
      <c r="V928" s="154" t="s">
        <v>60</v>
      </c>
      <c r="W928" s="154" t="s">
        <v>60</v>
      </c>
      <c r="X928" s="154" t="s">
        <v>66</v>
      </c>
      <c r="Y928" s="155" t="s">
        <v>64</v>
      </c>
      <c r="Z928" s="154" t="s">
        <v>60</v>
      </c>
      <c r="AA928" s="154"/>
      <c r="AB928" s="242" t="str">
        <f t="shared" si="2"/>
        <v>#ERROR!</v>
      </c>
      <c r="AC928" s="154" t="s">
        <v>391</v>
      </c>
      <c r="AD928" s="242" t="b">
        <f t="shared" si="3"/>
        <v>0</v>
      </c>
      <c r="AE928" s="154"/>
      <c r="AF928" s="242" t="str">
        <f t="shared" si="4"/>
        <v>#ERROR!</v>
      </c>
      <c r="AG928" s="154" t="s">
        <v>652</v>
      </c>
      <c r="AH928" s="242" t="str">
        <f>IF(AG928="","N/A",INDIRECT("MTR!"&amp;ADDRESS(MATCH(LEFT(AG928,9),[1]MTR!C:C,0),COLUMN(J928)),TRUE) &amp; "")</f>
        <v>#ERROR!</v>
      </c>
      <c r="AI928" s="157" t="str">
        <f t="shared" si="5"/>
        <v>#ERROR!</v>
      </c>
    </row>
    <row r="929" ht="12.75" customHeight="1">
      <c r="A929" s="244" t="s">
        <v>5158</v>
      </c>
      <c r="B929" s="244" t="s">
        <v>231</v>
      </c>
      <c r="C929" s="244" t="s">
        <v>9174</v>
      </c>
      <c r="D929" s="154" t="s">
        <v>542</v>
      </c>
      <c r="E929" s="154"/>
      <c r="F929" s="154" t="str">
        <f t="array" ref="F929">XLOOKUP(Cover!$D$12,$R$1:$Z$1,$R929:$Z929)</f>
        <v>Mandatory</v>
      </c>
      <c r="G929" s="154" t="s">
        <v>9175</v>
      </c>
      <c r="H929" s="154" t="s">
        <v>9006</v>
      </c>
      <c r="I929" s="154" t="s">
        <v>9173</v>
      </c>
      <c r="J929" s="154" t="s">
        <v>7463</v>
      </c>
      <c r="K929" s="154" t="s">
        <v>9003</v>
      </c>
      <c r="L929" s="154" t="s">
        <v>6064</v>
      </c>
      <c r="M929" s="154" t="s">
        <v>175</v>
      </c>
      <c r="N929" s="154" t="s">
        <v>759</v>
      </c>
      <c r="O929" s="247" t="s">
        <v>516</v>
      </c>
      <c r="P929" s="247" t="s">
        <v>6776</v>
      </c>
      <c r="Q929" s="154" t="str">
        <f t="shared" si="1"/>
        <v>#ERROR!</v>
      </c>
      <c r="R929" s="154" t="s">
        <v>66</v>
      </c>
      <c r="S929" s="154" t="s">
        <v>66</v>
      </c>
      <c r="T929" s="155" t="s">
        <v>64</v>
      </c>
      <c r="U929" s="155" t="s">
        <v>64</v>
      </c>
      <c r="V929" s="154" t="s">
        <v>60</v>
      </c>
      <c r="W929" s="154" t="s">
        <v>60</v>
      </c>
      <c r="X929" s="154" t="s">
        <v>66</v>
      </c>
      <c r="Y929" s="155" t="s">
        <v>64</v>
      </c>
      <c r="Z929" s="154" t="s">
        <v>60</v>
      </c>
      <c r="AA929" s="154"/>
      <c r="AB929" s="242" t="str">
        <f t="shared" si="2"/>
        <v>#ERROR!</v>
      </c>
      <c r="AC929" s="154" t="s">
        <v>391</v>
      </c>
      <c r="AD929" s="242" t="b">
        <f t="shared" si="3"/>
        <v>0</v>
      </c>
      <c r="AE929" s="154"/>
      <c r="AF929" s="242" t="str">
        <f t="shared" si="4"/>
        <v>#ERROR!</v>
      </c>
      <c r="AG929" s="154" t="s">
        <v>652</v>
      </c>
      <c r="AH929" s="242" t="str">
        <f>IF(AG929="","N/A",INDIRECT("MTR!"&amp;ADDRESS(MATCH(LEFT(AG929,9),[1]MTR!C:C,0),COLUMN(J929)),TRUE) &amp; "")</f>
        <v>#ERROR!</v>
      </c>
      <c r="AI929" s="157" t="str">
        <f t="shared" si="5"/>
        <v>#ERROR!</v>
      </c>
    </row>
    <row r="930" ht="12.75" customHeight="1">
      <c r="A930" s="244" t="s">
        <v>5158</v>
      </c>
      <c r="B930" s="244" t="s">
        <v>231</v>
      </c>
      <c r="C930" s="244" t="s">
        <v>9176</v>
      </c>
      <c r="D930" s="154" t="s">
        <v>542</v>
      </c>
      <c r="E930" s="154"/>
      <c r="F930" s="154" t="str">
        <f t="array" ref="F930">XLOOKUP(Cover!$D$12,$R$1:$Z$1,$R930:$Z930)</f>
        <v>Mandatory</v>
      </c>
      <c r="G930" s="154" t="s">
        <v>9177</v>
      </c>
      <c r="H930" s="154" t="s">
        <v>9012</v>
      </c>
      <c r="I930" s="154" t="s">
        <v>9173</v>
      </c>
      <c r="J930" s="154" t="s">
        <v>7463</v>
      </c>
      <c r="K930" s="154" t="s">
        <v>9003</v>
      </c>
      <c r="L930" s="154" t="s">
        <v>6064</v>
      </c>
      <c r="M930" s="154" t="s">
        <v>175</v>
      </c>
      <c r="N930" s="154" t="s">
        <v>759</v>
      </c>
      <c r="O930" s="247" t="s">
        <v>516</v>
      </c>
      <c r="P930" s="247" t="s">
        <v>6776</v>
      </c>
      <c r="Q930" s="154" t="str">
        <f t="shared" si="1"/>
        <v>#ERROR!</v>
      </c>
      <c r="R930" s="154" t="s">
        <v>66</v>
      </c>
      <c r="S930" s="154" t="s">
        <v>66</v>
      </c>
      <c r="T930" s="155" t="s">
        <v>64</v>
      </c>
      <c r="U930" s="155" t="s">
        <v>64</v>
      </c>
      <c r="V930" s="154" t="s">
        <v>60</v>
      </c>
      <c r="W930" s="154" t="s">
        <v>60</v>
      </c>
      <c r="X930" s="154" t="s">
        <v>66</v>
      </c>
      <c r="Y930" s="155" t="s">
        <v>64</v>
      </c>
      <c r="Z930" s="154" t="s">
        <v>60</v>
      </c>
      <c r="AA930" s="154"/>
      <c r="AB930" s="242" t="str">
        <f t="shared" si="2"/>
        <v>#ERROR!</v>
      </c>
      <c r="AC930" s="154" t="s">
        <v>391</v>
      </c>
      <c r="AD930" s="242" t="b">
        <f t="shared" si="3"/>
        <v>0</v>
      </c>
      <c r="AE930" s="154"/>
      <c r="AF930" s="242" t="str">
        <f t="shared" si="4"/>
        <v>#ERROR!</v>
      </c>
      <c r="AG930" s="154" t="s">
        <v>652</v>
      </c>
      <c r="AH930" s="242" t="str">
        <f>IF(AG930="","N/A",INDIRECT("MTR!"&amp;ADDRESS(MATCH(LEFT(AG930,9),[1]MTR!C:C,0),COLUMN(J930)),TRUE) &amp; "")</f>
        <v>#ERROR!</v>
      </c>
      <c r="AI930" s="157" t="str">
        <f t="shared" si="5"/>
        <v>#ERROR!</v>
      </c>
    </row>
    <row r="931" ht="12.75" customHeight="1">
      <c r="A931" s="244" t="s">
        <v>5158</v>
      </c>
      <c r="B931" s="244" t="s">
        <v>231</v>
      </c>
      <c r="C931" s="244" t="s">
        <v>9178</v>
      </c>
      <c r="D931" s="154" t="s">
        <v>542</v>
      </c>
      <c r="E931" s="154"/>
      <c r="F931" s="154" t="str">
        <f t="array" ref="F931">XLOOKUP(Cover!$D$12,$R$1:$Z$1,$R931:$Z931)</f>
        <v>Mandatory</v>
      </c>
      <c r="G931" s="154" t="s">
        <v>9179</v>
      </c>
      <c r="H931" s="154" t="s">
        <v>9002</v>
      </c>
      <c r="I931" s="154" t="s">
        <v>9180</v>
      </c>
      <c r="J931" s="154" t="s">
        <v>6919</v>
      </c>
      <c r="K931" s="154" t="s">
        <v>9003</v>
      </c>
      <c r="L931" s="154" t="s">
        <v>6064</v>
      </c>
      <c r="M931" s="154" t="s">
        <v>175</v>
      </c>
      <c r="N931" s="154" t="s">
        <v>759</v>
      </c>
      <c r="O931" s="247" t="s">
        <v>516</v>
      </c>
      <c r="P931" s="247" t="s">
        <v>6776</v>
      </c>
      <c r="Q931" s="154" t="str">
        <f t="shared" si="1"/>
        <v>#ERROR!</v>
      </c>
      <c r="R931" s="154" t="s">
        <v>66</v>
      </c>
      <c r="S931" s="154" t="s">
        <v>66</v>
      </c>
      <c r="T931" s="155" t="s">
        <v>64</v>
      </c>
      <c r="U931" s="155" t="s">
        <v>64</v>
      </c>
      <c r="V931" s="154" t="s">
        <v>60</v>
      </c>
      <c r="W931" s="154" t="s">
        <v>60</v>
      </c>
      <c r="X931" s="154" t="s">
        <v>66</v>
      </c>
      <c r="Y931" s="155" t="s">
        <v>64</v>
      </c>
      <c r="Z931" s="154" t="s">
        <v>60</v>
      </c>
      <c r="AA931" s="154"/>
      <c r="AB931" s="242" t="str">
        <f t="shared" si="2"/>
        <v>#ERROR!</v>
      </c>
      <c r="AC931" s="154" t="s">
        <v>391</v>
      </c>
      <c r="AD931" s="242" t="b">
        <f t="shared" si="3"/>
        <v>0</v>
      </c>
      <c r="AE931" s="154"/>
      <c r="AF931" s="242" t="str">
        <f t="shared" si="4"/>
        <v>#ERROR!</v>
      </c>
      <c r="AG931" s="154" t="s">
        <v>652</v>
      </c>
      <c r="AH931" s="242" t="str">
        <f>IF(AG931="","N/A",INDIRECT("MTR!"&amp;ADDRESS(MATCH(LEFT(AG931,9),[1]MTR!C:C,0),COLUMN(J931)),TRUE) &amp; "")</f>
        <v>#ERROR!</v>
      </c>
      <c r="AI931" s="157" t="str">
        <f t="shared" si="5"/>
        <v>#ERROR!</v>
      </c>
    </row>
    <row r="932" ht="12.75" customHeight="1">
      <c r="A932" s="244" t="s">
        <v>5158</v>
      </c>
      <c r="B932" s="244" t="s">
        <v>231</v>
      </c>
      <c r="C932" s="244" t="s">
        <v>9181</v>
      </c>
      <c r="D932" s="154" t="s">
        <v>542</v>
      </c>
      <c r="E932" s="154"/>
      <c r="F932" s="154" t="str">
        <f t="array" ref="F932">XLOOKUP(Cover!$D$12,$R$1:$Z$1,$R932:$Z932)</f>
        <v>Mandatory</v>
      </c>
      <c r="G932" s="154" t="s">
        <v>9182</v>
      </c>
      <c r="H932" s="154" t="s">
        <v>9006</v>
      </c>
      <c r="I932" s="154" t="s">
        <v>9180</v>
      </c>
      <c r="J932" s="154" t="s">
        <v>6919</v>
      </c>
      <c r="K932" s="154" t="s">
        <v>9003</v>
      </c>
      <c r="L932" s="154" t="s">
        <v>6064</v>
      </c>
      <c r="M932" s="154" t="s">
        <v>175</v>
      </c>
      <c r="N932" s="154" t="s">
        <v>759</v>
      </c>
      <c r="O932" s="247" t="s">
        <v>516</v>
      </c>
      <c r="P932" s="247" t="s">
        <v>6776</v>
      </c>
      <c r="Q932" s="154" t="str">
        <f t="shared" si="1"/>
        <v>#ERROR!</v>
      </c>
      <c r="R932" s="154" t="s">
        <v>66</v>
      </c>
      <c r="S932" s="154" t="s">
        <v>66</v>
      </c>
      <c r="T932" s="155" t="s">
        <v>64</v>
      </c>
      <c r="U932" s="155" t="s">
        <v>64</v>
      </c>
      <c r="V932" s="154" t="s">
        <v>60</v>
      </c>
      <c r="W932" s="154" t="s">
        <v>60</v>
      </c>
      <c r="X932" s="154" t="s">
        <v>66</v>
      </c>
      <c r="Y932" s="155" t="s">
        <v>64</v>
      </c>
      <c r="Z932" s="154" t="s">
        <v>60</v>
      </c>
      <c r="AA932" s="154"/>
      <c r="AB932" s="242" t="str">
        <f t="shared" si="2"/>
        <v>#ERROR!</v>
      </c>
      <c r="AC932" s="154" t="s">
        <v>391</v>
      </c>
      <c r="AD932" s="242" t="b">
        <f t="shared" si="3"/>
        <v>0</v>
      </c>
      <c r="AE932" s="154"/>
      <c r="AF932" s="242" t="str">
        <f t="shared" si="4"/>
        <v>#ERROR!</v>
      </c>
      <c r="AG932" s="154" t="s">
        <v>652</v>
      </c>
      <c r="AH932" s="242" t="str">
        <f>IF(AG932="","N/A",INDIRECT("MTR!"&amp;ADDRESS(MATCH(LEFT(AG932,9),[1]MTR!C:C,0),COLUMN(J932)),TRUE) &amp; "")</f>
        <v>#ERROR!</v>
      </c>
      <c r="AI932" s="157" t="str">
        <f t="shared" si="5"/>
        <v>#ERROR!</v>
      </c>
    </row>
    <row r="933" ht="12.75" customHeight="1">
      <c r="A933" s="244" t="s">
        <v>5158</v>
      </c>
      <c r="B933" s="244" t="s">
        <v>231</v>
      </c>
      <c r="C933" s="244" t="s">
        <v>9183</v>
      </c>
      <c r="D933" s="154" t="s">
        <v>542</v>
      </c>
      <c r="E933" s="154"/>
      <c r="F933" s="154" t="str">
        <f t="array" ref="F933">XLOOKUP(Cover!$D$12,$R$1:$Z$1,$R933:$Z933)</f>
        <v>Mandatory</v>
      </c>
      <c r="G933" s="154" t="s">
        <v>9184</v>
      </c>
      <c r="H933" s="154" t="s">
        <v>9015</v>
      </c>
      <c r="I933" s="154" t="s">
        <v>9180</v>
      </c>
      <c r="J933" s="154" t="s">
        <v>6919</v>
      </c>
      <c r="K933" s="154" t="s">
        <v>9003</v>
      </c>
      <c r="L933" s="154" t="s">
        <v>6064</v>
      </c>
      <c r="M933" s="154" t="s">
        <v>175</v>
      </c>
      <c r="N933" s="154" t="s">
        <v>759</v>
      </c>
      <c r="O933" s="247" t="s">
        <v>516</v>
      </c>
      <c r="P933" s="247" t="s">
        <v>6776</v>
      </c>
      <c r="Q933" s="154" t="str">
        <f t="shared" si="1"/>
        <v>#ERROR!</v>
      </c>
      <c r="R933" s="154" t="s">
        <v>66</v>
      </c>
      <c r="S933" s="154" t="s">
        <v>66</v>
      </c>
      <c r="T933" s="155" t="s">
        <v>64</v>
      </c>
      <c r="U933" s="155" t="s">
        <v>64</v>
      </c>
      <c r="V933" s="154" t="s">
        <v>60</v>
      </c>
      <c r="W933" s="154" t="s">
        <v>60</v>
      </c>
      <c r="X933" s="154" t="s">
        <v>66</v>
      </c>
      <c r="Y933" s="155" t="s">
        <v>64</v>
      </c>
      <c r="Z933" s="154" t="s">
        <v>60</v>
      </c>
      <c r="AA933" s="154"/>
      <c r="AB933" s="242" t="str">
        <f t="shared" si="2"/>
        <v>#ERROR!</v>
      </c>
      <c r="AC933" s="154" t="s">
        <v>391</v>
      </c>
      <c r="AD933" s="242" t="b">
        <f t="shared" si="3"/>
        <v>0</v>
      </c>
      <c r="AE933" s="154"/>
      <c r="AF933" s="242" t="str">
        <f t="shared" si="4"/>
        <v>#ERROR!</v>
      </c>
      <c r="AG933" s="154" t="s">
        <v>652</v>
      </c>
      <c r="AH933" s="242" t="str">
        <f>IF(AG933="","N/A",INDIRECT("MTR!"&amp;ADDRESS(MATCH(LEFT(AG933,9),[1]MTR!C:C,0),COLUMN(J933)),TRUE) &amp; "")</f>
        <v>#ERROR!</v>
      </c>
      <c r="AI933" s="157" t="str">
        <f t="shared" si="5"/>
        <v>#ERROR!</v>
      </c>
    </row>
    <row r="934" ht="12.75" customHeight="1">
      <c r="A934" s="244" t="s">
        <v>5158</v>
      </c>
      <c r="B934" s="244" t="s">
        <v>231</v>
      </c>
      <c r="C934" s="244" t="s">
        <v>9185</v>
      </c>
      <c r="D934" s="154" t="s">
        <v>542</v>
      </c>
      <c r="E934" s="154"/>
      <c r="F934" s="154" t="str">
        <f t="array" ref="F934">XLOOKUP(Cover!$D$12,$R$1:$Z$1,$R934:$Z934)</f>
        <v>Mandatory</v>
      </c>
      <c r="G934" s="154" t="s">
        <v>9186</v>
      </c>
      <c r="H934" s="154" t="s">
        <v>9002</v>
      </c>
      <c r="I934" s="154" t="s">
        <v>9187</v>
      </c>
      <c r="J934" s="154" t="s">
        <v>7478</v>
      </c>
      <c r="K934" s="154" t="s">
        <v>9003</v>
      </c>
      <c r="L934" s="154" t="s">
        <v>6064</v>
      </c>
      <c r="M934" s="154" t="s">
        <v>175</v>
      </c>
      <c r="N934" s="154" t="s">
        <v>759</v>
      </c>
      <c r="O934" s="247" t="s">
        <v>516</v>
      </c>
      <c r="P934" s="247" t="s">
        <v>6776</v>
      </c>
      <c r="Q934" s="154" t="str">
        <f t="shared" si="1"/>
        <v>#ERROR!</v>
      </c>
      <c r="R934" s="154" t="s">
        <v>66</v>
      </c>
      <c r="S934" s="154" t="s">
        <v>66</v>
      </c>
      <c r="T934" s="155" t="s">
        <v>64</v>
      </c>
      <c r="U934" s="155" t="s">
        <v>64</v>
      </c>
      <c r="V934" s="154" t="s">
        <v>60</v>
      </c>
      <c r="W934" s="154" t="s">
        <v>60</v>
      </c>
      <c r="X934" s="154" t="s">
        <v>66</v>
      </c>
      <c r="Y934" s="155" t="s">
        <v>64</v>
      </c>
      <c r="Z934" s="154" t="s">
        <v>60</v>
      </c>
      <c r="AA934" s="154"/>
      <c r="AB934" s="242" t="str">
        <f t="shared" si="2"/>
        <v>#ERROR!</v>
      </c>
      <c r="AC934" s="154" t="s">
        <v>391</v>
      </c>
      <c r="AD934" s="242" t="b">
        <f t="shared" si="3"/>
        <v>0</v>
      </c>
      <c r="AE934" s="154"/>
      <c r="AF934" s="242" t="str">
        <f t="shared" si="4"/>
        <v>#ERROR!</v>
      </c>
      <c r="AG934" s="154" t="s">
        <v>652</v>
      </c>
      <c r="AH934" s="242" t="str">
        <f>IF(AG934="","N/A",INDIRECT("MTR!"&amp;ADDRESS(MATCH(LEFT(AG934,9),[1]MTR!C:C,0),COLUMN(J934)),TRUE) &amp; "")</f>
        <v>#ERROR!</v>
      </c>
      <c r="AI934" s="157" t="str">
        <f t="shared" si="5"/>
        <v>#ERROR!</v>
      </c>
    </row>
    <row r="935" ht="12.75" customHeight="1">
      <c r="A935" s="244" t="s">
        <v>5158</v>
      </c>
      <c r="B935" s="244" t="s">
        <v>231</v>
      </c>
      <c r="C935" s="244" t="s">
        <v>9188</v>
      </c>
      <c r="D935" s="154" t="s">
        <v>542</v>
      </c>
      <c r="E935" s="154"/>
      <c r="F935" s="154" t="str">
        <f t="array" ref="F935">XLOOKUP(Cover!$D$12,$R$1:$Z$1,$R935:$Z935)</f>
        <v>Mandatory</v>
      </c>
      <c r="G935" s="154" t="s">
        <v>9189</v>
      </c>
      <c r="H935" s="154" t="s">
        <v>9006</v>
      </c>
      <c r="I935" s="154" t="s">
        <v>9187</v>
      </c>
      <c r="J935" s="154" t="s">
        <v>7478</v>
      </c>
      <c r="K935" s="154" t="s">
        <v>9003</v>
      </c>
      <c r="L935" s="154" t="s">
        <v>6064</v>
      </c>
      <c r="M935" s="154" t="s">
        <v>175</v>
      </c>
      <c r="N935" s="154" t="s">
        <v>759</v>
      </c>
      <c r="O935" s="247" t="s">
        <v>516</v>
      </c>
      <c r="P935" s="247" t="s">
        <v>6776</v>
      </c>
      <c r="Q935" s="154" t="str">
        <f t="shared" si="1"/>
        <v>#ERROR!</v>
      </c>
      <c r="R935" s="154" t="s">
        <v>66</v>
      </c>
      <c r="S935" s="154" t="s">
        <v>66</v>
      </c>
      <c r="T935" s="155" t="s">
        <v>64</v>
      </c>
      <c r="U935" s="155" t="s">
        <v>64</v>
      </c>
      <c r="V935" s="154" t="s">
        <v>60</v>
      </c>
      <c r="W935" s="154" t="s">
        <v>60</v>
      </c>
      <c r="X935" s="154" t="s">
        <v>66</v>
      </c>
      <c r="Y935" s="155" t="s">
        <v>64</v>
      </c>
      <c r="Z935" s="154" t="s">
        <v>60</v>
      </c>
      <c r="AA935" s="154"/>
      <c r="AB935" s="242" t="str">
        <f t="shared" si="2"/>
        <v>#ERROR!</v>
      </c>
      <c r="AC935" s="154" t="s">
        <v>391</v>
      </c>
      <c r="AD935" s="242" t="b">
        <f t="shared" si="3"/>
        <v>0</v>
      </c>
      <c r="AE935" s="154"/>
      <c r="AF935" s="242" t="str">
        <f t="shared" si="4"/>
        <v>#ERROR!</v>
      </c>
      <c r="AG935" s="154" t="s">
        <v>652</v>
      </c>
      <c r="AH935" s="242" t="str">
        <f>IF(AG935="","N/A",INDIRECT("MTR!"&amp;ADDRESS(MATCH(LEFT(AG935,9),[1]MTR!C:C,0),COLUMN(J935)),TRUE) &amp; "")</f>
        <v>#ERROR!</v>
      </c>
      <c r="AI935" s="157" t="str">
        <f t="shared" si="5"/>
        <v>#ERROR!</v>
      </c>
    </row>
    <row r="936" ht="12.75" customHeight="1">
      <c r="A936" s="244" t="s">
        <v>5158</v>
      </c>
      <c r="B936" s="244" t="s">
        <v>231</v>
      </c>
      <c r="C936" s="244" t="s">
        <v>9190</v>
      </c>
      <c r="D936" s="154" t="s">
        <v>542</v>
      </c>
      <c r="E936" s="154"/>
      <c r="F936" s="154" t="str">
        <f t="array" ref="F936">XLOOKUP(Cover!$D$12,$R$1:$Z$1,$R936:$Z936)</f>
        <v>Mandatory</v>
      </c>
      <c r="G936" s="154" t="s">
        <v>9191</v>
      </c>
      <c r="H936" s="154" t="s">
        <v>1541</v>
      </c>
      <c r="I936" s="154" t="s">
        <v>9187</v>
      </c>
      <c r="J936" s="154" t="s">
        <v>7478</v>
      </c>
      <c r="K936" s="154" t="s">
        <v>9003</v>
      </c>
      <c r="L936" s="154" t="s">
        <v>6064</v>
      </c>
      <c r="M936" s="154" t="s">
        <v>175</v>
      </c>
      <c r="N936" s="154" t="s">
        <v>759</v>
      </c>
      <c r="O936" s="247" t="s">
        <v>516</v>
      </c>
      <c r="P936" s="247" t="s">
        <v>6776</v>
      </c>
      <c r="Q936" s="154" t="str">
        <f t="shared" si="1"/>
        <v>#ERROR!</v>
      </c>
      <c r="R936" s="154" t="s">
        <v>66</v>
      </c>
      <c r="S936" s="154" t="s">
        <v>66</v>
      </c>
      <c r="T936" s="155" t="s">
        <v>64</v>
      </c>
      <c r="U936" s="155" t="s">
        <v>64</v>
      </c>
      <c r="V936" s="154" t="s">
        <v>60</v>
      </c>
      <c r="W936" s="154" t="s">
        <v>60</v>
      </c>
      <c r="X936" s="154" t="s">
        <v>66</v>
      </c>
      <c r="Y936" s="155" t="s">
        <v>64</v>
      </c>
      <c r="Z936" s="154" t="s">
        <v>60</v>
      </c>
      <c r="AA936" s="154"/>
      <c r="AB936" s="242" t="str">
        <f t="shared" si="2"/>
        <v>#ERROR!</v>
      </c>
      <c r="AC936" s="154" t="s">
        <v>391</v>
      </c>
      <c r="AD936" s="242" t="b">
        <f t="shared" si="3"/>
        <v>0</v>
      </c>
      <c r="AE936" s="154"/>
      <c r="AF936" s="242" t="str">
        <f t="shared" si="4"/>
        <v>#ERROR!</v>
      </c>
      <c r="AG936" s="154" t="s">
        <v>652</v>
      </c>
      <c r="AH936" s="242" t="str">
        <f>IF(AG936="","N/A",INDIRECT("MTR!"&amp;ADDRESS(MATCH(LEFT(AG936,9),[1]MTR!C:C,0),COLUMN(J936)),TRUE) &amp; "")</f>
        <v>#ERROR!</v>
      </c>
      <c r="AI936" s="157" t="str">
        <f t="shared" si="5"/>
        <v>#ERROR!</v>
      </c>
    </row>
    <row r="937" ht="12.75" customHeight="1">
      <c r="A937" s="244" t="s">
        <v>5158</v>
      </c>
      <c r="B937" s="244" t="s">
        <v>231</v>
      </c>
      <c r="C937" s="244" t="s">
        <v>9192</v>
      </c>
      <c r="D937" s="154" t="s">
        <v>546</v>
      </c>
      <c r="E937" s="154"/>
      <c r="F937" s="154" t="str">
        <f t="array" ref="F937">XLOOKUP(Cover!$D$12,$R$1:$Z$1,$R937:$Z937)</f>
        <v>Mandatory</v>
      </c>
      <c r="G937" s="154" t="s">
        <v>9193</v>
      </c>
      <c r="H937" s="154" t="s">
        <v>9002</v>
      </c>
      <c r="I937" s="154" t="s">
        <v>9194</v>
      </c>
      <c r="J937" s="154" t="s">
        <v>8646</v>
      </c>
      <c r="K937" s="154" t="s">
        <v>9003</v>
      </c>
      <c r="L937" s="154" t="s">
        <v>6529</v>
      </c>
      <c r="M937" s="154" t="s">
        <v>175</v>
      </c>
      <c r="N937" s="154" t="s">
        <v>759</v>
      </c>
      <c r="O937" s="247" t="s">
        <v>516</v>
      </c>
      <c r="P937" s="247" t="s">
        <v>6776</v>
      </c>
      <c r="Q937" s="154" t="str">
        <f t="shared" si="1"/>
        <v>#ERROR!</v>
      </c>
      <c r="R937" s="154" t="s">
        <v>66</v>
      </c>
      <c r="S937" s="154" t="s">
        <v>66</v>
      </c>
      <c r="T937" s="155" t="s">
        <v>64</v>
      </c>
      <c r="U937" s="155" t="s">
        <v>64</v>
      </c>
      <c r="V937" s="154" t="s">
        <v>60</v>
      </c>
      <c r="W937" s="154" t="s">
        <v>60</v>
      </c>
      <c r="X937" s="154" t="s">
        <v>66</v>
      </c>
      <c r="Y937" s="155" t="s">
        <v>64</v>
      </c>
      <c r="Z937" s="154" t="s">
        <v>60</v>
      </c>
      <c r="AA937" s="154"/>
      <c r="AB937" s="242" t="str">
        <f t="shared" si="2"/>
        <v>#ERROR!</v>
      </c>
      <c r="AC937" s="154" t="s">
        <v>391</v>
      </c>
      <c r="AD937" s="242" t="b">
        <f t="shared" si="3"/>
        <v>0</v>
      </c>
      <c r="AE937" s="154"/>
      <c r="AF937" s="242" t="str">
        <f t="shared" si="4"/>
        <v>#ERROR!</v>
      </c>
      <c r="AG937" s="154" t="s">
        <v>652</v>
      </c>
      <c r="AH937" s="242" t="str">
        <f>IF(AG937="","N/A",INDIRECT("MTR!"&amp;ADDRESS(MATCH(LEFT(AG937,9),[1]MTR!C:C,0),COLUMN(J937)),TRUE) &amp; "")</f>
        <v>#ERROR!</v>
      </c>
      <c r="AI937" s="157" t="str">
        <f t="shared" si="5"/>
        <v>#ERROR!</v>
      </c>
    </row>
    <row r="938" ht="12.75" customHeight="1">
      <c r="A938" s="244" t="s">
        <v>5158</v>
      </c>
      <c r="B938" s="244" t="s">
        <v>231</v>
      </c>
      <c r="C938" s="244" t="s">
        <v>9195</v>
      </c>
      <c r="D938" s="154" t="s">
        <v>546</v>
      </c>
      <c r="E938" s="154"/>
      <c r="F938" s="154" t="str">
        <f t="array" ref="F938">XLOOKUP(Cover!$D$12,$R$1:$Z$1,$R938:$Z938)</f>
        <v>Mandatory</v>
      </c>
      <c r="G938" s="154" t="s">
        <v>9196</v>
      </c>
      <c r="H938" s="154" t="s">
        <v>9006</v>
      </c>
      <c r="I938" s="154" t="s">
        <v>9194</v>
      </c>
      <c r="J938" s="154" t="s">
        <v>8646</v>
      </c>
      <c r="K938" s="154" t="s">
        <v>9003</v>
      </c>
      <c r="L938" s="154" t="s">
        <v>6529</v>
      </c>
      <c r="M938" s="154" t="s">
        <v>175</v>
      </c>
      <c r="N938" s="154" t="s">
        <v>759</v>
      </c>
      <c r="O938" s="247" t="s">
        <v>516</v>
      </c>
      <c r="P938" s="247" t="s">
        <v>6776</v>
      </c>
      <c r="Q938" s="154" t="str">
        <f t="shared" si="1"/>
        <v>#ERROR!</v>
      </c>
      <c r="R938" s="154" t="s">
        <v>66</v>
      </c>
      <c r="S938" s="154" t="s">
        <v>66</v>
      </c>
      <c r="T938" s="155" t="s">
        <v>64</v>
      </c>
      <c r="U938" s="155" t="s">
        <v>64</v>
      </c>
      <c r="V938" s="154" t="s">
        <v>60</v>
      </c>
      <c r="W938" s="154" t="s">
        <v>60</v>
      </c>
      <c r="X938" s="154" t="s">
        <v>66</v>
      </c>
      <c r="Y938" s="155" t="s">
        <v>64</v>
      </c>
      <c r="Z938" s="154" t="s">
        <v>60</v>
      </c>
      <c r="AA938" s="154"/>
      <c r="AB938" s="242" t="str">
        <f t="shared" si="2"/>
        <v>#ERROR!</v>
      </c>
      <c r="AC938" s="154" t="s">
        <v>391</v>
      </c>
      <c r="AD938" s="242" t="b">
        <f t="shared" si="3"/>
        <v>0</v>
      </c>
      <c r="AE938" s="154"/>
      <c r="AF938" s="242" t="str">
        <f t="shared" si="4"/>
        <v>#ERROR!</v>
      </c>
      <c r="AG938" s="154" t="s">
        <v>652</v>
      </c>
      <c r="AH938" s="242" t="str">
        <f>IF(AG938="","N/A",INDIRECT("MTR!"&amp;ADDRESS(MATCH(LEFT(AG938,9),[1]MTR!C:C,0),COLUMN(J938)),TRUE) &amp; "")</f>
        <v>#ERROR!</v>
      </c>
      <c r="AI938" s="157" t="str">
        <f t="shared" si="5"/>
        <v>#ERROR!</v>
      </c>
    </row>
    <row r="939" ht="12.75" customHeight="1">
      <c r="A939" s="244" t="s">
        <v>5158</v>
      </c>
      <c r="B939" s="244" t="s">
        <v>231</v>
      </c>
      <c r="C939" s="244" t="s">
        <v>9197</v>
      </c>
      <c r="D939" s="154" t="s">
        <v>747</v>
      </c>
      <c r="E939" s="154"/>
      <c r="F939" s="154" t="str">
        <f t="array" ref="F939">XLOOKUP(Cover!$D$12,$R$1:$Z$1,$R939:$Z939)</f>
        <v>Mandatory</v>
      </c>
      <c r="G939" s="154" t="s">
        <v>9198</v>
      </c>
      <c r="H939" s="154" t="s">
        <v>9002</v>
      </c>
      <c r="I939" s="154" t="s">
        <v>9199</v>
      </c>
      <c r="J939" s="154" t="s">
        <v>7486</v>
      </c>
      <c r="K939" s="154" t="s">
        <v>9003</v>
      </c>
      <c r="L939" s="154" t="s">
        <v>6525</v>
      </c>
      <c r="M939" s="154" t="s">
        <v>175</v>
      </c>
      <c r="N939" s="154" t="s">
        <v>759</v>
      </c>
      <c r="O939" s="247" t="s">
        <v>445</v>
      </c>
      <c r="P939" s="247" t="s">
        <v>89</v>
      </c>
      <c r="Q939" s="154" t="str">
        <f t="shared" si="1"/>
        <v>#ERROR!</v>
      </c>
      <c r="R939" s="154" t="s">
        <v>66</v>
      </c>
      <c r="S939" s="154" t="s">
        <v>66</v>
      </c>
      <c r="T939" s="155" t="s">
        <v>64</v>
      </c>
      <c r="U939" s="155" t="s">
        <v>64</v>
      </c>
      <c r="V939" s="154" t="s">
        <v>60</v>
      </c>
      <c r="W939" s="154" t="s">
        <v>60</v>
      </c>
      <c r="X939" s="154" t="s">
        <v>66</v>
      </c>
      <c r="Y939" s="155" t="s">
        <v>64</v>
      </c>
      <c r="Z939" s="154" t="s">
        <v>60</v>
      </c>
      <c r="AA939" s="154"/>
      <c r="AB939" s="242" t="str">
        <f t="shared" si="2"/>
        <v>#ERROR!</v>
      </c>
      <c r="AC939" s="154" t="s">
        <v>391</v>
      </c>
      <c r="AD939" s="242" t="b">
        <f t="shared" si="3"/>
        <v>0</v>
      </c>
      <c r="AE939" s="154"/>
      <c r="AF939" s="242" t="str">
        <f t="shared" si="4"/>
        <v>#ERROR!</v>
      </c>
      <c r="AG939" s="154" t="s">
        <v>652</v>
      </c>
      <c r="AH939" s="242" t="str">
        <f>IF(AG939="","N/A",INDIRECT("MTR!"&amp;ADDRESS(MATCH(LEFT(AG939,9),[1]MTR!C:C,0),COLUMN(J939)),TRUE) &amp; "")</f>
        <v>#ERROR!</v>
      </c>
      <c r="AI939" s="157" t="str">
        <f t="shared" si="5"/>
        <v>#ERROR!</v>
      </c>
    </row>
    <row r="940" ht="12.75" customHeight="1">
      <c r="A940" s="244" t="s">
        <v>5158</v>
      </c>
      <c r="B940" s="244" t="s">
        <v>231</v>
      </c>
      <c r="C940" s="244" t="s">
        <v>9200</v>
      </c>
      <c r="D940" s="154" t="s">
        <v>747</v>
      </c>
      <c r="E940" s="154"/>
      <c r="F940" s="154" t="str">
        <f t="array" ref="F940">XLOOKUP(Cover!$D$12,$R$1:$Z$1,$R940:$Z940)</f>
        <v>Recommended</v>
      </c>
      <c r="G940" s="154" t="s">
        <v>9201</v>
      </c>
      <c r="H940" s="154" t="s">
        <v>9009</v>
      </c>
      <c r="I940" s="154" t="s">
        <v>9199</v>
      </c>
      <c r="J940" s="154" t="s">
        <v>7486</v>
      </c>
      <c r="K940" s="154" t="s">
        <v>9003</v>
      </c>
      <c r="L940" s="154" t="s">
        <v>6525</v>
      </c>
      <c r="M940" s="154"/>
      <c r="N940" s="154" t="s">
        <v>759</v>
      </c>
      <c r="O940" s="247" t="s">
        <v>445</v>
      </c>
      <c r="P940" s="247" t="s">
        <v>89</v>
      </c>
      <c r="Q940" s="154" t="str">
        <f t="shared" si="1"/>
        <v>#ERROR!</v>
      </c>
      <c r="R940" s="154" t="s">
        <v>66</v>
      </c>
      <c r="S940" s="154" t="s">
        <v>66</v>
      </c>
      <c r="T940" s="154" t="s">
        <v>64</v>
      </c>
      <c r="U940" s="154" t="s">
        <v>64</v>
      </c>
      <c r="V940" s="154" t="s">
        <v>64</v>
      </c>
      <c r="W940" s="154" t="s">
        <v>64</v>
      </c>
      <c r="X940" s="154" t="s">
        <v>66</v>
      </c>
      <c r="Y940" s="154" t="s">
        <v>64</v>
      </c>
      <c r="Z940" s="154" t="s">
        <v>64</v>
      </c>
      <c r="AA940" s="154"/>
      <c r="AB940" s="242" t="str">
        <f t="shared" si="2"/>
        <v>#ERROR!</v>
      </c>
      <c r="AC940" s="154" t="s">
        <v>391</v>
      </c>
      <c r="AD940" s="242" t="b">
        <f t="shared" si="3"/>
        <v>0</v>
      </c>
      <c r="AE940" s="154"/>
      <c r="AF940" s="242" t="str">
        <f t="shared" si="4"/>
        <v>#ERROR!</v>
      </c>
      <c r="AG940" s="154" t="s">
        <v>652</v>
      </c>
      <c r="AH940" s="242" t="str">
        <f>IF(AG940="","N/A",INDIRECT("MTR!"&amp;ADDRESS(MATCH(LEFT(AG940,9),[1]MTR!C:C,0),COLUMN(J940)),TRUE) &amp; "")</f>
        <v>#ERROR!</v>
      </c>
      <c r="AI940" s="157" t="str">
        <f t="shared" si="5"/>
        <v>#ERROR!</v>
      </c>
    </row>
    <row r="941" ht="12.75" customHeight="1">
      <c r="A941" s="244" t="s">
        <v>5158</v>
      </c>
      <c r="B941" s="244" t="s">
        <v>231</v>
      </c>
      <c r="C941" s="244" t="s">
        <v>9202</v>
      </c>
      <c r="D941" s="154" t="s">
        <v>781</v>
      </c>
      <c r="E941" s="154"/>
      <c r="F941" s="154" t="str">
        <f t="array" ref="F941">XLOOKUP(Cover!$D$12,$R$1:$Z$1,$R941:$Z941)</f>
        <v>Recommended</v>
      </c>
      <c r="G941" s="154" t="s">
        <v>9203</v>
      </c>
      <c r="H941" s="154" t="s">
        <v>9084</v>
      </c>
      <c r="I941" s="154" t="s">
        <v>9199</v>
      </c>
      <c r="J941" s="154" t="s">
        <v>7486</v>
      </c>
      <c r="K941" s="154" t="s">
        <v>9003</v>
      </c>
      <c r="L941" s="154" t="s">
        <v>6525</v>
      </c>
      <c r="M941" s="154"/>
      <c r="N941" s="154" t="s">
        <v>759</v>
      </c>
      <c r="O941" s="247" t="s">
        <v>516</v>
      </c>
      <c r="P941" s="247" t="s">
        <v>1575</v>
      </c>
      <c r="Q941" s="154" t="str">
        <f t="shared" si="1"/>
        <v>#ERROR!</v>
      </c>
      <c r="R941" s="154" t="s">
        <v>66</v>
      </c>
      <c r="S941" s="154" t="s">
        <v>66</v>
      </c>
      <c r="T941" s="154" t="s">
        <v>64</v>
      </c>
      <c r="U941" s="154" t="s">
        <v>64</v>
      </c>
      <c r="V941" s="154" t="s">
        <v>64</v>
      </c>
      <c r="W941" s="154" t="s">
        <v>64</v>
      </c>
      <c r="X941" s="154" t="s">
        <v>66</v>
      </c>
      <c r="Y941" s="154" t="s">
        <v>64</v>
      </c>
      <c r="Z941" s="154" t="s">
        <v>64</v>
      </c>
      <c r="AA941" s="154"/>
      <c r="AB941" s="242" t="str">
        <f t="shared" si="2"/>
        <v>#ERROR!</v>
      </c>
      <c r="AC941" s="154" t="s">
        <v>391</v>
      </c>
      <c r="AD941" s="242" t="b">
        <f t="shared" si="3"/>
        <v>0</v>
      </c>
      <c r="AE941" s="154"/>
      <c r="AF941" s="242" t="str">
        <f t="shared" si="4"/>
        <v>#ERROR!</v>
      </c>
      <c r="AG941" s="154" t="s">
        <v>652</v>
      </c>
      <c r="AH941" s="242" t="str">
        <f>IF(AG941="","N/A",INDIRECT("MTR!"&amp;ADDRESS(MATCH(LEFT(AG941,9),[1]MTR!C:C,0),COLUMN(J941)),TRUE) &amp; "")</f>
        <v>#ERROR!</v>
      </c>
      <c r="AI941" s="157" t="str">
        <f t="shared" si="5"/>
        <v>#ERROR!</v>
      </c>
    </row>
    <row r="942" ht="12.75" customHeight="1">
      <c r="A942" s="244" t="s">
        <v>5158</v>
      </c>
      <c r="B942" s="244" t="s">
        <v>231</v>
      </c>
      <c r="C942" s="244" t="s">
        <v>9204</v>
      </c>
      <c r="D942" s="154" t="s">
        <v>542</v>
      </c>
      <c r="E942" s="154"/>
      <c r="F942" s="154" t="str">
        <f t="array" ref="F942">XLOOKUP(Cover!$D$12,$R$1:$Z$1,$R942:$Z942)</f>
        <v>Information</v>
      </c>
      <c r="G942" s="154" t="s">
        <v>9205</v>
      </c>
      <c r="H942" s="154" t="s">
        <v>9002</v>
      </c>
      <c r="I942" s="154" t="s">
        <v>9206</v>
      </c>
      <c r="J942" s="154" t="s">
        <v>8662</v>
      </c>
      <c r="K942" s="154" t="s">
        <v>9003</v>
      </c>
      <c r="L942" s="154" t="s">
        <v>6064</v>
      </c>
      <c r="M942" s="154"/>
      <c r="N942" s="154" t="s">
        <v>759</v>
      </c>
      <c r="O942" s="247" t="s">
        <v>445</v>
      </c>
      <c r="P942" s="247" t="s">
        <v>89</v>
      </c>
      <c r="Q942" s="154" t="str">
        <f t="shared" si="1"/>
        <v>#ERROR!</v>
      </c>
      <c r="R942" s="154" t="s">
        <v>66</v>
      </c>
      <c r="S942" s="154" t="s">
        <v>66</v>
      </c>
      <c r="T942" s="154" t="s">
        <v>66</v>
      </c>
      <c r="U942" s="154" t="s">
        <v>66</v>
      </c>
      <c r="V942" s="154" t="s">
        <v>66</v>
      </c>
      <c r="W942" s="154" t="s">
        <v>66</v>
      </c>
      <c r="X942" s="154" t="s">
        <v>66</v>
      </c>
      <c r="Y942" s="154" t="s">
        <v>66</v>
      </c>
      <c r="Z942" s="154" t="s">
        <v>66</v>
      </c>
      <c r="AA942" s="154"/>
      <c r="AB942" s="242" t="str">
        <f t="shared" si="2"/>
        <v>#ERROR!</v>
      </c>
      <c r="AC942" s="154" t="s">
        <v>391</v>
      </c>
      <c r="AD942" s="242" t="b">
        <f t="shared" si="3"/>
        <v>0</v>
      </c>
      <c r="AE942" s="154"/>
      <c r="AF942" s="242" t="str">
        <f t="shared" si="4"/>
        <v>#ERROR!</v>
      </c>
      <c r="AG942" s="154" t="s">
        <v>652</v>
      </c>
      <c r="AH942" s="242" t="str">
        <f>IF(AG942="","N/A",INDIRECT("MTR!"&amp;ADDRESS(MATCH(LEFT(AG942,9),[1]MTR!C:C,0),COLUMN(J942)),TRUE) &amp; "")</f>
        <v>#ERROR!</v>
      </c>
      <c r="AI942" s="157" t="str">
        <f t="shared" si="5"/>
        <v>#ERROR!</v>
      </c>
    </row>
    <row r="943" ht="12.75" customHeight="1">
      <c r="A943" s="244" t="s">
        <v>5158</v>
      </c>
      <c r="B943" s="244" t="s">
        <v>231</v>
      </c>
      <c r="C943" s="244" t="s">
        <v>9207</v>
      </c>
      <c r="D943" s="154" t="s">
        <v>542</v>
      </c>
      <c r="E943" s="154"/>
      <c r="F943" s="154" t="str">
        <f t="array" ref="F943">XLOOKUP(Cover!$D$12,$R$1:$Z$1,$R943:$Z943)</f>
        <v>Information</v>
      </c>
      <c r="G943" s="154" t="s">
        <v>9208</v>
      </c>
      <c r="H943" s="154" t="s">
        <v>9009</v>
      </c>
      <c r="I943" s="154" t="s">
        <v>9206</v>
      </c>
      <c r="J943" s="154" t="s">
        <v>8662</v>
      </c>
      <c r="K943" s="154" t="s">
        <v>9003</v>
      </c>
      <c r="L943" s="154" t="s">
        <v>6064</v>
      </c>
      <c r="M943" s="154"/>
      <c r="N943" s="154" t="s">
        <v>759</v>
      </c>
      <c r="O943" s="247" t="s">
        <v>445</v>
      </c>
      <c r="P943" s="247" t="s">
        <v>89</v>
      </c>
      <c r="Q943" s="154" t="str">
        <f t="shared" si="1"/>
        <v>#ERROR!</v>
      </c>
      <c r="R943" s="154" t="s">
        <v>66</v>
      </c>
      <c r="S943" s="154" t="s">
        <v>66</v>
      </c>
      <c r="T943" s="154" t="s">
        <v>66</v>
      </c>
      <c r="U943" s="154" t="s">
        <v>66</v>
      </c>
      <c r="V943" s="154" t="s">
        <v>66</v>
      </c>
      <c r="W943" s="154" t="s">
        <v>66</v>
      </c>
      <c r="X943" s="154" t="s">
        <v>66</v>
      </c>
      <c r="Y943" s="154" t="s">
        <v>66</v>
      </c>
      <c r="Z943" s="154" t="s">
        <v>66</v>
      </c>
      <c r="AA943" s="154"/>
      <c r="AB943" s="242" t="str">
        <f t="shared" si="2"/>
        <v>#ERROR!</v>
      </c>
      <c r="AC943" s="154" t="s">
        <v>391</v>
      </c>
      <c r="AD943" s="242" t="b">
        <f t="shared" si="3"/>
        <v>0</v>
      </c>
      <c r="AE943" s="154"/>
      <c r="AF943" s="242" t="str">
        <f t="shared" si="4"/>
        <v>#ERROR!</v>
      </c>
      <c r="AG943" s="154" t="s">
        <v>652</v>
      </c>
      <c r="AH943" s="242" t="str">
        <f>IF(AG943="","N/A",INDIRECT("MTR!"&amp;ADDRESS(MATCH(LEFT(AG943,9),[1]MTR!C:C,0),COLUMN(J943)),TRUE) &amp; "")</f>
        <v>#ERROR!</v>
      </c>
      <c r="AI943" s="157" t="str">
        <f t="shared" si="5"/>
        <v>#ERROR!</v>
      </c>
    </row>
    <row r="944" ht="12.75" customHeight="1">
      <c r="A944" s="244" t="s">
        <v>5158</v>
      </c>
      <c r="B944" s="244" t="s">
        <v>231</v>
      </c>
      <c r="C944" s="244" t="s">
        <v>9209</v>
      </c>
      <c r="D944" s="154" t="s">
        <v>781</v>
      </c>
      <c r="E944" s="154"/>
      <c r="F944" s="154" t="str">
        <f t="array" ref="F944">XLOOKUP(Cover!$D$12,$R$1:$Z$1,$R944:$Z944)</f>
        <v>Mandatory</v>
      </c>
      <c r="G944" s="154" t="s">
        <v>9210</v>
      </c>
      <c r="H944" s="154" t="s">
        <v>9002</v>
      </c>
      <c r="I944" s="154" t="s">
        <v>9211</v>
      </c>
      <c r="J944" s="154" t="s">
        <v>7494</v>
      </c>
      <c r="K944" s="154" t="s">
        <v>9003</v>
      </c>
      <c r="L944" s="154" t="s">
        <v>6140</v>
      </c>
      <c r="M944" s="154" t="s">
        <v>175</v>
      </c>
      <c r="N944" s="154" t="s">
        <v>759</v>
      </c>
      <c r="O944" s="247" t="s">
        <v>516</v>
      </c>
      <c r="P944" s="247" t="s">
        <v>6776</v>
      </c>
      <c r="Q944" s="154" t="str">
        <f t="shared" si="1"/>
        <v>#ERROR!</v>
      </c>
      <c r="R944" s="154" t="s">
        <v>66</v>
      </c>
      <c r="S944" s="154" t="s">
        <v>66</v>
      </c>
      <c r="T944" s="155" t="s">
        <v>64</v>
      </c>
      <c r="U944" s="155" t="s">
        <v>64</v>
      </c>
      <c r="V944" s="154" t="s">
        <v>60</v>
      </c>
      <c r="W944" s="154" t="s">
        <v>60</v>
      </c>
      <c r="X944" s="154" t="s">
        <v>66</v>
      </c>
      <c r="Y944" s="155" t="s">
        <v>64</v>
      </c>
      <c r="Z944" s="154" t="s">
        <v>60</v>
      </c>
      <c r="AA944" s="154"/>
      <c r="AB944" s="242" t="str">
        <f t="shared" si="2"/>
        <v>#ERROR!</v>
      </c>
      <c r="AC944" s="154" t="s">
        <v>391</v>
      </c>
      <c r="AD944" s="242" t="b">
        <f t="shared" si="3"/>
        <v>0</v>
      </c>
      <c r="AE944" s="154"/>
      <c r="AF944" s="242" t="str">
        <f t="shared" si="4"/>
        <v>#ERROR!</v>
      </c>
      <c r="AG944" s="154" t="s">
        <v>652</v>
      </c>
      <c r="AH944" s="242" t="str">
        <f>IF(AG944="","N/A",INDIRECT("MTR!"&amp;ADDRESS(MATCH(LEFT(AG944,9),[1]MTR!C:C,0),COLUMN(J944)),TRUE) &amp; "")</f>
        <v>#ERROR!</v>
      </c>
      <c r="AI944" s="157" t="str">
        <f t="shared" si="5"/>
        <v>#ERROR!</v>
      </c>
    </row>
    <row r="945" ht="12.75" customHeight="1">
      <c r="A945" s="244" t="s">
        <v>5158</v>
      </c>
      <c r="B945" s="244" t="s">
        <v>231</v>
      </c>
      <c r="C945" s="244" t="s">
        <v>9212</v>
      </c>
      <c r="D945" s="154" t="s">
        <v>781</v>
      </c>
      <c r="E945" s="154"/>
      <c r="F945" s="154" t="str">
        <f t="array" ref="F945">XLOOKUP(Cover!$D$12,$R$1:$Z$1,$R945:$Z945)</f>
        <v>Mandatory</v>
      </c>
      <c r="G945" s="154" t="s">
        <v>9213</v>
      </c>
      <c r="H945" s="154" t="s">
        <v>9009</v>
      </c>
      <c r="I945" s="154" t="s">
        <v>9211</v>
      </c>
      <c r="J945" s="154" t="s">
        <v>7494</v>
      </c>
      <c r="K945" s="154" t="s">
        <v>9003</v>
      </c>
      <c r="L945" s="154" t="s">
        <v>6140</v>
      </c>
      <c r="M945" s="154" t="s">
        <v>175</v>
      </c>
      <c r="N945" s="154" t="s">
        <v>759</v>
      </c>
      <c r="O945" s="247" t="s">
        <v>516</v>
      </c>
      <c r="P945" s="247" t="s">
        <v>6776</v>
      </c>
      <c r="Q945" s="154" t="str">
        <f t="shared" si="1"/>
        <v>#ERROR!</v>
      </c>
      <c r="R945" s="154" t="s">
        <v>66</v>
      </c>
      <c r="S945" s="154" t="s">
        <v>66</v>
      </c>
      <c r="T945" s="155" t="s">
        <v>64</v>
      </c>
      <c r="U945" s="155" t="s">
        <v>64</v>
      </c>
      <c r="V945" s="154" t="s">
        <v>60</v>
      </c>
      <c r="W945" s="154" t="s">
        <v>60</v>
      </c>
      <c r="X945" s="154" t="s">
        <v>66</v>
      </c>
      <c r="Y945" s="155" t="s">
        <v>64</v>
      </c>
      <c r="Z945" s="154" t="s">
        <v>60</v>
      </c>
      <c r="AA945" s="154"/>
      <c r="AB945" s="242" t="str">
        <f t="shared" si="2"/>
        <v>#ERROR!</v>
      </c>
      <c r="AC945" s="154" t="s">
        <v>391</v>
      </c>
      <c r="AD945" s="242" t="b">
        <f t="shared" si="3"/>
        <v>0</v>
      </c>
      <c r="AE945" s="154"/>
      <c r="AF945" s="242" t="str">
        <f t="shared" si="4"/>
        <v>#ERROR!</v>
      </c>
      <c r="AG945" s="154" t="s">
        <v>652</v>
      </c>
      <c r="AH945" s="242" t="str">
        <f>IF(AG945="","N/A",INDIRECT("MTR!"&amp;ADDRESS(MATCH(LEFT(AG945,9),[1]MTR!C:C,0),COLUMN(J945)),TRUE) &amp; "")</f>
        <v>#ERROR!</v>
      </c>
      <c r="AI945" s="157" t="str">
        <f t="shared" si="5"/>
        <v>#ERROR!</v>
      </c>
    </row>
    <row r="946" ht="12.75" customHeight="1">
      <c r="A946" s="244" t="s">
        <v>5158</v>
      </c>
      <c r="B946" s="244" t="s">
        <v>231</v>
      </c>
      <c r="C946" s="244" t="s">
        <v>9214</v>
      </c>
      <c r="D946" s="154" t="s">
        <v>781</v>
      </c>
      <c r="E946" s="154"/>
      <c r="F946" s="154" t="str">
        <f t="array" ref="F946">XLOOKUP(Cover!$D$12,$R$1:$Z$1,$R946:$Z946)</f>
        <v>Mandatory</v>
      </c>
      <c r="G946" s="154" t="s">
        <v>9215</v>
      </c>
      <c r="H946" s="154" t="s">
        <v>9012</v>
      </c>
      <c r="I946" s="154" t="s">
        <v>9211</v>
      </c>
      <c r="J946" s="154" t="s">
        <v>7494</v>
      </c>
      <c r="K946" s="154" t="s">
        <v>9003</v>
      </c>
      <c r="L946" s="154" t="s">
        <v>6140</v>
      </c>
      <c r="M946" s="154" t="s">
        <v>175</v>
      </c>
      <c r="N946" s="154" t="s">
        <v>759</v>
      </c>
      <c r="O946" s="247" t="s">
        <v>516</v>
      </c>
      <c r="P946" s="247" t="s">
        <v>6776</v>
      </c>
      <c r="Q946" s="154" t="str">
        <f t="shared" si="1"/>
        <v>#ERROR!</v>
      </c>
      <c r="R946" s="154" t="s">
        <v>66</v>
      </c>
      <c r="S946" s="154" t="s">
        <v>66</v>
      </c>
      <c r="T946" s="155" t="s">
        <v>64</v>
      </c>
      <c r="U946" s="155" t="s">
        <v>64</v>
      </c>
      <c r="V946" s="154" t="s">
        <v>60</v>
      </c>
      <c r="W946" s="154" t="s">
        <v>60</v>
      </c>
      <c r="X946" s="154" t="s">
        <v>66</v>
      </c>
      <c r="Y946" s="155" t="s">
        <v>64</v>
      </c>
      <c r="Z946" s="154" t="s">
        <v>60</v>
      </c>
      <c r="AA946" s="154"/>
      <c r="AB946" s="242" t="str">
        <f t="shared" si="2"/>
        <v>#ERROR!</v>
      </c>
      <c r="AC946" s="154" t="s">
        <v>391</v>
      </c>
      <c r="AD946" s="242" t="b">
        <f t="shared" si="3"/>
        <v>0</v>
      </c>
      <c r="AE946" s="154"/>
      <c r="AF946" s="242" t="str">
        <f t="shared" si="4"/>
        <v>#ERROR!</v>
      </c>
      <c r="AG946" s="154" t="s">
        <v>652</v>
      </c>
      <c r="AH946" s="242" t="str">
        <f>IF(AG946="","N/A",INDIRECT("MTR!"&amp;ADDRESS(MATCH(LEFT(AG946,9),[1]MTR!C:C,0),COLUMN(J946)),TRUE) &amp; "")</f>
        <v>#ERROR!</v>
      </c>
      <c r="AI946" s="157" t="str">
        <f t="shared" si="5"/>
        <v>#ERROR!</v>
      </c>
    </row>
    <row r="947" ht="12.75" customHeight="1">
      <c r="A947" s="244" t="s">
        <v>5158</v>
      </c>
      <c r="B947" s="244" t="s">
        <v>231</v>
      </c>
      <c r="C947" s="244" t="s">
        <v>9216</v>
      </c>
      <c r="D947" s="154" t="s">
        <v>542</v>
      </c>
      <c r="E947" s="154"/>
      <c r="F947" s="154" t="str">
        <f t="array" ref="F947">XLOOKUP(Cover!$D$12,$R$1:$Z$1,$R947:$Z947)</f>
        <v>Mandatory</v>
      </c>
      <c r="G947" s="154" t="s">
        <v>9217</v>
      </c>
      <c r="H947" s="154" t="s">
        <v>9002</v>
      </c>
      <c r="I947" s="154" t="s">
        <v>9218</v>
      </c>
      <c r="J947" s="154" t="s">
        <v>7502</v>
      </c>
      <c r="K947" s="154" t="s">
        <v>9003</v>
      </c>
      <c r="L947" s="154" t="s">
        <v>6064</v>
      </c>
      <c r="M947" s="154" t="s">
        <v>175</v>
      </c>
      <c r="N947" s="154" t="s">
        <v>759</v>
      </c>
      <c r="O947" s="247" t="s">
        <v>516</v>
      </c>
      <c r="P947" s="247" t="s">
        <v>6776</v>
      </c>
      <c r="Q947" s="154" t="str">
        <f t="shared" si="1"/>
        <v>#ERROR!</v>
      </c>
      <c r="R947" s="154" t="s">
        <v>66</v>
      </c>
      <c r="S947" s="154" t="s">
        <v>66</v>
      </c>
      <c r="T947" s="155" t="s">
        <v>64</v>
      </c>
      <c r="U947" s="155" t="s">
        <v>64</v>
      </c>
      <c r="V947" s="154" t="s">
        <v>60</v>
      </c>
      <c r="W947" s="154" t="s">
        <v>60</v>
      </c>
      <c r="X947" s="154" t="s">
        <v>66</v>
      </c>
      <c r="Y947" s="155" t="s">
        <v>64</v>
      </c>
      <c r="Z947" s="154" t="s">
        <v>60</v>
      </c>
      <c r="AA947" s="154"/>
      <c r="AB947" s="242" t="str">
        <f t="shared" si="2"/>
        <v>#ERROR!</v>
      </c>
      <c r="AC947" s="154" t="s">
        <v>391</v>
      </c>
      <c r="AD947" s="242" t="b">
        <f t="shared" si="3"/>
        <v>0</v>
      </c>
      <c r="AE947" s="154"/>
      <c r="AF947" s="242" t="str">
        <f t="shared" si="4"/>
        <v>#ERROR!</v>
      </c>
      <c r="AG947" s="154" t="s">
        <v>652</v>
      </c>
      <c r="AH947" s="242" t="str">
        <f>IF(AG947="","N/A",INDIRECT("MTR!"&amp;ADDRESS(MATCH(LEFT(AG947,9),[1]MTR!C:C,0),COLUMN(J947)),TRUE) &amp; "")</f>
        <v>#ERROR!</v>
      </c>
      <c r="AI947" s="157" t="str">
        <f t="shared" si="5"/>
        <v>#ERROR!</v>
      </c>
    </row>
    <row r="948" ht="12.75" customHeight="1">
      <c r="A948" s="244" t="s">
        <v>5158</v>
      </c>
      <c r="B948" s="244" t="s">
        <v>231</v>
      </c>
      <c r="C948" s="244" t="s">
        <v>9219</v>
      </c>
      <c r="D948" s="154" t="s">
        <v>542</v>
      </c>
      <c r="E948" s="154"/>
      <c r="F948" s="154" t="str">
        <f t="array" ref="F948">XLOOKUP(Cover!$D$12,$R$1:$Z$1,$R948:$Z948)</f>
        <v>Mandatory</v>
      </c>
      <c r="G948" s="154" t="s">
        <v>9220</v>
      </c>
      <c r="H948" s="154" t="s">
        <v>9009</v>
      </c>
      <c r="I948" s="154" t="s">
        <v>9218</v>
      </c>
      <c r="J948" s="154" t="s">
        <v>7502</v>
      </c>
      <c r="K948" s="154" t="s">
        <v>9003</v>
      </c>
      <c r="L948" s="154" t="s">
        <v>6064</v>
      </c>
      <c r="M948" s="154" t="s">
        <v>175</v>
      </c>
      <c r="N948" s="154" t="s">
        <v>759</v>
      </c>
      <c r="O948" s="247" t="s">
        <v>516</v>
      </c>
      <c r="P948" s="247" t="s">
        <v>6776</v>
      </c>
      <c r="Q948" s="154" t="str">
        <f t="shared" si="1"/>
        <v>#ERROR!</v>
      </c>
      <c r="R948" s="154" t="s">
        <v>66</v>
      </c>
      <c r="S948" s="154" t="s">
        <v>66</v>
      </c>
      <c r="T948" s="155" t="s">
        <v>64</v>
      </c>
      <c r="U948" s="155" t="s">
        <v>64</v>
      </c>
      <c r="V948" s="154" t="s">
        <v>60</v>
      </c>
      <c r="W948" s="154" t="s">
        <v>60</v>
      </c>
      <c r="X948" s="154" t="s">
        <v>66</v>
      </c>
      <c r="Y948" s="155" t="s">
        <v>64</v>
      </c>
      <c r="Z948" s="154" t="s">
        <v>60</v>
      </c>
      <c r="AA948" s="154"/>
      <c r="AB948" s="242" t="str">
        <f t="shared" si="2"/>
        <v>#ERROR!</v>
      </c>
      <c r="AC948" s="154" t="s">
        <v>391</v>
      </c>
      <c r="AD948" s="242" t="b">
        <f t="shared" si="3"/>
        <v>0</v>
      </c>
      <c r="AE948" s="154"/>
      <c r="AF948" s="242" t="str">
        <f t="shared" si="4"/>
        <v>#ERROR!</v>
      </c>
      <c r="AG948" s="154" t="s">
        <v>652</v>
      </c>
      <c r="AH948" s="242" t="str">
        <f>IF(AG948="","N/A",INDIRECT("MTR!"&amp;ADDRESS(MATCH(LEFT(AG948,9),[1]MTR!C:C,0),COLUMN(J948)),TRUE) &amp; "")</f>
        <v>#ERROR!</v>
      </c>
      <c r="AI948" s="157" t="str">
        <f t="shared" si="5"/>
        <v>#ERROR!</v>
      </c>
    </row>
    <row r="949" ht="12.75" customHeight="1">
      <c r="A949" s="244" t="s">
        <v>5158</v>
      </c>
      <c r="B949" s="244" t="s">
        <v>231</v>
      </c>
      <c r="C949" s="244" t="s">
        <v>9221</v>
      </c>
      <c r="D949" s="154" t="s">
        <v>542</v>
      </c>
      <c r="E949" s="154"/>
      <c r="F949" s="154" t="str">
        <f t="array" ref="F949">XLOOKUP(Cover!$D$12,$R$1:$Z$1,$R949:$Z949)</f>
        <v>Mandatory</v>
      </c>
      <c r="G949" s="154" t="s">
        <v>9222</v>
      </c>
      <c r="H949" s="154" t="s">
        <v>9015</v>
      </c>
      <c r="I949" s="154" t="s">
        <v>9218</v>
      </c>
      <c r="J949" s="154" t="s">
        <v>7502</v>
      </c>
      <c r="K949" s="154" t="s">
        <v>9003</v>
      </c>
      <c r="L949" s="154" t="s">
        <v>6064</v>
      </c>
      <c r="M949" s="154" t="s">
        <v>175</v>
      </c>
      <c r="N949" s="154" t="s">
        <v>759</v>
      </c>
      <c r="O949" s="247" t="s">
        <v>516</v>
      </c>
      <c r="P949" s="247" t="s">
        <v>6776</v>
      </c>
      <c r="Q949" s="154" t="str">
        <f t="shared" si="1"/>
        <v>#ERROR!</v>
      </c>
      <c r="R949" s="154" t="s">
        <v>66</v>
      </c>
      <c r="S949" s="154" t="s">
        <v>66</v>
      </c>
      <c r="T949" s="155" t="s">
        <v>64</v>
      </c>
      <c r="U949" s="155" t="s">
        <v>64</v>
      </c>
      <c r="V949" s="154" t="s">
        <v>60</v>
      </c>
      <c r="W949" s="154" t="s">
        <v>60</v>
      </c>
      <c r="X949" s="154" t="s">
        <v>66</v>
      </c>
      <c r="Y949" s="155" t="s">
        <v>64</v>
      </c>
      <c r="Z949" s="154" t="s">
        <v>60</v>
      </c>
      <c r="AA949" s="154"/>
      <c r="AB949" s="242" t="str">
        <f t="shared" si="2"/>
        <v>#ERROR!</v>
      </c>
      <c r="AC949" s="154" t="s">
        <v>391</v>
      </c>
      <c r="AD949" s="242" t="b">
        <f t="shared" si="3"/>
        <v>0</v>
      </c>
      <c r="AE949" s="154"/>
      <c r="AF949" s="242" t="str">
        <f t="shared" si="4"/>
        <v>#ERROR!</v>
      </c>
      <c r="AG949" s="154" t="s">
        <v>652</v>
      </c>
      <c r="AH949" s="242" t="str">
        <f>IF(AG949="","N/A",INDIRECT("MTR!"&amp;ADDRESS(MATCH(LEFT(AG949,9),[1]MTR!C:C,0),COLUMN(J949)),TRUE) &amp; "")</f>
        <v>#ERROR!</v>
      </c>
      <c r="AI949" s="157" t="str">
        <f t="shared" si="5"/>
        <v>#ERROR!</v>
      </c>
    </row>
    <row r="950" ht="12.75" customHeight="1">
      <c r="A950" s="244" t="s">
        <v>5158</v>
      </c>
      <c r="B950" s="244" t="s">
        <v>231</v>
      </c>
      <c r="C950" s="244" t="s">
        <v>9223</v>
      </c>
      <c r="D950" s="154" t="s">
        <v>747</v>
      </c>
      <c r="E950" s="154"/>
      <c r="F950" s="154" t="str">
        <f t="array" ref="F950">XLOOKUP(Cover!$D$12,$R$1:$Z$1,$R950:$Z950)</f>
        <v>Mandatory</v>
      </c>
      <c r="G950" s="154" t="s">
        <v>9224</v>
      </c>
      <c r="H950" s="154" t="s">
        <v>9002</v>
      </c>
      <c r="I950" s="154" t="s">
        <v>9225</v>
      </c>
      <c r="J950" s="154" t="s">
        <v>7510</v>
      </c>
      <c r="K950" s="154" t="s">
        <v>9003</v>
      </c>
      <c r="L950" s="154" t="s">
        <v>6525</v>
      </c>
      <c r="M950" s="154" t="s">
        <v>175</v>
      </c>
      <c r="N950" s="154" t="s">
        <v>759</v>
      </c>
      <c r="O950" s="247" t="s">
        <v>516</v>
      </c>
      <c r="P950" s="247" t="s">
        <v>6776</v>
      </c>
      <c r="Q950" s="154" t="str">
        <f t="shared" si="1"/>
        <v>#ERROR!</v>
      </c>
      <c r="R950" s="154" t="s">
        <v>66</v>
      </c>
      <c r="S950" s="154" t="s">
        <v>66</v>
      </c>
      <c r="T950" s="155" t="s">
        <v>64</v>
      </c>
      <c r="U950" s="155" t="s">
        <v>64</v>
      </c>
      <c r="V950" s="154" t="s">
        <v>60</v>
      </c>
      <c r="W950" s="154" t="s">
        <v>60</v>
      </c>
      <c r="X950" s="154" t="s">
        <v>66</v>
      </c>
      <c r="Y950" s="155" t="s">
        <v>64</v>
      </c>
      <c r="Z950" s="154" t="s">
        <v>60</v>
      </c>
      <c r="AA950" s="154"/>
      <c r="AB950" s="242" t="str">
        <f t="shared" si="2"/>
        <v>#ERROR!</v>
      </c>
      <c r="AC950" s="154" t="s">
        <v>391</v>
      </c>
      <c r="AD950" s="242" t="b">
        <f t="shared" si="3"/>
        <v>0</v>
      </c>
      <c r="AE950" s="154"/>
      <c r="AF950" s="242" t="str">
        <f t="shared" si="4"/>
        <v>#ERROR!</v>
      </c>
      <c r="AG950" s="154" t="s">
        <v>652</v>
      </c>
      <c r="AH950" s="242" t="str">
        <f>IF(AG950="","N/A",INDIRECT("MTR!"&amp;ADDRESS(MATCH(LEFT(AG950,9),[1]MTR!C:C,0),COLUMN(J950)),TRUE) &amp; "")</f>
        <v>#ERROR!</v>
      </c>
      <c r="AI950" s="157" t="str">
        <f t="shared" si="5"/>
        <v>#ERROR!</v>
      </c>
    </row>
    <row r="951" ht="12.75" customHeight="1">
      <c r="A951" s="244" t="s">
        <v>5158</v>
      </c>
      <c r="B951" s="244" t="s">
        <v>231</v>
      </c>
      <c r="C951" s="244" t="s">
        <v>9226</v>
      </c>
      <c r="D951" s="154" t="s">
        <v>747</v>
      </c>
      <c r="E951" s="154"/>
      <c r="F951" s="154" t="str">
        <f t="array" ref="F951">XLOOKUP(Cover!$D$12,$R$1:$Z$1,$R951:$Z951)</f>
        <v>Recommended</v>
      </c>
      <c r="G951" s="154" t="s">
        <v>9227</v>
      </c>
      <c r="H951" s="154" t="s">
        <v>9009</v>
      </c>
      <c r="I951" s="154" t="s">
        <v>9225</v>
      </c>
      <c r="J951" s="154" t="s">
        <v>7510</v>
      </c>
      <c r="K951" s="154" t="s">
        <v>9003</v>
      </c>
      <c r="L951" s="154" t="s">
        <v>6525</v>
      </c>
      <c r="M951" s="154"/>
      <c r="N951" s="154" t="s">
        <v>759</v>
      </c>
      <c r="O951" s="247" t="s">
        <v>516</v>
      </c>
      <c r="P951" s="247" t="s">
        <v>6776</v>
      </c>
      <c r="Q951" s="154" t="str">
        <f t="shared" si="1"/>
        <v>#ERROR!</v>
      </c>
      <c r="R951" s="154" t="s">
        <v>66</v>
      </c>
      <c r="S951" s="154" t="s">
        <v>66</v>
      </c>
      <c r="T951" s="154" t="s">
        <v>64</v>
      </c>
      <c r="U951" s="154" t="s">
        <v>64</v>
      </c>
      <c r="V951" s="154" t="s">
        <v>64</v>
      </c>
      <c r="W951" s="154" t="s">
        <v>64</v>
      </c>
      <c r="X951" s="154" t="s">
        <v>66</v>
      </c>
      <c r="Y951" s="154" t="s">
        <v>64</v>
      </c>
      <c r="Z951" s="154" t="s">
        <v>64</v>
      </c>
      <c r="AA951" s="154"/>
      <c r="AB951" s="242" t="str">
        <f t="shared" si="2"/>
        <v>#ERROR!</v>
      </c>
      <c r="AC951" s="154" t="s">
        <v>391</v>
      </c>
      <c r="AD951" s="242" t="b">
        <f t="shared" si="3"/>
        <v>0</v>
      </c>
      <c r="AE951" s="154"/>
      <c r="AF951" s="242" t="str">
        <f t="shared" si="4"/>
        <v>#ERROR!</v>
      </c>
      <c r="AG951" s="154" t="s">
        <v>652</v>
      </c>
      <c r="AH951" s="242" t="str">
        <f>IF(AG951="","N/A",INDIRECT("MTR!"&amp;ADDRESS(MATCH(LEFT(AG951,9),[1]MTR!C:C,0),COLUMN(J951)),TRUE) &amp; "")</f>
        <v>#ERROR!</v>
      </c>
      <c r="AI951" s="157" t="str">
        <f t="shared" si="5"/>
        <v>#ERROR!</v>
      </c>
    </row>
    <row r="952" ht="12.75" customHeight="1">
      <c r="A952" s="244" t="s">
        <v>5158</v>
      </c>
      <c r="B952" s="244" t="s">
        <v>231</v>
      </c>
      <c r="C952" s="244" t="s">
        <v>9228</v>
      </c>
      <c r="D952" s="154" t="s">
        <v>747</v>
      </c>
      <c r="E952" s="154"/>
      <c r="F952" s="154" t="str">
        <f t="array" ref="F952">XLOOKUP(Cover!$D$12,$R$1:$Z$1,$R952:$Z952)</f>
        <v>Mandatory</v>
      </c>
      <c r="G952" s="154" t="s">
        <v>9229</v>
      </c>
      <c r="H952" s="154" t="s">
        <v>1541</v>
      </c>
      <c r="I952" s="154" t="s">
        <v>9225</v>
      </c>
      <c r="J952" s="154" t="s">
        <v>7510</v>
      </c>
      <c r="K952" s="154" t="s">
        <v>9003</v>
      </c>
      <c r="L952" s="154" t="s">
        <v>6525</v>
      </c>
      <c r="M952" s="154" t="s">
        <v>175</v>
      </c>
      <c r="N952" s="154" t="s">
        <v>759</v>
      </c>
      <c r="O952" s="247" t="s">
        <v>516</v>
      </c>
      <c r="P952" s="247" t="s">
        <v>6776</v>
      </c>
      <c r="Q952" s="154" t="str">
        <f t="shared" si="1"/>
        <v>#ERROR!</v>
      </c>
      <c r="R952" s="154" t="s">
        <v>66</v>
      </c>
      <c r="S952" s="154" t="s">
        <v>66</v>
      </c>
      <c r="T952" s="155" t="s">
        <v>64</v>
      </c>
      <c r="U952" s="155" t="s">
        <v>64</v>
      </c>
      <c r="V952" s="154" t="s">
        <v>60</v>
      </c>
      <c r="W952" s="154" t="s">
        <v>60</v>
      </c>
      <c r="X952" s="154" t="s">
        <v>66</v>
      </c>
      <c r="Y952" s="155" t="s">
        <v>64</v>
      </c>
      <c r="Z952" s="154" t="s">
        <v>60</v>
      </c>
      <c r="AA952" s="154"/>
      <c r="AB952" s="242" t="str">
        <f t="shared" si="2"/>
        <v>#ERROR!</v>
      </c>
      <c r="AC952" s="154" t="s">
        <v>391</v>
      </c>
      <c r="AD952" s="242" t="b">
        <f t="shared" si="3"/>
        <v>0</v>
      </c>
      <c r="AE952" s="154"/>
      <c r="AF952" s="242" t="str">
        <f t="shared" si="4"/>
        <v>#ERROR!</v>
      </c>
      <c r="AG952" s="154" t="s">
        <v>652</v>
      </c>
      <c r="AH952" s="242" t="str">
        <f>IF(AG952="","N/A",INDIRECT("MTR!"&amp;ADDRESS(MATCH(LEFT(AG952,9),[1]MTR!C:C,0),COLUMN(J952)),TRUE) &amp; "")</f>
        <v>#ERROR!</v>
      </c>
      <c r="AI952" s="157" t="str">
        <f t="shared" si="5"/>
        <v>#ERROR!</v>
      </c>
    </row>
    <row r="953" ht="12.75" customHeight="1">
      <c r="A953" s="244" t="s">
        <v>5158</v>
      </c>
      <c r="B953" s="244" t="s">
        <v>231</v>
      </c>
      <c r="C953" s="244" t="s">
        <v>9230</v>
      </c>
      <c r="D953" s="154" t="s">
        <v>1315</v>
      </c>
      <c r="E953" s="154"/>
      <c r="F953" s="154" t="str">
        <f t="array" ref="F953">XLOOKUP(Cover!$D$12,$R$1:$Z$1,$R953:$Z953)</f>
        <v>Mandatory</v>
      </c>
      <c r="G953" s="154" t="s">
        <v>9231</v>
      </c>
      <c r="H953" s="154" t="s">
        <v>9002</v>
      </c>
      <c r="I953" s="154" t="s">
        <v>9232</v>
      </c>
      <c r="J953" s="154" t="s">
        <v>7518</v>
      </c>
      <c r="K953" s="154" t="s">
        <v>9003</v>
      </c>
      <c r="L953" s="154" t="s">
        <v>6884</v>
      </c>
      <c r="M953" s="154" t="s">
        <v>175</v>
      </c>
      <c r="N953" s="154" t="s">
        <v>759</v>
      </c>
      <c r="O953" s="247" t="s">
        <v>516</v>
      </c>
      <c r="P953" s="247" t="s">
        <v>6776</v>
      </c>
      <c r="Q953" s="154" t="str">
        <f t="shared" si="1"/>
        <v>#ERROR!</v>
      </c>
      <c r="R953" s="154" t="s">
        <v>66</v>
      </c>
      <c r="S953" s="154" t="s">
        <v>66</v>
      </c>
      <c r="T953" s="155" t="s">
        <v>64</v>
      </c>
      <c r="U953" s="155" t="s">
        <v>64</v>
      </c>
      <c r="V953" s="154" t="s">
        <v>60</v>
      </c>
      <c r="W953" s="154" t="s">
        <v>60</v>
      </c>
      <c r="X953" s="154" t="s">
        <v>66</v>
      </c>
      <c r="Y953" s="155" t="s">
        <v>64</v>
      </c>
      <c r="Z953" s="154" t="s">
        <v>60</v>
      </c>
      <c r="AA953" s="154"/>
      <c r="AB953" s="242" t="str">
        <f t="shared" si="2"/>
        <v>#ERROR!</v>
      </c>
      <c r="AC953" s="154" t="s">
        <v>391</v>
      </c>
      <c r="AD953" s="242" t="b">
        <f t="shared" si="3"/>
        <v>0</v>
      </c>
      <c r="AE953" s="154"/>
      <c r="AF953" s="242" t="str">
        <f t="shared" si="4"/>
        <v>#ERROR!</v>
      </c>
      <c r="AG953" s="154" t="s">
        <v>652</v>
      </c>
      <c r="AH953" s="242" t="str">
        <f>IF(AG953="","N/A",INDIRECT("MTR!"&amp;ADDRESS(MATCH(LEFT(AG953,9),[1]MTR!C:C,0),COLUMN(J953)),TRUE) &amp; "")</f>
        <v>#ERROR!</v>
      </c>
      <c r="AI953" s="157" t="str">
        <f t="shared" si="5"/>
        <v>#ERROR!</v>
      </c>
    </row>
    <row r="954" ht="12.75" customHeight="1">
      <c r="A954" s="244" t="s">
        <v>5158</v>
      </c>
      <c r="B954" s="244" t="s">
        <v>231</v>
      </c>
      <c r="C954" s="244" t="s">
        <v>9233</v>
      </c>
      <c r="D954" s="154" t="s">
        <v>1315</v>
      </c>
      <c r="E954" s="154"/>
      <c r="F954" s="154" t="str">
        <f t="array" ref="F954">XLOOKUP(Cover!$D$12,$R$1:$Z$1,$R954:$Z954)</f>
        <v>Mandatory</v>
      </c>
      <c r="G954" s="154" t="s">
        <v>9234</v>
      </c>
      <c r="H954" s="154" t="s">
        <v>9009</v>
      </c>
      <c r="I954" s="154" t="s">
        <v>9232</v>
      </c>
      <c r="J954" s="154" t="s">
        <v>7518</v>
      </c>
      <c r="K954" s="154" t="s">
        <v>9003</v>
      </c>
      <c r="L954" s="154" t="s">
        <v>6884</v>
      </c>
      <c r="M954" s="154" t="s">
        <v>175</v>
      </c>
      <c r="N954" s="154" t="s">
        <v>759</v>
      </c>
      <c r="O954" s="247" t="s">
        <v>516</v>
      </c>
      <c r="P954" s="247" t="s">
        <v>6776</v>
      </c>
      <c r="Q954" s="154" t="str">
        <f t="shared" si="1"/>
        <v>#ERROR!</v>
      </c>
      <c r="R954" s="154" t="s">
        <v>66</v>
      </c>
      <c r="S954" s="154" t="s">
        <v>66</v>
      </c>
      <c r="T954" s="155" t="s">
        <v>64</v>
      </c>
      <c r="U954" s="155" t="s">
        <v>64</v>
      </c>
      <c r="V954" s="154" t="s">
        <v>60</v>
      </c>
      <c r="W954" s="154" t="s">
        <v>60</v>
      </c>
      <c r="X954" s="154" t="s">
        <v>66</v>
      </c>
      <c r="Y954" s="155" t="s">
        <v>64</v>
      </c>
      <c r="Z954" s="154" t="s">
        <v>60</v>
      </c>
      <c r="AA954" s="154"/>
      <c r="AB954" s="242" t="str">
        <f t="shared" si="2"/>
        <v>#ERROR!</v>
      </c>
      <c r="AC954" s="154" t="s">
        <v>391</v>
      </c>
      <c r="AD954" s="242" t="b">
        <f t="shared" si="3"/>
        <v>0</v>
      </c>
      <c r="AE954" s="154"/>
      <c r="AF954" s="242" t="str">
        <f t="shared" si="4"/>
        <v>#ERROR!</v>
      </c>
      <c r="AG954" s="154" t="s">
        <v>652</v>
      </c>
      <c r="AH954" s="242" t="str">
        <f>IF(AG954="","N/A",INDIRECT("MTR!"&amp;ADDRESS(MATCH(LEFT(AG954,9),[1]MTR!C:C,0),COLUMN(J954)),TRUE) &amp; "")</f>
        <v>#ERROR!</v>
      </c>
      <c r="AI954" s="157" t="str">
        <f t="shared" si="5"/>
        <v>#ERROR!</v>
      </c>
    </row>
    <row r="955" ht="12.75" customHeight="1">
      <c r="A955" s="244" t="s">
        <v>5158</v>
      </c>
      <c r="B955" s="244" t="s">
        <v>231</v>
      </c>
      <c r="C955" s="244" t="s">
        <v>9235</v>
      </c>
      <c r="D955" s="154" t="s">
        <v>747</v>
      </c>
      <c r="E955" s="154"/>
      <c r="F955" s="154" t="str">
        <f t="array" ref="F955">XLOOKUP(Cover!$D$12,$R$1:$Z$1,$R955:$Z955)</f>
        <v>Recommended</v>
      </c>
      <c r="G955" s="154" t="s">
        <v>9236</v>
      </c>
      <c r="H955" s="154" t="s">
        <v>9002</v>
      </c>
      <c r="I955" s="154" t="s">
        <v>9237</v>
      </c>
      <c r="J955" s="154" t="s">
        <v>7524</v>
      </c>
      <c r="K955" s="154" t="s">
        <v>9003</v>
      </c>
      <c r="L955" s="154" t="s">
        <v>6525</v>
      </c>
      <c r="M955" s="154"/>
      <c r="N955" s="154" t="s">
        <v>759</v>
      </c>
      <c r="O955" s="247" t="s">
        <v>516</v>
      </c>
      <c r="P955" s="247" t="s">
        <v>6776</v>
      </c>
      <c r="Q955" s="154" t="str">
        <f t="shared" si="1"/>
        <v>#ERROR!</v>
      </c>
      <c r="R955" s="154" t="s">
        <v>66</v>
      </c>
      <c r="S955" s="154" t="s">
        <v>66</v>
      </c>
      <c r="T955" s="154" t="s">
        <v>64</v>
      </c>
      <c r="U955" s="154" t="s">
        <v>64</v>
      </c>
      <c r="V955" s="154" t="s">
        <v>64</v>
      </c>
      <c r="W955" s="154" t="s">
        <v>64</v>
      </c>
      <c r="X955" s="154" t="s">
        <v>66</v>
      </c>
      <c r="Y955" s="154" t="s">
        <v>64</v>
      </c>
      <c r="Z955" s="154" t="s">
        <v>64</v>
      </c>
      <c r="AA955" s="154"/>
      <c r="AB955" s="242" t="str">
        <f t="shared" si="2"/>
        <v>#ERROR!</v>
      </c>
      <c r="AC955" s="154" t="s">
        <v>391</v>
      </c>
      <c r="AD955" s="242" t="b">
        <f t="shared" si="3"/>
        <v>0</v>
      </c>
      <c r="AE955" s="154"/>
      <c r="AF955" s="242" t="str">
        <f t="shared" si="4"/>
        <v>#ERROR!</v>
      </c>
      <c r="AG955" s="154" t="s">
        <v>652</v>
      </c>
      <c r="AH955" s="242" t="str">
        <f>IF(AG955="","N/A",INDIRECT("MTR!"&amp;ADDRESS(MATCH(LEFT(AG955,9),[1]MTR!C:C,0),COLUMN(J955)),TRUE) &amp; "")</f>
        <v>#ERROR!</v>
      </c>
      <c r="AI955" s="157" t="str">
        <f t="shared" si="5"/>
        <v>#ERROR!</v>
      </c>
    </row>
    <row r="956" ht="12.75" customHeight="1">
      <c r="A956" s="244" t="s">
        <v>5158</v>
      </c>
      <c r="B956" s="244" t="s">
        <v>231</v>
      </c>
      <c r="C956" s="244" t="s">
        <v>9238</v>
      </c>
      <c r="D956" s="154" t="s">
        <v>747</v>
      </c>
      <c r="E956" s="154"/>
      <c r="F956" s="154" t="str">
        <f t="array" ref="F956">XLOOKUP(Cover!$D$12,$R$1:$Z$1,$R956:$Z956)</f>
        <v>Recommended</v>
      </c>
      <c r="G956" s="154" t="s">
        <v>9239</v>
      </c>
      <c r="H956" s="154" t="s">
        <v>9012</v>
      </c>
      <c r="I956" s="154" t="s">
        <v>9237</v>
      </c>
      <c r="J956" s="154" t="s">
        <v>7524</v>
      </c>
      <c r="K956" s="154" t="s">
        <v>9003</v>
      </c>
      <c r="L956" s="154" t="s">
        <v>6525</v>
      </c>
      <c r="M956" s="154"/>
      <c r="N956" s="154" t="s">
        <v>759</v>
      </c>
      <c r="O956" s="247" t="s">
        <v>516</v>
      </c>
      <c r="P956" s="247" t="s">
        <v>6776</v>
      </c>
      <c r="Q956" s="154" t="str">
        <f t="shared" si="1"/>
        <v>#ERROR!</v>
      </c>
      <c r="R956" s="154" t="s">
        <v>66</v>
      </c>
      <c r="S956" s="154" t="s">
        <v>66</v>
      </c>
      <c r="T956" s="154" t="s">
        <v>64</v>
      </c>
      <c r="U956" s="154" t="s">
        <v>64</v>
      </c>
      <c r="V956" s="154" t="s">
        <v>64</v>
      </c>
      <c r="W956" s="154" t="s">
        <v>64</v>
      </c>
      <c r="X956" s="154" t="s">
        <v>66</v>
      </c>
      <c r="Y956" s="154" t="s">
        <v>64</v>
      </c>
      <c r="Z956" s="154" t="s">
        <v>64</v>
      </c>
      <c r="AA956" s="154"/>
      <c r="AB956" s="242" t="str">
        <f t="shared" si="2"/>
        <v>#ERROR!</v>
      </c>
      <c r="AC956" s="154" t="s">
        <v>391</v>
      </c>
      <c r="AD956" s="242" t="b">
        <f t="shared" si="3"/>
        <v>0</v>
      </c>
      <c r="AE956" s="154"/>
      <c r="AF956" s="242" t="str">
        <f t="shared" si="4"/>
        <v>#ERROR!</v>
      </c>
      <c r="AG956" s="154" t="s">
        <v>652</v>
      </c>
      <c r="AH956" s="242" t="str">
        <f>IF(AG956="","N/A",INDIRECT("MTR!"&amp;ADDRESS(MATCH(LEFT(AG956,9),[1]MTR!C:C,0),COLUMN(J956)),TRUE) &amp; "")</f>
        <v>#ERROR!</v>
      </c>
      <c r="AI956" s="157" t="str">
        <f t="shared" si="5"/>
        <v>#ERROR!</v>
      </c>
    </row>
    <row r="957" ht="12.75" customHeight="1">
      <c r="A957" s="244" t="s">
        <v>5158</v>
      </c>
      <c r="B957" s="244" t="s">
        <v>231</v>
      </c>
      <c r="C957" s="244" t="s">
        <v>9240</v>
      </c>
      <c r="D957" s="154" t="s">
        <v>747</v>
      </c>
      <c r="E957" s="154"/>
      <c r="F957" s="154" t="str">
        <f t="array" ref="F957">XLOOKUP(Cover!$D$12,$R$1:$Z$1,$R957:$Z957)</f>
        <v>Recommended</v>
      </c>
      <c r="G957" s="154" t="s">
        <v>9241</v>
      </c>
      <c r="H957" s="154" t="s">
        <v>9015</v>
      </c>
      <c r="I957" s="154" t="s">
        <v>9237</v>
      </c>
      <c r="J957" s="154" t="s">
        <v>7524</v>
      </c>
      <c r="K957" s="154" t="s">
        <v>9003</v>
      </c>
      <c r="L957" s="154" t="s">
        <v>6525</v>
      </c>
      <c r="M957" s="154"/>
      <c r="N957" s="154" t="s">
        <v>759</v>
      </c>
      <c r="O957" s="247" t="s">
        <v>516</v>
      </c>
      <c r="P957" s="247" t="s">
        <v>6776</v>
      </c>
      <c r="Q957" s="154" t="str">
        <f t="shared" si="1"/>
        <v>#ERROR!</v>
      </c>
      <c r="R957" s="154" t="s">
        <v>66</v>
      </c>
      <c r="S957" s="154" t="s">
        <v>66</v>
      </c>
      <c r="T957" s="154" t="s">
        <v>64</v>
      </c>
      <c r="U957" s="154" t="s">
        <v>64</v>
      </c>
      <c r="V957" s="154" t="s">
        <v>64</v>
      </c>
      <c r="W957" s="154" t="s">
        <v>64</v>
      </c>
      <c r="X957" s="154" t="s">
        <v>66</v>
      </c>
      <c r="Y957" s="154" t="s">
        <v>64</v>
      </c>
      <c r="Z957" s="154" t="s">
        <v>64</v>
      </c>
      <c r="AA957" s="154"/>
      <c r="AB957" s="242" t="str">
        <f t="shared" si="2"/>
        <v>#ERROR!</v>
      </c>
      <c r="AC957" s="154" t="s">
        <v>391</v>
      </c>
      <c r="AD957" s="242" t="b">
        <f t="shared" si="3"/>
        <v>0</v>
      </c>
      <c r="AE957" s="154"/>
      <c r="AF957" s="242" t="str">
        <f t="shared" si="4"/>
        <v>#ERROR!</v>
      </c>
      <c r="AG957" s="154" t="s">
        <v>652</v>
      </c>
      <c r="AH957" s="242" t="str">
        <f>IF(AG957="","N/A",INDIRECT("MTR!"&amp;ADDRESS(MATCH(LEFT(AG957,9),[1]MTR!C:C,0),COLUMN(J957)),TRUE) &amp; "")</f>
        <v>#ERROR!</v>
      </c>
      <c r="AI957" s="157" t="str">
        <f t="shared" si="5"/>
        <v>#ERROR!</v>
      </c>
    </row>
    <row r="958" ht="12.75" customHeight="1">
      <c r="A958" s="244" t="s">
        <v>5158</v>
      </c>
      <c r="B958" s="244" t="s">
        <v>231</v>
      </c>
      <c r="C958" s="244" t="s">
        <v>9242</v>
      </c>
      <c r="D958" s="154" t="s">
        <v>1773</v>
      </c>
      <c r="E958" s="154"/>
      <c r="F958" s="154" t="str">
        <f t="array" ref="F958">XLOOKUP(Cover!$D$12,$R$1:$Z$1,$R958:$Z958)</f>
        <v>Information</v>
      </c>
      <c r="G958" s="154" t="s">
        <v>9243</v>
      </c>
      <c r="H958" s="154" t="s">
        <v>9002</v>
      </c>
      <c r="I958" s="154" t="s">
        <v>9244</v>
      </c>
      <c r="J958" s="154" t="s">
        <v>7532</v>
      </c>
      <c r="K958" s="154" t="s">
        <v>9003</v>
      </c>
      <c r="L958" s="154" t="s">
        <v>7175</v>
      </c>
      <c r="M958" s="154"/>
      <c r="N958" s="154" t="s">
        <v>759</v>
      </c>
      <c r="O958" s="247" t="s">
        <v>516</v>
      </c>
      <c r="P958" s="247" t="s">
        <v>6776</v>
      </c>
      <c r="Q958" s="154" t="str">
        <f t="shared" si="1"/>
        <v>#ERROR!</v>
      </c>
      <c r="R958" s="154" t="s">
        <v>66</v>
      </c>
      <c r="S958" s="154" t="s">
        <v>66</v>
      </c>
      <c r="T958" s="154" t="s">
        <v>66</v>
      </c>
      <c r="U958" s="154" t="s">
        <v>66</v>
      </c>
      <c r="V958" s="154" t="s">
        <v>66</v>
      </c>
      <c r="W958" s="154" t="s">
        <v>66</v>
      </c>
      <c r="X958" s="154" t="s">
        <v>66</v>
      </c>
      <c r="Y958" s="154" t="s">
        <v>66</v>
      </c>
      <c r="Z958" s="154" t="s">
        <v>66</v>
      </c>
      <c r="AA958" s="154"/>
      <c r="AB958" s="242" t="str">
        <f t="shared" si="2"/>
        <v>#ERROR!</v>
      </c>
      <c r="AC958" s="154" t="s">
        <v>391</v>
      </c>
      <c r="AD958" s="242" t="b">
        <f t="shared" si="3"/>
        <v>0</v>
      </c>
      <c r="AE958" s="154"/>
      <c r="AF958" s="242" t="str">
        <f t="shared" si="4"/>
        <v>#ERROR!</v>
      </c>
      <c r="AG958" s="154" t="s">
        <v>652</v>
      </c>
      <c r="AH958" s="242" t="str">
        <f>IF(AG958="","N/A",INDIRECT("MTR!"&amp;ADDRESS(MATCH(LEFT(AG958,9),[1]MTR!C:C,0),COLUMN(J958)),TRUE) &amp; "")</f>
        <v>#ERROR!</v>
      </c>
      <c r="AI958" s="157" t="str">
        <f t="shared" si="5"/>
        <v>#ERROR!</v>
      </c>
    </row>
    <row r="959" ht="12.75" customHeight="1">
      <c r="A959" s="244" t="s">
        <v>5158</v>
      </c>
      <c r="B959" s="244" t="s">
        <v>231</v>
      </c>
      <c r="C959" s="244" t="s">
        <v>9245</v>
      </c>
      <c r="D959" s="154" t="s">
        <v>1773</v>
      </c>
      <c r="E959" s="154"/>
      <c r="F959" s="154" t="str">
        <f t="array" ref="F959">XLOOKUP(Cover!$D$12,$R$1:$Z$1,$R959:$Z959)</f>
        <v>Information</v>
      </c>
      <c r="G959" s="154" t="s">
        <v>9246</v>
      </c>
      <c r="H959" s="154" t="s">
        <v>9012</v>
      </c>
      <c r="I959" s="154" t="s">
        <v>9244</v>
      </c>
      <c r="J959" s="154" t="s">
        <v>7532</v>
      </c>
      <c r="K959" s="154" t="s">
        <v>9003</v>
      </c>
      <c r="L959" s="154" t="s">
        <v>7175</v>
      </c>
      <c r="M959" s="154"/>
      <c r="N959" s="154" t="s">
        <v>759</v>
      </c>
      <c r="O959" s="247" t="s">
        <v>516</v>
      </c>
      <c r="P959" s="247" t="s">
        <v>6776</v>
      </c>
      <c r="Q959" s="154" t="str">
        <f t="shared" si="1"/>
        <v>#ERROR!</v>
      </c>
      <c r="R959" s="154" t="s">
        <v>66</v>
      </c>
      <c r="S959" s="154" t="s">
        <v>66</v>
      </c>
      <c r="T959" s="154" t="s">
        <v>66</v>
      </c>
      <c r="U959" s="154" t="s">
        <v>66</v>
      </c>
      <c r="V959" s="154" t="s">
        <v>66</v>
      </c>
      <c r="W959" s="154" t="s">
        <v>66</v>
      </c>
      <c r="X959" s="154" t="s">
        <v>66</v>
      </c>
      <c r="Y959" s="154" t="s">
        <v>66</v>
      </c>
      <c r="Z959" s="154" t="s">
        <v>66</v>
      </c>
      <c r="AA959" s="154"/>
      <c r="AB959" s="242" t="str">
        <f t="shared" si="2"/>
        <v>#ERROR!</v>
      </c>
      <c r="AC959" s="154" t="s">
        <v>391</v>
      </c>
      <c r="AD959" s="242" t="b">
        <f t="shared" si="3"/>
        <v>0</v>
      </c>
      <c r="AE959" s="154"/>
      <c r="AF959" s="242" t="str">
        <f t="shared" si="4"/>
        <v>#ERROR!</v>
      </c>
      <c r="AG959" s="154" t="s">
        <v>652</v>
      </c>
      <c r="AH959" s="242" t="str">
        <f>IF(AG959="","N/A",INDIRECT("MTR!"&amp;ADDRESS(MATCH(LEFT(AG959,9),[1]MTR!C:C,0),COLUMN(J959)),TRUE) &amp; "")</f>
        <v>#ERROR!</v>
      </c>
      <c r="AI959" s="157" t="str">
        <f t="shared" si="5"/>
        <v>#ERROR!</v>
      </c>
    </row>
    <row r="960" ht="12.75" customHeight="1">
      <c r="A960" s="244" t="s">
        <v>5158</v>
      </c>
      <c r="B960" s="244" t="s">
        <v>231</v>
      </c>
      <c r="C960" s="244" t="s">
        <v>9247</v>
      </c>
      <c r="D960" s="154" t="s">
        <v>1773</v>
      </c>
      <c r="E960" s="154"/>
      <c r="F960" s="154" t="str">
        <f t="array" ref="F960">XLOOKUP(Cover!$D$12,$R$1:$Z$1,$R960:$Z960)</f>
        <v>Information</v>
      </c>
      <c r="G960" s="154" t="s">
        <v>9248</v>
      </c>
      <c r="H960" s="154" t="s">
        <v>1541</v>
      </c>
      <c r="I960" s="154" t="s">
        <v>9244</v>
      </c>
      <c r="J960" s="154" t="s">
        <v>7532</v>
      </c>
      <c r="K960" s="154" t="s">
        <v>9003</v>
      </c>
      <c r="L960" s="154" t="s">
        <v>7175</v>
      </c>
      <c r="M960" s="154"/>
      <c r="N960" s="154" t="s">
        <v>759</v>
      </c>
      <c r="O960" s="247" t="s">
        <v>516</v>
      </c>
      <c r="P960" s="247" t="s">
        <v>6776</v>
      </c>
      <c r="Q960" s="154" t="str">
        <f t="shared" si="1"/>
        <v>#ERROR!</v>
      </c>
      <c r="R960" s="154" t="s">
        <v>66</v>
      </c>
      <c r="S960" s="154" t="s">
        <v>66</v>
      </c>
      <c r="T960" s="154" t="s">
        <v>66</v>
      </c>
      <c r="U960" s="154" t="s">
        <v>66</v>
      </c>
      <c r="V960" s="154" t="s">
        <v>66</v>
      </c>
      <c r="W960" s="154" t="s">
        <v>66</v>
      </c>
      <c r="X960" s="154" t="s">
        <v>66</v>
      </c>
      <c r="Y960" s="154" t="s">
        <v>66</v>
      </c>
      <c r="Z960" s="154" t="s">
        <v>66</v>
      </c>
      <c r="AA960" s="154"/>
      <c r="AB960" s="242" t="str">
        <f t="shared" si="2"/>
        <v>#ERROR!</v>
      </c>
      <c r="AC960" s="154" t="s">
        <v>391</v>
      </c>
      <c r="AD960" s="242" t="b">
        <f t="shared" si="3"/>
        <v>0</v>
      </c>
      <c r="AE960" s="154"/>
      <c r="AF960" s="242" t="str">
        <f t="shared" si="4"/>
        <v>#ERROR!</v>
      </c>
      <c r="AG960" s="154" t="s">
        <v>652</v>
      </c>
      <c r="AH960" s="242" t="str">
        <f>IF(AG960="","N/A",INDIRECT("MTR!"&amp;ADDRESS(MATCH(LEFT(AG960,9),[1]MTR!C:C,0),COLUMN(J960)),TRUE) &amp; "")</f>
        <v>#ERROR!</v>
      </c>
      <c r="AI960" s="157" t="str">
        <f t="shared" si="5"/>
        <v>#ERROR!</v>
      </c>
    </row>
    <row r="961" ht="12.75" customHeight="1">
      <c r="A961" s="244" t="s">
        <v>5158</v>
      </c>
      <c r="B961" s="244" t="s">
        <v>231</v>
      </c>
      <c r="C961" s="244" t="s">
        <v>9249</v>
      </c>
      <c r="D961" s="154" t="s">
        <v>1773</v>
      </c>
      <c r="E961" s="154"/>
      <c r="F961" s="154" t="str">
        <f t="array" ref="F961">XLOOKUP(Cover!$D$12,$R$1:$Z$1,$R961:$Z961)</f>
        <v>Mandatory</v>
      </c>
      <c r="G961" s="154" t="s">
        <v>9250</v>
      </c>
      <c r="H961" s="154" t="s">
        <v>9002</v>
      </c>
      <c r="I961" s="154" t="s">
        <v>9251</v>
      </c>
      <c r="J961" s="154" t="s">
        <v>7540</v>
      </c>
      <c r="K961" s="154" t="s">
        <v>9003</v>
      </c>
      <c r="L961" s="154" t="s">
        <v>7175</v>
      </c>
      <c r="M961" s="154" t="s">
        <v>175</v>
      </c>
      <c r="N961" s="154" t="s">
        <v>759</v>
      </c>
      <c r="O961" s="247" t="s">
        <v>516</v>
      </c>
      <c r="P961" s="247" t="s">
        <v>6776</v>
      </c>
      <c r="Q961" s="154" t="str">
        <f t="shared" si="1"/>
        <v>#ERROR!</v>
      </c>
      <c r="R961" s="154" t="s">
        <v>66</v>
      </c>
      <c r="S961" s="154" t="s">
        <v>66</v>
      </c>
      <c r="T961" s="155" t="s">
        <v>64</v>
      </c>
      <c r="U961" s="155" t="s">
        <v>64</v>
      </c>
      <c r="V961" s="154" t="s">
        <v>60</v>
      </c>
      <c r="W961" s="154" t="s">
        <v>60</v>
      </c>
      <c r="X961" s="154" t="s">
        <v>66</v>
      </c>
      <c r="Y961" s="155" t="s">
        <v>64</v>
      </c>
      <c r="Z961" s="154" t="s">
        <v>60</v>
      </c>
      <c r="AA961" s="154"/>
      <c r="AB961" s="242" t="str">
        <f t="shared" si="2"/>
        <v>#ERROR!</v>
      </c>
      <c r="AC961" s="154" t="s">
        <v>391</v>
      </c>
      <c r="AD961" s="242" t="b">
        <f t="shared" si="3"/>
        <v>0</v>
      </c>
      <c r="AE961" s="154"/>
      <c r="AF961" s="242" t="str">
        <f t="shared" si="4"/>
        <v>#ERROR!</v>
      </c>
      <c r="AG961" s="154" t="s">
        <v>652</v>
      </c>
      <c r="AH961" s="242" t="str">
        <f>IF(AG961="","N/A",INDIRECT("MTR!"&amp;ADDRESS(MATCH(LEFT(AG961,9),[1]MTR!C:C,0),COLUMN(J961)),TRUE) &amp; "")</f>
        <v>#ERROR!</v>
      </c>
      <c r="AI961" s="157" t="str">
        <f t="shared" si="5"/>
        <v>#ERROR!</v>
      </c>
    </row>
    <row r="962" ht="12.75" customHeight="1">
      <c r="A962" s="244" t="s">
        <v>5158</v>
      </c>
      <c r="B962" s="244" t="s">
        <v>231</v>
      </c>
      <c r="C962" s="244" t="s">
        <v>9252</v>
      </c>
      <c r="D962" s="154" t="s">
        <v>1773</v>
      </c>
      <c r="E962" s="154"/>
      <c r="F962" s="154" t="str">
        <f t="array" ref="F962">XLOOKUP(Cover!$D$12,$R$1:$Z$1,$R962:$Z962)</f>
        <v>Mandatory</v>
      </c>
      <c r="G962" s="154" t="s">
        <v>9253</v>
      </c>
      <c r="H962" s="154" t="s">
        <v>9012</v>
      </c>
      <c r="I962" s="154" t="s">
        <v>9251</v>
      </c>
      <c r="J962" s="154" t="s">
        <v>7540</v>
      </c>
      <c r="K962" s="154" t="s">
        <v>9003</v>
      </c>
      <c r="L962" s="154" t="s">
        <v>7175</v>
      </c>
      <c r="M962" s="154" t="s">
        <v>175</v>
      </c>
      <c r="N962" s="154" t="s">
        <v>759</v>
      </c>
      <c r="O962" s="247" t="s">
        <v>516</v>
      </c>
      <c r="P962" s="247" t="s">
        <v>6776</v>
      </c>
      <c r="Q962" s="154" t="str">
        <f t="shared" si="1"/>
        <v>#ERROR!</v>
      </c>
      <c r="R962" s="154" t="s">
        <v>66</v>
      </c>
      <c r="S962" s="154" t="s">
        <v>66</v>
      </c>
      <c r="T962" s="155" t="s">
        <v>64</v>
      </c>
      <c r="U962" s="155" t="s">
        <v>64</v>
      </c>
      <c r="V962" s="154" t="s">
        <v>60</v>
      </c>
      <c r="W962" s="154" t="s">
        <v>60</v>
      </c>
      <c r="X962" s="154" t="s">
        <v>66</v>
      </c>
      <c r="Y962" s="155" t="s">
        <v>64</v>
      </c>
      <c r="Z962" s="154" t="s">
        <v>60</v>
      </c>
      <c r="AA962" s="154"/>
      <c r="AB962" s="242" t="str">
        <f t="shared" si="2"/>
        <v>#ERROR!</v>
      </c>
      <c r="AC962" s="154" t="s">
        <v>391</v>
      </c>
      <c r="AD962" s="242" t="b">
        <f t="shared" si="3"/>
        <v>0</v>
      </c>
      <c r="AE962" s="154"/>
      <c r="AF962" s="242" t="str">
        <f t="shared" si="4"/>
        <v>#ERROR!</v>
      </c>
      <c r="AG962" s="154" t="s">
        <v>652</v>
      </c>
      <c r="AH962" s="242" t="str">
        <f>IF(AG962="","N/A",INDIRECT("MTR!"&amp;ADDRESS(MATCH(LEFT(AG962,9),[1]MTR!C:C,0),COLUMN(J962)),TRUE) &amp; "")</f>
        <v>#ERROR!</v>
      </c>
      <c r="AI962" s="157" t="str">
        <f t="shared" si="5"/>
        <v>#ERROR!</v>
      </c>
    </row>
    <row r="963" ht="12.75" customHeight="1">
      <c r="A963" s="244" t="s">
        <v>5158</v>
      </c>
      <c r="B963" s="244" t="s">
        <v>231</v>
      </c>
      <c r="C963" s="245" t="s">
        <v>9254</v>
      </c>
      <c r="D963" s="155" t="s">
        <v>1773</v>
      </c>
      <c r="E963" s="155" t="s">
        <v>92</v>
      </c>
      <c r="F963" s="154" t="str">
        <f t="array" ref="F963">XLOOKUP(Cover!$D$12,$R$1:$Z$1,$R963:$Z963)</f>
        <v>Recommended</v>
      </c>
      <c r="G963" s="154" t="s">
        <v>9255</v>
      </c>
      <c r="H963" s="154" t="s">
        <v>9002</v>
      </c>
      <c r="I963" s="154" t="s">
        <v>9256</v>
      </c>
      <c r="J963" s="154" t="s">
        <v>7546</v>
      </c>
      <c r="K963" s="154" t="s">
        <v>9003</v>
      </c>
      <c r="L963" s="154" t="s">
        <v>7175</v>
      </c>
      <c r="M963" s="154"/>
      <c r="N963" s="154" t="s">
        <v>759</v>
      </c>
      <c r="O963" s="247" t="s">
        <v>516</v>
      </c>
      <c r="P963" s="247" t="s">
        <v>6776</v>
      </c>
      <c r="Q963" s="154" t="str">
        <f t="shared" si="1"/>
        <v>#ERROR!</v>
      </c>
      <c r="R963" s="154" t="s">
        <v>66</v>
      </c>
      <c r="S963" s="154" t="s">
        <v>66</v>
      </c>
      <c r="T963" s="154" t="s">
        <v>64</v>
      </c>
      <c r="U963" s="154" t="s">
        <v>64</v>
      </c>
      <c r="V963" s="154" t="s">
        <v>64</v>
      </c>
      <c r="W963" s="154" t="s">
        <v>64</v>
      </c>
      <c r="X963" s="154" t="s">
        <v>66</v>
      </c>
      <c r="Y963" s="154" t="s">
        <v>64</v>
      </c>
      <c r="Z963" s="154" t="s">
        <v>64</v>
      </c>
      <c r="AA963" s="154"/>
      <c r="AB963" s="242" t="str">
        <f t="shared" si="2"/>
        <v>#ERROR!</v>
      </c>
      <c r="AC963" s="154" t="s">
        <v>391</v>
      </c>
      <c r="AD963" s="242" t="b">
        <f t="shared" si="3"/>
        <v>0</v>
      </c>
      <c r="AE963" s="154"/>
      <c r="AF963" s="242" t="str">
        <f t="shared" si="4"/>
        <v>#ERROR!</v>
      </c>
      <c r="AG963" s="154" t="s">
        <v>652</v>
      </c>
      <c r="AH963" s="242" t="str">
        <f>IF(AG963="","N/A",INDIRECT("MTR!"&amp;ADDRESS(MATCH(LEFT(AG963,9),[1]MTR!C:C,0),COLUMN(J963)),TRUE) &amp; "")</f>
        <v>#ERROR!</v>
      </c>
      <c r="AI963" s="157" t="str">
        <f t="shared" si="5"/>
        <v>#ERROR!</v>
      </c>
    </row>
    <row r="964" ht="12.75" customHeight="1">
      <c r="A964" s="244" t="s">
        <v>5158</v>
      </c>
      <c r="B964" s="244" t="s">
        <v>231</v>
      </c>
      <c r="C964" s="245" t="s">
        <v>9257</v>
      </c>
      <c r="D964" s="155" t="s">
        <v>1773</v>
      </c>
      <c r="E964" s="155" t="s">
        <v>92</v>
      </c>
      <c r="F964" s="154" t="str">
        <f t="array" ref="F964">XLOOKUP(Cover!$D$12,$R$1:$Z$1,$R964:$Z964)</f>
        <v>Recommended</v>
      </c>
      <c r="G964" s="154" t="s">
        <v>9258</v>
      </c>
      <c r="H964" s="154" t="s">
        <v>9015</v>
      </c>
      <c r="I964" s="154" t="s">
        <v>9256</v>
      </c>
      <c r="J964" s="154" t="s">
        <v>7546</v>
      </c>
      <c r="K964" s="154" t="s">
        <v>9003</v>
      </c>
      <c r="L964" s="154" t="s">
        <v>7175</v>
      </c>
      <c r="M964" s="154"/>
      <c r="N964" s="154" t="s">
        <v>759</v>
      </c>
      <c r="O964" s="247" t="s">
        <v>516</v>
      </c>
      <c r="P964" s="247" t="s">
        <v>6776</v>
      </c>
      <c r="Q964" s="154" t="str">
        <f t="shared" si="1"/>
        <v>#ERROR!</v>
      </c>
      <c r="R964" s="154" t="s">
        <v>66</v>
      </c>
      <c r="S964" s="154" t="s">
        <v>66</v>
      </c>
      <c r="T964" s="154" t="s">
        <v>64</v>
      </c>
      <c r="U964" s="154" t="s">
        <v>64</v>
      </c>
      <c r="V964" s="154" t="s">
        <v>64</v>
      </c>
      <c r="W964" s="154" t="s">
        <v>64</v>
      </c>
      <c r="X964" s="154" t="s">
        <v>66</v>
      </c>
      <c r="Y964" s="154" t="s">
        <v>64</v>
      </c>
      <c r="Z964" s="154" t="s">
        <v>64</v>
      </c>
      <c r="AA964" s="154"/>
      <c r="AB964" s="242" t="str">
        <f t="shared" si="2"/>
        <v>#ERROR!</v>
      </c>
      <c r="AC964" s="154" t="s">
        <v>391</v>
      </c>
      <c r="AD964" s="242" t="b">
        <f t="shared" si="3"/>
        <v>0</v>
      </c>
      <c r="AE964" s="154"/>
      <c r="AF964" s="242" t="str">
        <f t="shared" si="4"/>
        <v>#ERROR!</v>
      </c>
      <c r="AG964" s="154" t="s">
        <v>652</v>
      </c>
      <c r="AH964" s="242" t="str">
        <f>IF(AG964="","N/A",INDIRECT("MTR!"&amp;ADDRESS(MATCH(LEFT(AG964,9),[1]MTR!C:C,0),COLUMN(J964)),TRUE) &amp; "")</f>
        <v>#ERROR!</v>
      </c>
      <c r="AI964" s="157" t="str">
        <f t="shared" si="5"/>
        <v>#ERROR!</v>
      </c>
    </row>
    <row r="965" ht="12.75" customHeight="1">
      <c r="A965" s="244" t="s">
        <v>5158</v>
      </c>
      <c r="B965" s="244" t="s">
        <v>231</v>
      </c>
      <c r="C965" s="245" t="s">
        <v>9259</v>
      </c>
      <c r="D965" s="155" t="s">
        <v>1773</v>
      </c>
      <c r="E965" s="155" t="s">
        <v>92</v>
      </c>
      <c r="F965" s="154" t="str">
        <f t="array" ref="F965">XLOOKUP(Cover!$D$12,$R$1:$Z$1,$R965:$Z965)</f>
        <v>Recommended</v>
      </c>
      <c r="G965" s="154" t="s">
        <v>9260</v>
      </c>
      <c r="H965" s="154" t="s">
        <v>1541</v>
      </c>
      <c r="I965" s="154" t="s">
        <v>9256</v>
      </c>
      <c r="J965" s="154" t="s">
        <v>7546</v>
      </c>
      <c r="K965" s="154" t="s">
        <v>9003</v>
      </c>
      <c r="L965" s="154" t="s">
        <v>7175</v>
      </c>
      <c r="M965" s="154"/>
      <c r="N965" s="154" t="s">
        <v>759</v>
      </c>
      <c r="O965" s="247" t="s">
        <v>516</v>
      </c>
      <c r="P965" s="247" t="s">
        <v>6776</v>
      </c>
      <c r="Q965" s="154" t="str">
        <f t="shared" si="1"/>
        <v>#ERROR!</v>
      </c>
      <c r="R965" s="154" t="s">
        <v>66</v>
      </c>
      <c r="S965" s="154" t="s">
        <v>66</v>
      </c>
      <c r="T965" s="154" t="s">
        <v>64</v>
      </c>
      <c r="U965" s="154" t="s">
        <v>64</v>
      </c>
      <c r="V965" s="154" t="s">
        <v>64</v>
      </c>
      <c r="W965" s="154" t="s">
        <v>64</v>
      </c>
      <c r="X965" s="154" t="s">
        <v>66</v>
      </c>
      <c r="Y965" s="154" t="s">
        <v>64</v>
      </c>
      <c r="Z965" s="154" t="s">
        <v>64</v>
      </c>
      <c r="AA965" s="154"/>
      <c r="AB965" s="242" t="str">
        <f t="shared" si="2"/>
        <v>#ERROR!</v>
      </c>
      <c r="AC965" s="154" t="s">
        <v>391</v>
      </c>
      <c r="AD965" s="242" t="b">
        <f t="shared" si="3"/>
        <v>0</v>
      </c>
      <c r="AE965" s="154"/>
      <c r="AF965" s="242" t="str">
        <f t="shared" si="4"/>
        <v>#ERROR!</v>
      </c>
      <c r="AG965" s="154" t="s">
        <v>652</v>
      </c>
      <c r="AH965" s="242" t="str">
        <f>IF(AG965="","N/A",INDIRECT("MTR!"&amp;ADDRESS(MATCH(LEFT(AG965,9),[1]MTR!C:C,0),COLUMN(J965)),TRUE) &amp; "")</f>
        <v>#ERROR!</v>
      </c>
      <c r="AI965" s="157" t="str">
        <f t="shared" si="5"/>
        <v>#ERROR!</v>
      </c>
    </row>
    <row r="966" ht="12.75" customHeight="1">
      <c r="A966" s="244" t="s">
        <v>5158</v>
      </c>
      <c r="B966" s="244" t="s">
        <v>231</v>
      </c>
      <c r="C966" s="244" t="s">
        <v>9261</v>
      </c>
      <c r="D966" s="154" t="s">
        <v>1315</v>
      </c>
      <c r="E966" s="154"/>
      <c r="F966" s="154" t="str">
        <f t="array" ref="F966">XLOOKUP(Cover!$D$12,$R$1:$Z$1,$R966:$Z966)</f>
        <v>Mandatory</v>
      </c>
      <c r="G966" s="154" t="s">
        <v>9262</v>
      </c>
      <c r="H966" s="154" t="s">
        <v>9002</v>
      </c>
      <c r="I966" s="154" t="s">
        <v>9263</v>
      </c>
      <c r="J966" s="154" t="s">
        <v>7554</v>
      </c>
      <c r="K966" s="154" t="s">
        <v>9003</v>
      </c>
      <c r="L966" s="154" t="s">
        <v>6884</v>
      </c>
      <c r="M966" s="154" t="s">
        <v>175</v>
      </c>
      <c r="N966" s="154" t="s">
        <v>759</v>
      </c>
      <c r="O966" s="247" t="s">
        <v>516</v>
      </c>
      <c r="P966" s="247" t="s">
        <v>6776</v>
      </c>
      <c r="Q966" s="154" t="str">
        <f t="shared" si="1"/>
        <v>#ERROR!</v>
      </c>
      <c r="R966" s="154" t="s">
        <v>66</v>
      </c>
      <c r="S966" s="154" t="s">
        <v>66</v>
      </c>
      <c r="T966" s="155" t="s">
        <v>64</v>
      </c>
      <c r="U966" s="155" t="s">
        <v>64</v>
      </c>
      <c r="V966" s="154" t="s">
        <v>60</v>
      </c>
      <c r="W966" s="154" t="s">
        <v>60</v>
      </c>
      <c r="X966" s="154" t="s">
        <v>66</v>
      </c>
      <c r="Y966" s="155" t="s">
        <v>64</v>
      </c>
      <c r="Z966" s="154" t="s">
        <v>60</v>
      </c>
      <c r="AA966" s="154"/>
      <c r="AB966" s="242" t="str">
        <f t="shared" si="2"/>
        <v>#ERROR!</v>
      </c>
      <c r="AC966" s="154" t="s">
        <v>391</v>
      </c>
      <c r="AD966" s="242" t="b">
        <f t="shared" si="3"/>
        <v>0</v>
      </c>
      <c r="AE966" s="154"/>
      <c r="AF966" s="242" t="str">
        <f t="shared" si="4"/>
        <v>#ERROR!</v>
      </c>
      <c r="AG966" s="154" t="s">
        <v>652</v>
      </c>
      <c r="AH966" s="242" t="str">
        <f>IF(AG966="","N/A",INDIRECT("MTR!"&amp;ADDRESS(MATCH(LEFT(AG966,9),[1]MTR!C:C,0),COLUMN(J966)),TRUE) &amp; "")</f>
        <v>#ERROR!</v>
      </c>
      <c r="AI966" s="157" t="str">
        <f t="shared" si="5"/>
        <v>#ERROR!</v>
      </c>
    </row>
    <row r="967" ht="12.75" customHeight="1">
      <c r="A967" s="244" t="s">
        <v>5158</v>
      </c>
      <c r="B967" s="244" t="s">
        <v>231</v>
      </c>
      <c r="C967" s="244" t="s">
        <v>9264</v>
      </c>
      <c r="D967" s="154" t="s">
        <v>1315</v>
      </c>
      <c r="E967" s="154"/>
      <c r="F967" s="154" t="str">
        <f t="array" ref="F967">XLOOKUP(Cover!$D$12,$R$1:$Z$1,$R967:$Z967)</f>
        <v>Mandatory</v>
      </c>
      <c r="G967" s="154" t="s">
        <v>9265</v>
      </c>
      <c r="H967" s="154" t="s">
        <v>9015</v>
      </c>
      <c r="I967" s="154" t="s">
        <v>9263</v>
      </c>
      <c r="J967" s="154" t="s">
        <v>7554</v>
      </c>
      <c r="K967" s="154" t="s">
        <v>9003</v>
      </c>
      <c r="L967" s="154" t="s">
        <v>6884</v>
      </c>
      <c r="M967" s="154" t="s">
        <v>175</v>
      </c>
      <c r="N967" s="154" t="s">
        <v>759</v>
      </c>
      <c r="O967" s="247" t="s">
        <v>516</v>
      </c>
      <c r="P967" s="247" t="s">
        <v>6776</v>
      </c>
      <c r="Q967" s="154" t="str">
        <f t="shared" si="1"/>
        <v>#ERROR!</v>
      </c>
      <c r="R967" s="154" t="s">
        <v>66</v>
      </c>
      <c r="S967" s="154" t="s">
        <v>66</v>
      </c>
      <c r="T967" s="155" t="s">
        <v>64</v>
      </c>
      <c r="U967" s="155" t="s">
        <v>64</v>
      </c>
      <c r="V967" s="154" t="s">
        <v>60</v>
      </c>
      <c r="W967" s="154" t="s">
        <v>60</v>
      </c>
      <c r="X967" s="154" t="s">
        <v>66</v>
      </c>
      <c r="Y967" s="155" t="s">
        <v>64</v>
      </c>
      <c r="Z967" s="154" t="s">
        <v>60</v>
      </c>
      <c r="AA967" s="154"/>
      <c r="AB967" s="242" t="str">
        <f t="shared" si="2"/>
        <v>#ERROR!</v>
      </c>
      <c r="AC967" s="154" t="s">
        <v>391</v>
      </c>
      <c r="AD967" s="242" t="b">
        <f t="shared" si="3"/>
        <v>0</v>
      </c>
      <c r="AE967" s="154"/>
      <c r="AF967" s="242" t="str">
        <f t="shared" si="4"/>
        <v>#ERROR!</v>
      </c>
      <c r="AG967" s="154" t="s">
        <v>652</v>
      </c>
      <c r="AH967" s="242" t="str">
        <f>IF(AG967="","N/A",INDIRECT("MTR!"&amp;ADDRESS(MATCH(LEFT(AG967,9),[1]MTR!C:C,0),COLUMN(J967)),TRUE) &amp; "")</f>
        <v>#ERROR!</v>
      </c>
      <c r="AI967" s="157" t="str">
        <f t="shared" si="5"/>
        <v>#ERROR!</v>
      </c>
    </row>
    <row r="968" ht="12.75" customHeight="1">
      <c r="A968" s="244" t="s">
        <v>5158</v>
      </c>
      <c r="B968" s="244" t="s">
        <v>231</v>
      </c>
      <c r="C968" s="244" t="s">
        <v>9266</v>
      </c>
      <c r="D968" s="154" t="s">
        <v>542</v>
      </c>
      <c r="E968" s="154"/>
      <c r="F968" s="154" t="str">
        <f t="array" ref="F968">XLOOKUP(Cover!$D$12,$R$1:$Z$1,$R968:$Z968)</f>
        <v>Mandatory</v>
      </c>
      <c r="G968" s="154" t="s">
        <v>9267</v>
      </c>
      <c r="H968" s="154" t="s">
        <v>9006</v>
      </c>
      <c r="I968" s="154" t="s">
        <v>9268</v>
      </c>
      <c r="J968" s="154" t="s">
        <v>6927</v>
      </c>
      <c r="K968" s="154" t="s">
        <v>9003</v>
      </c>
      <c r="L968" s="154" t="s">
        <v>6525</v>
      </c>
      <c r="M968" s="154" t="s">
        <v>175</v>
      </c>
      <c r="N968" s="154" t="s">
        <v>759</v>
      </c>
      <c r="O968" s="247" t="s">
        <v>445</v>
      </c>
      <c r="P968" s="247" t="s">
        <v>89</v>
      </c>
      <c r="Q968" s="154" t="str">
        <f t="shared" si="1"/>
        <v>#ERROR!</v>
      </c>
      <c r="R968" s="154" t="s">
        <v>66</v>
      </c>
      <c r="S968" s="154" t="s">
        <v>66</v>
      </c>
      <c r="T968" s="155" t="s">
        <v>64</v>
      </c>
      <c r="U968" s="155" t="s">
        <v>64</v>
      </c>
      <c r="V968" s="154" t="s">
        <v>60</v>
      </c>
      <c r="W968" s="154" t="s">
        <v>60</v>
      </c>
      <c r="X968" s="154" t="s">
        <v>66</v>
      </c>
      <c r="Y968" s="155" t="s">
        <v>64</v>
      </c>
      <c r="Z968" s="154" t="s">
        <v>60</v>
      </c>
      <c r="AA968" s="154"/>
      <c r="AB968" s="242" t="str">
        <f t="shared" si="2"/>
        <v>#ERROR!</v>
      </c>
      <c r="AC968" s="154" t="s">
        <v>391</v>
      </c>
      <c r="AD968" s="242" t="b">
        <f t="shared" si="3"/>
        <v>0</v>
      </c>
      <c r="AE968" s="154"/>
      <c r="AF968" s="242" t="str">
        <f t="shared" si="4"/>
        <v>#ERROR!</v>
      </c>
      <c r="AG968" s="154" t="s">
        <v>652</v>
      </c>
      <c r="AH968" s="242" t="str">
        <f>IF(AG968="","N/A",INDIRECT("MTR!"&amp;ADDRESS(MATCH(LEFT(AG968,9),[1]MTR!C:C,0),COLUMN(J968)),TRUE) &amp; "")</f>
        <v>#ERROR!</v>
      </c>
      <c r="AI968" s="157" t="str">
        <f t="shared" si="5"/>
        <v>#ERROR!</v>
      </c>
    </row>
    <row r="969" ht="12.75" customHeight="1">
      <c r="A969" s="244" t="s">
        <v>5158</v>
      </c>
      <c r="B969" s="244" t="s">
        <v>231</v>
      </c>
      <c r="C969" s="244" t="s">
        <v>9269</v>
      </c>
      <c r="D969" s="154" t="s">
        <v>546</v>
      </c>
      <c r="E969" s="154"/>
      <c r="F969" s="154" t="str">
        <f t="array" ref="F969">XLOOKUP(Cover!$D$12,$R$1:$Z$1,$R969:$Z969)</f>
        <v>Mandatory</v>
      </c>
      <c r="G969" s="154" t="s">
        <v>9270</v>
      </c>
      <c r="H969" s="154" t="s">
        <v>9053</v>
      </c>
      <c r="I969" s="154" t="s">
        <v>9268</v>
      </c>
      <c r="J969" s="154" t="s">
        <v>6927</v>
      </c>
      <c r="K969" s="154" t="s">
        <v>9003</v>
      </c>
      <c r="L969" s="154" t="s">
        <v>6529</v>
      </c>
      <c r="M969" s="154" t="s">
        <v>175</v>
      </c>
      <c r="N969" s="154" t="s">
        <v>759</v>
      </c>
      <c r="O969" s="247" t="s">
        <v>516</v>
      </c>
      <c r="P969" s="247" t="s">
        <v>1575</v>
      </c>
      <c r="Q969" s="154" t="str">
        <f t="shared" si="1"/>
        <v>#ERROR!</v>
      </c>
      <c r="R969" s="154" t="s">
        <v>66</v>
      </c>
      <c r="S969" s="154" t="s">
        <v>66</v>
      </c>
      <c r="T969" s="155" t="s">
        <v>64</v>
      </c>
      <c r="U969" s="155" t="s">
        <v>64</v>
      </c>
      <c r="V969" s="154" t="s">
        <v>60</v>
      </c>
      <c r="W969" s="154" t="s">
        <v>60</v>
      </c>
      <c r="X969" s="154" t="s">
        <v>66</v>
      </c>
      <c r="Y969" s="155" t="s">
        <v>64</v>
      </c>
      <c r="Z969" s="154" t="s">
        <v>60</v>
      </c>
      <c r="AA969" s="154"/>
      <c r="AB969" s="242" t="str">
        <f t="shared" si="2"/>
        <v>#ERROR!</v>
      </c>
      <c r="AC969" s="154" t="s">
        <v>391</v>
      </c>
      <c r="AD969" s="242" t="b">
        <f t="shared" si="3"/>
        <v>0</v>
      </c>
      <c r="AE969" s="154"/>
      <c r="AF969" s="242" t="str">
        <f t="shared" si="4"/>
        <v>#ERROR!</v>
      </c>
      <c r="AG969" s="154" t="s">
        <v>652</v>
      </c>
      <c r="AH969" s="242" t="str">
        <f>IF(AG969="","N/A",INDIRECT("MTR!"&amp;ADDRESS(MATCH(LEFT(AG969,9),[1]MTR!C:C,0),COLUMN(J969)),TRUE) &amp; "")</f>
        <v>#ERROR!</v>
      </c>
      <c r="AI969" s="157" t="str">
        <f t="shared" si="5"/>
        <v>#ERROR!</v>
      </c>
    </row>
    <row r="970" ht="12.75" customHeight="1">
      <c r="A970" s="244" t="s">
        <v>5158</v>
      </c>
      <c r="B970" s="244" t="s">
        <v>231</v>
      </c>
      <c r="C970" s="244" t="s">
        <v>9271</v>
      </c>
      <c r="D970" s="154" t="s">
        <v>542</v>
      </c>
      <c r="E970" s="154"/>
      <c r="F970" s="154" t="str">
        <f t="array" ref="F970">XLOOKUP(Cover!$D$12,$R$1:$Z$1,$R970:$Z970)</f>
        <v>Mandatory</v>
      </c>
      <c r="G970" s="154" t="s">
        <v>9272</v>
      </c>
      <c r="H970" s="154" t="s">
        <v>9009</v>
      </c>
      <c r="I970" s="154" t="s">
        <v>9268</v>
      </c>
      <c r="J970" s="154" t="s">
        <v>6927</v>
      </c>
      <c r="K970" s="154" t="s">
        <v>9003</v>
      </c>
      <c r="L970" s="154" t="s">
        <v>6064</v>
      </c>
      <c r="M970" s="154" t="s">
        <v>175</v>
      </c>
      <c r="N970" s="154" t="s">
        <v>759</v>
      </c>
      <c r="O970" s="247" t="s">
        <v>445</v>
      </c>
      <c r="P970" s="247" t="s">
        <v>89</v>
      </c>
      <c r="Q970" s="154" t="str">
        <f t="shared" si="1"/>
        <v>#ERROR!</v>
      </c>
      <c r="R970" s="154" t="s">
        <v>66</v>
      </c>
      <c r="S970" s="154" t="s">
        <v>66</v>
      </c>
      <c r="T970" s="155" t="s">
        <v>64</v>
      </c>
      <c r="U970" s="155" t="s">
        <v>64</v>
      </c>
      <c r="V970" s="154" t="s">
        <v>60</v>
      </c>
      <c r="W970" s="154" t="s">
        <v>60</v>
      </c>
      <c r="X970" s="154" t="s">
        <v>66</v>
      </c>
      <c r="Y970" s="155" t="s">
        <v>64</v>
      </c>
      <c r="Z970" s="154" t="s">
        <v>60</v>
      </c>
      <c r="AA970" s="154"/>
      <c r="AB970" s="242" t="str">
        <f t="shared" si="2"/>
        <v>#ERROR!</v>
      </c>
      <c r="AC970" s="154" t="s">
        <v>391</v>
      </c>
      <c r="AD970" s="242" t="b">
        <f t="shared" si="3"/>
        <v>0</v>
      </c>
      <c r="AE970" s="154"/>
      <c r="AF970" s="242" t="str">
        <f t="shared" si="4"/>
        <v>#ERROR!</v>
      </c>
      <c r="AG970" s="154" t="s">
        <v>652</v>
      </c>
      <c r="AH970" s="242" t="str">
        <f>IF(AG970="","N/A",INDIRECT("MTR!"&amp;ADDRESS(MATCH(LEFT(AG970,9),[1]MTR!C:C,0),COLUMN(J970)),TRUE) &amp; "")</f>
        <v>#ERROR!</v>
      </c>
      <c r="AI970" s="157" t="str">
        <f t="shared" si="5"/>
        <v>#ERROR!</v>
      </c>
    </row>
    <row r="971" ht="12.75" customHeight="1">
      <c r="A971" s="244" t="s">
        <v>5158</v>
      </c>
      <c r="B971" s="244" t="s">
        <v>231</v>
      </c>
      <c r="C971" s="245" t="s">
        <v>9273</v>
      </c>
      <c r="D971" s="155" t="s">
        <v>747</v>
      </c>
      <c r="E971" s="155" t="s">
        <v>92</v>
      </c>
      <c r="F971" s="154" t="str">
        <f t="array" ref="F971">XLOOKUP(Cover!$D$12,$R$1:$Z$1,$R971:$Z971)</f>
        <v>Information</v>
      </c>
      <c r="G971" s="154" t="s">
        <v>9274</v>
      </c>
      <c r="H971" s="154" t="s">
        <v>9006</v>
      </c>
      <c r="I971" s="154" t="s">
        <v>9275</v>
      </c>
      <c r="J971" s="154" t="s">
        <v>6935</v>
      </c>
      <c r="K971" s="154" t="s">
        <v>9003</v>
      </c>
      <c r="L971" s="154" t="s">
        <v>6525</v>
      </c>
      <c r="M971" s="154"/>
      <c r="N971" s="154" t="s">
        <v>759</v>
      </c>
      <c r="O971" s="247" t="s">
        <v>445</v>
      </c>
      <c r="P971" s="247" t="s">
        <v>89</v>
      </c>
      <c r="Q971" s="154" t="str">
        <f t="shared" si="1"/>
        <v>#ERROR!</v>
      </c>
      <c r="R971" s="154" t="s">
        <v>66</v>
      </c>
      <c r="S971" s="154" t="s">
        <v>66</v>
      </c>
      <c r="T971" s="154" t="s">
        <v>66</v>
      </c>
      <c r="U971" s="154" t="s">
        <v>66</v>
      </c>
      <c r="V971" s="154" t="s">
        <v>66</v>
      </c>
      <c r="W971" s="154" t="s">
        <v>66</v>
      </c>
      <c r="X971" s="154" t="s">
        <v>66</v>
      </c>
      <c r="Y971" s="154" t="s">
        <v>66</v>
      </c>
      <c r="Z971" s="154" t="s">
        <v>66</v>
      </c>
      <c r="AA971" s="154"/>
      <c r="AB971" s="242" t="str">
        <f t="shared" si="2"/>
        <v>#ERROR!</v>
      </c>
      <c r="AC971" s="154" t="s">
        <v>391</v>
      </c>
      <c r="AD971" s="242" t="b">
        <f t="shared" si="3"/>
        <v>0</v>
      </c>
      <c r="AE971" s="154"/>
      <c r="AF971" s="242" t="str">
        <f t="shared" si="4"/>
        <v>#ERROR!</v>
      </c>
      <c r="AG971" s="154" t="s">
        <v>652</v>
      </c>
      <c r="AH971" s="242" t="str">
        <f>IF(AG971="","N/A",INDIRECT("MTR!"&amp;ADDRESS(MATCH(LEFT(AG971,9),[1]MTR!C:C,0),COLUMN(J971)),TRUE) &amp; "")</f>
        <v>#ERROR!</v>
      </c>
      <c r="AI971" s="157" t="str">
        <f t="shared" si="5"/>
        <v>#ERROR!</v>
      </c>
    </row>
    <row r="972" ht="12.75" customHeight="1">
      <c r="A972" s="244" t="s">
        <v>5158</v>
      </c>
      <c r="B972" s="244" t="s">
        <v>231</v>
      </c>
      <c r="C972" s="245" t="s">
        <v>9276</v>
      </c>
      <c r="D972" s="155" t="s">
        <v>747</v>
      </c>
      <c r="E972" s="155" t="s">
        <v>92</v>
      </c>
      <c r="F972" s="154" t="str">
        <f t="array" ref="F972">XLOOKUP(Cover!$D$12,$R$1:$Z$1,$R972:$Z972)</f>
        <v>Information</v>
      </c>
      <c r="G972" s="154" t="s">
        <v>9277</v>
      </c>
      <c r="H972" s="154" t="s">
        <v>9009</v>
      </c>
      <c r="I972" s="154" t="s">
        <v>9275</v>
      </c>
      <c r="J972" s="154" t="s">
        <v>6935</v>
      </c>
      <c r="K972" s="154" t="s">
        <v>9003</v>
      </c>
      <c r="L972" s="154" t="s">
        <v>6525</v>
      </c>
      <c r="M972" s="154"/>
      <c r="N972" s="154" t="s">
        <v>759</v>
      </c>
      <c r="O972" s="247" t="s">
        <v>445</v>
      </c>
      <c r="P972" s="247" t="s">
        <v>89</v>
      </c>
      <c r="Q972" s="154" t="str">
        <f t="shared" si="1"/>
        <v>#ERROR!</v>
      </c>
      <c r="R972" s="154" t="s">
        <v>66</v>
      </c>
      <c r="S972" s="154" t="s">
        <v>66</v>
      </c>
      <c r="T972" s="154" t="s">
        <v>66</v>
      </c>
      <c r="U972" s="154" t="s">
        <v>66</v>
      </c>
      <c r="V972" s="154" t="s">
        <v>66</v>
      </c>
      <c r="W972" s="154" t="s">
        <v>66</v>
      </c>
      <c r="X972" s="154" t="s">
        <v>66</v>
      </c>
      <c r="Y972" s="154" t="s">
        <v>66</v>
      </c>
      <c r="Z972" s="154" t="s">
        <v>66</v>
      </c>
      <c r="AA972" s="154"/>
      <c r="AB972" s="242" t="str">
        <f t="shared" si="2"/>
        <v>#ERROR!</v>
      </c>
      <c r="AC972" s="154" t="s">
        <v>391</v>
      </c>
      <c r="AD972" s="242" t="b">
        <f t="shared" si="3"/>
        <v>0</v>
      </c>
      <c r="AE972" s="154"/>
      <c r="AF972" s="242" t="str">
        <f t="shared" si="4"/>
        <v>#ERROR!</v>
      </c>
      <c r="AG972" s="154" t="s">
        <v>652</v>
      </c>
      <c r="AH972" s="242" t="str">
        <f>IF(AG972="","N/A",INDIRECT("MTR!"&amp;ADDRESS(MATCH(LEFT(AG972,9),[1]MTR!C:C,0),COLUMN(J972)),TRUE) &amp; "")</f>
        <v>#ERROR!</v>
      </c>
      <c r="AI972" s="157" t="str">
        <f t="shared" si="5"/>
        <v>#ERROR!</v>
      </c>
    </row>
    <row r="973" ht="12.75" customHeight="1">
      <c r="A973" s="244" t="s">
        <v>5158</v>
      </c>
      <c r="B973" s="244" t="s">
        <v>231</v>
      </c>
      <c r="C973" s="244" t="s">
        <v>9278</v>
      </c>
      <c r="D973" s="154" t="s">
        <v>747</v>
      </c>
      <c r="E973" s="154"/>
      <c r="F973" s="154" t="str">
        <f t="array" ref="F973">XLOOKUP(Cover!$D$12,$R$1:$Z$1,$R973:$Z973)</f>
        <v>Mandatory</v>
      </c>
      <c r="G973" s="154" t="s">
        <v>9279</v>
      </c>
      <c r="H973" s="154" t="s">
        <v>9006</v>
      </c>
      <c r="I973" s="154" t="s">
        <v>9280</v>
      </c>
      <c r="J973" s="154" t="s">
        <v>6941</v>
      </c>
      <c r="K973" s="154" t="s">
        <v>9003</v>
      </c>
      <c r="L973" s="154" t="s">
        <v>6525</v>
      </c>
      <c r="M973" s="154" t="s">
        <v>175</v>
      </c>
      <c r="N973" s="154" t="s">
        <v>759</v>
      </c>
      <c r="O973" s="247" t="s">
        <v>445</v>
      </c>
      <c r="P973" s="247" t="s">
        <v>6772</v>
      </c>
      <c r="Q973" s="154" t="str">
        <f t="shared" si="1"/>
        <v>#ERROR!</v>
      </c>
      <c r="R973" s="154" t="s">
        <v>66</v>
      </c>
      <c r="S973" s="154" t="s">
        <v>66</v>
      </c>
      <c r="T973" s="155" t="s">
        <v>64</v>
      </c>
      <c r="U973" s="155" t="s">
        <v>64</v>
      </c>
      <c r="V973" s="154" t="s">
        <v>60</v>
      </c>
      <c r="W973" s="154" t="s">
        <v>60</v>
      </c>
      <c r="X973" s="154" t="s">
        <v>66</v>
      </c>
      <c r="Y973" s="155" t="s">
        <v>64</v>
      </c>
      <c r="Z973" s="154" t="s">
        <v>60</v>
      </c>
      <c r="AA973" s="154"/>
      <c r="AB973" s="242" t="str">
        <f t="shared" si="2"/>
        <v>#ERROR!</v>
      </c>
      <c r="AC973" s="154" t="s">
        <v>391</v>
      </c>
      <c r="AD973" s="242" t="b">
        <f t="shared" si="3"/>
        <v>0</v>
      </c>
      <c r="AE973" s="154"/>
      <c r="AF973" s="242" t="str">
        <f t="shared" si="4"/>
        <v>#ERROR!</v>
      </c>
      <c r="AG973" s="154" t="s">
        <v>652</v>
      </c>
      <c r="AH973" s="242" t="str">
        <f>IF(AG973="","N/A",INDIRECT("MTR!"&amp;ADDRESS(MATCH(LEFT(AG973,9),[1]MTR!C:C,0),COLUMN(J973)),TRUE) &amp; "")</f>
        <v>#ERROR!</v>
      </c>
      <c r="AI973" s="157" t="str">
        <f t="shared" si="5"/>
        <v>#ERROR!</v>
      </c>
    </row>
    <row r="974" ht="12.75" customHeight="1">
      <c r="A974" s="244" t="s">
        <v>5158</v>
      </c>
      <c r="B974" s="244" t="s">
        <v>231</v>
      </c>
      <c r="C974" s="244" t="s">
        <v>9281</v>
      </c>
      <c r="D974" s="154" t="s">
        <v>747</v>
      </c>
      <c r="E974" s="154"/>
      <c r="F974" s="154" t="str">
        <f t="array" ref="F974">XLOOKUP(Cover!$D$12,$R$1:$Z$1,$R974:$Z974)</f>
        <v>Mandatory</v>
      </c>
      <c r="G974" s="154" t="s">
        <v>9282</v>
      </c>
      <c r="H974" s="154" t="s">
        <v>9012</v>
      </c>
      <c r="I974" s="154" t="s">
        <v>9280</v>
      </c>
      <c r="J974" s="154" t="s">
        <v>6941</v>
      </c>
      <c r="K974" s="154" t="s">
        <v>9003</v>
      </c>
      <c r="L974" s="154" t="s">
        <v>6525</v>
      </c>
      <c r="M974" s="154" t="s">
        <v>175</v>
      </c>
      <c r="N974" s="154" t="s">
        <v>759</v>
      </c>
      <c r="O974" s="247" t="s">
        <v>445</v>
      </c>
      <c r="P974" s="247" t="s">
        <v>6772</v>
      </c>
      <c r="Q974" s="154" t="str">
        <f t="shared" si="1"/>
        <v>#ERROR!</v>
      </c>
      <c r="R974" s="154" t="s">
        <v>66</v>
      </c>
      <c r="S974" s="154" t="s">
        <v>66</v>
      </c>
      <c r="T974" s="155" t="s">
        <v>64</v>
      </c>
      <c r="U974" s="155" t="s">
        <v>64</v>
      </c>
      <c r="V974" s="154" t="s">
        <v>60</v>
      </c>
      <c r="W974" s="154" t="s">
        <v>60</v>
      </c>
      <c r="X974" s="154" t="s">
        <v>66</v>
      </c>
      <c r="Y974" s="155" t="s">
        <v>64</v>
      </c>
      <c r="Z974" s="154" t="s">
        <v>60</v>
      </c>
      <c r="AA974" s="154"/>
      <c r="AB974" s="242" t="str">
        <f t="shared" si="2"/>
        <v>#ERROR!</v>
      </c>
      <c r="AC974" s="154" t="s">
        <v>391</v>
      </c>
      <c r="AD974" s="242" t="b">
        <f t="shared" si="3"/>
        <v>0</v>
      </c>
      <c r="AE974" s="154"/>
      <c r="AF974" s="242" t="str">
        <f t="shared" si="4"/>
        <v>#ERROR!</v>
      </c>
      <c r="AG974" s="154" t="s">
        <v>652</v>
      </c>
      <c r="AH974" s="242" t="str">
        <f>IF(AG974="","N/A",INDIRECT("MTR!"&amp;ADDRESS(MATCH(LEFT(AG974,9),[1]MTR!C:C,0),COLUMN(J974)),TRUE) &amp; "")</f>
        <v>#ERROR!</v>
      </c>
      <c r="AI974" s="157" t="str">
        <f t="shared" si="5"/>
        <v>#ERROR!</v>
      </c>
    </row>
    <row r="975" ht="12.75" customHeight="1">
      <c r="A975" s="244" t="s">
        <v>5158</v>
      </c>
      <c r="B975" s="244" t="s">
        <v>231</v>
      </c>
      <c r="C975" s="244" t="s">
        <v>9283</v>
      </c>
      <c r="D975" s="154" t="s">
        <v>781</v>
      </c>
      <c r="E975" s="154"/>
      <c r="F975" s="154" t="str">
        <f t="array" ref="F975">XLOOKUP(Cover!$D$12,$R$1:$Z$1,$R975:$Z975)</f>
        <v>Information</v>
      </c>
      <c r="G975" s="154" t="s">
        <v>9284</v>
      </c>
      <c r="H975" s="154" t="s">
        <v>9006</v>
      </c>
      <c r="I975" s="154" t="s">
        <v>9285</v>
      </c>
      <c r="J975" s="154" t="s">
        <v>6950</v>
      </c>
      <c r="K975" s="154" t="s">
        <v>9003</v>
      </c>
      <c r="L975" s="154" t="s">
        <v>6140</v>
      </c>
      <c r="M975" s="154"/>
      <c r="N975" s="154" t="s">
        <v>759</v>
      </c>
      <c r="O975" s="247" t="s">
        <v>445</v>
      </c>
      <c r="P975" s="247" t="s">
        <v>6772</v>
      </c>
      <c r="Q975" s="154" t="str">
        <f t="shared" si="1"/>
        <v>#ERROR!</v>
      </c>
      <c r="R975" s="154" t="s">
        <v>66</v>
      </c>
      <c r="S975" s="154" t="s">
        <v>66</v>
      </c>
      <c r="T975" s="154" t="s">
        <v>66</v>
      </c>
      <c r="U975" s="154" t="s">
        <v>66</v>
      </c>
      <c r="V975" s="154" t="s">
        <v>66</v>
      </c>
      <c r="W975" s="154" t="s">
        <v>66</v>
      </c>
      <c r="X975" s="154" t="s">
        <v>66</v>
      </c>
      <c r="Y975" s="154" t="s">
        <v>66</v>
      </c>
      <c r="Z975" s="154" t="s">
        <v>66</v>
      </c>
      <c r="AA975" s="154"/>
      <c r="AB975" s="242" t="str">
        <f t="shared" si="2"/>
        <v>#ERROR!</v>
      </c>
      <c r="AC975" s="154" t="s">
        <v>391</v>
      </c>
      <c r="AD975" s="242" t="b">
        <f t="shared" si="3"/>
        <v>0</v>
      </c>
      <c r="AE975" s="154"/>
      <c r="AF975" s="242" t="str">
        <f t="shared" si="4"/>
        <v>#ERROR!</v>
      </c>
      <c r="AG975" s="154" t="s">
        <v>652</v>
      </c>
      <c r="AH975" s="242" t="str">
        <f>IF(AG975="","N/A",INDIRECT("MTR!"&amp;ADDRESS(MATCH(LEFT(AG975,9),[1]MTR!C:C,0),COLUMN(J975)),TRUE) &amp; "")</f>
        <v>#ERROR!</v>
      </c>
      <c r="AI975" s="157" t="str">
        <f t="shared" si="5"/>
        <v>#ERROR!</v>
      </c>
    </row>
    <row r="976" ht="12.75" customHeight="1">
      <c r="A976" s="244" t="s">
        <v>5158</v>
      </c>
      <c r="B976" s="244" t="s">
        <v>231</v>
      </c>
      <c r="C976" s="244" t="s">
        <v>9286</v>
      </c>
      <c r="D976" s="154" t="s">
        <v>781</v>
      </c>
      <c r="E976" s="154"/>
      <c r="F976" s="154" t="str">
        <f t="array" ref="F976">XLOOKUP(Cover!$D$12,$R$1:$Z$1,$R976:$Z976)</f>
        <v>Information</v>
      </c>
      <c r="G976" s="154" t="s">
        <v>9287</v>
      </c>
      <c r="H976" s="154" t="s">
        <v>9012</v>
      </c>
      <c r="I976" s="154" t="s">
        <v>9285</v>
      </c>
      <c r="J976" s="154" t="s">
        <v>6950</v>
      </c>
      <c r="K976" s="154" t="s">
        <v>9003</v>
      </c>
      <c r="L976" s="154" t="s">
        <v>6140</v>
      </c>
      <c r="M976" s="154"/>
      <c r="N976" s="154" t="s">
        <v>759</v>
      </c>
      <c r="O976" s="247" t="s">
        <v>445</v>
      </c>
      <c r="P976" s="247" t="s">
        <v>6772</v>
      </c>
      <c r="Q976" s="154" t="str">
        <f t="shared" si="1"/>
        <v>#ERROR!</v>
      </c>
      <c r="R976" s="154" t="s">
        <v>66</v>
      </c>
      <c r="S976" s="154" t="s">
        <v>66</v>
      </c>
      <c r="T976" s="154" t="s">
        <v>66</v>
      </c>
      <c r="U976" s="154" t="s">
        <v>66</v>
      </c>
      <c r="V976" s="154" t="s">
        <v>66</v>
      </c>
      <c r="W976" s="154" t="s">
        <v>66</v>
      </c>
      <c r="X976" s="154" t="s">
        <v>66</v>
      </c>
      <c r="Y976" s="154" t="s">
        <v>66</v>
      </c>
      <c r="Z976" s="154" t="s">
        <v>66</v>
      </c>
      <c r="AA976" s="154"/>
      <c r="AB976" s="242" t="str">
        <f t="shared" si="2"/>
        <v>#ERROR!</v>
      </c>
      <c r="AC976" s="154" t="s">
        <v>391</v>
      </c>
      <c r="AD976" s="242" t="b">
        <f t="shared" si="3"/>
        <v>0</v>
      </c>
      <c r="AE976" s="154"/>
      <c r="AF976" s="242" t="str">
        <f t="shared" si="4"/>
        <v>#ERROR!</v>
      </c>
      <c r="AG976" s="154" t="s">
        <v>652</v>
      </c>
      <c r="AH976" s="242" t="str">
        <f>IF(AG976="","N/A",INDIRECT("MTR!"&amp;ADDRESS(MATCH(LEFT(AG976,9),[1]MTR!C:C,0),COLUMN(J976)),TRUE) &amp; "")</f>
        <v>#ERROR!</v>
      </c>
      <c r="AI976" s="157" t="str">
        <f t="shared" si="5"/>
        <v>#ERROR!</v>
      </c>
    </row>
    <row r="977" ht="12.75" customHeight="1">
      <c r="A977" s="244" t="s">
        <v>5158</v>
      </c>
      <c r="B977" s="244" t="s">
        <v>231</v>
      </c>
      <c r="C977" s="244" t="s">
        <v>9288</v>
      </c>
      <c r="D977" s="154" t="s">
        <v>542</v>
      </c>
      <c r="E977" s="154"/>
      <c r="F977" s="154" t="str">
        <f t="array" ref="F977">XLOOKUP(Cover!$D$12,$R$1:$Z$1,$R977:$Z977)</f>
        <v>Mandatory</v>
      </c>
      <c r="G977" s="154" t="s">
        <v>9289</v>
      </c>
      <c r="H977" s="154" t="s">
        <v>9006</v>
      </c>
      <c r="I977" s="154" t="s">
        <v>9290</v>
      </c>
      <c r="J977" s="154" t="s">
        <v>6956</v>
      </c>
      <c r="K977" s="154" t="s">
        <v>9003</v>
      </c>
      <c r="L977" s="154" t="s">
        <v>6525</v>
      </c>
      <c r="M977" s="154" t="s">
        <v>175</v>
      </c>
      <c r="N977" s="154" t="s">
        <v>759</v>
      </c>
      <c r="O977" s="247" t="s">
        <v>445</v>
      </c>
      <c r="P977" s="247" t="s">
        <v>6772</v>
      </c>
      <c r="Q977" s="154" t="str">
        <f t="shared" si="1"/>
        <v>#ERROR!</v>
      </c>
      <c r="R977" s="154" t="s">
        <v>66</v>
      </c>
      <c r="S977" s="154" t="s">
        <v>66</v>
      </c>
      <c r="T977" s="154" t="s">
        <v>60</v>
      </c>
      <c r="U977" s="154" t="s">
        <v>60</v>
      </c>
      <c r="V977" s="154" t="s">
        <v>60</v>
      </c>
      <c r="W977" s="154" t="s">
        <v>60</v>
      </c>
      <c r="X977" s="154" t="s">
        <v>66</v>
      </c>
      <c r="Y977" s="154" t="s">
        <v>60</v>
      </c>
      <c r="Z977" s="154" t="s">
        <v>60</v>
      </c>
      <c r="AA977" s="154"/>
      <c r="AB977" s="242" t="str">
        <f t="shared" si="2"/>
        <v>#ERROR!</v>
      </c>
      <c r="AC977" s="154" t="s">
        <v>391</v>
      </c>
      <c r="AD977" s="242" t="b">
        <f t="shared" si="3"/>
        <v>0</v>
      </c>
      <c r="AE977" s="154"/>
      <c r="AF977" s="242" t="str">
        <f t="shared" si="4"/>
        <v>#ERROR!</v>
      </c>
      <c r="AG977" s="154" t="s">
        <v>652</v>
      </c>
      <c r="AH977" s="242" t="str">
        <f>IF(AG977="","N/A",INDIRECT("MTR!"&amp;ADDRESS(MATCH(LEFT(AG977,9),[1]MTR!C:C,0),COLUMN(J977)),TRUE) &amp; "")</f>
        <v>#ERROR!</v>
      </c>
      <c r="AI977" s="157" t="str">
        <f t="shared" si="5"/>
        <v>#ERROR!</v>
      </c>
    </row>
    <row r="978" ht="12.75" customHeight="1">
      <c r="A978" s="244" t="s">
        <v>5158</v>
      </c>
      <c r="B978" s="244" t="s">
        <v>231</v>
      </c>
      <c r="C978" s="244" t="s">
        <v>9291</v>
      </c>
      <c r="D978" s="154" t="s">
        <v>861</v>
      </c>
      <c r="E978" s="154"/>
      <c r="F978" s="154" t="str">
        <f t="array" ref="F978">XLOOKUP(Cover!$D$12,$R$1:$Z$1,$R978:$Z978)</f>
        <v>Mandatory</v>
      </c>
      <c r="G978" s="154" t="s">
        <v>9292</v>
      </c>
      <c r="H978" s="154" t="s">
        <v>9053</v>
      </c>
      <c r="I978" s="154" t="s">
        <v>9290</v>
      </c>
      <c r="J978" s="154" t="s">
        <v>6956</v>
      </c>
      <c r="K978" s="154" t="s">
        <v>9003</v>
      </c>
      <c r="L978" s="154" t="s">
        <v>6428</v>
      </c>
      <c r="M978" s="154" t="s">
        <v>175</v>
      </c>
      <c r="N978" s="154" t="s">
        <v>759</v>
      </c>
      <c r="O978" s="247" t="s">
        <v>516</v>
      </c>
      <c r="P978" s="247" t="s">
        <v>1575</v>
      </c>
      <c r="Q978" s="154" t="str">
        <f t="shared" si="1"/>
        <v>#ERROR!</v>
      </c>
      <c r="R978" s="154" t="s">
        <v>66</v>
      </c>
      <c r="S978" s="154" t="s">
        <v>66</v>
      </c>
      <c r="T978" s="154" t="s">
        <v>60</v>
      </c>
      <c r="U978" s="154" t="s">
        <v>60</v>
      </c>
      <c r="V978" s="154" t="s">
        <v>60</v>
      </c>
      <c r="W978" s="154" t="s">
        <v>60</v>
      </c>
      <c r="X978" s="154" t="s">
        <v>66</v>
      </c>
      <c r="Y978" s="154" t="s">
        <v>60</v>
      </c>
      <c r="Z978" s="154" t="s">
        <v>60</v>
      </c>
      <c r="AA978" s="154"/>
      <c r="AB978" s="242" t="str">
        <f t="shared" si="2"/>
        <v>#ERROR!</v>
      </c>
      <c r="AC978" s="154" t="s">
        <v>391</v>
      </c>
      <c r="AD978" s="242" t="b">
        <f t="shared" si="3"/>
        <v>0</v>
      </c>
      <c r="AE978" s="154"/>
      <c r="AF978" s="242" t="str">
        <f t="shared" si="4"/>
        <v>#ERROR!</v>
      </c>
      <c r="AG978" s="154" t="s">
        <v>652</v>
      </c>
      <c r="AH978" s="242" t="str">
        <f>IF(AG978="","N/A",INDIRECT("MTR!"&amp;ADDRESS(MATCH(LEFT(AG978,9),[1]MTR!C:C,0),COLUMN(J978)),TRUE) &amp; "")</f>
        <v>#ERROR!</v>
      </c>
      <c r="AI978" s="157" t="str">
        <f t="shared" si="5"/>
        <v>#ERROR!</v>
      </c>
    </row>
    <row r="979" ht="12.75" customHeight="1">
      <c r="A979" s="244" t="s">
        <v>5158</v>
      </c>
      <c r="B979" s="244" t="s">
        <v>231</v>
      </c>
      <c r="C979" s="244" t="s">
        <v>9293</v>
      </c>
      <c r="D979" s="154" t="s">
        <v>542</v>
      </c>
      <c r="E979" s="154"/>
      <c r="F979" s="154" t="str">
        <f t="array" ref="F979">XLOOKUP(Cover!$D$12,$R$1:$Z$1,$R979:$Z979)</f>
        <v>Mandatory</v>
      </c>
      <c r="G979" s="154" t="s">
        <v>9294</v>
      </c>
      <c r="H979" s="154" t="s">
        <v>9015</v>
      </c>
      <c r="I979" s="154" t="s">
        <v>9290</v>
      </c>
      <c r="J979" s="154" t="s">
        <v>6956</v>
      </c>
      <c r="K979" s="154" t="s">
        <v>9003</v>
      </c>
      <c r="L979" s="154" t="s">
        <v>6064</v>
      </c>
      <c r="M979" s="154" t="s">
        <v>175</v>
      </c>
      <c r="N979" s="154" t="s">
        <v>759</v>
      </c>
      <c r="O979" s="247" t="s">
        <v>445</v>
      </c>
      <c r="P979" s="247" t="s">
        <v>6772</v>
      </c>
      <c r="Q979" s="154" t="str">
        <f t="shared" si="1"/>
        <v>#ERROR!</v>
      </c>
      <c r="R979" s="154" t="s">
        <v>66</v>
      </c>
      <c r="S979" s="154" t="s">
        <v>66</v>
      </c>
      <c r="T979" s="154" t="s">
        <v>60</v>
      </c>
      <c r="U979" s="154" t="s">
        <v>60</v>
      </c>
      <c r="V979" s="154" t="s">
        <v>60</v>
      </c>
      <c r="W979" s="154" t="s">
        <v>60</v>
      </c>
      <c r="X979" s="154" t="s">
        <v>66</v>
      </c>
      <c r="Y979" s="154" t="s">
        <v>60</v>
      </c>
      <c r="Z979" s="154" t="s">
        <v>60</v>
      </c>
      <c r="AA979" s="154"/>
      <c r="AB979" s="242" t="str">
        <f t="shared" si="2"/>
        <v>#ERROR!</v>
      </c>
      <c r="AC979" s="154" t="s">
        <v>391</v>
      </c>
      <c r="AD979" s="242" t="b">
        <f t="shared" si="3"/>
        <v>0</v>
      </c>
      <c r="AE979" s="154"/>
      <c r="AF979" s="242" t="str">
        <f t="shared" si="4"/>
        <v>#ERROR!</v>
      </c>
      <c r="AG979" s="154" t="s">
        <v>652</v>
      </c>
      <c r="AH979" s="242" t="str">
        <f>IF(AG979="","N/A",INDIRECT("MTR!"&amp;ADDRESS(MATCH(LEFT(AG979,9),[1]MTR!C:C,0),COLUMN(J979)),TRUE) &amp; "")</f>
        <v>#ERROR!</v>
      </c>
      <c r="AI979" s="157" t="str">
        <f t="shared" si="5"/>
        <v>#ERROR!</v>
      </c>
    </row>
    <row r="980" ht="12.75" customHeight="1">
      <c r="A980" s="244" t="s">
        <v>5158</v>
      </c>
      <c r="B980" s="244" t="s">
        <v>231</v>
      </c>
      <c r="C980" s="245" t="s">
        <v>9295</v>
      </c>
      <c r="D980" s="155" t="s">
        <v>503</v>
      </c>
      <c r="E980" s="155" t="s">
        <v>92</v>
      </c>
      <c r="F980" s="154" t="str">
        <f t="array" ref="F980">XLOOKUP(Cover!$D$12,$R$1:$Z$1,$R980:$Z980)</f>
        <v>Information</v>
      </c>
      <c r="G980" s="154" t="s">
        <v>9296</v>
      </c>
      <c r="H980" s="154" t="s">
        <v>9006</v>
      </c>
      <c r="I980" s="154" t="s">
        <v>9297</v>
      </c>
      <c r="J980" s="154" t="s">
        <v>6964</v>
      </c>
      <c r="K980" s="154" t="s">
        <v>9003</v>
      </c>
      <c r="L980" s="154" t="s">
        <v>6463</v>
      </c>
      <c r="M980" s="154"/>
      <c r="N980" s="154" t="s">
        <v>759</v>
      </c>
      <c r="O980" s="247" t="s">
        <v>506</v>
      </c>
      <c r="P980" s="247" t="s">
        <v>6722</v>
      </c>
      <c r="Q980" s="154" t="str">
        <f t="shared" si="1"/>
        <v>#ERROR!</v>
      </c>
      <c r="R980" s="154" t="s">
        <v>66</v>
      </c>
      <c r="S980" s="154" t="s">
        <v>66</v>
      </c>
      <c r="T980" s="154" t="s">
        <v>66</v>
      </c>
      <c r="U980" s="154" t="s">
        <v>66</v>
      </c>
      <c r="V980" s="154" t="s">
        <v>66</v>
      </c>
      <c r="W980" s="154" t="s">
        <v>66</v>
      </c>
      <c r="X980" s="154" t="s">
        <v>66</v>
      </c>
      <c r="Y980" s="154" t="s">
        <v>66</v>
      </c>
      <c r="Z980" s="154" t="s">
        <v>66</v>
      </c>
      <c r="AA980" s="154"/>
      <c r="AB980" s="242" t="str">
        <f t="shared" si="2"/>
        <v>#ERROR!</v>
      </c>
      <c r="AC980" s="154" t="s">
        <v>391</v>
      </c>
      <c r="AD980" s="242" t="b">
        <f t="shared" si="3"/>
        <v>0</v>
      </c>
      <c r="AE980" s="154"/>
      <c r="AF980" s="242" t="str">
        <f t="shared" si="4"/>
        <v>#ERROR!</v>
      </c>
      <c r="AG980" s="154" t="s">
        <v>652</v>
      </c>
      <c r="AH980" s="242" t="str">
        <f>IF(AG980="","N/A",INDIRECT("MTR!"&amp;ADDRESS(MATCH(LEFT(AG980,9),[1]MTR!C:C,0),COLUMN(J980)),TRUE) &amp; "")</f>
        <v>#ERROR!</v>
      </c>
      <c r="AI980" s="157" t="str">
        <f t="shared" si="5"/>
        <v>#ERROR!</v>
      </c>
    </row>
    <row r="981" ht="12.75" customHeight="1">
      <c r="A981" s="244" t="s">
        <v>5158</v>
      </c>
      <c r="B981" s="244" t="s">
        <v>231</v>
      </c>
      <c r="C981" s="245" t="s">
        <v>9298</v>
      </c>
      <c r="D981" s="155" t="s">
        <v>503</v>
      </c>
      <c r="E981" s="155" t="s">
        <v>92</v>
      </c>
      <c r="F981" s="154" t="str">
        <f t="array" ref="F981">XLOOKUP(Cover!$D$12,$R$1:$Z$1,$R981:$Z981)</f>
        <v>Information</v>
      </c>
      <c r="G981" s="154" t="s">
        <v>9299</v>
      </c>
      <c r="H981" s="154" t="s">
        <v>9015</v>
      </c>
      <c r="I981" s="154" t="s">
        <v>9297</v>
      </c>
      <c r="J981" s="154" t="s">
        <v>6964</v>
      </c>
      <c r="K981" s="154" t="s">
        <v>9003</v>
      </c>
      <c r="L981" s="154" t="s">
        <v>6463</v>
      </c>
      <c r="M981" s="154"/>
      <c r="N981" s="154" t="s">
        <v>759</v>
      </c>
      <c r="O981" s="247" t="s">
        <v>506</v>
      </c>
      <c r="P981" s="247" t="s">
        <v>6722</v>
      </c>
      <c r="Q981" s="154" t="str">
        <f t="shared" si="1"/>
        <v>#ERROR!</v>
      </c>
      <c r="R981" s="154" t="s">
        <v>66</v>
      </c>
      <c r="S981" s="154" t="s">
        <v>66</v>
      </c>
      <c r="T981" s="154" t="s">
        <v>66</v>
      </c>
      <c r="U981" s="154" t="s">
        <v>66</v>
      </c>
      <c r="V981" s="154" t="s">
        <v>66</v>
      </c>
      <c r="W981" s="154" t="s">
        <v>66</v>
      </c>
      <c r="X981" s="154" t="s">
        <v>66</v>
      </c>
      <c r="Y981" s="154" t="s">
        <v>66</v>
      </c>
      <c r="Z981" s="154" t="s">
        <v>66</v>
      </c>
      <c r="AA981" s="154"/>
      <c r="AB981" s="242" t="str">
        <f t="shared" si="2"/>
        <v>#ERROR!</v>
      </c>
      <c r="AC981" s="154" t="s">
        <v>391</v>
      </c>
      <c r="AD981" s="242" t="b">
        <f t="shared" si="3"/>
        <v>0</v>
      </c>
      <c r="AE981" s="154"/>
      <c r="AF981" s="242" t="str">
        <f t="shared" si="4"/>
        <v>#ERROR!</v>
      </c>
      <c r="AG981" s="154" t="s">
        <v>652</v>
      </c>
      <c r="AH981" s="242" t="str">
        <f>IF(AG981="","N/A",INDIRECT("MTR!"&amp;ADDRESS(MATCH(LEFT(AG981,9),[1]MTR!C:C,0),COLUMN(J981)),TRUE) &amp; "")</f>
        <v>#ERROR!</v>
      </c>
      <c r="AI981" s="157" t="str">
        <f t="shared" si="5"/>
        <v>#ERROR!</v>
      </c>
    </row>
    <row r="982" ht="12.75" customHeight="1">
      <c r="A982" s="244" t="s">
        <v>5158</v>
      </c>
      <c r="B982" s="244" t="s">
        <v>231</v>
      </c>
      <c r="C982" s="244" t="s">
        <v>9300</v>
      </c>
      <c r="D982" s="154" t="s">
        <v>747</v>
      </c>
      <c r="E982" s="154"/>
      <c r="F982" s="154" t="str">
        <f t="array" ref="F982">XLOOKUP(Cover!$D$12,$R$1:$Z$1,$R982:$Z982)</f>
        <v>Recommended</v>
      </c>
      <c r="G982" s="154" t="s">
        <v>9301</v>
      </c>
      <c r="H982" s="154" t="s">
        <v>9006</v>
      </c>
      <c r="I982" s="154" t="s">
        <v>9302</v>
      </c>
      <c r="J982" s="154" t="s">
        <v>6970</v>
      </c>
      <c r="K982" s="154" t="s">
        <v>9003</v>
      </c>
      <c r="L982" s="154" t="s">
        <v>6525</v>
      </c>
      <c r="M982" s="154"/>
      <c r="N982" s="154" t="s">
        <v>759</v>
      </c>
      <c r="O982" s="247" t="s">
        <v>445</v>
      </c>
      <c r="P982" s="247" t="s">
        <v>6772</v>
      </c>
      <c r="Q982" s="154" t="str">
        <f t="shared" si="1"/>
        <v>#ERROR!</v>
      </c>
      <c r="R982" s="154" t="s">
        <v>66</v>
      </c>
      <c r="S982" s="154" t="s">
        <v>66</v>
      </c>
      <c r="T982" s="154" t="s">
        <v>64</v>
      </c>
      <c r="U982" s="154" t="s">
        <v>64</v>
      </c>
      <c r="V982" s="154" t="s">
        <v>64</v>
      </c>
      <c r="W982" s="154" t="s">
        <v>64</v>
      </c>
      <c r="X982" s="154" t="s">
        <v>66</v>
      </c>
      <c r="Y982" s="154" t="s">
        <v>64</v>
      </c>
      <c r="Z982" s="154" t="s">
        <v>64</v>
      </c>
      <c r="AA982" s="154"/>
      <c r="AB982" s="242" t="str">
        <f t="shared" si="2"/>
        <v>#ERROR!</v>
      </c>
      <c r="AC982" s="154" t="s">
        <v>391</v>
      </c>
      <c r="AD982" s="242" t="b">
        <f t="shared" si="3"/>
        <v>0</v>
      </c>
      <c r="AE982" s="154"/>
      <c r="AF982" s="242" t="str">
        <f t="shared" si="4"/>
        <v>#ERROR!</v>
      </c>
      <c r="AG982" s="154" t="s">
        <v>652</v>
      </c>
      <c r="AH982" s="242" t="str">
        <f>IF(AG982="","N/A",INDIRECT("MTR!"&amp;ADDRESS(MATCH(LEFT(AG982,9),[1]MTR!C:C,0),COLUMN(J982)),TRUE) &amp; "")</f>
        <v>#ERROR!</v>
      </c>
      <c r="AI982" s="157" t="str">
        <f t="shared" si="5"/>
        <v>#ERROR!</v>
      </c>
    </row>
    <row r="983" ht="12.75" customHeight="1">
      <c r="A983" s="244" t="s">
        <v>5158</v>
      </c>
      <c r="B983" s="244" t="s">
        <v>231</v>
      </c>
      <c r="C983" s="244" t="s">
        <v>9303</v>
      </c>
      <c r="D983" s="154" t="s">
        <v>1773</v>
      </c>
      <c r="E983" s="154"/>
      <c r="F983" s="154" t="str">
        <f t="array" ref="F983">XLOOKUP(Cover!$D$12,$R$1:$Z$1,$R983:$Z983)</f>
        <v>Recommended</v>
      </c>
      <c r="G983" s="154" t="s">
        <v>9304</v>
      </c>
      <c r="H983" s="154" t="s">
        <v>9053</v>
      </c>
      <c r="I983" s="154" t="s">
        <v>9302</v>
      </c>
      <c r="J983" s="154" t="s">
        <v>6970</v>
      </c>
      <c r="K983" s="154" t="s">
        <v>9003</v>
      </c>
      <c r="L983" s="154" t="s">
        <v>7175</v>
      </c>
      <c r="M983" s="154"/>
      <c r="N983" s="154" t="s">
        <v>759</v>
      </c>
      <c r="O983" s="247" t="s">
        <v>516</v>
      </c>
      <c r="P983" s="247" t="s">
        <v>1575</v>
      </c>
      <c r="Q983" s="154" t="str">
        <f t="shared" si="1"/>
        <v>#ERROR!</v>
      </c>
      <c r="R983" s="154" t="s">
        <v>66</v>
      </c>
      <c r="S983" s="154" t="s">
        <v>66</v>
      </c>
      <c r="T983" s="154" t="s">
        <v>64</v>
      </c>
      <c r="U983" s="154" t="s">
        <v>64</v>
      </c>
      <c r="V983" s="154" t="s">
        <v>64</v>
      </c>
      <c r="W983" s="154" t="s">
        <v>64</v>
      </c>
      <c r="X983" s="154" t="s">
        <v>66</v>
      </c>
      <c r="Y983" s="154" t="s">
        <v>64</v>
      </c>
      <c r="Z983" s="154" t="s">
        <v>64</v>
      </c>
      <c r="AA983" s="154"/>
      <c r="AB983" s="242" t="str">
        <f t="shared" si="2"/>
        <v>#ERROR!</v>
      </c>
      <c r="AC983" s="154" t="s">
        <v>391</v>
      </c>
      <c r="AD983" s="242" t="b">
        <f t="shared" si="3"/>
        <v>0</v>
      </c>
      <c r="AE983" s="154"/>
      <c r="AF983" s="242" t="str">
        <f t="shared" si="4"/>
        <v>#ERROR!</v>
      </c>
      <c r="AG983" s="154" t="s">
        <v>652</v>
      </c>
      <c r="AH983" s="242" t="str">
        <f>IF(AG983="","N/A",INDIRECT("MTR!"&amp;ADDRESS(MATCH(LEFT(AG983,9),[1]MTR!C:C,0),COLUMN(J983)),TRUE) &amp; "")</f>
        <v>#ERROR!</v>
      </c>
      <c r="AI983" s="157" t="str">
        <f t="shared" si="5"/>
        <v>#ERROR!</v>
      </c>
    </row>
    <row r="984" ht="12.75" customHeight="1">
      <c r="A984" s="244" t="s">
        <v>5158</v>
      </c>
      <c r="B984" s="244" t="s">
        <v>231</v>
      </c>
      <c r="C984" s="244" t="s">
        <v>9305</v>
      </c>
      <c r="D984" s="154" t="s">
        <v>747</v>
      </c>
      <c r="E984" s="154"/>
      <c r="F984" s="154" t="str">
        <f t="array" ref="F984">XLOOKUP(Cover!$D$12,$R$1:$Z$1,$R984:$Z984)</f>
        <v>Recommended</v>
      </c>
      <c r="G984" s="154" t="s">
        <v>9306</v>
      </c>
      <c r="H984" s="154" t="s">
        <v>1541</v>
      </c>
      <c r="I984" s="154" t="s">
        <v>9302</v>
      </c>
      <c r="J984" s="154" t="s">
        <v>6970</v>
      </c>
      <c r="K984" s="154" t="s">
        <v>9003</v>
      </c>
      <c r="L984" s="154" t="s">
        <v>6525</v>
      </c>
      <c r="M984" s="154"/>
      <c r="N984" s="154" t="s">
        <v>759</v>
      </c>
      <c r="O984" s="247" t="s">
        <v>445</v>
      </c>
      <c r="P984" s="247" t="s">
        <v>6772</v>
      </c>
      <c r="Q984" s="154" t="str">
        <f t="shared" si="1"/>
        <v>#ERROR!</v>
      </c>
      <c r="R984" s="154" t="s">
        <v>66</v>
      </c>
      <c r="S984" s="154" t="s">
        <v>66</v>
      </c>
      <c r="T984" s="154" t="s">
        <v>64</v>
      </c>
      <c r="U984" s="154" t="s">
        <v>64</v>
      </c>
      <c r="V984" s="154" t="s">
        <v>64</v>
      </c>
      <c r="W984" s="154" t="s">
        <v>64</v>
      </c>
      <c r="X984" s="154" t="s">
        <v>66</v>
      </c>
      <c r="Y984" s="154" t="s">
        <v>64</v>
      </c>
      <c r="Z984" s="154" t="s">
        <v>64</v>
      </c>
      <c r="AA984" s="154"/>
      <c r="AB984" s="242" t="str">
        <f t="shared" si="2"/>
        <v>#ERROR!</v>
      </c>
      <c r="AC984" s="154" t="s">
        <v>391</v>
      </c>
      <c r="AD984" s="242" t="b">
        <f t="shared" si="3"/>
        <v>0</v>
      </c>
      <c r="AE984" s="154"/>
      <c r="AF984" s="242" t="str">
        <f t="shared" si="4"/>
        <v>#ERROR!</v>
      </c>
      <c r="AG984" s="154" t="s">
        <v>652</v>
      </c>
      <c r="AH984" s="242" t="str">
        <f>IF(AG984="","N/A",INDIRECT("MTR!"&amp;ADDRESS(MATCH(LEFT(AG984,9),[1]MTR!C:C,0),COLUMN(J984)),TRUE) &amp; "")</f>
        <v>#ERROR!</v>
      </c>
      <c r="AI984" s="157" t="str">
        <f t="shared" si="5"/>
        <v>#ERROR!</v>
      </c>
    </row>
    <row r="985" ht="12.75" customHeight="1">
      <c r="A985" s="244" t="s">
        <v>5158</v>
      </c>
      <c r="B985" s="244" t="s">
        <v>231</v>
      </c>
      <c r="C985" s="245" t="s">
        <v>9307</v>
      </c>
      <c r="D985" s="155" t="s">
        <v>747</v>
      </c>
      <c r="E985" s="155" t="s">
        <v>92</v>
      </c>
      <c r="F985" s="154" t="str">
        <f t="array" ref="F985">XLOOKUP(Cover!$D$12,$R$1:$Z$1,$R985:$Z985)</f>
        <v>Information</v>
      </c>
      <c r="G985" s="154" t="s">
        <v>9308</v>
      </c>
      <c r="H985" s="154" t="s">
        <v>9006</v>
      </c>
      <c r="I985" s="154" t="s">
        <v>9309</v>
      </c>
      <c r="J985" s="154" t="s">
        <v>8058</v>
      </c>
      <c r="K985" s="154" t="s">
        <v>9003</v>
      </c>
      <c r="L985" s="154" t="s">
        <v>6525</v>
      </c>
      <c r="M985" s="154"/>
      <c r="N985" s="154" t="s">
        <v>759</v>
      </c>
      <c r="O985" s="247" t="s">
        <v>445</v>
      </c>
      <c r="P985" s="247" t="s">
        <v>6772</v>
      </c>
      <c r="Q985" s="154" t="str">
        <f t="shared" si="1"/>
        <v>#ERROR!</v>
      </c>
      <c r="R985" s="154" t="s">
        <v>66</v>
      </c>
      <c r="S985" s="154" t="s">
        <v>66</v>
      </c>
      <c r="T985" s="154" t="s">
        <v>66</v>
      </c>
      <c r="U985" s="154" t="s">
        <v>66</v>
      </c>
      <c r="V985" s="154" t="s">
        <v>66</v>
      </c>
      <c r="W985" s="154" t="s">
        <v>66</v>
      </c>
      <c r="X985" s="154" t="s">
        <v>66</v>
      </c>
      <c r="Y985" s="154" t="s">
        <v>66</v>
      </c>
      <c r="Z985" s="154" t="s">
        <v>66</v>
      </c>
      <c r="AA985" s="154"/>
      <c r="AB985" s="242" t="str">
        <f t="shared" si="2"/>
        <v>#ERROR!</v>
      </c>
      <c r="AC985" s="154" t="s">
        <v>391</v>
      </c>
      <c r="AD985" s="242" t="b">
        <f t="shared" si="3"/>
        <v>0</v>
      </c>
      <c r="AE985" s="154"/>
      <c r="AF985" s="242" t="str">
        <f t="shared" si="4"/>
        <v>#ERROR!</v>
      </c>
      <c r="AG985" s="154" t="s">
        <v>652</v>
      </c>
      <c r="AH985" s="242" t="str">
        <f>IF(AG985="","N/A",INDIRECT("MTR!"&amp;ADDRESS(MATCH(LEFT(AG985,9),[1]MTR!C:C,0),COLUMN(J985)),TRUE) &amp; "")</f>
        <v>#ERROR!</v>
      </c>
      <c r="AI985" s="157" t="str">
        <f t="shared" si="5"/>
        <v>#ERROR!</v>
      </c>
    </row>
    <row r="986" ht="12.75" customHeight="1">
      <c r="A986" s="244" t="s">
        <v>5158</v>
      </c>
      <c r="B986" s="244" t="s">
        <v>231</v>
      </c>
      <c r="C986" s="245" t="s">
        <v>9310</v>
      </c>
      <c r="D986" s="155" t="s">
        <v>747</v>
      </c>
      <c r="E986" s="155" t="s">
        <v>92</v>
      </c>
      <c r="F986" s="154" t="str">
        <f t="array" ref="F986">XLOOKUP(Cover!$D$12,$R$1:$Z$1,$R986:$Z986)</f>
        <v>Information</v>
      </c>
      <c r="G986" s="154" t="s">
        <v>9311</v>
      </c>
      <c r="H986" s="154" t="s">
        <v>1541</v>
      </c>
      <c r="I986" s="154" t="s">
        <v>9309</v>
      </c>
      <c r="J986" s="154" t="s">
        <v>8058</v>
      </c>
      <c r="K986" s="154" t="s">
        <v>9003</v>
      </c>
      <c r="L986" s="154" t="s">
        <v>6525</v>
      </c>
      <c r="M986" s="154"/>
      <c r="N986" s="154" t="s">
        <v>759</v>
      </c>
      <c r="O986" s="247" t="s">
        <v>445</v>
      </c>
      <c r="P986" s="247" t="s">
        <v>6772</v>
      </c>
      <c r="Q986" s="154" t="str">
        <f t="shared" si="1"/>
        <v>#ERROR!</v>
      </c>
      <c r="R986" s="154" t="s">
        <v>66</v>
      </c>
      <c r="S986" s="154" t="s">
        <v>66</v>
      </c>
      <c r="T986" s="154" t="s">
        <v>66</v>
      </c>
      <c r="U986" s="154" t="s">
        <v>66</v>
      </c>
      <c r="V986" s="154" t="s">
        <v>66</v>
      </c>
      <c r="W986" s="154" t="s">
        <v>66</v>
      </c>
      <c r="X986" s="154" t="s">
        <v>66</v>
      </c>
      <c r="Y986" s="154" t="s">
        <v>66</v>
      </c>
      <c r="Z986" s="154" t="s">
        <v>66</v>
      </c>
      <c r="AA986" s="154"/>
      <c r="AB986" s="242" t="str">
        <f t="shared" si="2"/>
        <v>#ERROR!</v>
      </c>
      <c r="AC986" s="154" t="s">
        <v>391</v>
      </c>
      <c r="AD986" s="242" t="b">
        <f t="shared" si="3"/>
        <v>0</v>
      </c>
      <c r="AE986" s="154"/>
      <c r="AF986" s="242" t="str">
        <f t="shared" si="4"/>
        <v>#ERROR!</v>
      </c>
      <c r="AG986" s="154" t="s">
        <v>652</v>
      </c>
      <c r="AH986" s="242" t="str">
        <f>IF(AG986="","N/A",INDIRECT("MTR!"&amp;ADDRESS(MATCH(LEFT(AG986,9),[1]MTR!C:C,0),COLUMN(J986)),TRUE) &amp; "")</f>
        <v>#ERROR!</v>
      </c>
      <c r="AI986" s="157" t="str">
        <f t="shared" si="5"/>
        <v>#ERROR!</v>
      </c>
    </row>
    <row r="987" ht="12.75" customHeight="1">
      <c r="A987" s="244" t="s">
        <v>5158</v>
      </c>
      <c r="B987" s="244" t="s">
        <v>231</v>
      </c>
      <c r="C987" s="244" t="s">
        <v>9312</v>
      </c>
      <c r="D987" s="154" t="s">
        <v>1315</v>
      </c>
      <c r="E987" s="154"/>
      <c r="F987" s="154" t="str">
        <f t="array" ref="F987">XLOOKUP(Cover!$D$12,$R$1:$Z$1,$R987:$Z987)</f>
        <v>Mandatory</v>
      </c>
      <c r="G987" s="154" t="s">
        <v>9313</v>
      </c>
      <c r="H987" s="154" t="s">
        <v>9006</v>
      </c>
      <c r="I987" s="154" t="s">
        <v>9314</v>
      </c>
      <c r="J987" s="154" t="s">
        <v>6978</v>
      </c>
      <c r="K987" s="154" t="s">
        <v>9003</v>
      </c>
      <c r="L987" s="154" t="s">
        <v>6905</v>
      </c>
      <c r="M987" s="154" t="s">
        <v>175</v>
      </c>
      <c r="N987" s="154" t="s">
        <v>759</v>
      </c>
      <c r="O987" s="247" t="s">
        <v>445</v>
      </c>
      <c r="P987" s="247" t="s">
        <v>6772</v>
      </c>
      <c r="Q987" s="154" t="str">
        <f t="shared" si="1"/>
        <v>#ERROR!</v>
      </c>
      <c r="R987" s="154" t="s">
        <v>66</v>
      </c>
      <c r="S987" s="154" t="s">
        <v>66</v>
      </c>
      <c r="T987" s="155" t="s">
        <v>64</v>
      </c>
      <c r="U987" s="155" t="s">
        <v>64</v>
      </c>
      <c r="V987" s="154" t="s">
        <v>60</v>
      </c>
      <c r="W987" s="154" t="s">
        <v>60</v>
      </c>
      <c r="X987" s="154" t="s">
        <v>66</v>
      </c>
      <c r="Y987" s="155" t="s">
        <v>64</v>
      </c>
      <c r="Z987" s="154" t="s">
        <v>60</v>
      </c>
      <c r="AA987" s="154"/>
      <c r="AB987" s="242" t="str">
        <f t="shared" si="2"/>
        <v>#ERROR!</v>
      </c>
      <c r="AC987" s="154" t="s">
        <v>391</v>
      </c>
      <c r="AD987" s="242" t="b">
        <f t="shared" si="3"/>
        <v>0</v>
      </c>
      <c r="AE987" s="154"/>
      <c r="AF987" s="242" t="str">
        <f t="shared" si="4"/>
        <v>#ERROR!</v>
      </c>
      <c r="AG987" s="154" t="s">
        <v>652</v>
      </c>
      <c r="AH987" s="242" t="str">
        <f>IF(AG987="","N/A",INDIRECT("MTR!"&amp;ADDRESS(MATCH(LEFT(AG987,9),[1]MTR!C:C,0),COLUMN(J987)),TRUE) &amp; "")</f>
        <v>#ERROR!</v>
      </c>
      <c r="AI987" s="157" t="str">
        <f t="shared" si="5"/>
        <v>#ERROR!</v>
      </c>
    </row>
    <row r="988" ht="12.75" customHeight="1">
      <c r="A988" s="244" t="s">
        <v>5158</v>
      </c>
      <c r="B988" s="244" t="s">
        <v>231</v>
      </c>
      <c r="C988" s="244" t="s">
        <v>9315</v>
      </c>
      <c r="D988" s="154" t="s">
        <v>1315</v>
      </c>
      <c r="E988" s="154"/>
      <c r="F988" s="154" t="str">
        <f t="array" ref="F988">XLOOKUP(Cover!$D$12,$R$1:$Z$1,$R988:$Z988)</f>
        <v>Mandatory</v>
      </c>
      <c r="G988" s="154" t="s">
        <v>9316</v>
      </c>
      <c r="H988" s="154" t="s">
        <v>9053</v>
      </c>
      <c r="I988" s="154" t="s">
        <v>9314</v>
      </c>
      <c r="J988" s="154" t="s">
        <v>6978</v>
      </c>
      <c r="K988" s="154" t="s">
        <v>9003</v>
      </c>
      <c r="L988" s="154" t="s">
        <v>6905</v>
      </c>
      <c r="M988" s="154" t="s">
        <v>175</v>
      </c>
      <c r="N988" s="154" t="s">
        <v>759</v>
      </c>
      <c r="O988" s="247" t="s">
        <v>516</v>
      </c>
      <c r="P988" s="247" t="s">
        <v>1575</v>
      </c>
      <c r="Q988" s="154" t="str">
        <f t="shared" si="1"/>
        <v>#ERROR!</v>
      </c>
      <c r="R988" s="154" t="s">
        <v>66</v>
      </c>
      <c r="S988" s="154" t="s">
        <v>66</v>
      </c>
      <c r="T988" s="155" t="s">
        <v>64</v>
      </c>
      <c r="U988" s="155" t="s">
        <v>64</v>
      </c>
      <c r="V988" s="154" t="s">
        <v>60</v>
      </c>
      <c r="W988" s="154" t="s">
        <v>60</v>
      </c>
      <c r="X988" s="154" t="s">
        <v>66</v>
      </c>
      <c r="Y988" s="155" t="s">
        <v>64</v>
      </c>
      <c r="Z988" s="154" t="s">
        <v>60</v>
      </c>
      <c r="AA988" s="154"/>
      <c r="AB988" s="242" t="str">
        <f t="shared" si="2"/>
        <v>#ERROR!</v>
      </c>
      <c r="AC988" s="154" t="s">
        <v>391</v>
      </c>
      <c r="AD988" s="242" t="b">
        <f t="shared" si="3"/>
        <v>0</v>
      </c>
      <c r="AE988" s="154"/>
      <c r="AF988" s="242" t="str">
        <f t="shared" si="4"/>
        <v>#ERROR!</v>
      </c>
      <c r="AG988" s="154" t="s">
        <v>652</v>
      </c>
      <c r="AH988" s="242" t="str">
        <f>IF(AG988="","N/A",INDIRECT("MTR!"&amp;ADDRESS(MATCH(LEFT(AG988,9),[1]MTR!C:C,0),COLUMN(J988)),TRUE) &amp; "")</f>
        <v>#ERROR!</v>
      </c>
      <c r="AI988" s="157" t="str">
        <f t="shared" si="5"/>
        <v>#ERROR!</v>
      </c>
    </row>
    <row r="989" ht="12.75" customHeight="1">
      <c r="A989" s="244" t="s">
        <v>5158</v>
      </c>
      <c r="B989" s="244" t="s">
        <v>231</v>
      </c>
      <c r="C989" s="244" t="s">
        <v>9317</v>
      </c>
      <c r="D989" s="154" t="s">
        <v>542</v>
      </c>
      <c r="E989" s="154"/>
      <c r="F989" s="154" t="str">
        <f t="array" ref="F989">XLOOKUP(Cover!$D$12,$R$1:$Z$1,$R989:$Z989)</f>
        <v>Mandatory</v>
      </c>
      <c r="G989" s="154" t="s">
        <v>9318</v>
      </c>
      <c r="H989" s="154" t="s">
        <v>9006</v>
      </c>
      <c r="I989" s="154" t="s">
        <v>9319</v>
      </c>
      <c r="J989" s="154" t="s">
        <v>6984</v>
      </c>
      <c r="K989" s="154" t="s">
        <v>9003</v>
      </c>
      <c r="L989" s="154" t="s">
        <v>6064</v>
      </c>
      <c r="M989" s="154" t="s">
        <v>175</v>
      </c>
      <c r="N989" s="154" t="s">
        <v>759</v>
      </c>
      <c r="O989" s="247" t="s">
        <v>445</v>
      </c>
      <c r="P989" s="247" t="s">
        <v>89</v>
      </c>
      <c r="Q989" s="154" t="str">
        <f t="shared" si="1"/>
        <v>#ERROR!</v>
      </c>
      <c r="R989" s="154" t="s">
        <v>66</v>
      </c>
      <c r="S989" s="154" t="s">
        <v>66</v>
      </c>
      <c r="T989" s="155" t="s">
        <v>64</v>
      </c>
      <c r="U989" s="155" t="s">
        <v>64</v>
      </c>
      <c r="V989" s="154" t="s">
        <v>60</v>
      </c>
      <c r="W989" s="154" t="s">
        <v>60</v>
      </c>
      <c r="X989" s="154" t="s">
        <v>66</v>
      </c>
      <c r="Y989" s="155" t="s">
        <v>64</v>
      </c>
      <c r="Z989" s="154" t="s">
        <v>60</v>
      </c>
      <c r="AA989" s="154"/>
      <c r="AB989" s="242" t="str">
        <f t="shared" si="2"/>
        <v>#ERROR!</v>
      </c>
      <c r="AC989" s="154" t="s">
        <v>391</v>
      </c>
      <c r="AD989" s="242" t="b">
        <f t="shared" si="3"/>
        <v>0</v>
      </c>
      <c r="AE989" s="154"/>
      <c r="AF989" s="242" t="str">
        <f t="shared" si="4"/>
        <v>#ERROR!</v>
      </c>
      <c r="AG989" s="154" t="s">
        <v>652</v>
      </c>
      <c r="AH989" s="242" t="str">
        <f>IF(AG989="","N/A",INDIRECT("MTR!"&amp;ADDRESS(MATCH(LEFT(AG989,9),[1]MTR!C:C,0),COLUMN(J989)),TRUE) &amp; "")</f>
        <v>#ERROR!</v>
      </c>
      <c r="AI989" s="157" t="str">
        <f t="shared" si="5"/>
        <v>#ERROR!</v>
      </c>
    </row>
    <row r="990" ht="12.75" customHeight="1">
      <c r="A990" s="244" t="s">
        <v>5158</v>
      </c>
      <c r="B990" s="244" t="s">
        <v>231</v>
      </c>
      <c r="C990" s="244" t="s">
        <v>9320</v>
      </c>
      <c r="D990" s="154" t="s">
        <v>542</v>
      </c>
      <c r="E990" s="154"/>
      <c r="F990" s="154" t="str">
        <f t="array" ref="F990">XLOOKUP(Cover!$D$12,$R$1:$Z$1,$R990:$Z990)</f>
        <v>Recommended</v>
      </c>
      <c r="G990" s="154" t="s">
        <v>9321</v>
      </c>
      <c r="H990" s="154" t="s">
        <v>9009</v>
      </c>
      <c r="I990" s="154" t="s">
        <v>9319</v>
      </c>
      <c r="J990" s="154" t="s">
        <v>6984</v>
      </c>
      <c r="K990" s="154" t="s">
        <v>9003</v>
      </c>
      <c r="L990" s="154" t="s">
        <v>6525</v>
      </c>
      <c r="M990" s="154"/>
      <c r="N990" s="154" t="s">
        <v>759</v>
      </c>
      <c r="O990" s="247" t="s">
        <v>445</v>
      </c>
      <c r="P990" s="247" t="s">
        <v>89</v>
      </c>
      <c r="Q990" s="154" t="str">
        <f t="shared" si="1"/>
        <v>#ERROR!</v>
      </c>
      <c r="R990" s="154" t="s">
        <v>66</v>
      </c>
      <c r="S990" s="154" t="s">
        <v>66</v>
      </c>
      <c r="T990" s="154" t="s">
        <v>64</v>
      </c>
      <c r="U990" s="154" t="s">
        <v>64</v>
      </c>
      <c r="V990" s="154" t="s">
        <v>64</v>
      </c>
      <c r="W990" s="154" t="s">
        <v>64</v>
      </c>
      <c r="X990" s="154" t="s">
        <v>66</v>
      </c>
      <c r="Y990" s="154" t="s">
        <v>64</v>
      </c>
      <c r="Z990" s="154" t="s">
        <v>64</v>
      </c>
      <c r="AA990" s="154"/>
      <c r="AB990" s="242" t="str">
        <f t="shared" si="2"/>
        <v>#ERROR!</v>
      </c>
      <c r="AC990" s="154" t="s">
        <v>391</v>
      </c>
      <c r="AD990" s="242" t="b">
        <f t="shared" si="3"/>
        <v>0</v>
      </c>
      <c r="AE990" s="154"/>
      <c r="AF990" s="242" t="str">
        <f t="shared" si="4"/>
        <v>#ERROR!</v>
      </c>
      <c r="AG990" s="154" t="s">
        <v>652</v>
      </c>
      <c r="AH990" s="242" t="str">
        <f>IF(AG990="","N/A",INDIRECT("MTR!"&amp;ADDRESS(MATCH(LEFT(AG990,9),[1]MTR!C:C,0),COLUMN(J990)),TRUE) &amp; "")</f>
        <v>#ERROR!</v>
      </c>
      <c r="AI990" s="157" t="str">
        <f t="shared" si="5"/>
        <v>#ERROR!</v>
      </c>
    </row>
    <row r="991" ht="12.75" customHeight="1">
      <c r="A991" s="244" t="s">
        <v>5158</v>
      </c>
      <c r="B991" s="244" t="s">
        <v>231</v>
      </c>
      <c r="C991" s="244" t="s">
        <v>9322</v>
      </c>
      <c r="D991" s="154" t="s">
        <v>542</v>
      </c>
      <c r="E991" s="154"/>
      <c r="F991" s="154" t="str">
        <f t="array" ref="F991">XLOOKUP(Cover!$D$12,$R$1:$Z$1,$R991:$Z991)</f>
        <v>Recommended</v>
      </c>
      <c r="G991" s="154" t="s">
        <v>9323</v>
      </c>
      <c r="H991" s="154" t="s">
        <v>9084</v>
      </c>
      <c r="I991" s="154" t="s">
        <v>9319</v>
      </c>
      <c r="J991" s="154" t="s">
        <v>6984</v>
      </c>
      <c r="K991" s="154" t="s">
        <v>9003</v>
      </c>
      <c r="L991" s="154" t="s">
        <v>6140</v>
      </c>
      <c r="M991" s="154"/>
      <c r="N991" s="154" t="s">
        <v>759</v>
      </c>
      <c r="O991" s="247" t="s">
        <v>516</v>
      </c>
      <c r="P991" s="247" t="s">
        <v>1575</v>
      </c>
      <c r="Q991" s="154" t="str">
        <f t="shared" si="1"/>
        <v>#ERROR!</v>
      </c>
      <c r="R991" s="154" t="s">
        <v>66</v>
      </c>
      <c r="S991" s="154" t="s">
        <v>66</v>
      </c>
      <c r="T991" s="154" t="s">
        <v>64</v>
      </c>
      <c r="U991" s="154" t="s">
        <v>64</v>
      </c>
      <c r="V991" s="154" t="s">
        <v>64</v>
      </c>
      <c r="W991" s="154" t="s">
        <v>64</v>
      </c>
      <c r="X991" s="154" t="s">
        <v>66</v>
      </c>
      <c r="Y991" s="154" t="s">
        <v>64</v>
      </c>
      <c r="Z991" s="154" t="s">
        <v>64</v>
      </c>
      <c r="AA991" s="154"/>
      <c r="AB991" s="242" t="str">
        <f t="shared" si="2"/>
        <v>#ERROR!</v>
      </c>
      <c r="AC991" s="154" t="s">
        <v>391</v>
      </c>
      <c r="AD991" s="242" t="b">
        <f t="shared" si="3"/>
        <v>0</v>
      </c>
      <c r="AE991" s="154"/>
      <c r="AF991" s="242" t="str">
        <f t="shared" si="4"/>
        <v>#ERROR!</v>
      </c>
      <c r="AG991" s="154" t="s">
        <v>652</v>
      </c>
      <c r="AH991" s="242" t="str">
        <f>IF(AG991="","N/A",INDIRECT("MTR!"&amp;ADDRESS(MATCH(LEFT(AG991,9),[1]MTR!C:C,0),COLUMN(J991)),TRUE) &amp; "")</f>
        <v>#ERROR!</v>
      </c>
      <c r="AI991" s="157" t="str">
        <f t="shared" si="5"/>
        <v>#ERROR!</v>
      </c>
    </row>
    <row r="992" ht="12.75" customHeight="1">
      <c r="A992" s="244" t="s">
        <v>5158</v>
      </c>
      <c r="B992" s="244" t="s">
        <v>231</v>
      </c>
      <c r="C992" s="244" t="s">
        <v>9324</v>
      </c>
      <c r="D992" s="154" t="s">
        <v>542</v>
      </c>
      <c r="E992" s="154"/>
      <c r="F992" s="154" t="str">
        <f t="array" ref="F992">XLOOKUP(Cover!$D$12,$R$1:$Z$1,$R992:$Z992)</f>
        <v>Information</v>
      </c>
      <c r="G992" s="154" t="s">
        <v>9325</v>
      </c>
      <c r="H992" s="154" t="s">
        <v>9006</v>
      </c>
      <c r="I992" s="154" t="s">
        <v>9326</v>
      </c>
      <c r="J992" s="154" t="s">
        <v>6992</v>
      </c>
      <c r="K992" s="154" t="s">
        <v>9003</v>
      </c>
      <c r="L992" s="154" t="s">
        <v>5905</v>
      </c>
      <c r="M992" s="154"/>
      <c r="N992" s="154" t="s">
        <v>759</v>
      </c>
      <c r="O992" s="247" t="s">
        <v>445</v>
      </c>
      <c r="P992" s="247" t="s">
        <v>89</v>
      </c>
      <c r="Q992" s="154" t="str">
        <f t="shared" si="1"/>
        <v>#ERROR!</v>
      </c>
      <c r="R992" s="154" t="s">
        <v>66</v>
      </c>
      <c r="S992" s="154" t="s">
        <v>66</v>
      </c>
      <c r="T992" s="154" t="s">
        <v>66</v>
      </c>
      <c r="U992" s="154" t="s">
        <v>66</v>
      </c>
      <c r="V992" s="154" t="s">
        <v>66</v>
      </c>
      <c r="W992" s="154" t="s">
        <v>66</v>
      </c>
      <c r="X992" s="154" t="s">
        <v>66</v>
      </c>
      <c r="Y992" s="154" t="s">
        <v>66</v>
      </c>
      <c r="Z992" s="154" t="s">
        <v>66</v>
      </c>
      <c r="AA992" s="154"/>
      <c r="AB992" s="242" t="str">
        <f t="shared" si="2"/>
        <v>#ERROR!</v>
      </c>
      <c r="AC992" s="154" t="s">
        <v>391</v>
      </c>
      <c r="AD992" s="242" t="b">
        <f t="shared" si="3"/>
        <v>0</v>
      </c>
      <c r="AE992" s="154"/>
      <c r="AF992" s="242" t="str">
        <f t="shared" si="4"/>
        <v>#ERROR!</v>
      </c>
      <c r="AG992" s="154" t="s">
        <v>652</v>
      </c>
      <c r="AH992" s="242" t="str">
        <f>IF(AG992="","N/A",INDIRECT("MTR!"&amp;ADDRESS(MATCH(LEFT(AG992,9),[1]MTR!C:C,0),COLUMN(J992)),TRUE) &amp; "")</f>
        <v>#ERROR!</v>
      </c>
      <c r="AI992" s="157" t="str">
        <f t="shared" si="5"/>
        <v>#ERROR!</v>
      </c>
    </row>
    <row r="993" ht="12.75" customHeight="1">
      <c r="A993" s="244" t="s">
        <v>5158</v>
      </c>
      <c r="B993" s="244" t="s">
        <v>231</v>
      </c>
      <c r="C993" s="244" t="s">
        <v>9327</v>
      </c>
      <c r="D993" s="154" t="s">
        <v>542</v>
      </c>
      <c r="E993" s="154"/>
      <c r="F993" s="154" t="str">
        <f t="array" ref="F993">XLOOKUP(Cover!$D$12,$R$1:$Z$1,$R993:$Z993)</f>
        <v>Information</v>
      </c>
      <c r="G993" s="154" t="s">
        <v>9328</v>
      </c>
      <c r="H993" s="154" t="s">
        <v>9009</v>
      </c>
      <c r="I993" s="154" t="s">
        <v>9326</v>
      </c>
      <c r="J993" s="154" t="s">
        <v>6992</v>
      </c>
      <c r="K993" s="154" t="s">
        <v>9003</v>
      </c>
      <c r="L993" s="154" t="s">
        <v>5905</v>
      </c>
      <c r="M993" s="154"/>
      <c r="N993" s="154" t="s">
        <v>759</v>
      </c>
      <c r="O993" s="247" t="s">
        <v>445</v>
      </c>
      <c r="P993" s="247" t="s">
        <v>89</v>
      </c>
      <c r="Q993" s="154" t="str">
        <f t="shared" si="1"/>
        <v>#ERROR!</v>
      </c>
      <c r="R993" s="154" t="s">
        <v>66</v>
      </c>
      <c r="S993" s="154" t="s">
        <v>66</v>
      </c>
      <c r="T993" s="154" t="s">
        <v>66</v>
      </c>
      <c r="U993" s="154" t="s">
        <v>66</v>
      </c>
      <c r="V993" s="154" t="s">
        <v>66</v>
      </c>
      <c r="W993" s="154" t="s">
        <v>66</v>
      </c>
      <c r="X993" s="154" t="s">
        <v>66</v>
      </c>
      <c r="Y993" s="154" t="s">
        <v>66</v>
      </c>
      <c r="Z993" s="154" t="s">
        <v>66</v>
      </c>
      <c r="AA993" s="154"/>
      <c r="AB993" s="242" t="str">
        <f t="shared" si="2"/>
        <v>#ERROR!</v>
      </c>
      <c r="AC993" s="154" t="s">
        <v>391</v>
      </c>
      <c r="AD993" s="242" t="b">
        <f t="shared" si="3"/>
        <v>0</v>
      </c>
      <c r="AE993" s="154"/>
      <c r="AF993" s="242" t="str">
        <f t="shared" si="4"/>
        <v>#ERROR!</v>
      </c>
      <c r="AG993" s="154" t="s">
        <v>652</v>
      </c>
      <c r="AH993" s="242" t="str">
        <f>IF(AG993="","N/A",INDIRECT("MTR!"&amp;ADDRESS(MATCH(LEFT(AG993,9),[1]MTR!C:C,0),COLUMN(J993)),TRUE) &amp; "")</f>
        <v>#ERROR!</v>
      </c>
      <c r="AI993" s="157" t="str">
        <f t="shared" si="5"/>
        <v>#ERROR!</v>
      </c>
    </row>
    <row r="994" ht="12.75" customHeight="1">
      <c r="A994" s="244" t="s">
        <v>5158</v>
      </c>
      <c r="B994" s="244" t="s">
        <v>231</v>
      </c>
      <c r="C994" s="244" t="s">
        <v>9329</v>
      </c>
      <c r="D994" s="154" t="s">
        <v>747</v>
      </c>
      <c r="E994" s="154"/>
      <c r="F994" s="154" t="str">
        <f t="array" ref="F994">XLOOKUP(Cover!$D$12,$R$1:$Z$1,$R994:$Z994)</f>
        <v>Mandatory</v>
      </c>
      <c r="G994" s="154" t="s">
        <v>9330</v>
      </c>
      <c r="H994" s="154" t="s">
        <v>9006</v>
      </c>
      <c r="I994" s="154" t="s">
        <v>9331</v>
      </c>
      <c r="J994" s="154" t="s">
        <v>6998</v>
      </c>
      <c r="K994" s="154" t="s">
        <v>9003</v>
      </c>
      <c r="L994" s="154" t="s">
        <v>6525</v>
      </c>
      <c r="M994" s="154" t="s">
        <v>175</v>
      </c>
      <c r="N994" s="154" t="s">
        <v>759</v>
      </c>
      <c r="O994" s="247" t="s">
        <v>516</v>
      </c>
      <c r="P994" s="247" t="s">
        <v>6776</v>
      </c>
      <c r="Q994" s="154" t="str">
        <f t="shared" si="1"/>
        <v>#ERROR!</v>
      </c>
      <c r="R994" s="154" t="s">
        <v>66</v>
      </c>
      <c r="S994" s="154" t="s">
        <v>66</v>
      </c>
      <c r="T994" s="155" t="s">
        <v>64</v>
      </c>
      <c r="U994" s="155" t="s">
        <v>64</v>
      </c>
      <c r="V994" s="154" t="s">
        <v>60</v>
      </c>
      <c r="W994" s="154" t="s">
        <v>60</v>
      </c>
      <c r="X994" s="154" t="s">
        <v>66</v>
      </c>
      <c r="Y994" s="155" t="s">
        <v>64</v>
      </c>
      <c r="Z994" s="154" t="s">
        <v>60</v>
      </c>
      <c r="AA994" s="154"/>
      <c r="AB994" s="242" t="str">
        <f t="shared" si="2"/>
        <v>#ERROR!</v>
      </c>
      <c r="AC994" s="154" t="s">
        <v>391</v>
      </c>
      <c r="AD994" s="242" t="b">
        <f t="shared" si="3"/>
        <v>0</v>
      </c>
      <c r="AE994" s="154"/>
      <c r="AF994" s="242" t="str">
        <f t="shared" si="4"/>
        <v>#ERROR!</v>
      </c>
      <c r="AG994" s="154" t="s">
        <v>652</v>
      </c>
      <c r="AH994" s="242" t="str">
        <f>IF(AG994="","N/A",INDIRECT("MTR!"&amp;ADDRESS(MATCH(LEFT(AG994,9),[1]MTR!C:C,0),COLUMN(J994)),TRUE) &amp; "")</f>
        <v>#ERROR!</v>
      </c>
      <c r="AI994" s="157" t="str">
        <f t="shared" si="5"/>
        <v>#ERROR!</v>
      </c>
    </row>
    <row r="995" ht="12.75" customHeight="1">
      <c r="A995" s="244" t="s">
        <v>5158</v>
      </c>
      <c r="B995" s="244" t="s">
        <v>231</v>
      </c>
      <c r="C995" s="244" t="s">
        <v>9332</v>
      </c>
      <c r="D995" s="154" t="s">
        <v>747</v>
      </c>
      <c r="E995" s="154"/>
      <c r="F995" s="154" t="str">
        <f t="array" ref="F995">XLOOKUP(Cover!$D$12,$R$1:$Z$1,$R995:$Z995)</f>
        <v>Mandatory</v>
      </c>
      <c r="G995" s="154" t="s">
        <v>9333</v>
      </c>
      <c r="H995" s="154" t="s">
        <v>9009</v>
      </c>
      <c r="I995" s="154" t="s">
        <v>9331</v>
      </c>
      <c r="J995" s="154" t="s">
        <v>6998</v>
      </c>
      <c r="K995" s="154" t="s">
        <v>9003</v>
      </c>
      <c r="L995" s="154" t="s">
        <v>6525</v>
      </c>
      <c r="M995" s="154" t="s">
        <v>175</v>
      </c>
      <c r="N995" s="154" t="s">
        <v>759</v>
      </c>
      <c r="O995" s="247" t="s">
        <v>516</v>
      </c>
      <c r="P995" s="247" t="s">
        <v>6776</v>
      </c>
      <c r="Q995" s="154" t="str">
        <f t="shared" si="1"/>
        <v>#ERROR!</v>
      </c>
      <c r="R995" s="154" t="s">
        <v>66</v>
      </c>
      <c r="S995" s="154" t="s">
        <v>66</v>
      </c>
      <c r="T995" s="155" t="s">
        <v>64</v>
      </c>
      <c r="U995" s="155" t="s">
        <v>64</v>
      </c>
      <c r="V995" s="154" t="s">
        <v>60</v>
      </c>
      <c r="W995" s="154" t="s">
        <v>60</v>
      </c>
      <c r="X995" s="154" t="s">
        <v>66</v>
      </c>
      <c r="Y995" s="155" t="s">
        <v>64</v>
      </c>
      <c r="Z995" s="154" t="s">
        <v>60</v>
      </c>
      <c r="AA995" s="154"/>
      <c r="AB995" s="242" t="str">
        <f t="shared" si="2"/>
        <v>#ERROR!</v>
      </c>
      <c r="AC995" s="154" t="s">
        <v>391</v>
      </c>
      <c r="AD995" s="242" t="b">
        <f t="shared" si="3"/>
        <v>0</v>
      </c>
      <c r="AE995" s="154"/>
      <c r="AF995" s="242" t="str">
        <f t="shared" si="4"/>
        <v>#ERROR!</v>
      </c>
      <c r="AG995" s="154" t="s">
        <v>652</v>
      </c>
      <c r="AH995" s="242" t="str">
        <f>IF(AG995="","N/A",INDIRECT("MTR!"&amp;ADDRESS(MATCH(LEFT(AG995,9),[1]MTR!C:C,0),COLUMN(J995)),TRUE) &amp; "")</f>
        <v>#ERROR!</v>
      </c>
      <c r="AI995" s="157" t="str">
        <f t="shared" si="5"/>
        <v>#ERROR!</v>
      </c>
    </row>
    <row r="996" ht="12.75" customHeight="1">
      <c r="A996" s="244" t="s">
        <v>5158</v>
      </c>
      <c r="B996" s="244" t="s">
        <v>231</v>
      </c>
      <c r="C996" s="244" t="s">
        <v>9334</v>
      </c>
      <c r="D996" s="154" t="s">
        <v>747</v>
      </c>
      <c r="E996" s="154"/>
      <c r="F996" s="154" t="str">
        <f t="array" ref="F996">XLOOKUP(Cover!$D$12,$R$1:$Z$1,$R996:$Z996)</f>
        <v>Mandatory</v>
      </c>
      <c r="G996" s="154" t="s">
        <v>9335</v>
      </c>
      <c r="H996" s="154" t="s">
        <v>9012</v>
      </c>
      <c r="I996" s="154" t="s">
        <v>9331</v>
      </c>
      <c r="J996" s="154" t="s">
        <v>6998</v>
      </c>
      <c r="K996" s="154" t="s">
        <v>9003</v>
      </c>
      <c r="L996" s="154" t="s">
        <v>6525</v>
      </c>
      <c r="M996" s="154" t="s">
        <v>175</v>
      </c>
      <c r="N996" s="154" t="s">
        <v>759</v>
      </c>
      <c r="O996" s="247" t="s">
        <v>516</v>
      </c>
      <c r="P996" s="247" t="s">
        <v>6776</v>
      </c>
      <c r="Q996" s="154" t="str">
        <f t="shared" si="1"/>
        <v>#ERROR!</v>
      </c>
      <c r="R996" s="154" t="s">
        <v>66</v>
      </c>
      <c r="S996" s="154" t="s">
        <v>66</v>
      </c>
      <c r="T996" s="155" t="s">
        <v>64</v>
      </c>
      <c r="U996" s="155" t="s">
        <v>64</v>
      </c>
      <c r="V996" s="154" t="s">
        <v>60</v>
      </c>
      <c r="W996" s="154" t="s">
        <v>60</v>
      </c>
      <c r="X996" s="154" t="s">
        <v>66</v>
      </c>
      <c r="Y996" s="155" t="s">
        <v>64</v>
      </c>
      <c r="Z996" s="154" t="s">
        <v>60</v>
      </c>
      <c r="AA996" s="154"/>
      <c r="AB996" s="242" t="str">
        <f t="shared" si="2"/>
        <v>#ERROR!</v>
      </c>
      <c r="AC996" s="154" t="s">
        <v>391</v>
      </c>
      <c r="AD996" s="242" t="b">
        <f t="shared" si="3"/>
        <v>0</v>
      </c>
      <c r="AE996" s="154"/>
      <c r="AF996" s="242" t="str">
        <f t="shared" si="4"/>
        <v>#ERROR!</v>
      </c>
      <c r="AG996" s="154" t="s">
        <v>652</v>
      </c>
      <c r="AH996" s="242" t="str">
        <f>IF(AG996="","N/A",INDIRECT("MTR!"&amp;ADDRESS(MATCH(LEFT(AG996,9),[1]MTR!C:C,0),COLUMN(J996)),TRUE) &amp; "")</f>
        <v>#ERROR!</v>
      </c>
      <c r="AI996" s="157" t="str">
        <f t="shared" si="5"/>
        <v>#ERROR!</v>
      </c>
    </row>
    <row r="997" ht="12.75" customHeight="1">
      <c r="A997" s="244" t="s">
        <v>5158</v>
      </c>
      <c r="B997" s="244" t="s">
        <v>231</v>
      </c>
      <c r="C997" s="244" t="s">
        <v>9336</v>
      </c>
      <c r="D997" s="154" t="s">
        <v>542</v>
      </c>
      <c r="E997" s="154"/>
      <c r="F997" s="154" t="str">
        <f t="array" ref="F997">XLOOKUP(Cover!$D$12,$R$1:$Z$1,$R997:$Z997)</f>
        <v>Mandatory</v>
      </c>
      <c r="G997" s="154" t="s">
        <v>9337</v>
      </c>
      <c r="H997" s="154" t="s">
        <v>9006</v>
      </c>
      <c r="I997" s="154" t="s">
        <v>9338</v>
      </c>
      <c r="J997" s="154" t="s">
        <v>7006</v>
      </c>
      <c r="K997" s="154" t="s">
        <v>9003</v>
      </c>
      <c r="L997" s="154" t="s">
        <v>6064</v>
      </c>
      <c r="M997" s="154" t="s">
        <v>175</v>
      </c>
      <c r="N997" s="154" t="s">
        <v>759</v>
      </c>
      <c r="O997" s="247" t="s">
        <v>516</v>
      </c>
      <c r="P997" s="247" t="s">
        <v>6776</v>
      </c>
      <c r="Q997" s="154" t="str">
        <f t="shared" si="1"/>
        <v>#ERROR!</v>
      </c>
      <c r="R997" s="154" t="s">
        <v>66</v>
      </c>
      <c r="S997" s="154" t="s">
        <v>66</v>
      </c>
      <c r="T997" s="155" t="s">
        <v>64</v>
      </c>
      <c r="U997" s="155" t="s">
        <v>64</v>
      </c>
      <c r="V997" s="154" t="s">
        <v>60</v>
      </c>
      <c r="W997" s="154" t="s">
        <v>60</v>
      </c>
      <c r="X997" s="154" t="s">
        <v>66</v>
      </c>
      <c r="Y997" s="155" t="s">
        <v>64</v>
      </c>
      <c r="Z997" s="154" t="s">
        <v>60</v>
      </c>
      <c r="AA997" s="154"/>
      <c r="AB997" s="242" t="str">
        <f t="shared" si="2"/>
        <v>#ERROR!</v>
      </c>
      <c r="AC997" s="154" t="s">
        <v>391</v>
      </c>
      <c r="AD997" s="242" t="b">
        <f t="shared" si="3"/>
        <v>0</v>
      </c>
      <c r="AE997" s="154"/>
      <c r="AF997" s="242" t="str">
        <f t="shared" si="4"/>
        <v>#ERROR!</v>
      </c>
      <c r="AG997" s="154" t="s">
        <v>652</v>
      </c>
      <c r="AH997" s="242" t="str">
        <f>IF(AG997="","N/A",INDIRECT("MTR!"&amp;ADDRESS(MATCH(LEFT(AG997,9),[1]MTR!C:C,0),COLUMN(J997)),TRUE) &amp; "")</f>
        <v>#ERROR!</v>
      </c>
      <c r="AI997" s="157" t="str">
        <f t="shared" si="5"/>
        <v>#ERROR!</v>
      </c>
    </row>
    <row r="998" ht="12.75" customHeight="1">
      <c r="A998" s="244" t="s">
        <v>5158</v>
      </c>
      <c r="B998" s="244" t="s">
        <v>231</v>
      </c>
      <c r="C998" s="244" t="s">
        <v>9339</v>
      </c>
      <c r="D998" s="154" t="s">
        <v>542</v>
      </c>
      <c r="E998" s="154"/>
      <c r="F998" s="154" t="str">
        <f t="array" ref="F998">XLOOKUP(Cover!$D$12,$R$1:$Z$1,$R998:$Z998)</f>
        <v>Mandatory</v>
      </c>
      <c r="G998" s="154" t="s">
        <v>9340</v>
      </c>
      <c r="H998" s="154" t="s">
        <v>9015</v>
      </c>
      <c r="I998" s="154" t="s">
        <v>9338</v>
      </c>
      <c r="J998" s="154" t="s">
        <v>7006</v>
      </c>
      <c r="K998" s="154" t="s">
        <v>9003</v>
      </c>
      <c r="L998" s="154" t="s">
        <v>6064</v>
      </c>
      <c r="M998" s="154" t="s">
        <v>175</v>
      </c>
      <c r="N998" s="154" t="s">
        <v>759</v>
      </c>
      <c r="O998" s="247" t="s">
        <v>516</v>
      </c>
      <c r="P998" s="247" t="s">
        <v>6776</v>
      </c>
      <c r="Q998" s="154" t="str">
        <f t="shared" si="1"/>
        <v>#ERROR!</v>
      </c>
      <c r="R998" s="154" t="s">
        <v>66</v>
      </c>
      <c r="S998" s="154" t="s">
        <v>66</v>
      </c>
      <c r="T998" s="155" t="s">
        <v>64</v>
      </c>
      <c r="U998" s="155" t="s">
        <v>64</v>
      </c>
      <c r="V998" s="154" t="s">
        <v>60</v>
      </c>
      <c r="W998" s="154" t="s">
        <v>60</v>
      </c>
      <c r="X998" s="154" t="s">
        <v>66</v>
      </c>
      <c r="Y998" s="155" t="s">
        <v>64</v>
      </c>
      <c r="Z998" s="154" t="s">
        <v>60</v>
      </c>
      <c r="AA998" s="154"/>
      <c r="AB998" s="242" t="str">
        <f t="shared" si="2"/>
        <v>#ERROR!</v>
      </c>
      <c r="AC998" s="154" t="s">
        <v>391</v>
      </c>
      <c r="AD998" s="242" t="b">
        <f t="shared" si="3"/>
        <v>0</v>
      </c>
      <c r="AE998" s="154"/>
      <c r="AF998" s="242" t="str">
        <f t="shared" si="4"/>
        <v>#ERROR!</v>
      </c>
      <c r="AG998" s="154" t="s">
        <v>652</v>
      </c>
      <c r="AH998" s="242" t="str">
        <f>IF(AG998="","N/A",INDIRECT("MTR!"&amp;ADDRESS(MATCH(LEFT(AG998,9),[1]MTR!C:C,0),COLUMN(J998)),TRUE) &amp; "")</f>
        <v>#ERROR!</v>
      </c>
      <c r="AI998" s="157" t="str">
        <f t="shared" si="5"/>
        <v>#ERROR!</v>
      </c>
    </row>
    <row r="999" ht="12.75" customHeight="1">
      <c r="A999" s="244" t="s">
        <v>5158</v>
      </c>
      <c r="B999" s="244" t="s">
        <v>231</v>
      </c>
      <c r="C999" s="244" t="s">
        <v>9341</v>
      </c>
      <c r="D999" s="154" t="s">
        <v>542</v>
      </c>
      <c r="E999" s="154"/>
      <c r="F999" s="154" t="str">
        <f t="array" ref="F999">XLOOKUP(Cover!$D$12,$R$1:$Z$1,$R999:$Z999)</f>
        <v>Mandatory</v>
      </c>
      <c r="G999" s="154" t="s">
        <v>9342</v>
      </c>
      <c r="H999" s="154" t="s">
        <v>9009</v>
      </c>
      <c r="I999" s="154" t="s">
        <v>9338</v>
      </c>
      <c r="J999" s="154" t="s">
        <v>7006</v>
      </c>
      <c r="K999" s="154" t="s">
        <v>9003</v>
      </c>
      <c r="L999" s="154" t="s">
        <v>6525</v>
      </c>
      <c r="M999" s="154" t="s">
        <v>175</v>
      </c>
      <c r="N999" s="154" t="s">
        <v>759</v>
      </c>
      <c r="O999" s="247" t="s">
        <v>516</v>
      </c>
      <c r="P999" s="247" t="s">
        <v>6776</v>
      </c>
      <c r="Q999" s="154" t="str">
        <f t="shared" si="1"/>
        <v>#ERROR!</v>
      </c>
      <c r="R999" s="154" t="s">
        <v>66</v>
      </c>
      <c r="S999" s="154" t="s">
        <v>66</v>
      </c>
      <c r="T999" s="155" t="s">
        <v>64</v>
      </c>
      <c r="U999" s="155" t="s">
        <v>64</v>
      </c>
      <c r="V999" s="154" t="s">
        <v>60</v>
      </c>
      <c r="W999" s="154" t="s">
        <v>60</v>
      </c>
      <c r="X999" s="154" t="s">
        <v>66</v>
      </c>
      <c r="Y999" s="155" t="s">
        <v>64</v>
      </c>
      <c r="Z999" s="154" t="s">
        <v>60</v>
      </c>
      <c r="AA999" s="154"/>
      <c r="AB999" s="242" t="str">
        <f t="shared" si="2"/>
        <v>#ERROR!</v>
      </c>
      <c r="AC999" s="154" t="s">
        <v>391</v>
      </c>
      <c r="AD999" s="242" t="b">
        <f t="shared" si="3"/>
        <v>0</v>
      </c>
      <c r="AE999" s="154"/>
      <c r="AF999" s="242" t="str">
        <f t="shared" si="4"/>
        <v>#ERROR!</v>
      </c>
      <c r="AG999" s="154" t="s">
        <v>652</v>
      </c>
      <c r="AH999" s="242" t="str">
        <f>IF(AG999="","N/A",INDIRECT("MTR!"&amp;ADDRESS(MATCH(LEFT(AG999,9),[1]MTR!C:C,0),COLUMN(J999)),TRUE) &amp; "")</f>
        <v>#ERROR!</v>
      </c>
      <c r="AI999" s="157" t="str">
        <f t="shared" si="5"/>
        <v>#ERROR!</v>
      </c>
    </row>
    <row r="1000" ht="12.75" customHeight="1">
      <c r="A1000" s="244" t="s">
        <v>5158</v>
      </c>
      <c r="B1000" s="244" t="s">
        <v>231</v>
      </c>
      <c r="C1000" s="244" t="s">
        <v>9343</v>
      </c>
      <c r="D1000" s="154" t="s">
        <v>602</v>
      </c>
      <c r="E1000" s="154"/>
      <c r="F1000" s="154" t="str">
        <f t="array" ref="F1000">XLOOKUP(Cover!$D$12,$R$1:$Z$1,$R1000:$Z1000)</f>
        <v>Mandatory</v>
      </c>
      <c r="G1000" s="154" t="s">
        <v>9344</v>
      </c>
      <c r="H1000" s="154" t="s">
        <v>9006</v>
      </c>
      <c r="I1000" s="154" t="s">
        <v>9345</v>
      </c>
      <c r="J1000" s="154" t="s">
        <v>7014</v>
      </c>
      <c r="K1000" s="154" t="s">
        <v>9003</v>
      </c>
      <c r="L1000" s="154" t="s">
        <v>5909</v>
      </c>
      <c r="M1000" s="154" t="s">
        <v>175</v>
      </c>
      <c r="N1000" s="154" t="s">
        <v>759</v>
      </c>
      <c r="O1000" s="247" t="s">
        <v>516</v>
      </c>
      <c r="P1000" s="247" t="s">
        <v>6776</v>
      </c>
      <c r="Q1000" s="154" t="str">
        <f t="shared" si="1"/>
        <v>#ERROR!</v>
      </c>
      <c r="R1000" s="154" t="s">
        <v>66</v>
      </c>
      <c r="S1000" s="154" t="s">
        <v>66</v>
      </c>
      <c r="T1000" s="155" t="s">
        <v>64</v>
      </c>
      <c r="U1000" s="155" t="s">
        <v>64</v>
      </c>
      <c r="V1000" s="154" t="s">
        <v>60</v>
      </c>
      <c r="W1000" s="154" t="s">
        <v>60</v>
      </c>
      <c r="X1000" s="154" t="s">
        <v>66</v>
      </c>
      <c r="Y1000" s="155" t="s">
        <v>64</v>
      </c>
      <c r="Z1000" s="154" t="s">
        <v>60</v>
      </c>
      <c r="AA1000" s="154"/>
      <c r="AB1000" s="242" t="str">
        <f t="shared" si="2"/>
        <v>#ERROR!</v>
      </c>
      <c r="AC1000" s="154" t="s">
        <v>391</v>
      </c>
      <c r="AD1000" s="242" t="b">
        <f t="shared" si="3"/>
        <v>0</v>
      </c>
      <c r="AE1000" s="154"/>
      <c r="AF1000" s="242" t="str">
        <f t="shared" si="4"/>
        <v>#ERROR!</v>
      </c>
      <c r="AG1000" s="154" t="s">
        <v>652</v>
      </c>
      <c r="AH1000" s="242" t="str">
        <f>IF(AG1000="","N/A",INDIRECT("MTR!"&amp;ADDRESS(MATCH(LEFT(AG1000,9),[1]MTR!C:C,0),COLUMN(J1000)),TRUE) &amp; "")</f>
        <v>#ERROR!</v>
      </c>
      <c r="AI1000" s="157" t="str">
        <f t="shared" si="5"/>
        <v>#ERROR!</v>
      </c>
    </row>
    <row r="1001" ht="12.75" customHeight="1">
      <c r="A1001" s="244" t="s">
        <v>5158</v>
      </c>
      <c r="B1001" s="244" t="s">
        <v>231</v>
      </c>
      <c r="C1001" s="244" t="s">
        <v>9346</v>
      </c>
      <c r="D1001" s="154" t="s">
        <v>602</v>
      </c>
      <c r="E1001" s="154"/>
      <c r="F1001" s="154" t="str">
        <f t="array" ref="F1001">XLOOKUP(Cover!$D$12,$R$1:$Z$1,$R1001:$Z1001)</f>
        <v>Recommended</v>
      </c>
      <c r="G1001" s="154" t="s">
        <v>9347</v>
      </c>
      <c r="H1001" s="154" t="s">
        <v>9009</v>
      </c>
      <c r="I1001" s="154" t="s">
        <v>9345</v>
      </c>
      <c r="J1001" s="154" t="s">
        <v>7014</v>
      </c>
      <c r="K1001" s="154" t="s">
        <v>9003</v>
      </c>
      <c r="L1001" s="154" t="s">
        <v>5909</v>
      </c>
      <c r="M1001" s="154"/>
      <c r="N1001" s="154" t="s">
        <v>759</v>
      </c>
      <c r="O1001" s="247" t="s">
        <v>516</v>
      </c>
      <c r="P1001" s="247" t="s">
        <v>6776</v>
      </c>
      <c r="Q1001" s="154" t="str">
        <f t="shared" si="1"/>
        <v>#ERROR!</v>
      </c>
      <c r="R1001" s="154" t="s">
        <v>66</v>
      </c>
      <c r="S1001" s="154" t="s">
        <v>66</v>
      </c>
      <c r="T1001" s="154" t="s">
        <v>64</v>
      </c>
      <c r="U1001" s="154" t="s">
        <v>64</v>
      </c>
      <c r="V1001" s="154" t="s">
        <v>64</v>
      </c>
      <c r="W1001" s="154" t="s">
        <v>64</v>
      </c>
      <c r="X1001" s="154" t="s">
        <v>66</v>
      </c>
      <c r="Y1001" s="154" t="s">
        <v>64</v>
      </c>
      <c r="Z1001" s="154" t="s">
        <v>64</v>
      </c>
      <c r="AA1001" s="154"/>
      <c r="AB1001" s="242" t="str">
        <f t="shared" si="2"/>
        <v>#ERROR!</v>
      </c>
      <c r="AC1001" s="154" t="s">
        <v>391</v>
      </c>
      <c r="AD1001" s="242" t="b">
        <f t="shared" si="3"/>
        <v>0</v>
      </c>
      <c r="AE1001" s="154"/>
      <c r="AF1001" s="242" t="str">
        <f t="shared" si="4"/>
        <v>#ERROR!</v>
      </c>
      <c r="AG1001" s="154" t="s">
        <v>652</v>
      </c>
      <c r="AH1001" s="242" t="str">
        <f>IF(AG1001="","N/A",INDIRECT("MTR!"&amp;ADDRESS(MATCH(LEFT(AG1001,9),[1]MTR!C:C,0),COLUMN(J1001)),TRUE) &amp; "")</f>
        <v>#ERROR!</v>
      </c>
      <c r="AI1001" s="157" t="str">
        <f t="shared" si="5"/>
        <v>#ERROR!</v>
      </c>
    </row>
    <row r="1002" ht="12.75" customHeight="1">
      <c r="A1002" s="244" t="s">
        <v>5158</v>
      </c>
      <c r="B1002" s="244" t="s">
        <v>231</v>
      </c>
      <c r="C1002" s="244" t="s">
        <v>9348</v>
      </c>
      <c r="D1002" s="154" t="s">
        <v>602</v>
      </c>
      <c r="E1002" s="154"/>
      <c r="F1002" s="154" t="str">
        <f t="array" ref="F1002">XLOOKUP(Cover!$D$12,$R$1:$Z$1,$R1002:$Z1002)</f>
        <v>Mandatory</v>
      </c>
      <c r="G1002" s="154" t="s">
        <v>9349</v>
      </c>
      <c r="H1002" s="154" t="s">
        <v>1541</v>
      </c>
      <c r="I1002" s="154" t="s">
        <v>9345</v>
      </c>
      <c r="J1002" s="154" t="s">
        <v>7014</v>
      </c>
      <c r="K1002" s="154" t="s">
        <v>9003</v>
      </c>
      <c r="L1002" s="154" t="s">
        <v>5909</v>
      </c>
      <c r="M1002" s="154" t="s">
        <v>175</v>
      </c>
      <c r="N1002" s="154" t="s">
        <v>759</v>
      </c>
      <c r="O1002" s="247" t="s">
        <v>516</v>
      </c>
      <c r="P1002" s="247" t="s">
        <v>6776</v>
      </c>
      <c r="Q1002" s="154" t="str">
        <f t="shared" si="1"/>
        <v>#ERROR!</v>
      </c>
      <c r="R1002" s="154" t="s">
        <v>66</v>
      </c>
      <c r="S1002" s="154" t="s">
        <v>66</v>
      </c>
      <c r="T1002" s="155" t="s">
        <v>64</v>
      </c>
      <c r="U1002" s="155" t="s">
        <v>64</v>
      </c>
      <c r="V1002" s="154" t="s">
        <v>60</v>
      </c>
      <c r="W1002" s="154" t="s">
        <v>60</v>
      </c>
      <c r="X1002" s="154" t="s">
        <v>66</v>
      </c>
      <c r="Y1002" s="155" t="s">
        <v>64</v>
      </c>
      <c r="Z1002" s="154" t="s">
        <v>60</v>
      </c>
      <c r="AA1002" s="154"/>
      <c r="AB1002" s="242" t="str">
        <f t="shared" si="2"/>
        <v>#ERROR!</v>
      </c>
      <c r="AC1002" s="154" t="s">
        <v>391</v>
      </c>
      <c r="AD1002" s="242" t="b">
        <f t="shared" si="3"/>
        <v>0</v>
      </c>
      <c r="AE1002" s="154"/>
      <c r="AF1002" s="242" t="str">
        <f t="shared" si="4"/>
        <v>#ERROR!</v>
      </c>
      <c r="AG1002" s="154" t="s">
        <v>652</v>
      </c>
      <c r="AH1002" s="242" t="str">
        <f>IF(AG1002="","N/A",INDIRECT("MTR!"&amp;ADDRESS(MATCH(LEFT(AG1002,9),[1]MTR!C:C,0),COLUMN(J1002)),TRUE) &amp; "")</f>
        <v>#ERROR!</v>
      </c>
      <c r="AI1002" s="157" t="str">
        <f t="shared" si="5"/>
        <v>#ERROR!</v>
      </c>
    </row>
    <row r="1003" ht="12.75" customHeight="1">
      <c r="A1003" s="244" t="s">
        <v>5158</v>
      </c>
      <c r="B1003" s="244" t="s">
        <v>231</v>
      </c>
      <c r="C1003" s="244" t="s">
        <v>9350</v>
      </c>
      <c r="D1003" s="154" t="s">
        <v>1315</v>
      </c>
      <c r="E1003" s="154"/>
      <c r="F1003" s="154" t="str">
        <f t="array" ref="F1003">XLOOKUP(Cover!$D$12,$R$1:$Z$1,$R1003:$Z1003)</f>
        <v>Mandatory</v>
      </c>
      <c r="G1003" s="154" t="s">
        <v>9351</v>
      </c>
      <c r="H1003" s="154" t="s">
        <v>9006</v>
      </c>
      <c r="I1003" s="154" t="s">
        <v>9352</v>
      </c>
      <c r="J1003" s="154" t="s">
        <v>7022</v>
      </c>
      <c r="K1003" s="154" t="s">
        <v>9003</v>
      </c>
      <c r="L1003" s="154" t="s">
        <v>6884</v>
      </c>
      <c r="M1003" s="154" t="s">
        <v>175</v>
      </c>
      <c r="N1003" s="154" t="s">
        <v>759</v>
      </c>
      <c r="O1003" s="247" t="s">
        <v>516</v>
      </c>
      <c r="P1003" s="247" t="s">
        <v>6776</v>
      </c>
      <c r="Q1003" s="154" t="str">
        <f t="shared" si="1"/>
        <v>#ERROR!</v>
      </c>
      <c r="R1003" s="154" t="s">
        <v>66</v>
      </c>
      <c r="S1003" s="154" t="s">
        <v>66</v>
      </c>
      <c r="T1003" s="155" t="s">
        <v>64</v>
      </c>
      <c r="U1003" s="155" t="s">
        <v>64</v>
      </c>
      <c r="V1003" s="154" t="s">
        <v>60</v>
      </c>
      <c r="W1003" s="154" t="s">
        <v>60</v>
      </c>
      <c r="X1003" s="154" t="s">
        <v>66</v>
      </c>
      <c r="Y1003" s="155" t="s">
        <v>64</v>
      </c>
      <c r="Z1003" s="154" t="s">
        <v>60</v>
      </c>
      <c r="AA1003" s="154"/>
      <c r="AB1003" s="242" t="str">
        <f t="shared" si="2"/>
        <v>#ERROR!</v>
      </c>
      <c r="AC1003" s="154" t="s">
        <v>391</v>
      </c>
      <c r="AD1003" s="242" t="b">
        <f t="shared" si="3"/>
        <v>0</v>
      </c>
      <c r="AE1003" s="154"/>
      <c r="AF1003" s="242" t="str">
        <f t="shared" si="4"/>
        <v>#ERROR!</v>
      </c>
      <c r="AG1003" s="154" t="s">
        <v>652</v>
      </c>
      <c r="AH1003" s="242" t="str">
        <f>IF(AG1003="","N/A",INDIRECT("MTR!"&amp;ADDRESS(MATCH(LEFT(AG1003,9),[1]MTR!C:C,0),COLUMN(J1003)),TRUE) &amp; "")</f>
        <v>#ERROR!</v>
      </c>
      <c r="AI1003" s="157" t="str">
        <f t="shared" si="5"/>
        <v>#ERROR!</v>
      </c>
    </row>
    <row r="1004" ht="12.75" customHeight="1">
      <c r="A1004" s="244" t="s">
        <v>5158</v>
      </c>
      <c r="B1004" s="244" t="s">
        <v>231</v>
      </c>
      <c r="C1004" s="244" t="s">
        <v>9353</v>
      </c>
      <c r="D1004" s="154" t="s">
        <v>1315</v>
      </c>
      <c r="E1004" s="154"/>
      <c r="F1004" s="154" t="str">
        <f t="array" ref="F1004">XLOOKUP(Cover!$D$12,$R$1:$Z$1,$R1004:$Z1004)</f>
        <v>Mandatory</v>
      </c>
      <c r="G1004" s="154" t="s">
        <v>9354</v>
      </c>
      <c r="H1004" s="154" t="s">
        <v>9009</v>
      </c>
      <c r="I1004" s="154" t="s">
        <v>9352</v>
      </c>
      <c r="J1004" s="154" t="s">
        <v>7022</v>
      </c>
      <c r="K1004" s="154" t="s">
        <v>9003</v>
      </c>
      <c r="L1004" s="154" t="s">
        <v>6884</v>
      </c>
      <c r="M1004" s="154" t="s">
        <v>175</v>
      </c>
      <c r="N1004" s="154" t="s">
        <v>759</v>
      </c>
      <c r="O1004" s="247" t="s">
        <v>516</v>
      </c>
      <c r="P1004" s="247" t="s">
        <v>6776</v>
      </c>
      <c r="Q1004" s="154" t="str">
        <f t="shared" si="1"/>
        <v>#ERROR!</v>
      </c>
      <c r="R1004" s="154" t="s">
        <v>66</v>
      </c>
      <c r="S1004" s="154" t="s">
        <v>66</v>
      </c>
      <c r="T1004" s="155" t="s">
        <v>64</v>
      </c>
      <c r="U1004" s="155" t="s">
        <v>64</v>
      </c>
      <c r="V1004" s="154" t="s">
        <v>60</v>
      </c>
      <c r="W1004" s="154" t="s">
        <v>60</v>
      </c>
      <c r="X1004" s="154" t="s">
        <v>66</v>
      </c>
      <c r="Y1004" s="155" t="s">
        <v>64</v>
      </c>
      <c r="Z1004" s="154" t="s">
        <v>60</v>
      </c>
      <c r="AA1004" s="154"/>
      <c r="AB1004" s="242" t="str">
        <f t="shared" si="2"/>
        <v>#ERROR!</v>
      </c>
      <c r="AC1004" s="154" t="s">
        <v>391</v>
      </c>
      <c r="AD1004" s="242" t="b">
        <f t="shared" si="3"/>
        <v>0</v>
      </c>
      <c r="AE1004" s="154"/>
      <c r="AF1004" s="242" t="str">
        <f t="shared" si="4"/>
        <v>#ERROR!</v>
      </c>
      <c r="AG1004" s="154" t="s">
        <v>652</v>
      </c>
      <c r="AH1004" s="242" t="str">
        <f>IF(AG1004="","N/A",INDIRECT("MTR!"&amp;ADDRESS(MATCH(LEFT(AG1004,9),[1]MTR!C:C,0),COLUMN(J1004)),TRUE) &amp; "")</f>
        <v>#ERROR!</v>
      </c>
      <c r="AI1004" s="157" t="str">
        <f t="shared" si="5"/>
        <v>#ERROR!</v>
      </c>
    </row>
    <row r="1005" ht="12.75" customHeight="1">
      <c r="A1005" s="244" t="s">
        <v>5158</v>
      </c>
      <c r="B1005" s="244" t="s">
        <v>231</v>
      </c>
      <c r="C1005" s="244" t="s">
        <v>9355</v>
      </c>
      <c r="D1005" s="154" t="s">
        <v>747</v>
      </c>
      <c r="E1005" s="154"/>
      <c r="F1005" s="154" t="str">
        <f t="array" ref="F1005">XLOOKUP(Cover!$D$12,$R$1:$Z$1,$R1005:$Z1005)</f>
        <v>Recommended</v>
      </c>
      <c r="G1005" s="154" t="s">
        <v>9356</v>
      </c>
      <c r="H1005" s="154" t="s">
        <v>9006</v>
      </c>
      <c r="I1005" s="154" t="s">
        <v>9357</v>
      </c>
      <c r="J1005" s="154" t="s">
        <v>7028</v>
      </c>
      <c r="K1005" s="154" t="s">
        <v>9003</v>
      </c>
      <c r="L1005" s="154" t="s">
        <v>6525</v>
      </c>
      <c r="M1005" s="154"/>
      <c r="N1005" s="154" t="s">
        <v>759</v>
      </c>
      <c r="O1005" s="247" t="s">
        <v>516</v>
      </c>
      <c r="P1005" s="247" t="s">
        <v>6776</v>
      </c>
      <c r="Q1005" s="154" t="str">
        <f t="shared" si="1"/>
        <v>#ERROR!</v>
      </c>
      <c r="R1005" s="154" t="s">
        <v>66</v>
      </c>
      <c r="S1005" s="154" t="s">
        <v>66</v>
      </c>
      <c r="T1005" s="154" t="s">
        <v>64</v>
      </c>
      <c r="U1005" s="154" t="s">
        <v>64</v>
      </c>
      <c r="V1005" s="154" t="s">
        <v>64</v>
      </c>
      <c r="W1005" s="154" t="s">
        <v>64</v>
      </c>
      <c r="X1005" s="154" t="s">
        <v>66</v>
      </c>
      <c r="Y1005" s="154" t="s">
        <v>64</v>
      </c>
      <c r="Z1005" s="154" t="s">
        <v>64</v>
      </c>
      <c r="AA1005" s="154"/>
      <c r="AB1005" s="242" t="str">
        <f t="shared" si="2"/>
        <v>#ERROR!</v>
      </c>
      <c r="AC1005" s="154" t="s">
        <v>391</v>
      </c>
      <c r="AD1005" s="242" t="b">
        <f t="shared" si="3"/>
        <v>0</v>
      </c>
      <c r="AE1005" s="154"/>
      <c r="AF1005" s="242" t="str">
        <f t="shared" si="4"/>
        <v>#ERROR!</v>
      </c>
      <c r="AG1005" s="154" t="s">
        <v>652</v>
      </c>
      <c r="AH1005" s="242" t="str">
        <f>IF(AG1005="","N/A",INDIRECT("MTR!"&amp;ADDRESS(MATCH(LEFT(AG1005,9),[1]MTR!C:C,0),COLUMN(J1005)),TRUE) &amp; "")</f>
        <v>#ERROR!</v>
      </c>
      <c r="AI1005" s="157" t="str">
        <f t="shared" si="5"/>
        <v>#ERROR!</v>
      </c>
    </row>
    <row r="1006" ht="12.75" customHeight="1">
      <c r="A1006" s="244" t="s">
        <v>5158</v>
      </c>
      <c r="B1006" s="244" t="s">
        <v>231</v>
      </c>
      <c r="C1006" s="244" t="s">
        <v>9358</v>
      </c>
      <c r="D1006" s="154" t="s">
        <v>747</v>
      </c>
      <c r="E1006" s="154"/>
      <c r="F1006" s="154" t="str">
        <f t="array" ref="F1006">XLOOKUP(Cover!$D$12,$R$1:$Z$1,$R1006:$Z1006)</f>
        <v>Recommended</v>
      </c>
      <c r="G1006" s="154" t="s">
        <v>9359</v>
      </c>
      <c r="H1006" s="154" t="s">
        <v>9012</v>
      </c>
      <c r="I1006" s="154" t="s">
        <v>9357</v>
      </c>
      <c r="J1006" s="154" t="s">
        <v>7028</v>
      </c>
      <c r="K1006" s="154" t="s">
        <v>9003</v>
      </c>
      <c r="L1006" s="154" t="s">
        <v>6525</v>
      </c>
      <c r="M1006" s="154"/>
      <c r="N1006" s="154" t="s">
        <v>759</v>
      </c>
      <c r="O1006" s="247" t="s">
        <v>516</v>
      </c>
      <c r="P1006" s="247" t="s">
        <v>6776</v>
      </c>
      <c r="Q1006" s="154" t="str">
        <f t="shared" si="1"/>
        <v>#ERROR!</v>
      </c>
      <c r="R1006" s="154" t="s">
        <v>66</v>
      </c>
      <c r="S1006" s="154" t="s">
        <v>66</v>
      </c>
      <c r="T1006" s="154" t="s">
        <v>64</v>
      </c>
      <c r="U1006" s="154" t="s">
        <v>64</v>
      </c>
      <c r="V1006" s="154" t="s">
        <v>64</v>
      </c>
      <c r="W1006" s="154" t="s">
        <v>64</v>
      </c>
      <c r="X1006" s="154" t="s">
        <v>66</v>
      </c>
      <c r="Y1006" s="154" t="s">
        <v>64</v>
      </c>
      <c r="Z1006" s="154" t="s">
        <v>64</v>
      </c>
      <c r="AA1006" s="154"/>
      <c r="AB1006" s="242" t="str">
        <f t="shared" si="2"/>
        <v>#ERROR!</v>
      </c>
      <c r="AC1006" s="154" t="s">
        <v>391</v>
      </c>
      <c r="AD1006" s="242" t="b">
        <f t="shared" si="3"/>
        <v>0</v>
      </c>
      <c r="AE1006" s="154"/>
      <c r="AF1006" s="242" t="str">
        <f t="shared" si="4"/>
        <v>#ERROR!</v>
      </c>
      <c r="AG1006" s="154" t="s">
        <v>652</v>
      </c>
      <c r="AH1006" s="242" t="str">
        <f>IF(AG1006="","N/A",INDIRECT("MTR!"&amp;ADDRESS(MATCH(LEFT(AG1006,9),[1]MTR!C:C,0),COLUMN(J1006)),TRUE) &amp; "")</f>
        <v>#ERROR!</v>
      </c>
      <c r="AI1006" s="157" t="str">
        <f t="shared" si="5"/>
        <v>#ERROR!</v>
      </c>
    </row>
    <row r="1007" ht="12.75" customHeight="1">
      <c r="A1007" s="244" t="s">
        <v>5158</v>
      </c>
      <c r="B1007" s="244" t="s">
        <v>231</v>
      </c>
      <c r="C1007" s="244" t="s">
        <v>9360</v>
      </c>
      <c r="D1007" s="154" t="s">
        <v>747</v>
      </c>
      <c r="E1007" s="154"/>
      <c r="F1007" s="154" t="str">
        <f t="array" ref="F1007">XLOOKUP(Cover!$D$12,$R$1:$Z$1,$R1007:$Z1007)</f>
        <v>Recommended</v>
      </c>
      <c r="G1007" s="154" t="s">
        <v>9361</v>
      </c>
      <c r="H1007" s="154" t="s">
        <v>9015</v>
      </c>
      <c r="I1007" s="154" t="s">
        <v>9357</v>
      </c>
      <c r="J1007" s="154" t="s">
        <v>7028</v>
      </c>
      <c r="K1007" s="154" t="s">
        <v>9003</v>
      </c>
      <c r="L1007" s="154" t="s">
        <v>6525</v>
      </c>
      <c r="M1007" s="154"/>
      <c r="N1007" s="154" t="s">
        <v>759</v>
      </c>
      <c r="O1007" s="247" t="s">
        <v>516</v>
      </c>
      <c r="P1007" s="247" t="s">
        <v>6776</v>
      </c>
      <c r="Q1007" s="154" t="str">
        <f t="shared" si="1"/>
        <v>#ERROR!</v>
      </c>
      <c r="R1007" s="154" t="s">
        <v>66</v>
      </c>
      <c r="S1007" s="154" t="s">
        <v>66</v>
      </c>
      <c r="T1007" s="154" t="s">
        <v>64</v>
      </c>
      <c r="U1007" s="154" t="s">
        <v>64</v>
      </c>
      <c r="V1007" s="154" t="s">
        <v>64</v>
      </c>
      <c r="W1007" s="154" t="s">
        <v>64</v>
      </c>
      <c r="X1007" s="154" t="s">
        <v>66</v>
      </c>
      <c r="Y1007" s="154" t="s">
        <v>64</v>
      </c>
      <c r="Z1007" s="154" t="s">
        <v>64</v>
      </c>
      <c r="AA1007" s="154"/>
      <c r="AB1007" s="242" t="str">
        <f t="shared" si="2"/>
        <v>#ERROR!</v>
      </c>
      <c r="AC1007" s="154" t="s">
        <v>391</v>
      </c>
      <c r="AD1007" s="242" t="b">
        <f t="shared" si="3"/>
        <v>0</v>
      </c>
      <c r="AE1007" s="154"/>
      <c r="AF1007" s="242" t="str">
        <f t="shared" si="4"/>
        <v>#ERROR!</v>
      </c>
      <c r="AG1007" s="154" t="s">
        <v>652</v>
      </c>
      <c r="AH1007" s="242" t="str">
        <f>IF(AG1007="","N/A",INDIRECT("MTR!"&amp;ADDRESS(MATCH(LEFT(AG1007,9),[1]MTR!C:C,0),COLUMN(J1007)),TRUE) &amp; "")</f>
        <v>#ERROR!</v>
      </c>
      <c r="AI1007" s="157" t="str">
        <f t="shared" si="5"/>
        <v>#ERROR!</v>
      </c>
    </row>
    <row r="1008" ht="12.75" customHeight="1">
      <c r="A1008" s="244" t="s">
        <v>5158</v>
      </c>
      <c r="B1008" s="244" t="s">
        <v>231</v>
      </c>
      <c r="C1008" s="244" t="s">
        <v>9362</v>
      </c>
      <c r="D1008" s="154" t="s">
        <v>1773</v>
      </c>
      <c r="E1008" s="154"/>
      <c r="F1008" s="154" t="str">
        <f t="array" ref="F1008">XLOOKUP(Cover!$D$12,$R$1:$Z$1,$R1008:$Z1008)</f>
        <v>Information</v>
      </c>
      <c r="G1008" s="154" t="s">
        <v>9363</v>
      </c>
      <c r="H1008" s="154" t="s">
        <v>9006</v>
      </c>
      <c r="I1008" s="154" t="s">
        <v>9364</v>
      </c>
      <c r="J1008" s="154" t="s">
        <v>9365</v>
      </c>
      <c r="K1008" s="154" t="s">
        <v>9003</v>
      </c>
      <c r="L1008" s="154" t="s">
        <v>7175</v>
      </c>
      <c r="M1008" s="154"/>
      <c r="N1008" s="154" t="s">
        <v>759</v>
      </c>
      <c r="O1008" s="247" t="s">
        <v>516</v>
      </c>
      <c r="P1008" s="247" t="s">
        <v>6776</v>
      </c>
      <c r="Q1008" s="154" t="str">
        <f t="shared" si="1"/>
        <v>#ERROR!</v>
      </c>
      <c r="R1008" s="154" t="s">
        <v>66</v>
      </c>
      <c r="S1008" s="154" t="s">
        <v>66</v>
      </c>
      <c r="T1008" s="154" t="s">
        <v>66</v>
      </c>
      <c r="U1008" s="154" t="s">
        <v>66</v>
      </c>
      <c r="V1008" s="154" t="s">
        <v>66</v>
      </c>
      <c r="W1008" s="154" t="s">
        <v>66</v>
      </c>
      <c r="X1008" s="154" t="s">
        <v>66</v>
      </c>
      <c r="Y1008" s="154" t="s">
        <v>66</v>
      </c>
      <c r="Z1008" s="154" t="s">
        <v>66</v>
      </c>
      <c r="AA1008" s="154"/>
      <c r="AB1008" s="242" t="str">
        <f t="shared" si="2"/>
        <v>#ERROR!</v>
      </c>
      <c r="AC1008" s="154" t="s">
        <v>391</v>
      </c>
      <c r="AD1008" s="242" t="b">
        <f t="shared" si="3"/>
        <v>0</v>
      </c>
      <c r="AE1008" s="154"/>
      <c r="AF1008" s="242" t="str">
        <f t="shared" si="4"/>
        <v>#ERROR!</v>
      </c>
      <c r="AG1008" s="154" t="s">
        <v>652</v>
      </c>
      <c r="AH1008" s="242" t="str">
        <f>IF(AG1008="","N/A",INDIRECT("MTR!"&amp;ADDRESS(MATCH(LEFT(AG1008,9),[1]MTR!C:C,0),COLUMN(J1008)),TRUE) &amp; "")</f>
        <v>#ERROR!</v>
      </c>
      <c r="AI1008" s="157" t="str">
        <f t="shared" si="5"/>
        <v>#ERROR!</v>
      </c>
    </row>
    <row r="1009" ht="12.75" customHeight="1">
      <c r="A1009" s="244" t="s">
        <v>5158</v>
      </c>
      <c r="B1009" s="244" t="s">
        <v>231</v>
      </c>
      <c r="C1009" s="244" t="s">
        <v>9366</v>
      </c>
      <c r="D1009" s="154" t="s">
        <v>1773</v>
      </c>
      <c r="E1009" s="154"/>
      <c r="F1009" s="154" t="str">
        <f t="array" ref="F1009">XLOOKUP(Cover!$D$12,$R$1:$Z$1,$R1009:$Z1009)</f>
        <v>Information</v>
      </c>
      <c r="G1009" s="154" t="s">
        <v>9367</v>
      </c>
      <c r="H1009" s="154" t="s">
        <v>9012</v>
      </c>
      <c r="I1009" s="154" t="s">
        <v>9364</v>
      </c>
      <c r="J1009" s="154" t="s">
        <v>9365</v>
      </c>
      <c r="K1009" s="154" t="s">
        <v>9003</v>
      </c>
      <c r="L1009" s="154" t="s">
        <v>7175</v>
      </c>
      <c r="M1009" s="154"/>
      <c r="N1009" s="154" t="s">
        <v>759</v>
      </c>
      <c r="O1009" s="247" t="s">
        <v>516</v>
      </c>
      <c r="P1009" s="247" t="s">
        <v>6776</v>
      </c>
      <c r="Q1009" s="154" t="str">
        <f t="shared" si="1"/>
        <v>#ERROR!</v>
      </c>
      <c r="R1009" s="154" t="s">
        <v>66</v>
      </c>
      <c r="S1009" s="154" t="s">
        <v>66</v>
      </c>
      <c r="T1009" s="154" t="s">
        <v>66</v>
      </c>
      <c r="U1009" s="154" t="s">
        <v>66</v>
      </c>
      <c r="V1009" s="154" t="s">
        <v>66</v>
      </c>
      <c r="W1009" s="154" t="s">
        <v>66</v>
      </c>
      <c r="X1009" s="154" t="s">
        <v>66</v>
      </c>
      <c r="Y1009" s="154" t="s">
        <v>66</v>
      </c>
      <c r="Z1009" s="154" t="s">
        <v>66</v>
      </c>
      <c r="AA1009" s="154"/>
      <c r="AB1009" s="242" t="str">
        <f t="shared" si="2"/>
        <v>#ERROR!</v>
      </c>
      <c r="AC1009" s="154" t="s">
        <v>391</v>
      </c>
      <c r="AD1009" s="242" t="b">
        <f t="shared" si="3"/>
        <v>0</v>
      </c>
      <c r="AE1009" s="154"/>
      <c r="AF1009" s="242" t="str">
        <f t="shared" si="4"/>
        <v>#ERROR!</v>
      </c>
      <c r="AG1009" s="154" t="s">
        <v>652</v>
      </c>
      <c r="AH1009" s="242" t="str">
        <f>IF(AG1009="","N/A",INDIRECT("MTR!"&amp;ADDRESS(MATCH(LEFT(AG1009,9),[1]MTR!C:C,0),COLUMN(J1009)),TRUE) &amp; "")</f>
        <v>#ERROR!</v>
      </c>
      <c r="AI1009" s="157" t="str">
        <f t="shared" si="5"/>
        <v>#ERROR!</v>
      </c>
    </row>
    <row r="1010" ht="12.75" customHeight="1">
      <c r="A1010" s="244" t="s">
        <v>5158</v>
      </c>
      <c r="B1010" s="244" t="s">
        <v>231</v>
      </c>
      <c r="C1010" s="244" t="s">
        <v>9368</v>
      </c>
      <c r="D1010" s="154" t="s">
        <v>1773</v>
      </c>
      <c r="E1010" s="154"/>
      <c r="F1010" s="154" t="str">
        <f t="array" ref="F1010">XLOOKUP(Cover!$D$12,$R$1:$Z$1,$R1010:$Z1010)</f>
        <v>Information</v>
      </c>
      <c r="G1010" s="154" t="s">
        <v>9369</v>
      </c>
      <c r="H1010" s="154" t="s">
        <v>1541</v>
      </c>
      <c r="I1010" s="154" t="s">
        <v>9364</v>
      </c>
      <c r="J1010" s="154" t="s">
        <v>9365</v>
      </c>
      <c r="K1010" s="154" t="s">
        <v>9003</v>
      </c>
      <c r="L1010" s="154" t="s">
        <v>7175</v>
      </c>
      <c r="M1010" s="154"/>
      <c r="N1010" s="154" t="s">
        <v>759</v>
      </c>
      <c r="O1010" s="247" t="s">
        <v>516</v>
      </c>
      <c r="P1010" s="247" t="s">
        <v>6776</v>
      </c>
      <c r="Q1010" s="154" t="str">
        <f t="shared" si="1"/>
        <v>#ERROR!</v>
      </c>
      <c r="R1010" s="154" t="s">
        <v>66</v>
      </c>
      <c r="S1010" s="154" t="s">
        <v>66</v>
      </c>
      <c r="T1010" s="154" t="s">
        <v>66</v>
      </c>
      <c r="U1010" s="154" t="s">
        <v>66</v>
      </c>
      <c r="V1010" s="154" t="s">
        <v>66</v>
      </c>
      <c r="W1010" s="154" t="s">
        <v>66</v>
      </c>
      <c r="X1010" s="154" t="s">
        <v>66</v>
      </c>
      <c r="Y1010" s="154" t="s">
        <v>66</v>
      </c>
      <c r="Z1010" s="154" t="s">
        <v>66</v>
      </c>
      <c r="AA1010" s="154"/>
      <c r="AB1010" s="242" t="str">
        <f t="shared" si="2"/>
        <v>#ERROR!</v>
      </c>
      <c r="AC1010" s="154" t="s">
        <v>391</v>
      </c>
      <c r="AD1010" s="242" t="b">
        <f t="shared" si="3"/>
        <v>0</v>
      </c>
      <c r="AE1010" s="154"/>
      <c r="AF1010" s="242" t="str">
        <f t="shared" si="4"/>
        <v>#ERROR!</v>
      </c>
      <c r="AG1010" s="154" t="s">
        <v>652</v>
      </c>
      <c r="AH1010" s="242" t="str">
        <f>IF(AG1010="","N/A",INDIRECT("MTR!"&amp;ADDRESS(MATCH(LEFT(AG1010,9),[1]MTR!C:C,0),COLUMN(J1010)),TRUE) &amp; "")</f>
        <v>#ERROR!</v>
      </c>
      <c r="AI1010" s="157" t="str">
        <f t="shared" si="5"/>
        <v>#ERROR!</v>
      </c>
    </row>
    <row r="1011" ht="12.75" customHeight="1">
      <c r="A1011" s="244" t="s">
        <v>5158</v>
      </c>
      <c r="B1011" s="244" t="s">
        <v>231</v>
      </c>
      <c r="C1011" s="244" t="s">
        <v>9370</v>
      </c>
      <c r="D1011" s="154" t="s">
        <v>1069</v>
      </c>
      <c r="E1011" s="154"/>
      <c r="F1011" s="154" t="str">
        <f t="array" ref="F1011">XLOOKUP(Cover!$D$12,$R$1:$Z$1,$R1011:$Z1011)</f>
        <v>Mandatory</v>
      </c>
      <c r="G1011" s="154" t="s">
        <v>9371</v>
      </c>
      <c r="H1011" s="154" t="s">
        <v>9006</v>
      </c>
      <c r="I1011" s="154" t="s">
        <v>9372</v>
      </c>
      <c r="J1011" s="154" t="s">
        <v>7036</v>
      </c>
      <c r="K1011" s="154" t="s">
        <v>9003</v>
      </c>
      <c r="L1011" s="154" t="s">
        <v>5927</v>
      </c>
      <c r="M1011" s="154" t="s">
        <v>175</v>
      </c>
      <c r="N1011" s="154" t="s">
        <v>759</v>
      </c>
      <c r="O1011" s="247" t="s">
        <v>516</v>
      </c>
      <c r="P1011" s="247" t="s">
        <v>6776</v>
      </c>
      <c r="Q1011" s="154" t="str">
        <f t="shared" si="1"/>
        <v>#ERROR!</v>
      </c>
      <c r="R1011" s="154" t="s">
        <v>66</v>
      </c>
      <c r="S1011" s="154" t="s">
        <v>66</v>
      </c>
      <c r="T1011" s="155" t="s">
        <v>64</v>
      </c>
      <c r="U1011" s="155" t="s">
        <v>64</v>
      </c>
      <c r="V1011" s="154" t="s">
        <v>60</v>
      </c>
      <c r="W1011" s="154" t="s">
        <v>60</v>
      </c>
      <c r="X1011" s="154" t="s">
        <v>66</v>
      </c>
      <c r="Y1011" s="155" t="s">
        <v>64</v>
      </c>
      <c r="Z1011" s="154" t="s">
        <v>60</v>
      </c>
      <c r="AA1011" s="154"/>
      <c r="AB1011" s="242" t="str">
        <f t="shared" si="2"/>
        <v>#ERROR!</v>
      </c>
      <c r="AC1011" s="154" t="s">
        <v>391</v>
      </c>
      <c r="AD1011" s="242" t="b">
        <f t="shared" si="3"/>
        <v>0</v>
      </c>
      <c r="AE1011" s="154"/>
      <c r="AF1011" s="242" t="str">
        <f t="shared" si="4"/>
        <v>#ERROR!</v>
      </c>
      <c r="AG1011" s="154" t="s">
        <v>652</v>
      </c>
      <c r="AH1011" s="242" t="str">
        <f>IF(AG1011="","N/A",INDIRECT("MTR!"&amp;ADDRESS(MATCH(LEFT(AG1011,9),[1]MTR!C:C,0),COLUMN(J1011)),TRUE) &amp; "")</f>
        <v>#ERROR!</v>
      </c>
      <c r="AI1011" s="157" t="str">
        <f t="shared" si="5"/>
        <v>#ERROR!</v>
      </c>
    </row>
    <row r="1012" ht="12.75" customHeight="1">
      <c r="A1012" s="244" t="s">
        <v>5158</v>
      </c>
      <c r="B1012" s="244" t="s">
        <v>231</v>
      </c>
      <c r="C1012" s="244" t="s">
        <v>9373</v>
      </c>
      <c r="D1012" s="154" t="s">
        <v>1069</v>
      </c>
      <c r="E1012" s="154"/>
      <c r="F1012" s="154" t="str">
        <f t="array" ref="F1012">XLOOKUP(Cover!$D$12,$R$1:$Z$1,$R1012:$Z1012)</f>
        <v>Mandatory</v>
      </c>
      <c r="G1012" s="154" t="s">
        <v>9374</v>
      </c>
      <c r="H1012" s="154" t="s">
        <v>9012</v>
      </c>
      <c r="I1012" s="154" t="s">
        <v>9372</v>
      </c>
      <c r="J1012" s="154" t="s">
        <v>7036</v>
      </c>
      <c r="K1012" s="154" t="s">
        <v>9003</v>
      </c>
      <c r="L1012" s="154" t="s">
        <v>5927</v>
      </c>
      <c r="M1012" s="154" t="s">
        <v>175</v>
      </c>
      <c r="N1012" s="154" t="s">
        <v>759</v>
      </c>
      <c r="O1012" s="247" t="s">
        <v>516</v>
      </c>
      <c r="P1012" s="247" t="s">
        <v>6776</v>
      </c>
      <c r="Q1012" s="154" t="str">
        <f t="shared" si="1"/>
        <v>#ERROR!</v>
      </c>
      <c r="R1012" s="154" t="s">
        <v>66</v>
      </c>
      <c r="S1012" s="154" t="s">
        <v>66</v>
      </c>
      <c r="T1012" s="155" t="s">
        <v>64</v>
      </c>
      <c r="U1012" s="155" t="s">
        <v>64</v>
      </c>
      <c r="V1012" s="154" t="s">
        <v>60</v>
      </c>
      <c r="W1012" s="154" t="s">
        <v>60</v>
      </c>
      <c r="X1012" s="154" t="s">
        <v>66</v>
      </c>
      <c r="Y1012" s="155" t="s">
        <v>64</v>
      </c>
      <c r="Z1012" s="154" t="s">
        <v>60</v>
      </c>
      <c r="AA1012" s="154"/>
      <c r="AB1012" s="242" t="str">
        <f t="shared" si="2"/>
        <v>#ERROR!</v>
      </c>
      <c r="AC1012" s="154" t="s">
        <v>391</v>
      </c>
      <c r="AD1012" s="242" t="b">
        <f t="shared" si="3"/>
        <v>0</v>
      </c>
      <c r="AE1012" s="154"/>
      <c r="AF1012" s="242" t="str">
        <f t="shared" si="4"/>
        <v>#ERROR!</v>
      </c>
      <c r="AG1012" s="154" t="s">
        <v>652</v>
      </c>
      <c r="AH1012" s="242" t="str">
        <f>IF(AG1012="","N/A",INDIRECT("MTR!"&amp;ADDRESS(MATCH(LEFT(AG1012,9),[1]MTR!C:C,0),COLUMN(J1012)),TRUE) &amp; "")</f>
        <v>#ERROR!</v>
      </c>
      <c r="AI1012" s="157" t="str">
        <f t="shared" si="5"/>
        <v>#ERROR!</v>
      </c>
    </row>
    <row r="1013" ht="12.75" customHeight="1">
      <c r="A1013" s="244" t="s">
        <v>5158</v>
      </c>
      <c r="B1013" s="244" t="s">
        <v>231</v>
      </c>
      <c r="C1013" s="245" t="s">
        <v>9375</v>
      </c>
      <c r="D1013" s="155" t="s">
        <v>1773</v>
      </c>
      <c r="E1013" s="155" t="s">
        <v>92</v>
      </c>
      <c r="F1013" s="154" t="str">
        <f t="array" ref="F1013">XLOOKUP(Cover!$D$12,$R$1:$Z$1,$R1013:$Z1013)</f>
        <v>Recommended</v>
      </c>
      <c r="G1013" s="154" t="s">
        <v>9376</v>
      </c>
      <c r="H1013" s="154" t="s">
        <v>9006</v>
      </c>
      <c r="I1013" s="154" t="s">
        <v>9377</v>
      </c>
      <c r="J1013" s="154" t="s">
        <v>7042</v>
      </c>
      <c r="K1013" s="154" t="s">
        <v>9003</v>
      </c>
      <c r="L1013" s="154" t="s">
        <v>7175</v>
      </c>
      <c r="M1013" s="154"/>
      <c r="N1013" s="154" t="s">
        <v>759</v>
      </c>
      <c r="O1013" s="247" t="s">
        <v>516</v>
      </c>
      <c r="P1013" s="247" t="s">
        <v>6776</v>
      </c>
      <c r="Q1013" s="154" t="str">
        <f t="shared" si="1"/>
        <v>#ERROR!</v>
      </c>
      <c r="R1013" s="154" t="s">
        <v>66</v>
      </c>
      <c r="S1013" s="154" t="s">
        <v>66</v>
      </c>
      <c r="T1013" s="154" t="s">
        <v>64</v>
      </c>
      <c r="U1013" s="154" t="s">
        <v>64</v>
      </c>
      <c r="V1013" s="154" t="s">
        <v>64</v>
      </c>
      <c r="W1013" s="154" t="s">
        <v>64</v>
      </c>
      <c r="X1013" s="154" t="s">
        <v>66</v>
      </c>
      <c r="Y1013" s="154" t="s">
        <v>64</v>
      </c>
      <c r="Z1013" s="154" t="s">
        <v>64</v>
      </c>
      <c r="AA1013" s="154"/>
      <c r="AB1013" s="242" t="str">
        <f t="shared" si="2"/>
        <v>#ERROR!</v>
      </c>
      <c r="AC1013" s="154" t="s">
        <v>391</v>
      </c>
      <c r="AD1013" s="242" t="b">
        <f t="shared" si="3"/>
        <v>0</v>
      </c>
      <c r="AE1013" s="154"/>
      <c r="AF1013" s="242" t="str">
        <f t="shared" si="4"/>
        <v>#ERROR!</v>
      </c>
      <c r="AG1013" s="154" t="s">
        <v>652</v>
      </c>
      <c r="AH1013" s="242" t="str">
        <f>IF(AG1013="","N/A",INDIRECT("MTR!"&amp;ADDRESS(MATCH(LEFT(AG1013,9),[1]MTR!C:C,0),COLUMN(J1013)),TRUE) &amp; "")</f>
        <v>#ERROR!</v>
      </c>
      <c r="AI1013" s="157" t="str">
        <f t="shared" si="5"/>
        <v>#ERROR!</v>
      </c>
    </row>
    <row r="1014" ht="12.75" customHeight="1">
      <c r="A1014" s="244" t="s">
        <v>5158</v>
      </c>
      <c r="B1014" s="244" t="s">
        <v>231</v>
      </c>
      <c r="C1014" s="245" t="s">
        <v>9378</v>
      </c>
      <c r="D1014" s="155" t="s">
        <v>1773</v>
      </c>
      <c r="E1014" s="155" t="s">
        <v>92</v>
      </c>
      <c r="F1014" s="154" t="str">
        <f t="array" ref="F1014">XLOOKUP(Cover!$D$12,$R$1:$Z$1,$R1014:$Z1014)</f>
        <v>Recommended</v>
      </c>
      <c r="G1014" s="154" t="s">
        <v>9379</v>
      </c>
      <c r="H1014" s="154" t="s">
        <v>9015</v>
      </c>
      <c r="I1014" s="154" t="s">
        <v>9377</v>
      </c>
      <c r="J1014" s="154" t="s">
        <v>7042</v>
      </c>
      <c r="K1014" s="154" t="s">
        <v>9003</v>
      </c>
      <c r="L1014" s="154" t="s">
        <v>7175</v>
      </c>
      <c r="M1014" s="154"/>
      <c r="N1014" s="154" t="s">
        <v>759</v>
      </c>
      <c r="O1014" s="247" t="s">
        <v>516</v>
      </c>
      <c r="P1014" s="247" t="s">
        <v>6776</v>
      </c>
      <c r="Q1014" s="154" t="str">
        <f t="shared" si="1"/>
        <v>#ERROR!</v>
      </c>
      <c r="R1014" s="154" t="s">
        <v>66</v>
      </c>
      <c r="S1014" s="154" t="s">
        <v>66</v>
      </c>
      <c r="T1014" s="154" t="s">
        <v>64</v>
      </c>
      <c r="U1014" s="154" t="s">
        <v>64</v>
      </c>
      <c r="V1014" s="154" t="s">
        <v>64</v>
      </c>
      <c r="W1014" s="154" t="s">
        <v>64</v>
      </c>
      <c r="X1014" s="154" t="s">
        <v>66</v>
      </c>
      <c r="Y1014" s="154" t="s">
        <v>64</v>
      </c>
      <c r="Z1014" s="154" t="s">
        <v>64</v>
      </c>
      <c r="AA1014" s="154"/>
      <c r="AB1014" s="242" t="str">
        <f t="shared" si="2"/>
        <v>#ERROR!</v>
      </c>
      <c r="AC1014" s="154" t="s">
        <v>391</v>
      </c>
      <c r="AD1014" s="242" t="b">
        <f t="shared" si="3"/>
        <v>0</v>
      </c>
      <c r="AE1014" s="154"/>
      <c r="AF1014" s="242" t="str">
        <f t="shared" si="4"/>
        <v>#ERROR!</v>
      </c>
      <c r="AG1014" s="154" t="s">
        <v>652</v>
      </c>
      <c r="AH1014" s="242" t="str">
        <f>IF(AG1014="","N/A",INDIRECT("MTR!"&amp;ADDRESS(MATCH(LEFT(AG1014,9),[1]MTR!C:C,0),COLUMN(J1014)),TRUE) &amp; "")</f>
        <v>#ERROR!</v>
      </c>
      <c r="AI1014" s="157" t="str">
        <f t="shared" si="5"/>
        <v>#ERROR!</v>
      </c>
    </row>
    <row r="1015" ht="12.75" customHeight="1">
      <c r="A1015" s="244" t="s">
        <v>5158</v>
      </c>
      <c r="B1015" s="244" t="s">
        <v>231</v>
      </c>
      <c r="C1015" s="245" t="s">
        <v>9380</v>
      </c>
      <c r="D1015" s="155" t="s">
        <v>1773</v>
      </c>
      <c r="E1015" s="155" t="s">
        <v>92</v>
      </c>
      <c r="F1015" s="154" t="str">
        <f t="array" ref="F1015">XLOOKUP(Cover!$D$12,$R$1:$Z$1,$R1015:$Z1015)</f>
        <v>Recommended</v>
      </c>
      <c r="G1015" s="154" t="s">
        <v>9381</v>
      </c>
      <c r="H1015" s="154" t="s">
        <v>1541</v>
      </c>
      <c r="I1015" s="154" t="s">
        <v>9377</v>
      </c>
      <c r="J1015" s="154" t="s">
        <v>7042</v>
      </c>
      <c r="K1015" s="154" t="s">
        <v>9003</v>
      </c>
      <c r="L1015" s="154" t="s">
        <v>7175</v>
      </c>
      <c r="M1015" s="154"/>
      <c r="N1015" s="154" t="s">
        <v>759</v>
      </c>
      <c r="O1015" s="247" t="s">
        <v>516</v>
      </c>
      <c r="P1015" s="247" t="s">
        <v>6776</v>
      </c>
      <c r="Q1015" s="154" t="str">
        <f t="shared" si="1"/>
        <v>#ERROR!</v>
      </c>
      <c r="R1015" s="154" t="s">
        <v>66</v>
      </c>
      <c r="S1015" s="154" t="s">
        <v>66</v>
      </c>
      <c r="T1015" s="154" t="s">
        <v>64</v>
      </c>
      <c r="U1015" s="154" t="s">
        <v>64</v>
      </c>
      <c r="V1015" s="154" t="s">
        <v>64</v>
      </c>
      <c r="W1015" s="154" t="s">
        <v>64</v>
      </c>
      <c r="X1015" s="154" t="s">
        <v>66</v>
      </c>
      <c r="Y1015" s="154" t="s">
        <v>64</v>
      </c>
      <c r="Z1015" s="154" t="s">
        <v>64</v>
      </c>
      <c r="AA1015" s="154"/>
      <c r="AB1015" s="242" t="str">
        <f t="shared" si="2"/>
        <v>#ERROR!</v>
      </c>
      <c r="AC1015" s="154" t="s">
        <v>391</v>
      </c>
      <c r="AD1015" s="242" t="b">
        <f t="shared" si="3"/>
        <v>0</v>
      </c>
      <c r="AE1015" s="154"/>
      <c r="AF1015" s="242" t="str">
        <f t="shared" si="4"/>
        <v>#ERROR!</v>
      </c>
      <c r="AG1015" s="154" t="s">
        <v>652</v>
      </c>
      <c r="AH1015" s="242" t="str">
        <f>IF(AG1015="","N/A",INDIRECT("MTR!"&amp;ADDRESS(MATCH(LEFT(AG1015,9),[1]MTR!C:C,0),COLUMN(J1015)),TRUE) &amp; "")</f>
        <v>#ERROR!</v>
      </c>
      <c r="AI1015" s="157" t="str">
        <f t="shared" si="5"/>
        <v>#ERROR!</v>
      </c>
    </row>
    <row r="1016" ht="12.75" customHeight="1">
      <c r="A1016" s="244" t="s">
        <v>5158</v>
      </c>
      <c r="B1016" s="244" t="s">
        <v>231</v>
      </c>
      <c r="C1016" s="244" t="s">
        <v>9382</v>
      </c>
      <c r="D1016" s="154" t="s">
        <v>1315</v>
      </c>
      <c r="E1016" s="154"/>
      <c r="F1016" s="154" t="str">
        <f t="array" ref="F1016">XLOOKUP(Cover!$D$12,$R$1:$Z$1,$R1016:$Z1016)</f>
        <v>Mandatory</v>
      </c>
      <c r="G1016" s="154" t="s">
        <v>9383</v>
      </c>
      <c r="H1016" s="154" t="s">
        <v>9006</v>
      </c>
      <c r="I1016" s="154" t="s">
        <v>9384</v>
      </c>
      <c r="J1016" s="154" t="s">
        <v>7050</v>
      </c>
      <c r="K1016" s="154" t="s">
        <v>9003</v>
      </c>
      <c r="L1016" s="154" t="s">
        <v>6884</v>
      </c>
      <c r="M1016" s="154" t="s">
        <v>175</v>
      </c>
      <c r="N1016" s="154" t="s">
        <v>759</v>
      </c>
      <c r="O1016" s="247" t="s">
        <v>516</v>
      </c>
      <c r="P1016" s="247" t="s">
        <v>6776</v>
      </c>
      <c r="Q1016" s="154" t="str">
        <f t="shared" si="1"/>
        <v>#ERROR!</v>
      </c>
      <c r="R1016" s="154" t="s">
        <v>66</v>
      </c>
      <c r="S1016" s="154" t="s">
        <v>66</v>
      </c>
      <c r="T1016" s="155" t="s">
        <v>64</v>
      </c>
      <c r="U1016" s="155" t="s">
        <v>64</v>
      </c>
      <c r="V1016" s="154" t="s">
        <v>60</v>
      </c>
      <c r="W1016" s="154" t="s">
        <v>60</v>
      </c>
      <c r="X1016" s="154" t="s">
        <v>66</v>
      </c>
      <c r="Y1016" s="155" t="s">
        <v>64</v>
      </c>
      <c r="Z1016" s="154" t="s">
        <v>60</v>
      </c>
      <c r="AA1016" s="154"/>
      <c r="AB1016" s="242" t="str">
        <f t="shared" si="2"/>
        <v>#ERROR!</v>
      </c>
      <c r="AC1016" s="154" t="s">
        <v>391</v>
      </c>
      <c r="AD1016" s="242" t="b">
        <f t="shared" si="3"/>
        <v>0</v>
      </c>
      <c r="AE1016" s="154"/>
      <c r="AF1016" s="242" t="str">
        <f t="shared" si="4"/>
        <v>#ERROR!</v>
      </c>
      <c r="AG1016" s="154" t="s">
        <v>652</v>
      </c>
      <c r="AH1016" s="242" t="str">
        <f>IF(AG1016="","N/A",INDIRECT("MTR!"&amp;ADDRESS(MATCH(LEFT(AG1016,9),[1]MTR!C:C,0),COLUMN(J1016)),TRUE) &amp; "")</f>
        <v>#ERROR!</v>
      </c>
      <c r="AI1016" s="157" t="str">
        <f t="shared" si="5"/>
        <v>#ERROR!</v>
      </c>
    </row>
    <row r="1017" ht="12.75" customHeight="1">
      <c r="A1017" s="244" t="s">
        <v>5158</v>
      </c>
      <c r="B1017" s="244" t="s">
        <v>231</v>
      </c>
      <c r="C1017" s="244" t="s">
        <v>9385</v>
      </c>
      <c r="D1017" s="154" t="s">
        <v>1315</v>
      </c>
      <c r="E1017" s="154"/>
      <c r="F1017" s="154" t="str">
        <f t="array" ref="F1017">XLOOKUP(Cover!$D$12,$R$1:$Z$1,$R1017:$Z1017)</f>
        <v>Mandatory</v>
      </c>
      <c r="G1017" s="154" t="s">
        <v>9386</v>
      </c>
      <c r="H1017" s="154" t="s">
        <v>9015</v>
      </c>
      <c r="I1017" s="154" t="s">
        <v>9384</v>
      </c>
      <c r="J1017" s="154" t="s">
        <v>7050</v>
      </c>
      <c r="K1017" s="154" t="s">
        <v>9003</v>
      </c>
      <c r="L1017" s="154" t="s">
        <v>6884</v>
      </c>
      <c r="M1017" s="154" t="s">
        <v>175</v>
      </c>
      <c r="N1017" s="154" t="s">
        <v>759</v>
      </c>
      <c r="O1017" s="247" t="s">
        <v>516</v>
      </c>
      <c r="P1017" s="247" t="s">
        <v>6776</v>
      </c>
      <c r="Q1017" s="154" t="str">
        <f t="shared" si="1"/>
        <v>#ERROR!</v>
      </c>
      <c r="R1017" s="154" t="s">
        <v>66</v>
      </c>
      <c r="S1017" s="154" t="s">
        <v>66</v>
      </c>
      <c r="T1017" s="155" t="s">
        <v>64</v>
      </c>
      <c r="U1017" s="155" t="s">
        <v>64</v>
      </c>
      <c r="V1017" s="154" t="s">
        <v>60</v>
      </c>
      <c r="W1017" s="154" t="s">
        <v>60</v>
      </c>
      <c r="X1017" s="154" t="s">
        <v>66</v>
      </c>
      <c r="Y1017" s="155" t="s">
        <v>64</v>
      </c>
      <c r="Z1017" s="154" t="s">
        <v>60</v>
      </c>
      <c r="AA1017" s="154"/>
      <c r="AB1017" s="242" t="str">
        <f t="shared" si="2"/>
        <v>#ERROR!</v>
      </c>
      <c r="AC1017" s="154" t="s">
        <v>391</v>
      </c>
      <c r="AD1017" s="242" t="b">
        <f t="shared" si="3"/>
        <v>0</v>
      </c>
      <c r="AE1017" s="154"/>
      <c r="AF1017" s="242" t="str">
        <f t="shared" si="4"/>
        <v>#ERROR!</v>
      </c>
      <c r="AG1017" s="154" t="s">
        <v>652</v>
      </c>
      <c r="AH1017" s="242" t="str">
        <f>IF(AG1017="","N/A",INDIRECT("MTR!"&amp;ADDRESS(MATCH(LEFT(AG1017,9),[1]MTR!C:C,0),COLUMN(J1017)),TRUE) &amp; "")</f>
        <v>#ERROR!</v>
      </c>
      <c r="AI1017" s="157" t="str">
        <f t="shared" si="5"/>
        <v>#ERROR!</v>
      </c>
    </row>
    <row r="1018" ht="12.75" customHeight="1">
      <c r="A1018" s="244" t="s">
        <v>5158</v>
      </c>
      <c r="B1018" s="244" t="s">
        <v>231</v>
      </c>
      <c r="C1018" s="244" t="s">
        <v>9387</v>
      </c>
      <c r="D1018" s="154" t="s">
        <v>781</v>
      </c>
      <c r="E1018" s="154"/>
      <c r="F1018" s="154" t="str">
        <f t="array" ref="F1018">XLOOKUP(Cover!$D$12,$R$1:$Z$1,$R1018:$Z1018)</f>
        <v>Information</v>
      </c>
      <c r="G1018" s="154" t="s">
        <v>9388</v>
      </c>
      <c r="H1018" s="154" t="s">
        <v>9009</v>
      </c>
      <c r="I1018" s="154" t="s">
        <v>9389</v>
      </c>
      <c r="J1018" s="154" t="s">
        <v>7062</v>
      </c>
      <c r="K1018" s="154" t="s">
        <v>9003</v>
      </c>
      <c r="L1018" s="154" t="s">
        <v>6140</v>
      </c>
      <c r="M1018" s="154"/>
      <c r="N1018" s="154" t="s">
        <v>759</v>
      </c>
      <c r="O1018" s="247" t="s">
        <v>445</v>
      </c>
      <c r="P1018" s="247" t="s">
        <v>6772</v>
      </c>
      <c r="Q1018" s="154" t="str">
        <f t="shared" si="1"/>
        <v>#ERROR!</v>
      </c>
      <c r="R1018" s="154" t="s">
        <v>66</v>
      </c>
      <c r="S1018" s="154" t="s">
        <v>66</v>
      </c>
      <c r="T1018" s="154" t="s">
        <v>66</v>
      </c>
      <c r="U1018" s="154" t="s">
        <v>66</v>
      </c>
      <c r="V1018" s="154" t="s">
        <v>66</v>
      </c>
      <c r="W1018" s="154" t="s">
        <v>66</v>
      </c>
      <c r="X1018" s="154" t="s">
        <v>66</v>
      </c>
      <c r="Y1018" s="154" t="s">
        <v>66</v>
      </c>
      <c r="Z1018" s="154" t="s">
        <v>66</v>
      </c>
      <c r="AA1018" s="154"/>
      <c r="AB1018" s="242" t="str">
        <f t="shared" si="2"/>
        <v>#ERROR!</v>
      </c>
      <c r="AC1018" s="154" t="s">
        <v>391</v>
      </c>
      <c r="AD1018" s="242" t="b">
        <f t="shared" si="3"/>
        <v>0</v>
      </c>
      <c r="AE1018" s="154"/>
      <c r="AF1018" s="242" t="str">
        <f t="shared" si="4"/>
        <v>#ERROR!</v>
      </c>
      <c r="AG1018" s="154" t="s">
        <v>652</v>
      </c>
      <c r="AH1018" s="242" t="str">
        <f>IF(AG1018="","N/A",INDIRECT("MTR!"&amp;ADDRESS(MATCH(LEFT(AG1018,9),[1]MTR!C:C,0),COLUMN(J1018)),TRUE) &amp; "")</f>
        <v>#ERROR!</v>
      </c>
      <c r="AI1018" s="157" t="str">
        <f t="shared" si="5"/>
        <v>#ERROR!</v>
      </c>
    </row>
    <row r="1019" ht="12.75" customHeight="1">
      <c r="A1019" s="244" t="s">
        <v>5158</v>
      </c>
      <c r="B1019" s="244" t="s">
        <v>231</v>
      </c>
      <c r="C1019" s="244" t="s">
        <v>9390</v>
      </c>
      <c r="D1019" s="154" t="s">
        <v>781</v>
      </c>
      <c r="E1019" s="154"/>
      <c r="F1019" s="154" t="str">
        <f t="array" ref="F1019">XLOOKUP(Cover!$D$12,$R$1:$Z$1,$R1019:$Z1019)</f>
        <v>Information</v>
      </c>
      <c r="G1019" s="154" t="s">
        <v>9391</v>
      </c>
      <c r="H1019" s="154" t="s">
        <v>9012</v>
      </c>
      <c r="I1019" s="154" t="s">
        <v>9389</v>
      </c>
      <c r="J1019" s="154" t="s">
        <v>7062</v>
      </c>
      <c r="K1019" s="154" t="s">
        <v>9003</v>
      </c>
      <c r="L1019" s="154" t="s">
        <v>6140</v>
      </c>
      <c r="M1019" s="154"/>
      <c r="N1019" s="154" t="s">
        <v>759</v>
      </c>
      <c r="O1019" s="247" t="s">
        <v>445</v>
      </c>
      <c r="P1019" s="247" t="s">
        <v>6772</v>
      </c>
      <c r="Q1019" s="154" t="str">
        <f t="shared" si="1"/>
        <v>#ERROR!</v>
      </c>
      <c r="R1019" s="154" t="s">
        <v>66</v>
      </c>
      <c r="S1019" s="154" t="s">
        <v>66</v>
      </c>
      <c r="T1019" s="154" t="s">
        <v>66</v>
      </c>
      <c r="U1019" s="154" t="s">
        <v>66</v>
      </c>
      <c r="V1019" s="154" t="s">
        <v>66</v>
      </c>
      <c r="W1019" s="154" t="s">
        <v>66</v>
      </c>
      <c r="X1019" s="154" t="s">
        <v>66</v>
      </c>
      <c r="Y1019" s="154" t="s">
        <v>66</v>
      </c>
      <c r="Z1019" s="154" t="s">
        <v>66</v>
      </c>
      <c r="AA1019" s="154"/>
      <c r="AB1019" s="242" t="str">
        <f t="shared" si="2"/>
        <v>#ERROR!</v>
      </c>
      <c r="AC1019" s="154" t="s">
        <v>391</v>
      </c>
      <c r="AD1019" s="242" t="b">
        <f t="shared" si="3"/>
        <v>0</v>
      </c>
      <c r="AE1019" s="154"/>
      <c r="AF1019" s="242" t="str">
        <f t="shared" si="4"/>
        <v>#ERROR!</v>
      </c>
      <c r="AG1019" s="154" t="s">
        <v>652</v>
      </c>
      <c r="AH1019" s="242" t="str">
        <f>IF(AG1019="","N/A",INDIRECT("MTR!"&amp;ADDRESS(MATCH(LEFT(AG1019,9),[1]MTR!C:C,0),COLUMN(J1019)),TRUE) &amp; "")</f>
        <v>#ERROR!</v>
      </c>
      <c r="AI1019" s="157" t="str">
        <f t="shared" si="5"/>
        <v>#ERROR!</v>
      </c>
    </row>
    <row r="1020" ht="12.75" customHeight="1">
      <c r="A1020" s="244" t="s">
        <v>5158</v>
      </c>
      <c r="B1020" s="244" t="s">
        <v>231</v>
      </c>
      <c r="C1020" s="244" t="s">
        <v>9392</v>
      </c>
      <c r="D1020" s="154" t="s">
        <v>45</v>
      </c>
      <c r="E1020" s="154"/>
      <c r="F1020" s="154" t="str">
        <f t="array" ref="F1020">XLOOKUP(Cover!$D$12,$R$1:$Z$1,$R1020:$Z1020)</f>
        <v>Information</v>
      </c>
      <c r="G1020" s="154" t="s">
        <v>9393</v>
      </c>
      <c r="H1020" s="154" t="s">
        <v>9009</v>
      </c>
      <c r="I1020" s="154" t="s">
        <v>9394</v>
      </c>
      <c r="J1020" s="154" t="s">
        <v>9395</v>
      </c>
      <c r="K1020" s="154" t="s">
        <v>9003</v>
      </c>
      <c r="L1020" s="154" t="s">
        <v>6655</v>
      </c>
      <c r="M1020" s="154"/>
      <c r="N1020" s="154" t="s">
        <v>759</v>
      </c>
      <c r="O1020" s="247" t="s">
        <v>516</v>
      </c>
      <c r="P1020" s="247" t="s">
        <v>6776</v>
      </c>
      <c r="Q1020" s="154" t="str">
        <f t="shared" si="1"/>
        <v>#ERROR!</v>
      </c>
      <c r="R1020" s="154" t="s">
        <v>66</v>
      </c>
      <c r="S1020" s="154" t="s">
        <v>66</v>
      </c>
      <c r="T1020" s="154" t="s">
        <v>66</v>
      </c>
      <c r="U1020" s="154" t="s">
        <v>66</v>
      </c>
      <c r="V1020" s="154" t="s">
        <v>66</v>
      </c>
      <c r="W1020" s="154" t="s">
        <v>66</v>
      </c>
      <c r="X1020" s="154" t="s">
        <v>66</v>
      </c>
      <c r="Y1020" s="154" t="s">
        <v>66</v>
      </c>
      <c r="Z1020" s="154" t="s">
        <v>66</v>
      </c>
      <c r="AA1020" s="154"/>
      <c r="AB1020" s="242" t="str">
        <f t="shared" si="2"/>
        <v>#ERROR!</v>
      </c>
      <c r="AC1020" s="154" t="s">
        <v>391</v>
      </c>
      <c r="AD1020" s="242" t="b">
        <f t="shared" si="3"/>
        <v>0</v>
      </c>
      <c r="AE1020" s="154"/>
      <c r="AF1020" s="242" t="str">
        <f t="shared" si="4"/>
        <v>#ERROR!</v>
      </c>
      <c r="AG1020" s="154" t="s">
        <v>652</v>
      </c>
      <c r="AH1020" s="242" t="str">
        <f>IF(AG1020="","N/A",INDIRECT("MTR!"&amp;ADDRESS(MATCH(LEFT(AG1020,9),[1]MTR!C:C,0),COLUMN(J1020)),TRUE) &amp; "")</f>
        <v>#ERROR!</v>
      </c>
      <c r="AI1020" s="157" t="str">
        <f t="shared" si="5"/>
        <v>#ERROR!</v>
      </c>
    </row>
    <row r="1021" ht="12.75" customHeight="1">
      <c r="A1021" s="244" t="s">
        <v>5158</v>
      </c>
      <c r="B1021" s="244" t="s">
        <v>231</v>
      </c>
      <c r="C1021" s="244" t="s">
        <v>9396</v>
      </c>
      <c r="D1021" s="154" t="s">
        <v>45</v>
      </c>
      <c r="E1021" s="154"/>
      <c r="F1021" s="154" t="str">
        <f t="array" ref="F1021">XLOOKUP(Cover!$D$12,$R$1:$Z$1,$R1021:$Z1021)</f>
        <v>Information</v>
      </c>
      <c r="G1021" s="154" t="s">
        <v>9397</v>
      </c>
      <c r="H1021" s="154" t="s">
        <v>9015</v>
      </c>
      <c r="I1021" s="154" t="s">
        <v>9394</v>
      </c>
      <c r="J1021" s="154" t="s">
        <v>9395</v>
      </c>
      <c r="K1021" s="154" t="s">
        <v>9003</v>
      </c>
      <c r="L1021" s="154" t="s">
        <v>6655</v>
      </c>
      <c r="M1021" s="154"/>
      <c r="N1021" s="154" t="s">
        <v>759</v>
      </c>
      <c r="O1021" s="247" t="s">
        <v>516</v>
      </c>
      <c r="P1021" s="247" t="s">
        <v>6776</v>
      </c>
      <c r="Q1021" s="154" t="str">
        <f t="shared" si="1"/>
        <v>#ERROR!</v>
      </c>
      <c r="R1021" s="154" t="s">
        <v>66</v>
      </c>
      <c r="S1021" s="154" t="s">
        <v>66</v>
      </c>
      <c r="T1021" s="154" t="s">
        <v>66</v>
      </c>
      <c r="U1021" s="154" t="s">
        <v>66</v>
      </c>
      <c r="V1021" s="154" t="s">
        <v>66</v>
      </c>
      <c r="W1021" s="154" t="s">
        <v>66</v>
      </c>
      <c r="X1021" s="154" t="s">
        <v>66</v>
      </c>
      <c r="Y1021" s="154" t="s">
        <v>66</v>
      </c>
      <c r="Z1021" s="154" t="s">
        <v>66</v>
      </c>
      <c r="AA1021" s="154"/>
      <c r="AB1021" s="242" t="str">
        <f t="shared" si="2"/>
        <v>#ERROR!</v>
      </c>
      <c r="AC1021" s="154" t="s">
        <v>391</v>
      </c>
      <c r="AD1021" s="242" t="b">
        <f t="shared" si="3"/>
        <v>0</v>
      </c>
      <c r="AE1021" s="154"/>
      <c r="AF1021" s="242" t="str">
        <f t="shared" si="4"/>
        <v>#ERROR!</v>
      </c>
      <c r="AG1021" s="154" t="s">
        <v>652</v>
      </c>
      <c r="AH1021" s="242" t="str">
        <f>IF(AG1021="","N/A",INDIRECT("MTR!"&amp;ADDRESS(MATCH(LEFT(AG1021,9),[1]MTR!C:C,0),COLUMN(J1021)),TRUE) &amp; "")</f>
        <v>#ERROR!</v>
      </c>
      <c r="AI1021" s="157" t="str">
        <f t="shared" si="5"/>
        <v>#ERROR!</v>
      </c>
    </row>
    <row r="1022" ht="12.75" customHeight="1">
      <c r="A1022" s="244" t="s">
        <v>5158</v>
      </c>
      <c r="B1022" s="244" t="s">
        <v>231</v>
      </c>
      <c r="C1022" s="245" t="s">
        <v>9398</v>
      </c>
      <c r="D1022" s="155" t="s">
        <v>747</v>
      </c>
      <c r="E1022" s="155" t="s">
        <v>92</v>
      </c>
      <c r="F1022" s="154" t="str">
        <f t="array" ref="F1022">XLOOKUP(Cover!$D$12,$R$1:$Z$1,$R1022:$Z1022)</f>
        <v>Recommended</v>
      </c>
      <c r="G1022" s="154" t="s">
        <v>9399</v>
      </c>
      <c r="H1022" s="154" t="s">
        <v>9009</v>
      </c>
      <c r="I1022" s="154" t="s">
        <v>9400</v>
      </c>
      <c r="J1022" s="154" t="s">
        <v>7592</v>
      </c>
      <c r="K1022" s="154" t="s">
        <v>9003</v>
      </c>
      <c r="L1022" s="154" t="s">
        <v>6525</v>
      </c>
      <c r="M1022" s="154"/>
      <c r="N1022" s="154" t="s">
        <v>759</v>
      </c>
      <c r="O1022" s="247" t="s">
        <v>445</v>
      </c>
      <c r="P1022" s="247" t="s">
        <v>6772</v>
      </c>
      <c r="Q1022" s="154" t="str">
        <f t="shared" si="1"/>
        <v>#ERROR!</v>
      </c>
      <c r="R1022" s="154" t="s">
        <v>66</v>
      </c>
      <c r="S1022" s="154" t="s">
        <v>66</v>
      </c>
      <c r="T1022" s="154" t="s">
        <v>64</v>
      </c>
      <c r="U1022" s="154" t="s">
        <v>64</v>
      </c>
      <c r="V1022" s="154" t="s">
        <v>64</v>
      </c>
      <c r="W1022" s="154" t="s">
        <v>64</v>
      </c>
      <c r="X1022" s="154" t="s">
        <v>66</v>
      </c>
      <c r="Y1022" s="154" t="s">
        <v>64</v>
      </c>
      <c r="Z1022" s="154" t="s">
        <v>64</v>
      </c>
      <c r="AA1022" s="154"/>
      <c r="AB1022" s="242" t="str">
        <f t="shared" si="2"/>
        <v>#ERROR!</v>
      </c>
      <c r="AC1022" s="154" t="s">
        <v>391</v>
      </c>
      <c r="AD1022" s="242" t="b">
        <f t="shared" si="3"/>
        <v>0</v>
      </c>
      <c r="AE1022" s="154"/>
      <c r="AF1022" s="242" t="str">
        <f t="shared" si="4"/>
        <v>#ERROR!</v>
      </c>
      <c r="AG1022" s="154" t="s">
        <v>652</v>
      </c>
      <c r="AH1022" s="242" t="str">
        <f>IF(AG1022="","N/A",INDIRECT("MTR!"&amp;ADDRESS(MATCH(LEFT(AG1022,9),[1]MTR!C:C,0),COLUMN(J1022)),TRUE) &amp; "")</f>
        <v>#ERROR!</v>
      </c>
      <c r="AI1022" s="157" t="str">
        <f t="shared" si="5"/>
        <v>#ERROR!</v>
      </c>
    </row>
    <row r="1023" ht="12.75" customHeight="1">
      <c r="A1023" s="244" t="s">
        <v>5158</v>
      </c>
      <c r="B1023" s="244" t="s">
        <v>231</v>
      </c>
      <c r="C1023" s="245" t="s">
        <v>9401</v>
      </c>
      <c r="D1023" s="155" t="s">
        <v>542</v>
      </c>
      <c r="E1023" s="155" t="s">
        <v>92</v>
      </c>
      <c r="F1023" s="154" t="str">
        <f t="array" ref="F1023">XLOOKUP(Cover!$D$12,$R$1:$Z$1,$R1023:$Z1023)</f>
        <v>Recommended</v>
      </c>
      <c r="G1023" s="154" t="s">
        <v>9402</v>
      </c>
      <c r="H1023" s="154" t="s">
        <v>9084</v>
      </c>
      <c r="I1023" s="154" t="s">
        <v>9400</v>
      </c>
      <c r="J1023" s="154" t="s">
        <v>7592</v>
      </c>
      <c r="K1023" s="154" t="s">
        <v>9003</v>
      </c>
      <c r="L1023" s="154" t="s">
        <v>6140</v>
      </c>
      <c r="M1023" s="154"/>
      <c r="N1023" s="154" t="s">
        <v>759</v>
      </c>
      <c r="O1023" s="247" t="s">
        <v>516</v>
      </c>
      <c r="P1023" s="247" t="s">
        <v>1575</v>
      </c>
      <c r="Q1023" s="154" t="str">
        <f t="shared" si="1"/>
        <v>#ERROR!</v>
      </c>
      <c r="R1023" s="154" t="s">
        <v>66</v>
      </c>
      <c r="S1023" s="154" t="s">
        <v>66</v>
      </c>
      <c r="T1023" s="154" t="s">
        <v>64</v>
      </c>
      <c r="U1023" s="154" t="s">
        <v>64</v>
      </c>
      <c r="V1023" s="154" t="s">
        <v>64</v>
      </c>
      <c r="W1023" s="154" t="s">
        <v>64</v>
      </c>
      <c r="X1023" s="154" t="s">
        <v>66</v>
      </c>
      <c r="Y1023" s="154" t="s">
        <v>64</v>
      </c>
      <c r="Z1023" s="154" t="s">
        <v>64</v>
      </c>
      <c r="AA1023" s="154"/>
      <c r="AB1023" s="242" t="str">
        <f t="shared" si="2"/>
        <v>#ERROR!</v>
      </c>
      <c r="AC1023" s="154" t="s">
        <v>391</v>
      </c>
      <c r="AD1023" s="242" t="b">
        <f t="shared" si="3"/>
        <v>0</v>
      </c>
      <c r="AE1023" s="154"/>
      <c r="AF1023" s="242" t="str">
        <f t="shared" si="4"/>
        <v>#ERROR!</v>
      </c>
      <c r="AG1023" s="154" t="s">
        <v>652</v>
      </c>
      <c r="AH1023" s="242" t="str">
        <f>IF(AG1023="","N/A",INDIRECT("MTR!"&amp;ADDRESS(MATCH(LEFT(AG1023,9),[1]MTR!C:C,0),COLUMN(J1023)),TRUE) &amp; "")</f>
        <v>#ERROR!</v>
      </c>
      <c r="AI1023" s="157" t="str">
        <f t="shared" si="5"/>
        <v>#ERROR!</v>
      </c>
    </row>
    <row r="1024" ht="12.75" customHeight="1">
      <c r="A1024" s="244" t="s">
        <v>5158</v>
      </c>
      <c r="B1024" s="244" t="s">
        <v>231</v>
      </c>
      <c r="C1024" s="245" t="s">
        <v>9403</v>
      </c>
      <c r="D1024" s="155" t="s">
        <v>542</v>
      </c>
      <c r="E1024" s="155" t="s">
        <v>92</v>
      </c>
      <c r="F1024" s="154" t="str">
        <f t="array" ref="F1024">XLOOKUP(Cover!$D$12,$R$1:$Z$1,$R1024:$Z1024)</f>
        <v>Mandatory</v>
      </c>
      <c r="G1024" s="154" t="s">
        <v>9404</v>
      </c>
      <c r="H1024" s="154" t="s">
        <v>1541</v>
      </c>
      <c r="I1024" s="154" t="s">
        <v>9400</v>
      </c>
      <c r="J1024" s="154" t="s">
        <v>7592</v>
      </c>
      <c r="K1024" s="154" t="s">
        <v>9003</v>
      </c>
      <c r="L1024" s="154" t="s">
        <v>6064</v>
      </c>
      <c r="M1024" s="154" t="s">
        <v>175</v>
      </c>
      <c r="N1024" s="154" t="s">
        <v>759</v>
      </c>
      <c r="O1024" s="247" t="s">
        <v>445</v>
      </c>
      <c r="P1024" s="247" t="s">
        <v>6772</v>
      </c>
      <c r="Q1024" s="154" t="str">
        <f t="shared" si="1"/>
        <v>#ERROR!</v>
      </c>
      <c r="R1024" s="154" t="s">
        <v>66</v>
      </c>
      <c r="S1024" s="154" t="s">
        <v>66</v>
      </c>
      <c r="T1024" s="155" t="s">
        <v>64</v>
      </c>
      <c r="U1024" s="155" t="s">
        <v>64</v>
      </c>
      <c r="V1024" s="154" t="s">
        <v>60</v>
      </c>
      <c r="W1024" s="154" t="s">
        <v>60</v>
      </c>
      <c r="X1024" s="154" t="s">
        <v>66</v>
      </c>
      <c r="Y1024" s="155" t="s">
        <v>64</v>
      </c>
      <c r="Z1024" s="154" t="s">
        <v>60</v>
      </c>
      <c r="AA1024" s="154"/>
      <c r="AB1024" s="242" t="str">
        <f t="shared" si="2"/>
        <v>#ERROR!</v>
      </c>
      <c r="AC1024" s="154" t="s">
        <v>391</v>
      </c>
      <c r="AD1024" s="242" t="b">
        <f t="shared" si="3"/>
        <v>0</v>
      </c>
      <c r="AE1024" s="154"/>
      <c r="AF1024" s="242" t="str">
        <f t="shared" si="4"/>
        <v>#ERROR!</v>
      </c>
      <c r="AG1024" s="154" t="s">
        <v>652</v>
      </c>
      <c r="AH1024" s="242" t="str">
        <f>IF(AG1024="","N/A",INDIRECT("MTR!"&amp;ADDRESS(MATCH(LEFT(AG1024,9),[1]MTR!C:C,0),COLUMN(J1024)),TRUE) &amp; "")</f>
        <v>#ERROR!</v>
      </c>
      <c r="AI1024" s="157" t="str">
        <f t="shared" si="5"/>
        <v>#ERROR!</v>
      </c>
    </row>
    <row r="1025" ht="12.75" customHeight="1">
      <c r="A1025" s="244" t="s">
        <v>5158</v>
      </c>
      <c r="B1025" s="244" t="s">
        <v>231</v>
      </c>
      <c r="C1025" s="244" t="s">
        <v>9405</v>
      </c>
      <c r="D1025" s="154" t="s">
        <v>1069</v>
      </c>
      <c r="E1025" s="154"/>
      <c r="F1025" s="154" t="str">
        <f t="array" ref="F1025">XLOOKUP(Cover!$D$12,$R$1:$Z$1,$R1025:$Z1025)</f>
        <v>Recommended</v>
      </c>
      <c r="G1025" s="154" t="s">
        <v>9406</v>
      </c>
      <c r="H1025" s="154" t="s">
        <v>9009</v>
      </c>
      <c r="I1025" s="154" t="s">
        <v>9407</v>
      </c>
      <c r="J1025" s="154" t="s">
        <v>7082</v>
      </c>
      <c r="K1025" s="154" t="s">
        <v>9003</v>
      </c>
      <c r="L1025" s="154" t="s">
        <v>6154</v>
      </c>
      <c r="M1025" s="154"/>
      <c r="N1025" s="154" t="s">
        <v>759</v>
      </c>
      <c r="O1025" s="247" t="s">
        <v>516</v>
      </c>
      <c r="P1025" s="247" t="s">
        <v>6776</v>
      </c>
      <c r="Q1025" s="154" t="str">
        <f t="shared" si="1"/>
        <v>#ERROR!</v>
      </c>
      <c r="R1025" s="154" t="s">
        <v>66</v>
      </c>
      <c r="S1025" s="154" t="s">
        <v>66</v>
      </c>
      <c r="T1025" s="154" t="s">
        <v>64</v>
      </c>
      <c r="U1025" s="154" t="s">
        <v>64</v>
      </c>
      <c r="V1025" s="154" t="s">
        <v>64</v>
      </c>
      <c r="W1025" s="154" t="s">
        <v>64</v>
      </c>
      <c r="X1025" s="154" t="s">
        <v>66</v>
      </c>
      <c r="Y1025" s="154" t="s">
        <v>64</v>
      </c>
      <c r="Z1025" s="154" t="s">
        <v>64</v>
      </c>
      <c r="AA1025" s="154"/>
      <c r="AB1025" s="242" t="str">
        <f t="shared" si="2"/>
        <v>#ERROR!</v>
      </c>
      <c r="AC1025" s="154" t="s">
        <v>391</v>
      </c>
      <c r="AD1025" s="242" t="b">
        <f t="shared" si="3"/>
        <v>0</v>
      </c>
      <c r="AE1025" s="154"/>
      <c r="AF1025" s="242" t="str">
        <f t="shared" si="4"/>
        <v>#ERROR!</v>
      </c>
      <c r="AG1025" s="154" t="s">
        <v>652</v>
      </c>
      <c r="AH1025" s="242" t="str">
        <f>IF(AG1025="","N/A",INDIRECT("MTR!"&amp;ADDRESS(MATCH(LEFT(AG1025,9),[1]MTR!C:C,0),COLUMN(J1025)),TRUE) &amp; "")</f>
        <v>#ERROR!</v>
      </c>
      <c r="AI1025" s="157" t="str">
        <f t="shared" si="5"/>
        <v>#ERROR!</v>
      </c>
    </row>
    <row r="1026" ht="12.75" customHeight="1">
      <c r="A1026" s="244" t="s">
        <v>5158</v>
      </c>
      <c r="B1026" s="244" t="s">
        <v>231</v>
      </c>
      <c r="C1026" s="244" t="s">
        <v>9408</v>
      </c>
      <c r="D1026" s="154" t="s">
        <v>1069</v>
      </c>
      <c r="E1026" s="154"/>
      <c r="F1026" s="154" t="str">
        <f t="array" ref="F1026">XLOOKUP(Cover!$D$12,$R$1:$Z$1,$R1026:$Z1026)</f>
        <v>Recommended</v>
      </c>
      <c r="G1026" s="154" t="s">
        <v>9409</v>
      </c>
      <c r="H1026" s="154" t="s">
        <v>9012</v>
      </c>
      <c r="I1026" s="154" t="s">
        <v>9407</v>
      </c>
      <c r="J1026" s="154" t="s">
        <v>7082</v>
      </c>
      <c r="K1026" s="154" t="s">
        <v>9003</v>
      </c>
      <c r="L1026" s="154" t="s">
        <v>6154</v>
      </c>
      <c r="M1026" s="154"/>
      <c r="N1026" s="154" t="s">
        <v>759</v>
      </c>
      <c r="O1026" s="247" t="s">
        <v>516</v>
      </c>
      <c r="P1026" s="247" t="s">
        <v>6776</v>
      </c>
      <c r="Q1026" s="154" t="str">
        <f t="shared" si="1"/>
        <v>#ERROR!</v>
      </c>
      <c r="R1026" s="154" t="s">
        <v>66</v>
      </c>
      <c r="S1026" s="154" t="s">
        <v>66</v>
      </c>
      <c r="T1026" s="154" t="s">
        <v>64</v>
      </c>
      <c r="U1026" s="154" t="s">
        <v>64</v>
      </c>
      <c r="V1026" s="154" t="s">
        <v>64</v>
      </c>
      <c r="W1026" s="154" t="s">
        <v>64</v>
      </c>
      <c r="X1026" s="154" t="s">
        <v>66</v>
      </c>
      <c r="Y1026" s="154" t="s">
        <v>64</v>
      </c>
      <c r="Z1026" s="154" t="s">
        <v>64</v>
      </c>
      <c r="AA1026" s="154"/>
      <c r="AB1026" s="242" t="str">
        <f t="shared" si="2"/>
        <v>#ERROR!</v>
      </c>
      <c r="AC1026" s="154" t="s">
        <v>391</v>
      </c>
      <c r="AD1026" s="242" t="b">
        <f t="shared" si="3"/>
        <v>0</v>
      </c>
      <c r="AE1026" s="154"/>
      <c r="AF1026" s="242" t="str">
        <f t="shared" si="4"/>
        <v>#ERROR!</v>
      </c>
      <c r="AG1026" s="154" t="s">
        <v>652</v>
      </c>
      <c r="AH1026" s="242" t="str">
        <f>IF(AG1026="","N/A",INDIRECT("MTR!"&amp;ADDRESS(MATCH(LEFT(AG1026,9),[1]MTR!C:C,0),COLUMN(J1026)),TRUE) &amp; "")</f>
        <v>#ERROR!</v>
      </c>
      <c r="AI1026" s="157" t="str">
        <f t="shared" si="5"/>
        <v>#ERROR!</v>
      </c>
    </row>
    <row r="1027" ht="12.75" customHeight="1">
      <c r="A1027" s="244" t="s">
        <v>5158</v>
      </c>
      <c r="B1027" s="244" t="s">
        <v>231</v>
      </c>
      <c r="C1027" s="244" t="s">
        <v>9410</v>
      </c>
      <c r="D1027" s="154" t="s">
        <v>1069</v>
      </c>
      <c r="E1027" s="154"/>
      <c r="F1027" s="154" t="str">
        <f t="array" ref="F1027">XLOOKUP(Cover!$D$12,$R$1:$Z$1,$R1027:$Z1027)</f>
        <v>Recommended</v>
      </c>
      <c r="G1027" s="154" t="s">
        <v>9411</v>
      </c>
      <c r="H1027" s="154" t="s">
        <v>9015</v>
      </c>
      <c r="I1027" s="154" t="s">
        <v>9407</v>
      </c>
      <c r="J1027" s="154" t="s">
        <v>7082</v>
      </c>
      <c r="K1027" s="154" t="s">
        <v>9003</v>
      </c>
      <c r="L1027" s="154" t="s">
        <v>6154</v>
      </c>
      <c r="M1027" s="154"/>
      <c r="N1027" s="154" t="s">
        <v>759</v>
      </c>
      <c r="O1027" s="247" t="s">
        <v>516</v>
      </c>
      <c r="P1027" s="247" t="s">
        <v>6776</v>
      </c>
      <c r="Q1027" s="154" t="str">
        <f t="shared" si="1"/>
        <v>#ERROR!</v>
      </c>
      <c r="R1027" s="154" t="s">
        <v>66</v>
      </c>
      <c r="S1027" s="154" t="s">
        <v>66</v>
      </c>
      <c r="T1027" s="154" t="s">
        <v>64</v>
      </c>
      <c r="U1027" s="154" t="s">
        <v>64</v>
      </c>
      <c r="V1027" s="154" t="s">
        <v>64</v>
      </c>
      <c r="W1027" s="154" t="s">
        <v>64</v>
      </c>
      <c r="X1027" s="154" t="s">
        <v>66</v>
      </c>
      <c r="Y1027" s="154" t="s">
        <v>64</v>
      </c>
      <c r="Z1027" s="154" t="s">
        <v>64</v>
      </c>
      <c r="AA1027" s="154"/>
      <c r="AB1027" s="242" t="str">
        <f t="shared" si="2"/>
        <v>#ERROR!</v>
      </c>
      <c r="AC1027" s="154" t="s">
        <v>391</v>
      </c>
      <c r="AD1027" s="242" t="b">
        <f t="shared" si="3"/>
        <v>0</v>
      </c>
      <c r="AE1027" s="154"/>
      <c r="AF1027" s="242" t="str">
        <f t="shared" si="4"/>
        <v>#ERROR!</v>
      </c>
      <c r="AG1027" s="154" t="s">
        <v>652</v>
      </c>
      <c r="AH1027" s="242" t="str">
        <f>IF(AG1027="","N/A",INDIRECT("MTR!"&amp;ADDRESS(MATCH(LEFT(AG1027,9),[1]MTR!C:C,0),COLUMN(J1027)),TRUE) &amp; "")</f>
        <v>#ERROR!</v>
      </c>
      <c r="AI1027" s="157" t="str">
        <f t="shared" si="5"/>
        <v>#ERROR!</v>
      </c>
    </row>
    <row r="1028" ht="12.75" customHeight="1">
      <c r="A1028" s="244" t="s">
        <v>5158</v>
      </c>
      <c r="B1028" s="244" t="s">
        <v>231</v>
      </c>
      <c r="C1028" s="244" t="s">
        <v>9412</v>
      </c>
      <c r="D1028" s="154" t="s">
        <v>1773</v>
      </c>
      <c r="E1028" s="154"/>
      <c r="F1028" s="154" t="str">
        <f t="array" ref="F1028">XLOOKUP(Cover!$D$12,$R$1:$Z$1,$R1028:$Z1028)</f>
        <v>Mandatory</v>
      </c>
      <c r="G1028" s="154" t="s">
        <v>9413</v>
      </c>
      <c r="H1028" s="154" t="s">
        <v>9009</v>
      </c>
      <c r="I1028" s="154" t="s">
        <v>9414</v>
      </c>
      <c r="J1028" s="154" t="s">
        <v>7090</v>
      </c>
      <c r="K1028" s="154" t="s">
        <v>9003</v>
      </c>
      <c r="L1028" s="154" t="s">
        <v>7175</v>
      </c>
      <c r="M1028" s="154" t="s">
        <v>175</v>
      </c>
      <c r="N1028" s="154" t="s">
        <v>759</v>
      </c>
      <c r="O1028" s="247" t="s">
        <v>516</v>
      </c>
      <c r="P1028" s="247" t="s">
        <v>6776</v>
      </c>
      <c r="Q1028" s="154" t="str">
        <f t="shared" si="1"/>
        <v>#ERROR!</v>
      </c>
      <c r="R1028" s="154" t="s">
        <v>66</v>
      </c>
      <c r="S1028" s="154" t="s">
        <v>66</v>
      </c>
      <c r="T1028" s="155" t="s">
        <v>64</v>
      </c>
      <c r="U1028" s="155" t="s">
        <v>64</v>
      </c>
      <c r="V1028" s="154" t="s">
        <v>60</v>
      </c>
      <c r="W1028" s="154" t="s">
        <v>60</v>
      </c>
      <c r="X1028" s="154" t="s">
        <v>66</v>
      </c>
      <c r="Y1028" s="155" t="s">
        <v>64</v>
      </c>
      <c r="Z1028" s="154" t="s">
        <v>60</v>
      </c>
      <c r="AA1028" s="154"/>
      <c r="AB1028" s="242" t="str">
        <f t="shared" si="2"/>
        <v>#ERROR!</v>
      </c>
      <c r="AC1028" s="154" t="s">
        <v>391</v>
      </c>
      <c r="AD1028" s="242" t="b">
        <f t="shared" si="3"/>
        <v>0</v>
      </c>
      <c r="AE1028" s="154"/>
      <c r="AF1028" s="242" t="str">
        <f t="shared" si="4"/>
        <v>#ERROR!</v>
      </c>
      <c r="AG1028" s="154" t="s">
        <v>652</v>
      </c>
      <c r="AH1028" s="242" t="str">
        <f>IF(AG1028="","N/A",INDIRECT("MTR!"&amp;ADDRESS(MATCH(LEFT(AG1028,9),[1]MTR!C:C,0),COLUMN(J1028)),TRUE) &amp; "")</f>
        <v>#ERROR!</v>
      </c>
      <c r="AI1028" s="157" t="str">
        <f t="shared" si="5"/>
        <v>#ERROR!</v>
      </c>
    </row>
    <row r="1029" ht="12.75" customHeight="1">
      <c r="A1029" s="244" t="s">
        <v>5158</v>
      </c>
      <c r="B1029" s="244" t="s">
        <v>231</v>
      </c>
      <c r="C1029" s="244" t="s">
        <v>9415</v>
      </c>
      <c r="D1029" s="154" t="s">
        <v>1773</v>
      </c>
      <c r="E1029" s="154"/>
      <c r="F1029" s="154" t="str">
        <f t="array" ref="F1029">XLOOKUP(Cover!$D$12,$R$1:$Z$1,$R1029:$Z1029)</f>
        <v>Mandatory</v>
      </c>
      <c r="G1029" s="154" t="s">
        <v>9416</v>
      </c>
      <c r="H1029" s="154" t="s">
        <v>9012</v>
      </c>
      <c r="I1029" s="154" t="s">
        <v>9414</v>
      </c>
      <c r="J1029" s="154" t="s">
        <v>7090</v>
      </c>
      <c r="K1029" s="154" t="s">
        <v>9003</v>
      </c>
      <c r="L1029" s="154" t="s">
        <v>7175</v>
      </c>
      <c r="M1029" s="154" t="s">
        <v>175</v>
      </c>
      <c r="N1029" s="154" t="s">
        <v>759</v>
      </c>
      <c r="O1029" s="247" t="s">
        <v>516</v>
      </c>
      <c r="P1029" s="247" t="s">
        <v>6776</v>
      </c>
      <c r="Q1029" s="154" t="str">
        <f t="shared" si="1"/>
        <v>#ERROR!</v>
      </c>
      <c r="R1029" s="154" t="s">
        <v>66</v>
      </c>
      <c r="S1029" s="154" t="s">
        <v>66</v>
      </c>
      <c r="T1029" s="155" t="s">
        <v>64</v>
      </c>
      <c r="U1029" s="155" t="s">
        <v>64</v>
      </c>
      <c r="V1029" s="154" t="s">
        <v>60</v>
      </c>
      <c r="W1029" s="154" t="s">
        <v>60</v>
      </c>
      <c r="X1029" s="154" t="s">
        <v>66</v>
      </c>
      <c r="Y1029" s="155" t="s">
        <v>64</v>
      </c>
      <c r="Z1029" s="154" t="s">
        <v>60</v>
      </c>
      <c r="AA1029" s="154"/>
      <c r="AB1029" s="242" t="str">
        <f t="shared" si="2"/>
        <v>#ERROR!</v>
      </c>
      <c r="AC1029" s="154" t="s">
        <v>391</v>
      </c>
      <c r="AD1029" s="242" t="b">
        <f t="shared" si="3"/>
        <v>0</v>
      </c>
      <c r="AE1029" s="154"/>
      <c r="AF1029" s="242" t="str">
        <f t="shared" si="4"/>
        <v>#ERROR!</v>
      </c>
      <c r="AG1029" s="154" t="s">
        <v>652</v>
      </c>
      <c r="AH1029" s="242" t="str">
        <f>IF(AG1029="","N/A",INDIRECT("MTR!"&amp;ADDRESS(MATCH(LEFT(AG1029,9),[1]MTR!C:C,0),COLUMN(J1029)),TRUE) &amp; "")</f>
        <v>#ERROR!</v>
      </c>
      <c r="AI1029" s="157" t="str">
        <f t="shared" si="5"/>
        <v>#ERROR!</v>
      </c>
    </row>
    <row r="1030" ht="12.75" customHeight="1">
      <c r="A1030" s="244" t="s">
        <v>5158</v>
      </c>
      <c r="B1030" s="244" t="s">
        <v>231</v>
      </c>
      <c r="C1030" s="255" t="s">
        <v>9417</v>
      </c>
      <c r="D1030" s="256" t="s">
        <v>42</v>
      </c>
      <c r="E1030" s="256" t="s">
        <v>489</v>
      </c>
      <c r="F1030" s="154" t="str">
        <f t="array" ref="F1030">XLOOKUP(Cover!$D$12,$R$1:$Z$1,$R1030:$Z1030)</f>
        <v>Information</v>
      </c>
      <c r="G1030" s="154" t="s">
        <v>9418</v>
      </c>
      <c r="H1030" s="154" t="s">
        <v>9009</v>
      </c>
      <c r="I1030" s="154" t="s">
        <v>9419</v>
      </c>
      <c r="J1030" s="154" t="s">
        <v>7096</v>
      </c>
      <c r="K1030" s="154" t="s">
        <v>9003</v>
      </c>
      <c r="L1030" s="154" t="s">
        <v>5931</v>
      </c>
      <c r="M1030" s="154"/>
      <c r="N1030" s="154" t="s">
        <v>759</v>
      </c>
      <c r="O1030" s="247" t="s">
        <v>516</v>
      </c>
      <c r="P1030" s="247" t="s">
        <v>6776</v>
      </c>
      <c r="Q1030" s="154" t="str">
        <f t="shared" si="1"/>
        <v>#ERROR!</v>
      </c>
      <c r="R1030" s="154" t="s">
        <v>66</v>
      </c>
      <c r="S1030" s="154" t="s">
        <v>66</v>
      </c>
      <c r="T1030" s="154" t="s">
        <v>66</v>
      </c>
      <c r="U1030" s="154" t="s">
        <v>66</v>
      </c>
      <c r="V1030" s="154" t="s">
        <v>66</v>
      </c>
      <c r="W1030" s="154" t="s">
        <v>66</v>
      </c>
      <c r="X1030" s="154" t="s">
        <v>66</v>
      </c>
      <c r="Y1030" s="154" t="s">
        <v>66</v>
      </c>
      <c r="Z1030" s="154" t="s">
        <v>66</v>
      </c>
      <c r="AA1030" s="154"/>
      <c r="AB1030" s="242" t="str">
        <f t="shared" si="2"/>
        <v>#ERROR!</v>
      </c>
      <c r="AC1030" s="154" t="s">
        <v>391</v>
      </c>
      <c r="AD1030" s="242" t="b">
        <f t="shared" si="3"/>
        <v>0</v>
      </c>
      <c r="AE1030" s="154"/>
      <c r="AF1030" s="242" t="str">
        <f t="shared" si="4"/>
        <v>#ERROR!</v>
      </c>
      <c r="AG1030" s="154" t="s">
        <v>652</v>
      </c>
      <c r="AH1030" s="242" t="str">
        <f>IF(AG1030="","N/A",INDIRECT("MTR!"&amp;ADDRESS(MATCH(LEFT(AG1030,9),[1]MTR!C:C,0),COLUMN(J1030)),TRUE) &amp; "")</f>
        <v>#ERROR!</v>
      </c>
      <c r="AI1030" s="157" t="str">
        <f t="shared" si="5"/>
        <v>#ERROR!</v>
      </c>
    </row>
    <row r="1031" ht="12.75" customHeight="1">
      <c r="A1031" s="244" t="s">
        <v>5158</v>
      </c>
      <c r="B1031" s="244" t="s">
        <v>231</v>
      </c>
      <c r="C1031" s="255" t="s">
        <v>9420</v>
      </c>
      <c r="D1031" s="256" t="s">
        <v>42</v>
      </c>
      <c r="E1031" s="256" t="s">
        <v>489</v>
      </c>
      <c r="F1031" s="154" t="str">
        <f t="array" ref="F1031">XLOOKUP(Cover!$D$12,$R$1:$Z$1,$R1031:$Z1031)</f>
        <v>Recommended</v>
      </c>
      <c r="G1031" s="154" t="s">
        <v>9421</v>
      </c>
      <c r="H1031" s="154" t="s">
        <v>9015</v>
      </c>
      <c r="I1031" s="154" t="s">
        <v>9419</v>
      </c>
      <c r="J1031" s="154" t="s">
        <v>7096</v>
      </c>
      <c r="K1031" s="154" t="s">
        <v>9003</v>
      </c>
      <c r="L1031" s="154" t="s">
        <v>5931</v>
      </c>
      <c r="M1031" s="154"/>
      <c r="N1031" s="154" t="s">
        <v>759</v>
      </c>
      <c r="O1031" s="247" t="s">
        <v>516</v>
      </c>
      <c r="P1031" s="247" t="s">
        <v>6776</v>
      </c>
      <c r="Q1031" s="154" t="str">
        <f t="shared" si="1"/>
        <v>#ERROR!</v>
      </c>
      <c r="R1031" s="154" t="s">
        <v>66</v>
      </c>
      <c r="S1031" s="154" t="s">
        <v>66</v>
      </c>
      <c r="T1031" s="154" t="s">
        <v>64</v>
      </c>
      <c r="U1031" s="154" t="s">
        <v>64</v>
      </c>
      <c r="V1031" s="154" t="s">
        <v>64</v>
      </c>
      <c r="W1031" s="154" t="s">
        <v>64</v>
      </c>
      <c r="X1031" s="154" t="s">
        <v>66</v>
      </c>
      <c r="Y1031" s="154" t="s">
        <v>64</v>
      </c>
      <c r="Z1031" s="154" t="s">
        <v>64</v>
      </c>
      <c r="AA1031" s="154"/>
      <c r="AB1031" s="242" t="str">
        <f t="shared" si="2"/>
        <v>#ERROR!</v>
      </c>
      <c r="AC1031" s="154" t="s">
        <v>391</v>
      </c>
      <c r="AD1031" s="242" t="b">
        <f t="shared" si="3"/>
        <v>0</v>
      </c>
      <c r="AE1031" s="154"/>
      <c r="AF1031" s="242" t="str">
        <f t="shared" si="4"/>
        <v>#ERROR!</v>
      </c>
      <c r="AG1031" s="154" t="s">
        <v>652</v>
      </c>
      <c r="AH1031" s="242" t="str">
        <f>IF(AG1031="","N/A",INDIRECT("MTR!"&amp;ADDRESS(MATCH(LEFT(AG1031,9),[1]MTR!C:C,0),COLUMN(J1031)),TRUE) &amp; "")</f>
        <v>#ERROR!</v>
      </c>
      <c r="AI1031" s="157" t="str">
        <f t="shared" si="5"/>
        <v>#ERROR!</v>
      </c>
    </row>
    <row r="1032" ht="12.75" customHeight="1">
      <c r="A1032" s="244" t="s">
        <v>5158</v>
      </c>
      <c r="B1032" s="244" t="s">
        <v>231</v>
      </c>
      <c r="C1032" s="255" t="s">
        <v>9422</v>
      </c>
      <c r="D1032" s="256" t="s">
        <v>42</v>
      </c>
      <c r="E1032" s="256" t="s">
        <v>489</v>
      </c>
      <c r="F1032" s="154" t="str">
        <f t="array" ref="F1032">XLOOKUP(Cover!$D$12,$R$1:$Z$1,$R1032:$Z1032)</f>
        <v>Recommended</v>
      </c>
      <c r="G1032" s="154" t="s">
        <v>9423</v>
      </c>
      <c r="H1032" s="154" t="s">
        <v>1541</v>
      </c>
      <c r="I1032" s="154" t="s">
        <v>9419</v>
      </c>
      <c r="J1032" s="154" t="s">
        <v>7096</v>
      </c>
      <c r="K1032" s="154" t="s">
        <v>9003</v>
      </c>
      <c r="L1032" s="154" t="s">
        <v>5931</v>
      </c>
      <c r="M1032" s="154"/>
      <c r="N1032" s="154" t="s">
        <v>759</v>
      </c>
      <c r="O1032" s="247" t="s">
        <v>516</v>
      </c>
      <c r="P1032" s="247" t="s">
        <v>6776</v>
      </c>
      <c r="Q1032" s="154" t="str">
        <f t="shared" si="1"/>
        <v>#ERROR!</v>
      </c>
      <c r="R1032" s="154" t="s">
        <v>66</v>
      </c>
      <c r="S1032" s="154" t="s">
        <v>66</v>
      </c>
      <c r="T1032" s="154" t="s">
        <v>64</v>
      </c>
      <c r="U1032" s="154" t="s">
        <v>64</v>
      </c>
      <c r="V1032" s="154" t="s">
        <v>64</v>
      </c>
      <c r="W1032" s="154" t="s">
        <v>64</v>
      </c>
      <c r="X1032" s="154" t="s">
        <v>66</v>
      </c>
      <c r="Y1032" s="154" t="s">
        <v>64</v>
      </c>
      <c r="Z1032" s="154" t="s">
        <v>64</v>
      </c>
      <c r="AA1032" s="154"/>
      <c r="AB1032" s="242" t="str">
        <f t="shared" si="2"/>
        <v>#ERROR!</v>
      </c>
      <c r="AC1032" s="154" t="s">
        <v>391</v>
      </c>
      <c r="AD1032" s="242" t="b">
        <f t="shared" si="3"/>
        <v>0</v>
      </c>
      <c r="AE1032" s="154"/>
      <c r="AF1032" s="242" t="str">
        <f t="shared" si="4"/>
        <v>#ERROR!</v>
      </c>
      <c r="AG1032" s="154" t="s">
        <v>652</v>
      </c>
      <c r="AH1032" s="242" t="str">
        <f>IF(AG1032="","N/A",INDIRECT("MTR!"&amp;ADDRESS(MATCH(LEFT(AG1032,9),[1]MTR!C:C,0),COLUMN(J1032)),TRUE) &amp; "")</f>
        <v>#ERROR!</v>
      </c>
      <c r="AI1032" s="157" t="str">
        <f t="shared" si="5"/>
        <v>#ERROR!</v>
      </c>
    </row>
    <row r="1033" ht="12.75" customHeight="1">
      <c r="A1033" s="244" t="s">
        <v>5158</v>
      </c>
      <c r="B1033" s="244" t="s">
        <v>231</v>
      </c>
      <c r="C1033" s="244" t="s">
        <v>9424</v>
      </c>
      <c r="D1033" s="154" t="s">
        <v>1315</v>
      </c>
      <c r="E1033" s="154"/>
      <c r="F1033" s="154" t="str">
        <f t="array" ref="F1033">XLOOKUP(Cover!$D$12,$R$1:$Z$1,$R1033:$Z1033)</f>
        <v>Mandatory</v>
      </c>
      <c r="G1033" s="154" t="s">
        <v>9425</v>
      </c>
      <c r="H1033" s="154" t="s">
        <v>9009</v>
      </c>
      <c r="I1033" s="154" t="s">
        <v>9426</v>
      </c>
      <c r="J1033" s="154" t="s">
        <v>7104</v>
      </c>
      <c r="K1033" s="154" t="s">
        <v>9003</v>
      </c>
      <c r="L1033" s="154" t="s">
        <v>6022</v>
      </c>
      <c r="M1033" s="154" t="s">
        <v>175</v>
      </c>
      <c r="N1033" s="154" t="s">
        <v>759</v>
      </c>
      <c r="O1033" s="247" t="s">
        <v>516</v>
      </c>
      <c r="P1033" s="247" t="s">
        <v>6776</v>
      </c>
      <c r="Q1033" s="154" t="str">
        <f t="shared" si="1"/>
        <v>#ERROR!</v>
      </c>
      <c r="R1033" s="154" t="s">
        <v>66</v>
      </c>
      <c r="S1033" s="154" t="s">
        <v>66</v>
      </c>
      <c r="T1033" s="155" t="s">
        <v>64</v>
      </c>
      <c r="U1033" s="155" t="s">
        <v>64</v>
      </c>
      <c r="V1033" s="154" t="s">
        <v>60</v>
      </c>
      <c r="W1033" s="154" t="s">
        <v>60</v>
      </c>
      <c r="X1033" s="154" t="s">
        <v>66</v>
      </c>
      <c r="Y1033" s="155" t="s">
        <v>64</v>
      </c>
      <c r="Z1033" s="154" t="s">
        <v>60</v>
      </c>
      <c r="AA1033" s="154"/>
      <c r="AB1033" s="242" t="str">
        <f t="shared" si="2"/>
        <v>#ERROR!</v>
      </c>
      <c r="AC1033" s="154" t="s">
        <v>391</v>
      </c>
      <c r="AD1033" s="242" t="b">
        <f t="shared" si="3"/>
        <v>0</v>
      </c>
      <c r="AE1033" s="154"/>
      <c r="AF1033" s="242" t="str">
        <f t="shared" si="4"/>
        <v>#ERROR!</v>
      </c>
      <c r="AG1033" s="154" t="s">
        <v>652</v>
      </c>
      <c r="AH1033" s="242" t="str">
        <f>IF(AG1033="","N/A",INDIRECT("MTR!"&amp;ADDRESS(MATCH(LEFT(AG1033,9),[1]MTR!C:C,0),COLUMN(J1033)),TRUE) &amp; "")</f>
        <v>#ERROR!</v>
      </c>
      <c r="AI1033" s="157" t="str">
        <f t="shared" si="5"/>
        <v>#ERROR!</v>
      </c>
    </row>
    <row r="1034" ht="12.75" customHeight="1">
      <c r="A1034" s="244" t="s">
        <v>5158</v>
      </c>
      <c r="B1034" s="244" t="s">
        <v>231</v>
      </c>
      <c r="C1034" s="244" t="s">
        <v>9427</v>
      </c>
      <c r="D1034" s="154" t="s">
        <v>1315</v>
      </c>
      <c r="E1034" s="154"/>
      <c r="F1034" s="154" t="str">
        <f t="array" ref="F1034">XLOOKUP(Cover!$D$12,$R$1:$Z$1,$R1034:$Z1034)</f>
        <v>Mandatory</v>
      </c>
      <c r="G1034" s="154" t="s">
        <v>9428</v>
      </c>
      <c r="H1034" s="154" t="s">
        <v>9015</v>
      </c>
      <c r="I1034" s="154" t="s">
        <v>9426</v>
      </c>
      <c r="J1034" s="154" t="s">
        <v>7104</v>
      </c>
      <c r="K1034" s="154" t="s">
        <v>9003</v>
      </c>
      <c r="L1034" s="154" t="s">
        <v>6022</v>
      </c>
      <c r="M1034" s="154" t="s">
        <v>175</v>
      </c>
      <c r="N1034" s="154" t="s">
        <v>759</v>
      </c>
      <c r="O1034" s="247" t="s">
        <v>516</v>
      </c>
      <c r="P1034" s="247" t="s">
        <v>6776</v>
      </c>
      <c r="Q1034" s="154" t="str">
        <f t="shared" si="1"/>
        <v>#ERROR!</v>
      </c>
      <c r="R1034" s="154" t="s">
        <v>66</v>
      </c>
      <c r="S1034" s="154" t="s">
        <v>66</v>
      </c>
      <c r="T1034" s="155" t="s">
        <v>64</v>
      </c>
      <c r="U1034" s="155" t="s">
        <v>64</v>
      </c>
      <c r="V1034" s="154" t="s">
        <v>60</v>
      </c>
      <c r="W1034" s="154" t="s">
        <v>60</v>
      </c>
      <c r="X1034" s="154" t="s">
        <v>66</v>
      </c>
      <c r="Y1034" s="155" t="s">
        <v>64</v>
      </c>
      <c r="Z1034" s="154" t="s">
        <v>60</v>
      </c>
      <c r="AA1034" s="154"/>
      <c r="AB1034" s="242" t="str">
        <f t="shared" si="2"/>
        <v>#ERROR!</v>
      </c>
      <c r="AC1034" s="154" t="s">
        <v>391</v>
      </c>
      <c r="AD1034" s="242" t="b">
        <f t="shared" si="3"/>
        <v>0</v>
      </c>
      <c r="AE1034" s="154"/>
      <c r="AF1034" s="242" t="str">
        <f t="shared" si="4"/>
        <v>#ERROR!</v>
      </c>
      <c r="AG1034" s="154" t="s">
        <v>652</v>
      </c>
      <c r="AH1034" s="242" t="str">
        <f>IF(AG1034="","N/A",INDIRECT("MTR!"&amp;ADDRESS(MATCH(LEFT(AG1034,9),[1]MTR!C:C,0),COLUMN(J1034)),TRUE) &amp; "")</f>
        <v>#ERROR!</v>
      </c>
      <c r="AI1034" s="157" t="str">
        <f t="shared" si="5"/>
        <v>#ERROR!</v>
      </c>
    </row>
    <row r="1035" ht="12.75" customHeight="1">
      <c r="A1035" s="244" t="s">
        <v>5158</v>
      </c>
      <c r="B1035" s="244" t="s">
        <v>231</v>
      </c>
      <c r="C1035" s="244" t="s">
        <v>9429</v>
      </c>
      <c r="D1035" s="154" t="s">
        <v>1773</v>
      </c>
      <c r="E1035" s="154"/>
      <c r="F1035" s="154" t="str">
        <f t="array" ref="F1035">XLOOKUP(Cover!$D$12,$R$1:$Z$1,$R1035:$Z1035)</f>
        <v>Information</v>
      </c>
      <c r="G1035" s="154" t="s">
        <v>9430</v>
      </c>
      <c r="H1035" s="154" t="s">
        <v>9012</v>
      </c>
      <c r="I1035" s="154" t="s">
        <v>9431</v>
      </c>
      <c r="J1035" s="154" t="s">
        <v>7628</v>
      </c>
      <c r="K1035" s="154" t="s">
        <v>9003</v>
      </c>
      <c r="L1035" s="154" t="s">
        <v>7175</v>
      </c>
      <c r="M1035" s="154"/>
      <c r="N1035" s="154" t="s">
        <v>759</v>
      </c>
      <c r="O1035" s="247" t="s">
        <v>516</v>
      </c>
      <c r="P1035" s="247" t="s">
        <v>6776</v>
      </c>
      <c r="Q1035" s="154" t="str">
        <f t="shared" si="1"/>
        <v>#ERROR!</v>
      </c>
      <c r="R1035" s="154" t="s">
        <v>66</v>
      </c>
      <c r="S1035" s="154" t="s">
        <v>66</v>
      </c>
      <c r="T1035" s="154" t="s">
        <v>66</v>
      </c>
      <c r="U1035" s="154" t="s">
        <v>66</v>
      </c>
      <c r="V1035" s="154" t="s">
        <v>66</v>
      </c>
      <c r="W1035" s="154" t="s">
        <v>66</v>
      </c>
      <c r="X1035" s="154" t="s">
        <v>66</v>
      </c>
      <c r="Y1035" s="154" t="s">
        <v>66</v>
      </c>
      <c r="Z1035" s="154" t="s">
        <v>66</v>
      </c>
      <c r="AA1035" s="154"/>
      <c r="AB1035" s="242" t="str">
        <f t="shared" si="2"/>
        <v>#ERROR!</v>
      </c>
      <c r="AC1035" s="154" t="s">
        <v>391</v>
      </c>
      <c r="AD1035" s="242" t="b">
        <f t="shared" si="3"/>
        <v>0</v>
      </c>
      <c r="AE1035" s="154"/>
      <c r="AF1035" s="242" t="str">
        <f t="shared" si="4"/>
        <v>#ERROR!</v>
      </c>
      <c r="AG1035" s="154" t="s">
        <v>652</v>
      </c>
      <c r="AH1035" s="242" t="str">
        <f>IF(AG1035="","N/A",INDIRECT("MTR!"&amp;ADDRESS(MATCH(LEFT(AG1035,9),[1]MTR!C:C,0),COLUMN(J1035)),TRUE) &amp; "")</f>
        <v>#ERROR!</v>
      </c>
      <c r="AI1035" s="157" t="str">
        <f t="shared" si="5"/>
        <v>#ERROR!</v>
      </c>
    </row>
    <row r="1036" ht="12.75" customHeight="1">
      <c r="A1036" s="244" t="s">
        <v>5158</v>
      </c>
      <c r="B1036" s="244" t="s">
        <v>231</v>
      </c>
      <c r="C1036" s="244" t="s">
        <v>9432</v>
      </c>
      <c r="D1036" s="154" t="s">
        <v>1773</v>
      </c>
      <c r="E1036" s="154"/>
      <c r="F1036" s="154" t="str">
        <f t="array" ref="F1036">XLOOKUP(Cover!$D$12,$R$1:$Z$1,$R1036:$Z1036)</f>
        <v>Information</v>
      </c>
      <c r="G1036" s="154" t="s">
        <v>9433</v>
      </c>
      <c r="H1036" s="154" t="s">
        <v>9015</v>
      </c>
      <c r="I1036" s="154" t="s">
        <v>9431</v>
      </c>
      <c r="J1036" s="154" t="s">
        <v>7628</v>
      </c>
      <c r="K1036" s="154" t="s">
        <v>9003</v>
      </c>
      <c r="L1036" s="154" t="s">
        <v>7175</v>
      </c>
      <c r="M1036" s="154"/>
      <c r="N1036" s="154" t="s">
        <v>759</v>
      </c>
      <c r="O1036" s="247" t="s">
        <v>516</v>
      </c>
      <c r="P1036" s="247" t="s">
        <v>6776</v>
      </c>
      <c r="Q1036" s="154" t="str">
        <f t="shared" si="1"/>
        <v>#ERROR!</v>
      </c>
      <c r="R1036" s="154" t="s">
        <v>66</v>
      </c>
      <c r="S1036" s="154" t="s">
        <v>66</v>
      </c>
      <c r="T1036" s="154" t="s">
        <v>66</v>
      </c>
      <c r="U1036" s="154" t="s">
        <v>66</v>
      </c>
      <c r="V1036" s="154" t="s">
        <v>66</v>
      </c>
      <c r="W1036" s="154" t="s">
        <v>66</v>
      </c>
      <c r="X1036" s="154" t="s">
        <v>66</v>
      </c>
      <c r="Y1036" s="154" t="s">
        <v>66</v>
      </c>
      <c r="Z1036" s="154" t="s">
        <v>66</v>
      </c>
      <c r="AA1036" s="154"/>
      <c r="AB1036" s="242" t="str">
        <f t="shared" si="2"/>
        <v>#ERROR!</v>
      </c>
      <c r="AC1036" s="154" t="s">
        <v>391</v>
      </c>
      <c r="AD1036" s="242" t="b">
        <f t="shared" si="3"/>
        <v>0</v>
      </c>
      <c r="AE1036" s="154"/>
      <c r="AF1036" s="242" t="str">
        <f t="shared" si="4"/>
        <v>#ERROR!</v>
      </c>
      <c r="AG1036" s="154" t="s">
        <v>652</v>
      </c>
      <c r="AH1036" s="242" t="str">
        <f>IF(AG1036="","N/A",INDIRECT("MTR!"&amp;ADDRESS(MATCH(LEFT(AG1036,9),[1]MTR!C:C,0),COLUMN(J1036)),TRUE) &amp; "")</f>
        <v>#ERROR!</v>
      </c>
      <c r="AI1036" s="157" t="str">
        <f t="shared" si="5"/>
        <v>#ERROR!</v>
      </c>
    </row>
    <row r="1037" ht="12.75" customHeight="1">
      <c r="A1037" s="244" t="s">
        <v>5158</v>
      </c>
      <c r="B1037" s="244" t="s">
        <v>231</v>
      </c>
      <c r="C1037" s="244" t="s">
        <v>9434</v>
      </c>
      <c r="D1037" s="154" t="s">
        <v>1773</v>
      </c>
      <c r="E1037" s="154"/>
      <c r="F1037" s="154" t="str">
        <f t="array" ref="F1037">XLOOKUP(Cover!$D$12,$R$1:$Z$1,$R1037:$Z1037)</f>
        <v>Information</v>
      </c>
      <c r="G1037" s="154" t="s">
        <v>9435</v>
      </c>
      <c r="H1037" s="154" t="s">
        <v>1541</v>
      </c>
      <c r="I1037" s="154" t="s">
        <v>9431</v>
      </c>
      <c r="J1037" s="154" t="s">
        <v>7628</v>
      </c>
      <c r="K1037" s="154" t="s">
        <v>9003</v>
      </c>
      <c r="L1037" s="154" t="s">
        <v>7175</v>
      </c>
      <c r="M1037" s="154"/>
      <c r="N1037" s="154" t="s">
        <v>759</v>
      </c>
      <c r="O1037" s="247" t="s">
        <v>516</v>
      </c>
      <c r="P1037" s="247" t="s">
        <v>6776</v>
      </c>
      <c r="Q1037" s="154" t="str">
        <f t="shared" si="1"/>
        <v>#ERROR!</v>
      </c>
      <c r="R1037" s="154" t="s">
        <v>66</v>
      </c>
      <c r="S1037" s="154" t="s">
        <v>66</v>
      </c>
      <c r="T1037" s="154" t="s">
        <v>66</v>
      </c>
      <c r="U1037" s="154" t="s">
        <v>66</v>
      </c>
      <c r="V1037" s="154" t="s">
        <v>66</v>
      </c>
      <c r="W1037" s="154" t="s">
        <v>66</v>
      </c>
      <c r="X1037" s="154" t="s">
        <v>66</v>
      </c>
      <c r="Y1037" s="154" t="s">
        <v>66</v>
      </c>
      <c r="Z1037" s="154" t="s">
        <v>66</v>
      </c>
      <c r="AA1037" s="154"/>
      <c r="AB1037" s="242" t="str">
        <f t="shared" si="2"/>
        <v>#ERROR!</v>
      </c>
      <c r="AC1037" s="154" t="s">
        <v>391</v>
      </c>
      <c r="AD1037" s="242" t="b">
        <f t="shared" si="3"/>
        <v>0</v>
      </c>
      <c r="AE1037" s="154"/>
      <c r="AF1037" s="242" t="str">
        <f t="shared" si="4"/>
        <v>#ERROR!</v>
      </c>
      <c r="AG1037" s="154" t="s">
        <v>652</v>
      </c>
      <c r="AH1037" s="242" t="str">
        <f>IF(AG1037="","N/A",INDIRECT("MTR!"&amp;ADDRESS(MATCH(LEFT(AG1037,9),[1]MTR!C:C,0),COLUMN(J1037)),TRUE) &amp; "")</f>
        <v>#ERROR!</v>
      </c>
      <c r="AI1037" s="157" t="str">
        <f t="shared" si="5"/>
        <v>#ERROR!</v>
      </c>
    </row>
    <row r="1038" ht="12.75" customHeight="1">
      <c r="A1038" s="238" t="s">
        <v>5158</v>
      </c>
      <c r="B1038" s="238" t="s">
        <v>231</v>
      </c>
      <c r="C1038" s="238" t="s">
        <v>9436</v>
      </c>
      <c r="D1038" s="240"/>
      <c r="E1038" s="240" t="s">
        <v>92</v>
      </c>
      <c r="F1038" s="240" t="str">
        <f t="array" ref="F1038">XLOOKUP(Cover!$D$12,$R$1:$Z$1,$R1038:$Z1038)</f>
        <v>Heading</v>
      </c>
      <c r="G1038" s="239" t="s">
        <v>9437</v>
      </c>
      <c r="H1038" s="240"/>
      <c r="I1038" s="240"/>
      <c r="J1038" s="240"/>
      <c r="K1038" s="240"/>
      <c r="L1038" s="240"/>
      <c r="M1038" s="240"/>
      <c r="N1038" s="240" t="s">
        <v>759</v>
      </c>
      <c r="O1038" s="240"/>
      <c r="P1038" s="240"/>
      <c r="Q1038" s="240" t="str">
        <f t="shared" si="1"/>
        <v/>
      </c>
      <c r="R1038" s="240" t="s">
        <v>390</v>
      </c>
      <c r="S1038" s="240" t="s">
        <v>390</v>
      </c>
      <c r="T1038" s="240" t="s">
        <v>390</v>
      </c>
      <c r="U1038" s="240" t="s">
        <v>390</v>
      </c>
      <c r="V1038" s="240" t="s">
        <v>390</v>
      </c>
      <c r="W1038" s="240" t="s">
        <v>390</v>
      </c>
      <c r="X1038" s="240" t="s">
        <v>390</v>
      </c>
      <c r="Y1038" s="240" t="s">
        <v>390</v>
      </c>
      <c r="Z1038" s="240" t="s">
        <v>390</v>
      </c>
      <c r="AA1038" s="240"/>
      <c r="AB1038" s="242" t="str">
        <f t="shared" si="2"/>
        <v>#ERROR!</v>
      </c>
      <c r="AC1038" s="240" t="s">
        <v>391</v>
      </c>
      <c r="AD1038" s="242" t="b">
        <f t="shared" si="3"/>
        <v>0</v>
      </c>
      <c r="AE1038" s="240"/>
      <c r="AF1038" s="242" t="str">
        <f t="shared" si="4"/>
        <v>#ERROR!</v>
      </c>
      <c r="AG1038" s="240"/>
      <c r="AH1038" s="242" t="str">
        <f>IF(AG1038="","N/A",INDIRECT("MTR!"&amp;ADDRESS(MATCH(LEFT(AG1038,9),[1]MTR!C:C,0),COLUMN(J1038)),TRUE) &amp; "")</f>
        <v>#ERROR!</v>
      </c>
      <c r="AI1038" s="157" t="str">
        <f t="shared" si="5"/>
        <v/>
      </c>
    </row>
    <row r="1039" ht="12.75" customHeight="1">
      <c r="A1039" s="244" t="s">
        <v>5158</v>
      </c>
      <c r="B1039" s="244" t="s">
        <v>231</v>
      </c>
      <c r="C1039" s="244" t="s">
        <v>9438</v>
      </c>
      <c r="D1039" s="154" t="s">
        <v>861</v>
      </c>
      <c r="E1039" s="154"/>
      <c r="F1039" s="154" t="str">
        <f t="array" ref="F1039">XLOOKUP(Cover!$D$12,$R$1:$Z$1,$R1039:$Z1039)</f>
        <v>Information</v>
      </c>
      <c r="G1039" s="154" t="s">
        <v>9439</v>
      </c>
      <c r="H1039" s="154" t="s">
        <v>9002</v>
      </c>
      <c r="I1039" s="154" t="s">
        <v>9440</v>
      </c>
      <c r="J1039" s="154" t="s">
        <v>8090</v>
      </c>
      <c r="K1039" s="154" t="s">
        <v>9003</v>
      </c>
      <c r="L1039" s="154" t="s">
        <v>6428</v>
      </c>
      <c r="M1039" s="154"/>
      <c r="N1039" s="154" t="s">
        <v>759</v>
      </c>
      <c r="O1039" s="247" t="s">
        <v>445</v>
      </c>
      <c r="P1039" s="247" t="s">
        <v>6772</v>
      </c>
      <c r="Q1039" s="154" t="str">
        <f t="shared" si="1"/>
        <v>#ERROR!</v>
      </c>
      <c r="R1039" s="154" t="s">
        <v>66</v>
      </c>
      <c r="S1039" s="154" t="s">
        <v>66</v>
      </c>
      <c r="T1039" s="154" t="s">
        <v>66</v>
      </c>
      <c r="U1039" s="154" t="s">
        <v>66</v>
      </c>
      <c r="V1039" s="154" t="s">
        <v>66</v>
      </c>
      <c r="W1039" s="154" t="s">
        <v>66</v>
      </c>
      <c r="X1039" s="154" t="s">
        <v>66</v>
      </c>
      <c r="Y1039" s="154" t="s">
        <v>66</v>
      </c>
      <c r="Z1039" s="154" t="s">
        <v>66</v>
      </c>
      <c r="AA1039" s="154"/>
      <c r="AB1039" s="242" t="str">
        <f t="shared" si="2"/>
        <v>#ERROR!</v>
      </c>
      <c r="AC1039" s="154" t="s">
        <v>391</v>
      </c>
      <c r="AD1039" s="242" t="b">
        <f t="shared" si="3"/>
        <v>0</v>
      </c>
      <c r="AE1039" s="154"/>
      <c r="AF1039" s="242" t="str">
        <f t="shared" si="4"/>
        <v>#ERROR!</v>
      </c>
      <c r="AG1039" s="154" t="s">
        <v>652</v>
      </c>
      <c r="AH1039" s="242" t="str">
        <f>IF(AG1039="","N/A",INDIRECT("MTR!"&amp;ADDRESS(MATCH(LEFT(AG1039,9),[1]MTR!C:C,0),COLUMN(J1039)),TRUE) &amp; "")</f>
        <v>#ERROR!</v>
      </c>
      <c r="AI1039" s="157" t="str">
        <f t="shared" si="5"/>
        <v>#ERROR!</v>
      </c>
    </row>
    <row r="1040" ht="12.75" customHeight="1">
      <c r="A1040" s="244" t="s">
        <v>5158</v>
      </c>
      <c r="B1040" s="244" t="s">
        <v>231</v>
      </c>
      <c r="C1040" s="244" t="s">
        <v>9441</v>
      </c>
      <c r="D1040" s="154" t="s">
        <v>861</v>
      </c>
      <c r="E1040" s="154"/>
      <c r="F1040" s="154" t="str">
        <f t="array" ref="F1040">XLOOKUP(Cover!$D$12,$R$1:$Z$1,$R1040:$Z1040)</f>
        <v>Information</v>
      </c>
      <c r="G1040" s="154" t="s">
        <v>9442</v>
      </c>
      <c r="H1040" s="154" t="s">
        <v>9006</v>
      </c>
      <c r="I1040" s="154" t="s">
        <v>9440</v>
      </c>
      <c r="J1040" s="154" t="s">
        <v>8090</v>
      </c>
      <c r="K1040" s="154" t="s">
        <v>9003</v>
      </c>
      <c r="L1040" s="154" t="s">
        <v>6428</v>
      </c>
      <c r="M1040" s="154"/>
      <c r="N1040" s="154" t="s">
        <v>759</v>
      </c>
      <c r="O1040" s="247" t="s">
        <v>445</v>
      </c>
      <c r="P1040" s="247" t="s">
        <v>6772</v>
      </c>
      <c r="Q1040" s="154" t="str">
        <f t="shared" si="1"/>
        <v>#ERROR!</v>
      </c>
      <c r="R1040" s="154" t="s">
        <v>66</v>
      </c>
      <c r="S1040" s="154" t="s">
        <v>66</v>
      </c>
      <c r="T1040" s="154" t="s">
        <v>66</v>
      </c>
      <c r="U1040" s="154" t="s">
        <v>66</v>
      </c>
      <c r="V1040" s="154" t="s">
        <v>66</v>
      </c>
      <c r="W1040" s="154" t="s">
        <v>66</v>
      </c>
      <c r="X1040" s="154" t="s">
        <v>66</v>
      </c>
      <c r="Y1040" s="154" t="s">
        <v>66</v>
      </c>
      <c r="Z1040" s="154" t="s">
        <v>66</v>
      </c>
      <c r="AA1040" s="154"/>
      <c r="AB1040" s="242" t="str">
        <f t="shared" si="2"/>
        <v>#ERROR!</v>
      </c>
      <c r="AC1040" s="154" t="s">
        <v>391</v>
      </c>
      <c r="AD1040" s="242" t="b">
        <f t="shared" si="3"/>
        <v>0</v>
      </c>
      <c r="AE1040" s="154"/>
      <c r="AF1040" s="242" t="str">
        <f t="shared" si="4"/>
        <v>#ERROR!</v>
      </c>
      <c r="AG1040" s="154" t="s">
        <v>652</v>
      </c>
      <c r="AH1040" s="242" t="str">
        <f>IF(AG1040="","N/A",INDIRECT("MTR!"&amp;ADDRESS(MATCH(LEFT(AG1040,9),[1]MTR!C:C,0),COLUMN(J1040)),TRUE) &amp; "")</f>
        <v>#ERROR!</v>
      </c>
      <c r="AI1040" s="157" t="str">
        <f t="shared" si="5"/>
        <v>#ERROR!</v>
      </c>
    </row>
    <row r="1041" ht="12.75" customHeight="1">
      <c r="A1041" s="244" t="s">
        <v>5158</v>
      </c>
      <c r="B1041" s="244" t="s">
        <v>231</v>
      </c>
      <c r="C1041" s="244" t="s">
        <v>9443</v>
      </c>
      <c r="D1041" s="154" t="s">
        <v>861</v>
      </c>
      <c r="E1041" s="154"/>
      <c r="F1041" s="154" t="str">
        <f t="array" ref="F1041">XLOOKUP(Cover!$D$12,$R$1:$Z$1,$R1041:$Z1041)</f>
        <v>Information</v>
      </c>
      <c r="G1041" s="154" t="s">
        <v>9444</v>
      </c>
      <c r="H1041" s="154" t="s">
        <v>9053</v>
      </c>
      <c r="I1041" s="154" t="s">
        <v>9440</v>
      </c>
      <c r="J1041" s="154" t="s">
        <v>8090</v>
      </c>
      <c r="K1041" s="154" t="s">
        <v>9003</v>
      </c>
      <c r="L1041" s="154" t="s">
        <v>6428</v>
      </c>
      <c r="M1041" s="154"/>
      <c r="N1041" s="154" t="s">
        <v>759</v>
      </c>
      <c r="O1041" s="247" t="s">
        <v>516</v>
      </c>
      <c r="P1041" s="247" t="s">
        <v>1575</v>
      </c>
      <c r="Q1041" s="154" t="str">
        <f t="shared" si="1"/>
        <v>#ERROR!</v>
      </c>
      <c r="R1041" s="154" t="s">
        <v>66</v>
      </c>
      <c r="S1041" s="154" t="s">
        <v>66</v>
      </c>
      <c r="T1041" s="154" t="s">
        <v>66</v>
      </c>
      <c r="U1041" s="154" t="s">
        <v>66</v>
      </c>
      <c r="V1041" s="154" t="s">
        <v>66</v>
      </c>
      <c r="W1041" s="154" t="s">
        <v>66</v>
      </c>
      <c r="X1041" s="154" t="s">
        <v>66</v>
      </c>
      <c r="Y1041" s="154" t="s">
        <v>66</v>
      </c>
      <c r="Z1041" s="154" t="s">
        <v>66</v>
      </c>
      <c r="AA1041" s="154"/>
      <c r="AB1041" s="242" t="str">
        <f t="shared" si="2"/>
        <v>#ERROR!</v>
      </c>
      <c r="AC1041" s="154" t="s">
        <v>391</v>
      </c>
      <c r="AD1041" s="242" t="b">
        <f t="shared" si="3"/>
        <v>0</v>
      </c>
      <c r="AE1041" s="154"/>
      <c r="AF1041" s="242" t="str">
        <f t="shared" si="4"/>
        <v>#ERROR!</v>
      </c>
      <c r="AG1041" s="154" t="s">
        <v>652</v>
      </c>
      <c r="AH1041" s="242" t="str">
        <f>IF(AG1041="","N/A",INDIRECT("MTR!"&amp;ADDRESS(MATCH(LEFT(AG1041,9),[1]MTR!C:C,0),COLUMN(J1041)),TRUE) &amp; "")</f>
        <v>#ERROR!</v>
      </c>
      <c r="AI1041" s="157" t="str">
        <f t="shared" si="5"/>
        <v>#ERROR!</v>
      </c>
    </row>
    <row r="1042" ht="12.75" customHeight="1">
      <c r="A1042" s="244" t="s">
        <v>5158</v>
      </c>
      <c r="B1042" s="244" t="s">
        <v>231</v>
      </c>
      <c r="C1042" s="255" t="s">
        <v>9445</v>
      </c>
      <c r="D1042" s="256" t="s">
        <v>42</v>
      </c>
      <c r="E1042" s="256" t="s">
        <v>489</v>
      </c>
      <c r="F1042" s="154" t="str">
        <f t="array" ref="F1042">XLOOKUP(Cover!$D$12,$R$1:$Z$1,$R1042:$Z1042)</f>
        <v>Information</v>
      </c>
      <c r="G1042" s="154" t="s">
        <v>9446</v>
      </c>
      <c r="H1042" s="154" t="s">
        <v>9002</v>
      </c>
      <c r="I1042" s="154" t="s">
        <v>9447</v>
      </c>
      <c r="J1042" s="154" t="s">
        <v>8098</v>
      </c>
      <c r="K1042" s="154" t="s">
        <v>9003</v>
      </c>
      <c r="L1042" s="154" t="s">
        <v>5931</v>
      </c>
      <c r="M1042" s="154"/>
      <c r="N1042" s="154" t="s">
        <v>759</v>
      </c>
      <c r="O1042" s="247" t="s">
        <v>516</v>
      </c>
      <c r="P1042" s="247" t="s">
        <v>5876</v>
      </c>
      <c r="Q1042" s="154" t="str">
        <f t="shared" si="1"/>
        <v>#ERROR!</v>
      </c>
      <c r="R1042" s="154" t="s">
        <v>66</v>
      </c>
      <c r="S1042" s="154" t="s">
        <v>66</v>
      </c>
      <c r="T1042" s="154" t="s">
        <v>66</v>
      </c>
      <c r="U1042" s="154" t="s">
        <v>66</v>
      </c>
      <c r="V1042" s="154" t="s">
        <v>66</v>
      </c>
      <c r="W1042" s="154" t="s">
        <v>66</v>
      </c>
      <c r="X1042" s="154" t="s">
        <v>66</v>
      </c>
      <c r="Y1042" s="154" t="s">
        <v>66</v>
      </c>
      <c r="Z1042" s="154" t="s">
        <v>66</v>
      </c>
      <c r="AA1042" s="154"/>
      <c r="AB1042" s="242" t="str">
        <f t="shared" si="2"/>
        <v>#ERROR!</v>
      </c>
      <c r="AC1042" s="154" t="s">
        <v>391</v>
      </c>
      <c r="AD1042" s="242" t="b">
        <f t="shared" si="3"/>
        <v>0</v>
      </c>
      <c r="AE1042" s="154"/>
      <c r="AF1042" s="242" t="str">
        <f t="shared" si="4"/>
        <v>#ERROR!</v>
      </c>
      <c r="AG1042" s="154" t="s">
        <v>652</v>
      </c>
      <c r="AH1042" s="242" t="str">
        <f>IF(AG1042="","N/A",INDIRECT("MTR!"&amp;ADDRESS(MATCH(LEFT(AG1042,9),[1]MTR!C:C,0),COLUMN(J1042)),TRUE) &amp; "")</f>
        <v>#ERROR!</v>
      </c>
      <c r="AI1042" s="157" t="str">
        <f t="shared" si="5"/>
        <v>#ERROR!</v>
      </c>
    </row>
    <row r="1043" ht="12.75" customHeight="1">
      <c r="A1043" s="244" t="s">
        <v>5158</v>
      </c>
      <c r="B1043" s="244" t="s">
        <v>231</v>
      </c>
      <c r="C1043" s="255" t="s">
        <v>9448</v>
      </c>
      <c r="D1043" s="256" t="s">
        <v>42</v>
      </c>
      <c r="E1043" s="256" t="s">
        <v>489</v>
      </c>
      <c r="F1043" s="154" t="str">
        <f t="array" ref="F1043">XLOOKUP(Cover!$D$12,$R$1:$Z$1,$R1043:$Z1043)</f>
        <v>Information</v>
      </c>
      <c r="G1043" s="154" t="s">
        <v>9449</v>
      </c>
      <c r="H1043" s="154" t="s">
        <v>9006</v>
      </c>
      <c r="I1043" s="154" t="s">
        <v>9447</v>
      </c>
      <c r="J1043" s="154" t="s">
        <v>8098</v>
      </c>
      <c r="K1043" s="154" t="s">
        <v>9003</v>
      </c>
      <c r="L1043" s="154" t="s">
        <v>5931</v>
      </c>
      <c r="M1043" s="154"/>
      <c r="N1043" s="154" t="s">
        <v>759</v>
      </c>
      <c r="O1043" s="247" t="s">
        <v>516</v>
      </c>
      <c r="P1043" s="247" t="s">
        <v>5876</v>
      </c>
      <c r="Q1043" s="154" t="str">
        <f t="shared" si="1"/>
        <v>#ERROR!</v>
      </c>
      <c r="R1043" s="154" t="s">
        <v>66</v>
      </c>
      <c r="S1043" s="154" t="s">
        <v>66</v>
      </c>
      <c r="T1043" s="154" t="s">
        <v>66</v>
      </c>
      <c r="U1043" s="154" t="s">
        <v>66</v>
      </c>
      <c r="V1043" s="154" t="s">
        <v>66</v>
      </c>
      <c r="W1043" s="154" t="s">
        <v>66</v>
      </c>
      <c r="X1043" s="154" t="s">
        <v>66</v>
      </c>
      <c r="Y1043" s="154" t="s">
        <v>66</v>
      </c>
      <c r="Z1043" s="154" t="s">
        <v>66</v>
      </c>
      <c r="AA1043" s="154"/>
      <c r="AB1043" s="242" t="str">
        <f t="shared" si="2"/>
        <v>#ERROR!</v>
      </c>
      <c r="AC1043" s="154" t="s">
        <v>391</v>
      </c>
      <c r="AD1043" s="242" t="b">
        <f t="shared" si="3"/>
        <v>0</v>
      </c>
      <c r="AE1043" s="154"/>
      <c r="AF1043" s="242" t="str">
        <f t="shared" si="4"/>
        <v>#ERROR!</v>
      </c>
      <c r="AG1043" s="154" t="s">
        <v>652</v>
      </c>
      <c r="AH1043" s="242" t="str">
        <f>IF(AG1043="","N/A",INDIRECT("MTR!"&amp;ADDRESS(MATCH(LEFT(AG1043,9),[1]MTR!C:C,0),COLUMN(J1043)),TRUE) &amp; "")</f>
        <v>#ERROR!</v>
      </c>
      <c r="AI1043" s="157" t="str">
        <f t="shared" si="5"/>
        <v>#ERROR!</v>
      </c>
    </row>
    <row r="1044" ht="12.75" customHeight="1">
      <c r="A1044" s="244" t="s">
        <v>5158</v>
      </c>
      <c r="B1044" s="244" t="s">
        <v>231</v>
      </c>
      <c r="C1044" s="244" t="s">
        <v>9450</v>
      </c>
      <c r="D1044" s="154" t="s">
        <v>861</v>
      </c>
      <c r="E1044" s="154"/>
      <c r="F1044" s="154" t="str">
        <f t="array" ref="F1044">XLOOKUP(Cover!$D$12,$R$1:$Z$1,$R1044:$Z1044)</f>
        <v>Information</v>
      </c>
      <c r="G1044" s="154" t="s">
        <v>9451</v>
      </c>
      <c r="H1044" s="154" t="s">
        <v>9002</v>
      </c>
      <c r="I1044" s="154" t="s">
        <v>9452</v>
      </c>
      <c r="J1044" s="154" t="s">
        <v>8104</v>
      </c>
      <c r="K1044" s="154" t="s">
        <v>9003</v>
      </c>
      <c r="L1044" s="154" t="s">
        <v>6428</v>
      </c>
      <c r="M1044" s="154"/>
      <c r="N1044" s="154" t="s">
        <v>759</v>
      </c>
      <c r="O1044" s="247" t="s">
        <v>516</v>
      </c>
      <c r="P1044" s="247" t="s">
        <v>6776</v>
      </c>
      <c r="Q1044" s="154" t="str">
        <f t="shared" si="1"/>
        <v>#ERROR!</v>
      </c>
      <c r="R1044" s="154" t="s">
        <v>66</v>
      </c>
      <c r="S1044" s="154" t="s">
        <v>66</v>
      </c>
      <c r="T1044" s="154" t="s">
        <v>66</v>
      </c>
      <c r="U1044" s="154" t="s">
        <v>66</v>
      </c>
      <c r="V1044" s="154" t="s">
        <v>66</v>
      </c>
      <c r="W1044" s="154" t="s">
        <v>66</v>
      </c>
      <c r="X1044" s="154" t="s">
        <v>66</v>
      </c>
      <c r="Y1044" s="154" t="s">
        <v>66</v>
      </c>
      <c r="Z1044" s="154" t="s">
        <v>66</v>
      </c>
      <c r="AA1044" s="154"/>
      <c r="AB1044" s="242" t="str">
        <f t="shared" si="2"/>
        <v>#ERROR!</v>
      </c>
      <c r="AC1044" s="154" t="s">
        <v>391</v>
      </c>
      <c r="AD1044" s="242" t="b">
        <f t="shared" si="3"/>
        <v>0</v>
      </c>
      <c r="AE1044" s="154"/>
      <c r="AF1044" s="242" t="str">
        <f t="shared" si="4"/>
        <v>#ERROR!</v>
      </c>
      <c r="AG1044" s="154" t="s">
        <v>652</v>
      </c>
      <c r="AH1044" s="242" t="str">
        <f>IF(AG1044="","N/A",INDIRECT("MTR!"&amp;ADDRESS(MATCH(LEFT(AG1044,9),[1]MTR!C:C,0),COLUMN(J1044)),TRUE) &amp; "")</f>
        <v>#ERROR!</v>
      </c>
      <c r="AI1044" s="157" t="str">
        <f t="shared" si="5"/>
        <v>#ERROR!</v>
      </c>
    </row>
    <row r="1045" ht="12.75" customHeight="1">
      <c r="A1045" s="244" t="s">
        <v>5158</v>
      </c>
      <c r="B1045" s="244" t="s">
        <v>231</v>
      </c>
      <c r="C1045" s="244" t="s">
        <v>9453</v>
      </c>
      <c r="D1045" s="154" t="s">
        <v>861</v>
      </c>
      <c r="E1045" s="154"/>
      <c r="F1045" s="154" t="str">
        <f t="array" ref="F1045">XLOOKUP(Cover!$D$12,$R$1:$Z$1,$R1045:$Z1045)</f>
        <v>Information</v>
      </c>
      <c r="G1045" s="154" t="s">
        <v>9454</v>
      </c>
      <c r="H1045" s="154" t="s">
        <v>9006</v>
      </c>
      <c r="I1045" s="154" t="s">
        <v>9452</v>
      </c>
      <c r="J1045" s="154" t="s">
        <v>8104</v>
      </c>
      <c r="K1045" s="154" t="s">
        <v>9003</v>
      </c>
      <c r="L1045" s="154" t="s">
        <v>6428</v>
      </c>
      <c r="M1045" s="154"/>
      <c r="N1045" s="154" t="s">
        <v>759</v>
      </c>
      <c r="O1045" s="247" t="s">
        <v>516</v>
      </c>
      <c r="P1045" s="247" t="s">
        <v>6776</v>
      </c>
      <c r="Q1045" s="154" t="str">
        <f t="shared" si="1"/>
        <v>#ERROR!</v>
      </c>
      <c r="R1045" s="154" t="s">
        <v>66</v>
      </c>
      <c r="S1045" s="154" t="s">
        <v>66</v>
      </c>
      <c r="T1045" s="154" t="s">
        <v>66</v>
      </c>
      <c r="U1045" s="154" t="s">
        <v>66</v>
      </c>
      <c r="V1045" s="154" t="s">
        <v>66</v>
      </c>
      <c r="W1045" s="154" t="s">
        <v>66</v>
      </c>
      <c r="X1045" s="154" t="s">
        <v>66</v>
      </c>
      <c r="Y1045" s="154" t="s">
        <v>66</v>
      </c>
      <c r="Z1045" s="154" t="s">
        <v>66</v>
      </c>
      <c r="AA1045" s="154"/>
      <c r="AB1045" s="242" t="str">
        <f t="shared" si="2"/>
        <v>#ERROR!</v>
      </c>
      <c r="AC1045" s="154" t="s">
        <v>391</v>
      </c>
      <c r="AD1045" s="242" t="b">
        <f t="shared" si="3"/>
        <v>0</v>
      </c>
      <c r="AE1045" s="154"/>
      <c r="AF1045" s="242" t="str">
        <f t="shared" si="4"/>
        <v>#ERROR!</v>
      </c>
      <c r="AG1045" s="154" t="s">
        <v>652</v>
      </c>
      <c r="AH1045" s="242" t="str">
        <f>IF(AG1045="","N/A",INDIRECT("MTR!"&amp;ADDRESS(MATCH(LEFT(AG1045,9),[1]MTR!C:C,0),COLUMN(J1045)),TRUE) &amp; "")</f>
        <v>#ERROR!</v>
      </c>
      <c r="AI1045" s="157" t="str">
        <f t="shared" si="5"/>
        <v>#ERROR!</v>
      </c>
    </row>
    <row r="1046" ht="12.75" customHeight="1">
      <c r="A1046" s="244" t="s">
        <v>5158</v>
      </c>
      <c r="B1046" s="244" t="s">
        <v>231</v>
      </c>
      <c r="C1046" s="244" t="s">
        <v>9455</v>
      </c>
      <c r="D1046" s="154" t="s">
        <v>861</v>
      </c>
      <c r="E1046" s="154"/>
      <c r="F1046" s="154" t="str">
        <f t="array" ref="F1046">XLOOKUP(Cover!$D$12,$R$1:$Z$1,$R1046:$Z1046)</f>
        <v>Information</v>
      </c>
      <c r="G1046" s="154" t="s">
        <v>9456</v>
      </c>
      <c r="H1046" s="154" t="s">
        <v>9009</v>
      </c>
      <c r="I1046" s="154" t="s">
        <v>9452</v>
      </c>
      <c r="J1046" s="154" t="s">
        <v>8104</v>
      </c>
      <c r="K1046" s="154" t="s">
        <v>9003</v>
      </c>
      <c r="L1046" s="154" t="s">
        <v>6428</v>
      </c>
      <c r="M1046" s="154"/>
      <c r="N1046" s="154" t="s">
        <v>759</v>
      </c>
      <c r="O1046" s="247" t="s">
        <v>516</v>
      </c>
      <c r="P1046" s="247" t="s">
        <v>6776</v>
      </c>
      <c r="Q1046" s="154" t="str">
        <f t="shared" si="1"/>
        <v>#ERROR!</v>
      </c>
      <c r="R1046" s="154" t="s">
        <v>66</v>
      </c>
      <c r="S1046" s="154" t="s">
        <v>66</v>
      </c>
      <c r="T1046" s="154" t="s">
        <v>66</v>
      </c>
      <c r="U1046" s="154" t="s">
        <v>66</v>
      </c>
      <c r="V1046" s="154" t="s">
        <v>66</v>
      </c>
      <c r="W1046" s="154" t="s">
        <v>66</v>
      </c>
      <c r="X1046" s="154" t="s">
        <v>66</v>
      </c>
      <c r="Y1046" s="154" t="s">
        <v>66</v>
      </c>
      <c r="Z1046" s="154" t="s">
        <v>66</v>
      </c>
      <c r="AA1046" s="154"/>
      <c r="AB1046" s="242" t="str">
        <f t="shared" si="2"/>
        <v>#ERROR!</v>
      </c>
      <c r="AC1046" s="154" t="s">
        <v>391</v>
      </c>
      <c r="AD1046" s="242" t="b">
        <f t="shared" si="3"/>
        <v>0</v>
      </c>
      <c r="AE1046" s="154"/>
      <c r="AF1046" s="242" t="str">
        <f t="shared" si="4"/>
        <v>#ERROR!</v>
      </c>
      <c r="AG1046" s="154" t="s">
        <v>652</v>
      </c>
      <c r="AH1046" s="242" t="str">
        <f>IF(AG1046="","N/A",INDIRECT("MTR!"&amp;ADDRESS(MATCH(LEFT(AG1046,9),[1]MTR!C:C,0),COLUMN(J1046)),TRUE) &amp; "")</f>
        <v>#ERROR!</v>
      </c>
      <c r="AI1046" s="157" t="str">
        <f t="shared" si="5"/>
        <v>#ERROR!</v>
      </c>
    </row>
    <row r="1047" ht="12.75" customHeight="1">
      <c r="A1047" s="244" t="s">
        <v>5158</v>
      </c>
      <c r="B1047" s="244" t="s">
        <v>231</v>
      </c>
      <c r="C1047" s="244" t="s">
        <v>9457</v>
      </c>
      <c r="D1047" s="154" t="s">
        <v>45</v>
      </c>
      <c r="E1047" s="154"/>
      <c r="F1047" s="154" t="str">
        <f t="array" ref="F1047">XLOOKUP(Cover!$D$12,$R$1:$Z$1,$R1047:$Z1047)</f>
        <v>Information</v>
      </c>
      <c r="G1047" s="154" t="s">
        <v>9458</v>
      </c>
      <c r="H1047" s="154" t="s">
        <v>9002</v>
      </c>
      <c r="I1047" s="154" t="s">
        <v>9459</v>
      </c>
      <c r="J1047" s="154" t="s">
        <v>9460</v>
      </c>
      <c r="K1047" s="154" t="s">
        <v>9003</v>
      </c>
      <c r="L1047" s="154" t="s">
        <v>6655</v>
      </c>
      <c r="M1047" s="154"/>
      <c r="N1047" s="154" t="s">
        <v>759</v>
      </c>
      <c r="O1047" s="247" t="s">
        <v>516</v>
      </c>
      <c r="P1047" s="247" t="s">
        <v>6776</v>
      </c>
      <c r="Q1047" s="154" t="str">
        <f t="shared" si="1"/>
        <v>#ERROR!</v>
      </c>
      <c r="R1047" s="154" t="s">
        <v>66</v>
      </c>
      <c r="S1047" s="154" t="s">
        <v>66</v>
      </c>
      <c r="T1047" s="154" t="s">
        <v>66</v>
      </c>
      <c r="U1047" s="154" t="s">
        <v>66</v>
      </c>
      <c r="V1047" s="154" t="s">
        <v>66</v>
      </c>
      <c r="W1047" s="154" t="s">
        <v>66</v>
      </c>
      <c r="X1047" s="154" t="s">
        <v>66</v>
      </c>
      <c r="Y1047" s="154" t="s">
        <v>66</v>
      </c>
      <c r="Z1047" s="154" t="s">
        <v>66</v>
      </c>
      <c r="AA1047" s="154"/>
      <c r="AB1047" s="242" t="str">
        <f t="shared" si="2"/>
        <v>#ERROR!</v>
      </c>
      <c r="AC1047" s="154" t="s">
        <v>391</v>
      </c>
      <c r="AD1047" s="242" t="b">
        <f t="shared" si="3"/>
        <v>0</v>
      </c>
      <c r="AE1047" s="154"/>
      <c r="AF1047" s="242" t="str">
        <f t="shared" si="4"/>
        <v>#ERROR!</v>
      </c>
      <c r="AG1047" s="154" t="s">
        <v>652</v>
      </c>
      <c r="AH1047" s="242" t="str">
        <f>IF(AG1047="","N/A",INDIRECT("MTR!"&amp;ADDRESS(MATCH(LEFT(AG1047,9),[1]MTR!C:C,0),COLUMN(J1047)),TRUE) &amp; "")</f>
        <v>#ERROR!</v>
      </c>
      <c r="AI1047" s="157" t="str">
        <f t="shared" si="5"/>
        <v>#ERROR!</v>
      </c>
    </row>
    <row r="1048" ht="12.75" customHeight="1">
      <c r="A1048" s="244" t="s">
        <v>5158</v>
      </c>
      <c r="B1048" s="244" t="s">
        <v>231</v>
      </c>
      <c r="C1048" s="244" t="s">
        <v>9461</v>
      </c>
      <c r="D1048" s="154" t="s">
        <v>45</v>
      </c>
      <c r="E1048" s="154"/>
      <c r="F1048" s="154" t="str">
        <f t="array" ref="F1048">XLOOKUP(Cover!$D$12,$R$1:$Z$1,$R1048:$Z1048)</f>
        <v>Information</v>
      </c>
      <c r="G1048" s="154" t="s">
        <v>9462</v>
      </c>
      <c r="H1048" s="154" t="s">
        <v>9006</v>
      </c>
      <c r="I1048" s="154" t="s">
        <v>9459</v>
      </c>
      <c r="J1048" s="154" t="s">
        <v>9460</v>
      </c>
      <c r="K1048" s="154" t="s">
        <v>9003</v>
      </c>
      <c r="L1048" s="154" t="s">
        <v>6655</v>
      </c>
      <c r="M1048" s="154"/>
      <c r="N1048" s="154" t="s">
        <v>759</v>
      </c>
      <c r="O1048" s="247" t="s">
        <v>516</v>
      </c>
      <c r="P1048" s="247" t="s">
        <v>6776</v>
      </c>
      <c r="Q1048" s="154" t="str">
        <f t="shared" si="1"/>
        <v>#ERROR!</v>
      </c>
      <c r="R1048" s="154" t="s">
        <v>66</v>
      </c>
      <c r="S1048" s="154" t="s">
        <v>66</v>
      </c>
      <c r="T1048" s="154" t="s">
        <v>66</v>
      </c>
      <c r="U1048" s="154" t="s">
        <v>66</v>
      </c>
      <c r="V1048" s="154" t="s">
        <v>66</v>
      </c>
      <c r="W1048" s="154" t="s">
        <v>66</v>
      </c>
      <c r="X1048" s="154" t="s">
        <v>66</v>
      </c>
      <c r="Y1048" s="154" t="s">
        <v>66</v>
      </c>
      <c r="Z1048" s="154" t="s">
        <v>66</v>
      </c>
      <c r="AA1048" s="154"/>
      <c r="AB1048" s="242" t="str">
        <f t="shared" si="2"/>
        <v>#ERROR!</v>
      </c>
      <c r="AC1048" s="154" t="s">
        <v>391</v>
      </c>
      <c r="AD1048" s="242" t="b">
        <f t="shared" si="3"/>
        <v>0</v>
      </c>
      <c r="AE1048" s="154"/>
      <c r="AF1048" s="242" t="str">
        <f t="shared" si="4"/>
        <v>#ERROR!</v>
      </c>
      <c r="AG1048" s="154" t="s">
        <v>652</v>
      </c>
      <c r="AH1048" s="242" t="str">
        <f>IF(AG1048="","N/A",INDIRECT("MTR!"&amp;ADDRESS(MATCH(LEFT(AG1048,9),[1]MTR!C:C,0),COLUMN(J1048)),TRUE) &amp; "")</f>
        <v>#ERROR!</v>
      </c>
      <c r="AI1048" s="157" t="str">
        <f t="shared" si="5"/>
        <v>#ERROR!</v>
      </c>
    </row>
    <row r="1049" ht="12.75" customHeight="1">
      <c r="A1049" s="244" t="s">
        <v>5158</v>
      </c>
      <c r="B1049" s="244" t="s">
        <v>231</v>
      </c>
      <c r="C1049" s="244" t="s">
        <v>9463</v>
      </c>
      <c r="D1049" s="154" t="s">
        <v>45</v>
      </c>
      <c r="E1049" s="154"/>
      <c r="F1049" s="154" t="str">
        <f t="array" ref="F1049">XLOOKUP(Cover!$D$12,$R$1:$Z$1,$R1049:$Z1049)</f>
        <v>Information</v>
      </c>
      <c r="G1049" s="154" t="s">
        <v>9464</v>
      </c>
      <c r="H1049" s="154" t="s">
        <v>9015</v>
      </c>
      <c r="I1049" s="154" t="s">
        <v>9459</v>
      </c>
      <c r="J1049" s="154" t="s">
        <v>9460</v>
      </c>
      <c r="K1049" s="154" t="s">
        <v>9003</v>
      </c>
      <c r="L1049" s="154" t="s">
        <v>6655</v>
      </c>
      <c r="M1049" s="154"/>
      <c r="N1049" s="154" t="s">
        <v>759</v>
      </c>
      <c r="O1049" s="247" t="s">
        <v>516</v>
      </c>
      <c r="P1049" s="247" t="s">
        <v>6776</v>
      </c>
      <c r="Q1049" s="154" t="str">
        <f t="shared" si="1"/>
        <v>#ERROR!</v>
      </c>
      <c r="R1049" s="154" t="s">
        <v>66</v>
      </c>
      <c r="S1049" s="154" t="s">
        <v>66</v>
      </c>
      <c r="T1049" s="154" t="s">
        <v>66</v>
      </c>
      <c r="U1049" s="154" t="s">
        <v>66</v>
      </c>
      <c r="V1049" s="154" t="s">
        <v>66</v>
      </c>
      <c r="W1049" s="154" t="s">
        <v>66</v>
      </c>
      <c r="X1049" s="154" t="s">
        <v>66</v>
      </c>
      <c r="Y1049" s="154" t="s">
        <v>66</v>
      </c>
      <c r="Z1049" s="154" t="s">
        <v>66</v>
      </c>
      <c r="AA1049" s="154"/>
      <c r="AB1049" s="242" t="str">
        <f t="shared" si="2"/>
        <v>#ERROR!</v>
      </c>
      <c r="AC1049" s="154" t="s">
        <v>391</v>
      </c>
      <c r="AD1049" s="242" t="b">
        <f t="shared" si="3"/>
        <v>0</v>
      </c>
      <c r="AE1049" s="154"/>
      <c r="AF1049" s="242" t="str">
        <f t="shared" si="4"/>
        <v>#ERROR!</v>
      </c>
      <c r="AG1049" s="154" t="s">
        <v>652</v>
      </c>
      <c r="AH1049" s="242" t="str">
        <f>IF(AG1049="","N/A",INDIRECT("MTR!"&amp;ADDRESS(MATCH(LEFT(AG1049,9),[1]MTR!C:C,0),COLUMN(J1049)),TRUE) &amp; "")</f>
        <v>#ERROR!</v>
      </c>
      <c r="AI1049" s="157" t="str">
        <f t="shared" si="5"/>
        <v>#ERROR!</v>
      </c>
    </row>
    <row r="1050" ht="12.75" customHeight="1">
      <c r="A1050" s="244" t="s">
        <v>5158</v>
      </c>
      <c r="B1050" s="244" t="s">
        <v>231</v>
      </c>
      <c r="C1050" s="244" t="s">
        <v>9465</v>
      </c>
      <c r="D1050" s="154" t="s">
        <v>861</v>
      </c>
      <c r="E1050" s="154"/>
      <c r="F1050" s="154" t="str">
        <f t="array" ref="F1050">XLOOKUP(Cover!$D$12,$R$1:$Z$1,$R1050:$Z1050)</f>
        <v>Information</v>
      </c>
      <c r="G1050" s="154" t="s">
        <v>9466</v>
      </c>
      <c r="H1050" s="154" t="s">
        <v>9002</v>
      </c>
      <c r="I1050" s="154" t="s">
        <v>9467</v>
      </c>
      <c r="J1050" s="154" t="s">
        <v>8112</v>
      </c>
      <c r="K1050" s="154" t="s">
        <v>9003</v>
      </c>
      <c r="L1050" s="154" t="s">
        <v>6428</v>
      </c>
      <c r="M1050" s="154"/>
      <c r="N1050" s="154" t="s">
        <v>759</v>
      </c>
      <c r="O1050" s="247" t="s">
        <v>516</v>
      </c>
      <c r="P1050" s="247" t="s">
        <v>6776</v>
      </c>
      <c r="Q1050" s="154" t="str">
        <f t="shared" si="1"/>
        <v>#ERROR!</v>
      </c>
      <c r="R1050" s="154" t="s">
        <v>66</v>
      </c>
      <c r="S1050" s="154" t="s">
        <v>66</v>
      </c>
      <c r="T1050" s="154" t="s">
        <v>66</v>
      </c>
      <c r="U1050" s="154" t="s">
        <v>66</v>
      </c>
      <c r="V1050" s="154" t="s">
        <v>66</v>
      </c>
      <c r="W1050" s="154" t="s">
        <v>66</v>
      </c>
      <c r="X1050" s="154" t="s">
        <v>66</v>
      </c>
      <c r="Y1050" s="154" t="s">
        <v>66</v>
      </c>
      <c r="Z1050" s="154" t="s">
        <v>66</v>
      </c>
      <c r="AA1050" s="154"/>
      <c r="AB1050" s="242" t="str">
        <f t="shared" si="2"/>
        <v>#ERROR!</v>
      </c>
      <c r="AC1050" s="154" t="s">
        <v>391</v>
      </c>
      <c r="AD1050" s="242" t="b">
        <f t="shared" si="3"/>
        <v>0</v>
      </c>
      <c r="AE1050" s="154"/>
      <c r="AF1050" s="242" t="str">
        <f t="shared" si="4"/>
        <v>#ERROR!</v>
      </c>
      <c r="AG1050" s="154" t="s">
        <v>652</v>
      </c>
      <c r="AH1050" s="242" t="str">
        <f>IF(AG1050="","N/A",INDIRECT("MTR!"&amp;ADDRESS(MATCH(LEFT(AG1050,9),[1]MTR!C:C,0),COLUMN(J1050)),TRUE) &amp; "")</f>
        <v>#ERROR!</v>
      </c>
      <c r="AI1050" s="157" t="str">
        <f t="shared" si="5"/>
        <v>#ERROR!</v>
      </c>
    </row>
    <row r="1051" ht="12.75" customHeight="1">
      <c r="A1051" s="244" t="s">
        <v>5158</v>
      </c>
      <c r="B1051" s="244" t="s">
        <v>231</v>
      </c>
      <c r="C1051" s="244" t="s">
        <v>9468</v>
      </c>
      <c r="D1051" s="154" t="s">
        <v>861</v>
      </c>
      <c r="E1051" s="154"/>
      <c r="F1051" s="154" t="str">
        <f t="array" ref="F1051">XLOOKUP(Cover!$D$12,$R$1:$Z$1,$R1051:$Z1051)</f>
        <v>Information</v>
      </c>
      <c r="G1051" s="154" t="s">
        <v>9469</v>
      </c>
      <c r="H1051" s="154" t="s">
        <v>1541</v>
      </c>
      <c r="I1051" s="154" t="s">
        <v>9467</v>
      </c>
      <c r="J1051" s="154" t="s">
        <v>8112</v>
      </c>
      <c r="K1051" s="154" t="s">
        <v>9003</v>
      </c>
      <c r="L1051" s="154" t="s">
        <v>6428</v>
      </c>
      <c r="M1051" s="154"/>
      <c r="N1051" s="154" t="s">
        <v>759</v>
      </c>
      <c r="O1051" s="247" t="s">
        <v>516</v>
      </c>
      <c r="P1051" s="247" t="s">
        <v>6776</v>
      </c>
      <c r="Q1051" s="154" t="str">
        <f t="shared" si="1"/>
        <v>#ERROR!</v>
      </c>
      <c r="R1051" s="154" t="s">
        <v>66</v>
      </c>
      <c r="S1051" s="154" t="s">
        <v>66</v>
      </c>
      <c r="T1051" s="154" t="s">
        <v>66</v>
      </c>
      <c r="U1051" s="154" t="s">
        <v>66</v>
      </c>
      <c r="V1051" s="154" t="s">
        <v>66</v>
      </c>
      <c r="W1051" s="154" t="s">
        <v>66</v>
      </c>
      <c r="X1051" s="154" t="s">
        <v>66</v>
      </c>
      <c r="Y1051" s="154" t="s">
        <v>66</v>
      </c>
      <c r="Z1051" s="154" t="s">
        <v>66</v>
      </c>
      <c r="AA1051" s="154"/>
      <c r="AB1051" s="242" t="str">
        <f t="shared" si="2"/>
        <v>#ERROR!</v>
      </c>
      <c r="AC1051" s="154" t="s">
        <v>391</v>
      </c>
      <c r="AD1051" s="242" t="b">
        <f t="shared" si="3"/>
        <v>0</v>
      </c>
      <c r="AE1051" s="154"/>
      <c r="AF1051" s="242" t="str">
        <f t="shared" si="4"/>
        <v>#ERROR!</v>
      </c>
      <c r="AG1051" s="154" t="s">
        <v>652</v>
      </c>
      <c r="AH1051" s="242" t="str">
        <f>IF(AG1051="","N/A",INDIRECT("MTR!"&amp;ADDRESS(MATCH(LEFT(AG1051,9),[1]MTR!C:C,0),COLUMN(J1051)),TRUE) &amp; "")</f>
        <v>#ERROR!</v>
      </c>
      <c r="AI1051" s="157" t="str">
        <f t="shared" si="5"/>
        <v>#ERROR!</v>
      </c>
    </row>
    <row r="1052" ht="12.75" customHeight="1">
      <c r="A1052" s="244" t="s">
        <v>5158</v>
      </c>
      <c r="B1052" s="244" t="s">
        <v>231</v>
      </c>
      <c r="C1052" s="244" t="s">
        <v>9470</v>
      </c>
      <c r="D1052" s="154" t="s">
        <v>861</v>
      </c>
      <c r="E1052" s="154"/>
      <c r="F1052" s="154" t="str">
        <f t="array" ref="F1052">XLOOKUP(Cover!$D$12,$R$1:$Z$1,$R1052:$Z1052)</f>
        <v>Information</v>
      </c>
      <c r="G1052" s="154" t="s">
        <v>9471</v>
      </c>
      <c r="H1052" s="154" t="s">
        <v>9006</v>
      </c>
      <c r="I1052" s="154" t="s">
        <v>9467</v>
      </c>
      <c r="J1052" s="154" t="s">
        <v>8112</v>
      </c>
      <c r="K1052" s="154" t="s">
        <v>9003</v>
      </c>
      <c r="L1052" s="154" t="s">
        <v>6428</v>
      </c>
      <c r="M1052" s="154"/>
      <c r="N1052" s="154" t="s">
        <v>759</v>
      </c>
      <c r="O1052" s="247" t="s">
        <v>516</v>
      </c>
      <c r="P1052" s="247" t="s">
        <v>6776</v>
      </c>
      <c r="Q1052" s="154" t="str">
        <f t="shared" si="1"/>
        <v>#ERROR!</v>
      </c>
      <c r="R1052" s="154" t="s">
        <v>66</v>
      </c>
      <c r="S1052" s="154" t="s">
        <v>66</v>
      </c>
      <c r="T1052" s="154" t="s">
        <v>66</v>
      </c>
      <c r="U1052" s="154" t="s">
        <v>66</v>
      </c>
      <c r="V1052" s="154" t="s">
        <v>66</v>
      </c>
      <c r="W1052" s="154" t="s">
        <v>66</v>
      </c>
      <c r="X1052" s="154" t="s">
        <v>66</v>
      </c>
      <c r="Y1052" s="154" t="s">
        <v>66</v>
      </c>
      <c r="Z1052" s="154" t="s">
        <v>66</v>
      </c>
      <c r="AA1052" s="154"/>
      <c r="AB1052" s="242" t="str">
        <f t="shared" si="2"/>
        <v>#ERROR!</v>
      </c>
      <c r="AC1052" s="154" t="s">
        <v>391</v>
      </c>
      <c r="AD1052" s="242" t="b">
        <f t="shared" si="3"/>
        <v>0</v>
      </c>
      <c r="AE1052" s="154"/>
      <c r="AF1052" s="242" t="str">
        <f t="shared" si="4"/>
        <v>#ERROR!</v>
      </c>
      <c r="AG1052" s="154" t="s">
        <v>652</v>
      </c>
      <c r="AH1052" s="242" t="str">
        <f>IF(AG1052="","N/A",INDIRECT("MTR!"&amp;ADDRESS(MATCH(LEFT(AG1052,9),[1]MTR!C:C,0),COLUMN(J1052)),TRUE) &amp; "")</f>
        <v>#ERROR!</v>
      </c>
      <c r="AI1052" s="157" t="str">
        <f t="shared" si="5"/>
        <v>#ERROR!</v>
      </c>
    </row>
    <row r="1053" ht="12.75" customHeight="1">
      <c r="A1053" s="244" t="s">
        <v>5158</v>
      </c>
      <c r="B1053" s="244" t="s">
        <v>231</v>
      </c>
      <c r="C1053" s="244" t="s">
        <v>9472</v>
      </c>
      <c r="D1053" s="154" t="s">
        <v>45</v>
      </c>
      <c r="E1053" s="154"/>
      <c r="F1053" s="154" t="str">
        <f t="array" ref="F1053">XLOOKUP(Cover!$D$12,$R$1:$Z$1,$R1053:$Z1053)</f>
        <v>Information</v>
      </c>
      <c r="G1053" s="154" t="s">
        <v>9473</v>
      </c>
      <c r="H1053" s="154" t="s">
        <v>9002</v>
      </c>
      <c r="I1053" s="154" t="s">
        <v>9474</v>
      </c>
      <c r="J1053" s="154" t="s">
        <v>9475</v>
      </c>
      <c r="K1053" s="154" t="s">
        <v>9003</v>
      </c>
      <c r="L1053" s="154" t="s">
        <v>6655</v>
      </c>
      <c r="M1053" s="154"/>
      <c r="N1053" s="154" t="s">
        <v>759</v>
      </c>
      <c r="O1053" s="247" t="s">
        <v>516</v>
      </c>
      <c r="P1053" s="247" t="s">
        <v>6776</v>
      </c>
      <c r="Q1053" s="154" t="str">
        <f t="shared" si="1"/>
        <v>#ERROR!</v>
      </c>
      <c r="R1053" s="154" t="s">
        <v>66</v>
      </c>
      <c r="S1053" s="154" t="s">
        <v>66</v>
      </c>
      <c r="T1053" s="154" t="s">
        <v>66</v>
      </c>
      <c r="U1053" s="154" t="s">
        <v>66</v>
      </c>
      <c r="V1053" s="154" t="s">
        <v>66</v>
      </c>
      <c r="W1053" s="154" t="s">
        <v>66</v>
      </c>
      <c r="X1053" s="154" t="s">
        <v>66</v>
      </c>
      <c r="Y1053" s="154" t="s">
        <v>66</v>
      </c>
      <c r="Z1053" s="154" t="s">
        <v>66</v>
      </c>
      <c r="AA1053" s="154"/>
      <c r="AB1053" s="242" t="str">
        <f t="shared" si="2"/>
        <v>#ERROR!</v>
      </c>
      <c r="AC1053" s="154" t="s">
        <v>391</v>
      </c>
      <c r="AD1053" s="242" t="b">
        <f t="shared" si="3"/>
        <v>0</v>
      </c>
      <c r="AE1053" s="154"/>
      <c r="AF1053" s="242" t="str">
        <f t="shared" si="4"/>
        <v>#ERROR!</v>
      </c>
      <c r="AG1053" s="154" t="s">
        <v>652</v>
      </c>
      <c r="AH1053" s="242" t="str">
        <f>IF(AG1053="","N/A",INDIRECT("MTR!"&amp;ADDRESS(MATCH(LEFT(AG1053,9),[1]MTR!C:C,0),COLUMN(J1053)),TRUE) &amp; "")</f>
        <v>#ERROR!</v>
      </c>
      <c r="AI1053" s="157" t="str">
        <f t="shared" si="5"/>
        <v>#ERROR!</v>
      </c>
    </row>
    <row r="1054" ht="12.75" customHeight="1">
      <c r="A1054" s="244" t="s">
        <v>5158</v>
      </c>
      <c r="B1054" s="244" t="s">
        <v>231</v>
      </c>
      <c r="C1054" s="244" t="s">
        <v>9476</v>
      </c>
      <c r="D1054" s="154" t="s">
        <v>45</v>
      </c>
      <c r="E1054" s="154"/>
      <c r="F1054" s="154" t="str">
        <f t="array" ref="F1054">XLOOKUP(Cover!$D$12,$R$1:$Z$1,$R1054:$Z1054)</f>
        <v>Information</v>
      </c>
      <c r="G1054" s="154" t="s">
        <v>9477</v>
      </c>
      <c r="H1054" s="154" t="s">
        <v>9009</v>
      </c>
      <c r="I1054" s="154" t="s">
        <v>9474</v>
      </c>
      <c r="J1054" s="154" t="s">
        <v>9475</v>
      </c>
      <c r="K1054" s="154" t="s">
        <v>9003</v>
      </c>
      <c r="L1054" s="154" t="s">
        <v>6655</v>
      </c>
      <c r="M1054" s="154"/>
      <c r="N1054" s="154" t="s">
        <v>759</v>
      </c>
      <c r="O1054" s="247" t="s">
        <v>516</v>
      </c>
      <c r="P1054" s="247" t="s">
        <v>6776</v>
      </c>
      <c r="Q1054" s="154" t="str">
        <f t="shared" si="1"/>
        <v>#ERROR!</v>
      </c>
      <c r="R1054" s="154" t="s">
        <v>66</v>
      </c>
      <c r="S1054" s="154" t="s">
        <v>66</v>
      </c>
      <c r="T1054" s="154" t="s">
        <v>66</v>
      </c>
      <c r="U1054" s="154" t="s">
        <v>66</v>
      </c>
      <c r="V1054" s="154" t="s">
        <v>66</v>
      </c>
      <c r="W1054" s="154" t="s">
        <v>66</v>
      </c>
      <c r="X1054" s="154" t="s">
        <v>66</v>
      </c>
      <c r="Y1054" s="154" t="s">
        <v>66</v>
      </c>
      <c r="Z1054" s="154" t="s">
        <v>66</v>
      </c>
      <c r="AA1054" s="154"/>
      <c r="AB1054" s="242" t="str">
        <f t="shared" si="2"/>
        <v>#ERROR!</v>
      </c>
      <c r="AC1054" s="154" t="s">
        <v>391</v>
      </c>
      <c r="AD1054" s="242" t="b">
        <f t="shared" si="3"/>
        <v>0</v>
      </c>
      <c r="AE1054" s="154"/>
      <c r="AF1054" s="242" t="str">
        <f t="shared" si="4"/>
        <v>#ERROR!</v>
      </c>
      <c r="AG1054" s="154" t="s">
        <v>652</v>
      </c>
      <c r="AH1054" s="242" t="str">
        <f>IF(AG1054="","N/A",INDIRECT("MTR!"&amp;ADDRESS(MATCH(LEFT(AG1054,9),[1]MTR!C:C,0),COLUMN(J1054)),TRUE) &amp; "")</f>
        <v>#ERROR!</v>
      </c>
      <c r="AI1054" s="157" t="str">
        <f t="shared" si="5"/>
        <v>#ERROR!</v>
      </c>
    </row>
    <row r="1055" ht="12.75" customHeight="1">
      <c r="A1055" s="244" t="s">
        <v>5158</v>
      </c>
      <c r="B1055" s="244" t="s">
        <v>231</v>
      </c>
      <c r="C1055" s="244" t="s">
        <v>9478</v>
      </c>
      <c r="D1055" s="154" t="s">
        <v>45</v>
      </c>
      <c r="E1055" s="154"/>
      <c r="F1055" s="154" t="str">
        <f t="array" ref="F1055">XLOOKUP(Cover!$D$12,$R$1:$Z$1,$R1055:$Z1055)</f>
        <v>Information</v>
      </c>
      <c r="G1055" s="154" t="s">
        <v>9479</v>
      </c>
      <c r="H1055" s="154" t="s">
        <v>9015</v>
      </c>
      <c r="I1055" s="154" t="s">
        <v>9474</v>
      </c>
      <c r="J1055" s="154" t="s">
        <v>9475</v>
      </c>
      <c r="K1055" s="154" t="s">
        <v>9003</v>
      </c>
      <c r="L1055" s="154" t="s">
        <v>6655</v>
      </c>
      <c r="M1055" s="154"/>
      <c r="N1055" s="154" t="s">
        <v>759</v>
      </c>
      <c r="O1055" s="247" t="s">
        <v>516</v>
      </c>
      <c r="P1055" s="247" t="s">
        <v>6776</v>
      </c>
      <c r="Q1055" s="154" t="str">
        <f t="shared" si="1"/>
        <v>#ERROR!</v>
      </c>
      <c r="R1055" s="154" t="s">
        <v>66</v>
      </c>
      <c r="S1055" s="154" t="s">
        <v>66</v>
      </c>
      <c r="T1055" s="154" t="s">
        <v>66</v>
      </c>
      <c r="U1055" s="154" t="s">
        <v>66</v>
      </c>
      <c r="V1055" s="154" t="s">
        <v>66</v>
      </c>
      <c r="W1055" s="154" t="s">
        <v>66</v>
      </c>
      <c r="X1055" s="154" t="s">
        <v>66</v>
      </c>
      <c r="Y1055" s="154" t="s">
        <v>66</v>
      </c>
      <c r="Z1055" s="154" t="s">
        <v>66</v>
      </c>
      <c r="AA1055" s="154"/>
      <c r="AB1055" s="242" t="str">
        <f t="shared" si="2"/>
        <v>#ERROR!</v>
      </c>
      <c r="AC1055" s="154" t="s">
        <v>391</v>
      </c>
      <c r="AD1055" s="242" t="b">
        <f t="shared" si="3"/>
        <v>0</v>
      </c>
      <c r="AE1055" s="154"/>
      <c r="AF1055" s="242" t="str">
        <f t="shared" si="4"/>
        <v>#ERROR!</v>
      </c>
      <c r="AG1055" s="154" t="s">
        <v>652</v>
      </c>
      <c r="AH1055" s="242" t="str">
        <f>IF(AG1055="","N/A",INDIRECT("MTR!"&amp;ADDRESS(MATCH(LEFT(AG1055,9),[1]MTR!C:C,0),COLUMN(J1055)),TRUE) &amp; "")</f>
        <v>#ERROR!</v>
      </c>
      <c r="AI1055" s="157" t="str">
        <f t="shared" si="5"/>
        <v>#ERROR!</v>
      </c>
    </row>
    <row r="1056" ht="12.75" customHeight="1">
      <c r="A1056" s="244" t="s">
        <v>5158</v>
      </c>
      <c r="B1056" s="244" t="s">
        <v>231</v>
      </c>
      <c r="C1056" s="244" t="s">
        <v>9480</v>
      </c>
      <c r="D1056" s="154" t="s">
        <v>1069</v>
      </c>
      <c r="E1056" s="154"/>
      <c r="F1056" s="154" t="str">
        <f t="array" ref="F1056">XLOOKUP(Cover!$D$12,$R$1:$Z$1,$R1056:$Z1056)</f>
        <v>Information</v>
      </c>
      <c r="G1056" s="154" t="s">
        <v>9481</v>
      </c>
      <c r="H1056" s="154" t="s">
        <v>9002</v>
      </c>
      <c r="I1056" s="154" t="s">
        <v>9482</v>
      </c>
      <c r="J1056" s="154" t="s">
        <v>8120</v>
      </c>
      <c r="K1056" s="154" t="s">
        <v>9003</v>
      </c>
      <c r="L1056" s="154" t="s">
        <v>5927</v>
      </c>
      <c r="M1056" s="154"/>
      <c r="N1056" s="154" t="s">
        <v>759</v>
      </c>
      <c r="O1056" s="247" t="s">
        <v>516</v>
      </c>
      <c r="P1056" s="247" t="s">
        <v>6776</v>
      </c>
      <c r="Q1056" s="154" t="str">
        <f t="shared" si="1"/>
        <v>#ERROR!</v>
      </c>
      <c r="R1056" s="154" t="s">
        <v>66</v>
      </c>
      <c r="S1056" s="154" t="s">
        <v>66</v>
      </c>
      <c r="T1056" s="154" t="s">
        <v>66</v>
      </c>
      <c r="U1056" s="154" t="s">
        <v>66</v>
      </c>
      <c r="V1056" s="154" t="s">
        <v>66</v>
      </c>
      <c r="W1056" s="154" t="s">
        <v>66</v>
      </c>
      <c r="X1056" s="154" t="s">
        <v>66</v>
      </c>
      <c r="Y1056" s="154" t="s">
        <v>66</v>
      </c>
      <c r="Z1056" s="154" t="s">
        <v>66</v>
      </c>
      <c r="AA1056" s="154"/>
      <c r="AB1056" s="242" t="str">
        <f t="shared" si="2"/>
        <v>#ERROR!</v>
      </c>
      <c r="AC1056" s="154" t="s">
        <v>391</v>
      </c>
      <c r="AD1056" s="242" t="b">
        <f t="shared" si="3"/>
        <v>0</v>
      </c>
      <c r="AE1056" s="154"/>
      <c r="AF1056" s="242" t="str">
        <f t="shared" si="4"/>
        <v>#ERROR!</v>
      </c>
      <c r="AG1056" s="154" t="s">
        <v>652</v>
      </c>
      <c r="AH1056" s="242" t="str">
        <f>IF(AG1056="","N/A",INDIRECT("MTR!"&amp;ADDRESS(MATCH(LEFT(AG1056,9),[1]MTR!C:C,0),COLUMN(J1056)),TRUE) &amp; "")</f>
        <v>#ERROR!</v>
      </c>
      <c r="AI1056" s="157" t="str">
        <f t="shared" si="5"/>
        <v>#ERROR!</v>
      </c>
    </row>
    <row r="1057" ht="12.75" customHeight="1">
      <c r="A1057" s="244" t="s">
        <v>5158</v>
      </c>
      <c r="B1057" s="244" t="s">
        <v>231</v>
      </c>
      <c r="C1057" s="244" t="s">
        <v>9483</v>
      </c>
      <c r="D1057" s="154" t="s">
        <v>1069</v>
      </c>
      <c r="E1057" s="154"/>
      <c r="F1057" s="154" t="str">
        <f t="array" ref="F1057">XLOOKUP(Cover!$D$12,$R$1:$Z$1,$R1057:$Z1057)</f>
        <v>Information</v>
      </c>
      <c r="G1057" s="154" t="s">
        <v>9484</v>
      </c>
      <c r="H1057" s="154" t="s">
        <v>9009</v>
      </c>
      <c r="I1057" s="154" t="s">
        <v>9482</v>
      </c>
      <c r="J1057" s="154" t="s">
        <v>8120</v>
      </c>
      <c r="K1057" s="154" t="s">
        <v>9003</v>
      </c>
      <c r="L1057" s="154" t="s">
        <v>5927</v>
      </c>
      <c r="M1057" s="154"/>
      <c r="N1057" s="154" t="s">
        <v>759</v>
      </c>
      <c r="O1057" s="247" t="s">
        <v>516</v>
      </c>
      <c r="P1057" s="247" t="s">
        <v>6776</v>
      </c>
      <c r="Q1057" s="154" t="str">
        <f t="shared" si="1"/>
        <v>#ERROR!</v>
      </c>
      <c r="R1057" s="154" t="s">
        <v>66</v>
      </c>
      <c r="S1057" s="154" t="s">
        <v>66</v>
      </c>
      <c r="T1057" s="154" t="s">
        <v>66</v>
      </c>
      <c r="U1057" s="154" t="s">
        <v>66</v>
      </c>
      <c r="V1057" s="154" t="s">
        <v>66</v>
      </c>
      <c r="W1057" s="154" t="s">
        <v>66</v>
      </c>
      <c r="X1057" s="154" t="s">
        <v>66</v>
      </c>
      <c r="Y1057" s="154" t="s">
        <v>66</v>
      </c>
      <c r="Z1057" s="154" t="s">
        <v>66</v>
      </c>
      <c r="AA1057" s="154"/>
      <c r="AB1057" s="242" t="str">
        <f t="shared" si="2"/>
        <v>#ERROR!</v>
      </c>
      <c r="AC1057" s="154" t="s">
        <v>391</v>
      </c>
      <c r="AD1057" s="242" t="b">
        <f t="shared" si="3"/>
        <v>0</v>
      </c>
      <c r="AE1057" s="154"/>
      <c r="AF1057" s="242" t="str">
        <f t="shared" si="4"/>
        <v>#ERROR!</v>
      </c>
      <c r="AG1057" s="154" t="s">
        <v>652</v>
      </c>
      <c r="AH1057" s="242" t="str">
        <f>IF(AG1057="","N/A",INDIRECT("MTR!"&amp;ADDRESS(MATCH(LEFT(AG1057,9),[1]MTR!C:C,0),COLUMN(J1057)),TRUE) &amp; "")</f>
        <v>#ERROR!</v>
      </c>
      <c r="AI1057" s="157" t="str">
        <f t="shared" si="5"/>
        <v>#ERROR!</v>
      </c>
    </row>
    <row r="1058" ht="12.75" customHeight="1">
      <c r="A1058" s="244" t="s">
        <v>5158</v>
      </c>
      <c r="B1058" s="244" t="s">
        <v>231</v>
      </c>
      <c r="C1058" s="244" t="s">
        <v>9485</v>
      </c>
      <c r="D1058" s="154" t="s">
        <v>1069</v>
      </c>
      <c r="E1058" s="154"/>
      <c r="F1058" s="154" t="str">
        <f t="array" ref="F1058">XLOOKUP(Cover!$D$12,$R$1:$Z$1,$R1058:$Z1058)</f>
        <v>Information</v>
      </c>
      <c r="G1058" s="154" t="s">
        <v>9486</v>
      </c>
      <c r="H1058" s="154" t="s">
        <v>1541</v>
      </c>
      <c r="I1058" s="154" t="s">
        <v>9482</v>
      </c>
      <c r="J1058" s="154" t="s">
        <v>8120</v>
      </c>
      <c r="K1058" s="154" t="s">
        <v>9003</v>
      </c>
      <c r="L1058" s="154" t="s">
        <v>5927</v>
      </c>
      <c r="M1058" s="154"/>
      <c r="N1058" s="154" t="s">
        <v>759</v>
      </c>
      <c r="O1058" s="247" t="s">
        <v>516</v>
      </c>
      <c r="P1058" s="247" t="s">
        <v>6776</v>
      </c>
      <c r="Q1058" s="154" t="str">
        <f t="shared" si="1"/>
        <v>#ERROR!</v>
      </c>
      <c r="R1058" s="154" t="s">
        <v>66</v>
      </c>
      <c r="S1058" s="154" t="s">
        <v>66</v>
      </c>
      <c r="T1058" s="154" t="s">
        <v>66</v>
      </c>
      <c r="U1058" s="154" t="s">
        <v>66</v>
      </c>
      <c r="V1058" s="154" t="s">
        <v>66</v>
      </c>
      <c r="W1058" s="154" t="s">
        <v>66</v>
      </c>
      <c r="X1058" s="154" t="s">
        <v>66</v>
      </c>
      <c r="Y1058" s="154" t="s">
        <v>66</v>
      </c>
      <c r="Z1058" s="154" t="s">
        <v>66</v>
      </c>
      <c r="AA1058" s="154"/>
      <c r="AB1058" s="242" t="str">
        <f t="shared" si="2"/>
        <v>#ERROR!</v>
      </c>
      <c r="AC1058" s="154" t="s">
        <v>391</v>
      </c>
      <c r="AD1058" s="242" t="b">
        <f t="shared" si="3"/>
        <v>0</v>
      </c>
      <c r="AE1058" s="154"/>
      <c r="AF1058" s="242" t="str">
        <f t="shared" si="4"/>
        <v>#ERROR!</v>
      </c>
      <c r="AG1058" s="154" t="s">
        <v>652</v>
      </c>
      <c r="AH1058" s="242" t="str">
        <f>IF(AG1058="","N/A",INDIRECT("MTR!"&amp;ADDRESS(MATCH(LEFT(AG1058,9),[1]MTR!C:C,0),COLUMN(J1058)),TRUE) &amp; "")</f>
        <v>#ERROR!</v>
      </c>
      <c r="AI1058" s="157" t="str">
        <f t="shared" si="5"/>
        <v>#ERROR!</v>
      </c>
    </row>
    <row r="1059" ht="12.75" customHeight="1">
      <c r="A1059" s="244" t="s">
        <v>5158</v>
      </c>
      <c r="B1059" s="244" t="s">
        <v>231</v>
      </c>
      <c r="C1059" s="244" t="s">
        <v>9487</v>
      </c>
      <c r="D1059" s="154" t="s">
        <v>542</v>
      </c>
      <c r="E1059" s="154"/>
      <c r="F1059" s="154" t="str">
        <f t="array" ref="F1059">XLOOKUP(Cover!$D$12,$R$1:$Z$1,$R1059:$Z1059)</f>
        <v>Mandatory</v>
      </c>
      <c r="G1059" s="154" t="s">
        <v>9488</v>
      </c>
      <c r="H1059" s="154" t="s">
        <v>9002</v>
      </c>
      <c r="I1059" s="154" t="s">
        <v>9489</v>
      </c>
      <c r="J1059" s="154" t="s">
        <v>8128</v>
      </c>
      <c r="K1059" s="154" t="s">
        <v>9003</v>
      </c>
      <c r="L1059" s="154" t="s">
        <v>6064</v>
      </c>
      <c r="M1059" s="154" t="s">
        <v>175</v>
      </c>
      <c r="N1059" s="154" t="s">
        <v>759</v>
      </c>
      <c r="O1059" s="247" t="s">
        <v>516</v>
      </c>
      <c r="P1059" s="247" t="s">
        <v>6776</v>
      </c>
      <c r="Q1059" s="154" t="str">
        <f t="shared" si="1"/>
        <v>#ERROR!</v>
      </c>
      <c r="R1059" s="154" t="s">
        <v>66</v>
      </c>
      <c r="S1059" s="154" t="s">
        <v>66</v>
      </c>
      <c r="T1059" s="155" t="s">
        <v>64</v>
      </c>
      <c r="U1059" s="155" t="s">
        <v>64</v>
      </c>
      <c r="V1059" s="154" t="s">
        <v>60</v>
      </c>
      <c r="W1059" s="154" t="s">
        <v>60</v>
      </c>
      <c r="X1059" s="154" t="s">
        <v>66</v>
      </c>
      <c r="Y1059" s="155" t="s">
        <v>64</v>
      </c>
      <c r="Z1059" s="154" t="s">
        <v>60</v>
      </c>
      <c r="AA1059" s="154"/>
      <c r="AB1059" s="242" t="str">
        <f t="shared" si="2"/>
        <v>#ERROR!</v>
      </c>
      <c r="AC1059" s="154" t="s">
        <v>391</v>
      </c>
      <c r="AD1059" s="242" t="b">
        <f t="shared" si="3"/>
        <v>0</v>
      </c>
      <c r="AE1059" s="154"/>
      <c r="AF1059" s="242" t="str">
        <f t="shared" si="4"/>
        <v>#ERROR!</v>
      </c>
      <c r="AG1059" s="154" t="s">
        <v>652</v>
      </c>
      <c r="AH1059" s="242" t="str">
        <f>IF(AG1059="","N/A",INDIRECT("MTR!"&amp;ADDRESS(MATCH(LEFT(AG1059,9),[1]MTR!C:C,0),COLUMN(J1059)),TRUE) &amp; "")</f>
        <v>#ERROR!</v>
      </c>
      <c r="AI1059" s="157" t="str">
        <f t="shared" si="5"/>
        <v>#ERROR!</v>
      </c>
    </row>
    <row r="1060" ht="12.75" customHeight="1">
      <c r="A1060" s="244" t="s">
        <v>5158</v>
      </c>
      <c r="B1060" s="244" t="s">
        <v>231</v>
      </c>
      <c r="C1060" s="244" t="s">
        <v>9490</v>
      </c>
      <c r="D1060" s="154" t="s">
        <v>542</v>
      </c>
      <c r="E1060" s="154"/>
      <c r="F1060" s="154" t="str">
        <f t="array" ref="F1060">XLOOKUP(Cover!$D$12,$R$1:$Z$1,$R1060:$Z1060)</f>
        <v>Mandatory</v>
      </c>
      <c r="G1060" s="154" t="s">
        <v>9491</v>
      </c>
      <c r="H1060" s="154" t="s">
        <v>9006</v>
      </c>
      <c r="I1060" s="154" t="s">
        <v>9489</v>
      </c>
      <c r="J1060" s="154" t="s">
        <v>8128</v>
      </c>
      <c r="K1060" s="154" t="s">
        <v>9003</v>
      </c>
      <c r="L1060" s="154" t="s">
        <v>6064</v>
      </c>
      <c r="M1060" s="154" t="s">
        <v>175</v>
      </c>
      <c r="N1060" s="154" t="s">
        <v>759</v>
      </c>
      <c r="O1060" s="247" t="s">
        <v>516</v>
      </c>
      <c r="P1060" s="247" t="s">
        <v>6776</v>
      </c>
      <c r="Q1060" s="154" t="str">
        <f t="shared" si="1"/>
        <v>#ERROR!</v>
      </c>
      <c r="R1060" s="154" t="s">
        <v>66</v>
      </c>
      <c r="S1060" s="154" t="s">
        <v>66</v>
      </c>
      <c r="T1060" s="155" t="s">
        <v>64</v>
      </c>
      <c r="U1060" s="155" t="s">
        <v>64</v>
      </c>
      <c r="V1060" s="154" t="s">
        <v>60</v>
      </c>
      <c r="W1060" s="154" t="s">
        <v>60</v>
      </c>
      <c r="X1060" s="154" t="s">
        <v>66</v>
      </c>
      <c r="Y1060" s="155" t="s">
        <v>64</v>
      </c>
      <c r="Z1060" s="154" t="s">
        <v>60</v>
      </c>
      <c r="AA1060" s="154"/>
      <c r="AB1060" s="242" t="str">
        <f t="shared" si="2"/>
        <v>#ERROR!</v>
      </c>
      <c r="AC1060" s="154" t="s">
        <v>391</v>
      </c>
      <c r="AD1060" s="242" t="b">
        <f t="shared" si="3"/>
        <v>0</v>
      </c>
      <c r="AE1060" s="154"/>
      <c r="AF1060" s="242" t="str">
        <f t="shared" si="4"/>
        <v>#ERROR!</v>
      </c>
      <c r="AG1060" s="154" t="s">
        <v>652</v>
      </c>
      <c r="AH1060" s="242" t="str">
        <f>IF(AG1060="","N/A",INDIRECT("MTR!"&amp;ADDRESS(MATCH(LEFT(AG1060,9),[1]MTR!C:C,0),COLUMN(J1060)),TRUE) &amp; "")</f>
        <v>#ERROR!</v>
      </c>
      <c r="AI1060" s="157" t="str">
        <f t="shared" si="5"/>
        <v>#ERROR!</v>
      </c>
    </row>
    <row r="1061" ht="12.75" customHeight="1">
      <c r="A1061" s="244" t="s">
        <v>5158</v>
      </c>
      <c r="B1061" s="244" t="s">
        <v>231</v>
      </c>
      <c r="C1061" s="244" t="s">
        <v>9492</v>
      </c>
      <c r="D1061" s="154" t="s">
        <v>781</v>
      </c>
      <c r="E1061" s="154"/>
      <c r="F1061" s="154" t="str">
        <f t="array" ref="F1061">XLOOKUP(Cover!$D$12,$R$1:$Z$1,$R1061:$Z1061)</f>
        <v>Mandatory</v>
      </c>
      <c r="G1061" s="154" t="s">
        <v>9493</v>
      </c>
      <c r="H1061" s="154" t="s">
        <v>9053</v>
      </c>
      <c r="I1061" s="154" t="s">
        <v>9489</v>
      </c>
      <c r="J1061" s="154" t="s">
        <v>8128</v>
      </c>
      <c r="K1061" s="154" t="s">
        <v>9003</v>
      </c>
      <c r="L1061" s="154" t="s">
        <v>6232</v>
      </c>
      <c r="M1061" s="154" t="s">
        <v>175</v>
      </c>
      <c r="N1061" s="154" t="s">
        <v>759</v>
      </c>
      <c r="O1061" s="247" t="s">
        <v>516</v>
      </c>
      <c r="P1061" s="247" t="s">
        <v>6776</v>
      </c>
      <c r="Q1061" s="154" t="str">
        <f t="shared" si="1"/>
        <v>#ERROR!</v>
      </c>
      <c r="R1061" s="154" t="s">
        <v>66</v>
      </c>
      <c r="S1061" s="154" t="s">
        <v>66</v>
      </c>
      <c r="T1061" s="155" t="s">
        <v>64</v>
      </c>
      <c r="U1061" s="155" t="s">
        <v>64</v>
      </c>
      <c r="V1061" s="154" t="s">
        <v>60</v>
      </c>
      <c r="W1061" s="154" t="s">
        <v>60</v>
      </c>
      <c r="X1061" s="154" t="s">
        <v>66</v>
      </c>
      <c r="Y1061" s="155" t="s">
        <v>64</v>
      </c>
      <c r="Z1061" s="154" t="s">
        <v>60</v>
      </c>
      <c r="AA1061" s="154"/>
      <c r="AB1061" s="242" t="str">
        <f t="shared" si="2"/>
        <v>#ERROR!</v>
      </c>
      <c r="AC1061" s="154" t="s">
        <v>391</v>
      </c>
      <c r="AD1061" s="242" t="b">
        <f t="shared" si="3"/>
        <v>0</v>
      </c>
      <c r="AE1061" s="154"/>
      <c r="AF1061" s="242" t="str">
        <f t="shared" si="4"/>
        <v>#ERROR!</v>
      </c>
      <c r="AG1061" s="154" t="s">
        <v>652</v>
      </c>
      <c r="AH1061" s="242" t="str">
        <f>IF(AG1061="","N/A",INDIRECT("MTR!"&amp;ADDRESS(MATCH(LEFT(AG1061,9),[1]MTR!C:C,0),COLUMN(J1061)),TRUE) &amp; "")</f>
        <v>#ERROR!</v>
      </c>
      <c r="AI1061" s="157" t="str">
        <f t="shared" si="5"/>
        <v>#ERROR!</v>
      </c>
    </row>
    <row r="1062" ht="12.75" customHeight="1">
      <c r="A1062" s="244" t="s">
        <v>5158</v>
      </c>
      <c r="B1062" s="244" t="s">
        <v>231</v>
      </c>
      <c r="C1062" s="244" t="s">
        <v>9494</v>
      </c>
      <c r="D1062" s="154" t="s">
        <v>542</v>
      </c>
      <c r="E1062" s="154"/>
      <c r="F1062" s="154" t="str">
        <f t="array" ref="F1062">XLOOKUP(Cover!$D$12,$R$1:$Z$1,$R1062:$Z1062)</f>
        <v>Mandatory</v>
      </c>
      <c r="G1062" s="154" t="s">
        <v>9495</v>
      </c>
      <c r="H1062" s="154" t="s">
        <v>9009</v>
      </c>
      <c r="I1062" s="154" t="s">
        <v>9489</v>
      </c>
      <c r="J1062" s="154" t="s">
        <v>8128</v>
      </c>
      <c r="K1062" s="154" t="s">
        <v>9003</v>
      </c>
      <c r="L1062" s="154" t="s">
        <v>6064</v>
      </c>
      <c r="M1062" s="154" t="s">
        <v>175</v>
      </c>
      <c r="N1062" s="154" t="s">
        <v>759</v>
      </c>
      <c r="O1062" s="247" t="s">
        <v>516</v>
      </c>
      <c r="P1062" s="247" t="s">
        <v>6776</v>
      </c>
      <c r="Q1062" s="154" t="str">
        <f t="shared" si="1"/>
        <v>#ERROR!</v>
      </c>
      <c r="R1062" s="154" t="s">
        <v>66</v>
      </c>
      <c r="S1062" s="154" t="s">
        <v>66</v>
      </c>
      <c r="T1062" s="155" t="s">
        <v>64</v>
      </c>
      <c r="U1062" s="155" t="s">
        <v>64</v>
      </c>
      <c r="V1062" s="154" t="s">
        <v>60</v>
      </c>
      <c r="W1062" s="154" t="s">
        <v>60</v>
      </c>
      <c r="X1062" s="154" t="s">
        <v>66</v>
      </c>
      <c r="Y1062" s="155" t="s">
        <v>64</v>
      </c>
      <c r="Z1062" s="154" t="s">
        <v>60</v>
      </c>
      <c r="AA1062" s="154"/>
      <c r="AB1062" s="242" t="str">
        <f t="shared" si="2"/>
        <v>#ERROR!</v>
      </c>
      <c r="AC1062" s="154" t="s">
        <v>391</v>
      </c>
      <c r="AD1062" s="242" t="b">
        <f t="shared" si="3"/>
        <v>0</v>
      </c>
      <c r="AE1062" s="154"/>
      <c r="AF1062" s="242" t="str">
        <f t="shared" si="4"/>
        <v>#ERROR!</v>
      </c>
      <c r="AG1062" s="154" t="s">
        <v>652</v>
      </c>
      <c r="AH1062" s="242" t="str">
        <f>IF(AG1062="","N/A",INDIRECT("MTR!"&amp;ADDRESS(MATCH(LEFT(AG1062,9),[1]MTR!C:C,0),COLUMN(J1062)),TRUE) &amp; "")</f>
        <v>#ERROR!</v>
      </c>
      <c r="AI1062" s="157" t="str">
        <f t="shared" si="5"/>
        <v>#ERROR!</v>
      </c>
    </row>
    <row r="1063" ht="12.75" customHeight="1">
      <c r="A1063" s="244" t="s">
        <v>5158</v>
      </c>
      <c r="B1063" s="244" t="s">
        <v>231</v>
      </c>
      <c r="C1063" s="245" t="s">
        <v>9496</v>
      </c>
      <c r="D1063" s="155" t="s">
        <v>45</v>
      </c>
      <c r="E1063" s="155" t="s">
        <v>92</v>
      </c>
      <c r="F1063" s="154" t="str">
        <f t="array" ref="F1063">XLOOKUP(Cover!$D$12,$R$1:$Z$1,$R1063:$Z1063)</f>
        <v>Information</v>
      </c>
      <c r="G1063" s="154" t="s">
        <v>9497</v>
      </c>
      <c r="H1063" s="154" t="s">
        <v>9002</v>
      </c>
      <c r="I1063" s="154" t="s">
        <v>9498</v>
      </c>
      <c r="J1063" s="154" t="s">
        <v>8141</v>
      </c>
      <c r="K1063" s="154" t="s">
        <v>9003</v>
      </c>
      <c r="L1063" s="154" t="s">
        <v>6655</v>
      </c>
      <c r="M1063" s="154"/>
      <c r="N1063" s="154" t="s">
        <v>759</v>
      </c>
      <c r="O1063" s="247" t="s">
        <v>516</v>
      </c>
      <c r="P1063" s="247" t="s">
        <v>6776</v>
      </c>
      <c r="Q1063" s="154" t="str">
        <f t="shared" si="1"/>
        <v>#ERROR!</v>
      </c>
      <c r="R1063" s="154" t="s">
        <v>66</v>
      </c>
      <c r="S1063" s="154" t="s">
        <v>66</v>
      </c>
      <c r="T1063" s="154" t="s">
        <v>66</v>
      </c>
      <c r="U1063" s="154" t="s">
        <v>66</v>
      </c>
      <c r="V1063" s="154" t="s">
        <v>66</v>
      </c>
      <c r="W1063" s="154" t="s">
        <v>66</v>
      </c>
      <c r="X1063" s="154" t="s">
        <v>66</v>
      </c>
      <c r="Y1063" s="154" t="s">
        <v>66</v>
      </c>
      <c r="Z1063" s="154" t="s">
        <v>66</v>
      </c>
      <c r="AA1063" s="154"/>
      <c r="AB1063" s="242" t="str">
        <f t="shared" si="2"/>
        <v>#ERROR!</v>
      </c>
      <c r="AC1063" s="154" t="s">
        <v>391</v>
      </c>
      <c r="AD1063" s="242" t="b">
        <f t="shared" si="3"/>
        <v>0</v>
      </c>
      <c r="AE1063" s="154"/>
      <c r="AF1063" s="242" t="str">
        <f t="shared" si="4"/>
        <v>#ERROR!</v>
      </c>
      <c r="AG1063" s="154" t="s">
        <v>652</v>
      </c>
      <c r="AH1063" s="242" t="str">
        <f>IF(AG1063="","N/A",INDIRECT("MTR!"&amp;ADDRESS(MATCH(LEFT(AG1063,9),[1]MTR!C:C,0),COLUMN(J1063)),TRUE) &amp; "")</f>
        <v>#ERROR!</v>
      </c>
      <c r="AI1063" s="157" t="str">
        <f t="shared" si="5"/>
        <v>#ERROR!</v>
      </c>
    </row>
    <row r="1064" ht="12.75" customHeight="1">
      <c r="A1064" s="244" t="s">
        <v>5158</v>
      </c>
      <c r="B1064" s="244" t="s">
        <v>231</v>
      </c>
      <c r="C1064" s="245" t="s">
        <v>9499</v>
      </c>
      <c r="D1064" s="155" t="s">
        <v>45</v>
      </c>
      <c r="E1064" s="155" t="s">
        <v>92</v>
      </c>
      <c r="F1064" s="154" t="str">
        <f t="array" ref="F1064">XLOOKUP(Cover!$D$12,$R$1:$Z$1,$R1064:$Z1064)</f>
        <v>Information</v>
      </c>
      <c r="G1064" s="154" t="s">
        <v>9500</v>
      </c>
      <c r="H1064" s="154" t="s">
        <v>9006</v>
      </c>
      <c r="I1064" s="154" t="s">
        <v>9498</v>
      </c>
      <c r="J1064" s="154" t="s">
        <v>8141</v>
      </c>
      <c r="K1064" s="154" t="s">
        <v>9003</v>
      </c>
      <c r="L1064" s="154" t="s">
        <v>6655</v>
      </c>
      <c r="M1064" s="154"/>
      <c r="N1064" s="154" t="s">
        <v>759</v>
      </c>
      <c r="O1064" s="247" t="s">
        <v>516</v>
      </c>
      <c r="P1064" s="247" t="s">
        <v>6776</v>
      </c>
      <c r="Q1064" s="154" t="str">
        <f t="shared" si="1"/>
        <v>#ERROR!</v>
      </c>
      <c r="R1064" s="154" t="s">
        <v>66</v>
      </c>
      <c r="S1064" s="154" t="s">
        <v>66</v>
      </c>
      <c r="T1064" s="154" t="s">
        <v>66</v>
      </c>
      <c r="U1064" s="154" t="s">
        <v>66</v>
      </c>
      <c r="V1064" s="154" t="s">
        <v>66</v>
      </c>
      <c r="W1064" s="154" t="s">
        <v>66</v>
      </c>
      <c r="X1064" s="154" t="s">
        <v>66</v>
      </c>
      <c r="Y1064" s="154" t="s">
        <v>66</v>
      </c>
      <c r="Z1064" s="154" t="s">
        <v>66</v>
      </c>
      <c r="AA1064" s="154"/>
      <c r="AB1064" s="242" t="str">
        <f t="shared" si="2"/>
        <v>#ERROR!</v>
      </c>
      <c r="AC1064" s="154" t="s">
        <v>391</v>
      </c>
      <c r="AD1064" s="242" t="b">
        <f t="shared" si="3"/>
        <v>0</v>
      </c>
      <c r="AE1064" s="154"/>
      <c r="AF1064" s="242" t="str">
        <f t="shared" si="4"/>
        <v>#ERROR!</v>
      </c>
      <c r="AG1064" s="154" t="s">
        <v>652</v>
      </c>
      <c r="AH1064" s="242" t="str">
        <f>IF(AG1064="","N/A",INDIRECT("MTR!"&amp;ADDRESS(MATCH(LEFT(AG1064,9),[1]MTR!C:C,0),COLUMN(J1064)),TRUE) &amp; "")</f>
        <v>#ERROR!</v>
      </c>
      <c r="AI1064" s="157" t="str">
        <f t="shared" si="5"/>
        <v>#ERROR!</v>
      </c>
    </row>
    <row r="1065" ht="12.75" customHeight="1">
      <c r="A1065" s="244" t="s">
        <v>5158</v>
      </c>
      <c r="B1065" s="244" t="s">
        <v>231</v>
      </c>
      <c r="C1065" s="245" t="s">
        <v>9501</v>
      </c>
      <c r="D1065" s="155" t="s">
        <v>45</v>
      </c>
      <c r="E1065" s="155" t="s">
        <v>92</v>
      </c>
      <c r="F1065" s="154" t="str">
        <f t="array" ref="F1065">XLOOKUP(Cover!$D$12,$R$1:$Z$1,$R1065:$Z1065)</f>
        <v>Information</v>
      </c>
      <c r="G1065" s="154" t="s">
        <v>9502</v>
      </c>
      <c r="H1065" s="154" t="s">
        <v>9009</v>
      </c>
      <c r="I1065" s="154" t="s">
        <v>9498</v>
      </c>
      <c r="J1065" s="154" t="s">
        <v>8141</v>
      </c>
      <c r="K1065" s="154" t="s">
        <v>9003</v>
      </c>
      <c r="L1065" s="154" t="s">
        <v>6655</v>
      </c>
      <c r="M1065" s="154"/>
      <c r="N1065" s="154" t="s">
        <v>759</v>
      </c>
      <c r="O1065" s="247" t="s">
        <v>516</v>
      </c>
      <c r="P1065" s="247" t="s">
        <v>6776</v>
      </c>
      <c r="Q1065" s="154" t="str">
        <f t="shared" si="1"/>
        <v>#ERROR!</v>
      </c>
      <c r="R1065" s="154" t="s">
        <v>66</v>
      </c>
      <c r="S1065" s="154" t="s">
        <v>66</v>
      </c>
      <c r="T1065" s="154" t="s">
        <v>66</v>
      </c>
      <c r="U1065" s="154" t="s">
        <v>66</v>
      </c>
      <c r="V1065" s="154" t="s">
        <v>66</v>
      </c>
      <c r="W1065" s="154" t="s">
        <v>66</v>
      </c>
      <c r="X1065" s="154" t="s">
        <v>66</v>
      </c>
      <c r="Y1065" s="154" t="s">
        <v>66</v>
      </c>
      <c r="Z1065" s="154" t="s">
        <v>66</v>
      </c>
      <c r="AA1065" s="154"/>
      <c r="AB1065" s="242" t="str">
        <f t="shared" si="2"/>
        <v>#ERROR!</v>
      </c>
      <c r="AC1065" s="154" t="s">
        <v>391</v>
      </c>
      <c r="AD1065" s="242" t="b">
        <f t="shared" si="3"/>
        <v>0</v>
      </c>
      <c r="AE1065" s="154"/>
      <c r="AF1065" s="242" t="str">
        <f t="shared" si="4"/>
        <v>#ERROR!</v>
      </c>
      <c r="AG1065" s="154" t="s">
        <v>652</v>
      </c>
      <c r="AH1065" s="242" t="str">
        <f>IF(AG1065="","N/A",INDIRECT("MTR!"&amp;ADDRESS(MATCH(LEFT(AG1065,9),[1]MTR!C:C,0),COLUMN(J1065)),TRUE) &amp; "")</f>
        <v>#ERROR!</v>
      </c>
      <c r="AI1065" s="157" t="str">
        <f t="shared" si="5"/>
        <v>#ERROR!</v>
      </c>
    </row>
    <row r="1066" ht="12.75" customHeight="1">
      <c r="A1066" s="244" t="s">
        <v>5158</v>
      </c>
      <c r="B1066" s="244" t="s">
        <v>231</v>
      </c>
      <c r="C1066" s="244" t="s">
        <v>9503</v>
      </c>
      <c r="D1066" s="154" t="s">
        <v>747</v>
      </c>
      <c r="E1066" s="154"/>
      <c r="F1066" s="154" t="str">
        <f t="array" ref="F1066">XLOOKUP(Cover!$D$12,$R$1:$Z$1,$R1066:$Z1066)</f>
        <v>Mandatory</v>
      </c>
      <c r="G1066" s="154" t="s">
        <v>9504</v>
      </c>
      <c r="H1066" s="154" t="s">
        <v>9002</v>
      </c>
      <c r="I1066" s="154" t="s">
        <v>9505</v>
      </c>
      <c r="J1066" s="154" t="s">
        <v>9506</v>
      </c>
      <c r="K1066" s="154" t="s">
        <v>9003</v>
      </c>
      <c r="L1066" s="154" t="s">
        <v>6525</v>
      </c>
      <c r="M1066" s="154" t="s">
        <v>175</v>
      </c>
      <c r="N1066" s="154" t="s">
        <v>759</v>
      </c>
      <c r="O1066" s="247" t="s">
        <v>516</v>
      </c>
      <c r="P1066" s="247" t="s">
        <v>6776</v>
      </c>
      <c r="Q1066" s="154" t="str">
        <f t="shared" si="1"/>
        <v>#ERROR!</v>
      </c>
      <c r="R1066" s="154" t="s">
        <v>66</v>
      </c>
      <c r="S1066" s="154" t="s">
        <v>66</v>
      </c>
      <c r="T1066" s="155" t="s">
        <v>64</v>
      </c>
      <c r="U1066" s="155" t="s">
        <v>64</v>
      </c>
      <c r="V1066" s="154" t="s">
        <v>60</v>
      </c>
      <c r="W1066" s="154" t="s">
        <v>60</v>
      </c>
      <c r="X1066" s="154" t="s">
        <v>66</v>
      </c>
      <c r="Y1066" s="155" t="s">
        <v>64</v>
      </c>
      <c r="Z1066" s="154" t="s">
        <v>60</v>
      </c>
      <c r="AA1066" s="154"/>
      <c r="AB1066" s="242" t="str">
        <f t="shared" si="2"/>
        <v>#ERROR!</v>
      </c>
      <c r="AC1066" s="154" t="s">
        <v>391</v>
      </c>
      <c r="AD1066" s="242" t="b">
        <f t="shared" si="3"/>
        <v>0</v>
      </c>
      <c r="AE1066" s="154"/>
      <c r="AF1066" s="242" t="str">
        <f t="shared" si="4"/>
        <v>#ERROR!</v>
      </c>
      <c r="AG1066" s="154" t="s">
        <v>652</v>
      </c>
      <c r="AH1066" s="242" t="str">
        <f>IF(AG1066="","N/A",INDIRECT("MTR!"&amp;ADDRESS(MATCH(LEFT(AG1066,9),[1]MTR!C:C,0),COLUMN(J1066)),TRUE) &amp; "")</f>
        <v>#ERROR!</v>
      </c>
      <c r="AI1066" s="157" t="str">
        <f t="shared" si="5"/>
        <v>#ERROR!</v>
      </c>
    </row>
    <row r="1067" ht="12.75" customHeight="1">
      <c r="A1067" s="244" t="s">
        <v>5158</v>
      </c>
      <c r="B1067" s="244" t="s">
        <v>231</v>
      </c>
      <c r="C1067" s="244" t="s">
        <v>9507</v>
      </c>
      <c r="D1067" s="154" t="s">
        <v>747</v>
      </c>
      <c r="E1067" s="154"/>
      <c r="F1067" s="154" t="str">
        <f t="array" ref="F1067">XLOOKUP(Cover!$D$12,$R$1:$Z$1,$R1067:$Z1067)</f>
        <v>Mandatory</v>
      </c>
      <c r="G1067" s="154" t="s">
        <v>9508</v>
      </c>
      <c r="H1067" s="154" t="s">
        <v>9006</v>
      </c>
      <c r="I1067" s="154" t="s">
        <v>9505</v>
      </c>
      <c r="J1067" s="154" t="s">
        <v>9506</v>
      </c>
      <c r="K1067" s="154" t="s">
        <v>9003</v>
      </c>
      <c r="L1067" s="154" t="s">
        <v>6525</v>
      </c>
      <c r="M1067" s="154" t="s">
        <v>175</v>
      </c>
      <c r="N1067" s="154" t="s">
        <v>759</v>
      </c>
      <c r="O1067" s="247" t="s">
        <v>516</v>
      </c>
      <c r="P1067" s="247" t="s">
        <v>6776</v>
      </c>
      <c r="Q1067" s="154" t="str">
        <f t="shared" si="1"/>
        <v>#ERROR!</v>
      </c>
      <c r="R1067" s="154" t="s">
        <v>66</v>
      </c>
      <c r="S1067" s="154" t="s">
        <v>66</v>
      </c>
      <c r="T1067" s="155" t="s">
        <v>64</v>
      </c>
      <c r="U1067" s="155" t="s">
        <v>64</v>
      </c>
      <c r="V1067" s="154" t="s">
        <v>60</v>
      </c>
      <c r="W1067" s="154" t="s">
        <v>60</v>
      </c>
      <c r="X1067" s="154" t="s">
        <v>66</v>
      </c>
      <c r="Y1067" s="155" t="s">
        <v>64</v>
      </c>
      <c r="Z1067" s="154" t="s">
        <v>60</v>
      </c>
      <c r="AA1067" s="154"/>
      <c r="AB1067" s="242" t="str">
        <f t="shared" si="2"/>
        <v>#ERROR!</v>
      </c>
      <c r="AC1067" s="154" t="s">
        <v>391</v>
      </c>
      <c r="AD1067" s="242" t="b">
        <f t="shared" si="3"/>
        <v>0</v>
      </c>
      <c r="AE1067" s="154"/>
      <c r="AF1067" s="242" t="str">
        <f t="shared" si="4"/>
        <v>#ERROR!</v>
      </c>
      <c r="AG1067" s="154" t="s">
        <v>652</v>
      </c>
      <c r="AH1067" s="242" t="str">
        <f>IF(AG1067="","N/A",INDIRECT("MTR!"&amp;ADDRESS(MATCH(LEFT(AG1067,9),[1]MTR!C:C,0),COLUMN(J1067)),TRUE) &amp; "")</f>
        <v>#ERROR!</v>
      </c>
      <c r="AI1067" s="157" t="str">
        <f t="shared" si="5"/>
        <v>#ERROR!</v>
      </c>
    </row>
    <row r="1068" ht="12.75" customHeight="1">
      <c r="A1068" s="244" t="s">
        <v>5158</v>
      </c>
      <c r="B1068" s="244" t="s">
        <v>231</v>
      </c>
      <c r="C1068" s="244" t="s">
        <v>9509</v>
      </c>
      <c r="D1068" s="154" t="s">
        <v>747</v>
      </c>
      <c r="E1068" s="154"/>
      <c r="F1068" s="154" t="str">
        <f t="array" ref="F1068">XLOOKUP(Cover!$D$12,$R$1:$Z$1,$R1068:$Z1068)</f>
        <v>Mandatory</v>
      </c>
      <c r="G1068" s="154" t="s">
        <v>9510</v>
      </c>
      <c r="H1068" s="154" t="s">
        <v>9012</v>
      </c>
      <c r="I1068" s="154" t="s">
        <v>9505</v>
      </c>
      <c r="J1068" s="154" t="s">
        <v>9506</v>
      </c>
      <c r="K1068" s="154" t="s">
        <v>9003</v>
      </c>
      <c r="L1068" s="154" t="s">
        <v>6525</v>
      </c>
      <c r="M1068" s="154" t="s">
        <v>175</v>
      </c>
      <c r="N1068" s="154" t="s">
        <v>759</v>
      </c>
      <c r="O1068" s="247" t="s">
        <v>516</v>
      </c>
      <c r="P1068" s="247" t="s">
        <v>6776</v>
      </c>
      <c r="Q1068" s="154" t="str">
        <f t="shared" si="1"/>
        <v>#ERROR!</v>
      </c>
      <c r="R1068" s="154" t="s">
        <v>66</v>
      </c>
      <c r="S1068" s="154" t="s">
        <v>66</v>
      </c>
      <c r="T1068" s="155" t="s">
        <v>64</v>
      </c>
      <c r="U1068" s="155" t="s">
        <v>64</v>
      </c>
      <c r="V1068" s="154" t="s">
        <v>60</v>
      </c>
      <c r="W1068" s="154" t="s">
        <v>60</v>
      </c>
      <c r="X1068" s="154" t="s">
        <v>66</v>
      </c>
      <c r="Y1068" s="155" t="s">
        <v>64</v>
      </c>
      <c r="Z1068" s="154" t="s">
        <v>60</v>
      </c>
      <c r="AA1068" s="154"/>
      <c r="AB1068" s="242" t="str">
        <f t="shared" si="2"/>
        <v>#ERROR!</v>
      </c>
      <c r="AC1068" s="154" t="s">
        <v>391</v>
      </c>
      <c r="AD1068" s="242" t="b">
        <f t="shared" si="3"/>
        <v>0</v>
      </c>
      <c r="AE1068" s="154"/>
      <c r="AF1068" s="242" t="str">
        <f t="shared" si="4"/>
        <v>#ERROR!</v>
      </c>
      <c r="AG1068" s="154" t="s">
        <v>652</v>
      </c>
      <c r="AH1068" s="242" t="str">
        <f>IF(AG1068="","N/A",INDIRECT("MTR!"&amp;ADDRESS(MATCH(LEFT(AG1068,9),[1]MTR!C:C,0),COLUMN(J1068)),TRUE) &amp; "")</f>
        <v>#ERROR!</v>
      </c>
      <c r="AI1068" s="157" t="str">
        <f t="shared" si="5"/>
        <v>#ERROR!</v>
      </c>
    </row>
    <row r="1069" ht="12.75" customHeight="1">
      <c r="A1069" s="244" t="s">
        <v>5158</v>
      </c>
      <c r="B1069" s="244" t="s">
        <v>231</v>
      </c>
      <c r="C1069" s="245" t="s">
        <v>9511</v>
      </c>
      <c r="D1069" s="155" t="s">
        <v>45</v>
      </c>
      <c r="E1069" s="155" t="s">
        <v>92</v>
      </c>
      <c r="F1069" s="154" t="str">
        <f t="array" ref="F1069">XLOOKUP(Cover!$D$12,$R$1:$Z$1,$R1069:$Z1069)</f>
        <v>Information</v>
      </c>
      <c r="G1069" s="154" t="s">
        <v>9512</v>
      </c>
      <c r="H1069" s="154" t="s">
        <v>9002</v>
      </c>
      <c r="I1069" s="154" t="s">
        <v>9513</v>
      </c>
      <c r="J1069" s="154" t="s">
        <v>9514</v>
      </c>
      <c r="K1069" s="154" t="s">
        <v>9003</v>
      </c>
      <c r="L1069" s="154" t="s">
        <v>6655</v>
      </c>
      <c r="M1069" s="154"/>
      <c r="N1069" s="154" t="s">
        <v>759</v>
      </c>
      <c r="O1069" s="247" t="s">
        <v>516</v>
      </c>
      <c r="P1069" s="247" t="s">
        <v>6776</v>
      </c>
      <c r="Q1069" s="154" t="str">
        <f t="shared" si="1"/>
        <v>#ERROR!</v>
      </c>
      <c r="R1069" s="154" t="s">
        <v>66</v>
      </c>
      <c r="S1069" s="154" t="s">
        <v>66</v>
      </c>
      <c r="T1069" s="154" t="s">
        <v>66</v>
      </c>
      <c r="U1069" s="154" t="s">
        <v>66</v>
      </c>
      <c r="V1069" s="154" t="s">
        <v>66</v>
      </c>
      <c r="W1069" s="154" t="s">
        <v>66</v>
      </c>
      <c r="X1069" s="154" t="s">
        <v>66</v>
      </c>
      <c r="Y1069" s="154" t="s">
        <v>66</v>
      </c>
      <c r="Z1069" s="154" t="s">
        <v>66</v>
      </c>
      <c r="AA1069" s="154"/>
      <c r="AB1069" s="242" t="str">
        <f t="shared" si="2"/>
        <v>#ERROR!</v>
      </c>
      <c r="AC1069" s="154" t="s">
        <v>391</v>
      </c>
      <c r="AD1069" s="242" t="b">
        <f t="shared" si="3"/>
        <v>0</v>
      </c>
      <c r="AE1069" s="154"/>
      <c r="AF1069" s="242" t="str">
        <f t="shared" si="4"/>
        <v>#ERROR!</v>
      </c>
      <c r="AG1069" s="154" t="s">
        <v>652</v>
      </c>
      <c r="AH1069" s="242" t="str">
        <f>IF(AG1069="","N/A",INDIRECT("MTR!"&amp;ADDRESS(MATCH(LEFT(AG1069,9),[1]MTR!C:C,0),COLUMN(J1069)),TRUE) &amp; "")</f>
        <v>#ERROR!</v>
      </c>
      <c r="AI1069" s="157" t="str">
        <f t="shared" si="5"/>
        <v>#ERROR!</v>
      </c>
    </row>
    <row r="1070" ht="12.75" customHeight="1">
      <c r="A1070" s="244" t="s">
        <v>5158</v>
      </c>
      <c r="B1070" s="244" t="s">
        <v>231</v>
      </c>
      <c r="C1070" s="245" t="s">
        <v>9515</v>
      </c>
      <c r="D1070" s="155" t="s">
        <v>45</v>
      </c>
      <c r="E1070" s="155" t="s">
        <v>92</v>
      </c>
      <c r="F1070" s="154" t="str">
        <f t="array" ref="F1070">XLOOKUP(Cover!$D$12,$R$1:$Z$1,$R1070:$Z1070)</f>
        <v>Information</v>
      </c>
      <c r="G1070" s="154" t="s">
        <v>9516</v>
      </c>
      <c r="H1070" s="154" t="s">
        <v>9006</v>
      </c>
      <c r="I1070" s="154" t="s">
        <v>9513</v>
      </c>
      <c r="J1070" s="154" t="s">
        <v>9514</v>
      </c>
      <c r="K1070" s="154" t="s">
        <v>9003</v>
      </c>
      <c r="L1070" s="154" t="s">
        <v>6655</v>
      </c>
      <c r="M1070" s="154"/>
      <c r="N1070" s="154" t="s">
        <v>759</v>
      </c>
      <c r="O1070" s="247" t="s">
        <v>516</v>
      </c>
      <c r="P1070" s="247" t="s">
        <v>6776</v>
      </c>
      <c r="Q1070" s="154" t="str">
        <f t="shared" si="1"/>
        <v>#ERROR!</v>
      </c>
      <c r="R1070" s="154" t="s">
        <v>66</v>
      </c>
      <c r="S1070" s="154" t="s">
        <v>66</v>
      </c>
      <c r="T1070" s="154" t="s">
        <v>66</v>
      </c>
      <c r="U1070" s="154" t="s">
        <v>66</v>
      </c>
      <c r="V1070" s="154" t="s">
        <v>66</v>
      </c>
      <c r="W1070" s="154" t="s">
        <v>66</v>
      </c>
      <c r="X1070" s="154" t="s">
        <v>66</v>
      </c>
      <c r="Y1070" s="154" t="s">
        <v>66</v>
      </c>
      <c r="Z1070" s="154" t="s">
        <v>66</v>
      </c>
      <c r="AA1070" s="154"/>
      <c r="AB1070" s="242" t="str">
        <f t="shared" si="2"/>
        <v>#ERROR!</v>
      </c>
      <c r="AC1070" s="154" t="s">
        <v>391</v>
      </c>
      <c r="AD1070" s="242" t="b">
        <f t="shared" si="3"/>
        <v>0</v>
      </c>
      <c r="AE1070" s="154"/>
      <c r="AF1070" s="242" t="str">
        <f t="shared" si="4"/>
        <v>#ERROR!</v>
      </c>
      <c r="AG1070" s="154" t="s">
        <v>652</v>
      </c>
      <c r="AH1070" s="242" t="str">
        <f>IF(AG1070="","N/A",INDIRECT("MTR!"&amp;ADDRESS(MATCH(LEFT(AG1070,9),[1]MTR!C:C,0),COLUMN(J1070)),TRUE) &amp; "")</f>
        <v>#ERROR!</v>
      </c>
      <c r="AI1070" s="157" t="str">
        <f t="shared" si="5"/>
        <v>#ERROR!</v>
      </c>
    </row>
    <row r="1071" ht="12.75" customHeight="1">
      <c r="A1071" s="244" t="s">
        <v>5158</v>
      </c>
      <c r="B1071" s="244" t="s">
        <v>231</v>
      </c>
      <c r="C1071" s="245" t="s">
        <v>9517</v>
      </c>
      <c r="D1071" s="155" t="s">
        <v>45</v>
      </c>
      <c r="E1071" s="155" t="s">
        <v>92</v>
      </c>
      <c r="F1071" s="154" t="str">
        <f t="array" ref="F1071">XLOOKUP(Cover!$D$12,$R$1:$Z$1,$R1071:$Z1071)</f>
        <v>Information</v>
      </c>
      <c r="G1071" s="154" t="s">
        <v>9518</v>
      </c>
      <c r="H1071" s="154" t="s">
        <v>9015</v>
      </c>
      <c r="I1071" s="154" t="s">
        <v>9513</v>
      </c>
      <c r="J1071" s="154" t="s">
        <v>9514</v>
      </c>
      <c r="K1071" s="154" t="s">
        <v>9003</v>
      </c>
      <c r="L1071" s="154" t="s">
        <v>6655</v>
      </c>
      <c r="M1071" s="154"/>
      <c r="N1071" s="154" t="s">
        <v>759</v>
      </c>
      <c r="O1071" s="247" t="s">
        <v>516</v>
      </c>
      <c r="P1071" s="247" t="s">
        <v>6776</v>
      </c>
      <c r="Q1071" s="154" t="str">
        <f t="shared" si="1"/>
        <v>#ERROR!</v>
      </c>
      <c r="R1071" s="154" t="s">
        <v>66</v>
      </c>
      <c r="S1071" s="154" t="s">
        <v>66</v>
      </c>
      <c r="T1071" s="154" t="s">
        <v>66</v>
      </c>
      <c r="U1071" s="154" t="s">
        <v>66</v>
      </c>
      <c r="V1071" s="154" t="s">
        <v>66</v>
      </c>
      <c r="W1071" s="154" t="s">
        <v>66</v>
      </c>
      <c r="X1071" s="154" t="s">
        <v>66</v>
      </c>
      <c r="Y1071" s="154" t="s">
        <v>66</v>
      </c>
      <c r="Z1071" s="154" t="s">
        <v>66</v>
      </c>
      <c r="AA1071" s="154"/>
      <c r="AB1071" s="242" t="str">
        <f t="shared" si="2"/>
        <v>#ERROR!</v>
      </c>
      <c r="AC1071" s="154" t="s">
        <v>391</v>
      </c>
      <c r="AD1071" s="242" t="b">
        <f t="shared" si="3"/>
        <v>0</v>
      </c>
      <c r="AE1071" s="154"/>
      <c r="AF1071" s="242" t="str">
        <f t="shared" si="4"/>
        <v>#ERROR!</v>
      </c>
      <c r="AG1071" s="154" t="s">
        <v>652</v>
      </c>
      <c r="AH1071" s="242" t="str">
        <f>IF(AG1071="","N/A",INDIRECT("MTR!"&amp;ADDRESS(MATCH(LEFT(AG1071,9),[1]MTR!C:C,0),COLUMN(J1071)),TRUE) &amp; "")</f>
        <v>#ERROR!</v>
      </c>
      <c r="AI1071" s="157" t="str">
        <f t="shared" si="5"/>
        <v>#ERROR!</v>
      </c>
    </row>
    <row r="1072" ht="12.75" customHeight="1">
      <c r="A1072" s="244" t="s">
        <v>5158</v>
      </c>
      <c r="B1072" s="244" t="s">
        <v>231</v>
      </c>
      <c r="C1072" s="245" t="s">
        <v>9519</v>
      </c>
      <c r="D1072" s="155" t="s">
        <v>45</v>
      </c>
      <c r="E1072" s="155" t="s">
        <v>92</v>
      </c>
      <c r="F1072" s="154" t="str">
        <f t="array" ref="F1072">XLOOKUP(Cover!$D$12,$R$1:$Z$1,$R1072:$Z1072)</f>
        <v>Information</v>
      </c>
      <c r="G1072" s="154" t="s">
        <v>9520</v>
      </c>
      <c r="H1072" s="154" t="s">
        <v>9002</v>
      </c>
      <c r="I1072" s="154" t="s">
        <v>9521</v>
      </c>
      <c r="J1072" s="154" t="s">
        <v>8169</v>
      </c>
      <c r="K1072" s="154" t="s">
        <v>9003</v>
      </c>
      <c r="L1072" s="154" t="s">
        <v>6655</v>
      </c>
      <c r="M1072" s="154"/>
      <c r="N1072" s="154" t="s">
        <v>759</v>
      </c>
      <c r="O1072" s="247" t="s">
        <v>516</v>
      </c>
      <c r="P1072" s="247" t="s">
        <v>6776</v>
      </c>
      <c r="Q1072" s="154" t="str">
        <f t="shared" si="1"/>
        <v>#ERROR!</v>
      </c>
      <c r="R1072" s="154" t="s">
        <v>66</v>
      </c>
      <c r="S1072" s="154" t="s">
        <v>66</v>
      </c>
      <c r="T1072" s="154" t="s">
        <v>66</v>
      </c>
      <c r="U1072" s="154" t="s">
        <v>66</v>
      </c>
      <c r="V1072" s="154" t="s">
        <v>66</v>
      </c>
      <c r="W1072" s="154" t="s">
        <v>66</v>
      </c>
      <c r="X1072" s="154" t="s">
        <v>66</v>
      </c>
      <c r="Y1072" s="154" t="s">
        <v>66</v>
      </c>
      <c r="Z1072" s="154" t="s">
        <v>66</v>
      </c>
      <c r="AA1072" s="154"/>
      <c r="AB1072" s="242" t="str">
        <f t="shared" si="2"/>
        <v>#ERROR!</v>
      </c>
      <c r="AC1072" s="154" t="s">
        <v>391</v>
      </c>
      <c r="AD1072" s="242" t="b">
        <f t="shared" si="3"/>
        <v>0</v>
      </c>
      <c r="AE1072" s="154"/>
      <c r="AF1072" s="242" t="str">
        <f t="shared" si="4"/>
        <v>#ERROR!</v>
      </c>
      <c r="AG1072" s="154" t="s">
        <v>652</v>
      </c>
      <c r="AH1072" s="242" t="str">
        <f>IF(AG1072="","N/A",INDIRECT("MTR!"&amp;ADDRESS(MATCH(LEFT(AG1072,9),[1]MTR!C:C,0),COLUMN(J1072)),TRUE) &amp; "")</f>
        <v>#ERROR!</v>
      </c>
      <c r="AI1072" s="157" t="str">
        <f t="shared" si="5"/>
        <v>#ERROR!</v>
      </c>
    </row>
    <row r="1073" ht="12.75" customHeight="1">
      <c r="A1073" s="244" t="s">
        <v>5158</v>
      </c>
      <c r="B1073" s="244" t="s">
        <v>231</v>
      </c>
      <c r="C1073" s="245" t="s">
        <v>9522</v>
      </c>
      <c r="D1073" s="155" t="s">
        <v>45</v>
      </c>
      <c r="E1073" s="155" t="s">
        <v>92</v>
      </c>
      <c r="F1073" s="154" t="str">
        <f t="array" ref="F1073">XLOOKUP(Cover!$D$12,$R$1:$Z$1,$R1073:$Z1073)</f>
        <v>Information</v>
      </c>
      <c r="G1073" s="154" t="s">
        <v>9523</v>
      </c>
      <c r="H1073" s="154" t="s">
        <v>9006</v>
      </c>
      <c r="I1073" s="154" t="s">
        <v>9521</v>
      </c>
      <c r="J1073" s="154" t="s">
        <v>8169</v>
      </c>
      <c r="K1073" s="154" t="s">
        <v>9003</v>
      </c>
      <c r="L1073" s="154" t="s">
        <v>6655</v>
      </c>
      <c r="M1073" s="154"/>
      <c r="N1073" s="154" t="s">
        <v>759</v>
      </c>
      <c r="O1073" s="247" t="s">
        <v>516</v>
      </c>
      <c r="P1073" s="247" t="s">
        <v>6776</v>
      </c>
      <c r="Q1073" s="154" t="str">
        <f t="shared" si="1"/>
        <v>#ERROR!</v>
      </c>
      <c r="R1073" s="154" t="s">
        <v>66</v>
      </c>
      <c r="S1073" s="154" t="s">
        <v>66</v>
      </c>
      <c r="T1073" s="154" t="s">
        <v>66</v>
      </c>
      <c r="U1073" s="154" t="s">
        <v>66</v>
      </c>
      <c r="V1073" s="154" t="s">
        <v>66</v>
      </c>
      <c r="W1073" s="154" t="s">
        <v>66</v>
      </c>
      <c r="X1073" s="154" t="s">
        <v>66</v>
      </c>
      <c r="Y1073" s="154" t="s">
        <v>66</v>
      </c>
      <c r="Z1073" s="154" t="s">
        <v>66</v>
      </c>
      <c r="AA1073" s="154"/>
      <c r="AB1073" s="242" t="str">
        <f t="shared" si="2"/>
        <v>#ERROR!</v>
      </c>
      <c r="AC1073" s="154" t="s">
        <v>391</v>
      </c>
      <c r="AD1073" s="242" t="b">
        <f t="shared" si="3"/>
        <v>0</v>
      </c>
      <c r="AE1073" s="154"/>
      <c r="AF1073" s="242" t="str">
        <f t="shared" si="4"/>
        <v>#ERROR!</v>
      </c>
      <c r="AG1073" s="154" t="s">
        <v>652</v>
      </c>
      <c r="AH1073" s="242" t="str">
        <f>IF(AG1073="","N/A",INDIRECT("MTR!"&amp;ADDRESS(MATCH(LEFT(AG1073,9),[1]MTR!C:C,0),COLUMN(J1073)),TRUE) &amp; "")</f>
        <v>#ERROR!</v>
      </c>
      <c r="AI1073" s="157" t="str">
        <f t="shared" si="5"/>
        <v>#ERROR!</v>
      </c>
    </row>
    <row r="1074" ht="12.75" customHeight="1">
      <c r="A1074" s="244" t="s">
        <v>5158</v>
      </c>
      <c r="B1074" s="244" t="s">
        <v>231</v>
      </c>
      <c r="C1074" s="245" t="s">
        <v>9524</v>
      </c>
      <c r="D1074" s="155" t="s">
        <v>45</v>
      </c>
      <c r="E1074" s="155" t="s">
        <v>92</v>
      </c>
      <c r="F1074" s="154" t="str">
        <f t="array" ref="F1074">XLOOKUP(Cover!$D$12,$R$1:$Z$1,$R1074:$Z1074)</f>
        <v>Information</v>
      </c>
      <c r="G1074" s="154" t="s">
        <v>9525</v>
      </c>
      <c r="H1074" s="154" t="s">
        <v>1541</v>
      </c>
      <c r="I1074" s="154" t="s">
        <v>9521</v>
      </c>
      <c r="J1074" s="154" t="s">
        <v>8169</v>
      </c>
      <c r="K1074" s="154" t="s">
        <v>9003</v>
      </c>
      <c r="L1074" s="154" t="s">
        <v>6655</v>
      </c>
      <c r="M1074" s="154"/>
      <c r="N1074" s="154" t="s">
        <v>759</v>
      </c>
      <c r="O1074" s="247" t="s">
        <v>516</v>
      </c>
      <c r="P1074" s="247" t="s">
        <v>6776</v>
      </c>
      <c r="Q1074" s="154" t="str">
        <f t="shared" si="1"/>
        <v>#ERROR!</v>
      </c>
      <c r="R1074" s="154" t="s">
        <v>66</v>
      </c>
      <c r="S1074" s="154" t="s">
        <v>66</v>
      </c>
      <c r="T1074" s="154" t="s">
        <v>66</v>
      </c>
      <c r="U1074" s="154" t="s">
        <v>66</v>
      </c>
      <c r="V1074" s="154" t="s">
        <v>66</v>
      </c>
      <c r="W1074" s="154" t="s">
        <v>66</v>
      </c>
      <c r="X1074" s="154" t="s">
        <v>66</v>
      </c>
      <c r="Y1074" s="154" t="s">
        <v>66</v>
      </c>
      <c r="Z1074" s="154" t="s">
        <v>66</v>
      </c>
      <c r="AA1074" s="154"/>
      <c r="AB1074" s="242" t="str">
        <f t="shared" si="2"/>
        <v>#ERROR!</v>
      </c>
      <c r="AC1074" s="154" t="s">
        <v>391</v>
      </c>
      <c r="AD1074" s="242" t="b">
        <f t="shared" si="3"/>
        <v>0</v>
      </c>
      <c r="AE1074" s="154"/>
      <c r="AF1074" s="242" t="str">
        <f t="shared" si="4"/>
        <v>#ERROR!</v>
      </c>
      <c r="AG1074" s="154" t="s">
        <v>652</v>
      </c>
      <c r="AH1074" s="242" t="str">
        <f>IF(AG1074="","N/A",INDIRECT("MTR!"&amp;ADDRESS(MATCH(LEFT(AG1074,9),[1]MTR!C:C,0),COLUMN(J1074)),TRUE) &amp; "")</f>
        <v>#ERROR!</v>
      </c>
      <c r="AI1074" s="157" t="str">
        <f t="shared" si="5"/>
        <v>#ERROR!</v>
      </c>
    </row>
    <row r="1075" ht="12.75" customHeight="1">
      <c r="A1075" s="244" t="s">
        <v>5158</v>
      </c>
      <c r="B1075" s="244" t="s">
        <v>231</v>
      </c>
      <c r="C1075" s="244" t="s">
        <v>9526</v>
      </c>
      <c r="D1075" s="154" t="s">
        <v>9527</v>
      </c>
      <c r="E1075" s="154"/>
      <c r="F1075" s="154" t="str">
        <f t="array" ref="F1075">XLOOKUP(Cover!$D$12,$R$1:$Z$1,$R1075:$Z1075)</f>
        <v>Recommended</v>
      </c>
      <c r="G1075" s="154" t="s">
        <v>9528</v>
      </c>
      <c r="H1075" s="154" t="s">
        <v>9002</v>
      </c>
      <c r="I1075" s="154" t="s">
        <v>9529</v>
      </c>
      <c r="J1075" s="154" t="s">
        <v>8149</v>
      </c>
      <c r="K1075" s="154" t="s">
        <v>9003</v>
      </c>
      <c r="L1075" s="154" t="s">
        <v>6525</v>
      </c>
      <c r="M1075" s="154"/>
      <c r="N1075" s="154" t="s">
        <v>759</v>
      </c>
      <c r="O1075" s="247" t="s">
        <v>516</v>
      </c>
      <c r="P1075" s="247" t="s">
        <v>6776</v>
      </c>
      <c r="Q1075" s="154" t="str">
        <f t="shared" si="1"/>
        <v>#ERROR!</v>
      </c>
      <c r="R1075" s="154" t="s">
        <v>66</v>
      </c>
      <c r="S1075" s="154" t="s">
        <v>66</v>
      </c>
      <c r="T1075" s="154" t="s">
        <v>64</v>
      </c>
      <c r="U1075" s="154" t="s">
        <v>64</v>
      </c>
      <c r="V1075" s="154" t="s">
        <v>64</v>
      </c>
      <c r="W1075" s="154" t="s">
        <v>64</v>
      </c>
      <c r="X1075" s="154" t="s">
        <v>66</v>
      </c>
      <c r="Y1075" s="154" t="s">
        <v>64</v>
      </c>
      <c r="Z1075" s="154" t="s">
        <v>64</v>
      </c>
      <c r="AA1075" s="154"/>
      <c r="AB1075" s="242" t="str">
        <f t="shared" si="2"/>
        <v>#ERROR!</v>
      </c>
      <c r="AC1075" s="154" t="s">
        <v>391</v>
      </c>
      <c r="AD1075" s="242" t="b">
        <f t="shared" si="3"/>
        <v>0</v>
      </c>
      <c r="AE1075" s="154"/>
      <c r="AF1075" s="242" t="str">
        <f t="shared" si="4"/>
        <v>#ERROR!</v>
      </c>
      <c r="AG1075" s="154" t="s">
        <v>652</v>
      </c>
      <c r="AH1075" s="242" t="str">
        <f>IF(AG1075="","N/A",INDIRECT("MTR!"&amp;ADDRESS(MATCH(LEFT(AG1075,9),[1]MTR!C:C,0),COLUMN(J1075)),TRUE) &amp; "")</f>
        <v>#ERROR!</v>
      </c>
      <c r="AI1075" s="157" t="str">
        <f t="shared" si="5"/>
        <v>#ERROR!</v>
      </c>
    </row>
    <row r="1076" ht="12.75" customHeight="1">
      <c r="A1076" s="244" t="s">
        <v>5158</v>
      </c>
      <c r="B1076" s="244" t="s">
        <v>231</v>
      </c>
      <c r="C1076" s="244" t="s">
        <v>9530</v>
      </c>
      <c r="D1076" s="154" t="s">
        <v>9527</v>
      </c>
      <c r="E1076" s="154"/>
      <c r="F1076" s="154" t="str">
        <f t="array" ref="F1076">XLOOKUP(Cover!$D$12,$R$1:$Z$1,$R1076:$Z1076)</f>
        <v>Recommended</v>
      </c>
      <c r="G1076" s="154" t="s">
        <v>9531</v>
      </c>
      <c r="H1076" s="154" t="s">
        <v>9006</v>
      </c>
      <c r="I1076" s="154" t="s">
        <v>9529</v>
      </c>
      <c r="J1076" s="154" t="s">
        <v>8149</v>
      </c>
      <c r="K1076" s="154" t="s">
        <v>9003</v>
      </c>
      <c r="L1076" s="154" t="s">
        <v>6525</v>
      </c>
      <c r="M1076" s="154"/>
      <c r="N1076" s="154" t="s">
        <v>759</v>
      </c>
      <c r="O1076" s="247" t="s">
        <v>516</v>
      </c>
      <c r="P1076" s="247" t="s">
        <v>6776</v>
      </c>
      <c r="Q1076" s="154" t="str">
        <f t="shared" si="1"/>
        <v>#ERROR!</v>
      </c>
      <c r="R1076" s="154" t="s">
        <v>66</v>
      </c>
      <c r="S1076" s="154" t="s">
        <v>66</v>
      </c>
      <c r="T1076" s="154" t="s">
        <v>64</v>
      </c>
      <c r="U1076" s="154" t="s">
        <v>64</v>
      </c>
      <c r="V1076" s="154" t="s">
        <v>64</v>
      </c>
      <c r="W1076" s="154" t="s">
        <v>64</v>
      </c>
      <c r="X1076" s="154" t="s">
        <v>66</v>
      </c>
      <c r="Y1076" s="154" t="s">
        <v>64</v>
      </c>
      <c r="Z1076" s="154" t="s">
        <v>64</v>
      </c>
      <c r="AA1076" s="154"/>
      <c r="AB1076" s="242" t="str">
        <f t="shared" si="2"/>
        <v>#ERROR!</v>
      </c>
      <c r="AC1076" s="154" t="s">
        <v>391</v>
      </c>
      <c r="AD1076" s="242" t="b">
        <f t="shared" si="3"/>
        <v>0</v>
      </c>
      <c r="AE1076" s="154"/>
      <c r="AF1076" s="242" t="str">
        <f t="shared" si="4"/>
        <v>#ERROR!</v>
      </c>
      <c r="AG1076" s="154" t="s">
        <v>652</v>
      </c>
      <c r="AH1076" s="242" t="str">
        <f>IF(AG1076="","N/A",INDIRECT("MTR!"&amp;ADDRESS(MATCH(LEFT(AG1076,9),[1]MTR!C:C,0),COLUMN(J1076)),TRUE) &amp; "")</f>
        <v>#ERROR!</v>
      </c>
      <c r="AI1076" s="157" t="str">
        <f t="shared" si="5"/>
        <v>#ERROR!</v>
      </c>
    </row>
    <row r="1077" ht="12.75" customHeight="1">
      <c r="A1077" s="244" t="s">
        <v>5158</v>
      </c>
      <c r="B1077" s="244" t="s">
        <v>231</v>
      </c>
      <c r="C1077" s="244" t="s">
        <v>9532</v>
      </c>
      <c r="D1077" s="154" t="s">
        <v>747</v>
      </c>
      <c r="E1077" s="154"/>
      <c r="F1077" s="154" t="str">
        <f t="array" ref="F1077">XLOOKUP(Cover!$D$12,$R$1:$Z$1,$R1077:$Z1077)</f>
        <v>Recommended</v>
      </c>
      <c r="G1077" s="154" t="s">
        <v>9533</v>
      </c>
      <c r="H1077" s="154" t="s">
        <v>1541</v>
      </c>
      <c r="I1077" s="154" t="s">
        <v>9529</v>
      </c>
      <c r="J1077" s="154" t="s">
        <v>8149</v>
      </c>
      <c r="K1077" s="154" t="s">
        <v>9003</v>
      </c>
      <c r="L1077" s="154" t="s">
        <v>6525</v>
      </c>
      <c r="M1077" s="154"/>
      <c r="N1077" s="154" t="s">
        <v>759</v>
      </c>
      <c r="O1077" s="247" t="s">
        <v>516</v>
      </c>
      <c r="P1077" s="247" t="s">
        <v>6776</v>
      </c>
      <c r="Q1077" s="154" t="str">
        <f t="shared" si="1"/>
        <v>#ERROR!</v>
      </c>
      <c r="R1077" s="154" t="s">
        <v>66</v>
      </c>
      <c r="S1077" s="154" t="s">
        <v>66</v>
      </c>
      <c r="T1077" s="154" t="s">
        <v>64</v>
      </c>
      <c r="U1077" s="154" t="s">
        <v>64</v>
      </c>
      <c r="V1077" s="154" t="s">
        <v>64</v>
      </c>
      <c r="W1077" s="154" t="s">
        <v>64</v>
      </c>
      <c r="X1077" s="154" t="s">
        <v>66</v>
      </c>
      <c r="Y1077" s="154" t="s">
        <v>64</v>
      </c>
      <c r="Z1077" s="154" t="s">
        <v>64</v>
      </c>
      <c r="AA1077" s="154"/>
      <c r="AB1077" s="242" t="str">
        <f t="shared" si="2"/>
        <v>#ERROR!</v>
      </c>
      <c r="AC1077" s="154" t="s">
        <v>391</v>
      </c>
      <c r="AD1077" s="242" t="b">
        <f t="shared" si="3"/>
        <v>0</v>
      </c>
      <c r="AE1077" s="154"/>
      <c r="AF1077" s="242" t="str">
        <f t="shared" si="4"/>
        <v>#ERROR!</v>
      </c>
      <c r="AG1077" s="154" t="s">
        <v>652</v>
      </c>
      <c r="AH1077" s="242" t="str">
        <f>IF(AG1077="","N/A",INDIRECT("MTR!"&amp;ADDRESS(MATCH(LEFT(AG1077,9),[1]MTR!C:C,0),COLUMN(J1077)),TRUE) &amp; "")</f>
        <v>#ERROR!</v>
      </c>
      <c r="AI1077" s="157" t="str">
        <f t="shared" si="5"/>
        <v>#ERROR!</v>
      </c>
    </row>
    <row r="1078" ht="12.75" customHeight="1">
      <c r="A1078" s="244" t="s">
        <v>5158</v>
      </c>
      <c r="B1078" s="244" t="s">
        <v>231</v>
      </c>
      <c r="C1078" s="244" t="s">
        <v>9534</v>
      </c>
      <c r="D1078" s="154" t="s">
        <v>1773</v>
      </c>
      <c r="E1078" s="154"/>
      <c r="F1078" s="154" t="str">
        <f t="array" ref="F1078">XLOOKUP(Cover!$D$12,$R$1:$Z$1,$R1078:$Z1078)</f>
        <v>Mandatory</v>
      </c>
      <c r="G1078" s="154" t="s">
        <v>9535</v>
      </c>
      <c r="H1078" s="154" t="s">
        <v>9002</v>
      </c>
      <c r="I1078" s="154" t="s">
        <v>9536</v>
      </c>
      <c r="J1078" s="154" t="s">
        <v>8818</v>
      </c>
      <c r="K1078" s="154" t="s">
        <v>9003</v>
      </c>
      <c r="L1078" s="154" t="s">
        <v>7175</v>
      </c>
      <c r="M1078" s="154" t="s">
        <v>175</v>
      </c>
      <c r="N1078" s="154" t="s">
        <v>759</v>
      </c>
      <c r="O1078" s="247" t="s">
        <v>516</v>
      </c>
      <c r="P1078" s="247" t="s">
        <v>6776</v>
      </c>
      <c r="Q1078" s="154" t="str">
        <f t="shared" si="1"/>
        <v>#ERROR!</v>
      </c>
      <c r="R1078" s="154" t="s">
        <v>66</v>
      </c>
      <c r="S1078" s="154" t="s">
        <v>66</v>
      </c>
      <c r="T1078" s="155" t="s">
        <v>64</v>
      </c>
      <c r="U1078" s="155" t="s">
        <v>64</v>
      </c>
      <c r="V1078" s="154" t="s">
        <v>60</v>
      </c>
      <c r="W1078" s="154" t="s">
        <v>60</v>
      </c>
      <c r="X1078" s="154" t="s">
        <v>66</v>
      </c>
      <c r="Y1078" s="155" t="s">
        <v>64</v>
      </c>
      <c r="Z1078" s="154" t="s">
        <v>60</v>
      </c>
      <c r="AA1078" s="154"/>
      <c r="AB1078" s="242" t="str">
        <f t="shared" si="2"/>
        <v>#ERROR!</v>
      </c>
      <c r="AC1078" s="154" t="s">
        <v>391</v>
      </c>
      <c r="AD1078" s="242" t="b">
        <f t="shared" si="3"/>
        <v>0</v>
      </c>
      <c r="AE1078" s="154"/>
      <c r="AF1078" s="242" t="str">
        <f t="shared" si="4"/>
        <v>#ERROR!</v>
      </c>
      <c r="AG1078" s="154" t="s">
        <v>652</v>
      </c>
      <c r="AH1078" s="242" t="str">
        <f>IF(AG1078="","N/A",INDIRECT("MTR!"&amp;ADDRESS(MATCH(LEFT(AG1078,9),[1]MTR!C:C,0),COLUMN(J1078)),TRUE) &amp; "")</f>
        <v>#ERROR!</v>
      </c>
      <c r="AI1078" s="157" t="str">
        <f t="shared" si="5"/>
        <v>#ERROR!</v>
      </c>
    </row>
    <row r="1079" ht="12.75" customHeight="1">
      <c r="A1079" s="244" t="s">
        <v>5158</v>
      </c>
      <c r="B1079" s="244" t="s">
        <v>231</v>
      </c>
      <c r="C1079" s="244" t="s">
        <v>9537</v>
      </c>
      <c r="D1079" s="154" t="s">
        <v>1773</v>
      </c>
      <c r="E1079" s="154"/>
      <c r="F1079" s="154" t="str">
        <f t="array" ref="F1079">XLOOKUP(Cover!$D$12,$R$1:$Z$1,$R1079:$Z1079)</f>
        <v>Mandatory</v>
      </c>
      <c r="G1079" s="154" t="s">
        <v>9538</v>
      </c>
      <c r="H1079" s="154" t="s">
        <v>9006</v>
      </c>
      <c r="I1079" s="154" t="s">
        <v>9536</v>
      </c>
      <c r="J1079" s="154" t="s">
        <v>8818</v>
      </c>
      <c r="K1079" s="154" t="s">
        <v>9003</v>
      </c>
      <c r="L1079" s="154" t="s">
        <v>7175</v>
      </c>
      <c r="M1079" s="154" t="s">
        <v>175</v>
      </c>
      <c r="N1079" s="154" t="s">
        <v>759</v>
      </c>
      <c r="O1079" s="247" t="s">
        <v>516</v>
      </c>
      <c r="P1079" s="247" t="s">
        <v>6776</v>
      </c>
      <c r="Q1079" s="154" t="str">
        <f t="shared" si="1"/>
        <v>#ERROR!</v>
      </c>
      <c r="R1079" s="154" t="s">
        <v>66</v>
      </c>
      <c r="S1079" s="154" t="s">
        <v>66</v>
      </c>
      <c r="T1079" s="155" t="s">
        <v>64</v>
      </c>
      <c r="U1079" s="155" t="s">
        <v>64</v>
      </c>
      <c r="V1079" s="154" t="s">
        <v>60</v>
      </c>
      <c r="W1079" s="154" t="s">
        <v>60</v>
      </c>
      <c r="X1079" s="154" t="s">
        <v>66</v>
      </c>
      <c r="Y1079" s="155" t="s">
        <v>64</v>
      </c>
      <c r="Z1079" s="154" t="s">
        <v>60</v>
      </c>
      <c r="AA1079" s="154"/>
      <c r="AB1079" s="242" t="str">
        <f t="shared" si="2"/>
        <v>#ERROR!</v>
      </c>
      <c r="AC1079" s="154" t="s">
        <v>391</v>
      </c>
      <c r="AD1079" s="242" t="b">
        <f t="shared" si="3"/>
        <v>0</v>
      </c>
      <c r="AE1079" s="154"/>
      <c r="AF1079" s="242" t="str">
        <f t="shared" si="4"/>
        <v>#ERROR!</v>
      </c>
      <c r="AG1079" s="154" t="s">
        <v>652</v>
      </c>
      <c r="AH1079" s="242" t="str">
        <f>IF(AG1079="","N/A",INDIRECT("MTR!"&amp;ADDRESS(MATCH(LEFT(AG1079,9),[1]MTR!C:C,0),COLUMN(J1079)),TRUE) &amp; "")</f>
        <v>#ERROR!</v>
      </c>
      <c r="AI1079" s="157" t="str">
        <f t="shared" si="5"/>
        <v>#ERROR!</v>
      </c>
    </row>
    <row r="1080" ht="12.75" customHeight="1">
      <c r="A1080" s="244" t="s">
        <v>5158</v>
      </c>
      <c r="B1080" s="244" t="s">
        <v>231</v>
      </c>
      <c r="C1080" s="244" t="s">
        <v>9539</v>
      </c>
      <c r="D1080" s="154" t="s">
        <v>1773</v>
      </c>
      <c r="E1080" s="154"/>
      <c r="F1080" s="154" t="str">
        <f t="array" ref="F1080">XLOOKUP(Cover!$D$12,$R$1:$Z$1,$R1080:$Z1080)</f>
        <v>Mandatory</v>
      </c>
      <c r="G1080" s="154" t="s">
        <v>9540</v>
      </c>
      <c r="H1080" s="154" t="s">
        <v>9053</v>
      </c>
      <c r="I1080" s="154" t="s">
        <v>9536</v>
      </c>
      <c r="J1080" s="154" t="s">
        <v>8818</v>
      </c>
      <c r="K1080" s="154" t="s">
        <v>9003</v>
      </c>
      <c r="L1080" s="154" t="s">
        <v>7175</v>
      </c>
      <c r="M1080" s="154" t="s">
        <v>175</v>
      </c>
      <c r="N1080" s="154" t="s">
        <v>759</v>
      </c>
      <c r="O1080" s="247" t="s">
        <v>516</v>
      </c>
      <c r="P1080" s="247" t="s">
        <v>6776</v>
      </c>
      <c r="Q1080" s="154" t="str">
        <f t="shared" si="1"/>
        <v>#ERROR!</v>
      </c>
      <c r="R1080" s="154" t="s">
        <v>66</v>
      </c>
      <c r="S1080" s="154" t="s">
        <v>66</v>
      </c>
      <c r="T1080" s="155" t="s">
        <v>64</v>
      </c>
      <c r="U1080" s="155" t="s">
        <v>64</v>
      </c>
      <c r="V1080" s="154" t="s">
        <v>60</v>
      </c>
      <c r="W1080" s="154" t="s">
        <v>60</v>
      </c>
      <c r="X1080" s="154" t="s">
        <v>66</v>
      </c>
      <c r="Y1080" s="155" t="s">
        <v>64</v>
      </c>
      <c r="Z1080" s="154" t="s">
        <v>60</v>
      </c>
      <c r="AA1080" s="154"/>
      <c r="AB1080" s="242" t="str">
        <f t="shared" si="2"/>
        <v>#ERROR!</v>
      </c>
      <c r="AC1080" s="154" t="s">
        <v>391</v>
      </c>
      <c r="AD1080" s="242" t="b">
        <f t="shared" si="3"/>
        <v>0</v>
      </c>
      <c r="AE1080" s="154"/>
      <c r="AF1080" s="242" t="str">
        <f t="shared" si="4"/>
        <v>#ERROR!</v>
      </c>
      <c r="AG1080" s="154" t="s">
        <v>652</v>
      </c>
      <c r="AH1080" s="242" t="str">
        <f>IF(AG1080="","N/A",INDIRECT("MTR!"&amp;ADDRESS(MATCH(LEFT(AG1080,9),[1]MTR!C:C,0),COLUMN(J1080)),TRUE) &amp; "")</f>
        <v>#ERROR!</v>
      </c>
      <c r="AI1080" s="157" t="str">
        <f t="shared" si="5"/>
        <v>#ERROR!</v>
      </c>
    </row>
    <row r="1081" ht="12.75" customHeight="1">
      <c r="A1081" s="244" t="s">
        <v>5158</v>
      </c>
      <c r="B1081" s="244" t="s">
        <v>231</v>
      </c>
      <c r="C1081" s="244" t="s">
        <v>9541</v>
      </c>
      <c r="D1081" s="154" t="s">
        <v>747</v>
      </c>
      <c r="E1081" s="154"/>
      <c r="F1081" s="154" t="str">
        <f t="array" ref="F1081">XLOOKUP(Cover!$D$12,$R$1:$Z$1,$R1081:$Z1081)</f>
        <v>Mandatory</v>
      </c>
      <c r="G1081" s="154" t="s">
        <v>9542</v>
      </c>
      <c r="H1081" s="154" t="s">
        <v>9002</v>
      </c>
      <c r="I1081" s="154" t="s">
        <v>9543</v>
      </c>
      <c r="J1081" s="154" t="s">
        <v>7648</v>
      </c>
      <c r="K1081" s="154" t="s">
        <v>9003</v>
      </c>
      <c r="L1081" s="154" t="s">
        <v>6525</v>
      </c>
      <c r="M1081" s="154" t="s">
        <v>175</v>
      </c>
      <c r="N1081" s="154" t="s">
        <v>759</v>
      </c>
      <c r="O1081" s="247" t="s">
        <v>516</v>
      </c>
      <c r="P1081" s="247" t="s">
        <v>6776</v>
      </c>
      <c r="Q1081" s="154" t="str">
        <f t="shared" si="1"/>
        <v>#ERROR!</v>
      </c>
      <c r="R1081" s="154" t="s">
        <v>66</v>
      </c>
      <c r="S1081" s="154" t="s">
        <v>66</v>
      </c>
      <c r="T1081" s="155" t="s">
        <v>64</v>
      </c>
      <c r="U1081" s="155" t="s">
        <v>64</v>
      </c>
      <c r="V1081" s="154" t="s">
        <v>60</v>
      </c>
      <c r="W1081" s="154" t="s">
        <v>60</v>
      </c>
      <c r="X1081" s="154" t="s">
        <v>66</v>
      </c>
      <c r="Y1081" s="155" t="s">
        <v>64</v>
      </c>
      <c r="Z1081" s="154" t="s">
        <v>60</v>
      </c>
      <c r="AA1081" s="154"/>
      <c r="AB1081" s="242" t="str">
        <f t="shared" si="2"/>
        <v>#ERROR!</v>
      </c>
      <c r="AC1081" s="154" t="s">
        <v>391</v>
      </c>
      <c r="AD1081" s="242" t="b">
        <f t="shared" si="3"/>
        <v>0</v>
      </c>
      <c r="AE1081" s="154"/>
      <c r="AF1081" s="242" t="str">
        <f t="shared" si="4"/>
        <v>#ERROR!</v>
      </c>
      <c r="AG1081" s="154" t="s">
        <v>652</v>
      </c>
      <c r="AH1081" s="242" t="str">
        <f>IF(AG1081="","N/A",INDIRECT("MTR!"&amp;ADDRESS(MATCH(LEFT(AG1081,9),[1]MTR!C:C,0),COLUMN(J1081)),TRUE) &amp; "")</f>
        <v>#ERROR!</v>
      </c>
      <c r="AI1081" s="157" t="str">
        <f t="shared" si="5"/>
        <v>#ERROR!</v>
      </c>
    </row>
    <row r="1082" ht="12.75" customHeight="1">
      <c r="A1082" s="244" t="s">
        <v>5158</v>
      </c>
      <c r="B1082" s="244" t="s">
        <v>231</v>
      </c>
      <c r="C1082" s="244" t="s">
        <v>9544</v>
      </c>
      <c r="D1082" s="154" t="s">
        <v>747</v>
      </c>
      <c r="E1082" s="154"/>
      <c r="F1082" s="154" t="str">
        <f t="array" ref="F1082">XLOOKUP(Cover!$D$12,$R$1:$Z$1,$R1082:$Z1082)</f>
        <v>Mandatory</v>
      </c>
      <c r="G1082" s="154" t="s">
        <v>9545</v>
      </c>
      <c r="H1082" s="154" t="s">
        <v>9006</v>
      </c>
      <c r="I1082" s="154" t="s">
        <v>9543</v>
      </c>
      <c r="J1082" s="154" t="s">
        <v>7648</v>
      </c>
      <c r="K1082" s="154" t="s">
        <v>9003</v>
      </c>
      <c r="L1082" s="154" t="s">
        <v>6525</v>
      </c>
      <c r="M1082" s="154" t="s">
        <v>175</v>
      </c>
      <c r="N1082" s="154" t="s">
        <v>759</v>
      </c>
      <c r="O1082" s="247" t="s">
        <v>516</v>
      </c>
      <c r="P1082" s="247" t="s">
        <v>6776</v>
      </c>
      <c r="Q1082" s="154" t="str">
        <f t="shared" si="1"/>
        <v>#ERROR!</v>
      </c>
      <c r="R1082" s="154" t="s">
        <v>66</v>
      </c>
      <c r="S1082" s="154" t="s">
        <v>66</v>
      </c>
      <c r="T1082" s="155" t="s">
        <v>64</v>
      </c>
      <c r="U1082" s="155" t="s">
        <v>64</v>
      </c>
      <c r="V1082" s="154" t="s">
        <v>60</v>
      </c>
      <c r="W1082" s="154" t="s">
        <v>60</v>
      </c>
      <c r="X1082" s="154" t="s">
        <v>66</v>
      </c>
      <c r="Y1082" s="155" t="s">
        <v>64</v>
      </c>
      <c r="Z1082" s="154" t="s">
        <v>60</v>
      </c>
      <c r="AA1082" s="154"/>
      <c r="AB1082" s="242" t="str">
        <f t="shared" si="2"/>
        <v>#ERROR!</v>
      </c>
      <c r="AC1082" s="154" t="s">
        <v>391</v>
      </c>
      <c r="AD1082" s="242" t="b">
        <f t="shared" si="3"/>
        <v>0</v>
      </c>
      <c r="AE1082" s="154"/>
      <c r="AF1082" s="242" t="str">
        <f t="shared" si="4"/>
        <v>#ERROR!</v>
      </c>
      <c r="AG1082" s="154" t="s">
        <v>652</v>
      </c>
      <c r="AH1082" s="242" t="str">
        <f>IF(AG1082="","N/A",INDIRECT("MTR!"&amp;ADDRESS(MATCH(LEFT(AG1082,9),[1]MTR!C:C,0),COLUMN(J1082)),TRUE) &amp; "")</f>
        <v>#ERROR!</v>
      </c>
      <c r="AI1082" s="157" t="str">
        <f t="shared" si="5"/>
        <v>#ERROR!</v>
      </c>
    </row>
    <row r="1083" ht="12.75" customHeight="1">
      <c r="A1083" s="244" t="s">
        <v>5158</v>
      </c>
      <c r="B1083" s="244" t="s">
        <v>231</v>
      </c>
      <c r="C1083" s="244" t="s">
        <v>9546</v>
      </c>
      <c r="D1083" s="154" t="s">
        <v>747</v>
      </c>
      <c r="E1083" s="154"/>
      <c r="F1083" s="154" t="str">
        <f t="array" ref="F1083">XLOOKUP(Cover!$D$12,$R$1:$Z$1,$R1083:$Z1083)</f>
        <v>Recommended</v>
      </c>
      <c r="G1083" s="154" t="s">
        <v>9547</v>
      </c>
      <c r="H1083" s="154" t="s">
        <v>9009</v>
      </c>
      <c r="I1083" s="154" t="s">
        <v>9543</v>
      </c>
      <c r="J1083" s="154" t="s">
        <v>7648</v>
      </c>
      <c r="K1083" s="154" t="s">
        <v>9003</v>
      </c>
      <c r="L1083" s="154" t="s">
        <v>6525</v>
      </c>
      <c r="M1083" s="154"/>
      <c r="N1083" s="154" t="s">
        <v>759</v>
      </c>
      <c r="O1083" s="247" t="s">
        <v>516</v>
      </c>
      <c r="P1083" s="247" t="s">
        <v>6776</v>
      </c>
      <c r="Q1083" s="154" t="str">
        <f t="shared" si="1"/>
        <v>#ERROR!</v>
      </c>
      <c r="R1083" s="154" t="s">
        <v>66</v>
      </c>
      <c r="S1083" s="154" t="s">
        <v>66</v>
      </c>
      <c r="T1083" s="154" t="s">
        <v>64</v>
      </c>
      <c r="U1083" s="154" t="s">
        <v>64</v>
      </c>
      <c r="V1083" s="154" t="s">
        <v>64</v>
      </c>
      <c r="W1083" s="154" t="s">
        <v>64</v>
      </c>
      <c r="X1083" s="154" t="s">
        <v>66</v>
      </c>
      <c r="Y1083" s="154" t="s">
        <v>64</v>
      </c>
      <c r="Z1083" s="154" t="s">
        <v>64</v>
      </c>
      <c r="AA1083" s="154"/>
      <c r="AB1083" s="242" t="str">
        <f t="shared" si="2"/>
        <v>#ERROR!</v>
      </c>
      <c r="AC1083" s="154" t="s">
        <v>391</v>
      </c>
      <c r="AD1083" s="242" t="b">
        <f t="shared" si="3"/>
        <v>0</v>
      </c>
      <c r="AE1083" s="154"/>
      <c r="AF1083" s="242" t="str">
        <f t="shared" si="4"/>
        <v>#ERROR!</v>
      </c>
      <c r="AG1083" s="154" t="s">
        <v>652</v>
      </c>
      <c r="AH1083" s="242" t="str">
        <f>IF(AG1083="","N/A",INDIRECT("MTR!"&amp;ADDRESS(MATCH(LEFT(AG1083,9),[1]MTR!C:C,0),COLUMN(J1083)),TRUE) &amp; "")</f>
        <v>#ERROR!</v>
      </c>
      <c r="AI1083" s="157" t="str">
        <f t="shared" si="5"/>
        <v>#ERROR!</v>
      </c>
    </row>
    <row r="1084" ht="12.75" customHeight="1">
      <c r="A1084" s="244" t="s">
        <v>5158</v>
      </c>
      <c r="B1084" s="244" t="s">
        <v>231</v>
      </c>
      <c r="C1084" s="244" t="s">
        <v>9548</v>
      </c>
      <c r="D1084" s="154" t="s">
        <v>747</v>
      </c>
      <c r="E1084" s="154"/>
      <c r="F1084" s="154" t="str">
        <f t="array" ref="F1084">XLOOKUP(Cover!$D$12,$R$1:$Z$1,$R1084:$Z1084)</f>
        <v>Recommended</v>
      </c>
      <c r="G1084" s="154" t="s">
        <v>9549</v>
      </c>
      <c r="H1084" s="154" t="s">
        <v>9084</v>
      </c>
      <c r="I1084" s="154" t="s">
        <v>9543</v>
      </c>
      <c r="J1084" s="154" t="s">
        <v>7648</v>
      </c>
      <c r="K1084" s="154" t="s">
        <v>9003</v>
      </c>
      <c r="L1084" s="154" t="s">
        <v>6525</v>
      </c>
      <c r="M1084" s="154"/>
      <c r="N1084" s="154" t="s">
        <v>759</v>
      </c>
      <c r="O1084" s="247" t="s">
        <v>516</v>
      </c>
      <c r="P1084" s="247" t="s">
        <v>6776</v>
      </c>
      <c r="Q1084" s="154" t="str">
        <f t="shared" si="1"/>
        <v>#ERROR!</v>
      </c>
      <c r="R1084" s="154" t="s">
        <v>66</v>
      </c>
      <c r="S1084" s="154" t="s">
        <v>66</v>
      </c>
      <c r="T1084" s="154" t="s">
        <v>64</v>
      </c>
      <c r="U1084" s="154" t="s">
        <v>64</v>
      </c>
      <c r="V1084" s="154" t="s">
        <v>64</v>
      </c>
      <c r="W1084" s="154" t="s">
        <v>64</v>
      </c>
      <c r="X1084" s="154" t="s">
        <v>66</v>
      </c>
      <c r="Y1084" s="154" t="s">
        <v>64</v>
      </c>
      <c r="Z1084" s="154" t="s">
        <v>64</v>
      </c>
      <c r="AA1084" s="154"/>
      <c r="AB1084" s="242" t="str">
        <f t="shared" si="2"/>
        <v>#ERROR!</v>
      </c>
      <c r="AC1084" s="154" t="s">
        <v>391</v>
      </c>
      <c r="AD1084" s="242" t="b">
        <f t="shared" si="3"/>
        <v>0</v>
      </c>
      <c r="AE1084" s="154"/>
      <c r="AF1084" s="242" t="str">
        <f t="shared" si="4"/>
        <v>#ERROR!</v>
      </c>
      <c r="AG1084" s="154" t="s">
        <v>652</v>
      </c>
      <c r="AH1084" s="242" t="str">
        <f>IF(AG1084="","N/A",INDIRECT("MTR!"&amp;ADDRESS(MATCH(LEFT(AG1084,9),[1]MTR!C:C,0),COLUMN(J1084)),TRUE) &amp; "")</f>
        <v>#ERROR!</v>
      </c>
      <c r="AI1084" s="157" t="str">
        <f t="shared" si="5"/>
        <v>#ERROR!</v>
      </c>
    </row>
    <row r="1085" ht="12.75" customHeight="1">
      <c r="A1085" s="244" t="s">
        <v>5158</v>
      </c>
      <c r="B1085" s="244" t="s">
        <v>231</v>
      </c>
      <c r="C1085" s="244" t="s">
        <v>9550</v>
      </c>
      <c r="D1085" s="154" t="s">
        <v>542</v>
      </c>
      <c r="E1085" s="154"/>
      <c r="F1085" s="154" t="str">
        <f t="array" ref="F1085">XLOOKUP(Cover!$D$12,$R$1:$Z$1,$R1085:$Z1085)</f>
        <v>Information</v>
      </c>
      <c r="G1085" s="154" t="s">
        <v>9551</v>
      </c>
      <c r="H1085" s="154" t="s">
        <v>9002</v>
      </c>
      <c r="I1085" s="154" t="s">
        <v>9552</v>
      </c>
      <c r="J1085" s="154" t="s">
        <v>8835</v>
      </c>
      <c r="K1085" s="154" t="s">
        <v>9003</v>
      </c>
      <c r="L1085" s="154" t="s">
        <v>6064</v>
      </c>
      <c r="M1085" s="154"/>
      <c r="N1085" s="154" t="s">
        <v>759</v>
      </c>
      <c r="O1085" s="247" t="s">
        <v>516</v>
      </c>
      <c r="P1085" s="247" t="s">
        <v>6776</v>
      </c>
      <c r="Q1085" s="154" t="str">
        <f t="shared" si="1"/>
        <v>#ERROR!</v>
      </c>
      <c r="R1085" s="154" t="s">
        <v>66</v>
      </c>
      <c r="S1085" s="154" t="s">
        <v>66</v>
      </c>
      <c r="T1085" s="154" t="s">
        <v>66</v>
      </c>
      <c r="U1085" s="154" t="s">
        <v>66</v>
      </c>
      <c r="V1085" s="154" t="s">
        <v>66</v>
      </c>
      <c r="W1085" s="154" t="s">
        <v>66</v>
      </c>
      <c r="X1085" s="154" t="s">
        <v>66</v>
      </c>
      <c r="Y1085" s="154" t="s">
        <v>66</v>
      </c>
      <c r="Z1085" s="154" t="s">
        <v>66</v>
      </c>
      <c r="AA1085" s="154"/>
      <c r="AB1085" s="242" t="str">
        <f t="shared" si="2"/>
        <v>#ERROR!</v>
      </c>
      <c r="AC1085" s="154" t="s">
        <v>391</v>
      </c>
      <c r="AD1085" s="242" t="b">
        <f t="shared" si="3"/>
        <v>0</v>
      </c>
      <c r="AE1085" s="154"/>
      <c r="AF1085" s="242" t="str">
        <f t="shared" si="4"/>
        <v>#ERROR!</v>
      </c>
      <c r="AG1085" s="154" t="s">
        <v>652</v>
      </c>
      <c r="AH1085" s="242" t="str">
        <f>IF(AG1085="","N/A",INDIRECT("MTR!"&amp;ADDRESS(MATCH(LEFT(AG1085,9),[1]MTR!C:C,0),COLUMN(J1085)),TRUE) &amp; "")</f>
        <v>#ERROR!</v>
      </c>
      <c r="AI1085" s="157" t="str">
        <f t="shared" si="5"/>
        <v>#ERROR!</v>
      </c>
    </row>
    <row r="1086" ht="12.75" customHeight="1">
      <c r="A1086" s="244" t="s">
        <v>5158</v>
      </c>
      <c r="B1086" s="244" t="s">
        <v>231</v>
      </c>
      <c r="C1086" s="244" t="s">
        <v>9553</v>
      </c>
      <c r="D1086" s="154" t="s">
        <v>542</v>
      </c>
      <c r="E1086" s="154"/>
      <c r="F1086" s="154" t="str">
        <f t="array" ref="F1086">XLOOKUP(Cover!$D$12,$R$1:$Z$1,$R1086:$Z1086)</f>
        <v>Information</v>
      </c>
      <c r="G1086" s="154" t="s">
        <v>9554</v>
      </c>
      <c r="H1086" s="154" t="s">
        <v>9006</v>
      </c>
      <c r="I1086" s="154" t="s">
        <v>9552</v>
      </c>
      <c r="J1086" s="154" t="s">
        <v>8835</v>
      </c>
      <c r="K1086" s="154" t="s">
        <v>9003</v>
      </c>
      <c r="L1086" s="154" t="s">
        <v>6064</v>
      </c>
      <c r="M1086" s="154"/>
      <c r="N1086" s="154" t="s">
        <v>759</v>
      </c>
      <c r="O1086" s="247" t="s">
        <v>516</v>
      </c>
      <c r="P1086" s="247" t="s">
        <v>6776</v>
      </c>
      <c r="Q1086" s="154" t="str">
        <f t="shared" si="1"/>
        <v>#ERROR!</v>
      </c>
      <c r="R1086" s="154" t="s">
        <v>66</v>
      </c>
      <c r="S1086" s="154" t="s">
        <v>66</v>
      </c>
      <c r="T1086" s="154" t="s">
        <v>66</v>
      </c>
      <c r="U1086" s="154" t="s">
        <v>66</v>
      </c>
      <c r="V1086" s="154" t="s">
        <v>66</v>
      </c>
      <c r="W1086" s="154" t="s">
        <v>66</v>
      </c>
      <c r="X1086" s="154" t="s">
        <v>66</v>
      </c>
      <c r="Y1086" s="154" t="s">
        <v>66</v>
      </c>
      <c r="Z1086" s="154" t="s">
        <v>66</v>
      </c>
      <c r="AA1086" s="154"/>
      <c r="AB1086" s="242" t="str">
        <f t="shared" si="2"/>
        <v>#ERROR!</v>
      </c>
      <c r="AC1086" s="154" t="s">
        <v>391</v>
      </c>
      <c r="AD1086" s="242" t="b">
        <f t="shared" si="3"/>
        <v>0</v>
      </c>
      <c r="AE1086" s="154"/>
      <c r="AF1086" s="242" t="str">
        <f t="shared" si="4"/>
        <v>#ERROR!</v>
      </c>
      <c r="AG1086" s="154" t="s">
        <v>652</v>
      </c>
      <c r="AH1086" s="242" t="str">
        <f>IF(AG1086="","N/A",INDIRECT("MTR!"&amp;ADDRESS(MATCH(LEFT(AG1086,9),[1]MTR!C:C,0),COLUMN(J1086)),TRUE) &amp; "")</f>
        <v>#ERROR!</v>
      </c>
      <c r="AI1086" s="157" t="str">
        <f t="shared" si="5"/>
        <v>#ERROR!</v>
      </c>
    </row>
    <row r="1087" ht="12.75" customHeight="1">
      <c r="A1087" s="244" t="s">
        <v>5158</v>
      </c>
      <c r="B1087" s="244" t="s">
        <v>231</v>
      </c>
      <c r="C1087" s="244" t="s">
        <v>9555</v>
      </c>
      <c r="D1087" s="154" t="s">
        <v>542</v>
      </c>
      <c r="E1087" s="154"/>
      <c r="F1087" s="154" t="str">
        <f t="array" ref="F1087">XLOOKUP(Cover!$D$12,$R$1:$Z$1,$R1087:$Z1087)</f>
        <v>Information</v>
      </c>
      <c r="G1087" s="154" t="s">
        <v>9556</v>
      </c>
      <c r="H1087" s="154" t="s">
        <v>9009</v>
      </c>
      <c r="I1087" s="154" t="s">
        <v>9552</v>
      </c>
      <c r="J1087" s="154" t="s">
        <v>8835</v>
      </c>
      <c r="K1087" s="154" t="s">
        <v>9003</v>
      </c>
      <c r="L1087" s="154" t="s">
        <v>6064</v>
      </c>
      <c r="M1087" s="154"/>
      <c r="N1087" s="154" t="s">
        <v>759</v>
      </c>
      <c r="O1087" s="247" t="s">
        <v>516</v>
      </c>
      <c r="P1087" s="247" t="s">
        <v>6776</v>
      </c>
      <c r="Q1087" s="154" t="str">
        <f t="shared" si="1"/>
        <v>#ERROR!</v>
      </c>
      <c r="R1087" s="154" t="s">
        <v>66</v>
      </c>
      <c r="S1087" s="154" t="s">
        <v>66</v>
      </c>
      <c r="T1087" s="154" t="s">
        <v>66</v>
      </c>
      <c r="U1087" s="154" t="s">
        <v>66</v>
      </c>
      <c r="V1087" s="154" t="s">
        <v>66</v>
      </c>
      <c r="W1087" s="154" t="s">
        <v>66</v>
      </c>
      <c r="X1087" s="154" t="s">
        <v>66</v>
      </c>
      <c r="Y1087" s="154" t="s">
        <v>66</v>
      </c>
      <c r="Z1087" s="154" t="s">
        <v>66</v>
      </c>
      <c r="AA1087" s="154"/>
      <c r="AB1087" s="242" t="str">
        <f t="shared" si="2"/>
        <v>#ERROR!</v>
      </c>
      <c r="AC1087" s="154" t="s">
        <v>391</v>
      </c>
      <c r="AD1087" s="242" t="b">
        <f t="shared" si="3"/>
        <v>0</v>
      </c>
      <c r="AE1087" s="154"/>
      <c r="AF1087" s="242" t="str">
        <f t="shared" si="4"/>
        <v>#ERROR!</v>
      </c>
      <c r="AG1087" s="154" t="s">
        <v>652</v>
      </c>
      <c r="AH1087" s="242" t="str">
        <f>IF(AG1087="","N/A",INDIRECT("MTR!"&amp;ADDRESS(MATCH(LEFT(AG1087,9),[1]MTR!C:C,0),COLUMN(J1087)),TRUE) &amp; "")</f>
        <v>#ERROR!</v>
      </c>
      <c r="AI1087" s="157" t="str">
        <f t="shared" si="5"/>
        <v>#ERROR!</v>
      </c>
    </row>
    <row r="1088" ht="12.75" customHeight="1">
      <c r="A1088" s="244" t="s">
        <v>5158</v>
      </c>
      <c r="B1088" s="244" t="s">
        <v>231</v>
      </c>
      <c r="C1088" s="244" t="s">
        <v>9557</v>
      </c>
      <c r="D1088" s="154" t="s">
        <v>781</v>
      </c>
      <c r="E1088" s="154"/>
      <c r="F1088" s="154" t="str">
        <f t="array" ref="F1088">XLOOKUP(Cover!$D$12,$R$1:$Z$1,$R1088:$Z1088)</f>
        <v>Mandatory</v>
      </c>
      <c r="G1088" s="154" t="s">
        <v>9558</v>
      </c>
      <c r="H1088" s="154" t="s">
        <v>9002</v>
      </c>
      <c r="I1088" s="154" t="s">
        <v>9559</v>
      </c>
      <c r="J1088" s="154" t="s">
        <v>8159</v>
      </c>
      <c r="K1088" s="154" t="s">
        <v>9003</v>
      </c>
      <c r="L1088" s="154" t="s">
        <v>6232</v>
      </c>
      <c r="M1088" s="154" t="s">
        <v>175</v>
      </c>
      <c r="N1088" s="154" t="s">
        <v>759</v>
      </c>
      <c r="O1088" s="247" t="s">
        <v>516</v>
      </c>
      <c r="P1088" s="247" t="s">
        <v>6776</v>
      </c>
      <c r="Q1088" s="154" t="str">
        <f t="shared" si="1"/>
        <v>#ERROR!</v>
      </c>
      <c r="R1088" s="154" t="s">
        <v>66</v>
      </c>
      <c r="S1088" s="154" t="s">
        <v>66</v>
      </c>
      <c r="T1088" s="155" t="s">
        <v>64</v>
      </c>
      <c r="U1088" s="155" t="s">
        <v>64</v>
      </c>
      <c r="V1088" s="154" t="s">
        <v>60</v>
      </c>
      <c r="W1088" s="154" t="s">
        <v>60</v>
      </c>
      <c r="X1088" s="154" t="s">
        <v>66</v>
      </c>
      <c r="Y1088" s="155" t="s">
        <v>64</v>
      </c>
      <c r="Z1088" s="154" t="s">
        <v>60</v>
      </c>
      <c r="AA1088" s="154"/>
      <c r="AB1088" s="242" t="str">
        <f t="shared" si="2"/>
        <v>#ERROR!</v>
      </c>
      <c r="AC1088" s="154" t="s">
        <v>391</v>
      </c>
      <c r="AD1088" s="242" t="b">
        <f t="shared" si="3"/>
        <v>0</v>
      </c>
      <c r="AE1088" s="154"/>
      <c r="AF1088" s="242" t="str">
        <f t="shared" si="4"/>
        <v>#ERROR!</v>
      </c>
      <c r="AG1088" s="154" t="s">
        <v>652</v>
      </c>
      <c r="AH1088" s="242" t="str">
        <f>IF(AG1088="","N/A",INDIRECT("MTR!"&amp;ADDRESS(MATCH(LEFT(AG1088,9),[1]MTR!C:C,0),COLUMN(J1088)),TRUE) &amp; "")</f>
        <v>#ERROR!</v>
      </c>
      <c r="AI1088" s="157" t="str">
        <f t="shared" si="5"/>
        <v>#ERROR!</v>
      </c>
    </row>
    <row r="1089" ht="12.75" customHeight="1">
      <c r="A1089" s="244" t="s">
        <v>5158</v>
      </c>
      <c r="B1089" s="244" t="s">
        <v>231</v>
      </c>
      <c r="C1089" s="244" t="s">
        <v>9560</v>
      </c>
      <c r="D1089" s="154" t="s">
        <v>781</v>
      </c>
      <c r="E1089" s="154"/>
      <c r="F1089" s="154" t="str">
        <f t="array" ref="F1089">XLOOKUP(Cover!$D$12,$R$1:$Z$1,$R1089:$Z1089)</f>
        <v>Mandatory</v>
      </c>
      <c r="G1089" s="154" t="s">
        <v>9561</v>
      </c>
      <c r="H1089" s="154" t="s">
        <v>9006</v>
      </c>
      <c r="I1089" s="154" t="s">
        <v>9559</v>
      </c>
      <c r="J1089" s="154" t="s">
        <v>8159</v>
      </c>
      <c r="K1089" s="154" t="s">
        <v>9003</v>
      </c>
      <c r="L1089" s="154" t="s">
        <v>6232</v>
      </c>
      <c r="M1089" s="154" t="s">
        <v>175</v>
      </c>
      <c r="N1089" s="154" t="s">
        <v>759</v>
      </c>
      <c r="O1089" s="247" t="s">
        <v>516</v>
      </c>
      <c r="P1089" s="247" t="s">
        <v>6776</v>
      </c>
      <c r="Q1089" s="154" t="str">
        <f t="shared" si="1"/>
        <v>#ERROR!</v>
      </c>
      <c r="R1089" s="154" t="s">
        <v>66</v>
      </c>
      <c r="S1089" s="154" t="s">
        <v>66</v>
      </c>
      <c r="T1089" s="155" t="s">
        <v>64</v>
      </c>
      <c r="U1089" s="155" t="s">
        <v>64</v>
      </c>
      <c r="V1089" s="154" t="s">
        <v>60</v>
      </c>
      <c r="W1089" s="154" t="s">
        <v>60</v>
      </c>
      <c r="X1089" s="154" t="s">
        <v>66</v>
      </c>
      <c r="Y1089" s="155" t="s">
        <v>64</v>
      </c>
      <c r="Z1089" s="154" t="s">
        <v>60</v>
      </c>
      <c r="AA1089" s="154"/>
      <c r="AB1089" s="242" t="str">
        <f t="shared" si="2"/>
        <v>#ERROR!</v>
      </c>
      <c r="AC1089" s="154" t="s">
        <v>391</v>
      </c>
      <c r="AD1089" s="242" t="b">
        <f t="shared" si="3"/>
        <v>0</v>
      </c>
      <c r="AE1089" s="154"/>
      <c r="AF1089" s="242" t="str">
        <f t="shared" si="4"/>
        <v>#ERROR!</v>
      </c>
      <c r="AG1089" s="154" t="s">
        <v>652</v>
      </c>
      <c r="AH1089" s="242" t="str">
        <f>IF(AG1089="","N/A",INDIRECT("MTR!"&amp;ADDRESS(MATCH(LEFT(AG1089,9),[1]MTR!C:C,0),COLUMN(J1089)),TRUE) &amp; "")</f>
        <v>#ERROR!</v>
      </c>
      <c r="AI1089" s="157" t="str">
        <f t="shared" si="5"/>
        <v>#ERROR!</v>
      </c>
    </row>
    <row r="1090" ht="12.75" customHeight="1">
      <c r="A1090" s="244" t="s">
        <v>5158</v>
      </c>
      <c r="B1090" s="244" t="s">
        <v>231</v>
      </c>
      <c r="C1090" s="244" t="s">
        <v>9562</v>
      </c>
      <c r="D1090" s="154" t="s">
        <v>781</v>
      </c>
      <c r="E1090" s="154"/>
      <c r="F1090" s="154" t="str">
        <f t="array" ref="F1090">XLOOKUP(Cover!$D$12,$R$1:$Z$1,$R1090:$Z1090)</f>
        <v>Mandatory</v>
      </c>
      <c r="G1090" s="154" t="s">
        <v>9563</v>
      </c>
      <c r="H1090" s="154" t="s">
        <v>9009</v>
      </c>
      <c r="I1090" s="154" t="s">
        <v>9559</v>
      </c>
      <c r="J1090" s="154" t="s">
        <v>8159</v>
      </c>
      <c r="K1090" s="154" t="s">
        <v>9003</v>
      </c>
      <c r="L1090" s="154" t="s">
        <v>6232</v>
      </c>
      <c r="M1090" s="154" t="s">
        <v>175</v>
      </c>
      <c r="N1090" s="154" t="s">
        <v>759</v>
      </c>
      <c r="O1090" s="247" t="s">
        <v>516</v>
      </c>
      <c r="P1090" s="247" t="s">
        <v>6776</v>
      </c>
      <c r="Q1090" s="154" t="str">
        <f t="shared" si="1"/>
        <v>#ERROR!</v>
      </c>
      <c r="R1090" s="154" t="s">
        <v>66</v>
      </c>
      <c r="S1090" s="154" t="s">
        <v>66</v>
      </c>
      <c r="T1090" s="155" t="s">
        <v>64</v>
      </c>
      <c r="U1090" s="155" t="s">
        <v>64</v>
      </c>
      <c r="V1090" s="154" t="s">
        <v>60</v>
      </c>
      <c r="W1090" s="154" t="s">
        <v>60</v>
      </c>
      <c r="X1090" s="154" t="s">
        <v>66</v>
      </c>
      <c r="Y1090" s="155" t="s">
        <v>64</v>
      </c>
      <c r="Z1090" s="154" t="s">
        <v>60</v>
      </c>
      <c r="AA1090" s="154"/>
      <c r="AB1090" s="242" t="str">
        <f t="shared" si="2"/>
        <v>#ERROR!</v>
      </c>
      <c r="AC1090" s="154" t="s">
        <v>391</v>
      </c>
      <c r="AD1090" s="242" t="b">
        <f t="shared" si="3"/>
        <v>0</v>
      </c>
      <c r="AE1090" s="154"/>
      <c r="AF1090" s="242" t="str">
        <f t="shared" si="4"/>
        <v>#ERROR!</v>
      </c>
      <c r="AG1090" s="154" t="s">
        <v>652</v>
      </c>
      <c r="AH1090" s="242" t="str">
        <f>IF(AG1090="","N/A",INDIRECT("MTR!"&amp;ADDRESS(MATCH(LEFT(AG1090,9),[1]MTR!C:C,0),COLUMN(J1090)),TRUE) &amp; "")</f>
        <v>#ERROR!</v>
      </c>
      <c r="AI1090" s="157" t="str">
        <f t="shared" si="5"/>
        <v>#ERROR!</v>
      </c>
    </row>
    <row r="1091" ht="12.75" customHeight="1">
      <c r="A1091" s="244" t="s">
        <v>5158</v>
      </c>
      <c r="B1091" s="244" t="s">
        <v>231</v>
      </c>
      <c r="C1091" s="244" t="s">
        <v>9564</v>
      </c>
      <c r="D1091" s="154" t="s">
        <v>781</v>
      </c>
      <c r="E1091" s="154"/>
      <c r="F1091" s="154" t="str">
        <f t="array" ref="F1091">XLOOKUP(Cover!$D$12,$R$1:$Z$1,$R1091:$Z1091)</f>
        <v>Mandatory</v>
      </c>
      <c r="G1091" s="154" t="s">
        <v>9565</v>
      </c>
      <c r="H1091" s="154" t="s">
        <v>9012</v>
      </c>
      <c r="I1091" s="154" t="s">
        <v>9559</v>
      </c>
      <c r="J1091" s="154" t="s">
        <v>8159</v>
      </c>
      <c r="K1091" s="154" t="s">
        <v>9003</v>
      </c>
      <c r="L1091" s="154" t="s">
        <v>6232</v>
      </c>
      <c r="M1091" s="154" t="s">
        <v>175</v>
      </c>
      <c r="N1091" s="154" t="s">
        <v>759</v>
      </c>
      <c r="O1091" s="247" t="s">
        <v>516</v>
      </c>
      <c r="P1091" s="247" t="s">
        <v>6776</v>
      </c>
      <c r="Q1091" s="154" t="str">
        <f t="shared" si="1"/>
        <v>#ERROR!</v>
      </c>
      <c r="R1091" s="154" t="s">
        <v>66</v>
      </c>
      <c r="S1091" s="154" t="s">
        <v>66</v>
      </c>
      <c r="T1091" s="155" t="s">
        <v>64</v>
      </c>
      <c r="U1091" s="155" t="s">
        <v>64</v>
      </c>
      <c r="V1091" s="154" t="s">
        <v>60</v>
      </c>
      <c r="W1091" s="154" t="s">
        <v>60</v>
      </c>
      <c r="X1091" s="154" t="s">
        <v>66</v>
      </c>
      <c r="Y1091" s="155" t="s">
        <v>64</v>
      </c>
      <c r="Z1091" s="154" t="s">
        <v>60</v>
      </c>
      <c r="AA1091" s="154"/>
      <c r="AB1091" s="242" t="str">
        <f t="shared" si="2"/>
        <v>#ERROR!</v>
      </c>
      <c r="AC1091" s="154" t="s">
        <v>391</v>
      </c>
      <c r="AD1091" s="242" t="b">
        <f t="shared" si="3"/>
        <v>0</v>
      </c>
      <c r="AE1091" s="154"/>
      <c r="AF1091" s="242" t="str">
        <f t="shared" si="4"/>
        <v>#ERROR!</v>
      </c>
      <c r="AG1091" s="154" t="s">
        <v>652</v>
      </c>
      <c r="AH1091" s="242" t="str">
        <f>IF(AG1091="","N/A",INDIRECT("MTR!"&amp;ADDRESS(MATCH(LEFT(AG1091,9),[1]MTR!C:C,0),COLUMN(J1091)),TRUE) &amp; "")</f>
        <v>#ERROR!</v>
      </c>
      <c r="AI1091" s="157" t="str">
        <f t="shared" si="5"/>
        <v>#ERROR!</v>
      </c>
    </row>
    <row r="1092" ht="12.75" customHeight="1">
      <c r="A1092" s="244" t="s">
        <v>5158</v>
      </c>
      <c r="B1092" s="244" t="s">
        <v>231</v>
      </c>
      <c r="C1092" s="244" t="s">
        <v>9566</v>
      </c>
      <c r="D1092" s="154" t="s">
        <v>542</v>
      </c>
      <c r="E1092" s="154"/>
      <c r="F1092" s="154" t="str">
        <f t="array" ref="F1092">XLOOKUP(Cover!$D$12,$R$1:$Z$1,$R1092:$Z1092)</f>
        <v>Mandatory</v>
      </c>
      <c r="G1092" s="154" t="s">
        <v>9567</v>
      </c>
      <c r="H1092" s="154" t="s">
        <v>9002</v>
      </c>
      <c r="I1092" s="154" t="s">
        <v>9568</v>
      </c>
      <c r="J1092" s="154" t="s">
        <v>8416</v>
      </c>
      <c r="K1092" s="154" t="s">
        <v>9003</v>
      </c>
      <c r="L1092" s="154" t="s">
        <v>6140</v>
      </c>
      <c r="M1092" s="154" t="s">
        <v>175</v>
      </c>
      <c r="N1092" s="154" t="s">
        <v>759</v>
      </c>
      <c r="O1092" s="247" t="s">
        <v>516</v>
      </c>
      <c r="P1092" s="247" t="s">
        <v>6776</v>
      </c>
      <c r="Q1092" s="154" t="str">
        <f t="shared" si="1"/>
        <v>#ERROR!</v>
      </c>
      <c r="R1092" s="154" t="s">
        <v>66</v>
      </c>
      <c r="S1092" s="154" t="s">
        <v>66</v>
      </c>
      <c r="T1092" s="155" t="s">
        <v>64</v>
      </c>
      <c r="U1092" s="155" t="s">
        <v>64</v>
      </c>
      <c r="V1092" s="154" t="s">
        <v>60</v>
      </c>
      <c r="W1092" s="154" t="s">
        <v>60</v>
      </c>
      <c r="X1092" s="154" t="s">
        <v>66</v>
      </c>
      <c r="Y1092" s="155" t="s">
        <v>64</v>
      </c>
      <c r="Z1092" s="154" t="s">
        <v>60</v>
      </c>
      <c r="AA1092" s="154"/>
      <c r="AB1092" s="242" t="str">
        <f t="shared" si="2"/>
        <v>#ERROR!</v>
      </c>
      <c r="AC1092" s="154" t="s">
        <v>391</v>
      </c>
      <c r="AD1092" s="242" t="b">
        <f t="shared" si="3"/>
        <v>0</v>
      </c>
      <c r="AE1092" s="154"/>
      <c r="AF1092" s="242" t="str">
        <f t="shared" si="4"/>
        <v>#ERROR!</v>
      </c>
      <c r="AG1092" s="154" t="s">
        <v>652</v>
      </c>
      <c r="AH1092" s="242" t="str">
        <f>IF(AG1092="","N/A",INDIRECT("MTR!"&amp;ADDRESS(MATCH(LEFT(AG1092,9),[1]MTR!C:C,0),COLUMN(J1092)),TRUE) &amp; "")</f>
        <v>#ERROR!</v>
      </c>
      <c r="AI1092" s="157" t="str">
        <f t="shared" si="5"/>
        <v>#ERROR!</v>
      </c>
    </row>
    <row r="1093" ht="12.75" customHeight="1">
      <c r="A1093" s="244" t="s">
        <v>5158</v>
      </c>
      <c r="B1093" s="244" t="s">
        <v>231</v>
      </c>
      <c r="C1093" s="244" t="s">
        <v>9569</v>
      </c>
      <c r="D1093" s="154" t="s">
        <v>542</v>
      </c>
      <c r="E1093" s="154"/>
      <c r="F1093" s="154" t="str">
        <f t="array" ref="F1093">XLOOKUP(Cover!$D$12,$R$1:$Z$1,$R1093:$Z1093)</f>
        <v>Mandatory</v>
      </c>
      <c r="G1093" s="154" t="s">
        <v>9570</v>
      </c>
      <c r="H1093" s="154" t="s">
        <v>9006</v>
      </c>
      <c r="I1093" s="154" t="s">
        <v>9568</v>
      </c>
      <c r="J1093" s="154" t="s">
        <v>8416</v>
      </c>
      <c r="K1093" s="154" t="s">
        <v>9003</v>
      </c>
      <c r="L1093" s="154" t="s">
        <v>6140</v>
      </c>
      <c r="M1093" s="154" t="s">
        <v>175</v>
      </c>
      <c r="N1093" s="154" t="s">
        <v>759</v>
      </c>
      <c r="O1093" s="247" t="s">
        <v>516</v>
      </c>
      <c r="P1093" s="247" t="s">
        <v>6776</v>
      </c>
      <c r="Q1093" s="154" t="str">
        <f t="shared" si="1"/>
        <v>#ERROR!</v>
      </c>
      <c r="R1093" s="154" t="s">
        <v>66</v>
      </c>
      <c r="S1093" s="154" t="s">
        <v>66</v>
      </c>
      <c r="T1093" s="155" t="s">
        <v>64</v>
      </c>
      <c r="U1093" s="155" t="s">
        <v>64</v>
      </c>
      <c r="V1093" s="154" t="s">
        <v>60</v>
      </c>
      <c r="W1093" s="154" t="s">
        <v>60</v>
      </c>
      <c r="X1093" s="154" t="s">
        <v>66</v>
      </c>
      <c r="Y1093" s="155" t="s">
        <v>64</v>
      </c>
      <c r="Z1093" s="154" t="s">
        <v>60</v>
      </c>
      <c r="AA1093" s="154"/>
      <c r="AB1093" s="242" t="str">
        <f t="shared" si="2"/>
        <v>#ERROR!</v>
      </c>
      <c r="AC1093" s="154" t="s">
        <v>391</v>
      </c>
      <c r="AD1093" s="242" t="b">
        <f t="shared" si="3"/>
        <v>0</v>
      </c>
      <c r="AE1093" s="154"/>
      <c r="AF1093" s="242" t="str">
        <f t="shared" si="4"/>
        <v>#ERROR!</v>
      </c>
      <c r="AG1093" s="154" t="s">
        <v>652</v>
      </c>
      <c r="AH1093" s="242" t="str">
        <f>IF(AG1093="","N/A",INDIRECT("MTR!"&amp;ADDRESS(MATCH(LEFT(AG1093,9),[1]MTR!C:C,0),COLUMN(J1093)),TRUE) &amp; "")</f>
        <v>#ERROR!</v>
      </c>
      <c r="AI1093" s="157" t="str">
        <f t="shared" si="5"/>
        <v>#ERROR!</v>
      </c>
    </row>
    <row r="1094" ht="12.75" customHeight="1">
      <c r="A1094" s="244" t="s">
        <v>5158</v>
      </c>
      <c r="B1094" s="244" t="s">
        <v>231</v>
      </c>
      <c r="C1094" s="244" t="s">
        <v>9571</v>
      </c>
      <c r="D1094" s="154" t="s">
        <v>542</v>
      </c>
      <c r="E1094" s="154"/>
      <c r="F1094" s="154" t="str">
        <f t="array" ref="F1094">XLOOKUP(Cover!$D$12,$R$1:$Z$1,$R1094:$Z1094)</f>
        <v>Mandatory</v>
      </c>
      <c r="G1094" s="154" t="s">
        <v>9572</v>
      </c>
      <c r="H1094" s="154" t="s">
        <v>9009</v>
      </c>
      <c r="I1094" s="154" t="s">
        <v>9568</v>
      </c>
      <c r="J1094" s="154" t="s">
        <v>8416</v>
      </c>
      <c r="K1094" s="154" t="s">
        <v>9003</v>
      </c>
      <c r="L1094" s="154" t="s">
        <v>6140</v>
      </c>
      <c r="M1094" s="154" t="s">
        <v>175</v>
      </c>
      <c r="N1094" s="154" t="s">
        <v>759</v>
      </c>
      <c r="O1094" s="247" t="s">
        <v>516</v>
      </c>
      <c r="P1094" s="247" t="s">
        <v>6776</v>
      </c>
      <c r="Q1094" s="154" t="str">
        <f t="shared" si="1"/>
        <v>#ERROR!</v>
      </c>
      <c r="R1094" s="154" t="s">
        <v>66</v>
      </c>
      <c r="S1094" s="154" t="s">
        <v>66</v>
      </c>
      <c r="T1094" s="155" t="s">
        <v>64</v>
      </c>
      <c r="U1094" s="155" t="s">
        <v>64</v>
      </c>
      <c r="V1094" s="154" t="s">
        <v>60</v>
      </c>
      <c r="W1094" s="154" t="s">
        <v>60</v>
      </c>
      <c r="X1094" s="154" t="s">
        <v>66</v>
      </c>
      <c r="Y1094" s="155" t="s">
        <v>64</v>
      </c>
      <c r="Z1094" s="154" t="s">
        <v>60</v>
      </c>
      <c r="AA1094" s="154"/>
      <c r="AB1094" s="242" t="str">
        <f t="shared" si="2"/>
        <v>#ERROR!</v>
      </c>
      <c r="AC1094" s="154" t="s">
        <v>391</v>
      </c>
      <c r="AD1094" s="242" t="b">
        <f t="shared" si="3"/>
        <v>0</v>
      </c>
      <c r="AE1094" s="154"/>
      <c r="AF1094" s="242" t="str">
        <f t="shared" si="4"/>
        <v>#ERROR!</v>
      </c>
      <c r="AG1094" s="154" t="s">
        <v>652</v>
      </c>
      <c r="AH1094" s="242" t="str">
        <f>IF(AG1094="","N/A",INDIRECT("MTR!"&amp;ADDRESS(MATCH(LEFT(AG1094,9),[1]MTR!C:C,0),COLUMN(J1094)),TRUE) &amp; "")</f>
        <v>#ERROR!</v>
      </c>
      <c r="AI1094" s="157" t="str">
        <f t="shared" si="5"/>
        <v>#ERROR!</v>
      </c>
    </row>
    <row r="1095" ht="12.75" customHeight="1">
      <c r="A1095" s="244" t="s">
        <v>5158</v>
      </c>
      <c r="B1095" s="244" t="s">
        <v>231</v>
      </c>
      <c r="C1095" s="244" t="s">
        <v>9573</v>
      </c>
      <c r="D1095" s="154" t="s">
        <v>542</v>
      </c>
      <c r="E1095" s="154"/>
      <c r="F1095" s="154" t="str">
        <f t="array" ref="F1095">XLOOKUP(Cover!$D$12,$R$1:$Z$1,$R1095:$Z1095)</f>
        <v>Mandatory</v>
      </c>
      <c r="G1095" s="154" t="s">
        <v>9574</v>
      </c>
      <c r="H1095" s="154" t="s">
        <v>9015</v>
      </c>
      <c r="I1095" s="154" t="s">
        <v>9568</v>
      </c>
      <c r="J1095" s="154" t="s">
        <v>8416</v>
      </c>
      <c r="K1095" s="154" t="s">
        <v>9003</v>
      </c>
      <c r="L1095" s="154" t="s">
        <v>6140</v>
      </c>
      <c r="M1095" s="154" t="s">
        <v>175</v>
      </c>
      <c r="N1095" s="154" t="s">
        <v>759</v>
      </c>
      <c r="O1095" s="247" t="s">
        <v>516</v>
      </c>
      <c r="P1095" s="247" t="s">
        <v>6776</v>
      </c>
      <c r="Q1095" s="154" t="str">
        <f t="shared" si="1"/>
        <v>#ERROR!</v>
      </c>
      <c r="R1095" s="154" t="s">
        <v>66</v>
      </c>
      <c r="S1095" s="154" t="s">
        <v>66</v>
      </c>
      <c r="T1095" s="155" t="s">
        <v>64</v>
      </c>
      <c r="U1095" s="155" t="s">
        <v>64</v>
      </c>
      <c r="V1095" s="154" t="s">
        <v>60</v>
      </c>
      <c r="W1095" s="154" t="s">
        <v>60</v>
      </c>
      <c r="X1095" s="154" t="s">
        <v>66</v>
      </c>
      <c r="Y1095" s="155" t="s">
        <v>64</v>
      </c>
      <c r="Z1095" s="154" t="s">
        <v>60</v>
      </c>
      <c r="AA1095" s="154"/>
      <c r="AB1095" s="242" t="str">
        <f t="shared" si="2"/>
        <v>#ERROR!</v>
      </c>
      <c r="AC1095" s="154" t="s">
        <v>391</v>
      </c>
      <c r="AD1095" s="242" t="b">
        <f t="shared" si="3"/>
        <v>0</v>
      </c>
      <c r="AE1095" s="154"/>
      <c r="AF1095" s="242" t="str">
        <f t="shared" si="4"/>
        <v>#ERROR!</v>
      </c>
      <c r="AG1095" s="154" t="s">
        <v>652</v>
      </c>
      <c r="AH1095" s="242" t="str">
        <f>IF(AG1095="","N/A",INDIRECT("MTR!"&amp;ADDRESS(MATCH(LEFT(AG1095,9),[1]MTR!C:C,0),COLUMN(J1095)),TRUE) &amp; "")</f>
        <v>#ERROR!</v>
      </c>
      <c r="AI1095" s="157" t="str">
        <f t="shared" si="5"/>
        <v>#ERROR!</v>
      </c>
    </row>
    <row r="1096" ht="12.75" customHeight="1">
      <c r="A1096" s="244" t="s">
        <v>5158</v>
      </c>
      <c r="B1096" s="244" t="s">
        <v>231</v>
      </c>
      <c r="C1096" s="244" t="s">
        <v>9575</v>
      </c>
      <c r="D1096" s="154" t="s">
        <v>781</v>
      </c>
      <c r="E1096" s="154"/>
      <c r="F1096" s="154" t="str">
        <f t="array" ref="F1096">XLOOKUP(Cover!$D$12,$R$1:$Z$1,$R1096:$Z1096)</f>
        <v>Mandatory</v>
      </c>
      <c r="G1096" s="154" t="s">
        <v>9576</v>
      </c>
      <c r="H1096" s="154" t="s">
        <v>9002</v>
      </c>
      <c r="I1096" s="154" t="s">
        <v>9577</v>
      </c>
      <c r="J1096" s="154" t="s">
        <v>7656</v>
      </c>
      <c r="K1096" s="154" t="s">
        <v>9003</v>
      </c>
      <c r="L1096" s="154" t="s">
        <v>6232</v>
      </c>
      <c r="M1096" s="154" t="s">
        <v>175</v>
      </c>
      <c r="N1096" s="154" t="s">
        <v>759</v>
      </c>
      <c r="O1096" s="247" t="s">
        <v>516</v>
      </c>
      <c r="P1096" s="247" t="s">
        <v>6776</v>
      </c>
      <c r="Q1096" s="154" t="str">
        <f t="shared" si="1"/>
        <v>#ERROR!</v>
      </c>
      <c r="R1096" s="154" t="s">
        <v>66</v>
      </c>
      <c r="S1096" s="154" t="s">
        <v>66</v>
      </c>
      <c r="T1096" s="155" t="s">
        <v>64</v>
      </c>
      <c r="U1096" s="155" t="s">
        <v>64</v>
      </c>
      <c r="V1096" s="154" t="s">
        <v>60</v>
      </c>
      <c r="W1096" s="154" t="s">
        <v>60</v>
      </c>
      <c r="X1096" s="154" t="s">
        <v>66</v>
      </c>
      <c r="Y1096" s="155" t="s">
        <v>64</v>
      </c>
      <c r="Z1096" s="154" t="s">
        <v>60</v>
      </c>
      <c r="AA1096" s="154"/>
      <c r="AB1096" s="242" t="str">
        <f t="shared" si="2"/>
        <v>#ERROR!</v>
      </c>
      <c r="AC1096" s="154" t="s">
        <v>391</v>
      </c>
      <c r="AD1096" s="242" t="b">
        <f t="shared" si="3"/>
        <v>0</v>
      </c>
      <c r="AE1096" s="154"/>
      <c r="AF1096" s="242" t="str">
        <f t="shared" si="4"/>
        <v>#ERROR!</v>
      </c>
      <c r="AG1096" s="154" t="s">
        <v>652</v>
      </c>
      <c r="AH1096" s="242" t="str">
        <f>IF(AG1096="","N/A",INDIRECT("MTR!"&amp;ADDRESS(MATCH(LEFT(AG1096,9),[1]MTR!C:C,0),COLUMN(J1096)),TRUE) &amp; "")</f>
        <v>#ERROR!</v>
      </c>
      <c r="AI1096" s="157" t="str">
        <f t="shared" si="5"/>
        <v>#ERROR!</v>
      </c>
    </row>
    <row r="1097" ht="12.75" customHeight="1">
      <c r="A1097" s="244" t="s">
        <v>5158</v>
      </c>
      <c r="B1097" s="244" t="s">
        <v>231</v>
      </c>
      <c r="C1097" s="244" t="s">
        <v>9578</v>
      </c>
      <c r="D1097" s="154" t="s">
        <v>781</v>
      </c>
      <c r="E1097" s="154"/>
      <c r="F1097" s="154" t="str">
        <f t="array" ref="F1097">XLOOKUP(Cover!$D$12,$R$1:$Z$1,$R1097:$Z1097)</f>
        <v>Mandatory</v>
      </c>
      <c r="G1097" s="154" t="s">
        <v>9579</v>
      </c>
      <c r="H1097" s="154" t="s">
        <v>9006</v>
      </c>
      <c r="I1097" s="154" t="s">
        <v>9577</v>
      </c>
      <c r="J1097" s="154" t="s">
        <v>7656</v>
      </c>
      <c r="K1097" s="154" t="s">
        <v>9003</v>
      </c>
      <c r="L1097" s="154" t="s">
        <v>6232</v>
      </c>
      <c r="M1097" s="154" t="s">
        <v>175</v>
      </c>
      <c r="N1097" s="154" t="s">
        <v>759</v>
      </c>
      <c r="O1097" s="247" t="s">
        <v>516</v>
      </c>
      <c r="P1097" s="247" t="s">
        <v>6776</v>
      </c>
      <c r="Q1097" s="154" t="str">
        <f t="shared" si="1"/>
        <v>#ERROR!</v>
      </c>
      <c r="R1097" s="154" t="s">
        <v>66</v>
      </c>
      <c r="S1097" s="154" t="s">
        <v>66</v>
      </c>
      <c r="T1097" s="155" t="s">
        <v>64</v>
      </c>
      <c r="U1097" s="155" t="s">
        <v>64</v>
      </c>
      <c r="V1097" s="154" t="s">
        <v>60</v>
      </c>
      <c r="W1097" s="154" t="s">
        <v>60</v>
      </c>
      <c r="X1097" s="154" t="s">
        <v>66</v>
      </c>
      <c r="Y1097" s="155" t="s">
        <v>64</v>
      </c>
      <c r="Z1097" s="154" t="s">
        <v>60</v>
      </c>
      <c r="AA1097" s="154"/>
      <c r="AB1097" s="242" t="str">
        <f t="shared" si="2"/>
        <v>#ERROR!</v>
      </c>
      <c r="AC1097" s="154" t="s">
        <v>391</v>
      </c>
      <c r="AD1097" s="242" t="b">
        <f t="shared" si="3"/>
        <v>0</v>
      </c>
      <c r="AE1097" s="154"/>
      <c r="AF1097" s="242" t="str">
        <f t="shared" si="4"/>
        <v>#ERROR!</v>
      </c>
      <c r="AG1097" s="154" t="s">
        <v>652</v>
      </c>
      <c r="AH1097" s="242" t="str">
        <f>IF(AG1097="","N/A",INDIRECT("MTR!"&amp;ADDRESS(MATCH(LEFT(AG1097,9),[1]MTR!C:C,0),COLUMN(J1097)),TRUE) &amp; "")</f>
        <v>#ERROR!</v>
      </c>
      <c r="AI1097" s="157" t="str">
        <f t="shared" si="5"/>
        <v>#ERROR!</v>
      </c>
    </row>
    <row r="1098" ht="12.75" customHeight="1">
      <c r="A1098" s="244" t="s">
        <v>5158</v>
      </c>
      <c r="B1098" s="244" t="s">
        <v>231</v>
      </c>
      <c r="C1098" s="244" t="s">
        <v>9580</v>
      </c>
      <c r="D1098" s="154" t="s">
        <v>781</v>
      </c>
      <c r="E1098" s="154"/>
      <c r="F1098" s="154" t="str">
        <f t="array" ref="F1098">XLOOKUP(Cover!$D$12,$R$1:$Z$1,$R1098:$Z1098)</f>
        <v>Recommended</v>
      </c>
      <c r="G1098" s="154" t="s">
        <v>9581</v>
      </c>
      <c r="H1098" s="154" t="s">
        <v>9009</v>
      </c>
      <c r="I1098" s="154" t="s">
        <v>9577</v>
      </c>
      <c r="J1098" s="154" t="s">
        <v>7656</v>
      </c>
      <c r="K1098" s="154" t="s">
        <v>9003</v>
      </c>
      <c r="L1098" s="154" t="s">
        <v>6232</v>
      </c>
      <c r="M1098" s="154"/>
      <c r="N1098" s="154" t="s">
        <v>759</v>
      </c>
      <c r="O1098" s="247" t="s">
        <v>516</v>
      </c>
      <c r="P1098" s="247" t="s">
        <v>6776</v>
      </c>
      <c r="Q1098" s="154" t="str">
        <f t="shared" si="1"/>
        <v>#ERROR!</v>
      </c>
      <c r="R1098" s="154" t="s">
        <v>66</v>
      </c>
      <c r="S1098" s="154" t="s">
        <v>66</v>
      </c>
      <c r="T1098" s="154" t="s">
        <v>64</v>
      </c>
      <c r="U1098" s="154" t="s">
        <v>64</v>
      </c>
      <c r="V1098" s="154" t="s">
        <v>64</v>
      </c>
      <c r="W1098" s="154" t="s">
        <v>64</v>
      </c>
      <c r="X1098" s="154" t="s">
        <v>66</v>
      </c>
      <c r="Y1098" s="154" t="s">
        <v>64</v>
      </c>
      <c r="Z1098" s="154" t="s">
        <v>64</v>
      </c>
      <c r="AA1098" s="154"/>
      <c r="AB1098" s="242" t="str">
        <f t="shared" si="2"/>
        <v>#ERROR!</v>
      </c>
      <c r="AC1098" s="154" t="s">
        <v>391</v>
      </c>
      <c r="AD1098" s="242" t="b">
        <f t="shared" si="3"/>
        <v>0</v>
      </c>
      <c r="AE1098" s="154"/>
      <c r="AF1098" s="242" t="str">
        <f t="shared" si="4"/>
        <v>#ERROR!</v>
      </c>
      <c r="AG1098" s="154" t="s">
        <v>652</v>
      </c>
      <c r="AH1098" s="242" t="str">
        <f>IF(AG1098="","N/A",INDIRECT("MTR!"&amp;ADDRESS(MATCH(LEFT(AG1098,9),[1]MTR!C:C,0),COLUMN(J1098)),TRUE) &amp; "")</f>
        <v>#ERROR!</v>
      </c>
      <c r="AI1098" s="157" t="str">
        <f t="shared" si="5"/>
        <v>#ERROR!</v>
      </c>
    </row>
    <row r="1099" ht="12.75" customHeight="1">
      <c r="A1099" s="244" t="s">
        <v>5158</v>
      </c>
      <c r="B1099" s="244" t="s">
        <v>231</v>
      </c>
      <c r="C1099" s="244" t="s">
        <v>9582</v>
      </c>
      <c r="D1099" s="154" t="s">
        <v>781</v>
      </c>
      <c r="E1099" s="154"/>
      <c r="F1099" s="154" t="str">
        <f t="array" ref="F1099">XLOOKUP(Cover!$D$12,$R$1:$Z$1,$R1099:$Z1099)</f>
        <v>Mandatory</v>
      </c>
      <c r="G1099" s="154" t="s">
        <v>9583</v>
      </c>
      <c r="H1099" s="154" t="s">
        <v>1541</v>
      </c>
      <c r="I1099" s="154" t="s">
        <v>9577</v>
      </c>
      <c r="J1099" s="154" t="s">
        <v>7656</v>
      </c>
      <c r="K1099" s="154" t="s">
        <v>9003</v>
      </c>
      <c r="L1099" s="154" t="s">
        <v>6232</v>
      </c>
      <c r="M1099" s="154" t="s">
        <v>175</v>
      </c>
      <c r="N1099" s="154" t="s">
        <v>759</v>
      </c>
      <c r="O1099" s="247" t="s">
        <v>516</v>
      </c>
      <c r="P1099" s="247" t="s">
        <v>6776</v>
      </c>
      <c r="Q1099" s="154" t="str">
        <f t="shared" si="1"/>
        <v>#ERROR!</v>
      </c>
      <c r="R1099" s="154" t="s">
        <v>66</v>
      </c>
      <c r="S1099" s="154" t="s">
        <v>66</v>
      </c>
      <c r="T1099" s="155" t="s">
        <v>64</v>
      </c>
      <c r="U1099" s="155" t="s">
        <v>64</v>
      </c>
      <c r="V1099" s="154" t="s">
        <v>60</v>
      </c>
      <c r="W1099" s="154" t="s">
        <v>60</v>
      </c>
      <c r="X1099" s="154" t="s">
        <v>66</v>
      </c>
      <c r="Y1099" s="155" t="s">
        <v>64</v>
      </c>
      <c r="Z1099" s="154" t="s">
        <v>60</v>
      </c>
      <c r="AA1099" s="154"/>
      <c r="AB1099" s="242" t="str">
        <f t="shared" si="2"/>
        <v>#ERROR!</v>
      </c>
      <c r="AC1099" s="154" t="s">
        <v>391</v>
      </c>
      <c r="AD1099" s="242" t="b">
        <f t="shared" si="3"/>
        <v>0</v>
      </c>
      <c r="AE1099" s="154"/>
      <c r="AF1099" s="242" t="str">
        <f t="shared" si="4"/>
        <v>#ERROR!</v>
      </c>
      <c r="AG1099" s="154" t="s">
        <v>652</v>
      </c>
      <c r="AH1099" s="242" t="str">
        <f>IF(AG1099="","N/A",INDIRECT("MTR!"&amp;ADDRESS(MATCH(LEFT(AG1099,9),[1]MTR!C:C,0),COLUMN(J1099)),TRUE) &amp; "")</f>
        <v>#ERROR!</v>
      </c>
      <c r="AI1099" s="157" t="str">
        <f t="shared" si="5"/>
        <v>#ERROR!</v>
      </c>
    </row>
    <row r="1100" ht="12.75" customHeight="1">
      <c r="A1100" s="244" t="s">
        <v>5158</v>
      </c>
      <c r="B1100" s="244" t="s">
        <v>231</v>
      </c>
      <c r="C1100" s="244" t="s">
        <v>9584</v>
      </c>
      <c r="D1100" s="154" t="s">
        <v>1773</v>
      </c>
      <c r="E1100" s="154"/>
      <c r="F1100" s="154" t="str">
        <f t="array" ref="F1100">XLOOKUP(Cover!$D$12,$R$1:$Z$1,$R1100:$Z1100)</f>
        <v>Mandatory</v>
      </c>
      <c r="G1100" s="154" t="s">
        <v>9585</v>
      </c>
      <c r="H1100" s="154" t="s">
        <v>9002</v>
      </c>
      <c r="I1100" s="154" t="s">
        <v>9586</v>
      </c>
      <c r="J1100" s="154" t="s">
        <v>8861</v>
      </c>
      <c r="K1100" s="154" t="s">
        <v>9003</v>
      </c>
      <c r="L1100" s="154" t="s">
        <v>7175</v>
      </c>
      <c r="M1100" s="154" t="s">
        <v>175</v>
      </c>
      <c r="N1100" s="154" t="s">
        <v>759</v>
      </c>
      <c r="O1100" s="247" t="s">
        <v>516</v>
      </c>
      <c r="P1100" s="247" t="s">
        <v>6776</v>
      </c>
      <c r="Q1100" s="154" t="str">
        <f t="shared" si="1"/>
        <v>#ERROR!</v>
      </c>
      <c r="R1100" s="154" t="s">
        <v>66</v>
      </c>
      <c r="S1100" s="154" t="s">
        <v>66</v>
      </c>
      <c r="T1100" s="155" t="s">
        <v>64</v>
      </c>
      <c r="U1100" s="155" t="s">
        <v>64</v>
      </c>
      <c r="V1100" s="154" t="s">
        <v>60</v>
      </c>
      <c r="W1100" s="154" t="s">
        <v>60</v>
      </c>
      <c r="X1100" s="154" t="s">
        <v>66</v>
      </c>
      <c r="Y1100" s="155" t="s">
        <v>64</v>
      </c>
      <c r="Z1100" s="154" t="s">
        <v>60</v>
      </c>
      <c r="AA1100" s="154"/>
      <c r="AB1100" s="242" t="str">
        <f t="shared" si="2"/>
        <v>#ERROR!</v>
      </c>
      <c r="AC1100" s="154" t="s">
        <v>391</v>
      </c>
      <c r="AD1100" s="242" t="b">
        <f t="shared" si="3"/>
        <v>0</v>
      </c>
      <c r="AE1100" s="154"/>
      <c r="AF1100" s="242" t="str">
        <f t="shared" si="4"/>
        <v>#ERROR!</v>
      </c>
      <c r="AG1100" s="154" t="s">
        <v>652</v>
      </c>
      <c r="AH1100" s="242" t="str">
        <f>IF(AG1100="","N/A",INDIRECT("MTR!"&amp;ADDRESS(MATCH(LEFT(AG1100,9),[1]MTR!C:C,0),COLUMN(J1100)),TRUE) &amp; "")</f>
        <v>#ERROR!</v>
      </c>
      <c r="AI1100" s="157" t="str">
        <f t="shared" si="5"/>
        <v>#ERROR!</v>
      </c>
    </row>
    <row r="1101" ht="12.75" customHeight="1">
      <c r="A1101" s="244" t="s">
        <v>5158</v>
      </c>
      <c r="B1101" s="244" t="s">
        <v>231</v>
      </c>
      <c r="C1101" s="244" t="s">
        <v>9587</v>
      </c>
      <c r="D1101" s="154" t="s">
        <v>1773</v>
      </c>
      <c r="E1101" s="154"/>
      <c r="F1101" s="154" t="str">
        <f t="array" ref="F1101">XLOOKUP(Cover!$D$12,$R$1:$Z$1,$R1101:$Z1101)</f>
        <v>Mandatory</v>
      </c>
      <c r="G1101" s="154" t="s">
        <v>9588</v>
      </c>
      <c r="H1101" s="154" t="s">
        <v>9006</v>
      </c>
      <c r="I1101" s="154" t="s">
        <v>9586</v>
      </c>
      <c r="J1101" s="154" t="s">
        <v>8861</v>
      </c>
      <c r="K1101" s="154" t="s">
        <v>9003</v>
      </c>
      <c r="L1101" s="154" t="s">
        <v>7175</v>
      </c>
      <c r="M1101" s="154" t="s">
        <v>175</v>
      </c>
      <c r="N1101" s="154" t="s">
        <v>759</v>
      </c>
      <c r="O1101" s="247" t="s">
        <v>516</v>
      </c>
      <c r="P1101" s="247" t="s">
        <v>6776</v>
      </c>
      <c r="Q1101" s="154" t="str">
        <f t="shared" si="1"/>
        <v>#ERROR!</v>
      </c>
      <c r="R1101" s="154" t="s">
        <v>66</v>
      </c>
      <c r="S1101" s="154" t="s">
        <v>66</v>
      </c>
      <c r="T1101" s="155" t="s">
        <v>64</v>
      </c>
      <c r="U1101" s="155" t="s">
        <v>64</v>
      </c>
      <c r="V1101" s="154" t="s">
        <v>60</v>
      </c>
      <c r="W1101" s="154" t="s">
        <v>60</v>
      </c>
      <c r="X1101" s="154" t="s">
        <v>66</v>
      </c>
      <c r="Y1101" s="155" t="s">
        <v>64</v>
      </c>
      <c r="Z1101" s="154" t="s">
        <v>60</v>
      </c>
      <c r="AA1101" s="154"/>
      <c r="AB1101" s="242" t="str">
        <f t="shared" si="2"/>
        <v>#ERROR!</v>
      </c>
      <c r="AC1101" s="154" t="s">
        <v>391</v>
      </c>
      <c r="AD1101" s="242" t="b">
        <f t="shared" si="3"/>
        <v>0</v>
      </c>
      <c r="AE1101" s="154"/>
      <c r="AF1101" s="242" t="str">
        <f t="shared" si="4"/>
        <v>#ERROR!</v>
      </c>
      <c r="AG1101" s="154" t="s">
        <v>652</v>
      </c>
      <c r="AH1101" s="242" t="str">
        <f>IF(AG1101="","N/A",INDIRECT("MTR!"&amp;ADDRESS(MATCH(LEFT(AG1101,9),[1]MTR!C:C,0),COLUMN(J1101)),TRUE) &amp; "")</f>
        <v>#ERROR!</v>
      </c>
      <c r="AI1101" s="157" t="str">
        <f t="shared" si="5"/>
        <v>#ERROR!</v>
      </c>
    </row>
    <row r="1102" ht="12.75" customHeight="1">
      <c r="A1102" s="244" t="s">
        <v>5158</v>
      </c>
      <c r="B1102" s="244" t="s">
        <v>231</v>
      </c>
      <c r="C1102" s="244" t="s">
        <v>9589</v>
      </c>
      <c r="D1102" s="154" t="s">
        <v>1773</v>
      </c>
      <c r="E1102" s="154"/>
      <c r="F1102" s="154" t="str">
        <f t="array" ref="F1102">XLOOKUP(Cover!$D$12,$R$1:$Z$1,$R1102:$Z1102)</f>
        <v>Mandatory</v>
      </c>
      <c r="G1102" s="154" t="s">
        <v>9590</v>
      </c>
      <c r="H1102" s="154" t="s">
        <v>9009</v>
      </c>
      <c r="I1102" s="154" t="s">
        <v>9586</v>
      </c>
      <c r="J1102" s="154" t="s">
        <v>8861</v>
      </c>
      <c r="K1102" s="154" t="s">
        <v>9003</v>
      </c>
      <c r="L1102" s="154" t="s">
        <v>7175</v>
      </c>
      <c r="M1102" s="154" t="s">
        <v>175</v>
      </c>
      <c r="N1102" s="154" t="s">
        <v>759</v>
      </c>
      <c r="O1102" s="247" t="s">
        <v>516</v>
      </c>
      <c r="P1102" s="247" t="s">
        <v>6776</v>
      </c>
      <c r="Q1102" s="154" t="str">
        <f t="shared" si="1"/>
        <v>#ERROR!</v>
      </c>
      <c r="R1102" s="154" t="s">
        <v>66</v>
      </c>
      <c r="S1102" s="154" t="s">
        <v>66</v>
      </c>
      <c r="T1102" s="155" t="s">
        <v>64</v>
      </c>
      <c r="U1102" s="155" t="s">
        <v>64</v>
      </c>
      <c r="V1102" s="154" t="s">
        <v>60</v>
      </c>
      <c r="W1102" s="154" t="s">
        <v>60</v>
      </c>
      <c r="X1102" s="154" t="s">
        <v>66</v>
      </c>
      <c r="Y1102" s="155" t="s">
        <v>64</v>
      </c>
      <c r="Z1102" s="154" t="s">
        <v>60</v>
      </c>
      <c r="AA1102" s="154"/>
      <c r="AB1102" s="242" t="str">
        <f t="shared" si="2"/>
        <v>#ERROR!</v>
      </c>
      <c r="AC1102" s="154" t="s">
        <v>391</v>
      </c>
      <c r="AD1102" s="242" t="b">
        <f t="shared" si="3"/>
        <v>0</v>
      </c>
      <c r="AE1102" s="154"/>
      <c r="AF1102" s="242" t="str">
        <f t="shared" si="4"/>
        <v>#ERROR!</v>
      </c>
      <c r="AG1102" s="154" t="s">
        <v>652</v>
      </c>
      <c r="AH1102" s="242" t="str">
        <f>IF(AG1102="","N/A",INDIRECT("MTR!"&amp;ADDRESS(MATCH(LEFT(AG1102,9),[1]MTR!C:C,0),COLUMN(J1102)),TRUE) &amp; "")</f>
        <v>#ERROR!</v>
      </c>
      <c r="AI1102" s="157" t="str">
        <f t="shared" si="5"/>
        <v>#ERROR!</v>
      </c>
    </row>
    <row r="1103" ht="12.75" customHeight="1">
      <c r="A1103" s="244" t="s">
        <v>5158</v>
      </c>
      <c r="B1103" s="244" t="s">
        <v>231</v>
      </c>
      <c r="C1103" s="244" t="s">
        <v>9591</v>
      </c>
      <c r="D1103" s="154" t="s">
        <v>1773</v>
      </c>
      <c r="E1103" s="154"/>
      <c r="F1103" s="154" t="str">
        <f t="array" ref="F1103">XLOOKUP(Cover!$D$12,$R$1:$Z$1,$R1103:$Z1103)</f>
        <v>Recommended</v>
      </c>
      <c r="G1103" s="154" t="s">
        <v>9592</v>
      </c>
      <c r="H1103" s="154" t="s">
        <v>9002</v>
      </c>
      <c r="I1103" s="154" t="s">
        <v>9593</v>
      </c>
      <c r="J1103" s="154" t="s">
        <v>9594</v>
      </c>
      <c r="K1103" s="154" t="s">
        <v>9003</v>
      </c>
      <c r="L1103" s="154" t="s">
        <v>7175</v>
      </c>
      <c r="M1103" s="154"/>
      <c r="N1103" s="154" t="s">
        <v>759</v>
      </c>
      <c r="O1103" s="247" t="s">
        <v>516</v>
      </c>
      <c r="P1103" s="247" t="s">
        <v>6776</v>
      </c>
      <c r="Q1103" s="154" t="str">
        <f t="shared" si="1"/>
        <v>#ERROR!</v>
      </c>
      <c r="R1103" s="154" t="s">
        <v>66</v>
      </c>
      <c r="S1103" s="154" t="s">
        <v>66</v>
      </c>
      <c r="T1103" s="154" t="s">
        <v>64</v>
      </c>
      <c r="U1103" s="154" t="s">
        <v>64</v>
      </c>
      <c r="V1103" s="154" t="s">
        <v>64</v>
      </c>
      <c r="W1103" s="154" t="s">
        <v>64</v>
      </c>
      <c r="X1103" s="154" t="s">
        <v>66</v>
      </c>
      <c r="Y1103" s="154" t="s">
        <v>64</v>
      </c>
      <c r="Z1103" s="154" t="s">
        <v>64</v>
      </c>
      <c r="AA1103" s="154"/>
      <c r="AB1103" s="242" t="str">
        <f t="shared" si="2"/>
        <v>#ERROR!</v>
      </c>
      <c r="AC1103" s="154" t="s">
        <v>391</v>
      </c>
      <c r="AD1103" s="242" t="b">
        <f t="shared" si="3"/>
        <v>0</v>
      </c>
      <c r="AE1103" s="154"/>
      <c r="AF1103" s="242" t="str">
        <f t="shared" si="4"/>
        <v>#ERROR!</v>
      </c>
      <c r="AG1103" s="154" t="s">
        <v>652</v>
      </c>
      <c r="AH1103" s="242" t="str">
        <f>IF(AG1103="","N/A",INDIRECT("MTR!"&amp;ADDRESS(MATCH(LEFT(AG1103,9),[1]MTR!C:C,0),COLUMN(J1103)),TRUE) &amp; "")</f>
        <v>#ERROR!</v>
      </c>
      <c r="AI1103" s="157" t="str">
        <f t="shared" si="5"/>
        <v>#ERROR!</v>
      </c>
    </row>
    <row r="1104" ht="12.75" customHeight="1">
      <c r="A1104" s="244" t="s">
        <v>5158</v>
      </c>
      <c r="B1104" s="244" t="s">
        <v>231</v>
      </c>
      <c r="C1104" s="244" t="s">
        <v>9595</v>
      </c>
      <c r="D1104" s="154" t="s">
        <v>1773</v>
      </c>
      <c r="E1104" s="154"/>
      <c r="F1104" s="154" t="str">
        <f t="array" ref="F1104">XLOOKUP(Cover!$D$12,$R$1:$Z$1,$R1104:$Z1104)</f>
        <v>Recommended</v>
      </c>
      <c r="G1104" s="154" t="s">
        <v>9596</v>
      </c>
      <c r="H1104" s="154" t="s">
        <v>9006</v>
      </c>
      <c r="I1104" s="154" t="s">
        <v>9593</v>
      </c>
      <c r="J1104" s="154" t="s">
        <v>9594</v>
      </c>
      <c r="K1104" s="154" t="s">
        <v>9003</v>
      </c>
      <c r="L1104" s="154" t="s">
        <v>7175</v>
      </c>
      <c r="M1104" s="154"/>
      <c r="N1104" s="154" t="s">
        <v>759</v>
      </c>
      <c r="O1104" s="247" t="s">
        <v>516</v>
      </c>
      <c r="P1104" s="247" t="s">
        <v>6776</v>
      </c>
      <c r="Q1104" s="154" t="str">
        <f t="shared" si="1"/>
        <v>#ERROR!</v>
      </c>
      <c r="R1104" s="154" t="s">
        <v>66</v>
      </c>
      <c r="S1104" s="154" t="s">
        <v>66</v>
      </c>
      <c r="T1104" s="154" t="s">
        <v>64</v>
      </c>
      <c r="U1104" s="154" t="s">
        <v>64</v>
      </c>
      <c r="V1104" s="154" t="s">
        <v>64</v>
      </c>
      <c r="W1104" s="154" t="s">
        <v>64</v>
      </c>
      <c r="X1104" s="154" t="s">
        <v>66</v>
      </c>
      <c r="Y1104" s="154" t="s">
        <v>64</v>
      </c>
      <c r="Z1104" s="154" t="s">
        <v>64</v>
      </c>
      <c r="AA1104" s="154"/>
      <c r="AB1104" s="242" t="str">
        <f t="shared" si="2"/>
        <v>#ERROR!</v>
      </c>
      <c r="AC1104" s="154" t="s">
        <v>391</v>
      </c>
      <c r="AD1104" s="242" t="b">
        <f t="shared" si="3"/>
        <v>0</v>
      </c>
      <c r="AE1104" s="154"/>
      <c r="AF1104" s="242" t="str">
        <f t="shared" si="4"/>
        <v>#ERROR!</v>
      </c>
      <c r="AG1104" s="154" t="s">
        <v>652</v>
      </c>
      <c r="AH1104" s="242" t="str">
        <f>IF(AG1104="","N/A",INDIRECT("MTR!"&amp;ADDRESS(MATCH(LEFT(AG1104,9),[1]MTR!C:C,0),COLUMN(J1104)),TRUE) &amp; "")</f>
        <v>#ERROR!</v>
      </c>
      <c r="AI1104" s="157" t="str">
        <f t="shared" si="5"/>
        <v>#ERROR!</v>
      </c>
    </row>
    <row r="1105" ht="12.75" customHeight="1">
      <c r="A1105" s="244" t="s">
        <v>5158</v>
      </c>
      <c r="B1105" s="244" t="s">
        <v>231</v>
      </c>
      <c r="C1105" s="244" t="s">
        <v>9597</v>
      </c>
      <c r="D1105" s="154" t="s">
        <v>1773</v>
      </c>
      <c r="E1105" s="154"/>
      <c r="F1105" s="154" t="str">
        <f t="array" ref="F1105">XLOOKUP(Cover!$D$12,$R$1:$Z$1,$R1105:$Z1105)</f>
        <v>Recommended</v>
      </c>
      <c r="G1105" s="154" t="s">
        <v>9598</v>
      </c>
      <c r="H1105" s="154" t="s">
        <v>9012</v>
      </c>
      <c r="I1105" s="154" t="s">
        <v>9593</v>
      </c>
      <c r="J1105" s="154" t="s">
        <v>9594</v>
      </c>
      <c r="K1105" s="154" t="s">
        <v>9003</v>
      </c>
      <c r="L1105" s="154" t="s">
        <v>7175</v>
      </c>
      <c r="M1105" s="154"/>
      <c r="N1105" s="154" t="s">
        <v>759</v>
      </c>
      <c r="O1105" s="247" t="s">
        <v>516</v>
      </c>
      <c r="P1105" s="247" t="s">
        <v>6776</v>
      </c>
      <c r="Q1105" s="154" t="str">
        <f t="shared" si="1"/>
        <v>#ERROR!</v>
      </c>
      <c r="R1105" s="154" t="s">
        <v>66</v>
      </c>
      <c r="S1105" s="154" t="s">
        <v>66</v>
      </c>
      <c r="T1105" s="154" t="s">
        <v>64</v>
      </c>
      <c r="U1105" s="154" t="s">
        <v>64</v>
      </c>
      <c r="V1105" s="154" t="s">
        <v>64</v>
      </c>
      <c r="W1105" s="154" t="s">
        <v>64</v>
      </c>
      <c r="X1105" s="154" t="s">
        <v>66</v>
      </c>
      <c r="Y1105" s="154" t="s">
        <v>64</v>
      </c>
      <c r="Z1105" s="154" t="s">
        <v>64</v>
      </c>
      <c r="AA1105" s="154"/>
      <c r="AB1105" s="242" t="str">
        <f t="shared" si="2"/>
        <v>#ERROR!</v>
      </c>
      <c r="AC1105" s="154" t="s">
        <v>391</v>
      </c>
      <c r="AD1105" s="242" t="b">
        <f t="shared" si="3"/>
        <v>0</v>
      </c>
      <c r="AE1105" s="154"/>
      <c r="AF1105" s="242" t="str">
        <f t="shared" si="4"/>
        <v>#ERROR!</v>
      </c>
      <c r="AG1105" s="154" t="s">
        <v>652</v>
      </c>
      <c r="AH1105" s="242" t="str">
        <f>IF(AG1105="","N/A",INDIRECT("MTR!"&amp;ADDRESS(MATCH(LEFT(AG1105,9),[1]MTR!C:C,0),COLUMN(J1105)),TRUE) &amp; "")</f>
        <v>#ERROR!</v>
      </c>
      <c r="AI1105" s="157" t="str">
        <f t="shared" si="5"/>
        <v>#ERROR!</v>
      </c>
    </row>
    <row r="1106" ht="12.75" customHeight="1">
      <c r="A1106" s="244" t="s">
        <v>5158</v>
      </c>
      <c r="B1106" s="244" t="s">
        <v>231</v>
      </c>
      <c r="C1106" s="244" t="s">
        <v>9599</v>
      </c>
      <c r="D1106" s="154" t="s">
        <v>1773</v>
      </c>
      <c r="E1106" s="154"/>
      <c r="F1106" s="154" t="str">
        <f t="array" ref="F1106">XLOOKUP(Cover!$D$12,$R$1:$Z$1,$R1106:$Z1106)</f>
        <v>Recommended</v>
      </c>
      <c r="G1106" s="154" t="s">
        <v>9600</v>
      </c>
      <c r="H1106" s="154" t="s">
        <v>9015</v>
      </c>
      <c r="I1106" s="154" t="s">
        <v>9593</v>
      </c>
      <c r="J1106" s="154" t="s">
        <v>9594</v>
      </c>
      <c r="K1106" s="154" t="s">
        <v>9003</v>
      </c>
      <c r="L1106" s="154" t="s">
        <v>7175</v>
      </c>
      <c r="M1106" s="154"/>
      <c r="N1106" s="154" t="s">
        <v>759</v>
      </c>
      <c r="O1106" s="247" t="s">
        <v>516</v>
      </c>
      <c r="P1106" s="247" t="s">
        <v>6776</v>
      </c>
      <c r="Q1106" s="154" t="str">
        <f t="shared" si="1"/>
        <v>#ERROR!</v>
      </c>
      <c r="R1106" s="154" t="s">
        <v>66</v>
      </c>
      <c r="S1106" s="154" t="s">
        <v>66</v>
      </c>
      <c r="T1106" s="154" t="s">
        <v>64</v>
      </c>
      <c r="U1106" s="154" t="s">
        <v>64</v>
      </c>
      <c r="V1106" s="154" t="s">
        <v>64</v>
      </c>
      <c r="W1106" s="154" t="s">
        <v>64</v>
      </c>
      <c r="X1106" s="154" t="s">
        <v>66</v>
      </c>
      <c r="Y1106" s="154" t="s">
        <v>64</v>
      </c>
      <c r="Z1106" s="154" t="s">
        <v>64</v>
      </c>
      <c r="AA1106" s="154"/>
      <c r="AB1106" s="242" t="str">
        <f t="shared" si="2"/>
        <v>#ERROR!</v>
      </c>
      <c r="AC1106" s="154" t="s">
        <v>391</v>
      </c>
      <c r="AD1106" s="242" t="b">
        <f t="shared" si="3"/>
        <v>0</v>
      </c>
      <c r="AE1106" s="154"/>
      <c r="AF1106" s="242" t="str">
        <f t="shared" si="4"/>
        <v>#ERROR!</v>
      </c>
      <c r="AG1106" s="154" t="s">
        <v>652</v>
      </c>
      <c r="AH1106" s="242" t="str">
        <f>IF(AG1106="","N/A",INDIRECT("MTR!"&amp;ADDRESS(MATCH(LEFT(AG1106,9),[1]MTR!C:C,0),COLUMN(J1106)),TRUE) &amp; "")</f>
        <v>#ERROR!</v>
      </c>
      <c r="AI1106" s="157" t="str">
        <f t="shared" si="5"/>
        <v>#ERROR!</v>
      </c>
    </row>
    <row r="1107" ht="12.75" customHeight="1">
      <c r="A1107" s="244" t="s">
        <v>5158</v>
      </c>
      <c r="B1107" s="244" t="s">
        <v>231</v>
      </c>
      <c r="C1107" s="244" t="s">
        <v>9601</v>
      </c>
      <c r="D1107" s="154" t="s">
        <v>1773</v>
      </c>
      <c r="E1107" s="154"/>
      <c r="F1107" s="154" t="str">
        <f t="array" ref="F1107">XLOOKUP(Cover!$D$12,$R$1:$Z$1,$R1107:$Z1107)</f>
        <v>Information</v>
      </c>
      <c r="G1107" s="154" t="s">
        <v>9602</v>
      </c>
      <c r="H1107" s="154" t="s">
        <v>9002</v>
      </c>
      <c r="I1107" s="154" t="s">
        <v>9603</v>
      </c>
      <c r="J1107" s="154" t="s">
        <v>9604</v>
      </c>
      <c r="K1107" s="154" t="s">
        <v>9003</v>
      </c>
      <c r="L1107" s="154" t="s">
        <v>7175</v>
      </c>
      <c r="M1107" s="154"/>
      <c r="N1107" s="154" t="s">
        <v>759</v>
      </c>
      <c r="O1107" s="247" t="s">
        <v>516</v>
      </c>
      <c r="P1107" s="247" t="s">
        <v>6776</v>
      </c>
      <c r="Q1107" s="154" t="str">
        <f t="shared" si="1"/>
        <v>#ERROR!</v>
      </c>
      <c r="R1107" s="154" t="s">
        <v>66</v>
      </c>
      <c r="S1107" s="154" t="s">
        <v>66</v>
      </c>
      <c r="T1107" s="154" t="s">
        <v>66</v>
      </c>
      <c r="U1107" s="154" t="s">
        <v>66</v>
      </c>
      <c r="V1107" s="154" t="s">
        <v>66</v>
      </c>
      <c r="W1107" s="154" t="s">
        <v>66</v>
      </c>
      <c r="X1107" s="154" t="s">
        <v>66</v>
      </c>
      <c r="Y1107" s="154" t="s">
        <v>66</v>
      </c>
      <c r="Z1107" s="154" t="s">
        <v>66</v>
      </c>
      <c r="AA1107" s="154"/>
      <c r="AB1107" s="242" t="str">
        <f t="shared" si="2"/>
        <v>#ERROR!</v>
      </c>
      <c r="AC1107" s="154" t="s">
        <v>391</v>
      </c>
      <c r="AD1107" s="242" t="b">
        <f t="shared" si="3"/>
        <v>0</v>
      </c>
      <c r="AE1107" s="154"/>
      <c r="AF1107" s="242" t="str">
        <f t="shared" si="4"/>
        <v>#ERROR!</v>
      </c>
      <c r="AG1107" s="154" t="s">
        <v>652</v>
      </c>
      <c r="AH1107" s="242" t="str">
        <f>IF(AG1107="","N/A",INDIRECT("MTR!"&amp;ADDRESS(MATCH(LEFT(AG1107,9),[1]MTR!C:C,0),COLUMN(J1107)),TRUE) &amp; "")</f>
        <v>#ERROR!</v>
      </c>
      <c r="AI1107" s="157" t="str">
        <f t="shared" si="5"/>
        <v>#ERROR!</v>
      </c>
    </row>
    <row r="1108" ht="12.75" customHeight="1">
      <c r="A1108" s="244" t="s">
        <v>5158</v>
      </c>
      <c r="B1108" s="244" t="s">
        <v>231</v>
      </c>
      <c r="C1108" s="244" t="s">
        <v>9605</v>
      </c>
      <c r="D1108" s="154" t="s">
        <v>1773</v>
      </c>
      <c r="E1108" s="154"/>
      <c r="F1108" s="154" t="str">
        <f t="array" ref="F1108">XLOOKUP(Cover!$D$12,$R$1:$Z$1,$R1108:$Z1108)</f>
        <v>Information</v>
      </c>
      <c r="G1108" s="154" t="s">
        <v>9606</v>
      </c>
      <c r="H1108" s="154" t="s">
        <v>9006</v>
      </c>
      <c r="I1108" s="154" t="s">
        <v>9603</v>
      </c>
      <c r="J1108" s="154" t="s">
        <v>9604</v>
      </c>
      <c r="K1108" s="154" t="s">
        <v>9003</v>
      </c>
      <c r="L1108" s="154" t="s">
        <v>7175</v>
      </c>
      <c r="M1108" s="154"/>
      <c r="N1108" s="154" t="s">
        <v>759</v>
      </c>
      <c r="O1108" s="247" t="s">
        <v>516</v>
      </c>
      <c r="P1108" s="247" t="s">
        <v>6776</v>
      </c>
      <c r="Q1108" s="154" t="str">
        <f t="shared" si="1"/>
        <v>#ERROR!</v>
      </c>
      <c r="R1108" s="154" t="s">
        <v>66</v>
      </c>
      <c r="S1108" s="154" t="s">
        <v>66</v>
      </c>
      <c r="T1108" s="154" t="s">
        <v>66</v>
      </c>
      <c r="U1108" s="154" t="s">
        <v>66</v>
      </c>
      <c r="V1108" s="154" t="s">
        <v>66</v>
      </c>
      <c r="W1108" s="154" t="s">
        <v>66</v>
      </c>
      <c r="X1108" s="154" t="s">
        <v>66</v>
      </c>
      <c r="Y1108" s="154" t="s">
        <v>66</v>
      </c>
      <c r="Z1108" s="154" t="s">
        <v>66</v>
      </c>
      <c r="AA1108" s="154"/>
      <c r="AB1108" s="242" t="str">
        <f t="shared" si="2"/>
        <v>#ERROR!</v>
      </c>
      <c r="AC1108" s="154" t="s">
        <v>391</v>
      </c>
      <c r="AD1108" s="242" t="b">
        <f t="shared" si="3"/>
        <v>0</v>
      </c>
      <c r="AE1108" s="154"/>
      <c r="AF1108" s="242" t="str">
        <f t="shared" si="4"/>
        <v>#ERROR!</v>
      </c>
      <c r="AG1108" s="154" t="s">
        <v>652</v>
      </c>
      <c r="AH1108" s="242" t="str">
        <f>IF(AG1108="","N/A",INDIRECT("MTR!"&amp;ADDRESS(MATCH(LEFT(AG1108,9),[1]MTR!C:C,0),COLUMN(J1108)),TRUE) &amp; "")</f>
        <v>#ERROR!</v>
      </c>
      <c r="AI1108" s="157" t="str">
        <f t="shared" si="5"/>
        <v>#ERROR!</v>
      </c>
    </row>
    <row r="1109" ht="12.75" customHeight="1">
      <c r="A1109" s="244" t="s">
        <v>5158</v>
      </c>
      <c r="B1109" s="244" t="s">
        <v>231</v>
      </c>
      <c r="C1109" s="244" t="s">
        <v>9607</v>
      </c>
      <c r="D1109" s="154" t="s">
        <v>1773</v>
      </c>
      <c r="E1109" s="154"/>
      <c r="F1109" s="154" t="str">
        <f t="array" ref="F1109">XLOOKUP(Cover!$D$12,$R$1:$Z$1,$R1109:$Z1109)</f>
        <v>Information</v>
      </c>
      <c r="G1109" s="154" t="s">
        <v>9608</v>
      </c>
      <c r="H1109" s="154" t="s">
        <v>9012</v>
      </c>
      <c r="I1109" s="154" t="s">
        <v>9603</v>
      </c>
      <c r="J1109" s="154" t="s">
        <v>9604</v>
      </c>
      <c r="K1109" s="154" t="s">
        <v>9003</v>
      </c>
      <c r="L1109" s="154" t="s">
        <v>7175</v>
      </c>
      <c r="M1109" s="154"/>
      <c r="N1109" s="154" t="s">
        <v>759</v>
      </c>
      <c r="O1109" s="247" t="s">
        <v>516</v>
      </c>
      <c r="P1109" s="247" t="s">
        <v>6776</v>
      </c>
      <c r="Q1109" s="154" t="str">
        <f t="shared" si="1"/>
        <v>#ERROR!</v>
      </c>
      <c r="R1109" s="154" t="s">
        <v>66</v>
      </c>
      <c r="S1109" s="154" t="s">
        <v>66</v>
      </c>
      <c r="T1109" s="154" t="s">
        <v>66</v>
      </c>
      <c r="U1109" s="154" t="s">
        <v>66</v>
      </c>
      <c r="V1109" s="154" t="s">
        <v>66</v>
      </c>
      <c r="W1109" s="154" t="s">
        <v>66</v>
      </c>
      <c r="X1109" s="154" t="s">
        <v>66</v>
      </c>
      <c r="Y1109" s="154" t="s">
        <v>66</v>
      </c>
      <c r="Z1109" s="154" t="s">
        <v>66</v>
      </c>
      <c r="AA1109" s="154"/>
      <c r="AB1109" s="242" t="str">
        <f t="shared" si="2"/>
        <v>#ERROR!</v>
      </c>
      <c r="AC1109" s="154" t="s">
        <v>391</v>
      </c>
      <c r="AD1109" s="242" t="b">
        <f t="shared" si="3"/>
        <v>0</v>
      </c>
      <c r="AE1109" s="154"/>
      <c r="AF1109" s="242" t="str">
        <f t="shared" si="4"/>
        <v>#ERROR!</v>
      </c>
      <c r="AG1109" s="154" t="s">
        <v>652</v>
      </c>
      <c r="AH1109" s="242" t="str">
        <f>IF(AG1109="","N/A",INDIRECT("MTR!"&amp;ADDRESS(MATCH(LEFT(AG1109,9),[1]MTR!C:C,0),COLUMN(J1109)),TRUE) &amp; "")</f>
        <v>#ERROR!</v>
      </c>
      <c r="AI1109" s="157" t="str">
        <f t="shared" si="5"/>
        <v>#ERROR!</v>
      </c>
    </row>
    <row r="1110" ht="12.75" customHeight="1">
      <c r="A1110" s="244" t="s">
        <v>5158</v>
      </c>
      <c r="B1110" s="244" t="s">
        <v>231</v>
      </c>
      <c r="C1110" s="244" t="s">
        <v>9609</v>
      </c>
      <c r="D1110" s="154" t="s">
        <v>1773</v>
      </c>
      <c r="E1110" s="154"/>
      <c r="F1110" s="154" t="str">
        <f t="array" ref="F1110">XLOOKUP(Cover!$D$12,$R$1:$Z$1,$R1110:$Z1110)</f>
        <v>Information</v>
      </c>
      <c r="G1110" s="154" t="s">
        <v>9610</v>
      </c>
      <c r="H1110" s="154" t="s">
        <v>1541</v>
      </c>
      <c r="I1110" s="154" t="s">
        <v>9603</v>
      </c>
      <c r="J1110" s="154" t="s">
        <v>9604</v>
      </c>
      <c r="K1110" s="154" t="s">
        <v>9003</v>
      </c>
      <c r="L1110" s="154" t="s">
        <v>7175</v>
      </c>
      <c r="M1110" s="154"/>
      <c r="N1110" s="154" t="s">
        <v>759</v>
      </c>
      <c r="O1110" s="247" t="s">
        <v>516</v>
      </c>
      <c r="P1110" s="247" t="s">
        <v>6776</v>
      </c>
      <c r="Q1110" s="154" t="str">
        <f t="shared" si="1"/>
        <v>#ERROR!</v>
      </c>
      <c r="R1110" s="154" t="s">
        <v>66</v>
      </c>
      <c r="S1110" s="154" t="s">
        <v>66</v>
      </c>
      <c r="T1110" s="154" t="s">
        <v>66</v>
      </c>
      <c r="U1110" s="154" t="s">
        <v>66</v>
      </c>
      <c r="V1110" s="154" t="s">
        <v>66</v>
      </c>
      <c r="W1110" s="154" t="s">
        <v>66</v>
      </c>
      <c r="X1110" s="154" t="s">
        <v>66</v>
      </c>
      <c r="Y1110" s="154" t="s">
        <v>66</v>
      </c>
      <c r="Z1110" s="154" t="s">
        <v>66</v>
      </c>
      <c r="AA1110" s="154"/>
      <c r="AB1110" s="242" t="str">
        <f t="shared" si="2"/>
        <v>#ERROR!</v>
      </c>
      <c r="AC1110" s="154" t="s">
        <v>391</v>
      </c>
      <c r="AD1110" s="242" t="b">
        <f t="shared" si="3"/>
        <v>0</v>
      </c>
      <c r="AE1110" s="154"/>
      <c r="AF1110" s="242" t="str">
        <f t="shared" si="4"/>
        <v>#ERROR!</v>
      </c>
      <c r="AG1110" s="154" t="s">
        <v>652</v>
      </c>
      <c r="AH1110" s="242" t="str">
        <f>IF(AG1110="","N/A",INDIRECT("MTR!"&amp;ADDRESS(MATCH(LEFT(AG1110,9),[1]MTR!C:C,0),COLUMN(J1110)),TRUE) &amp; "")</f>
        <v>#ERROR!</v>
      </c>
      <c r="AI1110" s="157" t="str">
        <f t="shared" si="5"/>
        <v>#ERROR!</v>
      </c>
    </row>
    <row r="1111" ht="12.75" customHeight="1">
      <c r="A1111" s="244" t="s">
        <v>5158</v>
      </c>
      <c r="B1111" s="244" t="s">
        <v>231</v>
      </c>
      <c r="C1111" s="244" t="s">
        <v>9611</v>
      </c>
      <c r="D1111" s="154" t="s">
        <v>1773</v>
      </c>
      <c r="E1111" s="154"/>
      <c r="F1111" s="154" t="str">
        <f t="array" ref="F1111">XLOOKUP(Cover!$D$12,$R$1:$Z$1,$R1111:$Z1111)</f>
        <v>Mandatory</v>
      </c>
      <c r="G1111" s="154" t="s">
        <v>9612</v>
      </c>
      <c r="H1111" s="154" t="s">
        <v>9002</v>
      </c>
      <c r="I1111" s="154" t="s">
        <v>9613</v>
      </c>
      <c r="J1111" s="154" t="s">
        <v>9614</v>
      </c>
      <c r="K1111" s="154" t="s">
        <v>9003</v>
      </c>
      <c r="L1111" s="154" t="s">
        <v>7175</v>
      </c>
      <c r="M1111" s="154" t="s">
        <v>175</v>
      </c>
      <c r="N1111" s="154" t="s">
        <v>759</v>
      </c>
      <c r="O1111" s="247" t="s">
        <v>516</v>
      </c>
      <c r="P1111" s="247" t="s">
        <v>6776</v>
      </c>
      <c r="Q1111" s="154" t="str">
        <f t="shared" si="1"/>
        <v>#ERROR!</v>
      </c>
      <c r="R1111" s="154" t="s">
        <v>66</v>
      </c>
      <c r="S1111" s="154" t="s">
        <v>66</v>
      </c>
      <c r="T1111" s="155" t="s">
        <v>64</v>
      </c>
      <c r="U1111" s="155" t="s">
        <v>64</v>
      </c>
      <c r="V1111" s="154" t="s">
        <v>60</v>
      </c>
      <c r="W1111" s="154" t="s">
        <v>60</v>
      </c>
      <c r="X1111" s="154" t="s">
        <v>66</v>
      </c>
      <c r="Y1111" s="155" t="s">
        <v>64</v>
      </c>
      <c r="Z1111" s="154" t="s">
        <v>60</v>
      </c>
      <c r="AA1111" s="154"/>
      <c r="AB1111" s="242" t="str">
        <f t="shared" si="2"/>
        <v>#ERROR!</v>
      </c>
      <c r="AC1111" s="154" t="s">
        <v>391</v>
      </c>
      <c r="AD1111" s="242" t="b">
        <f t="shared" si="3"/>
        <v>0</v>
      </c>
      <c r="AE1111" s="154"/>
      <c r="AF1111" s="242" t="str">
        <f t="shared" si="4"/>
        <v>#ERROR!</v>
      </c>
      <c r="AG1111" s="154" t="s">
        <v>652</v>
      </c>
      <c r="AH1111" s="242" t="str">
        <f>IF(AG1111="","N/A",INDIRECT("MTR!"&amp;ADDRESS(MATCH(LEFT(AG1111,9),[1]MTR!C:C,0),COLUMN(J1111)),TRUE) &amp; "")</f>
        <v>#ERROR!</v>
      </c>
      <c r="AI1111" s="157" t="str">
        <f t="shared" si="5"/>
        <v>#ERROR!</v>
      </c>
    </row>
    <row r="1112" ht="12.75" customHeight="1">
      <c r="A1112" s="244" t="s">
        <v>5158</v>
      </c>
      <c r="B1112" s="244" t="s">
        <v>231</v>
      </c>
      <c r="C1112" s="244" t="s">
        <v>9615</v>
      </c>
      <c r="D1112" s="154" t="s">
        <v>1773</v>
      </c>
      <c r="E1112" s="154"/>
      <c r="F1112" s="154" t="str">
        <f t="array" ref="F1112">XLOOKUP(Cover!$D$12,$R$1:$Z$1,$R1112:$Z1112)</f>
        <v>Mandatory</v>
      </c>
      <c r="G1112" s="154" t="s">
        <v>9616</v>
      </c>
      <c r="H1112" s="154" t="s">
        <v>9006</v>
      </c>
      <c r="I1112" s="154" t="s">
        <v>9613</v>
      </c>
      <c r="J1112" s="154" t="s">
        <v>9614</v>
      </c>
      <c r="K1112" s="154" t="s">
        <v>9003</v>
      </c>
      <c r="L1112" s="154" t="s">
        <v>7175</v>
      </c>
      <c r="M1112" s="154" t="s">
        <v>175</v>
      </c>
      <c r="N1112" s="154" t="s">
        <v>759</v>
      </c>
      <c r="O1112" s="247" t="s">
        <v>516</v>
      </c>
      <c r="P1112" s="247" t="s">
        <v>6776</v>
      </c>
      <c r="Q1112" s="154" t="str">
        <f t="shared" si="1"/>
        <v>#ERROR!</v>
      </c>
      <c r="R1112" s="154" t="s">
        <v>66</v>
      </c>
      <c r="S1112" s="154" t="s">
        <v>66</v>
      </c>
      <c r="T1112" s="155" t="s">
        <v>64</v>
      </c>
      <c r="U1112" s="155" t="s">
        <v>64</v>
      </c>
      <c r="V1112" s="154" t="s">
        <v>60</v>
      </c>
      <c r="W1112" s="154" t="s">
        <v>60</v>
      </c>
      <c r="X1112" s="154" t="s">
        <v>66</v>
      </c>
      <c r="Y1112" s="155" t="s">
        <v>64</v>
      </c>
      <c r="Z1112" s="154" t="s">
        <v>60</v>
      </c>
      <c r="AA1112" s="154"/>
      <c r="AB1112" s="242" t="str">
        <f t="shared" si="2"/>
        <v>#ERROR!</v>
      </c>
      <c r="AC1112" s="154" t="s">
        <v>391</v>
      </c>
      <c r="AD1112" s="242" t="b">
        <f t="shared" si="3"/>
        <v>0</v>
      </c>
      <c r="AE1112" s="154"/>
      <c r="AF1112" s="242" t="str">
        <f t="shared" si="4"/>
        <v>#ERROR!</v>
      </c>
      <c r="AG1112" s="154" t="s">
        <v>652</v>
      </c>
      <c r="AH1112" s="242" t="str">
        <f>IF(AG1112="","N/A",INDIRECT("MTR!"&amp;ADDRESS(MATCH(LEFT(AG1112,9),[1]MTR!C:C,0),COLUMN(J1112)),TRUE) &amp; "")</f>
        <v>#ERROR!</v>
      </c>
      <c r="AI1112" s="157" t="str">
        <f t="shared" si="5"/>
        <v>#ERROR!</v>
      </c>
    </row>
    <row r="1113" ht="12.75" customHeight="1">
      <c r="A1113" s="244" t="s">
        <v>5158</v>
      </c>
      <c r="B1113" s="244" t="s">
        <v>231</v>
      </c>
      <c r="C1113" s="244" t="s">
        <v>9617</v>
      </c>
      <c r="D1113" s="154" t="s">
        <v>1773</v>
      </c>
      <c r="E1113" s="154"/>
      <c r="F1113" s="154" t="str">
        <f t="array" ref="F1113">XLOOKUP(Cover!$D$12,$R$1:$Z$1,$R1113:$Z1113)</f>
        <v>Mandatory</v>
      </c>
      <c r="G1113" s="154" t="s">
        <v>9618</v>
      </c>
      <c r="H1113" s="154" t="s">
        <v>9012</v>
      </c>
      <c r="I1113" s="154" t="s">
        <v>9613</v>
      </c>
      <c r="J1113" s="154" t="s">
        <v>9614</v>
      </c>
      <c r="K1113" s="154" t="s">
        <v>9003</v>
      </c>
      <c r="L1113" s="154" t="s">
        <v>7175</v>
      </c>
      <c r="M1113" s="154" t="s">
        <v>175</v>
      </c>
      <c r="N1113" s="154" t="s">
        <v>759</v>
      </c>
      <c r="O1113" s="247" t="s">
        <v>516</v>
      </c>
      <c r="P1113" s="247" t="s">
        <v>6776</v>
      </c>
      <c r="Q1113" s="154" t="str">
        <f t="shared" si="1"/>
        <v>#ERROR!</v>
      </c>
      <c r="R1113" s="154" t="s">
        <v>66</v>
      </c>
      <c r="S1113" s="154" t="s">
        <v>66</v>
      </c>
      <c r="T1113" s="155" t="s">
        <v>64</v>
      </c>
      <c r="U1113" s="155" t="s">
        <v>64</v>
      </c>
      <c r="V1113" s="154" t="s">
        <v>60</v>
      </c>
      <c r="W1113" s="154" t="s">
        <v>60</v>
      </c>
      <c r="X1113" s="154" t="s">
        <v>66</v>
      </c>
      <c r="Y1113" s="155" t="s">
        <v>64</v>
      </c>
      <c r="Z1113" s="154" t="s">
        <v>60</v>
      </c>
      <c r="AA1113" s="154"/>
      <c r="AB1113" s="242" t="str">
        <f t="shared" si="2"/>
        <v>#ERROR!</v>
      </c>
      <c r="AC1113" s="154" t="s">
        <v>391</v>
      </c>
      <c r="AD1113" s="242" t="b">
        <f t="shared" si="3"/>
        <v>0</v>
      </c>
      <c r="AE1113" s="154"/>
      <c r="AF1113" s="242" t="str">
        <f t="shared" si="4"/>
        <v>#ERROR!</v>
      </c>
      <c r="AG1113" s="154" t="s">
        <v>652</v>
      </c>
      <c r="AH1113" s="242" t="str">
        <f>IF(AG1113="","N/A",INDIRECT("MTR!"&amp;ADDRESS(MATCH(LEFT(AG1113,9),[1]MTR!C:C,0),COLUMN(J1113)),TRUE) &amp; "")</f>
        <v>#ERROR!</v>
      </c>
      <c r="AI1113" s="157" t="str">
        <f t="shared" si="5"/>
        <v>#ERROR!</v>
      </c>
    </row>
    <row r="1114" ht="12.75" customHeight="1">
      <c r="A1114" s="244" t="s">
        <v>5158</v>
      </c>
      <c r="B1114" s="244" t="s">
        <v>231</v>
      </c>
      <c r="C1114" s="245" t="s">
        <v>9619</v>
      </c>
      <c r="D1114" s="155" t="s">
        <v>1773</v>
      </c>
      <c r="E1114" s="155" t="s">
        <v>92</v>
      </c>
      <c r="F1114" s="154" t="str">
        <f t="array" ref="F1114">XLOOKUP(Cover!$D$12,$R$1:$Z$1,$R1114:$Z1114)</f>
        <v>Recommended</v>
      </c>
      <c r="G1114" s="154" t="s">
        <v>9620</v>
      </c>
      <c r="H1114" s="154" t="s">
        <v>9002</v>
      </c>
      <c r="I1114" s="154" t="s">
        <v>9621</v>
      </c>
      <c r="J1114" s="154" t="s">
        <v>9622</v>
      </c>
      <c r="K1114" s="154" t="s">
        <v>9003</v>
      </c>
      <c r="L1114" s="154" t="s">
        <v>7175</v>
      </c>
      <c r="M1114" s="154"/>
      <c r="N1114" s="154" t="s">
        <v>759</v>
      </c>
      <c r="O1114" s="247" t="s">
        <v>516</v>
      </c>
      <c r="P1114" s="247" t="s">
        <v>6776</v>
      </c>
      <c r="Q1114" s="154" t="str">
        <f t="shared" si="1"/>
        <v>#ERROR!</v>
      </c>
      <c r="R1114" s="154" t="s">
        <v>66</v>
      </c>
      <c r="S1114" s="154" t="s">
        <v>66</v>
      </c>
      <c r="T1114" s="154" t="s">
        <v>64</v>
      </c>
      <c r="U1114" s="154" t="s">
        <v>64</v>
      </c>
      <c r="V1114" s="154" t="s">
        <v>64</v>
      </c>
      <c r="W1114" s="154" t="s">
        <v>64</v>
      </c>
      <c r="X1114" s="154" t="s">
        <v>66</v>
      </c>
      <c r="Y1114" s="154" t="s">
        <v>64</v>
      </c>
      <c r="Z1114" s="154" t="s">
        <v>64</v>
      </c>
      <c r="AA1114" s="154"/>
      <c r="AB1114" s="242" t="str">
        <f t="shared" si="2"/>
        <v>#ERROR!</v>
      </c>
      <c r="AC1114" s="154" t="s">
        <v>391</v>
      </c>
      <c r="AD1114" s="242" t="b">
        <f t="shared" si="3"/>
        <v>0</v>
      </c>
      <c r="AE1114" s="154"/>
      <c r="AF1114" s="242" t="str">
        <f t="shared" si="4"/>
        <v>#ERROR!</v>
      </c>
      <c r="AG1114" s="154" t="s">
        <v>652</v>
      </c>
      <c r="AH1114" s="242" t="str">
        <f>IF(AG1114="","N/A",INDIRECT("MTR!"&amp;ADDRESS(MATCH(LEFT(AG1114,9),[1]MTR!C:C,0),COLUMN(J1114)),TRUE) &amp; "")</f>
        <v>#ERROR!</v>
      </c>
      <c r="AI1114" s="157" t="str">
        <f t="shared" si="5"/>
        <v>#ERROR!</v>
      </c>
    </row>
    <row r="1115" ht="12.75" customHeight="1">
      <c r="A1115" s="244" t="s">
        <v>5158</v>
      </c>
      <c r="B1115" s="244" t="s">
        <v>231</v>
      </c>
      <c r="C1115" s="245" t="s">
        <v>9623</v>
      </c>
      <c r="D1115" s="155" t="s">
        <v>1773</v>
      </c>
      <c r="E1115" s="155" t="s">
        <v>92</v>
      </c>
      <c r="F1115" s="154" t="str">
        <f t="array" ref="F1115">XLOOKUP(Cover!$D$12,$R$1:$Z$1,$R1115:$Z1115)</f>
        <v>Recommended</v>
      </c>
      <c r="G1115" s="154" t="s">
        <v>9624</v>
      </c>
      <c r="H1115" s="154" t="s">
        <v>9006</v>
      </c>
      <c r="I1115" s="154" t="s">
        <v>9621</v>
      </c>
      <c r="J1115" s="154" t="s">
        <v>9622</v>
      </c>
      <c r="K1115" s="154" t="s">
        <v>9003</v>
      </c>
      <c r="L1115" s="154" t="s">
        <v>7175</v>
      </c>
      <c r="M1115" s="154"/>
      <c r="N1115" s="154" t="s">
        <v>759</v>
      </c>
      <c r="O1115" s="247" t="s">
        <v>516</v>
      </c>
      <c r="P1115" s="247" t="s">
        <v>6776</v>
      </c>
      <c r="Q1115" s="154" t="str">
        <f t="shared" si="1"/>
        <v>#ERROR!</v>
      </c>
      <c r="R1115" s="154" t="s">
        <v>66</v>
      </c>
      <c r="S1115" s="154" t="s">
        <v>66</v>
      </c>
      <c r="T1115" s="154" t="s">
        <v>64</v>
      </c>
      <c r="U1115" s="154" t="s">
        <v>64</v>
      </c>
      <c r="V1115" s="154" t="s">
        <v>64</v>
      </c>
      <c r="W1115" s="154" t="s">
        <v>64</v>
      </c>
      <c r="X1115" s="154" t="s">
        <v>66</v>
      </c>
      <c r="Y1115" s="154" t="s">
        <v>64</v>
      </c>
      <c r="Z1115" s="154" t="s">
        <v>64</v>
      </c>
      <c r="AA1115" s="154"/>
      <c r="AB1115" s="242" t="str">
        <f t="shared" si="2"/>
        <v>#ERROR!</v>
      </c>
      <c r="AC1115" s="154" t="s">
        <v>391</v>
      </c>
      <c r="AD1115" s="242" t="b">
        <f t="shared" si="3"/>
        <v>0</v>
      </c>
      <c r="AE1115" s="154"/>
      <c r="AF1115" s="242" t="str">
        <f t="shared" si="4"/>
        <v>#ERROR!</v>
      </c>
      <c r="AG1115" s="154" t="s">
        <v>652</v>
      </c>
      <c r="AH1115" s="242" t="str">
        <f>IF(AG1115="","N/A",INDIRECT("MTR!"&amp;ADDRESS(MATCH(LEFT(AG1115,9),[1]MTR!C:C,0),COLUMN(J1115)),TRUE) &amp; "")</f>
        <v>#ERROR!</v>
      </c>
      <c r="AI1115" s="157" t="str">
        <f t="shared" si="5"/>
        <v>#ERROR!</v>
      </c>
    </row>
    <row r="1116" ht="12.75" customHeight="1">
      <c r="A1116" s="244" t="s">
        <v>5158</v>
      </c>
      <c r="B1116" s="244" t="s">
        <v>231</v>
      </c>
      <c r="C1116" s="245" t="s">
        <v>9625</v>
      </c>
      <c r="D1116" s="155" t="s">
        <v>1773</v>
      </c>
      <c r="E1116" s="155" t="s">
        <v>92</v>
      </c>
      <c r="F1116" s="154" t="str">
        <f t="array" ref="F1116">XLOOKUP(Cover!$D$12,$R$1:$Z$1,$R1116:$Z1116)</f>
        <v>Recommended</v>
      </c>
      <c r="G1116" s="154" t="s">
        <v>9626</v>
      </c>
      <c r="H1116" s="154" t="s">
        <v>9015</v>
      </c>
      <c r="I1116" s="154" t="s">
        <v>9621</v>
      </c>
      <c r="J1116" s="154" t="s">
        <v>9622</v>
      </c>
      <c r="K1116" s="154" t="s">
        <v>9003</v>
      </c>
      <c r="L1116" s="154" t="s">
        <v>7175</v>
      </c>
      <c r="M1116" s="154"/>
      <c r="N1116" s="154" t="s">
        <v>759</v>
      </c>
      <c r="O1116" s="247" t="s">
        <v>516</v>
      </c>
      <c r="P1116" s="247" t="s">
        <v>6776</v>
      </c>
      <c r="Q1116" s="154" t="str">
        <f t="shared" si="1"/>
        <v>#ERROR!</v>
      </c>
      <c r="R1116" s="154" t="s">
        <v>66</v>
      </c>
      <c r="S1116" s="154" t="s">
        <v>66</v>
      </c>
      <c r="T1116" s="154" t="s">
        <v>64</v>
      </c>
      <c r="U1116" s="154" t="s">
        <v>64</v>
      </c>
      <c r="V1116" s="154" t="s">
        <v>64</v>
      </c>
      <c r="W1116" s="154" t="s">
        <v>64</v>
      </c>
      <c r="X1116" s="154" t="s">
        <v>66</v>
      </c>
      <c r="Y1116" s="154" t="s">
        <v>64</v>
      </c>
      <c r="Z1116" s="154" t="s">
        <v>64</v>
      </c>
      <c r="AA1116" s="154"/>
      <c r="AB1116" s="242" t="str">
        <f t="shared" si="2"/>
        <v>#ERROR!</v>
      </c>
      <c r="AC1116" s="154" t="s">
        <v>391</v>
      </c>
      <c r="AD1116" s="242" t="b">
        <f t="shared" si="3"/>
        <v>0</v>
      </c>
      <c r="AE1116" s="154"/>
      <c r="AF1116" s="242" t="str">
        <f t="shared" si="4"/>
        <v>#ERROR!</v>
      </c>
      <c r="AG1116" s="154" t="s">
        <v>652</v>
      </c>
      <c r="AH1116" s="242" t="str">
        <f>IF(AG1116="","N/A",INDIRECT("MTR!"&amp;ADDRESS(MATCH(LEFT(AG1116,9),[1]MTR!C:C,0),COLUMN(J1116)),TRUE) &amp; "")</f>
        <v>#ERROR!</v>
      </c>
      <c r="AI1116" s="157" t="str">
        <f t="shared" si="5"/>
        <v>#ERROR!</v>
      </c>
    </row>
    <row r="1117" ht="12.75" customHeight="1">
      <c r="A1117" s="244" t="s">
        <v>5158</v>
      </c>
      <c r="B1117" s="244" t="s">
        <v>231</v>
      </c>
      <c r="C1117" s="245" t="s">
        <v>9627</v>
      </c>
      <c r="D1117" s="155" t="s">
        <v>1773</v>
      </c>
      <c r="E1117" s="155" t="s">
        <v>92</v>
      </c>
      <c r="F1117" s="154" t="str">
        <f t="array" ref="F1117">XLOOKUP(Cover!$D$12,$R$1:$Z$1,$R1117:$Z1117)</f>
        <v>Recommended</v>
      </c>
      <c r="G1117" s="154" t="s">
        <v>9628</v>
      </c>
      <c r="H1117" s="154" t="s">
        <v>1541</v>
      </c>
      <c r="I1117" s="154" t="s">
        <v>9621</v>
      </c>
      <c r="J1117" s="154" t="s">
        <v>9622</v>
      </c>
      <c r="K1117" s="154" t="s">
        <v>9003</v>
      </c>
      <c r="L1117" s="154" t="s">
        <v>7175</v>
      </c>
      <c r="M1117" s="154"/>
      <c r="N1117" s="154" t="s">
        <v>759</v>
      </c>
      <c r="O1117" s="247" t="s">
        <v>516</v>
      </c>
      <c r="P1117" s="247" t="s">
        <v>6776</v>
      </c>
      <c r="Q1117" s="154" t="str">
        <f t="shared" si="1"/>
        <v>#ERROR!</v>
      </c>
      <c r="R1117" s="154" t="s">
        <v>66</v>
      </c>
      <c r="S1117" s="154" t="s">
        <v>66</v>
      </c>
      <c r="T1117" s="154" t="s">
        <v>64</v>
      </c>
      <c r="U1117" s="154" t="s">
        <v>64</v>
      </c>
      <c r="V1117" s="154" t="s">
        <v>64</v>
      </c>
      <c r="W1117" s="154" t="s">
        <v>64</v>
      </c>
      <c r="X1117" s="154" t="s">
        <v>66</v>
      </c>
      <c r="Y1117" s="154" t="s">
        <v>64</v>
      </c>
      <c r="Z1117" s="154" t="s">
        <v>64</v>
      </c>
      <c r="AA1117" s="154"/>
      <c r="AB1117" s="242" t="str">
        <f t="shared" si="2"/>
        <v>#ERROR!</v>
      </c>
      <c r="AC1117" s="154" t="s">
        <v>391</v>
      </c>
      <c r="AD1117" s="242" t="b">
        <f t="shared" si="3"/>
        <v>0</v>
      </c>
      <c r="AE1117" s="154"/>
      <c r="AF1117" s="242" t="str">
        <f t="shared" si="4"/>
        <v>#ERROR!</v>
      </c>
      <c r="AG1117" s="154" t="s">
        <v>652</v>
      </c>
      <c r="AH1117" s="242" t="str">
        <f>IF(AG1117="","N/A",INDIRECT("MTR!"&amp;ADDRESS(MATCH(LEFT(AG1117,9),[1]MTR!C:C,0),COLUMN(J1117)),TRUE) &amp; "")</f>
        <v>#ERROR!</v>
      </c>
      <c r="AI1117" s="157" t="str">
        <f t="shared" si="5"/>
        <v>#ERROR!</v>
      </c>
    </row>
    <row r="1118" ht="12.75" customHeight="1">
      <c r="A1118" s="244" t="s">
        <v>5158</v>
      </c>
      <c r="B1118" s="244" t="s">
        <v>231</v>
      </c>
      <c r="C1118" s="244" t="s">
        <v>9629</v>
      </c>
      <c r="D1118" s="154" t="s">
        <v>1773</v>
      </c>
      <c r="E1118" s="154"/>
      <c r="F1118" s="154" t="str">
        <f t="array" ref="F1118">XLOOKUP(Cover!$D$12,$R$1:$Z$1,$R1118:$Z1118)</f>
        <v>Mandatory</v>
      </c>
      <c r="G1118" s="154" t="s">
        <v>9630</v>
      </c>
      <c r="H1118" s="154" t="s">
        <v>9002</v>
      </c>
      <c r="I1118" s="154" t="s">
        <v>9631</v>
      </c>
      <c r="J1118" s="154" t="s">
        <v>8869</v>
      </c>
      <c r="K1118" s="154" t="s">
        <v>9003</v>
      </c>
      <c r="L1118" s="154" t="s">
        <v>7175</v>
      </c>
      <c r="M1118" s="154" t="s">
        <v>175</v>
      </c>
      <c r="N1118" s="154" t="s">
        <v>759</v>
      </c>
      <c r="O1118" s="247" t="s">
        <v>516</v>
      </c>
      <c r="P1118" s="247" t="s">
        <v>6776</v>
      </c>
      <c r="Q1118" s="154" t="str">
        <f t="shared" si="1"/>
        <v>#ERROR!</v>
      </c>
      <c r="R1118" s="154" t="s">
        <v>66</v>
      </c>
      <c r="S1118" s="154" t="s">
        <v>66</v>
      </c>
      <c r="T1118" s="155" t="s">
        <v>64</v>
      </c>
      <c r="U1118" s="155" t="s">
        <v>64</v>
      </c>
      <c r="V1118" s="154" t="s">
        <v>60</v>
      </c>
      <c r="W1118" s="154" t="s">
        <v>60</v>
      </c>
      <c r="X1118" s="154" t="s">
        <v>66</v>
      </c>
      <c r="Y1118" s="155" t="s">
        <v>64</v>
      </c>
      <c r="Z1118" s="154" t="s">
        <v>60</v>
      </c>
      <c r="AA1118" s="154"/>
      <c r="AB1118" s="242" t="str">
        <f t="shared" si="2"/>
        <v>#ERROR!</v>
      </c>
      <c r="AC1118" s="154" t="s">
        <v>391</v>
      </c>
      <c r="AD1118" s="242" t="b">
        <f t="shared" si="3"/>
        <v>0</v>
      </c>
      <c r="AE1118" s="154"/>
      <c r="AF1118" s="242" t="str">
        <f t="shared" si="4"/>
        <v>#ERROR!</v>
      </c>
      <c r="AG1118" s="154" t="s">
        <v>652</v>
      </c>
      <c r="AH1118" s="242" t="str">
        <f>IF(AG1118="","N/A",INDIRECT("MTR!"&amp;ADDRESS(MATCH(LEFT(AG1118,9),[1]MTR!C:C,0),COLUMN(J1118)),TRUE) &amp; "")</f>
        <v>#ERROR!</v>
      </c>
      <c r="AI1118" s="157" t="str">
        <f t="shared" si="5"/>
        <v>#ERROR!</v>
      </c>
    </row>
    <row r="1119" ht="12.75" customHeight="1">
      <c r="A1119" s="244" t="s">
        <v>5158</v>
      </c>
      <c r="B1119" s="244" t="s">
        <v>231</v>
      </c>
      <c r="C1119" s="244" t="s">
        <v>9632</v>
      </c>
      <c r="D1119" s="154" t="s">
        <v>1773</v>
      </c>
      <c r="E1119" s="154"/>
      <c r="F1119" s="154" t="str">
        <f t="array" ref="F1119">XLOOKUP(Cover!$D$12,$R$1:$Z$1,$R1119:$Z1119)</f>
        <v>Mandatory</v>
      </c>
      <c r="G1119" s="154" t="s">
        <v>9633</v>
      </c>
      <c r="H1119" s="154" t="s">
        <v>9006</v>
      </c>
      <c r="I1119" s="154" t="s">
        <v>9631</v>
      </c>
      <c r="J1119" s="154" t="s">
        <v>8869</v>
      </c>
      <c r="K1119" s="154" t="s">
        <v>9003</v>
      </c>
      <c r="L1119" s="154" t="s">
        <v>7175</v>
      </c>
      <c r="M1119" s="154" t="s">
        <v>175</v>
      </c>
      <c r="N1119" s="154" t="s">
        <v>759</v>
      </c>
      <c r="O1119" s="247" t="s">
        <v>516</v>
      </c>
      <c r="P1119" s="247" t="s">
        <v>6776</v>
      </c>
      <c r="Q1119" s="154" t="str">
        <f t="shared" si="1"/>
        <v>#ERROR!</v>
      </c>
      <c r="R1119" s="154" t="s">
        <v>66</v>
      </c>
      <c r="S1119" s="154" t="s">
        <v>66</v>
      </c>
      <c r="T1119" s="155" t="s">
        <v>64</v>
      </c>
      <c r="U1119" s="155" t="s">
        <v>64</v>
      </c>
      <c r="V1119" s="154" t="s">
        <v>60</v>
      </c>
      <c r="W1119" s="154" t="s">
        <v>60</v>
      </c>
      <c r="X1119" s="154" t="s">
        <v>66</v>
      </c>
      <c r="Y1119" s="155" t="s">
        <v>64</v>
      </c>
      <c r="Z1119" s="154" t="s">
        <v>60</v>
      </c>
      <c r="AA1119" s="154"/>
      <c r="AB1119" s="242" t="str">
        <f t="shared" si="2"/>
        <v>#ERROR!</v>
      </c>
      <c r="AC1119" s="154" t="s">
        <v>391</v>
      </c>
      <c r="AD1119" s="242" t="b">
        <f t="shared" si="3"/>
        <v>0</v>
      </c>
      <c r="AE1119" s="154"/>
      <c r="AF1119" s="242" t="str">
        <f t="shared" si="4"/>
        <v>#ERROR!</v>
      </c>
      <c r="AG1119" s="154" t="s">
        <v>652</v>
      </c>
      <c r="AH1119" s="242" t="str">
        <f>IF(AG1119="","N/A",INDIRECT("MTR!"&amp;ADDRESS(MATCH(LEFT(AG1119,9),[1]MTR!C:C,0),COLUMN(J1119)),TRUE) &amp; "")</f>
        <v>#ERROR!</v>
      </c>
      <c r="AI1119" s="157" t="str">
        <f t="shared" si="5"/>
        <v>#ERROR!</v>
      </c>
    </row>
    <row r="1120" ht="12.75" customHeight="1">
      <c r="A1120" s="244" t="s">
        <v>5158</v>
      </c>
      <c r="B1120" s="244" t="s">
        <v>231</v>
      </c>
      <c r="C1120" s="244" t="s">
        <v>9634</v>
      </c>
      <c r="D1120" s="154" t="s">
        <v>1773</v>
      </c>
      <c r="E1120" s="154"/>
      <c r="F1120" s="154" t="str">
        <f t="array" ref="F1120">XLOOKUP(Cover!$D$12,$R$1:$Z$1,$R1120:$Z1120)</f>
        <v>Mandatory</v>
      </c>
      <c r="G1120" s="154" t="s">
        <v>9635</v>
      </c>
      <c r="H1120" s="154" t="s">
        <v>9015</v>
      </c>
      <c r="I1120" s="154" t="s">
        <v>9631</v>
      </c>
      <c r="J1120" s="154" t="s">
        <v>8869</v>
      </c>
      <c r="K1120" s="154" t="s">
        <v>9003</v>
      </c>
      <c r="L1120" s="154" t="s">
        <v>7175</v>
      </c>
      <c r="M1120" s="154" t="s">
        <v>175</v>
      </c>
      <c r="N1120" s="154" t="s">
        <v>759</v>
      </c>
      <c r="O1120" s="247" t="s">
        <v>516</v>
      </c>
      <c r="P1120" s="247" t="s">
        <v>6776</v>
      </c>
      <c r="Q1120" s="154" t="str">
        <f t="shared" si="1"/>
        <v>#ERROR!</v>
      </c>
      <c r="R1120" s="154" t="s">
        <v>66</v>
      </c>
      <c r="S1120" s="154" t="s">
        <v>66</v>
      </c>
      <c r="T1120" s="155" t="s">
        <v>64</v>
      </c>
      <c r="U1120" s="155" t="s">
        <v>64</v>
      </c>
      <c r="V1120" s="154" t="s">
        <v>60</v>
      </c>
      <c r="W1120" s="154" t="s">
        <v>60</v>
      </c>
      <c r="X1120" s="154" t="s">
        <v>66</v>
      </c>
      <c r="Y1120" s="155" t="s">
        <v>64</v>
      </c>
      <c r="Z1120" s="154" t="s">
        <v>60</v>
      </c>
      <c r="AA1120" s="154"/>
      <c r="AB1120" s="242" t="str">
        <f t="shared" si="2"/>
        <v>#ERROR!</v>
      </c>
      <c r="AC1120" s="154" t="s">
        <v>391</v>
      </c>
      <c r="AD1120" s="242" t="b">
        <f t="shared" si="3"/>
        <v>0</v>
      </c>
      <c r="AE1120" s="154"/>
      <c r="AF1120" s="242" t="str">
        <f t="shared" si="4"/>
        <v>#ERROR!</v>
      </c>
      <c r="AG1120" s="154" t="s">
        <v>652</v>
      </c>
      <c r="AH1120" s="242" t="str">
        <f>IF(AG1120="","N/A",INDIRECT("MTR!"&amp;ADDRESS(MATCH(LEFT(AG1120,9),[1]MTR!C:C,0),COLUMN(J1120)),TRUE) &amp; "")</f>
        <v>#ERROR!</v>
      </c>
      <c r="AI1120" s="157" t="str">
        <f t="shared" si="5"/>
        <v>#ERROR!</v>
      </c>
    </row>
    <row r="1121" ht="12.75" customHeight="1">
      <c r="A1121" s="244" t="s">
        <v>5158</v>
      </c>
      <c r="B1121" s="244" t="s">
        <v>231</v>
      </c>
      <c r="C1121" s="244" t="s">
        <v>9636</v>
      </c>
      <c r="D1121" s="154" t="s">
        <v>503</v>
      </c>
      <c r="E1121" s="154"/>
      <c r="F1121" s="154" t="str">
        <f t="array" ref="F1121">XLOOKUP(Cover!$D$12,$R$1:$Z$1,$R1121:$Z1121)</f>
        <v>Information</v>
      </c>
      <c r="G1121" s="154" t="s">
        <v>9637</v>
      </c>
      <c r="H1121" s="154" t="s">
        <v>9002</v>
      </c>
      <c r="I1121" s="154" t="s">
        <v>9638</v>
      </c>
      <c r="J1121" s="154" t="s">
        <v>8877</v>
      </c>
      <c r="K1121" s="154" t="s">
        <v>9003</v>
      </c>
      <c r="L1121" s="154" t="s">
        <v>7431</v>
      </c>
      <c r="M1121" s="154"/>
      <c r="N1121" s="154" t="s">
        <v>759</v>
      </c>
      <c r="O1121" s="247" t="s">
        <v>516</v>
      </c>
      <c r="P1121" s="247" t="s">
        <v>6776</v>
      </c>
      <c r="Q1121" s="154" t="str">
        <f t="shared" si="1"/>
        <v>#ERROR!</v>
      </c>
      <c r="R1121" s="154" t="s">
        <v>66</v>
      </c>
      <c r="S1121" s="154" t="s">
        <v>66</v>
      </c>
      <c r="T1121" s="154" t="s">
        <v>66</v>
      </c>
      <c r="U1121" s="154" t="s">
        <v>66</v>
      </c>
      <c r="V1121" s="154" t="s">
        <v>66</v>
      </c>
      <c r="W1121" s="154" t="s">
        <v>66</v>
      </c>
      <c r="X1121" s="154" t="s">
        <v>66</v>
      </c>
      <c r="Y1121" s="154" t="s">
        <v>66</v>
      </c>
      <c r="Z1121" s="154" t="s">
        <v>66</v>
      </c>
      <c r="AA1121" s="154"/>
      <c r="AB1121" s="242" t="str">
        <f t="shared" si="2"/>
        <v>#ERROR!</v>
      </c>
      <c r="AC1121" s="154" t="s">
        <v>391</v>
      </c>
      <c r="AD1121" s="242" t="b">
        <f t="shared" si="3"/>
        <v>0</v>
      </c>
      <c r="AE1121" s="154"/>
      <c r="AF1121" s="242" t="str">
        <f t="shared" si="4"/>
        <v>#ERROR!</v>
      </c>
      <c r="AG1121" s="154" t="s">
        <v>652</v>
      </c>
      <c r="AH1121" s="242" t="str">
        <f>IF(AG1121="","N/A",INDIRECT("MTR!"&amp;ADDRESS(MATCH(LEFT(AG1121,9),[1]MTR!C:C,0),COLUMN(J1121)),TRUE) &amp; "")</f>
        <v>#ERROR!</v>
      </c>
      <c r="AI1121" s="157" t="str">
        <f t="shared" si="5"/>
        <v>#ERROR!</v>
      </c>
    </row>
    <row r="1122" ht="12.75" customHeight="1">
      <c r="A1122" s="244" t="s">
        <v>5158</v>
      </c>
      <c r="B1122" s="244" t="s">
        <v>231</v>
      </c>
      <c r="C1122" s="244" t="s">
        <v>9639</v>
      </c>
      <c r="D1122" s="154" t="s">
        <v>503</v>
      </c>
      <c r="E1122" s="154"/>
      <c r="F1122" s="154" t="str">
        <f t="array" ref="F1122">XLOOKUP(Cover!$D$12,$R$1:$Z$1,$R1122:$Z1122)</f>
        <v>Information</v>
      </c>
      <c r="G1122" s="154" t="s">
        <v>9640</v>
      </c>
      <c r="H1122" s="154" t="s">
        <v>9009</v>
      </c>
      <c r="I1122" s="154" t="s">
        <v>9638</v>
      </c>
      <c r="J1122" s="154" t="s">
        <v>8877</v>
      </c>
      <c r="K1122" s="154" t="s">
        <v>9003</v>
      </c>
      <c r="L1122" s="154" t="s">
        <v>7431</v>
      </c>
      <c r="M1122" s="154"/>
      <c r="N1122" s="154" t="s">
        <v>759</v>
      </c>
      <c r="O1122" s="247" t="s">
        <v>516</v>
      </c>
      <c r="P1122" s="247" t="s">
        <v>6776</v>
      </c>
      <c r="Q1122" s="154" t="str">
        <f t="shared" si="1"/>
        <v>#ERROR!</v>
      </c>
      <c r="R1122" s="154" t="s">
        <v>66</v>
      </c>
      <c r="S1122" s="154" t="s">
        <v>66</v>
      </c>
      <c r="T1122" s="154" t="s">
        <v>66</v>
      </c>
      <c r="U1122" s="154" t="s">
        <v>66</v>
      </c>
      <c r="V1122" s="154" t="s">
        <v>66</v>
      </c>
      <c r="W1122" s="154" t="s">
        <v>66</v>
      </c>
      <c r="X1122" s="154" t="s">
        <v>66</v>
      </c>
      <c r="Y1122" s="154" t="s">
        <v>66</v>
      </c>
      <c r="Z1122" s="154" t="s">
        <v>66</v>
      </c>
      <c r="AA1122" s="154"/>
      <c r="AB1122" s="242" t="str">
        <f t="shared" si="2"/>
        <v>#ERROR!</v>
      </c>
      <c r="AC1122" s="154" t="s">
        <v>391</v>
      </c>
      <c r="AD1122" s="242" t="b">
        <f t="shared" si="3"/>
        <v>0</v>
      </c>
      <c r="AE1122" s="154"/>
      <c r="AF1122" s="242" t="str">
        <f t="shared" si="4"/>
        <v>#ERROR!</v>
      </c>
      <c r="AG1122" s="154" t="s">
        <v>652</v>
      </c>
      <c r="AH1122" s="242" t="str">
        <f>IF(AG1122="","N/A",INDIRECT("MTR!"&amp;ADDRESS(MATCH(LEFT(AG1122,9),[1]MTR!C:C,0),COLUMN(J1122)),TRUE) &amp; "")</f>
        <v>#ERROR!</v>
      </c>
      <c r="AI1122" s="157" t="str">
        <f t="shared" si="5"/>
        <v>#ERROR!</v>
      </c>
    </row>
    <row r="1123" ht="12.75" customHeight="1">
      <c r="A1123" s="244" t="s">
        <v>5158</v>
      </c>
      <c r="B1123" s="244" t="s">
        <v>231</v>
      </c>
      <c r="C1123" s="244" t="s">
        <v>9641</v>
      </c>
      <c r="D1123" s="154" t="s">
        <v>503</v>
      </c>
      <c r="E1123" s="154"/>
      <c r="F1123" s="154" t="str">
        <f t="array" ref="F1123">XLOOKUP(Cover!$D$12,$R$1:$Z$1,$R1123:$Z1123)</f>
        <v>Information</v>
      </c>
      <c r="G1123" s="154" t="s">
        <v>9642</v>
      </c>
      <c r="H1123" s="154" t="s">
        <v>9012</v>
      </c>
      <c r="I1123" s="154" t="s">
        <v>9638</v>
      </c>
      <c r="J1123" s="154" t="s">
        <v>8877</v>
      </c>
      <c r="K1123" s="154" t="s">
        <v>9003</v>
      </c>
      <c r="L1123" s="154" t="s">
        <v>7431</v>
      </c>
      <c r="M1123" s="154"/>
      <c r="N1123" s="154" t="s">
        <v>759</v>
      </c>
      <c r="O1123" s="247" t="s">
        <v>516</v>
      </c>
      <c r="P1123" s="247" t="s">
        <v>6776</v>
      </c>
      <c r="Q1123" s="154" t="str">
        <f t="shared" si="1"/>
        <v>#ERROR!</v>
      </c>
      <c r="R1123" s="154" t="s">
        <v>66</v>
      </c>
      <c r="S1123" s="154" t="s">
        <v>66</v>
      </c>
      <c r="T1123" s="154" t="s">
        <v>66</v>
      </c>
      <c r="U1123" s="154" t="s">
        <v>66</v>
      </c>
      <c r="V1123" s="154" t="s">
        <v>66</v>
      </c>
      <c r="W1123" s="154" t="s">
        <v>66</v>
      </c>
      <c r="X1123" s="154" t="s">
        <v>66</v>
      </c>
      <c r="Y1123" s="154" t="s">
        <v>66</v>
      </c>
      <c r="Z1123" s="154" t="s">
        <v>66</v>
      </c>
      <c r="AA1123" s="154"/>
      <c r="AB1123" s="242" t="str">
        <f t="shared" si="2"/>
        <v>#ERROR!</v>
      </c>
      <c r="AC1123" s="154" t="s">
        <v>391</v>
      </c>
      <c r="AD1123" s="242" t="b">
        <f t="shared" si="3"/>
        <v>0</v>
      </c>
      <c r="AE1123" s="154"/>
      <c r="AF1123" s="242" t="str">
        <f t="shared" si="4"/>
        <v>#ERROR!</v>
      </c>
      <c r="AG1123" s="154" t="s">
        <v>652</v>
      </c>
      <c r="AH1123" s="242" t="str">
        <f>IF(AG1123="","N/A",INDIRECT("MTR!"&amp;ADDRESS(MATCH(LEFT(AG1123,9),[1]MTR!C:C,0),COLUMN(J1123)),TRUE) &amp; "")</f>
        <v>#ERROR!</v>
      </c>
      <c r="AI1123" s="157" t="str">
        <f t="shared" si="5"/>
        <v>#ERROR!</v>
      </c>
    </row>
    <row r="1124" ht="12.75" customHeight="1">
      <c r="A1124" s="244" t="s">
        <v>5158</v>
      </c>
      <c r="B1124" s="244" t="s">
        <v>231</v>
      </c>
      <c r="C1124" s="244" t="s">
        <v>9643</v>
      </c>
      <c r="D1124" s="154" t="s">
        <v>45</v>
      </c>
      <c r="E1124" s="154"/>
      <c r="F1124" s="154" t="str">
        <f t="array" ref="F1124">XLOOKUP(Cover!$D$12,$R$1:$Z$1,$R1124:$Z1124)</f>
        <v>Information</v>
      </c>
      <c r="G1124" s="154" t="s">
        <v>9644</v>
      </c>
      <c r="H1124" s="154" t="s">
        <v>9002</v>
      </c>
      <c r="I1124" s="154" t="s">
        <v>9645</v>
      </c>
      <c r="J1124" s="154" t="s">
        <v>9646</v>
      </c>
      <c r="K1124" s="154" t="s">
        <v>9003</v>
      </c>
      <c r="L1124" s="154" t="s">
        <v>6655</v>
      </c>
      <c r="M1124" s="154"/>
      <c r="N1124" s="154" t="s">
        <v>759</v>
      </c>
      <c r="O1124" s="247" t="s">
        <v>516</v>
      </c>
      <c r="P1124" s="247" t="s">
        <v>6776</v>
      </c>
      <c r="Q1124" s="154" t="str">
        <f t="shared" si="1"/>
        <v>#ERROR!</v>
      </c>
      <c r="R1124" s="154" t="s">
        <v>66</v>
      </c>
      <c r="S1124" s="154" t="s">
        <v>66</v>
      </c>
      <c r="T1124" s="154" t="s">
        <v>66</v>
      </c>
      <c r="U1124" s="154" t="s">
        <v>66</v>
      </c>
      <c r="V1124" s="154" t="s">
        <v>66</v>
      </c>
      <c r="W1124" s="154" t="s">
        <v>66</v>
      </c>
      <c r="X1124" s="154" t="s">
        <v>66</v>
      </c>
      <c r="Y1124" s="154" t="s">
        <v>66</v>
      </c>
      <c r="Z1124" s="154" t="s">
        <v>66</v>
      </c>
      <c r="AA1124" s="154"/>
      <c r="AB1124" s="242" t="str">
        <f t="shared" si="2"/>
        <v>#ERROR!</v>
      </c>
      <c r="AC1124" s="154" t="s">
        <v>391</v>
      </c>
      <c r="AD1124" s="242" t="b">
        <f t="shared" si="3"/>
        <v>0</v>
      </c>
      <c r="AE1124" s="154"/>
      <c r="AF1124" s="242" t="str">
        <f t="shared" si="4"/>
        <v>#ERROR!</v>
      </c>
      <c r="AG1124" s="154" t="s">
        <v>652</v>
      </c>
      <c r="AH1124" s="242" t="str">
        <f>IF(AG1124="","N/A",INDIRECT("MTR!"&amp;ADDRESS(MATCH(LEFT(AG1124,9),[1]MTR!C:C,0),COLUMN(J1124)),TRUE) &amp; "")</f>
        <v>#ERROR!</v>
      </c>
      <c r="AI1124" s="157" t="str">
        <f t="shared" si="5"/>
        <v>#ERROR!</v>
      </c>
    </row>
    <row r="1125" ht="12.75" customHeight="1">
      <c r="A1125" s="244" t="s">
        <v>5158</v>
      </c>
      <c r="B1125" s="244" t="s">
        <v>231</v>
      </c>
      <c r="C1125" s="244" t="s">
        <v>9647</v>
      </c>
      <c r="D1125" s="154" t="s">
        <v>45</v>
      </c>
      <c r="E1125" s="154"/>
      <c r="F1125" s="154" t="str">
        <f t="array" ref="F1125">XLOOKUP(Cover!$D$12,$R$1:$Z$1,$R1125:$Z1125)</f>
        <v>Information</v>
      </c>
      <c r="G1125" s="154" t="s">
        <v>9648</v>
      </c>
      <c r="H1125" s="154" t="s">
        <v>9009</v>
      </c>
      <c r="I1125" s="154" t="s">
        <v>9645</v>
      </c>
      <c r="J1125" s="154" t="s">
        <v>9646</v>
      </c>
      <c r="K1125" s="154" t="s">
        <v>9003</v>
      </c>
      <c r="L1125" s="154" t="s">
        <v>6655</v>
      </c>
      <c r="M1125" s="154"/>
      <c r="N1125" s="154" t="s">
        <v>759</v>
      </c>
      <c r="O1125" s="247" t="s">
        <v>516</v>
      </c>
      <c r="P1125" s="247" t="s">
        <v>6776</v>
      </c>
      <c r="Q1125" s="154" t="str">
        <f t="shared" si="1"/>
        <v>#ERROR!</v>
      </c>
      <c r="R1125" s="154" t="s">
        <v>66</v>
      </c>
      <c r="S1125" s="154" t="s">
        <v>66</v>
      </c>
      <c r="T1125" s="154" t="s">
        <v>66</v>
      </c>
      <c r="U1125" s="154" t="s">
        <v>66</v>
      </c>
      <c r="V1125" s="154" t="s">
        <v>66</v>
      </c>
      <c r="W1125" s="154" t="s">
        <v>66</v>
      </c>
      <c r="X1125" s="154" t="s">
        <v>66</v>
      </c>
      <c r="Y1125" s="154" t="s">
        <v>66</v>
      </c>
      <c r="Z1125" s="154" t="s">
        <v>66</v>
      </c>
      <c r="AA1125" s="154"/>
      <c r="AB1125" s="242" t="str">
        <f t="shared" si="2"/>
        <v>#ERROR!</v>
      </c>
      <c r="AC1125" s="154" t="s">
        <v>391</v>
      </c>
      <c r="AD1125" s="242" t="b">
        <f t="shared" si="3"/>
        <v>0</v>
      </c>
      <c r="AE1125" s="154"/>
      <c r="AF1125" s="242" t="str">
        <f t="shared" si="4"/>
        <v>#ERROR!</v>
      </c>
      <c r="AG1125" s="154" t="s">
        <v>652</v>
      </c>
      <c r="AH1125" s="242" t="str">
        <f>IF(AG1125="","N/A",INDIRECT("MTR!"&amp;ADDRESS(MATCH(LEFT(AG1125,9),[1]MTR!C:C,0),COLUMN(J1125)),TRUE) &amp; "")</f>
        <v>#ERROR!</v>
      </c>
      <c r="AI1125" s="157" t="str">
        <f t="shared" si="5"/>
        <v>#ERROR!</v>
      </c>
    </row>
    <row r="1126" ht="12.75" customHeight="1">
      <c r="A1126" s="244" t="s">
        <v>5158</v>
      </c>
      <c r="B1126" s="244" t="s">
        <v>231</v>
      </c>
      <c r="C1126" s="244" t="s">
        <v>9649</v>
      </c>
      <c r="D1126" s="154" t="s">
        <v>45</v>
      </c>
      <c r="E1126" s="154"/>
      <c r="F1126" s="154" t="str">
        <f t="array" ref="F1126">XLOOKUP(Cover!$D$12,$R$1:$Z$1,$R1126:$Z1126)</f>
        <v>Information</v>
      </c>
      <c r="G1126" s="154" t="s">
        <v>9650</v>
      </c>
      <c r="H1126" s="154" t="s">
        <v>9015</v>
      </c>
      <c r="I1126" s="154" t="s">
        <v>9645</v>
      </c>
      <c r="J1126" s="154" t="s">
        <v>9646</v>
      </c>
      <c r="K1126" s="154" t="s">
        <v>9003</v>
      </c>
      <c r="L1126" s="154" t="s">
        <v>6655</v>
      </c>
      <c r="M1126" s="154"/>
      <c r="N1126" s="154" t="s">
        <v>759</v>
      </c>
      <c r="O1126" s="247" t="s">
        <v>516</v>
      </c>
      <c r="P1126" s="247" t="s">
        <v>6776</v>
      </c>
      <c r="Q1126" s="154" t="str">
        <f t="shared" si="1"/>
        <v>#ERROR!</v>
      </c>
      <c r="R1126" s="154" t="s">
        <v>66</v>
      </c>
      <c r="S1126" s="154" t="s">
        <v>66</v>
      </c>
      <c r="T1126" s="154" t="s">
        <v>66</v>
      </c>
      <c r="U1126" s="154" t="s">
        <v>66</v>
      </c>
      <c r="V1126" s="154" t="s">
        <v>66</v>
      </c>
      <c r="W1126" s="154" t="s">
        <v>66</v>
      </c>
      <c r="X1126" s="154" t="s">
        <v>66</v>
      </c>
      <c r="Y1126" s="154" t="s">
        <v>66</v>
      </c>
      <c r="Z1126" s="154" t="s">
        <v>66</v>
      </c>
      <c r="AA1126" s="154"/>
      <c r="AB1126" s="242" t="str">
        <f t="shared" si="2"/>
        <v>#ERROR!</v>
      </c>
      <c r="AC1126" s="154" t="s">
        <v>391</v>
      </c>
      <c r="AD1126" s="242" t="b">
        <f t="shared" si="3"/>
        <v>0</v>
      </c>
      <c r="AE1126" s="154"/>
      <c r="AF1126" s="242" t="str">
        <f t="shared" si="4"/>
        <v>#ERROR!</v>
      </c>
      <c r="AG1126" s="154" t="s">
        <v>652</v>
      </c>
      <c r="AH1126" s="242" t="str">
        <f>IF(AG1126="","N/A",INDIRECT("MTR!"&amp;ADDRESS(MATCH(LEFT(AG1126,9),[1]MTR!C:C,0),COLUMN(J1126)),TRUE) &amp; "")</f>
        <v>#ERROR!</v>
      </c>
      <c r="AI1126" s="157" t="str">
        <f t="shared" si="5"/>
        <v>#ERROR!</v>
      </c>
    </row>
    <row r="1127" ht="12.75" customHeight="1">
      <c r="A1127" s="244" t="s">
        <v>5158</v>
      </c>
      <c r="B1127" s="244" t="s">
        <v>231</v>
      </c>
      <c r="C1127" s="245" t="s">
        <v>9651</v>
      </c>
      <c r="D1127" s="155" t="s">
        <v>747</v>
      </c>
      <c r="E1127" s="155" t="s">
        <v>92</v>
      </c>
      <c r="F1127" s="154" t="str">
        <f t="array" ref="F1127">XLOOKUP(Cover!$D$12,$R$1:$Z$1,$R1127:$Z1127)</f>
        <v>Mandatory</v>
      </c>
      <c r="G1127" s="154" t="s">
        <v>9652</v>
      </c>
      <c r="H1127" s="154" t="s">
        <v>9002</v>
      </c>
      <c r="I1127" s="154" t="s">
        <v>9653</v>
      </c>
      <c r="J1127" s="154" t="s">
        <v>7676</v>
      </c>
      <c r="K1127" s="154" t="s">
        <v>9003</v>
      </c>
      <c r="L1127" s="154" t="s">
        <v>6525</v>
      </c>
      <c r="M1127" s="154" t="s">
        <v>175</v>
      </c>
      <c r="N1127" s="154" t="s">
        <v>759</v>
      </c>
      <c r="O1127" s="247" t="s">
        <v>516</v>
      </c>
      <c r="P1127" s="247" t="s">
        <v>6776</v>
      </c>
      <c r="Q1127" s="154" t="str">
        <f t="shared" si="1"/>
        <v>#ERROR!</v>
      </c>
      <c r="R1127" s="154" t="s">
        <v>66</v>
      </c>
      <c r="S1127" s="154" t="s">
        <v>66</v>
      </c>
      <c r="T1127" s="155" t="s">
        <v>64</v>
      </c>
      <c r="U1127" s="155" t="s">
        <v>64</v>
      </c>
      <c r="V1127" s="154" t="s">
        <v>60</v>
      </c>
      <c r="W1127" s="154" t="s">
        <v>60</v>
      </c>
      <c r="X1127" s="154" t="s">
        <v>66</v>
      </c>
      <c r="Y1127" s="155" t="s">
        <v>64</v>
      </c>
      <c r="Z1127" s="154" t="s">
        <v>60</v>
      </c>
      <c r="AA1127" s="154"/>
      <c r="AB1127" s="242" t="str">
        <f t="shared" si="2"/>
        <v>#ERROR!</v>
      </c>
      <c r="AC1127" s="154" t="s">
        <v>391</v>
      </c>
      <c r="AD1127" s="242" t="b">
        <f t="shared" si="3"/>
        <v>0</v>
      </c>
      <c r="AE1127" s="154"/>
      <c r="AF1127" s="242" t="str">
        <f t="shared" si="4"/>
        <v>#ERROR!</v>
      </c>
      <c r="AG1127" s="154" t="s">
        <v>652</v>
      </c>
      <c r="AH1127" s="242" t="str">
        <f>IF(AG1127="","N/A",INDIRECT("MTR!"&amp;ADDRESS(MATCH(LEFT(AG1127,9),[1]MTR!C:C,0),COLUMN(J1127)),TRUE) &amp; "")</f>
        <v>#ERROR!</v>
      </c>
      <c r="AI1127" s="157" t="str">
        <f t="shared" si="5"/>
        <v>#ERROR!</v>
      </c>
    </row>
    <row r="1128" ht="12.75" customHeight="1">
      <c r="A1128" s="244" t="s">
        <v>5158</v>
      </c>
      <c r="B1128" s="244" t="s">
        <v>231</v>
      </c>
      <c r="C1128" s="245" t="s">
        <v>9654</v>
      </c>
      <c r="D1128" s="155" t="s">
        <v>747</v>
      </c>
      <c r="E1128" s="155" t="s">
        <v>92</v>
      </c>
      <c r="F1128" s="154" t="str">
        <f t="array" ref="F1128">XLOOKUP(Cover!$D$12,$R$1:$Z$1,$R1128:$Z1128)</f>
        <v>Recommended</v>
      </c>
      <c r="G1128" s="154" t="s">
        <v>9655</v>
      </c>
      <c r="H1128" s="154" t="s">
        <v>9009</v>
      </c>
      <c r="I1128" s="154" t="s">
        <v>9653</v>
      </c>
      <c r="J1128" s="154" t="s">
        <v>7676</v>
      </c>
      <c r="K1128" s="154" t="s">
        <v>9003</v>
      </c>
      <c r="L1128" s="154" t="s">
        <v>6525</v>
      </c>
      <c r="M1128" s="154"/>
      <c r="N1128" s="154" t="s">
        <v>759</v>
      </c>
      <c r="O1128" s="247" t="s">
        <v>516</v>
      </c>
      <c r="P1128" s="247" t="s">
        <v>6776</v>
      </c>
      <c r="Q1128" s="154" t="str">
        <f t="shared" si="1"/>
        <v>#ERROR!</v>
      </c>
      <c r="R1128" s="154" t="s">
        <v>66</v>
      </c>
      <c r="S1128" s="154" t="s">
        <v>66</v>
      </c>
      <c r="T1128" s="154" t="s">
        <v>64</v>
      </c>
      <c r="U1128" s="154" t="s">
        <v>64</v>
      </c>
      <c r="V1128" s="154" t="s">
        <v>64</v>
      </c>
      <c r="W1128" s="154" t="s">
        <v>64</v>
      </c>
      <c r="X1128" s="154" t="s">
        <v>66</v>
      </c>
      <c r="Y1128" s="154" t="s">
        <v>64</v>
      </c>
      <c r="Z1128" s="154" t="s">
        <v>64</v>
      </c>
      <c r="AA1128" s="154"/>
      <c r="AB1128" s="242" t="str">
        <f t="shared" si="2"/>
        <v>#ERROR!</v>
      </c>
      <c r="AC1128" s="154" t="s">
        <v>391</v>
      </c>
      <c r="AD1128" s="242" t="b">
        <f t="shared" si="3"/>
        <v>0</v>
      </c>
      <c r="AE1128" s="154"/>
      <c r="AF1128" s="242" t="str">
        <f t="shared" si="4"/>
        <v>#ERROR!</v>
      </c>
      <c r="AG1128" s="154" t="s">
        <v>652</v>
      </c>
      <c r="AH1128" s="242" t="str">
        <f>IF(AG1128="","N/A",INDIRECT("MTR!"&amp;ADDRESS(MATCH(LEFT(AG1128,9),[1]MTR!C:C,0),COLUMN(J1128)),TRUE) &amp; "")</f>
        <v>#ERROR!</v>
      </c>
      <c r="AI1128" s="157" t="str">
        <f t="shared" si="5"/>
        <v>#ERROR!</v>
      </c>
    </row>
    <row r="1129" ht="12.75" customHeight="1">
      <c r="A1129" s="244" t="s">
        <v>5158</v>
      </c>
      <c r="B1129" s="244" t="s">
        <v>231</v>
      </c>
      <c r="C1129" s="245" t="s">
        <v>9656</v>
      </c>
      <c r="D1129" s="155" t="s">
        <v>546</v>
      </c>
      <c r="E1129" s="155" t="s">
        <v>92</v>
      </c>
      <c r="F1129" s="154" t="str">
        <f t="array" ref="F1129">XLOOKUP(Cover!$D$12,$R$1:$Z$1,$R1129:$Z1129)</f>
        <v>Recommended</v>
      </c>
      <c r="G1129" s="154" t="s">
        <v>9657</v>
      </c>
      <c r="H1129" s="154" t="s">
        <v>9084</v>
      </c>
      <c r="I1129" s="154" t="s">
        <v>9653</v>
      </c>
      <c r="J1129" s="154" t="s">
        <v>7676</v>
      </c>
      <c r="K1129" s="154" t="s">
        <v>9003</v>
      </c>
      <c r="L1129" s="154" t="s">
        <v>6529</v>
      </c>
      <c r="M1129" s="154"/>
      <c r="N1129" s="154" t="s">
        <v>759</v>
      </c>
      <c r="O1129" s="247" t="s">
        <v>516</v>
      </c>
      <c r="P1129" s="247" t="s">
        <v>6776</v>
      </c>
      <c r="Q1129" s="154" t="str">
        <f t="shared" si="1"/>
        <v>#ERROR!</v>
      </c>
      <c r="R1129" s="154" t="s">
        <v>66</v>
      </c>
      <c r="S1129" s="154" t="s">
        <v>66</v>
      </c>
      <c r="T1129" s="154" t="s">
        <v>64</v>
      </c>
      <c r="U1129" s="154" t="s">
        <v>64</v>
      </c>
      <c r="V1129" s="154" t="s">
        <v>64</v>
      </c>
      <c r="W1129" s="154" t="s">
        <v>64</v>
      </c>
      <c r="X1129" s="154" t="s">
        <v>66</v>
      </c>
      <c r="Y1129" s="154" t="s">
        <v>64</v>
      </c>
      <c r="Z1129" s="154" t="s">
        <v>64</v>
      </c>
      <c r="AA1129" s="154"/>
      <c r="AB1129" s="242" t="str">
        <f t="shared" si="2"/>
        <v>#ERROR!</v>
      </c>
      <c r="AC1129" s="154" t="s">
        <v>391</v>
      </c>
      <c r="AD1129" s="242" t="b">
        <f t="shared" si="3"/>
        <v>0</v>
      </c>
      <c r="AE1129" s="154"/>
      <c r="AF1129" s="242" t="str">
        <f t="shared" si="4"/>
        <v>#ERROR!</v>
      </c>
      <c r="AG1129" s="154" t="s">
        <v>652</v>
      </c>
      <c r="AH1129" s="242" t="str">
        <f>IF(AG1129="","N/A",INDIRECT("MTR!"&amp;ADDRESS(MATCH(LEFT(AG1129,9),[1]MTR!C:C,0),COLUMN(J1129)),TRUE) &amp; "")</f>
        <v>#ERROR!</v>
      </c>
      <c r="AI1129" s="157" t="str">
        <f t="shared" si="5"/>
        <v>#ERROR!</v>
      </c>
    </row>
    <row r="1130" ht="12.75" customHeight="1">
      <c r="A1130" s="244" t="s">
        <v>5158</v>
      </c>
      <c r="B1130" s="244" t="s">
        <v>231</v>
      </c>
      <c r="C1130" s="245" t="s">
        <v>9658</v>
      </c>
      <c r="D1130" s="155" t="s">
        <v>747</v>
      </c>
      <c r="E1130" s="155" t="s">
        <v>92</v>
      </c>
      <c r="F1130" s="154" t="str">
        <f t="array" ref="F1130">XLOOKUP(Cover!$D$12,$R$1:$Z$1,$R1130:$Z1130)</f>
        <v>Mandatory</v>
      </c>
      <c r="G1130" s="154" t="s">
        <v>9659</v>
      </c>
      <c r="H1130" s="154" t="s">
        <v>1541</v>
      </c>
      <c r="I1130" s="154" t="s">
        <v>9653</v>
      </c>
      <c r="J1130" s="154" t="s">
        <v>7676</v>
      </c>
      <c r="K1130" s="154" t="s">
        <v>9003</v>
      </c>
      <c r="L1130" s="154" t="s">
        <v>6525</v>
      </c>
      <c r="M1130" s="154" t="s">
        <v>175</v>
      </c>
      <c r="N1130" s="154" t="s">
        <v>759</v>
      </c>
      <c r="O1130" s="247" t="s">
        <v>516</v>
      </c>
      <c r="P1130" s="247" t="s">
        <v>6776</v>
      </c>
      <c r="Q1130" s="154" t="str">
        <f t="shared" si="1"/>
        <v>#ERROR!</v>
      </c>
      <c r="R1130" s="154" t="s">
        <v>66</v>
      </c>
      <c r="S1130" s="154" t="s">
        <v>66</v>
      </c>
      <c r="T1130" s="155" t="s">
        <v>64</v>
      </c>
      <c r="U1130" s="155" t="s">
        <v>64</v>
      </c>
      <c r="V1130" s="154" t="s">
        <v>60</v>
      </c>
      <c r="W1130" s="154" t="s">
        <v>60</v>
      </c>
      <c r="X1130" s="154" t="s">
        <v>66</v>
      </c>
      <c r="Y1130" s="155" t="s">
        <v>64</v>
      </c>
      <c r="Z1130" s="154" t="s">
        <v>60</v>
      </c>
      <c r="AA1130" s="154"/>
      <c r="AB1130" s="242" t="str">
        <f t="shared" si="2"/>
        <v>#ERROR!</v>
      </c>
      <c r="AC1130" s="154" t="s">
        <v>391</v>
      </c>
      <c r="AD1130" s="242" t="b">
        <f t="shared" si="3"/>
        <v>0</v>
      </c>
      <c r="AE1130" s="154"/>
      <c r="AF1130" s="242" t="str">
        <f t="shared" si="4"/>
        <v>#ERROR!</v>
      </c>
      <c r="AG1130" s="154" t="s">
        <v>652</v>
      </c>
      <c r="AH1130" s="242" t="str">
        <f>IF(AG1130="","N/A",INDIRECT("MTR!"&amp;ADDRESS(MATCH(LEFT(AG1130,9),[1]MTR!C:C,0),COLUMN(J1130)),TRUE) &amp; "")</f>
        <v>#ERROR!</v>
      </c>
      <c r="AI1130" s="157" t="str">
        <f t="shared" si="5"/>
        <v>#ERROR!</v>
      </c>
    </row>
    <row r="1131" ht="12.75" customHeight="1">
      <c r="A1131" s="244" t="s">
        <v>5158</v>
      </c>
      <c r="B1131" s="244" t="s">
        <v>231</v>
      </c>
      <c r="C1131" s="244" t="s">
        <v>9660</v>
      </c>
      <c r="D1131" s="154" t="s">
        <v>1315</v>
      </c>
      <c r="E1131" s="154"/>
      <c r="F1131" s="154" t="str">
        <f t="array" ref="F1131">XLOOKUP(Cover!$D$12,$R$1:$Z$1,$R1131:$Z1131)</f>
        <v>Recommended</v>
      </c>
      <c r="G1131" s="154" t="s">
        <v>9661</v>
      </c>
      <c r="H1131" s="154" t="s">
        <v>9002</v>
      </c>
      <c r="I1131" s="154" t="s">
        <v>9662</v>
      </c>
      <c r="J1131" s="154" t="s">
        <v>7692</v>
      </c>
      <c r="K1131" s="154" t="s">
        <v>9003</v>
      </c>
      <c r="L1131" s="154" t="s">
        <v>6022</v>
      </c>
      <c r="M1131" s="154"/>
      <c r="N1131" s="154" t="s">
        <v>759</v>
      </c>
      <c r="O1131" s="247" t="s">
        <v>516</v>
      </c>
      <c r="P1131" s="247" t="s">
        <v>6776</v>
      </c>
      <c r="Q1131" s="154" t="str">
        <f t="shared" si="1"/>
        <v>#ERROR!</v>
      </c>
      <c r="R1131" s="154" t="s">
        <v>66</v>
      </c>
      <c r="S1131" s="154" t="s">
        <v>66</v>
      </c>
      <c r="T1131" s="154" t="s">
        <v>64</v>
      </c>
      <c r="U1131" s="154" t="s">
        <v>64</v>
      </c>
      <c r="V1131" s="154" t="s">
        <v>64</v>
      </c>
      <c r="W1131" s="154" t="s">
        <v>64</v>
      </c>
      <c r="X1131" s="154" t="s">
        <v>66</v>
      </c>
      <c r="Y1131" s="154" t="s">
        <v>64</v>
      </c>
      <c r="Z1131" s="154" t="s">
        <v>64</v>
      </c>
      <c r="AA1131" s="154"/>
      <c r="AB1131" s="242" t="str">
        <f t="shared" si="2"/>
        <v>#ERROR!</v>
      </c>
      <c r="AC1131" s="154" t="s">
        <v>391</v>
      </c>
      <c r="AD1131" s="242" t="b">
        <f t="shared" si="3"/>
        <v>0</v>
      </c>
      <c r="AE1131" s="154"/>
      <c r="AF1131" s="242" t="str">
        <f t="shared" si="4"/>
        <v>#ERROR!</v>
      </c>
      <c r="AG1131" s="154" t="s">
        <v>652</v>
      </c>
      <c r="AH1131" s="242" t="str">
        <f>IF(AG1131="","N/A",INDIRECT("MTR!"&amp;ADDRESS(MATCH(LEFT(AG1131,9),[1]MTR!C:C,0),COLUMN(J1131)),TRUE) &amp; "")</f>
        <v>#ERROR!</v>
      </c>
      <c r="AI1131" s="157" t="str">
        <f t="shared" si="5"/>
        <v>#ERROR!</v>
      </c>
    </row>
    <row r="1132" ht="12.75" customHeight="1">
      <c r="A1132" s="244" t="s">
        <v>5158</v>
      </c>
      <c r="B1132" s="244" t="s">
        <v>231</v>
      </c>
      <c r="C1132" s="244" t="s">
        <v>9663</v>
      </c>
      <c r="D1132" s="154" t="s">
        <v>1315</v>
      </c>
      <c r="E1132" s="154"/>
      <c r="F1132" s="154" t="str">
        <f t="array" ref="F1132">XLOOKUP(Cover!$D$12,$R$1:$Z$1,$R1132:$Z1132)</f>
        <v>Recommended</v>
      </c>
      <c r="G1132" s="154" t="s">
        <v>9664</v>
      </c>
      <c r="H1132" s="154" t="s">
        <v>9009</v>
      </c>
      <c r="I1132" s="154" t="s">
        <v>9662</v>
      </c>
      <c r="J1132" s="154" t="s">
        <v>7692</v>
      </c>
      <c r="K1132" s="154" t="s">
        <v>9003</v>
      </c>
      <c r="L1132" s="154" t="s">
        <v>6022</v>
      </c>
      <c r="M1132" s="154"/>
      <c r="N1132" s="154" t="s">
        <v>759</v>
      </c>
      <c r="O1132" s="247" t="s">
        <v>516</v>
      </c>
      <c r="P1132" s="247" t="s">
        <v>6776</v>
      </c>
      <c r="Q1132" s="154" t="str">
        <f t="shared" si="1"/>
        <v>#ERROR!</v>
      </c>
      <c r="R1132" s="154" t="s">
        <v>66</v>
      </c>
      <c r="S1132" s="154" t="s">
        <v>66</v>
      </c>
      <c r="T1132" s="154" t="s">
        <v>64</v>
      </c>
      <c r="U1132" s="154" t="s">
        <v>64</v>
      </c>
      <c r="V1132" s="154" t="s">
        <v>64</v>
      </c>
      <c r="W1132" s="154" t="s">
        <v>64</v>
      </c>
      <c r="X1132" s="154" t="s">
        <v>66</v>
      </c>
      <c r="Y1132" s="154" t="s">
        <v>64</v>
      </c>
      <c r="Z1132" s="154" t="s">
        <v>64</v>
      </c>
      <c r="AA1132" s="154"/>
      <c r="AB1132" s="242" t="str">
        <f t="shared" si="2"/>
        <v>#ERROR!</v>
      </c>
      <c r="AC1132" s="154" t="s">
        <v>391</v>
      </c>
      <c r="AD1132" s="242" t="b">
        <f t="shared" si="3"/>
        <v>0</v>
      </c>
      <c r="AE1132" s="154"/>
      <c r="AF1132" s="242" t="str">
        <f t="shared" si="4"/>
        <v>#ERROR!</v>
      </c>
      <c r="AG1132" s="154" t="s">
        <v>652</v>
      </c>
      <c r="AH1132" s="242" t="str">
        <f>IF(AG1132="","N/A",INDIRECT("MTR!"&amp;ADDRESS(MATCH(LEFT(AG1132,9),[1]MTR!C:C,0),COLUMN(J1132)),TRUE) &amp; "")</f>
        <v>#ERROR!</v>
      </c>
      <c r="AI1132" s="157" t="str">
        <f t="shared" si="5"/>
        <v>#ERROR!</v>
      </c>
    </row>
    <row r="1133" ht="12.75" customHeight="1">
      <c r="A1133" s="244" t="s">
        <v>5158</v>
      </c>
      <c r="B1133" s="244" t="s">
        <v>231</v>
      </c>
      <c r="C1133" s="244" t="s">
        <v>9665</v>
      </c>
      <c r="D1133" s="154" t="s">
        <v>1315</v>
      </c>
      <c r="E1133" s="154"/>
      <c r="F1133" s="154" t="str">
        <f t="array" ref="F1133">XLOOKUP(Cover!$D$12,$R$1:$Z$1,$R1133:$Z1133)</f>
        <v>Recommended</v>
      </c>
      <c r="G1133" s="154" t="s">
        <v>9666</v>
      </c>
      <c r="H1133" s="154" t="s">
        <v>9012</v>
      </c>
      <c r="I1133" s="154" t="s">
        <v>9662</v>
      </c>
      <c r="J1133" s="154" t="s">
        <v>7692</v>
      </c>
      <c r="K1133" s="154" t="s">
        <v>9003</v>
      </c>
      <c r="L1133" s="154" t="s">
        <v>6022</v>
      </c>
      <c r="M1133" s="154"/>
      <c r="N1133" s="154" t="s">
        <v>759</v>
      </c>
      <c r="O1133" s="247" t="s">
        <v>516</v>
      </c>
      <c r="P1133" s="247" t="s">
        <v>6776</v>
      </c>
      <c r="Q1133" s="154" t="str">
        <f t="shared" si="1"/>
        <v>#ERROR!</v>
      </c>
      <c r="R1133" s="154" t="s">
        <v>66</v>
      </c>
      <c r="S1133" s="154" t="s">
        <v>66</v>
      </c>
      <c r="T1133" s="154" t="s">
        <v>64</v>
      </c>
      <c r="U1133" s="154" t="s">
        <v>64</v>
      </c>
      <c r="V1133" s="154" t="s">
        <v>64</v>
      </c>
      <c r="W1133" s="154" t="s">
        <v>64</v>
      </c>
      <c r="X1133" s="154" t="s">
        <v>66</v>
      </c>
      <c r="Y1133" s="154" t="s">
        <v>64</v>
      </c>
      <c r="Z1133" s="154" t="s">
        <v>64</v>
      </c>
      <c r="AA1133" s="154"/>
      <c r="AB1133" s="242" t="str">
        <f t="shared" si="2"/>
        <v>#ERROR!</v>
      </c>
      <c r="AC1133" s="154" t="s">
        <v>391</v>
      </c>
      <c r="AD1133" s="242" t="b">
        <f t="shared" si="3"/>
        <v>0</v>
      </c>
      <c r="AE1133" s="154"/>
      <c r="AF1133" s="242" t="str">
        <f t="shared" si="4"/>
        <v>#ERROR!</v>
      </c>
      <c r="AG1133" s="154" t="s">
        <v>652</v>
      </c>
      <c r="AH1133" s="242" t="str">
        <f>IF(AG1133="","N/A",INDIRECT("MTR!"&amp;ADDRESS(MATCH(LEFT(AG1133,9),[1]MTR!C:C,0),COLUMN(J1133)),TRUE) &amp; "")</f>
        <v>#ERROR!</v>
      </c>
      <c r="AI1133" s="157" t="str">
        <f t="shared" si="5"/>
        <v>#ERROR!</v>
      </c>
    </row>
    <row r="1134" ht="12.75" customHeight="1">
      <c r="A1134" s="244" t="s">
        <v>5158</v>
      </c>
      <c r="B1134" s="244" t="s">
        <v>231</v>
      </c>
      <c r="C1134" s="244" t="s">
        <v>9667</v>
      </c>
      <c r="D1134" s="154" t="s">
        <v>1315</v>
      </c>
      <c r="E1134" s="154"/>
      <c r="F1134" s="154" t="str">
        <f t="array" ref="F1134">XLOOKUP(Cover!$D$12,$R$1:$Z$1,$R1134:$Z1134)</f>
        <v>Recommended</v>
      </c>
      <c r="G1134" s="154" t="s">
        <v>9668</v>
      </c>
      <c r="H1134" s="154" t="s">
        <v>9015</v>
      </c>
      <c r="I1134" s="154" t="s">
        <v>9662</v>
      </c>
      <c r="J1134" s="154" t="s">
        <v>7692</v>
      </c>
      <c r="K1134" s="154" t="s">
        <v>9003</v>
      </c>
      <c r="L1134" s="154" t="s">
        <v>6022</v>
      </c>
      <c r="M1134" s="154"/>
      <c r="N1134" s="154" t="s">
        <v>759</v>
      </c>
      <c r="O1134" s="247" t="s">
        <v>516</v>
      </c>
      <c r="P1134" s="247" t="s">
        <v>6776</v>
      </c>
      <c r="Q1134" s="154" t="str">
        <f t="shared" si="1"/>
        <v>#ERROR!</v>
      </c>
      <c r="R1134" s="154" t="s">
        <v>66</v>
      </c>
      <c r="S1134" s="154" t="s">
        <v>66</v>
      </c>
      <c r="T1134" s="154" t="s">
        <v>64</v>
      </c>
      <c r="U1134" s="154" t="s">
        <v>64</v>
      </c>
      <c r="V1134" s="154" t="s">
        <v>64</v>
      </c>
      <c r="W1134" s="154" t="s">
        <v>64</v>
      </c>
      <c r="X1134" s="154" t="s">
        <v>66</v>
      </c>
      <c r="Y1134" s="154" t="s">
        <v>64</v>
      </c>
      <c r="Z1134" s="154" t="s">
        <v>64</v>
      </c>
      <c r="AA1134" s="154"/>
      <c r="AB1134" s="242" t="str">
        <f t="shared" si="2"/>
        <v>#ERROR!</v>
      </c>
      <c r="AC1134" s="154" t="s">
        <v>391</v>
      </c>
      <c r="AD1134" s="242" t="b">
        <f t="shared" si="3"/>
        <v>0</v>
      </c>
      <c r="AE1134" s="154"/>
      <c r="AF1134" s="242" t="str">
        <f t="shared" si="4"/>
        <v>#ERROR!</v>
      </c>
      <c r="AG1134" s="154" t="s">
        <v>652</v>
      </c>
      <c r="AH1134" s="242" t="str">
        <f>IF(AG1134="","N/A",INDIRECT("MTR!"&amp;ADDRESS(MATCH(LEFT(AG1134,9),[1]MTR!C:C,0),COLUMN(J1134)),TRUE) &amp; "")</f>
        <v>#ERROR!</v>
      </c>
      <c r="AI1134" s="157" t="str">
        <f t="shared" si="5"/>
        <v>#ERROR!</v>
      </c>
    </row>
    <row r="1135" ht="12.75" customHeight="1">
      <c r="A1135" s="244" t="s">
        <v>5158</v>
      </c>
      <c r="B1135" s="244" t="s">
        <v>231</v>
      </c>
      <c r="C1135" s="244" t="s">
        <v>9669</v>
      </c>
      <c r="D1135" s="154" t="s">
        <v>1773</v>
      </c>
      <c r="E1135" s="154"/>
      <c r="F1135" s="154" t="str">
        <f t="array" ref="F1135">XLOOKUP(Cover!$D$12,$R$1:$Z$1,$R1135:$Z1135)</f>
        <v>Mandatory</v>
      </c>
      <c r="G1135" s="154" t="s">
        <v>9670</v>
      </c>
      <c r="H1135" s="154" t="s">
        <v>9002</v>
      </c>
      <c r="I1135" s="154" t="s">
        <v>9671</v>
      </c>
      <c r="J1135" s="154" t="s">
        <v>9672</v>
      </c>
      <c r="K1135" s="154" t="s">
        <v>9003</v>
      </c>
      <c r="L1135" s="154" t="s">
        <v>7175</v>
      </c>
      <c r="M1135" s="154" t="s">
        <v>175</v>
      </c>
      <c r="N1135" s="154" t="s">
        <v>759</v>
      </c>
      <c r="O1135" s="247" t="s">
        <v>516</v>
      </c>
      <c r="P1135" s="247" t="s">
        <v>6776</v>
      </c>
      <c r="Q1135" s="154" t="str">
        <f t="shared" si="1"/>
        <v>#ERROR!</v>
      </c>
      <c r="R1135" s="154" t="s">
        <v>66</v>
      </c>
      <c r="S1135" s="154" t="s">
        <v>66</v>
      </c>
      <c r="T1135" s="155" t="s">
        <v>64</v>
      </c>
      <c r="U1135" s="155" t="s">
        <v>64</v>
      </c>
      <c r="V1135" s="154" t="s">
        <v>60</v>
      </c>
      <c r="W1135" s="154" t="s">
        <v>60</v>
      </c>
      <c r="X1135" s="154" t="s">
        <v>66</v>
      </c>
      <c r="Y1135" s="155" t="s">
        <v>64</v>
      </c>
      <c r="Z1135" s="154" t="s">
        <v>60</v>
      </c>
      <c r="AA1135" s="154"/>
      <c r="AB1135" s="242" t="str">
        <f t="shared" si="2"/>
        <v>#ERROR!</v>
      </c>
      <c r="AC1135" s="154" t="s">
        <v>391</v>
      </c>
      <c r="AD1135" s="242" t="b">
        <f t="shared" si="3"/>
        <v>0</v>
      </c>
      <c r="AE1135" s="154"/>
      <c r="AF1135" s="242" t="str">
        <f t="shared" si="4"/>
        <v>#ERROR!</v>
      </c>
      <c r="AG1135" s="154" t="s">
        <v>652</v>
      </c>
      <c r="AH1135" s="242" t="str">
        <f>IF(AG1135="","N/A",INDIRECT("MTR!"&amp;ADDRESS(MATCH(LEFT(AG1135,9),[1]MTR!C:C,0),COLUMN(J1135)),TRUE) &amp; "")</f>
        <v>#ERROR!</v>
      </c>
      <c r="AI1135" s="157" t="str">
        <f t="shared" si="5"/>
        <v>#ERROR!</v>
      </c>
    </row>
    <row r="1136" ht="12.75" customHeight="1">
      <c r="A1136" s="244" t="s">
        <v>5158</v>
      </c>
      <c r="B1136" s="244" t="s">
        <v>231</v>
      </c>
      <c r="C1136" s="244" t="s">
        <v>9673</v>
      </c>
      <c r="D1136" s="154" t="s">
        <v>1773</v>
      </c>
      <c r="E1136" s="154"/>
      <c r="F1136" s="154" t="str">
        <f t="array" ref="F1136">XLOOKUP(Cover!$D$12,$R$1:$Z$1,$R1136:$Z1136)</f>
        <v>Mandatory</v>
      </c>
      <c r="G1136" s="154" t="s">
        <v>9674</v>
      </c>
      <c r="H1136" s="154" t="s">
        <v>9009</v>
      </c>
      <c r="I1136" s="154" t="s">
        <v>9671</v>
      </c>
      <c r="J1136" s="154" t="s">
        <v>9672</v>
      </c>
      <c r="K1136" s="154" t="s">
        <v>9003</v>
      </c>
      <c r="L1136" s="154" t="s">
        <v>7175</v>
      </c>
      <c r="M1136" s="154" t="s">
        <v>175</v>
      </c>
      <c r="N1136" s="154" t="s">
        <v>759</v>
      </c>
      <c r="O1136" s="247" t="s">
        <v>516</v>
      </c>
      <c r="P1136" s="247" t="s">
        <v>6776</v>
      </c>
      <c r="Q1136" s="154" t="str">
        <f t="shared" si="1"/>
        <v>#ERROR!</v>
      </c>
      <c r="R1136" s="154" t="s">
        <v>66</v>
      </c>
      <c r="S1136" s="154" t="s">
        <v>66</v>
      </c>
      <c r="T1136" s="155" t="s">
        <v>64</v>
      </c>
      <c r="U1136" s="155" t="s">
        <v>64</v>
      </c>
      <c r="V1136" s="154" t="s">
        <v>60</v>
      </c>
      <c r="W1136" s="154" t="s">
        <v>60</v>
      </c>
      <c r="X1136" s="154" t="s">
        <v>66</v>
      </c>
      <c r="Y1136" s="155" t="s">
        <v>64</v>
      </c>
      <c r="Z1136" s="154" t="s">
        <v>60</v>
      </c>
      <c r="AA1136" s="154"/>
      <c r="AB1136" s="242" t="str">
        <f t="shared" si="2"/>
        <v>#ERROR!</v>
      </c>
      <c r="AC1136" s="154" t="s">
        <v>391</v>
      </c>
      <c r="AD1136" s="242" t="b">
        <f t="shared" si="3"/>
        <v>0</v>
      </c>
      <c r="AE1136" s="154"/>
      <c r="AF1136" s="242" t="str">
        <f t="shared" si="4"/>
        <v>#ERROR!</v>
      </c>
      <c r="AG1136" s="154" t="s">
        <v>652</v>
      </c>
      <c r="AH1136" s="242" t="str">
        <f>IF(AG1136="","N/A",INDIRECT("MTR!"&amp;ADDRESS(MATCH(LEFT(AG1136,9),[1]MTR!C:C,0),COLUMN(J1136)),TRUE) &amp; "")</f>
        <v>#ERROR!</v>
      </c>
      <c r="AI1136" s="157" t="str">
        <f t="shared" si="5"/>
        <v>#ERROR!</v>
      </c>
    </row>
    <row r="1137" ht="12.75" customHeight="1">
      <c r="A1137" s="244" t="s">
        <v>5158</v>
      </c>
      <c r="B1137" s="244" t="s">
        <v>231</v>
      </c>
      <c r="C1137" s="244" t="s">
        <v>9675</v>
      </c>
      <c r="D1137" s="154" t="s">
        <v>1773</v>
      </c>
      <c r="E1137" s="154"/>
      <c r="F1137" s="154" t="str">
        <f t="array" ref="F1137">XLOOKUP(Cover!$D$12,$R$1:$Z$1,$R1137:$Z1137)</f>
        <v>Mandatory</v>
      </c>
      <c r="G1137" s="154" t="s">
        <v>9676</v>
      </c>
      <c r="H1137" s="154" t="s">
        <v>9012</v>
      </c>
      <c r="I1137" s="154" t="s">
        <v>9671</v>
      </c>
      <c r="J1137" s="154" t="s">
        <v>9672</v>
      </c>
      <c r="K1137" s="154" t="s">
        <v>9003</v>
      </c>
      <c r="L1137" s="154" t="s">
        <v>7175</v>
      </c>
      <c r="M1137" s="154" t="s">
        <v>175</v>
      </c>
      <c r="N1137" s="154" t="s">
        <v>759</v>
      </c>
      <c r="O1137" s="247" t="s">
        <v>516</v>
      </c>
      <c r="P1137" s="247" t="s">
        <v>6776</v>
      </c>
      <c r="Q1137" s="154" t="str">
        <f t="shared" si="1"/>
        <v>#ERROR!</v>
      </c>
      <c r="R1137" s="154" t="s">
        <v>66</v>
      </c>
      <c r="S1137" s="154" t="s">
        <v>66</v>
      </c>
      <c r="T1137" s="155" t="s">
        <v>64</v>
      </c>
      <c r="U1137" s="155" t="s">
        <v>64</v>
      </c>
      <c r="V1137" s="154" t="s">
        <v>60</v>
      </c>
      <c r="W1137" s="154" t="s">
        <v>60</v>
      </c>
      <c r="X1137" s="154" t="s">
        <v>66</v>
      </c>
      <c r="Y1137" s="155" t="s">
        <v>64</v>
      </c>
      <c r="Z1137" s="154" t="s">
        <v>60</v>
      </c>
      <c r="AA1137" s="154"/>
      <c r="AB1137" s="242" t="str">
        <f t="shared" si="2"/>
        <v>#ERROR!</v>
      </c>
      <c r="AC1137" s="154" t="s">
        <v>391</v>
      </c>
      <c r="AD1137" s="242" t="b">
        <f t="shared" si="3"/>
        <v>0</v>
      </c>
      <c r="AE1137" s="154"/>
      <c r="AF1137" s="242" t="str">
        <f t="shared" si="4"/>
        <v>#ERROR!</v>
      </c>
      <c r="AG1137" s="154" t="s">
        <v>652</v>
      </c>
      <c r="AH1137" s="242" t="str">
        <f>IF(AG1137="","N/A",INDIRECT("MTR!"&amp;ADDRESS(MATCH(LEFT(AG1137,9),[1]MTR!C:C,0),COLUMN(J1137)),TRUE) &amp; "")</f>
        <v>#ERROR!</v>
      </c>
      <c r="AI1137" s="157" t="str">
        <f t="shared" si="5"/>
        <v>#ERROR!</v>
      </c>
    </row>
    <row r="1138" ht="12.75" customHeight="1">
      <c r="A1138" s="244" t="s">
        <v>5158</v>
      </c>
      <c r="B1138" s="244" t="s">
        <v>231</v>
      </c>
      <c r="C1138" s="244" t="s">
        <v>9677</v>
      </c>
      <c r="D1138" s="154" t="s">
        <v>861</v>
      </c>
      <c r="E1138" s="154"/>
      <c r="F1138" s="154" t="str">
        <f t="array" ref="F1138">XLOOKUP(Cover!$D$12,$R$1:$Z$1,$R1138:$Z1138)</f>
        <v>Mandatory</v>
      </c>
      <c r="G1138" s="154" t="s">
        <v>9678</v>
      </c>
      <c r="H1138" s="154" t="s">
        <v>9002</v>
      </c>
      <c r="I1138" s="154" t="s">
        <v>9679</v>
      </c>
      <c r="J1138" s="154" t="s">
        <v>7712</v>
      </c>
      <c r="K1138" s="154" t="s">
        <v>9003</v>
      </c>
      <c r="L1138" s="154" t="s">
        <v>6428</v>
      </c>
      <c r="M1138" s="154" t="s">
        <v>175</v>
      </c>
      <c r="N1138" s="154" t="s">
        <v>759</v>
      </c>
      <c r="O1138" s="247" t="s">
        <v>516</v>
      </c>
      <c r="P1138" s="247" t="s">
        <v>6776</v>
      </c>
      <c r="Q1138" s="154" t="str">
        <f t="shared" si="1"/>
        <v>#ERROR!</v>
      </c>
      <c r="R1138" s="154" t="s">
        <v>66</v>
      </c>
      <c r="S1138" s="154" t="s">
        <v>66</v>
      </c>
      <c r="T1138" s="155" t="s">
        <v>64</v>
      </c>
      <c r="U1138" s="155" t="s">
        <v>64</v>
      </c>
      <c r="V1138" s="154" t="s">
        <v>60</v>
      </c>
      <c r="W1138" s="154" t="s">
        <v>60</v>
      </c>
      <c r="X1138" s="154" t="s">
        <v>66</v>
      </c>
      <c r="Y1138" s="155" t="s">
        <v>64</v>
      </c>
      <c r="Z1138" s="154" t="s">
        <v>60</v>
      </c>
      <c r="AA1138" s="154"/>
      <c r="AB1138" s="242" t="str">
        <f t="shared" si="2"/>
        <v>#ERROR!</v>
      </c>
      <c r="AC1138" s="154" t="s">
        <v>391</v>
      </c>
      <c r="AD1138" s="242" t="b">
        <f t="shared" si="3"/>
        <v>0</v>
      </c>
      <c r="AE1138" s="154"/>
      <c r="AF1138" s="242" t="str">
        <f t="shared" si="4"/>
        <v>#ERROR!</v>
      </c>
      <c r="AG1138" s="154" t="s">
        <v>652</v>
      </c>
      <c r="AH1138" s="242" t="str">
        <f>IF(AG1138="","N/A",INDIRECT("MTR!"&amp;ADDRESS(MATCH(LEFT(AG1138,9),[1]MTR!C:C,0),COLUMN(J1138)),TRUE) &amp; "")</f>
        <v>#ERROR!</v>
      </c>
      <c r="AI1138" s="157" t="str">
        <f t="shared" si="5"/>
        <v>#ERROR!</v>
      </c>
    </row>
    <row r="1139" ht="12.75" customHeight="1">
      <c r="A1139" s="244" t="s">
        <v>5158</v>
      </c>
      <c r="B1139" s="244" t="s">
        <v>231</v>
      </c>
      <c r="C1139" s="244" t="s">
        <v>9680</v>
      </c>
      <c r="D1139" s="154" t="s">
        <v>861</v>
      </c>
      <c r="E1139" s="154"/>
      <c r="F1139" s="154" t="str">
        <f t="array" ref="F1139">XLOOKUP(Cover!$D$12,$R$1:$Z$1,$R1139:$Z1139)</f>
        <v>Mandatory</v>
      </c>
      <c r="G1139" s="154" t="s">
        <v>9681</v>
      </c>
      <c r="H1139" s="154" t="s">
        <v>9009</v>
      </c>
      <c r="I1139" s="154" t="s">
        <v>9679</v>
      </c>
      <c r="J1139" s="154" t="s">
        <v>7712</v>
      </c>
      <c r="K1139" s="154" t="s">
        <v>9003</v>
      </c>
      <c r="L1139" s="154" t="s">
        <v>6428</v>
      </c>
      <c r="M1139" s="154" t="s">
        <v>175</v>
      </c>
      <c r="N1139" s="154" t="s">
        <v>759</v>
      </c>
      <c r="O1139" s="247" t="s">
        <v>516</v>
      </c>
      <c r="P1139" s="247" t="s">
        <v>6776</v>
      </c>
      <c r="Q1139" s="154" t="str">
        <f t="shared" si="1"/>
        <v>#ERROR!</v>
      </c>
      <c r="R1139" s="154" t="s">
        <v>66</v>
      </c>
      <c r="S1139" s="154" t="s">
        <v>66</v>
      </c>
      <c r="T1139" s="155" t="s">
        <v>64</v>
      </c>
      <c r="U1139" s="155" t="s">
        <v>64</v>
      </c>
      <c r="V1139" s="154" t="s">
        <v>60</v>
      </c>
      <c r="W1139" s="154" t="s">
        <v>60</v>
      </c>
      <c r="X1139" s="154" t="s">
        <v>66</v>
      </c>
      <c r="Y1139" s="155" t="s">
        <v>64</v>
      </c>
      <c r="Z1139" s="154" t="s">
        <v>60</v>
      </c>
      <c r="AA1139" s="154"/>
      <c r="AB1139" s="242" t="str">
        <f t="shared" si="2"/>
        <v>#ERROR!</v>
      </c>
      <c r="AC1139" s="154" t="s">
        <v>391</v>
      </c>
      <c r="AD1139" s="242" t="b">
        <f t="shared" si="3"/>
        <v>0</v>
      </c>
      <c r="AE1139" s="154"/>
      <c r="AF1139" s="242" t="str">
        <f t="shared" si="4"/>
        <v>#ERROR!</v>
      </c>
      <c r="AG1139" s="154" t="s">
        <v>652</v>
      </c>
      <c r="AH1139" s="242" t="str">
        <f>IF(AG1139="","N/A",INDIRECT("MTR!"&amp;ADDRESS(MATCH(LEFT(AG1139,9),[1]MTR!C:C,0),COLUMN(J1139)),TRUE) &amp; "")</f>
        <v>#ERROR!</v>
      </c>
      <c r="AI1139" s="157" t="str">
        <f t="shared" si="5"/>
        <v>#ERROR!</v>
      </c>
    </row>
    <row r="1140" ht="12.75" customHeight="1">
      <c r="A1140" s="244" t="s">
        <v>5158</v>
      </c>
      <c r="B1140" s="244" t="s">
        <v>231</v>
      </c>
      <c r="C1140" s="244" t="s">
        <v>9682</v>
      </c>
      <c r="D1140" s="154" t="s">
        <v>861</v>
      </c>
      <c r="E1140" s="154"/>
      <c r="F1140" s="154" t="str">
        <f t="array" ref="F1140">XLOOKUP(Cover!$D$12,$R$1:$Z$1,$R1140:$Z1140)</f>
        <v>Mandatory</v>
      </c>
      <c r="G1140" s="154" t="s">
        <v>9683</v>
      </c>
      <c r="H1140" s="154" t="s">
        <v>9015</v>
      </c>
      <c r="I1140" s="154" t="s">
        <v>9679</v>
      </c>
      <c r="J1140" s="154" t="s">
        <v>7712</v>
      </c>
      <c r="K1140" s="154" t="s">
        <v>9003</v>
      </c>
      <c r="L1140" s="154" t="s">
        <v>6428</v>
      </c>
      <c r="M1140" s="154" t="s">
        <v>175</v>
      </c>
      <c r="N1140" s="154" t="s">
        <v>759</v>
      </c>
      <c r="O1140" s="247" t="s">
        <v>516</v>
      </c>
      <c r="P1140" s="247" t="s">
        <v>6776</v>
      </c>
      <c r="Q1140" s="154" t="str">
        <f t="shared" si="1"/>
        <v>#ERROR!</v>
      </c>
      <c r="R1140" s="154" t="s">
        <v>66</v>
      </c>
      <c r="S1140" s="154" t="s">
        <v>66</v>
      </c>
      <c r="T1140" s="155" t="s">
        <v>64</v>
      </c>
      <c r="U1140" s="155" t="s">
        <v>64</v>
      </c>
      <c r="V1140" s="154" t="s">
        <v>60</v>
      </c>
      <c r="W1140" s="154" t="s">
        <v>60</v>
      </c>
      <c r="X1140" s="154" t="s">
        <v>66</v>
      </c>
      <c r="Y1140" s="155" t="s">
        <v>64</v>
      </c>
      <c r="Z1140" s="154" t="s">
        <v>60</v>
      </c>
      <c r="AA1140" s="154"/>
      <c r="AB1140" s="242" t="str">
        <f t="shared" si="2"/>
        <v>#ERROR!</v>
      </c>
      <c r="AC1140" s="154" t="s">
        <v>391</v>
      </c>
      <c r="AD1140" s="242" t="b">
        <f t="shared" si="3"/>
        <v>0</v>
      </c>
      <c r="AE1140" s="154"/>
      <c r="AF1140" s="242" t="str">
        <f t="shared" si="4"/>
        <v>#ERROR!</v>
      </c>
      <c r="AG1140" s="154" t="s">
        <v>652</v>
      </c>
      <c r="AH1140" s="242" t="str">
        <f>IF(AG1140="","N/A",INDIRECT("MTR!"&amp;ADDRESS(MATCH(LEFT(AG1140,9),[1]MTR!C:C,0),COLUMN(J1140)),TRUE) &amp; "")</f>
        <v>#ERROR!</v>
      </c>
      <c r="AI1140" s="157" t="str">
        <f t="shared" si="5"/>
        <v>#ERROR!</v>
      </c>
    </row>
    <row r="1141" ht="12.75" customHeight="1">
      <c r="A1141" s="244" t="s">
        <v>5158</v>
      </c>
      <c r="B1141" s="244" t="s">
        <v>231</v>
      </c>
      <c r="C1141" s="244" t="s">
        <v>9684</v>
      </c>
      <c r="D1141" s="154" t="s">
        <v>1773</v>
      </c>
      <c r="E1141" s="154"/>
      <c r="F1141" s="154" t="str">
        <f t="array" ref="F1141">XLOOKUP(Cover!$D$12,$R$1:$Z$1,$R1141:$Z1141)</f>
        <v>Information</v>
      </c>
      <c r="G1141" s="154" t="s">
        <v>9685</v>
      </c>
      <c r="H1141" s="154" t="s">
        <v>9002</v>
      </c>
      <c r="I1141" s="154" t="s">
        <v>9686</v>
      </c>
      <c r="J1141" s="154" t="s">
        <v>9687</v>
      </c>
      <c r="K1141" s="154" t="s">
        <v>9003</v>
      </c>
      <c r="L1141" s="154" t="s">
        <v>7175</v>
      </c>
      <c r="M1141" s="154"/>
      <c r="N1141" s="154" t="s">
        <v>759</v>
      </c>
      <c r="O1141" s="247" t="s">
        <v>516</v>
      </c>
      <c r="P1141" s="247" t="s">
        <v>6776</v>
      </c>
      <c r="Q1141" s="154" t="str">
        <f t="shared" si="1"/>
        <v>#ERROR!</v>
      </c>
      <c r="R1141" s="154" t="s">
        <v>66</v>
      </c>
      <c r="S1141" s="154" t="s">
        <v>66</v>
      </c>
      <c r="T1141" s="154" t="s">
        <v>66</v>
      </c>
      <c r="U1141" s="154" t="s">
        <v>66</v>
      </c>
      <c r="V1141" s="154" t="s">
        <v>66</v>
      </c>
      <c r="W1141" s="154" t="s">
        <v>66</v>
      </c>
      <c r="X1141" s="154" t="s">
        <v>66</v>
      </c>
      <c r="Y1141" s="154" t="s">
        <v>66</v>
      </c>
      <c r="Z1141" s="154" t="s">
        <v>66</v>
      </c>
      <c r="AA1141" s="154"/>
      <c r="AB1141" s="242" t="str">
        <f t="shared" si="2"/>
        <v>#ERROR!</v>
      </c>
      <c r="AC1141" s="154" t="s">
        <v>391</v>
      </c>
      <c r="AD1141" s="242" t="b">
        <f t="shared" si="3"/>
        <v>0</v>
      </c>
      <c r="AE1141" s="154"/>
      <c r="AF1141" s="242" t="str">
        <f t="shared" si="4"/>
        <v>#ERROR!</v>
      </c>
      <c r="AG1141" s="154" t="s">
        <v>652</v>
      </c>
      <c r="AH1141" s="242" t="str">
        <f>IF(AG1141="","N/A",INDIRECT("MTR!"&amp;ADDRESS(MATCH(LEFT(AG1141,9),[1]MTR!C:C,0),COLUMN(J1141)),TRUE) &amp; "")</f>
        <v>#ERROR!</v>
      </c>
      <c r="AI1141" s="157" t="str">
        <f t="shared" si="5"/>
        <v>#ERROR!</v>
      </c>
    </row>
    <row r="1142" ht="12.75" customHeight="1">
      <c r="A1142" s="244" t="s">
        <v>5158</v>
      </c>
      <c r="B1142" s="244" t="s">
        <v>231</v>
      </c>
      <c r="C1142" s="244" t="s">
        <v>9688</v>
      </c>
      <c r="D1142" s="154" t="s">
        <v>1773</v>
      </c>
      <c r="E1142" s="154"/>
      <c r="F1142" s="154" t="str">
        <f t="array" ref="F1142">XLOOKUP(Cover!$D$12,$R$1:$Z$1,$R1142:$Z1142)</f>
        <v>Information</v>
      </c>
      <c r="G1142" s="154" t="s">
        <v>9689</v>
      </c>
      <c r="H1142" s="154" t="s">
        <v>9012</v>
      </c>
      <c r="I1142" s="154" t="s">
        <v>9686</v>
      </c>
      <c r="J1142" s="154" t="s">
        <v>9687</v>
      </c>
      <c r="K1142" s="154" t="s">
        <v>9003</v>
      </c>
      <c r="L1142" s="154" t="s">
        <v>7175</v>
      </c>
      <c r="M1142" s="154"/>
      <c r="N1142" s="154" t="s">
        <v>759</v>
      </c>
      <c r="O1142" s="247" t="s">
        <v>516</v>
      </c>
      <c r="P1142" s="247" t="s">
        <v>6776</v>
      </c>
      <c r="Q1142" s="154" t="str">
        <f t="shared" si="1"/>
        <v>#ERROR!</v>
      </c>
      <c r="R1142" s="154" t="s">
        <v>66</v>
      </c>
      <c r="S1142" s="154" t="s">
        <v>66</v>
      </c>
      <c r="T1142" s="154" t="s">
        <v>66</v>
      </c>
      <c r="U1142" s="154" t="s">
        <v>66</v>
      </c>
      <c r="V1142" s="154" t="s">
        <v>66</v>
      </c>
      <c r="W1142" s="154" t="s">
        <v>66</v>
      </c>
      <c r="X1142" s="154" t="s">
        <v>66</v>
      </c>
      <c r="Y1142" s="154" t="s">
        <v>66</v>
      </c>
      <c r="Z1142" s="154" t="s">
        <v>66</v>
      </c>
      <c r="AA1142" s="154"/>
      <c r="AB1142" s="242" t="str">
        <f t="shared" si="2"/>
        <v>#ERROR!</v>
      </c>
      <c r="AC1142" s="154" t="s">
        <v>391</v>
      </c>
      <c r="AD1142" s="242" t="b">
        <f t="shared" si="3"/>
        <v>0</v>
      </c>
      <c r="AE1142" s="154"/>
      <c r="AF1142" s="242" t="str">
        <f t="shared" si="4"/>
        <v>#ERROR!</v>
      </c>
      <c r="AG1142" s="154" t="s">
        <v>652</v>
      </c>
      <c r="AH1142" s="242" t="str">
        <f>IF(AG1142="","N/A",INDIRECT("MTR!"&amp;ADDRESS(MATCH(LEFT(AG1142,9),[1]MTR!C:C,0),COLUMN(J1142)),TRUE) &amp; "")</f>
        <v>#ERROR!</v>
      </c>
      <c r="AI1142" s="157" t="str">
        <f t="shared" si="5"/>
        <v>#ERROR!</v>
      </c>
    </row>
    <row r="1143" ht="12.75" customHeight="1">
      <c r="A1143" s="244" t="s">
        <v>5158</v>
      </c>
      <c r="B1143" s="244" t="s">
        <v>231</v>
      </c>
      <c r="C1143" s="244" t="s">
        <v>9690</v>
      </c>
      <c r="D1143" s="154" t="s">
        <v>1773</v>
      </c>
      <c r="E1143" s="154"/>
      <c r="F1143" s="154" t="str">
        <f t="array" ref="F1143">XLOOKUP(Cover!$D$12,$R$1:$Z$1,$R1143:$Z1143)</f>
        <v>Information</v>
      </c>
      <c r="G1143" s="154" t="s">
        <v>9691</v>
      </c>
      <c r="H1143" s="154" t="s">
        <v>9015</v>
      </c>
      <c r="I1143" s="154" t="s">
        <v>9686</v>
      </c>
      <c r="J1143" s="154" t="s">
        <v>9687</v>
      </c>
      <c r="K1143" s="154" t="s">
        <v>9003</v>
      </c>
      <c r="L1143" s="154" t="s">
        <v>7175</v>
      </c>
      <c r="M1143" s="154"/>
      <c r="N1143" s="154" t="s">
        <v>759</v>
      </c>
      <c r="O1143" s="247" t="s">
        <v>516</v>
      </c>
      <c r="P1143" s="247" t="s">
        <v>6776</v>
      </c>
      <c r="Q1143" s="154" t="str">
        <f t="shared" si="1"/>
        <v>#ERROR!</v>
      </c>
      <c r="R1143" s="154" t="s">
        <v>66</v>
      </c>
      <c r="S1143" s="154" t="s">
        <v>66</v>
      </c>
      <c r="T1143" s="154" t="s">
        <v>66</v>
      </c>
      <c r="U1143" s="154" t="s">
        <v>66</v>
      </c>
      <c r="V1143" s="154" t="s">
        <v>66</v>
      </c>
      <c r="W1143" s="154" t="s">
        <v>66</v>
      </c>
      <c r="X1143" s="154" t="s">
        <v>66</v>
      </c>
      <c r="Y1143" s="154" t="s">
        <v>66</v>
      </c>
      <c r="Z1143" s="154" t="s">
        <v>66</v>
      </c>
      <c r="AA1143" s="154"/>
      <c r="AB1143" s="242" t="str">
        <f t="shared" si="2"/>
        <v>#ERROR!</v>
      </c>
      <c r="AC1143" s="154" t="s">
        <v>391</v>
      </c>
      <c r="AD1143" s="242" t="b">
        <f t="shared" si="3"/>
        <v>0</v>
      </c>
      <c r="AE1143" s="154"/>
      <c r="AF1143" s="242" t="str">
        <f t="shared" si="4"/>
        <v>#ERROR!</v>
      </c>
      <c r="AG1143" s="154" t="s">
        <v>652</v>
      </c>
      <c r="AH1143" s="242" t="str">
        <f>IF(AG1143="","N/A",INDIRECT("MTR!"&amp;ADDRESS(MATCH(LEFT(AG1143,9),[1]MTR!C:C,0),COLUMN(J1143)),TRUE) &amp; "")</f>
        <v>#ERROR!</v>
      </c>
      <c r="AI1143" s="157" t="str">
        <f t="shared" si="5"/>
        <v>#ERROR!</v>
      </c>
    </row>
    <row r="1144" ht="12.75" customHeight="1">
      <c r="A1144" s="244" t="s">
        <v>5158</v>
      </c>
      <c r="B1144" s="244" t="s">
        <v>231</v>
      </c>
      <c r="C1144" s="244" t="s">
        <v>9692</v>
      </c>
      <c r="D1144" s="154" t="s">
        <v>1773</v>
      </c>
      <c r="E1144" s="154"/>
      <c r="F1144" s="154" t="str">
        <f t="array" ref="F1144">XLOOKUP(Cover!$D$12,$R$1:$Z$1,$R1144:$Z1144)</f>
        <v>Information</v>
      </c>
      <c r="G1144" s="154" t="s">
        <v>9693</v>
      </c>
      <c r="H1144" s="154" t="s">
        <v>1541</v>
      </c>
      <c r="I1144" s="154" t="s">
        <v>9686</v>
      </c>
      <c r="J1144" s="154" t="s">
        <v>9687</v>
      </c>
      <c r="K1144" s="154" t="s">
        <v>9003</v>
      </c>
      <c r="L1144" s="154" t="s">
        <v>7175</v>
      </c>
      <c r="M1144" s="154"/>
      <c r="N1144" s="154" t="s">
        <v>759</v>
      </c>
      <c r="O1144" s="247" t="s">
        <v>516</v>
      </c>
      <c r="P1144" s="247" t="s">
        <v>6776</v>
      </c>
      <c r="Q1144" s="154" t="str">
        <f t="shared" si="1"/>
        <v>#ERROR!</v>
      </c>
      <c r="R1144" s="154" t="s">
        <v>66</v>
      </c>
      <c r="S1144" s="154" t="s">
        <v>66</v>
      </c>
      <c r="T1144" s="154" t="s">
        <v>66</v>
      </c>
      <c r="U1144" s="154" t="s">
        <v>66</v>
      </c>
      <c r="V1144" s="154" t="s">
        <v>66</v>
      </c>
      <c r="W1144" s="154" t="s">
        <v>66</v>
      </c>
      <c r="X1144" s="154" t="s">
        <v>66</v>
      </c>
      <c r="Y1144" s="154" t="s">
        <v>66</v>
      </c>
      <c r="Z1144" s="154" t="s">
        <v>66</v>
      </c>
      <c r="AA1144" s="154"/>
      <c r="AB1144" s="242" t="str">
        <f t="shared" si="2"/>
        <v>#ERROR!</v>
      </c>
      <c r="AC1144" s="154" t="s">
        <v>391</v>
      </c>
      <c r="AD1144" s="242" t="b">
        <f t="shared" si="3"/>
        <v>0</v>
      </c>
      <c r="AE1144" s="154"/>
      <c r="AF1144" s="242" t="str">
        <f t="shared" si="4"/>
        <v>#ERROR!</v>
      </c>
      <c r="AG1144" s="154" t="s">
        <v>652</v>
      </c>
      <c r="AH1144" s="242" t="str">
        <f>IF(AG1144="","N/A",INDIRECT("MTR!"&amp;ADDRESS(MATCH(LEFT(AG1144,9),[1]MTR!C:C,0),COLUMN(J1144)),TRUE) &amp; "")</f>
        <v>#ERROR!</v>
      </c>
      <c r="AI1144" s="157" t="str">
        <f t="shared" si="5"/>
        <v>#ERROR!</v>
      </c>
    </row>
    <row r="1145" ht="12.75" customHeight="1">
      <c r="A1145" s="244" t="s">
        <v>5158</v>
      </c>
      <c r="B1145" s="244" t="s">
        <v>231</v>
      </c>
      <c r="C1145" s="244" t="s">
        <v>9694</v>
      </c>
      <c r="D1145" s="154" t="s">
        <v>542</v>
      </c>
      <c r="E1145" s="154"/>
      <c r="F1145" s="154" t="str">
        <f t="array" ref="F1145">XLOOKUP(Cover!$D$12,$R$1:$Z$1,$R1145:$Z1145)</f>
        <v>Mandatory</v>
      </c>
      <c r="G1145" s="154" t="s">
        <v>9695</v>
      </c>
      <c r="H1145" s="154" t="s">
        <v>9006</v>
      </c>
      <c r="I1145" s="154" t="s">
        <v>9696</v>
      </c>
      <c r="J1145" s="154" t="s">
        <v>7136</v>
      </c>
      <c r="K1145" s="154" t="s">
        <v>9003</v>
      </c>
      <c r="L1145" s="154" t="s">
        <v>6525</v>
      </c>
      <c r="M1145" s="154" t="s">
        <v>175</v>
      </c>
      <c r="N1145" s="154" t="s">
        <v>759</v>
      </c>
      <c r="O1145" s="247" t="s">
        <v>445</v>
      </c>
      <c r="P1145" s="247" t="s">
        <v>89</v>
      </c>
      <c r="Q1145" s="154" t="str">
        <f t="shared" si="1"/>
        <v>#ERROR!</v>
      </c>
      <c r="R1145" s="154" t="s">
        <v>66</v>
      </c>
      <c r="S1145" s="154" t="s">
        <v>66</v>
      </c>
      <c r="T1145" s="155" t="s">
        <v>64</v>
      </c>
      <c r="U1145" s="155" t="s">
        <v>64</v>
      </c>
      <c r="V1145" s="154" t="s">
        <v>60</v>
      </c>
      <c r="W1145" s="154" t="s">
        <v>60</v>
      </c>
      <c r="X1145" s="154" t="s">
        <v>66</v>
      </c>
      <c r="Y1145" s="155" t="s">
        <v>64</v>
      </c>
      <c r="Z1145" s="154" t="s">
        <v>60</v>
      </c>
      <c r="AA1145" s="154"/>
      <c r="AB1145" s="242" t="str">
        <f t="shared" si="2"/>
        <v>#ERROR!</v>
      </c>
      <c r="AC1145" s="154" t="s">
        <v>391</v>
      </c>
      <c r="AD1145" s="242" t="b">
        <f t="shared" si="3"/>
        <v>0</v>
      </c>
      <c r="AE1145" s="154"/>
      <c r="AF1145" s="242" t="str">
        <f t="shared" si="4"/>
        <v>#ERROR!</v>
      </c>
      <c r="AG1145" s="154" t="s">
        <v>652</v>
      </c>
      <c r="AH1145" s="242" t="str">
        <f>IF(AG1145="","N/A",INDIRECT("MTR!"&amp;ADDRESS(MATCH(LEFT(AG1145,9),[1]MTR!C:C,0),COLUMN(J1145)),TRUE) &amp; "")</f>
        <v>#ERROR!</v>
      </c>
      <c r="AI1145" s="157" t="str">
        <f t="shared" si="5"/>
        <v>#ERROR!</v>
      </c>
    </row>
    <row r="1146" ht="12.75" customHeight="1">
      <c r="A1146" s="244" t="s">
        <v>5158</v>
      </c>
      <c r="B1146" s="244" t="s">
        <v>231</v>
      </c>
      <c r="C1146" s="244" t="s">
        <v>9697</v>
      </c>
      <c r="D1146" s="154" t="s">
        <v>546</v>
      </c>
      <c r="E1146" s="154"/>
      <c r="F1146" s="154" t="str">
        <f t="array" ref="F1146">XLOOKUP(Cover!$D$12,$R$1:$Z$1,$R1146:$Z1146)</f>
        <v>Mandatory</v>
      </c>
      <c r="G1146" s="154" t="s">
        <v>9698</v>
      </c>
      <c r="H1146" s="154" t="s">
        <v>9053</v>
      </c>
      <c r="I1146" s="154" t="s">
        <v>9696</v>
      </c>
      <c r="J1146" s="154" t="s">
        <v>7136</v>
      </c>
      <c r="K1146" s="154" t="s">
        <v>9003</v>
      </c>
      <c r="L1146" s="154" t="s">
        <v>6529</v>
      </c>
      <c r="M1146" s="154" t="s">
        <v>175</v>
      </c>
      <c r="N1146" s="154" t="s">
        <v>759</v>
      </c>
      <c r="O1146" s="247" t="s">
        <v>516</v>
      </c>
      <c r="P1146" s="247" t="s">
        <v>1575</v>
      </c>
      <c r="Q1146" s="154" t="str">
        <f t="shared" si="1"/>
        <v>#ERROR!</v>
      </c>
      <c r="R1146" s="154" t="s">
        <v>66</v>
      </c>
      <c r="S1146" s="154" t="s">
        <v>66</v>
      </c>
      <c r="T1146" s="155" t="s">
        <v>64</v>
      </c>
      <c r="U1146" s="155" t="s">
        <v>64</v>
      </c>
      <c r="V1146" s="154" t="s">
        <v>60</v>
      </c>
      <c r="W1146" s="154" t="s">
        <v>60</v>
      </c>
      <c r="X1146" s="154" t="s">
        <v>66</v>
      </c>
      <c r="Y1146" s="155" t="s">
        <v>64</v>
      </c>
      <c r="Z1146" s="154" t="s">
        <v>60</v>
      </c>
      <c r="AA1146" s="154"/>
      <c r="AB1146" s="242" t="str">
        <f t="shared" si="2"/>
        <v>#ERROR!</v>
      </c>
      <c r="AC1146" s="154" t="s">
        <v>391</v>
      </c>
      <c r="AD1146" s="242" t="b">
        <f t="shared" si="3"/>
        <v>0</v>
      </c>
      <c r="AE1146" s="154"/>
      <c r="AF1146" s="242" t="str">
        <f t="shared" si="4"/>
        <v>#ERROR!</v>
      </c>
      <c r="AG1146" s="154" t="s">
        <v>652</v>
      </c>
      <c r="AH1146" s="242" t="str">
        <f>IF(AG1146="","N/A",INDIRECT("MTR!"&amp;ADDRESS(MATCH(LEFT(AG1146,9),[1]MTR!C:C,0),COLUMN(J1146)),TRUE) &amp; "")</f>
        <v>#ERROR!</v>
      </c>
      <c r="AI1146" s="157" t="str">
        <f t="shared" si="5"/>
        <v>#ERROR!</v>
      </c>
    </row>
    <row r="1147" ht="12.75" customHeight="1">
      <c r="A1147" s="244" t="s">
        <v>5158</v>
      </c>
      <c r="B1147" s="244" t="s">
        <v>231</v>
      </c>
      <c r="C1147" s="244" t="s">
        <v>9699</v>
      </c>
      <c r="D1147" s="154" t="s">
        <v>542</v>
      </c>
      <c r="E1147" s="154"/>
      <c r="F1147" s="154" t="str">
        <f t="array" ref="F1147">XLOOKUP(Cover!$D$12,$R$1:$Z$1,$R1147:$Z1147)</f>
        <v>Recommended</v>
      </c>
      <c r="G1147" s="154" t="s">
        <v>9700</v>
      </c>
      <c r="H1147" s="154" t="s">
        <v>9009</v>
      </c>
      <c r="I1147" s="154" t="s">
        <v>9696</v>
      </c>
      <c r="J1147" s="154" t="s">
        <v>7136</v>
      </c>
      <c r="K1147" s="154" t="s">
        <v>9003</v>
      </c>
      <c r="L1147" s="154" t="s">
        <v>6525</v>
      </c>
      <c r="M1147" s="154"/>
      <c r="N1147" s="154" t="s">
        <v>759</v>
      </c>
      <c r="O1147" s="247" t="s">
        <v>445</v>
      </c>
      <c r="P1147" s="247" t="s">
        <v>89</v>
      </c>
      <c r="Q1147" s="154" t="str">
        <f t="shared" si="1"/>
        <v>#ERROR!</v>
      </c>
      <c r="R1147" s="154" t="s">
        <v>66</v>
      </c>
      <c r="S1147" s="154" t="s">
        <v>66</v>
      </c>
      <c r="T1147" s="154" t="s">
        <v>64</v>
      </c>
      <c r="U1147" s="154" t="s">
        <v>64</v>
      </c>
      <c r="V1147" s="154" t="s">
        <v>64</v>
      </c>
      <c r="W1147" s="154" t="s">
        <v>64</v>
      </c>
      <c r="X1147" s="154" t="s">
        <v>66</v>
      </c>
      <c r="Y1147" s="154" t="s">
        <v>64</v>
      </c>
      <c r="Z1147" s="154" t="s">
        <v>64</v>
      </c>
      <c r="AA1147" s="154"/>
      <c r="AB1147" s="242" t="str">
        <f t="shared" si="2"/>
        <v>#ERROR!</v>
      </c>
      <c r="AC1147" s="154" t="s">
        <v>391</v>
      </c>
      <c r="AD1147" s="242" t="b">
        <f t="shared" si="3"/>
        <v>0</v>
      </c>
      <c r="AE1147" s="154"/>
      <c r="AF1147" s="242" t="str">
        <f t="shared" si="4"/>
        <v>#ERROR!</v>
      </c>
      <c r="AG1147" s="154" t="s">
        <v>652</v>
      </c>
      <c r="AH1147" s="242" t="str">
        <f>IF(AG1147="","N/A",INDIRECT("MTR!"&amp;ADDRESS(MATCH(LEFT(AG1147,9),[1]MTR!C:C,0),COLUMN(J1147)),TRUE) &amp; "")</f>
        <v>#ERROR!</v>
      </c>
      <c r="AI1147" s="157" t="str">
        <f t="shared" si="5"/>
        <v>#ERROR!</v>
      </c>
    </row>
    <row r="1148" ht="12.75" customHeight="1">
      <c r="A1148" s="244" t="s">
        <v>5158</v>
      </c>
      <c r="B1148" s="244" t="s">
        <v>231</v>
      </c>
      <c r="C1148" s="244" t="s">
        <v>9701</v>
      </c>
      <c r="D1148" s="154" t="s">
        <v>542</v>
      </c>
      <c r="E1148" s="154"/>
      <c r="F1148" s="154" t="str">
        <f t="array" ref="F1148">XLOOKUP(Cover!$D$12,$R$1:$Z$1,$R1148:$Z1148)</f>
        <v>Recommended</v>
      </c>
      <c r="G1148" s="154" t="s">
        <v>9702</v>
      </c>
      <c r="H1148" s="154" t="s">
        <v>9084</v>
      </c>
      <c r="I1148" s="154" t="s">
        <v>9696</v>
      </c>
      <c r="J1148" s="154" t="s">
        <v>7136</v>
      </c>
      <c r="K1148" s="154" t="s">
        <v>9003</v>
      </c>
      <c r="L1148" s="154" t="s">
        <v>6140</v>
      </c>
      <c r="M1148" s="154"/>
      <c r="N1148" s="154" t="s">
        <v>759</v>
      </c>
      <c r="O1148" s="247" t="s">
        <v>516</v>
      </c>
      <c r="P1148" s="247" t="s">
        <v>1575</v>
      </c>
      <c r="Q1148" s="154" t="str">
        <f t="shared" si="1"/>
        <v>#ERROR!</v>
      </c>
      <c r="R1148" s="154" t="s">
        <v>66</v>
      </c>
      <c r="S1148" s="154" t="s">
        <v>66</v>
      </c>
      <c r="T1148" s="154" t="s">
        <v>64</v>
      </c>
      <c r="U1148" s="154" t="s">
        <v>64</v>
      </c>
      <c r="V1148" s="154" t="s">
        <v>64</v>
      </c>
      <c r="W1148" s="154" t="s">
        <v>64</v>
      </c>
      <c r="X1148" s="154" t="s">
        <v>66</v>
      </c>
      <c r="Y1148" s="154" t="s">
        <v>64</v>
      </c>
      <c r="Z1148" s="154" t="s">
        <v>64</v>
      </c>
      <c r="AA1148" s="154"/>
      <c r="AB1148" s="242" t="str">
        <f t="shared" si="2"/>
        <v>#ERROR!</v>
      </c>
      <c r="AC1148" s="154" t="s">
        <v>391</v>
      </c>
      <c r="AD1148" s="242" t="b">
        <f t="shared" si="3"/>
        <v>0</v>
      </c>
      <c r="AE1148" s="154"/>
      <c r="AF1148" s="242" t="str">
        <f t="shared" si="4"/>
        <v>#ERROR!</v>
      </c>
      <c r="AG1148" s="154" t="s">
        <v>652</v>
      </c>
      <c r="AH1148" s="242" t="str">
        <f>IF(AG1148="","N/A",INDIRECT("MTR!"&amp;ADDRESS(MATCH(LEFT(AG1148,9),[1]MTR!C:C,0),COLUMN(J1148)),TRUE) &amp; "")</f>
        <v>#ERROR!</v>
      </c>
      <c r="AI1148" s="157" t="str">
        <f t="shared" si="5"/>
        <v>#ERROR!</v>
      </c>
    </row>
    <row r="1149" ht="12.75" customHeight="1">
      <c r="A1149" s="244" t="s">
        <v>5158</v>
      </c>
      <c r="B1149" s="244" t="s">
        <v>231</v>
      </c>
      <c r="C1149" s="244" t="s">
        <v>9703</v>
      </c>
      <c r="D1149" s="154" t="s">
        <v>747</v>
      </c>
      <c r="E1149" s="154"/>
      <c r="F1149" s="154" t="str">
        <f t="array" ref="F1149">XLOOKUP(Cover!$D$12,$R$1:$Z$1,$R1149:$Z1149)</f>
        <v>Information</v>
      </c>
      <c r="G1149" s="154" t="s">
        <v>9704</v>
      </c>
      <c r="H1149" s="154" t="s">
        <v>9006</v>
      </c>
      <c r="I1149" s="154" t="s">
        <v>9705</v>
      </c>
      <c r="J1149" s="154" t="s">
        <v>7130</v>
      </c>
      <c r="K1149" s="154" t="s">
        <v>9003</v>
      </c>
      <c r="L1149" s="154" t="s">
        <v>6525</v>
      </c>
      <c r="M1149" s="154"/>
      <c r="N1149" s="154" t="s">
        <v>759</v>
      </c>
      <c r="O1149" s="247" t="s">
        <v>445</v>
      </c>
      <c r="P1149" s="247" t="s">
        <v>89</v>
      </c>
      <c r="Q1149" s="154" t="str">
        <f t="shared" si="1"/>
        <v>#ERROR!</v>
      </c>
      <c r="R1149" s="154" t="s">
        <v>66</v>
      </c>
      <c r="S1149" s="154" t="s">
        <v>66</v>
      </c>
      <c r="T1149" s="154" t="s">
        <v>66</v>
      </c>
      <c r="U1149" s="154" t="s">
        <v>66</v>
      </c>
      <c r="V1149" s="154" t="s">
        <v>66</v>
      </c>
      <c r="W1149" s="154" t="s">
        <v>66</v>
      </c>
      <c r="X1149" s="154" t="s">
        <v>66</v>
      </c>
      <c r="Y1149" s="154" t="s">
        <v>66</v>
      </c>
      <c r="Z1149" s="154" t="s">
        <v>66</v>
      </c>
      <c r="AA1149" s="154"/>
      <c r="AB1149" s="242" t="str">
        <f t="shared" si="2"/>
        <v>#ERROR!</v>
      </c>
      <c r="AC1149" s="154" t="s">
        <v>391</v>
      </c>
      <c r="AD1149" s="242" t="b">
        <f t="shared" si="3"/>
        <v>0</v>
      </c>
      <c r="AE1149" s="154"/>
      <c r="AF1149" s="242" t="str">
        <f t="shared" si="4"/>
        <v>#ERROR!</v>
      </c>
      <c r="AG1149" s="154" t="s">
        <v>652</v>
      </c>
      <c r="AH1149" s="242" t="str">
        <f>IF(AG1149="","N/A",INDIRECT("MTR!"&amp;ADDRESS(MATCH(LEFT(AG1149,9),[1]MTR!C:C,0),COLUMN(J1149)),TRUE) &amp; "")</f>
        <v>#ERROR!</v>
      </c>
      <c r="AI1149" s="157" t="str">
        <f t="shared" si="5"/>
        <v>#ERROR!</v>
      </c>
    </row>
    <row r="1150" ht="12.75" customHeight="1">
      <c r="A1150" s="244" t="s">
        <v>5158</v>
      </c>
      <c r="B1150" s="244" t="s">
        <v>231</v>
      </c>
      <c r="C1150" s="244" t="s">
        <v>9706</v>
      </c>
      <c r="D1150" s="154" t="s">
        <v>747</v>
      </c>
      <c r="E1150" s="154"/>
      <c r="F1150" s="154" t="str">
        <f t="array" ref="F1150">XLOOKUP(Cover!$D$12,$R$1:$Z$1,$R1150:$Z1150)</f>
        <v>Information</v>
      </c>
      <c r="G1150" s="154" t="s">
        <v>9707</v>
      </c>
      <c r="H1150" s="154" t="s">
        <v>9009</v>
      </c>
      <c r="I1150" s="154" t="s">
        <v>9705</v>
      </c>
      <c r="J1150" s="154" t="s">
        <v>7130</v>
      </c>
      <c r="K1150" s="154" t="s">
        <v>9003</v>
      </c>
      <c r="L1150" s="154" t="s">
        <v>6525</v>
      </c>
      <c r="M1150" s="154"/>
      <c r="N1150" s="154" t="s">
        <v>759</v>
      </c>
      <c r="O1150" s="247" t="s">
        <v>445</v>
      </c>
      <c r="P1150" s="247" t="s">
        <v>89</v>
      </c>
      <c r="Q1150" s="154" t="str">
        <f t="shared" si="1"/>
        <v>#ERROR!</v>
      </c>
      <c r="R1150" s="154" t="s">
        <v>66</v>
      </c>
      <c r="S1150" s="154" t="s">
        <v>66</v>
      </c>
      <c r="T1150" s="154" t="s">
        <v>66</v>
      </c>
      <c r="U1150" s="154" t="s">
        <v>66</v>
      </c>
      <c r="V1150" s="154" t="s">
        <v>66</v>
      </c>
      <c r="W1150" s="154" t="s">
        <v>66</v>
      </c>
      <c r="X1150" s="154" t="s">
        <v>66</v>
      </c>
      <c r="Y1150" s="154" t="s">
        <v>66</v>
      </c>
      <c r="Z1150" s="154" t="s">
        <v>66</v>
      </c>
      <c r="AA1150" s="154"/>
      <c r="AB1150" s="242" t="str">
        <f t="shared" si="2"/>
        <v>#ERROR!</v>
      </c>
      <c r="AC1150" s="154" t="s">
        <v>391</v>
      </c>
      <c r="AD1150" s="242" t="b">
        <f t="shared" si="3"/>
        <v>0</v>
      </c>
      <c r="AE1150" s="154"/>
      <c r="AF1150" s="242" t="str">
        <f t="shared" si="4"/>
        <v>#ERROR!</v>
      </c>
      <c r="AG1150" s="154" t="s">
        <v>652</v>
      </c>
      <c r="AH1150" s="242" t="str">
        <f>IF(AG1150="","N/A",INDIRECT("MTR!"&amp;ADDRESS(MATCH(LEFT(AG1150,9),[1]MTR!C:C,0),COLUMN(J1150)),TRUE) &amp; "")</f>
        <v>#ERROR!</v>
      </c>
      <c r="AI1150" s="157" t="str">
        <f t="shared" si="5"/>
        <v>#ERROR!</v>
      </c>
    </row>
    <row r="1151" ht="12.75" customHeight="1">
      <c r="A1151" s="244" t="s">
        <v>5158</v>
      </c>
      <c r="B1151" s="244" t="s">
        <v>231</v>
      </c>
      <c r="C1151" s="244" t="s">
        <v>9708</v>
      </c>
      <c r="D1151" s="154" t="s">
        <v>503</v>
      </c>
      <c r="E1151" s="154"/>
      <c r="F1151" s="154" t="str">
        <f t="array" ref="F1151">XLOOKUP(Cover!$D$12,$R$1:$Z$1,$R1151:$Z1151)</f>
        <v>Mandatory</v>
      </c>
      <c r="G1151" s="154" t="s">
        <v>9709</v>
      </c>
      <c r="H1151" s="154" t="s">
        <v>9006</v>
      </c>
      <c r="I1151" s="154" t="s">
        <v>9710</v>
      </c>
      <c r="J1151" s="154" t="s">
        <v>7146</v>
      </c>
      <c r="K1151" s="154" t="s">
        <v>9003</v>
      </c>
      <c r="L1151" s="154" t="s">
        <v>6463</v>
      </c>
      <c r="M1151" s="154" t="s">
        <v>175</v>
      </c>
      <c r="N1151" s="154" t="s">
        <v>759</v>
      </c>
      <c r="O1151" s="247" t="s">
        <v>516</v>
      </c>
      <c r="P1151" s="247" t="s">
        <v>6776</v>
      </c>
      <c r="Q1151" s="154" t="str">
        <f t="shared" si="1"/>
        <v>#ERROR!</v>
      </c>
      <c r="R1151" s="154" t="s">
        <v>66</v>
      </c>
      <c r="S1151" s="154" t="s">
        <v>66</v>
      </c>
      <c r="T1151" s="155" t="s">
        <v>64</v>
      </c>
      <c r="U1151" s="155" t="s">
        <v>64</v>
      </c>
      <c r="V1151" s="154" t="s">
        <v>60</v>
      </c>
      <c r="W1151" s="154" t="s">
        <v>60</v>
      </c>
      <c r="X1151" s="154" t="s">
        <v>66</v>
      </c>
      <c r="Y1151" s="155" t="s">
        <v>64</v>
      </c>
      <c r="Z1151" s="154" t="s">
        <v>60</v>
      </c>
      <c r="AA1151" s="154"/>
      <c r="AB1151" s="242" t="str">
        <f t="shared" si="2"/>
        <v>#ERROR!</v>
      </c>
      <c r="AC1151" s="154" t="s">
        <v>391</v>
      </c>
      <c r="AD1151" s="242" t="b">
        <f t="shared" si="3"/>
        <v>0</v>
      </c>
      <c r="AE1151" s="154"/>
      <c r="AF1151" s="242" t="str">
        <f t="shared" si="4"/>
        <v>#ERROR!</v>
      </c>
      <c r="AG1151" s="154" t="s">
        <v>652</v>
      </c>
      <c r="AH1151" s="242" t="str">
        <f>IF(AG1151="","N/A",INDIRECT("MTR!"&amp;ADDRESS(MATCH(LEFT(AG1151,9),[1]MTR!C:C,0),COLUMN(J1151)),TRUE) &amp; "")</f>
        <v>#ERROR!</v>
      </c>
      <c r="AI1151" s="157" t="str">
        <f t="shared" si="5"/>
        <v>#ERROR!</v>
      </c>
    </row>
    <row r="1152" ht="12.75" customHeight="1">
      <c r="A1152" s="244" t="s">
        <v>5158</v>
      </c>
      <c r="B1152" s="244" t="s">
        <v>231</v>
      </c>
      <c r="C1152" s="244" t="s">
        <v>9711</v>
      </c>
      <c r="D1152" s="154" t="s">
        <v>503</v>
      </c>
      <c r="E1152" s="154"/>
      <c r="F1152" s="154" t="str">
        <f t="array" ref="F1152">XLOOKUP(Cover!$D$12,$R$1:$Z$1,$R1152:$Z1152)</f>
        <v>Mandatory</v>
      </c>
      <c r="G1152" s="154" t="s">
        <v>9712</v>
      </c>
      <c r="H1152" s="154" t="s">
        <v>9053</v>
      </c>
      <c r="I1152" s="154" t="s">
        <v>9710</v>
      </c>
      <c r="J1152" s="154" t="s">
        <v>7146</v>
      </c>
      <c r="K1152" s="154" t="s">
        <v>9003</v>
      </c>
      <c r="L1152" s="154" t="s">
        <v>6463</v>
      </c>
      <c r="M1152" s="154" t="s">
        <v>175</v>
      </c>
      <c r="N1152" s="154" t="s">
        <v>759</v>
      </c>
      <c r="O1152" s="247" t="s">
        <v>516</v>
      </c>
      <c r="P1152" s="247" t="s">
        <v>6776</v>
      </c>
      <c r="Q1152" s="154" t="str">
        <f t="shared" si="1"/>
        <v>#ERROR!</v>
      </c>
      <c r="R1152" s="154" t="s">
        <v>66</v>
      </c>
      <c r="S1152" s="154" t="s">
        <v>66</v>
      </c>
      <c r="T1152" s="155" t="s">
        <v>64</v>
      </c>
      <c r="U1152" s="155" t="s">
        <v>64</v>
      </c>
      <c r="V1152" s="154" t="s">
        <v>60</v>
      </c>
      <c r="W1152" s="154" t="s">
        <v>60</v>
      </c>
      <c r="X1152" s="154" t="s">
        <v>66</v>
      </c>
      <c r="Y1152" s="155" t="s">
        <v>64</v>
      </c>
      <c r="Z1152" s="154" t="s">
        <v>60</v>
      </c>
      <c r="AA1152" s="154"/>
      <c r="AB1152" s="242" t="str">
        <f t="shared" si="2"/>
        <v>#ERROR!</v>
      </c>
      <c r="AC1152" s="154" t="s">
        <v>391</v>
      </c>
      <c r="AD1152" s="242" t="b">
        <f t="shared" si="3"/>
        <v>0</v>
      </c>
      <c r="AE1152" s="154"/>
      <c r="AF1152" s="242" t="str">
        <f t="shared" si="4"/>
        <v>#ERROR!</v>
      </c>
      <c r="AG1152" s="154" t="s">
        <v>652</v>
      </c>
      <c r="AH1152" s="242" t="str">
        <f>IF(AG1152="","N/A",INDIRECT("MTR!"&amp;ADDRESS(MATCH(LEFT(AG1152,9),[1]MTR!C:C,0),COLUMN(J1152)),TRUE) &amp; "")</f>
        <v>#ERROR!</v>
      </c>
      <c r="AI1152" s="157" t="str">
        <f t="shared" si="5"/>
        <v>#ERROR!</v>
      </c>
    </row>
    <row r="1153" ht="12.75" customHeight="1">
      <c r="A1153" s="244" t="s">
        <v>5158</v>
      </c>
      <c r="B1153" s="244" t="s">
        <v>231</v>
      </c>
      <c r="C1153" s="244" t="s">
        <v>9713</v>
      </c>
      <c r="D1153" s="154" t="s">
        <v>503</v>
      </c>
      <c r="E1153" s="154"/>
      <c r="F1153" s="154" t="str">
        <f t="array" ref="F1153">XLOOKUP(Cover!$D$12,$R$1:$Z$1,$R1153:$Z1153)</f>
        <v>Mandatory</v>
      </c>
      <c r="G1153" s="154" t="s">
        <v>9714</v>
      </c>
      <c r="H1153" s="154" t="s">
        <v>9009</v>
      </c>
      <c r="I1153" s="154" t="s">
        <v>9710</v>
      </c>
      <c r="J1153" s="154" t="s">
        <v>7146</v>
      </c>
      <c r="K1153" s="154" t="s">
        <v>9003</v>
      </c>
      <c r="L1153" s="154" t="s">
        <v>6463</v>
      </c>
      <c r="M1153" s="154" t="s">
        <v>175</v>
      </c>
      <c r="N1153" s="154" t="s">
        <v>759</v>
      </c>
      <c r="O1153" s="247" t="s">
        <v>516</v>
      </c>
      <c r="P1153" s="247" t="s">
        <v>6776</v>
      </c>
      <c r="Q1153" s="154" t="str">
        <f t="shared" si="1"/>
        <v>#ERROR!</v>
      </c>
      <c r="R1153" s="154" t="s">
        <v>66</v>
      </c>
      <c r="S1153" s="154" t="s">
        <v>66</v>
      </c>
      <c r="T1153" s="155" t="s">
        <v>64</v>
      </c>
      <c r="U1153" s="155" t="s">
        <v>64</v>
      </c>
      <c r="V1153" s="154" t="s">
        <v>60</v>
      </c>
      <c r="W1153" s="154" t="s">
        <v>60</v>
      </c>
      <c r="X1153" s="154" t="s">
        <v>66</v>
      </c>
      <c r="Y1153" s="155" t="s">
        <v>64</v>
      </c>
      <c r="Z1153" s="154" t="s">
        <v>60</v>
      </c>
      <c r="AA1153" s="154"/>
      <c r="AB1153" s="242" t="str">
        <f t="shared" si="2"/>
        <v>#ERROR!</v>
      </c>
      <c r="AC1153" s="154" t="s">
        <v>391</v>
      </c>
      <c r="AD1153" s="242" t="b">
        <f t="shared" si="3"/>
        <v>0</v>
      </c>
      <c r="AE1153" s="154"/>
      <c r="AF1153" s="242" t="str">
        <f t="shared" si="4"/>
        <v>#ERROR!</v>
      </c>
      <c r="AG1153" s="154" t="s">
        <v>652</v>
      </c>
      <c r="AH1153" s="242" t="str">
        <f>IF(AG1153="","N/A",INDIRECT("MTR!"&amp;ADDRESS(MATCH(LEFT(AG1153,9),[1]MTR!C:C,0),COLUMN(J1153)),TRUE) &amp; "")</f>
        <v>#ERROR!</v>
      </c>
      <c r="AI1153" s="157" t="str">
        <f t="shared" si="5"/>
        <v>#ERROR!</v>
      </c>
    </row>
    <row r="1154" ht="12.75" customHeight="1">
      <c r="A1154" s="244" t="s">
        <v>5158</v>
      </c>
      <c r="B1154" s="244" t="s">
        <v>231</v>
      </c>
      <c r="C1154" s="244" t="s">
        <v>9715</v>
      </c>
      <c r="D1154" s="154" t="s">
        <v>503</v>
      </c>
      <c r="E1154" s="154"/>
      <c r="F1154" s="154" t="str">
        <f t="array" ref="F1154">XLOOKUP(Cover!$D$12,$R$1:$Z$1,$R1154:$Z1154)</f>
        <v>Mandatory</v>
      </c>
      <c r="G1154" s="154" t="s">
        <v>9716</v>
      </c>
      <c r="H1154" s="154" t="s">
        <v>9012</v>
      </c>
      <c r="I1154" s="154" t="s">
        <v>9710</v>
      </c>
      <c r="J1154" s="154" t="s">
        <v>7146</v>
      </c>
      <c r="K1154" s="154" t="s">
        <v>9003</v>
      </c>
      <c r="L1154" s="154" t="s">
        <v>6463</v>
      </c>
      <c r="M1154" s="154" t="s">
        <v>175</v>
      </c>
      <c r="N1154" s="154" t="s">
        <v>759</v>
      </c>
      <c r="O1154" s="247" t="s">
        <v>516</v>
      </c>
      <c r="P1154" s="247" t="s">
        <v>6776</v>
      </c>
      <c r="Q1154" s="154" t="str">
        <f t="shared" si="1"/>
        <v>#ERROR!</v>
      </c>
      <c r="R1154" s="154" t="s">
        <v>66</v>
      </c>
      <c r="S1154" s="154" t="s">
        <v>66</v>
      </c>
      <c r="T1154" s="155" t="s">
        <v>64</v>
      </c>
      <c r="U1154" s="155" t="s">
        <v>64</v>
      </c>
      <c r="V1154" s="154" t="s">
        <v>60</v>
      </c>
      <c r="W1154" s="154" t="s">
        <v>60</v>
      </c>
      <c r="X1154" s="154" t="s">
        <v>66</v>
      </c>
      <c r="Y1154" s="155" t="s">
        <v>64</v>
      </c>
      <c r="Z1154" s="154" t="s">
        <v>60</v>
      </c>
      <c r="AA1154" s="154"/>
      <c r="AB1154" s="242" t="str">
        <f t="shared" si="2"/>
        <v>#ERROR!</v>
      </c>
      <c r="AC1154" s="154" t="s">
        <v>391</v>
      </c>
      <c r="AD1154" s="242" t="b">
        <f t="shared" si="3"/>
        <v>0</v>
      </c>
      <c r="AE1154" s="154"/>
      <c r="AF1154" s="242" t="str">
        <f t="shared" si="4"/>
        <v>#ERROR!</v>
      </c>
      <c r="AG1154" s="154" t="s">
        <v>652</v>
      </c>
      <c r="AH1154" s="242" t="str">
        <f>IF(AG1154="","N/A",INDIRECT("MTR!"&amp;ADDRESS(MATCH(LEFT(AG1154,9),[1]MTR!C:C,0),COLUMN(J1154)),TRUE) &amp; "")</f>
        <v>#ERROR!</v>
      </c>
      <c r="AI1154" s="157" t="str">
        <f t="shared" si="5"/>
        <v>#ERROR!</v>
      </c>
    </row>
    <row r="1155" ht="12.75" customHeight="1">
      <c r="A1155" s="244" t="s">
        <v>5158</v>
      </c>
      <c r="B1155" s="244" t="s">
        <v>231</v>
      </c>
      <c r="C1155" s="244" t="s">
        <v>9717</v>
      </c>
      <c r="D1155" s="154" t="s">
        <v>781</v>
      </c>
      <c r="E1155" s="154"/>
      <c r="F1155" s="154" t="str">
        <f t="array" ref="F1155">XLOOKUP(Cover!$D$12,$R$1:$Z$1,$R1155:$Z1155)</f>
        <v>Information</v>
      </c>
      <c r="G1155" s="154" t="s">
        <v>9718</v>
      </c>
      <c r="H1155" s="154" t="s">
        <v>9006</v>
      </c>
      <c r="I1155" s="154" t="s">
        <v>9719</v>
      </c>
      <c r="J1155" s="154" t="s">
        <v>7156</v>
      </c>
      <c r="K1155" s="154" t="s">
        <v>9003</v>
      </c>
      <c r="L1155" s="154" t="s">
        <v>6140</v>
      </c>
      <c r="M1155" s="154"/>
      <c r="N1155" s="154" t="s">
        <v>759</v>
      </c>
      <c r="O1155" s="247" t="s">
        <v>516</v>
      </c>
      <c r="P1155" s="247" t="s">
        <v>6776</v>
      </c>
      <c r="Q1155" s="154" t="str">
        <f t="shared" si="1"/>
        <v>#ERROR!</v>
      </c>
      <c r="R1155" s="154" t="s">
        <v>66</v>
      </c>
      <c r="S1155" s="154" t="s">
        <v>66</v>
      </c>
      <c r="T1155" s="154" t="s">
        <v>66</v>
      </c>
      <c r="U1155" s="154" t="s">
        <v>66</v>
      </c>
      <c r="V1155" s="154" t="s">
        <v>66</v>
      </c>
      <c r="W1155" s="154" t="s">
        <v>66</v>
      </c>
      <c r="X1155" s="154" t="s">
        <v>66</v>
      </c>
      <c r="Y1155" s="154" t="s">
        <v>66</v>
      </c>
      <c r="Z1155" s="154" t="s">
        <v>66</v>
      </c>
      <c r="AA1155" s="154"/>
      <c r="AB1155" s="242" t="str">
        <f t="shared" si="2"/>
        <v>#ERROR!</v>
      </c>
      <c r="AC1155" s="154" t="s">
        <v>391</v>
      </c>
      <c r="AD1155" s="242" t="b">
        <f t="shared" si="3"/>
        <v>0</v>
      </c>
      <c r="AE1155" s="154"/>
      <c r="AF1155" s="242" t="str">
        <f t="shared" si="4"/>
        <v>#ERROR!</v>
      </c>
      <c r="AG1155" s="154" t="s">
        <v>652</v>
      </c>
      <c r="AH1155" s="242" t="str">
        <f>IF(AG1155="","N/A",INDIRECT("MTR!"&amp;ADDRESS(MATCH(LEFT(AG1155,9),[1]MTR!C:C,0),COLUMN(J1155)),TRUE) &amp; "")</f>
        <v>#ERROR!</v>
      </c>
      <c r="AI1155" s="157" t="str">
        <f t="shared" si="5"/>
        <v>#ERROR!</v>
      </c>
    </row>
    <row r="1156" ht="12.75" customHeight="1">
      <c r="A1156" s="244" t="s">
        <v>5158</v>
      </c>
      <c r="B1156" s="244" t="s">
        <v>231</v>
      </c>
      <c r="C1156" s="244" t="s">
        <v>9720</v>
      </c>
      <c r="D1156" s="154" t="s">
        <v>781</v>
      </c>
      <c r="E1156" s="154"/>
      <c r="F1156" s="154" t="str">
        <f t="array" ref="F1156">XLOOKUP(Cover!$D$12,$R$1:$Z$1,$R1156:$Z1156)</f>
        <v>Information</v>
      </c>
      <c r="G1156" s="154" t="s">
        <v>9721</v>
      </c>
      <c r="H1156" s="154" t="s">
        <v>9009</v>
      </c>
      <c r="I1156" s="154" t="s">
        <v>9719</v>
      </c>
      <c r="J1156" s="154" t="s">
        <v>7156</v>
      </c>
      <c r="K1156" s="154" t="s">
        <v>9003</v>
      </c>
      <c r="L1156" s="154" t="s">
        <v>6140</v>
      </c>
      <c r="M1156" s="154"/>
      <c r="N1156" s="154" t="s">
        <v>759</v>
      </c>
      <c r="O1156" s="247" t="s">
        <v>516</v>
      </c>
      <c r="P1156" s="247" t="s">
        <v>6776</v>
      </c>
      <c r="Q1156" s="154" t="str">
        <f t="shared" si="1"/>
        <v>#ERROR!</v>
      </c>
      <c r="R1156" s="154" t="s">
        <v>66</v>
      </c>
      <c r="S1156" s="154" t="s">
        <v>66</v>
      </c>
      <c r="T1156" s="154" t="s">
        <v>66</v>
      </c>
      <c r="U1156" s="154" t="s">
        <v>66</v>
      </c>
      <c r="V1156" s="154" t="s">
        <v>66</v>
      </c>
      <c r="W1156" s="154" t="s">
        <v>66</v>
      </c>
      <c r="X1156" s="154" t="s">
        <v>66</v>
      </c>
      <c r="Y1156" s="154" t="s">
        <v>66</v>
      </c>
      <c r="Z1156" s="154" t="s">
        <v>66</v>
      </c>
      <c r="AA1156" s="154"/>
      <c r="AB1156" s="242" t="str">
        <f t="shared" si="2"/>
        <v>#ERROR!</v>
      </c>
      <c r="AC1156" s="154" t="s">
        <v>391</v>
      </c>
      <c r="AD1156" s="242" t="b">
        <f t="shared" si="3"/>
        <v>0</v>
      </c>
      <c r="AE1156" s="154"/>
      <c r="AF1156" s="242" t="str">
        <f t="shared" si="4"/>
        <v>#ERROR!</v>
      </c>
      <c r="AG1156" s="154" t="s">
        <v>652</v>
      </c>
      <c r="AH1156" s="242" t="str">
        <f>IF(AG1156="","N/A",INDIRECT("MTR!"&amp;ADDRESS(MATCH(LEFT(AG1156,9),[1]MTR!C:C,0),COLUMN(J1156)),TRUE) &amp; "")</f>
        <v>#ERROR!</v>
      </c>
      <c r="AI1156" s="157" t="str">
        <f t="shared" si="5"/>
        <v>#ERROR!</v>
      </c>
    </row>
    <row r="1157" ht="12.75" customHeight="1">
      <c r="A1157" s="244" t="s">
        <v>5158</v>
      </c>
      <c r="B1157" s="244" t="s">
        <v>231</v>
      </c>
      <c r="C1157" s="244" t="s">
        <v>9722</v>
      </c>
      <c r="D1157" s="154" t="s">
        <v>781</v>
      </c>
      <c r="E1157" s="154"/>
      <c r="F1157" s="154" t="str">
        <f t="array" ref="F1157">XLOOKUP(Cover!$D$12,$R$1:$Z$1,$R1157:$Z1157)</f>
        <v>Information</v>
      </c>
      <c r="G1157" s="154" t="s">
        <v>9723</v>
      </c>
      <c r="H1157" s="154" t="s">
        <v>9012</v>
      </c>
      <c r="I1157" s="154" t="s">
        <v>9719</v>
      </c>
      <c r="J1157" s="154" t="s">
        <v>7156</v>
      </c>
      <c r="K1157" s="154" t="s">
        <v>9003</v>
      </c>
      <c r="L1157" s="154" t="s">
        <v>6140</v>
      </c>
      <c r="M1157" s="154"/>
      <c r="N1157" s="154" t="s">
        <v>759</v>
      </c>
      <c r="O1157" s="247" t="s">
        <v>516</v>
      </c>
      <c r="P1157" s="247" t="s">
        <v>6776</v>
      </c>
      <c r="Q1157" s="154" t="str">
        <f t="shared" si="1"/>
        <v>#ERROR!</v>
      </c>
      <c r="R1157" s="154" t="s">
        <v>66</v>
      </c>
      <c r="S1157" s="154" t="s">
        <v>66</v>
      </c>
      <c r="T1157" s="154" t="s">
        <v>66</v>
      </c>
      <c r="U1157" s="154" t="s">
        <v>66</v>
      </c>
      <c r="V1157" s="154" t="s">
        <v>66</v>
      </c>
      <c r="W1157" s="154" t="s">
        <v>66</v>
      </c>
      <c r="X1157" s="154" t="s">
        <v>66</v>
      </c>
      <c r="Y1157" s="154" t="s">
        <v>66</v>
      </c>
      <c r="Z1157" s="154" t="s">
        <v>66</v>
      </c>
      <c r="AA1157" s="154"/>
      <c r="AB1157" s="242" t="str">
        <f t="shared" si="2"/>
        <v>#ERROR!</v>
      </c>
      <c r="AC1157" s="154" t="s">
        <v>391</v>
      </c>
      <c r="AD1157" s="242" t="b">
        <f t="shared" si="3"/>
        <v>0</v>
      </c>
      <c r="AE1157" s="154"/>
      <c r="AF1157" s="242" t="str">
        <f t="shared" si="4"/>
        <v>#ERROR!</v>
      </c>
      <c r="AG1157" s="154" t="s">
        <v>652</v>
      </c>
      <c r="AH1157" s="242" t="str">
        <f>IF(AG1157="","N/A",INDIRECT("MTR!"&amp;ADDRESS(MATCH(LEFT(AG1157,9),[1]MTR!C:C,0),COLUMN(J1157)),TRUE) &amp; "")</f>
        <v>#ERROR!</v>
      </c>
      <c r="AI1157" s="157" t="str">
        <f t="shared" si="5"/>
        <v>#ERROR!</v>
      </c>
    </row>
    <row r="1158" ht="12.75" customHeight="1">
      <c r="A1158" s="244" t="s">
        <v>5158</v>
      </c>
      <c r="B1158" s="244" t="s">
        <v>231</v>
      </c>
      <c r="C1158" s="244" t="s">
        <v>9724</v>
      </c>
      <c r="D1158" s="154" t="s">
        <v>781</v>
      </c>
      <c r="E1158" s="154"/>
      <c r="F1158" s="154" t="str">
        <f t="array" ref="F1158">XLOOKUP(Cover!$D$12,$R$1:$Z$1,$R1158:$Z1158)</f>
        <v>Mandatory</v>
      </c>
      <c r="G1158" s="154" t="s">
        <v>9725</v>
      </c>
      <c r="H1158" s="154" t="s">
        <v>9006</v>
      </c>
      <c r="I1158" s="154" t="s">
        <v>9726</v>
      </c>
      <c r="J1158" s="154" t="s">
        <v>7164</v>
      </c>
      <c r="K1158" s="154" t="s">
        <v>9003</v>
      </c>
      <c r="L1158" s="154" t="s">
        <v>6525</v>
      </c>
      <c r="M1158" s="154" t="s">
        <v>175</v>
      </c>
      <c r="N1158" s="154" t="s">
        <v>759</v>
      </c>
      <c r="O1158" s="247" t="s">
        <v>516</v>
      </c>
      <c r="P1158" s="247" t="s">
        <v>6776</v>
      </c>
      <c r="Q1158" s="154" t="str">
        <f t="shared" si="1"/>
        <v>#ERROR!</v>
      </c>
      <c r="R1158" s="154" t="s">
        <v>66</v>
      </c>
      <c r="S1158" s="154" t="s">
        <v>66</v>
      </c>
      <c r="T1158" s="155" t="s">
        <v>64</v>
      </c>
      <c r="U1158" s="155" t="s">
        <v>64</v>
      </c>
      <c r="V1158" s="154" t="s">
        <v>60</v>
      </c>
      <c r="W1158" s="154" t="s">
        <v>60</v>
      </c>
      <c r="X1158" s="154" t="s">
        <v>66</v>
      </c>
      <c r="Y1158" s="155" t="s">
        <v>64</v>
      </c>
      <c r="Z1158" s="154" t="s">
        <v>60</v>
      </c>
      <c r="AA1158" s="154"/>
      <c r="AB1158" s="242" t="str">
        <f t="shared" si="2"/>
        <v>#ERROR!</v>
      </c>
      <c r="AC1158" s="154" t="s">
        <v>391</v>
      </c>
      <c r="AD1158" s="242" t="b">
        <f t="shared" si="3"/>
        <v>0</v>
      </c>
      <c r="AE1158" s="154"/>
      <c r="AF1158" s="242" t="str">
        <f t="shared" si="4"/>
        <v>#ERROR!</v>
      </c>
      <c r="AG1158" s="154" t="s">
        <v>652</v>
      </c>
      <c r="AH1158" s="242" t="str">
        <f>IF(AG1158="","N/A",INDIRECT("MTR!"&amp;ADDRESS(MATCH(LEFT(AG1158,9),[1]MTR!C:C,0),COLUMN(J1158)),TRUE) &amp; "")</f>
        <v>#ERROR!</v>
      </c>
      <c r="AI1158" s="157" t="str">
        <f t="shared" si="5"/>
        <v>#ERROR!</v>
      </c>
    </row>
    <row r="1159" ht="12.75" customHeight="1">
      <c r="A1159" s="244" t="s">
        <v>5158</v>
      </c>
      <c r="B1159" s="244" t="s">
        <v>231</v>
      </c>
      <c r="C1159" s="244" t="s">
        <v>9727</v>
      </c>
      <c r="D1159" s="154" t="s">
        <v>1773</v>
      </c>
      <c r="E1159" s="154"/>
      <c r="F1159" s="154" t="str">
        <f t="array" ref="F1159">XLOOKUP(Cover!$D$12,$R$1:$Z$1,$R1159:$Z1159)</f>
        <v>Mandatory</v>
      </c>
      <c r="G1159" s="154" t="s">
        <v>9728</v>
      </c>
      <c r="H1159" s="154" t="s">
        <v>9053</v>
      </c>
      <c r="I1159" s="154" t="s">
        <v>9726</v>
      </c>
      <c r="J1159" s="154" t="s">
        <v>7164</v>
      </c>
      <c r="K1159" s="154" t="s">
        <v>9003</v>
      </c>
      <c r="L1159" s="154" t="s">
        <v>7175</v>
      </c>
      <c r="M1159" s="154" t="s">
        <v>175</v>
      </c>
      <c r="N1159" s="154" t="s">
        <v>759</v>
      </c>
      <c r="O1159" s="247" t="s">
        <v>516</v>
      </c>
      <c r="P1159" s="247" t="s">
        <v>6776</v>
      </c>
      <c r="Q1159" s="154" t="str">
        <f t="shared" si="1"/>
        <v>#ERROR!</v>
      </c>
      <c r="R1159" s="154" t="s">
        <v>66</v>
      </c>
      <c r="S1159" s="154" t="s">
        <v>66</v>
      </c>
      <c r="T1159" s="155" t="s">
        <v>64</v>
      </c>
      <c r="U1159" s="155" t="s">
        <v>64</v>
      </c>
      <c r="V1159" s="154" t="s">
        <v>60</v>
      </c>
      <c r="W1159" s="154" t="s">
        <v>60</v>
      </c>
      <c r="X1159" s="154" t="s">
        <v>66</v>
      </c>
      <c r="Y1159" s="155" t="s">
        <v>64</v>
      </c>
      <c r="Z1159" s="154" t="s">
        <v>60</v>
      </c>
      <c r="AA1159" s="154"/>
      <c r="AB1159" s="242" t="str">
        <f t="shared" si="2"/>
        <v>#ERROR!</v>
      </c>
      <c r="AC1159" s="154" t="s">
        <v>391</v>
      </c>
      <c r="AD1159" s="242" t="b">
        <f t="shared" si="3"/>
        <v>0</v>
      </c>
      <c r="AE1159" s="154"/>
      <c r="AF1159" s="242" t="str">
        <f t="shared" si="4"/>
        <v>#ERROR!</v>
      </c>
      <c r="AG1159" s="154" t="s">
        <v>652</v>
      </c>
      <c r="AH1159" s="242" t="str">
        <f>IF(AG1159="","N/A",INDIRECT("MTR!"&amp;ADDRESS(MATCH(LEFT(AG1159,9),[1]MTR!C:C,0),COLUMN(J1159)),TRUE) &amp; "")</f>
        <v>#ERROR!</v>
      </c>
      <c r="AI1159" s="157" t="str">
        <f t="shared" si="5"/>
        <v>#ERROR!</v>
      </c>
    </row>
    <row r="1160" ht="12.75" customHeight="1">
      <c r="A1160" s="244" t="s">
        <v>5158</v>
      </c>
      <c r="B1160" s="244" t="s">
        <v>231</v>
      </c>
      <c r="C1160" s="244" t="s">
        <v>9729</v>
      </c>
      <c r="D1160" s="154" t="s">
        <v>781</v>
      </c>
      <c r="E1160" s="154"/>
      <c r="F1160" s="154" t="str">
        <f t="array" ref="F1160">XLOOKUP(Cover!$D$12,$R$1:$Z$1,$R1160:$Z1160)</f>
        <v>Mandatory</v>
      </c>
      <c r="G1160" s="154" t="s">
        <v>9730</v>
      </c>
      <c r="H1160" s="154" t="s">
        <v>9009</v>
      </c>
      <c r="I1160" s="154" t="s">
        <v>9726</v>
      </c>
      <c r="J1160" s="154" t="s">
        <v>7164</v>
      </c>
      <c r="K1160" s="154" t="s">
        <v>9003</v>
      </c>
      <c r="L1160" s="154" t="s">
        <v>6525</v>
      </c>
      <c r="M1160" s="154" t="s">
        <v>175</v>
      </c>
      <c r="N1160" s="154" t="s">
        <v>759</v>
      </c>
      <c r="O1160" s="247" t="s">
        <v>516</v>
      </c>
      <c r="P1160" s="247" t="s">
        <v>6776</v>
      </c>
      <c r="Q1160" s="154" t="str">
        <f t="shared" si="1"/>
        <v>#ERROR!</v>
      </c>
      <c r="R1160" s="154" t="s">
        <v>66</v>
      </c>
      <c r="S1160" s="154" t="s">
        <v>66</v>
      </c>
      <c r="T1160" s="155" t="s">
        <v>64</v>
      </c>
      <c r="U1160" s="155" t="s">
        <v>64</v>
      </c>
      <c r="V1160" s="154" t="s">
        <v>60</v>
      </c>
      <c r="W1160" s="154" t="s">
        <v>60</v>
      </c>
      <c r="X1160" s="154" t="s">
        <v>66</v>
      </c>
      <c r="Y1160" s="155" t="s">
        <v>64</v>
      </c>
      <c r="Z1160" s="154" t="s">
        <v>60</v>
      </c>
      <c r="AA1160" s="154"/>
      <c r="AB1160" s="242" t="str">
        <f t="shared" si="2"/>
        <v>#ERROR!</v>
      </c>
      <c r="AC1160" s="154" t="s">
        <v>391</v>
      </c>
      <c r="AD1160" s="242" t="b">
        <f t="shared" si="3"/>
        <v>0</v>
      </c>
      <c r="AE1160" s="154"/>
      <c r="AF1160" s="242" t="str">
        <f t="shared" si="4"/>
        <v>#ERROR!</v>
      </c>
      <c r="AG1160" s="154" t="s">
        <v>652</v>
      </c>
      <c r="AH1160" s="242" t="str">
        <f>IF(AG1160="","N/A",INDIRECT("MTR!"&amp;ADDRESS(MATCH(LEFT(AG1160,9),[1]MTR!C:C,0),COLUMN(J1160)),TRUE) &amp; "")</f>
        <v>#ERROR!</v>
      </c>
      <c r="AI1160" s="157" t="str">
        <f t="shared" si="5"/>
        <v>#ERROR!</v>
      </c>
    </row>
    <row r="1161" ht="12.75" customHeight="1">
      <c r="A1161" s="244" t="s">
        <v>5158</v>
      </c>
      <c r="B1161" s="244" t="s">
        <v>231</v>
      </c>
      <c r="C1161" s="244" t="s">
        <v>9731</v>
      </c>
      <c r="D1161" s="154" t="s">
        <v>781</v>
      </c>
      <c r="E1161" s="154"/>
      <c r="F1161" s="154" t="str">
        <f t="array" ref="F1161">XLOOKUP(Cover!$D$12,$R$1:$Z$1,$R1161:$Z1161)</f>
        <v>Mandatory</v>
      </c>
      <c r="G1161" s="154" t="s">
        <v>9732</v>
      </c>
      <c r="H1161" s="154" t="s">
        <v>9015</v>
      </c>
      <c r="I1161" s="154" t="s">
        <v>9726</v>
      </c>
      <c r="J1161" s="154" t="s">
        <v>7164</v>
      </c>
      <c r="K1161" s="154" t="s">
        <v>9003</v>
      </c>
      <c r="L1161" s="154" t="s">
        <v>6525</v>
      </c>
      <c r="M1161" s="154" t="s">
        <v>175</v>
      </c>
      <c r="N1161" s="154" t="s">
        <v>759</v>
      </c>
      <c r="O1161" s="247" t="s">
        <v>516</v>
      </c>
      <c r="P1161" s="247" t="s">
        <v>6776</v>
      </c>
      <c r="Q1161" s="154" t="str">
        <f t="shared" si="1"/>
        <v>#ERROR!</v>
      </c>
      <c r="R1161" s="154" t="s">
        <v>66</v>
      </c>
      <c r="S1161" s="154" t="s">
        <v>66</v>
      </c>
      <c r="T1161" s="155" t="s">
        <v>64</v>
      </c>
      <c r="U1161" s="155" t="s">
        <v>64</v>
      </c>
      <c r="V1161" s="154" t="s">
        <v>60</v>
      </c>
      <c r="W1161" s="154" t="s">
        <v>60</v>
      </c>
      <c r="X1161" s="154" t="s">
        <v>66</v>
      </c>
      <c r="Y1161" s="155" t="s">
        <v>64</v>
      </c>
      <c r="Z1161" s="154" t="s">
        <v>60</v>
      </c>
      <c r="AA1161" s="154"/>
      <c r="AB1161" s="242" t="str">
        <f t="shared" si="2"/>
        <v>#ERROR!</v>
      </c>
      <c r="AC1161" s="154" t="s">
        <v>391</v>
      </c>
      <c r="AD1161" s="242" t="b">
        <f t="shared" si="3"/>
        <v>0</v>
      </c>
      <c r="AE1161" s="154"/>
      <c r="AF1161" s="242" t="str">
        <f t="shared" si="4"/>
        <v>#ERROR!</v>
      </c>
      <c r="AG1161" s="154" t="s">
        <v>652</v>
      </c>
      <c r="AH1161" s="242" t="str">
        <f>IF(AG1161="","N/A",INDIRECT("MTR!"&amp;ADDRESS(MATCH(LEFT(AG1161,9),[1]MTR!C:C,0),COLUMN(J1161)),TRUE) &amp; "")</f>
        <v>#ERROR!</v>
      </c>
      <c r="AI1161" s="157" t="str">
        <f t="shared" si="5"/>
        <v>#ERROR!</v>
      </c>
    </row>
    <row r="1162" ht="12.75" customHeight="1">
      <c r="A1162" s="244" t="s">
        <v>5158</v>
      </c>
      <c r="B1162" s="244" t="s">
        <v>231</v>
      </c>
      <c r="C1162" s="245" t="s">
        <v>9733</v>
      </c>
      <c r="D1162" s="155" t="s">
        <v>45</v>
      </c>
      <c r="E1162" s="155" t="s">
        <v>92</v>
      </c>
      <c r="F1162" s="154" t="str">
        <f t="array" ref="F1162">XLOOKUP(Cover!$D$12,$R$1:$Z$1,$R1162:$Z1162)</f>
        <v>Information</v>
      </c>
      <c r="G1162" s="154" t="s">
        <v>9734</v>
      </c>
      <c r="H1162" s="154" t="s">
        <v>9006</v>
      </c>
      <c r="I1162" s="154" t="s">
        <v>9735</v>
      </c>
      <c r="J1162" s="154" t="s">
        <v>9736</v>
      </c>
      <c r="K1162" s="154" t="s">
        <v>9003</v>
      </c>
      <c r="L1162" s="154" t="s">
        <v>6655</v>
      </c>
      <c r="M1162" s="154"/>
      <c r="N1162" s="154" t="s">
        <v>759</v>
      </c>
      <c r="O1162" s="247" t="s">
        <v>516</v>
      </c>
      <c r="P1162" s="247" t="s">
        <v>6776</v>
      </c>
      <c r="Q1162" s="154" t="str">
        <f t="shared" si="1"/>
        <v>#ERROR!</v>
      </c>
      <c r="R1162" s="154" t="s">
        <v>66</v>
      </c>
      <c r="S1162" s="154" t="s">
        <v>66</v>
      </c>
      <c r="T1162" s="154" t="s">
        <v>66</v>
      </c>
      <c r="U1162" s="154" t="s">
        <v>66</v>
      </c>
      <c r="V1162" s="154" t="s">
        <v>66</v>
      </c>
      <c r="W1162" s="154" t="s">
        <v>66</v>
      </c>
      <c r="X1162" s="154" t="s">
        <v>66</v>
      </c>
      <c r="Y1162" s="154" t="s">
        <v>66</v>
      </c>
      <c r="Z1162" s="154" t="s">
        <v>66</v>
      </c>
      <c r="AA1162" s="154"/>
      <c r="AB1162" s="242" t="str">
        <f t="shared" si="2"/>
        <v>#ERROR!</v>
      </c>
      <c r="AC1162" s="154" t="s">
        <v>391</v>
      </c>
      <c r="AD1162" s="242" t="b">
        <f t="shared" si="3"/>
        <v>0</v>
      </c>
      <c r="AE1162" s="154"/>
      <c r="AF1162" s="242" t="str">
        <f t="shared" si="4"/>
        <v>#ERROR!</v>
      </c>
      <c r="AG1162" s="154" t="s">
        <v>652</v>
      </c>
      <c r="AH1162" s="242" t="str">
        <f>IF(AG1162="","N/A",INDIRECT("MTR!"&amp;ADDRESS(MATCH(LEFT(AG1162,9),[1]MTR!C:C,0),COLUMN(J1162)),TRUE) &amp; "")</f>
        <v>#ERROR!</v>
      </c>
      <c r="AI1162" s="157" t="str">
        <f t="shared" si="5"/>
        <v>#ERROR!</v>
      </c>
    </row>
    <row r="1163" ht="12.75" customHeight="1">
      <c r="A1163" s="244" t="s">
        <v>5158</v>
      </c>
      <c r="B1163" s="244" t="s">
        <v>231</v>
      </c>
      <c r="C1163" s="245" t="s">
        <v>9737</v>
      </c>
      <c r="D1163" s="155" t="s">
        <v>45</v>
      </c>
      <c r="E1163" s="155" t="s">
        <v>92</v>
      </c>
      <c r="F1163" s="154" t="str">
        <f t="array" ref="F1163">XLOOKUP(Cover!$D$12,$R$1:$Z$1,$R1163:$Z1163)</f>
        <v>Information</v>
      </c>
      <c r="G1163" s="154" t="s">
        <v>9738</v>
      </c>
      <c r="H1163" s="154" t="s">
        <v>9009</v>
      </c>
      <c r="I1163" s="154" t="s">
        <v>9735</v>
      </c>
      <c r="J1163" s="154" t="s">
        <v>9736</v>
      </c>
      <c r="K1163" s="154" t="s">
        <v>9003</v>
      </c>
      <c r="L1163" s="154" t="s">
        <v>6655</v>
      </c>
      <c r="M1163" s="154"/>
      <c r="N1163" s="154" t="s">
        <v>759</v>
      </c>
      <c r="O1163" s="247" t="s">
        <v>516</v>
      </c>
      <c r="P1163" s="247" t="s">
        <v>6776</v>
      </c>
      <c r="Q1163" s="154" t="str">
        <f t="shared" si="1"/>
        <v>#ERROR!</v>
      </c>
      <c r="R1163" s="154" t="s">
        <v>66</v>
      </c>
      <c r="S1163" s="154" t="s">
        <v>66</v>
      </c>
      <c r="T1163" s="154" t="s">
        <v>66</v>
      </c>
      <c r="U1163" s="154" t="s">
        <v>66</v>
      </c>
      <c r="V1163" s="154" t="s">
        <v>66</v>
      </c>
      <c r="W1163" s="154" t="s">
        <v>66</v>
      </c>
      <c r="X1163" s="154" t="s">
        <v>66</v>
      </c>
      <c r="Y1163" s="154" t="s">
        <v>66</v>
      </c>
      <c r="Z1163" s="154" t="s">
        <v>66</v>
      </c>
      <c r="AA1163" s="154"/>
      <c r="AB1163" s="242" t="str">
        <f t="shared" si="2"/>
        <v>#ERROR!</v>
      </c>
      <c r="AC1163" s="154" t="s">
        <v>391</v>
      </c>
      <c r="AD1163" s="242" t="b">
        <f t="shared" si="3"/>
        <v>0</v>
      </c>
      <c r="AE1163" s="154"/>
      <c r="AF1163" s="242" t="str">
        <f t="shared" si="4"/>
        <v>#ERROR!</v>
      </c>
      <c r="AG1163" s="154" t="s">
        <v>652</v>
      </c>
      <c r="AH1163" s="242" t="str">
        <f>IF(AG1163="","N/A",INDIRECT("MTR!"&amp;ADDRESS(MATCH(LEFT(AG1163,9),[1]MTR!C:C,0),COLUMN(J1163)),TRUE) &amp; "")</f>
        <v>#ERROR!</v>
      </c>
      <c r="AI1163" s="157" t="str">
        <f t="shared" si="5"/>
        <v>#ERROR!</v>
      </c>
    </row>
    <row r="1164" ht="12.75" customHeight="1">
      <c r="A1164" s="244" t="s">
        <v>5158</v>
      </c>
      <c r="B1164" s="244" t="s">
        <v>231</v>
      </c>
      <c r="C1164" s="245" t="s">
        <v>9739</v>
      </c>
      <c r="D1164" s="155" t="s">
        <v>45</v>
      </c>
      <c r="E1164" s="155" t="s">
        <v>92</v>
      </c>
      <c r="F1164" s="154" t="str">
        <f t="array" ref="F1164">XLOOKUP(Cover!$D$12,$R$1:$Z$1,$R1164:$Z1164)</f>
        <v>Information</v>
      </c>
      <c r="G1164" s="154" t="s">
        <v>9740</v>
      </c>
      <c r="H1164" s="154" t="s">
        <v>9015</v>
      </c>
      <c r="I1164" s="154" t="s">
        <v>9735</v>
      </c>
      <c r="J1164" s="154" t="s">
        <v>9736</v>
      </c>
      <c r="K1164" s="154" t="s">
        <v>9003</v>
      </c>
      <c r="L1164" s="154" t="s">
        <v>6655</v>
      </c>
      <c r="M1164" s="154"/>
      <c r="N1164" s="154" t="s">
        <v>759</v>
      </c>
      <c r="O1164" s="247" t="s">
        <v>516</v>
      </c>
      <c r="P1164" s="247" t="s">
        <v>6776</v>
      </c>
      <c r="Q1164" s="154" t="str">
        <f t="shared" si="1"/>
        <v>#ERROR!</v>
      </c>
      <c r="R1164" s="154" t="s">
        <v>66</v>
      </c>
      <c r="S1164" s="154" t="s">
        <v>66</v>
      </c>
      <c r="T1164" s="154" t="s">
        <v>66</v>
      </c>
      <c r="U1164" s="154" t="s">
        <v>66</v>
      </c>
      <c r="V1164" s="154" t="s">
        <v>66</v>
      </c>
      <c r="W1164" s="154" t="s">
        <v>66</v>
      </c>
      <c r="X1164" s="154" t="s">
        <v>66</v>
      </c>
      <c r="Y1164" s="154" t="s">
        <v>66</v>
      </c>
      <c r="Z1164" s="154" t="s">
        <v>66</v>
      </c>
      <c r="AA1164" s="154"/>
      <c r="AB1164" s="242" t="str">
        <f t="shared" si="2"/>
        <v>#ERROR!</v>
      </c>
      <c r="AC1164" s="154" t="s">
        <v>391</v>
      </c>
      <c r="AD1164" s="242" t="b">
        <f t="shared" si="3"/>
        <v>0</v>
      </c>
      <c r="AE1164" s="154"/>
      <c r="AF1164" s="242" t="str">
        <f t="shared" si="4"/>
        <v>#ERROR!</v>
      </c>
      <c r="AG1164" s="154" t="s">
        <v>652</v>
      </c>
      <c r="AH1164" s="242" t="str">
        <f>IF(AG1164="","N/A",INDIRECT("MTR!"&amp;ADDRESS(MATCH(LEFT(AG1164,9),[1]MTR!C:C,0),COLUMN(J1164)),TRUE) &amp; "")</f>
        <v>#ERROR!</v>
      </c>
      <c r="AI1164" s="157" t="str">
        <f t="shared" si="5"/>
        <v>#ERROR!</v>
      </c>
    </row>
    <row r="1165" ht="12.75" customHeight="1">
      <c r="A1165" s="244" t="s">
        <v>5158</v>
      </c>
      <c r="B1165" s="244" t="s">
        <v>231</v>
      </c>
      <c r="C1165" s="244" t="s">
        <v>9741</v>
      </c>
      <c r="D1165" s="154" t="s">
        <v>747</v>
      </c>
      <c r="E1165" s="154"/>
      <c r="F1165" s="154" t="str">
        <f t="array" ref="F1165">XLOOKUP(Cover!$D$12,$R$1:$Z$1,$R1165:$Z1165)</f>
        <v>Recommended</v>
      </c>
      <c r="G1165" s="154" t="s">
        <v>9742</v>
      </c>
      <c r="H1165" s="154" t="s">
        <v>9006</v>
      </c>
      <c r="I1165" s="154" t="s">
        <v>9743</v>
      </c>
      <c r="J1165" s="154" t="s">
        <v>7174</v>
      </c>
      <c r="K1165" s="154" t="s">
        <v>9003</v>
      </c>
      <c r="L1165" s="154" t="s">
        <v>6525</v>
      </c>
      <c r="M1165" s="154"/>
      <c r="N1165" s="154" t="s">
        <v>759</v>
      </c>
      <c r="O1165" s="247" t="s">
        <v>516</v>
      </c>
      <c r="P1165" s="247" t="s">
        <v>6776</v>
      </c>
      <c r="Q1165" s="154" t="str">
        <f t="shared" si="1"/>
        <v>#ERROR!</v>
      </c>
      <c r="R1165" s="154" t="s">
        <v>66</v>
      </c>
      <c r="S1165" s="154" t="s">
        <v>66</v>
      </c>
      <c r="T1165" s="154" t="s">
        <v>64</v>
      </c>
      <c r="U1165" s="154" t="s">
        <v>64</v>
      </c>
      <c r="V1165" s="154" t="s">
        <v>64</v>
      </c>
      <c r="W1165" s="154" t="s">
        <v>64</v>
      </c>
      <c r="X1165" s="154" t="s">
        <v>66</v>
      </c>
      <c r="Y1165" s="154" t="s">
        <v>64</v>
      </c>
      <c r="Z1165" s="154" t="s">
        <v>64</v>
      </c>
      <c r="AA1165" s="154"/>
      <c r="AB1165" s="242" t="str">
        <f t="shared" si="2"/>
        <v>#ERROR!</v>
      </c>
      <c r="AC1165" s="154" t="s">
        <v>391</v>
      </c>
      <c r="AD1165" s="242" t="b">
        <f t="shared" si="3"/>
        <v>0</v>
      </c>
      <c r="AE1165" s="154"/>
      <c r="AF1165" s="242" t="str">
        <f t="shared" si="4"/>
        <v>#ERROR!</v>
      </c>
      <c r="AG1165" s="154" t="s">
        <v>652</v>
      </c>
      <c r="AH1165" s="242" t="str">
        <f>IF(AG1165="","N/A",INDIRECT("MTR!"&amp;ADDRESS(MATCH(LEFT(AG1165,9),[1]MTR!C:C,0),COLUMN(J1165)),TRUE) &amp; "")</f>
        <v>#ERROR!</v>
      </c>
      <c r="AI1165" s="157" t="str">
        <f t="shared" si="5"/>
        <v>#ERROR!</v>
      </c>
    </row>
    <row r="1166" ht="12.75" customHeight="1">
      <c r="A1166" s="244" t="s">
        <v>5158</v>
      </c>
      <c r="B1166" s="244" t="s">
        <v>231</v>
      </c>
      <c r="C1166" s="244" t="s">
        <v>9744</v>
      </c>
      <c r="D1166" s="154" t="s">
        <v>747</v>
      </c>
      <c r="E1166" s="154"/>
      <c r="F1166" s="154" t="str">
        <f t="array" ref="F1166">XLOOKUP(Cover!$D$12,$R$1:$Z$1,$R1166:$Z1166)</f>
        <v>Recommended</v>
      </c>
      <c r="G1166" s="154" t="s">
        <v>9745</v>
      </c>
      <c r="H1166" s="154" t="s">
        <v>9053</v>
      </c>
      <c r="I1166" s="154" t="s">
        <v>9743</v>
      </c>
      <c r="J1166" s="154" t="s">
        <v>7174</v>
      </c>
      <c r="K1166" s="154" t="s">
        <v>9003</v>
      </c>
      <c r="L1166" s="154" t="s">
        <v>6525</v>
      </c>
      <c r="M1166" s="154"/>
      <c r="N1166" s="154" t="s">
        <v>759</v>
      </c>
      <c r="O1166" s="247" t="s">
        <v>516</v>
      </c>
      <c r="P1166" s="247" t="s">
        <v>6776</v>
      </c>
      <c r="Q1166" s="154" t="str">
        <f t="shared" si="1"/>
        <v>#ERROR!</v>
      </c>
      <c r="R1166" s="154" t="s">
        <v>66</v>
      </c>
      <c r="S1166" s="154" t="s">
        <v>66</v>
      </c>
      <c r="T1166" s="154" t="s">
        <v>64</v>
      </c>
      <c r="U1166" s="154" t="s">
        <v>64</v>
      </c>
      <c r="V1166" s="154" t="s">
        <v>64</v>
      </c>
      <c r="W1166" s="154" t="s">
        <v>64</v>
      </c>
      <c r="X1166" s="154" t="s">
        <v>66</v>
      </c>
      <c r="Y1166" s="154" t="s">
        <v>64</v>
      </c>
      <c r="Z1166" s="154" t="s">
        <v>64</v>
      </c>
      <c r="AA1166" s="154"/>
      <c r="AB1166" s="242" t="str">
        <f t="shared" si="2"/>
        <v>#ERROR!</v>
      </c>
      <c r="AC1166" s="154" t="s">
        <v>391</v>
      </c>
      <c r="AD1166" s="242" t="b">
        <f t="shared" si="3"/>
        <v>0</v>
      </c>
      <c r="AE1166" s="154"/>
      <c r="AF1166" s="242" t="str">
        <f t="shared" si="4"/>
        <v>#ERROR!</v>
      </c>
      <c r="AG1166" s="154" t="s">
        <v>652</v>
      </c>
      <c r="AH1166" s="242" t="str">
        <f>IF(AG1166="","N/A",INDIRECT("MTR!"&amp;ADDRESS(MATCH(LEFT(AG1166,9),[1]MTR!C:C,0),COLUMN(J1166)),TRUE) &amp; "")</f>
        <v>#ERROR!</v>
      </c>
      <c r="AI1166" s="157" t="str">
        <f t="shared" si="5"/>
        <v>#ERROR!</v>
      </c>
    </row>
    <row r="1167" ht="12.75" customHeight="1">
      <c r="A1167" s="244" t="s">
        <v>5158</v>
      </c>
      <c r="B1167" s="244" t="s">
        <v>231</v>
      </c>
      <c r="C1167" s="244" t="s">
        <v>9746</v>
      </c>
      <c r="D1167" s="154" t="s">
        <v>747</v>
      </c>
      <c r="E1167" s="154"/>
      <c r="F1167" s="154" t="str">
        <f t="array" ref="F1167">XLOOKUP(Cover!$D$12,$R$1:$Z$1,$R1167:$Z1167)</f>
        <v>Information</v>
      </c>
      <c r="G1167" s="154" t="s">
        <v>9747</v>
      </c>
      <c r="H1167" s="154" t="s">
        <v>9009</v>
      </c>
      <c r="I1167" s="154" t="s">
        <v>9743</v>
      </c>
      <c r="J1167" s="154" t="s">
        <v>7174</v>
      </c>
      <c r="K1167" s="154" t="s">
        <v>9003</v>
      </c>
      <c r="L1167" s="154" t="s">
        <v>6525</v>
      </c>
      <c r="M1167" s="154"/>
      <c r="N1167" s="154" t="s">
        <v>759</v>
      </c>
      <c r="O1167" s="247" t="s">
        <v>516</v>
      </c>
      <c r="P1167" s="247" t="s">
        <v>6776</v>
      </c>
      <c r="Q1167" s="154" t="str">
        <f t="shared" si="1"/>
        <v>#ERROR!</v>
      </c>
      <c r="R1167" s="154" t="s">
        <v>66</v>
      </c>
      <c r="S1167" s="154" t="s">
        <v>66</v>
      </c>
      <c r="T1167" s="154" t="s">
        <v>66</v>
      </c>
      <c r="U1167" s="154" t="s">
        <v>66</v>
      </c>
      <c r="V1167" s="154" t="s">
        <v>66</v>
      </c>
      <c r="W1167" s="154" t="s">
        <v>66</v>
      </c>
      <c r="X1167" s="154" t="s">
        <v>66</v>
      </c>
      <c r="Y1167" s="154" t="s">
        <v>66</v>
      </c>
      <c r="Z1167" s="154" t="s">
        <v>66</v>
      </c>
      <c r="AA1167" s="154"/>
      <c r="AB1167" s="242" t="str">
        <f t="shared" si="2"/>
        <v>#ERROR!</v>
      </c>
      <c r="AC1167" s="154" t="s">
        <v>391</v>
      </c>
      <c r="AD1167" s="242" t="b">
        <f t="shared" si="3"/>
        <v>0</v>
      </c>
      <c r="AE1167" s="154"/>
      <c r="AF1167" s="242" t="str">
        <f t="shared" si="4"/>
        <v>#ERROR!</v>
      </c>
      <c r="AG1167" s="154" t="s">
        <v>652</v>
      </c>
      <c r="AH1167" s="242" t="str">
        <f>IF(AG1167="","N/A",INDIRECT("MTR!"&amp;ADDRESS(MATCH(LEFT(AG1167,9),[1]MTR!C:C,0),COLUMN(J1167)),TRUE) &amp; "")</f>
        <v>#ERROR!</v>
      </c>
      <c r="AI1167" s="157" t="str">
        <f t="shared" si="5"/>
        <v>#ERROR!</v>
      </c>
    </row>
    <row r="1168" ht="12.75" customHeight="1">
      <c r="A1168" s="244" t="s">
        <v>5158</v>
      </c>
      <c r="B1168" s="244" t="s">
        <v>231</v>
      </c>
      <c r="C1168" s="244" t="s">
        <v>9748</v>
      </c>
      <c r="D1168" s="154" t="s">
        <v>747</v>
      </c>
      <c r="E1168" s="154"/>
      <c r="F1168" s="154" t="str">
        <f t="array" ref="F1168">XLOOKUP(Cover!$D$12,$R$1:$Z$1,$R1168:$Z1168)</f>
        <v>Recommended</v>
      </c>
      <c r="G1168" s="154" t="s">
        <v>9749</v>
      </c>
      <c r="H1168" s="154" t="s">
        <v>1541</v>
      </c>
      <c r="I1168" s="154" t="s">
        <v>9743</v>
      </c>
      <c r="J1168" s="154" t="s">
        <v>7174</v>
      </c>
      <c r="K1168" s="154" t="s">
        <v>9003</v>
      </c>
      <c r="L1168" s="154" t="s">
        <v>6525</v>
      </c>
      <c r="M1168" s="154"/>
      <c r="N1168" s="154" t="s">
        <v>759</v>
      </c>
      <c r="O1168" s="247" t="s">
        <v>516</v>
      </c>
      <c r="P1168" s="247" t="s">
        <v>6776</v>
      </c>
      <c r="Q1168" s="154" t="str">
        <f t="shared" si="1"/>
        <v>#ERROR!</v>
      </c>
      <c r="R1168" s="154" t="s">
        <v>66</v>
      </c>
      <c r="S1168" s="154" t="s">
        <v>66</v>
      </c>
      <c r="T1168" s="154" t="s">
        <v>64</v>
      </c>
      <c r="U1168" s="154" t="s">
        <v>64</v>
      </c>
      <c r="V1168" s="154" t="s">
        <v>64</v>
      </c>
      <c r="W1168" s="154" t="s">
        <v>64</v>
      </c>
      <c r="X1168" s="154" t="s">
        <v>66</v>
      </c>
      <c r="Y1168" s="154" t="s">
        <v>64</v>
      </c>
      <c r="Z1168" s="154" t="s">
        <v>64</v>
      </c>
      <c r="AA1168" s="154"/>
      <c r="AB1168" s="242" t="str">
        <f t="shared" si="2"/>
        <v>#ERROR!</v>
      </c>
      <c r="AC1168" s="154" t="s">
        <v>391</v>
      </c>
      <c r="AD1168" s="242" t="b">
        <f t="shared" si="3"/>
        <v>0</v>
      </c>
      <c r="AE1168" s="154"/>
      <c r="AF1168" s="242" t="str">
        <f t="shared" si="4"/>
        <v>#ERROR!</v>
      </c>
      <c r="AG1168" s="154" t="s">
        <v>652</v>
      </c>
      <c r="AH1168" s="242" t="str">
        <f>IF(AG1168="","N/A",INDIRECT("MTR!"&amp;ADDRESS(MATCH(LEFT(AG1168,9),[1]MTR!C:C,0),COLUMN(J1168)),TRUE) &amp; "")</f>
        <v>#ERROR!</v>
      </c>
      <c r="AI1168" s="157" t="str">
        <f t="shared" si="5"/>
        <v>#ERROR!</v>
      </c>
    </row>
    <row r="1169" ht="12.75" customHeight="1">
      <c r="A1169" s="244" t="s">
        <v>5158</v>
      </c>
      <c r="B1169" s="244" t="s">
        <v>231</v>
      </c>
      <c r="C1169" s="244" t="s">
        <v>9750</v>
      </c>
      <c r="D1169" s="154" t="s">
        <v>1773</v>
      </c>
      <c r="E1169" s="154"/>
      <c r="F1169" s="154" t="str">
        <f t="array" ref="F1169">XLOOKUP(Cover!$D$12,$R$1:$Z$1,$R1169:$Z1169)</f>
        <v>Mandatory</v>
      </c>
      <c r="G1169" s="154" t="s">
        <v>9751</v>
      </c>
      <c r="H1169" s="154" t="s">
        <v>9006</v>
      </c>
      <c r="I1169" s="154" t="s">
        <v>9752</v>
      </c>
      <c r="J1169" s="154" t="s">
        <v>7185</v>
      </c>
      <c r="K1169" s="154" t="s">
        <v>9003</v>
      </c>
      <c r="L1169" s="154" t="s">
        <v>7175</v>
      </c>
      <c r="M1169" s="154" t="s">
        <v>175</v>
      </c>
      <c r="N1169" s="154" t="s">
        <v>759</v>
      </c>
      <c r="O1169" s="247" t="s">
        <v>516</v>
      </c>
      <c r="P1169" s="247" t="s">
        <v>6776</v>
      </c>
      <c r="Q1169" s="154" t="str">
        <f t="shared" si="1"/>
        <v>#ERROR!</v>
      </c>
      <c r="R1169" s="154" t="s">
        <v>66</v>
      </c>
      <c r="S1169" s="154" t="s">
        <v>66</v>
      </c>
      <c r="T1169" s="155" t="s">
        <v>64</v>
      </c>
      <c r="U1169" s="155" t="s">
        <v>64</v>
      </c>
      <c r="V1169" s="154" t="s">
        <v>60</v>
      </c>
      <c r="W1169" s="154" t="s">
        <v>60</v>
      </c>
      <c r="X1169" s="154" t="s">
        <v>66</v>
      </c>
      <c r="Y1169" s="155" t="s">
        <v>64</v>
      </c>
      <c r="Z1169" s="154" t="s">
        <v>60</v>
      </c>
      <c r="AA1169" s="154"/>
      <c r="AB1169" s="242" t="str">
        <f t="shared" si="2"/>
        <v>#ERROR!</v>
      </c>
      <c r="AC1169" s="154" t="s">
        <v>391</v>
      </c>
      <c r="AD1169" s="242" t="b">
        <f t="shared" si="3"/>
        <v>0</v>
      </c>
      <c r="AE1169" s="154"/>
      <c r="AF1169" s="242" t="str">
        <f t="shared" si="4"/>
        <v>#ERROR!</v>
      </c>
      <c r="AG1169" s="154" t="s">
        <v>652</v>
      </c>
      <c r="AH1169" s="242" t="str">
        <f>IF(AG1169="","N/A",INDIRECT("MTR!"&amp;ADDRESS(MATCH(LEFT(AG1169,9),[1]MTR!C:C,0),COLUMN(J1169)),TRUE) &amp; "")</f>
        <v>#ERROR!</v>
      </c>
      <c r="AI1169" s="157" t="str">
        <f t="shared" si="5"/>
        <v>#ERROR!</v>
      </c>
    </row>
    <row r="1170" ht="12.75" customHeight="1">
      <c r="A1170" s="244" t="s">
        <v>5158</v>
      </c>
      <c r="B1170" s="244" t="s">
        <v>231</v>
      </c>
      <c r="C1170" s="244" t="s">
        <v>9753</v>
      </c>
      <c r="D1170" s="154" t="s">
        <v>1773</v>
      </c>
      <c r="E1170" s="154"/>
      <c r="F1170" s="154" t="str">
        <f t="array" ref="F1170">XLOOKUP(Cover!$D$12,$R$1:$Z$1,$R1170:$Z1170)</f>
        <v>Mandatory</v>
      </c>
      <c r="G1170" s="154" t="s">
        <v>9754</v>
      </c>
      <c r="H1170" s="154" t="s">
        <v>9053</v>
      </c>
      <c r="I1170" s="154" t="s">
        <v>9752</v>
      </c>
      <c r="J1170" s="154" t="s">
        <v>7185</v>
      </c>
      <c r="K1170" s="154" t="s">
        <v>9003</v>
      </c>
      <c r="L1170" s="154" t="s">
        <v>7175</v>
      </c>
      <c r="M1170" s="154" t="s">
        <v>175</v>
      </c>
      <c r="N1170" s="154" t="s">
        <v>759</v>
      </c>
      <c r="O1170" s="247" t="s">
        <v>516</v>
      </c>
      <c r="P1170" s="247" t="s">
        <v>6776</v>
      </c>
      <c r="Q1170" s="154" t="str">
        <f t="shared" si="1"/>
        <v>#ERROR!</v>
      </c>
      <c r="R1170" s="154" t="s">
        <v>66</v>
      </c>
      <c r="S1170" s="154" t="s">
        <v>66</v>
      </c>
      <c r="T1170" s="155" t="s">
        <v>64</v>
      </c>
      <c r="U1170" s="155" t="s">
        <v>64</v>
      </c>
      <c r="V1170" s="154" t="s">
        <v>60</v>
      </c>
      <c r="W1170" s="154" t="s">
        <v>60</v>
      </c>
      <c r="X1170" s="154" t="s">
        <v>66</v>
      </c>
      <c r="Y1170" s="155" t="s">
        <v>64</v>
      </c>
      <c r="Z1170" s="154" t="s">
        <v>60</v>
      </c>
      <c r="AA1170" s="154"/>
      <c r="AB1170" s="242" t="str">
        <f t="shared" si="2"/>
        <v>#ERROR!</v>
      </c>
      <c r="AC1170" s="154" t="s">
        <v>391</v>
      </c>
      <c r="AD1170" s="242" t="b">
        <f t="shared" si="3"/>
        <v>0</v>
      </c>
      <c r="AE1170" s="154"/>
      <c r="AF1170" s="242" t="str">
        <f t="shared" si="4"/>
        <v>#ERROR!</v>
      </c>
      <c r="AG1170" s="154" t="s">
        <v>652</v>
      </c>
      <c r="AH1170" s="242" t="str">
        <f>IF(AG1170="","N/A",INDIRECT("MTR!"&amp;ADDRESS(MATCH(LEFT(AG1170,9),[1]MTR!C:C,0),COLUMN(J1170)),TRUE) &amp; "")</f>
        <v>#ERROR!</v>
      </c>
      <c r="AI1170" s="157" t="str">
        <f t="shared" si="5"/>
        <v>#ERROR!</v>
      </c>
    </row>
    <row r="1171" ht="12.75" customHeight="1">
      <c r="A1171" s="244" t="s">
        <v>5158</v>
      </c>
      <c r="B1171" s="244" t="s">
        <v>231</v>
      </c>
      <c r="C1171" s="244" t="s">
        <v>9755</v>
      </c>
      <c r="D1171" s="154" t="s">
        <v>1773</v>
      </c>
      <c r="E1171" s="154"/>
      <c r="F1171" s="154" t="str">
        <f t="array" ref="F1171">XLOOKUP(Cover!$D$12,$R$1:$Z$1,$R1171:$Z1171)</f>
        <v>Mandatory</v>
      </c>
      <c r="G1171" s="154" t="s">
        <v>9756</v>
      </c>
      <c r="H1171" s="154" t="s">
        <v>9009</v>
      </c>
      <c r="I1171" s="154" t="s">
        <v>9752</v>
      </c>
      <c r="J1171" s="154" t="s">
        <v>7185</v>
      </c>
      <c r="K1171" s="154" t="s">
        <v>9003</v>
      </c>
      <c r="L1171" s="154" t="s">
        <v>7175</v>
      </c>
      <c r="M1171" s="154" t="s">
        <v>175</v>
      </c>
      <c r="N1171" s="154" t="s">
        <v>759</v>
      </c>
      <c r="O1171" s="247" t="s">
        <v>516</v>
      </c>
      <c r="P1171" s="247" t="s">
        <v>6776</v>
      </c>
      <c r="Q1171" s="154" t="str">
        <f t="shared" si="1"/>
        <v>#ERROR!</v>
      </c>
      <c r="R1171" s="154" t="s">
        <v>66</v>
      </c>
      <c r="S1171" s="154" t="s">
        <v>66</v>
      </c>
      <c r="T1171" s="155" t="s">
        <v>64</v>
      </c>
      <c r="U1171" s="155" t="s">
        <v>64</v>
      </c>
      <c r="V1171" s="154" t="s">
        <v>60</v>
      </c>
      <c r="W1171" s="154" t="s">
        <v>60</v>
      </c>
      <c r="X1171" s="154" t="s">
        <v>66</v>
      </c>
      <c r="Y1171" s="155" t="s">
        <v>64</v>
      </c>
      <c r="Z1171" s="154" t="s">
        <v>60</v>
      </c>
      <c r="AA1171" s="154"/>
      <c r="AB1171" s="242" t="str">
        <f t="shared" si="2"/>
        <v>#ERROR!</v>
      </c>
      <c r="AC1171" s="154" t="s">
        <v>391</v>
      </c>
      <c r="AD1171" s="242" t="b">
        <f t="shared" si="3"/>
        <v>0</v>
      </c>
      <c r="AE1171" s="154"/>
      <c r="AF1171" s="242" t="str">
        <f t="shared" si="4"/>
        <v>#ERROR!</v>
      </c>
      <c r="AG1171" s="154" t="s">
        <v>652</v>
      </c>
      <c r="AH1171" s="242" t="str">
        <f>IF(AG1171="","N/A",INDIRECT("MTR!"&amp;ADDRESS(MATCH(LEFT(AG1171,9),[1]MTR!C:C,0),COLUMN(J1171)),TRUE) &amp; "")</f>
        <v>#ERROR!</v>
      </c>
      <c r="AI1171" s="157" t="str">
        <f t="shared" si="5"/>
        <v>#ERROR!</v>
      </c>
    </row>
    <row r="1172" ht="12.75" customHeight="1">
      <c r="A1172" s="244" t="s">
        <v>5158</v>
      </c>
      <c r="B1172" s="244" t="s">
        <v>231</v>
      </c>
      <c r="C1172" s="245" t="s">
        <v>9757</v>
      </c>
      <c r="D1172" s="155" t="s">
        <v>45</v>
      </c>
      <c r="E1172" s="155" t="s">
        <v>92</v>
      </c>
      <c r="F1172" s="154" t="str">
        <f t="array" ref="F1172">XLOOKUP(Cover!$D$12,$R$1:$Z$1,$R1172:$Z1172)</f>
        <v>Information</v>
      </c>
      <c r="G1172" s="154" t="s">
        <v>9758</v>
      </c>
      <c r="H1172" s="154" t="s">
        <v>9006</v>
      </c>
      <c r="I1172" s="154" t="s">
        <v>9759</v>
      </c>
      <c r="J1172" s="154" t="s">
        <v>9760</v>
      </c>
      <c r="K1172" s="154" t="s">
        <v>9003</v>
      </c>
      <c r="L1172" s="154" t="s">
        <v>6655</v>
      </c>
      <c r="M1172" s="154"/>
      <c r="N1172" s="154" t="s">
        <v>759</v>
      </c>
      <c r="O1172" s="247" t="s">
        <v>516</v>
      </c>
      <c r="P1172" s="247" t="s">
        <v>6776</v>
      </c>
      <c r="Q1172" s="154" t="str">
        <f t="shared" si="1"/>
        <v>#ERROR!</v>
      </c>
      <c r="R1172" s="154" t="s">
        <v>66</v>
      </c>
      <c r="S1172" s="154" t="s">
        <v>66</v>
      </c>
      <c r="T1172" s="154" t="s">
        <v>66</v>
      </c>
      <c r="U1172" s="154" t="s">
        <v>66</v>
      </c>
      <c r="V1172" s="154" t="s">
        <v>66</v>
      </c>
      <c r="W1172" s="154" t="s">
        <v>66</v>
      </c>
      <c r="X1172" s="154" t="s">
        <v>66</v>
      </c>
      <c r="Y1172" s="154" t="s">
        <v>66</v>
      </c>
      <c r="Z1172" s="154" t="s">
        <v>66</v>
      </c>
      <c r="AA1172" s="154"/>
      <c r="AB1172" s="242" t="str">
        <f t="shared" si="2"/>
        <v>#ERROR!</v>
      </c>
      <c r="AC1172" s="154" t="s">
        <v>391</v>
      </c>
      <c r="AD1172" s="242" t="b">
        <f t="shared" si="3"/>
        <v>0</v>
      </c>
      <c r="AE1172" s="154"/>
      <c r="AF1172" s="242" t="str">
        <f t="shared" si="4"/>
        <v>#ERROR!</v>
      </c>
      <c r="AG1172" s="154" t="s">
        <v>652</v>
      </c>
      <c r="AH1172" s="242" t="str">
        <f>IF(AG1172="","N/A",INDIRECT("MTR!"&amp;ADDRESS(MATCH(LEFT(AG1172,9),[1]MTR!C:C,0),COLUMN(J1172)),TRUE) &amp; "")</f>
        <v>#ERROR!</v>
      </c>
      <c r="AI1172" s="157" t="str">
        <f t="shared" si="5"/>
        <v>#ERROR!</v>
      </c>
    </row>
    <row r="1173" ht="12.75" customHeight="1">
      <c r="A1173" s="244" t="s">
        <v>5158</v>
      </c>
      <c r="B1173" s="244" t="s">
        <v>231</v>
      </c>
      <c r="C1173" s="245" t="s">
        <v>9761</v>
      </c>
      <c r="D1173" s="155" t="s">
        <v>45</v>
      </c>
      <c r="E1173" s="155" t="s">
        <v>92</v>
      </c>
      <c r="F1173" s="154" t="str">
        <f t="array" ref="F1173">XLOOKUP(Cover!$D$12,$R$1:$Z$1,$R1173:$Z1173)</f>
        <v>Information</v>
      </c>
      <c r="G1173" s="154" t="s">
        <v>9762</v>
      </c>
      <c r="H1173" s="154" t="s">
        <v>9015</v>
      </c>
      <c r="I1173" s="154" t="s">
        <v>9759</v>
      </c>
      <c r="J1173" s="154" t="s">
        <v>9760</v>
      </c>
      <c r="K1173" s="154" t="s">
        <v>9003</v>
      </c>
      <c r="L1173" s="154" t="s">
        <v>6655</v>
      </c>
      <c r="M1173" s="154"/>
      <c r="N1173" s="154" t="s">
        <v>759</v>
      </c>
      <c r="O1173" s="247" t="s">
        <v>516</v>
      </c>
      <c r="P1173" s="247" t="s">
        <v>6776</v>
      </c>
      <c r="Q1173" s="154" t="str">
        <f t="shared" si="1"/>
        <v>#ERROR!</v>
      </c>
      <c r="R1173" s="154" t="s">
        <v>66</v>
      </c>
      <c r="S1173" s="154" t="s">
        <v>66</v>
      </c>
      <c r="T1173" s="154" t="s">
        <v>66</v>
      </c>
      <c r="U1173" s="154" t="s">
        <v>66</v>
      </c>
      <c r="V1173" s="154" t="s">
        <v>66</v>
      </c>
      <c r="W1173" s="154" t="s">
        <v>66</v>
      </c>
      <c r="X1173" s="154" t="s">
        <v>66</v>
      </c>
      <c r="Y1173" s="154" t="s">
        <v>66</v>
      </c>
      <c r="Z1173" s="154" t="s">
        <v>66</v>
      </c>
      <c r="AA1173" s="154"/>
      <c r="AB1173" s="242" t="str">
        <f t="shared" si="2"/>
        <v>#ERROR!</v>
      </c>
      <c r="AC1173" s="154" t="s">
        <v>391</v>
      </c>
      <c r="AD1173" s="242" t="b">
        <f t="shared" si="3"/>
        <v>0</v>
      </c>
      <c r="AE1173" s="154"/>
      <c r="AF1173" s="242" t="str">
        <f t="shared" si="4"/>
        <v>#ERROR!</v>
      </c>
      <c r="AG1173" s="154" t="s">
        <v>652</v>
      </c>
      <c r="AH1173" s="242" t="str">
        <f>IF(AG1173="","N/A",INDIRECT("MTR!"&amp;ADDRESS(MATCH(LEFT(AG1173,9),[1]MTR!C:C,0),COLUMN(J1173)),TRUE) &amp; "")</f>
        <v>#ERROR!</v>
      </c>
      <c r="AI1173" s="157" t="str">
        <f t="shared" si="5"/>
        <v>#ERROR!</v>
      </c>
    </row>
    <row r="1174" ht="12.75" customHeight="1">
      <c r="A1174" s="244" t="s">
        <v>5158</v>
      </c>
      <c r="B1174" s="244" t="s">
        <v>231</v>
      </c>
      <c r="C1174" s="245" t="s">
        <v>9763</v>
      </c>
      <c r="D1174" s="155" t="s">
        <v>45</v>
      </c>
      <c r="E1174" s="155" t="s">
        <v>92</v>
      </c>
      <c r="F1174" s="154" t="str">
        <f t="array" ref="F1174">XLOOKUP(Cover!$D$12,$R$1:$Z$1,$R1174:$Z1174)</f>
        <v>Information</v>
      </c>
      <c r="G1174" s="154" t="s">
        <v>9764</v>
      </c>
      <c r="H1174" s="154" t="s">
        <v>1541</v>
      </c>
      <c r="I1174" s="154" t="s">
        <v>9759</v>
      </c>
      <c r="J1174" s="154" t="s">
        <v>9760</v>
      </c>
      <c r="K1174" s="154" t="s">
        <v>9003</v>
      </c>
      <c r="L1174" s="154" t="s">
        <v>6655</v>
      </c>
      <c r="M1174" s="154"/>
      <c r="N1174" s="154" t="s">
        <v>759</v>
      </c>
      <c r="O1174" s="247" t="s">
        <v>516</v>
      </c>
      <c r="P1174" s="247" t="s">
        <v>6776</v>
      </c>
      <c r="Q1174" s="154" t="str">
        <f t="shared" si="1"/>
        <v>#ERROR!</v>
      </c>
      <c r="R1174" s="154" t="s">
        <v>66</v>
      </c>
      <c r="S1174" s="154" t="s">
        <v>66</v>
      </c>
      <c r="T1174" s="154" t="s">
        <v>66</v>
      </c>
      <c r="U1174" s="154" t="s">
        <v>66</v>
      </c>
      <c r="V1174" s="154" t="s">
        <v>66</v>
      </c>
      <c r="W1174" s="154" t="s">
        <v>66</v>
      </c>
      <c r="X1174" s="154" t="s">
        <v>66</v>
      </c>
      <c r="Y1174" s="154" t="s">
        <v>66</v>
      </c>
      <c r="Z1174" s="154" t="s">
        <v>66</v>
      </c>
      <c r="AA1174" s="154"/>
      <c r="AB1174" s="242" t="str">
        <f t="shared" si="2"/>
        <v>#ERROR!</v>
      </c>
      <c r="AC1174" s="154" t="s">
        <v>391</v>
      </c>
      <c r="AD1174" s="242" t="b">
        <f t="shared" si="3"/>
        <v>0</v>
      </c>
      <c r="AE1174" s="154"/>
      <c r="AF1174" s="242" t="str">
        <f t="shared" si="4"/>
        <v>#ERROR!</v>
      </c>
      <c r="AG1174" s="154" t="s">
        <v>652</v>
      </c>
      <c r="AH1174" s="242" t="str">
        <f>IF(AG1174="","N/A",INDIRECT("MTR!"&amp;ADDRESS(MATCH(LEFT(AG1174,9),[1]MTR!C:C,0),COLUMN(J1174)),TRUE) &amp; "")</f>
        <v>#ERROR!</v>
      </c>
      <c r="AI1174" s="157" t="str">
        <f t="shared" si="5"/>
        <v>#ERROR!</v>
      </c>
    </row>
    <row r="1175" ht="12.75" customHeight="1">
      <c r="A1175" s="244" t="s">
        <v>5158</v>
      </c>
      <c r="B1175" s="244" t="s">
        <v>231</v>
      </c>
      <c r="C1175" s="244" t="s">
        <v>9765</v>
      </c>
      <c r="D1175" s="154" t="s">
        <v>781</v>
      </c>
      <c r="E1175" s="154"/>
      <c r="F1175" s="154" t="str">
        <f t="array" ref="F1175">XLOOKUP(Cover!$D$12,$R$1:$Z$1,$R1175:$Z1175)</f>
        <v>Information</v>
      </c>
      <c r="G1175" s="154" t="s">
        <v>9766</v>
      </c>
      <c r="H1175" s="154" t="s">
        <v>9006</v>
      </c>
      <c r="I1175" s="154" t="s">
        <v>9767</v>
      </c>
      <c r="J1175" s="154" t="s">
        <v>7201</v>
      </c>
      <c r="K1175" s="154" t="s">
        <v>9003</v>
      </c>
      <c r="L1175" s="154" t="s">
        <v>6140</v>
      </c>
      <c r="M1175" s="154"/>
      <c r="N1175" s="154" t="s">
        <v>759</v>
      </c>
      <c r="O1175" s="247" t="s">
        <v>516</v>
      </c>
      <c r="P1175" s="247" t="s">
        <v>6776</v>
      </c>
      <c r="Q1175" s="154" t="str">
        <f t="shared" si="1"/>
        <v>#ERROR!</v>
      </c>
      <c r="R1175" s="154" t="s">
        <v>66</v>
      </c>
      <c r="S1175" s="154" t="s">
        <v>66</v>
      </c>
      <c r="T1175" s="154" t="s">
        <v>66</v>
      </c>
      <c r="U1175" s="154" t="s">
        <v>66</v>
      </c>
      <c r="V1175" s="154" t="s">
        <v>66</v>
      </c>
      <c r="W1175" s="154" t="s">
        <v>66</v>
      </c>
      <c r="X1175" s="154" t="s">
        <v>66</v>
      </c>
      <c r="Y1175" s="154" t="s">
        <v>66</v>
      </c>
      <c r="Z1175" s="154" t="s">
        <v>66</v>
      </c>
      <c r="AA1175" s="154"/>
      <c r="AB1175" s="242" t="str">
        <f t="shared" si="2"/>
        <v>#ERROR!</v>
      </c>
      <c r="AC1175" s="154" t="s">
        <v>391</v>
      </c>
      <c r="AD1175" s="242" t="b">
        <f t="shared" si="3"/>
        <v>0</v>
      </c>
      <c r="AE1175" s="154"/>
      <c r="AF1175" s="242" t="str">
        <f t="shared" si="4"/>
        <v>#ERROR!</v>
      </c>
      <c r="AG1175" s="154" t="s">
        <v>652</v>
      </c>
      <c r="AH1175" s="242" t="str">
        <f>IF(AG1175="","N/A",INDIRECT("MTR!"&amp;ADDRESS(MATCH(LEFT(AG1175,9),[1]MTR!C:C,0),COLUMN(J1175)),TRUE) &amp; "")</f>
        <v>#ERROR!</v>
      </c>
      <c r="AI1175" s="157" t="str">
        <f t="shared" si="5"/>
        <v>#ERROR!</v>
      </c>
    </row>
    <row r="1176" ht="12.75" customHeight="1">
      <c r="A1176" s="244" t="s">
        <v>5158</v>
      </c>
      <c r="B1176" s="244" t="s">
        <v>231</v>
      </c>
      <c r="C1176" s="244" t="s">
        <v>9768</v>
      </c>
      <c r="D1176" s="154" t="s">
        <v>781</v>
      </c>
      <c r="E1176" s="154"/>
      <c r="F1176" s="154" t="str">
        <f t="array" ref="F1176">XLOOKUP(Cover!$D$12,$R$1:$Z$1,$R1176:$Z1176)</f>
        <v>Information</v>
      </c>
      <c r="G1176" s="154" t="s">
        <v>9769</v>
      </c>
      <c r="H1176" s="154" t="s">
        <v>9009</v>
      </c>
      <c r="I1176" s="154" t="s">
        <v>9767</v>
      </c>
      <c r="J1176" s="154" t="s">
        <v>7201</v>
      </c>
      <c r="K1176" s="154" t="s">
        <v>9003</v>
      </c>
      <c r="L1176" s="154" t="s">
        <v>6140</v>
      </c>
      <c r="M1176" s="154"/>
      <c r="N1176" s="154" t="s">
        <v>759</v>
      </c>
      <c r="O1176" s="247" t="s">
        <v>516</v>
      </c>
      <c r="P1176" s="247" t="s">
        <v>6776</v>
      </c>
      <c r="Q1176" s="154" t="str">
        <f t="shared" si="1"/>
        <v>#ERROR!</v>
      </c>
      <c r="R1176" s="154" t="s">
        <v>66</v>
      </c>
      <c r="S1176" s="154" t="s">
        <v>66</v>
      </c>
      <c r="T1176" s="154" t="s">
        <v>66</v>
      </c>
      <c r="U1176" s="154" t="s">
        <v>66</v>
      </c>
      <c r="V1176" s="154" t="s">
        <v>66</v>
      </c>
      <c r="W1176" s="154" t="s">
        <v>66</v>
      </c>
      <c r="X1176" s="154" t="s">
        <v>66</v>
      </c>
      <c r="Y1176" s="154" t="s">
        <v>66</v>
      </c>
      <c r="Z1176" s="154" t="s">
        <v>66</v>
      </c>
      <c r="AA1176" s="154"/>
      <c r="AB1176" s="242" t="str">
        <f t="shared" si="2"/>
        <v>#ERROR!</v>
      </c>
      <c r="AC1176" s="154" t="s">
        <v>391</v>
      </c>
      <c r="AD1176" s="242" t="b">
        <f t="shared" si="3"/>
        <v>0</v>
      </c>
      <c r="AE1176" s="154"/>
      <c r="AF1176" s="242" t="str">
        <f t="shared" si="4"/>
        <v>#ERROR!</v>
      </c>
      <c r="AG1176" s="154" t="s">
        <v>652</v>
      </c>
      <c r="AH1176" s="242" t="str">
        <f>IF(AG1176="","N/A",INDIRECT("MTR!"&amp;ADDRESS(MATCH(LEFT(AG1176,9),[1]MTR!C:C,0),COLUMN(J1176)),TRUE) &amp; "")</f>
        <v>#ERROR!</v>
      </c>
      <c r="AI1176" s="157" t="str">
        <f t="shared" si="5"/>
        <v>#ERROR!</v>
      </c>
    </row>
    <row r="1177" ht="12.75" customHeight="1">
      <c r="A1177" s="244" t="s">
        <v>5158</v>
      </c>
      <c r="B1177" s="244" t="s">
        <v>231</v>
      </c>
      <c r="C1177" s="244" t="s">
        <v>9770</v>
      </c>
      <c r="D1177" s="154" t="s">
        <v>781</v>
      </c>
      <c r="E1177" s="154"/>
      <c r="F1177" s="154" t="str">
        <f t="array" ref="F1177">XLOOKUP(Cover!$D$12,$R$1:$Z$1,$R1177:$Z1177)</f>
        <v>Information</v>
      </c>
      <c r="G1177" s="154" t="s">
        <v>9771</v>
      </c>
      <c r="H1177" s="154" t="s">
        <v>9012</v>
      </c>
      <c r="I1177" s="154" t="s">
        <v>9767</v>
      </c>
      <c r="J1177" s="154" t="s">
        <v>7201</v>
      </c>
      <c r="K1177" s="154" t="s">
        <v>9003</v>
      </c>
      <c r="L1177" s="154" t="s">
        <v>6140</v>
      </c>
      <c r="M1177" s="154"/>
      <c r="N1177" s="154" t="s">
        <v>759</v>
      </c>
      <c r="O1177" s="247" t="s">
        <v>516</v>
      </c>
      <c r="P1177" s="247" t="s">
        <v>6776</v>
      </c>
      <c r="Q1177" s="154" t="str">
        <f t="shared" si="1"/>
        <v>#ERROR!</v>
      </c>
      <c r="R1177" s="154" t="s">
        <v>66</v>
      </c>
      <c r="S1177" s="154" t="s">
        <v>66</v>
      </c>
      <c r="T1177" s="154" t="s">
        <v>66</v>
      </c>
      <c r="U1177" s="154" t="s">
        <v>66</v>
      </c>
      <c r="V1177" s="154" t="s">
        <v>66</v>
      </c>
      <c r="W1177" s="154" t="s">
        <v>66</v>
      </c>
      <c r="X1177" s="154" t="s">
        <v>66</v>
      </c>
      <c r="Y1177" s="154" t="s">
        <v>66</v>
      </c>
      <c r="Z1177" s="154" t="s">
        <v>66</v>
      </c>
      <c r="AA1177" s="154"/>
      <c r="AB1177" s="242" t="str">
        <f t="shared" si="2"/>
        <v>#ERROR!</v>
      </c>
      <c r="AC1177" s="154" t="s">
        <v>391</v>
      </c>
      <c r="AD1177" s="242" t="b">
        <f t="shared" si="3"/>
        <v>0</v>
      </c>
      <c r="AE1177" s="154"/>
      <c r="AF1177" s="242" t="str">
        <f t="shared" si="4"/>
        <v>#ERROR!</v>
      </c>
      <c r="AG1177" s="154" t="s">
        <v>652</v>
      </c>
      <c r="AH1177" s="242" t="str">
        <f>IF(AG1177="","N/A",INDIRECT("MTR!"&amp;ADDRESS(MATCH(LEFT(AG1177,9),[1]MTR!C:C,0),COLUMN(J1177)),TRUE) &amp; "")</f>
        <v>#ERROR!</v>
      </c>
      <c r="AI1177" s="157" t="str">
        <f t="shared" si="5"/>
        <v>#ERROR!</v>
      </c>
    </row>
    <row r="1178" ht="12.75" customHeight="1">
      <c r="A1178" s="244" t="s">
        <v>5158</v>
      </c>
      <c r="B1178" s="244" t="s">
        <v>231</v>
      </c>
      <c r="C1178" s="244" t="s">
        <v>9772</v>
      </c>
      <c r="D1178" s="154" t="s">
        <v>45</v>
      </c>
      <c r="E1178" s="154"/>
      <c r="F1178" s="154" t="str">
        <f t="array" ref="F1178">XLOOKUP(Cover!$D$12,$R$1:$Z$1,$R1178:$Z1178)</f>
        <v>Information</v>
      </c>
      <c r="G1178" s="154" t="s">
        <v>9773</v>
      </c>
      <c r="H1178" s="154" t="s">
        <v>9006</v>
      </c>
      <c r="I1178" s="154" t="s">
        <v>9774</v>
      </c>
      <c r="J1178" s="154" t="s">
        <v>9775</v>
      </c>
      <c r="K1178" s="154" t="s">
        <v>9003</v>
      </c>
      <c r="L1178" s="154" t="s">
        <v>6655</v>
      </c>
      <c r="M1178" s="154"/>
      <c r="N1178" s="154" t="s">
        <v>759</v>
      </c>
      <c r="O1178" s="247" t="s">
        <v>516</v>
      </c>
      <c r="P1178" s="247" t="s">
        <v>6776</v>
      </c>
      <c r="Q1178" s="154" t="str">
        <f t="shared" si="1"/>
        <v>#ERROR!</v>
      </c>
      <c r="R1178" s="154" t="s">
        <v>66</v>
      </c>
      <c r="S1178" s="154" t="s">
        <v>66</v>
      </c>
      <c r="T1178" s="154" t="s">
        <v>66</v>
      </c>
      <c r="U1178" s="154" t="s">
        <v>66</v>
      </c>
      <c r="V1178" s="154" t="s">
        <v>66</v>
      </c>
      <c r="W1178" s="154" t="s">
        <v>66</v>
      </c>
      <c r="X1178" s="154" t="s">
        <v>66</v>
      </c>
      <c r="Y1178" s="154" t="s">
        <v>66</v>
      </c>
      <c r="Z1178" s="154" t="s">
        <v>66</v>
      </c>
      <c r="AA1178" s="154"/>
      <c r="AB1178" s="242" t="str">
        <f t="shared" si="2"/>
        <v>#ERROR!</v>
      </c>
      <c r="AC1178" s="154" t="s">
        <v>391</v>
      </c>
      <c r="AD1178" s="242" t="b">
        <f t="shared" si="3"/>
        <v>0</v>
      </c>
      <c r="AE1178" s="154"/>
      <c r="AF1178" s="242" t="str">
        <f t="shared" si="4"/>
        <v>#ERROR!</v>
      </c>
      <c r="AG1178" s="154" t="s">
        <v>652</v>
      </c>
      <c r="AH1178" s="242" t="str">
        <f>IF(AG1178="","N/A",INDIRECT("MTR!"&amp;ADDRESS(MATCH(LEFT(AG1178,9),[1]MTR!C:C,0),COLUMN(J1178)),TRUE) &amp; "")</f>
        <v>#ERROR!</v>
      </c>
      <c r="AI1178" s="157" t="str">
        <f t="shared" si="5"/>
        <v>#ERROR!</v>
      </c>
    </row>
    <row r="1179" ht="12.75" customHeight="1">
      <c r="A1179" s="244" t="s">
        <v>5158</v>
      </c>
      <c r="B1179" s="244" t="s">
        <v>231</v>
      </c>
      <c r="C1179" s="244" t="s">
        <v>9776</v>
      </c>
      <c r="D1179" s="154" t="s">
        <v>45</v>
      </c>
      <c r="E1179" s="154"/>
      <c r="F1179" s="154" t="str">
        <f t="array" ref="F1179">XLOOKUP(Cover!$D$12,$R$1:$Z$1,$R1179:$Z1179)</f>
        <v>Information</v>
      </c>
      <c r="G1179" s="154" t="s">
        <v>9777</v>
      </c>
      <c r="H1179" s="154" t="s">
        <v>9009</v>
      </c>
      <c r="I1179" s="154" t="s">
        <v>9774</v>
      </c>
      <c r="J1179" s="154" t="s">
        <v>9775</v>
      </c>
      <c r="K1179" s="154" t="s">
        <v>9003</v>
      </c>
      <c r="L1179" s="154" t="s">
        <v>6655</v>
      </c>
      <c r="M1179" s="154"/>
      <c r="N1179" s="154" t="s">
        <v>759</v>
      </c>
      <c r="O1179" s="247" t="s">
        <v>516</v>
      </c>
      <c r="P1179" s="247" t="s">
        <v>6776</v>
      </c>
      <c r="Q1179" s="154" t="str">
        <f t="shared" si="1"/>
        <v>#ERROR!</v>
      </c>
      <c r="R1179" s="154" t="s">
        <v>66</v>
      </c>
      <c r="S1179" s="154" t="s">
        <v>66</v>
      </c>
      <c r="T1179" s="154" t="s">
        <v>66</v>
      </c>
      <c r="U1179" s="154" t="s">
        <v>66</v>
      </c>
      <c r="V1179" s="154" t="s">
        <v>66</v>
      </c>
      <c r="W1179" s="154" t="s">
        <v>66</v>
      </c>
      <c r="X1179" s="154" t="s">
        <v>66</v>
      </c>
      <c r="Y1179" s="154" t="s">
        <v>66</v>
      </c>
      <c r="Z1179" s="154" t="s">
        <v>66</v>
      </c>
      <c r="AA1179" s="154"/>
      <c r="AB1179" s="242" t="str">
        <f t="shared" si="2"/>
        <v>#ERROR!</v>
      </c>
      <c r="AC1179" s="154" t="s">
        <v>391</v>
      </c>
      <c r="AD1179" s="242" t="b">
        <f t="shared" si="3"/>
        <v>0</v>
      </c>
      <c r="AE1179" s="154"/>
      <c r="AF1179" s="242" t="str">
        <f t="shared" si="4"/>
        <v>#ERROR!</v>
      </c>
      <c r="AG1179" s="154" t="s">
        <v>652</v>
      </c>
      <c r="AH1179" s="242" t="str">
        <f>IF(AG1179="","N/A",INDIRECT("MTR!"&amp;ADDRESS(MATCH(LEFT(AG1179,9),[1]MTR!C:C,0),COLUMN(J1179)),TRUE) &amp; "")</f>
        <v>#ERROR!</v>
      </c>
      <c r="AI1179" s="157" t="str">
        <f t="shared" si="5"/>
        <v>#ERROR!</v>
      </c>
    </row>
    <row r="1180" ht="12.75" customHeight="1">
      <c r="A1180" s="244" t="s">
        <v>5158</v>
      </c>
      <c r="B1180" s="244" t="s">
        <v>231</v>
      </c>
      <c r="C1180" s="244" t="s">
        <v>9778</v>
      </c>
      <c r="D1180" s="154" t="s">
        <v>45</v>
      </c>
      <c r="E1180" s="154"/>
      <c r="F1180" s="154" t="str">
        <f t="array" ref="F1180">XLOOKUP(Cover!$D$12,$R$1:$Z$1,$R1180:$Z1180)</f>
        <v>Information</v>
      </c>
      <c r="G1180" s="154" t="s">
        <v>9779</v>
      </c>
      <c r="H1180" s="154" t="s">
        <v>9015</v>
      </c>
      <c r="I1180" s="154" t="s">
        <v>9774</v>
      </c>
      <c r="J1180" s="154" t="s">
        <v>9775</v>
      </c>
      <c r="K1180" s="154" t="s">
        <v>9003</v>
      </c>
      <c r="L1180" s="154" t="s">
        <v>6655</v>
      </c>
      <c r="M1180" s="154"/>
      <c r="N1180" s="154" t="s">
        <v>759</v>
      </c>
      <c r="O1180" s="247" t="s">
        <v>516</v>
      </c>
      <c r="P1180" s="247" t="s">
        <v>6776</v>
      </c>
      <c r="Q1180" s="154" t="str">
        <f t="shared" si="1"/>
        <v>#ERROR!</v>
      </c>
      <c r="R1180" s="154" t="s">
        <v>66</v>
      </c>
      <c r="S1180" s="154" t="s">
        <v>66</v>
      </c>
      <c r="T1180" s="154" t="s">
        <v>66</v>
      </c>
      <c r="U1180" s="154" t="s">
        <v>66</v>
      </c>
      <c r="V1180" s="154" t="s">
        <v>66</v>
      </c>
      <c r="W1180" s="154" t="s">
        <v>66</v>
      </c>
      <c r="X1180" s="154" t="s">
        <v>66</v>
      </c>
      <c r="Y1180" s="154" t="s">
        <v>66</v>
      </c>
      <c r="Z1180" s="154" t="s">
        <v>66</v>
      </c>
      <c r="AA1180" s="154"/>
      <c r="AB1180" s="242" t="str">
        <f t="shared" si="2"/>
        <v>#ERROR!</v>
      </c>
      <c r="AC1180" s="154" t="s">
        <v>391</v>
      </c>
      <c r="AD1180" s="242" t="b">
        <f t="shared" si="3"/>
        <v>0</v>
      </c>
      <c r="AE1180" s="154"/>
      <c r="AF1180" s="242" t="str">
        <f t="shared" si="4"/>
        <v>#ERROR!</v>
      </c>
      <c r="AG1180" s="154" t="s">
        <v>652</v>
      </c>
      <c r="AH1180" s="242" t="str">
        <f>IF(AG1180="","N/A",INDIRECT("MTR!"&amp;ADDRESS(MATCH(LEFT(AG1180,9),[1]MTR!C:C,0),COLUMN(J1180)),TRUE) &amp; "")</f>
        <v>#ERROR!</v>
      </c>
      <c r="AI1180" s="157" t="str">
        <f t="shared" si="5"/>
        <v>#ERROR!</v>
      </c>
    </row>
    <row r="1181" ht="12.75" customHeight="1">
      <c r="A1181" s="244" t="s">
        <v>5158</v>
      </c>
      <c r="B1181" s="244" t="s">
        <v>231</v>
      </c>
      <c r="C1181" s="245" t="s">
        <v>9780</v>
      </c>
      <c r="D1181" s="155" t="s">
        <v>542</v>
      </c>
      <c r="E1181" s="155" t="s">
        <v>92</v>
      </c>
      <c r="F1181" s="154" t="str">
        <f t="array" ref="F1181">XLOOKUP(Cover!$D$12,$R$1:$Z$1,$R1181:$Z1181)</f>
        <v>Mandatory</v>
      </c>
      <c r="G1181" s="154" t="s">
        <v>9781</v>
      </c>
      <c r="H1181" s="154" t="s">
        <v>9006</v>
      </c>
      <c r="I1181" s="154" t="s">
        <v>9782</v>
      </c>
      <c r="J1181" s="154" t="s">
        <v>7736</v>
      </c>
      <c r="K1181" s="154" t="s">
        <v>9003</v>
      </c>
      <c r="L1181" s="154" t="s">
        <v>6064</v>
      </c>
      <c r="M1181" s="154" t="s">
        <v>175</v>
      </c>
      <c r="N1181" s="154" t="s">
        <v>759</v>
      </c>
      <c r="O1181" s="247" t="s">
        <v>516</v>
      </c>
      <c r="P1181" s="247" t="s">
        <v>6776</v>
      </c>
      <c r="Q1181" s="154" t="str">
        <f t="shared" si="1"/>
        <v>#ERROR!</v>
      </c>
      <c r="R1181" s="154" t="s">
        <v>66</v>
      </c>
      <c r="S1181" s="154" t="s">
        <v>66</v>
      </c>
      <c r="T1181" s="155" t="s">
        <v>64</v>
      </c>
      <c r="U1181" s="155" t="s">
        <v>64</v>
      </c>
      <c r="V1181" s="154" t="s">
        <v>60</v>
      </c>
      <c r="W1181" s="154" t="s">
        <v>60</v>
      </c>
      <c r="X1181" s="154" t="s">
        <v>66</v>
      </c>
      <c r="Y1181" s="155" t="s">
        <v>64</v>
      </c>
      <c r="Z1181" s="154" t="s">
        <v>60</v>
      </c>
      <c r="AA1181" s="154"/>
      <c r="AB1181" s="242" t="str">
        <f t="shared" si="2"/>
        <v>#ERROR!</v>
      </c>
      <c r="AC1181" s="154" t="s">
        <v>391</v>
      </c>
      <c r="AD1181" s="242" t="b">
        <f t="shared" si="3"/>
        <v>0</v>
      </c>
      <c r="AE1181" s="154"/>
      <c r="AF1181" s="242" t="str">
        <f t="shared" si="4"/>
        <v>#ERROR!</v>
      </c>
      <c r="AG1181" s="154" t="s">
        <v>652</v>
      </c>
      <c r="AH1181" s="242" t="str">
        <f>IF(AG1181="","N/A",INDIRECT("MTR!"&amp;ADDRESS(MATCH(LEFT(AG1181,9),[1]MTR!C:C,0),COLUMN(J1181)),TRUE) &amp; "")</f>
        <v>#ERROR!</v>
      </c>
      <c r="AI1181" s="157" t="str">
        <f t="shared" si="5"/>
        <v>#ERROR!</v>
      </c>
    </row>
    <row r="1182" ht="12.75" customHeight="1">
      <c r="A1182" s="244" t="s">
        <v>5158</v>
      </c>
      <c r="B1182" s="244" t="s">
        <v>231</v>
      </c>
      <c r="C1182" s="245" t="s">
        <v>9783</v>
      </c>
      <c r="D1182" s="155" t="s">
        <v>542</v>
      </c>
      <c r="E1182" s="155" t="s">
        <v>92</v>
      </c>
      <c r="F1182" s="154" t="str">
        <f t="array" ref="F1182">XLOOKUP(Cover!$D$12,$R$1:$Z$1,$R1182:$Z1182)</f>
        <v>Recommended</v>
      </c>
      <c r="G1182" s="154" t="s">
        <v>9784</v>
      </c>
      <c r="H1182" s="154" t="s">
        <v>9009</v>
      </c>
      <c r="I1182" s="154" t="s">
        <v>9782</v>
      </c>
      <c r="J1182" s="154" t="s">
        <v>7736</v>
      </c>
      <c r="K1182" s="154" t="s">
        <v>9003</v>
      </c>
      <c r="L1182" s="154" t="s">
        <v>6064</v>
      </c>
      <c r="M1182" s="154"/>
      <c r="N1182" s="154" t="s">
        <v>759</v>
      </c>
      <c r="O1182" s="247" t="s">
        <v>516</v>
      </c>
      <c r="P1182" s="247" t="s">
        <v>6776</v>
      </c>
      <c r="Q1182" s="154" t="str">
        <f t="shared" si="1"/>
        <v>#ERROR!</v>
      </c>
      <c r="R1182" s="154" t="s">
        <v>66</v>
      </c>
      <c r="S1182" s="154" t="s">
        <v>66</v>
      </c>
      <c r="T1182" s="154" t="s">
        <v>64</v>
      </c>
      <c r="U1182" s="154" t="s">
        <v>64</v>
      </c>
      <c r="V1182" s="154" t="s">
        <v>64</v>
      </c>
      <c r="W1182" s="154" t="s">
        <v>64</v>
      </c>
      <c r="X1182" s="154" t="s">
        <v>66</v>
      </c>
      <c r="Y1182" s="154" t="s">
        <v>64</v>
      </c>
      <c r="Z1182" s="154" t="s">
        <v>64</v>
      </c>
      <c r="AA1182" s="154"/>
      <c r="AB1182" s="242" t="str">
        <f t="shared" si="2"/>
        <v>#ERROR!</v>
      </c>
      <c r="AC1182" s="154" t="s">
        <v>391</v>
      </c>
      <c r="AD1182" s="242" t="b">
        <f t="shared" si="3"/>
        <v>0</v>
      </c>
      <c r="AE1182" s="154"/>
      <c r="AF1182" s="242" t="str">
        <f t="shared" si="4"/>
        <v>#ERROR!</v>
      </c>
      <c r="AG1182" s="154" t="s">
        <v>652</v>
      </c>
      <c r="AH1182" s="242" t="str">
        <f>IF(AG1182="","N/A",INDIRECT("MTR!"&amp;ADDRESS(MATCH(LEFT(AG1182,9),[1]MTR!C:C,0),COLUMN(J1182)),TRUE) &amp; "")</f>
        <v>#ERROR!</v>
      </c>
      <c r="AI1182" s="157" t="str">
        <f t="shared" si="5"/>
        <v>#ERROR!</v>
      </c>
    </row>
    <row r="1183" ht="12.75" customHeight="1">
      <c r="A1183" s="244" t="s">
        <v>5158</v>
      </c>
      <c r="B1183" s="244" t="s">
        <v>231</v>
      </c>
      <c r="C1183" s="245" t="s">
        <v>9785</v>
      </c>
      <c r="D1183" s="155" t="s">
        <v>781</v>
      </c>
      <c r="E1183" s="155" t="s">
        <v>92</v>
      </c>
      <c r="F1183" s="154" t="str">
        <f t="array" ref="F1183">XLOOKUP(Cover!$D$12,$R$1:$Z$1,$R1183:$Z1183)</f>
        <v>Recommended</v>
      </c>
      <c r="G1183" s="154" t="s">
        <v>9786</v>
      </c>
      <c r="H1183" s="154" t="s">
        <v>9084</v>
      </c>
      <c r="I1183" s="154" t="s">
        <v>9782</v>
      </c>
      <c r="J1183" s="154" t="s">
        <v>7736</v>
      </c>
      <c r="K1183" s="154" t="s">
        <v>9003</v>
      </c>
      <c r="L1183" s="154" t="s">
        <v>6232</v>
      </c>
      <c r="M1183" s="154"/>
      <c r="N1183" s="154" t="s">
        <v>759</v>
      </c>
      <c r="O1183" s="247" t="s">
        <v>516</v>
      </c>
      <c r="P1183" s="247" t="s">
        <v>6776</v>
      </c>
      <c r="Q1183" s="154" t="str">
        <f t="shared" si="1"/>
        <v>#ERROR!</v>
      </c>
      <c r="R1183" s="154" t="s">
        <v>66</v>
      </c>
      <c r="S1183" s="154" t="s">
        <v>66</v>
      </c>
      <c r="T1183" s="154" t="s">
        <v>64</v>
      </c>
      <c r="U1183" s="154" t="s">
        <v>64</v>
      </c>
      <c r="V1183" s="154" t="s">
        <v>64</v>
      </c>
      <c r="W1183" s="154" t="s">
        <v>64</v>
      </c>
      <c r="X1183" s="154" t="s">
        <v>66</v>
      </c>
      <c r="Y1183" s="154" t="s">
        <v>64</v>
      </c>
      <c r="Z1183" s="154" t="s">
        <v>64</v>
      </c>
      <c r="AA1183" s="154"/>
      <c r="AB1183" s="242" t="str">
        <f t="shared" si="2"/>
        <v>#ERROR!</v>
      </c>
      <c r="AC1183" s="154" t="s">
        <v>391</v>
      </c>
      <c r="AD1183" s="242" t="b">
        <f t="shared" si="3"/>
        <v>0</v>
      </c>
      <c r="AE1183" s="154"/>
      <c r="AF1183" s="242" t="str">
        <f t="shared" si="4"/>
        <v>#ERROR!</v>
      </c>
      <c r="AG1183" s="154" t="s">
        <v>652</v>
      </c>
      <c r="AH1183" s="242" t="str">
        <f>IF(AG1183="","N/A",INDIRECT("MTR!"&amp;ADDRESS(MATCH(LEFT(AG1183,9),[1]MTR!C:C,0),COLUMN(J1183)),TRUE) &amp; "")</f>
        <v>#ERROR!</v>
      </c>
      <c r="AI1183" s="157" t="str">
        <f t="shared" si="5"/>
        <v>#ERROR!</v>
      </c>
    </row>
    <row r="1184" ht="12.75" customHeight="1">
      <c r="A1184" s="244" t="s">
        <v>5158</v>
      </c>
      <c r="B1184" s="244" t="s">
        <v>231</v>
      </c>
      <c r="C1184" s="245" t="s">
        <v>9787</v>
      </c>
      <c r="D1184" s="155" t="s">
        <v>542</v>
      </c>
      <c r="E1184" s="155" t="s">
        <v>92</v>
      </c>
      <c r="F1184" s="154" t="str">
        <f t="array" ref="F1184">XLOOKUP(Cover!$D$12,$R$1:$Z$1,$R1184:$Z1184)</f>
        <v>Mandatory</v>
      </c>
      <c r="G1184" s="154" t="s">
        <v>9788</v>
      </c>
      <c r="H1184" s="154" t="s">
        <v>1541</v>
      </c>
      <c r="I1184" s="154" t="s">
        <v>9782</v>
      </c>
      <c r="J1184" s="154" t="s">
        <v>7736</v>
      </c>
      <c r="K1184" s="154" t="s">
        <v>9003</v>
      </c>
      <c r="L1184" s="154" t="s">
        <v>6064</v>
      </c>
      <c r="M1184" s="154" t="s">
        <v>175</v>
      </c>
      <c r="N1184" s="154" t="s">
        <v>759</v>
      </c>
      <c r="O1184" s="247" t="s">
        <v>516</v>
      </c>
      <c r="P1184" s="247" t="s">
        <v>6776</v>
      </c>
      <c r="Q1184" s="154" t="str">
        <f t="shared" si="1"/>
        <v>#ERROR!</v>
      </c>
      <c r="R1184" s="154" t="s">
        <v>66</v>
      </c>
      <c r="S1184" s="154" t="s">
        <v>66</v>
      </c>
      <c r="T1184" s="155" t="s">
        <v>64</v>
      </c>
      <c r="U1184" s="155" t="s">
        <v>64</v>
      </c>
      <c r="V1184" s="154" t="s">
        <v>60</v>
      </c>
      <c r="W1184" s="154" t="s">
        <v>60</v>
      </c>
      <c r="X1184" s="154" t="s">
        <v>66</v>
      </c>
      <c r="Y1184" s="155" t="s">
        <v>64</v>
      </c>
      <c r="Z1184" s="154" t="s">
        <v>60</v>
      </c>
      <c r="AA1184" s="154"/>
      <c r="AB1184" s="242" t="str">
        <f t="shared" si="2"/>
        <v>#ERROR!</v>
      </c>
      <c r="AC1184" s="154" t="s">
        <v>391</v>
      </c>
      <c r="AD1184" s="242" t="b">
        <f t="shared" si="3"/>
        <v>0</v>
      </c>
      <c r="AE1184" s="154"/>
      <c r="AF1184" s="242" t="str">
        <f t="shared" si="4"/>
        <v>#ERROR!</v>
      </c>
      <c r="AG1184" s="154" t="s">
        <v>652</v>
      </c>
      <c r="AH1184" s="242" t="str">
        <f>IF(AG1184="","N/A",INDIRECT("MTR!"&amp;ADDRESS(MATCH(LEFT(AG1184,9),[1]MTR!C:C,0),COLUMN(J1184)),TRUE) &amp; "")</f>
        <v>#ERROR!</v>
      </c>
      <c r="AI1184" s="157" t="str">
        <f t="shared" si="5"/>
        <v>#ERROR!</v>
      </c>
    </row>
    <row r="1185" ht="12.75" customHeight="1">
      <c r="A1185" s="244" t="s">
        <v>5158</v>
      </c>
      <c r="B1185" s="244" t="s">
        <v>231</v>
      </c>
      <c r="C1185" s="244" t="s">
        <v>9789</v>
      </c>
      <c r="D1185" s="154" t="s">
        <v>1773</v>
      </c>
      <c r="E1185" s="154"/>
      <c r="F1185" s="154" t="str">
        <f t="array" ref="F1185">XLOOKUP(Cover!$D$12,$R$1:$Z$1,$R1185:$Z1185)</f>
        <v>Mandatory</v>
      </c>
      <c r="G1185" s="154" t="s">
        <v>9790</v>
      </c>
      <c r="H1185" s="154" t="s">
        <v>9006</v>
      </c>
      <c r="I1185" s="154" t="s">
        <v>9791</v>
      </c>
      <c r="J1185" s="154" t="s">
        <v>7237</v>
      </c>
      <c r="K1185" s="154" t="s">
        <v>9003</v>
      </c>
      <c r="L1185" s="154" t="s">
        <v>7175</v>
      </c>
      <c r="M1185" s="154" t="s">
        <v>175</v>
      </c>
      <c r="N1185" s="154" t="s">
        <v>759</v>
      </c>
      <c r="O1185" s="247" t="s">
        <v>516</v>
      </c>
      <c r="P1185" s="247" t="s">
        <v>6776</v>
      </c>
      <c r="Q1185" s="154" t="str">
        <f t="shared" si="1"/>
        <v>#ERROR!</v>
      </c>
      <c r="R1185" s="154" t="s">
        <v>66</v>
      </c>
      <c r="S1185" s="154" t="s">
        <v>66</v>
      </c>
      <c r="T1185" s="155" t="s">
        <v>64</v>
      </c>
      <c r="U1185" s="155" t="s">
        <v>64</v>
      </c>
      <c r="V1185" s="154" t="s">
        <v>60</v>
      </c>
      <c r="W1185" s="154" t="s">
        <v>60</v>
      </c>
      <c r="X1185" s="154" t="s">
        <v>66</v>
      </c>
      <c r="Y1185" s="155" t="s">
        <v>64</v>
      </c>
      <c r="Z1185" s="154" t="s">
        <v>60</v>
      </c>
      <c r="AA1185" s="154"/>
      <c r="AB1185" s="242" t="str">
        <f t="shared" si="2"/>
        <v>#ERROR!</v>
      </c>
      <c r="AC1185" s="154" t="s">
        <v>391</v>
      </c>
      <c r="AD1185" s="242" t="b">
        <f t="shared" si="3"/>
        <v>0</v>
      </c>
      <c r="AE1185" s="154"/>
      <c r="AF1185" s="242" t="str">
        <f t="shared" si="4"/>
        <v>#ERROR!</v>
      </c>
      <c r="AG1185" s="154" t="s">
        <v>652</v>
      </c>
      <c r="AH1185" s="242" t="str">
        <f>IF(AG1185="","N/A",INDIRECT("MTR!"&amp;ADDRESS(MATCH(LEFT(AG1185,9),[1]MTR!C:C,0),COLUMN(J1185)),TRUE) &amp; "")</f>
        <v>#ERROR!</v>
      </c>
      <c r="AI1185" s="157" t="str">
        <f t="shared" si="5"/>
        <v>#ERROR!</v>
      </c>
    </row>
    <row r="1186" ht="12.75" customHeight="1">
      <c r="A1186" s="244" t="s">
        <v>5158</v>
      </c>
      <c r="B1186" s="244" t="s">
        <v>231</v>
      </c>
      <c r="C1186" s="244" t="s">
        <v>9792</v>
      </c>
      <c r="D1186" s="154" t="s">
        <v>1773</v>
      </c>
      <c r="E1186" s="154"/>
      <c r="F1186" s="154" t="str">
        <f t="array" ref="F1186">XLOOKUP(Cover!$D$12,$R$1:$Z$1,$R1186:$Z1186)</f>
        <v>Mandatory</v>
      </c>
      <c r="G1186" s="154" t="s">
        <v>9793</v>
      </c>
      <c r="H1186" s="154" t="s">
        <v>9009</v>
      </c>
      <c r="I1186" s="154" t="s">
        <v>9791</v>
      </c>
      <c r="J1186" s="154" t="s">
        <v>7237</v>
      </c>
      <c r="K1186" s="154" t="s">
        <v>9003</v>
      </c>
      <c r="L1186" s="154" t="s">
        <v>7175</v>
      </c>
      <c r="M1186" s="154" t="s">
        <v>175</v>
      </c>
      <c r="N1186" s="154" t="s">
        <v>759</v>
      </c>
      <c r="O1186" s="247" t="s">
        <v>516</v>
      </c>
      <c r="P1186" s="247" t="s">
        <v>6776</v>
      </c>
      <c r="Q1186" s="154" t="str">
        <f t="shared" si="1"/>
        <v>#ERROR!</v>
      </c>
      <c r="R1186" s="154" t="s">
        <v>66</v>
      </c>
      <c r="S1186" s="154" t="s">
        <v>66</v>
      </c>
      <c r="T1186" s="155" t="s">
        <v>64</v>
      </c>
      <c r="U1186" s="155" t="s">
        <v>64</v>
      </c>
      <c r="V1186" s="154" t="s">
        <v>60</v>
      </c>
      <c r="W1186" s="154" t="s">
        <v>60</v>
      </c>
      <c r="X1186" s="154" t="s">
        <v>66</v>
      </c>
      <c r="Y1186" s="155" t="s">
        <v>64</v>
      </c>
      <c r="Z1186" s="154" t="s">
        <v>60</v>
      </c>
      <c r="AA1186" s="154"/>
      <c r="AB1186" s="242" t="str">
        <f t="shared" si="2"/>
        <v>#ERROR!</v>
      </c>
      <c r="AC1186" s="154" t="s">
        <v>391</v>
      </c>
      <c r="AD1186" s="242" t="b">
        <f t="shared" si="3"/>
        <v>0</v>
      </c>
      <c r="AE1186" s="154"/>
      <c r="AF1186" s="242" t="str">
        <f t="shared" si="4"/>
        <v>#ERROR!</v>
      </c>
      <c r="AG1186" s="154" t="s">
        <v>652</v>
      </c>
      <c r="AH1186" s="242" t="str">
        <f>IF(AG1186="","N/A",INDIRECT("MTR!"&amp;ADDRESS(MATCH(LEFT(AG1186,9),[1]MTR!C:C,0),COLUMN(J1186)),TRUE) &amp; "")</f>
        <v>#ERROR!</v>
      </c>
      <c r="AI1186" s="157" t="str">
        <f t="shared" si="5"/>
        <v>#ERROR!</v>
      </c>
    </row>
    <row r="1187" ht="12.75" customHeight="1">
      <c r="A1187" s="244" t="s">
        <v>5158</v>
      </c>
      <c r="B1187" s="244" t="s">
        <v>231</v>
      </c>
      <c r="C1187" s="244" t="s">
        <v>9794</v>
      </c>
      <c r="D1187" s="154" t="s">
        <v>1773</v>
      </c>
      <c r="E1187" s="154"/>
      <c r="F1187" s="154" t="str">
        <f t="array" ref="F1187">XLOOKUP(Cover!$D$12,$R$1:$Z$1,$R1187:$Z1187)</f>
        <v>Mandatory</v>
      </c>
      <c r="G1187" s="154" t="s">
        <v>9795</v>
      </c>
      <c r="H1187" s="154" t="s">
        <v>9012</v>
      </c>
      <c r="I1187" s="154" t="s">
        <v>9791</v>
      </c>
      <c r="J1187" s="154" t="s">
        <v>7237</v>
      </c>
      <c r="K1187" s="154" t="s">
        <v>9003</v>
      </c>
      <c r="L1187" s="154" t="s">
        <v>7175</v>
      </c>
      <c r="M1187" s="154" t="s">
        <v>175</v>
      </c>
      <c r="N1187" s="154" t="s">
        <v>759</v>
      </c>
      <c r="O1187" s="247" t="s">
        <v>516</v>
      </c>
      <c r="P1187" s="247" t="s">
        <v>6776</v>
      </c>
      <c r="Q1187" s="154" t="str">
        <f t="shared" si="1"/>
        <v>#ERROR!</v>
      </c>
      <c r="R1187" s="154" t="s">
        <v>66</v>
      </c>
      <c r="S1187" s="154" t="s">
        <v>66</v>
      </c>
      <c r="T1187" s="155" t="s">
        <v>64</v>
      </c>
      <c r="U1187" s="155" t="s">
        <v>64</v>
      </c>
      <c r="V1187" s="154" t="s">
        <v>60</v>
      </c>
      <c r="W1187" s="154" t="s">
        <v>60</v>
      </c>
      <c r="X1187" s="154" t="s">
        <v>66</v>
      </c>
      <c r="Y1187" s="155" t="s">
        <v>64</v>
      </c>
      <c r="Z1187" s="154" t="s">
        <v>60</v>
      </c>
      <c r="AA1187" s="154"/>
      <c r="AB1187" s="242" t="str">
        <f t="shared" si="2"/>
        <v>#ERROR!</v>
      </c>
      <c r="AC1187" s="154" t="s">
        <v>391</v>
      </c>
      <c r="AD1187" s="242" t="b">
        <f t="shared" si="3"/>
        <v>0</v>
      </c>
      <c r="AE1187" s="154"/>
      <c r="AF1187" s="242" t="str">
        <f t="shared" si="4"/>
        <v>#ERROR!</v>
      </c>
      <c r="AG1187" s="154" t="s">
        <v>652</v>
      </c>
      <c r="AH1187" s="242" t="str">
        <f>IF(AG1187="","N/A",INDIRECT("MTR!"&amp;ADDRESS(MATCH(LEFT(AG1187,9),[1]MTR!C:C,0),COLUMN(J1187)),TRUE) &amp; "")</f>
        <v>#ERROR!</v>
      </c>
      <c r="AI1187" s="157" t="str">
        <f t="shared" si="5"/>
        <v>#ERROR!</v>
      </c>
    </row>
    <row r="1188" ht="12.75" customHeight="1">
      <c r="A1188" s="244" t="s">
        <v>5158</v>
      </c>
      <c r="B1188" s="244" t="s">
        <v>231</v>
      </c>
      <c r="C1188" s="255" t="s">
        <v>9796</v>
      </c>
      <c r="D1188" s="256" t="s">
        <v>42</v>
      </c>
      <c r="E1188" s="256" t="s">
        <v>489</v>
      </c>
      <c r="F1188" s="154" t="str">
        <f t="array" ref="F1188">XLOOKUP(Cover!$D$12,$R$1:$Z$1,$R1188:$Z1188)</f>
        <v>Recommended</v>
      </c>
      <c r="G1188" s="154" t="s">
        <v>9797</v>
      </c>
      <c r="H1188" s="154" t="s">
        <v>9006</v>
      </c>
      <c r="I1188" s="154" t="s">
        <v>9798</v>
      </c>
      <c r="J1188" s="154" t="s">
        <v>7245</v>
      </c>
      <c r="K1188" s="154" t="s">
        <v>9003</v>
      </c>
      <c r="L1188" s="154" t="s">
        <v>5931</v>
      </c>
      <c r="M1188" s="154"/>
      <c r="N1188" s="154" t="s">
        <v>759</v>
      </c>
      <c r="O1188" s="247" t="s">
        <v>516</v>
      </c>
      <c r="P1188" s="247" t="s">
        <v>6776</v>
      </c>
      <c r="Q1188" s="154" t="str">
        <f t="shared" si="1"/>
        <v>#ERROR!</v>
      </c>
      <c r="R1188" s="154" t="s">
        <v>66</v>
      </c>
      <c r="S1188" s="154" t="s">
        <v>66</v>
      </c>
      <c r="T1188" s="154" t="s">
        <v>64</v>
      </c>
      <c r="U1188" s="154" t="s">
        <v>64</v>
      </c>
      <c r="V1188" s="154" t="s">
        <v>64</v>
      </c>
      <c r="W1188" s="154" t="s">
        <v>64</v>
      </c>
      <c r="X1188" s="154" t="s">
        <v>66</v>
      </c>
      <c r="Y1188" s="154" t="s">
        <v>64</v>
      </c>
      <c r="Z1188" s="154" t="s">
        <v>64</v>
      </c>
      <c r="AA1188" s="154"/>
      <c r="AB1188" s="242" t="str">
        <f t="shared" si="2"/>
        <v>#ERROR!</v>
      </c>
      <c r="AC1188" s="154" t="s">
        <v>391</v>
      </c>
      <c r="AD1188" s="242" t="b">
        <f t="shared" si="3"/>
        <v>0</v>
      </c>
      <c r="AE1188" s="154"/>
      <c r="AF1188" s="242" t="str">
        <f t="shared" si="4"/>
        <v>#ERROR!</v>
      </c>
      <c r="AG1188" s="154" t="s">
        <v>652</v>
      </c>
      <c r="AH1188" s="242" t="str">
        <f>IF(AG1188="","N/A",INDIRECT("MTR!"&amp;ADDRESS(MATCH(LEFT(AG1188,9),[1]MTR!C:C,0),COLUMN(J1188)),TRUE) &amp; "")</f>
        <v>#ERROR!</v>
      </c>
      <c r="AI1188" s="157" t="str">
        <f t="shared" si="5"/>
        <v>#ERROR!</v>
      </c>
    </row>
    <row r="1189" ht="12.75" customHeight="1">
      <c r="A1189" s="244" t="s">
        <v>5158</v>
      </c>
      <c r="B1189" s="244" t="s">
        <v>231</v>
      </c>
      <c r="C1189" s="255" t="s">
        <v>9799</v>
      </c>
      <c r="D1189" s="256" t="s">
        <v>42</v>
      </c>
      <c r="E1189" s="256" t="s">
        <v>489</v>
      </c>
      <c r="F1189" s="154" t="str">
        <f t="array" ref="F1189">XLOOKUP(Cover!$D$12,$R$1:$Z$1,$R1189:$Z1189)</f>
        <v>Information</v>
      </c>
      <c r="G1189" s="154" t="s">
        <v>9800</v>
      </c>
      <c r="H1189" s="154" t="s">
        <v>9009</v>
      </c>
      <c r="I1189" s="154" t="s">
        <v>9798</v>
      </c>
      <c r="J1189" s="154" t="s">
        <v>7245</v>
      </c>
      <c r="K1189" s="154" t="s">
        <v>9003</v>
      </c>
      <c r="L1189" s="154" t="s">
        <v>5931</v>
      </c>
      <c r="M1189" s="154"/>
      <c r="N1189" s="154" t="s">
        <v>759</v>
      </c>
      <c r="O1189" s="247" t="s">
        <v>516</v>
      </c>
      <c r="P1189" s="247" t="s">
        <v>6776</v>
      </c>
      <c r="Q1189" s="154" t="str">
        <f t="shared" si="1"/>
        <v>#ERROR!</v>
      </c>
      <c r="R1189" s="154" t="s">
        <v>66</v>
      </c>
      <c r="S1189" s="154" t="s">
        <v>66</v>
      </c>
      <c r="T1189" s="154" t="s">
        <v>66</v>
      </c>
      <c r="U1189" s="154" t="s">
        <v>66</v>
      </c>
      <c r="V1189" s="154" t="s">
        <v>66</v>
      </c>
      <c r="W1189" s="154" t="s">
        <v>66</v>
      </c>
      <c r="X1189" s="154" t="s">
        <v>66</v>
      </c>
      <c r="Y1189" s="154" t="s">
        <v>66</v>
      </c>
      <c r="Z1189" s="154" t="s">
        <v>66</v>
      </c>
      <c r="AA1189" s="154"/>
      <c r="AB1189" s="242" t="str">
        <f t="shared" si="2"/>
        <v>#ERROR!</v>
      </c>
      <c r="AC1189" s="154" t="s">
        <v>391</v>
      </c>
      <c r="AD1189" s="242" t="b">
        <f t="shared" si="3"/>
        <v>0</v>
      </c>
      <c r="AE1189" s="154"/>
      <c r="AF1189" s="242" t="str">
        <f t="shared" si="4"/>
        <v>#ERROR!</v>
      </c>
      <c r="AG1189" s="154" t="s">
        <v>652</v>
      </c>
      <c r="AH1189" s="242" t="str">
        <f>IF(AG1189="","N/A",INDIRECT("MTR!"&amp;ADDRESS(MATCH(LEFT(AG1189,9),[1]MTR!C:C,0),COLUMN(J1189)),TRUE) &amp; "")</f>
        <v>#ERROR!</v>
      </c>
      <c r="AI1189" s="157" t="str">
        <f t="shared" si="5"/>
        <v>#ERROR!</v>
      </c>
    </row>
    <row r="1190" ht="12.75" customHeight="1">
      <c r="A1190" s="244" t="s">
        <v>5158</v>
      </c>
      <c r="B1190" s="244" t="s">
        <v>231</v>
      </c>
      <c r="C1190" s="255" t="s">
        <v>9801</v>
      </c>
      <c r="D1190" s="256" t="s">
        <v>42</v>
      </c>
      <c r="E1190" s="256" t="s">
        <v>489</v>
      </c>
      <c r="F1190" s="154" t="str">
        <f t="array" ref="F1190">XLOOKUP(Cover!$D$12,$R$1:$Z$1,$R1190:$Z1190)</f>
        <v>Recommended</v>
      </c>
      <c r="G1190" s="154" t="s">
        <v>9802</v>
      </c>
      <c r="H1190" s="154" t="s">
        <v>9015</v>
      </c>
      <c r="I1190" s="154" t="s">
        <v>9798</v>
      </c>
      <c r="J1190" s="154" t="s">
        <v>7245</v>
      </c>
      <c r="K1190" s="154" t="s">
        <v>9003</v>
      </c>
      <c r="L1190" s="154" t="s">
        <v>5931</v>
      </c>
      <c r="M1190" s="154"/>
      <c r="N1190" s="154" t="s">
        <v>759</v>
      </c>
      <c r="O1190" s="247" t="s">
        <v>516</v>
      </c>
      <c r="P1190" s="247" t="s">
        <v>6776</v>
      </c>
      <c r="Q1190" s="154" t="str">
        <f t="shared" si="1"/>
        <v>#ERROR!</v>
      </c>
      <c r="R1190" s="154" t="s">
        <v>66</v>
      </c>
      <c r="S1190" s="154" t="s">
        <v>66</v>
      </c>
      <c r="T1190" s="154" t="s">
        <v>64</v>
      </c>
      <c r="U1190" s="154" t="s">
        <v>64</v>
      </c>
      <c r="V1190" s="154" t="s">
        <v>64</v>
      </c>
      <c r="W1190" s="154" t="s">
        <v>64</v>
      </c>
      <c r="X1190" s="154" t="s">
        <v>66</v>
      </c>
      <c r="Y1190" s="154" t="s">
        <v>64</v>
      </c>
      <c r="Z1190" s="154" t="s">
        <v>64</v>
      </c>
      <c r="AA1190" s="154"/>
      <c r="AB1190" s="242" t="str">
        <f t="shared" si="2"/>
        <v>#ERROR!</v>
      </c>
      <c r="AC1190" s="154" t="s">
        <v>391</v>
      </c>
      <c r="AD1190" s="242" t="b">
        <f t="shared" si="3"/>
        <v>0</v>
      </c>
      <c r="AE1190" s="154"/>
      <c r="AF1190" s="242" t="str">
        <f t="shared" si="4"/>
        <v>#ERROR!</v>
      </c>
      <c r="AG1190" s="154" t="s">
        <v>652</v>
      </c>
      <c r="AH1190" s="242" t="str">
        <f>IF(AG1190="","N/A",INDIRECT("MTR!"&amp;ADDRESS(MATCH(LEFT(AG1190,9),[1]MTR!C:C,0),COLUMN(J1190)),TRUE) &amp; "")</f>
        <v>#ERROR!</v>
      </c>
      <c r="AI1190" s="157" t="str">
        <f t="shared" si="5"/>
        <v>#ERROR!</v>
      </c>
    </row>
    <row r="1191" ht="12.75" customHeight="1">
      <c r="A1191" s="244" t="s">
        <v>5158</v>
      </c>
      <c r="B1191" s="244" t="s">
        <v>231</v>
      </c>
      <c r="C1191" s="255" t="s">
        <v>9803</v>
      </c>
      <c r="D1191" s="256" t="s">
        <v>42</v>
      </c>
      <c r="E1191" s="256" t="s">
        <v>489</v>
      </c>
      <c r="F1191" s="154" t="str">
        <f t="array" ref="F1191">XLOOKUP(Cover!$D$12,$R$1:$Z$1,$R1191:$Z1191)</f>
        <v>Recommended</v>
      </c>
      <c r="G1191" s="154" t="s">
        <v>9804</v>
      </c>
      <c r="H1191" s="154" t="s">
        <v>1541</v>
      </c>
      <c r="I1191" s="154" t="s">
        <v>9798</v>
      </c>
      <c r="J1191" s="154" t="s">
        <v>7245</v>
      </c>
      <c r="K1191" s="154" t="s">
        <v>9003</v>
      </c>
      <c r="L1191" s="154" t="s">
        <v>5931</v>
      </c>
      <c r="M1191" s="154"/>
      <c r="N1191" s="154" t="s">
        <v>759</v>
      </c>
      <c r="O1191" s="247" t="s">
        <v>516</v>
      </c>
      <c r="P1191" s="247" t="s">
        <v>6776</v>
      </c>
      <c r="Q1191" s="154" t="str">
        <f t="shared" si="1"/>
        <v>#ERROR!</v>
      </c>
      <c r="R1191" s="154" t="s">
        <v>66</v>
      </c>
      <c r="S1191" s="154" t="s">
        <v>66</v>
      </c>
      <c r="T1191" s="154" t="s">
        <v>64</v>
      </c>
      <c r="U1191" s="154" t="s">
        <v>64</v>
      </c>
      <c r="V1191" s="154" t="s">
        <v>64</v>
      </c>
      <c r="W1191" s="154" t="s">
        <v>64</v>
      </c>
      <c r="X1191" s="154" t="s">
        <v>66</v>
      </c>
      <c r="Y1191" s="154" t="s">
        <v>64</v>
      </c>
      <c r="Z1191" s="154" t="s">
        <v>64</v>
      </c>
      <c r="AA1191" s="154"/>
      <c r="AB1191" s="242" t="str">
        <f t="shared" si="2"/>
        <v>#ERROR!</v>
      </c>
      <c r="AC1191" s="154" t="s">
        <v>391</v>
      </c>
      <c r="AD1191" s="242" t="b">
        <f t="shared" si="3"/>
        <v>0</v>
      </c>
      <c r="AE1191" s="154"/>
      <c r="AF1191" s="242" t="str">
        <f t="shared" si="4"/>
        <v>#ERROR!</v>
      </c>
      <c r="AG1191" s="154" t="s">
        <v>652</v>
      </c>
      <c r="AH1191" s="242" t="str">
        <f>IF(AG1191="","N/A",INDIRECT("MTR!"&amp;ADDRESS(MATCH(LEFT(AG1191,9),[1]MTR!C:C,0),COLUMN(J1191)),TRUE) &amp; "")</f>
        <v>#ERROR!</v>
      </c>
      <c r="AI1191" s="157" t="str">
        <f t="shared" si="5"/>
        <v>#ERROR!</v>
      </c>
    </row>
    <row r="1192" ht="12.75" customHeight="1">
      <c r="A1192" s="244" t="s">
        <v>5158</v>
      </c>
      <c r="B1192" s="244" t="s">
        <v>231</v>
      </c>
      <c r="C1192" s="244" t="s">
        <v>9805</v>
      </c>
      <c r="D1192" s="154" t="s">
        <v>861</v>
      </c>
      <c r="E1192" s="154"/>
      <c r="F1192" s="154" t="str">
        <f t="array" ref="F1192">XLOOKUP(Cover!$D$12,$R$1:$Z$1,$R1192:$Z1192)</f>
        <v>Mandatory</v>
      </c>
      <c r="G1192" s="154" t="s">
        <v>9806</v>
      </c>
      <c r="H1192" s="154" t="s">
        <v>9006</v>
      </c>
      <c r="I1192" s="154" t="s">
        <v>9807</v>
      </c>
      <c r="J1192" s="154" t="s">
        <v>7255</v>
      </c>
      <c r="K1192" s="154" t="s">
        <v>9003</v>
      </c>
      <c r="L1192" s="154" t="s">
        <v>6428</v>
      </c>
      <c r="M1192" s="154" t="s">
        <v>175</v>
      </c>
      <c r="N1192" s="154" t="s">
        <v>759</v>
      </c>
      <c r="O1192" s="247" t="s">
        <v>516</v>
      </c>
      <c r="P1192" s="247" t="s">
        <v>6776</v>
      </c>
      <c r="Q1192" s="154" t="str">
        <f t="shared" si="1"/>
        <v>#ERROR!</v>
      </c>
      <c r="R1192" s="154" t="s">
        <v>66</v>
      </c>
      <c r="S1192" s="154" t="s">
        <v>66</v>
      </c>
      <c r="T1192" s="155" t="s">
        <v>64</v>
      </c>
      <c r="U1192" s="155" t="s">
        <v>64</v>
      </c>
      <c r="V1192" s="154" t="s">
        <v>60</v>
      </c>
      <c r="W1192" s="154" t="s">
        <v>60</v>
      </c>
      <c r="X1192" s="154" t="s">
        <v>66</v>
      </c>
      <c r="Y1192" s="155" t="s">
        <v>64</v>
      </c>
      <c r="Z1192" s="154" t="s">
        <v>60</v>
      </c>
      <c r="AA1192" s="154"/>
      <c r="AB1192" s="242" t="str">
        <f t="shared" si="2"/>
        <v>#ERROR!</v>
      </c>
      <c r="AC1192" s="154" t="s">
        <v>391</v>
      </c>
      <c r="AD1192" s="242" t="b">
        <f t="shared" si="3"/>
        <v>0</v>
      </c>
      <c r="AE1192" s="154"/>
      <c r="AF1192" s="242" t="str">
        <f t="shared" si="4"/>
        <v>#ERROR!</v>
      </c>
      <c r="AG1192" s="154" t="s">
        <v>652</v>
      </c>
      <c r="AH1192" s="242" t="str">
        <f>IF(AG1192="","N/A",INDIRECT("MTR!"&amp;ADDRESS(MATCH(LEFT(AG1192,9),[1]MTR!C:C,0),COLUMN(J1192)),TRUE) &amp; "")</f>
        <v>#ERROR!</v>
      </c>
      <c r="AI1192" s="157" t="str">
        <f t="shared" si="5"/>
        <v>#ERROR!</v>
      </c>
    </row>
    <row r="1193" ht="12.75" customHeight="1">
      <c r="A1193" s="244" t="s">
        <v>5158</v>
      </c>
      <c r="B1193" s="244" t="s">
        <v>231</v>
      </c>
      <c r="C1193" s="244" t="s">
        <v>9808</v>
      </c>
      <c r="D1193" s="154" t="s">
        <v>861</v>
      </c>
      <c r="E1193" s="154"/>
      <c r="F1193" s="154" t="str">
        <f t="array" ref="F1193">XLOOKUP(Cover!$D$12,$R$1:$Z$1,$R1193:$Z1193)</f>
        <v>Mandatory</v>
      </c>
      <c r="G1193" s="154" t="s">
        <v>9809</v>
      </c>
      <c r="H1193" s="154" t="s">
        <v>9009</v>
      </c>
      <c r="I1193" s="154" t="s">
        <v>9807</v>
      </c>
      <c r="J1193" s="154" t="s">
        <v>7255</v>
      </c>
      <c r="K1193" s="154" t="s">
        <v>9003</v>
      </c>
      <c r="L1193" s="154" t="s">
        <v>6428</v>
      </c>
      <c r="M1193" s="154" t="s">
        <v>175</v>
      </c>
      <c r="N1193" s="154" t="s">
        <v>759</v>
      </c>
      <c r="O1193" s="247" t="s">
        <v>516</v>
      </c>
      <c r="P1193" s="247" t="s">
        <v>6776</v>
      </c>
      <c r="Q1193" s="154" t="str">
        <f t="shared" si="1"/>
        <v>#ERROR!</v>
      </c>
      <c r="R1193" s="154" t="s">
        <v>66</v>
      </c>
      <c r="S1193" s="154" t="s">
        <v>66</v>
      </c>
      <c r="T1193" s="155" t="s">
        <v>64</v>
      </c>
      <c r="U1193" s="155" t="s">
        <v>64</v>
      </c>
      <c r="V1193" s="154" t="s">
        <v>60</v>
      </c>
      <c r="W1193" s="154" t="s">
        <v>60</v>
      </c>
      <c r="X1193" s="154" t="s">
        <v>66</v>
      </c>
      <c r="Y1193" s="155" t="s">
        <v>64</v>
      </c>
      <c r="Z1193" s="154" t="s">
        <v>60</v>
      </c>
      <c r="AA1193" s="154"/>
      <c r="AB1193" s="242" t="str">
        <f t="shared" si="2"/>
        <v>#ERROR!</v>
      </c>
      <c r="AC1193" s="154" t="s">
        <v>391</v>
      </c>
      <c r="AD1193" s="242" t="b">
        <f t="shared" si="3"/>
        <v>0</v>
      </c>
      <c r="AE1193" s="154"/>
      <c r="AF1193" s="242" t="str">
        <f t="shared" si="4"/>
        <v>#ERROR!</v>
      </c>
      <c r="AG1193" s="154" t="s">
        <v>652</v>
      </c>
      <c r="AH1193" s="242" t="str">
        <f>IF(AG1193="","N/A",INDIRECT("MTR!"&amp;ADDRESS(MATCH(LEFT(AG1193,9),[1]MTR!C:C,0),COLUMN(J1193)),TRUE) &amp; "")</f>
        <v>#ERROR!</v>
      </c>
      <c r="AI1193" s="157" t="str">
        <f t="shared" si="5"/>
        <v>#ERROR!</v>
      </c>
    </row>
    <row r="1194" ht="12.75" customHeight="1">
      <c r="A1194" s="244" t="s">
        <v>5158</v>
      </c>
      <c r="B1194" s="244" t="s">
        <v>231</v>
      </c>
      <c r="C1194" s="244" t="s">
        <v>9810</v>
      </c>
      <c r="D1194" s="154" t="s">
        <v>861</v>
      </c>
      <c r="E1194" s="154"/>
      <c r="F1194" s="154" t="str">
        <f t="array" ref="F1194">XLOOKUP(Cover!$D$12,$R$1:$Z$1,$R1194:$Z1194)</f>
        <v>Mandatory</v>
      </c>
      <c r="G1194" s="154" t="s">
        <v>9811</v>
      </c>
      <c r="H1194" s="154" t="s">
        <v>9015</v>
      </c>
      <c r="I1194" s="154" t="s">
        <v>9807</v>
      </c>
      <c r="J1194" s="154" t="s">
        <v>7255</v>
      </c>
      <c r="K1194" s="154" t="s">
        <v>9003</v>
      </c>
      <c r="L1194" s="154" t="s">
        <v>6428</v>
      </c>
      <c r="M1194" s="154" t="s">
        <v>175</v>
      </c>
      <c r="N1194" s="154" t="s">
        <v>759</v>
      </c>
      <c r="O1194" s="247" t="s">
        <v>516</v>
      </c>
      <c r="P1194" s="247" t="s">
        <v>6776</v>
      </c>
      <c r="Q1194" s="154" t="str">
        <f t="shared" si="1"/>
        <v>#ERROR!</v>
      </c>
      <c r="R1194" s="154" t="s">
        <v>66</v>
      </c>
      <c r="S1194" s="154" t="s">
        <v>66</v>
      </c>
      <c r="T1194" s="155" t="s">
        <v>64</v>
      </c>
      <c r="U1194" s="155" t="s">
        <v>64</v>
      </c>
      <c r="V1194" s="154" t="s">
        <v>60</v>
      </c>
      <c r="W1194" s="154" t="s">
        <v>60</v>
      </c>
      <c r="X1194" s="154" t="s">
        <v>66</v>
      </c>
      <c r="Y1194" s="155" t="s">
        <v>64</v>
      </c>
      <c r="Z1194" s="154" t="s">
        <v>60</v>
      </c>
      <c r="AA1194" s="154"/>
      <c r="AB1194" s="242" t="str">
        <f t="shared" si="2"/>
        <v>#ERROR!</v>
      </c>
      <c r="AC1194" s="154" t="s">
        <v>391</v>
      </c>
      <c r="AD1194" s="242" t="b">
        <f t="shared" si="3"/>
        <v>0</v>
      </c>
      <c r="AE1194" s="154"/>
      <c r="AF1194" s="242" t="str">
        <f t="shared" si="4"/>
        <v>#ERROR!</v>
      </c>
      <c r="AG1194" s="154" t="s">
        <v>652</v>
      </c>
      <c r="AH1194" s="242" t="str">
        <f>IF(AG1194="","N/A",INDIRECT("MTR!"&amp;ADDRESS(MATCH(LEFT(AG1194,9),[1]MTR!C:C,0),COLUMN(J1194)),TRUE) &amp; "")</f>
        <v>#ERROR!</v>
      </c>
      <c r="AI1194" s="157" t="str">
        <f t="shared" si="5"/>
        <v>#ERROR!</v>
      </c>
    </row>
    <row r="1195" ht="12.75" customHeight="1">
      <c r="A1195" s="244" t="s">
        <v>5158</v>
      </c>
      <c r="B1195" s="244" t="s">
        <v>231</v>
      </c>
      <c r="C1195" s="244" t="s">
        <v>9812</v>
      </c>
      <c r="D1195" s="154" t="s">
        <v>1773</v>
      </c>
      <c r="E1195" s="154"/>
      <c r="F1195" s="154" t="str">
        <f t="array" ref="F1195">XLOOKUP(Cover!$D$12,$R$1:$Z$1,$R1195:$Z1195)</f>
        <v>Information</v>
      </c>
      <c r="G1195" s="154" t="s">
        <v>9813</v>
      </c>
      <c r="H1195" s="154" t="s">
        <v>9006</v>
      </c>
      <c r="I1195" s="154" t="s">
        <v>9814</v>
      </c>
      <c r="J1195" s="154" t="s">
        <v>9815</v>
      </c>
      <c r="K1195" s="154" t="s">
        <v>9003</v>
      </c>
      <c r="L1195" s="154" t="s">
        <v>7175</v>
      </c>
      <c r="M1195" s="154"/>
      <c r="N1195" s="154" t="s">
        <v>759</v>
      </c>
      <c r="O1195" s="247" t="s">
        <v>516</v>
      </c>
      <c r="P1195" s="247" t="s">
        <v>6776</v>
      </c>
      <c r="Q1195" s="154" t="str">
        <f t="shared" si="1"/>
        <v>#ERROR!</v>
      </c>
      <c r="R1195" s="154" t="s">
        <v>66</v>
      </c>
      <c r="S1195" s="154" t="s">
        <v>66</v>
      </c>
      <c r="T1195" s="154" t="s">
        <v>66</v>
      </c>
      <c r="U1195" s="154" t="s">
        <v>66</v>
      </c>
      <c r="V1195" s="154" t="s">
        <v>66</v>
      </c>
      <c r="W1195" s="154" t="s">
        <v>66</v>
      </c>
      <c r="X1195" s="154" t="s">
        <v>66</v>
      </c>
      <c r="Y1195" s="154" t="s">
        <v>66</v>
      </c>
      <c r="Z1195" s="154" t="s">
        <v>66</v>
      </c>
      <c r="AA1195" s="154"/>
      <c r="AB1195" s="242" t="str">
        <f t="shared" si="2"/>
        <v>#ERROR!</v>
      </c>
      <c r="AC1195" s="154" t="s">
        <v>391</v>
      </c>
      <c r="AD1195" s="242" t="b">
        <f t="shared" si="3"/>
        <v>0</v>
      </c>
      <c r="AE1195" s="154"/>
      <c r="AF1195" s="242" t="str">
        <f t="shared" si="4"/>
        <v>#ERROR!</v>
      </c>
      <c r="AG1195" s="154" t="s">
        <v>652</v>
      </c>
      <c r="AH1195" s="242" t="str">
        <f>IF(AG1195="","N/A",INDIRECT("MTR!"&amp;ADDRESS(MATCH(LEFT(AG1195,9),[1]MTR!C:C,0),COLUMN(J1195)),TRUE) &amp; "")</f>
        <v>#ERROR!</v>
      </c>
      <c r="AI1195" s="157" t="str">
        <f t="shared" si="5"/>
        <v>#ERROR!</v>
      </c>
    </row>
    <row r="1196" ht="12.75" customHeight="1">
      <c r="A1196" s="244" t="s">
        <v>5158</v>
      </c>
      <c r="B1196" s="244" t="s">
        <v>231</v>
      </c>
      <c r="C1196" s="244" t="s">
        <v>9816</v>
      </c>
      <c r="D1196" s="154" t="s">
        <v>1773</v>
      </c>
      <c r="E1196" s="154"/>
      <c r="F1196" s="154" t="str">
        <f t="array" ref="F1196">XLOOKUP(Cover!$D$12,$R$1:$Z$1,$R1196:$Z1196)</f>
        <v>Information</v>
      </c>
      <c r="G1196" s="154" t="s">
        <v>9817</v>
      </c>
      <c r="H1196" s="154" t="s">
        <v>9012</v>
      </c>
      <c r="I1196" s="154" t="s">
        <v>9814</v>
      </c>
      <c r="J1196" s="154" t="s">
        <v>9815</v>
      </c>
      <c r="K1196" s="154" t="s">
        <v>9003</v>
      </c>
      <c r="L1196" s="154" t="s">
        <v>7175</v>
      </c>
      <c r="M1196" s="154"/>
      <c r="N1196" s="154" t="s">
        <v>759</v>
      </c>
      <c r="O1196" s="247" t="s">
        <v>516</v>
      </c>
      <c r="P1196" s="247" t="s">
        <v>6776</v>
      </c>
      <c r="Q1196" s="154" t="str">
        <f t="shared" si="1"/>
        <v>#ERROR!</v>
      </c>
      <c r="R1196" s="154" t="s">
        <v>66</v>
      </c>
      <c r="S1196" s="154" t="s">
        <v>66</v>
      </c>
      <c r="T1196" s="154" t="s">
        <v>66</v>
      </c>
      <c r="U1196" s="154" t="s">
        <v>66</v>
      </c>
      <c r="V1196" s="154" t="s">
        <v>66</v>
      </c>
      <c r="W1196" s="154" t="s">
        <v>66</v>
      </c>
      <c r="X1196" s="154" t="s">
        <v>66</v>
      </c>
      <c r="Y1196" s="154" t="s">
        <v>66</v>
      </c>
      <c r="Z1196" s="154" t="s">
        <v>66</v>
      </c>
      <c r="AA1196" s="154"/>
      <c r="AB1196" s="242" t="str">
        <f t="shared" si="2"/>
        <v>#ERROR!</v>
      </c>
      <c r="AC1196" s="154" t="s">
        <v>391</v>
      </c>
      <c r="AD1196" s="242" t="b">
        <f t="shared" si="3"/>
        <v>0</v>
      </c>
      <c r="AE1196" s="154"/>
      <c r="AF1196" s="242" t="str">
        <f t="shared" si="4"/>
        <v>#ERROR!</v>
      </c>
      <c r="AG1196" s="154" t="s">
        <v>652</v>
      </c>
      <c r="AH1196" s="242" t="str">
        <f>IF(AG1196="","N/A",INDIRECT("MTR!"&amp;ADDRESS(MATCH(LEFT(AG1196,9),[1]MTR!C:C,0),COLUMN(J1196)),TRUE) &amp; "")</f>
        <v>#ERROR!</v>
      </c>
      <c r="AI1196" s="157" t="str">
        <f t="shared" si="5"/>
        <v>#ERROR!</v>
      </c>
    </row>
    <row r="1197" ht="12.75" customHeight="1">
      <c r="A1197" s="244" t="s">
        <v>5158</v>
      </c>
      <c r="B1197" s="244" t="s">
        <v>231</v>
      </c>
      <c r="C1197" s="244" t="s">
        <v>9818</v>
      </c>
      <c r="D1197" s="154" t="s">
        <v>1773</v>
      </c>
      <c r="E1197" s="154"/>
      <c r="F1197" s="154" t="str">
        <f t="array" ref="F1197">XLOOKUP(Cover!$D$12,$R$1:$Z$1,$R1197:$Z1197)</f>
        <v>Information</v>
      </c>
      <c r="G1197" s="154" t="s">
        <v>9819</v>
      </c>
      <c r="H1197" s="154" t="s">
        <v>9015</v>
      </c>
      <c r="I1197" s="154" t="s">
        <v>9814</v>
      </c>
      <c r="J1197" s="154" t="s">
        <v>9815</v>
      </c>
      <c r="K1197" s="154" t="s">
        <v>9003</v>
      </c>
      <c r="L1197" s="154" t="s">
        <v>7175</v>
      </c>
      <c r="M1197" s="154"/>
      <c r="N1197" s="154" t="s">
        <v>759</v>
      </c>
      <c r="O1197" s="247" t="s">
        <v>516</v>
      </c>
      <c r="P1197" s="247" t="s">
        <v>6776</v>
      </c>
      <c r="Q1197" s="154" t="str">
        <f t="shared" si="1"/>
        <v>#ERROR!</v>
      </c>
      <c r="R1197" s="154" t="s">
        <v>66</v>
      </c>
      <c r="S1197" s="154" t="s">
        <v>66</v>
      </c>
      <c r="T1197" s="154" t="s">
        <v>66</v>
      </c>
      <c r="U1197" s="154" t="s">
        <v>66</v>
      </c>
      <c r="V1197" s="154" t="s">
        <v>66</v>
      </c>
      <c r="W1197" s="154" t="s">
        <v>66</v>
      </c>
      <c r="X1197" s="154" t="s">
        <v>66</v>
      </c>
      <c r="Y1197" s="154" t="s">
        <v>66</v>
      </c>
      <c r="Z1197" s="154" t="s">
        <v>66</v>
      </c>
      <c r="AA1197" s="154"/>
      <c r="AB1197" s="242" t="str">
        <f t="shared" si="2"/>
        <v>#ERROR!</v>
      </c>
      <c r="AC1197" s="154" t="s">
        <v>391</v>
      </c>
      <c r="AD1197" s="242" t="b">
        <f t="shared" si="3"/>
        <v>0</v>
      </c>
      <c r="AE1197" s="154"/>
      <c r="AF1197" s="242" t="str">
        <f t="shared" si="4"/>
        <v>#ERROR!</v>
      </c>
      <c r="AG1197" s="154" t="s">
        <v>652</v>
      </c>
      <c r="AH1197" s="242" t="str">
        <f>IF(AG1197="","N/A",INDIRECT("MTR!"&amp;ADDRESS(MATCH(LEFT(AG1197,9),[1]MTR!C:C,0),COLUMN(J1197)),TRUE) &amp; "")</f>
        <v>#ERROR!</v>
      </c>
      <c r="AI1197" s="157" t="str">
        <f t="shared" si="5"/>
        <v>#ERROR!</v>
      </c>
    </row>
    <row r="1198" ht="12.75" customHeight="1">
      <c r="A1198" s="244" t="s">
        <v>5158</v>
      </c>
      <c r="B1198" s="244" t="s">
        <v>231</v>
      </c>
      <c r="C1198" s="244" t="s">
        <v>9820</v>
      </c>
      <c r="D1198" s="154" t="s">
        <v>1773</v>
      </c>
      <c r="E1198" s="154"/>
      <c r="F1198" s="154" t="str">
        <f t="array" ref="F1198">XLOOKUP(Cover!$D$12,$R$1:$Z$1,$R1198:$Z1198)</f>
        <v>Information</v>
      </c>
      <c r="G1198" s="154" t="s">
        <v>9821</v>
      </c>
      <c r="H1198" s="154" t="s">
        <v>1541</v>
      </c>
      <c r="I1198" s="154" t="s">
        <v>9814</v>
      </c>
      <c r="J1198" s="154" t="s">
        <v>9815</v>
      </c>
      <c r="K1198" s="154" t="s">
        <v>9003</v>
      </c>
      <c r="L1198" s="154" t="s">
        <v>7175</v>
      </c>
      <c r="M1198" s="154"/>
      <c r="N1198" s="154" t="s">
        <v>759</v>
      </c>
      <c r="O1198" s="247" t="s">
        <v>516</v>
      </c>
      <c r="P1198" s="247" t="s">
        <v>6776</v>
      </c>
      <c r="Q1198" s="154" t="str">
        <f t="shared" si="1"/>
        <v>#ERROR!</v>
      </c>
      <c r="R1198" s="154" t="s">
        <v>66</v>
      </c>
      <c r="S1198" s="154" t="s">
        <v>66</v>
      </c>
      <c r="T1198" s="154" t="s">
        <v>66</v>
      </c>
      <c r="U1198" s="154" t="s">
        <v>66</v>
      </c>
      <c r="V1198" s="154" t="s">
        <v>66</v>
      </c>
      <c r="W1198" s="154" t="s">
        <v>66</v>
      </c>
      <c r="X1198" s="154" t="s">
        <v>66</v>
      </c>
      <c r="Y1198" s="154" t="s">
        <v>66</v>
      </c>
      <c r="Z1198" s="154" t="s">
        <v>66</v>
      </c>
      <c r="AA1198" s="154"/>
      <c r="AB1198" s="242" t="str">
        <f t="shared" si="2"/>
        <v>#ERROR!</v>
      </c>
      <c r="AC1198" s="154" t="s">
        <v>391</v>
      </c>
      <c r="AD1198" s="242" t="b">
        <f t="shared" si="3"/>
        <v>0</v>
      </c>
      <c r="AE1198" s="154"/>
      <c r="AF1198" s="242" t="str">
        <f t="shared" si="4"/>
        <v>#ERROR!</v>
      </c>
      <c r="AG1198" s="154" t="s">
        <v>652</v>
      </c>
      <c r="AH1198" s="242" t="str">
        <f>IF(AG1198="","N/A",INDIRECT("MTR!"&amp;ADDRESS(MATCH(LEFT(AG1198,9),[1]MTR!C:C,0),COLUMN(J1198)),TRUE) &amp; "")</f>
        <v>#ERROR!</v>
      </c>
      <c r="AI1198" s="157" t="str">
        <f t="shared" si="5"/>
        <v>#ERROR!</v>
      </c>
    </row>
    <row r="1199" ht="12.75" customHeight="1">
      <c r="A1199" s="238" t="s">
        <v>5158</v>
      </c>
      <c r="B1199" s="238" t="s">
        <v>231</v>
      </c>
      <c r="C1199" s="238" t="s">
        <v>9822</v>
      </c>
      <c r="D1199" s="240"/>
      <c r="E1199" s="240" t="s">
        <v>92</v>
      </c>
      <c r="F1199" s="240" t="str">
        <f t="array" ref="F1199">XLOOKUP(Cover!$D$12,$R$1:$Z$1,$R1199:$Z1199)</f>
        <v>Heading</v>
      </c>
      <c r="G1199" s="239" t="s">
        <v>9823</v>
      </c>
      <c r="H1199" s="240"/>
      <c r="I1199" s="240"/>
      <c r="J1199" s="240"/>
      <c r="K1199" s="240"/>
      <c r="L1199" s="240"/>
      <c r="M1199" s="240"/>
      <c r="N1199" s="240" t="s">
        <v>759</v>
      </c>
      <c r="O1199" s="240"/>
      <c r="P1199" s="240"/>
      <c r="Q1199" s="240" t="str">
        <f t="shared" si="1"/>
        <v/>
      </c>
      <c r="R1199" s="240" t="s">
        <v>390</v>
      </c>
      <c r="S1199" s="240" t="s">
        <v>390</v>
      </c>
      <c r="T1199" s="240" t="s">
        <v>390</v>
      </c>
      <c r="U1199" s="240" t="s">
        <v>390</v>
      </c>
      <c r="V1199" s="240" t="s">
        <v>390</v>
      </c>
      <c r="W1199" s="240" t="s">
        <v>390</v>
      </c>
      <c r="X1199" s="240" t="s">
        <v>390</v>
      </c>
      <c r="Y1199" s="240" t="s">
        <v>390</v>
      </c>
      <c r="Z1199" s="240" t="s">
        <v>390</v>
      </c>
      <c r="AA1199" s="240"/>
      <c r="AB1199" s="242" t="str">
        <f t="shared" si="2"/>
        <v>#ERROR!</v>
      </c>
      <c r="AC1199" s="240" t="s">
        <v>391</v>
      </c>
      <c r="AD1199" s="242" t="b">
        <f t="shared" si="3"/>
        <v>0</v>
      </c>
      <c r="AE1199" s="240"/>
      <c r="AF1199" s="242" t="str">
        <f t="shared" si="4"/>
        <v>#ERROR!</v>
      </c>
      <c r="AG1199" s="240"/>
      <c r="AH1199" s="242" t="str">
        <f>IF(AG1199="","N/A",INDIRECT("MTR!"&amp;ADDRESS(MATCH(LEFT(AG1199,9),[1]MTR!C:C,0),COLUMN(J1199)),TRUE) &amp; "")</f>
        <v>#ERROR!</v>
      </c>
      <c r="AI1199" s="157" t="str">
        <f t="shared" si="5"/>
        <v/>
      </c>
    </row>
    <row r="1200" ht="12.75" customHeight="1">
      <c r="A1200" s="244" t="s">
        <v>5158</v>
      </c>
      <c r="B1200" s="244" t="s">
        <v>231</v>
      </c>
      <c r="C1200" s="244" t="s">
        <v>9824</v>
      </c>
      <c r="D1200" s="154" t="s">
        <v>861</v>
      </c>
      <c r="E1200" s="154"/>
      <c r="F1200" s="154" t="str">
        <f t="array" ref="F1200">XLOOKUP(Cover!$D$12,$R$1:$Z$1,$R1200:$Z1200)</f>
        <v>Information</v>
      </c>
      <c r="G1200" s="154" t="s">
        <v>9825</v>
      </c>
      <c r="H1200" s="154" t="s">
        <v>9002</v>
      </c>
      <c r="I1200" s="154" t="s">
        <v>9826</v>
      </c>
      <c r="J1200" s="154" t="s">
        <v>8217</v>
      </c>
      <c r="K1200" s="154" t="s">
        <v>9003</v>
      </c>
      <c r="L1200" s="154" t="s">
        <v>6428</v>
      </c>
      <c r="M1200" s="154"/>
      <c r="N1200" s="154" t="s">
        <v>759</v>
      </c>
      <c r="O1200" s="247" t="s">
        <v>516</v>
      </c>
      <c r="P1200" s="247" t="s">
        <v>6776</v>
      </c>
      <c r="Q1200" s="154" t="str">
        <f t="shared" si="1"/>
        <v>#ERROR!</v>
      </c>
      <c r="R1200" s="154" t="s">
        <v>66</v>
      </c>
      <c r="S1200" s="154" t="s">
        <v>66</v>
      </c>
      <c r="T1200" s="154" t="s">
        <v>66</v>
      </c>
      <c r="U1200" s="154" t="s">
        <v>66</v>
      </c>
      <c r="V1200" s="154" t="s">
        <v>66</v>
      </c>
      <c r="W1200" s="154" t="s">
        <v>66</v>
      </c>
      <c r="X1200" s="154" t="s">
        <v>66</v>
      </c>
      <c r="Y1200" s="154" t="s">
        <v>66</v>
      </c>
      <c r="Z1200" s="154" t="s">
        <v>66</v>
      </c>
      <c r="AA1200" s="154"/>
      <c r="AB1200" s="242" t="str">
        <f t="shared" si="2"/>
        <v>#ERROR!</v>
      </c>
      <c r="AC1200" s="154" t="s">
        <v>391</v>
      </c>
      <c r="AD1200" s="242" t="b">
        <f t="shared" si="3"/>
        <v>0</v>
      </c>
      <c r="AE1200" s="154"/>
      <c r="AF1200" s="242" t="str">
        <f t="shared" si="4"/>
        <v>#ERROR!</v>
      </c>
      <c r="AG1200" s="154" t="s">
        <v>652</v>
      </c>
      <c r="AH1200" s="242" t="str">
        <f>IF(AG1200="","N/A",INDIRECT("MTR!"&amp;ADDRESS(MATCH(LEFT(AG1200,9),[1]MTR!C:C,0),COLUMN(J1200)),TRUE) &amp; "")</f>
        <v>#ERROR!</v>
      </c>
      <c r="AI1200" s="157" t="str">
        <f t="shared" si="5"/>
        <v>#ERROR!</v>
      </c>
    </row>
    <row r="1201" ht="12.75" customHeight="1">
      <c r="A1201" s="244" t="s">
        <v>5158</v>
      </c>
      <c r="B1201" s="244" t="s">
        <v>231</v>
      </c>
      <c r="C1201" s="244" t="s">
        <v>9827</v>
      </c>
      <c r="D1201" s="154" t="s">
        <v>861</v>
      </c>
      <c r="E1201" s="154"/>
      <c r="F1201" s="154" t="str">
        <f t="array" ref="F1201">XLOOKUP(Cover!$D$12,$R$1:$Z$1,$R1201:$Z1201)</f>
        <v>Information</v>
      </c>
      <c r="G1201" s="154" t="s">
        <v>9828</v>
      </c>
      <c r="H1201" s="154" t="s">
        <v>9006</v>
      </c>
      <c r="I1201" s="154" t="s">
        <v>9826</v>
      </c>
      <c r="J1201" s="154" t="s">
        <v>8217</v>
      </c>
      <c r="K1201" s="154" t="s">
        <v>9003</v>
      </c>
      <c r="L1201" s="154" t="s">
        <v>6428</v>
      </c>
      <c r="M1201" s="154"/>
      <c r="N1201" s="154" t="s">
        <v>759</v>
      </c>
      <c r="O1201" s="247" t="s">
        <v>516</v>
      </c>
      <c r="P1201" s="247" t="s">
        <v>6776</v>
      </c>
      <c r="Q1201" s="154" t="str">
        <f t="shared" si="1"/>
        <v>#ERROR!</v>
      </c>
      <c r="R1201" s="154" t="s">
        <v>66</v>
      </c>
      <c r="S1201" s="154" t="s">
        <v>66</v>
      </c>
      <c r="T1201" s="154" t="s">
        <v>66</v>
      </c>
      <c r="U1201" s="154" t="s">
        <v>66</v>
      </c>
      <c r="V1201" s="154" t="s">
        <v>66</v>
      </c>
      <c r="W1201" s="154" t="s">
        <v>66</v>
      </c>
      <c r="X1201" s="154" t="s">
        <v>66</v>
      </c>
      <c r="Y1201" s="154" t="s">
        <v>66</v>
      </c>
      <c r="Z1201" s="154" t="s">
        <v>66</v>
      </c>
      <c r="AA1201" s="154"/>
      <c r="AB1201" s="242" t="str">
        <f t="shared" si="2"/>
        <v>#ERROR!</v>
      </c>
      <c r="AC1201" s="154" t="s">
        <v>391</v>
      </c>
      <c r="AD1201" s="242" t="b">
        <f t="shared" si="3"/>
        <v>0</v>
      </c>
      <c r="AE1201" s="154"/>
      <c r="AF1201" s="242" t="str">
        <f t="shared" si="4"/>
        <v>#ERROR!</v>
      </c>
      <c r="AG1201" s="154" t="s">
        <v>652</v>
      </c>
      <c r="AH1201" s="242" t="str">
        <f>IF(AG1201="","N/A",INDIRECT("MTR!"&amp;ADDRESS(MATCH(LEFT(AG1201,9),[1]MTR!C:C,0),COLUMN(J1201)),TRUE) &amp; "")</f>
        <v>#ERROR!</v>
      </c>
      <c r="AI1201" s="157" t="str">
        <f t="shared" si="5"/>
        <v>#ERROR!</v>
      </c>
    </row>
    <row r="1202" ht="12.75" customHeight="1">
      <c r="A1202" s="244" t="s">
        <v>5158</v>
      </c>
      <c r="B1202" s="244" t="s">
        <v>231</v>
      </c>
      <c r="C1202" s="244" t="s">
        <v>9829</v>
      </c>
      <c r="D1202" s="154" t="s">
        <v>861</v>
      </c>
      <c r="E1202" s="154"/>
      <c r="F1202" s="154" t="str">
        <f t="array" ref="F1202">XLOOKUP(Cover!$D$12,$R$1:$Z$1,$R1202:$Z1202)</f>
        <v>Information</v>
      </c>
      <c r="G1202" s="154" t="s">
        <v>9830</v>
      </c>
      <c r="H1202" s="154" t="s">
        <v>9009</v>
      </c>
      <c r="I1202" s="154" t="s">
        <v>9826</v>
      </c>
      <c r="J1202" s="154" t="s">
        <v>8217</v>
      </c>
      <c r="K1202" s="154" t="s">
        <v>9003</v>
      </c>
      <c r="L1202" s="154" t="s">
        <v>6428</v>
      </c>
      <c r="M1202" s="154"/>
      <c r="N1202" s="154" t="s">
        <v>759</v>
      </c>
      <c r="O1202" s="247" t="s">
        <v>516</v>
      </c>
      <c r="P1202" s="247" t="s">
        <v>6776</v>
      </c>
      <c r="Q1202" s="154" t="str">
        <f t="shared" si="1"/>
        <v>#ERROR!</v>
      </c>
      <c r="R1202" s="154" t="s">
        <v>66</v>
      </c>
      <c r="S1202" s="154" t="s">
        <v>66</v>
      </c>
      <c r="T1202" s="154" t="s">
        <v>66</v>
      </c>
      <c r="U1202" s="154" t="s">
        <v>66</v>
      </c>
      <c r="V1202" s="154" t="s">
        <v>66</v>
      </c>
      <c r="W1202" s="154" t="s">
        <v>66</v>
      </c>
      <c r="X1202" s="154" t="s">
        <v>66</v>
      </c>
      <c r="Y1202" s="154" t="s">
        <v>66</v>
      </c>
      <c r="Z1202" s="154" t="s">
        <v>66</v>
      </c>
      <c r="AA1202" s="154"/>
      <c r="AB1202" s="242" t="str">
        <f t="shared" si="2"/>
        <v>#ERROR!</v>
      </c>
      <c r="AC1202" s="154" t="s">
        <v>391</v>
      </c>
      <c r="AD1202" s="242" t="b">
        <f t="shared" si="3"/>
        <v>0</v>
      </c>
      <c r="AE1202" s="154"/>
      <c r="AF1202" s="242" t="str">
        <f t="shared" si="4"/>
        <v>#ERROR!</v>
      </c>
      <c r="AG1202" s="154" t="s">
        <v>652</v>
      </c>
      <c r="AH1202" s="242" t="str">
        <f>IF(AG1202="","N/A",INDIRECT("MTR!"&amp;ADDRESS(MATCH(LEFT(AG1202,9),[1]MTR!C:C,0),COLUMN(J1202)),TRUE) &amp; "")</f>
        <v>#ERROR!</v>
      </c>
      <c r="AI1202" s="157" t="str">
        <f t="shared" si="5"/>
        <v>#ERROR!</v>
      </c>
    </row>
    <row r="1203" ht="12.75" customHeight="1">
      <c r="A1203" s="244" t="s">
        <v>5158</v>
      </c>
      <c r="B1203" s="244" t="s">
        <v>231</v>
      </c>
      <c r="C1203" s="255" t="s">
        <v>9831</v>
      </c>
      <c r="D1203" s="256" t="s">
        <v>42</v>
      </c>
      <c r="E1203" s="256" t="s">
        <v>489</v>
      </c>
      <c r="F1203" s="154" t="str">
        <f t="array" ref="F1203">XLOOKUP(Cover!$D$12,$R$1:$Z$1,$R1203:$Z1203)</f>
        <v>Information</v>
      </c>
      <c r="G1203" s="154" t="s">
        <v>9832</v>
      </c>
      <c r="H1203" s="154" t="s">
        <v>9002</v>
      </c>
      <c r="I1203" s="154" t="s">
        <v>9833</v>
      </c>
      <c r="J1203" s="154" t="s">
        <v>8227</v>
      </c>
      <c r="K1203" s="154" t="s">
        <v>9003</v>
      </c>
      <c r="L1203" s="154" t="s">
        <v>5931</v>
      </c>
      <c r="M1203" s="154"/>
      <c r="N1203" s="154" t="s">
        <v>759</v>
      </c>
      <c r="O1203" s="247" t="s">
        <v>516</v>
      </c>
      <c r="P1203" s="247" t="s">
        <v>6776</v>
      </c>
      <c r="Q1203" s="154" t="str">
        <f t="shared" si="1"/>
        <v>#ERROR!</v>
      </c>
      <c r="R1203" s="154" t="s">
        <v>66</v>
      </c>
      <c r="S1203" s="154" t="s">
        <v>66</v>
      </c>
      <c r="T1203" s="154" t="s">
        <v>66</v>
      </c>
      <c r="U1203" s="154" t="s">
        <v>66</v>
      </c>
      <c r="V1203" s="154" t="s">
        <v>66</v>
      </c>
      <c r="W1203" s="154" t="s">
        <v>66</v>
      </c>
      <c r="X1203" s="154" t="s">
        <v>66</v>
      </c>
      <c r="Y1203" s="154" t="s">
        <v>66</v>
      </c>
      <c r="Z1203" s="154" t="s">
        <v>66</v>
      </c>
      <c r="AA1203" s="154"/>
      <c r="AB1203" s="242" t="str">
        <f t="shared" si="2"/>
        <v>#ERROR!</v>
      </c>
      <c r="AC1203" s="154" t="s">
        <v>391</v>
      </c>
      <c r="AD1203" s="242" t="b">
        <f t="shared" si="3"/>
        <v>0</v>
      </c>
      <c r="AE1203" s="154"/>
      <c r="AF1203" s="242" t="str">
        <f t="shared" si="4"/>
        <v>#ERROR!</v>
      </c>
      <c r="AG1203" s="154" t="s">
        <v>652</v>
      </c>
      <c r="AH1203" s="242" t="str">
        <f>IF(AG1203="","N/A",INDIRECT("MTR!"&amp;ADDRESS(MATCH(LEFT(AG1203,9),[1]MTR!C:C,0),COLUMN(J1203)),TRUE) &amp; "")</f>
        <v>#ERROR!</v>
      </c>
      <c r="AI1203" s="157" t="str">
        <f t="shared" si="5"/>
        <v>#ERROR!</v>
      </c>
    </row>
    <row r="1204" ht="12.75" customHeight="1">
      <c r="A1204" s="244" t="s">
        <v>5158</v>
      </c>
      <c r="B1204" s="244" t="s">
        <v>231</v>
      </c>
      <c r="C1204" s="255" t="s">
        <v>9834</v>
      </c>
      <c r="D1204" s="256" t="s">
        <v>42</v>
      </c>
      <c r="E1204" s="256" t="s">
        <v>489</v>
      </c>
      <c r="F1204" s="154" t="str">
        <f t="array" ref="F1204">XLOOKUP(Cover!$D$12,$R$1:$Z$1,$R1204:$Z1204)</f>
        <v>Information</v>
      </c>
      <c r="G1204" s="154" t="s">
        <v>9835</v>
      </c>
      <c r="H1204" s="154" t="s">
        <v>9006</v>
      </c>
      <c r="I1204" s="154" t="s">
        <v>9833</v>
      </c>
      <c r="J1204" s="154" t="s">
        <v>8227</v>
      </c>
      <c r="K1204" s="154" t="s">
        <v>9003</v>
      </c>
      <c r="L1204" s="154" t="s">
        <v>5931</v>
      </c>
      <c r="M1204" s="154"/>
      <c r="N1204" s="154" t="s">
        <v>759</v>
      </c>
      <c r="O1204" s="247" t="s">
        <v>516</v>
      </c>
      <c r="P1204" s="247" t="s">
        <v>6776</v>
      </c>
      <c r="Q1204" s="154" t="str">
        <f t="shared" si="1"/>
        <v>#ERROR!</v>
      </c>
      <c r="R1204" s="154" t="s">
        <v>66</v>
      </c>
      <c r="S1204" s="154" t="s">
        <v>66</v>
      </c>
      <c r="T1204" s="154" t="s">
        <v>66</v>
      </c>
      <c r="U1204" s="154" t="s">
        <v>66</v>
      </c>
      <c r="V1204" s="154" t="s">
        <v>66</v>
      </c>
      <c r="W1204" s="154" t="s">
        <v>66</v>
      </c>
      <c r="X1204" s="154" t="s">
        <v>66</v>
      </c>
      <c r="Y1204" s="154" t="s">
        <v>66</v>
      </c>
      <c r="Z1204" s="154" t="s">
        <v>66</v>
      </c>
      <c r="AA1204" s="154"/>
      <c r="AB1204" s="242" t="str">
        <f t="shared" si="2"/>
        <v>#ERROR!</v>
      </c>
      <c r="AC1204" s="154" t="s">
        <v>391</v>
      </c>
      <c r="AD1204" s="242" t="b">
        <f t="shared" si="3"/>
        <v>0</v>
      </c>
      <c r="AE1204" s="154"/>
      <c r="AF1204" s="242" t="str">
        <f t="shared" si="4"/>
        <v>#ERROR!</v>
      </c>
      <c r="AG1204" s="154" t="s">
        <v>652</v>
      </c>
      <c r="AH1204" s="242" t="str">
        <f>IF(AG1204="","N/A",INDIRECT("MTR!"&amp;ADDRESS(MATCH(LEFT(AG1204,9),[1]MTR!C:C,0),COLUMN(J1204)),TRUE) &amp; "")</f>
        <v>#ERROR!</v>
      </c>
      <c r="AI1204" s="157" t="str">
        <f t="shared" si="5"/>
        <v>#ERROR!</v>
      </c>
    </row>
    <row r="1205" ht="12.75" customHeight="1">
      <c r="A1205" s="244" t="s">
        <v>5158</v>
      </c>
      <c r="B1205" s="244" t="s">
        <v>231</v>
      </c>
      <c r="C1205" s="255" t="s">
        <v>9836</v>
      </c>
      <c r="D1205" s="256" t="s">
        <v>42</v>
      </c>
      <c r="E1205" s="256" t="s">
        <v>489</v>
      </c>
      <c r="F1205" s="154" t="str">
        <f t="array" ref="F1205">XLOOKUP(Cover!$D$12,$R$1:$Z$1,$R1205:$Z1205)</f>
        <v>Information</v>
      </c>
      <c r="G1205" s="154" t="s">
        <v>9837</v>
      </c>
      <c r="H1205" s="154" t="s">
        <v>9009</v>
      </c>
      <c r="I1205" s="154" t="s">
        <v>9833</v>
      </c>
      <c r="J1205" s="154" t="s">
        <v>8227</v>
      </c>
      <c r="K1205" s="154" t="s">
        <v>9003</v>
      </c>
      <c r="L1205" s="154" t="s">
        <v>5931</v>
      </c>
      <c r="M1205" s="154"/>
      <c r="N1205" s="154" t="s">
        <v>759</v>
      </c>
      <c r="O1205" s="247" t="s">
        <v>516</v>
      </c>
      <c r="P1205" s="247" t="s">
        <v>6776</v>
      </c>
      <c r="Q1205" s="154" t="str">
        <f t="shared" si="1"/>
        <v>#ERROR!</v>
      </c>
      <c r="R1205" s="154" t="s">
        <v>66</v>
      </c>
      <c r="S1205" s="154" t="s">
        <v>66</v>
      </c>
      <c r="T1205" s="154" t="s">
        <v>66</v>
      </c>
      <c r="U1205" s="154" t="s">
        <v>66</v>
      </c>
      <c r="V1205" s="154" t="s">
        <v>66</v>
      </c>
      <c r="W1205" s="154" t="s">
        <v>66</v>
      </c>
      <c r="X1205" s="154" t="s">
        <v>66</v>
      </c>
      <c r="Y1205" s="154" t="s">
        <v>66</v>
      </c>
      <c r="Z1205" s="154" t="s">
        <v>66</v>
      </c>
      <c r="AA1205" s="154"/>
      <c r="AB1205" s="242" t="str">
        <f t="shared" si="2"/>
        <v>#ERROR!</v>
      </c>
      <c r="AC1205" s="154" t="s">
        <v>391</v>
      </c>
      <c r="AD1205" s="242" t="b">
        <f t="shared" si="3"/>
        <v>0</v>
      </c>
      <c r="AE1205" s="154"/>
      <c r="AF1205" s="242" t="str">
        <f t="shared" si="4"/>
        <v>#ERROR!</v>
      </c>
      <c r="AG1205" s="154" t="s">
        <v>652</v>
      </c>
      <c r="AH1205" s="242" t="str">
        <f>IF(AG1205="","N/A",INDIRECT("MTR!"&amp;ADDRESS(MATCH(LEFT(AG1205,9),[1]MTR!C:C,0),COLUMN(J1205)),TRUE) &amp; "")</f>
        <v>#ERROR!</v>
      </c>
      <c r="AI1205" s="157" t="str">
        <f t="shared" si="5"/>
        <v>#ERROR!</v>
      </c>
    </row>
    <row r="1206" ht="12.75" customHeight="1">
      <c r="A1206" s="244" t="s">
        <v>5158</v>
      </c>
      <c r="B1206" s="244" t="s">
        <v>231</v>
      </c>
      <c r="C1206" s="244" t="s">
        <v>9838</v>
      </c>
      <c r="D1206" s="154" t="s">
        <v>861</v>
      </c>
      <c r="E1206" s="154"/>
      <c r="F1206" s="154" t="str">
        <f t="array" ref="F1206">XLOOKUP(Cover!$D$12,$R$1:$Z$1,$R1206:$Z1206)</f>
        <v>Information</v>
      </c>
      <c r="G1206" s="154" t="s">
        <v>9839</v>
      </c>
      <c r="H1206" s="154" t="s">
        <v>9002</v>
      </c>
      <c r="I1206" s="154" t="s">
        <v>9840</v>
      </c>
      <c r="J1206" s="154" t="s">
        <v>8235</v>
      </c>
      <c r="K1206" s="154" t="s">
        <v>9003</v>
      </c>
      <c r="L1206" s="154" t="s">
        <v>6428</v>
      </c>
      <c r="M1206" s="154"/>
      <c r="N1206" s="154" t="s">
        <v>759</v>
      </c>
      <c r="O1206" s="247" t="s">
        <v>516</v>
      </c>
      <c r="P1206" s="247" t="s">
        <v>6776</v>
      </c>
      <c r="Q1206" s="154" t="str">
        <f t="shared" si="1"/>
        <v>#ERROR!</v>
      </c>
      <c r="R1206" s="154" t="s">
        <v>66</v>
      </c>
      <c r="S1206" s="154" t="s">
        <v>66</v>
      </c>
      <c r="T1206" s="154" t="s">
        <v>66</v>
      </c>
      <c r="U1206" s="154" t="s">
        <v>66</v>
      </c>
      <c r="V1206" s="154" t="s">
        <v>66</v>
      </c>
      <c r="W1206" s="154" t="s">
        <v>66</v>
      </c>
      <c r="X1206" s="154" t="s">
        <v>66</v>
      </c>
      <c r="Y1206" s="154" t="s">
        <v>66</v>
      </c>
      <c r="Z1206" s="154" t="s">
        <v>66</v>
      </c>
      <c r="AA1206" s="154"/>
      <c r="AB1206" s="242" t="str">
        <f t="shared" si="2"/>
        <v>#ERROR!</v>
      </c>
      <c r="AC1206" s="154" t="s">
        <v>391</v>
      </c>
      <c r="AD1206" s="242" t="b">
        <f t="shared" si="3"/>
        <v>0</v>
      </c>
      <c r="AE1206" s="154"/>
      <c r="AF1206" s="242" t="str">
        <f t="shared" si="4"/>
        <v>#ERROR!</v>
      </c>
      <c r="AG1206" s="154" t="s">
        <v>652</v>
      </c>
      <c r="AH1206" s="242" t="str">
        <f>IF(AG1206="","N/A",INDIRECT("MTR!"&amp;ADDRESS(MATCH(LEFT(AG1206,9),[1]MTR!C:C,0),COLUMN(J1206)),TRUE) &amp; "")</f>
        <v>#ERROR!</v>
      </c>
      <c r="AI1206" s="157" t="str">
        <f t="shared" si="5"/>
        <v>#ERROR!</v>
      </c>
    </row>
    <row r="1207" ht="12.75" customHeight="1">
      <c r="A1207" s="244" t="s">
        <v>5158</v>
      </c>
      <c r="B1207" s="244" t="s">
        <v>231</v>
      </c>
      <c r="C1207" s="244" t="s">
        <v>9841</v>
      </c>
      <c r="D1207" s="154" t="s">
        <v>861</v>
      </c>
      <c r="E1207" s="154"/>
      <c r="F1207" s="154" t="str">
        <f t="array" ref="F1207">XLOOKUP(Cover!$D$12,$R$1:$Z$1,$R1207:$Z1207)</f>
        <v>Information</v>
      </c>
      <c r="G1207" s="154" t="s">
        <v>9842</v>
      </c>
      <c r="H1207" s="154" t="s">
        <v>9006</v>
      </c>
      <c r="I1207" s="154" t="s">
        <v>9840</v>
      </c>
      <c r="J1207" s="154" t="s">
        <v>8235</v>
      </c>
      <c r="K1207" s="154" t="s">
        <v>9003</v>
      </c>
      <c r="L1207" s="154" t="s">
        <v>6428</v>
      </c>
      <c r="M1207" s="154"/>
      <c r="N1207" s="154" t="s">
        <v>759</v>
      </c>
      <c r="O1207" s="247" t="s">
        <v>516</v>
      </c>
      <c r="P1207" s="247" t="s">
        <v>6776</v>
      </c>
      <c r="Q1207" s="154" t="str">
        <f t="shared" si="1"/>
        <v>#ERROR!</v>
      </c>
      <c r="R1207" s="154" t="s">
        <v>66</v>
      </c>
      <c r="S1207" s="154" t="s">
        <v>66</v>
      </c>
      <c r="T1207" s="154" t="s">
        <v>66</v>
      </c>
      <c r="U1207" s="154" t="s">
        <v>66</v>
      </c>
      <c r="V1207" s="154" t="s">
        <v>66</v>
      </c>
      <c r="W1207" s="154" t="s">
        <v>66</v>
      </c>
      <c r="X1207" s="154" t="s">
        <v>66</v>
      </c>
      <c r="Y1207" s="154" t="s">
        <v>66</v>
      </c>
      <c r="Z1207" s="154" t="s">
        <v>66</v>
      </c>
      <c r="AA1207" s="154"/>
      <c r="AB1207" s="242" t="str">
        <f t="shared" si="2"/>
        <v>#ERROR!</v>
      </c>
      <c r="AC1207" s="154" t="s">
        <v>391</v>
      </c>
      <c r="AD1207" s="242" t="b">
        <f t="shared" si="3"/>
        <v>0</v>
      </c>
      <c r="AE1207" s="154"/>
      <c r="AF1207" s="242" t="str">
        <f t="shared" si="4"/>
        <v>#ERROR!</v>
      </c>
      <c r="AG1207" s="154" t="s">
        <v>652</v>
      </c>
      <c r="AH1207" s="242" t="str">
        <f>IF(AG1207="","N/A",INDIRECT("MTR!"&amp;ADDRESS(MATCH(LEFT(AG1207,9),[1]MTR!C:C,0),COLUMN(J1207)),TRUE) &amp; "")</f>
        <v>#ERROR!</v>
      </c>
      <c r="AI1207" s="157" t="str">
        <f t="shared" si="5"/>
        <v>#ERROR!</v>
      </c>
    </row>
    <row r="1208" ht="12.75" customHeight="1">
      <c r="A1208" s="244" t="s">
        <v>5158</v>
      </c>
      <c r="B1208" s="244" t="s">
        <v>231</v>
      </c>
      <c r="C1208" s="244" t="s">
        <v>9843</v>
      </c>
      <c r="D1208" s="154" t="s">
        <v>861</v>
      </c>
      <c r="E1208" s="154"/>
      <c r="F1208" s="154" t="str">
        <f t="array" ref="F1208">XLOOKUP(Cover!$D$12,$R$1:$Z$1,$R1208:$Z1208)</f>
        <v>Information</v>
      </c>
      <c r="G1208" s="154" t="s">
        <v>9844</v>
      </c>
      <c r="H1208" s="154" t="s">
        <v>1541</v>
      </c>
      <c r="I1208" s="154" t="s">
        <v>9840</v>
      </c>
      <c r="J1208" s="154" t="s">
        <v>8235</v>
      </c>
      <c r="K1208" s="154" t="s">
        <v>9003</v>
      </c>
      <c r="L1208" s="154" t="s">
        <v>6428</v>
      </c>
      <c r="M1208" s="154"/>
      <c r="N1208" s="154" t="s">
        <v>759</v>
      </c>
      <c r="O1208" s="247" t="s">
        <v>516</v>
      </c>
      <c r="P1208" s="247" t="s">
        <v>6776</v>
      </c>
      <c r="Q1208" s="154" t="str">
        <f t="shared" si="1"/>
        <v>#ERROR!</v>
      </c>
      <c r="R1208" s="154" t="s">
        <v>66</v>
      </c>
      <c r="S1208" s="154" t="s">
        <v>66</v>
      </c>
      <c r="T1208" s="154" t="s">
        <v>66</v>
      </c>
      <c r="U1208" s="154" t="s">
        <v>66</v>
      </c>
      <c r="V1208" s="154" t="s">
        <v>66</v>
      </c>
      <c r="W1208" s="154" t="s">
        <v>66</v>
      </c>
      <c r="X1208" s="154" t="s">
        <v>66</v>
      </c>
      <c r="Y1208" s="154" t="s">
        <v>66</v>
      </c>
      <c r="Z1208" s="154" t="s">
        <v>66</v>
      </c>
      <c r="AA1208" s="154"/>
      <c r="AB1208" s="242" t="str">
        <f t="shared" si="2"/>
        <v>#ERROR!</v>
      </c>
      <c r="AC1208" s="154" t="s">
        <v>391</v>
      </c>
      <c r="AD1208" s="242" t="b">
        <f t="shared" si="3"/>
        <v>0</v>
      </c>
      <c r="AE1208" s="154"/>
      <c r="AF1208" s="242" t="str">
        <f t="shared" si="4"/>
        <v>#ERROR!</v>
      </c>
      <c r="AG1208" s="154" t="s">
        <v>652</v>
      </c>
      <c r="AH1208" s="242" t="str">
        <f>IF(AG1208="","N/A",INDIRECT("MTR!"&amp;ADDRESS(MATCH(LEFT(AG1208,9),[1]MTR!C:C,0),COLUMN(J1208)),TRUE) &amp; "")</f>
        <v>#ERROR!</v>
      </c>
      <c r="AI1208" s="157" t="str">
        <f t="shared" si="5"/>
        <v>#ERROR!</v>
      </c>
    </row>
    <row r="1209" ht="12.75" customHeight="1">
      <c r="A1209" s="244" t="s">
        <v>5158</v>
      </c>
      <c r="B1209" s="244" t="s">
        <v>231</v>
      </c>
      <c r="C1209" s="255" t="s">
        <v>9845</v>
      </c>
      <c r="D1209" s="256" t="s">
        <v>42</v>
      </c>
      <c r="E1209" s="256" t="s">
        <v>489</v>
      </c>
      <c r="F1209" s="154" t="str">
        <f t="array" ref="F1209">XLOOKUP(Cover!$D$12,$R$1:$Z$1,$R1209:$Z1209)</f>
        <v>Information</v>
      </c>
      <c r="G1209" s="154" t="s">
        <v>9846</v>
      </c>
      <c r="H1209" s="154" t="s">
        <v>9002</v>
      </c>
      <c r="I1209" s="154" t="s">
        <v>9847</v>
      </c>
      <c r="J1209" s="154" t="s">
        <v>9848</v>
      </c>
      <c r="K1209" s="154" t="s">
        <v>9003</v>
      </c>
      <c r="L1209" s="154" t="s">
        <v>5931</v>
      </c>
      <c r="M1209" s="154"/>
      <c r="N1209" s="154" t="s">
        <v>759</v>
      </c>
      <c r="O1209" s="247" t="s">
        <v>516</v>
      </c>
      <c r="P1209" s="247" t="s">
        <v>6776</v>
      </c>
      <c r="Q1209" s="154" t="str">
        <f t="shared" si="1"/>
        <v>#ERROR!</v>
      </c>
      <c r="R1209" s="154" t="s">
        <v>66</v>
      </c>
      <c r="S1209" s="154" t="s">
        <v>66</v>
      </c>
      <c r="T1209" s="154" t="s">
        <v>66</v>
      </c>
      <c r="U1209" s="154" t="s">
        <v>66</v>
      </c>
      <c r="V1209" s="154" t="s">
        <v>66</v>
      </c>
      <c r="W1209" s="154" t="s">
        <v>66</v>
      </c>
      <c r="X1209" s="154" t="s">
        <v>66</v>
      </c>
      <c r="Y1209" s="154" t="s">
        <v>66</v>
      </c>
      <c r="Z1209" s="154" t="s">
        <v>66</v>
      </c>
      <c r="AA1209" s="154"/>
      <c r="AB1209" s="242" t="str">
        <f t="shared" si="2"/>
        <v>#ERROR!</v>
      </c>
      <c r="AC1209" s="154" t="s">
        <v>391</v>
      </c>
      <c r="AD1209" s="242" t="b">
        <f t="shared" si="3"/>
        <v>0</v>
      </c>
      <c r="AE1209" s="154"/>
      <c r="AF1209" s="242" t="str">
        <f t="shared" si="4"/>
        <v>#ERROR!</v>
      </c>
      <c r="AG1209" s="154" t="s">
        <v>652</v>
      </c>
      <c r="AH1209" s="242" t="str">
        <f>IF(AG1209="","N/A",INDIRECT("MTR!"&amp;ADDRESS(MATCH(LEFT(AG1209,9),[1]MTR!C:C,0),COLUMN(J1209)),TRUE) &amp; "")</f>
        <v>#ERROR!</v>
      </c>
      <c r="AI1209" s="157" t="str">
        <f t="shared" si="5"/>
        <v>#ERROR!</v>
      </c>
    </row>
    <row r="1210" ht="12.75" customHeight="1">
      <c r="A1210" s="244" t="s">
        <v>5158</v>
      </c>
      <c r="B1210" s="244" t="s">
        <v>231</v>
      </c>
      <c r="C1210" s="255" t="s">
        <v>9849</v>
      </c>
      <c r="D1210" s="256" t="s">
        <v>42</v>
      </c>
      <c r="E1210" s="256" t="s">
        <v>489</v>
      </c>
      <c r="F1210" s="154" t="str">
        <f t="array" ref="F1210">XLOOKUP(Cover!$D$12,$R$1:$Z$1,$R1210:$Z1210)</f>
        <v>Information</v>
      </c>
      <c r="G1210" s="154" t="s">
        <v>9850</v>
      </c>
      <c r="H1210" s="154" t="s">
        <v>9006</v>
      </c>
      <c r="I1210" s="154" t="s">
        <v>9847</v>
      </c>
      <c r="J1210" s="154" t="s">
        <v>9848</v>
      </c>
      <c r="K1210" s="154" t="s">
        <v>9003</v>
      </c>
      <c r="L1210" s="154" t="s">
        <v>5931</v>
      </c>
      <c r="M1210" s="154"/>
      <c r="N1210" s="154" t="s">
        <v>759</v>
      </c>
      <c r="O1210" s="247" t="s">
        <v>516</v>
      </c>
      <c r="P1210" s="247" t="s">
        <v>6776</v>
      </c>
      <c r="Q1210" s="154" t="str">
        <f t="shared" si="1"/>
        <v>#ERROR!</v>
      </c>
      <c r="R1210" s="154" t="s">
        <v>66</v>
      </c>
      <c r="S1210" s="154" t="s">
        <v>66</v>
      </c>
      <c r="T1210" s="154" t="s">
        <v>66</v>
      </c>
      <c r="U1210" s="154" t="s">
        <v>66</v>
      </c>
      <c r="V1210" s="154" t="s">
        <v>66</v>
      </c>
      <c r="W1210" s="154" t="s">
        <v>66</v>
      </c>
      <c r="X1210" s="154" t="s">
        <v>66</v>
      </c>
      <c r="Y1210" s="154" t="s">
        <v>66</v>
      </c>
      <c r="Z1210" s="154" t="s">
        <v>66</v>
      </c>
      <c r="AA1210" s="154"/>
      <c r="AB1210" s="242" t="str">
        <f t="shared" si="2"/>
        <v>#ERROR!</v>
      </c>
      <c r="AC1210" s="154" t="s">
        <v>391</v>
      </c>
      <c r="AD1210" s="242" t="b">
        <f t="shared" si="3"/>
        <v>0</v>
      </c>
      <c r="AE1210" s="154"/>
      <c r="AF1210" s="242" t="str">
        <f t="shared" si="4"/>
        <v>#ERROR!</v>
      </c>
      <c r="AG1210" s="154" t="s">
        <v>652</v>
      </c>
      <c r="AH1210" s="242" t="str">
        <f>IF(AG1210="","N/A",INDIRECT("MTR!"&amp;ADDRESS(MATCH(LEFT(AG1210,9),[1]MTR!C:C,0),COLUMN(J1210)),TRUE) &amp; "")</f>
        <v>#ERROR!</v>
      </c>
      <c r="AI1210" s="157" t="str">
        <f t="shared" si="5"/>
        <v>#ERROR!</v>
      </c>
    </row>
    <row r="1211" ht="12.75" customHeight="1">
      <c r="A1211" s="244" t="s">
        <v>5158</v>
      </c>
      <c r="B1211" s="244" t="s">
        <v>231</v>
      </c>
      <c r="C1211" s="255" t="s">
        <v>9851</v>
      </c>
      <c r="D1211" s="256" t="s">
        <v>42</v>
      </c>
      <c r="E1211" s="256" t="s">
        <v>489</v>
      </c>
      <c r="F1211" s="154" t="str">
        <f t="array" ref="F1211">XLOOKUP(Cover!$D$12,$R$1:$Z$1,$R1211:$Z1211)</f>
        <v>Information</v>
      </c>
      <c r="G1211" s="154" t="s">
        <v>9852</v>
      </c>
      <c r="H1211" s="154" t="s">
        <v>9009</v>
      </c>
      <c r="I1211" s="154" t="s">
        <v>9847</v>
      </c>
      <c r="J1211" s="154" t="s">
        <v>9848</v>
      </c>
      <c r="K1211" s="154" t="s">
        <v>9003</v>
      </c>
      <c r="L1211" s="154" t="s">
        <v>5931</v>
      </c>
      <c r="M1211" s="154"/>
      <c r="N1211" s="154" t="s">
        <v>759</v>
      </c>
      <c r="O1211" s="247" t="s">
        <v>516</v>
      </c>
      <c r="P1211" s="247" t="s">
        <v>6776</v>
      </c>
      <c r="Q1211" s="154" t="str">
        <f t="shared" si="1"/>
        <v>#ERROR!</v>
      </c>
      <c r="R1211" s="154" t="s">
        <v>66</v>
      </c>
      <c r="S1211" s="154" t="s">
        <v>66</v>
      </c>
      <c r="T1211" s="154" t="s">
        <v>66</v>
      </c>
      <c r="U1211" s="154" t="s">
        <v>66</v>
      </c>
      <c r="V1211" s="154" t="s">
        <v>66</v>
      </c>
      <c r="W1211" s="154" t="s">
        <v>66</v>
      </c>
      <c r="X1211" s="154" t="s">
        <v>66</v>
      </c>
      <c r="Y1211" s="154" t="s">
        <v>66</v>
      </c>
      <c r="Z1211" s="154" t="s">
        <v>66</v>
      </c>
      <c r="AA1211" s="154"/>
      <c r="AB1211" s="242" t="str">
        <f t="shared" si="2"/>
        <v>#ERROR!</v>
      </c>
      <c r="AC1211" s="154" t="s">
        <v>391</v>
      </c>
      <c r="AD1211" s="242" t="b">
        <f t="shared" si="3"/>
        <v>0</v>
      </c>
      <c r="AE1211" s="154"/>
      <c r="AF1211" s="242" t="str">
        <f t="shared" si="4"/>
        <v>#ERROR!</v>
      </c>
      <c r="AG1211" s="154" t="s">
        <v>652</v>
      </c>
      <c r="AH1211" s="242" t="str">
        <f>IF(AG1211="","N/A",INDIRECT("MTR!"&amp;ADDRESS(MATCH(LEFT(AG1211,9),[1]MTR!C:C,0),COLUMN(J1211)),TRUE) &amp; "")</f>
        <v>#ERROR!</v>
      </c>
      <c r="AI1211" s="157" t="str">
        <f t="shared" si="5"/>
        <v>#ERROR!</v>
      </c>
    </row>
    <row r="1212" ht="12.75" customHeight="1">
      <c r="A1212" s="244" t="s">
        <v>5158</v>
      </c>
      <c r="B1212" s="244" t="s">
        <v>231</v>
      </c>
      <c r="C1212" s="255" t="s">
        <v>9853</v>
      </c>
      <c r="D1212" s="256" t="s">
        <v>42</v>
      </c>
      <c r="E1212" s="256" t="s">
        <v>489</v>
      </c>
      <c r="F1212" s="154" t="str">
        <f t="array" ref="F1212">XLOOKUP(Cover!$D$12,$R$1:$Z$1,$R1212:$Z1212)</f>
        <v>Information</v>
      </c>
      <c r="G1212" s="154" t="s">
        <v>9854</v>
      </c>
      <c r="H1212" s="154" t="s">
        <v>9015</v>
      </c>
      <c r="I1212" s="154" t="s">
        <v>9847</v>
      </c>
      <c r="J1212" s="154" t="s">
        <v>9848</v>
      </c>
      <c r="K1212" s="154" t="s">
        <v>9003</v>
      </c>
      <c r="L1212" s="154" t="s">
        <v>5931</v>
      </c>
      <c r="M1212" s="154"/>
      <c r="N1212" s="154" t="s">
        <v>759</v>
      </c>
      <c r="O1212" s="247" t="s">
        <v>516</v>
      </c>
      <c r="P1212" s="247" t="s">
        <v>6776</v>
      </c>
      <c r="Q1212" s="154" t="str">
        <f t="shared" si="1"/>
        <v>#ERROR!</v>
      </c>
      <c r="R1212" s="154" t="s">
        <v>66</v>
      </c>
      <c r="S1212" s="154" t="s">
        <v>66</v>
      </c>
      <c r="T1212" s="154" t="s">
        <v>66</v>
      </c>
      <c r="U1212" s="154" t="s">
        <v>66</v>
      </c>
      <c r="V1212" s="154" t="s">
        <v>66</v>
      </c>
      <c r="W1212" s="154" t="s">
        <v>66</v>
      </c>
      <c r="X1212" s="154" t="s">
        <v>66</v>
      </c>
      <c r="Y1212" s="154" t="s">
        <v>66</v>
      </c>
      <c r="Z1212" s="154" t="s">
        <v>66</v>
      </c>
      <c r="AA1212" s="154"/>
      <c r="AB1212" s="242" t="str">
        <f t="shared" si="2"/>
        <v>#ERROR!</v>
      </c>
      <c r="AC1212" s="154" t="s">
        <v>391</v>
      </c>
      <c r="AD1212" s="242" t="b">
        <f t="shared" si="3"/>
        <v>0</v>
      </c>
      <c r="AE1212" s="154"/>
      <c r="AF1212" s="242" t="str">
        <f t="shared" si="4"/>
        <v>#ERROR!</v>
      </c>
      <c r="AG1212" s="154" t="s">
        <v>652</v>
      </c>
      <c r="AH1212" s="242" t="str">
        <f>IF(AG1212="","N/A",INDIRECT("MTR!"&amp;ADDRESS(MATCH(LEFT(AG1212,9),[1]MTR!C:C,0),COLUMN(J1212)),TRUE) &amp; "")</f>
        <v>#ERROR!</v>
      </c>
      <c r="AI1212" s="157" t="str">
        <f t="shared" si="5"/>
        <v>#ERROR!</v>
      </c>
    </row>
    <row r="1213" ht="12.75" customHeight="1">
      <c r="A1213" s="244" t="s">
        <v>5158</v>
      </c>
      <c r="B1213" s="244" t="s">
        <v>231</v>
      </c>
      <c r="C1213" s="244" t="s">
        <v>9855</v>
      </c>
      <c r="D1213" s="154" t="s">
        <v>861</v>
      </c>
      <c r="E1213" s="154"/>
      <c r="F1213" s="154" t="str">
        <f t="array" ref="F1213">XLOOKUP(Cover!$D$12,$R$1:$Z$1,$R1213:$Z1213)</f>
        <v>Information</v>
      </c>
      <c r="G1213" s="154" t="s">
        <v>9856</v>
      </c>
      <c r="H1213" s="154" t="s">
        <v>9002</v>
      </c>
      <c r="I1213" s="154" t="s">
        <v>9857</v>
      </c>
      <c r="J1213" s="154" t="s">
        <v>8253</v>
      </c>
      <c r="K1213" s="154" t="s">
        <v>9003</v>
      </c>
      <c r="L1213" s="154" t="s">
        <v>6428</v>
      </c>
      <c r="M1213" s="154"/>
      <c r="N1213" s="154" t="s">
        <v>759</v>
      </c>
      <c r="O1213" s="247" t="s">
        <v>516</v>
      </c>
      <c r="P1213" s="247" t="s">
        <v>6776</v>
      </c>
      <c r="Q1213" s="154" t="str">
        <f t="shared" si="1"/>
        <v>#ERROR!</v>
      </c>
      <c r="R1213" s="154" t="s">
        <v>66</v>
      </c>
      <c r="S1213" s="154" t="s">
        <v>66</v>
      </c>
      <c r="T1213" s="154" t="s">
        <v>66</v>
      </c>
      <c r="U1213" s="154" t="s">
        <v>66</v>
      </c>
      <c r="V1213" s="154" t="s">
        <v>66</v>
      </c>
      <c r="W1213" s="154" t="s">
        <v>66</v>
      </c>
      <c r="X1213" s="154" t="s">
        <v>66</v>
      </c>
      <c r="Y1213" s="154" t="s">
        <v>66</v>
      </c>
      <c r="Z1213" s="154" t="s">
        <v>66</v>
      </c>
      <c r="AA1213" s="154"/>
      <c r="AB1213" s="242" t="str">
        <f t="shared" si="2"/>
        <v>#ERROR!</v>
      </c>
      <c r="AC1213" s="154" t="s">
        <v>391</v>
      </c>
      <c r="AD1213" s="242" t="b">
        <f t="shared" si="3"/>
        <v>0</v>
      </c>
      <c r="AE1213" s="154"/>
      <c r="AF1213" s="242" t="str">
        <f t="shared" si="4"/>
        <v>#ERROR!</v>
      </c>
      <c r="AG1213" s="154" t="s">
        <v>652</v>
      </c>
      <c r="AH1213" s="242" t="str">
        <f>IF(AG1213="","N/A",INDIRECT("MTR!"&amp;ADDRESS(MATCH(LEFT(AG1213,9),[1]MTR!C:C,0),COLUMN(J1213)),TRUE) &amp; "")</f>
        <v>#ERROR!</v>
      </c>
      <c r="AI1213" s="157" t="str">
        <f t="shared" si="5"/>
        <v>#ERROR!</v>
      </c>
    </row>
    <row r="1214" ht="12.75" customHeight="1">
      <c r="A1214" s="244" t="s">
        <v>5158</v>
      </c>
      <c r="B1214" s="244" t="s">
        <v>231</v>
      </c>
      <c r="C1214" s="244" t="s">
        <v>9858</v>
      </c>
      <c r="D1214" s="154" t="s">
        <v>861</v>
      </c>
      <c r="E1214" s="154"/>
      <c r="F1214" s="154" t="str">
        <f t="array" ref="F1214">XLOOKUP(Cover!$D$12,$R$1:$Z$1,$R1214:$Z1214)</f>
        <v>Information</v>
      </c>
      <c r="G1214" s="154" t="s">
        <v>9859</v>
      </c>
      <c r="H1214" s="154" t="s">
        <v>9006</v>
      </c>
      <c r="I1214" s="154" t="s">
        <v>9857</v>
      </c>
      <c r="J1214" s="154" t="s">
        <v>8253</v>
      </c>
      <c r="K1214" s="154" t="s">
        <v>9003</v>
      </c>
      <c r="L1214" s="154" t="s">
        <v>6428</v>
      </c>
      <c r="M1214" s="154"/>
      <c r="N1214" s="154" t="s">
        <v>759</v>
      </c>
      <c r="O1214" s="247" t="s">
        <v>516</v>
      </c>
      <c r="P1214" s="247" t="s">
        <v>6776</v>
      </c>
      <c r="Q1214" s="154" t="str">
        <f t="shared" si="1"/>
        <v>#ERROR!</v>
      </c>
      <c r="R1214" s="154" t="s">
        <v>66</v>
      </c>
      <c r="S1214" s="154" t="s">
        <v>66</v>
      </c>
      <c r="T1214" s="154" t="s">
        <v>66</v>
      </c>
      <c r="U1214" s="154" t="s">
        <v>66</v>
      </c>
      <c r="V1214" s="154" t="s">
        <v>66</v>
      </c>
      <c r="W1214" s="154" t="s">
        <v>66</v>
      </c>
      <c r="X1214" s="154" t="s">
        <v>66</v>
      </c>
      <c r="Y1214" s="154" t="s">
        <v>66</v>
      </c>
      <c r="Z1214" s="154" t="s">
        <v>66</v>
      </c>
      <c r="AA1214" s="154"/>
      <c r="AB1214" s="242" t="str">
        <f t="shared" si="2"/>
        <v>#ERROR!</v>
      </c>
      <c r="AC1214" s="154" t="s">
        <v>391</v>
      </c>
      <c r="AD1214" s="242" t="b">
        <f t="shared" si="3"/>
        <v>0</v>
      </c>
      <c r="AE1214" s="154"/>
      <c r="AF1214" s="242" t="str">
        <f t="shared" si="4"/>
        <v>#ERROR!</v>
      </c>
      <c r="AG1214" s="154" t="s">
        <v>652</v>
      </c>
      <c r="AH1214" s="242" t="str">
        <f>IF(AG1214="","N/A",INDIRECT("MTR!"&amp;ADDRESS(MATCH(LEFT(AG1214,9),[1]MTR!C:C,0),COLUMN(J1214)),TRUE) &amp; "")</f>
        <v>#ERROR!</v>
      </c>
      <c r="AI1214" s="157" t="str">
        <f t="shared" si="5"/>
        <v>#ERROR!</v>
      </c>
    </row>
    <row r="1215" ht="12.75" customHeight="1">
      <c r="A1215" s="244" t="s">
        <v>5158</v>
      </c>
      <c r="B1215" s="244" t="s">
        <v>231</v>
      </c>
      <c r="C1215" s="244" t="s">
        <v>9860</v>
      </c>
      <c r="D1215" s="154" t="s">
        <v>861</v>
      </c>
      <c r="E1215" s="154"/>
      <c r="F1215" s="154" t="str">
        <f t="array" ref="F1215">XLOOKUP(Cover!$D$12,$R$1:$Z$1,$R1215:$Z1215)</f>
        <v>Information</v>
      </c>
      <c r="G1215" s="154" t="s">
        <v>9861</v>
      </c>
      <c r="H1215" s="154" t="s">
        <v>9009</v>
      </c>
      <c r="I1215" s="154" t="s">
        <v>9857</v>
      </c>
      <c r="J1215" s="154" t="s">
        <v>8253</v>
      </c>
      <c r="K1215" s="154" t="s">
        <v>9003</v>
      </c>
      <c r="L1215" s="154" t="s">
        <v>6428</v>
      </c>
      <c r="M1215" s="154"/>
      <c r="N1215" s="154" t="s">
        <v>759</v>
      </c>
      <c r="O1215" s="247" t="s">
        <v>516</v>
      </c>
      <c r="P1215" s="247" t="s">
        <v>6776</v>
      </c>
      <c r="Q1215" s="154" t="str">
        <f t="shared" si="1"/>
        <v>#ERROR!</v>
      </c>
      <c r="R1215" s="154" t="s">
        <v>66</v>
      </c>
      <c r="S1215" s="154" t="s">
        <v>66</v>
      </c>
      <c r="T1215" s="154" t="s">
        <v>66</v>
      </c>
      <c r="U1215" s="154" t="s">
        <v>66</v>
      </c>
      <c r="V1215" s="154" t="s">
        <v>66</v>
      </c>
      <c r="W1215" s="154" t="s">
        <v>66</v>
      </c>
      <c r="X1215" s="154" t="s">
        <v>66</v>
      </c>
      <c r="Y1215" s="154" t="s">
        <v>66</v>
      </c>
      <c r="Z1215" s="154" t="s">
        <v>66</v>
      </c>
      <c r="AA1215" s="154"/>
      <c r="AB1215" s="242" t="str">
        <f t="shared" si="2"/>
        <v>#ERROR!</v>
      </c>
      <c r="AC1215" s="154" t="s">
        <v>391</v>
      </c>
      <c r="AD1215" s="242" t="b">
        <f t="shared" si="3"/>
        <v>0</v>
      </c>
      <c r="AE1215" s="154"/>
      <c r="AF1215" s="242" t="str">
        <f t="shared" si="4"/>
        <v>#ERROR!</v>
      </c>
      <c r="AG1215" s="154" t="s">
        <v>652</v>
      </c>
      <c r="AH1215" s="242" t="str">
        <f>IF(AG1215="","N/A",INDIRECT("MTR!"&amp;ADDRESS(MATCH(LEFT(AG1215,9),[1]MTR!C:C,0),COLUMN(J1215)),TRUE) &amp; "")</f>
        <v>#ERROR!</v>
      </c>
      <c r="AI1215" s="157" t="str">
        <f t="shared" si="5"/>
        <v>#ERROR!</v>
      </c>
    </row>
    <row r="1216" ht="12.75" customHeight="1">
      <c r="A1216" s="244" t="s">
        <v>5158</v>
      </c>
      <c r="B1216" s="244" t="s">
        <v>231</v>
      </c>
      <c r="C1216" s="244" t="s">
        <v>9862</v>
      </c>
      <c r="D1216" s="154" t="s">
        <v>861</v>
      </c>
      <c r="E1216" s="154"/>
      <c r="F1216" s="154" t="str">
        <f t="array" ref="F1216">XLOOKUP(Cover!$D$12,$R$1:$Z$1,$R1216:$Z1216)</f>
        <v>Information</v>
      </c>
      <c r="G1216" s="154" t="s">
        <v>9863</v>
      </c>
      <c r="H1216" s="154" t="s">
        <v>1541</v>
      </c>
      <c r="I1216" s="154" t="s">
        <v>9857</v>
      </c>
      <c r="J1216" s="154" t="s">
        <v>8253</v>
      </c>
      <c r="K1216" s="154" t="s">
        <v>9003</v>
      </c>
      <c r="L1216" s="154" t="s">
        <v>6428</v>
      </c>
      <c r="M1216" s="154"/>
      <c r="N1216" s="154" t="s">
        <v>759</v>
      </c>
      <c r="O1216" s="247" t="s">
        <v>516</v>
      </c>
      <c r="P1216" s="247" t="s">
        <v>6776</v>
      </c>
      <c r="Q1216" s="154" t="str">
        <f t="shared" si="1"/>
        <v>#ERROR!</v>
      </c>
      <c r="R1216" s="154" t="s">
        <v>66</v>
      </c>
      <c r="S1216" s="154" t="s">
        <v>66</v>
      </c>
      <c r="T1216" s="154" t="s">
        <v>66</v>
      </c>
      <c r="U1216" s="154" t="s">
        <v>66</v>
      </c>
      <c r="V1216" s="154" t="s">
        <v>66</v>
      </c>
      <c r="W1216" s="154" t="s">
        <v>66</v>
      </c>
      <c r="X1216" s="154" t="s">
        <v>66</v>
      </c>
      <c r="Y1216" s="154" t="s">
        <v>66</v>
      </c>
      <c r="Z1216" s="154" t="s">
        <v>66</v>
      </c>
      <c r="AA1216" s="154"/>
      <c r="AB1216" s="242" t="str">
        <f t="shared" si="2"/>
        <v>#ERROR!</v>
      </c>
      <c r="AC1216" s="154" t="s">
        <v>391</v>
      </c>
      <c r="AD1216" s="242" t="b">
        <f t="shared" si="3"/>
        <v>0</v>
      </c>
      <c r="AE1216" s="154"/>
      <c r="AF1216" s="242" t="str">
        <f t="shared" si="4"/>
        <v>#ERROR!</v>
      </c>
      <c r="AG1216" s="154" t="s">
        <v>652</v>
      </c>
      <c r="AH1216" s="242" t="str">
        <f>IF(AG1216="","N/A",INDIRECT("MTR!"&amp;ADDRESS(MATCH(LEFT(AG1216,9),[1]MTR!C:C,0),COLUMN(J1216)),TRUE) &amp; "")</f>
        <v>#ERROR!</v>
      </c>
      <c r="AI1216" s="157" t="str">
        <f t="shared" si="5"/>
        <v>#ERROR!</v>
      </c>
    </row>
    <row r="1217" ht="12.75" customHeight="1">
      <c r="A1217" s="244" t="s">
        <v>5158</v>
      </c>
      <c r="B1217" s="244" t="s">
        <v>231</v>
      </c>
      <c r="C1217" s="244" t="s">
        <v>9864</v>
      </c>
      <c r="D1217" s="154" t="s">
        <v>747</v>
      </c>
      <c r="E1217" s="154"/>
      <c r="F1217" s="154" t="str">
        <f t="array" ref="F1217">XLOOKUP(Cover!$D$12,$R$1:$Z$1,$R1217:$Z1217)</f>
        <v>Recommended</v>
      </c>
      <c r="G1217" s="154" t="s">
        <v>9865</v>
      </c>
      <c r="H1217" s="154" t="s">
        <v>9002</v>
      </c>
      <c r="I1217" s="154" t="s">
        <v>9866</v>
      </c>
      <c r="J1217" s="154" t="s">
        <v>8967</v>
      </c>
      <c r="K1217" s="154" t="s">
        <v>9003</v>
      </c>
      <c r="L1217" s="154" t="s">
        <v>6525</v>
      </c>
      <c r="M1217" s="154"/>
      <c r="N1217" s="154" t="s">
        <v>759</v>
      </c>
      <c r="O1217" s="247" t="s">
        <v>516</v>
      </c>
      <c r="P1217" s="247" t="s">
        <v>6776</v>
      </c>
      <c r="Q1217" s="154" t="str">
        <f t="shared" si="1"/>
        <v>#ERROR!</v>
      </c>
      <c r="R1217" s="154" t="s">
        <v>66</v>
      </c>
      <c r="S1217" s="154" t="s">
        <v>66</v>
      </c>
      <c r="T1217" s="154" t="s">
        <v>64</v>
      </c>
      <c r="U1217" s="154" t="s">
        <v>64</v>
      </c>
      <c r="V1217" s="154" t="s">
        <v>64</v>
      </c>
      <c r="W1217" s="154" t="s">
        <v>64</v>
      </c>
      <c r="X1217" s="154" t="s">
        <v>66</v>
      </c>
      <c r="Y1217" s="154" t="s">
        <v>64</v>
      </c>
      <c r="Z1217" s="154" t="s">
        <v>64</v>
      </c>
      <c r="AA1217" s="154"/>
      <c r="AB1217" s="242" t="str">
        <f t="shared" si="2"/>
        <v>#ERROR!</v>
      </c>
      <c r="AC1217" s="154" t="s">
        <v>391</v>
      </c>
      <c r="AD1217" s="242" t="b">
        <f t="shared" si="3"/>
        <v>0</v>
      </c>
      <c r="AE1217" s="154"/>
      <c r="AF1217" s="242" t="str">
        <f t="shared" si="4"/>
        <v>#ERROR!</v>
      </c>
      <c r="AG1217" s="154" t="s">
        <v>652</v>
      </c>
      <c r="AH1217" s="242" t="str">
        <f>IF(AG1217="","N/A",INDIRECT("MTR!"&amp;ADDRESS(MATCH(LEFT(AG1217,9),[1]MTR!C:C,0),COLUMN(J1217)),TRUE) &amp; "")</f>
        <v>#ERROR!</v>
      </c>
      <c r="AI1217" s="157" t="str">
        <f t="shared" si="5"/>
        <v>#ERROR!</v>
      </c>
    </row>
    <row r="1218" ht="12.75" customHeight="1">
      <c r="A1218" s="244" t="s">
        <v>5158</v>
      </c>
      <c r="B1218" s="244" t="s">
        <v>231</v>
      </c>
      <c r="C1218" s="244" t="s">
        <v>9867</v>
      </c>
      <c r="D1218" s="154" t="s">
        <v>747</v>
      </c>
      <c r="E1218" s="154"/>
      <c r="F1218" s="154" t="str">
        <f t="array" ref="F1218">XLOOKUP(Cover!$D$12,$R$1:$Z$1,$R1218:$Z1218)</f>
        <v>Recommended</v>
      </c>
      <c r="G1218" s="154" t="s">
        <v>9868</v>
      </c>
      <c r="H1218" s="154" t="s">
        <v>9006</v>
      </c>
      <c r="I1218" s="154" t="s">
        <v>9866</v>
      </c>
      <c r="J1218" s="154" t="s">
        <v>8967</v>
      </c>
      <c r="K1218" s="154" t="s">
        <v>9003</v>
      </c>
      <c r="L1218" s="154" t="s">
        <v>6525</v>
      </c>
      <c r="M1218" s="154"/>
      <c r="N1218" s="154" t="s">
        <v>759</v>
      </c>
      <c r="O1218" s="247" t="s">
        <v>516</v>
      </c>
      <c r="P1218" s="247" t="s">
        <v>6776</v>
      </c>
      <c r="Q1218" s="154" t="str">
        <f t="shared" si="1"/>
        <v>#ERROR!</v>
      </c>
      <c r="R1218" s="154" t="s">
        <v>66</v>
      </c>
      <c r="S1218" s="154" t="s">
        <v>66</v>
      </c>
      <c r="T1218" s="154" t="s">
        <v>64</v>
      </c>
      <c r="U1218" s="154" t="s">
        <v>64</v>
      </c>
      <c r="V1218" s="154" t="s">
        <v>64</v>
      </c>
      <c r="W1218" s="154" t="s">
        <v>64</v>
      </c>
      <c r="X1218" s="154" t="s">
        <v>66</v>
      </c>
      <c r="Y1218" s="154" t="s">
        <v>64</v>
      </c>
      <c r="Z1218" s="154" t="s">
        <v>64</v>
      </c>
      <c r="AA1218" s="154"/>
      <c r="AB1218" s="242" t="str">
        <f t="shared" si="2"/>
        <v>#ERROR!</v>
      </c>
      <c r="AC1218" s="154" t="s">
        <v>391</v>
      </c>
      <c r="AD1218" s="242" t="b">
        <f t="shared" si="3"/>
        <v>0</v>
      </c>
      <c r="AE1218" s="154"/>
      <c r="AF1218" s="242" t="str">
        <f t="shared" si="4"/>
        <v>#ERROR!</v>
      </c>
      <c r="AG1218" s="154" t="s">
        <v>652</v>
      </c>
      <c r="AH1218" s="242" t="str">
        <f>IF(AG1218="","N/A",INDIRECT("MTR!"&amp;ADDRESS(MATCH(LEFT(AG1218,9),[1]MTR!C:C,0),COLUMN(J1218)),TRUE) &amp; "")</f>
        <v>#ERROR!</v>
      </c>
      <c r="AI1218" s="157" t="str">
        <f t="shared" si="5"/>
        <v>#ERROR!</v>
      </c>
    </row>
    <row r="1219" ht="12.75" customHeight="1">
      <c r="A1219" s="244" t="s">
        <v>5158</v>
      </c>
      <c r="B1219" s="244" t="s">
        <v>231</v>
      </c>
      <c r="C1219" s="244" t="s">
        <v>9869</v>
      </c>
      <c r="D1219" s="154" t="s">
        <v>747</v>
      </c>
      <c r="E1219" s="154"/>
      <c r="F1219" s="154" t="str">
        <f t="array" ref="F1219">XLOOKUP(Cover!$D$12,$R$1:$Z$1,$R1219:$Z1219)</f>
        <v>Recommended</v>
      </c>
      <c r="G1219" s="154" t="s">
        <v>9870</v>
      </c>
      <c r="H1219" s="154" t="s">
        <v>9053</v>
      </c>
      <c r="I1219" s="154" t="s">
        <v>9866</v>
      </c>
      <c r="J1219" s="154" t="s">
        <v>8967</v>
      </c>
      <c r="K1219" s="154" t="s">
        <v>9003</v>
      </c>
      <c r="L1219" s="154" t="s">
        <v>6525</v>
      </c>
      <c r="M1219" s="154"/>
      <c r="N1219" s="154" t="s">
        <v>759</v>
      </c>
      <c r="O1219" s="247" t="s">
        <v>516</v>
      </c>
      <c r="P1219" s="247" t="s">
        <v>6776</v>
      </c>
      <c r="Q1219" s="154" t="str">
        <f t="shared" si="1"/>
        <v>#ERROR!</v>
      </c>
      <c r="R1219" s="154" t="s">
        <v>66</v>
      </c>
      <c r="S1219" s="154" t="s">
        <v>66</v>
      </c>
      <c r="T1219" s="154" t="s">
        <v>64</v>
      </c>
      <c r="U1219" s="154" t="s">
        <v>64</v>
      </c>
      <c r="V1219" s="154" t="s">
        <v>64</v>
      </c>
      <c r="W1219" s="154" t="s">
        <v>64</v>
      </c>
      <c r="X1219" s="154" t="s">
        <v>66</v>
      </c>
      <c r="Y1219" s="154" t="s">
        <v>64</v>
      </c>
      <c r="Z1219" s="154" t="s">
        <v>64</v>
      </c>
      <c r="AA1219" s="154"/>
      <c r="AB1219" s="242" t="str">
        <f t="shared" si="2"/>
        <v>#ERROR!</v>
      </c>
      <c r="AC1219" s="154" t="s">
        <v>391</v>
      </c>
      <c r="AD1219" s="242" t="b">
        <f t="shared" si="3"/>
        <v>0</v>
      </c>
      <c r="AE1219" s="154"/>
      <c r="AF1219" s="242" t="str">
        <f t="shared" si="4"/>
        <v>#ERROR!</v>
      </c>
      <c r="AG1219" s="154" t="s">
        <v>652</v>
      </c>
      <c r="AH1219" s="242" t="str">
        <f>IF(AG1219="","N/A",INDIRECT("MTR!"&amp;ADDRESS(MATCH(LEFT(AG1219,9),[1]MTR!C:C,0),COLUMN(J1219)),TRUE) &amp; "")</f>
        <v>#ERROR!</v>
      </c>
      <c r="AI1219" s="157" t="str">
        <f t="shared" si="5"/>
        <v>#ERROR!</v>
      </c>
    </row>
    <row r="1220" ht="12.75" customHeight="1">
      <c r="A1220" s="244" t="s">
        <v>5158</v>
      </c>
      <c r="B1220" s="244" t="s">
        <v>231</v>
      </c>
      <c r="C1220" s="244" t="s">
        <v>9871</v>
      </c>
      <c r="D1220" s="154" t="s">
        <v>747</v>
      </c>
      <c r="E1220" s="154"/>
      <c r="F1220" s="154" t="str">
        <f t="array" ref="F1220">XLOOKUP(Cover!$D$12,$R$1:$Z$1,$R1220:$Z1220)</f>
        <v>Recommended</v>
      </c>
      <c r="G1220" s="154" t="s">
        <v>9872</v>
      </c>
      <c r="H1220" s="154" t="s">
        <v>9009</v>
      </c>
      <c r="I1220" s="154" t="s">
        <v>9866</v>
      </c>
      <c r="J1220" s="154" t="s">
        <v>8967</v>
      </c>
      <c r="K1220" s="154" t="s">
        <v>9003</v>
      </c>
      <c r="L1220" s="154" t="s">
        <v>6525</v>
      </c>
      <c r="M1220" s="154"/>
      <c r="N1220" s="154" t="s">
        <v>759</v>
      </c>
      <c r="O1220" s="247" t="s">
        <v>516</v>
      </c>
      <c r="P1220" s="247" t="s">
        <v>6776</v>
      </c>
      <c r="Q1220" s="154" t="str">
        <f t="shared" si="1"/>
        <v>#ERROR!</v>
      </c>
      <c r="R1220" s="154" t="s">
        <v>66</v>
      </c>
      <c r="S1220" s="154" t="s">
        <v>66</v>
      </c>
      <c r="T1220" s="154" t="s">
        <v>64</v>
      </c>
      <c r="U1220" s="154" t="s">
        <v>64</v>
      </c>
      <c r="V1220" s="154" t="s">
        <v>64</v>
      </c>
      <c r="W1220" s="154" t="s">
        <v>64</v>
      </c>
      <c r="X1220" s="154" t="s">
        <v>66</v>
      </c>
      <c r="Y1220" s="154" t="s">
        <v>64</v>
      </c>
      <c r="Z1220" s="154" t="s">
        <v>64</v>
      </c>
      <c r="AA1220" s="154"/>
      <c r="AB1220" s="242" t="str">
        <f t="shared" si="2"/>
        <v>#ERROR!</v>
      </c>
      <c r="AC1220" s="154" t="s">
        <v>391</v>
      </c>
      <c r="AD1220" s="242" t="b">
        <f t="shared" si="3"/>
        <v>0</v>
      </c>
      <c r="AE1220" s="154"/>
      <c r="AF1220" s="242" t="str">
        <f t="shared" si="4"/>
        <v>#ERROR!</v>
      </c>
      <c r="AG1220" s="154" t="s">
        <v>652</v>
      </c>
      <c r="AH1220" s="242" t="str">
        <f>IF(AG1220="","N/A",INDIRECT("MTR!"&amp;ADDRESS(MATCH(LEFT(AG1220,9),[1]MTR!C:C,0),COLUMN(J1220)),TRUE) &amp; "")</f>
        <v>#ERROR!</v>
      </c>
      <c r="AI1220" s="157" t="str">
        <f t="shared" si="5"/>
        <v>#ERROR!</v>
      </c>
    </row>
    <row r="1221" ht="12.75" customHeight="1">
      <c r="A1221" s="244" t="s">
        <v>5158</v>
      </c>
      <c r="B1221" s="244" t="s">
        <v>231</v>
      </c>
      <c r="C1221" s="244" t="s">
        <v>9873</v>
      </c>
      <c r="D1221" s="154" t="s">
        <v>747</v>
      </c>
      <c r="E1221" s="154"/>
      <c r="F1221" s="154" t="str">
        <f t="array" ref="F1221">XLOOKUP(Cover!$D$12,$R$1:$Z$1,$R1221:$Z1221)</f>
        <v>Recommended</v>
      </c>
      <c r="G1221" s="154" t="s">
        <v>9874</v>
      </c>
      <c r="H1221" s="154" t="s">
        <v>9084</v>
      </c>
      <c r="I1221" s="154" t="s">
        <v>9866</v>
      </c>
      <c r="J1221" s="154" t="s">
        <v>8967</v>
      </c>
      <c r="K1221" s="154" t="s">
        <v>9003</v>
      </c>
      <c r="L1221" s="154" t="s">
        <v>6525</v>
      </c>
      <c r="M1221" s="154"/>
      <c r="N1221" s="154" t="s">
        <v>759</v>
      </c>
      <c r="O1221" s="247" t="s">
        <v>516</v>
      </c>
      <c r="P1221" s="247" t="s">
        <v>6776</v>
      </c>
      <c r="Q1221" s="154" t="str">
        <f t="shared" si="1"/>
        <v>#ERROR!</v>
      </c>
      <c r="R1221" s="154" t="s">
        <v>66</v>
      </c>
      <c r="S1221" s="154" t="s">
        <v>66</v>
      </c>
      <c r="T1221" s="154" t="s">
        <v>64</v>
      </c>
      <c r="U1221" s="154" t="s">
        <v>64</v>
      </c>
      <c r="V1221" s="154" t="s">
        <v>64</v>
      </c>
      <c r="W1221" s="154" t="s">
        <v>64</v>
      </c>
      <c r="X1221" s="154" t="s">
        <v>66</v>
      </c>
      <c r="Y1221" s="154" t="s">
        <v>64</v>
      </c>
      <c r="Z1221" s="154" t="s">
        <v>64</v>
      </c>
      <c r="AA1221" s="154"/>
      <c r="AB1221" s="242" t="str">
        <f t="shared" si="2"/>
        <v>#ERROR!</v>
      </c>
      <c r="AC1221" s="154" t="s">
        <v>391</v>
      </c>
      <c r="AD1221" s="242" t="b">
        <f t="shared" si="3"/>
        <v>0</v>
      </c>
      <c r="AE1221" s="154"/>
      <c r="AF1221" s="242" t="str">
        <f t="shared" si="4"/>
        <v>#ERROR!</v>
      </c>
      <c r="AG1221" s="154" t="s">
        <v>652</v>
      </c>
      <c r="AH1221" s="242" t="str">
        <f>IF(AG1221="","N/A",INDIRECT("MTR!"&amp;ADDRESS(MATCH(LEFT(AG1221,9),[1]MTR!C:C,0),COLUMN(J1221)),TRUE) &amp; "")</f>
        <v>#ERROR!</v>
      </c>
      <c r="AI1221" s="157" t="str">
        <f t="shared" si="5"/>
        <v>#ERROR!</v>
      </c>
    </row>
    <row r="1222" ht="12.75" customHeight="1">
      <c r="A1222" s="244" t="s">
        <v>5158</v>
      </c>
      <c r="B1222" s="244" t="s">
        <v>231</v>
      </c>
      <c r="C1222" s="244" t="s">
        <v>9875</v>
      </c>
      <c r="D1222" s="154" t="s">
        <v>45</v>
      </c>
      <c r="E1222" s="154"/>
      <c r="F1222" s="154" t="str">
        <f t="array" ref="F1222">XLOOKUP(Cover!$D$12,$R$1:$Z$1,$R1222:$Z1222)</f>
        <v>Information</v>
      </c>
      <c r="G1222" s="154" t="s">
        <v>9876</v>
      </c>
      <c r="H1222" s="154" t="s">
        <v>9002</v>
      </c>
      <c r="I1222" s="154" t="s">
        <v>9877</v>
      </c>
      <c r="J1222" s="154" t="s">
        <v>9878</v>
      </c>
      <c r="K1222" s="154" t="s">
        <v>9003</v>
      </c>
      <c r="L1222" s="154" t="s">
        <v>6655</v>
      </c>
      <c r="M1222" s="154"/>
      <c r="N1222" s="154" t="s">
        <v>759</v>
      </c>
      <c r="O1222" s="247" t="s">
        <v>516</v>
      </c>
      <c r="P1222" s="247" t="s">
        <v>6776</v>
      </c>
      <c r="Q1222" s="154" t="str">
        <f t="shared" si="1"/>
        <v>#ERROR!</v>
      </c>
      <c r="R1222" s="154" t="s">
        <v>66</v>
      </c>
      <c r="S1222" s="154" t="s">
        <v>66</v>
      </c>
      <c r="T1222" s="154" t="s">
        <v>66</v>
      </c>
      <c r="U1222" s="154" t="s">
        <v>66</v>
      </c>
      <c r="V1222" s="154" t="s">
        <v>66</v>
      </c>
      <c r="W1222" s="154" t="s">
        <v>66</v>
      </c>
      <c r="X1222" s="154" t="s">
        <v>66</v>
      </c>
      <c r="Y1222" s="154" t="s">
        <v>66</v>
      </c>
      <c r="Z1222" s="154" t="s">
        <v>66</v>
      </c>
      <c r="AA1222" s="154"/>
      <c r="AB1222" s="242" t="str">
        <f t="shared" si="2"/>
        <v>#ERROR!</v>
      </c>
      <c r="AC1222" s="154" t="s">
        <v>391</v>
      </c>
      <c r="AD1222" s="242" t="b">
        <f t="shared" si="3"/>
        <v>0</v>
      </c>
      <c r="AE1222" s="154"/>
      <c r="AF1222" s="242" t="str">
        <f t="shared" si="4"/>
        <v>#ERROR!</v>
      </c>
      <c r="AG1222" s="154" t="s">
        <v>652</v>
      </c>
      <c r="AH1222" s="242" t="str">
        <f>IF(AG1222="","N/A",INDIRECT("MTR!"&amp;ADDRESS(MATCH(LEFT(AG1222,9),[1]MTR!C:C,0),COLUMN(J1222)),TRUE) &amp; "")</f>
        <v>#ERROR!</v>
      </c>
      <c r="AI1222" s="157" t="str">
        <f t="shared" si="5"/>
        <v>#ERROR!</v>
      </c>
    </row>
    <row r="1223" ht="12.75" customHeight="1">
      <c r="A1223" s="244" t="s">
        <v>5158</v>
      </c>
      <c r="B1223" s="244" t="s">
        <v>231</v>
      </c>
      <c r="C1223" s="244" t="s">
        <v>9879</v>
      </c>
      <c r="D1223" s="154" t="s">
        <v>45</v>
      </c>
      <c r="E1223" s="154"/>
      <c r="F1223" s="154" t="str">
        <f t="array" ref="F1223">XLOOKUP(Cover!$D$12,$R$1:$Z$1,$R1223:$Z1223)</f>
        <v>Information</v>
      </c>
      <c r="G1223" s="154" t="s">
        <v>9880</v>
      </c>
      <c r="H1223" s="154" t="s">
        <v>9006</v>
      </c>
      <c r="I1223" s="154" t="s">
        <v>9877</v>
      </c>
      <c r="J1223" s="154" t="s">
        <v>9878</v>
      </c>
      <c r="K1223" s="154" t="s">
        <v>9003</v>
      </c>
      <c r="L1223" s="154" t="s">
        <v>6655</v>
      </c>
      <c r="M1223" s="154"/>
      <c r="N1223" s="154" t="s">
        <v>759</v>
      </c>
      <c r="O1223" s="247" t="s">
        <v>516</v>
      </c>
      <c r="P1223" s="247" t="s">
        <v>6776</v>
      </c>
      <c r="Q1223" s="154" t="str">
        <f t="shared" si="1"/>
        <v>#ERROR!</v>
      </c>
      <c r="R1223" s="154" t="s">
        <v>66</v>
      </c>
      <c r="S1223" s="154" t="s">
        <v>66</v>
      </c>
      <c r="T1223" s="154" t="s">
        <v>66</v>
      </c>
      <c r="U1223" s="154" t="s">
        <v>66</v>
      </c>
      <c r="V1223" s="154" t="s">
        <v>66</v>
      </c>
      <c r="W1223" s="154" t="s">
        <v>66</v>
      </c>
      <c r="X1223" s="154" t="s">
        <v>66</v>
      </c>
      <c r="Y1223" s="154" t="s">
        <v>66</v>
      </c>
      <c r="Z1223" s="154" t="s">
        <v>66</v>
      </c>
      <c r="AA1223" s="154"/>
      <c r="AB1223" s="242" t="str">
        <f t="shared" si="2"/>
        <v>#ERROR!</v>
      </c>
      <c r="AC1223" s="154" t="s">
        <v>391</v>
      </c>
      <c r="AD1223" s="242" t="b">
        <f t="shared" si="3"/>
        <v>0</v>
      </c>
      <c r="AE1223" s="154"/>
      <c r="AF1223" s="242" t="str">
        <f t="shared" si="4"/>
        <v>#ERROR!</v>
      </c>
      <c r="AG1223" s="154" t="s">
        <v>652</v>
      </c>
      <c r="AH1223" s="242" t="str">
        <f>IF(AG1223="","N/A",INDIRECT("MTR!"&amp;ADDRESS(MATCH(LEFT(AG1223,9),[1]MTR!C:C,0),COLUMN(J1223)),TRUE) &amp; "")</f>
        <v>#ERROR!</v>
      </c>
      <c r="AI1223" s="157" t="str">
        <f t="shared" si="5"/>
        <v>#ERROR!</v>
      </c>
    </row>
    <row r="1224" ht="12.75" customHeight="1">
      <c r="A1224" s="244" t="s">
        <v>5158</v>
      </c>
      <c r="B1224" s="244" t="s">
        <v>231</v>
      </c>
      <c r="C1224" s="244" t="s">
        <v>9881</v>
      </c>
      <c r="D1224" s="154" t="s">
        <v>45</v>
      </c>
      <c r="E1224" s="154"/>
      <c r="F1224" s="154" t="str">
        <f t="array" ref="F1224">XLOOKUP(Cover!$D$12,$R$1:$Z$1,$R1224:$Z1224)</f>
        <v>Information</v>
      </c>
      <c r="G1224" s="154" t="s">
        <v>9882</v>
      </c>
      <c r="H1224" s="154" t="s">
        <v>9009</v>
      </c>
      <c r="I1224" s="154" t="s">
        <v>9877</v>
      </c>
      <c r="J1224" s="154" t="s">
        <v>9878</v>
      </c>
      <c r="K1224" s="154" t="s">
        <v>9003</v>
      </c>
      <c r="L1224" s="154" t="s">
        <v>6655</v>
      </c>
      <c r="M1224" s="154"/>
      <c r="N1224" s="154" t="s">
        <v>759</v>
      </c>
      <c r="O1224" s="247" t="s">
        <v>516</v>
      </c>
      <c r="P1224" s="247" t="s">
        <v>6776</v>
      </c>
      <c r="Q1224" s="154" t="str">
        <f t="shared" si="1"/>
        <v>#ERROR!</v>
      </c>
      <c r="R1224" s="154" t="s">
        <v>66</v>
      </c>
      <c r="S1224" s="154" t="s">
        <v>66</v>
      </c>
      <c r="T1224" s="154" t="s">
        <v>66</v>
      </c>
      <c r="U1224" s="154" t="s">
        <v>66</v>
      </c>
      <c r="V1224" s="154" t="s">
        <v>66</v>
      </c>
      <c r="W1224" s="154" t="s">
        <v>66</v>
      </c>
      <c r="X1224" s="154" t="s">
        <v>66</v>
      </c>
      <c r="Y1224" s="154" t="s">
        <v>66</v>
      </c>
      <c r="Z1224" s="154" t="s">
        <v>66</v>
      </c>
      <c r="AA1224" s="154"/>
      <c r="AB1224" s="242" t="str">
        <f t="shared" si="2"/>
        <v>#ERROR!</v>
      </c>
      <c r="AC1224" s="154" t="s">
        <v>391</v>
      </c>
      <c r="AD1224" s="242" t="b">
        <f t="shared" si="3"/>
        <v>0</v>
      </c>
      <c r="AE1224" s="154"/>
      <c r="AF1224" s="242" t="str">
        <f t="shared" si="4"/>
        <v>#ERROR!</v>
      </c>
      <c r="AG1224" s="154" t="s">
        <v>652</v>
      </c>
      <c r="AH1224" s="242" t="str">
        <f>IF(AG1224="","N/A",INDIRECT("MTR!"&amp;ADDRESS(MATCH(LEFT(AG1224,9),[1]MTR!C:C,0),COLUMN(J1224)),TRUE) &amp; "")</f>
        <v>#ERROR!</v>
      </c>
      <c r="AI1224" s="157" t="str">
        <f t="shared" si="5"/>
        <v>#ERROR!</v>
      </c>
    </row>
    <row r="1225" ht="12.75" customHeight="1">
      <c r="A1225" s="244" t="s">
        <v>5158</v>
      </c>
      <c r="B1225" s="244" t="s">
        <v>231</v>
      </c>
      <c r="C1225" s="244" t="s">
        <v>9883</v>
      </c>
      <c r="D1225" s="154" t="s">
        <v>503</v>
      </c>
      <c r="E1225" s="154"/>
      <c r="F1225" s="154" t="str">
        <f t="array" ref="F1225">XLOOKUP(Cover!$D$12,$R$1:$Z$1,$R1225:$Z1225)</f>
        <v>Recommended</v>
      </c>
      <c r="G1225" s="154" t="s">
        <v>9884</v>
      </c>
      <c r="H1225" s="154" t="s">
        <v>9002</v>
      </c>
      <c r="I1225" s="154" t="s">
        <v>9885</v>
      </c>
      <c r="J1225" s="154" t="s">
        <v>9886</v>
      </c>
      <c r="K1225" s="154" t="s">
        <v>9003</v>
      </c>
      <c r="L1225" s="154" t="s">
        <v>6463</v>
      </c>
      <c r="M1225" s="154"/>
      <c r="N1225" s="154" t="s">
        <v>759</v>
      </c>
      <c r="O1225" s="247" t="s">
        <v>516</v>
      </c>
      <c r="P1225" s="247" t="s">
        <v>6776</v>
      </c>
      <c r="Q1225" s="154" t="str">
        <f t="shared" si="1"/>
        <v>#ERROR!</v>
      </c>
      <c r="R1225" s="154" t="s">
        <v>66</v>
      </c>
      <c r="S1225" s="154" t="s">
        <v>66</v>
      </c>
      <c r="T1225" s="154" t="s">
        <v>64</v>
      </c>
      <c r="U1225" s="154" t="s">
        <v>64</v>
      </c>
      <c r="V1225" s="154" t="s">
        <v>64</v>
      </c>
      <c r="W1225" s="154" t="s">
        <v>64</v>
      </c>
      <c r="X1225" s="154" t="s">
        <v>66</v>
      </c>
      <c r="Y1225" s="154" t="s">
        <v>64</v>
      </c>
      <c r="Z1225" s="154" t="s">
        <v>64</v>
      </c>
      <c r="AA1225" s="154"/>
      <c r="AB1225" s="242" t="str">
        <f t="shared" si="2"/>
        <v>#ERROR!</v>
      </c>
      <c r="AC1225" s="154" t="s">
        <v>391</v>
      </c>
      <c r="AD1225" s="242" t="b">
        <f t="shared" si="3"/>
        <v>0</v>
      </c>
      <c r="AE1225" s="154"/>
      <c r="AF1225" s="242" t="str">
        <f t="shared" si="4"/>
        <v>#ERROR!</v>
      </c>
      <c r="AG1225" s="154" t="s">
        <v>652</v>
      </c>
      <c r="AH1225" s="242" t="str">
        <f>IF(AG1225="","N/A",INDIRECT("MTR!"&amp;ADDRESS(MATCH(LEFT(AG1225,9),[1]MTR!C:C,0),COLUMN(J1225)),TRUE) &amp; "")</f>
        <v>#ERROR!</v>
      </c>
      <c r="AI1225" s="157" t="str">
        <f t="shared" si="5"/>
        <v>#ERROR!</v>
      </c>
    </row>
    <row r="1226" ht="12.75" customHeight="1">
      <c r="A1226" s="244" t="s">
        <v>5158</v>
      </c>
      <c r="B1226" s="244" t="s">
        <v>231</v>
      </c>
      <c r="C1226" s="244" t="s">
        <v>9887</v>
      </c>
      <c r="D1226" s="154" t="s">
        <v>503</v>
      </c>
      <c r="E1226" s="154"/>
      <c r="F1226" s="154" t="str">
        <f t="array" ref="F1226">XLOOKUP(Cover!$D$12,$R$1:$Z$1,$R1226:$Z1226)</f>
        <v>Recommended</v>
      </c>
      <c r="G1226" s="154" t="s">
        <v>9888</v>
      </c>
      <c r="H1226" s="154" t="s">
        <v>9006</v>
      </c>
      <c r="I1226" s="154" t="s">
        <v>9885</v>
      </c>
      <c r="J1226" s="154" t="s">
        <v>9886</v>
      </c>
      <c r="K1226" s="154" t="s">
        <v>9003</v>
      </c>
      <c r="L1226" s="154" t="s">
        <v>6463</v>
      </c>
      <c r="M1226" s="154"/>
      <c r="N1226" s="154" t="s">
        <v>759</v>
      </c>
      <c r="O1226" s="247" t="s">
        <v>516</v>
      </c>
      <c r="P1226" s="247" t="s">
        <v>6776</v>
      </c>
      <c r="Q1226" s="154" t="str">
        <f t="shared" si="1"/>
        <v>#ERROR!</v>
      </c>
      <c r="R1226" s="154" t="s">
        <v>66</v>
      </c>
      <c r="S1226" s="154" t="s">
        <v>66</v>
      </c>
      <c r="T1226" s="154" t="s">
        <v>64</v>
      </c>
      <c r="U1226" s="154" t="s">
        <v>64</v>
      </c>
      <c r="V1226" s="154" t="s">
        <v>64</v>
      </c>
      <c r="W1226" s="154" t="s">
        <v>64</v>
      </c>
      <c r="X1226" s="154" t="s">
        <v>66</v>
      </c>
      <c r="Y1226" s="154" t="s">
        <v>64</v>
      </c>
      <c r="Z1226" s="154" t="s">
        <v>64</v>
      </c>
      <c r="AA1226" s="154"/>
      <c r="AB1226" s="242" t="str">
        <f t="shared" si="2"/>
        <v>#ERROR!</v>
      </c>
      <c r="AC1226" s="154" t="s">
        <v>391</v>
      </c>
      <c r="AD1226" s="242" t="b">
        <f t="shared" si="3"/>
        <v>0</v>
      </c>
      <c r="AE1226" s="154"/>
      <c r="AF1226" s="242" t="str">
        <f t="shared" si="4"/>
        <v>#ERROR!</v>
      </c>
      <c r="AG1226" s="154" t="s">
        <v>652</v>
      </c>
      <c r="AH1226" s="242" t="str">
        <f>IF(AG1226="","N/A",INDIRECT("MTR!"&amp;ADDRESS(MATCH(LEFT(AG1226,9),[1]MTR!C:C,0),COLUMN(J1226)),TRUE) &amp; "")</f>
        <v>#ERROR!</v>
      </c>
      <c r="AI1226" s="157" t="str">
        <f t="shared" si="5"/>
        <v>#ERROR!</v>
      </c>
    </row>
    <row r="1227" ht="12.75" customHeight="1">
      <c r="A1227" s="244" t="s">
        <v>5158</v>
      </c>
      <c r="B1227" s="244" t="s">
        <v>231</v>
      </c>
      <c r="C1227" s="244" t="s">
        <v>9889</v>
      </c>
      <c r="D1227" s="154" t="s">
        <v>503</v>
      </c>
      <c r="E1227" s="154"/>
      <c r="F1227" s="154" t="str">
        <f t="array" ref="F1227">XLOOKUP(Cover!$D$12,$R$1:$Z$1,$R1227:$Z1227)</f>
        <v>Recommended</v>
      </c>
      <c r="G1227" s="154" t="s">
        <v>9890</v>
      </c>
      <c r="H1227" s="154" t="s">
        <v>9053</v>
      </c>
      <c r="I1227" s="154" t="s">
        <v>9885</v>
      </c>
      <c r="J1227" s="154" t="s">
        <v>9886</v>
      </c>
      <c r="K1227" s="154" t="s">
        <v>9003</v>
      </c>
      <c r="L1227" s="154" t="s">
        <v>6463</v>
      </c>
      <c r="M1227" s="154"/>
      <c r="N1227" s="154" t="s">
        <v>759</v>
      </c>
      <c r="O1227" s="247" t="s">
        <v>516</v>
      </c>
      <c r="P1227" s="247" t="s">
        <v>6776</v>
      </c>
      <c r="Q1227" s="154" t="str">
        <f t="shared" si="1"/>
        <v>#ERROR!</v>
      </c>
      <c r="R1227" s="154" t="s">
        <v>66</v>
      </c>
      <c r="S1227" s="154" t="s">
        <v>66</v>
      </c>
      <c r="T1227" s="154" t="s">
        <v>64</v>
      </c>
      <c r="U1227" s="154" t="s">
        <v>64</v>
      </c>
      <c r="V1227" s="154" t="s">
        <v>64</v>
      </c>
      <c r="W1227" s="154" t="s">
        <v>64</v>
      </c>
      <c r="X1227" s="154" t="s">
        <v>66</v>
      </c>
      <c r="Y1227" s="154" t="s">
        <v>64</v>
      </c>
      <c r="Z1227" s="154" t="s">
        <v>64</v>
      </c>
      <c r="AA1227" s="154"/>
      <c r="AB1227" s="242" t="str">
        <f t="shared" si="2"/>
        <v>#ERROR!</v>
      </c>
      <c r="AC1227" s="154" t="s">
        <v>391</v>
      </c>
      <c r="AD1227" s="242" t="b">
        <f t="shared" si="3"/>
        <v>0</v>
      </c>
      <c r="AE1227" s="154"/>
      <c r="AF1227" s="242" t="str">
        <f t="shared" si="4"/>
        <v>#ERROR!</v>
      </c>
      <c r="AG1227" s="154" t="s">
        <v>652</v>
      </c>
      <c r="AH1227" s="242" t="str">
        <f>IF(AG1227="","N/A",INDIRECT("MTR!"&amp;ADDRESS(MATCH(LEFT(AG1227,9),[1]MTR!C:C,0),COLUMN(J1227)),TRUE) &amp; "")</f>
        <v>#ERROR!</v>
      </c>
      <c r="AI1227" s="157" t="str">
        <f t="shared" si="5"/>
        <v>#ERROR!</v>
      </c>
    </row>
    <row r="1228" ht="12.75" customHeight="1">
      <c r="A1228" s="244" t="s">
        <v>5158</v>
      </c>
      <c r="B1228" s="244" t="s">
        <v>231</v>
      </c>
      <c r="C1228" s="244" t="s">
        <v>9891</v>
      </c>
      <c r="D1228" s="154" t="s">
        <v>503</v>
      </c>
      <c r="E1228" s="154"/>
      <c r="F1228" s="154" t="str">
        <f t="array" ref="F1228">XLOOKUP(Cover!$D$12,$R$1:$Z$1,$R1228:$Z1228)</f>
        <v>Recommended</v>
      </c>
      <c r="G1228" s="154" t="s">
        <v>9892</v>
      </c>
      <c r="H1228" s="154" t="s">
        <v>9009</v>
      </c>
      <c r="I1228" s="154" t="s">
        <v>9885</v>
      </c>
      <c r="J1228" s="154" t="s">
        <v>9886</v>
      </c>
      <c r="K1228" s="154" t="s">
        <v>9003</v>
      </c>
      <c r="L1228" s="154" t="s">
        <v>6463</v>
      </c>
      <c r="M1228" s="154"/>
      <c r="N1228" s="154" t="s">
        <v>759</v>
      </c>
      <c r="O1228" s="247" t="s">
        <v>516</v>
      </c>
      <c r="P1228" s="247" t="s">
        <v>6776</v>
      </c>
      <c r="Q1228" s="154" t="str">
        <f t="shared" si="1"/>
        <v>#ERROR!</v>
      </c>
      <c r="R1228" s="154" t="s">
        <v>66</v>
      </c>
      <c r="S1228" s="154" t="s">
        <v>66</v>
      </c>
      <c r="T1228" s="154" t="s">
        <v>64</v>
      </c>
      <c r="U1228" s="154" t="s">
        <v>64</v>
      </c>
      <c r="V1228" s="154" t="s">
        <v>64</v>
      </c>
      <c r="W1228" s="154" t="s">
        <v>64</v>
      </c>
      <c r="X1228" s="154" t="s">
        <v>66</v>
      </c>
      <c r="Y1228" s="154" t="s">
        <v>64</v>
      </c>
      <c r="Z1228" s="154" t="s">
        <v>64</v>
      </c>
      <c r="AA1228" s="154"/>
      <c r="AB1228" s="242" t="str">
        <f t="shared" si="2"/>
        <v>#ERROR!</v>
      </c>
      <c r="AC1228" s="154" t="s">
        <v>391</v>
      </c>
      <c r="AD1228" s="242" t="b">
        <f t="shared" si="3"/>
        <v>0</v>
      </c>
      <c r="AE1228" s="154"/>
      <c r="AF1228" s="242" t="str">
        <f t="shared" si="4"/>
        <v>#ERROR!</v>
      </c>
      <c r="AG1228" s="154" t="s">
        <v>652</v>
      </c>
      <c r="AH1228" s="242" t="str">
        <f>IF(AG1228="","N/A",INDIRECT("MTR!"&amp;ADDRESS(MATCH(LEFT(AG1228,9),[1]MTR!C:C,0),COLUMN(J1228)),TRUE) &amp; "")</f>
        <v>#ERROR!</v>
      </c>
      <c r="AI1228" s="157" t="str">
        <f t="shared" si="5"/>
        <v>#ERROR!</v>
      </c>
    </row>
    <row r="1229" ht="12.75" customHeight="1">
      <c r="A1229" s="244" t="s">
        <v>5158</v>
      </c>
      <c r="B1229" s="244" t="s">
        <v>231</v>
      </c>
      <c r="C1229" s="244" t="s">
        <v>9893</v>
      </c>
      <c r="D1229" s="154" t="s">
        <v>503</v>
      </c>
      <c r="E1229" s="154"/>
      <c r="F1229" s="154" t="str">
        <f t="array" ref="F1229">XLOOKUP(Cover!$D$12,$R$1:$Z$1,$R1229:$Z1229)</f>
        <v>Recommended</v>
      </c>
      <c r="G1229" s="154" t="s">
        <v>9894</v>
      </c>
      <c r="H1229" s="154" t="s">
        <v>9012</v>
      </c>
      <c r="I1229" s="154" t="s">
        <v>9885</v>
      </c>
      <c r="J1229" s="154" t="s">
        <v>9886</v>
      </c>
      <c r="K1229" s="154" t="s">
        <v>9003</v>
      </c>
      <c r="L1229" s="154" t="s">
        <v>6463</v>
      </c>
      <c r="M1229" s="154"/>
      <c r="N1229" s="154" t="s">
        <v>759</v>
      </c>
      <c r="O1229" s="247" t="s">
        <v>516</v>
      </c>
      <c r="P1229" s="247" t="s">
        <v>6776</v>
      </c>
      <c r="Q1229" s="154" t="str">
        <f t="shared" si="1"/>
        <v>#ERROR!</v>
      </c>
      <c r="R1229" s="154" t="s">
        <v>66</v>
      </c>
      <c r="S1229" s="154" t="s">
        <v>66</v>
      </c>
      <c r="T1229" s="154" t="s">
        <v>64</v>
      </c>
      <c r="U1229" s="154" t="s">
        <v>64</v>
      </c>
      <c r="V1229" s="154" t="s">
        <v>64</v>
      </c>
      <c r="W1229" s="154" t="s">
        <v>64</v>
      </c>
      <c r="X1229" s="154" t="s">
        <v>66</v>
      </c>
      <c r="Y1229" s="154" t="s">
        <v>64</v>
      </c>
      <c r="Z1229" s="154" t="s">
        <v>64</v>
      </c>
      <c r="AA1229" s="154"/>
      <c r="AB1229" s="242" t="str">
        <f t="shared" si="2"/>
        <v>#ERROR!</v>
      </c>
      <c r="AC1229" s="154" t="s">
        <v>391</v>
      </c>
      <c r="AD1229" s="242" t="b">
        <f t="shared" si="3"/>
        <v>0</v>
      </c>
      <c r="AE1229" s="154"/>
      <c r="AF1229" s="242" t="str">
        <f t="shared" si="4"/>
        <v>#ERROR!</v>
      </c>
      <c r="AG1229" s="154" t="s">
        <v>652</v>
      </c>
      <c r="AH1229" s="242" t="str">
        <f>IF(AG1229="","N/A",INDIRECT("MTR!"&amp;ADDRESS(MATCH(LEFT(AG1229,9),[1]MTR!C:C,0),COLUMN(J1229)),TRUE) &amp; "")</f>
        <v>#ERROR!</v>
      </c>
      <c r="AI1229" s="157" t="str">
        <f t="shared" si="5"/>
        <v>#ERROR!</v>
      </c>
    </row>
    <row r="1230" ht="12.75" customHeight="1">
      <c r="A1230" s="244" t="s">
        <v>5158</v>
      </c>
      <c r="B1230" s="244" t="s">
        <v>231</v>
      </c>
      <c r="C1230" s="255" t="s">
        <v>9895</v>
      </c>
      <c r="D1230" s="256" t="s">
        <v>42</v>
      </c>
      <c r="E1230" s="256" t="s">
        <v>489</v>
      </c>
      <c r="F1230" s="154" t="str">
        <f t="array" ref="F1230">XLOOKUP(Cover!$D$12,$R$1:$Z$1,$R1230:$Z1230)</f>
        <v>Information</v>
      </c>
      <c r="G1230" s="154" t="s">
        <v>9896</v>
      </c>
      <c r="H1230" s="154" t="s">
        <v>9002</v>
      </c>
      <c r="I1230" s="154" t="s">
        <v>9897</v>
      </c>
      <c r="J1230" s="154" t="s">
        <v>9898</v>
      </c>
      <c r="K1230" s="154" t="s">
        <v>9003</v>
      </c>
      <c r="L1230" s="154" t="s">
        <v>5931</v>
      </c>
      <c r="M1230" s="154"/>
      <c r="N1230" s="154" t="s">
        <v>759</v>
      </c>
      <c r="O1230" s="247" t="s">
        <v>516</v>
      </c>
      <c r="P1230" s="247" t="s">
        <v>6776</v>
      </c>
      <c r="Q1230" s="154" t="str">
        <f t="shared" si="1"/>
        <v>#ERROR!</v>
      </c>
      <c r="R1230" s="154" t="s">
        <v>66</v>
      </c>
      <c r="S1230" s="154" t="s">
        <v>66</v>
      </c>
      <c r="T1230" s="154" t="s">
        <v>66</v>
      </c>
      <c r="U1230" s="154" t="s">
        <v>66</v>
      </c>
      <c r="V1230" s="154" t="s">
        <v>66</v>
      </c>
      <c r="W1230" s="154" t="s">
        <v>66</v>
      </c>
      <c r="X1230" s="154" t="s">
        <v>66</v>
      </c>
      <c r="Y1230" s="154" t="s">
        <v>66</v>
      </c>
      <c r="Z1230" s="154" t="s">
        <v>66</v>
      </c>
      <c r="AA1230" s="154"/>
      <c r="AB1230" s="242" t="str">
        <f t="shared" si="2"/>
        <v>#ERROR!</v>
      </c>
      <c r="AC1230" s="154" t="s">
        <v>391</v>
      </c>
      <c r="AD1230" s="242" t="b">
        <f t="shared" si="3"/>
        <v>0</v>
      </c>
      <c r="AE1230" s="154"/>
      <c r="AF1230" s="242" t="str">
        <f t="shared" si="4"/>
        <v>#ERROR!</v>
      </c>
      <c r="AG1230" s="154" t="s">
        <v>652</v>
      </c>
      <c r="AH1230" s="242" t="str">
        <f>IF(AG1230="","N/A",INDIRECT("MTR!"&amp;ADDRESS(MATCH(LEFT(AG1230,9),[1]MTR!C:C,0),COLUMN(J1230)),TRUE) &amp; "")</f>
        <v>#ERROR!</v>
      </c>
      <c r="AI1230" s="157" t="str">
        <f t="shared" si="5"/>
        <v>#ERROR!</v>
      </c>
    </row>
    <row r="1231" ht="12.75" customHeight="1">
      <c r="A1231" s="244" t="s">
        <v>5158</v>
      </c>
      <c r="B1231" s="244" t="s">
        <v>231</v>
      </c>
      <c r="C1231" s="255" t="s">
        <v>9899</v>
      </c>
      <c r="D1231" s="256" t="s">
        <v>42</v>
      </c>
      <c r="E1231" s="256" t="s">
        <v>489</v>
      </c>
      <c r="F1231" s="154" t="str">
        <f t="array" ref="F1231">XLOOKUP(Cover!$D$12,$R$1:$Z$1,$R1231:$Z1231)</f>
        <v>Information</v>
      </c>
      <c r="G1231" s="154" t="s">
        <v>9900</v>
      </c>
      <c r="H1231" s="154" t="s">
        <v>9006</v>
      </c>
      <c r="I1231" s="154" t="s">
        <v>9897</v>
      </c>
      <c r="J1231" s="154" t="s">
        <v>9898</v>
      </c>
      <c r="K1231" s="154" t="s">
        <v>9003</v>
      </c>
      <c r="L1231" s="154" t="s">
        <v>5931</v>
      </c>
      <c r="M1231" s="154"/>
      <c r="N1231" s="154" t="s">
        <v>759</v>
      </c>
      <c r="O1231" s="247" t="s">
        <v>516</v>
      </c>
      <c r="P1231" s="247" t="s">
        <v>6776</v>
      </c>
      <c r="Q1231" s="154" t="str">
        <f t="shared" si="1"/>
        <v>#ERROR!</v>
      </c>
      <c r="R1231" s="154" t="s">
        <v>66</v>
      </c>
      <c r="S1231" s="154" t="s">
        <v>66</v>
      </c>
      <c r="T1231" s="154" t="s">
        <v>66</v>
      </c>
      <c r="U1231" s="154" t="s">
        <v>66</v>
      </c>
      <c r="V1231" s="154" t="s">
        <v>66</v>
      </c>
      <c r="W1231" s="154" t="s">
        <v>66</v>
      </c>
      <c r="X1231" s="154" t="s">
        <v>66</v>
      </c>
      <c r="Y1231" s="154" t="s">
        <v>66</v>
      </c>
      <c r="Z1231" s="154" t="s">
        <v>66</v>
      </c>
      <c r="AA1231" s="154"/>
      <c r="AB1231" s="242" t="str">
        <f t="shared" si="2"/>
        <v>#ERROR!</v>
      </c>
      <c r="AC1231" s="154" t="s">
        <v>391</v>
      </c>
      <c r="AD1231" s="242" t="b">
        <f t="shared" si="3"/>
        <v>0</v>
      </c>
      <c r="AE1231" s="154"/>
      <c r="AF1231" s="242" t="str">
        <f t="shared" si="4"/>
        <v>#ERROR!</v>
      </c>
      <c r="AG1231" s="154" t="s">
        <v>652</v>
      </c>
      <c r="AH1231" s="242" t="str">
        <f>IF(AG1231="","N/A",INDIRECT("MTR!"&amp;ADDRESS(MATCH(LEFT(AG1231,9),[1]MTR!C:C,0),COLUMN(J1231)),TRUE) &amp; "")</f>
        <v>#ERROR!</v>
      </c>
      <c r="AI1231" s="157" t="str">
        <f t="shared" si="5"/>
        <v>#ERROR!</v>
      </c>
    </row>
    <row r="1232" ht="12.75" customHeight="1">
      <c r="A1232" s="244" t="s">
        <v>5158</v>
      </c>
      <c r="B1232" s="244" t="s">
        <v>231</v>
      </c>
      <c r="C1232" s="255" t="s">
        <v>9901</v>
      </c>
      <c r="D1232" s="256" t="s">
        <v>42</v>
      </c>
      <c r="E1232" s="256" t="s">
        <v>489</v>
      </c>
      <c r="F1232" s="154" t="str">
        <f t="array" ref="F1232">XLOOKUP(Cover!$D$12,$R$1:$Z$1,$R1232:$Z1232)</f>
        <v>Information</v>
      </c>
      <c r="G1232" s="154" t="s">
        <v>9902</v>
      </c>
      <c r="H1232" s="154" t="s">
        <v>9009</v>
      </c>
      <c r="I1232" s="154" t="s">
        <v>9897</v>
      </c>
      <c r="J1232" s="154" t="s">
        <v>9898</v>
      </c>
      <c r="K1232" s="154" t="s">
        <v>9003</v>
      </c>
      <c r="L1232" s="154" t="s">
        <v>5931</v>
      </c>
      <c r="M1232" s="154"/>
      <c r="N1232" s="154" t="s">
        <v>759</v>
      </c>
      <c r="O1232" s="247" t="s">
        <v>516</v>
      </c>
      <c r="P1232" s="247" t="s">
        <v>6776</v>
      </c>
      <c r="Q1232" s="154" t="str">
        <f t="shared" si="1"/>
        <v>#ERROR!</v>
      </c>
      <c r="R1232" s="154" t="s">
        <v>66</v>
      </c>
      <c r="S1232" s="154" t="s">
        <v>66</v>
      </c>
      <c r="T1232" s="154" t="s">
        <v>66</v>
      </c>
      <c r="U1232" s="154" t="s">
        <v>66</v>
      </c>
      <c r="V1232" s="154" t="s">
        <v>66</v>
      </c>
      <c r="W1232" s="154" t="s">
        <v>66</v>
      </c>
      <c r="X1232" s="154" t="s">
        <v>66</v>
      </c>
      <c r="Y1232" s="154" t="s">
        <v>66</v>
      </c>
      <c r="Z1232" s="154" t="s">
        <v>66</v>
      </c>
      <c r="AA1232" s="154"/>
      <c r="AB1232" s="242" t="str">
        <f t="shared" si="2"/>
        <v>#ERROR!</v>
      </c>
      <c r="AC1232" s="154" t="s">
        <v>391</v>
      </c>
      <c r="AD1232" s="242" t="b">
        <f t="shared" si="3"/>
        <v>0</v>
      </c>
      <c r="AE1232" s="154"/>
      <c r="AF1232" s="242" t="str">
        <f t="shared" si="4"/>
        <v>#ERROR!</v>
      </c>
      <c r="AG1232" s="154" t="s">
        <v>652</v>
      </c>
      <c r="AH1232" s="242" t="str">
        <f>IF(AG1232="","N/A",INDIRECT("MTR!"&amp;ADDRESS(MATCH(LEFT(AG1232,9),[1]MTR!C:C,0),COLUMN(J1232)),TRUE) &amp; "")</f>
        <v>#ERROR!</v>
      </c>
      <c r="AI1232" s="157" t="str">
        <f t="shared" si="5"/>
        <v>#ERROR!</v>
      </c>
    </row>
    <row r="1233" ht="12.75" customHeight="1">
      <c r="A1233" s="244" t="s">
        <v>5158</v>
      </c>
      <c r="B1233" s="244" t="s">
        <v>231</v>
      </c>
      <c r="C1233" s="255" t="s">
        <v>9903</v>
      </c>
      <c r="D1233" s="256" t="s">
        <v>42</v>
      </c>
      <c r="E1233" s="256" t="s">
        <v>489</v>
      </c>
      <c r="F1233" s="154" t="str">
        <f t="array" ref="F1233">XLOOKUP(Cover!$D$12,$R$1:$Z$1,$R1233:$Z1233)</f>
        <v>Information</v>
      </c>
      <c r="G1233" s="154" t="s">
        <v>9904</v>
      </c>
      <c r="H1233" s="154" t="s">
        <v>9015</v>
      </c>
      <c r="I1233" s="154" t="s">
        <v>9897</v>
      </c>
      <c r="J1233" s="154" t="s">
        <v>9898</v>
      </c>
      <c r="K1233" s="154" t="s">
        <v>9003</v>
      </c>
      <c r="L1233" s="154" t="s">
        <v>5931</v>
      </c>
      <c r="M1233" s="154"/>
      <c r="N1233" s="154" t="s">
        <v>759</v>
      </c>
      <c r="O1233" s="247" t="s">
        <v>516</v>
      </c>
      <c r="P1233" s="247" t="s">
        <v>6776</v>
      </c>
      <c r="Q1233" s="154" t="str">
        <f t="shared" si="1"/>
        <v>#ERROR!</v>
      </c>
      <c r="R1233" s="154" t="s">
        <v>66</v>
      </c>
      <c r="S1233" s="154" t="s">
        <v>66</v>
      </c>
      <c r="T1233" s="154" t="s">
        <v>66</v>
      </c>
      <c r="U1233" s="154" t="s">
        <v>66</v>
      </c>
      <c r="V1233" s="154" t="s">
        <v>66</v>
      </c>
      <c r="W1233" s="154" t="s">
        <v>66</v>
      </c>
      <c r="X1233" s="154" t="s">
        <v>66</v>
      </c>
      <c r="Y1233" s="154" t="s">
        <v>66</v>
      </c>
      <c r="Z1233" s="154" t="s">
        <v>66</v>
      </c>
      <c r="AA1233" s="154"/>
      <c r="AB1233" s="242" t="str">
        <f t="shared" si="2"/>
        <v>#ERROR!</v>
      </c>
      <c r="AC1233" s="154" t="s">
        <v>391</v>
      </c>
      <c r="AD1233" s="242" t="b">
        <f t="shared" si="3"/>
        <v>0</v>
      </c>
      <c r="AE1233" s="154"/>
      <c r="AF1233" s="242" t="str">
        <f t="shared" si="4"/>
        <v>#ERROR!</v>
      </c>
      <c r="AG1233" s="154" t="s">
        <v>652</v>
      </c>
      <c r="AH1233" s="242" t="str">
        <f>IF(AG1233="","N/A",INDIRECT("MTR!"&amp;ADDRESS(MATCH(LEFT(AG1233,9),[1]MTR!C:C,0),COLUMN(J1233)),TRUE) &amp; "")</f>
        <v>#ERROR!</v>
      </c>
      <c r="AI1233" s="157" t="str">
        <f t="shared" si="5"/>
        <v>#ERROR!</v>
      </c>
    </row>
    <row r="1234" ht="12.75" customHeight="1">
      <c r="A1234" s="244" t="s">
        <v>5158</v>
      </c>
      <c r="B1234" s="244" t="s">
        <v>231</v>
      </c>
      <c r="C1234" s="244" t="s">
        <v>9905</v>
      </c>
      <c r="D1234" s="154" t="s">
        <v>781</v>
      </c>
      <c r="E1234" s="154"/>
      <c r="F1234" s="154" t="str">
        <f t="array" ref="F1234">XLOOKUP(Cover!$D$12,$R$1:$Z$1,$R1234:$Z1234)</f>
        <v>Recommended</v>
      </c>
      <c r="G1234" s="154" t="s">
        <v>9906</v>
      </c>
      <c r="H1234" s="154" t="s">
        <v>9002</v>
      </c>
      <c r="I1234" s="154" t="s">
        <v>9907</v>
      </c>
      <c r="J1234" s="154" t="s">
        <v>8263</v>
      </c>
      <c r="K1234" s="154" t="s">
        <v>9003</v>
      </c>
      <c r="L1234" s="154" t="s">
        <v>6232</v>
      </c>
      <c r="M1234" s="154"/>
      <c r="N1234" s="154" t="s">
        <v>759</v>
      </c>
      <c r="O1234" s="247" t="s">
        <v>516</v>
      </c>
      <c r="P1234" s="247" t="s">
        <v>6776</v>
      </c>
      <c r="Q1234" s="154" t="str">
        <f t="shared" si="1"/>
        <v>#ERROR!</v>
      </c>
      <c r="R1234" s="154" t="s">
        <v>66</v>
      </c>
      <c r="S1234" s="154" t="s">
        <v>66</v>
      </c>
      <c r="T1234" s="154" t="s">
        <v>64</v>
      </c>
      <c r="U1234" s="154" t="s">
        <v>64</v>
      </c>
      <c r="V1234" s="154" t="s">
        <v>64</v>
      </c>
      <c r="W1234" s="154" t="s">
        <v>64</v>
      </c>
      <c r="X1234" s="154" t="s">
        <v>66</v>
      </c>
      <c r="Y1234" s="154" t="s">
        <v>64</v>
      </c>
      <c r="Z1234" s="154" t="s">
        <v>64</v>
      </c>
      <c r="AA1234" s="154"/>
      <c r="AB1234" s="242" t="str">
        <f t="shared" si="2"/>
        <v>#ERROR!</v>
      </c>
      <c r="AC1234" s="154" t="s">
        <v>391</v>
      </c>
      <c r="AD1234" s="242" t="b">
        <f t="shared" si="3"/>
        <v>0</v>
      </c>
      <c r="AE1234" s="154"/>
      <c r="AF1234" s="242" t="str">
        <f t="shared" si="4"/>
        <v>#ERROR!</v>
      </c>
      <c r="AG1234" s="154" t="s">
        <v>652</v>
      </c>
      <c r="AH1234" s="242" t="str">
        <f>IF(AG1234="","N/A",INDIRECT("MTR!"&amp;ADDRESS(MATCH(LEFT(AG1234,9),[1]MTR!C:C,0),COLUMN(J1234)),TRUE) &amp; "")</f>
        <v>#ERROR!</v>
      </c>
      <c r="AI1234" s="157" t="str">
        <f t="shared" si="5"/>
        <v>#ERROR!</v>
      </c>
    </row>
    <row r="1235" ht="12.75" customHeight="1">
      <c r="A1235" s="244" t="s">
        <v>5158</v>
      </c>
      <c r="B1235" s="244" t="s">
        <v>231</v>
      </c>
      <c r="C1235" s="244" t="s">
        <v>9908</v>
      </c>
      <c r="D1235" s="154" t="s">
        <v>781</v>
      </c>
      <c r="E1235" s="154"/>
      <c r="F1235" s="154" t="str">
        <f t="array" ref="F1235">XLOOKUP(Cover!$D$12,$R$1:$Z$1,$R1235:$Z1235)</f>
        <v>Recommended</v>
      </c>
      <c r="G1235" s="154" t="s">
        <v>9909</v>
      </c>
      <c r="H1235" s="154" t="s">
        <v>9006</v>
      </c>
      <c r="I1235" s="154" t="s">
        <v>9907</v>
      </c>
      <c r="J1235" s="154" t="s">
        <v>8263</v>
      </c>
      <c r="K1235" s="154" t="s">
        <v>9003</v>
      </c>
      <c r="L1235" s="154" t="s">
        <v>6232</v>
      </c>
      <c r="M1235" s="154"/>
      <c r="N1235" s="154" t="s">
        <v>759</v>
      </c>
      <c r="O1235" s="247" t="s">
        <v>516</v>
      </c>
      <c r="P1235" s="247" t="s">
        <v>6776</v>
      </c>
      <c r="Q1235" s="154" t="str">
        <f t="shared" si="1"/>
        <v>#ERROR!</v>
      </c>
      <c r="R1235" s="154" t="s">
        <v>66</v>
      </c>
      <c r="S1235" s="154" t="s">
        <v>66</v>
      </c>
      <c r="T1235" s="154" t="s">
        <v>64</v>
      </c>
      <c r="U1235" s="154" t="s">
        <v>64</v>
      </c>
      <c r="V1235" s="154" t="s">
        <v>64</v>
      </c>
      <c r="W1235" s="154" t="s">
        <v>64</v>
      </c>
      <c r="X1235" s="154" t="s">
        <v>66</v>
      </c>
      <c r="Y1235" s="154" t="s">
        <v>64</v>
      </c>
      <c r="Z1235" s="154" t="s">
        <v>64</v>
      </c>
      <c r="AA1235" s="154"/>
      <c r="AB1235" s="242" t="str">
        <f t="shared" si="2"/>
        <v>#ERROR!</v>
      </c>
      <c r="AC1235" s="154" t="s">
        <v>391</v>
      </c>
      <c r="AD1235" s="242" t="b">
        <f t="shared" si="3"/>
        <v>0</v>
      </c>
      <c r="AE1235" s="154"/>
      <c r="AF1235" s="242" t="str">
        <f t="shared" si="4"/>
        <v>#ERROR!</v>
      </c>
      <c r="AG1235" s="154" t="s">
        <v>652</v>
      </c>
      <c r="AH1235" s="242" t="str">
        <f>IF(AG1235="","N/A",INDIRECT("MTR!"&amp;ADDRESS(MATCH(LEFT(AG1235,9),[1]MTR!C:C,0),COLUMN(J1235)),TRUE) &amp; "")</f>
        <v>#ERROR!</v>
      </c>
      <c r="AI1235" s="157" t="str">
        <f t="shared" si="5"/>
        <v>#ERROR!</v>
      </c>
    </row>
    <row r="1236" ht="12.75" customHeight="1">
      <c r="A1236" s="244" t="s">
        <v>5158</v>
      </c>
      <c r="B1236" s="244" t="s">
        <v>231</v>
      </c>
      <c r="C1236" s="244" t="s">
        <v>9910</v>
      </c>
      <c r="D1236" s="154" t="s">
        <v>781</v>
      </c>
      <c r="E1236" s="154"/>
      <c r="F1236" s="154" t="str">
        <f t="array" ref="F1236">XLOOKUP(Cover!$D$12,$R$1:$Z$1,$R1236:$Z1236)</f>
        <v>Recommended</v>
      </c>
      <c r="G1236" s="154" t="s">
        <v>9911</v>
      </c>
      <c r="H1236" s="154" t="s">
        <v>9053</v>
      </c>
      <c r="I1236" s="154" t="s">
        <v>9907</v>
      </c>
      <c r="J1236" s="154" t="s">
        <v>8263</v>
      </c>
      <c r="K1236" s="154" t="s">
        <v>9003</v>
      </c>
      <c r="L1236" s="154" t="s">
        <v>6232</v>
      </c>
      <c r="M1236" s="154"/>
      <c r="N1236" s="154" t="s">
        <v>759</v>
      </c>
      <c r="O1236" s="247" t="s">
        <v>516</v>
      </c>
      <c r="P1236" s="247" t="s">
        <v>6776</v>
      </c>
      <c r="Q1236" s="154" t="str">
        <f t="shared" si="1"/>
        <v>#ERROR!</v>
      </c>
      <c r="R1236" s="154" t="s">
        <v>66</v>
      </c>
      <c r="S1236" s="154" t="s">
        <v>66</v>
      </c>
      <c r="T1236" s="154" t="s">
        <v>64</v>
      </c>
      <c r="U1236" s="154" t="s">
        <v>64</v>
      </c>
      <c r="V1236" s="154" t="s">
        <v>64</v>
      </c>
      <c r="W1236" s="154" t="s">
        <v>64</v>
      </c>
      <c r="X1236" s="154" t="s">
        <v>66</v>
      </c>
      <c r="Y1236" s="154" t="s">
        <v>64</v>
      </c>
      <c r="Z1236" s="154" t="s">
        <v>64</v>
      </c>
      <c r="AA1236" s="154"/>
      <c r="AB1236" s="242" t="str">
        <f t="shared" si="2"/>
        <v>#ERROR!</v>
      </c>
      <c r="AC1236" s="154" t="s">
        <v>391</v>
      </c>
      <c r="AD1236" s="242" t="b">
        <f t="shared" si="3"/>
        <v>0</v>
      </c>
      <c r="AE1236" s="154"/>
      <c r="AF1236" s="242" t="str">
        <f t="shared" si="4"/>
        <v>#ERROR!</v>
      </c>
      <c r="AG1236" s="154" t="s">
        <v>652</v>
      </c>
      <c r="AH1236" s="242" t="str">
        <f>IF(AG1236="","N/A",INDIRECT("MTR!"&amp;ADDRESS(MATCH(LEFT(AG1236,9),[1]MTR!C:C,0),COLUMN(J1236)),TRUE) &amp; "")</f>
        <v>#ERROR!</v>
      </c>
      <c r="AI1236" s="157" t="str">
        <f t="shared" si="5"/>
        <v>#ERROR!</v>
      </c>
    </row>
    <row r="1237" ht="12.75" customHeight="1">
      <c r="A1237" s="244" t="s">
        <v>5158</v>
      </c>
      <c r="B1237" s="244" t="s">
        <v>231</v>
      </c>
      <c r="C1237" s="244" t="s">
        <v>9912</v>
      </c>
      <c r="D1237" s="154" t="s">
        <v>781</v>
      </c>
      <c r="E1237" s="154"/>
      <c r="F1237" s="154" t="str">
        <f t="array" ref="F1237">XLOOKUP(Cover!$D$12,$R$1:$Z$1,$R1237:$Z1237)</f>
        <v>Information</v>
      </c>
      <c r="G1237" s="154" t="s">
        <v>9913</v>
      </c>
      <c r="H1237" s="154" t="s">
        <v>9009</v>
      </c>
      <c r="I1237" s="154" t="s">
        <v>9907</v>
      </c>
      <c r="J1237" s="154" t="s">
        <v>8263</v>
      </c>
      <c r="K1237" s="154" t="s">
        <v>9003</v>
      </c>
      <c r="L1237" s="154" t="s">
        <v>6232</v>
      </c>
      <c r="M1237" s="154"/>
      <c r="N1237" s="154" t="s">
        <v>759</v>
      </c>
      <c r="O1237" s="247" t="s">
        <v>516</v>
      </c>
      <c r="P1237" s="247" t="s">
        <v>6776</v>
      </c>
      <c r="Q1237" s="154" t="str">
        <f t="shared" si="1"/>
        <v>#ERROR!</v>
      </c>
      <c r="R1237" s="154" t="s">
        <v>66</v>
      </c>
      <c r="S1237" s="154" t="s">
        <v>66</v>
      </c>
      <c r="T1237" s="154" t="s">
        <v>66</v>
      </c>
      <c r="U1237" s="154" t="s">
        <v>66</v>
      </c>
      <c r="V1237" s="154" t="s">
        <v>66</v>
      </c>
      <c r="W1237" s="154" t="s">
        <v>66</v>
      </c>
      <c r="X1237" s="154" t="s">
        <v>66</v>
      </c>
      <c r="Y1237" s="154" t="s">
        <v>66</v>
      </c>
      <c r="Z1237" s="154" t="s">
        <v>66</v>
      </c>
      <c r="AA1237" s="154"/>
      <c r="AB1237" s="242" t="str">
        <f t="shared" si="2"/>
        <v>#ERROR!</v>
      </c>
      <c r="AC1237" s="154" t="s">
        <v>391</v>
      </c>
      <c r="AD1237" s="242" t="b">
        <f t="shared" si="3"/>
        <v>0</v>
      </c>
      <c r="AE1237" s="154"/>
      <c r="AF1237" s="242" t="str">
        <f t="shared" si="4"/>
        <v>#ERROR!</v>
      </c>
      <c r="AG1237" s="154" t="s">
        <v>652</v>
      </c>
      <c r="AH1237" s="242" t="str">
        <f>IF(AG1237="","N/A",INDIRECT("MTR!"&amp;ADDRESS(MATCH(LEFT(AG1237,9),[1]MTR!C:C,0),COLUMN(J1237)),TRUE) &amp; "")</f>
        <v>#ERROR!</v>
      </c>
      <c r="AI1237" s="157" t="str">
        <f t="shared" si="5"/>
        <v>#ERROR!</v>
      </c>
    </row>
    <row r="1238" ht="12.75" customHeight="1">
      <c r="A1238" s="244" t="s">
        <v>5158</v>
      </c>
      <c r="B1238" s="244" t="s">
        <v>231</v>
      </c>
      <c r="C1238" s="244" t="s">
        <v>9914</v>
      </c>
      <c r="D1238" s="154" t="s">
        <v>781</v>
      </c>
      <c r="E1238" s="154"/>
      <c r="F1238" s="154" t="str">
        <f t="array" ref="F1238">XLOOKUP(Cover!$D$12,$R$1:$Z$1,$R1238:$Z1238)</f>
        <v>Recommended</v>
      </c>
      <c r="G1238" s="154" t="s">
        <v>9915</v>
      </c>
      <c r="H1238" s="154" t="s">
        <v>1541</v>
      </c>
      <c r="I1238" s="154" t="s">
        <v>9907</v>
      </c>
      <c r="J1238" s="154" t="s">
        <v>8263</v>
      </c>
      <c r="K1238" s="154" t="s">
        <v>9003</v>
      </c>
      <c r="L1238" s="154" t="s">
        <v>6232</v>
      </c>
      <c r="M1238" s="154"/>
      <c r="N1238" s="154" t="s">
        <v>759</v>
      </c>
      <c r="O1238" s="247" t="s">
        <v>516</v>
      </c>
      <c r="P1238" s="247" t="s">
        <v>6776</v>
      </c>
      <c r="Q1238" s="154" t="str">
        <f t="shared" si="1"/>
        <v>#ERROR!</v>
      </c>
      <c r="R1238" s="154" t="s">
        <v>66</v>
      </c>
      <c r="S1238" s="154" t="s">
        <v>66</v>
      </c>
      <c r="T1238" s="154" t="s">
        <v>64</v>
      </c>
      <c r="U1238" s="154" t="s">
        <v>64</v>
      </c>
      <c r="V1238" s="154" t="s">
        <v>64</v>
      </c>
      <c r="W1238" s="154" t="s">
        <v>64</v>
      </c>
      <c r="X1238" s="154" t="s">
        <v>66</v>
      </c>
      <c r="Y1238" s="154" t="s">
        <v>64</v>
      </c>
      <c r="Z1238" s="154" t="s">
        <v>64</v>
      </c>
      <c r="AA1238" s="154"/>
      <c r="AB1238" s="242" t="str">
        <f t="shared" si="2"/>
        <v>#ERROR!</v>
      </c>
      <c r="AC1238" s="154" t="s">
        <v>391</v>
      </c>
      <c r="AD1238" s="242" t="b">
        <f t="shared" si="3"/>
        <v>0</v>
      </c>
      <c r="AE1238" s="154"/>
      <c r="AF1238" s="242" t="str">
        <f t="shared" si="4"/>
        <v>#ERROR!</v>
      </c>
      <c r="AG1238" s="154" t="s">
        <v>652</v>
      </c>
      <c r="AH1238" s="242" t="str">
        <f>IF(AG1238="","N/A",INDIRECT("MTR!"&amp;ADDRESS(MATCH(LEFT(AG1238,9),[1]MTR!C:C,0),COLUMN(J1238)),TRUE) &amp; "")</f>
        <v>#ERROR!</v>
      </c>
      <c r="AI1238" s="157" t="str">
        <f t="shared" si="5"/>
        <v>#ERROR!</v>
      </c>
    </row>
    <row r="1239" ht="12.75" customHeight="1">
      <c r="A1239" s="244" t="s">
        <v>5158</v>
      </c>
      <c r="B1239" s="244" t="s">
        <v>231</v>
      </c>
      <c r="C1239" s="244" t="s">
        <v>9916</v>
      </c>
      <c r="D1239" s="154" t="s">
        <v>1773</v>
      </c>
      <c r="E1239" s="154"/>
      <c r="F1239" s="154" t="str">
        <f t="array" ref="F1239">XLOOKUP(Cover!$D$12,$R$1:$Z$1,$R1239:$Z1239)</f>
        <v>Recommended</v>
      </c>
      <c r="G1239" s="154" t="s">
        <v>9917</v>
      </c>
      <c r="H1239" s="154" t="s">
        <v>9002</v>
      </c>
      <c r="I1239" s="154" t="s">
        <v>9918</v>
      </c>
      <c r="J1239" s="154" t="s">
        <v>8979</v>
      </c>
      <c r="K1239" s="154" t="s">
        <v>9003</v>
      </c>
      <c r="L1239" s="154" t="s">
        <v>7175</v>
      </c>
      <c r="M1239" s="154"/>
      <c r="N1239" s="154" t="s">
        <v>759</v>
      </c>
      <c r="O1239" s="247" t="s">
        <v>516</v>
      </c>
      <c r="P1239" s="247" t="s">
        <v>6776</v>
      </c>
      <c r="Q1239" s="154" t="str">
        <f t="shared" si="1"/>
        <v>#ERROR!</v>
      </c>
      <c r="R1239" s="154" t="s">
        <v>66</v>
      </c>
      <c r="S1239" s="154" t="s">
        <v>66</v>
      </c>
      <c r="T1239" s="154" t="s">
        <v>64</v>
      </c>
      <c r="U1239" s="154" t="s">
        <v>64</v>
      </c>
      <c r="V1239" s="154" t="s">
        <v>64</v>
      </c>
      <c r="W1239" s="154" t="s">
        <v>64</v>
      </c>
      <c r="X1239" s="154" t="s">
        <v>66</v>
      </c>
      <c r="Y1239" s="154" t="s">
        <v>64</v>
      </c>
      <c r="Z1239" s="154" t="s">
        <v>64</v>
      </c>
      <c r="AA1239" s="154"/>
      <c r="AB1239" s="242" t="str">
        <f t="shared" si="2"/>
        <v>#ERROR!</v>
      </c>
      <c r="AC1239" s="154" t="s">
        <v>391</v>
      </c>
      <c r="AD1239" s="242" t="b">
        <f t="shared" si="3"/>
        <v>0</v>
      </c>
      <c r="AE1239" s="154"/>
      <c r="AF1239" s="242" t="str">
        <f t="shared" si="4"/>
        <v>#ERROR!</v>
      </c>
      <c r="AG1239" s="154" t="s">
        <v>652</v>
      </c>
      <c r="AH1239" s="242" t="str">
        <f>IF(AG1239="","N/A",INDIRECT("MTR!"&amp;ADDRESS(MATCH(LEFT(AG1239,9),[1]MTR!C:C,0),COLUMN(J1239)),TRUE) &amp; "")</f>
        <v>#ERROR!</v>
      </c>
      <c r="AI1239" s="157" t="str">
        <f t="shared" si="5"/>
        <v>#ERROR!</v>
      </c>
    </row>
    <row r="1240" ht="12.75" customHeight="1">
      <c r="A1240" s="244" t="s">
        <v>5158</v>
      </c>
      <c r="B1240" s="244" t="s">
        <v>231</v>
      </c>
      <c r="C1240" s="244" t="s">
        <v>9919</v>
      </c>
      <c r="D1240" s="154" t="s">
        <v>1773</v>
      </c>
      <c r="E1240" s="154"/>
      <c r="F1240" s="154" t="str">
        <f t="array" ref="F1240">XLOOKUP(Cover!$D$12,$R$1:$Z$1,$R1240:$Z1240)</f>
        <v>Recommended</v>
      </c>
      <c r="G1240" s="154" t="s">
        <v>9920</v>
      </c>
      <c r="H1240" s="154" t="s">
        <v>9006</v>
      </c>
      <c r="I1240" s="154" t="s">
        <v>9918</v>
      </c>
      <c r="J1240" s="154" t="s">
        <v>8979</v>
      </c>
      <c r="K1240" s="154" t="s">
        <v>9003</v>
      </c>
      <c r="L1240" s="154" t="s">
        <v>7175</v>
      </c>
      <c r="M1240" s="154"/>
      <c r="N1240" s="154" t="s">
        <v>759</v>
      </c>
      <c r="O1240" s="247" t="s">
        <v>516</v>
      </c>
      <c r="P1240" s="247" t="s">
        <v>6776</v>
      </c>
      <c r="Q1240" s="154" t="str">
        <f t="shared" si="1"/>
        <v>#ERROR!</v>
      </c>
      <c r="R1240" s="154" t="s">
        <v>66</v>
      </c>
      <c r="S1240" s="154" t="s">
        <v>66</v>
      </c>
      <c r="T1240" s="154" t="s">
        <v>64</v>
      </c>
      <c r="U1240" s="154" t="s">
        <v>64</v>
      </c>
      <c r="V1240" s="154" t="s">
        <v>64</v>
      </c>
      <c r="W1240" s="154" t="s">
        <v>64</v>
      </c>
      <c r="X1240" s="154" t="s">
        <v>66</v>
      </c>
      <c r="Y1240" s="154" t="s">
        <v>64</v>
      </c>
      <c r="Z1240" s="154" t="s">
        <v>64</v>
      </c>
      <c r="AA1240" s="154"/>
      <c r="AB1240" s="242" t="str">
        <f t="shared" si="2"/>
        <v>#ERROR!</v>
      </c>
      <c r="AC1240" s="154" t="s">
        <v>391</v>
      </c>
      <c r="AD1240" s="242" t="b">
        <f t="shared" si="3"/>
        <v>0</v>
      </c>
      <c r="AE1240" s="154"/>
      <c r="AF1240" s="242" t="str">
        <f t="shared" si="4"/>
        <v>#ERROR!</v>
      </c>
      <c r="AG1240" s="154" t="s">
        <v>652</v>
      </c>
      <c r="AH1240" s="242" t="str">
        <f>IF(AG1240="","N/A",INDIRECT("MTR!"&amp;ADDRESS(MATCH(LEFT(AG1240,9),[1]MTR!C:C,0),COLUMN(J1240)),TRUE) &amp; "")</f>
        <v>#ERROR!</v>
      </c>
      <c r="AI1240" s="157" t="str">
        <f t="shared" si="5"/>
        <v>#ERROR!</v>
      </c>
    </row>
    <row r="1241" ht="12.75" customHeight="1">
      <c r="A1241" s="244" t="s">
        <v>5158</v>
      </c>
      <c r="B1241" s="244" t="s">
        <v>231</v>
      </c>
      <c r="C1241" s="244" t="s">
        <v>9921</v>
      </c>
      <c r="D1241" s="154" t="s">
        <v>1773</v>
      </c>
      <c r="E1241" s="154"/>
      <c r="F1241" s="154" t="str">
        <f t="array" ref="F1241">XLOOKUP(Cover!$D$12,$R$1:$Z$1,$R1241:$Z1241)</f>
        <v>Recommended</v>
      </c>
      <c r="G1241" s="154" t="s">
        <v>9922</v>
      </c>
      <c r="H1241" s="154" t="s">
        <v>9053</v>
      </c>
      <c r="I1241" s="154" t="s">
        <v>9918</v>
      </c>
      <c r="J1241" s="154" t="s">
        <v>8979</v>
      </c>
      <c r="K1241" s="154" t="s">
        <v>9003</v>
      </c>
      <c r="L1241" s="154" t="s">
        <v>7175</v>
      </c>
      <c r="M1241" s="154"/>
      <c r="N1241" s="154" t="s">
        <v>759</v>
      </c>
      <c r="O1241" s="247" t="s">
        <v>516</v>
      </c>
      <c r="P1241" s="247" t="s">
        <v>6776</v>
      </c>
      <c r="Q1241" s="154" t="str">
        <f t="shared" si="1"/>
        <v>#ERROR!</v>
      </c>
      <c r="R1241" s="154" t="s">
        <v>66</v>
      </c>
      <c r="S1241" s="154" t="s">
        <v>66</v>
      </c>
      <c r="T1241" s="154" t="s">
        <v>64</v>
      </c>
      <c r="U1241" s="154" t="s">
        <v>64</v>
      </c>
      <c r="V1241" s="154" t="s">
        <v>64</v>
      </c>
      <c r="W1241" s="154" t="s">
        <v>64</v>
      </c>
      <c r="X1241" s="154" t="s">
        <v>66</v>
      </c>
      <c r="Y1241" s="154" t="s">
        <v>64</v>
      </c>
      <c r="Z1241" s="154" t="s">
        <v>64</v>
      </c>
      <c r="AA1241" s="154"/>
      <c r="AB1241" s="242" t="str">
        <f t="shared" si="2"/>
        <v>#ERROR!</v>
      </c>
      <c r="AC1241" s="154" t="s">
        <v>391</v>
      </c>
      <c r="AD1241" s="242" t="b">
        <f t="shared" si="3"/>
        <v>0</v>
      </c>
      <c r="AE1241" s="154"/>
      <c r="AF1241" s="242" t="str">
        <f t="shared" si="4"/>
        <v>#ERROR!</v>
      </c>
      <c r="AG1241" s="154" t="s">
        <v>652</v>
      </c>
      <c r="AH1241" s="242" t="str">
        <f>IF(AG1241="","N/A",INDIRECT("MTR!"&amp;ADDRESS(MATCH(LEFT(AG1241,9),[1]MTR!C:C,0),COLUMN(J1241)),TRUE) &amp; "")</f>
        <v>#ERROR!</v>
      </c>
      <c r="AI1241" s="157" t="str">
        <f t="shared" si="5"/>
        <v>#ERROR!</v>
      </c>
    </row>
    <row r="1242" ht="12.75" customHeight="1">
      <c r="A1242" s="244" t="s">
        <v>5158</v>
      </c>
      <c r="B1242" s="244" t="s">
        <v>231</v>
      </c>
      <c r="C1242" s="244" t="s">
        <v>9923</v>
      </c>
      <c r="D1242" s="154" t="s">
        <v>1773</v>
      </c>
      <c r="E1242" s="154"/>
      <c r="F1242" s="154" t="str">
        <f t="array" ref="F1242">XLOOKUP(Cover!$D$12,$R$1:$Z$1,$R1242:$Z1242)</f>
        <v>Recommended</v>
      </c>
      <c r="G1242" s="154" t="s">
        <v>9924</v>
      </c>
      <c r="H1242" s="154" t="s">
        <v>9009</v>
      </c>
      <c r="I1242" s="154" t="s">
        <v>9918</v>
      </c>
      <c r="J1242" s="154" t="s">
        <v>8979</v>
      </c>
      <c r="K1242" s="154" t="s">
        <v>9003</v>
      </c>
      <c r="L1242" s="154" t="s">
        <v>7175</v>
      </c>
      <c r="M1242" s="154"/>
      <c r="N1242" s="154" t="s">
        <v>759</v>
      </c>
      <c r="O1242" s="247" t="s">
        <v>516</v>
      </c>
      <c r="P1242" s="247" t="s">
        <v>6776</v>
      </c>
      <c r="Q1242" s="154" t="str">
        <f t="shared" si="1"/>
        <v>#ERROR!</v>
      </c>
      <c r="R1242" s="154" t="s">
        <v>66</v>
      </c>
      <c r="S1242" s="154" t="s">
        <v>66</v>
      </c>
      <c r="T1242" s="154" t="s">
        <v>64</v>
      </c>
      <c r="U1242" s="154" t="s">
        <v>64</v>
      </c>
      <c r="V1242" s="154" t="s">
        <v>64</v>
      </c>
      <c r="W1242" s="154" t="s">
        <v>64</v>
      </c>
      <c r="X1242" s="154" t="s">
        <v>66</v>
      </c>
      <c r="Y1242" s="154" t="s">
        <v>64</v>
      </c>
      <c r="Z1242" s="154" t="s">
        <v>64</v>
      </c>
      <c r="AA1242" s="154"/>
      <c r="AB1242" s="242" t="str">
        <f t="shared" si="2"/>
        <v>#ERROR!</v>
      </c>
      <c r="AC1242" s="154" t="s">
        <v>391</v>
      </c>
      <c r="AD1242" s="242" t="b">
        <f t="shared" si="3"/>
        <v>0</v>
      </c>
      <c r="AE1242" s="154"/>
      <c r="AF1242" s="242" t="str">
        <f t="shared" si="4"/>
        <v>#ERROR!</v>
      </c>
      <c r="AG1242" s="154" t="s">
        <v>652</v>
      </c>
      <c r="AH1242" s="242" t="str">
        <f>IF(AG1242="","N/A",INDIRECT("MTR!"&amp;ADDRESS(MATCH(LEFT(AG1242,9),[1]MTR!C:C,0),COLUMN(J1242)),TRUE) &amp; "")</f>
        <v>#ERROR!</v>
      </c>
      <c r="AI1242" s="157" t="str">
        <f t="shared" si="5"/>
        <v>#ERROR!</v>
      </c>
    </row>
    <row r="1243" ht="12.75" customHeight="1">
      <c r="A1243" s="244" t="s">
        <v>5158</v>
      </c>
      <c r="B1243" s="244" t="s">
        <v>231</v>
      </c>
      <c r="C1243" s="255" t="s">
        <v>9925</v>
      </c>
      <c r="D1243" s="256" t="s">
        <v>42</v>
      </c>
      <c r="E1243" s="256" t="s">
        <v>489</v>
      </c>
      <c r="F1243" s="154" t="str">
        <f t="array" ref="F1243">XLOOKUP(Cover!$D$12,$R$1:$Z$1,$R1243:$Z1243)</f>
        <v>Information</v>
      </c>
      <c r="G1243" s="154" t="s">
        <v>9926</v>
      </c>
      <c r="H1243" s="154" t="s">
        <v>9002</v>
      </c>
      <c r="I1243" s="154" t="s">
        <v>9927</v>
      </c>
      <c r="J1243" s="154" t="s">
        <v>9928</v>
      </c>
      <c r="K1243" s="154" t="s">
        <v>9003</v>
      </c>
      <c r="L1243" s="154" t="s">
        <v>6220</v>
      </c>
      <c r="M1243" s="154"/>
      <c r="N1243" s="154" t="s">
        <v>759</v>
      </c>
      <c r="O1243" s="247" t="s">
        <v>516</v>
      </c>
      <c r="P1243" s="247" t="s">
        <v>6776</v>
      </c>
      <c r="Q1243" s="154" t="str">
        <f t="shared" si="1"/>
        <v>#ERROR!</v>
      </c>
      <c r="R1243" s="154" t="s">
        <v>66</v>
      </c>
      <c r="S1243" s="154" t="s">
        <v>66</v>
      </c>
      <c r="T1243" s="154" t="s">
        <v>66</v>
      </c>
      <c r="U1243" s="154" t="s">
        <v>66</v>
      </c>
      <c r="V1243" s="154" t="s">
        <v>66</v>
      </c>
      <c r="W1243" s="154" t="s">
        <v>66</v>
      </c>
      <c r="X1243" s="154" t="s">
        <v>66</v>
      </c>
      <c r="Y1243" s="154" t="s">
        <v>66</v>
      </c>
      <c r="Z1243" s="154" t="s">
        <v>66</v>
      </c>
      <c r="AA1243" s="154"/>
      <c r="AB1243" s="242" t="str">
        <f t="shared" si="2"/>
        <v>#ERROR!</v>
      </c>
      <c r="AC1243" s="154" t="s">
        <v>391</v>
      </c>
      <c r="AD1243" s="242" t="b">
        <f t="shared" si="3"/>
        <v>0</v>
      </c>
      <c r="AE1243" s="154"/>
      <c r="AF1243" s="242" t="str">
        <f t="shared" si="4"/>
        <v>#ERROR!</v>
      </c>
      <c r="AG1243" s="154" t="s">
        <v>652</v>
      </c>
      <c r="AH1243" s="242" t="str">
        <f>IF(AG1243="","N/A",INDIRECT("MTR!"&amp;ADDRESS(MATCH(LEFT(AG1243,9),[1]MTR!C:C,0),COLUMN(J1243)),TRUE) &amp; "")</f>
        <v>#ERROR!</v>
      </c>
      <c r="AI1243" s="157" t="str">
        <f t="shared" si="5"/>
        <v>#ERROR!</v>
      </c>
    </row>
    <row r="1244" ht="12.75" customHeight="1">
      <c r="A1244" s="244" t="s">
        <v>5158</v>
      </c>
      <c r="B1244" s="244" t="s">
        <v>231</v>
      </c>
      <c r="C1244" s="255" t="s">
        <v>9929</v>
      </c>
      <c r="D1244" s="256" t="s">
        <v>42</v>
      </c>
      <c r="E1244" s="256" t="s">
        <v>489</v>
      </c>
      <c r="F1244" s="154" t="str">
        <f t="array" ref="F1244">XLOOKUP(Cover!$D$12,$R$1:$Z$1,$R1244:$Z1244)</f>
        <v>Information</v>
      </c>
      <c r="G1244" s="154" t="s">
        <v>9930</v>
      </c>
      <c r="H1244" s="154" t="s">
        <v>9006</v>
      </c>
      <c r="I1244" s="154" t="s">
        <v>9927</v>
      </c>
      <c r="J1244" s="154" t="s">
        <v>9928</v>
      </c>
      <c r="K1244" s="154" t="s">
        <v>9003</v>
      </c>
      <c r="L1244" s="154" t="s">
        <v>6220</v>
      </c>
      <c r="M1244" s="154"/>
      <c r="N1244" s="154" t="s">
        <v>759</v>
      </c>
      <c r="O1244" s="247" t="s">
        <v>516</v>
      </c>
      <c r="P1244" s="247" t="s">
        <v>6776</v>
      </c>
      <c r="Q1244" s="154" t="str">
        <f t="shared" si="1"/>
        <v>#ERROR!</v>
      </c>
      <c r="R1244" s="154" t="s">
        <v>66</v>
      </c>
      <c r="S1244" s="154" t="s">
        <v>66</v>
      </c>
      <c r="T1244" s="154" t="s">
        <v>66</v>
      </c>
      <c r="U1244" s="154" t="s">
        <v>66</v>
      </c>
      <c r="V1244" s="154" t="s">
        <v>66</v>
      </c>
      <c r="W1244" s="154" t="s">
        <v>66</v>
      </c>
      <c r="X1244" s="154" t="s">
        <v>66</v>
      </c>
      <c r="Y1244" s="154" t="s">
        <v>66</v>
      </c>
      <c r="Z1244" s="154" t="s">
        <v>66</v>
      </c>
      <c r="AA1244" s="154"/>
      <c r="AB1244" s="242" t="str">
        <f t="shared" si="2"/>
        <v>#ERROR!</v>
      </c>
      <c r="AC1244" s="154" t="s">
        <v>391</v>
      </c>
      <c r="AD1244" s="242" t="b">
        <f t="shared" si="3"/>
        <v>0</v>
      </c>
      <c r="AE1244" s="154"/>
      <c r="AF1244" s="242" t="str">
        <f t="shared" si="4"/>
        <v>#ERROR!</v>
      </c>
      <c r="AG1244" s="154" t="s">
        <v>652</v>
      </c>
      <c r="AH1244" s="242" t="str">
        <f>IF(AG1244="","N/A",INDIRECT("MTR!"&amp;ADDRESS(MATCH(LEFT(AG1244,9),[1]MTR!C:C,0),COLUMN(J1244)),TRUE) &amp; "")</f>
        <v>#ERROR!</v>
      </c>
      <c r="AI1244" s="157" t="str">
        <f t="shared" si="5"/>
        <v>#ERROR!</v>
      </c>
    </row>
    <row r="1245" ht="12.75" customHeight="1">
      <c r="A1245" s="244" t="s">
        <v>5158</v>
      </c>
      <c r="B1245" s="244" t="s">
        <v>231</v>
      </c>
      <c r="C1245" s="255" t="s">
        <v>9931</v>
      </c>
      <c r="D1245" s="256" t="s">
        <v>42</v>
      </c>
      <c r="E1245" s="256" t="s">
        <v>489</v>
      </c>
      <c r="F1245" s="154" t="str">
        <f t="array" ref="F1245">XLOOKUP(Cover!$D$12,$R$1:$Z$1,$R1245:$Z1245)</f>
        <v>Information</v>
      </c>
      <c r="G1245" s="154" t="s">
        <v>9932</v>
      </c>
      <c r="H1245" s="154" t="s">
        <v>9015</v>
      </c>
      <c r="I1245" s="154" t="s">
        <v>9927</v>
      </c>
      <c r="J1245" s="154" t="s">
        <v>9928</v>
      </c>
      <c r="K1245" s="154" t="s">
        <v>9003</v>
      </c>
      <c r="L1245" s="154" t="s">
        <v>6220</v>
      </c>
      <c r="M1245" s="154"/>
      <c r="N1245" s="154" t="s">
        <v>759</v>
      </c>
      <c r="O1245" s="247" t="s">
        <v>516</v>
      </c>
      <c r="P1245" s="247" t="s">
        <v>6776</v>
      </c>
      <c r="Q1245" s="154" t="str">
        <f t="shared" si="1"/>
        <v>#ERROR!</v>
      </c>
      <c r="R1245" s="154" t="s">
        <v>66</v>
      </c>
      <c r="S1245" s="154" t="s">
        <v>66</v>
      </c>
      <c r="T1245" s="154" t="s">
        <v>66</v>
      </c>
      <c r="U1245" s="154" t="s">
        <v>66</v>
      </c>
      <c r="V1245" s="154" t="s">
        <v>66</v>
      </c>
      <c r="W1245" s="154" t="s">
        <v>66</v>
      </c>
      <c r="X1245" s="154" t="s">
        <v>66</v>
      </c>
      <c r="Y1245" s="154" t="s">
        <v>66</v>
      </c>
      <c r="Z1245" s="154" t="s">
        <v>66</v>
      </c>
      <c r="AA1245" s="154"/>
      <c r="AB1245" s="242" t="str">
        <f t="shared" si="2"/>
        <v>#ERROR!</v>
      </c>
      <c r="AC1245" s="154" t="s">
        <v>391</v>
      </c>
      <c r="AD1245" s="242" t="b">
        <f t="shared" si="3"/>
        <v>0</v>
      </c>
      <c r="AE1245" s="154"/>
      <c r="AF1245" s="242" t="str">
        <f t="shared" si="4"/>
        <v>#ERROR!</v>
      </c>
      <c r="AG1245" s="154" t="s">
        <v>652</v>
      </c>
      <c r="AH1245" s="242" t="str">
        <f>IF(AG1245="","N/A",INDIRECT("MTR!"&amp;ADDRESS(MATCH(LEFT(AG1245,9),[1]MTR!C:C,0),COLUMN(J1245)),TRUE) &amp; "")</f>
        <v>#ERROR!</v>
      </c>
      <c r="AI1245" s="157" t="str">
        <f t="shared" si="5"/>
        <v>#ERROR!</v>
      </c>
    </row>
    <row r="1246" ht="12.75" customHeight="1">
      <c r="A1246" s="244" t="s">
        <v>5158</v>
      </c>
      <c r="B1246" s="244" t="s">
        <v>231</v>
      </c>
      <c r="C1246" s="255" t="s">
        <v>9933</v>
      </c>
      <c r="D1246" s="256" t="s">
        <v>42</v>
      </c>
      <c r="E1246" s="256" t="s">
        <v>489</v>
      </c>
      <c r="F1246" s="154" t="str">
        <f t="array" ref="F1246">XLOOKUP(Cover!$D$12,$R$1:$Z$1,$R1246:$Z1246)</f>
        <v>Information</v>
      </c>
      <c r="G1246" s="154" t="s">
        <v>9934</v>
      </c>
      <c r="H1246" s="154" t="s">
        <v>1541</v>
      </c>
      <c r="I1246" s="154" t="s">
        <v>9927</v>
      </c>
      <c r="J1246" s="154" t="s">
        <v>9928</v>
      </c>
      <c r="K1246" s="154" t="s">
        <v>9003</v>
      </c>
      <c r="L1246" s="154" t="s">
        <v>6220</v>
      </c>
      <c r="M1246" s="154"/>
      <c r="N1246" s="154" t="s">
        <v>759</v>
      </c>
      <c r="O1246" s="247" t="s">
        <v>516</v>
      </c>
      <c r="P1246" s="247" t="s">
        <v>6776</v>
      </c>
      <c r="Q1246" s="154" t="str">
        <f t="shared" si="1"/>
        <v>#ERROR!</v>
      </c>
      <c r="R1246" s="154" t="s">
        <v>66</v>
      </c>
      <c r="S1246" s="154" t="s">
        <v>66</v>
      </c>
      <c r="T1246" s="154" t="s">
        <v>66</v>
      </c>
      <c r="U1246" s="154" t="s">
        <v>66</v>
      </c>
      <c r="V1246" s="154" t="s">
        <v>66</v>
      </c>
      <c r="W1246" s="154" t="s">
        <v>66</v>
      </c>
      <c r="X1246" s="154" t="s">
        <v>66</v>
      </c>
      <c r="Y1246" s="154" t="s">
        <v>66</v>
      </c>
      <c r="Z1246" s="154" t="s">
        <v>66</v>
      </c>
      <c r="AA1246" s="154"/>
      <c r="AB1246" s="242" t="str">
        <f t="shared" si="2"/>
        <v>#ERROR!</v>
      </c>
      <c r="AC1246" s="154" t="s">
        <v>391</v>
      </c>
      <c r="AD1246" s="242" t="b">
        <f t="shared" si="3"/>
        <v>0</v>
      </c>
      <c r="AE1246" s="154"/>
      <c r="AF1246" s="242" t="str">
        <f t="shared" si="4"/>
        <v>#ERROR!</v>
      </c>
      <c r="AG1246" s="154" t="s">
        <v>652</v>
      </c>
      <c r="AH1246" s="242" t="str">
        <f>IF(AG1246="","N/A",INDIRECT("MTR!"&amp;ADDRESS(MATCH(LEFT(AG1246,9),[1]MTR!C:C,0),COLUMN(J1246)),TRUE) &amp; "")</f>
        <v>#ERROR!</v>
      </c>
      <c r="AI1246" s="157" t="str">
        <f t="shared" si="5"/>
        <v>#ERROR!</v>
      </c>
    </row>
    <row r="1247" ht="12.75" customHeight="1">
      <c r="A1247" s="244" t="s">
        <v>5158</v>
      </c>
      <c r="B1247" s="244" t="s">
        <v>231</v>
      </c>
      <c r="C1247" s="255" t="s">
        <v>9935</v>
      </c>
      <c r="D1247" s="256" t="s">
        <v>42</v>
      </c>
      <c r="E1247" s="256" t="s">
        <v>489</v>
      </c>
      <c r="F1247" s="154" t="str">
        <f t="array" ref="F1247">XLOOKUP(Cover!$D$12,$R$1:$Z$1,$R1247:$Z1247)</f>
        <v>Information</v>
      </c>
      <c r="G1247" s="154" t="s">
        <v>9936</v>
      </c>
      <c r="H1247" s="154" t="s">
        <v>9002</v>
      </c>
      <c r="I1247" s="154" t="s">
        <v>9937</v>
      </c>
      <c r="J1247" s="154" t="s">
        <v>9938</v>
      </c>
      <c r="K1247" s="154" t="s">
        <v>9003</v>
      </c>
      <c r="L1247" s="154" t="s">
        <v>5931</v>
      </c>
      <c r="M1247" s="154"/>
      <c r="N1247" s="154" t="s">
        <v>759</v>
      </c>
      <c r="O1247" s="247" t="s">
        <v>516</v>
      </c>
      <c r="P1247" s="247" t="s">
        <v>6776</v>
      </c>
      <c r="Q1247" s="154" t="str">
        <f t="shared" si="1"/>
        <v>#ERROR!</v>
      </c>
      <c r="R1247" s="154" t="s">
        <v>66</v>
      </c>
      <c r="S1247" s="154" t="s">
        <v>66</v>
      </c>
      <c r="T1247" s="154" t="s">
        <v>66</v>
      </c>
      <c r="U1247" s="154" t="s">
        <v>66</v>
      </c>
      <c r="V1247" s="154" t="s">
        <v>66</v>
      </c>
      <c r="W1247" s="154" t="s">
        <v>66</v>
      </c>
      <c r="X1247" s="154" t="s">
        <v>66</v>
      </c>
      <c r="Y1247" s="154" t="s">
        <v>66</v>
      </c>
      <c r="Z1247" s="154" t="s">
        <v>66</v>
      </c>
      <c r="AA1247" s="154"/>
      <c r="AB1247" s="242" t="str">
        <f t="shared" si="2"/>
        <v>#ERROR!</v>
      </c>
      <c r="AC1247" s="154" t="s">
        <v>391</v>
      </c>
      <c r="AD1247" s="242" t="b">
        <f t="shared" si="3"/>
        <v>0</v>
      </c>
      <c r="AE1247" s="154"/>
      <c r="AF1247" s="242" t="str">
        <f t="shared" si="4"/>
        <v>#ERROR!</v>
      </c>
      <c r="AG1247" s="154" t="s">
        <v>652</v>
      </c>
      <c r="AH1247" s="242" t="str">
        <f>IF(AG1247="","N/A",INDIRECT("MTR!"&amp;ADDRESS(MATCH(LEFT(AG1247,9),[1]MTR!C:C,0),COLUMN(J1247)),TRUE) &amp; "")</f>
        <v>#ERROR!</v>
      </c>
      <c r="AI1247" s="157" t="str">
        <f t="shared" si="5"/>
        <v>#ERROR!</v>
      </c>
    </row>
    <row r="1248" ht="12.75" customHeight="1">
      <c r="A1248" s="244" t="s">
        <v>5158</v>
      </c>
      <c r="B1248" s="244" t="s">
        <v>231</v>
      </c>
      <c r="C1248" s="255" t="s">
        <v>9939</v>
      </c>
      <c r="D1248" s="256" t="s">
        <v>42</v>
      </c>
      <c r="E1248" s="256" t="s">
        <v>489</v>
      </c>
      <c r="F1248" s="154" t="str">
        <f t="array" ref="F1248">XLOOKUP(Cover!$D$12,$R$1:$Z$1,$R1248:$Z1248)</f>
        <v>Information</v>
      </c>
      <c r="G1248" s="154" t="s">
        <v>9940</v>
      </c>
      <c r="H1248" s="154" t="s">
        <v>9006</v>
      </c>
      <c r="I1248" s="154" t="s">
        <v>9937</v>
      </c>
      <c r="J1248" s="154" t="s">
        <v>9938</v>
      </c>
      <c r="K1248" s="154" t="s">
        <v>9003</v>
      </c>
      <c r="L1248" s="154" t="s">
        <v>5931</v>
      </c>
      <c r="M1248" s="154"/>
      <c r="N1248" s="154" t="s">
        <v>759</v>
      </c>
      <c r="O1248" s="247" t="s">
        <v>516</v>
      </c>
      <c r="P1248" s="247" t="s">
        <v>6776</v>
      </c>
      <c r="Q1248" s="154" t="str">
        <f t="shared" si="1"/>
        <v>#ERROR!</v>
      </c>
      <c r="R1248" s="154" t="s">
        <v>66</v>
      </c>
      <c r="S1248" s="154" t="s">
        <v>66</v>
      </c>
      <c r="T1248" s="154" t="s">
        <v>66</v>
      </c>
      <c r="U1248" s="154" t="s">
        <v>66</v>
      </c>
      <c r="V1248" s="154" t="s">
        <v>66</v>
      </c>
      <c r="W1248" s="154" t="s">
        <v>66</v>
      </c>
      <c r="X1248" s="154" t="s">
        <v>66</v>
      </c>
      <c r="Y1248" s="154" t="s">
        <v>66</v>
      </c>
      <c r="Z1248" s="154" t="s">
        <v>66</v>
      </c>
      <c r="AA1248" s="154"/>
      <c r="AB1248" s="242" t="str">
        <f t="shared" si="2"/>
        <v>#ERROR!</v>
      </c>
      <c r="AC1248" s="154" t="s">
        <v>391</v>
      </c>
      <c r="AD1248" s="242" t="b">
        <f t="shared" si="3"/>
        <v>0</v>
      </c>
      <c r="AE1248" s="154"/>
      <c r="AF1248" s="242" t="str">
        <f t="shared" si="4"/>
        <v>#ERROR!</v>
      </c>
      <c r="AG1248" s="154" t="s">
        <v>652</v>
      </c>
      <c r="AH1248" s="242" t="str">
        <f>IF(AG1248="","N/A",INDIRECT("MTR!"&amp;ADDRESS(MATCH(LEFT(AG1248,9),[1]MTR!C:C,0),COLUMN(J1248)),TRUE) &amp; "")</f>
        <v>#ERROR!</v>
      </c>
      <c r="AI1248" s="157" t="str">
        <f t="shared" si="5"/>
        <v>#ERROR!</v>
      </c>
    </row>
    <row r="1249" ht="12.75" customHeight="1">
      <c r="A1249" s="244" t="s">
        <v>5158</v>
      </c>
      <c r="B1249" s="244" t="s">
        <v>231</v>
      </c>
      <c r="C1249" s="255" t="s">
        <v>9941</v>
      </c>
      <c r="D1249" s="256" t="s">
        <v>42</v>
      </c>
      <c r="E1249" s="256" t="s">
        <v>489</v>
      </c>
      <c r="F1249" s="154" t="str">
        <f t="array" ref="F1249">XLOOKUP(Cover!$D$12,$R$1:$Z$1,$R1249:$Z1249)</f>
        <v>Information</v>
      </c>
      <c r="G1249" s="154" t="s">
        <v>9942</v>
      </c>
      <c r="H1249" s="154" t="s">
        <v>9009</v>
      </c>
      <c r="I1249" s="154" t="s">
        <v>9937</v>
      </c>
      <c r="J1249" s="154" t="s">
        <v>9938</v>
      </c>
      <c r="K1249" s="154" t="s">
        <v>9003</v>
      </c>
      <c r="L1249" s="154" t="s">
        <v>5931</v>
      </c>
      <c r="M1249" s="154"/>
      <c r="N1249" s="154" t="s">
        <v>759</v>
      </c>
      <c r="O1249" s="247" t="s">
        <v>516</v>
      </c>
      <c r="P1249" s="247" t="s">
        <v>6776</v>
      </c>
      <c r="Q1249" s="154" t="str">
        <f t="shared" si="1"/>
        <v>#ERROR!</v>
      </c>
      <c r="R1249" s="154" t="s">
        <v>66</v>
      </c>
      <c r="S1249" s="154" t="s">
        <v>66</v>
      </c>
      <c r="T1249" s="154" t="s">
        <v>66</v>
      </c>
      <c r="U1249" s="154" t="s">
        <v>66</v>
      </c>
      <c r="V1249" s="154" t="s">
        <v>66</v>
      </c>
      <c r="W1249" s="154" t="s">
        <v>66</v>
      </c>
      <c r="X1249" s="154" t="s">
        <v>66</v>
      </c>
      <c r="Y1249" s="154" t="s">
        <v>66</v>
      </c>
      <c r="Z1249" s="154" t="s">
        <v>66</v>
      </c>
      <c r="AA1249" s="154"/>
      <c r="AB1249" s="242" t="str">
        <f t="shared" si="2"/>
        <v>#ERROR!</v>
      </c>
      <c r="AC1249" s="154" t="s">
        <v>391</v>
      </c>
      <c r="AD1249" s="242" t="b">
        <f t="shared" si="3"/>
        <v>0</v>
      </c>
      <c r="AE1249" s="154"/>
      <c r="AF1249" s="242" t="str">
        <f t="shared" si="4"/>
        <v>#ERROR!</v>
      </c>
      <c r="AG1249" s="154" t="s">
        <v>652</v>
      </c>
      <c r="AH1249" s="242" t="str">
        <f>IF(AG1249="","N/A",INDIRECT("MTR!"&amp;ADDRESS(MATCH(LEFT(AG1249,9),[1]MTR!C:C,0),COLUMN(J1249)),TRUE) &amp; "")</f>
        <v>#ERROR!</v>
      </c>
      <c r="AI1249" s="157" t="str">
        <f t="shared" si="5"/>
        <v>#ERROR!</v>
      </c>
    </row>
    <row r="1250" ht="12.75" customHeight="1">
      <c r="A1250" s="244" t="s">
        <v>5158</v>
      </c>
      <c r="B1250" s="244" t="s">
        <v>231</v>
      </c>
      <c r="C1250" s="255" t="s">
        <v>9943</v>
      </c>
      <c r="D1250" s="256" t="s">
        <v>42</v>
      </c>
      <c r="E1250" s="256" t="s">
        <v>489</v>
      </c>
      <c r="F1250" s="154" t="str">
        <f t="array" ref="F1250">XLOOKUP(Cover!$D$12,$R$1:$Z$1,$R1250:$Z1250)</f>
        <v>Information</v>
      </c>
      <c r="G1250" s="154" t="s">
        <v>9944</v>
      </c>
      <c r="H1250" s="154" t="s">
        <v>9015</v>
      </c>
      <c r="I1250" s="154" t="s">
        <v>9937</v>
      </c>
      <c r="J1250" s="154" t="s">
        <v>9938</v>
      </c>
      <c r="K1250" s="154" t="s">
        <v>9003</v>
      </c>
      <c r="L1250" s="154" t="s">
        <v>5931</v>
      </c>
      <c r="M1250" s="154"/>
      <c r="N1250" s="154" t="s">
        <v>759</v>
      </c>
      <c r="O1250" s="247" t="s">
        <v>516</v>
      </c>
      <c r="P1250" s="247" t="s">
        <v>6776</v>
      </c>
      <c r="Q1250" s="154" t="str">
        <f t="shared" si="1"/>
        <v>#ERROR!</v>
      </c>
      <c r="R1250" s="154" t="s">
        <v>66</v>
      </c>
      <c r="S1250" s="154" t="s">
        <v>66</v>
      </c>
      <c r="T1250" s="154" t="s">
        <v>66</v>
      </c>
      <c r="U1250" s="154" t="s">
        <v>66</v>
      </c>
      <c r="V1250" s="154" t="s">
        <v>66</v>
      </c>
      <c r="W1250" s="154" t="s">
        <v>66</v>
      </c>
      <c r="X1250" s="154" t="s">
        <v>66</v>
      </c>
      <c r="Y1250" s="154" t="s">
        <v>66</v>
      </c>
      <c r="Z1250" s="154" t="s">
        <v>66</v>
      </c>
      <c r="AA1250" s="154"/>
      <c r="AB1250" s="242" t="str">
        <f t="shared" si="2"/>
        <v>#ERROR!</v>
      </c>
      <c r="AC1250" s="154" t="s">
        <v>391</v>
      </c>
      <c r="AD1250" s="242" t="b">
        <f t="shared" si="3"/>
        <v>0</v>
      </c>
      <c r="AE1250" s="154"/>
      <c r="AF1250" s="242" t="str">
        <f t="shared" si="4"/>
        <v>#ERROR!</v>
      </c>
      <c r="AG1250" s="154" t="s">
        <v>652</v>
      </c>
      <c r="AH1250" s="242" t="str">
        <f>IF(AG1250="","N/A",INDIRECT("MTR!"&amp;ADDRESS(MATCH(LEFT(AG1250,9),[1]MTR!C:C,0),COLUMN(J1250)),TRUE) &amp; "")</f>
        <v>#ERROR!</v>
      </c>
      <c r="AI1250" s="157" t="str">
        <f t="shared" si="5"/>
        <v>#ERROR!</v>
      </c>
    </row>
    <row r="1251" ht="12.75" customHeight="1">
      <c r="A1251" s="244" t="s">
        <v>5158</v>
      </c>
      <c r="B1251" s="244" t="s">
        <v>231</v>
      </c>
      <c r="C1251" s="244" t="s">
        <v>9945</v>
      </c>
      <c r="D1251" s="154" t="s">
        <v>781</v>
      </c>
      <c r="E1251" s="154"/>
      <c r="F1251" s="154" t="str">
        <f t="array" ref="F1251">XLOOKUP(Cover!$D$12,$R$1:$Z$1,$R1251:$Z1251)</f>
        <v>Recommended</v>
      </c>
      <c r="G1251" s="154" t="s">
        <v>9946</v>
      </c>
      <c r="H1251" s="154" t="s">
        <v>9002</v>
      </c>
      <c r="I1251" s="154" t="s">
        <v>9947</v>
      </c>
      <c r="J1251" s="154" t="s">
        <v>7775</v>
      </c>
      <c r="K1251" s="154" t="s">
        <v>9003</v>
      </c>
      <c r="L1251" s="154" t="s">
        <v>6232</v>
      </c>
      <c r="M1251" s="154"/>
      <c r="N1251" s="154" t="s">
        <v>759</v>
      </c>
      <c r="O1251" s="247" t="s">
        <v>516</v>
      </c>
      <c r="P1251" s="247" t="s">
        <v>6776</v>
      </c>
      <c r="Q1251" s="154" t="str">
        <f t="shared" si="1"/>
        <v>#ERROR!</v>
      </c>
      <c r="R1251" s="154" t="s">
        <v>66</v>
      </c>
      <c r="S1251" s="154" t="s">
        <v>66</v>
      </c>
      <c r="T1251" s="154" t="s">
        <v>64</v>
      </c>
      <c r="U1251" s="154" t="s">
        <v>64</v>
      </c>
      <c r="V1251" s="154" t="s">
        <v>64</v>
      </c>
      <c r="W1251" s="154" t="s">
        <v>64</v>
      </c>
      <c r="X1251" s="154" t="s">
        <v>66</v>
      </c>
      <c r="Y1251" s="154" t="s">
        <v>64</v>
      </c>
      <c r="Z1251" s="154" t="s">
        <v>64</v>
      </c>
      <c r="AA1251" s="154"/>
      <c r="AB1251" s="242" t="str">
        <f t="shared" si="2"/>
        <v>#ERROR!</v>
      </c>
      <c r="AC1251" s="154" t="s">
        <v>391</v>
      </c>
      <c r="AD1251" s="242" t="b">
        <f t="shared" si="3"/>
        <v>0</v>
      </c>
      <c r="AE1251" s="154"/>
      <c r="AF1251" s="242" t="str">
        <f t="shared" si="4"/>
        <v>#ERROR!</v>
      </c>
      <c r="AG1251" s="154" t="s">
        <v>652</v>
      </c>
      <c r="AH1251" s="242" t="str">
        <f>IF(AG1251="","N/A",INDIRECT("MTR!"&amp;ADDRESS(MATCH(LEFT(AG1251,9),[1]MTR!C:C,0),COLUMN(J1251)),TRUE) &amp; "")</f>
        <v>#ERROR!</v>
      </c>
      <c r="AI1251" s="157" t="str">
        <f t="shared" si="5"/>
        <v>#ERROR!</v>
      </c>
    </row>
    <row r="1252" ht="12.75" customHeight="1">
      <c r="A1252" s="244" t="s">
        <v>5158</v>
      </c>
      <c r="B1252" s="244" t="s">
        <v>231</v>
      </c>
      <c r="C1252" s="244" t="s">
        <v>9948</v>
      </c>
      <c r="D1252" s="154" t="s">
        <v>781</v>
      </c>
      <c r="E1252" s="154"/>
      <c r="F1252" s="154" t="str">
        <f t="array" ref="F1252">XLOOKUP(Cover!$D$12,$R$1:$Z$1,$R1252:$Z1252)</f>
        <v>Recommended</v>
      </c>
      <c r="G1252" s="154" t="s">
        <v>9949</v>
      </c>
      <c r="H1252" s="154" t="s">
        <v>9006</v>
      </c>
      <c r="I1252" s="154" t="s">
        <v>9947</v>
      </c>
      <c r="J1252" s="154" t="s">
        <v>7775</v>
      </c>
      <c r="K1252" s="154" t="s">
        <v>9003</v>
      </c>
      <c r="L1252" s="154" t="s">
        <v>6232</v>
      </c>
      <c r="M1252" s="154"/>
      <c r="N1252" s="154" t="s">
        <v>759</v>
      </c>
      <c r="O1252" s="247" t="s">
        <v>516</v>
      </c>
      <c r="P1252" s="247" t="s">
        <v>6776</v>
      </c>
      <c r="Q1252" s="154" t="str">
        <f t="shared" si="1"/>
        <v>#ERROR!</v>
      </c>
      <c r="R1252" s="154" t="s">
        <v>66</v>
      </c>
      <c r="S1252" s="154" t="s">
        <v>66</v>
      </c>
      <c r="T1252" s="154" t="s">
        <v>64</v>
      </c>
      <c r="U1252" s="154" t="s">
        <v>64</v>
      </c>
      <c r="V1252" s="154" t="s">
        <v>64</v>
      </c>
      <c r="W1252" s="154" t="s">
        <v>64</v>
      </c>
      <c r="X1252" s="154" t="s">
        <v>66</v>
      </c>
      <c r="Y1252" s="154" t="s">
        <v>64</v>
      </c>
      <c r="Z1252" s="154" t="s">
        <v>64</v>
      </c>
      <c r="AA1252" s="154"/>
      <c r="AB1252" s="242" t="str">
        <f t="shared" si="2"/>
        <v>#ERROR!</v>
      </c>
      <c r="AC1252" s="154" t="s">
        <v>391</v>
      </c>
      <c r="AD1252" s="242" t="b">
        <f t="shared" si="3"/>
        <v>0</v>
      </c>
      <c r="AE1252" s="154"/>
      <c r="AF1252" s="242" t="str">
        <f t="shared" si="4"/>
        <v>#ERROR!</v>
      </c>
      <c r="AG1252" s="154" t="s">
        <v>652</v>
      </c>
      <c r="AH1252" s="242" t="str">
        <f>IF(AG1252="","N/A",INDIRECT("MTR!"&amp;ADDRESS(MATCH(LEFT(AG1252,9),[1]MTR!C:C,0),COLUMN(J1252)),TRUE) &amp; "")</f>
        <v>#ERROR!</v>
      </c>
      <c r="AI1252" s="157" t="str">
        <f t="shared" si="5"/>
        <v>#ERROR!</v>
      </c>
    </row>
    <row r="1253" ht="12.75" customHeight="1">
      <c r="A1253" s="244" t="s">
        <v>5158</v>
      </c>
      <c r="B1253" s="244" t="s">
        <v>231</v>
      </c>
      <c r="C1253" s="245" t="s">
        <v>9950</v>
      </c>
      <c r="D1253" s="155" t="s">
        <v>781</v>
      </c>
      <c r="E1253" s="155" t="s">
        <v>92</v>
      </c>
      <c r="F1253" s="154" t="str">
        <f t="array" ref="F1253">XLOOKUP(Cover!$D$12,$R$1:$Z$1,$R1253:$Z1253)</f>
        <v>Recommended</v>
      </c>
      <c r="G1253" s="154" t="s">
        <v>9951</v>
      </c>
      <c r="H1253" s="154" t="s">
        <v>9009</v>
      </c>
      <c r="I1253" s="154" t="s">
        <v>9947</v>
      </c>
      <c r="J1253" s="154" t="s">
        <v>7775</v>
      </c>
      <c r="K1253" s="154" t="s">
        <v>9003</v>
      </c>
      <c r="L1253" s="154" t="s">
        <v>6232</v>
      </c>
      <c r="M1253" s="154"/>
      <c r="N1253" s="154" t="s">
        <v>759</v>
      </c>
      <c r="O1253" s="247" t="s">
        <v>516</v>
      </c>
      <c r="P1253" s="247" t="s">
        <v>6776</v>
      </c>
      <c r="Q1253" s="154" t="str">
        <f t="shared" si="1"/>
        <v>#ERROR!</v>
      </c>
      <c r="R1253" s="154" t="s">
        <v>66</v>
      </c>
      <c r="S1253" s="154" t="s">
        <v>66</v>
      </c>
      <c r="T1253" s="154" t="s">
        <v>64</v>
      </c>
      <c r="U1253" s="154" t="s">
        <v>64</v>
      </c>
      <c r="V1253" s="154" t="s">
        <v>64</v>
      </c>
      <c r="W1253" s="154" t="s">
        <v>64</v>
      </c>
      <c r="X1253" s="154" t="s">
        <v>66</v>
      </c>
      <c r="Y1253" s="154" t="s">
        <v>64</v>
      </c>
      <c r="Z1253" s="154" t="s">
        <v>64</v>
      </c>
      <c r="AA1253" s="154"/>
      <c r="AB1253" s="242" t="str">
        <f t="shared" si="2"/>
        <v>#ERROR!</v>
      </c>
      <c r="AC1253" s="154" t="s">
        <v>391</v>
      </c>
      <c r="AD1253" s="242" t="b">
        <f t="shared" si="3"/>
        <v>0</v>
      </c>
      <c r="AE1253" s="154"/>
      <c r="AF1253" s="242" t="str">
        <f t="shared" si="4"/>
        <v>#ERROR!</v>
      </c>
      <c r="AG1253" s="154" t="s">
        <v>652</v>
      </c>
      <c r="AH1253" s="242" t="str">
        <f>IF(AG1253="","N/A",INDIRECT("MTR!"&amp;ADDRESS(MATCH(LEFT(AG1253,9),[1]MTR!C:C,0),COLUMN(J1253)),TRUE) &amp; "")</f>
        <v>#ERROR!</v>
      </c>
      <c r="AI1253" s="157" t="str">
        <f t="shared" si="5"/>
        <v>#ERROR!</v>
      </c>
    </row>
    <row r="1254" ht="12.75" customHeight="1">
      <c r="A1254" s="244" t="s">
        <v>5158</v>
      </c>
      <c r="B1254" s="244" t="s">
        <v>231</v>
      </c>
      <c r="C1254" s="245" t="s">
        <v>9952</v>
      </c>
      <c r="D1254" s="155" t="s">
        <v>781</v>
      </c>
      <c r="E1254" s="155" t="s">
        <v>92</v>
      </c>
      <c r="F1254" s="154" t="str">
        <f t="array" ref="F1254">XLOOKUP(Cover!$D$12,$R$1:$Z$1,$R1254:$Z1254)</f>
        <v>Recommended</v>
      </c>
      <c r="G1254" s="154" t="s">
        <v>9953</v>
      </c>
      <c r="H1254" s="154" t="s">
        <v>9084</v>
      </c>
      <c r="I1254" s="154" t="s">
        <v>9947</v>
      </c>
      <c r="J1254" s="154" t="s">
        <v>7775</v>
      </c>
      <c r="K1254" s="154" t="s">
        <v>9003</v>
      </c>
      <c r="L1254" s="154" t="s">
        <v>6232</v>
      </c>
      <c r="M1254" s="154"/>
      <c r="N1254" s="154" t="s">
        <v>759</v>
      </c>
      <c r="O1254" s="247" t="s">
        <v>516</v>
      </c>
      <c r="P1254" s="247" t="s">
        <v>6776</v>
      </c>
      <c r="Q1254" s="154" t="str">
        <f t="shared" si="1"/>
        <v>#ERROR!</v>
      </c>
      <c r="R1254" s="154" t="s">
        <v>66</v>
      </c>
      <c r="S1254" s="154" t="s">
        <v>66</v>
      </c>
      <c r="T1254" s="154" t="s">
        <v>64</v>
      </c>
      <c r="U1254" s="154" t="s">
        <v>64</v>
      </c>
      <c r="V1254" s="154" t="s">
        <v>64</v>
      </c>
      <c r="W1254" s="154" t="s">
        <v>64</v>
      </c>
      <c r="X1254" s="154" t="s">
        <v>66</v>
      </c>
      <c r="Y1254" s="154" t="s">
        <v>64</v>
      </c>
      <c r="Z1254" s="154" t="s">
        <v>64</v>
      </c>
      <c r="AA1254" s="154"/>
      <c r="AB1254" s="242" t="str">
        <f t="shared" si="2"/>
        <v>#ERROR!</v>
      </c>
      <c r="AC1254" s="154" t="s">
        <v>391</v>
      </c>
      <c r="AD1254" s="242" t="b">
        <f t="shared" si="3"/>
        <v>0</v>
      </c>
      <c r="AE1254" s="154"/>
      <c r="AF1254" s="242" t="str">
        <f t="shared" si="4"/>
        <v>#ERROR!</v>
      </c>
      <c r="AG1254" s="154" t="s">
        <v>652</v>
      </c>
      <c r="AH1254" s="242" t="str">
        <f>IF(AG1254="","N/A",INDIRECT("MTR!"&amp;ADDRESS(MATCH(LEFT(AG1254,9),[1]MTR!C:C,0),COLUMN(J1254)),TRUE) &amp; "")</f>
        <v>#ERROR!</v>
      </c>
      <c r="AI1254" s="157" t="str">
        <f t="shared" si="5"/>
        <v>#ERROR!</v>
      </c>
    </row>
    <row r="1255" ht="12.75" customHeight="1">
      <c r="A1255" s="244" t="s">
        <v>5158</v>
      </c>
      <c r="B1255" s="244" t="s">
        <v>231</v>
      </c>
      <c r="C1255" s="244" t="s">
        <v>9954</v>
      </c>
      <c r="D1255" s="154" t="s">
        <v>781</v>
      </c>
      <c r="E1255" s="154"/>
      <c r="F1255" s="154" t="str">
        <f t="array" ref="F1255">XLOOKUP(Cover!$D$12,$R$1:$Z$1,$R1255:$Z1255)</f>
        <v>Recommended</v>
      </c>
      <c r="G1255" s="154" t="s">
        <v>9955</v>
      </c>
      <c r="H1255" s="154" t="s">
        <v>1541</v>
      </c>
      <c r="I1255" s="154" t="s">
        <v>9947</v>
      </c>
      <c r="J1255" s="154" t="s">
        <v>7775</v>
      </c>
      <c r="K1255" s="154" t="s">
        <v>9003</v>
      </c>
      <c r="L1255" s="154" t="s">
        <v>6232</v>
      </c>
      <c r="M1255" s="154"/>
      <c r="N1255" s="154" t="s">
        <v>759</v>
      </c>
      <c r="O1255" s="247" t="s">
        <v>516</v>
      </c>
      <c r="P1255" s="247" t="s">
        <v>6776</v>
      </c>
      <c r="Q1255" s="154" t="str">
        <f t="shared" si="1"/>
        <v>#ERROR!</v>
      </c>
      <c r="R1255" s="154" t="s">
        <v>66</v>
      </c>
      <c r="S1255" s="154" t="s">
        <v>66</v>
      </c>
      <c r="T1255" s="154" t="s">
        <v>64</v>
      </c>
      <c r="U1255" s="154" t="s">
        <v>64</v>
      </c>
      <c r="V1255" s="154" t="s">
        <v>64</v>
      </c>
      <c r="W1255" s="154" t="s">
        <v>64</v>
      </c>
      <c r="X1255" s="154" t="s">
        <v>66</v>
      </c>
      <c r="Y1255" s="154" t="s">
        <v>64</v>
      </c>
      <c r="Z1255" s="154" t="s">
        <v>64</v>
      </c>
      <c r="AA1255" s="154"/>
      <c r="AB1255" s="242" t="str">
        <f t="shared" si="2"/>
        <v>#ERROR!</v>
      </c>
      <c r="AC1255" s="154" t="s">
        <v>391</v>
      </c>
      <c r="AD1255" s="242" t="b">
        <f t="shared" si="3"/>
        <v>0</v>
      </c>
      <c r="AE1255" s="154"/>
      <c r="AF1255" s="242" t="str">
        <f t="shared" si="4"/>
        <v>#ERROR!</v>
      </c>
      <c r="AG1255" s="154" t="s">
        <v>652</v>
      </c>
      <c r="AH1255" s="242" t="str">
        <f>IF(AG1255="","N/A",INDIRECT("MTR!"&amp;ADDRESS(MATCH(LEFT(AG1255,9),[1]MTR!C:C,0),COLUMN(J1255)),TRUE) &amp; "")</f>
        <v>#ERROR!</v>
      </c>
      <c r="AI1255" s="157" t="str">
        <f t="shared" si="5"/>
        <v>#ERROR!</v>
      </c>
    </row>
    <row r="1256" ht="12.75" customHeight="1">
      <c r="A1256" s="244" t="s">
        <v>5158</v>
      </c>
      <c r="B1256" s="244" t="s">
        <v>231</v>
      </c>
      <c r="C1256" s="244" t="s">
        <v>9956</v>
      </c>
      <c r="D1256" s="154" t="s">
        <v>1773</v>
      </c>
      <c r="E1256" s="154"/>
      <c r="F1256" s="154" t="str">
        <f t="array" ref="F1256">XLOOKUP(Cover!$D$12,$R$1:$Z$1,$R1256:$Z1256)</f>
        <v>Recommended</v>
      </c>
      <c r="G1256" s="154" t="s">
        <v>9957</v>
      </c>
      <c r="H1256" s="154" t="s">
        <v>9002</v>
      </c>
      <c r="I1256" s="154" t="s">
        <v>9958</v>
      </c>
      <c r="J1256" s="154" t="s">
        <v>9959</v>
      </c>
      <c r="K1256" s="154" t="s">
        <v>9003</v>
      </c>
      <c r="L1256" s="154" t="s">
        <v>7175</v>
      </c>
      <c r="M1256" s="154"/>
      <c r="N1256" s="154" t="s">
        <v>759</v>
      </c>
      <c r="O1256" s="247" t="s">
        <v>516</v>
      </c>
      <c r="P1256" s="247" t="s">
        <v>6776</v>
      </c>
      <c r="Q1256" s="154" t="str">
        <f t="shared" si="1"/>
        <v>#ERROR!</v>
      </c>
      <c r="R1256" s="154" t="s">
        <v>66</v>
      </c>
      <c r="S1256" s="154" t="s">
        <v>66</v>
      </c>
      <c r="T1256" s="154" t="s">
        <v>64</v>
      </c>
      <c r="U1256" s="154" t="s">
        <v>64</v>
      </c>
      <c r="V1256" s="154" t="s">
        <v>64</v>
      </c>
      <c r="W1256" s="154" t="s">
        <v>64</v>
      </c>
      <c r="X1256" s="154" t="s">
        <v>66</v>
      </c>
      <c r="Y1256" s="154" t="s">
        <v>64</v>
      </c>
      <c r="Z1256" s="154" t="s">
        <v>64</v>
      </c>
      <c r="AA1256" s="154"/>
      <c r="AB1256" s="242" t="str">
        <f t="shared" si="2"/>
        <v>#ERROR!</v>
      </c>
      <c r="AC1256" s="154" t="s">
        <v>391</v>
      </c>
      <c r="AD1256" s="242" t="b">
        <f t="shared" si="3"/>
        <v>0</v>
      </c>
      <c r="AE1256" s="154"/>
      <c r="AF1256" s="242" t="str">
        <f t="shared" si="4"/>
        <v>#ERROR!</v>
      </c>
      <c r="AG1256" s="154" t="s">
        <v>652</v>
      </c>
      <c r="AH1256" s="242" t="str">
        <f>IF(AG1256="","N/A",INDIRECT("MTR!"&amp;ADDRESS(MATCH(LEFT(AG1256,9),[1]MTR!C:C,0),COLUMN(J1256)),TRUE) &amp; "")</f>
        <v>#ERROR!</v>
      </c>
      <c r="AI1256" s="157" t="str">
        <f t="shared" si="5"/>
        <v>#ERROR!</v>
      </c>
    </row>
    <row r="1257" ht="12.75" customHeight="1">
      <c r="A1257" s="244" t="s">
        <v>5158</v>
      </c>
      <c r="B1257" s="244" t="s">
        <v>231</v>
      </c>
      <c r="C1257" s="244" t="s">
        <v>9960</v>
      </c>
      <c r="D1257" s="154" t="s">
        <v>1773</v>
      </c>
      <c r="E1257" s="154"/>
      <c r="F1257" s="154" t="str">
        <f t="array" ref="F1257">XLOOKUP(Cover!$D$12,$R$1:$Z$1,$R1257:$Z1257)</f>
        <v>Recommended</v>
      </c>
      <c r="G1257" s="154" t="s">
        <v>9961</v>
      </c>
      <c r="H1257" s="154" t="s">
        <v>9006</v>
      </c>
      <c r="I1257" s="154" t="s">
        <v>9958</v>
      </c>
      <c r="J1257" s="154" t="s">
        <v>9959</v>
      </c>
      <c r="K1257" s="154" t="s">
        <v>9003</v>
      </c>
      <c r="L1257" s="154" t="s">
        <v>7175</v>
      </c>
      <c r="M1257" s="154"/>
      <c r="N1257" s="154" t="s">
        <v>759</v>
      </c>
      <c r="O1257" s="247" t="s">
        <v>516</v>
      </c>
      <c r="P1257" s="247" t="s">
        <v>6776</v>
      </c>
      <c r="Q1257" s="154" t="str">
        <f t="shared" si="1"/>
        <v>#ERROR!</v>
      </c>
      <c r="R1257" s="154" t="s">
        <v>66</v>
      </c>
      <c r="S1257" s="154" t="s">
        <v>66</v>
      </c>
      <c r="T1257" s="154" t="s">
        <v>64</v>
      </c>
      <c r="U1257" s="154" t="s">
        <v>64</v>
      </c>
      <c r="V1257" s="154" t="s">
        <v>64</v>
      </c>
      <c r="W1257" s="154" t="s">
        <v>64</v>
      </c>
      <c r="X1257" s="154" t="s">
        <v>66</v>
      </c>
      <c r="Y1257" s="154" t="s">
        <v>64</v>
      </c>
      <c r="Z1257" s="154" t="s">
        <v>64</v>
      </c>
      <c r="AA1257" s="154"/>
      <c r="AB1257" s="242" t="str">
        <f t="shared" si="2"/>
        <v>#ERROR!</v>
      </c>
      <c r="AC1257" s="154" t="s">
        <v>391</v>
      </c>
      <c r="AD1257" s="242" t="b">
        <f t="shared" si="3"/>
        <v>0</v>
      </c>
      <c r="AE1257" s="154"/>
      <c r="AF1257" s="242" t="str">
        <f t="shared" si="4"/>
        <v>#ERROR!</v>
      </c>
      <c r="AG1257" s="154" t="s">
        <v>652</v>
      </c>
      <c r="AH1257" s="242" t="str">
        <f>IF(AG1257="","N/A",INDIRECT("MTR!"&amp;ADDRESS(MATCH(LEFT(AG1257,9),[1]MTR!C:C,0),COLUMN(J1257)),TRUE) &amp; "")</f>
        <v>#ERROR!</v>
      </c>
      <c r="AI1257" s="157" t="str">
        <f t="shared" si="5"/>
        <v>#ERROR!</v>
      </c>
    </row>
    <row r="1258" ht="12.75" customHeight="1">
      <c r="A1258" s="244" t="s">
        <v>5158</v>
      </c>
      <c r="B1258" s="244" t="s">
        <v>231</v>
      </c>
      <c r="C1258" s="244" t="s">
        <v>9962</v>
      </c>
      <c r="D1258" s="154" t="s">
        <v>1773</v>
      </c>
      <c r="E1258" s="154"/>
      <c r="F1258" s="154" t="str">
        <f t="array" ref="F1258">XLOOKUP(Cover!$D$12,$R$1:$Z$1,$R1258:$Z1258)</f>
        <v>Recommended</v>
      </c>
      <c r="G1258" s="154" t="s">
        <v>9963</v>
      </c>
      <c r="H1258" s="154" t="s">
        <v>9009</v>
      </c>
      <c r="I1258" s="154" t="s">
        <v>9958</v>
      </c>
      <c r="J1258" s="154" t="s">
        <v>9959</v>
      </c>
      <c r="K1258" s="154" t="s">
        <v>9003</v>
      </c>
      <c r="L1258" s="154" t="s">
        <v>7175</v>
      </c>
      <c r="M1258" s="154"/>
      <c r="N1258" s="154" t="s">
        <v>759</v>
      </c>
      <c r="O1258" s="247" t="s">
        <v>516</v>
      </c>
      <c r="P1258" s="247" t="s">
        <v>6776</v>
      </c>
      <c r="Q1258" s="154" t="str">
        <f t="shared" si="1"/>
        <v>#ERROR!</v>
      </c>
      <c r="R1258" s="154" t="s">
        <v>66</v>
      </c>
      <c r="S1258" s="154" t="s">
        <v>66</v>
      </c>
      <c r="T1258" s="154" t="s">
        <v>64</v>
      </c>
      <c r="U1258" s="154" t="s">
        <v>64</v>
      </c>
      <c r="V1258" s="154" t="s">
        <v>64</v>
      </c>
      <c r="W1258" s="154" t="s">
        <v>64</v>
      </c>
      <c r="X1258" s="154" t="s">
        <v>66</v>
      </c>
      <c r="Y1258" s="154" t="s">
        <v>64</v>
      </c>
      <c r="Z1258" s="154" t="s">
        <v>64</v>
      </c>
      <c r="AA1258" s="154"/>
      <c r="AB1258" s="242" t="str">
        <f t="shared" si="2"/>
        <v>#ERROR!</v>
      </c>
      <c r="AC1258" s="154" t="s">
        <v>391</v>
      </c>
      <c r="AD1258" s="242" t="b">
        <f t="shared" si="3"/>
        <v>0</v>
      </c>
      <c r="AE1258" s="154"/>
      <c r="AF1258" s="242" t="str">
        <f t="shared" si="4"/>
        <v>#ERROR!</v>
      </c>
      <c r="AG1258" s="154" t="s">
        <v>652</v>
      </c>
      <c r="AH1258" s="242" t="str">
        <f>IF(AG1258="","N/A",INDIRECT("MTR!"&amp;ADDRESS(MATCH(LEFT(AG1258,9),[1]MTR!C:C,0),COLUMN(J1258)),TRUE) &amp; "")</f>
        <v>#ERROR!</v>
      </c>
      <c r="AI1258" s="157" t="str">
        <f t="shared" si="5"/>
        <v>#ERROR!</v>
      </c>
    </row>
    <row r="1259" ht="12.75" customHeight="1">
      <c r="A1259" s="244" t="s">
        <v>5158</v>
      </c>
      <c r="B1259" s="244" t="s">
        <v>231</v>
      </c>
      <c r="C1259" s="244" t="s">
        <v>9964</v>
      </c>
      <c r="D1259" s="154" t="s">
        <v>1773</v>
      </c>
      <c r="E1259" s="154"/>
      <c r="F1259" s="154" t="str">
        <f t="array" ref="F1259">XLOOKUP(Cover!$D$12,$R$1:$Z$1,$R1259:$Z1259)</f>
        <v>Recommended</v>
      </c>
      <c r="G1259" s="154" t="s">
        <v>9965</v>
      </c>
      <c r="H1259" s="154" t="s">
        <v>9012</v>
      </c>
      <c r="I1259" s="154" t="s">
        <v>9958</v>
      </c>
      <c r="J1259" s="154" t="s">
        <v>9959</v>
      </c>
      <c r="K1259" s="154" t="s">
        <v>9003</v>
      </c>
      <c r="L1259" s="154" t="s">
        <v>7175</v>
      </c>
      <c r="M1259" s="154"/>
      <c r="N1259" s="154" t="s">
        <v>759</v>
      </c>
      <c r="O1259" s="247" t="s">
        <v>516</v>
      </c>
      <c r="P1259" s="247" t="s">
        <v>6776</v>
      </c>
      <c r="Q1259" s="154" t="str">
        <f t="shared" si="1"/>
        <v>#ERROR!</v>
      </c>
      <c r="R1259" s="154" t="s">
        <v>66</v>
      </c>
      <c r="S1259" s="154" t="s">
        <v>66</v>
      </c>
      <c r="T1259" s="154" t="s">
        <v>64</v>
      </c>
      <c r="U1259" s="154" t="s">
        <v>64</v>
      </c>
      <c r="V1259" s="154" t="s">
        <v>64</v>
      </c>
      <c r="W1259" s="154" t="s">
        <v>64</v>
      </c>
      <c r="X1259" s="154" t="s">
        <v>66</v>
      </c>
      <c r="Y1259" s="154" t="s">
        <v>64</v>
      </c>
      <c r="Z1259" s="154" t="s">
        <v>64</v>
      </c>
      <c r="AA1259" s="154"/>
      <c r="AB1259" s="242" t="str">
        <f t="shared" si="2"/>
        <v>#ERROR!</v>
      </c>
      <c r="AC1259" s="154" t="s">
        <v>391</v>
      </c>
      <c r="AD1259" s="242" t="b">
        <f t="shared" si="3"/>
        <v>0</v>
      </c>
      <c r="AE1259" s="154"/>
      <c r="AF1259" s="242" t="str">
        <f t="shared" si="4"/>
        <v>#ERROR!</v>
      </c>
      <c r="AG1259" s="154" t="s">
        <v>652</v>
      </c>
      <c r="AH1259" s="242" t="str">
        <f>IF(AG1259="","N/A",INDIRECT("MTR!"&amp;ADDRESS(MATCH(LEFT(AG1259,9),[1]MTR!C:C,0),COLUMN(J1259)),TRUE) &amp; "")</f>
        <v>#ERROR!</v>
      </c>
      <c r="AI1259" s="157" t="str">
        <f t="shared" si="5"/>
        <v>#ERROR!</v>
      </c>
    </row>
    <row r="1260" ht="12.75" customHeight="1">
      <c r="A1260" s="244" t="s">
        <v>5158</v>
      </c>
      <c r="B1260" s="244" t="s">
        <v>231</v>
      </c>
      <c r="C1260" s="244" t="s">
        <v>9966</v>
      </c>
      <c r="D1260" s="154" t="s">
        <v>1773</v>
      </c>
      <c r="E1260" s="154"/>
      <c r="F1260" s="154" t="str">
        <f t="array" ref="F1260">XLOOKUP(Cover!$D$12,$R$1:$Z$1,$R1260:$Z1260)</f>
        <v>Recommended</v>
      </c>
      <c r="G1260" s="154" t="s">
        <v>9967</v>
      </c>
      <c r="H1260" s="154" t="s">
        <v>9002</v>
      </c>
      <c r="I1260" s="154" t="s">
        <v>9968</v>
      </c>
      <c r="J1260" s="154" t="s">
        <v>9969</v>
      </c>
      <c r="K1260" s="154" t="s">
        <v>9003</v>
      </c>
      <c r="L1260" s="154" t="s">
        <v>7175</v>
      </c>
      <c r="M1260" s="154"/>
      <c r="N1260" s="154" t="s">
        <v>759</v>
      </c>
      <c r="O1260" s="247" t="s">
        <v>516</v>
      </c>
      <c r="P1260" s="247" t="s">
        <v>6776</v>
      </c>
      <c r="Q1260" s="154" t="str">
        <f t="shared" si="1"/>
        <v>#ERROR!</v>
      </c>
      <c r="R1260" s="154" t="s">
        <v>66</v>
      </c>
      <c r="S1260" s="154" t="s">
        <v>66</v>
      </c>
      <c r="T1260" s="154" t="s">
        <v>64</v>
      </c>
      <c r="U1260" s="154" t="s">
        <v>64</v>
      </c>
      <c r="V1260" s="154" t="s">
        <v>64</v>
      </c>
      <c r="W1260" s="154" t="s">
        <v>64</v>
      </c>
      <c r="X1260" s="154" t="s">
        <v>66</v>
      </c>
      <c r="Y1260" s="154" t="s">
        <v>64</v>
      </c>
      <c r="Z1260" s="154" t="s">
        <v>64</v>
      </c>
      <c r="AA1260" s="154"/>
      <c r="AB1260" s="242" t="str">
        <f t="shared" si="2"/>
        <v>#ERROR!</v>
      </c>
      <c r="AC1260" s="154" t="s">
        <v>391</v>
      </c>
      <c r="AD1260" s="242" t="b">
        <f t="shared" si="3"/>
        <v>0</v>
      </c>
      <c r="AE1260" s="154"/>
      <c r="AF1260" s="242" t="str">
        <f t="shared" si="4"/>
        <v>#ERROR!</v>
      </c>
      <c r="AG1260" s="154" t="s">
        <v>652</v>
      </c>
      <c r="AH1260" s="242" t="str">
        <f>IF(AG1260="","N/A",INDIRECT("MTR!"&amp;ADDRESS(MATCH(LEFT(AG1260,9),[1]MTR!C:C,0),COLUMN(J1260)),TRUE) &amp; "")</f>
        <v>#ERROR!</v>
      </c>
      <c r="AI1260" s="157" t="str">
        <f t="shared" si="5"/>
        <v>#ERROR!</v>
      </c>
    </row>
    <row r="1261" ht="12.75" customHeight="1">
      <c r="A1261" s="244" t="s">
        <v>5158</v>
      </c>
      <c r="B1261" s="244" t="s">
        <v>231</v>
      </c>
      <c r="C1261" s="244" t="s">
        <v>9970</v>
      </c>
      <c r="D1261" s="154" t="s">
        <v>1773</v>
      </c>
      <c r="E1261" s="154"/>
      <c r="F1261" s="154" t="str">
        <f t="array" ref="F1261">XLOOKUP(Cover!$D$12,$R$1:$Z$1,$R1261:$Z1261)</f>
        <v>Recommended</v>
      </c>
      <c r="G1261" s="154" t="s">
        <v>9971</v>
      </c>
      <c r="H1261" s="154" t="s">
        <v>9006</v>
      </c>
      <c r="I1261" s="154" t="s">
        <v>9968</v>
      </c>
      <c r="J1261" s="154" t="s">
        <v>9969</v>
      </c>
      <c r="K1261" s="154" t="s">
        <v>9003</v>
      </c>
      <c r="L1261" s="154" t="s">
        <v>7175</v>
      </c>
      <c r="M1261" s="154"/>
      <c r="N1261" s="154" t="s">
        <v>759</v>
      </c>
      <c r="O1261" s="247" t="s">
        <v>516</v>
      </c>
      <c r="P1261" s="247" t="s">
        <v>6776</v>
      </c>
      <c r="Q1261" s="154" t="str">
        <f t="shared" si="1"/>
        <v>#ERROR!</v>
      </c>
      <c r="R1261" s="154" t="s">
        <v>66</v>
      </c>
      <c r="S1261" s="154" t="s">
        <v>66</v>
      </c>
      <c r="T1261" s="154" t="s">
        <v>64</v>
      </c>
      <c r="U1261" s="154" t="s">
        <v>64</v>
      </c>
      <c r="V1261" s="154" t="s">
        <v>64</v>
      </c>
      <c r="W1261" s="154" t="s">
        <v>64</v>
      </c>
      <c r="X1261" s="154" t="s">
        <v>66</v>
      </c>
      <c r="Y1261" s="154" t="s">
        <v>64</v>
      </c>
      <c r="Z1261" s="154" t="s">
        <v>64</v>
      </c>
      <c r="AA1261" s="154"/>
      <c r="AB1261" s="242" t="str">
        <f t="shared" si="2"/>
        <v>#ERROR!</v>
      </c>
      <c r="AC1261" s="154" t="s">
        <v>391</v>
      </c>
      <c r="AD1261" s="242" t="b">
        <f t="shared" si="3"/>
        <v>0</v>
      </c>
      <c r="AE1261" s="154"/>
      <c r="AF1261" s="242" t="str">
        <f t="shared" si="4"/>
        <v>#ERROR!</v>
      </c>
      <c r="AG1261" s="154" t="s">
        <v>652</v>
      </c>
      <c r="AH1261" s="242" t="str">
        <f>IF(AG1261="","N/A",INDIRECT("MTR!"&amp;ADDRESS(MATCH(LEFT(AG1261,9),[1]MTR!C:C,0),COLUMN(J1261)),TRUE) &amp; "")</f>
        <v>#ERROR!</v>
      </c>
      <c r="AI1261" s="157" t="str">
        <f t="shared" si="5"/>
        <v>#ERROR!</v>
      </c>
    </row>
    <row r="1262" ht="12.75" customHeight="1">
      <c r="A1262" s="244" t="s">
        <v>5158</v>
      </c>
      <c r="B1262" s="244" t="s">
        <v>231</v>
      </c>
      <c r="C1262" s="244" t="s">
        <v>9972</v>
      </c>
      <c r="D1262" s="154" t="s">
        <v>1773</v>
      </c>
      <c r="E1262" s="154"/>
      <c r="F1262" s="154" t="str">
        <f t="array" ref="F1262">XLOOKUP(Cover!$D$12,$R$1:$Z$1,$R1262:$Z1262)</f>
        <v>Recommended</v>
      </c>
      <c r="G1262" s="154" t="s">
        <v>9973</v>
      </c>
      <c r="H1262" s="154" t="s">
        <v>9009</v>
      </c>
      <c r="I1262" s="154" t="s">
        <v>9968</v>
      </c>
      <c r="J1262" s="154" t="s">
        <v>9969</v>
      </c>
      <c r="K1262" s="154" t="s">
        <v>9003</v>
      </c>
      <c r="L1262" s="154" t="s">
        <v>7175</v>
      </c>
      <c r="M1262" s="154"/>
      <c r="N1262" s="154" t="s">
        <v>759</v>
      </c>
      <c r="O1262" s="247" t="s">
        <v>516</v>
      </c>
      <c r="P1262" s="247" t="s">
        <v>6776</v>
      </c>
      <c r="Q1262" s="154" t="str">
        <f t="shared" si="1"/>
        <v>#ERROR!</v>
      </c>
      <c r="R1262" s="154" t="s">
        <v>66</v>
      </c>
      <c r="S1262" s="154" t="s">
        <v>66</v>
      </c>
      <c r="T1262" s="154" t="s">
        <v>64</v>
      </c>
      <c r="U1262" s="154" t="s">
        <v>64</v>
      </c>
      <c r="V1262" s="154" t="s">
        <v>64</v>
      </c>
      <c r="W1262" s="154" t="s">
        <v>64</v>
      </c>
      <c r="X1262" s="154" t="s">
        <v>66</v>
      </c>
      <c r="Y1262" s="154" t="s">
        <v>64</v>
      </c>
      <c r="Z1262" s="154" t="s">
        <v>64</v>
      </c>
      <c r="AA1262" s="154"/>
      <c r="AB1262" s="242" t="str">
        <f t="shared" si="2"/>
        <v>#ERROR!</v>
      </c>
      <c r="AC1262" s="154" t="s">
        <v>391</v>
      </c>
      <c r="AD1262" s="242" t="b">
        <f t="shared" si="3"/>
        <v>0</v>
      </c>
      <c r="AE1262" s="154"/>
      <c r="AF1262" s="242" t="str">
        <f t="shared" si="4"/>
        <v>#ERROR!</v>
      </c>
      <c r="AG1262" s="154" t="s">
        <v>652</v>
      </c>
      <c r="AH1262" s="242" t="str">
        <f>IF(AG1262="","N/A",INDIRECT("MTR!"&amp;ADDRESS(MATCH(LEFT(AG1262,9),[1]MTR!C:C,0),COLUMN(J1262)),TRUE) &amp; "")</f>
        <v>#ERROR!</v>
      </c>
      <c r="AI1262" s="157" t="str">
        <f t="shared" si="5"/>
        <v>#ERROR!</v>
      </c>
    </row>
    <row r="1263" ht="12.75" customHeight="1">
      <c r="A1263" s="244" t="s">
        <v>5158</v>
      </c>
      <c r="B1263" s="244" t="s">
        <v>231</v>
      </c>
      <c r="C1263" s="244" t="s">
        <v>9974</v>
      </c>
      <c r="D1263" s="154" t="s">
        <v>1773</v>
      </c>
      <c r="E1263" s="154"/>
      <c r="F1263" s="154" t="str">
        <f t="array" ref="F1263">XLOOKUP(Cover!$D$12,$R$1:$Z$1,$R1263:$Z1263)</f>
        <v>Recommended</v>
      </c>
      <c r="G1263" s="154" t="s">
        <v>9975</v>
      </c>
      <c r="H1263" s="154" t="s">
        <v>9015</v>
      </c>
      <c r="I1263" s="154" t="s">
        <v>9968</v>
      </c>
      <c r="J1263" s="154" t="s">
        <v>9969</v>
      </c>
      <c r="K1263" s="154" t="s">
        <v>9003</v>
      </c>
      <c r="L1263" s="154" t="s">
        <v>7175</v>
      </c>
      <c r="M1263" s="154"/>
      <c r="N1263" s="154" t="s">
        <v>759</v>
      </c>
      <c r="O1263" s="247" t="s">
        <v>516</v>
      </c>
      <c r="P1263" s="247" t="s">
        <v>6776</v>
      </c>
      <c r="Q1263" s="154" t="str">
        <f t="shared" si="1"/>
        <v>#ERROR!</v>
      </c>
      <c r="R1263" s="154" t="s">
        <v>66</v>
      </c>
      <c r="S1263" s="154" t="s">
        <v>66</v>
      </c>
      <c r="T1263" s="154" t="s">
        <v>64</v>
      </c>
      <c r="U1263" s="154" t="s">
        <v>64</v>
      </c>
      <c r="V1263" s="154" t="s">
        <v>64</v>
      </c>
      <c r="W1263" s="154" t="s">
        <v>64</v>
      </c>
      <c r="X1263" s="154" t="s">
        <v>66</v>
      </c>
      <c r="Y1263" s="154" t="s">
        <v>64</v>
      </c>
      <c r="Z1263" s="154" t="s">
        <v>64</v>
      </c>
      <c r="AA1263" s="154"/>
      <c r="AB1263" s="242" t="str">
        <f t="shared" si="2"/>
        <v>#ERROR!</v>
      </c>
      <c r="AC1263" s="154" t="s">
        <v>391</v>
      </c>
      <c r="AD1263" s="242" t="b">
        <f t="shared" si="3"/>
        <v>0</v>
      </c>
      <c r="AE1263" s="154"/>
      <c r="AF1263" s="242" t="str">
        <f t="shared" si="4"/>
        <v>#ERROR!</v>
      </c>
      <c r="AG1263" s="154" t="s">
        <v>652</v>
      </c>
      <c r="AH1263" s="242" t="str">
        <f>IF(AG1263="","N/A",INDIRECT("MTR!"&amp;ADDRESS(MATCH(LEFT(AG1263,9),[1]MTR!C:C,0),COLUMN(J1263)),TRUE) &amp; "")</f>
        <v>#ERROR!</v>
      </c>
      <c r="AI1263" s="157" t="str">
        <f t="shared" si="5"/>
        <v>#ERROR!</v>
      </c>
    </row>
    <row r="1264" ht="12.75" customHeight="1">
      <c r="A1264" s="244" t="s">
        <v>5158</v>
      </c>
      <c r="B1264" s="244" t="s">
        <v>231</v>
      </c>
      <c r="C1264" s="244" t="s">
        <v>9976</v>
      </c>
      <c r="D1264" s="154" t="s">
        <v>1773</v>
      </c>
      <c r="E1264" s="154"/>
      <c r="F1264" s="154" t="str">
        <f t="array" ref="F1264">XLOOKUP(Cover!$D$12,$R$1:$Z$1,$R1264:$Z1264)</f>
        <v>Information</v>
      </c>
      <c r="G1264" s="154" t="s">
        <v>9977</v>
      </c>
      <c r="H1264" s="154" t="s">
        <v>9002</v>
      </c>
      <c r="I1264" s="154" t="s">
        <v>9978</v>
      </c>
      <c r="J1264" s="154" t="s">
        <v>9979</v>
      </c>
      <c r="K1264" s="154" t="s">
        <v>9003</v>
      </c>
      <c r="L1264" s="154" t="s">
        <v>7175</v>
      </c>
      <c r="M1264" s="154"/>
      <c r="N1264" s="154" t="s">
        <v>759</v>
      </c>
      <c r="O1264" s="247" t="s">
        <v>516</v>
      </c>
      <c r="P1264" s="247" t="s">
        <v>6776</v>
      </c>
      <c r="Q1264" s="154" t="str">
        <f t="shared" si="1"/>
        <v>#ERROR!</v>
      </c>
      <c r="R1264" s="154" t="s">
        <v>66</v>
      </c>
      <c r="S1264" s="154" t="s">
        <v>66</v>
      </c>
      <c r="T1264" s="154" t="s">
        <v>66</v>
      </c>
      <c r="U1264" s="154" t="s">
        <v>66</v>
      </c>
      <c r="V1264" s="154" t="s">
        <v>66</v>
      </c>
      <c r="W1264" s="154" t="s">
        <v>66</v>
      </c>
      <c r="X1264" s="154" t="s">
        <v>66</v>
      </c>
      <c r="Y1264" s="154" t="s">
        <v>66</v>
      </c>
      <c r="Z1264" s="154" t="s">
        <v>66</v>
      </c>
      <c r="AA1264" s="154"/>
      <c r="AB1264" s="242" t="str">
        <f t="shared" si="2"/>
        <v>#ERROR!</v>
      </c>
      <c r="AC1264" s="154" t="s">
        <v>391</v>
      </c>
      <c r="AD1264" s="242" t="b">
        <f t="shared" si="3"/>
        <v>0</v>
      </c>
      <c r="AE1264" s="154"/>
      <c r="AF1264" s="242" t="str">
        <f t="shared" si="4"/>
        <v>#ERROR!</v>
      </c>
      <c r="AG1264" s="154" t="s">
        <v>652</v>
      </c>
      <c r="AH1264" s="242" t="str">
        <f>IF(AG1264="","N/A",INDIRECT("MTR!"&amp;ADDRESS(MATCH(LEFT(AG1264,9),[1]MTR!C:C,0),COLUMN(J1264)),TRUE) &amp; "")</f>
        <v>#ERROR!</v>
      </c>
      <c r="AI1264" s="157" t="str">
        <f t="shared" si="5"/>
        <v>#ERROR!</v>
      </c>
    </row>
    <row r="1265" ht="12.75" customHeight="1">
      <c r="A1265" s="244" t="s">
        <v>5158</v>
      </c>
      <c r="B1265" s="244" t="s">
        <v>231</v>
      </c>
      <c r="C1265" s="244" t="s">
        <v>9980</v>
      </c>
      <c r="D1265" s="154" t="s">
        <v>1773</v>
      </c>
      <c r="E1265" s="154"/>
      <c r="F1265" s="154" t="str">
        <f t="array" ref="F1265">XLOOKUP(Cover!$D$12,$R$1:$Z$1,$R1265:$Z1265)</f>
        <v>Information</v>
      </c>
      <c r="G1265" s="154" t="s">
        <v>9981</v>
      </c>
      <c r="H1265" s="154" t="s">
        <v>9006</v>
      </c>
      <c r="I1265" s="154" t="s">
        <v>9978</v>
      </c>
      <c r="J1265" s="154" t="s">
        <v>9979</v>
      </c>
      <c r="K1265" s="154" t="s">
        <v>9003</v>
      </c>
      <c r="L1265" s="154" t="s">
        <v>7175</v>
      </c>
      <c r="M1265" s="154"/>
      <c r="N1265" s="154" t="s">
        <v>759</v>
      </c>
      <c r="O1265" s="247" t="s">
        <v>516</v>
      </c>
      <c r="P1265" s="247" t="s">
        <v>6776</v>
      </c>
      <c r="Q1265" s="154" t="str">
        <f t="shared" si="1"/>
        <v>#ERROR!</v>
      </c>
      <c r="R1265" s="154" t="s">
        <v>66</v>
      </c>
      <c r="S1265" s="154" t="s">
        <v>66</v>
      </c>
      <c r="T1265" s="154" t="s">
        <v>66</v>
      </c>
      <c r="U1265" s="154" t="s">
        <v>66</v>
      </c>
      <c r="V1265" s="154" t="s">
        <v>66</v>
      </c>
      <c r="W1265" s="154" t="s">
        <v>66</v>
      </c>
      <c r="X1265" s="154" t="s">
        <v>66</v>
      </c>
      <c r="Y1265" s="154" t="s">
        <v>66</v>
      </c>
      <c r="Z1265" s="154" t="s">
        <v>66</v>
      </c>
      <c r="AA1265" s="154"/>
      <c r="AB1265" s="242" t="str">
        <f t="shared" si="2"/>
        <v>#ERROR!</v>
      </c>
      <c r="AC1265" s="154" t="s">
        <v>391</v>
      </c>
      <c r="AD1265" s="242" t="b">
        <f t="shared" si="3"/>
        <v>0</v>
      </c>
      <c r="AE1265" s="154"/>
      <c r="AF1265" s="242" t="str">
        <f t="shared" si="4"/>
        <v>#ERROR!</v>
      </c>
      <c r="AG1265" s="154" t="s">
        <v>652</v>
      </c>
      <c r="AH1265" s="242" t="str">
        <f>IF(AG1265="","N/A",INDIRECT("MTR!"&amp;ADDRESS(MATCH(LEFT(AG1265,9),[1]MTR!C:C,0),COLUMN(J1265)),TRUE) &amp; "")</f>
        <v>#ERROR!</v>
      </c>
      <c r="AI1265" s="157" t="str">
        <f t="shared" si="5"/>
        <v>#ERROR!</v>
      </c>
    </row>
    <row r="1266" ht="12.75" customHeight="1">
      <c r="A1266" s="244" t="s">
        <v>5158</v>
      </c>
      <c r="B1266" s="244" t="s">
        <v>231</v>
      </c>
      <c r="C1266" s="244" t="s">
        <v>9982</v>
      </c>
      <c r="D1266" s="154" t="s">
        <v>1773</v>
      </c>
      <c r="E1266" s="154"/>
      <c r="F1266" s="154" t="str">
        <f t="array" ref="F1266">XLOOKUP(Cover!$D$12,$R$1:$Z$1,$R1266:$Z1266)</f>
        <v>Information</v>
      </c>
      <c r="G1266" s="154" t="s">
        <v>9983</v>
      </c>
      <c r="H1266" s="154" t="s">
        <v>9012</v>
      </c>
      <c r="I1266" s="154" t="s">
        <v>9978</v>
      </c>
      <c r="J1266" s="154" t="s">
        <v>9979</v>
      </c>
      <c r="K1266" s="154" t="s">
        <v>9003</v>
      </c>
      <c r="L1266" s="154" t="s">
        <v>7175</v>
      </c>
      <c r="M1266" s="154"/>
      <c r="N1266" s="154" t="s">
        <v>759</v>
      </c>
      <c r="O1266" s="247" t="s">
        <v>516</v>
      </c>
      <c r="P1266" s="247" t="s">
        <v>6776</v>
      </c>
      <c r="Q1266" s="154" t="str">
        <f t="shared" si="1"/>
        <v>#ERROR!</v>
      </c>
      <c r="R1266" s="154" t="s">
        <v>66</v>
      </c>
      <c r="S1266" s="154" t="s">
        <v>66</v>
      </c>
      <c r="T1266" s="154" t="s">
        <v>66</v>
      </c>
      <c r="U1266" s="154" t="s">
        <v>66</v>
      </c>
      <c r="V1266" s="154" t="s">
        <v>66</v>
      </c>
      <c r="W1266" s="154" t="s">
        <v>66</v>
      </c>
      <c r="X1266" s="154" t="s">
        <v>66</v>
      </c>
      <c r="Y1266" s="154" t="s">
        <v>66</v>
      </c>
      <c r="Z1266" s="154" t="s">
        <v>66</v>
      </c>
      <c r="AA1266" s="154"/>
      <c r="AB1266" s="242" t="str">
        <f t="shared" si="2"/>
        <v>#ERROR!</v>
      </c>
      <c r="AC1266" s="154" t="s">
        <v>391</v>
      </c>
      <c r="AD1266" s="242" t="b">
        <f t="shared" si="3"/>
        <v>0</v>
      </c>
      <c r="AE1266" s="154"/>
      <c r="AF1266" s="242" t="str">
        <f t="shared" si="4"/>
        <v>#ERROR!</v>
      </c>
      <c r="AG1266" s="154" t="s">
        <v>652</v>
      </c>
      <c r="AH1266" s="242" t="str">
        <f>IF(AG1266="","N/A",INDIRECT("MTR!"&amp;ADDRESS(MATCH(LEFT(AG1266,9),[1]MTR!C:C,0),COLUMN(J1266)),TRUE) &amp; "")</f>
        <v>#ERROR!</v>
      </c>
      <c r="AI1266" s="157" t="str">
        <f t="shared" si="5"/>
        <v>#ERROR!</v>
      </c>
    </row>
    <row r="1267" ht="12.75" customHeight="1">
      <c r="A1267" s="244" t="s">
        <v>5158</v>
      </c>
      <c r="B1267" s="244" t="s">
        <v>231</v>
      </c>
      <c r="C1267" s="244" t="s">
        <v>9984</v>
      </c>
      <c r="D1267" s="154" t="s">
        <v>1773</v>
      </c>
      <c r="E1267" s="154"/>
      <c r="F1267" s="154" t="str">
        <f t="array" ref="F1267">XLOOKUP(Cover!$D$12,$R$1:$Z$1,$R1267:$Z1267)</f>
        <v>Information</v>
      </c>
      <c r="G1267" s="154" t="s">
        <v>9985</v>
      </c>
      <c r="H1267" s="154" t="s">
        <v>9015</v>
      </c>
      <c r="I1267" s="154" t="s">
        <v>9978</v>
      </c>
      <c r="J1267" s="154" t="s">
        <v>9979</v>
      </c>
      <c r="K1267" s="154" t="s">
        <v>9003</v>
      </c>
      <c r="L1267" s="154" t="s">
        <v>7175</v>
      </c>
      <c r="M1267" s="154"/>
      <c r="N1267" s="154" t="s">
        <v>759</v>
      </c>
      <c r="O1267" s="247" t="s">
        <v>516</v>
      </c>
      <c r="P1267" s="247" t="s">
        <v>6776</v>
      </c>
      <c r="Q1267" s="154" t="str">
        <f t="shared" si="1"/>
        <v>#ERROR!</v>
      </c>
      <c r="R1267" s="154" t="s">
        <v>66</v>
      </c>
      <c r="S1267" s="154" t="s">
        <v>66</v>
      </c>
      <c r="T1267" s="154" t="s">
        <v>66</v>
      </c>
      <c r="U1267" s="154" t="s">
        <v>66</v>
      </c>
      <c r="V1267" s="154" t="s">
        <v>66</v>
      </c>
      <c r="W1267" s="154" t="s">
        <v>66</v>
      </c>
      <c r="X1267" s="154" t="s">
        <v>66</v>
      </c>
      <c r="Y1267" s="154" t="s">
        <v>66</v>
      </c>
      <c r="Z1267" s="154" t="s">
        <v>66</v>
      </c>
      <c r="AA1267" s="154"/>
      <c r="AB1267" s="242" t="str">
        <f t="shared" si="2"/>
        <v>#ERROR!</v>
      </c>
      <c r="AC1267" s="154" t="s">
        <v>391</v>
      </c>
      <c r="AD1267" s="242" t="b">
        <f t="shared" si="3"/>
        <v>0</v>
      </c>
      <c r="AE1267" s="154"/>
      <c r="AF1267" s="242" t="str">
        <f t="shared" si="4"/>
        <v>#ERROR!</v>
      </c>
      <c r="AG1267" s="154" t="s">
        <v>652</v>
      </c>
      <c r="AH1267" s="242" t="str">
        <f>IF(AG1267="","N/A",INDIRECT("MTR!"&amp;ADDRESS(MATCH(LEFT(AG1267,9),[1]MTR!C:C,0),COLUMN(J1267)),TRUE) &amp; "")</f>
        <v>#ERROR!</v>
      </c>
      <c r="AI1267" s="157" t="str">
        <f t="shared" si="5"/>
        <v>#ERROR!</v>
      </c>
    </row>
    <row r="1268" ht="12.75" customHeight="1">
      <c r="A1268" s="244" t="s">
        <v>5158</v>
      </c>
      <c r="B1268" s="244" t="s">
        <v>231</v>
      </c>
      <c r="C1268" s="244" t="s">
        <v>9986</v>
      </c>
      <c r="D1268" s="154" t="s">
        <v>1773</v>
      </c>
      <c r="E1268" s="154"/>
      <c r="F1268" s="154" t="str">
        <f t="array" ref="F1268">XLOOKUP(Cover!$D$12,$R$1:$Z$1,$R1268:$Z1268)</f>
        <v>Information</v>
      </c>
      <c r="G1268" s="154" t="s">
        <v>9987</v>
      </c>
      <c r="H1268" s="154" t="s">
        <v>1541</v>
      </c>
      <c r="I1268" s="154" t="s">
        <v>9978</v>
      </c>
      <c r="J1268" s="154" t="s">
        <v>9979</v>
      </c>
      <c r="K1268" s="154" t="s">
        <v>9003</v>
      </c>
      <c r="L1268" s="154" t="s">
        <v>7175</v>
      </c>
      <c r="M1268" s="154"/>
      <c r="N1268" s="154" t="s">
        <v>759</v>
      </c>
      <c r="O1268" s="247" t="s">
        <v>516</v>
      </c>
      <c r="P1268" s="247" t="s">
        <v>6776</v>
      </c>
      <c r="Q1268" s="154" t="str">
        <f t="shared" si="1"/>
        <v>#ERROR!</v>
      </c>
      <c r="R1268" s="154" t="s">
        <v>66</v>
      </c>
      <c r="S1268" s="154" t="s">
        <v>66</v>
      </c>
      <c r="T1268" s="154" t="s">
        <v>66</v>
      </c>
      <c r="U1268" s="154" t="s">
        <v>66</v>
      </c>
      <c r="V1268" s="154" t="s">
        <v>66</v>
      </c>
      <c r="W1268" s="154" t="s">
        <v>66</v>
      </c>
      <c r="X1268" s="154" t="s">
        <v>66</v>
      </c>
      <c r="Y1268" s="154" t="s">
        <v>66</v>
      </c>
      <c r="Z1268" s="154" t="s">
        <v>66</v>
      </c>
      <c r="AA1268" s="154"/>
      <c r="AB1268" s="242" t="str">
        <f t="shared" si="2"/>
        <v>#ERROR!</v>
      </c>
      <c r="AC1268" s="154" t="s">
        <v>391</v>
      </c>
      <c r="AD1268" s="242" t="b">
        <f t="shared" si="3"/>
        <v>0</v>
      </c>
      <c r="AE1268" s="154"/>
      <c r="AF1268" s="242" t="str">
        <f t="shared" si="4"/>
        <v>#ERROR!</v>
      </c>
      <c r="AG1268" s="154" t="s">
        <v>652</v>
      </c>
      <c r="AH1268" s="242" t="str">
        <f>IF(AG1268="","N/A",INDIRECT("MTR!"&amp;ADDRESS(MATCH(LEFT(AG1268,9),[1]MTR!C:C,0),COLUMN(J1268)),TRUE) &amp; "")</f>
        <v>#ERROR!</v>
      </c>
      <c r="AI1268" s="157" t="str">
        <f t="shared" si="5"/>
        <v>#ERROR!</v>
      </c>
    </row>
    <row r="1269" ht="12.75" customHeight="1">
      <c r="A1269" s="244" t="s">
        <v>5158</v>
      </c>
      <c r="B1269" s="244" t="s">
        <v>231</v>
      </c>
      <c r="C1269" s="244" t="s">
        <v>9988</v>
      </c>
      <c r="D1269" s="154" t="s">
        <v>781</v>
      </c>
      <c r="E1269" s="154"/>
      <c r="F1269" s="154" t="str">
        <f t="array" ref="F1269">XLOOKUP(Cover!$D$12,$R$1:$Z$1,$R1269:$Z1269)</f>
        <v>Information</v>
      </c>
      <c r="G1269" s="154" t="s">
        <v>9989</v>
      </c>
      <c r="H1269" s="154" t="s">
        <v>9006</v>
      </c>
      <c r="I1269" s="154" t="s">
        <v>9990</v>
      </c>
      <c r="J1269" s="154" t="s">
        <v>7281</v>
      </c>
      <c r="K1269" s="154" t="s">
        <v>9003</v>
      </c>
      <c r="L1269" s="154" t="s">
        <v>6140</v>
      </c>
      <c r="M1269" s="154"/>
      <c r="N1269" s="154" t="s">
        <v>759</v>
      </c>
      <c r="O1269" s="247" t="s">
        <v>516</v>
      </c>
      <c r="P1269" s="247" t="s">
        <v>6776</v>
      </c>
      <c r="Q1269" s="154" t="str">
        <f t="shared" si="1"/>
        <v>#ERROR!</v>
      </c>
      <c r="R1269" s="154" t="s">
        <v>66</v>
      </c>
      <c r="S1269" s="154" t="s">
        <v>66</v>
      </c>
      <c r="T1269" s="154" t="s">
        <v>66</v>
      </c>
      <c r="U1269" s="154" t="s">
        <v>66</v>
      </c>
      <c r="V1269" s="154" t="s">
        <v>66</v>
      </c>
      <c r="W1269" s="154" t="s">
        <v>66</v>
      </c>
      <c r="X1269" s="154" t="s">
        <v>66</v>
      </c>
      <c r="Y1269" s="154" t="s">
        <v>66</v>
      </c>
      <c r="Z1269" s="154" t="s">
        <v>66</v>
      </c>
      <c r="AA1269" s="154"/>
      <c r="AB1269" s="242" t="str">
        <f t="shared" si="2"/>
        <v>#ERROR!</v>
      </c>
      <c r="AC1269" s="154" t="s">
        <v>391</v>
      </c>
      <c r="AD1269" s="242" t="b">
        <f t="shared" si="3"/>
        <v>0</v>
      </c>
      <c r="AE1269" s="154"/>
      <c r="AF1269" s="242" t="str">
        <f t="shared" si="4"/>
        <v>#ERROR!</v>
      </c>
      <c r="AG1269" s="154" t="s">
        <v>652</v>
      </c>
      <c r="AH1269" s="242" t="str">
        <f>IF(AG1269="","N/A",INDIRECT("MTR!"&amp;ADDRESS(MATCH(LEFT(AG1269,9),[1]MTR!C:C,0),COLUMN(J1269)),TRUE) &amp; "")</f>
        <v>#ERROR!</v>
      </c>
      <c r="AI1269" s="157" t="str">
        <f t="shared" si="5"/>
        <v>#ERROR!</v>
      </c>
    </row>
    <row r="1270" ht="12.75" customHeight="1">
      <c r="A1270" s="244" t="s">
        <v>5158</v>
      </c>
      <c r="B1270" s="244" t="s">
        <v>231</v>
      </c>
      <c r="C1270" s="244" t="s">
        <v>9991</v>
      </c>
      <c r="D1270" s="154" t="s">
        <v>781</v>
      </c>
      <c r="E1270" s="154"/>
      <c r="F1270" s="154" t="str">
        <f t="array" ref="F1270">XLOOKUP(Cover!$D$12,$R$1:$Z$1,$R1270:$Z1270)</f>
        <v>Information</v>
      </c>
      <c r="G1270" s="154" t="s">
        <v>9992</v>
      </c>
      <c r="H1270" s="154" t="s">
        <v>9009</v>
      </c>
      <c r="I1270" s="154" t="s">
        <v>9990</v>
      </c>
      <c r="J1270" s="154" t="s">
        <v>7281</v>
      </c>
      <c r="K1270" s="154" t="s">
        <v>9003</v>
      </c>
      <c r="L1270" s="154" t="s">
        <v>6140</v>
      </c>
      <c r="M1270" s="154"/>
      <c r="N1270" s="154" t="s">
        <v>759</v>
      </c>
      <c r="O1270" s="247" t="s">
        <v>516</v>
      </c>
      <c r="P1270" s="247" t="s">
        <v>6776</v>
      </c>
      <c r="Q1270" s="154" t="str">
        <f t="shared" si="1"/>
        <v>#ERROR!</v>
      </c>
      <c r="R1270" s="154" t="s">
        <v>66</v>
      </c>
      <c r="S1270" s="154" t="s">
        <v>66</v>
      </c>
      <c r="T1270" s="154" t="s">
        <v>66</v>
      </c>
      <c r="U1270" s="154" t="s">
        <v>66</v>
      </c>
      <c r="V1270" s="154" t="s">
        <v>66</v>
      </c>
      <c r="W1270" s="154" t="s">
        <v>66</v>
      </c>
      <c r="X1270" s="154" t="s">
        <v>66</v>
      </c>
      <c r="Y1270" s="154" t="s">
        <v>66</v>
      </c>
      <c r="Z1270" s="154" t="s">
        <v>66</v>
      </c>
      <c r="AA1270" s="154"/>
      <c r="AB1270" s="242" t="str">
        <f t="shared" si="2"/>
        <v>#ERROR!</v>
      </c>
      <c r="AC1270" s="154" t="s">
        <v>391</v>
      </c>
      <c r="AD1270" s="242" t="b">
        <f t="shared" si="3"/>
        <v>0</v>
      </c>
      <c r="AE1270" s="154"/>
      <c r="AF1270" s="242" t="str">
        <f t="shared" si="4"/>
        <v>#ERROR!</v>
      </c>
      <c r="AG1270" s="154" t="s">
        <v>652</v>
      </c>
      <c r="AH1270" s="242" t="str">
        <f>IF(AG1270="","N/A",INDIRECT("MTR!"&amp;ADDRESS(MATCH(LEFT(AG1270,9),[1]MTR!C:C,0),COLUMN(J1270)),TRUE) &amp; "")</f>
        <v>#ERROR!</v>
      </c>
      <c r="AI1270" s="157" t="str">
        <f t="shared" si="5"/>
        <v>#ERROR!</v>
      </c>
    </row>
    <row r="1271" ht="12.75" customHeight="1">
      <c r="A1271" s="244" t="s">
        <v>5158</v>
      </c>
      <c r="B1271" s="244" t="s">
        <v>231</v>
      </c>
      <c r="C1271" s="244" t="s">
        <v>9993</v>
      </c>
      <c r="D1271" s="154" t="s">
        <v>781</v>
      </c>
      <c r="E1271" s="154"/>
      <c r="F1271" s="154" t="str">
        <f t="array" ref="F1271">XLOOKUP(Cover!$D$12,$R$1:$Z$1,$R1271:$Z1271)</f>
        <v>Information</v>
      </c>
      <c r="G1271" s="154" t="s">
        <v>9994</v>
      </c>
      <c r="H1271" s="154" t="s">
        <v>9012</v>
      </c>
      <c r="I1271" s="154" t="s">
        <v>9990</v>
      </c>
      <c r="J1271" s="154" t="s">
        <v>7281</v>
      </c>
      <c r="K1271" s="154" t="s">
        <v>9003</v>
      </c>
      <c r="L1271" s="154" t="s">
        <v>6140</v>
      </c>
      <c r="M1271" s="154"/>
      <c r="N1271" s="154" t="s">
        <v>759</v>
      </c>
      <c r="O1271" s="247" t="s">
        <v>516</v>
      </c>
      <c r="P1271" s="247" t="s">
        <v>6776</v>
      </c>
      <c r="Q1271" s="154" t="str">
        <f t="shared" si="1"/>
        <v>#ERROR!</v>
      </c>
      <c r="R1271" s="154" t="s">
        <v>66</v>
      </c>
      <c r="S1271" s="154" t="s">
        <v>66</v>
      </c>
      <c r="T1271" s="154" t="s">
        <v>66</v>
      </c>
      <c r="U1271" s="154" t="s">
        <v>66</v>
      </c>
      <c r="V1271" s="154" t="s">
        <v>66</v>
      </c>
      <c r="W1271" s="154" t="s">
        <v>66</v>
      </c>
      <c r="X1271" s="154" t="s">
        <v>66</v>
      </c>
      <c r="Y1271" s="154" t="s">
        <v>66</v>
      </c>
      <c r="Z1271" s="154" t="s">
        <v>66</v>
      </c>
      <c r="AA1271" s="154"/>
      <c r="AB1271" s="242" t="str">
        <f t="shared" si="2"/>
        <v>#ERROR!</v>
      </c>
      <c r="AC1271" s="154" t="s">
        <v>391</v>
      </c>
      <c r="AD1271" s="242" t="b">
        <f t="shared" si="3"/>
        <v>0</v>
      </c>
      <c r="AE1271" s="154"/>
      <c r="AF1271" s="242" t="str">
        <f t="shared" si="4"/>
        <v>#ERROR!</v>
      </c>
      <c r="AG1271" s="154" t="s">
        <v>652</v>
      </c>
      <c r="AH1271" s="242" t="str">
        <f>IF(AG1271="","N/A",INDIRECT("MTR!"&amp;ADDRESS(MATCH(LEFT(AG1271,9),[1]MTR!C:C,0),COLUMN(J1271)),TRUE) &amp; "")</f>
        <v>#ERROR!</v>
      </c>
      <c r="AI1271" s="157" t="str">
        <f t="shared" si="5"/>
        <v>#ERROR!</v>
      </c>
    </row>
    <row r="1272" ht="12.75" customHeight="1">
      <c r="A1272" s="244" t="s">
        <v>5158</v>
      </c>
      <c r="B1272" s="244" t="s">
        <v>231</v>
      </c>
      <c r="C1272" s="244" t="s">
        <v>9995</v>
      </c>
      <c r="D1272" s="154" t="s">
        <v>747</v>
      </c>
      <c r="E1272" s="154"/>
      <c r="F1272" s="154" t="str">
        <f t="array" ref="F1272">XLOOKUP(Cover!$D$12,$R$1:$Z$1,$R1272:$Z1272)</f>
        <v>Recommended</v>
      </c>
      <c r="G1272" s="154" t="s">
        <v>9996</v>
      </c>
      <c r="H1272" s="154" t="s">
        <v>9006</v>
      </c>
      <c r="I1272" s="154" t="s">
        <v>9997</v>
      </c>
      <c r="J1272" s="154" t="s">
        <v>9998</v>
      </c>
      <c r="K1272" s="154" t="s">
        <v>9003</v>
      </c>
      <c r="L1272" s="154" t="s">
        <v>6525</v>
      </c>
      <c r="M1272" s="154"/>
      <c r="N1272" s="154" t="s">
        <v>759</v>
      </c>
      <c r="O1272" s="247" t="s">
        <v>516</v>
      </c>
      <c r="P1272" s="247" t="s">
        <v>6776</v>
      </c>
      <c r="Q1272" s="154" t="str">
        <f t="shared" si="1"/>
        <v>#ERROR!</v>
      </c>
      <c r="R1272" s="154" t="s">
        <v>66</v>
      </c>
      <c r="S1272" s="154" t="s">
        <v>66</v>
      </c>
      <c r="T1272" s="154" t="s">
        <v>64</v>
      </c>
      <c r="U1272" s="154" t="s">
        <v>64</v>
      </c>
      <c r="V1272" s="154" t="s">
        <v>64</v>
      </c>
      <c r="W1272" s="154" t="s">
        <v>64</v>
      </c>
      <c r="X1272" s="154" t="s">
        <v>66</v>
      </c>
      <c r="Y1272" s="154" t="s">
        <v>64</v>
      </c>
      <c r="Z1272" s="154" t="s">
        <v>64</v>
      </c>
      <c r="AA1272" s="154"/>
      <c r="AB1272" s="242" t="str">
        <f t="shared" si="2"/>
        <v>#ERROR!</v>
      </c>
      <c r="AC1272" s="154" t="s">
        <v>391</v>
      </c>
      <c r="AD1272" s="242" t="b">
        <f t="shared" si="3"/>
        <v>0</v>
      </c>
      <c r="AE1272" s="154"/>
      <c r="AF1272" s="242" t="str">
        <f t="shared" si="4"/>
        <v>#ERROR!</v>
      </c>
      <c r="AG1272" s="154" t="s">
        <v>652</v>
      </c>
      <c r="AH1272" s="242" t="str">
        <f>IF(AG1272="","N/A",INDIRECT("MTR!"&amp;ADDRESS(MATCH(LEFT(AG1272,9),[1]MTR!C:C,0),COLUMN(J1272)),TRUE) &amp; "")</f>
        <v>#ERROR!</v>
      </c>
      <c r="AI1272" s="157" t="str">
        <f t="shared" si="5"/>
        <v>#ERROR!</v>
      </c>
    </row>
    <row r="1273" ht="12.75" customHeight="1">
      <c r="A1273" s="244" t="s">
        <v>5158</v>
      </c>
      <c r="B1273" s="244" t="s">
        <v>231</v>
      </c>
      <c r="C1273" s="244" t="s">
        <v>9999</v>
      </c>
      <c r="D1273" s="154" t="s">
        <v>747</v>
      </c>
      <c r="E1273" s="154"/>
      <c r="F1273" s="154" t="str">
        <f t="array" ref="F1273">XLOOKUP(Cover!$D$12,$R$1:$Z$1,$R1273:$Z1273)</f>
        <v>Recommended</v>
      </c>
      <c r="G1273" s="154" t="s">
        <v>10000</v>
      </c>
      <c r="H1273" s="154" t="s">
        <v>9053</v>
      </c>
      <c r="I1273" s="154" t="s">
        <v>9997</v>
      </c>
      <c r="J1273" s="154" t="s">
        <v>9998</v>
      </c>
      <c r="K1273" s="154" t="s">
        <v>9003</v>
      </c>
      <c r="L1273" s="154" t="s">
        <v>6525</v>
      </c>
      <c r="M1273" s="154"/>
      <c r="N1273" s="154" t="s">
        <v>759</v>
      </c>
      <c r="O1273" s="247" t="s">
        <v>516</v>
      </c>
      <c r="P1273" s="247" t="s">
        <v>6776</v>
      </c>
      <c r="Q1273" s="154" t="str">
        <f t="shared" si="1"/>
        <v>#ERROR!</v>
      </c>
      <c r="R1273" s="154" t="s">
        <v>66</v>
      </c>
      <c r="S1273" s="154" t="s">
        <v>66</v>
      </c>
      <c r="T1273" s="154" t="s">
        <v>64</v>
      </c>
      <c r="U1273" s="154" t="s">
        <v>64</v>
      </c>
      <c r="V1273" s="154" t="s">
        <v>64</v>
      </c>
      <c r="W1273" s="154" t="s">
        <v>64</v>
      </c>
      <c r="X1273" s="154" t="s">
        <v>66</v>
      </c>
      <c r="Y1273" s="154" t="s">
        <v>64</v>
      </c>
      <c r="Z1273" s="154" t="s">
        <v>64</v>
      </c>
      <c r="AA1273" s="154"/>
      <c r="AB1273" s="242" t="str">
        <f t="shared" si="2"/>
        <v>#ERROR!</v>
      </c>
      <c r="AC1273" s="154" t="s">
        <v>391</v>
      </c>
      <c r="AD1273" s="242" t="b">
        <f t="shared" si="3"/>
        <v>0</v>
      </c>
      <c r="AE1273" s="154"/>
      <c r="AF1273" s="242" t="str">
        <f t="shared" si="4"/>
        <v>#ERROR!</v>
      </c>
      <c r="AG1273" s="154" t="s">
        <v>652</v>
      </c>
      <c r="AH1273" s="242" t="str">
        <f>IF(AG1273="","N/A",INDIRECT("MTR!"&amp;ADDRESS(MATCH(LEFT(AG1273,9),[1]MTR!C:C,0),COLUMN(J1273)),TRUE) &amp; "")</f>
        <v>#ERROR!</v>
      </c>
      <c r="AI1273" s="157" t="str">
        <f t="shared" si="5"/>
        <v>#ERROR!</v>
      </c>
    </row>
    <row r="1274" ht="12.75" customHeight="1">
      <c r="A1274" s="244" t="s">
        <v>5158</v>
      </c>
      <c r="B1274" s="244" t="s">
        <v>231</v>
      </c>
      <c r="C1274" s="244" t="s">
        <v>10001</v>
      </c>
      <c r="D1274" s="154" t="s">
        <v>747</v>
      </c>
      <c r="E1274" s="154"/>
      <c r="F1274" s="154" t="str">
        <f t="array" ref="F1274">XLOOKUP(Cover!$D$12,$R$1:$Z$1,$R1274:$Z1274)</f>
        <v>Information</v>
      </c>
      <c r="G1274" s="154" t="s">
        <v>10002</v>
      </c>
      <c r="H1274" s="154" t="s">
        <v>9009</v>
      </c>
      <c r="I1274" s="154" t="s">
        <v>9997</v>
      </c>
      <c r="J1274" s="154" t="s">
        <v>9998</v>
      </c>
      <c r="K1274" s="154" t="s">
        <v>9003</v>
      </c>
      <c r="L1274" s="154" t="s">
        <v>6525</v>
      </c>
      <c r="M1274" s="154"/>
      <c r="N1274" s="154" t="s">
        <v>759</v>
      </c>
      <c r="O1274" s="247" t="s">
        <v>516</v>
      </c>
      <c r="P1274" s="247" t="s">
        <v>6776</v>
      </c>
      <c r="Q1274" s="154" t="str">
        <f t="shared" si="1"/>
        <v>#ERROR!</v>
      </c>
      <c r="R1274" s="154" t="s">
        <v>66</v>
      </c>
      <c r="S1274" s="154" t="s">
        <v>66</v>
      </c>
      <c r="T1274" s="154" t="s">
        <v>66</v>
      </c>
      <c r="U1274" s="154" t="s">
        <v>66</v>
      </c>
      <c r="V1274" s="154" t="s">
        <v>66</v>
      </c>
      <c r="W1274" s="154" t="s">
        <v>66</v>
      </c>
      <c r="X1274" s="154" t="s">
        <v>66</v>
      </c>
      <c r="Y1274" s="154" t="s">
        <v>66</v>
      </c>
      <c r="Z1274" s="154" t="s">
        <v>66</v>
      </c>
      <c r="AA1274" s="154"/>
      <c r="AB1274" s="242" t="str">
        <f t="shared" si="2"/>
        <v>#ERROR!</v>
      </c>
      <c r="AC1274" s="154" t="s">
        <v>391</v>
      </c>
      <c r="AD1274" s="242" t="b">
        <f t="shared" si="3"/>
        <v>0</v>
      </c>
      <c r="AE1274" s="154"/>
      <c r="AF1274" s="242" t="str">
        <f t="shared" si="4"/>
        <v>#ERROR!</v>
      </c>
      <c r="AG1274" s="154" t="s">
        <v>652</v>
      </c>
      <c r="AH1274" s="242" t="str">
        <f>IF(AG1274="","N/A",INDIRECT("MTR!"&amp;ADDRESS(MATCH(LEFT(AG1274,9),[1]MTR!C:C,0),COLUMN(J1274)),TRUE) &amp; "")</f>
        <v>#ERROR!</v>
      </c>
      <c r="AI1274" s="157" t="str">
        <f t="shared" si="5"/>
        <v>#ERROR!</v>
      </c>
    </row>
    <row r="1275" ht="12.75" customHeight="1">
      <c r="A1275" s="244" t="s">
        <v>5158</v>
      </c>
      <c r="B1275" s="244" t="s">
        <v>231</v>
      </c>
      <c r="C1275" s="244" t="s">
        <v>10003</v>
      </c>
      <c r="D1275" s="154" t="s">
        <v>747</v>
      </c>
      <c r="E1275" s="154"/>
      <c r="F1275" s="154" t="str">
        <f t="array" ref="F1275">XLOOKUP(Cover!$D$12,$R$1:$Z$1,$R1275:$Z1275)</f>
        <v>Information</v>
      </c>
      <c r="G1275" s="154" t="s">
        <v>10004</v>
      </c>
      <c r="H1275" s="154" t="s">
        <v>9084</v>
      </c>
      <c r="I1275" s="154" t="s">
        <v>9997</v>
      </c>
      <c r="J1275" s="154" t="s">
        <v>9998</v>
      </c>
      <c r="K1275" s="154" t="s">
        <v>9003</v>
      </c>
      <c r="L1275" s="154" t="s">
        <v>6525</v>
      </c>
      <c r="M1275" s="154"/>
      <c r="N1275" s="154" t="s">
        <v>759</v>
      </c>
      <c r="O1275" s="247" t="s">
        <v>516</v>
      </c>
      <c r="P1275" s="247" t="s">
        <v>6776</v>
      </c>
      <c r="Q1275" s="154" t="str">
        <f t="shared" si="1"/>
        <v>#ERROR!</v>
      </c>
      <c r="R1275" s="154" t="s">
        <v>66</v>
      </c>
      <c r="S1275" s="154" t="s">
        <v>66</v>
      </c>
      <c r="T1275" s="154" t="s">
        <v>66</v>
      </c>
      <c r="U1275" s="154" t="s">
        <v>66</v>
      </c>
      <c r="V1275" s="154" t="s">
        <v>66</v>
      </c>
      <c r="W1275" s="154" t="s">
        <v>66</v>
      </c>
      <c r="X1275" s="154" t="s">
        <v>66</v>
      </c>
      <c r="Y1275" s="154" t="s">
        <v>66</v>
      </c>
      <c r="Z1275" s="154" t="s">
        <v>66</v>
      </c>
      <c r="AA1275" s="154"/>
      <c r="AB1275" s="242" t="str">
        <f t="shared" si="2"/>
        <v>#ERROR!</v>
      </c>
      <c r="AC1275" s="154" t="s">
        <v>391</v>
      </c>
      <c r="AD1275" s="242" t="b">
        <f t="shared" si="3"/>
        <v>0</v>
      </c>
      <c r="AE1275" s="154"/>
      <c r="AF1275" s="242" t="str">
        <f t="shared" si="4"/>
        <v>#ERROR!</v>
      </c>
      <c r="AG1275" s="154" t="s">
        <v>652</v>
      </c>
      <c r="AH1275" s="242" t="str">
        <f>IF(AG1275="","N/A",INDIRECT("MTR!"&amp;ADDRESS(MATCH(LEFT(AG1275,9),[1]MTR!C:C,0),COLUMN(J1275)),TRUE) &amp; "")</f>
        <v>#ERROR!</v>
      </c>
      <c r="AI1275" s="157" t="str">
        <f t="shared" si="5"/>
        <v>#ERROR!</v>
      </c>
    </row>
    <row r="1276" ht="12.75" customHeight="1">
      <c r="A1276" s="244" t="s">
        <v>5158</v>
      </c>
      <c r="B1276" s="244" t="s">
        <v>231</v>
      </c>
      <c r="C1276" s="244" t="s">
        <v>10005</v>
      </c>
      <c r="D1276" s="154" t="s">
        <v>747</v>
      </c>
      <c r="E1276" s="154"/>
      <c r="F1276" s="154" t="str">
        <f t="array" ref="F1276">XLOOKUP(Cover!$D$12,$R$1:$Z$1,$R1276:$Z1276)</f>
        <v>Recommended</v>
      </c>
      <c r="G1276" s="154" t="s">
        <v>10006</v>
      </c>
      <c r="H1276" s="154" t="s">
        <v>1541</v>
      </c>
      <c r="I1276" s="154" t="s">
        <v>9997</v>
      </c>
      <c r="J1276" s="154" t="s">
        <v>9998</v>
      </c>
      <c r="K1276" s="154" t="s">
        <v>9003</v>
      </c>
      <c r="L1276" s="154" t="s">
        <v>6525</v>
      </c>
      <c r="M1276" s="154"/>
      <c r="N1276" s="154" t="s">
        <v>759</v>
      </c>
      <c r="O1276" s="247" t="s">
        <v>516</v>
      </c>
      <c r="P1276" s="247" t="s">
        <v>6776</v>
      </c>
      <c r="Q1276" s="154" t="str">
        <f t="shared" si="1"/>
        <v>#ERROR!</v>
      </c>
      <c r="R1276" s="154" t="s">
        <v>66</v>
      </c>
      <c r="S1276" s="154" t="s">
        <v>66</v>
      </c>
      <c r="T1276" s="154" t="s">
        <v>64</v>
      </c>
      <c r="U1276" s="154" t="s">
        <v>64</v>
      </c>
      <c r="V1276" s="154" t="s">
        <v>64</v>
      </c>
      <c r="W1276" s="154" t="s">
        <v>64</v>
      </c>
      <c r="X1276" s="154" t="s">
        <v>66</v>
      </c>
      <c r="Y1276" s="154" t="s">
        <v>64</v>
      </c>
      <c r="Z1276" s="154" t="s">
        <v>64</v>
      </c>
      <c r="AA1276" s="154"/>
      <c r="AB1276" s="242" t="str">
        <f t="shared" si="2"/>
        <v>#ERROR!</v>
      </c>
      <c r="AC1276" s="154" t="s">
        <v>391</v>
      </c>
      <c r="AD1276" s="242" t="b">
        <f t="shared" si="3"/>
        <v>0</v>
      </c>
      <c r="AE1276" s="154"/>
      <c r="AF1276" s="242" t="str">
        <f t="shared" si="4"/>
        <v>#ERROR!</v>
      </c>
      <c r="AG1276" s="154" t="s">
        <v>652</v>
      </c>
      <c r="AH1276" s="242" t="str">
        <f>IF(AG1276="","N/A",INDIRECT("MTR!"&amp;ADDRESS(MATCH(LEFT(AG1276,9),[1]MTR!C:C,0),COLUMN(J1276)),TRUE) &amp; "")</f>
        <v>#ERROR!</v>
      </c>
      <c r="AI1276" s="157" t="str">
        <f t="shared" si="5"/>
        <v>#ERROR!</v>
      </c>
    </row>
    <row r="1277" ht="12.75" customHeight="1">
      <c r="A1277" s="238" t="s">
        <v>5158</v>
      </c>
      <c r="B1277" s="238" t="s">
        <v>231</v>
      </c>
      <c r="C1277" s="238" t="s">
        <v>10007</v>
      </c>
      <c r="D1277" s="240"/>
      <c r="E1277" s="240" t="s">
        <v>92</v>
      </c>
      <c r="F1277" s="240" t="str">
        <f t="array" ref="F1277">XLOOKUP(Cover!$D$12,$R$1:$Z$1,$R1277:$Z1277)</f>
        <v>Heading</v>
      </c>
      <c r="G1277" s="239" t="s">
        <v>10008</v>
      </c>
      <c r="H1277" s="240"/>
      <c r="I1277" s="240"/>
      <c r="J1277" s="240"/>
      <c r="K1277" s="240"/>
      <c r="L1277" s="240"/>
      <c r="M1277" s="240"/>
      <c r="N1277" s="240" t="s">
        <v>759</v>
      </c>
      <c r="O1277" s="240"/>
      <c r="P1277" s="240"/>
      <c r="Q1277" s="240" t="str">
        <f t="shared" si="1"/>
        <v/>
      </c>
      <c r="R1277" s="240" t="s">
        <v>390</v>
      </c>
      <c r="S1277" s="240" t="s">
        <v>390</v>
      </c>
      <c r="T1277" s="240" t="s">
        <v>390</v>
      </c>
      <c r="U1277" s="240" t="s">
        <v>390</v>
      </c>
      <c r="V1277" s="240" t="s">
        <v>390</v>
      </c>
      <c r="W1277" s="240" t="s">
        <v>390</v>
      </c>
      <c r="X1277" s="240" t="s">
        <v>390</v>
      </c>
      <c r="Y1277" s="240" t="s">
        <v>390</v>
      </c>
      <c r="Z1277" s="240" t="s">
        <v>390</v>
      </c>
      <c r="AA1277" s="240"/>
      <c r="AB1277" s="242" t="str">
        <f t="shared" si="2"/>
        <v>#ERROR!</v>
      </c>
      <c r="AC1277" s="240" t="s">
        <v>391</v>
      </c>
      <c r="AD1277" s="242" t="b">
        <f t="shared" si="3"/>
        <v>0</v>
      </c>
      <c r="AE1277" s="240"/>
      <c r="AF1277" s="242" t="str">
        <f t="shared" si="4"/>
        <v>#ERROR!</v>
      </c>
      <c r="AG1277" s="240"/>
      <c r="AH1277" s="242" t="str">
        <f>IF(AG1277="","N/A",INDIRECT("MTR!"&amp;ADDRESS(MATCH(LEFT(AG1277,9),[1]MTR!C:C,0),COLUMN(J1277)),TRUE) &amp; "")</f>
        <v>#ERROR!</v>
      </c>
      <c r="AI1277" s="157" t="str">
        <f t="shared" si="5"/>
        <v/>
      </c>
    </row>
    <row r="1278" ht="12.75" customHeight="1">
      <c r="A1278" s="238" t="s">
        <v>5158</v>
      </c>
      <c r="B1278" s="238" t="s">
        <v>231</v>
      </c>
      <c r="C1278" s="238" t="s">
        <v>10009</v>
      </c>
      <c r="D1278" s="240"/>
      <c r="E1278" s="240" t="s">
        <v>92</v>
      </c>
      <c r="F1278" s="240" t="str">
        <f t="array" ref="F1278">XLOOKUP(Cover!$D$12,$R$1:$Z$1,$R1278:$Z1278)</f>
        <v>Heading</v>
      </c>
      <c r="G1278" s="239" t="s">
        <v>10010</v>
      </c>
      <c r="H1278" s="240"/>
      <c r="I1278" s="240"/>
      <c r="J1278" s="240"/>
      <c r="K1278" s="240"/>
      <c r="L1278" s="240"/>
      <c r="M1278" s="240"/>
      <c r="N1278" s="240" t="s">
        <v>759</v>
      </c>
      <c r="O1278" s="240"/>
      <c r="P1278" s="240"/>
      <c r="Q1278" s="240" t="str">
        <f t="shared" si="1"/>
        <v/>
      </c>
      <c r="R1278" s="240" t="s">
        <v>390</v>
      </c>
      <c r="S1278" s="240" t="s">
        <v>390</v>
      </c>
      <c r="T1278" s="240" t="s">
        <v>390</v>
      </c>
      <c r="U1278" s="240" t="s">
        <v>390</v>
      </c>
      <c r="V1278" s="240" t="s">
        <v>390</v>
      </c>
      <c r="W1278" s="240" t="s">
        <v>390</v>
      </c>
      <c r="X1278" s="240" t="s">
        <v>390</v>
      </c>
      <c r="Y1278" s="240" t="s">
        <v>390</v>
      </c>
      <c r="Z1278" s="240" t="s">
        <v>390</v>
      </c>
      <c r="AA1278" s="240"/>
      <c r="AB1278" s="242" t="str">
        <f t="shared" si="2"/>
        <v>#ERROR!</v>
      </c>
      <c r="AC1278" s="240" t="s">
        <v>391</v>
      </c>
      <c r="AD1278" s="242" t="b">
        <f t="shared" si="3"/>
        <v>0</v>
      </c>
      <c r="AE1278" s="240"/>
      <c r="AF1278" s="242" t="str">
        <f t="shared" si="4"/>
        <v>#ERROR!</v>
      </c>
      <c r="AG1278" s="240"/>
      <c r="AH1278" s="242" t="str">
        <f>IF(AG1278="","N/A",INDIRECT("MTR!"&amp;ADDRESS(MATCH(LEFT(AG1278,9),[1]MTR!C:C,0),COLUMN(J1278)),TRUE) &amp; "")</f>
        <v>#ERROR!</v>
      </c>
      <c r="AI1278" s="157" t="str">
        <f t="shared" si="5"/>
        <v/>
      </c>
    </row>
    <row r="1279" ht="12.75" customHeight="1">
      <c r="A1279" s="244" t="s">
        <v>5158</v>
      </c>
      <c r="B1279" s="244" t="s">
        <v>231</v>
      </c>
      <c r="C1279" s="244" t="s">
        <v>10011</v>
      </c>
      <c r="D1279" s="154" t="s">
        <v>1773</v>
      </c>
      <c r="E1279" s="154"/>
      <c r="F1279" s="154" t="str">
        <f t="array" ref="F1279">XLOOKUP(Cover!$D$12,$R$1:$Z$1,$R1279:$Z1279)</f>
        <v>Recommended</v>
      </c>
      <c r="G1279" s="154" t="s">
        <v>10012</v>
      </c>
      <c r="H1279" s="154" t="s">
        <v>6779</v>
      </c>
      <c r="I1279" s="154" t="s">
        <v>10013</v>
      </c>
      <c r="J1279" s="154" t="s">
        <v>5888</v>
      </c>
      <c r="K1279" s="154" t="s">
        <v>10014</v>
      </c>
      <c r="L1279" s="154" t="s">
        <v>7175</v>
      </c>
      <c r="M1279" s="154"/>
      <c r="N1279" s="154" t="s">
        <v>759</v>
      </c>
      <c r="O1279" s="247" t="s">
        <v>445</v>
      </c>
      <c r="P1279" s="247" t="s">
        <v>6772</v>
      </c>
      <c r="Q1279" s="154" t="str">
        <f t="shared" si="1"/>
        <v>#ERROR!</v>
      </c>
      <c r="R1279" s="154" t="s">
        <v>66</v>
      </c>
      <c r="S1279" s="154" t="s">
        <v>66</v>
      </c>
      <c r="T1279" s="154" t="s">
        <v>64</v>
      </c>
      <c r="U1279" s="154" t="s">
        <v>64</v>
      </c>
      <c r="V1279" s="154" t="s">
        <v>64</v>
      </c>
      <c r="W1279" s="154" t="s">
        <v>64</v>
      </c>
      <c r="X1279" s="154" t="s">
        <v>66</v>
      </c>
      <c r="Y1279" s="154" t="s">
        <v>64</v>
      </c>
      <c r="Z1279" s="154" t="s">
        <v>64</v>
      </c>
      <c r="AA1279" s="154"/>
      <c r="AB1279" s="242" t="str">
        <f t="shared" si="2"/>
        <v>#ERROR!</v>
      </c>
      <c r="AC1279" s="154" t="s">
        <v>391</v>
      </c>
      <c r="AD1279" s="242" t="b">
        <f t="shared" si="3"/>
        <v>0</v>
      </c>
      <c r="AE1279" s="154"/>
      <c r="AF1279" s="242" t="str">
        <f t="shared" si="4"/>
        <v>#ERROR!</v>
      </c>
      <c r="AG1279" s="154"/>
      <c r="AH1279" s="242" t="str">
        <f>IF(AG1279="","N/A",INDIRECT("MTR!"&amp;ADDRESS(MATCH(LEFT(AG1279,9),[1]MTR!C:C,0),COLUMN(J1279)),TRUE) &amp; "")</f>
        <v>#ERROR!</v>
      </c>
      <c r="AI1279" s="157" t="str">
        <f t="shared" si="5"/>
        <v>#ERROR!</v>
      </c>
    </row>
    <row r="1280" ht="12.75" customHeight="1">
      <c r="A1280" s="244" t="s">
        <v>5158</v>
      </c>
      <c r="B1280" s="244" t="s">
        <v>231</v>
      </c>
      <c r="C1280" s="244" t="s">
        <v>10015</v>
      </c>
      <c r="D1280" s="154" t="s">
        <v>1773</v>
      </c>
      <c r="E1280" s="154"/>
      <c r="F1280" s="154" t="str">
        <f t="array" ref="F1280">XLOOKUP(Cover!$D$12,$R$1:$Z$1,$R1280:$Z1280)</f>
        <v>Recommended</v>
      </c>
      <c r="G1280" s="154" t="s">
        <v>10016</v>
      </c>
      <c r="H1280" s="154" t="s">
        <v>7317</v>
      </c>
      <c r="I1280" s="154" t="s">
        <v>10013</v>
      </c>
      <c r="J1280" s="154" t="s">
        <v>5888</v>
      </c>
      <c r="K1280" s="154" t="s">
        <v>10014</v>
      </c>
      <c r="L1280" s="154" t="s">
        <v>7175</v>
      </c>
      <c r="M1280" s="154"/>
      <c r="N1280" s="154" t="s">
        <v>759</v>
      </c>
      <c r="O1280" s="247" t="s">
        <v>445</v>
      </c>
      <c r="P1280" s="247" t="s">
        <v>6772</v>
      </c>
      <c r="Q1280" s="154" t="str">
        <f t="shared" si="1"/>
        <v>#ERROR!</v>
      </c>
      <c r="R1280" s="154" t="s">
        <v>66</v>
      </c>
      <c r="S1280" s="154" t="s">
        <v>66</v>
      </c>
      <c r="T1280" s="154" t="s">
        <v>64</v>
      </c>
      <c r="U1280" s="154" t="s">
        <v>64</v>
      </c>
      <c r="V1280" s="154" t="s">
        <v>64</v>
      </c>
      <c r="W1280" s="154" t="s">
        <v>64</v>
      </c>
      <c r="X1280" s="154" t="s">
        <v>66</v>
      </c>
      <c r="Y1280" s="154" t="s">
        <v>64</v>
      </c>
      <c r="Z1280" s="154" t="s">
        <v>64</v>
      </c>
      <c r="AA1280" s="154"/>
      <c r="AB1280" s="242" t="str">
        <f t="shared" si="2"/>
        <v>#ERROR!</v>
      </c>
      <c r="AC1280" s="154" t="s">
        <v>391</v>
      </c>
      <c r="AD1280" s="242" t="b">
        <f t="shared" si="3"/>
        <v>0</v>
      </c>
      <c r="AE1280" s="154"/>
      <c r="AF1280" s="242" t="str">
        <f t="shared" si="4"/>
        <v>#ERROR!</v>
      </c>
      <c r="AG1280" s="154"/>
      <c r="AH1280" s="242" t="str">
        <f>IF(AG1280="","N/A",INDIRECT("MTR!"&amp;ADDRESS(MATCH(LEFT(AG1280,9),[1]MTR!C:C,0),COLUMN(J1280)),TRUE) &amp; "")</f>
        <v>#ERROR!</v>
      </c>
      <c r="AI1280" s="157" t="str">
        <f t="shared" si="5"/>
        <v>#ERROR!</v>
      </c>
    </row>
    <row r="1281" ht="12.75" customHeight="1">
      <c r="A1281" s="238" t="s">
        <v>5158</v>
      </c>
      <c r="B1281" s="238" t="s">
        <v>231</v>
      </c>
      <c r="C1281" s="238" t="s">
        <v>10017</v>
      </c>
      <c r="D1281" s="240"/>
      <c r="E1281" s="240" t="s">
        <v>92</v>
      </c>
      <c r="F1281" s="240" t="str">
        <f t="array" ref="F1281">XLOOKUP(Cover!$D$12,$R$1:$Z$1,$R1281:$Z1281)</f>
        <v>Heading</v>
      </c>
      <c r="G1281" s="239" t="s">
        <v>10018</v>
      </c>
      <c r="H1281" s="240"/>
      <c r="I1281" s="240"/>
      <c r="J1281" s="240"/>
      <c r="K1281" s="240"/>
      <c r="L1281" s="240"/>
      <c r="M1281" s="240"/>
      <c r="N1281" s="240" t="s">
        <v>759</v>
      </c>
      <c r="O1281" s="240"/>
      <c r="P1281" s="240"/>
      <c r="Q1281" s="240" t="str">
        <f t="shared" si="1"/>
        <v/>
      </c>
      <c r="R1281" s="240" t="s">
        <v>390</v>
      </c>
      <c r="S1281" s="240" t="s">
        <v>390</v>
      </c>
      <c r="T1281" s="240" t="s">
        <v>390</v>
      </c>
      <c r="U1281" s="240" t="s">
        <v>390</v>
      </c>
      <c r="V1281" s="240" t="s">
        <v>390</v>
      </c>
      <c r="W1281" s="240" t="s">
        <v>390</v>
      </c>
      <c r="X1281" s="240" t="s">
        <v>390</v>
      </c>
      <c r="Y1281" s="240" t="s">
        <v>390</v>
      </c>
      <c r="Z1281" s="240" t="s">
        <v>390</v>
      </c>
      <c r="AA1281" s="240"/>
      <c r="AB1281" s="242" t="str">
        <f t="shared" si="2"/>
        <v>#ERROR!</v>
      </c>
      <c r="AC1281" s="240" t="s">
        <v>391</v>
      </c>
      <c r="AD1281" s="242" t="b">
        <f t="shared" si="3"/>
        <v>0</v>
      </c>
      <c r="AE1281" s="240"/>
      <c r="AF1281" s="242" t="str">
        <f t="shared" si="4"/>
        <v>#ERROR!</v>
      </c>
      <c r="AG1281" s="240"/>
      <c r="AH1281" s="242" t="str">
        <f>IF(AG1281="","N/A",INDIRECT("MTR!"&amp;ADDRESS(MATCH(LEFT(AG1281,9),[1]MTR!C:C,0),COLUMN(J1281)),TRUE) &amp; "")</f>
        <v>#ERROR!</v>
      </c>
      <c r="AI1281" s="157" t="str">
        <f t="shared" si="5"/>
        <v/>
      </c>
    </row>
    <row r="1282" ht="12.75" customHeight="1">
      <c r="A1282" s="244" t="s">
        <v>5158</v>
      </c>
      <c r="B1282" s="244" t="s">
        <v>231</v>
      </c>
      <c r="C1282" s="244" t="s">
        <v>10019</v>
      </c>
      <c r="D1282" s="154" t="s">
        <v>781</v>
      </c>
      <c r="E1282" s="154"/>
      <c r="F1282" s="154" t="str">
        <f t="array" ref="F1282">XLOOKUP(Cover!$D$12,$R$1:$Z$1,$R1282:$Z1282)</f>
        <v>Recommended</v>
      </c>
      <c r="G1282" s="154" t="s">
        <v>10020</v>
      </c>
      <c r="H1282" s="154" t="s">
        <v>6771</v>
      </c>
      <c r="I1282" s="154" t="s">
        <v>10021</v>
      </c>
      <c r="J1282" s="154" t="s">
        <v>5782</v>
      </c>
      <c r="K1282" s="154" t="s">
        <v>10022</v>
      </c>
      <c r="L1282" s="154" t="s">
        <v>6140</v>
      </c>
      <c r="M1282" s="154"/>
      <c r="N1282" s="154" t="s">
        <v>759</v>
      </c>
      <c r="O1282" s="247" t="s">
        <v>516</v>
      </c>
      <c r="P1282" s="247" t="s">
        <v>6776</v>
      </c>
      <c r="Q1282" s="154" t="str">
        <f t="shared" si="1"/>
        <v>#ERROR!</v>
      </c>
      <c r="R1282" s="154" t="s">
        <v>66</v>
      </c>
      <c r="S1282" s="154" t="s">
        <v>66</v>
      </c>
      <c r="T1282" s="154" t="s">
        <v>64</v>
      </c>
      <c r="U1282" s="154" t="s">
        <v>64</v>
      </c>
      <c r="V1282" s="154" t="s">
        <v>64</v>
      </c>
      <c r="W1282" s="154" t="s">
        <v>64</v>
      </c>
      <c r="X1282" s="154" t="s">
        <v>66</v>
      </c>
      <c r="Y1282" s="154" t="s">
        <v>64</v>
      </c>
      <c r="Z1282" s="154" t="s">
        <v>64</v>
      </c>
      <c r="AA1282" s="154"/>
      <c r="AB1282" s="242" t="str">
        <f t="shared" si="2"/>
        <v>#ERROR!</v>
      </c>
      <c r="AC1282" s="154" t="s">
        <v>391</v>
      </c>
      <c r="AD1282" s="242" t="b">
        <f t="shared" si="3"/>
        <v>0</v>
      </c>
      <c r="AE1282" s="154"/>
      <c r="AF1282" s="242" t="str">
        <f t="shared" si="4"/>
        <v>#ERROR!</v>
      </c>
      <c r="AG1282" s="154"/>
      <c r="AH1282" s="242" t="str">
        <f>IF(AG1282="","N/A",INDIRECT("MTR!"&amp;ADDRESS(MATCH(LEFT(AG1282,9),[1]MTR!C:C,0),COLUMN(J1282)),TRUE) &amp; "")</f>
        <v>#ERROR!</v>
      </c>
      <c r="AI1282" s="157" t="str">
        <f t="shared" si="5"/>
        <v>#ERROR!</v>
      </c>
    </row>
    <row r="1283" ht="12.75" customHeight="1">
      <c r="A1283" s="244" t="s">
        <v>5158</v>
      </c>
      <c r="B1283" s="244" t="s">
        <v>231</v>
      </c>
      <c r="C1283" s="244" t="s">
        <v>10023</v>
      </c>
      <c r="D1283" s="154" t="s">
        <v>781</v>
      </c>
      <c r="E1283" s="154"/>
      <c r="F1283" s="154" t="str">
        <f t="array" ref="F1283">XLOOKUP(Cover!$D$12,$R$1:$Z$1,$R1283:$Z1283)</f>
        <v>Recommended</v>
      </c>
      <c r="G1283" s="154" t="s">
        <v>10024</v>
      </c>
      <c r="H1283" s="154" t="s">
        <v>7838</v>
      </c>
      <c r="I1283" s="154" t="s">
        <v>10021</v>
      </c>
      <c r="J1283" s="154" t="s">
        <v>5782</v>
      </c>
      <c r="K1283" s="154" t="s">
        <v>10022</v>
      </c>
      <c r="L1283" s="154" t="s">
        <v>6140</v>
      </c>
      <c r="M1283" s="154"/>
      <c r="N1283" s="154" t="s">
        <v>759</v>
      </c>
      <c r="O1283" s="247" t="s">
        <v>516</v>
      </c>
      <c r="P1283" s="247" t="s">
        <v>6776</v>
      </c>
      <c r="Q1283" s="154" t="str">
        <f t="shared" si="1"/>
        <v>#ERROR!</v>
      </c>
      <c r="R1283" s="154" t="s">
        <v>66</v>
      </c>
      <c r="S1283" s="154" t="s">
        <v>66</v>
      </c>
      <c r="T1283" s="154" t="s">
        <v>64</v>
      </c>
      <c r="U1283" s="154" t="s">
        <v>64</v>
      </c>
      <c r="V1283" s="154" t="s">
        <v>64</v>
      </c>
      <c r="W1283" s="154" t="s">
        <v>64</v>
      </c>
      <c r="X1283" s="154" t="s">
        <v>66</v>
      </c>
      <c r="Y1283" s="154" t="s">
        <v>64</v>
      </c>
      <c r="Z1283" s="154" t="s">
        <v>64</v>
      </c>
      <c r="AA1283" s="154"/>
      <c r="AB1283" s="242" t="str">
        <f t="shared" si="2"/>
        <v>#ERROR!</v>
      </c>
      <c r="AC1283" s="154" t="s">
        <v>391</v>
      </c>
      <c r="AD1283" s="242" t="b">
        <f t="shared" si="3"/>
        <v>0</v>
      </c>
      <c r="AE1283" s="154"/>
      <c r="AF1283" s="242" t="str">
        <f t="shared" si="4"/>
        <v>#ERROR!</v>
      </c>
      <c r="AG1283" s="154"/>
      <c r="AH1283" s="242" t="str">
        <f>IF(AG1283="","N/A",INDIRECT("MTR!"&amp;ADDRESS(MATCH(LEFT(AG1283,9),[1]MTR!C:C,0),COLUMN(J1283)),TRUE) &amp; "")</f>
        <v>#ERROR!</v>
      </c>
      <c r="AI1283" s="157" t="str">
        <f t="shared" si="5"/>
        <v>#ERROR!</v>
      </c>
    </row>
    <row r="1284" ht="12.75" customHeight="1">
      <c r="A1284" s="244" t="s">
        <v>5158</v>
      </c>
      <c r="B1284" s="244" t="s">
        <v>231</v>
      </c>
      <c r="C1284" s="244" t="s">
        <v>10025</v>
      </c>
      <c r="D1284" s="154" t="s">
        <v>546</v>
      </c>
      <c r="E1284" s="154"/>
      <c r="F1284" s="154" t="str">
        <f t="array" ref="F1284">XLOOKUP(Cover!$D$12,$R$1:$Z$1,$R1284:$Z1284)</f>
        <v>Recommended</v>
      </c>
      <c r="G1284" s="154" t="s">
        <v>10026</v>
      </c>
      <c r="H1284" s="154" t="s">
        <v>6782</v>
      </c>
      <c r="I1284" s="154" t="s">
        <v>10027</v>
      </c>
      <c r="J1284" s="154" t="s">
        <v>5897</v>
      </c>
      <c r="K1284" s="154" t="s">
        <v>10022</v>
      </c>
      <c r="L1284" s="154" t="s">
        <v>6529</v>
      </c>
      <c r="M1284" s="154"/>
      <c r="N1284" s="154" t="s">
        <v>759</v>
      </c>
      <c r="O1284" s="247" t="s">
        <v>445</v>
      </c>
      <c r="P1284" s="247" t="s">
        <v>89</v>
      </c>
      <c r="Q1284" s="154" t="str">
        <f t="shared" si="1"/>
        <v>#ERROR!</v>
      </c>
      <c r="R1284" s="154" t="s">
        <v>66</v>
      </c>
      <c r="S1284" s="154" t="s">
        <v>66</v>
      </c>
      <c r="T1284" s="154" t="s">
        <v>64</v>
      </c>
      <c r="U1284" s="154" t="s">
        <v>64</v>
      </c>
      <c r="V1284" s="154" t="s">
        <v>64</v>
      </c>
      <c r="W1284" s="154" t="s">
        <v>64</v>
      </c>
      <c r="X1284" s="154" t="s">
        <v>66</v>
      </c>
      <c r="Y1284" s="154" t="s">
        <v>64</v>
      </c>
      <c r="Z1284" s="154" t="s">
        <v>64</v>
      </c>
      <c r="AA1284" s="154"/>
      <c r="AB1284" s="242" t="str">
        <f t="shared" si="2"/>
        <v>#ERROR!</v>
      </c>
      <c r="AC1284" s="154" t="s">
        <v>391</v>
      </c>
      <c r="AD1284" s="242" t="b">
        <f t="shared" si="3"/>
        <v>0</v>
      </c>
      <c r="AE1284" s="154"/>
      <c r="AF1284" s="242" t="str">
        <f t="shared" si="4"/>
        <v>#ERROR!</v>
      </c>
      <c r="AG1284" s="154"/>
      <c r="AH1284" s="242" t="str">
        <f>IF(AG1284="","N/A",INDIRECT("MTR!"&amp;ADDRESS(MATCH(LEFT(AG1284,9),[1]MTR!C:C,0),COLUMN(J1284)),TRUE) &amp; "")</f>
        <v>#ERROR!</v>
      </c>
      <c r="AI1284" s="157" t="str">
        <f t="shared" si="5"/>
        <v>#ERROR!</v>
      </c>
    </row>
    <row r="1285" ht="12.75" customHeight="1">
      <c r="A1285" s="244" t="s">
        <v>5158</v>
      </c>
      <c r="B1285" s="244" t="s">
        <v>231</v>
      </c>
      <c r="C1285" s="244" t="s">
        <v>10028</v>
      </c>
      <c r="D1285" s="154" t="s">
        <v>546</v>
      </c>
      <c r="E1285" s="154"/>
      <c r="F1285" s="154" t="str">
        <f t="array" ref="F1285">XLOOKUP(Cover!$D$12,$R$1:$Z$1,$R1285:$Z1285)</f>
        <v>Recommended</v>
      </c>
      <c r="G1285" s="154" t="s">
        <v>10029</v>
      </c>
      <c r="H1285" s="154" t="s">
        <v>7850</v>
      </c>
      <c r="I1285" s="154" t="s">
        <v>10027</v>
      </c>
      <c r="J1285" s="154" t="s">
        <v>5897</v>
      </c>
      <c r="K1285" s="154" t="s">
        <v>10022</v>
      </c>
      <c r="L1285" s="154" t="s">
        <v>6529</v>
      </c>
      <c r="M1285" s="154"/>
      <c r="N1285" s="154" t="s">
        <v>759</v>
      </c>
      <c r="O1285" s="247" t="s">
        <v>445</v>
      </c>
      <c r="P1285" s="247" t="s">
        <v>89</v>
      </c>
      <c r="Q1285" s="154" t="str">
        <f t="shared" si="1"/>
        <v>#ERROR!</v>
      </c>
      <c r="R1285" s="154" t="s">
        <v>66</v>
      </c>
      <c r="S1285" s="154" t="s">
        <v>66</v>
      </c>
      <c r="T1285" s="154" t="s">
        <v>64</v>
      </c>
      <c r="U1285" s="154" t="s">
        <v>64</v>
      </c>
      <c r="V1285" s="154" t="s">
        <v>64</v>
      </c>
      <c r="W1285" s="154" t="s">
        <v>64</v>
      </c>
      <c r="X1285" s="154" t="s">
        <v>66</v>
      </c>
      <c r="Y1285" s="154" t="s">
        <v>64</v>
      </c>
      <c r="Z1285" s="154" t="s">
        <v>64</v>
      </c>
      <c r="AA1285" s="154"/>
      <c r="AB1285" s="242" t="str">
        <f t="shared" si="2"/>
        <v>#ERROR!</v>
      </c>
      <c r="AC1285" s="154" t="s">
        <v>391</v>
      </c>
      <c r="AD1285" s="242" t="b">
        <f t="shared" si="3"/>
        <v>0</v>
      </c>
      <c r="AE1285" s="154"/>
      <c r="AF1285" s="242" t="str">
        <f t="shared" si="4"/>
        <v>#ERROR!</v>
      </c>
      <c r="AG1285" s="154"/>
      <c r="AH1285" s="242" t="str">
        <f>IF(AG1285="","N/A",INDIRECT("MTR!"&amp;ADDRESS(MATCH(LEFT(AG1285,9),[1]MTR!C:C,0),COLUMN(J1285)),TRUE) &amp; "")</f>
        <v>#ERROR!</v>
      </c>
      <c r="AI1285" s="157" t="str">
        <f t="shared" si="5"/>
        <v>#ERROR!</v>
      </c>
    </row>
    <row r="1286" ht="12.75" customHeight="1">
      <c r="A1286" s="244" t="s">
        <v>5158</v>
      </c>
      <c r="B1286" s="244" t="s">
        <v>231</v>
      </c>
      <c r="C1286" s="244" t="s">
        <v>10030</v>
      </c>
      <c r="D1286" s="154" t="s">
        <v>781</v>
      </c>
      <c r="E1286" s="154"/>
      <c r="F1286" s="154" t="str">
        <f t="array" ref="F1286">XLOOKUP(Cover!$D$12,$R$1:$Z$1,$R1286:$Z1286)</f>
        <v>Recommended</v>
      </c>
      <c r="G1286" s="154" t="s">
        <v>10031</v>
      </c>
      <c r="H1286" s="154" t="s">
        <v>6771</v>
      </c>
      <c r="I1286" s="154" t="s">
        <v>10032</v>
      </c>
      <c r="J1286" s="154" t="s">
        <v>6809</v>
      </c>
      <c r="K1286" s="154" t="s">
        <v>10022</v>
      </c>
      <c r="L1286" s="154" t="s">
        <v>6140</v>
      </c>
      <c r="M1286" s="154"/>
      <c r="N1286" s="154" t="s">
        <v>759</v>
      </c>
      <c r="O1286" s="247" t="s">
        <v>516</v>
      </c>
      <c r="P1286" s="247" t="s">
        <v>6776</v>
      </c>
      <c r="Q1286" s="154" t="str">
        <f t="shared" si="1"/>
        <v>#ERROR!</v>
      </c>
      <c r="R1286" s="154" t="s">
        <v>66</v>
      </c>
      <c r="S1286" s="154" t="s">
        <v>66</v>
      </c>
      <c r="T1286" s="154" t="s">
        <v>64</v>
      </c>
      <c r="U1286" s="154" t="s">
        <v>64</v>
      </c>
      <c r="V1286" s="154" t="s">
        <v>64</v>
      </c>
      <c r="W1286" s="154" t="s">
        <v>64</v>
      </c>
      <c r="X1286" s="154" t="s">
        <v>66</v>
      </c>
      <c r="Y1286" s="154" t="s">
        <v>64</v>
      </c>
      <c r="Z1286" s="154" t="s">
        <v>64</v>
      </c>
      <c r="AA1286" s="154"/>
      <c r="AB1286" s="242" t="str">
        <f t="shared" si="2"/>
        <v>#ERROR!</v>
      </c>
      <c r="AC1286" s="154" t="s">
        <v>391</v>
      </c>
      <c r="AD1286" s="242" t="b">
        <f t="shared" si="3"/>
        <v>0</v>
      </c>
      <c r="AE1286" s="154"/>
      <c r="AF1286" s="242" t="str">
        <f t="shared" si="4"/>
        <v>#ERROR!</v>
      </c>
      <c r="AG1286" s="154"/>
      <c r="AH1286" s="242" t="str">
        <f>IF(AG1286="","N/A",INDIRECT("MTR!"&amp;ADDRESS(MATCH(LEFT(AG1286,9),[1]MTR!C:C,0),COLUMN(J1286)),TRUE) &amp; "")</f>
        <v>#ERROR!</v>
      </c>
      <c r="AI1286" s="157" t="str">
        <f t="shared" si="5"/>
        <v>#ERROR!</v>
      </c>
    </row>
    <row r="1287" ht="12.75" customHeight="1">
      <c r="A1287" s="244" t="s">
        <v>5158</v>
      </c>
      <c r="B1287" s="244" t="s">
        <v>231</v>
      </c>
      <c r="C1287" s="244" t="s">
        <v>10033</v>
      </c>
      <c r="D1287" s="154" t="s">
        <v>781</v>
      </c>
      <c r="E1287" s="154"/>
      <c r="F1287" s="154" t="str">
        <f t="array" ref="F1287">XLOOKUP(Cover!$D$12,$R$1:$Z$1,$R1287:$Z1287)</f>
        <v>Recommended</v>
      </c>
      <c r="G1287" s="154" t="s">
        <v>10034</v>
      </c>
      <c r="H1287" s="154" t="s">
        <v>7838</v>
      </c>
      <c r="I1287" s="154" t="s">
        <v>10032</v>
      </c>
      <c r="J1287" s="154" t="s">
        <v>6809</v>
      </c>
      <c r="K1287" s="154" t="s">
        <v>10022</v>
      </c>
      <c r="L1287" s="154" t="s">
        <v>6140</v>
      </c>
      <c r="M1287" s="154"/>
      <c r="N1287" s="154" t="s">
        <v>759</v>
      </c>
      <c r="O1287" s="247" t="s">
        <v>516</v>
      </c>
      <c r="P1287" s="247" t="s">
        <v>6776</v>
      </c>
      <c r="Q1287" s="154" t="str">
        <f t="shared" si="1"/>
        <v>#ERROR!</v>
      </c>
      <c r="R1287" s="154" t="s">
        <v>66</v>
      </c>
      <c r="S1287" s="154" t="s">
        <v>66</v>
      </c>
      <c r="T1287" s="154" t="s">
        <v>64</v>
      </c>
      <c r="U1287" s="154" t="s">
        <v>64</v>
      </c>
      <c r="V1287" s="154" t="s">
        <v>64</v>
      </c>
      <c r="W1287" s="154" t="s">
        <v>64</v>
      </c>
      <c r="X1287" s="154" t="s">
        <v>66</v>
      </c>
      <c r="Y1287" s="154" t="s">
        <v>64</v>
      </c>
      <c r="Z1287" s="154" t="s">
        <v>64</v>
      </c>
      <c r="AA1287" s="154"/>
      <c r="AB1287" s="242" t="str">
        <f t="shared" si="2"/>
        <v>#ERROR!</v>
      </c>
      <c r="AC1287" s="154" t="s">
        <v>391</v>
      </c>
      <c r="AD1287" s="242" t="b">
        <f t="shared" si="3"/>
        <v>0</v>
      </c>
      <c r="AE1287" s="154"/>
      <c r="AF1287" s="242" t="str">
        <f t="shared" si="4"/>
        <v>#ERROR!</v>
      </c>
      <c r="AG1287" s="154"/>
      <c r="AH1287" s="242" t="str">
        <f>IF(AG1287="","N/A",INDIRECT("MTR!"&amp;ADDRESS(MATCH(LEFT(AG1287,9),[1]MTR!C:C,0),COLUMN(J1287)),TRUE) &amp; "")</f>
        <v>#ERROR!</v>
      </c>
      <c r="AI1287" s="157" t="str">
        <f t="shared" si="5"/>
        <v>#ERROR!</v>
      </c>
    </row>
    <row r="1288" ht="12.75" customHeight="1">
      <c r="A1288" s="244" t="s">
        <v>5158</v>
      </c>
      <c r="B1288" s="244" t="s">
        <v>231</v>
      </c>
      <c r="C1288" s="244" t="s">
        <v>10035</v>
      </c>
      <c r="D1288" s="154" t="s">
        <v>781</v>
      </c>
      <c r="E1288" s="154"/>
      <c r="F1288" s="154" t="str">
        <f t="array" ref="F1288">XLOOKUP(Cover!$D$12,$R$1:$Z$1,$R1288:$Z1288)</f>
        <v>Recommended</v>
      </c>
      <c r="G1288" s="154" t="s">
        <v>10036</v>
      </c>
      <c r="H1288" s="154" t="s">
        <v>6808</v>
      </c>
      <c r="I1288" s="154" t="s">
        <v>10032</v>
      </c>
      <c r="J1288" s="154" t="s">
        <v>6809</v>
      </c>
      <c r="K1288" s="154" t="s">
        <v>10022</v>
      </c>
      <c r="L1288" s="154" t="s">
        <v>6140</v>
      </c>
      <c r="M1288" s="154"/>
      <c r="N1288" s="154" t="s">
        <v>759</v>
      </c>
      <c r="O1288" s="247" t="s">
        <v>516</v>
      </c>
      <c r="P1288" s="247" t="s">
        <v>6776</v>
      </c>
      <c r="Q1288" s="154" t="str">
        <f t="shared" si="1"/>
        <v>#ERROR!</v>
      </c>
      <c r="R1288" s="154" t="s">
        <v>66</v>
      </c>
      <c r="S1288" s="154" t="s">
        <v>66</v>
      </c>
      <c r="T1288" s="154" t="s">
        <v>64</v>
      </c>
      <c r="U1288" s="154" t="s">
        <v>64</v>
      </c>
      <c r="V1288" s="154" t="s">
        <v>64</v>
      </c>
      <c r="W1288" s="154" t="s">
        <v>64</v>
      </c>
      <c r="X1288" s="154" t="s">
        <v>66</v>
      </c>
      <c r="Y1288" s="154" t="s">
        <v>64</v>
      </c>
      <c r="Z1288" s="154" t="s">
        <v>64</v>
      </c>
      <c r="AA1288" s="154"/>
      <c r="AB1288" s="242" t="str">
        <f t="shared" si="2"/>
        <v>#ERROR!</v>
      </c>
      <c r="AC1288" s="154" t="s">
        <v>391</v>
      </c>
      <c r="AD1288" s="242" t="b">
        <f t="shared" si="3"/>
        <v>0</v>
      </c>
      <c r="AE1288" s="154"/>
      <c r="AF1288" s="242" t="str">
        <f t="shared" si="4"/>
        <v>#ERROR!</v>
      </c>
      <c r="AG1288" s="154"/>
      <c r="AH1288" s="242" t="str">
        <f>IF(AG1288="","N/A",INDIRECT("MTR!"&amp;ADDRESS(MATCH(LEFT(AG1288,9),[1]MTR!C:C,0),COLUMN(J1288)),TRUE) &amp; "")</f>
        <v>#ERROR!</v>
      </c>
      <c r="AI1288" s="157" t="str">
        <f t="shared" si="5"/>
        <v>#ERROR!</v>
      </c>
    </row>
    <row r="1289" ht="12.75" customHeight="1">
      <c r="A1289" s="244" t="s">
        <v>5158</v>
      </c>
      <c r="B1289" s="244" t="s">
        <v>231</v>
      </c>
      <c r="C1289" s="244" t="s">
        <v>10037</v>
      </c>
      <c r="D1289" s="154" t="s">
        <v>781</v>
      </c>
      <c r="E1289" s="154"/>
      <c r="F1289" s="154" t="str">
        <f t="array" ref="F1289">XLOOKUP(Cover!$D$12,$R$1:$Z$1,$R1289:$Z1289)</f>
        <v>Recommended</v>
      </c>
      <c r="G1289" s="154" t="s">
        <v>10038</v>
      </c>
      <c r="H1289" s="154" t="s">
        <v>7892</v>
      </c>
      <c r="I1289" s="154" t="s">
        <v>10032</v>
      </c>
      <c r="J1289" s="154" t="s">
        <v>6809</v>
      </c>
      <c r="K1289" s="154" t="s">
        <v>10022</v>
      </c>
      <c r="L1289" s="154" t="s">
        <v>6140</v>
      </c>
      <c r="M1289" s="154"/>
      <c r="N1289" s="154" t="s">
        <v>759</v>
      </c>
      <c r="O1289" s="247" t="s">
        <v>516</v>
      </c>
      <c r="P1289" s="247" t="s">
        <v>6776</v>
      </c>
      <c r="Q1289" s="154" t="str">
        <f t="shared" si="1"/>
        <v>#ERROR!</v>
      </c>
      <c r="R1289" s="154" t="s">
        <v>66</v>
      </c>
      <c r="S1289" s="154" t="s">
        <v>66</v>
      </c>
      <c r="T1289" s="154" t="s">
        <v>64</v>
      </c>
      <c r="U1289" s="154" t="s">
        <v>64</v>
      </c>
      <c r="V1289" s="154" t="s">
        <v>64</v>
      </c>
      <c r="W1289" s="154" t="s">
        <v>64</v>
      </c>
      <c r="X1289" s="154" t="s">
        <v>66</v>
      </c>
      <c r="Y1289" s="154" t="s">
        <v>64</v>
      </c>
      <c r="Z1289" s="154" t="s">
        <v>64</v>
      </c>
      <c r="AA1289" s="154"/>
      <c r="AB1289" s="242" t="str">
        <f t="shared" si="2"/>
        <v>#ERROR!</v>
      </c>
      <c r="AC1289" s="154" t="s">
        <v>391</v>
      </c>
      <c r="AD1289" s="242" t="b">
        <f t="shared" si="3"/>
        <v>0</v>
      </c>
      <c r="AE1289" s="154"/>
      <c r="AF1289" s="242" t="str">
        <f t="shared" si="4"/>
        <v>#ERROR!</v>
      </c>
      <c r="AG1289" s="154"/>
      <c r="AH1289" s="242" t="str">
        <f>IF(AG1289="","N/A",INDIRECT("MTR!"&amp;ADDRESS(MATCH(LEFT(AG1289,9),[1]MTR!C:C,0),COLUMN(J1289)),TRUE) &amp; "")</f>
        <v>#ERROR!</v>
      </c>
      <c r="AI1289" s="157" t="str">
        <f t="shared" si="5"/>
        <v>#ERROR!</v>
      </c>
    </row>
    <row r="1290" ht="12.75" customHeight="1">
      <c r="A1290" s="244" t="s">
        <v>5158</v>
      </c>
      <c r="B1290" s="244" t="s">
        <v>231</v>
      </c>
      <c r="C1290" s="244" t="s">
        <v>10039</v>
      </c>
      <c r="D1290" s="154" t="s">
        <v>546</v>
      </c>
      <c r="E1290" s="154"/>
      <c r="F1290" s="154" t="str">
        <f t="array" ref="F1290">XLOOKUP(Cover!$D$12,$R$1:$Z$1,$R1290:$Z1290)</f>
        <v>Recommended</v>
      </c>
      <c r="G1290" s="154" t="s">
        <v>10040</v>
      </c>
      <c r="H1290" s="154" t="s">
        <v>6771</v>
      </c>
      <c r="I1290" s="154" t="s">
        <v>10041</v>
      </c>
      <c r="J1290" s="154" t="s">
        <v>6832</v>
      </c>
      <c r="K1290" s="154" t="s">
        <v>10022</v>
      </c>
      <c r="L1290" s="154" t="s">
        <v>6529</v>
      </c>
      <c r="M1290" s="154"/>
      <c r="N1290" s="154" t="s">
        <v>759</v>
      </c>
      <c r="O1290" s="247" t="s">
        <v>516</v>
      </c>
      <c r="P1290" s="247" t="s">
        <v>6776</v>
      </c>
      <c r="Q1290" s="154" t="str">
        <f t="shared" si="1"/>
        <v>#ERROR!</v>
      </c>
      <c r="R1290" s="154" t="s">
        <v>66</v>
      </c>
      <c r="S1290" s="154" t="s">
        <v>66</v>
      </c>
      <c r="T1290" s="154" t="s">
        <v>64</v>
      </c>
      <c r="U1290" s="154" t="s">
        <v>64</v>
      </c>
      <c r="V1290" s="154" t="s">
        <v>64</v>
      </c>
      <c r="W1290" s="154" t="s">
        <v>64</v>
      </c>
      <c r="X1290" s="154" t="s">
        <v>66</v>
      </c>
      <c r="Y1290" s="154" t="s">
        <v>64</v>
      </c>
      <c r="Z1290" s="154" t="s">
        <v>64</v>
      </c>
      <c r="AA1290" s="154"/>
      <c r="AB1290" s="242" t="str">
        <f t="shared" si="2"/>
        <v>#ERROR!</v>
      </c>
      <c r="AC1290" s="154" t="s">
        <v>391</v>
      </c>
      <c r="AD1290" s="242" t="b">
        <f t="shared" si="3"/>
        <v>0</v>
      </c>
      <c r="AE1290" s="154"/>
      <c r="AF1290" s="242" t="str">
        <f t="shared" si="4"/>
        <v>#ERROR!</v>
      </c>
      <c r="AG1290" s="154"/>
      <c r="AH1290" s="242" t="str">
        <f>IF(AG1290="","N/A",INDIRECT("MTR!"&amp;ADDRESS(MATCH(LEFT(AG1290,9),[1]MTR!C:C,0),COLUMN(J1290)),TRUE) &amp; "")</f>
        <v>#ERROR!</v>
      </c>
      <c r="AI1290" s="157" t="str">
        <f t="shared" si="5"/>
        <v>#ERROR!</v>
      </c>
    </row>
    <row r="1291" ht="12.75" customHeight="1">
      <c r="A1291" s="244" t="s">
        <v>5158</v>
      </c>
      <c r="B1291" s="244" t="s">
        <v>231</v>
      </c>
      <c r="C1291" s="244" t="s">
        <v>10042</v>
      </c>
      <c r="D1291" s="154" t="s">
        <v>546</v>
      </c>
      <c r="E1291" s="154"/>
      <c r="F1291" s="154" t="str">
        <f t="array" ref="F1291">XLOOKUP(Cover!$D$12,$R$1:$Z$1,$R1291:$Z1291)</f>
        <v>Recommended</v>
      </c>
      <c r="G1291" s="154" t="s">
        <v>10043</v>
      </c>
      <c r="H1291" s="154" t="s">
        <v>7838</v>
      </c>
      <c r="I1291" s="154" t="s">
        <v>10041</v>
      </c>
      <c r="J1291" s="154" t="s">
        <v>6832</v>
      </c>
      <c r="K1291" s="154" t="s">
        <v>10022</v>
      </c>
      <c r="L1291" s="154" t="s">
        <v>6529</v>
      </c>
      <c r="M1291" s="154"/>
      <c r="N1291" s="154" t="s">
        <v>759</v>
      </c>
      <c r="O1291" s="247" t="s">
        <v>516</v>
      </c>
      <c r="P1291" s="247" t="s">
        <v>6776</v>
      </c>
      <c r="Q1291" s="154" t="str">
        <f t="shared" si="1"/>
        <v>#ERROR!</v>
      </c>
      <c r="R1291" s="154" t="s">
        <v>66</v>
      </c>
      <c r="S1291" s="154" t="s">
        <v>66</v>
      </c>
      <c r="T1291" s="154" t="s">
        <v>64</v>
      </c>
      <c r="U1291" s="154" t="s">
        <v>64</v>
      </c>
      <c r="V1291" s="154" t="s">
        <v>64</v>
      </c>
      <c r="W1291" s="154" t="s">
        <v>64</v>
      </c>
      <c r="X1291" s="154" t="s">
        <v>66</v>
      </c>
      <c r="Y1291" s="154" t="s">
        <v>64</v>
      </c>
      <c r="Z1291" s="154" t="s">
        <v>64</v>
      </c>
      <c r="AA1291" s="154"/>
      <c r="AB1291" s="242" t="str">
        <f t="shared" si="2"/>
        <v>#ERROR!</v>
      </c>
      <c r="AC1291" s="154" t="s">
        <v>391</v>
      </c>
      <c r="AD1291" s="242" t="b">
        <f t="shared" si="3"/>
        <v>0</v>
      </c>
      <c r="AE1291" s="154"/>
      <c r="AF1291" s="242" t="str">
        <f t="shared" si="4"/>
        <v>#ERROR!</v>
      </c>
      <c r="AG1291" s="154"/>
      <c r="AH1291" s="242" t="str">
        <f>IF(AG1291="","N/A",INDIRECT("MTR!"&amp;ADDRESS(MATCH(LEFT(AG1291,9),[1]MTR!C:C,0),COLUMN(J1291)),TRUE) &amp; "")</f>
        <v>#ERROR!</v>
      </c>
      <c r="AI1291" s="157" t="str">
        <f t="shared" si="5"/>
        <v>#ERROR!</v>
      </c>
    </row>
    <row r="1292" ht="12.75" customHeight="1">
      <c r="A1292" s="244" t="s">
        <v>5158</v>
      </c>
      <c r="B1292" s="244" t="s">
        <v>231</v>
      </c>
      <c r="C1292" s="244" t="s">
        <v>10044</v>
      </c>
      <c r="D1292" s="154" t="s">
        <v>546</v>
      </c>
      <c r="E1292" s="154"/>
      <c r="F1292" s="154" t="str">
        <f t="array" ref="F1292">XLOOKUP(Cover!$D$12,$R$1:$Z$1,$R1292:$Z1292)</f>
        <v>Recommended</v>
      </c>
      <c r="G1292" s="154" t="s">
        <v>10045</v>
      </c>
      <c r="H1292" s="154" t="s">
        <v>6782</v>
      </c>
      <c r="I1292" s="154" t="s">
        <v>10041</v>
      </c>
      <c r="J1292" s="154" t="s">
        <v>6832</v>
      </c>
      <c r="K1292" s="154" t="s">
        <v>10022</v>
      </c>
      <c r="L1292" s="154" t="s">
        <v>6529</v>
      </c>
      <c r="M1292" s="154"/>
      <c r="N1292" s="154" t="s">
        <v>759</v>
      </c>
      <c r="O1292" s="247" t="s">
        <v>516</v>
      </c>
      <c r="P1292" s="247" t="s">
        <v>6776</v>
      </c>
      <c r="Q1292" s="154" t="str">
        <f t="shared" si="1"/>
        <v>#ERROR!</v>
      </c>
      <c r="R1292" s="154" t="s">
        <v>66</v>
      </c>
      <c r="S1292" s="154" t="s">
        <v>66</v>
      </c>
      <c r="T1292" s="154" t="s">
        <v>64</v>
      </c>
      <c r="U1292" s="154" t="s">
        <v>64</v>
      </c>
      <c r="V1292" s="154" t="s">
        <v>64</v>
      </c>
      <c r="W1292" s="154" t="s">
        <v>64</v>
      </c>
      <c r="X1292" s="154" t="s">
        <v>66</v>
      </c>
      <c r="Y1292" s="154" t="s">
        <v>64</v>
      </c>
      <c r="Z1292" s="154" t="s">
        <v>64</v>
      </c>
      <c r="AA1292" s="154"/>
      <c r="AB1292" s="242" t="str">
        <f t="shared" si="2"/>
        <v>#ERROR!</v>
      </c>
      <c r="AC1292" s="154" t="s">
        <v>391</v>
      </c>
      <c r="AD1292" s="242" t="b">
        <f t="shared" si="3"/>
        <v>0</v>
      </c>
      <c r="AE1292" s="154"/>
      <c r="AF1292" s="242" t="str">
        <f t="shared" si="4"/>
        <v>#ERROR!</v>
      </c>
      <c r="AG1292" s="154"/>
      <c r="AH1292" s="242" t="str">
        <f>IF(AG1292="","N/A",INDIRECT("MTR!"&amp;ADDRESS(MATCH(LEFT(AG1292,9),[1]MTR!C:C,0),COLUMN(J1292)),TRUE) &amp; "")</f>
        <v>#ERROR!</v>
      </c>
      <c r="AI1292" s="157" t="str">
        <f t="shared" si="5"/>
        <v>#ERROR!</v>
      </c>
    </row>
    <row r="1293" ht="12.75" customHeight="1">
      <c r="A1293" s="244" t="s">
        <v>5158</v>
      </c>
      <c r="B1293" s="244" t="s">
        <v>231</v>
      </c>
      <c r="C1293" s="244" t="s">
        <v>10046</v>
      </c>
      <c r="D1293" s="154" t="s">
        <v>546</v>
      </c>
      <c r="E1293" s="154"/>
      <c r="F1293" s="154" t="str">
        <f t="array" ref="F1293">XLOOKUP(Cover!$D$12,$R$1:$Z$1,$R1293:$Z1293)</f>
        <v>Recommended</v>
      </c>
      <c r="G1293" s="154" t="s">
        <v>10047</v>
      </c>
      <c r="H1293" s="154" t="s">
        <v>7850</v>
      </c>
      <c r="I1293" s="154" t="s">
        <v>10041</v>
      </c>
      <c r="J1293" s="154" t="s">
        <v>6832</v>
      </c>
      <c r="K1293" s="154" t="s">
        <v>10022</v>
      </c>
      <c r="L1293" s="154" t="s">
        <v>6529</v>
      </c>
      <c r="M1293" s="154"/>
      <c r="N1293" s="154" t="s">
        <v>759</v>
      </c>
      <c r="O1293" s="247" t="s">
        <v>516</v>
      </c>
      <c r="P1293" s="247" t="s">
        <v>6776</v>
      </c>
      <c r="Q1293" s="154" t="str">
        <f t="shared" si="1"/>
        <v>#ERROR!</v>
      </c>
      <c r="R1293" s="154" t="s">
        <v>66</v>
      </c>
      <c r="S1293" s="154" t="s">
        <v>66</v>
      </c>
      <c r="T1293" s="154" t="s">
        <v>64</v>
      </c>
      <c r="U1293" s="154" t="s">
        <v>64</v>
      </c>
      <c r="V1293" s="154" t="s">
        <v>64</v>
      </c>
      <c r="W1293" s="154" t="s">
        <v>64</v>
      </c>
      <c r="X1293" s="154" t="s">
        <v>66</v>
      </c>
      <c r="Y1293" s="154" t="s">
        <v>64</v>
      </c>
      <c r="Z1293" s="154" t="s">
        <v>64</v>
      </c>
      <c r="AA1293" s="154"/>
      <c r="AB1293" s="242" t="str">
        <f t="shared" si="2"/>
        <v>#ERROR!</v>
      </c>
      <c r="AC1293" s="154" t="s">
        <v>391</v>
      </c>
      <c r="AD1293" s="242" t="b">
        <f t="shared" si="3"/>
        <v>0</v>
      </c>
      <c r="AE1293" s="154"/>
      <c r="AF1293" s="242" t="str">
        <f t="shared" si="4"/>
        <v>#ERROR!</v>
      </c>
      <c r="AG1293" s="154"/>
      <c r="AH1293" s="242" t="str">
        <f>IF(AG1293="","N/A",INDIRECT("MTR!"&amp;ADDRESS(MATCH(LEFT(AG1293,9),[1]MTR!C:C,0),COLUMN(J1293)),TRUE) &amp; "")</f>
        <v>#ERROR!</v>
      </c>
      <c r="AI1293" s="157" t="str">
        <f t="shared" si="5"/>
        <v>#ERROR!</v>
      </c>
    </row>
    <row r="1294" ht="12.75" customHeight="1">
      <c r="A1294" s="244" t="s">
        <v>5158</v>
      </c>
      <c r="B1294" s="244" t="s">
        <v>231</v>
      </c>
      <c r="C1294" s="244" t="s">
        <v>10048</v>
      </c>
      <c r="D1294" s="154" t="s">
        <v>546</v>
      </c>
      <c r="E1294" s="154"/>
      <c r="F1294" s="154" t="str">
        <f t="array" ref="F1294">XLOOKUP(Cover!$D$12,$R$1:$Z$1,$R1294:$Z1294)</f>
        <v>Recommended</v>
      </c>
      <c r="G1294" s="154" t="s">
        <v>10049</v>
      </c>
      <c r="H1294" s="154" t="s">
        <v>6771</v>
      </c>
      <c r="I1294" s="154" t="s">
        <v>10050</v>
      </c>
      <c r="J1294" s="154" t="s">
        <v>6956</v>
      </c>
      <c r="K1294" s="154" t="s">
        <v>10022</v>
      </c>
      <c r="L1294" s="154" t="s">
        <v>6529</v>
      </c>
      <c r="M1294" s="154"/>
      <c r="N1294" s="154" t="s">
        <v>759</v>
      </c>
      <c r="O1294" s="247" t="s">
        <v>516</v>
      </c>
      <c r="P1294" s="247" t="s">
        <v>6776</v>
      </c>
      <c r="Q1294" s="154" t="str">
        <f t="shared" si="1"/>
        <v>#ERROR!</v>
      </c>
      <c r="R1294" s="154" t="s">
        <v>66</v>
      </c>
      <c r="S1294" s="154" t="s">
        <v>66</v>
      </c>
      <c r="T1294" s="154" t="s">
        <v>64</v>
      </c>
      <c r="U1294" s="154" t="s">
        <v>64</v>
      </c>
      <c r="V1294" s="154" t="s">
        <v>64</v>
      </c>
      <c r="W1294" s="154" t="s">
        <v>64</v>
      </c>
      <c r="X1294" s="154" t="s">
        <v>66</v>
      </c>
      <c r="Y1294" s="154" t="s">
        <v>64</v>
      </c>
      <c r="Z1294" s="154" t="s">
        <v>64</v>
      </c>
      <c r="AA1294" s="154"/>
      <c r="AB1294" s="242" t="str">
        <f t="shared" si="2"/>
        <v>#ERROR!</v>
      </c>
      <c r="AC1294" s="154" t="s">
        <v>391</v>
      </c>
      <c r="AD1294" s="242" t="b">
        <f t="shared" si="3"/>
        <v>0</v>
      </c>
      <c r="AE1294" s="154"/>
      <c r="AF1294" s="242" t="str">
        <f t="shared" si="4"/>
        <v>#ERROR!</v>
      </c>
      <c r="AG1294" s="154"/>
      <c r="AH1294" s="242" t="str">
        <f>IF(AG1294="","N/A",INDIRECT("MTR!"&amp;ADDRESS(MATCH(LEFT(AG1294,9),[1]MTR!C:C,0),COLUMN(J1294)),TRUE) &amp; "")</f>
        <v>#ERROR!</v>
      </c>
      <c r="AI1294" s="157" t="str">
        <f t="shared" si="5"/>
        <v>#ERROR!</v>
      </c>
    </row>
    <row r="1295" ht="12.75" customHeight="1">
      <c r="A1295" s="244" t="s">
        <v>5158</v>
      </c>
      <c r="B1295" s="244" t="s">
        <v>231</v>
      </c>
      <c r="C1295" s="244" t="s">
        <v>10051</v>
      </c>
      <c r="D1295" s="154" t="s">
        <v>546</v>
      </c>
      <c r="E1295" s="154"/>
      <c r="F1295" s="154" t="str">
        <f t="array" ref="F1295">XLOOKUP(Cover!$D$12,$R$1:$Z$1,$R1295:$Z1295)</f>
        <v>Recommended</v>
      </c>
      <c r="G1295" s="154" t="s">
        <v>10052</v>
      </c>
      <c r="H1295" s="154" t="s">
        <v>6808</v>
      </c>
      <c r="I1295" s="154" t="s">
        <v>10050</v>
      </c>
      <c r="J1295" s="154" t="s">
        <v>6956</v>
      </c>
      <c r="K1295" s="154" t="s">
        <v>10022</v>
      </c>
      <c r="L1295" s="154" t="s">
        <v>6529</v>
      </c>
      <c r="M1295" s="154"/>
      <c r="N1295" s="154" t="s">
        <v>759</v>
      </c>
      <c r="O1295" s="247" t="s">
        <v>516</v>
      </c>
      <c r="P1295" s="247" t="s">
        <v>6776</v>
      </c>
      <c r="Q1295" s="154" t="str">
        <f t="shared" si="1"/>
        <v>#ERROR!</v>
      </c>
      <c r="R1295" s="154" t="s">
        <v>66</v>
      </c>
      <c r="S1295" s="154" t="s">
        <v>66</v>
      </c>
      <c r="T1295" s="154" t="s">
        <v>64</v>
      </c>
      <c r="U1295" s="154" t="s">
        <v>64</v>
      </c>
      <c r="V1295" s="154" t="s">
        <v>64</v>
      </c>
      <c r="W1295" s="154" t="s">
        <v>64</v>
      </c>
      <c r="X1295" s="154" t="s">
        <v>66</v>
      </c>
      <c r="Y1295" s="154" t="s">
        <v>64</v>
      </c>
      <c r="Z1295" s="154" t="s">
        <v>64</v>
      </c>
      <c r="AA1295" s="154"/>
      <c r="AB1295" s="242" t="str">
        <f t="shared" si="2"/>
        <v>#ERROR!</v>
      </c>
      <c r="AC1295" s="154" t="s">
        <v>391</v>
      </c>
      <c r="AD1295" s="242" t="b">
        <f t="shared" si="3"/>
        <v>0</v>
      </c>
      <c r="AE1295" s="154"/>
      <c r="AF1295" s="242" t="str">
        <f t="shared" si="4"/>
        <v>#ERROR!</v>
      </c>
      <c r="AG1295" s="154"/>
      <c r="AH1295" s="242" t="str">
        <f>IF(AG1295="","N/A",INDIRECT("MTR!"&amp;ADDRESS(MATCH(LEFT(AG1295,9),[1]MTR!C:C,0),COLUMN(J1295)),TRUE) &amp; "")</f>
        <v>#ERROR!</v>
      </c>
      <c r="AI1295" s="157" t="str">
        <f t="shared" si="5"/>
        <v>#ERROR!</v>
      </c>
    </row>
    <row r="1296" ht="12.75" customHeight="1">
      <c r="A1296" s="244" t="s">
        <v>5158</v>
      </c>
      <c r="B1296" s="244" t="s">
        <v>231</v>
      </c>
      <c r="C1296" s="244" t="s">
        <v>10053</v>
      </c>
      <c r="D1296" s="154" t="s">
        <v>546</v>
      </c>
      <c r="E1296" s="154"/>
      <c r="F1296" s="154" t="str">
        <f t="array" ref="F1296">XLOOKUP(Cover!$D$12,$R$1:$Z$1,$R1296:$Z1296)</f>
        <v>Recommended</v>
      </c>
      <c r="G1296" s="154" t="s">
        <v>10054</v>
      </c>
      <c r="H1296" s="154" t="s">
        <v>7838</v>
      </c>
      <c r="I1296" s="154" t="s">
        <v>10050</v>
      </c>
      <c r="J1296" s="154" t="s">
        <v>6956</v>
      </c>
      <c r="K1296" s="154" t="s">
        <v>10022</v>
      </c>
      <c r="L1296" s="154" t="s">
        <v>6529</v>
      </c>
      <c r="M1296" s="154"/>
      <c r="N1296" s="154" t="s">
        <v>759</v>
      </c>
      <c r="O1296" s="247" t="s">
        <v>516</v>
      </c>
      <c r="P1296" s="247" t="s">
        <v>6776</v>
      </c>
      <c r="Q1296" s="154" t="str">
        <f t="shared" si="1"/>
        <v>#ERROR!</v>
      </c>
      <c r="R1296" s="154" t="s">
        <v>66</v>
      </c>
      <c r="S1296" s="154" t="s">
        <v>66</v>
      </c>
      <c r="T1296" s="154" t="s">
        <v>64</v>
      </c>
      <c r="U1296" s="154" t="s">
        <v>64</v>
      </c>
      <c r="V1296" s="154" t="s">
        <v>64</v>
      </c>
      <c r="W1296" s="154" t="s">
        <v>64</v>
      </c>
      <c r="X1296" s="154" t="s">
        <v>66</v>
      </c>
      <c r="Y1296" s="154" t="s">
        <v>64</v>
      </c>
      <c r="Z1296" s="154" t="s">
        <v>64</v>
      </c>
      <c r="AA1296" s="154"/>
      <c r="AB1296" s="242" t="str">
        <f t="shared" si="2"/>
        <v>#ERROR!</v>
      </c>
      <c r="AC1296" s="154" t="s">
        <v>391</v>
      </c>
      <c r="AD1296" s="242" t="b">
        <f t="shared" si="3"/>
        <v>0</v>
      </c>
      <c r="AE1296" s="154"/>
      <c r="AF1296" s="242" t="str">
        <f t="shared" si="4"/>
        <v>#ERROR!</v>
      </c>
      <c r="AG1296" s="154"/>
      <c r="AH1296" s="242" t="str">
        <f>IF(AG1296="","N/A",INDIRECT("MTR!"&amp;ADDRESS(MATCH(LEFT(AG1296,9),[1]MTR!C:C,0),COLUMN(J1296)),TRUE) &amp; "")</f>
        <v>#ERROR!</v>
      </c>
      <c r="AI1296" s="157" t="str">
        <f t="shared" si="5"/>
        <v>#ERROR!</v>
      </c>
    </row>
    <row r="1297" ht="12.75" customHeight="1">
      <c r="A1297" s="244" t="s">
        <v>5158</v>
      </c>
      <c r="B1297" s="244" t="s">
        <v>231</v>
      </c>
      <c r="C1297" s="244" t="s">
        <v>10055</v>
      </c>
      <c r="D1297" s="154" t="s">
        <v>546</v>
      </c>
      <c r="E1297" s="154"/>
      <c r="F1297" s="154" t="str">
        <f t="array" ref="F1297">XLOOKUP(Cover!$D$12,$R$1:$Z$1,$R1297:$Z1297)</f>
        <v>Recommended</v>
      </c>
      <c r="G1297" s="154" t="s">
        <v>10056</v>
      </c>
      <c r="H1297" s="154" t="s">
        <v>7892</v>
      </c>
      <c r="I1297" s="154" t="s">
        <v>10050</v>
      </c>
      <c r="J1297" s="154" t="s">
        <v>6956</v>
      </c>
      <c r="K1297" s="154" t="s">
        <v>10022</v>
      </c>
      <c r="L1297" s="154" t="s">
        <v>6529</v>
      </c>
      <c r="M1297" s="154"/>
      <c r="N1297" s="154" t="s">
        <v>759</v>
      </c>
      <c r="O1297" s="247" t="s">
        <v>516</v>
      </c>
      <c r="P1297" s="247" t="s">
        <v>6776</v>
      </c>
      <c r="Q1297" s="154" t="str">
        <f t="shared" si="1"/>
        <v>#ERROR!</v>
      </c>
      <c r="R1297" s="154" t="s">
        <v>66</v>
      </c>
      <c r="S1297" s="154" t="s">
        <v>66</v>
      </c>
      <c r="T1297" s="154" t="s">
        <v>64</v>
      </c>
      <c r="U1297" s="154" t="s">
        <v>64</v>
      </c>
      <c r="V1297" s="154" t="s">
        <v>64</v>
      </c>
      <c r="W1297" s="154" t="s">
        <v>64</v>
      </c>
      <c r="X1297" s="154" t="s">
        <v>66</v>
      </c>
      <c r="Y1297" s="154" t="s">
        <v>64</v>
      </c>
      <c r="Z1297" s="154" t="s">
        <v>64</v>
      </c>
      <c r="AA1297" s="154"/>
      <c r="AB1297" s="242" t="str">
        <f t="shared" si="2"/>
        <v>#ERROR!</v>
      </c>
      <c r="AC1297" s="154" t="s">
        <v>391</v>
      </c>
      <c r="AD1297" s="242" t="b">
        <f t="shared" si="3"/>
        <v>0</v>
      </c>
      <c r="AE1297" s="154"/>
      <c r="AF1297" s="242" t="str">
        <f t="shared" si="4"/>
        <v>#ERROR!</v>
      </c>
      <c r="AG1297" s="154"/>
      <c r="AH1297" s="242" t="str">
        <f>IF(AG1297="","N/A",INDIRECT("MTR!"&amp;ADDRESS(MATCH(LEFT(AG1297,9),[1]MTR!C:C,0),COLUMN(J1297)),TRUE) &amp; "")</f>
        <v>#ERROR!</v>
      </c>
      <c r="AI1297" s="157" t="str">
        <f t="shared" si="5"/>
        <v>#ERROR!</v>
      </c>
    </row>
    <row r="1298" ht="12.75" customHeight="1">
      <c r="A1298" s="244" t="s">
        <v>5158</v>
      </c>
      <c r="B1298" s="244" t="s">
        <v>231</v>
      </c>
      <c r="C1298" s="244" t="s">
        <v>10057</v>
      </c>
      <c r="D1298" s="154" t="s">
        <v>546</v>
      </c>
      <c r="E1298" s="154"/>
      <c r="F1298" s="154" t="str">
        <f t="array" ref="F1298">XLOOKUP(Cover!$D$12,$R$1:$Z$1,$R1298:$Z1298)</f>
        <v>Recommended</v>
      </c>
      <c r="G1298" s="154" t="s">
        <v>10058</v>
      </c>
      <c r="H1298" s="154" t="s">
        <v>6782</v>
      </c>
      <c r="I1298" s="154" t="s">
        <v>10050</v>
      </c>
      <c r="J1298" s="154" t="s">
        <v>6956</v>
      </c>
      <c r="K1298" s="154" t="s">
        <v>10022</v>
      </c>
      <c r="L1298" s="154" t="s">
        <v>6529</v>
      </c>
      <c r="M1298" s="154"/>
      <c r="N1298" s="154" t="s">
        <v>759</v>
      </c>
      <c r="O1298" s="247" t="s">
        <v>516</v>
      </c>
      <c r="P1298" s="247" t="s">
        <v>6776</v>
      </c>
      <c r="Q1298" s="154" t="str">
        <f t="shared" si="1"/>
        <v>#ERROR!</v>
      </c>
      <c r="R1298" s="154" t="s">
        <v>66</v>
      </c>
      <c r="S1298" s="154" t="s">
        <v>66</v>
      </c>
      <c r="T1298" s="154" t="s">
        <v>64</v>
      </c>
      <c r="U1298" s="154" t="s">
        <v>64</v>
      </c>
      <c r="V1298" s="154" t="s">
        <v>64</v>
      </c>
      <c r="W1298" s="154" t="s">
        <v>64</v>
      </c>
      <c r="X1298" s="154" t="s">
        <v>66</v>
      </c>
      <c r="Y1298" s="154" t="s">
        <v>64</v>
      </c>
      <c r="Z1298" s="154" t="s">
        <v>64</v>
      </c>
      <c r="AA1298" s="154"/>
      <c r="AB1298" s="242" t="str">
        <f t="shared" si="2"/>
        <v>#ERROR!</v>
      </c>
      <c r="AC1298" s="154" t="s">
        <v>391</v>
      </c>
      <c r="AD1298" s="242" t="b">
        <f t="shared" si="3"/>
        <v>0</v>
      </c>
      <c r="AE1298" s="154"/>
      <c r="AF1298" s="242" t="str">
        <f t="shared" si="4"/>
        <v>#ERROR!</v>
      </c>
      <c r="AG1298" s="154"/>
      <c r="AH1298" s="242" t="str">
        <f>IF(AG1298="","N/A",INDIRECT("MTR!"&amp;ADDRESS(MATCH(LEFT(AG1298,9),[1]MTR!C:C,0),COLUMN(J1298)),TRUE) &amp; "")</f>
        <v>#ERROR!</v>
      </c>
      <c r="AI1298" s="157" t="str">
        <f t="shared" si="5"/>
        <v>#ERROR!</v>
      </c>
    </row>
    <row r="1299" ht="12.75" customHeight="1">
      <c r="A1299" s="244" t="s">
        <v>5158</v>
      </c>
      <c r="B1299" s="244" t="s">
        <v>231</v>
      </c>
      <c r="C1299" s="244" t="s">
        <v>10059</v>
      </c>
      <c r="D1299" s="154" t="s">
        <v>546</v>
      </c>
      <c r="E1299" s="154"/>
      <c r="F1299" s="154" t="str">
        <f t="array" ref="F1299">XLOOKUP(Cover!$D$12,$R$1:$Z$1,$R1299:$Z1299)</f>
        <v>Recommended</v>
      </c>
      <c r="G1299" s="154" t="s">
        <v>10060</v>
      </c>
      <c r="H1299" s="154" t="s">
        <v>7850</v>
      </c>
      <c r="I1299" s="154" t="s">
        <v>10050</v>
      </c>
      <c r="J1299" s="154" t="s">
        <v>6956</v>
      </c>
      <c r="K1299" s="154" t="s">
        <v>10022</v>
      </c>
      <c r="L1299" s="154" t="s">
        <v>6529</v>
      </c>
      <c r="M1299" s="154"/>
      <c r="N1299" s="154" t="s">
        <v>759</v>
      </c>
      <c r="O1299" s="247" t="s">
        <v>516</v>
      </c>
      <c r="P1299" s="247" t="s">
        <v>6776</v>
      </c>
      <c r="Q1299" s="154" t="str">
        <f t="shared" si="1"/>
        <v>#ERROR!</v>
      </c>
      <c r="R1299" s="154" t="s">
        <v>66</v>
      </c>
      <c r="S1299" s="154" t="s">
        <v>66</v>
      </c>
      <c r="T1299" s="154" t="s">
        <v>64</v>
      </c>
      <c r="U1299" s="154" t="s">
        <v>64</v>
      </c>
      <c r="V1299" s="154" t="s">
        <v>64</v>
      </c>
      <c r="W1299" s="154" t="s">
        <v>64</v>
      </c>
      <c r="X1299" s="154" t="s">
        <v>66</v>
      </c>
      <c r="Y1299" s="154" t="s">
        <v>64</v>
      </c>
      <c r="Z1299" s="154" t="s">
        <v>64</v>
      </c>
      <c r="AA1299" s="154"/>
      <c r="AB1299" s="242" t="str">
        <f t="shared" si="2"/>
        <v>#ERROR!</v>
      </c>
      <c r="AC1299" s="154" t="s">
        <v>391</v>
      </c>
      <c r="AD1299" s="242" t="b">
        <f t="shared" si="3"/>
        <v>0</v>
      </c>
      <c r="AE1299" s="154"/>
      <c r="AF1299" s="242" t="str">
        <f t="shared" si="4"/>
        <v>#ERROR!</v>
      </c>
      <c r="AG1299" s="154"/>
      <c r="AH1299" s="242" t="str">
        <f>IF(AG1299="","N/A",INDIRECT("MTR!"&amp;ADDRESS(MATCH(LEFT(AG1299,9),[1]MTR!C:C,0),COLUMN(J1299)),TRUE) &amp; "")</f>
        <v>#ERROR!</v>
      </c>
      <c r="AI1299" s="157" t="str">
        <f t="shared" si="5"/>
        <v>#ERROR!</v>
      </c>
    </row>
    <row r="1300" ht="12.75" customHeight="1">
      <c r="A1300" s="238" t="s">
        <v>5158</v>
      </c>
      <c r="B1300" s="238" t="s">
        <v>231</v>
      </c>
      <c r="C1300" s="238" t="s">
        <v>10061</v>
      </c>
      <c r="D1300" s="240"/>
      <c r="E1300" s="240" t="s">
        <v>92</v>
      </c>
      <c r="F1300" s="240" t="str">
        <f t="array" ref="F1300">XLOOKUP(Cover!$D$12,$R$1:$Z$1,$R1300:$Z1300)</f>
        <v>Heading</v>
      </c>
      <c r="G1300" s="239" t="s">
        <v>10062</v>
      </c>
      <c r="H1300" s="240"/>
      <c r="I1300" s="240"/>
      <c r="J1300" s="240"/>
      <c r="K1300" s="240"/>
      <c r="L1300" s="240"/>
      <c r="M1300" s="240"/>
      <c r="N1300" s="240" t="s">
        <v>759</v>
      </c>
      <c r="O1300" s="240"/>
      <c r="P1300" s="240"/>
      <c r="Q1300" s="240" t="str">
        <f t="shared" si="1"/>
        <v/>
      </c>
      <c r="R1300" s="240" t="s">
        <v>390</v>
      </c>
      <c r="S1300" s="240" t="s">
        <v>390</v>
      </c>
      <c r="T1300" s="240" t="s">
        <v>390</v>
      </c>
      <c r="U1300" s="240" t="s">
        <v>390</v>
      </c>
      <c r="V1300" s="240" t="s">
        <v>390</v>
      </c>
      <c r="W1300" s="240" t="s">
        <v>390</v>
      </c>
      <c r="X1300" s="240" t="s">
        <v>390</v>
      </c>
      <c r="Y1300" s="240" t="s">
        <v>390</v>
      </c>
      <c r="Z1300" s="240" t="s">
        <v>390</v>
      </c>
      <c r="AA1300" s="240"/>
      <c r="AB1300" s="242" t="str">
        <f t="shared" si="2"/>
        <v>#ERROR!</v>
      </c>
      <c r="AC1300" s="240" t="s">
        <v>391</v>
      </c>
      <c r="AD1300" s="242" t="b">
        <f t="shared" si="3"/>
        <v>0</v>
      </c>
      <c r="AE1300" s="240"/>
      <c r="AF1300" s="242" t="str">
        <f t="shared" si="4"/>
        <v>#ERROR!</v>
      </c>
      <c r="AG1300" s="240"/>
      <c r="AH1300" s="242" t="str">
        <f>IF(AG1300="","N/A",INDIRECT("MTR!"&amp;ADDRESS(MATCH(LEFT(AG1300,9),[1]MTR!C:C,0),COLUMN(J1300)),TRUE) &amp; "")</f>
        <v>#ERROR!</v>
      </c>
      <c r="AI1300" s="157" t="str">
        <f t="shared" si="5"/>
        <v/>
      </c>
    </row>
    <row r="1301" ht="12.75" customHeight="1">
      <c r="A1301" s="244" t="s">
        <v>5158</v>
      </c>
      <c r="B1301" s="244" t="s">
        <v>231</v>
      </c>
      <c r="C1301" s="244" t="s">
        <v>10063</v>
      </c>
      <c r="D1301" s="154" t="s">
        <v>1315</v>
      </c>
      <c r="E1301" s="154"/>
      <c r="F1301" s="154" t="str">
        <f t="array" ref="F1301">XLOOKUP(Cover!$D$12,$R$1:$Z$1,$R1301:$Z1301)</f>
        <v>Information</v>
      </c>
      <c r="G1301" s="154" t="s">
        <v>10064</v>
      </c>
      <c r="H1301" s="154" t="s">
        <v>6771</v>
      </c>
      <c r="I1301" s="154" t="s">
        <v>10065</v>
      </c>
      <c r="J1301" s="154" t="s">
        <v>5782</v>
      </c>
      <c r="K1301" s="154" t="s">
        <v>10066</v>
      </c>
      <c r="L1301" s="154" t="s">
        <v>6884</v>
      </c>
      <c r="M1301" s="154"/>
      <c r="N1301" s="154" t="s">
        <v>759</v>
      </c>
      <c r="O1301" s="247" t="s">
        <v>445</v>
      </c>
      <c r="P1301" s="247" t="s">
        <v>6772</v>
      </c>
      <c r="Q1301" s="154" t="str">
        <f t="shared" si="1"/>
        <v>#ERROR!</v>
      </c>
      <c r="R1301" s="154" t="s">
        <v>66</v>
      </c>
      <c r="S1301" s="154" t="s">
        <v>66</v>
      </c>
      <c r="T1301" s="154" t="s">
        <v>66</v>
      </c>
      <c r="U1301" s="154" t="s">
        <v>66</v>
      </c>
      <c r="V1301" s="154" t="s">
        <v>66</v>
      </c>
      <c r="W1301" s="154" t="s">
        <v>66</v>
      </c>
      <c r="X1301" s="154" t="s">
        <v>66</v>
      </c>
      <c r="Y1301" s="154" t="s">
        <v>66</v>
      </c>
      <c r="Z1301" s="154" t="s">
        <v>66</v>
      </c>
      <c r="AA1301" s="154"/>
      <c r="AB1301" s="242" t="str">
        <f t="shared" si="2"/>
        <v>#ERROR!</v>
      </c>
      <c r="AC1301" s="154" t="s">
        <v>391</v>
      </c>
      <c r="AD1301" s="242" t="b">
        <f t="shared" si="3"/>
        <v>0</v>
      </c>
      <c r="AE1301" s="154"/>
      <c r="AF1301" s="242" t="str">
        <f t="shared" si="4"/>
        <v>#ERROR!</v>
      </c>
      <c r="AG1301" s="154"/>
      <c r="AH1301" s="242" t="str">
        <f>IF(AG1301="","N/A",INDIRECT("MTR!"&amp;ADDRESS(MATCH(LEFT(AG1301,9),[1]MTR!C:C,0),COLUMN(J1301)),TRUE) &amp; "")</f>
        <v>#ERROR!</v>
      </c>
      <c r="AI1301" s="157" t="str">
        <f t="shared" si="5"/>
        <v>#ERROR!</v>
      </c>
    </row>
    <row r="1302" ht="12.75" customHeight="1">
      <c r="A1302" s="244" t="s">
        <v>5158</v>
      </c>
      <c r="B1302" s="244" t="s">
        <v>231</v>
      </c>
      <c r="C1302" s="244" t="s">
        <v>10067</v>
      </c>
      <c r="D1302" s="154" t="s">
        <v>1315</v>
      </c>
      <c r="E1302" s="154"/>
      <c r="F1302" s="154" t="str">
        <f t="array" ref="F1302">XLOOKUP(Cover!$D$12,$R$1:$Z$1,$R1302:$Z1302)</f>
        <v>Information</v>
      </c>
      <c r="G1302" s="154" t="s">
        <v>10068</v>
      </c>
      <c r="H1302" s="154" t="s">
        <v>8299</v>
      </c>
      <c r="I1302" s="154" t="s">
        <v>10065</v>
      </c>
      <c r="J1302" s="154" t="s">
        <v>5782</v>
      </c>
      <c r="K1302" s="154" t="s">
        <v>10066</v>
      </c>
      <c r="L1302" s="154" t="s">
        <v>6884</v>
      </c>
      <c r="M1302" s="154"/>
      <c r="N1302" s="154" t="s">
        <v>759</v>
      </c>
      <c r="O1302" s="247" t="s">
        <v>445</v>
      </c>
      <c r="P1302" s="247" t="s">
        <v>6772</v>
      </c>
      <c r="Q1302" s="154" t="str">
        <f t="shared" si="1"/>
        <v>#ERROR!</v>
      </c>
      <c r="R1302" s="154" t="s">
        <v>66</v>
      </c>
      <c r="S1302" s="154" t="s">
        <v>66</v>
      </c>
      <c r="T1302" s="154" t="s">
        <v>66</v>
      </c>
      <c r="U1302" s="154" t="s">
        <v>66</v>
      </c>
      <c r="V1302" s="154" t="s">
        <v>66</v>
      </c>
      <c r="W1302" s="154" t="s">
        <v>66</v>
      </c>
      <c r="X1302" s="154" t="s">
        <v>66</v>
      </c>
      <c r="Y1302" s="154" t="s">
        <v>66</v>
      </c>
      <c r="Z1302" s="154" t="s">
        <v>66</v>
      </c>
      <c r="AA1302" s="154"/>
      <c r="AB1302" s="242" t="str">
        <f t="shared" si="2"/>
        <v>#ERROR!</v>
      </c>
      <c r="AC1302" s="154" t="s">
        <v>391</v>
      </c>
      <c r="AD1302" s="242" t="b">
        <f t="shared" si="3"/>
        <v>0</v>
      </c>
      <c r="AE1302" s="154"/>
      <c r="AF1302" s="242" t="str">
        <f t="shared" si="4"/>
        <v>#ERROR!</v>
      </c>
      <c r="AG1302" s="154"/>
      <c r="AH1302" s="242" t="str">
        <f>IF(AG1302="","N/A",INDIRECT("MTR!"&amp;ADDRESS(MATCH(LEFT(AG1302,9),[1]MTR!C:C,0),COLUMN(J1302)),TRUE) &amp; "")</f>
        <v>#ERROR!</v>
      </c>
      <c r="AI1302" s="157" t="str">
        <f t="shared" si="5"/>
        <v>#ERROR!</v>
      </c>
    </row>
    <row r="1303" ht="12.75" customHeight="1">
      <c r="A1303" s="244" t="s">
        <v>5158</v>
      </c>
      <c r="B1303" s="244" t="s">
        <v>231</v>
      </c>
      <c r="C1303" s="244" t="s">
        <v>10069</v>
      </c>
      <c r="D1303" s="154" t="s">
        <v>1315</v>
      </c>
      <c r="E1303" s="154"/>
      <c r="F1303" s="154" t="str">
        <f t="array" ref="F1303">XLOOKUP(Cover!$D$12,$R$1:$Z$1,$R1303:$Z1303)</f>
        <v>Information</v>
      </c>
      <c r="G1303" s="154" t="s">
        <v>10070</v>
      </c>
      <c r="H1303" s="154" t="s">
        <v>6775</v>
      </c>
      <c r="I1303" s="154" t="s">
        <v>10071</v>
      </c>
      <c r="J1303" s="154" t="s">
        <v>5830</v>
      </c>
      <c r="K1303" s="154" t="s">
        <v>10066</v>
      </c>
      <c r="L1303" s="154" t="s">
        <v>6884</v>
      </c>
      <c r="M1303" s="154"/>
      <c r="N1303" s="154" t="s">
        <v>759</v>
      </c>
      <c r="O1303" s="247" t="s">
        <v>516</v>
      </c>
      <c r="P1303" s="247" t="s">
        <v>6776</v>
      </c>
      <c r="Q1303" s="154" t="str">
        <f t="shared" si="1"/>
        <v>#ERROR!</v>
      </c>
      <c r="R1303" s="154" t="s">
        <v>66</v>
      </c>
      <c r="S1303" s="154" t="s">
        <v>66</v>
      </c>
      <c r="T1303" s="154" t="s">
        <v>66</v>
      </c>
      <c r="U1303" s="154" t="s">
        <v>66</v>
      </c>
      <c r="V1303" s="154" t="s">
        <v>66</v>
      </c>
      <c r="W1303" s="154" t="s">
        <v>66</v>
      </c>
      <c r="X1303" s="154" t="s">
        <v>66</v>
      </c>
      <c r="Y1303" s="154" t="s">
        <v>66</v>
      </c>
      <c r="Z1303" s="154" t="s">
        <v>66</v>
      </c>
      <c r="AA1303" s="154"/>
      <c r="AB1303" s="242" t="str">
        <f t="shared" si="2"/>
        <v>#ERROR!</v>
      </c>
      <c r="AC1303" s="154" t="s">
        <v>391</v>
      </c>
      <c r="AD1303" s="242" t="b">
        <f t="shared" si="3"/>
        <v>0</v>
      </c>
      <c r="AE1303" s="154"/>
      <c r="AF1303" s="242" t="str">
        <f t="shared" si="4"/>
        <v>#ERROR!</v>
      </c>
      <c r="AG1303" s="154"/>
      <c r="AH1303" s="242" t="str">
        <f>IF(AG1303="","N/A",INDIRECT("MTR!"&amp;ADDRESS(MATCH(LEFT(AG1303,9),[1]MTR!C:C,0),COLUMN(J1303)),TRUE) &amp; "")</f>
        <v>#ERROR!</v>
      </c>
      <c r="AI1303" s="157" t="str">
        <f t="shared" si="5"/>
        <v>#ERROR!</v>
      </c>
    </row>
    <row r="1304" ht="12.75" customHeight="1">
      <c r="A1304" s="244" t="s">
        <v>5158</v>
      </c>
      <c r="B1304" s="244" t="s">
        <v>231</v>
      </c>
      <c r="C1304" s="244" t="s">
        <v>10072</v>
      </c>
      <c r="D1304" s="154" t="s">
        <v>1315</v>
      </c>
      <c r="E1304" s="154"/>
      <c r="F1304" s="154" t="str">
        <f t="array" ref="F1304">XLOOKUP(Cover!$D$12,$R$1:$Z$1,$R1304:$Z1304)</f>
        <v>Information</v>
      </c>
      <c r="G1304" s="154" t="s">
        <v>10073</v>
      </c>
      <c r="H1304" s="154" t="s">
        <v>8302</v>
      </c>
      <c r="I1304" s="154" t="s">
        <v>10071</v>
      </c>
      <c r="J1304" s="154" t="s">
        <v>5830</v>
      </c>
      <c r="K1304" s="154" t="s">
        <v>10066</v>
      </c>
      <c r="L1304" s="154" t="s">
        <v>6884</v>
      </c>
      <c r="M1304" s="154"/>
      <c r="N1304" s="154" t="s">
        <v>759</v>
      </c>
      <c r="O1304" s="247" t="s">
        <v>516</v>
      </c>
      <c r="P1304" s="247" t="s">
        <v>5876</v>
      </c>
      <c r="Q1304" s="154" t="str">
        <f t="shared" si="1"/>
        <v>#ERROR!</v>
      </c>
      <c r="R1304" s="154" t="s">
        <v>66</v>
      </c>
      <c r="S1304" s="154" t="s">
        <v>66</v>
      </c>
      <c r="T1304" s="154" t="s">
        <v>66</v>
      </c>
      <c r="U1304" s="154" t="s">
        <v>66</v>
      </c>
      <c r="V1304" s="154" t="s">
        <v>66</v>
      </c>
      <c r="W1304" s="154" t="s">
        <v>66</v>
      </c>
      <c r="X1304" s="154" t="s">
        <v>66</v>
      </c>
      <c r="Y1304" s="154" t="s">
        <v>66</v>
      </c>
      <c r="Z1304" s="154" t="s">
        <v>66</v>
      </c>
      <c r="AA1304" s="154"/>
      <c r="AB1304" s="242" t="str">
        <f t="shared" si="2"/>
        <v>#ERROR!</v>
      </c>
      <c r="AC1304" s="154" t="s">
        <v>391</v>
      </c>
      <c r="AD1304" s="242" t="b">
        <f t="shared" si="3"/>
        <v>0</v>
      </c>
      <c r="AE1304" s="154"/>
      <c r="AF1304" s="242" t="str">
        <f t="shared" si="4"/>
        <v>#ERROR!</v>
      </c>
      <c r="AG1304" s="154"/>
      <c r="AH1304" s="242" t="str">
        <f>IF(AG1304="","N/A",INDIRECT("MTR!"&amp;ADDRESS(MATCH(LEFT(AG1304,9),[1]MTR!C:C,0),COLUMN(J1304)),TRUE) &amp; "")</f>
        <v>#ERROR!</v>
      </c>
      <c r="AI1304" s="157" t="str">
        <f t="shared" si="5"/>
        <v>#ERROR!</v>
      </c>
    </row>
    <row r="1305" ht="12.75" customHeight="1">
      <c r="A1305" s="244" t="s">
        <v>5158</v>
      </c>
      <c r="B1305" s="244" t="s">
        <v>231</v>
      </c>
      <c r="C1305" s="244" t="s">
        <v>10074</v>
      </c>
      <c r="D1305" s="154" t="s">
        <v>1315</v>
      </c>
      <c r="E1305" s="154"/>
      <c r="F1305" s="154" t="str">
        <f t="array" ref="F1305">XLOOKUP(Cover!$D$12,$R$1:$Z$1,$R1305:$Z1305)</f>
        <v>Information</v>
      </c>
      <c r="G1305" s="154" t="s">
        <v>10075</v>
      </c>
      <c r="H1305" s="154" t="s">
        <v>6771</v>
      </c>
      <c r="I1305" s="154" t="s">
        <v>10076</v>
      </c>
      <c r="J1305" s="154" t="s">
        <v>6815</v>
      </c>
      <c r="K1305" s="154" t="s">
        <v>10066</v>
      </c>
      <c r="L1305" s="154" t="s">
        <v>6884</v>
      </c>
      <c r="M1305" s="154"/>
      <c r="N1305" s="154" t="s">
        <v>759</v>
      </c>
      <c r="O1305" s="247" t="s">
        <v>445</v>
      </c>
      <c r="P1305" s="247" t="s">
        <v>6772</v>
      </c>
      <c r="Q1305" s="154" t="str">
        <f t="shared" si="1"/>
        <v>#ERROR!</v>
      </c>
      <c r="R1305" s="154" t="s">
        <v>66</v>
      </c>
      <c r="S1305" s="154" t="s">
        <v>66</v>
      </c>
      <c r="T1305" s="154" t="s">
        <v>66</v>
      </c>
      <c r="U1305" s="154" t="s">
        <v>66</v>
      </c>
      <c r="V1305" s="154" t="s">
        <v>66</v>
      </c>
      <c r="W1305" s="154" t="s">
        <v>66</v>
      </c>
      <c r="X1305" s="154" t="s">
        <v>66</v>
      </c>
      <c r="Y1305" s="154" t="s">
        <v>66</v>
      </c>
      <c r="Z1305" s="154" t="s">
        <v>66</v>
      </c>
      <c r="AA1305" s="154"/>
      <c r="AB1305" s="242" t="str">
        <f t="shared" si="2"/>
        <v>#ERROR!</v>
      </c>
      <c r="AC1305" s="154" t="s">
        <v>391</v>
      </c>
      <c r="AD1305" s="242" t="b">
        <f t="shared" si="3"/>
        <v>0</v>
      </c>
      <c r="AE1305" s="154"/>
      <c r="AF1305" s="242" t="str">
        <f t="shared" si="4"/>
        <v>#ERROR!</v>
      </c>
      <c r="AG1305" s="154"/>
      <c r="AH1305" s="242" t="str">
        <f>IF(AG1305="","N/A",INDIRECT("MTR!"&amp;ADDRESS(MATCH(LEFT(AG1305,9),[1]MTR!C:C,0),COLUMN(J1305)),TRUE) &amp; "")</f>
        <v>#ERROR!</v>
      </c>
      <c r="AI1305" s="157" t="str">
        <f t="shared" si="5"/>
        <v>#ERROR!</v>
      </c>
    </row>
    <row r="1306" ht="12.75" customHeight="1">
      <c r="A1306" s="244" t="s">
        <v>5158</v>
      </c>
      <c r="B1306" s="244" t="s">
        <v>231</v>
      </c>
      <c r="C1306" s="244" t="s">
        <v>10077</v>
      </c>
      <c r="D1306" s="154" t="s">
        <v>1315</v>
      </c>
      <c r="E1306" s="154"/>
      <c r="F1306" s="154" t="str">
        <f t="array" ref="F1306">XLOOKUP(Cover!$D$12,$R$1:$Z$1,$R1306:$Z1306)</f>
        <v>Information</v>
      </c>
      <c r="G1306" s="154" t="s">
        <v>10078</v>
      </c>
      <c r="H1306" s="154" t="s">
        <v>8299</v>
      </c>
      <c r="I1306" s="154" t="s">
        <v>10076</v>
      </c>
      <c r="J1306" s="154" t="s">
        <v>6815</v>
      </c>
      <c r="K1306" s="154" t="s">
        <v>10066</v>
      </c>
      <c r="L1306" s="154" t="s">
        <v>6884</v>
      </c>
      <c r="M1306" s="154"/>
      <c r="N1306" s="154" t="s">
        <v>759</v>
      </c>
      <c r="O1306" s="247" t="s">
        <v>445</v>
      </c>
      <c r="P1306" s="247" t="s">
        <v>6772</v>
      </c>
      <c r="Q1306" s="154" t="str">
        <f t="shared" si="1"/>
        <v>#ERROR!</v>
      </c>
      <c r="R1306" s="154" t="s">
        <v>66</v>
      </c>
      <c r="S1306" s="154" t="s">
        <v>66</v>
      </c>
      <c r="T1306" s="154" t="s">
        <v>66</v>
      </c>
      <c r="U1306" s="154" t="s">
        <v>66</v>
      </c>
      <c r="V1306" s="154" t="s">
        <v>66</v>
      </c>
      <c r="W1306" s="154" t="s">
        <v>66</v>
      </c>
      <c r="X1306" s="154" t="s">
        <v>66</v>
      </c>
      <c r="Y1306" s="154" t="s">
        <v>66</v>
      </c>
      <c r="Z1306" s="154" t="s">
        <v>66</v>
      </c>
      <c r="AA1306" s="154"/>
      <c r="AB1306" s="242" t="str">
        <f t="shared" si="2"/>
        <v>#ERROR!</v>
      </c>
      <c r="AC1306" s="154" t="s">
        <v>391</v>
      </c>
      <c r="AD1306" s="242" t="b">
        <f t="shared" si="3"/>
        <v>0</v>
      </c>
      <c r="AE1306" s="154"/>
      <c r="AF1306" s="242" t="str">
        <f t="shared" si="4"/>
        <v>#ERROR!</v>
      </c>
      <c r="AG1306" s="154"/>
      <c r="AH1306" s="242" t="str">
        <f>IF(AG1306="","N/A",INDIRECT("MTR!"&amp;ADDRESS(MATCH(LEFT(AG1306,9),[1]MTR!C:C,0),COLUMN(J1306)),TRUE) &amp; "")</f>
        <v>#ERROR!</v>
      </c>
      <c r="AI1306" s="157" t="str">
        <f t="shared" si="5"/>
        <v>#ERROR!</v>
      </c>
    </row>
    <row r="1307" ht="12.75" customHeight="1">
      <c r="A1307" s="244" t="s">
        <v>5158</v>
      </c>
      <c r="B1307" s="244" t="s">
        <v>231</v>
      </c>
      <c r="C1307" s="244" t="s">
        <v>10079</v>
      </c>
      <c r="D1307" s="154" t="s">
        <v>1315</v>
      </c>
      <c r="E1307" s="154"/>
      <c r="F1307" s="154" t="str">
        <f t="array" ref="F1307">XLOOKUP(Cover!$D$12,$R$1:$Z$1,$R1307:$Z1307)</f>
        <v>Information</v>
      </c>
      <c r="G1307" s="154" t="s">
        <v>10080</v>
      </c>
      <c r="H1307" s="154" t="s">
        <v>6771</v>
      </c>
      <c r="I1307" s="154" t="s">
        <v>10081</v>
      </c>
      <c r="J1307" s="154" t="s">
        <v>6819</v>
      </c>
      <c r="K1307" s="154" t="s">
        <v>10066</v>
      </c>
      <c r="L1307" s="154" t="s">
        <v>6884</v>
      </c>
      <c r="M1307" s="154"/>
      <c r="N1307" s="154" t="s">
        <v>759</v>
      </c>
      <c r="O1307" s="247" t="s">
        <v>516</v>
      </c>
      <c r="P1307" s="247" t="s">
        <v>6776</v>
      </c>
      <c r="Q1307" s="154" t="str">
        <f t="shared" si="1"/>
        <v>#ERROR!</v>
      </c>
      <c r="R1307" s="154" t="s">
        <v>66</v>
      </c>
      <c r="S1307" s="154" t="s">
        <v>66</v>
      </c>
      <c r="T1307" s="154" t="s">
        <v>66</v>
      </c>
      <c r="U1307" s="154" t="s">
        <v>66</v>
      </c>
      <c r="V1307" s="154" t="s">
        <v>66</v>
      </c>
      <c r="W1307" s="154" t="s">
        <v>66</v>
      </c>
      <c r="X1307" s="154" t="s">
        <v>66</v>
      </c>
      <c r="Y1307" s="154" t="s">
        <v>66</v>
      </c>
      <c r="Z1307" s="154" t="s">
        <v>66</v>
      </c>
      <c r="AA1307" s="154"/>
      <c r="AB1307" s="242" t="str">
        <f t="shared" si="2"/>
        <v>#ERROR!</v>
      </c>
      <c r="AC1307" s="154" t="s">
        <v>391</v>
      </c>
      <c r="AD1307" s="242" t="b">
        <f t="shared" si="3"/>
        <v>0</v>
      </c>
      <c r="AE1307" s="154"/>
      <c r="AF1307" s="242" t="str">
        <f t="shared" si="4"/>
        <v>#ERROR!</v>
      </c>
      <c r="AG1307" s="154"/>
      <c r="AH1307" s="242" t="str">
        <f>IF(AG1307="","N/A",INDIRECT("MTR!"&amp;ADDRESS(MATCH(LEFT(AG1307,9),[1]MTR!C:C,0),COLUMN(J1307)),TRUE) &amp; "")</f>
        <v>#ERROR!</v>
      </c>
      <c r="AI1307" s="157" t="str">
        <f t="shared" si="5"/>
        <v>#ERROR!</v>
      </c>
    </row>
    <row r="1308" ht="12.75" customHeight="1">
      <c r="A1308" s="244" t="s">
        <v>5158</v>
      </c>
      <c r="B1308" s="244" t="s">
        <v>231</v>
      </c>
      <c r="C1308" s="244" t="s">
        <v>10082</v>
      </c>
      <c r="D1308" s="154" t="s">
        <v>1315</v>
      </c>
      <c r="E1308" s="154"/>
      <c r="F1308" s="154" t="str">
        <f t="array" ref="F1308">XLOOKUP(Cover!$D$12,$R$1:$Z$1,$R1308:$Z1308)</f>
        <v>Information</v>
      </c>
      <c r="G1308" s="154" t="s">
        <v>10083</v>
      </c>
      <c r="H1308" s="154" t="s">
        <v>8299</v>
      </c>
      <c r="I1308" s="154" t="s">
        <v>10081</v>
      </c>
      <c r="J1308" s="154" t="s">
        <v>6819</v>
      </c>
      <c r="K1308" s="154" t="s">
        <v>10066</v>
      </c>
      <c r="L1308" s="154" t="s">
        <v>6884</v>
      </c>
      <c r="M1308" s="154"/>
      <c r="N1308" s="154" t="s">
        <v>759</v>
      </c>
      <c r="O1308" s="247" t="s">
        <v>516</v>
      </c>
      <c r="P1308" s="247" t="s">
        <v>6776</v>
      </c>
      <c r="Q1308" s="154" t="str">
        <f t="shared" si="1"/>
        <v>#ERROR!</v>
      </c>
      <c r="R1308" s="154" t="s">
        <v>66</v>
      </c>
      <c r="S1308" s="154" t="s">
        <v>66</v>
      </c>
      <c r="T1308" s="154" t="s">
        <v>66</v>
      </c>
      <c r="U1308" s="154" t="s">
        <v>66</v>
      </c>
      <c r="V1308" s="154" t="s">
        <v>66</v>
      </c>
      <c r="W1308" s="154" t="s">
        <v>66</v>
      </c>
      <c r="X1308" s="154" t="s">
        <v>66</v>
      </c>
      <c r="Y1308" s="154" t="s">
        <v>66</v>
      </c>
      <c r="Z1308" s="154" t="s">
        <v>66</v>
      </c>
      <c r="AA1308" s="154"/>
      <c r="AB1308" s="242" t="str">
        <f t="shared" si="2"/>
        <v>#ERROR!</v>
      </c>
      <c r="AC1308" s="154" t="s">
        <v>391</v>
      </c>
      <c r="AD1308" s="242" t="b">
        <f t="shared" si="3"/>
        <v>0</v>
      </c>
      <c r="AE1308" s="154"/>
      <c r="AF1308" s="242" t="str">
        <f t="shared" si="4"/>
        <v>#ERROR!</v>
      </c>
      <c r="AG1308" s="154"/>
      <c r="AH1308" s="242" t="str">
        <f>IF(AG1308="","N/A",INDIRECT("MTR!"&amp;ADDRESS(MATCH(LEFT(AG1308,9),[1]MTR!C:C,0),COLUMN(J1308)),TRUE) &amp; "")</f>
        <v>#ERROR!</v>
      </c>
      <c r="AI1308" s="157" t="str">
        <f t="shared" si="5"/>
        <v>#ERROR!</v>
      </c>
    </row>
    <row r="1309" ht="12.75" customHeight="1">
      <c r="A1309" s="244" t="s">
        <v>5158</v>
      </c>
      <c r="B1309" s="244" t="s">
        <v>231</v>
      </c>
      <c r="C1309" s="244" t="s">
        <v>10084</v>
      </c>
      <c r="D1309" s="154" t="s">
        <v>1315</v>
      </c>
      <c r="E1309" s="154"/>
      <c r="F1309" s="154" t="str">
        <f t="array" ref="F1309">XLOOKUP(Cover!$D$12,$R$1:$Z$1,$R1309:$Z1309)</f>
        <v>Information</v>
      </c>
      <c r="G1309" s="154" t="s">
        <v>10085</v>
      </c>
      <c r="H1309" s="154" t="s">
        <v>6775</v>
      </c>
      <c r="I1309" s="154" t="s">
        <v>10081</v>
      </c>
      <c r="J1309" s="154" t="s">
        <v>6819</v>
      </c>
      <c r="K1309" s="154" t="s">
        <v>10066</v>
      </c>
      <c r="L1309" s="154" t="s">
        <v>6884</v>
      </c>
      <c r="M1309" s="154"/>
      <c r="N1309" s="154" t="s">
        <v>759</v>
      </c>
      <c r="O1309" s="247" t="s">
        <v>516</v>
      </c>
      <c r="P1309" s="247" t="s">
        <v>6776</v>
      </c>
      <c r="Q1309" s="154" t="str">
        <f t="shared" si="1"/>
        <v>#ERROR!</v>
      </c>
      <c r="R1309" s="154" t="s">
        <v>66</v>
      </c>
      <c r="S1309" s="154" t="s">
        <v>66</v>
      </c>
      <c r="T1309" s="154" t="s">
        <v>66</v>
      </c>
      <c r="U1309" s="154" t="s">
        <v>66</v>
      </c>
      <c r="V1309" s="154" t="s">
        <v>66</v>
      </c>
      <c r="W1309" s="154" t="s">
        <v>66</v>
      </c>
      <c r="X1309" s="154" t="s">
        <v>66</v>
      </c>
      <c r="Y1309" s="154" t="s">
        <v>66</v>
      </c>
      <c r="Z1309" s="154" t="s">
        <v>66</v>
      </c>
      <c r="AA1309" s="154"/>
      <c r="AB1309" s="242" t="str">
        <f t="shared" si="2"/>
        <v>#ERROR!</v>
      </c>
      <c r="AC1309" s="154" t="s">
        <v>391</v>
      </c>
      <c r="AD1309" s="242" t="b">
        <f t="shared" si="3"/>
        <v>0</v>
      </c>
      <c r="AE1309" s="154"/>
      <c r="AF1309" s="242" t="str">
        <f t="shared" si="4"/>
        <v>#ERROR!</v>
      </c>
      <c r="AG1309" s="154"/>
      <c r="AH1309" s="242" t="str">
        <f>IF(AG1309="","N/A",INDIRECT("MTR!"&amp;ADDRESS(MATCH(LEFT(AG1309,9),[1]MTR!C:C,0),COLUMN(J1309)),TRUE) &amp; "")</f>
        <v>#ERROR!</v>
      </c>
      <c r="AI1309" s="157" t="str">
        <f t="shared" si="5"/>
        <v>#ERROR!</v>
      </c>
    </row>
    <row r="1310" ht="12.75" customHeight="1">
      <c r="A1310" s="244" t="s">
        <v>5158</v>
      </c>
      <c r="B1310" s="244" t="s">
        <v>231</v>
      </c>
      <c r="C1310" s="244" t="s">
        <v>10086</v>
      </c>
      <c r="D1310" s="154" t="s">
        <v>1315</v>
      </c>
      <c r="E1310" s="154"/>
      <c r="F1310" s="154" t="str">
        <f t="array" ref="F1310">XLOOKUP(Cover!$D$12,$R$1:$Z$1,$R1310:$Z1310)</f>
        <v>Information</v>
      </c>
      <c r="G1310" s="154" t="s">
        <v>10087</v>
      </c>
      <c r="H1310" s="154" t="s">
        <v>8302</v>
      </c>
      <c r="I1310" s="154" t="s">
        <v>10081</v>
      </c>
      <c r="J1310" s="154" t="s">
        <v>6819</v>
      </c>
      <c r="K1310" s="154" t="s">
        <v>10066</v>
      </c>
      <c r="L1310" s="154" t="s">
        <v>6884</v>
      </c>
      <c r="M1310" s="154"/>
      <c r="N1310" s="154" t="s">
        <v>759</v>
      </c>
      <c r="O1310" s="247" t="s">
        <v>516</v>
      </c>
      <c r="P1310" s="247" t="s">
        <v>6776</v>
      </c>
      <c r="Q1310" s="154" t="str">
        <f t="shared" si="1"/>
        <v>#ERROR!</v>
      </c>
      <c r="R1310" s="154" t="s">
        <v>66</v>
      </c>
      <c r="S1310" s="154" t="s">
        <v>66</v>
      </c>
      <c r="T1310" s="154" t="s">
        <v>66</v>
      </c>
      <c r="U1310" s="154" t="s">
        <v>66</v>
      </c>
      <c r="V1310" s="154" t="s">
        <v>66</v>
      </c>
      <c r="W1310" s="154" t="s">
        <v>66</v>
      </c>
      <c r="X1310" s="154" t="s">
        <v>66</v>
      </c>
      <c r="Y1310" s="154" t="s">
        <v>66</v>
      </c>
      <c r="Z1310" s="154" t="s">
        <v>66</v>
      </c>
      <c r="AA1310" s="154"/>
      <c r="AB1310" s="242" t="str">
        <f t="shared" si="2"/>
        <v>#ERROR!</v>
      </c>
      <c r="AC1310" s="154" t="s">
        <v>391</v>
      </c>
      <c r="AD1310" s="242" t="b">
        <f t="shared" si="3"/>
        <v>0</v>
      </c>
      <c r="AE1310" s="154"/>
      <c r="AF1310" s="242" t="str">
        <f t="shared" si="4"/>
        <v>#ERROR!</v>
      </c>
      <c r="AG1310" s="154"/>
      <c r="AH1310" s="242" t="str">
        <f>IF(AG1310="","N/A",INDIRECT("MTR!"&amp;ADDRESS(MATCH(LEFT(AG1310,9),[1]MTR!C:C,0),COLUMN(J1310)),TRUE) &amp; "")</f>
        <v>#ERROR!</v>
      </c>
      <c r="AI1310" s="157" t="str">
        <f t="shared" si="5"/>
        <v>#ERROR!</v>
      </c>
    </row>
    <row r="1311" ht="12.75" customHeight="1">
      <c r="A1311" s="244" t="s">
        <v>5158</v>
      </c>
      <c r="B1311" s="244" t="s">
        <v>231</v>
      </c>
      <c r="C1311" s="244" t="s">
        <v>10088</v>
      </c>
      <c r="D1311" s="154" t="s">
        <v>1315</v>
      </c>
      <c r="E1311" s="154"/>
      <c r="F1311" s="154" t="str">
        <f t="array" ref="F1311">XLOOKUP(Cover!$D$12,$R$1:$Z$1,$R1311:$Z1311)</f>
        <v>Information</v>
      </c>
      <c r="G1311" s="154" t="s">
        <v>10089</v>
      </c>
      <c r="H1311" s="154" t="s">
        <v>6775</v>
      </c>
      <c r="I1311" s="154" t="s">
        <v>10090</v>
      </c>
      <c r="J1311" s="154" t="s">
        <v>6854</v>
      </c>
      <c r="K1311" s="154" t="s">
        <v>10066</v>
      </c>
      <c r="L1311" s="154" t="s">
        <v>6884</v>
      </c>
      <c r="M1311" s="154"/>
      <c r="N1311" s="154" t="s">
        <v>759</v>
      </c>
      <c r="O1311" s="247" t="s">
        <v>516</v>
      </c>
      <c r="P1311" s="247" t="s">
        <v>6776</v>
      </c>
      <c r="Q1311" s="154" t="str">
        <f t="shared" si="1"/>
        <v>#ERROR!</v>
      </c>
      <c r="R1311" s="154" t="s">
        <v>66</v>
      </c>
      <c r="S1311" s="154" t="s">
        <v>66</v>
      </c>
      <c r="T1311" s="154" t="s">
        <v>66</v>
      </c>
      <c r="U1311" s="154" t="s">
        <v>66</v>
      </c>
      <c r="V1311" s="154" t="s">
        <v>66</v>
      </c>
      <c r="W1311" s="154" t="s">
        <v>66</v>
      </c>
      <c r="X1311" s="154" t="s">
        <v>66</v>
      </c>
      <c r="Y1311" s="154" t="s">
        <v>66</v>
      </c>
      <c r="Z1311" s="154" t="s">
        <v>66</v>
      </c>
      <c r="AA1311" s="154"/>
      <c r="AB1311" s="242" t="str">
        <f t="shared" si="2"/>
        <v>#ERROR!</v>
      </c>
      <c r="AC1311" s="154" t="s">
        <v>391</v>
      </c>
      <c r="AD1311" s="242" t="b">
        <f t="shared" si="3"/>
        <v>0</v>
      </c>
      <c r="AE1311" s="154"/>
      <c r="AF1311" s="242" t="str">
        <f t="shared" si="4"/>
        <v>#ERROR!</v>
      </c>
      <c r="AG1311" s="154"/>
      <c r="AH1311" s="242" t="str">
        <f>IF(AG1311="","N/A",INDIRECT("MTR!"&amp;ADDRESS(MATCH(LEFT(AG1311,9),[1]MTR!C:C,0),COLUMN(J1311)),TRUE) &amp; "")</f>
        <v>#ERROR!</v>
      </c>
      <c r="AI1311" s="157" t="str">
        <f t="shared" si="5"/>
        <v>#ERROR!</v>
      </c>
    </row>
    <row r="1312" ht="12.75" customHeight="1">
      <c r="A1312" s="244" t="s">
        <v>5158</v>
      </c>
      <c r="B1312" s="244" t="s">
        <v>231</v>
      </c>
      <c r="C1312" s="244" t="s">
        <v>10091</v>
      </c>
      <c r="D1312" s="154" t="s">
        <v>1315</v>
      </c>
      <c r="E1312" s="154"/>
      <c r="F1312" s="154" t="str">
        <f t="array" ref="F1312">XLOOKUP(Cover!$D$12,$R$1:$Z$1,$R1312:$Z1312)</f>
        <v>Information</v>
      </c>
      <c r="G1312" s="154" t="s">
        <v>10092</v>
      </c>
      <c r="H1312" s="154" t="s">
        <v>8302</v>
      </c>
      <c r="I1312" s="154" t="s">
        <v>10090</v>
      </c>
      <c r="J1312" s="154" t="s">
        <v>6854</v>
      </c>
      <c r="K1312" s="154" t="s">
        <v>10066</v>
      </c>
      <c r="L1312" s="154" t="s">
        <v>6884</v>
      </c>
      <c r="M1312" s="154"/>
      <c r="N1312" s="154" t="s">
        <v>759</v>
      </c>
      <c r="O1312" s="247" t="s">
        <v>516</v>
      </c>
      <c r="P1312" s="247" t="s">
        <v>5876</v>
      </c>
      <c r="Q1312" s="154" t="str">
        <f t="shared" si="1"/>
        <v>#ERROR!</v>
      </c>
      <c r="R1312" s="154" t="s">
        <v>66</v>
      </c>
      <c r="S1312" s="154" t="s">
        <v>66</v>
      </c>
      <c r="T1312" s="154" t="s">
        <v>66</v>
      </c>
      <c r="U1312" s="154" t="s">
        <v>66</v>
      </c>
      <c r="V1312" s="154" t="s">
        <v>66</v>
      </c>
      <c r="W1312" s="154" t="s">
        <v>66</v>
      </c>
      <c r="X1312" s="154" t="s">
        <v>66</v>
      </c>
      <c r="Y1312" s="154" t="s">
        <v>66</v>
      </c>
      <c r="Z1312" s="154" t="s">
        <v>66</v>
      </c>
      <c r="AA1312" s="154"/>
      <c r="AB1312" s="242" t="str">
        <f t="shared" si="2"/>
        <v>#ERROR!</v>
      </c>
      <c r="AC1312" s="154" t="s">
        <v>391</v>
      </c>
      <c r="AD1312" s="242" t="b">
        <f t="shared" si="3"/>
        <v>0</v>
      </c>
      <c r="AE1312" s="154"/>
      <c r="AF1312" s="242" t="str">
        <f t="shared" si="4"/>
        <v>#ERROR!</v>
      </c>
      <c r="AG1312" s="154"/>
      <c r="AH1312" s="242" t="str">
        <f>IF(AG1312="","N/A",INDIRECT("MTR!"&amp;ADDRESS(MATCH(LEFT(AG1312,9),[1]MTR!C:C,0),COLUMN(J1312)),TRUE) &amp; "")</f>
        <v>#ERROR!</v>
      </c>
      <c r="AI1312" s="157" t="str">
        <f t="shared" si="5"/>
        <v>#ERROR!</v>
      </c>
    </row>
    <row r="1313" ht="12.75" customHeight="1">
      <c r="A1313" s="244" t="s">
        <v>5158</v>
      </c>
      <c r="B1313" s="244" t="s">
        <v>231</v>
      </c>
      <c r="C1313" s="244" t="s">
        <v>10093</v>
      </c>
      <c r="D1313" s="154" t="s">
        <v>1315</v>
      </c>
      <c r="E1313" s="154"/>
      <c r="F1313" s="154" t="str">
        <f t="array" ref="F1313">XLOOKUP(Cover!$D$12,$R$1:$Z$1,$R1313:$Z1313)</f>
        <v>Information</v>
      </c>
      <c r="G1313" s="154" t="s">
        <v>10094</v>
      </c>
      <c r="H1313" s="154" t="s">
        <v>6771</v>
      </c>
      <c r="I1313" s="154" t="s">
        <v>10095</v>
      </c>
      <c r="J1313" s="154" t="s">
        <v>6935</v>
      </c>
      <c r="K1313" s="154" t="s">
        <v>10066</v>
      </c>
      <c r="L1313" s="154" t="s">
        <v>6884</v>
      </c>
      <c r="M1313" s="154"/>
      <c r="N1313" s="154" t="s">
        <v>759</v>
      </c>
      <c r="O1313" s="247" t="s">
        <v>516</v>
      </c>
      <c r="P1313" s="247" t="s">
        <v>6776</v>
      </c>
      <c r="Q1313" s="154" t="str">
        <f t="shared" si="1"/>
        <v>#ERROR!</v>
      </c>
      <c r="R1313" s="154" t="s">
        <v>66</v>
      </c>
      <c r="S1313" s="154" t="s">
        <v>66</v>
      </c>
      <c r="T1313" s="154" t="s">
        <v>66</v>
      </c>
      <c r="U1313" s="154" t="s">
        <v>66</v>
      </c>
      <c r="V1313" s="154" t="s">
        <v>66</v>
      </c>
      <c r="W1313" s="154" t="s">
        <v>66</v>
      </c>
      <c r="X1313" s="154" t="s">
        <v>66</v>
      </c>
      <c r="Y1313" s="154" t="s">
        <v>66</v>
      </c>
      <c r="Z1313" s="154" t="s">
        <v>66</v>
      </c>
      <c r="AA1313" s="154"/>
      <c r="AB1313" s="242" t="str">
        <f t="shared" si="2"/>
        <v>#ERROR!</v>
      </c>
      <c r="AC1313" s="154" t="s">
        <v>391</v>
      </c>
      <c r="AD1313" s="242" t="b">
        <f t="shared" si="3"/>
        <v>0</v>
      </c>
      <c r="AE1313" s="154"/>
      <c r="AF1313" s="242" t="str">
        <f t="shared" si="4"/>
        <v>#ERROR!</v>
      </c>
      <c r="AG1313" s="154"/>
      <c r="AH1313" s="242" t="str">
        <f>IF(AG1313="","N/A",INDIRECT("MTR!"&amp;ADDRESS(MATCH(LEFT(AG1313,9),[1]MTR!C:C,0),COLUMN(J1313)),TRUE) &amp; "")</f>
        <v>#ERROR!</v>
      </c>
      <c r="AI1313" s="157" t="str">
        <f t="shared" si="5"/>
        <v>#ERROR!</v>
      </c>
    </row>
    <row r="1314" ht="12.75" customHeight="1">
      <c r="A1314" s="244" t="s">
        <v>5158</v>
      </c>
      <c r="B1314" s="244" t="s">
        <v>231</v>
      </c>
      <c r="C1314" s="244" t="s">
        <v>10096</v>
      </c>
      <c r="D1314" s="154" t="s">
        <v>1315</v>
      </c>
      <c r="E1314" s="154"/>
      <c r="F1314" s="154" t="str">
        <f t="array" ref="F1314">XLOOKUP(Cover!$D$12,$R$1:$Z$1,$R1314:$Z1314)</f>
        <v>Information</v>
      </c>
      <c r="G1314" s="154" t="s">
        <v>10097</v>
      </c>
      <c r="H1314" s="154" t="s">
        <v>8299</v>
      </c>
      <c r="I1314" s="154" t="s">
        <v>10095</v>
      </c>
      <c r="J1314" s="154" t="s">
        <v>6935</v>
      </c>
      <c r="K1314" s="154" t="s">
        <v>10066</v>
      </c>
      <c r="L1314" s="154" t="s">
        <v>6884</v>
      </c>
      <c r="M1314" s="154"/>
      <c r="N1314" s="154" t="s">
        <v>759</v>
      </c>
      <c r="O1314" s="247" t="s">
        <v>516</v>
      </c>
      <c r="P1314" s="247" t="s">
        <v>6776</v>
      </c>
      <c r="Q1314" s="154" t="str">
        <f t="shared" si="1"/>
        <v>#ERROR!</v>
      </c>
      <c r="R1314" s="154" t="s">
        <v>66</v>
      </c>
      <c r="S1314" s="154" t="s">
        <v>66</v>
      </c>
      <c r="T1314" s="154" t="s">
        <v>66</v>
      </c>
      <c r="U1314" s="154" t="s">
        <v>66</v>
      </c>
      <c r="V1314" s="154" t="s">
        <v>66</v>
      </c>
      <c r="W1314" s="154" t="s">
        <v>66</v>
      </c>
      <c r="X1314" s="154" t="s">
        <v>66</v>
      </c>
      <c r="Y1314" s="154" t="s">
        <v>66</v>
      </c>
      <c r="Z1314" s="154" t="s">
        <v>66</v>
      </c>
      <c r="AA1314" s="154"/>
      <c r="AB1314" s="242" t="str">
        <f t="shared" si="2"/>
        <v>#ERROR!</v>
      </c>
      <c r="AC1314" s="154" t="s">
        <v>391</v>
      </c>
      <c r="AD1314" s="242" t="b">
        <f t="shared" si="3"/>
        <v>0</v>
      </c>
      <c r="AE1314" s="154"/>
      <c r="AF1314" s="242" t="str">
        <f t="shared" si="4"/>
        <v>#ERROR!</v>
      </c>
      <c r="AG1314" s="154"/>
      <c r="AH1314" s="242" t="str">
        <f>IF(AG1314="","N/A",INDIRECT("MTR!"&amp;ADDRESS(MATCH(LEFT(AG1314,9),[1]MTR!C:C,0),COLUMN(J1314)),TRUE) &amp; "")</f>
        <v>#ERROR!</v>
      </c>
      <c r="AI1314" s="157" t="str">
        <f t="shared" si="5"/>
        <v>#ERROR!</v>
      </c>
    </row>
    <row r="1315" ht="12.75" customHeight="1">
      <c r="A1315" s="244" t="s">
        <v>5158</v>
      </c>
      <c r="B1315" s="244" t="s">
        <v>231</v>
      </c>
      <c r="C1315" s="244" t="s">
        <v>10098</v>
      </c>
      <c r="D1315" s="154" t="s">
        <v>1315</v>
      </c>
      <c r="E1315" s="154"/>
      <c r="F1315" s="154" t="str">
        <f t="array" ref="F1315">XLOOKUP(Cover!$D$12,$R$1:$Z$1,$R1315:$Z1315)</f>
        <v>Information</v>
      </c>
      <c r="G1315" s="154" t="s">
        <v>10099</v>
      </c>
      <c r="H1315" s="154" t="s">
        <v>6775</v>
      </c>
      <c r="I1315" s="154" t="s">
        <v>10095</v>
      </c>
      <c r="J1315" s="154" t="s">
        <v>6935</v>
      </c>
      <c r="K1315" s="154" t="s">
        <v>10066</v>
      </c>
      <c r="L1315" s="154" t="s">
        <v>6884</v>
      </c>
      <c r="M1315" s="154"/>
      <c r="N1315" s="154" t="s">
        <v>759</v>
      </c>
      <c r="O1315" s="247" t="s">
        <v>516</v>
      </c>
      <c r="P1315" s="247" t="s">
        <v>6776</v>
      </c>
      <c r="Q1315" s="154" t="str">
        <f t="shared" si="1"/>
        <v>#ERROR!</v>
      </c>
      <c r="R1315" s="154" t="s">
        <v>66</v>
      </c>
      <c r="S1315" s="154" t="s">
        <v>66</v>
      </c>
      <c r="T1315" s="154" t="s">
        <v>66</v>
      </c>
      <c r="U1315" s="154" t="s">
        <v>66</v>
      </c>
      <c r="V1315" s="154" t="s">
        <v>66</v>
      </c>
      <c r="W1315" s="154" t="s">
        <v>66</v>
      </c>
      <c r="X1315" s="154" t="s">
        <v>66</v>
      </c>
      <c r="Y1315" s="154" t="s">
        <v>66</v>
      </c>
      <c r="Z1315" s="154" t="s">
        <v>66</v>
      </c>
      <c r="AA1315" s="154"/>
      <c r="AB1315" s="242" t="str">
        <f t="shared" si="2"/>
        <v>#ERROR!</v>
      </c>
      <c r="AC1315" s="154" t="s">
        <v>391</v>
      </c>
      <c r="AD1315" s="242" t="b">
        <f t="shared" si="3"/>
        <v>0</v>
      </c>
      <c r="AE1315" s="154"/>
      <c r="AF1315" s="242" t="str">
        <f t="shared" si="4"/>
        <v>#ERROR!</v>
      </c>
      <c r="AG1315" s="154"/>
      <c r="AH1315" s="242" t="str">
        <f>IF(AG1315="","N/A",INDIRECT("MTR!"&amp;ADDRESS(MATCH(LEFT(AG1315,9),[1]MTR!C:C,0),COLUMN(J1315)),TRUE) &amp; "")</f>
        <v>#ERROR!</v>
      </c>
      <c r="AI1315" s="157" t="str">
        <f t="shared" si="5"/>
        <v>#ERROR!</v>
      </c>
    </row>
    <row r="1316" ht="12.75" customHeight="1">
      <c r="A1316" s="244" t="s">
        <v>5158</v>
      </c>
      <c r="B1316" s="244" t="s">
        <v>231</v>
      </c>
      <c r="C1316" s="244" t="s">
        <v>10100</v>
      </c>
      <c r="D1316" s="154" t="s">
        <v>1315</v>
      </c>
      <c r="E1316" s="154"/>
      <c r="F1316" s="154" t="str">
        <f t="array" ref="F1316">XLOOKUP(Cover!$D$12,$R$1:$Z$1,$R1316:$Z1316)</f>
        <v>Information</v>
      </c>
      <c r="G1316" s="154" t="s">
        <v>10101</v>
      </c>
      <c r="H1316" s="154" t="s">
        <v>8302</v>
      </c>
      <c r="I1316" s="154" t="s">
        <v>10095</v>
      </c>
      <c r="J1316" s="154" t="s">
        <v>6935</v>
      </c>
      <c r="K1316" s="154" t="s">
        <v>10066</v>
      </c>
      <c r="L1316" s="154" t="s">
        <v>6884</v>
      </c>
      <c r="M1316" s="154"/>
      <c r="N1316" s="154" t="s">
        <v>759</v>
      </c>
      <c r="O1316" s="247" t="s">
        <v>516</v>
      </c>
      <c r="P1316" s="247" t="s">
        <v>6776</v>
      </c>
      <c r="Q1316" s="154" t="str">
        <f t="shared" si="1"/>
        <v>#ERROR!</v>
      </c>
      <c r="R1316" s="154" t="s">
        <v>66</v>
      </c>
      <c r="S1316" s="154" t="s">
        <v>66</v>
      </c>
      <c r="T1316" s="154" t="s">
        <v>66</v>
      </c>
      <c r="U1316" s="154" t="s">
        <v>66</v>
      </c>
      <c r="V1316" s="154" t="s">
        <v>66</v>
      </c>
      <c r="W1316" s="154" t="s">
        <v>66</v>
      </c>
      <c r="X1316" s="154" t="s">
        <v>66</v>
      </c>
      <c r="Y1316" s="154" t="s">
        <v>66</v>
      </c>
      <c r="Z1316" s="154" t="s">
        <v>66</v>
      </c>
      <c r="AA1316" s="154"/>
      <c r="AB1316" s="242" t="str">
        <f t="shared" si="2"/>
        <v>#ERROR!</v>
      </c>
      <c r="AC1316" s="154" t="s">
        <v>391</v>
      </c>
      <c r="AD1316" s="242" t="b">
        <f t="shared" si="3"/>
        <v>0</v>
      </c>
      <c r="AE1316" s="154"/>
      <c r="AF1316" s="242" t="str">
        <f t="shared" si="4"/>
        <v>#ERROR!</v>
      </c>
      <c r="AG1316" s="154"/>
      <c r="AH1316" s="242" t="str">
        <f>IF(AG1316="","N/A",INDIRECT("MTR!"&amp;ADDRESS(MATCH(LEFT(AG1316,9),[1]MTR!C:C,0),COLUMN(J1316)),TRUE) &amp; "")</f>
        <v>#ERROR!</v>
      </c>
      <c r="AI1316" s="157" t="str">
        <f t="shared" si="5"/>
        <v>#ERROR!</v>
      </c>
    </row>
    <row r="1317" ht="12.75" customHeight="1">
      <c r="A1317" s="244" t="s">
        <v>5158</v>
      </c>
      <c r="B1317" s="244" t="s">
        <v>231</v>
      </c>
      <c r="C1317" s="244" t="s">
        <v>10102</v>
      </c>
      <c r="D1317" s="154" t="s">
        <v>1315</v>
      </c>
      <c r="E1317" s="154"/>
      <c r="F1317" s="154" t="str">
        <f t="array" ref="F1317">XLOOKUP(Cover!$D$12,$R$1:$Z$1,$R1317:$Z1317)</f>
        <v>Information</v>
      </c>
      <c r="G1317" s="154" t="s">
        <v>10103</v>
      </c>
      <c r="H1317" s="154" t="s">
        <v>6771</v>
      </c>
      <c r="I1317" s="154" t="s">
        <v>10104</v>
      </c>
      <c r="J1317" s="154" t="s">
        <v>6992</v>
      </c>
      <c r="K1317" s="154" t="s">
        <v>10066</v>
      </c>
      <c r="L1317" s="154" t="s">
        <v>6884</v>
      </c>
      <c r="M1317" s="154"/>
      <c r="N1317" s="154" t="s">
        <v>759</v>
      </c>
      <c r="O1317" s="247" t="s">
        <v>516</v>
      </c>
      <c r="P1317" s="247" t="s">
        <v>6776</v>
      </c>
      <c r="Q1317" s="154" t="str">
        <f t="shared" si="1"/>
        <v>#ERROR!</v>
      </c>
      <c r="R1317" s="154" t="s">
        <v>66</v>
      </c>
      <c r="S1317" s="154" t="s">
        <v>66</v>
      </c>
      <c r="T1317" s="154" t="s">
        <v>66</v>
      </c>
      <c r="U1317" s="154" t="s">
        <v>66</v>
      </c>
      <c r="V1317" s="154" t="s">
        <v>66</v>
      </c>
      <c r="W1317" s="154" t="s">
        <v>66</v>
      </c>
      <c r="X1317" s="154" t="s">
        <v>66</v>
      </c>
      <c r="Y1317" s="154" t="s">
        <v>66</v>
      </c>
      <c r="Z1317" s="154" t="s">
        <v>66</v>
      </c>
      <c r="AA1317" s="154"/>
      <c r="AB1317" s="242" t="str">
        <f t="shared" si="2"/>
        <v>#ERROR!</v>
      </c>
      <c r="AC1317" s="154" t="s">
        <v>391</v>
      </c>
      <c r="AD1317" s="242" t="b">
        <f t="shared" si="3"/>
        <v>0</v>
      </c>
      <c r="AE1317" s="154"/>
      <c r="AF1317" s="242" t="str">
        <f t="shared" si="4"/>
        <v>#ERROR!</v>
      </c>
      <c r="AG1317" s="154"/>
      <c r="AH1317" s="242" t="str">
        <f>IF(AG1317="","N/A",INDIRECT("MTR!"&amp;ADDRESS(MATCH(LEFT(AG1317,9),[1]MTR!C:C,0),COLUMN(J1317)),TRUE) &amp; "")</f>
        <v>#ERROR!</v>
      </c>
      <c r="AI1317" s="157" t="str">
        <f t="shared" si="5"/>
        <v>#ERROR!</v>
      </c>
    </row>
    <row r="1318" ht="12.75" customHeight="1">
      <c r="A1318" s="244" t="s">
        <v>5158</v>
      </c>
      <c r="B1318" s="244" t="s">
        <v>231</v>
      </c>
      <c r="C1318" s="244" t="s">
        <v>10105</v>
      </c>
      <c r="D1318" s="154" t="s">
        <v>1315</v>
      </c>
      <c r="E1318" s="154"/>
      <c r="F1318" s="154" t="str">
        <f t="array" ref="F1318">XLOOKUP(Cover!$D$12,$R$1:$Z$1,$R1318:$Z1318)</f>
        <v>Information</v>
      </c>
      <c r="G1318" s="154" t="s">
        <v>10106</v>
      </c>
      <c r="H1318" s="154" t="s">
        <v>8299</v>
      </c>
      <c r="I1318" s="154" t="s">
        <v>10104</v>
      </c>
      <c r="J1318" s="154" t="s">
        <v>6992</v>
      </c>
      <c r="K1318" s="154" t="s">
        <v>10066</v>
      </c>
      <c r="L1318" s="154" t="s">
        <v>6884</v>
      </c>
      <c r="M1318" s="154"/>
      <c r="N1318" s="154" t="s">
        <v>759</v>
      </c>
      <c r="O1318" s="247" t="s">
        <v>516</v>
      </c>
      <c r="P1318" s="247" t="s">
        <v>6776</v>
      </c>
      <c r="Q1318" s="154" t="str">
        <f t="shared" si="1"/>
        <v>#ERROR!</v>
      </c>
      <c r="R1318" s="154" t="s">
        <v>66</v>
      </c>
      <c r="S1318" s="154" t="s">
        <v>66</v>
      </c>
      <c r="T1318" s="154" t="s">
        <v>66</v>
      </c>
      <c r="U1318" s="154" t="s">
        <v>66</v>
      </c>
      <c r="V1318" s="154" t="s">
        <v>66</v>
      </c>
      <c r="W1318" s="154" t="s">
        <v>66</v>
      </c>
      <c r="X1318" s="154" t="s">
        <v>66</v>
      </c>
      <c r="Y1318" s="154" t="s">
        <v>66</v>
      </c>
      <c r="Z1318" s="154" t="s">
        <v>66</v>
      </c>
      <c r="AA1318" s="154"/>
      <c r="AB1318" s="242" t="str">
        <f t="shared" si="2"/>
        <v>#ERROR!</v>
      </c>
      <c r="AC1318" s="154" t="s">
        <v>391</v>
      </c>
      <c r="AD1318" s="242" t="b">
        <f t="shared" si="3"/>
        <v>0</v>
      </c>
      <c r="AE1318" s="154"/>
      <c r="AF1318" s="242" t="str">
        <f t="shared" si="4"/>
        <v>#ERROR!</v>
      </c>
      <c r="AG1318" s="154"/>
      <c r="AH1318" s="242" t="str">
        <f>IF(AG1318="","N/A",INDIRECT("MTR!"&amp;ADDRESS(MATCH(LEFT(AG1318,9),[1]MTR!C:C,0),COLUMN(J1318)),TRUE) &amp; "")</f>
        <v>#ERROR!</v>
      </c>
      <c r="AI1318" s="157" t="str">
        <f t="shared" si="5"/>
        <v>#ERROR!</v>
      </c>
    </row>
    <row r="1319" ht="12.75" customHeight="1">
      <c r="A1319" s="244" t="s">
        <v>5158</v>
      </c>
      <c r="B1319" s="244" t="s">
        <v>231</v>
      </c>
      <c r="C1319" s="244" t="s">
        <v>10107</v>
      </c>
      <c r="D1319" s="154" t="s">
        <v>1315</v>
      </c>
      <c r="E1319" s="154"/>
      <c r="F1319" s="154" t="str">
        <f t="array" ref="F1319">XLOOKUP(Cover!$D$12,$R$1:$Z$1,$R1319:$Z1319)</f>
        <v>Information</v>
      </c>
      <c r="G1319" s="154" t="s">
        <v>10108</v>
      </c>
      <c r="H1319" s="154" t="s">
        <v>6775</v>
      </c>
      <c r="I1319" s="154" t="s">
        <v>10104</v>
      </c>
      <c r="J1319" s="154" t="s">
        <v>6992</v>
      </c>
      <c r="K1319" s="154" t="s">
        <v>10066</v>
      </c>
      <c r="L1319" s="154" t="s">
        <v>6884</v>
      </c>
      <c r="M1319" s="154"/>
      <c r="N1319" s="154" t="s">
        <v>759</v>
      </c>
      <c r="O1319" s="247" t="s">
        <v>516</v>
      </c>
      <c r="P1319" s="247" t="s">
        <v>6776</v>
      </c>
      <c r="Q1319" s="154" t="str">
        <f t="shared" si="1"/>
        <v>#ERROR!</v>
      </c>
      <c r="R1319" s="154" t="s">
        <v>66</v>
      </c>
      <c r="S1319" s="154" t="s">
        <v>66</v>
      </c>
      <c r="T1319" s="154" t="s">
        <v>66</v>
      </c>
      <c r="U1319" s="154" t="s">
        <v>66</v>
      </c>
      <c r="V1319" s="154" t="s">
        <v>66</v>
      </c>
      <c r="W1319" s="154" t="s">
        <v>66</v>
      </c>
      <c r="X1319" s="154" t="s">
        <v>66</v>
      </c>
      <c r="Y1319" s="154" t="s">
        <v>66</v>
      </c>
      <c r="Z1319" s="154" t="s">
        <v>66</v>
      </c>
      <c r="AA1319" s="154"/>
      <c r="AB1319" s="242" t="str">
        <f t="shared" si="2"/>
        <v>#ERROR!</v>
      </c>
      <c r="AC1319" s="154" t="s">
        <v>391</v>
      </c>
      <c r="AD1319" s="242" t="b">
        <f t="shared" si="3"/>
        <v>0</v>
      </c>
      <c r="AE1319" s="154"/>
      <c r="AF1319" s="242" t="str">
        <f t="shared" si="4"/>
        <v>#ERROR!</v>
      </c>
      <c r="AG1319" s="154"/>
      <c r="AH1319" s="242" t="str">
        <f>IF(AG1319="","N/A",INDIRECT("MTR!"&amp;ADDRESS(MATCH(LEFT(AG1319,9),[1]MTR!C:C,0),COLUMN(J1319)),TRUE) &amp; "")</f>
        <v>#ERROR!</v>
      </c>
      <c r="AI1319" s="157" t="str">
        <f t="shared" si="5"/>
        <v>#ERROR!</v>
      </c>
    </row>
    <row r="1320" ht="12.75" customHeight="1">
      <c r="A1320" s="244" t="s">
        <v>5158</v>
      </c>
      <c r="B1320" s="244" t="s">
        <v>231</v>
      </c>
      <c r="C1320" s="244" t="s">
        <v>10109</v>
      </c>
      <c r="D1320" s="154" t="s">
        <v>1315</v>
      </c>
      <c r="E1320" s="154"/>
      <c r="F1320" s="154" t="str">
        <f t="array" ref="F1320">XLOOKUP(Cover!$D$12,$R$1:$Z$1,$R1320:$Z1320)</f>
        <v>Information</v>
      </c>
      <c r="G1320" s="154" t="s">
        <v>10110</v>
      </c>
      <c r="H1320" s="154" t="s">
        <v>8302</v>
      </c>
      <c r="I1320" s="154" t="s">
        <v>10104</v>
      </c>
      <c r="J1320" s="154" t="s">
        <v>6992</v>
      </c>
      <c r="K1320" s="154" t="s">
        <v>10066</v>
      </c>
      <c r="L1320" s="154" t="s">
        <v>6884</v>
      </c>
      <c r="M1320" s="154"/>
      <c r="N1320" s="154" t="s">
        <v>759</v>
      </c>
      <c r="O1320" s="247" t="s">
        <v>516</v>
      </c>
      <c r="P1320" s="247" t="s">
        <v>6776</v>
      </c>
      <c r="Q1320" s="154" t="str">
        <f t="shared" si="1"/>
        <v>#ERROR!</v>
      </c>
      <c r="R1320" s="154" t="s">
        <v>66</v>
      </c>
      <c r="S1320" s="154" t="s">
        <v>66</v>
      </c>
      <c r="T1320" s="154" t="s">
        <v>66</v>
      </c>
      <c r="U1320" s="154" t="s">
        <v>66</v>
      </c>
      <c r="V1320" s="154" t="s">
        <v>66</v>
      </c>
      <c r="W1320" s="154" t="s">
        <v>66</v>
      </c>
      <c r="X1320" s="154" t="s">
        <v>66</v>
      </c>
      <c r="Y1320" s="154" t="s">
        <v>66</v>
      </c>
      <c r="Z1320" s="154" t="s">
        <v>66</v>
      </c>
      <c r="AA1320" s="154"/>
      <c r="AB1320" s="242" t="str">
        <f t="shared" si="2"/>
        <v>#ERROR!</v>
      </c>
      <c r="AC1320" s="154" t="s">
        <v>391</v>
      </c>
      <c r="AD1320" s="242" t="b">
        <f t="shared" si="3"/>
        <v>0</v>
      </c>
      <c r="AE1320" s="154"/>
      <c r="AF1320" s="242" t="str">
        <f t="shared" si="4"/>
        <v>#ERROR!</v>
      </c>
      <c r="AG1320" s="154"/>
      <c r="AH1320" s="242" t="str">
        <f>IF(AG1320="","N/A",INDIRECT("MTR!"&amp;ADDRESS(MATCH(LEFT(AG1320,9),[1]MTR!C:C,0),COLUMN(J1320)),TRUE) &amp; "")</f>
        <v>#ERROR!</v>
      </c>
      <c r="AI1320" s="157" t="str">
        <f t="shared" si="5"/>
        <v>#ERROR!</v>
      </c>
    </row>
    <row r="1321" ht="12.75" customHeight="1">
      <c r="A1321" s="244" t="s">
        <v>5158</v>
      </c>
      <c r="B1321" s="244" t="s">
        <v>231</v>
      </c>
      <c r="C1321" s="244" t="s">
        <v>10111</v>
      </c>
      <c r="D1321" s="154" t="s">
        <v>1315</v>
      </c>
      <c r="E1321" s="154"/>
      <c r="F1321" s="154" t="str">
        <f t="array" ref="F1321">XLOOKUP(Cover!$D$12,$R$1:$Z$1,$R1321:$Z1321)</f>
        <v>Information</v>
      </c>
      <c r="G1321" s="154" t="s">
        <v>10112</v>
      </c>
      <c r="H1321" s="154" t="s">
        <v>6771</v>
      </c>
      <c r="I1321" s="154" t="s">
        <v>10113</v>
      </c>
      <c r="J1321" s="154" t="s">
        <v>7130</v>
      </c>
      <c r="K1321" s="154" t="s">
        <v>10066</v>
      </c>
      <c r="L1321" s="154" t="s">
        <v>6884</v>
      </c>
      <c r="M1321" s="154"/>
      <c r="N1321" s="154" t="s">
        <v>759</v>
      </c>
      <c r="O1321" s="247" t="s">
        <v>516</v>
      </c>
      <c r="P1321" s="247" t="s">
        <v>6776</v>
      </c>
      <c r="Q1321" s="154" t="str">
        <f t="shared" si="1"/>
        <v>#ERROR!</v>
      </c>
      <c r="R1321" s="154" t="s">
        <v>66</v>
      </c>
      <c r="S1321" s="154" t="s">
        <v>66</v>
      </c>
      <c r="T1321" s="154" t="s">
        <v>66</v>
      </c>
      <c r="U1321" s="154" t="s">
        <v>66</v>
      </c>
      <c r="V1321" s="154" t="s">
        <v>66</v>
      </c>
      <c r="W1321" s="154" t="s">
        <v>66</v>
      </c>
      <c r="X1321" s="154" t="s">
        <v>66</v>
      </c>
      <c r="Y1321" s="154" t="s">
        <v>66</v>
      </c>
      <c r="Z1321" s="154" t="s">
        <v>66</v>
      </c>
      <c r="AA1321" s="154"/>
      <c r="AB1321" s="242" t="str">
        <f t="shared" si="2"/>
        <v>#ERROR!</v>
      </c>
      <c r="AC1321" s="154" t="s">
        <v>391</v>
      </c>
      <c r="AD1321" s="242" t="b">
        <f t="shared" si="3"/>
        <v>0</v>
      </c>
      <c r="AE1321" s="154"/>
      <c r="AF1321" s="242" t="str">
        <f t="shared" si="4"/>
        <v>#ERROR!</v>
      </c>
      <c r="AG1321" s="154"/>
      <c r="AH1321" s="242" t="str">
        <f>IF(AG1321="","N/A",INDIRECT("MTR!"&amp;ADDRESS(MATCH(LEFT(AG1321,9),[1]MTR!C:C,0),COLUMN(J1321)),TRUE) &amp; "")</f>
        <v>#ERROR!</v>
      </c>
      <c r="AI1321" s="157" t="str">
        <f t="shared" si="5"/>
        <v>#ERROR!</v>
      </c>
    </row>
    <row r="1322" ht="12.75" customHeight="1">
      <c r="A1322" s="244" t="s">
        <v>5158</v>
      </c>
      <c r="B1322" s="244" t="s">
        <v>231</v>
      </c>
      <c r="C1322" s="244" t="s">
        <v>10114</v>
      </c>
      <c r="D1322" s="154" t="s">
        <v>1315</v>
      </c>
      <c r="E1322" s="154"/>
      <c r="F1322" s="154" t="str">
        <f t="array" ref="F1322">XLOOKUP(Cover!$D$12,$R$1:$Z$1,$R1322:$Z1322)</f>
        <v>Information</v>
      </c>
      <c r="G1322" s="154" t="s">
        <v>10115</v>
      </c>
      <c r="H1322" s="154" t="s">
        <v>8299</v>
      </c>
      <c r="I1322" s="154" t="s">
        <v>10113</v>
      </c>
      <c r="J1322" s="154" t="s">
        <v>7130</v>
      </c>
      <c r="K1322" s="154" t="s">
        <v>10066</v>
      </c>
      <c r="L1322" s="154" t="s">
        <v>6884</v>
      </c>
      <c r="M1322" s="154"/>
      <c r="N1322" s="154" t="s">
        <v>759</v>
      </c>
      <c r="O1322" s="247" t="s">
        <v>516</v>
      </c>
      <c r="P1322" s="247" t="s">
        <v>6776</v>
      </c>
      <c r="Q1322" s="154" t="str">
        <f t="shared" si="1"/>
        <v>#ERROR!</v>
      </c>
      <c r="R1322" s="154" t="s">
        <v>66</v>
      </c>
      <c r="S1322" s="154" t="s">
        <v>66</v>
      </c>
      <c r="T1322" s="154" t="s">
        <v>66</v>
      </c>
      <c r="U1322" s="154" t="s">
        <v>66</v>
      </c>
      <c r="V1322" s="154" t="s">
        <v>66</v>
      </c>
      <c r="W1322" s="154" t="s">
        <v>66</v>
      </c>
      <c r="X1322" s="154" t="s">
        <v>66</v>
      </c>
      <c r="Y1322" s="154" t="s">
        <v>66</v>
      </c>
      <c r="Z1322" s="154" t="s">
        <v>66</v>
      </c>
      <c r="AA1322" s="154"/>
      <c r="AB1322" s="242" t="str">
        <f t="shared" si="2"/>
        <v>#ERROR!</v>
      </c>
      <c r="AC1322" s="154" t="s">
        <v>391</v>
      </c>
      <c r="AD1322" s="242" t="b">
        <f t="shared" si="3"/>
        <v>0</v>
      </c>
      <c r="AE1322" s="154"/>
      <c r="AF1322" s="242" t="str">
        <f t="shared" si="4"/>
        <v>#ERROR!</v>
      </c>
      <c r="AG1322" s="154"/>
      <c r="AH1322" s="242" t="str">
        <f>IF(AG1322="","N/A",INDIRECT("MTR!"&amp;ADDRESS(MATCH(LEFT(AG1322,9),[1]MTR!C:C,0),COLUMN(J1322)),TRUE) &amp; "")</f>
        <v>#ERROR!</v>
      </c>
      <c r="AI1322" s="157" t="str">
        <f t="shared" si="5"/>
        <v>#ERROR!</v>
      </c>
    </row>
    <row r="1323" ht="12.75" customHeight="1">
      <c r="A1323" s="244" t="s">
        <v>5158</v>
      </c>
      <c r="B1323" s="244" t="s">
        <v>231</v>
      </c>
      <c r="C1323" s="244" t="s">
        <v>10116</v>
      </c>
      <c r="D1323" s="154" t="s">
        <v>1315</v>
      </c>
      <c r="E1323" s="154"/>
      <c r="F1323" s="154" t="str">
        <f t="array" ref="F1323">XLOOKUP(Cover!$D$12,$R$1:$Z$1,$R1323:$Z1323)</f>
        <v>Information</v>
      </c>
      <c r="G1323" s="154" t="s">
        <v>10117</v>
      </c>
      <c r="H1323" s="154" t="s">
        <v>6775</v>
      </c>
      <c r="I1323" s="154" t="s">
        <v>10113</v>
      </c>
      <c r="J1323" s="154" t="s">
        <v>7130</v>
      </c>
      <c r="K1323" s="154" t="s">
        <v>10066</v>
      </c>
      <c r="L1323" s="154" t="s">
        <v>6884</v>
      </c>
      <c r="M1323" s="154"/>
      <c r="N1323" s="154" t="s">
        <v>759</v>
      </c>
      <c r="O1323" s="247" t="s">
        <v>516</v>
      </c>
      <c r="P1323" s="247" t="s">
        <v>6776</v>
      </c>
      <c r="Q1323" s="154" t="str">
        <f t="shared" si="1"/>
        <v>#ERROR!</v>
      </c>
      <c r="R1323" s="154" t="s">
        <v>66</v>
      </c>
      <c r="S1323" s="154" t="s">
        <v>66</v>
      </c>
      <c r="T1323" s="154" t="s">
        <v>66</v>
      </c>
      <c r="U1323" s="154" t="s">
        <v>66</v>
      </c>
      <c r="V1323" s="154" t="s">
        <v>66</v>
      </c>
      <c r="W1323" s="154" t="s">
        <v>66</v>
      </c>
      <c r="X1323" s="154" t="s">
        <v>66</v>
      </c>
      <c r="Y1323" s="154" t="s">
        <v>66</v>
      </c>
      <c r="Z1323" s="154" t="s">
        <v>66</v>
      </c>
      <c r="AA1323" s="154"/>
      <c r="AB1323" s="242" t="str">
        <f t="shared" si="2"/>
        <v>#ERROR!</v>
      </c>
      <c r="AC1323" s="154" t="s">
        <v>391</v>
      </c>
      <c r="AD1323" s="242" t="b">
        <f t="shared" si="3"/>
        <v>0</v>
      </c>
      <c r="AE1323" s="154"/>
      <c r="AF1323" s="242" t="str">
        <f t="shared" si="4"/>
        <v>#ERROR!</v>
      </c>
      <c r="AG1323" s="154"/>
      <c r="AH1323" s="242" t="str">
        <f>IF(AG1323="","N/A",INDIRECT("MTR!"&amp;ADDRESS(MATCH(LEFT(AG1323,9),[1]MTR!C:C,0),COLUMN(J1323)),TRUE) &amp; "")</f>
        <v>#ERROR!</v>
      </c>
      <c r="AI1323" s="157" t="str">
        <f t="shared" si="5"/>
        <v>#ERROR!</v>
      </c>
    </row>
    <row r="1324" ht="12.75" customHeight="1">
      <c r="A1324" s="244" t="s">
        <v>5158</v>
      </c>
      <c r="B1324" s="244" t="s">
        <v>231</v>
      </c>
      <c r="C1324" s="244" t="s">
        <v>10118</v>
      </c>
      <c r="D1324" s="154" t="s">
        <v>1315</v>
      </c>
      <c r="E1324" s="154"/>
      <c r="F1324" s="154" t="str">
        <f t="array" ref="F1324">XLOOKUP(Cover!$D$12,$R$1:$Z$1,$R1324:$Z1324)</f>
        <v>Information</v>
      </c>
      <c r="G1324" s="154" t="s">
        <v>10119</v>
      </c>
      <c r="H1324" s="154" t="s">
        <v>8302</v>
      </c>
      <c r="I1324" s="154" t="s">
        <v>10113</v>
      </c>
      <c r="J1324" s="154" t="s">
        <v>7130</v>
      </c>
      <c r="K1324" s="154" t="s">
        <v>10066</v>
      </c>
      <c r="L1324" s="154" t="s">
        <v>6884</v>
      </c>
      <c r="M1324" s="154"/>
      <c r="N1324" s="154" t="s">
        <v>759</v>
      </c>
      <c r="O1324" s="247" t="s">
        <v>516</v>
      </c>
      <c r="P1324" s="247" t="s">
        <v>6776</v>
      </c>
      <c r="Q1324" s="154" t="str">
        <f t="shared" si="1"/>
        <v>#ERROR!</v>
      </c>
      <c r="R1324" s="154" t="s">
        <v>66</v>
      </c>
      <c r="S1324" s="154" t="s">
        <v>66</v>
      </c>
      <c r="T1324" s="154" t="s">
        <v>66</v>
      </c>
      <c r="U1324" s="154" t="s">
        <v>66</v>
      </c>
      <c r="V1324" s="154" t="s">
        <v>66</v>
      </c>
      <c r="W1324" s="154" t="s">
        <v>66</v>
      </c>
      <c r="X1324" s="154" t="s">
        <v>66</v>
      </c>
      <c r="Y1324" s="154" t="s">
        <v>66</v>
      </c>
      <c r="Z1324" s="154" t="s">
        <v>66</v>
      </c>
      <c r="AA1324" s="154"/>
      <c r="AB1324" s="242" t="str">
        <f t="shared" si="2"/>
        <v>#ERROR!</v>
      </c>
      <c r="AC1324" s="154" t="s">
        <v>391</v>
      </c>
      <c r="AD1324" s="242" t="b">
        <f t="shared" si="3"/>
        <v>0</v>
      </c>
      <c r="AE1324" s="154"/>
      <c r="AF1324" s="242" t="str">
        <f t="shared" si="4"/>
        <v>#ERROR!</v>
      </c>
      <c r="AG1324" s="154"/>
      <c r="AH1324" s="242" t="str">
        <f>IF(AG1324="","N/A",INDIRECT("MTR!"&amp;ADDRESS(MATCH(LEFT(AG1324,9),[1]MTR!C:C,0),COLUMN(J1324)),TRUE) &amp; "")</f>
        <v>#ERROR!</v>
      </c>
      <c r="AI1324" s="157" t="str">
        <f t="shared" si="5"/>
        <v>#ERROR!</v>
      </c>
    </row>
    <row r="1325" ht="12.75" customHeight="1">
      <c r="A1325" s="238" t="s">
        <v>5158</v>
      </c>
      <c r="B1325" s="238" t="s">
        <v>231</v>
      </c>
      <c r="C1325" s="238" t="s">
        <v>10120</v>
      </c>
      <c r="D1325" s="240"/>
      <c r="E1325" s="240" t="s">
        <v>92</v>
      </c>
      <c r="F1325" s="240" t="str">
        <f t="array" ref="F1325">XLOOKUP(Cover!$D$12,$R$1:$Z$1,$R1325:$Z1325)</f>
        <v>Heading</v>
      </c>
      <c r="G1325" s="239" t="s">
        <v>10121</v>
      </c>
      <c r="H1325" s="240"/>
      <c r="I1325" s="240"/>
      <c r="J1325" s="240"/>
      <c r="K1325" s="240"/>
      <c r="L1325" s="240"/>
      <c r="M1325" s="240"/>
      <c r="N1325" s="240" t="s">
        <v>759</v>
      </c>
      <c r="O1325" s="240"/>
      <c r="P1325" s="240"/>
      <c r="Q1325" s="240" t="str">
        <f t="shared" si="1"/>
        <v/>
      </c>
      <c r="R1325" s="240" t="s">
        <v>390</v>
      </c>
      <c r="S1325" s="240" t="s">
        <v>390</v>
      </c>
      <c r="T1325" s="240" t="s">
        <v>390</v>
      </c>
      <c r="U1325" s="240" t="s">
        <v>390</v>
      </c>
      <c r="V1325" s="240" t="s">
        <v>390</v>
      </c>
      <c r="W1325" s="240" t="s">
        <v>390</v>
      </c>
      <c r="X1325" s="240" t="s">
        <v>390</v>
      </c>
      <c r="Y1325" s="240" t="s">
        <v>390</v>
      </c>
      <c r="Z1325" s="240" t="s">
        <v>390</v>
      </c>
      <c r="AA1325" s="240"/>
      <c r="AB1325" s="242" t="str">
        <f t="shared" si="2"/>
        <v>#ERROR!</v>
      </c>
      <c r="AC1325" s="240" t="s">
        <v>391</v>
      </c>
      <c r="AD1325" s="242" t="b">
        <f t="shared" si="3"/>
        <v>0</v>
      </c>
      <c r="AE1325" s="240"/>
      <c r="AF1325" s="242" t="str">
        <f t="shared" si="4"/>
        <v>#ERROR!</v>
      </c>
      <c r="AG1325" s="240"/>
      <c r="AH1325" s="242" t="str">
        <f>IF(AG1325="","N/A",INDIRECT("MTR!"&amp;ADDRESS(MATCH(LEFT(AG1325,9),[1]MTR!C:C,0),COLUMN(J1325)),TRUE) &amp; "")</f>
        <v>#ERROR!</v>
      </c>
      <c r="AI1325" s="157" t="str">
        <f t="shared" si="5"/>
        <v/>
      </c>
    </row>
    <row r="1326" ht="12.75" customHeight="1">
      <c r="A1326" s="244" t="s">
        <v>5158</v>
      </c>
      <c r="B1326" s="244" t="s">
        <v>231</v>
      </c>
      <c r="C1326" s="244" t="s">
        <v>10122</v>
      </c>
      <c r="D1326" s="154" t="s">
        <v>781</v>
      </c>
      <c r="E1326" s="154"/>
      <c r="F1326" s="154" t="str">
        <f t="array" ref="F1326">XLOOKUP(Cover!$D$12,$R$1:$Z$1,$R1326:$Z1326)</f>
        <v>Mandatory</v>
      </c>
      <c r="G1326" s="154" t="s">
        <v>10123</v>
      </c>
      <c r="H1326" s="154" t="s">
        <v>6771</v>
      </c>
      <c r="I1326" s="154" t="s">
        <v>10124</v>
      </c>
      <c r="J1326" s="154" t="s">
        <v>5782</v>
      </c>
      <c r="K1326" s="154" t="s">
        <v>10125</v>
      </c>
      <c r="L1326" s="154" t="s">
        <v>6140</v>
      </c>
      <c r="M1326" s="154" t="s">
        <v>1018</v>
      </c>
      <c r="N1326" s="154" t="s">
        <v>759</v>
      </c>
      <c r="O1326" s="247" t="s">
        <v>445</v>
      </c>
      <c r="P1326" s="247" t="s">
        <v>6772</v>
      </c>
      <c r="Q1326" s="154" t="str">
        <f t="shared" si="1"/>
        <v>#ERROR!</v>
      </c>
      <c r="R1326" s="154" t="s">
        <v>66</v>
      </c>
      <c r="S1326" s="154" t="s">
        <v>66</v>
      </c>
      <c r="T1326" s="155" t="s">
        <v>64</v>
      </c>
      <c r="U1326" s="155" t="s">
        <v>64</v>
      </c>
      <c r="V1326" s="154" t="s">
        <v>60</v>
      </c>
      <c r="W1326" s="154" t="s">
        <v>60</v>
      </c>
      <c r="X1326" s="154" t="s">
        <v>66</v>
      </c>
      <c r="Y1326" s="155" t="s">
        <v>64</v>
      </c>
      <c r="Z1326" s="154" t="s">
        <v>60</v>
      </c>
      <c r="AA1326" s="154"/>
      <c r="AB1326" s="242" t="str">
        <f t="shared" si="2"/>
        <v>#ERROR!</v>
      </c>
      <c r="AC1326" s="154" t="s">
        <v>391</v>
      </c>
      <c r="AD1326" s="242" t="b">
        <f t="shared" si="3"/>
        <v>0</v>
      </c>
      <c r="AE1326" s="154"/>
      <c r="AF1326" s="242" t="str">
        <f t="shared" si="4"/>
        <v>#ERROR!</v>
      </c>
      <c r="AG1326" s="154"/>
      <c r="AH1326" s="242" t="str">
        <f>IF(AG1326="","N/A",INDIRECT("MTR!"&amp;ADDRESS(MATCH(LEFT(AG1326,9),[1]MTR!C:C,0),COLUMN(J1326)),TRUE) &amp; "")</f>
        <v>#ERROR!</v>
      </c>
      <c r="AI1326" s="157" t="str">
        <f t="shared" si="5"/>
        <v>#ERROR!</v>
      </c>
    </row>
    <row r="1327" ht="12.75" customHeight="1">
      <c r="A1327" s="244" t="s">
        <v>5158</v>
      </c>
      <c r="B1327" s="244" t="s">
        <v>231</v>
      </c>
      <c r="C1327" s="244" t="s">
        <v>10126</v>
      </c>
      <c r="D1327" s="154" t="s">
        <v>781</v>
      </c>
      <c r="E1327" s="154"/>
      <c r="F1327" s="154" t="str">
        <f t="array" ref="F1327">XLOOKUP(Cover!$D$12,$R$1:$Z$1,$R1327:$Z1327)</f>
        <v>Mandatory</v>
      </c>
      <c r="G1327" s="154" t="s">
        <v>10127</v>
      </c>
      <c r="H1327" s="154" t="s">
        <v>1489</v>
      </c>
      <c r="I1327" s="154" t="s">
        <v>10124</v>
      </c>
      <c r="J1327" s="154" t="s">
        <v>5782</v>
      </c>
      <c r="K1327" s="154" t="s">
        <v>10125</v>
      </c>
      <c r="L1327" s="154" t="s">
        <v>6140</v>
      </c>
      <c r="M1327" s="154" t="s">
        <v>1018</v>
      </c>
      <c r="N1327" s="154" t="s">
        <v>759</v>
      </c>
      <c r="O1327" s="247" t="s">
        <v>445</v>
      </c>
      <c r="P1327" s="247" t="s">
        <v>6772</v>
      </c>
      <c r="Q1327" s="154" t="str">
        <f t="shared" si="1"/>
        <v>#ERROR!</v>
      </c>
      <c r="R1327" s="154" t="s">
        <v>66</v>
      </c>
      <c r="S1327" s="154" t="s">
        <v>66</v>
      </c>
      <c r="T1327" s="155" t="s">
        <v>64</v>
      </c>
      <c r="U1327" s="155" t="s">
        <v>64</v>
      </c>
      <c r="V1327" s="154" t="s">
        <v>60</v>
      </c>
      <c r="W1327" s="154" t="s">
        <v>60</v>
      </c>
      <c r="X1327" s="154" t="s">
        <v>66</v>
      </c>
      <c r="Y1327" s="155" t="s">
        <v>64</v>
      </c>
      <c r="Z1327" s="154" t="s">
        <v>60</v>
      </c>
      <c r="AA1327" s="154"/>
      <c r="AB1327" s="242" t="str">
        <f t="shared" si="2"/>
        <v>#ERROR!</v>
      </c>
      <c r="AC1327" s="154" t="s">
        <v>391</v>
      </c>
      <c r="AD1327" s="242" t="b">
        <f t="shared" si="3"/>
        <v>0</v>
      </c>
      <c r="AE1327" s="154"/>
      <c r="AF1327" s="242" t="str">
        <f t="shared" si="4"/>
        <v>#ERROR!</v>
      </c>
      <c r="AG1327" s="154"/>
      <c r="AH1327" s="242" t="str">
        <f>IF(AG1327="","N/A",INDIRECT("MTR!"&amp;ADDRESS(MATCH(LEFT(AG1327,9),[1]MTR!C:C,0),COLUMN(J1327)),TRUE) &amp; "")</f>
        <v>#ERROR!</v>
      </c>
      <c r="AI1327" s="157" t="str">
        <f t="shared" si="5"/>
        <v>#ERROR!</v>
      </c>
    </row>
    <row r="1328" ht="12.75" customHeight="1">
      <c r="A1328" s="244" t="s">
        <v>5158</v>
      </c>
      <c r="B1328" s="244" t="s">
        <v>231</v>
      </c>
      <c r="C1328" s="244" t="s">
        <v>10128</v>
      </c>
      <c r="D1328" s="154" t="s">
        <v>503</v>
      </c>
      <c r="E1328" s="154"/>
      <c r="F1328" s="154" t="str">
        <f t="array" ref="F1328">XLOOKUP(Cover!$D$12,$R$1:$Z$1,$R1328:$Z1328)</f>
        <v>Recommended</v>
      </c>
      <c r="G1328" s="154" t="s">
        <v>10129</v>
      </c>
      <c r="H1328" s="154" t="s">
        <v>6775</v>
      </c>
      <c r="I1328" s="154" t="s">
        <v>10130</v>
      </c>
      <c r="J1328" s="154" t="s">
        <v>5830</v>
      </c>
      <c r="K1328" s="154" t="s">
        <v>10125</v>
      </c>
      <c r="L1328" s="154" t="s">
        <v>7431</v>
      </c>
      <c r="M1328" s="154"/>
      <c r="N1328" s="154" t="s">
        <v>759</v>
      </c>
      <c r="O1328" s="247" t="s">
        <v>516</v>
      </c>
      <c r="P1328" s="247" t="s">
        <v>6776</v>
      </c>
      <c r="Q1328" s="154" t="str">
        <f t="shared" si="1"/>
        <v>#ERROR!</v>
      </c>
      <c r="R1328" s="154" t="s">
        <v>66</v>
      </c>
      <c r="S1328" s="154" t="s">
        <v>66</v>
      </c>
      <c r="T1328" s="154" t="s">
        <v>64</v>
      </c>
      <c r="U1328" s="154" t="s">
        <v>64</v>
      </c>
      <c r="V1328" s="154" t="s">
        <v>64</v>
      </c>
      <c r="W1328" s="154" t="s">
        <v>64</v>
      </c>
      <c r="X1328" s="154" t="s">
        <v>66</v>
      </c>
      <c r="Y1328" s="154" t="s">
        <v>64</v>
      </c>
      <c r="Z1328" s="154" t="s">
        <v>64</v>
      </c>
      <c r="AA1328" s="154"/>
      <c r="AB1328" s="242" t="str">
        <f t="shared" si="2"/>
        <v>#ERROR!</v>
      </c>
      <c r="AC1328" s="154" t="s">
        <v>391</v>
      </c>
      <c r="AD1328" s="242" t="b">
        <f t="shared" si="3"/>
        <v>0</v>
      </c>
      <c r="AE1328" s="154"/>
      <c r="AF1328" s="242" t="str">
        <f t="shared" si="4"/>
        <v>#ERROR!</v>
      </c>
      <c r="AG1328" s="154"/>
      <c r="AH1328" s="242" t="str">
        <f>IF(AG1328="","N/A",INDIRECT("MTR!"&amp;ADDRESS(MATCH(LEFT(AG1328,9),[1]MTR!C:C,0),COLUMN(J1328)),TRUE) &amp; "")</f>
        <v>#ERROR!</v>
      </c>
      <c r="AI1328" s="157" t="str">
        <f t="shared" si="5"/>
        <v>#ERROR!</v>
      </c>
    </row>
    <row r="1329" ht="12.75" customHeight="1">
      <c r="A1329" s="244" t="s">
        <v>5158</v>
      </c>
      <c r="B1329" s="244" t="s">
        <v>231</v>
      </c>
      <c r="C1329" s="244" t="s">
        <v>10131</v>
      </c>
      <c r="D1329" s="154" t="s">
        <v>503</v>
      </c>
      <c r="E1329" s="154"/>
      <c r="F1329" s="154" t="str">
        <f t="array" ref="F1329">XLOOKUP(Cover!$D$12,$R$1:$Z$1,$R1329:$Z1329)</f>
        <v>Recommended</v>
      </c>
      <c r="G1329" s="154" t="s">
        <v>10132</v>
      </c>
      <c r="H1329" s="154" t="s">
        <v>8513</v>
      </c>
      <c r="I1329" s="154" t="s">
        <v>10130</v>
      </c>
      <c r="J1329" s="154" t="s">
        <v>5830</v>
      </c>
      <c r="K1329" s="154" t="s">
        <v>10125</v>
      </c>
      <c r="L1329" s="154" t="s">
        <v>7431</v>
      </c>
      <c r="M1329" s="154"/>
      <c r="N1329" s="154" t="s">
        <v>759</v>
      </c>
      <c r="O1329" s="247" t="s">
        <v>506</v>
      </c>
      <c r="P1329" s="247" t="s">
        <v>6722</v>
      </c>
      <c r="Q1329" s="154" t="str">
        <f t="shared" si="1"/>
        <v>#ERROR!</v>
      </c>
      <c r="R1329" s="154" t="s">
        <v>66</v>
      </c>
      <c r="S1329" s="154" t="s">
        <v>66</v>
      </c>
      <c r="T1329" s="154" t="s">
        <v>64</v>
      </c>
      <c r="U1329" s="154" t="s">
        <v>64</v>
      </c>
      <c r="V1329" s="154" t="s">
        <v>64</v>
      </c>
      <c r="W1329" s="154" t="s">
        <v>64</v>
      </c>
      <c r="X1329" s="154" t="s">
        <v>66</v>
      </c>
      <c r="Y1329" s="154" t="s">
        <v>64</v>
      </c>
      <c r="Z1329" s="154" t="s">
        <v>64</v>
      </c>
      <c r="AA1329" s="154"/>
      <c r="AB1329" s="242" t="str">
        <f t="shared" si="2"/>
        <v>#ERROR!</v>
      </c>
      <c r="AC1329" s="154" t="s">
        <v>391</v>
      </c>
      <c r="AD1329" s="242" t="b">
        <f t="shared" si="3"/>
        <v>0</v>
      </c>
      <c r="AE1329" s="154"/>
      <c r="AF1329" s="242" t="str">
        <f t="shared" si="4"/>
        <v>#ERROR!</v>
      </c>
      <c r="AG1329" s="154"/>
      <c r="AH1329" s="242" t="str">
        <f>IF(AG1329="","N/A",INDIRECT("MTR!"&amp;ADDRESS(MATCH(LEFT(AG1329,9),[1]MTR!C:C,0),COLUMN(J1329)),TRUE) &amp; "")</f>
        <v>#ERROR!</v>
      </c>
      <c r="AI1329" s="157" t="str">
        <f t="shared" si="5"/>
        <v>#ERROR!</v>
      </c>
    </row>
    <row r="1330" ht="12.75" customHeight="1">
      <c r="A1330" s="244" t="s">
        <v>5158</v>
      </c>
      <c r="B1330" s="244" t="s">
        <v>231</v>
      </c>
      <c r="C1330" s="244" t="s">
        <v>10133</v>
      </c>
      <c r="D1330" s="154" t="s">
        <v>1773</v>
      </c>
      <c r="E1330" s="154"/>
      <c r="F1330" s="154" t="str">
        <f t="array" ref="F1330">XLOOKUP(Cover!$D$12,$R$1:$Z$1,$R1330:$Z1330)</f>
        <v>Recommended</v>
      </c>
      <c r="G1330" s="154" t="s">
        <v>10134</v>
      </c>
      <c r="H1330" s="154" t="s">
        <v>6779</v>
      </c>
      <c r="I1330" s="154" t="s">
        <v>10135</v>
      </c>
      <c r="J1330" s="154" t="s">
        <v>5888</v>
      </c>
      <c r="K1330" s="154" t="s">
        <v>10125</v>
      </c>
      <c r="L1330" s="154" t="s">
        <v>6126</v>
      </c>
      <c r="M1330" s="154"/>
      <c r="N1330" s="154" t="s">
        <v>759</v>
      </c>
      <c r="O1330" s="247" t="s">
        <v>516</v>
      </c>
      <c r="P1330" s="247" t="s">
        <v>6776</v>
      </c>
      <c r="Q1330" s="154" t="str">
        <f t="shared" si="1"/>
        <v>#ERROR!</v>
      </c>
      <c r="R1330" s="154" t="s">
        <v>66</v>
      </c>
      <c r="S1330" s="154" t="s">
        <v>66</v>
      </c>
      <c r="T1330" s="154" t="s">
        <v>64</v>
      </c>
      <c r="U1330" s="154" t="s">
        <v>64</v>
      </c>
      <c r="V1330" s="154" t="s">
        <v>64</v>
      </c>
      <c r="W1330" s="154" t="s">
        <v>64</v>
      </c>
      <c r="X1330" s="154" t="s">
        <v>66</v>
      </c>
      <c r="Y1330" s="154" t="s">
        <v>64</v>
      </c>
      <c r="Z1330" s="154" t="s">
        <v>64</v>
      </c>
      <c r="AA1330" s="154"/>
      <c r="AB1330" s="242" t="str">
        <f t="shared" si="2"/>
        <v>#ERROR!</v>
      </c>
      <c r="AC1330" s="154" t="s">
        <v>391</v>
      </c>
      <c r="AD1330" s="242" t="b">
        <f t="shared" si="3"/>
        <v>0</v>
      </c>
      <c r="AE1330" s="154"/>
      <c r="AF1330" s="242" t="str">
        <f t="shared" si="4"/>
        <v>#ERROR!</v>
      </c>
      <c r="AG1330" s="154"/>
      <c r="AH1330" s="242" t="str">
        <f>IF(AG1330="","N/A",INDIRECT("MTR!"&amp;ADDRESS(MATCH(LEFT(AG1330,9),[1]MTR!C:C,0),COLUMN(J1330)),TRUE) &amp; "")</f>
        <v>#ERROR!</v>
      </c>
      <c r="AI1330" s="157" t="str">
        <f t="shared" si="5"/>
        <v>#ERROR!</v>
      </c>
    </row>
    <row r="1331" ht="12.75" customHeight="1">
      <c r="A1331" s="244" t="s">
        <v>5158</v>
      </c>
      <c r="B1331" s="244" t="s">
        <v>231</v>
      </c>
      <c r="C1331" s="244" t="s">
        <v>10136</v>
      </c>
      <c r="D1331" s="154" t="s">
        <v>1773</v>
      </c>
      <c r="E1331" s="154"/>
      <c r="F1331" s="154" t="str">
        <f t="array" ref="F1331">XLOOKUP(Cover!$D$12,$R$1:$Z$1,$R1331:$Z1331)</f>
        <v>Recommended</v>
      </c>
      <c r="G1331" s="154" t="s">
        <v>10137</v>
      </c>
      <c r="H1331" s="154" t="s">
        <v>8516</v>
      </c>
      <c r="I1331" s="154" t="s">
        <v>10135</v>
      </c>
      <c r="J1331" s="154" t="s">
        <v>5888</v>
      </c>
      <c r="K1331" s="154" t="s">
        <v>10125</v>
      </c>
      <c r="L1331" s="154" t="s">
        <v>6126</v>
      </c>
      <c r="M1331" s="154"/>
      <c r="N1331" s="154" t="s">
        <v>759</v>
      </c>
      <c r="O1331" s="247" t="s">
        <v>516</v>
      </c>
      <c r="P1331" s="247" t="s">
        <v>6776</v>
      </c>
      <c r="Q1331" s="154" t="str">
        <f t="shared" si="1"/>
        <v>#ERROR!</v>
      </c>
      <c r="R1331" s="154" t="s">
        <v>66</v>
      </c>
      <c r="S1331" s="154" t="s">
        <v>66</v>
      </c>
      <c r="T1331" s="154" t="s">
        <v>64</v>
      </c>
      <c r="U1331" s="154" t="s">
        <v>64</v>
      </c>
      <c r="V1331" s="154" t="s">
        <v>64</v>
      </c>
      <c r="W1331" s="154" t="s">
        <v>64</v>
      </c>
      <c r="X1331" s="154" t="s">
        <v>66</v>
      </c>
      <c r="Y1331" s="154" t="s">
        <v>64</v>
      </c>
      <c r="Z1331" s="154" t="s">
        <v>64</v>
      </c>
      <c r="AA1331" s="154"/>
      <c r="AB1331" s="242" t="str">
        <f t="shared" si="2"/>
        <v>#ERROR!</v>
      </c>
      <c r="AC1331" s="154" t="s">
        <v>391</v>
      </c>
      <c r="AD1331" s="242" t="b">
        <f t="shared" si="3"/>
        <v>0</v>
      </c>
      <c r="AE1331" s="154"/>
      <c r="AF1331" s="242" t="str">
        <f t="shared" si="4"/>
        <v>#ERROR!</v>
      </c>
      <c r="AG1331" s="154"/>
      <c r="AH1331" s="242" t="str">
        <f>IF(AG1331="","N/A",INDIRECT("MTR!"&amp;ADDRESS(MATCH(LEFT(AG1331,9),[1]MTR!C:C,0),COLUMN(J1331)),TRUE) &amp; "")</f>
        <v>#ERROR!</v>
      </c>
      <c r="AI1331" s="157" t="str">
        <f t="shared" si="5"/>
        <v>#ERROR!</v>
      </c>
    </row>
    <row r="1332" ht="12.75" customHeight="1">
      <c r="A1332" s="244" t="s">
        <v>5158</v>
      </c>
      <c r="B1332" s="244" t="s">
        <v>231</v>
      </c>
      <c r="C1332" s="244" t="s">
        <v>10138</v>
      </c>
      <c r="D1332" s="154" t="s">
        <v>781</v>
      </c>
      <c r="E1332" s="154"/>
      <c r="F1332" s="154" t="str">
        <f t="array" ref="F1332">XLOOKUP(Cover!$D$12,$R$1:$Z$1,$R1332:$Z1332)</f>
        <v>Mandatory</v>
      </c>
      <c r="G1332" s="154" t="s">
        <v>10139</v>
      </c>
      <c r="H1332" s="154" t="s">
        <v>6782</v>
      </c>
      <c r="I1332" s="154" t="s">
        <v>10140</v>
      </c>
      <c r="J1332" s="154" t="s">
        <v>5897</v>
      </c>
      <c r="K1332" s="154" t="s">
        <v>10125</v>
      </c>
      <c r="L1332" s="154" t="s">
        <v>6140</v>
      </c>
      <c r="M1332" s="154" t="s">
        <v>1018</v>
      </c>
      <c r="N1332" s="154" t="s">
        <v>759</v>
      </c>
      <c r="O1332" s="247" t="s">
        <v>445</v>
      </c>
      <c r="P1332" s="247" t="s">
        <v>6772</v>
      </c>
      <c r="Q1332" s="154" t="str">
        <f t="shared" si="1"/>
        <v>#ERROR!</v>
      </c>
      <c r="R1332" s="154" t="s">
        <v>66</v>
      </c>
      <c r="S1332" s="154" t="s">
        <v>66</v>
      </c>
      <c r="T1332" s="155" t="s">
        <v>64</v>
      </c>
      <c r="U1332" s="155" t="s">
        <v>64</v>
      </c>
      <c r="V1332" s="154" t="s">
        <v>60</v>
      </c>
      <c r="W1332" s="154" t="s">
        <v>60</v>
      </c>
      <c r="X1332" s="154" t="s">
        <v>66</v>
      </c>
      <c r="Y1332" s="155" t="s">
        <v>64</v>
      </c>
      <c r="Z1332" s="154" t="s">
        <v>60</v>
      </c>
      <c r="AA1332" s="154"/>
      <c r="AB1332" s="242" t="str">
        <f t="shared" si="2"/>
        <v>#ERROR!</v>
      </c>
      <c r="AC1332" s="154" t="s">
        <v>391</v>
      </c>
      <c r="AD1332" s="242" t="b">
        <f t="shared" si="3"/>
        <v>0</v>
      </c>
      <c r="AE1332" s="154"/>
      <c r="AF1332" s="242" t="str">
        <f t="shared" si="4"/>
        <v>#ERROR!</v>
      </c>
      <c r="AG1332" s="154"/>
      <c r="AH1332" s="242" t="str">
        <f>IF(AG1332="","N/A",INDIRECT("MTR!"&amp;ADDRESS(MATCH(LEFT(AG1332,9),[1]MTR!C:C,0),COLUMN(J1332)),TRUE) &amp; "")</f>
        <v>#ERROR!</v>
      </c>
      <c r="AI1332" s="157" t="str">
        <f t="shared" si="5"/>
        <v>#ERROR!</v>
      </c>
    </row>
    <row r="1333" ht="12.75" customHeight="1">
      <c r="A1333" s="244" t="s">
        <v>5158</v>
      </c>
      <c r="B1333" s="244" t="s">
        <v>231</v>
      </c>
      <c r="C1333" s="244" t="s">
        <v>10141</v>
      </c>
      <c r="D1333" s="154" t="s">
        <v>781</v>
      </c>
      <c r="E1333" s="154"/>
      <c r="F1333" s="154" t="str">
        <f t="array" ref="F1333">XLOOKUP(Cover!$D$12,$R$1:$Z$1,$R1333:$Z1333)</f>
        <v>Mandatory</v>
      </c>
      <c r="G1333" s="154" t="s">
        <v>10142</v>
      </c>
      <c r="H1333" s="154" t="s">
        <v>8519</v>
      </c>
      <c r="I1333" s="154" t="s">
        <v>10140</v>
      </c>
      <c r="J1333" s="154" t="s">
        <v>5897</v>
      </c>
      <c r="K1333" s="154" t="s">
        <v>10125</v>
      </c>
      <c r="L1333" s="154" t="s">
        <v>6140</v>
      </c>
      <c r="M1333" s="154" t="s">
        <v>1018</v>
      </c>
      <c r="N1333" s="154" t="s">
        <v>759</v>
      </c>
      <c r="O1333" s="247" t="s">
        <v>445</v>
      </c>
      <c r="P1333" s="247" t="s">
        <v>6772</v>
      </c>
      <c r="Q1333" s="154" t="str">
        <f t="shared" si="1"/>
        <v>#ERROR!</v>
      </c>
      <c r="R1333" s="154" t="s">
        <v>66</v>
      </c>
      <c r="S1333" s="154" t="s">
        <v>66</v>
      </c>
      <c r="T1333" s="155" t="s">
        <v>64</v>
      </c>
      <c r="U1333" s="155" t="s">
        <v>64</v>
      </c>
      <c r="V1333" s="154" t="s">
        <v>60</v>
      </c>
      <c r="W1333" s="154" t="s">
        <v>60</v>
      </c>
      <c r="X1333" s="154" t="s">
        <v>66</v>
      </c>
      <c r="Y1333" s="155" t="s">
        <v>64</v>
      </c>
      <c r="Z1333" s="154" t="s">
        <v>60</v>
      </c>
      <c r="AA1333" s="154"/>
      <c r="AB1333" s="242" t="str">
        <f t="shared" si="2"/>
        <v>#ERROR!</v>
      </c>
      <c r="AC1333" s="154" t="s">
        <v>391</v>
      </c>
      <c r="AD1333" s="242" t="b">
        <f t="shared" si="3"/>
        <v>0</v>
      </c>
      <c r="AE1333" s="154"/>
      <c r="AF1333" s="242" t="str">
        <f t="shared" si="4"/>
        <v>#ERROR!</v>
      </c>
      <c r="AG1333" s="154"/>
      <c r="AH1333" s="242" t="str">
        <f>IF(AG1333="","N/A",INDIRECT("MTR!"&amp;ADDRESS(MATCH(LEFT(AG1333,9),[1]MTR!C:C,0),COLUMN(J1333)),TRUE) &amp; "")</f>
        <v>#ERROR!</v>
      </c>
      <c r="AI1333" s="157" t="str">
        <f t="shared" si="5"/>
        <v>#ERROR!</v>
      </c>
    </row>
    <row r="1334" ht="12.75" customHeight="1">
      <c r="A1334" s="244" t="s">
        <v>5158</v>
      </c>
      <c r="B1334" s="244" t="s">
        <v>231</v>
      </c>
      <c r="C1334" s="244" t="s">
        <v>10143</v>
      </c>
      <c r="D1334" s="154" t="s">
        <v>781</v>
      </c>
      <c r="E1334" s="154"/>
      <c r="F1334" s="154" t="str">
        <f t="array" ref="F1334">XLOOKUP(Cover!$D$12,$R$1:$Z$1,$R1334:$Z1334)</f>
        <v>Mandatory</v>
      </c>
      <c r="G1334" s="154" t="s">
        <v>10144</v>
      </c>
      <c r="H1334" s="154" t="s">
        <v>6771</v>
      </c>
      <c r="I1334" s="154" t="s">
        <v>10145</v>
      </c>
      <c r="J1334" s="154" t="s">
        <v>6809</v>
      </c>
      <c r="K1334" s="154" t="s">
        <v>10125</v>
      </c>
      <c r="L1334" s="154" t="s">
        <v>6140</v>
      </c>
      <c r="M1334" s="154" t="s">
        <v>1018</v>
      </c>
      <c r="N1334" s="154" t="s">
        <v>759</v>
      </c>
      <c r="O1334" s="247" t="s">
        <v>445</v>
      </c>
      <c r="P1334" s="247" t="s">
        <v>6772</v>
      </c>
      <c r="Q1334" s="154" t="str">
        <f t="shared" si="1"/>
        <v>#ERROR!</v>
      </c>
      <c r="R1334" s="154" t="s">
        <v>66</v>
      </c>
      <c r="S1334" s="154" t="s">
        <v>66</v>
      </c>
      <c r="T1334" s="155" t="s">
        <v>64</v>
      </c>
      <c r="U1334" s="155" t="s">
        <v>64</v>
      </c>
      <c r="V1334" s="154" t="s">
        <v>60</v>
      </c>
      <c r="W1334" s="154" t="s">
        <v>60</v>
      </c>
      <c r="X1334" s="154" t="s">
        <v>66</v>
      </c>
      <c r="Y1334" s="155" t="s">
        <v>64</v>
      </c>
      <c r="Z1334" s="154" t="s">
        <v>60</v>
      </c>
      <c r="AA1334" s="154"/>
      <c r="AB1334" s="242" t="str">
        <f t="shared" si="2"/>
        <v>#ERROR!</v>
      </c>
      <c r="AC1334" s="154" t="s">
        <v>391</v>
      </c>
      <c r="AD1334" s="242" t="b">
        <f t="shared" si="3"/>
        <v>0</v>
      </c>
      <c r="AE1334" s="154"/>
      <c r="AF1334" s="242" t="str">
        <f t="shared" si="4"/>
        <v>#ERROR!</v>
      </c>
      <c r="AG1334" s="154"/>
      <c r="AH1334" s="242" t="str">
        <f>IF(AG1334="","N/A",INDIRECT("MTR!"&amp;ADDRESS(MATCH(LEFT(AG1334,9),[1]MTR!C:C,0),COLUMN(J1334)),TRUE) &amp; "")</f>
        <v>#ERROR!</v>
      </c>
      <c r="AI1334" s="157" t="str">
        <f t="shared" si="5"/>
        <v>#ERROR!</v>
      </c>
    </row>
    <row r="1335" ht="12.75" customHeight="1">
      <c r="A1335" s="244" t="s">
        <v>5158</v>
      </c>
      <c r="B1335" s="244" t="s">
        <v>231</v>
      </c>
      <c r="C1335" s="244" t="s">
        <v>10146</v>
      </c>
      <c r="D1335" s="154" t="s">
        <v>781</v>
      </c>
      <c r="E1335" s="154"/>
      <c r="F1335" s="154" t="str">
        <f t="array" ref="F1335">XLOOKUP(Cover!$D$12,$R$1:$Z$1,$R1335:$Z1335)</f>
        <v>Mandatory</v>
      </c>
      <c r="G1335" s="154" t="s">
        <v>10147</v>
      </c>
      <c r="H1335" s="154" t="s">
        <v>1489</v>
      </c>
      <c r="I1335" s="154" t="s">
        <v>10145</v>
      </c>
      <c r="J1335" s="154" t="s">
        <v>6809</v>
      </c>
      <c r="K1335" s="154" t="s">
        <v>10125</v>
      </c>
      <c r="L1335" s="154" t="s">
        <v>6140</v>
      </c>
      <c r="M1335" s="154" t="s">
        <v>1018</v>
      </c>
      <c r="N1335" s="154" t="s">
        <v>759</v>
      </c>
      <c r="O1335" s="247" t="s">
        <v>445</v>
      </c>
      <c r="P1335" s="247" t="s">
        <v>6772</v>
      </c>
      <c r="Q1335" s="154" t="str">
        <f t="shared" si="1"/>
        <v>#ERROR!</v>
      </c>
      <c r="R1335" s="154" t="s">
        <v>66</v>
      </c>
      <c r="S1335" s="154" t="s">
        <v>66</v>
      </c>
      <c r="T1335" s="155" t="s">
        <v>64</v>
      </c>
      <c r="U1335" s="155" t="s">
        <v>64</v>
      </c>
      <c r="V1335" s="154" t="s">
        <v>60</v>
      </c>
      <c r="W1335" s="154" t="s">
        <v>60</v>
      </c>
      <c r="X1335" s="154" t="s">
        <v>66</v>
      </c>
      <c r="Y1335" s="155" t="s">
        <v>64</v>
      </c>
      <c r="Z1335" s="154" t="s">
        <v>60</v>
      </c>
      <c r="AA1335" s="154"/>
      <c r="AB1335" s="242" t="str">
        <f t="shared" si="2"/>
        <v>#ERROR!</v>
      </c>
      <c r="AC1335" s="154" t="s">
        <v>391</v>
      </c>
      <c r="AD1335" s="242" t="b">
        <f t="shared" si="3"/>
        <v>0</v>
      </c>
      <c r="AE1335" s="154"/>
      <c r="AF1335" s="242" t="str">
        <f t="shared" si="4"/>
        <v>#ERROR!</v>
      </c>
      <c r="AG1335" s="154"/>
      <c r="AH1335" s="242" t="str">
        <f>IF(AG1335="","N/A",INDIRECT("MTR!"&amp;ADDRESS(MATCH(LEFT(AG1335,9),[1]MTR!C:C,0),COLUMN(J1335)),TRUE) &amp; "")</f>
        <v>#ERROR!</v>
      </c>
      <c r="AI1335" s="157" t="str">
        <f t="shared" si="5"/>
        <v>#ERROR!</v>
      </c>
    </row>
    <row r="1336" ht="12.75" customHeight="1">
      <c r="A1336" s="244" t="s">
        <v>5158</v>
      </c>
      <c r="B1336" s="244" t="s">
        <v>231</v>
      </c>
      <c r="C1336" s="244" t="s">
        <v>10148</v>
      </c>
      <c r="D1336" s="154" t="s">
        <v>781</v>
      </c>
      <c r="E1336" s="154"/>
      <c r="F1336" s="154" t="str">
        <f t="array" ref="F1336">XLOOKUP(Cover!$D$12,$R$1:$Z$1,$R1336:$Z1336)</f>
        <v>Mandatory</v>
      </c>
      <c r="G1336" s="154" t="s">
        <v>10149</v>
      </c>
      <c r="H1336" s="154" t="s">
        <v>6808</v>
      </c>
      <c r="I1336" s="154" t="s">
        <v>10145</v>
      </c>
      <c r="J1336" s="154" t="s">
        <v>6809</v>
      </c>
      <c r="K1336" s="154" t="s">
        <v>10125</v>
      </c>
      <c r="L1336" s="154" t="s">
        <v>6140</v>
      </c>
      <c r="M1336" s="154" t="s">
        <v>1018</v>
      </c>
      <c r="N1336" s="154" t="s">
        <v>759</v>
      </c>
      <c r="O1336" s="247" t="s">
        <v>516</v>
      </c>
      <c r="P1336" s="247" t="s">
        <v>1575</v>
      </c>
      <c r="Q1336" s="154" t="str">
        <f t="shared" si="1"/>
        <v>#ERROR!</v>
      </c>
      <c r="R1336" s="154" t="s">
        <v>66</v>
      </c>
      <c r="S1336" s="154" t="s">
        <v>66</v>
      </c>
      <c r="T1336" s="155" t="s">
        <v>64</v>
      </c>
      <c r="U1336" s="155" t="s">
        <v>64</v>
      </c>
      <c r="V1336" s="154" t="s">
        <v>60</v>
      </c>
      <c r="W1336" s="154" t="s">
        <v>60</v>
      </c>
      <c r="X1336" s="154" t="s">
        <v>66</v>
      </c>
      <c r="Y1336" s="155" t="s">
        <v>64</v>
      </c>
      <c r="Z1336" s="154" t="s">
        <v>60</v>
      </c>
      <c r="AA1336" s="154"/>
      <c r="AB1336" s="242" t="str">
        <f t="shared" si="2"/>
        <v>#ERROR!</v>
      </c>
      <c r="AC1336" s="154" t="s">
        <v>391</v>
      </c>
      <c r="AD1336" s="242" t="b">
        <f t="shared" si="3"/>
        <v>0</v>
      </c>
      <c r="AE1336" s="154"/>
      <c r="AF1336" s="242" t="str">
        <f t="shared" si="4"/>
        <v>#ERROR!</v>
      </c>
      <c r="AG1336" s="154"/>
      <c r="AH1336" s="242" t="str">
        <f>IF(AG1336="","N/A",INDIRECT("MTR!"&amp;ADDRESS(MATCH(LEFT(AG1336,9),[1]MTR!C:C,0),COLUMN(J1336)),TRUE) &amp; "")</f>
        <v>#ERROR!</v>
      </c>
      <c r="AI1336" s="157" t="str">
        <f t="shared" si="5"/>
        <v>#ERROR!</v>
      </c>
    </row>
    <row r="1337" ht="12.75" customHeight="1">
      <c r="A1337" s="244" t="s">
        <v>5158</v>
      </c>
      <c r="B1337" s="244" t="s">
        <v>231</v>
      </c>
      <c r="C1337" s="244" t="s">
        <v>10150</v>
      </c>
      <c r="D1337" s="154" t="s">
        <v>781</v>
      </c>
      <c r="E1337" s="154"/>
      <c r="F1337" s="154" t="str">
        <f t="array" ref="F1337">XLOOKUP(Cover!$D$12,$R$1:$Z$1,$R1337:$Z1337)</f>
        <v>Mandatory</v>
      </c>
      <c r="G1337" s="154" t="s">
        <v>10151</v>
      </c>
      <c r="H1337" s="154" t="s">
        <v>8550</v>
      </c>
      <c r="I1337" s="154" t="s">
        <v>10145</v>
      </c>
      <c r="J1337" s="154" t="s">
        <v>6809</v>
      </c>
      <c r="K1337" s="154" t="s">
        <v>10125</v>
      </c>
      <c r="L1337" s="154" t="s">
        <v>6140</v>
      </c>
      <c r="M1337" s="154" t="s">
        <v>1018</v>
      </c>
      <c r="N1337" s="154" t="s">
        <v>759</v>
      </c>
      <c r="O1337" s="247" t="s">
        <v>516</v>
      </c>
      <c r="P1337" s="247" t="s">
        <v>1575</v>
      </c>
      <c r="Q1337" s="154" t="str">
        <f t="shared" si="1"/>
        <v>#ERROR!</v>
      </c>
      <c r="R1337" s="154" t="s">
        <v>66</v>
      </c>
      <c r="S1337" s="154" t="s">
        <v>66</v>
      </c>
      <c r="T1337" s="155" t="s">
        <v>64</v>
      </c>
      <c r="U1337" s="155" t="s">
        <v>64</v>
      </c>
      <c r="V1337" s="154" t="s">
        <v>60</v>
      </c>
      <c r="W1337" s="154" t="s">
        <v>60</v>
      </c>
      <c r="X1337" s="154" t="s">
        <v>66</v>
      </c>
      <c r="Y1337" s="155" t="s">
        <v>64</v>
      </c>
      <c r="Z1337" s="154" t="s">
        <v>60</v>
      </c>
      <c r="AA1337" s="154"/>
      <c r="AB1337" s="242" t="str">
        <f t="shared" si="2"/>
        <v>#ERROR!</v>
      </c>
      <c r="AC1337" s="154" t="s">
        <v>391</v>
      </c>
      <c r="AD1337" s="242" t="b">
        <f t="shared" si="3"/>
        <v>0</v>
      </c>
      <c r="AE1337" s="154"/>
      <c r="AF1337" s="242" t="str">
        <f t="shared" si="4"/>
        <v>#ERROR!</v>
      </c>
      <c r="AG1337" s="154"/>
      <c r="AH1337" s="242" t="str">
        <f>IF(AG1337="","N/A",INDIRECT("MTR!"&amp;ADDRESS(MATCH(LEFT(AG1337,9),[1]MTR!C:C,0),COLUMN(J1337)),TRUE) &amp; "")</f>
        <v>#ERROR!</v>
      </c>
      <c r="AI1337" s="157" t="str">
        <f t="shared" si="5"/>
        <v>#ERROR!</v>
      </c>
    </row>
    <row r="1338" ht="12.75" customHeight="1">
      <c r="A1338" s="244" t="s">
        <v>5158</v>
      </c>
      <c r="B1338" s="244" t="s">
        <v>231</v>
      </c>
      <c r="C1338" s="244" t="s">
        <v>10152</v>
      </c>
      <c r="D1338" s="154" t="s">
        <v>503</v>
      </c>
      <c r="E1338" s="154"/>
      <c r="F1338" s="154" t="str">
        <f t="array" ref="F1338">XLOOKUP(Cover!$D$12,$R$1:$Z$1,$R1338:$Z1338)</f>
        <v>Mandatory</v>
      </c>
      <c r="G1338" s="154" t="s">
        <v>10153</v>
      </c>
      <c r="H1338" s="154" t="s">
        <v>6771</v>
      </c>
      <c r="I1338" s="154" t="s">
        <v>10154</v>
      </c>
      <c r="J1338" s="154" t="s">
        <v>6819</v>
      </c>
      <c r="K1338" s="154" t="s">
        <v>10125</v>
      </c>
      <c r="L1338" s="154" t="s">
        <v>7431</v>
      </c>
      <c r="M1338" s="154" t="s">
        <v>1018</v>
      </c>
      <c r="N1338" s="154" t="s">
        <v>759</v>
      </c>
      <c r="O1338" s="247" t="s">
        <v>516</v>
      </c>
      <c r="P1338" s="247" t="s">
        <v>6776</v>
      </c>
      <c r="Q1338" s="154" t="str">
        <f t="shared" si="1"/>
        <v>#ERROR!</v>
      </c>
      <c r="R1338" s="154" t="s">
        <v>66</v>
      </c>
      <c r="S1338" s="154" t="s">
        <v>66</v>
      </c>
      <c r="T1338" s="155" t="s">
        <v>64</v>
      </c>
      <c r="U1338" s="155" t="s">
        <v>64</v>
      </c>
      <c r="V1338" s="154" t="s">
        <v>60</v>
      </c>
      <c r="W1338" s="154" t="s">
        <v>60</v>
      </c>
      <c r="X1338" s="154" t="s">
        <v>66</v>
      </c>
      <c r="Y1338" s="155" t="s">
        <v>64</v>
      </c>
      <c r="Z1338" s="154" t="s">
        <v>60</v>
      </c>
      <c r="AA1338" s="154"/>
      <c r="AB1338" s="242" t="str">
        <f t="shared" si="2"/>
        <v>#ERROR!</v>
      </c>
      <c r="AC1338" s="154" t="s">
        <v>391</v>
      </c>
      <c r="AD1338" s="242" t="b">
        <f t="shared" si="3"/>
        <v>0</v>
      </c>
      <c r="AE1338" s="154"/>
      <c r="AF1338" s="242" t="str">
        <f t="shared" si="4"/>
        <v>#ERROR!</v>
      </c>
      <c r="AG1338" s="154"/>
      <c r="AH1338" s="242" t="str">
        <f>IF(AG1338="","N/A",INDIRECT("MTR!"&amp;ADDRESS(MATCH(LEFT(AG1338,9),[1]MTR!C:C,0),COLUMN(J1338)),TRUE) &amp; "")</f>
        <v>#ERROR!</v>
      </c>
      <c r="AI1338" s="157" t="str">
        <f t="shared" si="5"/>
        <v>#ERROR!</v>
      </c>
    </row>
    <row r="1339" ht="12.75" customHeight="1">
      <c r="A1339" s="244" t="s">
        <v>5158</v>
      </c>
      <c r="B1339" s="244" t="s">
        <v>231</v>
      </c>
      <c r="C1339" s="244" t="s">
        <v>10155</v>
      </c>
      <c r="D1339" s="154" t="s">
        <v>503</v>
      </c>
      <c r="E1339" s="154"/>
      <c r="F1339" s="154" t="str">
        <f t="array" ref="F1339">XLOOKUP(Cover!$D$12,$R$1:$Z$1,$R1339:$Z1339)</f>
        <v>Mandatory</v>
      </c>
      <c r="G1339" s="154" t="s">
        <v>10156</v>
      </c>
      <c r="H1339" s="154" t="s">
        <v>1489</v>
      </c>
      <c r="I1339" s="154" t="s">
        <v>10154</v>
      </c>
      <c r="J1339" s="154" t="s">
        <v>6819</v>
      </c>
      <c r="K1339" s="154" t="s">
        <v>10125</v>
      </c>
      <c r="L1339" s="154" t="s">
        <v>7431</v>
      </c>
      <c r="M1339" s="154" t="s">
        <v>1018</v>
      </c>
      <c r="N1339" s="154" t="s">
        <v>759</v>
      </c>
      <c r="O1339" s="247" t="s">
        <v>516</v>
      </c>
      <c r="P1339" s="247" t="s">
        <v>6776</v>
      </c>
      <c r="Q1339" s="154" t="str">
        <f t="shared" si="1"/>
        <v>#ERROR!</v>
      </c>
      <c r="R1339" s="154" t="s">
        <v>66</v>
      </c>
      <c r="S1339" s="154" t="s">
        <v>66</v>
      </c>
      <c r="T1339" s="155" t="s">
        <v>64</v>
      </c>
      <c r="U1339" s="155" t="s">
        <v>64</v>
      </c>
      <c r="V1339" s="154" t="s">
        <v>60</v>
      </c>
      <c r="W1339" s="154" t="s">
        <v>60</v>
      </c>
      <c r="X1339" s="154" t="s">
        <v>66</v>
      </c>
      <c r="Y1339" s="155" t="s">
        <v>64</v>
      </c>
      <c r="Z1339" s="154" t="s">
        <v>60</v>
      </c>
      <c r="AA1339" s="154"/>
      <c r="AB1339" s="242" t="str">
        <f t="shared" si="2"/>
        <v>#ERROR!</v>
      </c>
      <c r="AC1339" s="154" t="s">
        <v>391</v>
      </c>
      <c r="AD1339" s="242" t="b">
        <f t="shared" si="3"/>
        <v>0</v>
      </c>
      <c r="AE1339" s="154"/>
      <c r="AF1339" s="242" t="str">
        <f t="shared" si="4"/>
        <v>#ERROR!</v>
      </c>
      <c r="AG1339" s="154"/>
      <c r="AH1339" s="242" t="str">
        <f>IF(AG1339="","N/A",INDIRECT("MTR!"&amp;ADDRESS(MATCH(LEFT(AG1339,9),[1]MTR!C:C,0),COLUMN(J1339)),TRUE) &amp; "")</f>
        <v>#ERROR!</v>
      </c>
      <c r="AI1339" s="157" t="str">
        <f t="shared" si="5"/>
        <v>#ERROR!</v>
      </c>
    </row>
    <row r="1340" ht="12.75" customHeight="1">
      <c r="A1340" s="244" t="s">
        <v>5158</v>
      </c>
      <c r="B1340" s="244" t="s">
        <v>231</v>
      </c>
      <c r="C1340" s="244" t="s">
        <v>10157</v>
      </c>
      <c r="D1340" s="154" t="s">
        <v>503</v>
      </c>
      <c r="E1340" s="154"/>
      <c r="F1340" s="154" t="str">
        <f t="array" ref="F1340">XLOOKUP(Cover!$D$12,$R$1:$Z$1,$R1340:$Z1340)</f>
        <v>Recommended</v>
      </c>
      <c r="G1340" s="154" t="s">
        <v>10158</v>
      </c>
      <c r="H1340" s="154" t="s">
        <v>6775</v>
      </c>
      <c r="I1340" s="154" t="s">
        <v>10154</v>
      </c>
      <c r="J1340" s="154" t="s">
        <v>6819</v>
      </c>
      <c r="K1340" s="154" t="s">
        <v>10125</v>
      </c>
      <c r="L1340" s="154" t="s">
        <v>7431</v>
      </c>
      <c r="M1340" s="154"/>
      <c r="N1340" s="154" t="s">
        <v>759</v>
      </c>
      <c r="O1340" s="247" t="s">
        <v>516</v>
      </c>
      <c r="P1340" s="247" t="s">
        <v>6776</v>
      </c>
      <c r="Q1340" s="154" t="str">
        <f t="shared" si="1"/>
        <v>#ERROR!</v>
      </c>
      <c r="R1340" s="154" t="s">
        <v>66</v>
      </c>
      <c r="S1340" s="154" t="s">
        <v>66</v>
      </c>
      <c r="T1340" s="154" t="s">
        <v>64</v>
      </c>
      <c r="U1340" s="154" t="s">
        <v>64</v>
      </c>
      <c r="V1340" s="154" t="s">
        <v>64</v>
      </c>
      <c r="W1340" s="154" t="s">
        <v>64</v>
      </c>
      <c r="X1340" s="154" t="s">
        <v>66</v>
      </c>
      <c r="Y1340" s="154" t="s">
        <v>64</v>
      </c>
      <c r="Z1340" s="154" t="s">
        <v>64</v>
      </c>
      <c r="AA1340" s="154"/>
      <c r="AB1340" s="242" t="str">
        <f t="shared" si="2"/>
        <v>#ERROR!</v>
      </c>
      <c r="AC1340" s="154" t="s">
        <v>391</v>
      </c>
      <c r="AD1340" s="242" t="b">
        <f t="shared" si="3"/>
        <v>0</v>
      </c>
      <c r="AE1340" s="154"/>
      <c r="AF1340" s="242" t="str">
        <f t="shared" si="4"/>
        <v>#ERROR!</v>
      </c>
      <c r="AG1340" s="154"/>
      <c r="AH1340" s="242" t="str">
        <f>IF(AG1340="","N/A",INDIRECT("MTR!"&amp;ADDRESS(MATCH(LEFT(AG1340,9),[1]MTR!C:C,0),COLUMN(J1340)),TRUE) &amp; "")</f>
        <v>#ERROR!</v>
      </c>
      <c r="AI1340" s="157" t="str">
        <f t="shared" si="5"/>
        <v>#ERROR!</v>
      </c>
    </row>
    <row r="1341" ht="12.75" customHeight="1">
      <c r="A1341" s="244" t="s">
        <v>5158</v>
      </c>
      <c r="B1341" s="244" t="s">
        <v>231</v>
      </c>
      <c r="C1341" s="244" t="s">
        <v>10159</v>
      </c>
      <c r="D1341" s="154" t="s">
        <v>503</v>
      </c>
      <c r="E1341" s="154"/>
      <c r="F1341" s="154" t="str">
        <f t="array" ref="F1341">XLOOKUP(Cover!$D$12,$R$1:$Z$1,$R1341:$Z1341)</f>
        <v>Recommended</v>
      </c>
      <c r="G1341" s="154" t="s">
        <v>10160</v>
      </c>
      <c r="H1341" s="154" t="s">
        <v>8513</v>
      </c>
      <c r="I1341" s="154" t="s">
        <v>10154</v>
      </c>
      <c r="J1341" s="154" t="s">
        <v>6819</v>
      </c>
      <c r="K1341" s="154" t="s">
        <v>10125</v>
      </c>
      <c r="L1341" s="154" t="s">
        <v>7431</v>
      </c>
      <c r="M1341" s="154"/>
      <c r="N1341" s="154" t="s">
        <v>759</v>
      </c>
      <c r="O1341" s="247" t="s">
        <v>516</v>
      </c>
      <c r="P1341" s="247" t="s">
        <v>6776</v>
      </c>
      <c r="Q1341" s="154" t="str">
        <f t="shared" si="1"/>
        <v>#ERROR!</v>
      </c>
      <c r="R1341" s="154" t="s">
        <v>66</v>
      </c>
      <c r="S1341" s="154" t="s">
        <v>66</v>
      </c>
      <c r="T1341" s="154" t="s">
        <v>64</v>
      </c>
      <c r="U1341" s="154" t="s">
        <v>64</v>
      </c>
      <c r="V1341" s="154" t="s">
        <v>64</v>
      </c>
      <c r="W1341" s="154" t="s">
        <v>64</v>
      </c>
      <c r="X1341" s="154" t="s">
        <v>66</v>
      </c>
      <c r="Y1341" s="154" t="s">
        <v>64</v>
      </c>
      <c r="Z1341" s="154" t="s">
        <v>64</v>
      </c>
      <c r="AA1341" s="154"/>
      <c r="AB1341" s="242" t="str">
        <f t="shared" si="2"/>
        <v>#ERROR!</v>
      </c>
      <c r="AC1341" s="154" t="s">
        <v>391</v>
      </c>
      <c r="AD1341" s="242" t="b">
        <f t="shared" si="3"/>
        <v>0</v>
      </c>
      <c r="AE1341" s="154"/>
      <c r="AF1341" s="242" t="str">
        <f t="shared" si="4"/>
        <v>#ERROR!</v>
      </c>
      <c r="AG1341" s="154"/>
      <c r="AH1341" s="242" t="str">
        <f>IF(AG1341="","N/A",INDIRECT("MTR!"&amp;ADDRESS(MATCH(LEFT(AG1341,9),[1]MTR!C:C,0),COLUMN(J1341)),TRUE) &amp; "")</f>
        <v>#ERROR!</v>
      </c>
      <c r="AI1341" s="157" t="str">
        <f t="shared" si="5"/>
        <v>#ERROR!</v>
      </c>
    </row>
    <row r="1342" ht="12.75" customHeight="1">
      <c r="A1342" s="244" t="s">
        <v>5158</v>
      </c>
      <c r="B1342" s="244" t="s">
        <v>231</v>
      </c>
      <c r="C1342" s="244" t="s">
        <v>10161</v>
      </c>
      <c r="D1342" s="154" t="s">
        <v>1773</v>
      </c>
      <c r="E1342" s="154"/>
      <c r="F1342" s="154" t="str">
        <f t="array" ref="F1342">XLOOKUP(Cover!$D$12,$R$1:$Z$1,$R1342:$Z1342)</f>
        <v>Recommended</v>
      </c>
      <c r="G1342" s="154" t="s">
        <v>10162</v>
      </c>
      <c r="H1342" s="154" t="s">
        <v>6771</v>
      </c>
      <c r="I1342" s="154" t="s">
        <v>10163</v>
      </c>
      <c r="J1342" s="154" t="s">
        <v>6826</v>
      </c>
      <c r="K1342" s="154" t="s">
        <v>10125</v>
      </c>
      <c r="L1342" s="154" t="s">
        <v>6126</v>
      </c>
      <c r="M1342" s="154"/>
      <c r="N1342" s="154" t="s">
        <v>759</v>
      </c>
      <c r="O1342" s="247" t="s">
        <v>516</v>
      </c>
      <c r="P1342" s="247" t="s">
        <v>6776</v>
      </c>
      <c r="Q1342" s="154" t="str">
        <f t="shared" si="1"/>
        <v>#ERROR!</v>
      </c>
      <c r="R1342" s="154" t="s">
        <v>66</v>
      </c>
      <c r="S1342" s="154" t="s">
        <v>66</v>
      </c>
      <c r="T1342" s="154" t="s">
        <v>64</v>
      </c>
      <c r="U1342" s="154" t="s">
        <v>64</v>
      </c>
      <c r="V1342" s="154" t="s">
        <v>64</v>
      </c>
      <c r="W1342" s="154" t="s">
        <v>64</v>
      </c>
      <c r="X1342" s="154" t="s">
        <v>66</v>
      </c>
      <c r="Y1342" s="154" t="s">
        <v>64</v>
      </c>
      <c r="Z1342" s="154" t="s">
        <v>64</v>
      </c>
      <c r="AA1342" s="154"/>
      <c r="AB1342" s="242" t="str">
        <f t="shared" si="2"/>
        <v>#ERROR!</v>
      </c>
      <c r="AC1342" s="154" t="s">
        <v>391</v>
      </c>
      <c r="AD1342" s="242" t="b">
        <f t="shared" si="3"/>
        <v>0</v>
      </c>
      <c r="AE1342" s="154"/>
      <c r="AF1342" s="242" t="str">
        <f t="shared" si="4"/>
        <v>#ERROR!</v>
      </c>
      <c r="AG1342" s="154"/>
      <c r="AH1342" s="242" t="str">
        <f>IF(AG1342="","N/A",INDIRECT("MTR!"&amp;ADDRESS(MATCH(LEFT(AG1342,9),[1]MTR!C:C,0),COLUMN(J1342)),TRUE) &amp; "")</f>
        <v>#ERROR!</v>
      </c>
      <c r="AI1342" s="157" t="str">
        <f t="shared" si="5"/>
        <v>#ERROR!</v>
      </c>
    </row>
    <row r="1343" ht="12.75" customHeight="1">
      <c r="A1343" s="244" t="s">
        <v>5158</v>
      </c>
      <c r="B1343" s="244" t="s">
        <v>231</v>
      </c>
      <c r="C1343" s="244" t="s">
        <v>10164</v>
      </c>
      <c r="D1343" s="154" t="s">
        <v>1773</v>
      </c>
      <c r="E1343" s="154"/>
      <c r="F1343" s="154" t="str">
        <f t="array" ref="F1343">XLOOKUP(Cover!$D$12,$R$1:$Z$1,$R1343:$Z1343)</f>
        <v>Recommended</v>
      </c>
      <c r="G1343" s="154" t="s">
        <v>10165</v>
      </c>
      <c r="H1343" s="154" t="s">
        <v>6779</v>
      </c>
      <c r="I1343" s="154" t="s">
        <v>10163</v>
      </c>
      <c r="J1343" s="154" t="s">
        <v>6826</v>
      </c>
      <c r="K1343" s="154" t="s">
        <v>10125</v>
      </c>
      <c r="L1343" s="154" t="s">
        <v>6126</v>
      </c>
      <c r="M1343" s="154"/>
      <c r="N1343" s="154" t="s">
        <v>759</v>
      </c>
      <c r="O1343" s="247" t="s">
        <v>516</v>
      </c>
      <c r="P1343" s="247" t="s">
        <v>6776</v>
      </c>
      <c r="Q1343" s="154" t="str">
        <f t="shared" si="1"/>
        <v>#ERROR!</v>
      </c>
      <c r="R1343" s="154" t="s">
        <v>66</v>
      </c>
      <c r="S1343" s="154" t="s">
        <v>66</v>
      </c>
      <c r="T1343" s="154" t="s">
        <v>64</v>
      </c>
      <c r="U1343" s="154" t="s">
        <v>64</v>
      </c>
      <c r="V1343" s="154" t="s">
        <v>64</v>
      </c>
      <c r="W1343" s="154" t="s">
        <v>64</v>
      </c>
      <c r="X1343" s="154" t="s">
        <v>66</v>
      </c>
      <c r="Y1343" s="154" t="s">
        <v>64</v>
      </c>
      <c r="Z1343" s="154" t="s">
        <v>64</v>
      </c>
      <c r="AA1343" s="154"/>
      <c r="AB1343" s="242" t="str">
        <f t="shared" si="2"/>
        <v>#ERROR!</v>
      </c>
      <c r="AC1343" s="154" t="s">
        <v>391</v>
      </c>
      <c r="AD1343" s="242" t="b">
        <f t="shared" si="3"/>
        <v>0</v>
      </c>
      <c r="AE1343" s="154"/>
      <c r="AF1343" s="242" t="str">
        <f t="shared" si="4"/>
        <v>#ERROR!</v>
      </c>
      <c r="AG1343" s="154"/>
      <c r="AH1343" s="242" t="str">
        <f>IF(AG1343="","N/A",INDIRECT("MTR!"&amp;ADDRESS(MATCH(LEFT(AG1343,9),[1]MTR!C:C,0),COLUMN(J1343)),TRUE) &amp; "")</f>
        <v>#ERROR!</v>
      </c>
      <c r="AI1343" s="157" t="str">
        <f t="shared" si="5"/>
        <v>#ERROR!</v>
      </c>
    </row>
    <row r="1344" ht="12.75" customHeight="1">
      <c r="A1344" s="244" t="s">
        <v>5158</v>
      </c>
      <c r="B1344" s="244" t="s">
        <v>231</v>
      </c>
      <c r="C1344" s="244" t="s">
        <v>10166</v>
      </c>
      <c r="D1344" s="154" t="s">
        <v>1773</v>
      </c>
      <c r="E1344" s="154"/>
      <c r="F1344" s="154" t="str">
        <f t="array" ref="F1344">XLOOKUP(Cover!$D$12,$R$1:$Z$1,$R1344:$Z1344)</f>
        <v>Recommended</v>
      </c>
      <c r="G1344" s="154" t="s">
        <v>10167</v>
      </c>
      <c r="H1344" s="154" t="s">
        <v>1489</v>
      </c>
      <c r="I1344" s="154" t="s">
        <v>10163</v>
      </c>
      <c r="J1344" s="154" t="s">
        <v>6826</v>
      </c>
      <c r="K1344" s="154" t="s">
        <v>10125</v>
      </c>
      <c r="L1344" s="154" t="s">
        <v>6126</v>
      </c>
      <c r="M1344" s="154"/>
      <c r="N1344" s="154" t="s">
        <v>759</v>
      </c>
      <c r="O1344" s="247" t="s">
        <v>516</v>
      </c>
      <c r="P1344" s="247" t="s">
        <v>6776</v>
      </c>
      <c r="Q1344" s="154" t="str">
        <f t="shared" si="1"/>
        <v>#ERROR!</v>
      </c>
      <c r="R1344" s="154" t="s">
        <v>66</v>
      </c>
      <c r="S1344" s="154" t="s">
        <v>66</v>
      </c>
      <c r="T1344" s="154" t="s">
        <v>64</v>
      </c>
      <c r="U1344" s="154" t="s">
        <v>64</v>
      </c>
      <c r="V1344" s="154" t="s">
        <v>64</v>
      </c>
      <c r="W1344" s="154" t="s">
        <v>64</v>
      </c>
      <c r="X1344" s="154" t="s">
        <v>66</v>
      </c>
      <c r="Y1344" s="154" t="s">
        <v>64</v>
      </c>
      <c r="Z1344" s="154" t="s">
        <v>64</v>
      </c>
      <c r="AA1344" s="154"/>
      <c r="AB1344" s="242" t="str">
        <f t="shared" si="2"/>
        <v>#ERROR!</v>
      </c>
      <c r="AC1344" s="154" t="s">
        <v>391</v>
      </c>
      <c r="AD1344" s="242" t="b">
        <f t="shared" si="3"/>
        <v>0</v>
      </c>
      <c r="AE1344" s="154"/>
      <c r="AF1344" s="242" t="str">
        <f t="shared" si="4"/>
        <v>#ERROR!</v>
      </c>
      <c r="AG1344" s="154"/>
      <c r="AH1344" s="242" t="str">
        <f>IF(AG1344="","N/A",INDIRECT("MTR!"&amp;ADDRESS(MATCH(LEFT(AG1344,9),[1]MTR!C:C,0),COLUMN(J1344)),TRUE) &amp; "")</f>
        <v>#ERROR!</v>
      </c>
      <c r="AI1344" s="157" t="str">
        <f t="shared" si="5"/>
        <v>#ERROR!</v>
      </c>
    </row>
    <row r="1345" ht="12.75" customHeight="1">
      <c r="A1345" s="244" t="s">
        <v>5158</v>
      </c>
      <c r="B1345" s="244" t="s">
        <v>231</v>
      </c>
      <c r="C1345" s="244" t="s">
        <v>10168</v>
      </c>
      <c r="D1345" s="154" t="s">
        <v>1773</v>
      </c>
      <c r="E1345" s="154"/>
      <c r="F1345" s="154" t="str">
        <f t="array" ref="F1345">XLOOKUP(Cover!$D$12,$R$1:$Z$1,$R1345:$Z1345)</f>
        <v>Recommended</v>
      </c>
      <c r="G1345" s="154" t="s">
        <v>10169</v>
      </c>
      <c r="H1345" s="154" t="s">
        <v>8516</v>
      </c>
      <c r="I1345" s="154" t="s">
        <v>10163</v>
      </c>
      <c r="J1345" s="154" t="s">
        <v>6826</v>
      </c>
      <c r="K1345" s="154" t="s">
        <v>10125</v>
      </c>
      <c r="L1345" s="154" t="s">
        <v>6126</v>
      </c>
      <c r="M1345" s="154"/>
      <c r="N1345" s="154" t="s">
        <v>759</v>
      </c>
      <c r="O1345" s="247" t="s">
        <v>516</v>
      </c>
      <c r="P1345" s="247" t="s">
        <v>6776</v>
      </c>
      <c r="Q1345" s="154" t="str">
        <f t="shared" si="1"/>
        <v>#ERROR!</v>
      </c>
      <c r="R1345" s="154" t="s">
        <v>66</v>
      </c>
      <c r="S1345" s="154" t="s">
        <v>66</v>
      </c>
      <c r="T1345" s="154" t="s">
        <v>64</v>
      </c>
      <c r="U1345" s="154" t="s">
        <v>64</v>
      </c>
      <c r="V1345" s="154" t="s">
        <v>64</v>
      </c>
      <c r="W1345" s="154" t="s">
        <v>64</v>
      </c>
      <c r="X1345" s="154" t="s">
        <v>66</v>
      </c>
      <c r="Y1345" s="154" t="s">
        <v>64</v>
      </c>
      <c r="Z1345" s="154" t="s">
        <v>64</v>
      </c>
      <c r="AA1345" s="154"/>
      <c r="AB1345" s="242" t="str">
        <f t="shared" si="2"/>
        <v>#ERROR!</v>
      </c>
      <c r="AC1345" s="154" t="s">
        <v>391</v>
      </c>
      <c r="AD1345" s="242" t="b">
        <f t="shared" si="3"/>
        <v>0</v>
      </c>
      <c r="AE1345" s="154"/>
      <c r="AF1345" s="242" t="str">
        <f t="shared" si="4"/>
        <v>#ERROR!</v>
      </c>
      <c r="AG1345" s="154"/>
      <c r="AH1345" s="242" t="str">
        <f>IF(AG1345="","N/A",INDIRECT("MTR!"&amp;ADDRESS(MATCH(LEFT(AG1345,9),[1]MTR!C:C,0),COLUMN(J1345)),TRUE) &amp; "")</f>
        <v>#ERROR!</v>
      </c>
      <c r="AI1345" s="157" t="str">
        <f t="shared" si="5"/>
        <v>#ERROR!</v>
      </c>
    </row>
    <row r="1346" ht="12.75" customHeight="1">
      <c r="A1346" s="244" t="s">
        <v>5158</v>
      </c>
      <c r="B1346" s="244" t="s">
        <v>231</v>
      </c>
      <c r="C1346" s="244" t="s">
        <v>10170</v>
      </c>
      <c r="D1346" s="154" t="s">
        <v>781</v>
      </c>
      <c r="E1346" s="154"/>
      <c r="F1346" s="154" t="str">
        <f t="array" ref="F1346">XLOOKUP(Cover!$D$12,$R$1:$Z$1,$R1346:$Z1346)</f>
        <v>Mandatory</v>
      </c>
      <c r="G1346" s="154" t="s">
        <v>10171</v>
      </c>
      <c r="H1346" s="154" t="s">
        <v>6771</v>
      </c>
      <c r="I1346" s="154" t="s">
        <v>10172</v>
      </c>
      <c r="J1346" s="154" t="s">
        <v>6832</v>
      </c>
      <c r="K1346" s="154" t="s">
        <v>10125</v>
      </c>
      <c r="L1346" s="154" t="s">
        <v>6140</v>
      </c>
      <c r="M1346" s="154" t="s">
        <v>1018</v>
      </c>
      <c r="N1346" s="154" t="s">
        <v>759</v>
      </c>
      <c r="O1346" s="247" t="s">
        <v>516</v>
      </c>
      <c r="P1346" s="247" t="s">
        <v>6776</v>
      </c>
      <c r="Q1346" s="154" t="str">
        <f t="shared" si="1"/>
        <v>#ERROR!</v>
      </c>
      <c r="R1346" s="154" t="s">
        <v>66</v>
      </c>
      <c r="S1346" s="154" t="s">
        <v>66</v>
      </c>
      <c r="T1346" s="155" t="s">
        <v>64</v>
      </c>
      <c r="U1346" s="155" t="s">
        <v>64</v>
      </c>
      <c r="V1346" s="154" t="s">
        <v>60</v>
      </c>
      <c r="W1346" s="154" t="s">
        <v>60</v>
      </c>
      <c r="X1346" s="154" t="s">
        <v>66</v>
      </c>
      <c r="Y1346" s="155" t="s">
        <v>64</v>
      </c>
      <c r="Z1346" s="154" t="s">
        <v>60</v>
      </c>
      <c r="AA1346" s="154"/>
      <c r="AB1346" s="242" t="str">
        <f t="shared" si="2"/>
        <v>#ERROR!</v>
      </c>
      <c r="AC1346" s="154" t="s">
        <v>391</v>
      </c>
      <c r="AD1346" s="242" t="b">
        <f t="shared" si="3"/>
        <v>0</v>
      </c>
      <c r="AE1346" s="154"/>
      <c r="AF1346" s="242" t="str">
        <f t="shared" si="4"/>
        <v>#ERROR!</v>
      </c>
      <c r="AG1346" s="154"/>
      <c r="AH1346" s="242" t="str">
        <f>IF(AG1346="","N/A",INDIRECT("MTR!"&amp;ADDRESS(MATCH(LEFT(AG1346,9),[1]MTR!C:C,0),COLUMN(J1346)),TRUE) &amp; "")</f>
        <v>#ERROR!</v>
      </c>
      <c r="AI1346" s="157" t="str">
        <f t="shared" si="5"/>
        <v>#ERROR!</v>
      </c>
    </row>
    <row r="1347" ht="12.75" customHeight="1">
      <c r="A1347" s="244" t="s">
        <v>5158</v>
      </c>
      <c r="B1347" s="244" t="s">
        <v>231</v>
      </c>
      <c r="C1347" s="244" t="s">
        <v>10173</v>
      </c>
      <c r="D1347" s="154" t="s">
        <v>781</v>
      </c>
      <c r="E1347" s="154"/>
      <c r="F1347" s="154" t="str">
        <f t="array" ref="F1347">XLOOKUP(Cover!$D$12,$R$1:$Z$1,$R1347:$Z1347)</f>
        <v>Mandatory</v>
      </c>
      <c r="G1347" s="154" t="s">
        <v>10174</v>
      </c>
      <c r="H1347" s="154" t="s">
        <v>1489</v>
      </c>
      <c r="I1347" s="154" t="s">
        <v>10172</v>
      </c>
      <c r="J1347" s="154" t="s">
        <v>6832</v>
      </c>
      <c r="K1347" s="154" t="s">
        <v>10125</v>
      </c>
      <c r="L1347" s="154" t="s">
        <v>6140</v>
      </c>
      <c r="M1347" s="154" t="s">
        <v>1018</v>
      </c>
      <c r="N1347" s="154" t="s">
        <v>759</v>
      </c>
      <c r="O1347" s="247" t="s">
        <v>516</v>
      </c>
      <c r="P1347" s="247" t="s">
        <v>6776</v>
      </c>
      <c r="Q1347" s="154" t="str">
        <f t="shared" si="1"/>
        <v>#ERROR!</v>
      </c>
      <c r="R1347" s="154" t="s">
        <v>66</v>
      </c>
      <c r="S1347" s="154" t="s">
        <v>66</v>
      </c>
      <c r="T1347" s="155" t="s">
        <v>64</v>
      </c>
      <c r="U1347" s="155" t="s">
        <v>64</v>
      </c>
      <c r="V1347" s="154" t="s">
        <v>60</v>
      </c>
      <c r="W1347" s="154" t="s">
        <v>60</v>
      </c>
      <c r="X1347" s="154" t="s">
        <v>66</v>
      </c>
      <c r="Y1347" s="155" t="s">
        <v>64</v>
      </c>
      <c r="Z1347" s="154" t="s">
        <v>60</v>
      </c>
      <c r="AA1347" s="154"/>
      <c r="AB1347" s="242" t="str">
        <f t="shared" si="2"/>
        <v>#ERROR!</v>
      </c>
      <c r="AC1347" s="154" t="s">
        <v>391</v>
      </c>
      <c r="AD1347" s="242" t="b">
        <f t="shared" si="3"/>
        <v>0</v>
      </c>
      <c r="AE1347" s="154"/>
      <c r="AF1347" s="242" t="str">
        <f t="shared" si="4"/>
        <v>#ERROR!</v>
      </c>
      <c r="AG1347" s="154"/>
      <c r="AH1347" s="242" t="str">
        <f>IF(AG1347="","N/A",INDIRECT("MTR!"&amp;ADDRESS(MATCH(LEFT(AG1347,9),[1]MTR!C:C,0),COLUMN(J1347)),TRUE) &amp; "")</f>
        <v>#ERROR!</v>
      </c>
      <c r="AI1347" s="157" t="str">
        <f t="shared" si="5"/>
        <v>#ERROR!</v>
      </c>
    </row>
    <row r="1348" ht="12.75" customHeight="1">
      <c r="A1348" s="244" t="s">
        <v>5158</v>
      </c>
      <c r="B1348" s="244" t="s">
        <v>231</v>
      </c>
      <c r="C1348" s="244" t="s">
        <v>10175</v>
      </c>
      <c r="D1348" s="154" t="s">
        <v>781</v>
      </c>
      <c r="E1348" s="154"/>
      <c r="F1348" s="154" t="str">
        <f t="array" ref="F1348">XLOOKUP(Cover!$D$12,$R$1:$Z$1,$R1348:$Z1348)</f>
        <v>Mandatory</v>
      </c>
      <c r="G1348" s="154" t="s">
        <v>10176</v>
      </c>
      <c r="H1348" s="154" t="s">
        <v>6782</v>
      </c>
      <c r="I1348" s="154" t="s">
        <v>10172</v>
      </c>
      <c r="J1348" s="154" t="s">
        <v>6832</v>
      </c>
      <c r="K1348" s="154" t="s">
        <v>10125</v>
      </c>
      <c r="L1348" s="154" t="s">
        <v>6140</v>
      </c>
      <c r="M1348" s="154" t="s">
        <v>1018</v>
      </c>
      <c r="N1348" s="154" t="s">
        <v>759</v>
      </c>
      <c r="O1348" s="247" t="s">
        <v>516</v>
      </c>
      <c r="P1348" s="247" t="s">
        <v>6776</v>
      </c>
      <c r="Q1348" s="154" t="str">
        <f t="shared" si="1"/>
        <v>#ERROR!</v>
      </c>
      <c r="R1348" s="154" t="s">
        <v>66</v>
      </c>
      <c r="S1348" s="154" t="s">
        <v>66</v>
      </c>
      <c r="T1348" s="155" t="s">
        <v>64</v>
      </c>
      <c r="U1348" s="155" t="s">
        <v>64</v>
      </c>
      <c r="V1348" s="154" t="s">
        <v>60</v>
      </c>
      <c r="W1348" s="154" t="s">
        <v>60</v>
      </c>
      <c r="X1348" s="154" t="s">
        <v>66</v>
      </c>
      <c r="Y1348" s="155" t="s">
        <v>64</v>
      </c>
      <c r="Z1348" s="154" t="s">
        <v>60</v>
      </c>
      <c r="AA1348" s="154"/>
      <c r="AB1348" s="242" t="str">
        <f t="shared" si="2"/>
        <v>#ERROR!</v>
      </c>
      <c r="AC1348" s="154" t="s">
        <v>391</v>
      </c>
      <c r="AD1348" s="242" t="b">
        <f t="shared" si="3"/>
        <v>0</v>
      </c>
      <c r="AE1348" s="154"/>
      <c r="AF1348" s="242" t="str">
        <f t="shared" si="4"/>
        <v>#ERROR!</v>
      </c>
      <c r="AG1348" s="154"/>
      <c r="AH1348" s="242" t="str">
        <f>IF(AG1348="","N/A",INDIRECT("MTR!"&amp;ADDRESS(MATCH(LEFT(AG1348,9),[1]MTR!C:C,0),COLUMN(J1348)),TRUE) &amp; "")</f>
        <v>#ERROR!</v>
      </c>
      <c r="AI1348" s="157" t="str">
        <f t="shared" si="5"/>
        <v>#ERROR!</v>
      </c>
    </row>
    <row r="1349" ht="12.75" customHeight="1">
      <c r="A1349" s="244" t="s">
        <v>5158</v>
      </c>
      <c r="B1349" s="244" t="s">
        <v>231</v>
      </c>
      <c r="C1349" s="244" t="s">
        <v>10177</v>
      </c>
      <c r="D1349" s="154" t="s">
        <v>781</v>
      </c>
      <c r="E1349" s="154"/>
      <c r="F1349" s="154" t="str">
        <f t="array" ref="F1349">XLOOKUP(Cover!$D$12,$R$1:$Z$1,$R1349:$Z1349)</f>
        <v>Mandatory</v>
      </c>
      <c r="G1349" s="154" t="s">
        <v>10178</v>
      </c>
      <c r="H1349" s="154" t="s">
        <v>8519</v>
      </c>
      <c r="I1349" s="154" t="s">
        <v>10172</v>
      </c>
      <c r="J1349" s="154" t="s">
        <v>6832</v>
      </c>
      <c r="K1349" s="154" t="s">
        <v>10125</v>
      </c>
      <c r="L1349" s="154" t="s">
        <v>6140</v>
      </c>
      <c r="M1349" s="154" t="s">
        <v>1018</v>
      </c>
      <c r="N1349" s="154" t="s">
        <v>759</v>
      </c>
      <c r="O1349" s="247" t="s">
        <v>516</v>
      </c>
      <c r="P1349" s="247" t="s">
        <v>6776</v>
      </c>
      <c r="Q1349" s="154" t="str">
        <f t="shared" si="1"/>
        <v>#ERROR!</v>
      </c>
      <c r="R1349" s="154" t="s">
        <v>66</v>
      </c>
      <c r="S1349" s="154" t="s">
        <v>66</v>
      </c>
      <c r="T1349" s="155" t="s">
        <v>64</v>
      </c>
      <c r="U1349" s="155" t="s">
        <v>64</v>
      </c>
      <c r="V1349" s="154" t="s">
        <v>60</v>
      </c>
      <c r="W1349" s="154" t="s">
        <v>60</v>
      </c>
      <c r="X1349" s="154" t="s">
        <v>66</v>
      </c>
      <c r="Y1349" s="155" t="s">
        <v>64</v>
      </c>
      <c r="Z1349" s="154" t="s">
        <v>60</v>
      </c>
      <c r="AA1349" s="154"/>
      <c r="AB1349" s="242" t="str">
        <f t="shared" si="2"/>
        <v>#ERROR!</v>
      </c>
      <c r="AC1349" s="154" t="s">
        <v>391</v>
      </c>
      <c r="AD1349" s="242" t="b">
        <f t="shared" si="3"/>
        <v>0</v>
      </c>
      <c r="AE1349" s="154"/>
      <c r="AF1349" s="242" t="str">
        <f t="shared" si="4"/>
        <v>#ERROR!</v>
      </c>
      <c r="AG1349" s="154"/>
      <c r="AH1349" s="242" t="str">
        <f>IF(AG1349="","N/A",INDIRECT("MTR!"&amp;ADDRESS(MATCH(LEFT(AG1349,9),[1]MTR!C:C,0),COLUMN(J1349)),TRUE) &amp; "")</f>
        <v>#ERROR!</v>
      </c>
      <c r="AI1349" s="157" t="str">
        <f t="shared" si="5"/>
        <v>#ERROR!</v>
      </c>
    </row>
    <row r="1350" ht="12.75" customHeight="1">
      <c r="A1350" s="244" t="s">
        <v>5158</v>
      </c>
      <c r="B1350" s="244" t="s">
        <v>231</v>
      </c>
      <c r="C1350" s="244" t="s">
        <v>10179</v>
      </c>
      <c r="D1350" s="154" t="s">
        <v>1773</v>
      </c>
      <c r="E1350" s="154"/>
      <c r="F1350" s="154" t="str">
        <f t="array" ref="F1350">XLOOKUP(Cover!$D$12,$R$1:$Z$1,$R1350:$Z1350)</f>
        <v>Mandatory</v>
      </c>
      <c r="G1350" s="154" t="s">
        <v>10180</v>
      </c>
      <c r="H1350" s="154" t="s">
        <v>6771</v>
      </c>
      <c r="I1350" s="154" t="s">
        <v>10181</v>
      </c>
      <c r="J1350" s="154" t="s">
        <v>6844</v>
      </c>
      <c r="K1350" s="154" t="s">
        <v>10125</v>
      </c>
      <c r="L1350" s="154" t="s">
        <v>7175</v>
      </c>
      <c r="M1350" s="154" t="s">
        <v>1018</v>
      </c>
      <c r="N1350" s="154" t="s">
        <v>759</v>
      </c>
      <c r="O1350" s="247" t="s">
        <v>516</v>
      </c>
      <c r="P1350" s="247" t="s">
        <v>6776</v>
      </c>
      <c r="Q1350" s="154" t="str">
        <f t="shared" si="1"/>
        <v>#ERROR!</v>
      </c>
      <c r="R1350" s="154" t="s">
        <v>66</v>
      </c>
      <c r="S1350" s="154" t="s">
        <v>66</v>
      </c>
      <c r="T1350" s="155" t="s">
        <v>64</v>
      </c>
      <c r="U1350" s="155" t="s">
        <v>64</v>
      </c>
      <c r="V1350" s="154" t="s">
        <v>60</v>
      </c>
      <c r="W1350" s="154" t="s">
        <v>60</v>
      </c>
      <c r="X1350" s="154" t="s">
        <v>66</v>
      </c>
      <c r="Y1350" s="155" t="s">
        <v>64</v>
      </c>
      <c r="Z1350" s="154" t="s">
        <v>60</v>
      </c>
      <c r="AA1350" s="154"/>
      <c r="AB1350" s="242" t="str">
        <f t="shared" si="2"/>
        <v>#ERROR!</v>
      </c>
      <c r="AC1350" s="154" t="s">
        <v>391</v>
      </c>
      <c r="AD1350" s="242" t="b">
        <f t="shared" si="3"/>
        <v>0</v>
      </c>
      <c r="AE1350" s="154"/>
      <c r="AF1350" s="242" t="str">
        <f t="shared" si="4"/>
        <v>#ERROR!</v>
      </c>
      <c r="AG1350" s="154"/>
      <c r="AH1350" s="242" t="str">
        <f>IF(AG1350="","N/A",INDIRECT("MTR!"&amp;ADDRESS(MATCH(LEFT(AG1350,9),[1]MTR!C:C,0),COLUMN(J1350)),TRUE) &amp; "")</f>
        <v>#ERROR!</v>
      </c>
      <c r="AI1350" s="157" t="str">
        <f t="shared" si="5"/>
        <v>#ERROR!</v>
      </c>
    </row>
    <row r="1351" ht="12.75" customHeight="1">
      <c r="A1351" s="244" t="s">
        <v>5158</v>
      </c>
      <c r="B1351" s="244" t="s">
        <v>231</v>
      </c>
      <c r="C1351" s="244" t="s">
        <v>10182</v>
      </c>
      <c r="D1351" s="154" t="s">
        <v>1773</v>
      </c>
      <c r="E1351" s="154"/>
      <c r="F1351" s="154" t="str">
        <f t="array" ref="F1351">XLOOKUP(Cover!$D$12,$R$1:$Z$1,$R1351:$Z1351)</f>
        <v>Mandatory</v>
      </c>
      <c r="G1351" s="154" t="s">
        <v>10183</v>
      </c>
      <c r="H1351" s="154" t="s">
        <v>1489</v>
      </c>
      <c r="I1351" s="154" t="s">
        <v>10181</v>
      </c>
      <c r="J1351" s="154" t="s">
        <v>6844</v>
      </c>
      <c r="K1351" s="154" t="s">
        <v>10125</v>
      </c>
      <c r="L1351" s="154" t="s">
        <v>7175</v>
      </c>
      <c r="M1351" s="154" t="s">
        <v>1018</v>
      </c>
      <c r="N1351" s="154" t="s">
        <v>759</v>
      </c>
      <c r="O1351" s="247" t="s">
        <v>516</v>
      </c>
      <c r="P1351" s="247" t="s">
        <v>6776</v>
      </c>
      <c r="Q1351" s="154" t="str">
        <f t="shared" si="1"/>
        <v>#ERROR!</v>
      </c>
      <c r="R1351" s="154" t="s">
        <v>66</v>
      </c>
      <c r="S1351" s="154" t="s">
        <v>66</v>
      </c>
      <c r="T1351" s="155" t="s">
        <v>64</v>
      </c>
      <c r="U1351" s="155" t="s">
        <v>64</v>
      </c>
      <c r="V1351" s="154" t="s">
        <v>60</v>
      </c>
      <c r="W1351" s="154" t="s">
        <v>60</v>
      </c>
      <c r="X1351" s="154" t="s">
        <v>66</v>
      </c>
      <c r="Y1351" s="155" t="s">
        <v>64</v>
      </c>
      <c r="Z1351" s="154" t="s">
        <v>60</v>
      </c>
      <c r="AA1351" s="154"/>
      <c r="AB1351" s="242" t="str">
        <f t="shared" si="2"/>
        <v>#ERROR!</v>
      </c>
      <c r="AC1351" s="154" t="s">
        <v>391</v>
      </c>
      <c r="AD1351" s="242" t="b">
        <f t="shared" si="3"/>
        <v>0</v>
      </c>
      <c r="AE1351" s="154"/>
      <c r="AF1351" s="242" t="str">
        <f t="shared" si="4"/>
        <v>#ERROR!</v>
      </c>
      <c r="AG1351" s="154"/>
      <c r="AH1351" s="242" t="str">
        <f>IF(AG1351="","N/A",INDIRECT("MTR!"&amp;ADDRESS(MATCH(LEFT(AG1351,9),[1]MTR!C:C,0),COLUMN(J1351)),TRUE) &amp; "")</f>
        <v>#ERROR!</v>
      </c>
      <c r="AI1351" s="157" t="str">
        <f t="shared" si="5"/>
        <v>#ERROR!</v>
      </c>
    </row>
    <row r="1352" ht="12.75" customHeight="1">
      <c r="A1352" s="244" t="s">
        <v>5158</v>
      </c>
      <c r="B1352" s="244" t="s">
        <v>231</v>
      </c>
      <c r="C1352" s="244" t="s">
        <v>10184</v>
      </c>
      <c r="D1352" s="154" t="s">
        <v>503</v>
      </c>
      <c r="E1352" s="154"/>
      <c r="F1352" s="154" t="str">
        <f t="array" ref="F1352">XLOOKUP(Cover!$D$12,$R$1:$Z$1,$R1352:$Z1352)</f>
        <v>Recommended</v>
      </c>
      <c r="G1352" s="154" t="s">
        <v>10185</v>
      </c>
      <c r="H1352" s="154" t="s">
        <v>6775</v>
      </c>
      <c r="I1352" s="154" t="s">
        <v>10186</v>
      </c>
      <c r="J1352" s="154" t="s">
        <v>6848</v>
      </c>
      <c r="K1352" s="154" t="s">
        <v>10125</v>
      </c>
      <c r="L1352" s="154" t="s">
        <v>7431</v>
      </c>
      <c r="M1352" s="154"/>
      <c r="N1352" s="154" t="s">
        <v>759</v>
      </c>
      <c r="O1352" s="247" t="s">
        <v>516</v>
      </c>
      <c r="P1352" s="247" t="s">
        <v>6776</v>
      </c>
      <c r="Q1352" s="154" t="str">
        <f t="shared" si="1"/>
        <v>#ERROR!</v>
      </c>
      <c r="R1352" s="154" t="s">
        <v>66</v>
      </c>
      <c r="S1352" s="154" t="s">
        <v>66</v>
      </c>
      <c r="T1352" s="154" t="s">
        <v>64</v>
      </c>
      <c r="U1352" s="154" t="s">
        <v>64</v>
      </c>
      <c r="V1352" s="154" t="s">
        <v>64</v>
      </c>
      <c r="W1352" s="154" t="s">
        <v>64</v>
      </c>
      <c r="X1352" s="154" t="s">
        <v>66</v>
      </c>
      <c r="Y1352" s="154" t="s">
        <v>64</v>
      </c>
      <c r="Z1352" s="154" t="s">
        <v>64</v>
      </c>
      <c r="AA1352" s="154"/>
      <c r="AB1352" s="242" t="str">
        <f t="shared" si="2"/>
        <v>#ERROR!</v>
      </c>
      <c r="AC1352" s="154" t="s">
        <v>391</v>
      </c>
      <c r="AD1352" s="242" t="b">
        <f t="shared" si="3"/>
        <v>0</v>
      </c>
      <c r="AE1352" s="154"/>
      <c r="AF1352" s="242" t="str">
        <f t="shared" si="4"/>
        <v>#ERROR!</v>
      </c>
      <c r="AG1352" s="154"/>
      <c r="AH1352" s="242" t="str">
        <f>IF(AG1352="","N/A",INDIRECT("MTR!"&amp;ADDRESS(MATCH(LEFT(AG1352,9),[1]MTR!C:C,0),COLUMN(J1352)),TRUE) &amp; "")</f>
        <v>#ERROR!</v>
      </c>
      <c r="AI1352" s="157" t="str">
        <f t="shared" si="5"/>
        <v>#ERROR!</v>
      </c>
    </row>
    <row r="1353" ht="12.75" customHeight="1">
      <c r="A1353" s="244" t="s">
        <v>5158</v>
      </c>
      <c r="B1353" s="244" t="s">
        <v>231</v>
      </c>
      <c r="C1353" s="244" t="s">
        <v>10187</v>
      </c>
      <c r="D1353" s="154" t="s">
        <v>503</v>
      </c>
      <c r="E1353" s="154"/>
      <c r="F1353" s="154" t="str">
        <f t="array" ref="F1353">XLOOKUP(Cover!$D$12,$R$1:$Z$1,$R1353:$Z1353)</f>
        <v>Recommended</v>
      </c>
      <c r="G1353" s="154" t="s">
        <v>10188</v>
      </c>
      <c r="H1353" s="154" t="s">
        <v>8513</v>
      </c>
      <c r="I1353" s="154" t="s">
        <v>10186</v>
      </c>
      <c r="J1353" s="154" t="s">
        <v>6848</v>
      </c>
      <c r="K1353" s="154" t="s">
        <v>10125</v>
      </c>
      <c r="L1353" s="154" t="s">
        <v>7431</v>
      </c>
      <c r="M1353" s="154"/>
      <c r="N1353" s="154" t="s">
        <v>759</v>
      </c>
      <c r="O1353" s="247" t="s">
        <v>506</v>
      </c>
      <c r="P1353" s="247" t="s">
        <v>6722</v>
      </c>
      <c r="Q1353" s="154" t="str">
        <f t="shared" si="1"/>
        <v>#ERROR!</v>
      </c>
      <c r="R1353" s="154" t="s">
        <v>66</v>
      </c>
      <c r="S1353" s="154" t="s">
        <v>66</v>
      </c>
      <c r="T1353" s="154" t="s">
        <v>64</v>
      </c>
      <c r="U1353" s="154" t="s">
        <v>64</v>
      </c>
      <c r="V1353" s="154" t="s">
        <v>64</v>
      </c>
      <c r="W1353" s="154" t="s">
        <v>64</v>
      </c>
      <c r="X1353" s="154" t="s">
        <v>66</v>
      </c>
      <c r="Y1353" s="154" t="s">
        <v>64</v>
      </c>
      <c r="Z1353" s="154" t="s">
        <v>64</v>
      </c>
      <c r="AA1353" s="154"/>
      <c r="AB1353" s="242" t="str">
        <f t="shared" si="2"/>
        <v>#ERROR!</v>
      </c>
      <c r="AC1353" s="154" t="s">
        <v>391</v>
      </c>
      <c r="AD1353" s="242" t="b">
        <f t="shared" si="3"/>
        <v>0</v>
      </c>
      <c r="AE1353" s="154"/>
      <c r="AF1353" s="242" t="str">
        <f t="shared" si="4"/>
        <v>#ERROR!</v>
      </c>
      <c r="AG1353" s="154"/>
      <c r="AH1353" s="242" t="str">
        <f>IF(AG1353="","N/A",INDIRECT("MTR!"&amp;ADDRESS(MATCH(LEFT(AG1353,9),[1]MTR!C:C,0),COLUMN(J1353)),TRUE) &amp; "")</f>
        <v>#ERROR!</v>
      </c>
      <c r="AI1353" s="157" t="str">
        <f t="shared" si="5"/>
        <v>#ERROR!</v>
      </c>
    </row>
    <row r="1354" ht="12.75" customHeight="1">
      <c r="A1354" s="244" t="s">
        <v>5158</v>
      </c>
      <c r="B1354" s="244" t="s">
        <v>231</v>
      </c>
      <c r="C1354" s="244" t="s">
        <v>10189</v>
      </c>
      <c r="D1354" s="154" t="s">
        <v>503</v>
      </c>
      <c r="E1354" s="154"/>
      <c r="F1354" s="154" t="str">
        <f t="array" ref="F1354">XLOOKUP(Cover!$D$12,$R$1:$Z$1,$R1354:$Z1354)</f>
        <v>Recommended</v>
      </c>
      <c r="G1354" s="154" t="s">
        <v>10190</v>
      </c>
      <c r="H1354" s="154" t="s">
        <v>6847</v>
      </c>
      <c r="I1354" s="154" t="s">
        <v>10186</v>
      </c>
      <c r="J1354" s="154" t="s">
        <v>6848</v>
      </c>
      <c r="K1354" s="154" t="s">
        <v>10125</v>
      </c>
      <c r="L1354" s="154" t="s">
        <v>7431</v>
      </c>
      <c r="M1354" s="154"/>
      <c r="N1354" s="154" t="s">
        <v>759</v>
      </c>
      <c r="O1354" s="247" t="s">
        <v>516</v>
      </c>
      <c r="P1354" s="247" t="s">
        <v>6776</v>
      </c>
      <c r="Q1354" s="154" t="str">
        <f t="shared" si="1"/>
        <v>#ERROR!</v>
      </c>
      <c r="R1354" s="154" t="s">
        <v>66</v>
      </c>
      <c r="S1354" s="154" t="s">
        <v>66</v>
      </c>
      <c r="T1354" s="154" t="s">
        <v>64</v>
      </c>
      <c r="U1354" s="154" t="s">
        <v>64</v>
      </c>
      <c r="V1354" s="154" t="s">
        <v>64</v>
      </c>
      <c r="W1354" s="154" t="s">
        <v>64</v>
      </c>
      <c r="X1354" s="154" t="s">
        <v>66</v>
      </c>
      <c r="Y1354" s="154" t="s">
        <v>64</v>
      </c>
      <c r="Z1354" s="154" t="s">
        <v>64</v>
      </c>
      <c r="AA1354" s="154"/>
      <c r="AB1354" s="242" t="str">
        <f t="shared" si="2"/>
        <v>#ERROR!</v>
      </c>
      <c r="AC1354" s="154" t="s">
        <v>391</v>
      </c>
      <c r="AD1354" s="242" t="b">
        <f t="shared" si="3"/>
        <v>0</v>
      </c>
      <c r="AE1354" s="154"/>
      <c r="AF1354" s="242" t="str">
        <f t="shared" si="4"/>
        <v>#ERROR!</v>
      </c>
      <c r="AG1354" s="154"/>
      <c r="AH1354" s="242" t="str">
        <f>IF(AG1354="","N/A",INDIRECT("MTR!"&amp;ADDRESS(MATCH(LEFT(AG1354,9),[1]MTR!C:C,0),COLUMN(J1354)),TRUE) &amp; "")</f>
        <v>#ERROR!</v>
      </c>
      <c r="AI1354" s="157" t="str">
        <f t="shared" si="5"/>
        <v>#ERROR!</v>
      </c>
    </row>
    <row r="1355" ht="12.75" customHeight="1">
      <c r="A1355" s="244" t="s">
        <v>5158</v>
      </c>
      <c r="B1355" s="244" t="s">
        <v>231</v>
      </c>
      <c r="C1355" s="244" t="s">
        <v>10191</v>
      </c>
      <c r="D1355" s="154" t="s">
        <v>503</v>
      </c>
      <c r="E1355" s="154"/>
      <c r="F1355" s="154" t="str">
        <f t="array" ref="F1355">XLOOKUP(Cover!$D$12,$R$1:$Z$1,$R1355:$Z1355)</f>
        <v>Recommended</v>
      </c>
      <c r="G1355" s="154" t="s">
        <v>10192</v>
      </c>
      <c r="H1355" s="154" t="s">
        <v>8573</v>
      </c>
      <c r="I1355" s="154" t="s">
        <v>10186</v>
      </c>
      <c r="J1355" s="154" t="s">
        <v>6848</v>
      </c>
      <c r="K1355" s="154" t="s">
        <v>10125</v>
      </c>
      <c r="L1355" s="154" t="s">
        <v>7431</v>
      </c>
      <c r="M1355" s="154"/>
      <c r="N1355" s="154" t="s">
        <v>759</v>
      </c>
      <c r="O1355" s="247" t="s">
        <v>516</v>
      </c>
      <c r="P1355" s="247" t="s">
        <v>6776</v>
      </c>
      <c r="Q1355" s="154" t="str">
        <f t="shared" si="1"/>
        <v>#ERROR!</v>
      </c>
      <c r="R1355" s="154" t="s">
        <v>66</v>
      </c>
      <c r="S1355" s="154" t="s">
        <v>66</v>
      </c>
      <c r="T1355" s="154" t="s">
        <v>64</v>
      </c>
      <c r="U1355" s="154" t="s">
        <v>64</v>
      </c>
      <c r="V1355" s="154" t="s">
        <v>64</v>
      </c>
      <c r="W1355" s="154" t="s">
        <v>64</v>
      </c>
      <c r="X1355" s="154" t="s">
        <v>66</v>
      </c>
      <c r="Y1355" s="154" t="s">
        <v>64</v>
      </c>
      <c r="Z1355" s="154" t="s">
        <v>64</v>
      </c>
      <c r="AA1355" s="154"/>
      <c r="AB1355" s="242" t="str">
        <f t="shared" si="2"/>
        <v>#ERROR!</v>
      </c>
      <c r="AC1355" s="154" t="s">
        <v>391</v>
      </c>
      <c r="AD1355" s="242" t="b">
        <f t="shared" si="3"/>
        <v>0</v>
      </c>
      <c r="AE1355" s="154"/>
      <c r="AF1355" s="242" t="str">
        <f t="shared" si="4"/>
        <v>#ERROR!</v>
      </c>
      <c r="AG1355" s="154"/>
      <c r="AH1355" s="242" t="str">
        <f>IF(AG1355="","N/A",INDIRECT("MTR!"&amp;ADDRESS(MATCH(LEFT(AG1355,9),[1]MTR!C:C,0),COLUMN(J1355)),TRUE) &amp; "")</f>
        <v>#ERROR!</v>
      </c>
      <c r="AI1355" s="157" t="str">
        <f t="shared" si="5"/>
        <v>#ERROR!</v>
      </c>
    </row>
    <row r="1356" ht="12.75" customHeight="1">
      <c r="A1356" s="244" t="s">
        <v>5158</v>
      </c>
      <c r="B1356" s="244" t="s">
        <v>231</v>
      </c>
      <c r="C1356" s="244" t="s">
        <v>10193</v>
      </c>
      <c r="D1356" s="154" t="s">
        <v>1773</v>
      </c>
      <c r="E1356" s="154"/>
      <c r="F1356" s="154" t="str">
        <f t="array" ref="F1356">XLOOKUP(Cover!$D$12,$R$1:$Z$1,$R1356:$Z1356)</f>
        <v>Mandatory</v>
      </c>
      <c r="G1356" s="154" t="s">
        <v>10194</v>
      </c>
      <c r="H1356" s="154" t="s">
        <v>6782</v>
      </c>
      <c r="I1356" s="154" t="s">
        <v>10195</v>
      </c>
      <c r="J1356" s="154" t="s">
        <v>6900</v>
      </c>
      <c r="K1356" s="154" t="s">
        <v>10125</v>
      </c>
      <c r="L1356" s="154" t="s">
        <v>7175</v>
      </c>
      <c r="M1356" s="154" t="s">
        <v>1018</v>
      </c>
      <c r="N1356" s="154" t="s">
        <v>759</v>
      </c>
      <c r="O1356" s="247" t="s">
        <v>516</v>
      </c>
      <c r="P1356" s="247" t="s">
        <v>6776</v>
      </c>
      <c r="Q1356" s="154" t="str">
        <f t="shared" si="1"/>
        <v>#ERROR!</v>
      </c>
      <c r="R1356" s="154" t="s">
        <v>66</v>
      </c>
      <c r="S1356" s="154" t="s">
        <v>66</v>
      </c>
      <c r="T1356" s="155" t="s">
        <v>64</v>
      </c>
      <c r="U1356" s="155" t="s">
        <v>64</v>
      </c>
      <c r="V1356" s="154" t="s">
        <v>60</v>
      </c>
      <c r="W1356" s="154" t="s">
        <v>60</v>
      </c>
      <c r="X1356" s="154" t="s">
        <v>66</v>
      </c>
      <c r="Y1356" s="155" t="s">
        <v>64</v>
      </c>
      <c r="Z1356" s="154" t="s">
        <v>60</v>
      </c>
      <c r="AA1356" s="154"/>
      <c r="AB1356" s="242" t="str">
        <f t="shared" si="2"/>
        <v>#ERROR!</v>
      </c>
      <c r="AC1356" s="154" t="s">
        <v>391</v>
      </c>
      <c r="AD1356" s="242" t="b">
        <f t="shared" si="3"/>
        <v>0</v>
      </c>
      <c r="AE1356" s="154"/>
      <c r="AF1356" s="242" t="str">
        <f t="shared" si="4"/>
        <v>#ERROR!</v>
      </c>
      <c r="AG1356" s="154"/>
      <c r="AH1356" s="242" t="str">
        <f>IF(AG1356="","N/A",INDIRECT("MTR!"&amp;ADDRESS(MATCH(LEFT(AG1356,9),[1]MTR!C:C,0),COLUMN(J1356)),TRUE) &amp; "")</f>
        <v>#ERROR!</v>
      </c>
      <c r="AI1356" s="157" t="str">
        <f t="shared" si="5"/>
        <v>#ERROR!</v>
      </c>
    </row>
    <row r="1357" ht="12.75" customHeight="1">
      <c r="A1357" s="244" t="s">
        <v>5158</v>
      </c>
      <c r="B1357" s="244" t="s">
        <v>231</v>
      </c>
      <c r="C1357" s="244" t="s">
        <v>10196</v>
      </c>
      <c r="D1357" s="154" t="s">
        <v>1773</v>
      </c>
      <c r="E1357" s="154"/>
      <c r="F1357" s="154" t="str">
        <f t="array" ref="F1357">XLOOKUP(Cover!$D$12,$R$1:$Z$1,$R1357:$Z1357)</f>
        <v>Mandatory</v>
      </c>
      <c r="G1357" s="154" t="s">
        <v>10197</v>
      </c>
      <c r="H1357" s="154" t="s">
        <v>8519</v>
      </c>
      <c r="I1357" s="154" t="s">
        <v>10195</v>
      </c>
      <c r="J1357" s="154" t="s">
        <v>6900</v>
      </c>
      <c r="K1357" s="154" t="s">
        <v>10125</v>
      </c>
      <c r="L1357" s="154" t="s">
        <v>7175</v>
      </c>
      <c r="M1357" s="154" t="s">
        <v>1018</v>
      </c>
      <c r="N1357" s="154" t="s">
        <v>759</v>
      </c>
      <c r="O1357" s="247" t="s">
        <v>516</v>
      </c>
      <c r="P1357" s="247" t="s">
        <v>6776</v>
      </c>
      <c r="Q1357" s="154" t="str">
        <f t="shared" si="1"/>
        <v>#ERROR!</v>
      </c>
      <c r="R1357" s="154" t="s">
        <v>66</v>
      </c>
      <c r="S1357" s="154" t="s">
        <v>66</v>
      </c>
      <c r="T1357" s="155" t="s">
        <v>64</v>
      </c>
      <c r="U1357" s="155" t="s">
        <v>64</v>
      </c>
      <c r="V1357" s="154" t="s">
        <v>60</v>
      </c>
      <c r="W1357" s="154" t="s">
        <v>60</v>
      </c>
      <c r="X1357" s="154" t="s">
        <v>66</v>
      </c>
      <c r="Y1357" s="155" t="s">
        <v>64</v>
      </c>
      <c r="Z1357" s="154" t="s">
        <v>60</v>
      </c>
      <c r="AA1357" s="154"/>
      <c r="AB1357" s="242" t="str">
        <f t="shared" si="2"/>
        <v>#ERROR!</v>
      </c>
      <c r="AC1357" s="154" t="s">
        <v>391</v>
      </c>
      <c r="AD1357" s="242" t="b">
        <f t="shared" si="3"/>
        <v>0</v>
      </c>
      <c r="AE1357" s="154"/>
      <c r="AF1357" s="242" t="str">
        <f t="shared" si="4"/>
        <v>#ERROR!</v>
      </c>
      <c r="AG1357" s="154"/>
      <c r="AH1357" s="242" t="str">
        <f>IF(AG1357="","N/A",INDIRECT("MTR!"&amp;ADDRESS(MATCH(LEFT(AG1357,9),[1]MTR!C:C,0),COLUMN(J1357)),TRUE) &amp; "")</f>
        <v>#ERROR!</v>
      </c>
      <c r="AI1357" s="157" t="str">
        <f t="shared" si="5"/>
        <v>#ERROR!</v>
      </c>
    </row>
    <row r="1358" ht="12.75" customHeight="1">
      <c r="A1358" s="244" t="s">
        <v>5158</v>
      </c>
      <c r="B1358" s="244" t="s">
        <v>231</v>
      </c>
      <c r="C1358" s="244" t="s">
        <v>10198</v>
      </c>
      <c r="D1358" s="154" t="s">
        <v>503</v>
      </c>
      <c r="E1358" s="154"/>
      <c r="F1358" s="154" t="str">
        <f t="array" ref="F1358">XLOOKUP(Cover!$D$12,$R$1:$Z$1,$R1358:$Z1358)</f>
        <v>Mandatory</v>
      </c>
      <c r="G1358" s="154" t="s">
        <v>10199</v>
      </c>
      <c r="H1358" s="154" t="s">
        <v>6771</v>
      </c>
      <c r="I1358" s="154" t="s">
        <v>10200</v>
      </c>
      <c r="J1358" s="154" t="s">
        <v>6927</v>
      </c>
      <c r="K1358" s="154" t="s">
        <v>10125</v>
      </c>
      <c r="L1358" s="154" t="s">
        <v>7431</v>
      </c>
      <c r="M1358" s="154" t="s">
        <v>175</v>
      </c>
      <c r="N1358" s="154" t="s">
        <v>759</v>
      </c>
      <c r="O1358" s="247" t="s">
        <v>516</v>
      </c>
      <c r="P1358" s="247" t="s">
        <v>6776</v>
      </c>
      <c r="Q1358" s="154" t="str">
        <f t="shared" si="1"/>
        <v>#ERROR!</v>
      </c>
      <c r="R1358" s="154" t="s">
        <v>66</v>
      </c>
      <c r="S1358" s="154" t="s">
        <v>66</v>
      </c>
      <c r="T1358" s="155" t="s">
        <v>64</v>
      </c>
      <c r="U1358" s="155" t="s">
        <v>64</v>
      </c>
      <c r="V1358" s="154" t="s">
        <v>60</v>
      </c>
      <c r="W1358" s="154" t="s">
        <v>60</v>
      </c>
      <c r="X1358" s="154" t="s">
        <v>66</v>
      </c>
      <c r="Y1358" s="155" t="s">
        <v>64</v>
      </c>
      <c r="Z1358" s="154" t="s">
        <v>60</v>
      </c>
      <c r="AA1358" s="154"/>
      <c r="AB1358" s="242" t="str">
        <f t="shared" si="2"/>
        <v>#ERROR!</v>
      </c>
      <c r="AC1358" s="154" t="s">
        <v>391</v>
      </c>
      <c r="AD1358" s="242" t="b">
        <f t="shared" si="3"/>
        <v>0</v>
      </c>
      <c r="AE1358" s="154"/>
      <c r="AF1358" s="242" t="str">
        <f t="shared" si="4"/>
        <v>#ERROR!</v>
      </c>
      <c r="AG1358" s="154"/>
      <c r="AH1358" s="242" t="str">
        <f>IF(AG1358="","N/A",INDIRECT("MTR!"&amp;ADDRESS(MATCH(LEFT(AG1358,9),[1]MTR!C:C,0),COLUMN(J1358)),TRUE) &amp; "")</f>
        <v>#ERROR!</v>
      </c>
      <c r="AI1358" s="157" t="str">
        <f t="shared" si="5"/>
        <v>#ERROR!</v>
      </c>
    </row>
    <row r="1359" ht="12.75" customHeight="1">
      <c r="A1359" s="244" t="s">
        <v>5158</v>
      </c>
      <c r="B1359" s="244" t="s">
        <v>231</v>
      </c>
      <c r="C1359" s="244" t="s">
        <v>10201</v>
      </c>
      <c r="D1359" s="154" t="s">
        <v>503</v>
      </c>
      <c r="E1359" s="154"/>
      <c r="F1359" s="154" t="str">
        <f t="array" ref="F1359">XLOOKUP(Cover!$D$12,$R$1:$Z$1,$R1359:$Z1359)</f>
        <v>Mandatory</v>
      </c>
      <c r="G1359" s="154" t="s">
        <v>10202</v>
      </c>
      <c r="H1359" s="154" t="s">
        <v>1489</v>
      </c>
      <c r="I1359" s="154" t="s">
        <v>10200</v>
      </c>
      <c r="J1359" s="154" t="s">
        <v>6927</v>
      </c>
      <c r="K1359" s="154" t="s">
        <v>10125</v>
      </c>
      <c r="L1359" s="154" t="s">
        <v>7431</v>
      </c>
      <c r="M1359" s="154" t="s">
        <v>175</v>
      </c>
      <c r="N1359" s="154" t="s">
        <v>759</v>
      </c>
      <c r="O1359" s="247" t="s">
        <v>516</v>
      </c>
      <c r="P1359" s="247" t="s">
        <v>6776</v>
      </c>
      <c r="Q1359" s="154" t="str">
        <f t="shared" si="1"/>
        <v>#ERROR!</v>
      </c>
      <c r="R1359" s="154" t="s">
        <v>66</v>
      </c>
      <c r="S1359" s="154" t="s">
        <v>66</v>
      </c>
      <c r="T1359" s="155" t="s">
        <v>64</v>
      </c>
      <c r="U1359" s="155" t="s">
        <v>64</v>
      </c>
      <c r="V1359" s="154" t="s">
        <v>60</v>
      </c>
      <c r="W1359" s="154" t="s">
        <v>60</v>
      </c>
      <c r="X1359" s="154" t="s">
        <v>66</v>
      </c>
      <c r="Y1359" s="155" t="s">
        <v>64</v>
      </c>
      <c r="Z1359" s="154" t="s">
        <v>60</v>
      </c>
      <c r="AA1359" s="154"/>
      <c r="AB1359" s="242" t="str">
        <f t="shared" si="2"/>
        <v>#ERROR!</v>
      </c>
      <c r="AC1359" s="154" t="s">
        <v>391</v>
      </c>
      <c r="AD1359" s="242" t="b">
        <f t="shared" si="3"/>
        <v>0</v>
      </c>
      <c r="AE1359" s="154"/>
      <c r="AF1359" s="242" t="str">
        <f t="shared" si="4"/>
        <v>#ERROR!</v>
      </c>
      <c r="AG1359" s="154"/>
      <c r="AH1359" s="242" t="str">
        <f>IF(AG1359="","N/A",INDIRECT("MTR!"&amp;ADDRESS(MATCH(LEFT(AG1359,9),[1]MTR!C:C,0),COLUMN(J1359)),TRUE) &amp; "")</f>
        <v>#ERROR!</v>
      </c>
      <c r="AI1359" s="157" t="str">
        <f t="shared" si="5"/>
        <v>#ERROR!</v>
      </c>
    </row>
    <row r="1360" ht="12.75" customHeight="1">
      <c r="A1360" s="244" t="s">
        <v>5158</v>
      </c>
      <c r="B1360" s="244" t="s">
        <v>231</v>
      </c>
      <c r="C1360" s="244" t="s">
        <v>10203</v>
      </c>
      <c r="D1360" s="154" t="s">
        <v>503</v>
      </c>
      <c r="E1360" s="154"/>
      <c r="F1360" s="154" t="str">
        <f t="array" ref="F1360">XLOOKUP(Cover!$D$12,$R$1:$Z$1,$R1360:$Z1360)</f>
        <v>Mandatory</v>
      </c>
      <c r="G1360" s="154" t="s">
        <v>10204</v>
      </c>
      <c r="H1360" s="154" t="s">
        <v>6808</v>
      </c>
      <c r="I1360" s="154" t="s">
        <v>10200</v>
      </c>
      <c r="J1360" s="154" t="s">
        <v>6927</v>
      </c>
      <c r="K1360" s="154" t="s">
        <v>10125</v>
      </c>
      <c r="L1360" s="154" t="s">
        <v>7431</v>
      </c>
      <c r="M1360" s="154" t="s">
        <v>175</v>
      </c>
      <c r="N1360" s="154" t="s">
        <v>759</v>
      </c>
      <c r="O1360" s="247" t="s">
        <v>516</v>
      </c>
      <c r="P1360" s="247" t="s">
        <v>6776</v>
      </c>
      <c r="Q1360" s="154" t="str">
        <f t="shared" si="1"/>
        <v>#ERROR!</v>
      </c>
      <c r="R1360" s="154" t="s">
        <v>66</v>
      </c>
      <c r="S1360" s="154" t="s">
        <v>66</v>
      </c>
      <c r="T1360" s="155" t="s">
        <v>64</v>
      </c>
      <c r="U1360" s="155" t="s">
        <v>64</v>
      </c>
      <c r="V1360" s="154" t="s">
        <v>60</v>
      </c>
      <c r="W1360" s="154" t="s">
        <v>60</v>
      </c>
      <c r="X1360" s="154" t="s">
        <v>66</v>
      </c>
      <c r="Y1360" s="155" t="s">
        <v>64</v>
      </c>
      <c r="Z1360" s="154" t="s">
        <v>60</v>
      </c>
      <c r="AA1360" s="154"/>
      <c r="AB1360" s="242" t="str">
        <f t="shared" si="2"/>
        <v>#ERROR!</v>
      </c>
      <c r="AC1360" s="154" t="s">
        <v>391</v>
      </c>
      <c r="AD1360" s="242" t="b">
        <f t="shared" si="3"/>
        <v>0</v>
      </c>
      <c r="AE1360" s="154"/>
      <c r="AF1360" s="242" t="str">
        <f t="shared" si="4"/>
        <v>#ERROR!</v>
      </c>
      <c r="AG1360" s="154"/>
      <c r="AH1360" s="242" t="str">
        <f>IF(AG1360="","N/A",INDIRECT("MTR!"&amp;ADDRESS(MATCH(LEFT(AG1360,9),[1]MTR!C:C,0),COLUMN(J1360)),TRUE) &amp; "")</f>
        <v>#ERROR!</v>
      </c>
      <c r="AI1360" s="157" t="str">
        <f t="shared" si="5"/>
        <v>#ERROR!</v>
      </c>
    </row>
    <row r="1361" ht="12.75" customHeight="1">
      <c r="A1361" s="244" t="s">
        <v>5158</v>
      </c>
      <c r="B1361" s="244" t="s">
        <v>231</v>
      </c>
      <c r="C1361" s="244" t="s">
        <v>10205</v>
      </c>
      <c r="D1361" s="154" t="s">
        <v>503</v>
      </c>
      <c r="E1361" s="154"/>
      <c r="F1361" s="154" t="str">
        <f t="array" ref="F1361">XLOOKUP(Cover!$D$12,$R$1:$Z$1,$R1361:$Z1361)</f>
        <v>Recommended</v>
      </c>
      <c r="G1361" s="154" t="s">
        <v>10206</v>
      </c>
      <c r="H1361" s="154" t="s">
        <v>6775</v>
      </c>
      <c r="I1361" s="154" t="s">
        <v>10200</v>
      </c>
      <c r="J1361" s="154" t="s">
        <v>6927</v>
      </c>
      <c r="K1361" s="154" t="s">
        <v>10125</v>
      </c>
      <c r="L1361" s="154" t="s">
        <v>7431</v>
      </c>
      <c r="M1361" s="154"/>
      <c r="N1361" s="154" t="s">
        <v>759</v>
      </c>
      <c r="O1361" s="247" t="s">
        <v>516</v>
      </c>
      <c r="P1361" s="247" t="s">
        <v>6776</v>
      </c>
      <c r="Q1361" s="154" t="str">
        <f t="shared" si="1"/>
        <v>#ERROR!</v>
      </c>
      <c r="R1361" s="154" t="s">
        <v>66</v>
      </c>
      <c r="S1361" s="154" t="s">
        <v>66</v>
      </c>
      <c r="T1361" s="154" t="s">
        <v>64</v>
      </c>
      <c r="U1361" s="154" t="s">
        <v>64</v>
      </c>
      <c r="V1361" s="154" t="s">
        <v>64</v>
      </c>
      <c r="W1361" s="154" t="s">
        <v>64</v>
      </c>
      <c r="X1361" s="154" t="s">
        <v>66</v>
      </c>
      <c r="Y1361" s="154" t="s">
        <v>64</v>
      </c>
      <c r="Z1361" s="154" t="s">
        <v>64</v>
      </c>
      <c r="AA1361" s="154"/>
      <c r="AB1361" s="242" t="str">
        <f t="shared" si="2"/>
        <v>#ERROR!</v>
      </c>
      <c r="AC1361" s="154" t="s">
        <v>391</v>
      </c>
      <c r="AD1361" s="242" t="b">
        <f t="shared" si="3"/>
        <v>0</v>
      </c>
      <c r="AE1361" s="154"/>
      <c r="AF1361" s="242" t="str">
        <f t="shared" si="4"/>
        <v>#ERROR!</v>
      </c>
      <c r="AG1361" s="154"/>
      <c r="AH1361" s="242" t="str">
        <f>IF(AG1361="","N/A",INDIRECT("MTR!"&amp;ADDRESS(MATCH(LEFT(AG1361,9),[1]MTR!C:C,0),COLUMN(J1361)),TRUE) &amp; "")</f>
        <v>#ERROR!</v>
      </c>
      <c r="AI1361" s="157" t="str">
        <f t="shared" si="5"/>
        <v>#ERROR!</v>
      </c>
    </row>
    <row r="1362" ht="12.75" customHeight="1">
      <c r="A1362" s="244" t="s">
        <v>5158</v>
      </c>
      <c r="B1362" s="244" t="s">
        <v>231</v>
      </c>
      <c r="C1362" s="244" t="s">
        <v>10207</v>
      </c>
      <c r="D1362" s="154" t="s">
        <v>503</v>
      </c>
      <c r="E1362" s="154"/>
      <c r="F1362" s="154" t="str">
        <f t="array" ref="F1362">XLOOKUP(Cover!$D$12,$R$1:$Z$1,$R1362:$Z1362)</f>
        <v>Recommended</v>
      </c>
      <c r="G1362" s="154" t="s">
        <v>10208</v>
      </c>
      <c r="H1362" s="154" t="s">
        <v>8513</v>
      </c>
      <c r="I1362" s="154" t="s">
        <v>10200</v>
      </c>
      <c r="J1362" s="154" t="s">
        <v>6927</v>
      </c>
      <c r="K1362" s="154" t="s">
        <v>10125</v>
      </c>
      <c r="L1362" s="154" t="s">
        <v>7431</v>
      </c>
      <c r="M1362" s="154"/>
      <c r="N1362" s="154" t="s">
        <v>759</v>
      </c>
      <c r="O1362" s="247" t="s">
        <v>516</v>
      </c>
      <c r="P1362" s="247" t="s">
        <v>6776</v>
      </c>
      <c r="Q1362" s="154" t="str">
        <f t="shared" si="1"/>
        <v>#ERROR!</v>
      </c>
      <c r="R1362" s="154" t="s">
        <v>66</v>
      </c>
      <c r="S1362" s="154" t="s">
        <v>66</v>
      </c>
      <c r="T1362" s="154" t="s">
        <v>64</v>
      </c>
      <c r="U1362" s="154" t="s">
        <v>64</v>
      </c>
      <c r="V1362" s="154" t="s">
        <v>64</v>
      </c>
      <c r="W1362" s="154" t="s">
        <v>64</v>
      </c>
      <c r="X1362" s="154" t="s">
        <v>66</v>
      </c>
      <c r="Y1362" s="154" t="s">
        <v>64</v>
      </c>
      <c r="Z1362" s="154" t="s">
        <v>64</v>
      </c>
      <c r="AA1362" s="154"/>
      <c r="AB1362" s="242" t="str">
        <f t="shared" si="2"/>
        <v>#ERROR!</v>
      </c>
      <c r="AC1362" s="154" t="s">
        <v>391</v>
      </c>
      <c r="AD1362" s="242" t="b">
        <f t="shared" si="3"/>
        <v>0</v>
      </c>
      <c r="AE1362" s="154"/>
      <c r="AF1362" s="242" t="str">
        <f t="shared" si="4"/>
        <v>#ERROR!</v>
      </c>
      <c r="AG1362" s="154"/>
      <c r="AH1362" s="242" t="str">
        <f>IF(AG1362="","N/A",INDIRECT("MTR!"&amp;ADDRESS(MATCH(LEFT(AG1362,9),[1]MTR!C:C,0),COLUMN(J1362)),TRUE) &amp; "")</f>
        <v>#ERROR!</v>
      </c>
      <c r="AI1362" s="157" t="str">
        <f t="shared" si="5"/>
        <v>#ERROR!</v>
      </c>
    </row>
    <row r="1363" ht="12.75" customHeight="1">
      <c r="A1363" s="244" t="s">
        <v>5158</v>
      </c>
      <c r="B1363" s="244" t="s">
        <v>231</v>
      </c>
      <c r="C1363" s="244" t="s">
        <v>10209</v>
      </c>
      <c r="D1363" s="154" t="s">
        <v>781</v>
      </c>
      <c r="E1363" s="154"/>
      <c r="F1363" s="154" t="str">
        <f t="array" ref="F1363">XLOOKUP(Cover!$D$12,$R$1:$Z$1,$R1363:$Z1363)</f>
        <v>Mandatory</v>
      </c>
      <c r="G1363" s="154" t="s">
        <v>10210</v>
      </c>
      <c r="H1363" s="154" t="s">
        <v>6771</v>
      </c>
      <c r="I1363" s="154" t="s">
        <v>10211</v>
      </c>
      <c r="J1363" s="154" t="s">
        <v>6956</v>
      </c>
      <c r="K1363" s="154" t="s">
        <v>10125</v>
      </c>
      <c r="L1363" s="154" t="s">
        <v>6140</v>
      </c>
      <c r="M1363" s="154" t="s">
        <v>175</v>
      </c>
      <c r="N1363" s="154" t="s">
        <v>759</v>
      </c>
      <c r="O1363" s="247" t="s">
        <v>516</v>
      </c>
      <c r="P1363" s="247" t="s">
        <v>6776</v>
      </c>
      <c r="Q1363" s="154" t="str">
        <f t="shared" si="1"/>
        <v>#ERROR!</v>
      </c>
      <c r="R1363" s="154" t="s">
        <v>66</v>
      </c>
      <c r="S1363" s="154" t="s">
        <v>66</v>
      </c>
      <c r="T1363" s="155" t="s">
        <v>64</v>
      </c>
      <c r="U1363" s="155" t="s">
        <v>64</v>
      </c>
      <c r="V1363" s="154" t="s">
        <v>60</v>
      </c>
      <c r="W1363" s="154" t="s">
        <v>60</v>
      </c>
      <c r="X1363" s="154" t="s">
        <v>66</v>
      </c>
      <c r="Y1363" s="155" t="s">
        <v>64</v>
      </c>
      <c r="Z1363" s="154" t="s">
        <v>60</v>
      </c>
      <c r="AA1363" s="154"/>
      <c r="AB1363" s="242" t="str">
        <f t="shared" si="2"/>
        <v>#ERROR!</v>
      </c>
      <c r="AC1363" s="154" t="s">
        <v>391</v>
      </c>
      <c r="AD1363" s="242" t="b">
        <f t="shared" si="3"/>
        <v>0</v>
      </c>
      <c r="AE1363" s="154"/>
      <c r="AF1363" s="242" t="str">
        <f t="shared" si="4"/>
        <v>#ERROR!</v>
      </c>
      <c r="AG1363" s="154"/>
      <c r="AH1363" s="242" t="str">
        <f>IF(AG1363="","N/A",INDIRECT("MTR!"&amp;ADDRESS(MATCH(LEFT(AG1363,9),[1]MTR!C:C,0),COLUMN(J1363)),TRUE) &amp; "")</f>
        <v>#ERROR!</v>
      </c>
      <c r="AI1363" s="157" t="str">
        <f t="shared" si="5"/>
        <v>#ERROR!</v>
      </c>
    </row>
    <row r="1364" ht="12.75" customHeight="1">
      <c r="A1364" s="244" t="s">
        <v>5158</v>
      </c>
      <c r="B1364" s="244" t="s">
        <v>231</v>
      </c>
      <c r="C1364" s="244" t="s">
        <v>10212</v>
      </c>
      <c r="D1364" s="154" t="s">
        <v>781</v>
      </c>
      <c r="E1364" s="154"/>
      <c r="F1364" s="154" t="str">
        <f t="array" ref="F1364">XLOOKUP(Cover!$D$12,$R$1:$Z$1,$R1364:$Z1364)</f>
        <v>Mandatory</v>
      </c>
      <c r="G1364" s="154" t="s">
        <v>10213</v>
      </c>
      <c r="H1364" s="154" t="s">
        <v>1489</v>
      </c>
      <c r="I1364" s="154" t="s">
        <v>10211</v>
      </c>
      <c r="J1364" s="154" t="s">
        <v>6956</v>
      </c>
      <c r="K1364" s="154" t="s">
        <v>10125</v>
      </c>
      <c r="L1364" s="154" t="s">
        <v>6140</v>
      </c>
      <c r="M1364" s="154" t="s">
        <v>175</v>
      </c>
      <c r="N1364" s="154" t="s">
        <v>759</v>
      </c>
      <c r="O1364" s="247" t="s">
        <v>516</v>
      </c>
      <c r="P1364" s="247" t="s">
        <v>6776</v>
      </c>
      <c r="Q1364" s="154" t="str">
        <f t="shared" si="1"/>
        <v>#ERROR!</v>
      </c>
      <c r="R1364" s="154" t="s">
        <v>66</v>
      </c>
      <c r="S1364" s="154" t="s">
        <v>66</v>
      </c>
      <c r="T1364" s="155" t="s">
        <v>64</v>
      </c>
      <c r="U1364" s="155" t="s">
        <v>64</v>
      </c>
      <c r="V1364" s="154" t="s">
        <v>60</v>
      </c>
      <c r="W1364" s="154" t="s">
        <v>60</v>
      </c>
      <c r="X1364" s="154" t="s">
        <v>66</v>
      </c>
      <c r="Y1364" s="155" t="s">
        <v>64</v>
      </c>
      <c r="Z1364" s="154" t="s">
        <v>60</v>
      </c>
      <c r="AA1364" s="154"/>
      <c r="AB1364" s="242" t="str">
        <f t="shared" si="2"/>
        <v>#ERROR!</v>
      </c>
      <c r="AC1364" s="154" t="s">
        <v>391</v>
      </c>
      <c r="AD1364" s="242" t="b">
        <f t="shared" si="3"/>
        <v>0</v>
      </c>
      <c r="AE1364" s="154"/>
      <c r="AF1364" s="242" t="str">
        <f t="shared" si="4"/>
        <v>#ERROR!</v>
      </c>
      <c r="AG1364" s="154"/>
      <c r="AH1364" s="242" t="str">
        <f>IF(AG1364="","N/A",INDIRECT("MTR!"&amp;ADDRESS(MATCH(LEFT(AG1364,9),[1]MTR!C:C,0),COLUMN(J1364)),TRUE) &amp; "")</f>
        <v>#ERROR!</v>
      </c>
      <c r="AI1364" s="157" t="str">
        <f t="shared" si="5"/>
        <v>#ERROR!</v>
      </c>
    </row>
    <row r="1365" ht="12.75" customHeight="1">
      <c r="A1365" s="244" t="s">
        <v>5158</v>
      </c>
      <c r="B1365" s="244" t="s">
        <v>231</v>
      </c>
      <c r="C1365" s="244" t="s">
        <v>10214</v>
      </c>
      <c r="D1365" s="154" t="s">
        <v>781</v>
      </c>
      <c r="E1365" s="154"/>
      <c r="F1365" s="154" t="str">
        <f t="array" ref="F1365">XLOOKUP(Cover!$D$12,$R$1:$Z$1,$R1365:$Z1365)</f>
        <v>Mandatory</v>
      </c>
      <c r="G1365" s="154" t="s">
        <v>10215</v>
      </c>
      <c r="H1365" s="154" t="s">
        <v>6808</v>
      </c>
      <c r="I1365" s="154" t="s">
        <v>10211</v>
      </c>
      <c r="J1365" s="154" t="s">
        <v>6956</v>
      </c>
      <c r="K1365" s="154" t="s">
        <v>10125</v>
      </c>
      <c r="L1365" s="154" t="s">
        <v>6140</v>
      </c>
      <c r="M1365" s="154" t="s">
        <v>175</v>
      </c>
      <c r="N1365" s="154" t="s">
        <v>759</v>
      </c>
      <c r="O1365" s="247" t="s">
        <v>516</v>
      </c>
      <c r="P1365" s="247" t="s">
        <v>6776</v>
      </c>
      <c r="Q1365" s="154" t="str">
        <f t="shared" si="1"/>
        <v>#ERROR!</v>
      </c>
      <c r="R1365" s="154" t="s">
        <v>66</v>
      </c>
      <c r="S1365" s="154" t="s">
        <v>66</v>
      </c>
      <c r="T1365" s="155" t="s">
        <v>64</v>
      </c>
      <c r="U1365" s="155" t="s">
        <v>64</v>
      </c>
      <c r="V1365" s="154" t="s">
        <v>60</v>
      </c>
      <c r="W1365" s="154" t="s">
        <v>60</v>
      </c>
      <c r="X1365" s="154" t="s">
        <v>66</v>
      </c>
      <c r="Y1365" s="155" t="s">
        <v>64</v>
      </c>
      <c r="Z1365" s="154" t="s">
        <v>60</v>
      </c>
      <c r="AA1365" s="154"/>
      <c r="AB1365" s="242" t="str">
        <f t="shared" si="2"/>
        <v>#ERROR!</v>
      </c>
      <c r="AC1365" s="154" t="s">
        <v>391</v>
      </c>
      <c r="AD1365" s="242" t="b">
        <f t="shared" si="3"/>
        <v>0</v>
      </c>
      <c r="AE1365" s="154"/>
      <c r="AF1365" s="242" t="str">
        <f t="shared" si="4"/>
        <v>#ERROR!</v>
      </c>
      <c r="AG1365" s="154"/>
      <c r="AH1365" s="242" t="str">
        <f>IF(AG1365="","N/A",INDIRECT("MTR!"&amp;ADDRESS(MATCH(LEFT(AG1365,9),[1]MTR!C:C,0),COLUMN(J1365)),TRUE) &amp; "")</f>
        <v>#ERROR!</v>
      </c>
      <c r="AI1365" s="157" t="str">
        <f t="shared" si="5"/>
        <v>#ERROR!</v>
      </c>
    </row>
    <row r="1366" ht="12.75" customHeight="1">
      <c r="A1366" s="244" t="s">
        <v>5158</v>
      </c>
      <c r="B1366" s="244" t="s">
        <v>231</v>
      </c>
      <c r="C1366" s="244" t="s">
        <v>10216</v>
      </c>
      <c r="D1366" s="154" t="s">
        <v>781</v>
      </c>
      <c r="E1366" s="154"/>
      <c r="F1366" s="154" t="str">
        <f t="array" ref="F1366">XLOOKUP(Cover!$D$12,$R$1:$Z$1,$R1366:$Z1366)</f>
        <v>Mandatory</v>
      </c>
      <c r="G1366" s="154" t="s">
        <v>10217</v>
      </c>
      <c r="H1366" s="154" t="s">
        <v>8550</v>
      </c>
      <c r="I1366" s="154" t="s">
        <v>10211</v>
      </c>
      <c r="J1366" s="154" t="s">
        <v>6956</v>
      </c>
      <c r="K1366" s="154" t="s">
        <v>10125</v>
      </c>
      <c r="L1366" s="154" t="s">
        <v>6140</v>
      </c>
      <c r="M1366" s="154" t="s">
        <v>175</v>
      </c>
      <c r="N1366" s="154" t="s">
        <v>759</v>
      </c>
      <c r="O1366" s="247" t="s">
        <v>516</v>
      </c>
      <c r="P1366" s="247" t="s">
        <v>6776</v>
      </c>
      <c r="Q1366" s="154" t="str">
        <f t="shared" si="1"/>
        <v>#ERROR!</v>
      </c>
      <c r="R1366" s="154" t="s">
        <v>66</v>
      </c>
      <c r="S1366" s="154" t="s">
        <v>66</v>
      </c>
      <c r="T1366" s="155" t="s">
        <v>64</v>
      </c>
      <c r="U1366" s="155" t="s">
        <v>64</v>
      </c>
      <c r="V1366" s="154" t="s">
        <v>60</v>
      </c>
      <c r="W1366" s="154" t="s">
        <v>60</v>
      </c>
      <c r="X1366" s="154" t="s">
        <v>66</v>
      </c>
      <c r="Y1366" s="155" t="s">
        <v>64</v>
      </c>
      <c r="Z1366" s="154" t="s">
        <v>60</v>
      </c>
      <c r="AA1366" s="154"/>
      <c r="AB1366" s="242" t="str">
        <f t="shared" si="2"/>
        <v>#ERROR!</v>
      </c>
      <c r="AC1366" s="154" t="s">
        <v>391</v>
      </c>
      <c r="AD1366" s="242" t="b">
        <f t="shared" si="3"/>
        <v>0</v>
      </c>
      <c r="AE1366" s="154"/>
      <c r="AF1366" s="242" t="str">
        <f t="shared" si="4"/>
        <v>#ERROR!</v>
      </c>
      <c r="AG1366" s="154"/>
      <c r="AH1366" s="242" t="str">
        <f>IF(AG1366="","N/A",INDIRECT("MTR!"&amp;ADDRESS(MATCH(LEFT(AG1366,9),[1]MTR!C:C,0),COLUMN(J1366)),TRUE) &amp; "")</f>
        <v>#ERROR!</v>
      </c>
      <c r="AI1366" s="157" t="str">
        <f t="shared" si="5"/>
        <v>#ERROR!</v>
      </c>
    </row>
    <row r="1367" ht="12.75" customHeight="1">
      <c r="A1367" s="244" t="s">
        <v>5158</v>
      </c>
      <c r="B1367" s="244" t="s">
        <v>231</v>
      </c>
      <c r="C1367" s="244" t="s">
        <v>10218</v>
      </c>
      <c r="D1367" s="154" t="s">
        <v>781</v>
      </c>
      <c r="E1367" s="154"/>
      <c r="F1367" s="154" t="str">
        <f t="array" ref="F1367">XLOOKUP(Cover!$D$12,$R$1:$Z$1,$R1367:$Z1367)</f>
        <v>Mandatory</v>
      </c>
      <c r="G1367" s="154" t="s">
        <v>10219</v>
      </c>
      <c r="H1367" s="154" t="s">
        <v>6782</v>
      </c>
      <c r="I1367" s="154" t="s">
        <v>10211</v>
      </c>
      <c r="J1367" s="154" t="s">
        <v>6956</v>
      </c>
      <c r="K1367" s="154" t="s">
        <v>10125</v>
      </c>
      <c r="L1367" s="154" t="s">
        <v>6140</v>
      </c>
      <c r="M1367" s="154" t="s">
        <v>175</v>
      </c>
      <c r="N1367" s="154" t="s">
        <v>759</v>
      </c>
      <c r="O1367" s="247" t="s">
        <v>516</v>
      </c>
      <c r="P1367" s="247" t="s">
        <v>6776</v>
      </c>
      <c r="Q1367" s="154" t="str">
        <f t="shared" si="1"/>
        <v>#ERROR!</v>
      </c>
      <c r="R1367" s="154" t="s">
        <v>66</v>
      </c>
      <c r="S1367" s="154" t="s">
        <v>66</v>
      </c>
      <c r="T1367" s="155" t="s">
        <v>64</v>
      </c>
      <c r="U1367" s="155" t="s">
        <v>64</v>
      </c>
      <c r="V1367" s="154" t="s">
        <v>60</v>
      </c>
      <c r="W1367" s="154" t="s">
        <v>60</v>
      </c>
      <c r="X1367" s="154" t="s">
        <v>66</v>
      </c>
      <c r="Y1367" s="155" t="s">
        <v>64</v>
      </c>
      <c r="Z1367" s="154" t="s">
        <v>60</v>
      </c>
      <c r="AA1367" s="154"/>
      <c r="AB1367" s="242" t="str">
        <f t="shared" si="2"/>
        <v>#ERROR!</v>
      </c>
      <c r="AC1367" s="154" t="s">
        <v>391</v>
      </c>
      <c r="AD1367" s="242" t="b">
        <f t="shared" si="3"/>
        <v>0</v>
      </c>
      <c r="AE1367" s="154"/>
      <c r="AF1367" s="242" t="str">
        <f t="shared" si="4"/>
        <v>#ERROR!</v>
      </c>
      <c r="AG1367" s="154"/>
      <c r="AH1367" s="242" t="str">
        <f>IF(AG1367="","N/A",INDIRECT("MTR!"&amp;ADDRESS(MATCH(LEFT(AG1367,9),[1]MTR!C:C,0),COLUMN(J1367)),TRUE) &amp; "")</f>
        <v>#ERROR!</v>
      </c>
      <c r="AI1367" s="157" t="str">
        <f t="shared" si="5"/>
        <v>#ERROR!</v>
      </c>
    </row>
    <row r="1368" ht="12.75" customHeight="1">
      <c r="A1368" s="244" t="s">
        <v>5158</v>
      </c>
      <c r="B1368" s="244" t="s">
        <v>231</v>
      </c>
      <c r="C1368" s="244" t="s">
        <v>10220</v>
      </c>
      <c r="D1368" s="154" t="s">
        <v>781</v>
      </c>
      <c r="E1368" s="154"/>
      <c r="F1368" s="154" t="str">
        <f t="array" ref="F1368">XLOOKUP(Cover!$D$12,$R$1:$Z$1,$R1368:$Z1368)</f>
        <v>Mandatory</v>
      </c>
      <c r="G1368" s="154" t="s">
        <v>10221</v>
      </c>
      <c r="H1368" s="154" t="s">
        <v>8519</v>
      </c>
      <c r="I1368" s="154" t="s">
        <v>10211</v>
      </c>
      <c r="J1368" s="154" t="s">
        <v>6956</v>
      </c>
      <c r="K1368" s="154" t="s">
        <v>10125</v>
      </c>
      <c r="L1368" s="154" t="s">
        <v>6140</v>
      </c>
      <c r="M1368" s="154" t="s">
        <v>175</v>
      </c>
      <c r="N1368" s="154" t="s">
        <v>759</v>
      </c>
      <c r="O1368" s="247" t="s">
        <v>516</v>
      </c>
      <c r="P1368" s="247" t="s">
        <v>6776</v>
      </c>
      <c r="Q1368" s="154" t="str">
        <f t="shared" si="1"/>
        <v>#ERROR!</v>
      </c>
      <c r="R1368" s="154" t="s">
        <v>66</v>
      </c>
      <c r="S1368" s="154" t="s">
        <v>66</v>
      </c>
      <c r="T1368" s="155" t="s">
        <v>64</v>
      </c>
      <c r="U1368" s="155" t="s">
        <v>64</v>
      </c>
      <c r="V1368" s="154" t="s">
        <v>60</v>
      </c>
      <c r="W1368" s="154" t="s">
        <v>60</v>
      </c>
      <c r="X1368" s="154" t="s">
        <v>66</v>
      </c>
      <c r="Y1368" s="155" t="s">
        <v>64</v>
      </c>
      <c r="Z1368" s="154" t="s">
        <v>60</v>
      </c>
      <c r="AA1368" s="154"/>
      <c r="AB1368" s="242" t="str">
        <f t="shared" si="2"/>
        <v>#ERROR!</v>
      </c>
      <c r="AC1368" s="154" t="s">
        <v>391</v>
      </c>
      <c r="AD1368" s="242" t="b">
        <f t="shared" si="3"/>
        <v>0</v>
      </c>
      <c r="AE1368" s="154"/>
      <c r="AF1368" s="242" t="str">
        <f t="shared" si="4"/>
        <v>#ERROR!</v>
      </c>
      <c r="AG1368" s="154"/>
      <c r="AH1368" s="242" t="str">
        <f>IF(AG1368="","N/A",INDIRECT("MTR!"&amp;ADDRESS(MATCH(LEFT(AG1368,9),[1]MTR!C:C,0),COLUMN(J1368)),TRUE) &amp; "")</f>
        <v>#ERROR!</v>
      </c>
      <c r="AI1368" s="157" t="str">
        <f t="shared" si="5"/>
        <v>#ERROR!</v>
      </c>
    </row>
    <row r="1369" ht="12.75" customHeight="1">
      <c r="A1369" s="244" t="s">
        <v>5158</v>
      </c>
      <c r="B1369" s="244" t="s">
        <v>231</v>
      </c>
      <c r="C1369" s="244" t="s">
        <v>10222</v>
      </c>
      <c r="D1369" s="154" t="s">
        <v>1773</v>
      </c>
      <c r="E1369" s="154"/>
      <c r="F1369" s="154" t="str">
        <f t="array" ref="F1369">XLOOKUP(Cover!$D$12,$R$1:$Z$1,$R1369:$Z1369)</f>
        <v>Mandatory</v>
      </c>
      <c r="G1369" s="154" t="s">
        <v>10223</v>
      </c>
      <c r="H1369" s="154" t="s">
        <v>6771</v>
      </c>
      <c r="I1369" s="154" t="s">
        <v>10224</v>
      </c>
      <c r="J1369" s="154" t="s">
        <v>6978</v>
      </c>
      <c r="K1369" s="154" t="s">
        <v>10125</v>
      </c>
      <c r="L1369" s="154" t="s">
        <v>7175</v>
      </c>
      <c r="M1369" s="154" t="s">
        <v>175</v>
      </c>
      <c r="N1369" s="154" t="s">
        <v>759</v>
      </c>
      <c r="O1369" s="247" t="s">
        <v>516</v>
      </c>
      <c r="P1369" s="247" t="s">
        <v>6776</v>
      </c>
      <c r="Q1369" s="154" t="str">
        <f t="shared" si="1"/>
        <v>#ERROR!</v>
      </c>
      <c r="R1369" s="154" t="s">
        <v>66</v>
      </c>
      <c r="S1369" s="154" t="s">
        <v>66</v>
      </c>
      <c r="T1369" s="155" t="s">
        <v>64</v>
      </c>
      <c r="U1369" s="155" t="s">
        <v>64</v>
      </c>
      <c r="V1369" s="154" t="s">
        <v>60</v>
      </c>
      <c r="W1369" s="154" t="s">
        <v>60</v>
      </c>
      <c r="X1369" s="154" t="s">
        <v>66</v>
      </c>
      <c r="Y1369" s="155" t="s">
        <v>64</v>
      </c>
      <c r="Z1369" s="154" t="s">
        <v>60</v>
      </c>
      <c r="AA1369" s="154"/>
      <c r="AB1369" s="242" t="str">
        <f t="shared" si="2"/>
        <v>#ERROR!</v>
      </c>
      <c r="AC1369" s="154" t="s">
        <v>391</v>
      </c>
      <c r="AD1369" s="242" t="b">
        <f t="shared" si="3"/>
        <v>0</v>
      </c>
      <c r="AE1369" s="154"/>
      <c r="AF1369" s="242" t="str">
        <f t="shared" si="4"/>
        <v>#ERROR!</v>
      </c>
      <c r="AG1369" s="154"/>
      <c r="AH1369" s="242" t="str">
        <f>IF(AG1369="","N/A",INDIRECT("MTR!"&amp;ADDRESS(MATCH(LEFT(AG1369,9),[1]MTR!C:C,0),COLUMN(J1369)),TRUE) &amp; "")</f>
        <v>#ERROR!</v>
      </c>
      <c r="AI1369" s="157" t="str">
        <f t="shared" si="5"/>
        <v>#ERROR!</v>
      </c>
    </row>
    <row r="1370" ht="12.75" customHeight="1">
      <c r="A1370" s="244" t="s">
        <v>5158</v>
      </c>
      <c r="B1370" s="244" t="s">
        <v>231</v>
      </c>
      <c r="C1370" s="244" t="s">
        <v>10225</v>
      </c>
      <c r="D1370" s="154" t="s">
        <v>1773</v>
      </c>
      <c r="E1370" s="154"/>
      <c r="F1370" s="154" t="str">
        <f t="array" ref="F1370">XLOOKUP(Cover!$D$12,$R$1:$Z$1,$R1370:$Z1370)</f>
        <v>Mandatory</v>
      </c>
      <c r="G1370" s="154" t="s">
        <v>10226</v>
      </c>
      <c r="H1370" s="154" t="s">
        <v>1489</v>
      </c>
      <c r="I1370" s="154" t="s">
        <v>10224</v>
      </c>
      <c r="J1370" s="154" t="s">
        <v>6978</v>
      </c>
      <c r="K1370" s="154" t="s">
        <v>10125</v>
      </c>
      <c r="L1370" s="154" t="s">
        <v>7175</v>
      </c>
      <c r="M1370" s="154" t="s">
        <v>175</v>
      </c>
      <c r="N1370" s="154" t="s">
        <v>759</v>
      </c>
      <c r="O1370" s="247" t="s">
        <v>516</v>
      </c>
      <c r="P1370" s="247" t="s">
        <v>6776</v>
      </c>
      <c r="Q1370" s="154" t="str">
        <f t="shared" si="1"/>
        <v>#ERROR!</v>
      </c>
      <c r="R1370" s="154" t="s">
        <v>66</v>
      </c>
      <c r="S1370" s="154" t="s">
        <v>66</v>
      </c>
      <c r="T1370" s="155" t="s">
        <v>64</v>
      </c>
      <c r="U1370" s="155" t="s">
        <v>64</v>
      </c>
      <c r="V1370" s="154" t="s">
        <v>60</v>
      </c>
      <c r="W1370" s="154" t="s">
        <v>60</v>
      </c>
      <c r="X1370" s="154" t="s">
        <v>66</v>
      </c>
      <c r="Y1370" s="155" t="s">
        <v>64</v>
      </c>
      <c r="Z1370" s="154" t="s">
        <v>60</v>
      </c>
      <c r="AA1370" s="154"/>
      <c r="AB1370" s="242" t="str">
        <f t="shared" si="2"/>
        <v>#ERROR!</v>
      </c>
      <c r="AC1370" s="154" t="s">
        <v>391</v>
      </c>
      <c r="AD1370" s="242" t="b">
        <f t="shared" si="3"/>
        <v>0</v>
      </c>
      <c r="AE1370" s="154"/>
      <c r="AF1370" s="242" t="str">
        <f t="shared" si="4"/>
        <v>#ERROR!</v>
      </c>
      <c r="AG1370" s="154"/>
      <c r="AH1370" s="242" t="str">
        <f>IF(AG1370="","N/A",INDIRECT("MTR!"&amp;ADDRESS(MATCH(LEFT(AG1370,9),[1]MTR!C:C,0),COLUMN(J1370)),TRUE) &amp; "")</f>
        <v>#ERROR!</v>
      </c>
      <c r="AI1370" s="157" t="str">
        <f t="shared" si="5"/>
        <v>#ERROR!</v>
      </c>
    </row>
    <row r="1371" ht="12.75" customHeight="1">
      <c r="A1371" s="244" t="s">
        <v>5158</v>
      </c>
      <c r="B1371" s="244" t="s">
        <v>231</v>
      </c>
      <c r="C1371" s="244" t="s">
        <v>10227</v>
      </c>
      <c r="D1371" s="154" t="s">
        <v>1773</v>
      </c>
      <c r="E1371" s="154"/>
      <c r="F1371" s="154" t="str">
        <f t="array" ref="F1371">XLOOKUP(Cover!$D$12,$R$1:$Z$1,$R1371:$Z1371)</f>
        <v>Mandatory</v>
      </c>
      <c r="G1371" s="154" t="s">
        <v>10228</v>
      </c>
      <c r="H1371" s="154" t="s">
        <v>6808</v>
      </c>
      <c r="I1371" s="154" t="s">
        <v>10224</v>
      </c>
      <c r="J1371" s="154" t="s">
        <v>6978</v>
      </c>
      <c r="K1371" s="154" t="s">
        <v>10125</v>
      </c>
      <c r="L1371" s="154" t="s">
        <v>7175</v>
      </c>
      <c r="M1371" s="154" t="s">
        <v>175</v>
      </c>
      <c r="N1371" s="154" t="s">
        <v>759</v>
      </c>
      <c r="O1371" s="247" t="s">
        <v>516</v>
      </c>
      <c r="P1371" s="247" t="s">
        <v>6776</v>
      </c>
      <c r="Q1371" s="154" t="str">
        <f t="shared" si="1"/>
        <v>#ERROR!</v>
      </c>
      <c r="R1371" s="154" t="s">
        <v>66</v>
      </c>
      <c r="S1371" s="154" t="s">
        <v>66</v>
      </c>
      <c r="T1371" s="155" t="s">
        <v>64</v>
      </c>
      <c r="U1371" s="155" t="s">
        <v>64</v>
      </c>
      <c r="V1371" s="154" t="s">
        <v>60</v>
      </c>
      <c r="W1371" s="154" t="s">
        <v>60</v>
      </c>
      <c r="X1371" s="154" t="s">
        <v>66</v>
      </c>
      <c r="Y1371" s="155" t="s">
        <v>64</v>
      </c>
      <c r="Z1371" s="154" t="s">
        <v>60</v>
      </c>
      <c r="AA1371" s="154"/>
      <c r="AB1371" s="242" t="str">
        <f t="shared" si="2"/>
        <v>#ERROR!</v>
      </c>
      <c r="AC1371" s="154" t="s">
        <v>391</v>
      </c>
      <c r="AD1371" s="242" t="b">
        <f t="shared" si="3"/>
        <v>0</v>
      </c>
      <c r="AE1371" s="154"/>
      <c r="AF1371" s="242" t="str">
        <f t="shared" si="4"/>
        <v>#ERROR!</v>
      </c>
      <c r="AG1371" s="154"/>
      <c r="AH1371" s="242" t="str">
        <f>IF(AG1371="","N/A",INDIRECT("MTR!"&amp;ADDRESS(MATCH(LEFT(AG1371,9),[1]MTR!C:C,0),COLUMN(J1371)),TRUE) &amp; "")</f>
        <v>#ERROR!</v>
      </c>
      <c r="AI1371" s="157" t="str">
        <f t="shared" si="5"/>
        <v>#ERROR!</v>
      </c>
    </row>
    <row r="1372" ht="12.75" customHeight="1">
      <c r="A1372" s="244" t="s">
        <v>5158</v>
      </c>
      <c r="B1372" s="244" t="s">
        <v>231</v>
      </c>
      <c r="C1372" s="244" t="s">
        <v>10229</v>
      </c>
      <c r="D1372" s="154" t="s">
        <v>1773</v>
      </c>
      <c r="E1372" s="154"/>
      <c r="F1372" s="154" t="str">
        <f t="array" ref="F1372">XLOOKUP(Cover!$D$12,$R$1:$Z$1,$R1372:$Z1372)</f>
        <v>Mandatory</v>
      </c>
      <c r="G1372" s="154" t="s">
        <v>10230</v>
      </c>
      <c r="H1372" s="154" t="s">
        <v>8550</v>
      </c>
      <c r="I1372" s="154" t="s">
        <v>10224</v>
      </c>
      <c r="J1372" s="154" t="s">
        <v>6978</v>
      </c>
      <c r="K1372" s="154" t="s">
        <v>10125</v>
      </c>
      <c r="L1372" s="154" t="s">
        <v>7175</v>
      </c>
      <c r="M1372" s="154" t="s">
        <v>175</v>
      </c>
      <c r="N1372" s="154" t="s">
        <v>759</v>
      </c>
      <c r="O1372" s="247" t="s">
        <v>516</v>
      </c>
      <c r="P1372" s="247" t="s">
        <v>6776</v>
      </c>
      <c r="Q1372" s="154" t="str">
        <f t="shared" si="1"/>
        <v>#ERROR!</v>
      </c>
      <c r="R1372" s="154" t="s">
        <v>66</v>
      </c>
      <c r="S1372" s="154" t="s">
        <v>66</v>
      </c>
      <c r="T1372" s="155" t="s">
        <v>64</v>
      </c>
      <c r="U1372" s="155" t="s">
        <v>64</v>
      </c>
      <c r="V1372" s="154" t="s">
        <v>60</v>
      </c>
      <c r="W1372" s="154" t="s">
        <v>60</v>
      </c>
      <c r="X1372" s="154" t="s">
        <v>66</v>
      </c>
      <c r="Y1372" s="155" t="s">
        <v>64</v>
      </c>
      <c r="Z1372" s="154" t="s">
        <v>60</v>
      </c>
      <c r="AA1372" s="154"/>
      <c r="AB1372" s="242" t="str">
        <f t="shared" si="2"/>
        <v>#ERROR!</v>
      </c>
      <c r="AC1372" s="154" t="s">
        <v>391</v>
      </c>
      <c r="AD1372" s="242" t="b">
        <f t="shared" si="3"/>
        <v>0</v>
      </c>
      <c r="AE1372" s="154"/>
      <c r="AF1372" s="242" t="str">
        <f t="shared" si="4"/>
        <v>#ERROR!</v>
      </c>
      <c r="AG1372" s="154"/>
      <c r="AH1372" s="242" t="str">
        <f>IF(AG1372="","N/A",INDIRECT("MTR!"&amp;ADDRESS(MATCH(LEFT(AG1372,9),[1]MTR!C:C,0),COLUMN(J1372)),TRUE) &amp; "")</f>
        <v>#ERROR!</v>
      </c>
      <c r="AI1372" s="157" t="str">
        <f t="shared" si="5"/>
        <v>#ERROR!</v>
      </c>
    </row>
    <row r="1373" ht="12.75" customHeight="1">
      <c r="A1373" s="244" t="s">
        <v>5158</v>
      </c>
      <c r="B1373" s="244" t="s">
        <v>231</v>
      </c>
      <c r="C1373" s="244" t="s">
        <v>10231</v>
      </c>
      <c r="D1373" s="154" t="s">
        <v>503</v>
      </c>
      <c r="E1373" s="154"/>
      <c r="F1373" s="154" t="str">
        <f t="array" ref="F1373">XLOOKUP(Cover!$D$12,$R$1:$Z$1,$R1373:$Z1373)</f>
        <v>Mandatory</v>
      </c>
      <c r="G1373" s="154" t="s">
        <v>10232</v>
      </c>
      <c r="H1373" s="154" t="s">
        <v>6771</v>
      </c>
      <c r="I1373" s="154" t="s">
        <v>10233</v>
      </c>
      <c r="J1373" s="154" t="s">
        <v>6984</v>
      </c>
      <c r="K1373" s="154" t="s">
        <v>10125</v>
      </c>
      <c r="L1373" s="154" t="s">
        <v>7431</v>
      </c>
      <c r="M1373" s="154" t="s">
        <v>175</v>
      </c>
      <c r="N1373" s="154" t="s">
        <v>759</v>
      </c>
      <c r="O1373" s="247" t="s">
        <v>516</v>
      </c>
      <c r="P1373" s="247" t="s">
        <v>6776</v>
      </c>
      <c r="Q1373" s="154" t="str">
        <f t="shared" si="1"/>
        <v>#ERROR!</v>
      </c>
      <c r="R1373" s="154" t="s">
        <v>66</v>
      </c>
      <c r="S1373" s="154" t="s">
        <v>66</v>
      </c>
      <c r="T1373" s="155" t="s">
        <v>64</v>
      </c>
      <c r="U1373" s="155" t="s">
        <v>64</v>
      </c>
      <c r="V1373" s="154" t="s">
        <v>60</v>
      </c>
      <c r="W1373" s="154" t="s">
        <v>60</v>
      </c>
      <c r="X1373" s="154" t="s">
        <v>66</v>
      </c>
      <c r="Y1373" s="155" t="s">
        <v>64</v>
      </c>
      <c r="Z1373" s="154" t="s">
        <v>60</v>
      </c>
      <c r="AA1373" s="154"/>
      <c r="AB1373" s="242" t="str">
        <f t="shared" si="2"/>
        <v>#ERROR!</v>
      </c>
      <c r="AC1373" s="154" t="s">
        <v>391</v>
      </c>
      <c r="AD1373" s="242" t="b">
        <f t="shared" si="3"/>
        <v>0</v>
      </c>
      <c r="AE1373" s="154"/>
      <c r="AF1373" s="242" t="str">
        <f t="shared" si="4"/>
        <v>#ERROR!</v>
      </c>
      <c r="AG1373" s="154"/>
      <c r="AH1373" s="242" t="str">
        <f>IF(AG1373="","N/A",INDIRECT("MTR!"&amp;ADDRESS(MATCH(LEFT(AG1373,9),[1]MTR!C:C,0),COLUMN(J1373)),TRUE) &amp; "")</f>
        <v>#ERROR!</v>
      </c>
      <c r="AI1373" s="157" t="str">
        <f t="shared" si="5"/>
        <v>#ERROR!</v>
      </c>
    </row>
    <row r="1374" ht="12.75" customHeight="1">
      <c r="A1374" s="244" t="s">
        <v>5158</v>
      </c>
      <c r="B1374" s="244" t="s">
        <v>231</v>
      </c>
      <c r="C1374" s="244" t="s">
        <v>10234</v>
      </c>
      <c r="D1374" s="154" t="s">
        <v>503</v>
      </c>
      <c r="E1374" s="154"/>
      <c r="F1374" s="154" t="str">
        <f t="array" ref="F1374">XLOOKUP(Cover!$D$12,$R$1:$Z$1,$R1374:$Z1374)</f>
        <v>Mandatory</v>
      </c>
      <c r="G1374" s="154" t="s">
        <v>10235</v>
      </c>
      <c r="H1374" s="154" t="s">
        <v>1489</v>
      </c>
      <c r="I1374" s="154" t="s">
        <v>10233</v>
      </c>
      <c r="J1374" s="154" t="s">
        <v>6984</v>
      </c>
      <c r="K1374" s="154" t="s">
        <v>10125</v>
      </c>
      <c r="L1374" s="154" t="s">
        <v>7431</v>
      </c>
      <c r="M1374" s="154" t="s">
        <v>175</v>
      </c>
      <c r="N1374" s="154" t="s">
        <v>759</v>
      </c>
      <c r="O1374" s="247" t="s">
        <v>516</v>
      </c>
      <c r="P1374" s="247" t="s">
        <v>6776</v>
      </c>
      <c r="Q1374" s="154" t="str">
        <f t="shared" si="1"/>
        <v>#ERROR!</v>
      </c>
      <c r="R1374" s="154" t="s">
        <v>66</v>
      </c>
      <c r="S1374" s="154" t="s">
        <v>66</v>
      </c>
      <c r="T1374" s="155" t="s">
        <v>64</v>
      </c>
      <c r="U1374" s="155" t="s">
        <v>64</v>
      </c>
      <c r="V1374" s="154" t="s">
        <v>60</v>
      </c>
      <c r="W1374" s="154" t="s">
        <v>60</v>
      </c>
      <c r="X1374" s="154" t="s">
        <v>66</v>
      </c>
      <c r="Y1374" s="155" t="s">
        <v>64</v>
      </c>
      <c r="Z1374" s="154" t="s">
        <v>60</v>
      </c>
      <c r="AA1374" s="154"/>
      <c r="AB1374" s="242" t="str">
        <f t="shared" si="2"/>
        <v>#ERROR!</v>
      </c>
      <c r="AC1374" s="154" t="s">
        <v>391</v>
      </c>
      <c r="AD1374" s="242" t="b">
        <f t="shared" si="3"/>
        <v>0</v>
      </c>
      <c r="AE1374" s="154"/>
      <c r="AF1374" s="242" t="str">
        <f t="shared" si="4"/>
        <v>#ERROR!</v>
      </c>
      <c r="AG1374" s="154"/>
      <c r="AH1374" s="242" t="str">
        <f>IF(AG1374="","N/A",INDIRECT("MTR!"&amp;ADDRESS(MATCH(LEFT(AG1374,9),[1]MTR!C:C,0),COLUMN(J1374)),TRUE) &amp; "")</f>
        <v>#ERROR!</v>
      </c>
      <c r="AI1374" s="157" t="str">
        <f t="shared" si="5"/>
        <v>#ERROR!</v>
      </c>
    </row>
    <row r="1375" ht="12.75" customHeight="1">
      <c r="A1375" s="244" t="s">
        <v>5158</v>
      </c>
      <c r="B1375" s="244" t="s">
        <v>231</v>
      </c>
      <c r="C1375" s="244" t="s">
        <v>10236</v>
      </c>
      <c r="D1375" s="154" t="s">
        <v>503</v>
      </c>
      <c r="E1375" s="154"/>
      <c r="F1375" s="154" t="str">
        <f t="array" ref="F1375">XLOOKUP(Cover!$D$12,$R$1:$Z$1,$R1375:$Z1375)</f>
        <v>Recommended</v>
      </c>
      <c r="G1375" s="154" t="s">
        <v>10237</v>
      </c>
      <c r="H1375" s="154" t="s">
        <v>6775</v>
      </c>
      <c r="I1375" s="154" t="s">
        <v>10233</v>
      </c>
      <c r="J1375" s="154" t="s">
        <v>6984</v>
      </c>
      <c r="K1375" s="154" t="s">
        <v>10125</v>
      </c>
      <c r="L1375" s="154" t="s">
        <v>7431</v>
      </c>
      <c r="M1375" s="154"/>
      <c r="N1375" s="154" t="s">
        <v>759</v>
      </c>
      <c r="O1375" s="247" t="s">
        <v>516</v>
      </c>
      <c r="P1375" s="247" t="s">
        <v>6776</v>
      </c>
      <c r="Q1375" s="154" t="str">
        <f t="shared" si="1"/>
        <v>#ERROR!</v>
      </c>
      <c r="R1375" s="154" t="s">
        <v>66</v>
      </c>
      <c r="S1375" s="154" t="s">
        <v>66</v>
      </c>
      <c r="T1375" s="154" t="s">
        <v>64</v>
      </c>
      <c r="U1375" s="154" t="s">
        <v>64</v>
      </c>
      <c r="V1375" s="154" t="s">
        <v>64</v>
      </c>
      <c r="W1375" s="154" t="s">
        <v>64</v>
      </c>
      <c r="X1375" s="154" t="s">
        <v>66</v>
      </c>
      <c r="Y1375" s="154" t="s">
        <v>64</v>
      </c>
      <c r="Z1375" s="154" t="s">
        <v>64</v>
      </c>
      <c r="AA1375" s="154"/>
      <c r="AB1375" s="242" t="str">
        <f t="shared" si="2"/>
        <v>#ERROR!</v>
      </c>
      <c r="AC1375" s="154" t="s">
        <v>391</v>
      </c>
      <c r="AD1375" s="242" t="b">
        <f t="shared" si="3"/>
        <v>0</v>
      </c>
      <c r="AE1375" s="154"/>
      <c r="AF1375" s="242" t="str">
        <f t="shared" si="4"/>
        <v>#ERROR!</v>
      </c>
      <c r="AG1375" s="154"/>
      <c r="AH1375" s="242" t="str">
        <f>IF(AG1375="","N/A",INDIRECT("MTR!"&amp;ADDRESS(MATCH(LEFT(AG1375,9),[1]MTR!C:C,0),COLUMN(J1375)),TRUE) &amp; "")</f>
        <v>#ERROR!</v>
      </c>
      <c r="AI1375" s="157" t="str">
        <f t="shared" si="5"/>
        <v>#ERROR!</v>
      </c>
    </row>
    <row r="1376" ht="12.75" customHeight="1">
      <c r="A1376" s="244" t="s">
        <v>5158</v>
      </c>
      <c r="B1376" s="244" t="s">
        <v>231</v>
      </c>
      <c r="C1376" s="244" t="s">
        <v>10238</v>
      </c>
      <c r="D1376" s="154" t="s">
        <v>503</v>
      </c>
      <c r="E1376" s="154"/>
      <c r="F1376" s="154" t="str">
        <f t="array" ref="F1376">XLOOKUP(Cover!$D$12,$R$1:$Z$1,$R1376:$Z1376)</f>
        <v>Recommended</v>
      </c>
      <c r="G1376" s="154" t="s">
        <v>10239</v>
      </c>
      <c r="H1376" s="154" t="s">
        <v>8513</v>
      </c>
      <c r="I1376" s="154" t="s">
        <v>10233</v>
      </c>
      <c r="J1376" s="154" t="s">
        <v>6984</v>
      </c>
      <c r="K1376" s="154" t="s">
        <v>10125</v>
      </c>
      <c r="L1376" s="154" t="s">
        <v>7431</v>
      </c>
      <c r="M1376" s="154"/>
      <c r="N1376" s="154" t="s">
        <v>759</v>
      </c>
      <c r="O1376" s="247" t="s">
        <v>516</v>
      </c>
      <c r="P1376" s="247" t="s">
        <v>6776</v>
      </c>
      <c r="Q1376" s="154" t="str">
        <f t="shared" si="1"/>
        <v>#ERROR!</v>
      </c>
      <c r="R1376" s="154" t="s">
        <v>66</v>
      </c>
      <c r="S1376" s="154" t="s">
        <v>66</v>
      </c>
      <c r="T1376" s="154" t="s">
        <v>64</v>
      </c>
      <c r="U1376" s="154" t="s">
        <v>64</v>
      </c>
      <c r="V1376" s="154" t="s">
        <v>64</v>
      </c>
      <c r="W1376" s="154" t="s">
        <v>64</v>
      </c>
      <c r="X1376" s="154" t="s">
        <v>66</v>
      </c>
      <c r="Y1376" s="154" t="s">
        <v>64</v>
      </c>
      <c r="Z1376" s="154" t="s">
        <v>64</v>
      </c>
      <c r="AA1376" s="154"/>
      <c r="AB1376" s="242" t="str">
        <f t="shared" si="2"/>
        <v>#ERROR!</v>
      </c>
      <c r="AC1376" s="154" t="s">
        <v>391</v>
      </c>
      <c r="AD1376" s="242" t="b">
        <f t="shared" si="3"/>
        <v>0</v>
      </c>
      <c r="AE1376" s="154"/>
      <c r="AF1376" s="242" t="str">
        <f t="shared" si="4"/>
        <v>#ERROR!</v>
      </c>
      <c r="AG1376" s="154"/>
      <c r="AH1376" s="242" t="str">
        <f>IF(AG1376="","N/A",INDIRECT("MTR!"&amp;ADDRESS(MATCH(LEFT(AG1376,9),[1]MTR!C:C,0),COLUMN(J1376)),TRUE) &amp; "")</f>
        <v>#ERROR!</v>
      </c>
      <c r="AI1376" s="157" t="str">
        <f t="shared" si="5"/>
        <v>#ERROR!</v>
      </c>
    </row>
    <row r="1377" ht="12.75" customHeight="1">
      <c r="A1377" s="244" t="s">
        <v>5158</v>
      </c>
      <c r="B1377" s="244" t="s">
        <v>231</v>
      </c>
      <c r="C1377" s="244" t="s">
        <v>10240</v>
      </c>
      <c r="D1377" s="154" t="s">
        <v>503</v>
      </c>
      <c r="E1377" s="154"/>
      <c r="F1377" s="154" t="str">
        <f t="array" ref="F1377">XLOOKUP(Cover!$D$12,$R$1:$Z$1,$R1377:$Z1377)</f>
        <v>Recommended</v>
      </c>
      <c r="G1377" s="154" t="s">
        <v>10241</v>
      </c>
      <c r="H1377" s="154" t="s">
        <v>6847</v>
      </c>
      <c r="I1377" s="154" t="s">
        <v>10233</v>
      </c>
      <c r="J1377" s="154" t="s">
        <v>6984</v>
      </c>
      <c r="K1377" s="154" t="s">
        <v>10125</v>
      </c>
      <c r="L1377" s="154" t="s">
        <v>7431</v>
      </c>
      <c r="M1377" s="154"/>
      <c r="N1377" s="154" t="s">
        <v>759</v>
      </c>
      <c r="O1377" s="247" t="s">
        <v>516</v>
      </c>
      <c r="P1377" s="247" t="s">
        <v>6776</v>
      </c>
      <c r="Q1377" s="154" t="str">
        <f t="shared" si="1"/>
        <v>#ERROR!</v>
      </c>
      <c r="R1377" s="154" t="s">
        <v>66</v>
      </c>
      <c r="S1377" s="154" t="s">
        <v>66</v>
      </c>
      <c r="T1377" s="154" t="s">
        <v>64</v>
      </c>
      <c r="U1377" s="154" t="s">
        <v>64</v>
      </c>
      <c r="V1377" s="154" t="s">
        <v>64</v>
      </c>
      <c r="W1377" s="154" t="s">
        <v>64</v>
      </c>
      <c r="X1377" s="154" t="s">
        <v>66</v>
      </c>
      <c r="Y1377" s="154" t="s">
        <v>64</v>
      </c>
      <c r="Z1377" s="154" t="s">
        <v>64</v>
      </c>
      <c r="AA1377" s="154"/>
      <c r="AB1377" s="242" t="str">
        <f t="shared" si="2"/>
        <v>#ERROR!</v>
      </c>
      <c r="AC1377" s="154" t="s">
        <v>391</v>
      </c>
      <c r="AD1377" s="242" t="b">
        <f t="shared" si="3"/>
        <v>0</v>
      </c>
      <c r="AE1377" s="154"/>
      <c r="AF1377" s="242" t="str">
        <f t="shared" si="4"/>
        <v>#ERROR!</v>
      </c>
      <c r="AG1377" s="154"/>
      <c r="AH1377" s="242" t="str">
        <f>IF(AG1377="","N/A",INDIRECT("MTR!"&amp;ADDRESS(MATCH(LEFT(AG1377,9),[1]MTR!C:C,0),COLUMN(J1377)),TRUE) &amp; "")</f>
        <v>#ERROR!</v>
      </c>
      <c r="AI1377" s="157" t="str">
        <f t="shared" si="5"/>
        <v>#ERROR!</v>
      </c>
    </row>
    <row r="1378" ht="12.75" customHeight="1">
      <c r="A1378" s="244" t="s">
        <v>5158</v>
      </c>
      <c r="B1378" s="244" t="s">
        <v>231</v>
      </c>
      <c r="C1378" s="244" t="s">
        <v>10242</v>
      </c>
      <c r="D1378" s="154" t="s">
        <v>503</v>
      </c>
      <c r="E1378" s="154"/>
      <c r="F1378" s="154" t="str">
        <f t="array" ref="F1378">XLOOKUP(Cover!$D$12,$R$1:$Z$1,$R1378:$Z1378)</f>
        <v>Recommended</v>
      </c>
      <c r="G1378" s="154" t="s">
        <v>10243</v>
      </c>
      <c r="H1378" s="154" t="s">
        <v>8573</v>
      </c>
      <c r="I1378" s="154" t="s">
        <v>10233</v>
      </c>
      <c r="J1378" s="154" t="s">
        <v>6984</v>
      </c>
      <c r="K1378" s="154" t="s">
        <v>10125</v>
      </c>
      <c r="L1378" s="154" t="s">
        <v>7431</v>
      </c>
      <c r="M1378" s="154"/>
      <c r="N1378" s="154" t="s">
        <v>759</v>
      </c>
      <c r="O1378" s="247" t="s">
        <v>516</v>
      </c>
      <c r="P1378" s="247" t="s">
        <v>6776</v>
      </c>
      <c r="Q1378" s="154" t="str">
        <f t="shared" si="1"/>
        <v>#ERROR!</v>
      </c>
      <c r="R1378" s="154" t="s">
        <v>66</v>
      </c>
      <c r="S1378" s="154" t="s">
        <v>66</v>
      </c>
      <c r="T1378" s="154" t="s">
        <v>64</v>
      </c>
      <c r="U1378" s="154" t="s">
        <v>64</v>
      </c>
      <c r="V1378" s="154" t="s">
        <v>64</v>
      </c>
      <c r="W1378" s="154" t="s">
        <v>64</v>
      </c>
      <c r="X1378" s="154" t="s">
        <v>66</v>
      </c>
      <c r="Y1378" s="154" t="s">
        <v>64</v>
      </c>
      <c r="Z1378" s="154" t="s">
        <v>64</v>
      </c>
      <c r="AA1378" s="154"/>
      <c r="AB1378" s="242" t="str">
        <f t="shared" si="2"/>
        <v>#ERROR!</v>
      </c>
      <c r="AC1378" s="154" t="s">
        <v>391</v>
      </c>
      <c r="AD1378" s="242" t="b">
        <f t="shared" si="3"/>
        <v>0</v>
      </c>
      <c r="AE1378" s="154"/>
      <c r="AF1378" s="242" t="str">
        <f t="shared" si="4"/>
        <v>#ERROR!</v>
      </c>
      <c r="AG1378" s="154"/>
      <c r="AH1378" s="242" t="str">
        <f>IF(AG1378="","N/A",INDIRECT("MTR!"&amp;ADDRESS(MATCH(LEFT(AG1378,9),[1]MTR!C:C,0),COLUMN(J1378)),TRUE) &amp; "")</f>
        <v>#ERROR!</v>
      </c>
      <c r="AI1378" s="157" t="str">
        <f t="shared" si="5"/>
        <v>#ERROR!</v>
      </c>
    </row>
    <row r="1379" ht="12.75" customHeight="1">
      <c r="A1379" s="244" t="s">
        <v>5158</v>
      </c>
      <c r="B1379" s="244" t="s">
        <v>231</v>
      </c>
      <c r="C1379" s="244" t="s">
        <v>10244</v>
      </c>
      <c r="D1379" s="154" t="s">
        <v>1773</v>
      </c>
      <c r="E1379" s="154"/>
      <c r="F1379" s="154" t="str">
        <f t="array" ref="F1379">XLOOKUP(Cover!$D$12,$R$1:$Z$1,$R1379:$Z1379)</f>
        <v>Mandatory</v>
      </c>
      <c r="G1379" s="154" t="s">
        <v>10245</v>
      </c>
      <c r="H1379" s="154" t="s">
        <v>6771</v>
      </c>
      <c r="I1379" s="154" t="s">
        <v>10246</v>
      </c>
      <c r="J1379" s="154" t="s">
        <v>7050</v>
      </c>
      <c r="K1379" s="154" t="s">
        <v>10125</v>
      </c>
      <c r="L1379" s="154" t="s">
        <v>7175</v>
      </c>
      <c r="M1379" s="154" t="s">
        <v>175</v>
      </c>
      <c r="N1379" s="154" t="s">
        <v>759</v>
      </c>
      <c r="O1379" s="247" t="s">
        <v>516</v>
      </c>
      <c r="P1379" s="247" t="s">
        <v>6776</v>
      </c>
      <c r="Q1379" s="154" t="str">
        <f t="shared" si="1"/>
        <v>#ERROR!</v>
      </c>
      <c r="R1379" s="154" t="s">
        <v>66</v>
      </c>
      <c r="S1379" s="154" t="s">
        <v>66</v>
      </c>
      <c r="T1379" s="155" t="s">
        <v>64</v>
      </c>
      <c r="U1379" s="155" t="s">
        <v>64</v>
      </c>
      <c r="V1379" s="154" t="s">
        <v>60</v>
      </c>
      <c r="W1379" s="154" t="s">
        <v>60</v>
      </c>
      <c r="X1379" s="154" t="s">
        <v>66</v>
      </c>
      <c r="Y1379" s="155" t="s">
        <v>64</v>
      </c>
      <c r="Z1379" s="154" t="s">
        <v>60</v>
      </c>
      <c r="AA1379" s="154"/>
      <c r="AB1379" s="242" t="str">
        <f t="shared" si="2"/>
        <v>#ERROR!</v>
      </c>
      <c r="AC1379" s="154" t="s">
        <v>391</v>
      </c>
      <c r="AD1379" s="242" t="b">
        <f t="shared" si="3"/>
        <v>0</v>
      </c>
      <c r="AE1379" s="154"/>
      <c r="AF1379" s="242" t="str">
        <f t="shared" si="4"/>
        <v>#ERROR!</v>
      </c>
      <c r="AG1379" s="154"/>
      <c r="AH1379" s="242" t="str">
        <f>IF(AG1379="","N/A",INDIRECT("MTR!"&amp;ADDRESS(MATCH(LEFT(AG1379,9),[1]MTR!C:C,0),COLUMN(J1379)),TRUE) &amp; "")</f>
        <v>#ERROR!</v>
      </c>
      <c r="AI1379" s="157" t="str">
        <f t="shared" si="5"/>
        <v>#ERROR!</v>
      </c>
    </row>
    <row r="1380" ht="12.75" customHeight="1">
      <c r="A1380" s="244" t="s">
        <v>5158</v>
      </c>
      <c r="B1380" s="244" t="s">
        <v>231</v>
      </c>
      <c r="C1380" s="244" t="s">
        <v>10247</v>
      </c>
      <c r="D1380" s="154" t="s">
        <v>1773</v>
      </c>
      <c r="E1380" s="154"/>
      <c r="F1380" s="154" t="str">
        <f t="array" ref="F1380">XLOOKUP(Cover!$D$12,$R$1:$Z$1,$R1380:$Z1380)</f>
        <v>Mandatory</v>
      </c>
      <c r="G1380" s="154" t="s">
        <v>10248</v>
      </c>
      <c r="H1380" s="154" t="s">
        <v>6782</v>
      </c>
      <c r="I1380" s="154" t="s">
        <v>10246</v>
      </c>
      <c r="J1380" s="154" t="s">
        <v>7050</v>
      </c>
      <c r="K1380" s="154" t="s">
        <v>10125</v>
      </c>
      <c r="L1380" s="154" t="s">
        <v>7175</v>
      </c>
      <c r="M1380" s="154" t="s">
        <v>175</v>
      </c>
      <c r="N1380" s="154" t="s">
        <v>759</v>
      </c>
      <c r="O1380" s="247" t="s">
        <v>516</v>
      </c>
      <c r="P1380" s="247" t="s">
        <v>6776</v>
      </c>
      <c r="Q1380" s="154" t="str">
        <f t="shared" si="1"/>
        <v>#ERROR!</v>
      </c>
      <c r="R1380" s="154" t="s">
        <v>66</v>
      </c>
      <c r="S1380" s="154" t="s">
        <v>66</v>
      </c>
      <c r="T1380" s="155" t="s">
        <v>64</v>
      </c>
      <c r="U1380" s="155" t="s">
        <v>64</v>
      </c>
      <c r="V1380" s="154" t="s">
        <v>60</v>
      </c>
      <c r="W1380" s="154" t="s">
        <v>60</v>
      </c>
      <c r="X1380" s="154" t="s">
        <v>66</v>
      </c>
      <c r="Y1380" s="155" t="s">
        <v>64</v>
      </c>
      <c r="Z1380" s="154" t="s">
        <v>60</v>
      </c>
      <c r="AA1380" s="154"/>
      <c r="AB1380" s="242" t="str">
        <f t="shared" si="2"/>
        <v>#ERROR!</v>
      </c>
      <c r="AC1380" s="154" t="s">
        <v>391</v>
      </c>
      <c r="AD1380" s="242" t="b">
        <f t="shared" si="3"/>
        <v>0</v>
      </c>
      <c r="AE1380" s="154"/>
      <c r="AF1380" s="242" t="str">
        <f t="shared" si="4"/>
        <v>#ERROR!</v>
      </c>
      <c r="AG1380" s="154"/>
      <c r="AH1380" s="242" t="str">
        <f>IF(AG1380="","N/A",INDIRECT("MTR!"&amp;ADDRESS(MATCH(LEFT(AG1380,9),[1]MTR!C:C,0),COLUMN(J1380)),TRUE) &amp; "")</f>
        <v>#ERROR!</v>
      </c>
      <c r="AI1380" s="157" t="str">
        <f t="shared" si="5"/>
        <v>#ERROR!</v>
      </c>
    </row>
    <row r="1381" ht="12.75" customHeight="1">
      <c r="A1381" s="244" t="s">
        <v>5158</v>
      </c>
      <c r="B1381" s="244" t="s">
        <v>231</v>
      </c>
      <c r="C1381" s="244" t="s">
        <v>10249</v>
      </c>
      <c r="D1381" s="154" t="s">
        <v>1773</v>
      </c>
      <c r="E1381" s="154"/>
      <c r="F1381" s="154" t="str">
        <f t="array" ref="F1381">XLOOKUP(Cover!$D$12,$R$1:$Z$1,$R1381:$Z1381)</f>
        <v>Mandatory</v>
      </c>
      <c r="G1381" s="154" t="s">
        <v>10250</v>
      </c>
      <c r="H1381" s="154" t="s">
        <v>1489</v>
      </c>
      <c r="I1381" s="154" t="s">
        <v>10246</v>
      </c>
      <c r="J1381" s="154" t="s">
        <v>7050</v>
      </c>
      <c r="K1381" s="154" t="s">
        <v>10125</v>
      </c>
      <c r="L1381" s="154" t="s">
        <v>7175</v>
      </c>
      <c r="M1381" s="154" t="s">
        <v>175</v>
      </c>
      <c r="N1381" s="154" t="s">
        <v>759</v>
      </c>
      <c r="O1381" s="247" t="s">
        <v>516</v>
      </c>
      <c r="P1381" s="247" t="s">
        <v>6776</v>
      </c>
      <c r="Q1381" s="154" t="str">
        <f t="shared" si="1"/>
        <v>#ERROR!</v>
      </c>
      <c r="R1381" s="154" t="s">
        <v>66</v>
      </c>
      <c r="S1381" s="154" t="s">
        <v>66</v>
      </c>
      <c r="T1381" s="155" t="s">
        <v>64</v>
      </c>
      <c r="U1381" s="155" t="s">
        <v>64</v>
      </c>
      <c r="V1381" s="154" t="s">
        <v>60</v>
      </c>
      <c r="W1381" s="154" t="s">
        <v>60</v>
      </c>
      <c r="X1381" s="154" t="s">
        <v>66</v>
      </c>
      <c r="Y1381" s="155" t="s">
        <v>64</v>
      </c>
      <c r="Z1381" s="154" t="s">
        <v>60</v>
      </c>
      <c r="AA1381" s="154"/>
      <c r="AB1381" s="242" t="str">
        <f t="shared" si="2"/>
        <v>#ERROR!</v>
      </c>
      <c r="AC1381" s="154" t="s">
        <v>391</v>
      </c>
      <c r="AD1381" s="242" t="b">
        <f t="shared" si="3"/>
        <v>0</v>
      </c>
      <c r="AE1381" s="154"/>
      <c r="AF1381" s="242" t="str">
        <f t="shared" si="4"/>
        <v>#ERROR!</v>
      </c>
      <c r="AG1381" s="154"/>
      <c r="AH1381" s="242" t="str">
        <f>IF(AG1381="","N/A",INDIRECT("MTR!"&amp;ADDRESS(MATCH(LEFT(AG1381,9),[1]MTR!C:C,0),COLUMN(J1381)),TRUE) &amp; "")</f>
        <v>#ERROR!</v>
      </c>
      <c r="AI1381" s="157" t="str">
        <f t="shared" si="5"/>
        <v>#ERROR!</v>
      </c>
    </row>
    <row r="1382" ht="12.75" customHeight="1">
      <c r="A1382" s="244" t="s">
        <v>5158</v>
      </c>
      <c r="B1382" s="244" t="s">
        <v>231</v>
      </c>
      <c r="C1382" s="244" t="s">
        <v>10251</v>
      </c>
      <c r="D1382" s="154" t="s">
        <v>1773</v>
      </c>
      <c r="E1382" s="154"/>
      <c r="F1382" s="154" t="str">
        <f t="array" ref="F1382">XLOOKUP(Cover!$D$12,$R$1:$Z$1,$R1382:$Z1382)</f>
        <v>Mandatory</v>
      </c>
      <c r="G1382" s="154" t="s">
        <v>10252</v>
      </c>
      <c r="H1382" s="154" t="s">
        <v>8519</v>
      </c>
      <c r="I1382" s="154" t="s">
        <v>10246</v>
      </c>
      <c r="J1382" s="154" t="s">
        <v>7050</v>
      </c>
      <c r="K1382" s="154" t="s">
        <v>10125</v>
      </c>
      <c r="L1382" s="154" t="s">
        <v>7175</v>
      </c>
      <c r="M1382" s="154" t="s">
        <v>175</v>
      </c>
      <c r="N1382" s="154" t="s">
        <v>759</v>
      </c>
      <c r="O1382" s="247" t="s">
        <v>516</v>
      </c>
      <c r="P1382" s="247" t="s">
        <v>6776</v>
      </c>
      <c r="Q1382" s="154" t="str">
        <f t="shared" si="1"/>
        <v>#ERROR!</v>
      </c>
      <c r="R1382" s="154" t="s">
        <v>66</v>
      </c>
      <c r="S1382" s="154" t="s">
        <v>66</v>
      </c>
      <c r="T1382" s="155" t="s">
        <v>64</v>
      </c>
      <c r="U1382" s="155" t="s">
        <v>64</v>
      </c>
      <c r="V1382" s="154" t="s">
        <v>60</v>
      </c>
      <c r="W1382" s="154" t="s">
        <v>60</v>
      </c>
      <c r="X1382" s="154" t="s">
        <v>66</v>
      </c>
      <c r="Y1382" s="155" t="s">
        <v>64</v>
      </c>
      <c r="Z1382" s="154" t="s">
        <v>60</v>
      </c>
      <c r="AA1382" s="154"/>
      <c r="AB1382" s="242" t="str">
        <f t="shared" si="2"/>
        <v>#ERROR!</v>
      </c>
      <c r="AC1382" s="154" t="s">
        <v>391</v>
      </c>
      <c r="AD1382" s="242" t="b">
        <f t="shared" si="3"/>
        <v>0</v>
      </c>
      <c r="AE1382" s="154"/>
      <c r="AF1382" s="242" t="str">
        <f t="shared" si="4"/>
        <v>#ERROR!</v>
      </c>
      <c r="AG1382" s="154"/>
      <c r="AH1382" s="242" t="str">
        <f>IF(AG1382="","N/A",INDIRECT("MTR!"&amp;ADDRESS(MATCH(LEFT(AG1382,9),[1]MTR!C:C,0),COLUMN(J1382)),TRUE) &amp; "")</f>
        <v>#ERROR!</v>
      </c>
      <c r="AI1382" s="157" t="str">
        <f t="shared" si="5"/>
        <v>#ERROR!</v>
      </c>
    </row>
    <row r="1383" ht="12.75" customHeight="1">
      <c r="A1383" s="244" t="s">
        <v>5158</v>
      </c>
      <c r="B1383" s="244" t="s">
        <v>231</v>
      </c>
      <c r="C1383" s="244" t="s">
        <v>10253</v>
      </c>
      <c r="D1383" s="154" t="s">
        <v>503</v>
      </c>
      <c r="E1383" s="154"/>
      <c r="F1383" s="154" t="str">
        <f t="array" ref="F1383">XLOOKUP(Cover!$D$12,$R$1:$Z$1,$R1383:$Z1383)</f>
        <v>Mandatory</v>
      </c>
      <c r="G1383" s="154" t="s">
        <v>10254</v>
      </c>
      <c r="H1383" s="154" t="s">
        <v>6771</v>
      </c>
      <c r="I1383" s="154" t="s">
        <v>10255</v>
      </c>
      <c r="J1383" s="154" t="s">
        <v>7136</v>
      </c>
      <c r="K1383" s="154" t="s">
        <v>10125</v>
      </c>
      <c r="L1383" s="154" t="s">
        <v>7431</v>
      </c>
      <c r="M1383" s="154" t="s">
        <v>175</v>
      </c>
      <c r="N1383" s="154" t="s">
        <v>759</v>
      </c>
      <c r="O1383" s="247" t="s">
        <v>516</v>
      </c>
      <c r="P1383" s="247" t="s">
        <v>6776</v>
      </c>
      <c r="Q1383" s="154" t="str">
        <f t="shared" si="1"/>
        <v>#ERROR!</v>
      </c>
      <c r="R1383" s="154" t="s">
        <v>66</v>
      </c>
      <c r="S1383" s="154" t="s">
        <v>66</v>
      </c>
      <c r="T1383" s="155" t="s">
        <v>64</v>
      </c>
      <c r="U1383" s="155" t="s">
        <v>64</v>
      </c>
      <c r="V1383" s="154" t="s">
        <v>60</v>
      </c>
      <c r="W1383" s="154" t="s">
        <v>60</v>
      </c>
      <c r="X1383" s="154" t="s">
        <v>66</v>
      </c>
      <c r="Y1383" s="155" t="s">
        <v>64</v>
      </c>
      <c r="Z1383" s="154" t="s">
        <v>60</v>
      </c>
      <c r="AA1383" s="154"/>
      <c r="AB1383" s="242" t="str">
        <f t="shared" si="2"/>
        <v>#ERROR!</v>
      </c>
      <c r="AC1383" s="154" t="s">
        <v>391</v>
      </c>
      <c r="AD1383" s="242" t="b">
        <f t="shared" si="3"/>
        <v>0</v>
      </c>
      <c r="AE1383" s="154"/>
      <c r="AF1383" s="242" t="str">
        <f t="shared" si="4"/>
        <v>#ERROR!</v>
      </c>
      <c r="AG1383" s="154"/>
      <c r="AH1383" s="242" t="str">
        <f>IF(AG1383="","N/A",INDIRECT("MTR!"&amp;ADDRESS(MATCH(LEFT(AG1383,9),[1]MTR!C:C,0),COLUMN(J1383)),TRUE) &amp; "")</f>
        <v>#ERROR!</v>
      </c>
      <c r="AI1383" s="157" t="str">
        <f t="shared" si="5"/>
        <v>#ERROR!</v>
      </c>
    </row>
    <row r="1384" ht="12.75" customHeight="1">
      <c r="A1384" s="244" t="s">
        <v>5158</v>
      </c>
      <c r="B1384" s="244" t="s">
        <v>231</v>
      </c>
      <c r="C1384" s="244" t="s">
        <v>10256</v>
      </c>
      <c r="D1384" s="154" t="s">
        <v>503</v>
      </c>
      <c r="E1384" s="154"/>
      <c r="F1384" s="154" t="str">
        <f t="array" ref="F1384">XLOOKUP(Cover!$D$12,$R$1:$Z$1,$R1384:$Z1384)</f>
        <v>Mandatory</v>
      </c>
      <c r="G1384" s="154" t="s">
        <v>10257</v>
      </c>
      <c r="H1384" s="154" t="s">
        <v>1489</v>
      </c>
      <c r="I1384" s="154" t="s">
        <v>10255</v>
      </c>
      <c r="J1384" s="154" t="s">
        <v>7136</v>
      </c>
      <c r="K1384" s="154" t="s">
        <v>10125</v>
      </c>
      <c r="L1384" s="154" t="s">
        <v>7431</v>
      </c>
      <c r="M1384" s="154" t="s">
        <v>175</v>
      </c>
      <c r="N1384" s="154" t="s">
        <v>759</v>
      </c>
      <c r="O1384" s="247" t="s">
        <v>516</v>
      </c>
      <c r="P1384" s="247" t="s">
        <v>6776</v>
      </c>
      <c r="Q1384" s="154" t="str">
        <f t="shared" si="1"/>
        <v>#ERROR!</v>
      </c>
      <c r="R1384" s="154" t="s">
        <v>66</v>
      </c>
      <c r="S1384" s="154" t="s">
        <v>66</v>
      </c>
      <c r="T1384" s="155" t="s">
        <v>64</v>
      </c>
      <c r="U1384" s="155" t="s">
        <v>64</v>
      </c>
      <c r="V1384" s="154" t="s">
        <v>60</v>
      </c>
      <c r="W1384" s="154" t="s">
        <v>60</v>
      </c>
      <c r="X1384" s="154" t="s">
        <v>66</v>
      </c>
      <c r="Y1384" s="155" t="s">
        <v>64</v>
      </c>
      <c r="Z1384" s="154" t="s">
        <v>60</v>
      </c>
      <c r="AA1384" s="154"/>
      <c r="AB1384" s="242" t="str">
        <f t="shared" si="2"/>
        <v>#ERROR!</v>
      </c>
      <c r="AC1384" s="154" t="s">
        <v>391</v>
      </c>
      <c r="AD1384" s="242" t="b">
        <f t="shared" si="3"/>
        <v>0</v>
      </c>
      <c r="AE1384" s="154"/>
      <c r="AF1384" s="242" t="str">
        <f t="shared" si="4"/>
        <v>#ERROR!</v>
      </c>
      <c r="AG1384" s="154"/>
      <c r="AH1384" s="242" t="str">
        <f>IF(AG1384="","N/A",INDIRECT("MTR!"&amp;ADDRESS(MATCH(LEFT(AG1384,9),[1]MTR!C:C,0),COLUMN(J1384)),TRUE) &amp; "")</f>
        <v>#ERROR!</v>
      </c>
      <c r="AI1384" s="157" t="str">
        <f t="shared" si="5"/>
        <v>#ERROR!</v>
      </c>
    </row>
    <row r="1385" ht="12.75" customHeight="1">
      <c r="A1385" s="244" t="s">
        <v>5158</v>
      </c>
      <c r="B1385" s="244" t="s">
        <v>231</v>
      </c>
      <c r="C1385" s="244" t="s">
        <v>10258</v>
      </c>
      <c r="D1385" s="154" t="s">
        <v>503</v>
      </c>
      <c r="E1385" s="154"/>
      <c r="F1385" s="154" t="str">
        <f t="array" ref="F1385">XLOOKUP(Cover!$D$12,$R$1:$Z$1,$R1385:$Z1385)</f>
        <v>Mandatory</v>
      </c>
      <c r="G1385" s="154" t="s">
        <v>10259</v>
      </c>
      <c r="H1385" s="154" t="s">
        <v>6808</v>
      </c>
      <c r="I1385" s="154" t="s">
        <v>10255</v>
      </c>
      <c r="J1385" s="154" t="s">
        <v>7136</v>
      </c>
      <c r="K1385" s="154" t="s">
        <v>10125</v>
      </c>
      <c r="L1385" s="154" t="s">
        <v>7431</v>
      </c>
      <c r="M1385" s="154" t="s">
        <v>175</v>
      </c>
      <c r="N1385" s="154" t="s">
        <v>759</v>
      </c>
      <c r="O1385" s="247" t="s">
        <v>516</v>
      </c>
      <c r="P1385" s="247" t="s">
        <v>6776</v>
      </c>
      <c r="Q1385" s="154" t="str">
        <f t="shared" si="1"/>
        <v>#ERROR!</v>
      </c>
      <c r="R1385" s="154" t="s">
        <v>66</v>
      </c>
      <c r="S1385" s="154" t="s">
        <v>66</v>
      </c>
      <c r="T1385" s="155" t="s">
        <v>64</v>
      </c>
      <c r="U1385" s="155" t="s">
        <v>64</v>
      </c>
      <c r="V1385" s="154" t="s">
        <v>60</v>
      </c>
      <c r="W1385" s="154" t="s">
        <v>60</v>
      </c>
      <c r="X1385" s="154" t="s">
        <v>66</v>
      </c>
      <c r="Y1385" s="155" t="s">
        <v>64</v>
      </c>
      <c r="Z1385" s="154" t="s">
        <v>60</v>
      </c>
      <c r="AA1385" s="154"/>
      <c r="AB1385" s="242" t="str">
        <f t="shared" si="2"/>
        <v>#ERROR!</v>
      </c>
      <c r="AC1385" s="154" t="s">
        <v>391</v>
      </c>
      <c r="AD1385" s="242" t="b">
        <f t="shared" si="3"/>
        <v>0</v>
      </c>
      <c r="AE1385" s="154"/>
      <c r="AF1385" s="242" t="str">
        <f t="shared" si="4"/>
        <v>#ERROR!</v>
      </c>
      <c r="AG1385" s="154"/>
      <c r="AH1385" s="242" t="str">
        <f>IF(AG1385="","N/A",INDIRECT("MTR!"&amp;ADDRESS(MATCH(LEFT(AG1385,9),[1]MTR!C:C,0),COLUMN(J1385)),TRUE) &amp; "")</f>
        <v>#ERROR!</v>
      </c>
      <c r="AI1385" s="157" t="str">
        <f t="shared" si="5"/>
        <v>#ERROR!</v>
      </c>
    </row>
    <row r="1386" ht="12.75" customHeight="1">
      <c r="A1386" s="244" t="s">
        <v>5158</v>
      </c>
      <c r="B1386" s="244" t="s">
        <v>231</v>
      </c>
      <c r="C1386" s="244" t="s">
        <v>10260</v>
      </c>
      <c r="D1386" s="154" t="s">
        <v>503</v>
      </c>
      <c r="E1386" s="154"/>
      <c r="F1386" s="154" t="str">
        <f t="array" ref="F1386">XLOOKUP(Cover!$D$12,$R$1:$Z$1,$R1386:$Z1386)</f>
        <v>Recommended</v>
      </c>
      <c r="G1386" s="154" t="s">
        <v>10261</v>
      </c>
      <c r="H1386" s="154" t="s">
        <v>6775</v>
      </c>
      <c r="I1386" s="154" t="s">
        <v>10255</v>
      </c>
      <c r="J1386" s="154" t="s">
        <v>7136</v>
      </c>
      <c r="K1386" s="154" t="s">
        <v>10125</v>
      </c>
      <c r="L1386" s="154" t="s">
        <v>7431</v>
      </c>
      <c r="M1386" s="154"/>
      <c r="N1386" s="154" t="s">
        <v>759</v>
      </c>
      <c r="O1386" s="247" t="s">
        <v>516</v>
      </c>
      <c r="P1386" s="247" t="s">
        <v>6776</v>
      </c>
      <c r="Q1386" s="154" t="str">
        <f t="shared" si="1"/>
        <v>#ERROR!</v>
      </c>
      <c r="R1386" s="154" t="s">
        <v>66</v>
      </c>
      <c r="S1386" s="154" t="s">
        <v>66</v>
      </c>
      <c r="T1386" s="154" t="s">
        <v>64</v>
      </c>
      <c r="U1386" s="154" t="s">
        <v>64</v>
      </c>
      <c r="V1386" s="154" t="s">
        <v>64</v>
      </c>
      <c r="W1386" s="154" t="s">
        <v>64</v>
      </c>
      <c r="X1386" s="154" t="s">
        <v>66</v>
      </c>
      <c r="Y1386" s="154" t="s">
        <v>64</v>
      </c>
      <c r="Z1386" s="154" t="s">
        <v>64</v>
      </c>
      <c r="AA1386" s="154"/>
      <c r="AB1386" s="242" t="str">
        <f t="shared" si="2"/>
        <v>#ERROR!</v>
      </c>
      <c r="AC1386" s="154" t="s">
        <v>391</v>
      </c>
      <c r="AD1386" s="242" t="b">
        <f t="shared" si="3"/>
        <v>0</v>
      </c>
      <c r="AE1386" s="154"/>
      <c r="AF1386" s="242" t="str">
        <f t="shared" si="4"/>
        <v>#ERROR!</v>
      </c>
      <c r="AG1386" s="154"/>
      <c r="AH1386" s="242" t="str">
        <f>IF(AG1386="","N/A",INDIRECT("MTR!"&amp;ADDRESS(MATCH(LEFT(AG1386,9),[1]MTR!C:C,0),COLUMN(J1386)),TRUE) &amp; "")</f>
        <v>#ERROR!</v>
      </c>
      <c r="AI1386" s="157" t="str">
        <f t="shared" si="5"/>
        <v>#ERROR!</v>
      </c>
    </row>
    <row r="1387" ht="12.75" customHeight="1">
      <c r="A1387" s="244" t="s">
        <v>5158</v>
      </c>
      <c r="B1387" s="244" t="s">
        <v>231</v>
      </c>
      <c r="C1387" s="244" t="s">
        <v>10262</v>
      </c>
      <c r="D1387" s="154" t="s">
        <v>503</v>
      </c>
      <c r="E1387" s="154"/>
      <c r="F1387" s="154" t="str">
        <f t="array" ref="F1387">XLOOKUP(Cover!$D$12,$R$1:$Z$1,$R1387:$Z1387)</f>
        <v>Recommended</v>
      </c>
      <c r="G1387" s="154" t="s">
        <v>10263</v>
      </c>
      <c r="H1387" s="154" t="s">
        <v>8513</v>
      </c>
      <c r="I1387" s="154" t="s">
        <v>10255</v>
      </c>
      <c r="J1387" s="154" t="s">
        <v>7136</v>
      </c>
      <c r="K1387" s="154" t="s">
        <v>10125</v>
      </c>
      <c r="L1387" s="154" t="s">
        <v>7431</v>
      </c>
      <c r="M1387" s="154"/>
      <c r="N1387" s="154" t="s">
        <v>759</v>
      </c>
      <c r="O1387" s="247" t="s">
        <v>516</v>
      </c>
      <c r="P1387" s="247" t="s">
        <v>6776</v>
      </c>
      <c r="Q1387" s="154" t="str">
        <f t="shared" si="1"/>
        <v>#ERROR!</v>
      </c>
      <c r="R1387" s="154" t="s">
        <v>66</v>
      </c>
      <c r="S1387" s="154" t="s">
        <v>66</v>
      </c>
      <c r="T1387" s="154" t="s">
        <v>64</v>
      </c>
      <c r="U1387" s="154" t="s">
        <v>64</v>
      </c>
      <c r="V1387" s="154" t="s">
        <v>64</v>
      </c>
      <c r="W1387" s="154" t="s">
        <v>64</v>
      </c>
      <c r="X1387" s="154" t="s">
        <v>66</v>
      </c>
      <c r="Y1387" s="154" t="s">
        <v>64</v>
      </c>
      <c r="Z1387" s="154" t="s">
        <v>64</v>
      </c>
      <c r="AA1387" s="154"/>
      <c r="AB1387" s="242" t="str">
        <f t="shared" si="2"/>
        <v>#ERROR!</v>
      </c>
      <c r="AC1387" s="154" t="s">
        <v>391</v>
      </c>
      <c r="AD1387" s="242" t="b">
        <f t="shared" si="3"/>
        <v>0</v>
      </c>
      <c r="AE1387" s="154"/>
      <c r="AF1387" s="242" t="str">
        <f t="shared" si="4"/>
        <v>#ERROR!</v>
      </c>
      <c r="AG1387" s="154"/>
      <c r="AH1387" s="242" t="str">
        <f>IF(AG1387="","N/A",INDIRECT("MTR!"&amp;ADDRESS(MATCH(LEFT(AG1387,9),[1]MTR!C:C,0),COLUMN(J1387)),TRUE) &amp; "")</f>
        <v>#ERROR!</v>
      </c>
      <c r="AI1387" s="157" t="str">
        <f t="shared" si="5"/>
        <v>#ERROR!</v>
      </c>
    </row>
    <row r="1388" ht="12.75" customHeight="1">
      <c r="A1388" s="244" t="s">
        <v>5158</v>
      </c>
      <c r="B1388" s="244" t="s">
        <v>231</v>
      </c>
      <c r="C1388" s="244" t="s">
        <v>10264</v>
      </c>
      <c r="D1388" s="154" t="s">
        <v>503</v>
      </c>
      <c r="E1388" s="154"/>
      <c r="F1388" s="154" t="str">
        <f t="array" ref="F1388">XLOOKUP(Cover!$D$12,$R$1:$Z$1,$R1388:$Z1388)</f>
        <v>Recommended</v>
      </c>
      <c r="G1388" s="154" t="s">
        <v>10265</v>
      </c>
      <c r="H1388" s="154" t="s">
        <v>6847</v>
      </c>
      <c r="I1388" s="154" t="s">
        <v>10255</v>
      </c>
      <c r="J1388" s="154" t="s">
        <v>7136</v>
      </c>
      <c r="K1388" s="154" t="s">
        <v>10125</v>
      </c>
      <c r="L1388" s="154" t="s">
        <v>7431</v>
      </c>
      <c r="M1388" s="154"/>
      <c r="N1388" s="154" t="s">
        <v>759</v>
      </c>
      <c r="O1388" s="247" t="s">
        <v>516</v>
      </c>
      <c r="P1388" s="247" t="s">
        <v>6776</v>
      </c>
      <c r="Q1388" s="154" t="str">
        <f t="shared" si="1"/>
        <v>#ERROR!</v>
      </c>
      <c r="R1388" s="154" t="s">
        <v>66</v>
      </c>
      <c r="S1388" s="154" t="s">
        <v>66</v>
      </c>
      <c r="T1388" s="154" t="s">
        <v>64</v>
      </c>
      <c r="U1388" s="154" t="s">
        <v>64</v>
      </c>
      <c r="V1388" s="154" t="s">
        <v>64</v>
      </c>
      <c r="W1388" s="154" t="s">
        <v>64</v>
      </c>
      <c r="X1388" s="154" t="s">
        <v>66</v>
      </c>
      <c r="Y1388" s="154" t="s">
        <v>64</v>
      </c>
      <c r="Z1388" s="154" t="s">
        <v>64</v>
      </c>
      <c r="AA1388" s="154"/>
      <c r="AB1388" s="242" t="str">
        <f t="shared" si="2"/>
        <v>#ERROR!</v>
      </c>
      <c r="AC1388" s="154" t="s">
        <v>391</v>
      </c>
      <c r="AD1388" s="242" t="b">
        <f t="shared" si="3"/>
        <v>0</v>
      </c>
      <c r="AE1388" s="154"/>
      <c r="AF1388" s="242" t="str">
        <f t="shared" si="4"/>
        <v>#ERROR!</v>
      </c>
      <c r="AG1388" s="154"/>
      <c r="AH1388" s="242" t="str">
        <f>IF(AG1388="","N/A",INDIRECT("MTR!"&amp;ADDRESS(MATCH(LEFT(AG1388,9),[1]MTR!C:C,0),COLUMN(J1388)),TRUE) &amp; "")</f>
        <v>#ERROR!</v>
      </c>
      <c r="AI1388" s="157" t="str">
        <f t="shared" si="5"/>
        <v>#ERROR!</v>
      </c>
    </row>
    <row r="1389" ht="12.75" customHeight="1">
      <c r="A1389" s="244" t="s">
        <v>5158</v>
      </c>
      <c r="B1389" s="244" t="s">
        <v>231</v>
      </c>
      <c r="C1389" s="244" t="s">
        <v>10266</v>
      </c>
      <c r="D1389" s="154" t="s">
        <v>503</v>
      </c>
      <c r="E1389" s="154"/>
      <c r="F1389" s="154" t="str">
        <f t="array" ref="F1389">XLOOKUP(Cover!$D$12,$R$1:$Z$1,$R1389:$Z1389)</f>
        <v>Recommended</v>
      </c>
      <c r="G1389" s="154" t="s">
        <v>10267</v>
      </c>
      <c r="H1389" s="154" t="s">
        <v>8573</v>
      </c>
      <c r="I1389" s="154" t="s">
        <v>10255</v>
      </c>
      <c r="J1389" s="154" t="s">
        <v>7136</v>
      </c>
      <c r="K1389" s="154" t="s">
        <v>10125</v>
      </c>
      <c r="L1389" s="154" t="s">
        <v>7431</v>
      </c>
      <c r="M1389" s="154"/>
      <c r="N1389" s="154" t="s">
        <v>759</v>
      </c>
      <c r="O1389" s="247" t="s">
        <v>516</v>
      </c>
      <c r="P1389" s="247" t="s">
        <v>6776</v>
      </c>
      <c r="Q1389" s="154" t="str">
        <f t="shared" si="1"/>
        <v>#ERROR!</v>
      </c>
      <c r="R1389" s="154" t="s">
        <v>66</v>
      </c>
      <c r="S1389" s="154" t="s">
        <v>66</v>
      </c>
      <c r="T1389" s="154" t="s">
        <v>64</v>
      </c>
      <c r="U1389" s="154" t="s">
        <v>64</v>
      </c>
      <c r="V1389" s="154" t="s">
        <v>64</v>
      </c>
      <c r="W1389" s="154" t="s">
        <v>64</v>
      </c>
      <c r="X1389" s="154" t="s">
        <v>66</v>
      </c>
      <c r="Y1389" s="154" t="s">
        <v>64</v>
      </c>
      <c r="Z1389" s="154" t="s">
        <v>64</v>
      </c>
      <c r="AA1389" s="154"/>
      <c r="AB1389" s="242" t="str">
        <f t="shared" si="2"/>
        <v>#ERROR!</v>
      </c>
      <c r="AC1389" s="154" t="s">
        <v>391</v>
      </c>
      <c r="AD1389" s="242" t="b">
        <f t="shared" si="3"/>
        <v>0</v>
      </c>
      <c r="AE1389" s="154"/>
      <c r="AF1389" s="242" t="str">
        <f t="shared" si="4"/>
        <v>#ERROR!</v>
      </c>
      <c r="AG1389" s="154"/>
      <c r="AH1389" s="242" t="str">
        <f>IF(AG1389="","N/A",INDIRECT("MTR!"&amp;ADDRESS(MATCH(LEFT(AG1389,9),[1]MTR!C:C,0),COLUMN(J1389)),TRUE) &amp; "")</f>
        <v>#ERROR!</v>
      </c>
      <c r="AI1389" s="157" t="str">
        <f t="shared" si="5"/>
        <v>#ERROR!</v>
      </c>
    </row>
    <row r="1390" ht="12.75" customHeight="1">
      <c r="A1390" s="244" t="s">
        <v>5158</v>
      </c>
      <c r="B1390" s="244" t="s">
        <v>231</v>
      </c>
      <c r="C1390" s="244" t="s">
        <v>10268</v>
      </c>
      <c r="D1390" s="154" t="s">
        <v>1773</v>
      </c>
      <c r="E1390" s="154"/>
      <c r="F1390" s="154" t="str">
        <f t="array" ref="F1390">XLOOKUP(Cover!$D$12,$R$1:$Z$1,$R1390:$Z1390)</f>
        <v>Mandatory</v>
      </c>
      <c r="G1390" s="154" t="s">
        <v>10269</v>
      </c>
      <c r="H1390" s="154" t="s">
        <v>6771</v>
      </c>
      <c r="I1390" s="154" t="s">
        <v>10270</v>
      </c>
      <c r="J1390" s="154" t="s">
        <v>7193</v>
      </c>
      <c r="K1390" s="154" t="s">
        <v>10125</v>
      </c>
      <c r="L1390" s="154" t="s">
        <v>7175</v>
      </c>
      <c r="M1390" s="154" t="s">
        <v>175</v>
      </c>
      <c r="N1390" s="154" t="s">
        <v>759</v>
      </c>
      <c r="O1390" s="247" t="s">
        <v>516</v>
      </c>
      <c r="P1390" s="247" t="s">
        <v>6776</v>
      </c>
      <c r="Q1390" s="154" t="str">
        <f t="shared" si="1"/>
        <v>#ERROR!</v>
      </c>
      <c r="R1390" s="154" t="s">
        <v>66</v>
      </c>
      <c r="S1390" s="154" t="s">
        <v>66</v>
      </c>
      <c r="T1390" s="155" t="s">
        <v>64</v>
      </c>
      <c r="U1390" s="155" t="s">
        <v>64</v>
      </c>
      <c r="V1390" s="154" t="s">
        <v>60</v>
      </c>
      <c r="W1390" s="154" t="s">
        <v>60</v>
      </c>
      <c r="X1390" s="154" t="s">
        <v>66</v>
      </c>
      <c r="Y1390" s="155" t="s">
        <v>64</v>
      </c>
      <c r="Z1390" s="154" t="s">
        <v>60</v>
      </c>
      <c r="AA1390" s="154"/>
      <c r="AB1390" s="242" t="str">
        <f t="shared" si="2"/>
        <v>#ERROR!</v>
      </c>
      <c r="AC1390" s="154" t="s">
        <v>391</v>
      </c>
      <c r="AD1390" s="242" t="b">
        <f t="shared" si="3"/>
        <v>0</v>
      </c>
      <c r="AE1390" s="154"/>
      <c r="AF1390" s="242" t="str">
        <f t="shared" si="4"/>
        <v>#ERROR!</v>
      </c>
      <c r="AG1390" s="154"/>
      <c r="AH1390" s="242" t="str">
        <f>IF(AG1390="","N/A",INDIRECT("MTR!"&amp;ADDRESS(MATCH(LEFT(AG1390,9),[1]MTR!C:C,0),COLUMN(J1390)),TRUE) &amp; "")</f>
        <v>#ERROR!</v>
      </c>
      <c r="AI1390" s="157" t="str">
        <f t="shared" si="5"/>
        <v>#ERROR!</v>
      </c>
    </row>
    <row r="1391" ht="12.75" customHeight="1">
      <c r="A1391" s="244" t="s">
        <v>5158</v>
      </c>
      <c r="B1391" s="244" t="s">
        <v>231</v>
      </c>
      <c r="C1391" s="244" t="s">
        <v>10271</v>
      </c>
      <c r="D1391" s="154" t="s">
        <v>1773</v>
      </c>
      <c r="E1391" s="154"/>
      <c r="F1391" s="154" t="str">
        <f t="array" ref="F1391">XLOOKUP(Cover!$D$12,$R$1:$Z$1,$R1391:$Z1391)</f>
        <v>Mandatory</v>
      </c>
      <c r="G1391" s="154" t="s">
        <v>10272</v>
      </c>
      <c r="H1391" s="154" t="s">
        <v>6808</v>
      </c>
      <c r="I1391" s="154" t="s">
        <v>10270</v>
      </c>
      <c r="J1391" s="154" t="s">
        <v>7193</v>
      </c>
      <c r="K1391" s="154" t="s">
        <v>10125</v>
      </c>
      <c r="L1391" s="154" t="s">
        <v>7175</v>
      </c>
      <c r="M1391" s="154" t="s">
        <v>175</v>
      </c>
      <c r="N1391" s="154" t="s">
        <v>759</v>
      </c>
      <c r="O1391" s="247" t="s">
        <v>516</v>
      </c>
      <c r="P1391" s="247" t="s">
        <v>6776</v>
      </c>
      <c r="Q1391" s="154" t="str">
        <f t="shared" si="1"/>
        <v>#ERROR!</v>
      </c>
      <c r="R1391" s="154" t="s">
        <v>66</v>
      </c>
      <c r="S1391" s="154" t="s">
        <v>66</v>
      </c>
      <c r="T1391" s="155" t="s">
        <v>64</v>
      </c>
      <c r="U1391" s="155" t="s">
        <v>64</v>
      </c>
      <c r="V1391" s="154" t="s">
        <v>60</v>
      </c>
      <c r="W1391" s="154" t="s">
        <v>60</v>
      </c>
      <c r="X1391" s="154" t="s">
        <v>66</v>
      </c>
      <c r="Y1391" s="155" t="s">
        <v>64</v>
      </c>
      <c r="Z1391" s="154" t="s">
        <v>60</v>
      </c>
      <c r="AA1391" s="154"/>
      <c r="AB1391" s="242" t="str">
        <f t="shared" si="2"/>
        <v>#ERROR!</v>
      </c>
      <c r="AC1391" s="154" t="s">
        <v>391</v>
      </c>
      <c r="AD1391" s="242" t="b">
        <f t="shared" si="3"/>
        <v>0</v>
      </c>
      <c r="AE1391" s="154"/>
      <c r="AF1391" s="242" t="str">
        <f t="shared" si="4"/>
        <v>#ERROR!</v>
      </c>
      <c r="AG1391" s="154"/>
      <c r="AH1391" s="242" t="str">
        <f>IF(AG1391="","N/A",INDIRECT("MTR!"&amp;ADDRESS(MATCH(LEFT(AG1391,9),[1]MTR!C:C,0),COLUMN(J1391)),TRUE) &amp; "")</f>
        <v>#ERROR!</v>
      </c>
      <c r="AI1391" s="157" t="str">
        <f t="shared" si="5"/>
        <v>#ERROR!</v>
      </c>
    </row>
    <row r="1392" ht="12.75" customHeight="1">
      <c r="A1392" s="244" t="s">
        <v>5158</v>
      </c>
      <c r="B1392" s="244" t="s">
        <v>231</v>
      </c>
      <c r="C1392" s="244" t="s">
        <v>10273</v>
      </c>
      <c r="D1392" s="154" t="s">
        <v>1773</v>
      </c>
      <c r="E1392" s="154"/>
      <c r="F1392" s="154" t="str">
        <f t="array" ref="F1392">XLOOKUP(Cover!$D$12,$R$1:$Z$1,$R1392:$Z1392)</f>
        <v>Mandatory</v>
      </c>
      <c r="G1392" s="154" t="s">
        <v>10274</v>
      </c>
      <c r="H1392" s="154" t="s">
        <v>6782</v>
      </c>
      <c r="I1392" s="154" t="s">
        <v>10270</v>
      </c>
      <c r="J1392" s="154" t="s">
        <v>7193</v>
      </c>
      <c r="K1392" s="154" t="s">
        <v>10125</v>
      </c>
      <c r="L1392" s="154" t="s">
        <v>7175</v>
      </c>
      <c r="M1392" s="154" t="s">
        <v>175</v>
      </c>
      <c r="N1392" s="154" t="s">
        <v>759</v>
      </c>
      <c r="O1392" s="247" t="s">
        <v>516</v>
      </c>
      <c r="P1392" s="247" t="s">
        <v>6776</v>
      </c>
      <c r="Q1392" s="154" t="str">
        <f t="shared" si="1"/>
        <v>#ERROR!</v>
      </c>
      <c r="R1392" s="154" t="s">
        <v>66</v>
      </c>
      <c r="S1392" s="154" t="s">
        <v>66</v>
      </c>
      <c r="T1392" s="155" t="s">
        <v>64</v>
      </c>
      <c r="U1392" s="155" t="s">
        <v>64</v>
      </c>
      <c r="V1392" s="154" t="s">
        <v>60</v>
      </c>
      <c r="W1392" s="154" t="s">
        <v>60</v>
      </c>
      <c r="X1392" s="154" t="s">
        <v>66</v>
      </c>
      <c r="Y1392" s="155" t="s">
        <v>64</v>
      </c>
      <c r="Z1392" s="154" t="s">
        <v>60</v>
      </c>
      <c r="AA1392" s="154"/>
      <c r="AB1392" s="242" t="str">
        <f t="shared" si="2"/>
        <v>#ERROR!</v>
      </c>
      <c r="AC1392" s="154" t="s">
        <v>391</v>
      </c>
      <c r="AD1392" s="242" t="b">
        <f t="shared" si="3"/>
        <v>0</v>
      </c>
      <c r="AE1392" s="154"/>
      <c r="AF1392" s="242" t="str">
        <f t="shared" si="4"/>
        <v>#ERROR!</v>
      </c>
      <c r="AG1392" s="154"/>
      <c r="AH1392" s="242" t="str">
        <f>IF(AG1392="","N/A",INDIRECT("MTR!"&amp;ADDRESS(MATCH(LEFT(AG1392,9),[1]MTR!C:C,0),COLUMN(J1392)),TRUE) &amp; "")</f>
        <v>#ERROR!</v>
      </c>
      <c r="AI1392" s="157" t="str">
        <f t="shared" si="5"/>
        <v>#ERROR!</v>
      </c>
    </row>
    <row r="1393" ht="12.75" customHeight="1">
      <c r="A1393" s="244" t="s">
        <v>5158</v>
      </c>
      <c r="B1393" s="244" t="s">
        <v>231</v>
      </c>
      <c r="C1393" s="244" t="s">
        <v>10275</v>
      </c>
      <c r="D1393" s="154" t="s">
        <v>1773</v>
      </c>
      <c r="E1393" s="154"/>
      <c r="F1393" s="154" t="str">
        <f t="array" ref="F1393">XLOOKUP(Cover!$D$12,$R$1:$Z$1,$R1393:$Z1393)</f>
        <v>Mandatory</v>
      </c>
      <c r="G1393" s="154" t="s">
        <v>10276</v>
      </c>
      <c r="H1393" s="154" t="s">
        <v>1489</v>
      </c>
      <c r="I1393" s="154" t="s">
        <v>10270</v>
      </c>
      <c r="J1393" s="154" t="s">
        <v>7193</v>
      </c>
      <c r="K1393" s="154" t="s">
        <v>10125</v>
      </c>
      <c r="L1393" s="154" t="s">
        <v>7175</v>
      </c>
      <c r="M1393" s="154" t="s">
        <v>175</v>
      </c>
      <c r="N1393" s="154" t="s">
        <v>759</v>
      </c>
      <c r="O1393" s="247" t="s">
        <v>516</v>
      </c>
      <c r="P1393" s="247" t="s">
        <v>6776</v>
      </c>
      <c r="Q1393" s="154" t="str">
        <f t="shared" si="1"/>
        <v>#ERROR!</v>
      </c>
      <c r="R1393" s="154" t="s">
        <v>66</v>
      </c>
      <c r="S1393" s="154" t="s">
        <v>66</v>
      </c>
      <c r="T1393" s="155" t="s">
        <v>64</v>
      </c>
      <c r="U1393" s="155" t="s">
        <v>64</v>
      </c>
      <c r="V1393" s="154" t="s">
        <v>60</v>
      </c>
      <c r="W1393" s="154" t="s">
        <v>60</v>
      </c>
      <c r="X1393" s="154" t="s">
        <v>66</v>
      </c>
      <c r="Y1393" s="155" t="s">
        <v>64</v>
      </c>
      <c r="Z1393" s="154" t="s">
        <v>60</v>
      </c>
      <c r="AA1393" s="154"/>
      <c r="AB1393" s="242" t="str">
        <f t="shared" si="2"/>
        <v>#ERROR!</v>
      </c>
      <c r="AC1393" s="154" t="s">
        <v>391</v>
      </c>
      <c r="AD1393" s="242" t="b">
        <f t="shared" si="3"/>
        <v>0</v>
      </c>
      <c r="AE1393" s="154"/>
      <c r="AF1393" s="242" t="str">
        <f t="shared" si="4"/>
        <v>#ERROR!</v>
      </c>
      <c r="AG1393" s="154"/>
      <c r="AH1393" s="242" t="str">
        <f>IF(AG1393="","N/A",INDIRECT("MTR!"&amp;ADDRESS(MATCH(LEFT(AG1393,9),[1]MTR!C:C,0),COLUMN(J1393)),TRUE) &amp; "")</f>
        <v>#ERROR!</v>
      </c>
      <c r="AI1393" s="157" t="str">
        <f t="shared" si="5"/>
        <v>#ERROR!</v>
      </c>
    </row>
    <row r="1394" ht="12.75" customHeight="1">
      <c r="A1394" s="244" t="s">
        <v>5158</v>
      </c>
      <c r="B1394" s="244" t="s">
        <v>231</v>
      </c>
      <c r="C1394" s="244" t="s">
        <v>10277</v>
      </c>
      <c r="D1394" s="154" t="s">
        <v>1773</v>
      </c>
      <c r="E1394" s="154"/>
      <c r="F1394" s="154" t="str">
        <f t="array" ref="F1394">XLOOKUP(Cover!$D$12,$R$1:$Z$1,$R1394:$Z1394)</f>
        <v>Mandatory</v>
      </c>
      <c r="G1394" s="154" t="s">
        <v>10278</v>
      </c>
      <c r="H1394" s="154" t="s">
        <v>8550</v>
      </c>
      <c r="I1394" s="154" t="s">
        <v>10270</v>
      </c>
      <c r="J1394" s="154" t="s">
        <v>7193</v>
      </c>
      <c r="K1394" s="154" t="s">
        <v>10125</v>
      </c>
      <c r="L1394" s="154" t="s">
        <v>7175</v>
      </c>
      <c r="M1394" s="154" t="s">
        <v>175</v>
      </c>
      <c r="N1394" s="154" t="s">
        <v>759</v>
      </c>
      <c r="O1394" s="247" t="s">
        <v>516</v>
      </c>
      <c r="P1394" s="247" t="s">
        <v>6776</v>
      </c>
      <c r="Q1394" s="154" t="str">
        <f t="shared" si="1"/>
        <v>#ERROR!</v>
      </c>
      <c r="R1394" s="154" t="s">
        <v>66</v>
      </c>
      <c r="S1394" s="154" t="s">
        <v>66</v>
      </c>
      <c r="T1394" s="155" t="s">
        <v>64</v>
      </c>
      <c r="U1394" s="155" t="s">
        <v>64</v>
      </c>
      <c r="V1394" s="154" t="s">
        <v>60</v>
      </c>
      <c r="W1394" s="154" t="s">
        <v>60</v>
      </c>
      <c r="X1394" s="154" t="s">
        <v>66</v>
      </c>
      <c r="Y1394" s="155" t="s">
        <v>64</v>
      </c>
      <c r="Z1394" s="154" t="s">
        <v>60</v>
      </c>
      <c r="AA1394" s="154"/>
      <c r="AB1394" s="242" t="str">
        <f t="shared" si="2"/>
        <v>#ERROR!</v>
      </c>
      <c r="AC1394" s="154" t="s">
        <v>391</v>
      </c>
      <c r="AD1394" s="242" t="b">
        <f t="shared" si="3"/>
        <v>0</v>
      </c>
      <c r="AE1394" s="154"/>
      <c r="AF1394" s="242" t="str">
        <f t="shared" si="4"/>
        <v>#ERROR!</v>
      </c>
      <c r="AG1394" s="154"/>
      <c r="AH1394" s="242" t="str">
        <f>IF(AG1394="","N/A",INDIRECT("MTR!"&amp;ADDRESS(MATCH(LEFT(AG1394,9),[1]MTR!C:C,0),COLUMN(J1394)),TRUE) &amp; "")</f>
        <v>#ERROR!</v>
      </c>
      <c r="AI1394" s="157" t="str">
        <f t="shared" si="5"/>
        <v>#ERROR!</v>
      </c>
    </row>
    <row r="1395" ht="12.75" customHeight="1">
      <c r="A1395" s="244" t="s">
        <v>5158</v>
      </c>
      <c r="B1395" s="244" t="s">
        <v>231</v>
      </c>
      <c r="C1395" s="244" t="s">
        <v>10279</v>
      </c>
      <c r="D1395" s="154" t="s">
        <v>1773</v>
      </c>
      <c r="E1395" s="154"/>
      <c r="F1395" s="154" t="str">
        <f t="array" ref="F1395">XLOOKUP(Cover!$D$12,$R$1:$Z$1,$R1395:$Z1395)</f>
        <v>Mandatory</v>
      </c>
      <c r="G1395" s="154" t="s">
        <v>10280</v>
      </c>
      <c r="H1395" s="154" t="s">
        <v>8519</v>
      </c>
      <c r="I1395" s="154" t="s">
        <v>10270</v>
      </c>
      <c r="J1395" s="154" t="s">
        <v>7193</v>
      </c>
      <c r="K1395" s="154" t="s">
        <v>10125</v>
      </c>
      <c r="L1395" s="154" t="s">
        <v>7175</v>
      </c>
      <c r="M1395" s="154" t="s">
        <v>175</v>
      </c>
      <c r="N1395" s="154" t="s">
        <v>759</v>
      </c>
      <c r="O1395" s="247" t="s">
        <v>516</v>
      </c>
      <c r="P1395" s="247" t="s">
        <v>6776</v>
      </c>
      <c r="Q1395" s="154" t="str">
        <f t="shared" si="1"/>
        <v>#ERROR!</v>
      </c>
      <c r="R1395" s="154" t="s">
        <v>66</v>
      </c>
      <c r="S1395" s="154" t="s">
        <v>66</v>
      </c>
      <c r="T1395" s="155" t="s">
        <v>64</v>
      </c>
      <c r="U1395" s="155" t="s">
        <v>64</v>
      </c>
      <c r="V1395" s="154" t="s">
        <v>60</v>
      </c>
      <c r="W1395" s="154" t="s">
        <v>60</v>
      </c>
      <c r="X1395" s="154" t="s">
        <v>66</v>
      </c>
      <c r="Y1395" s="155" t="s">
        <v>64</v>
      </c>
      <c r="Z1395" s="154" t="s">
        <v>60</v>
      </c>
      <c r="AA1395" s="154"/>
      <c r="AB1395" s="242" t="str">
        <f t="shared" si="2"/>
        <v>#ERROR!</v>
      </c>
      <c r="AC1395" s="154" t="s">
        <v>391</v>
      </c>
      <c r="AD1395" s="242" t="b">
        <f t="shared" si="3"/>
        <v>0</v>
      </c>
      <c r="AE1395" s="154"/>
      <c r="AF1395" s="242" t="str">
        <f t="shared" si="4"/>
        <v>#ERROR!</v>
      </c>
      <c r="AG1395" s="154"/>
      <c r="AH1395" s="242" t="str">
        <f>IF(AG1395="","N/A",INDIRECT("MTR!"&amp;ADDRESS(MATCH(LEFT(AG1395,9),[1]MTR!C:C,0),COLUMN(J1395)),TRUE) &amp; "")</f>
        <v>#ERROR!</v>
      </c>
      <c r="AI1395" s="157" t="str">
        <f t="shared" si="5"/>
        <v>#ERROR!</v>
      </c>
    </row>
    <row r="1396" ht="12.75" customHeight="1">
      <c r="A1396" s="238" t="s">
        <v>5158</v>
      </c>
      <c r="B1396" s="238" t="s">
        <v>231</v>
      </c>
      <c r="C1396" s="238" t="s">
        <v>10281</v>
      </c>
      <c r="D1396" s="240"/>
      <c r="E1396" s="240" t="s">
        <v>92</v>
      </c>
      <c r="F1396" s="240" t="str">
        <f t="array" ref="F1396">XLOOKUP(Cover!$D$12,$R$1:$Z$1,$R1396:$Z1396)</f>
        <v>Heading</v>
      </c>
      <c r="G1396" s="239" t="s">
        <v>10282</v>
      </c>
      <c r="H1396" s="240"/>
      <c r="I1396" s="240"/>
      <c r="J1396" s="240"/>
      <c r="K1396" s="240"/>
      <c r="L1396" s="240"/>
      <c r="M1396" s="240"/>
      <c r="N1396" s="240" t="s">
        <v>759</v>
      </c>
      <c r="O1396" s="240"/>
      <c r="P1396" s="240"/>
      <c r="Q1396" s="240" t="str">
        <f t="shared" si="1"/>
        <v/>
      </c>
      <c r="R1396" s="240" t="s">
        <v>390</v>
      </c>
      <c r="S1396" s="240" t="s">
        <v>390</v>
      </c>
      <c r="T1396" s="240" t="s">
        <v>390</v>
      </c>
      <c r="U1396" s="240" t="s">
        <v>390</v>
      </c>
      <c r="V1396" s="240" t="s">
        <v>390</v>
      </c>
      <c r="W1396" s="240" t="s">
        <v>390</v>
      </c>
      <c r="X1396" s="240" t="s">
        <v>390</v>
      </c>
      <c r="Y1396" s="240" t="s">
        <v>390</v>
      </c>
      <c r="Z1396" s="240" t="s">
        <v>390</v>
      </c>
      <c r="AA1396" s="240"/>
      <c r="AB1396" s="242" t="str">
        <f t="shared" si="2"/>
        <v>#ERROR!</v>
      </c>
      <c r="AC1396" s="240" t="s">
        <v>391</v>
      </c>
      <c r="AD1396" s="242" t="b">
        <f t="shared" si="3"/>
        <v>0</v>
      </c>
      <c r="AE1396" s="240"/>
      <c r="AF1396" s="242" t="str">
        <f t="shared" si="4"/>
        <v>#ERROR!</v>
      </c>
      <c r="AG1396" s="240"/>
      <c r="AH1396" s="242" t="str">
        <f>IF(AG1396="","N/A",INDIRECT("MTR!"&amp;ADDRESS(MATCH(LEFT(AG1396,9),[1]MTR!C:C,0),COLUMN(J1396)),TRUE) &amp; "")</f>
        <v>#ERROR!</v>
      </c>
      <c r="AI1396" s="157" t="str">
        <f t="shared" si="5"/>
        <v/>
      </c>
    </row>
    <row r="1397" ht="12.75" customHeight="1">
      <c r="A1397" s="244" t="s">
        <v>5158</v>
      </c>
      <c r="B1397" s="244" t="s">
        <v>231</v>
      </c>
      <c r="C1397" s="244" t="s">
        <v>10283</v>
      </c>
      <c r="D1397" s="154" t="s">
        <v>503</v>
      </c>
      <c r="E1397" s="154"/>
      <c r="F1397" s="154" t="str">
        <f t="array" ref="F1397">XLOOKUP(Cover!$D$12,$R$1:$Z$1,$R1397:$Z1397)</f>
        <v>Mandatory</v>
      </c>
      <c r="G1397" s="154" t="s">
        <v>10284</v>
      </c>
      <c r="H1397" s="154" t="s">
        <v>6771</v>
      </c>
      <c r="I1397" s="154" t="s">
        <v>10285</v>
      </c>
      <c r="J1397" s="154" t="s">
        <v>5782</v>
      </c>
      <c r="K1397" s="154" t="s">
        <v>10286</v>
      </c>
      <c r="L1397" s="154" t="s">
        <v>6463</v>
      </c>
      <c r="M1397" s="154" t="s">
        <v>1018</v>
      </c>
      <c r="N1397" s="154" t="s">
        <v>759</v>
      </c>
      <c r="O1397" s="247" t="s">
        <v>516</v>
      </c>
      <c r="P1397" s="247" t="s">
        <v>6776</v>
      </c>
      <c r="Q1397" s="154" t="str">
        <f t="shared" si="1"/>
        <v>#ERROR!</v>
      </c>
      <c r="R1397" s="154" t="s">
        <v>66</v>
      </c>
      <c r="S1397" s="154" t="s">
        <v>66</v>
      </c>
      <c r="T1397" s="155" t="s">
        <v>64</v>
      </c>
      <c r="U1397" s="155" t="s">
        <v>64</v>
      </c>
      <c r="V1397" s="154" t="s">
        <v>60</v>
      </c>
      <c r="W1397" s="154" t="s">
        <v>60</v>
      </c>
      <c r="X1397" s="154" t="s">
        <v>66</v>
      </c>
      <c r="Y1397" s="155" t="s">
        <v>64</v>
      </c>
      <c r="Z1397" s="154" t="s">
        <v>60</v>
      </c>
      <c r="AA1397" s="154"/>
      <c r="AB1397" s="242" t="str">
        <f t="shared" si="2"/>
        <v>#ERROR!</v>
      </c>
      <c r="AC1397" s="154" t="s">
        <v>391</v>
      </c>
      <c r="AD1397" s="242" t="b">
        <f t="shared" si="3"/>
        <v>0</v>
      </c>
      <c r="AE1397" s="154"/>
      <c r="AF1397" s="242" t="str">
        <f t="shared" si="4"/>
        <v>#ERROR!</v>
      </c>
      <c r="AG1397" s="154"/>
      <c r="AH1397" s="242" t="str">
        <f>IF(AG1397="","N/A",INDIRECT("MTR!"&amp;ADDRESS(MATCH(LEFT(AG1397,9),[1]MTR!C:C,0),COLUMN(J1397)),TRUE) &amp; "")</f>
        <v>#ERROR!</v>
      </c>
      <c r="AI1397" s="157" t="str">
        <f t="shared" si="5"/>
        <v>#ERROR!</v>
      </c>
    </row>
    <row r="1398" ht="12.75" customHeight="1">
      <c r="A1398" s="244" t="s">
        <v>5158</v>
      </c>
      <c r="B1398" s="244" t="s">
        <v>231</v>
      </c>
      <c r="C1398" s="244" t="s">
        <v>10287</v>
      </c>
      <c r="D1398" s="154" t="s">
        <v>503</v>
      </c>
      <c r="E1398" s="154"/>
      <c r="F1398" s="154" t="str">
        <f t="array" ref="F1398">XLOOKUP(Cover!$D$12,$R$1:$Z$1,$R1398:$Z1398)</f>
        <v>Recommended</v>
      </c>
      <c r="G1398" s="154" t="s">
        <v>10288</v>
      </c>
      <c r="H1398" s="154" t="s">
        <v>6775</v>
      </c>
      <c r="I1398" s="154" t="s">
        <v>10289</v>
      </c>
      <c r="J1398" s="154" t="s">
        <v>5830</v>
      </c>
      <c r="K1398" s="154" t="s">
        <v>10286</v>
      </c>
      <c r="L1398" s="154" t="s">
        <v>6463</v>
      </c>
      <c r="M1398" s="154"/>
      <c r="N1398" s="154" t="s">
        <v>759</v>
      </c>
      <c r="O1398" s="247" t="s">
        <v>516</v>
      </c>
      <c r="P1398" s="247" t="s">
        <v>6776</v>
      </c>
      <c r="Q1398" s="154" t="str">
        <f t="shared" si="1"/>
        <v>#ERROR!</v>
      </c>
      <c r="R1398" s="154" t="s">
        <v>66</v>
      </c>
      <c r="S1398" s="154" t="s">
        <v>66</v>
      </c>
      <c r="T1398" s="154" t="s">
        <v>64</v>
      </c>
      <c r="U1398" s="154" t="s">
        <v>64</v>
      </c>
      <c r="V1398" s="154" t="s">
        <v>64</v>
      </c>
      <c r="W1398" s="154" t="s">
        <v>64</v>
      </c>
      <c r="X1398" s="154" t="s">
        <v>66</v>
      </c>
      <c r="Y1398" s="154" t="s">
        <v>64</v>
      </c>
      <c r="Z1398" s="154" t="s">
        <v>64</v>
      </c>
      <c r="AA1398" s="154"/>
      <c r="AB1398" s="242" t="str">
        <f t="shared" si="2"/>
        <v>#ERROR!</v>
      </c>
      <c r="AC1398" s="154" t="s">
        <v>391</v>
      </c>
      <c r="AD1398" s="242" t="b">
        <f t="shared" si="3"/>
        <v>0</v>
      </c>
      <c r="AE1398" s="154"/>
      <c r="AF1398" s="242" t="str">
        <f t="shared" si="4"/>
        <v>#ERROR!</v>
      </c>
      <c r="AG1398" s="154"/>
      <c r="AH1398" s="242" t="str">
        <f>IF(AG1398="","N/A",INDIRECT("MTR!"&amp;ADDRESS(MATCH(LEFT(AG1398,9),[1]MTR!C:C,0),COLUMN(J1398)),TRUE) &amp; "")</f>
        <v>#ERROR!</v>
      </c>
      <c r="AI1398" s="157" t="str">
        <f t="shared" si="5"/>
        <v>#ERROR!</v>
      </c>
    </row>
    <row r="1399" ht="12.75" customHeight="1">
      <c r="A1399" s="244" t="s">
        <v>5158</v>
      </c>
      <c r="B1399" s="244" t="s">
        <v>231</v>
      </c>
      <c r="C1399" s="244" t="s">
        <v>10290</v>
      </c>
      <c r="D1399" s="154" t="s">
        <v>503</v>
      </c>
      <c r="E1399" s="154"/>
      <c r="F1399" s="154" t="str">
        <f t="array" ref="F1399">XLOOKUP(Cover!$D$12,$R$1:$Z$1,$R1399:$Z1399)</f>
        <v>Mandatory</v>
      </c>
      <c r="G1399" s="154" t="s">
        <v>10291</v>
      </c>
      <c r="H1399" s="154" t="s">
        <v>6782</v>
      </c>
      <c r="I1399" s="154" t="s">
        <v>10292</v>
      </c>
      <c r="J1399" s="154" t="s">
        <v>5897</v>
      </c>
      <c r="K1399" s="154" t="s">
        <v>10286</v>
      </c>
      <c r="L1399" s="154" t="s">
        <v>6463</v>
      </c>
      <c r="M1399" s="154" t="s">
        <v>1018</v>
      </c>
      <c r="N1399" s="154" t="s">
        <v>759</v>
      </c>
      <c r="O1399" s="247" t="s">
        <v>516</v>
      </c>
      <c r="P1399" s="247" t="s">
        <v>6776</v>
      </c>
      <c r="Q1399" s="154" t="str">
        <f t="shared" si="1"/>
        <v>#ERROR!</v>
      </c>
      <c r="R1399" s="154" t="s">
        <v>66</v>
      </c>
      <c r="S1399" s="154" t="s">
        <v>66</v>
      </c>
      <c r="T1399" s="155" t="s">
        <v>64</v>
      </c>
      <c r="U1399" s="155" t="s">
        <v>64</v>
      </c>
      <c r="V1399" s="154" t="s">
        <v>60</v>
      </c>
      <c r="W1399" s="154" t="s">
        <v>60</v>
      </c>
      <c r="X1399" s="154" t="s">
        <v>66</v>
      </c>
      <c r="Y1399" s="155" t="s">
        <v>64</v>
      </c>
      <c r="Z1399" s="154" t="s">
        <v>60</v>
      </c>
      <c r="AA1399" s="154"/>
      <c r="AB1399" s="242" t="str">
        <f t="shared" si="2"/>
        <v>#ERROR!</v>
      </c>
      <c r="AC1399" s="154" t="s">
        <v>391</v>
      </c>
      <c r="AD1399" s="242" t="b">
        <f t="shared" si="3"/>
        <v>0</v>
      </c>
      <c r="AE1399" s="154"/>
      <c r="AF1399" s="242" t="str">
        <f t="shared" si="4"/>
        <v>#ERROR!</v>
      </c>
      <c r="AG1399" s="154"/>
      <c r="AH1399" s="242" t="str">
        <f>IF(AG1399="","N/A",INDIRECT("MTR!"&amp;ADDRESS(MATCH(LEFT(AG1399,9),[1]MTR!C:C,0),COLUMN(J1399)),TRUE) &amp; "")</f>
        <v>#ERROR!</v>
      </c>
      <c r="AI1399" s="157" t="str">
        <f t="shared" si="5"/>
        <v>#ERROR!</v>
      </c>
    </row>
    <row r="1400" ht="12.75" customHeight="1">
      <c r="A1400" s="244" t="s">
        <v>5158</v>
      </c>
      <c r="B1400" s="244" t="s">
        <v>231</v>
      </c>
      <c r="C1400" s="244" t="s">
        <v>10293</v>
      </c>
      <c r="D1400" s="154" t="s">
        <v>503</v>
      </c>
      <c r="E1400" s="154"/>
      <c r="F1400" s="154" t="str">
        <f t="array" ref="F1400">XLOOKUP(Cover!$D$12,$R$1:$Z$1,$R1400:$Z1400)</f>
        <v>Mandatory</v>
      </c>
      <c r="G1400" s="154" t="s">
        <v>10294</v>
      </c>
      <c r="H1400" s="154" t="s">
        <v>6808</v>
      </c>
      <c r="I1400" s="154" t="s">
        <v>10295</v>
      </c>
      <c r="J1400" s="154" t="s">
        <v>6809</v>
      </c>
      <c r="K1400" s="154" t="s">
        <v>10286</v>
      </c>
      <c r="L1400" s="154" t="s">
        <v>6463</v>
      </c>
      <c r="M1400" s="154" t="s">
        <v>1018</v>
      </c>
      <c r="N1400" s="154" t="s">
        <v>759</v>
      </c>
      <c r="O1400" s="247" t="s">
        <v>516</v>
      </c>
      <c r="P1400" s="247" t="s">
        <v>6776</v>
      </c>
      <c r="Q1400" s="154" t="str">
        <f t="shared" si="1"/>
        <v>#ERROR!</v>
      </c>
      <c r="R1400" s="154" t="s">
        <v>66</v>
      </c>
      <c r="S1400" s="154" t="s">
        <v>66</v>
      </c>
      <c r="T1400" s="155" t="s">
        <v>64</v>
      </c>
      <c r="U1400" s="155" t="s">
        <v>64</v>
      </c>
      <c r="V1400" s="154" t="s">
        <v>60</v>
      </c>
      <c r="W1400" s="154" t="s">
        <v>60</v>
      </c>
      <c r="X1400" s="154" t="s">
        <v>66</v>
      </c>
      <c r="Y1400" s="155" t="s">
        <v>64</v>
      </c>
      <c r="Z1400" s="154" t="s">
        <v>60</v>
      </c>
      <c r="AA1400" s="154"/>
      <c r="AB1400" s="242" t="str">
        <f t="shared" si="2"/>
        <v>#ERROR!</v>
      </c>
      <c r="AC1400" s="154" t="s">
        <v>391</v>
      </c>
      <c r="AD1400" s="242" t="b">
        <f t="shared" si="3"/>
        <v>0</v>
      </c>
      <c r="AE1400" s="154"/>
      <c r="AF1400" s="242" t="str">
        <f t="shared" si="4"/>
        <v>#ERROR!</v>
      </c>
      <c r="AG1400" s="154"/>
      <c r="AH1400" s="242" t="str">
        <f>IF(AG1400="","N/A",INDIRECT("MTR!"&amp;ADDRESS(MATCH(LEFT(AG1400,9),[1]MTR!C:C,0),COLUMN(J1400)),TRUE) &amp; "")</f>
        <v>#ERROR!</v>
      </c>
      <c r="AI1400" s="157" t="str">
        <f t="shared" si="5"/>
        <v>#ERROR!</v>
      </c>
    </row>
    <row r="1401" ht="12.75" customHeight="1">
      <c r="A1401" s="244" t="s">
        <v>5158</v>
      </c>
      <c r="B1401" s="244" t="s">
        <v>231</v>
      </c>
      <c r="C1401" s="244" t="s">
        <v>10296</v>
      </c>
      <c r="D1401" s="154" t="s">
        <v>503</v>
      </c>
      <c r="E1401" s="154"/>
      <c r="F1401" s="154" t="str">
        <f t="array" ref="F1401">XLOOKUP(Cover!$D$12,$R$1:$Z$1,$R1401:$Z1401)</f>
        <v>Mandatory</v>
      </c>
      <c r="G1401" s="154" t="s">
        <v>10297</v>
      </c>
      <c r="H1401" s="154" t="s">
        <v>6771</v>
      </c>
      <c r="I1401" s="154" t="s">
        <v>10298</v>
      </c>
      <c r="J1401" s="154" t="s">
        <v>6819</v>
      </c>
      <c r="K1401" s="154" t="s">
        <v>10286</v>
      </c>
      <c r="L1401" s="154" t="s">
        <v>6463</v>
      </c>
      <c r="M1401" s="154" t="s">
        <v>1018</v>
      </c>
      <c r="N1401" s="154" t="s">
        <v>759</v>
      </c>
      <c r="O1401" s="247" t="s">
        <v>516</v>
      </c>
      <c r="P1401" s="247" t="s">
        <v>6776</v>
      </c>
      <c r="Q1401" s="154" t="str">
        <f t="shared" si="1"/>
        <v>#ERROR!</v>
      </c>
      <c r="R1401" s="154" t="s">
        <v>66</v>
      </c>
      <c r="S1401" s="154" t="s">
        <v>66</v>
      </c>
      <c r="T1401" s="155" t="s">
        <v>64</v>
      </c>
      <c r="U1401" s="155" t="s">
        <v>64</v>
      </c>
      <c r="V1401" s="154" t="s">
        <v>60</v>
      </c>
      <c r="W1401" s="154" t="s">
        <v>60</v>
      </c>
      <c r="X1401" s="154" t="s">
        <v>66</v>
      </c>
      <c r="Y1401" s="155" t="s">
        <v>64</v>
      </c>
      <c r="Z1401" s="154" t="s">
        <v>60</v>
      </c>
      <c r="AA1401" s="154"/>
      <c r="AB1401" s="242" t="str">
        <f t="shared" si="2"/>
        <v>#ERROR!</v>
      </c>
      <c r="AC1401" s="154" t="s">
        <v>391</v>
      </c>
      <c r="AD1401" s="242" t="b">
        <f t="shared" si="3"/>
        <v>0</v>
      </c>
      <c r="AE1401" s="154"/>
      <c r="AF1401" s="242" t="str">
        <f t="shared" si="4"/>
        <v>#ERROR!</v>
      </c>
      <c r="AG1401" s="154"/>
      <c r="AH1401" s="242" t="str">
        <f>IF(AG1401="","N/A",INDIRECT("MTR!"&amp;ADDRESS(MATCH(LEFT(AG1401,9),[1]MTR!C:C,0),COLUMN(J1401)),TRUE) &amp; "")</f>
        <v>#ERROR!</v>
      </c>
      <c r="AI1401" s="157" t="str">
        <f t="shared" si="5"/>
        <v>#ERROR!</v>
      </c>
    </row>
    <row r="1402" ht="12.75" customHeight="1">
      <c r="A1402" s="244" t="s">
        <v>5158</v>
      </c>
      <c r="B1402" s="244" t="s">
        <v>231</v>
      </c>
      <c r="C1402" s="244" t="s">
        <v>10299</v>
      </c>
      <c r="D1402" s="154" t="s">
        <v>503</v>
      </c>
      <c r="E1402" s="154"/>
      <c r="F1402" s="154" t="str">
        <f t="array" ref="F1402">XLOOKUP(Cover!$D$12,$R$1:$Z$1,$R1402:$Z1402)</f>
        <v>Recommended</v>
      </c>
      <c r="G1402" s="154" t="s">
        <v>10300</v>
      </c>
      <c r="H1402" s="154" t="s">
        <v>6775</v>
      </c>
      <c r="I1402" s="154" t="s">
        <v>10298</v>
      </c>
      <c r="J1402" s="154" t="s">
        <v>6819</v>
      </c>
      <c r="K1402" s="154" t="s">
        <v>10286</v>
      </c>
      <c r="L1402" s="154" t="s">
        <v>6463</v>
      </c>
      <c r="M1402" s="154"/>
      <c r="N1402" s="154" t="s">
        <v>759</v>
      </c>
      <c r="O1402" s="247" t="s">
        <v>516</v>
      </c>
      <c r="P1402" s="247" t="s">
        <v>6776</v>
      </c>
      <c r="Q1402" s="154" t="str">
        <f t="shared" si="1"/>
        <v>#ERROR!</v>
      </c>
      <c r="R1402" s="154" t="s">
        <v>66</v>
      </c>
      <c r="S1402" s="154" t="s">
        <v>66</v>
      </c>
      <c r="T1402" s="154" t="s">
        <v>64</v>
      </c>
      <c r="U1402" s="154" t="s">
        <v>64</v>
      </c>
      <c r="V1402" s="154" t="s">
        <v>64</v>
      </c>
      <c r="W1402" s="154" t="s">
        <v>64</v>
      </c>
      <c r="X1402" s="154" t="s">
        <v>66</v>
      </c>
      <c r="Y1402" s="154" t="s">
        <v>64</v>
      </c>
      <c r="Z1402" s="154" t="s">
        <v>64</v>
      </c>
      <c r="AA1402" s="154"/>
      <c r="AB1402" s="242" t="str">
        <f t="shared" si="2"/>
        <v>#ERROR!</v>
      </c>
      <c r="AC1402" s="154" t="s">
        <v>391</v>
      </c>
      <c r="AD1402" s="242" t="b">
        <f t="shared" si="3"/>
        <v>0</v>
      </c>
      <c r="AE1402" s="154"/>
      <c r="AF1402" s="242" t="str">
        <f t="shared" si="4"/>
        <v>#ERROR!</v>
      </c>
      <c r="AG1402" s="154"/>
      <c r="AH1402" s="242" t="str">
        <f>IF(AG1402="","N/A",INDIRECT("MTR!"&amp;ADDRESS(MATCH(LEFT(AG1402,9),[1]MTR!C:C,0),COLUMN(J1402)),TRUE) &amp; "")</f>
        <v>#ERROR!</v>
      </c>
      <c r="AI1402" s="157" t="str">
        <f t="shared" si="5"/>
        <v>#ERROR!</v>
      </c>
    </row>
    <row r="1403" ht="12.75" customHeight="1">
      <c r="A1403" s="244" t="s">
        <v>5158</v>
      </c>
      <c r="B1403" s="244" t="s">
        <v>231</v>
      </c>
      <c r="C1403" s="244" t="s">
        <v>10301</v>
      </c>
      <c r="D1403" s="154" t="s">
        <v>503</v>
      </c>
      <c r="E1403" s="154"/>
      <c r="F1403" s="154" t="str">
        <f t="array" ref="F1403">XLOOKUP(Cover!$D$12,$R$1:$Z$1,$R1403:$Z1403)</f>
        <v>Mandatory</v>
      </c>
      <c r="G1403" s="154" t="s">
        <v>10302</v>
      </c>
      <c r="H1403" s="154" t="s">
        <v>6771</v>
      </c>
      <c r="I1403" s="154" t="s">
        <v>10303</v>
      </c>
      <c r="J1403" s="154" t="s">
        <v>6832</v>
      </c>
      <c r="K1403" s="154" t="s">
        <v>10286</v>
      </c>
      <c r="L1403" s="154" t="s">
        <v>6463</v>
      </c>
      <c r="M1403" s="154" t="s">
        <v>1018</v>
      </c>
      <c r="N1403" s="154" t="s">
        <v>759</v>
      </c>
      <c r="O1403" s="247" t="s">
        <v>516</v>
      </c>
      <c r="P1403" s="247" t="s">
        <v>6776</v>
      </c>
      <c r="Q1403" s="154" t="str">
        <f t="shared" si="1"/>
        <v>#ERROR!</v>
      </c>
      <c r="R1403" s="154" t="s">
        <v>66</v>
      </c>
      <c r="S1403" s="154" t="s">
        <v>66</v>
      </c>
      <c r="T1403" s="155" t="s">
        <v>64</v>
      </c>
      <c r="U1403" s="155" t="s">
        <v>64</v>
      </c>
      <c r="V1403" s="154" t="s">
        <v>60</v>
      </c>
      <c r="W1403" s="154" t="s">
        <v>60</v>
      </c>
      <c r="X1403" s="154" t="s">
        <v>66</v>
      </c>
      <c r="Y1403" s="155" t="s">
        <v>64</v>
      </c>
      <c r="Z1403" s="154" t="s">
        <v>60</v>
      </c>
      <c r="AA1403" s="154"/>
      <c r="AB1403" s="242" t="str">
        <f t="shared" si="2"/>
        <v>#ERROR!</v>
      </c>
      <c r="AC1403" s="154" t="s">
        <v>391</v>
      </c>
      <c r="AD1403" s="242" t="b">
        <f t="shared" si="3"/>
        <v>0</v>
      </c>
      <c r="AE1403" s="154"/>
      <c r="AF1403" s="242" t="str">
        <f t="shared" si="4"/>
        <v>#ERROR!</v>
      </c>
      <c r="AG1403" s="154"/>
      <c r="AH1403" s="242" t="str">
        <f>IF(AG1403="","N/A",INDIRECT("MTR!"&amp;ADDRESS(MATCH(LEFT(AG1403,9),[1]MTR!C:C,0),COLUMN(J1403)),TRUE) &amp; "")</f>
        <v>#ERROR!</v>
      </c>
      <c r="AI1403" s="157" t="str">
        <f t="shared" si="5"/>
        <v>#ERROR!</v>
      </c>
    </row>
    <row r="1404" ht="12.75" customHeight="1">
      <c r="A1404" s="244" t="s">
        <v>5158</v>
      </c>
      <c r="B1404" s="244" t="s">
        <v>231</v>
      </c>
      <c r="C1404" s="244" t="s">
        <v>10304</v>
      </c>
      <c r="D1404" s="154" t="s">
        <v>503</v>
      </c>
      <c r="E1404" s="154"/>
      <c r="F1404" s="154" t="str">
        <f t="array" ref="F1404">XLOOKUP(Cover!$D$12,$R$1:$Z$1,$R1404:$Z1404)</f>
        <v>Mandatory</v>
      </c>
      <c r="G1404" s="154" t="s">
        <v>10305</v>
      </c>
      <c r="H1404" s="154" t="s">
        <v>6782</v>
      </c>
      <c r="I1404" s="154" t="s">
        <v>10303</v>
      </c>
      <c r="J1404" s="154" t="s">
        <v>6832</v>
      </c>
      <c r="K1404" s="154" t="s">
        <v>10286</v>
      </c>
      <c r="L1404" s="154" t="s">
        <v>6463</v>
      </c>
      <c r="M1404" s="154" t="s">
        <v>1018</v>
      </c>
      <c r="N1404" s="154" t="s">
        <v>759</v>
      </c>
      <c r="O1404" s="247" t="s">
        <v>516</v>
      </c>
      <c r="P1404" s="247" t="s">
        <v>6776</v>
      </c>
      <c r="Q1404" s="154" t="str">
        <f t="shared" si="1"/>
        <v>#ERROR!</v>
      </c>
      <c r="R1404" s="154" t="s">
        <v>66</v>
      </c>
      <c r="S1404" s="154" t="s">
        <v>66</v>
      </c>
      <c r="T1404" s="155" t="s">
        <v>64</v>
      </c>
      <c r="U1404" s="155" t="s">
        <v>64</v>
      </c>
      <c r="V1404" s="154" t="s">
        <v>60</v>
      </c>
      <c r="W1404" s="154" t="s">
        <v>60</v>
      </c>
      <c r="X1404" s="154" t="s">
        <v>66</v>
      </c>
      <c r="Y1404" s="155" t="s">
        <v>64</v>
      </c>
      <c r="Z1404" s="154" t="s">
        <v>60</v>
      </c>
      <c r="AA1404" s="154"/>
      <c r="AB1404" s="242" t="str">
        <f t="shared" si="2"/>
        <v>#ERROR!</v>
      </c>
      <c r="AC1404" s="154" t="s">
        <v>391</v>
      </c>
      <c r="AD1404" s="242" t="b">
        <f t="shared" si="3"/>
        <v>0</v>
      </c>
      <c r="AE1404" s="154"/>
      <c r="AF1404" s="242" t="str">
        <f t="shared" si="4"/>
        <v>#ERROR!</v>
      </c>
      <c r="AG1404" s="154"/>
      <c r="AH1404" s="242" t="str">
        <f>IF(AG1404="","N/A",INDIRECT("MTR!"&amp;ADDRESS(MATCH(LEFT(AG1404,9),[1]MTR!C:C,0),COLUMN(J1404)),TRUE) &amp; "")</f>
        <v>#ERROR!</v>
      </c>
      <c r="AI1404" s="157" t="str">
        <f t="shared" si="5"/>
        <v>#ERROR!</v>
      </c>
    </row>
    <row r="1405" ht="12.75" customHeight="1">
      <c r="A1405" s="244" t="s">
        <v>5158</v>
      </c>
      <c r="B1405" s="244" t="s">
        <v>231</v>
      </c>
      <c r="C1405" s="244" t="s">
        <v>10306</v>
      </c>
      <c r="D1405" s="154" t="s">
        <v>503</v>
      </c>
      <c r="E1405" s="154"/>
      <c r="F1405" s="154" t="str">
        <f t="array" ref="F1405">XLOOKUP(Cover!$D$12,$R$1:$Z$1,$R1405:$Z1405)</f>
        <v>Mandatory</v>
      </c>
      <c r="G1405" s="154" t="s">
        <v>10307</v>
      </c>
      <c r="H1405" s="154" t="s">
        <v>6771</v>
      </c>
      <c r="I1405" s="154" t="s">
        <v>10308</v>
      </c>
      <c r="J1405" s="154" t="s">
        <v>6865</v>
      </c>
      <c r="K1405" s="154" t="s">
        <v>10286</v>
      </c>
      <c r="L1405" s="154" t="s">
        <v>6463</v>
      </c>
      <c r="M1405" s="154" t="s">
        <v>1018</v>
      </c>
      <c r="N1405" s="154" t="s">
        <v>759</v>
      </c>
      <c r="O1405" s="247" t="s">
        <v>516</v>
      </c>
      <c r="P1405" s="247" t="s">
        <v>6776</v>
      </c>
      <c r="Q1405" s="154" t="str">
        <f t="shared" si="1"/>
        <v>#ERROR!</v>
      </c>
      <c r="R1405" s="154" t="s">
        <v>66</v>
      </c>
      <c r="S1405" s="154" t="s">
        <v>66</v>
      </c>
      <c r="T1405" s="155" t="s">
        <v>64</v>
      </c>
      <c r="U1405" s="155" t="s">
        <v>64</v>
      </c>
      <c r="V1405" s="154" t="s">
        <v>60</v>
      </c>
      <c r="W1405" s="154" t="s">
        <v>60</v>
      </c>
      <c r="X1405" s="154" t="s">
        <v>66</v>
      </c>
      <c r="Y1405" s="155" t="s">
        <v>64</v>
      </c>
      <c r="Z1405" s="154" t="s">
        <v>60</v>
      </c>
      <c r="AA1405" s="154"/>
      <c r="AB1405" s="242" t="str">
        <f t="shared" si="2"/>
        <v>#ERROR!</v>
      </c>
      <c r="AC1405" s="154" t="s">
        <v>391</v>
      </c>
      <c r="AD1405" s="242" t="b">
        <f t="shared" si="3"/>
        <v>0</v>
      </c>
      <c r="AE1405" s="154"/>
      <c r="AF1405" s="242" t="str">
        <f t="shared" si="4"/>
        <v>#ERROR!</v>
      </c>
      <c r="AG1405" s="154"/>
      <c r="AH1405" s="242" t="str">
        <f>IF(AG1405="","N/A",INDIRECT("MTR!"&amp;ADDRESS(MATCH(LEFT(AG1405,9),[1]MTR!C:C,0),COLUMN(J1405)),TRUE) &amp; "")</f>
        <v>#ERROR!</v>
      </c>
      <c r="AI1405" s="157" t="str">
        <f t="shared" si="5"/>
        <v>#ERROR!</v>
      </c>
    </row>
    <row r="1406" ht="12.75" customHeight="1">
      <c r="A1406" s="244" t="s">
        <v>5158</v>
      </c>
      <c r="B1406" s="244" t="s">
        <v>231</v>
      </c>
      <c r="C1406" s="244" t="s">
        <v>10309</v>
      </c>
      <c r="D1406" s="154" t="s">
        <v>503</v>
      </c>
      <c r="E1406" s="154"/>
      <c r="F1406" s="154" t="str">
        <f t="array" ref="F1406">XLOOKUP(Cover!$D$12,$R$1:$Z$1,$R1406:$Z1406)</f>
        <v>Recommended</v>
      </c>
      <c r="G1406" s="154" t="s">
        <v>10310</v>
      </c>
      <c r="H1406" s="154" t="s">
        <v>6775</v>
      </c>
      <c r="I1406" s="154" t="s">
        <v>10308</v>
      </c>
      <c r="J1406" s="154" t="s">
        <v>6865</v>
      </c>
      <c r="K1406" s="154" t="s">
        <v>10286</v>
      </c>
      <c r="L1406" s="154" t="s">
        <v>6463</v>
      </c>
      <c r="M1406" s="154"/>
      <c r="N1406" s="154" t="s">
        <v>759</v>
      </c>
      <c r="O1406" s="247" t="s">
        <v>516</v>
      </c>
      <c r="P1406" s="247" t="s">
        <v>6776</v>
      </c>
      <c r="Q1406" s="154" t="str">
        <f t="shared" si="1"/>
        <v>#ERROR!</v>
      </c>
      <c r="R1406" s="154" t="s">
        <v>66</v>
      </c>
      <c r="S1406" s="154" t="s">
        <v>66</v>
      </c>
      <c r="T1406" s="154" t="s">
        <v>64</v>
      </c>
      <c r="U1406" s="154" t="s">
        <v>64</v>
      </c>
      <c r="V1406" s="154" t="s">
        <v>64</v>
      </c>
      <c r="W1406" s="154" t="s">
        <v>64</v>
      </c>
      <c r="X1406" s="154" t="s">
        <v>66</v>
      </c>
      <c r="Y1406" s="154" t="s">
        <v>64</v>
      </c>
      <c r="Z1406" s="154" t="s">
        <v>64</v>
      </c>
      <c r="AA1406" s="154"/>
      <c r="AB1406" s="242" t="str">
        <f t="shared" si="2"/>
        <v>#ERROR!</v>
      </c>
      <c r="AC1406" s="154" t="s">
        <v>391</v>
      </c>
      <c r="AD1406" s="242" t="b">
        <f t="shared" si="3"/>
        <v>0</v>
      </c>
      <c r="AE1406" s="154"/>
      <c r="AF1406" s="242" t="str">
        <f t="shared" si="4"/>
        <v>#ERROR!</v>
      </c>
      <c r="AG1406" s="154"/>
      <c r="AH1406" s="242" t="str">
        <f>IF(AG1406="","N/A",INDIRECT("MTR!"&amp;ADDRESS(MATCH(LEFT(AG1406,9),[1]MTR!C:C,0),COLUMN(J1406)),TRUE) &amp; "")</f>
        <v>#ERROR!</v>
      </c>
      <c r="AI1406" s="157" t="str">
        <f t="shared" si="5"/>
        <v>#ERROR!</v>
      </c>
    </row>
    <row r="1407" ht="12.75" customHeight="1">
      <c r="A1407" s="244" t="s">
        <v>5158</v>
      </c>
      <c r="B1407" s="244" t="s">
        <v>231</v>
      </c>
      <c r="C1407" s="244" t="s">
        <v>10311</v>
      </c>
      <c r="D1407" s="154" t="s">
        <v>503</v>
      </c>
      <c r="E1407" s="154"/>
      <c r="F1407" s="154" t="str">
        <f t="array" ref="F1407">XLOOKUP(Cover!$D$12,$R$1:$Z$1,$R1407:$Z1407)</f>
        <v>Mandatory</v>
      </c>
      <c r="G1407" s="154" t="s">
        <v>10312</v>
      </c>
      <c r="H1407" s="154" t="s">
        <v>6808</v>
      </c>
      <c r="I1407" s="154" t="s">
        <v>10313</v>
      </c>
      <c r="J1407" s="154" t="s">
        <v>6927</v>
      </c>
      <c r="K1407" s="154" t="s">
        <v>10286</v>
      </c>
      <c r="L1407" s="154" t="s">
        <v>6463</v>
      </c>
      <c r="M1407" s="154" t="s">
        <v>175</v>
      </c>
      <c r="N1407" s="154" t="s">
        <v>759</v>
      </c>
      <c r="O1407" s="247" t="s">
        <v>516</v>
      </c>
      <c r="P1407" s="247" t="s">
        <v>6776</v>
      </c>
      <c r="Q1407" s="154" t="str">
        <f t="shared" si="1"/>
        <v>#ERROR!</v>
      </c>
      <c r="R1407" s="154" t="s">
        <v>66</v>
      </c>
      <c r="S1407" s="154" t="s">
        <v>66</v>
      </c>
      <c r="T1407" s="155" t="s">
        <v>64</v>
      </c>
      <c r="U1407" s="155" t="s">
        <v>64</v>
      </c>
      <c r="V1407" s="154" t="s">
        <v>60</v>
      </c>
      <c r="W1407" s="154" t="s">
        <v>60</v>
      </c>
      <c r="X1407" s="154" t="s">
        <v>66</v>
      </c>
      <c r="Y1407" s="155" t="s">
        <v>64</v>
      </c>
      <c r="Z1407" s="154" t="s">
        <v>60</v>
      </c>
      <c r="AA1407" s="154"/>
      <c r="AB1407" s="242" t="str">
        <f t="shared" si="2"/>
        <v>#ERROR!</v>
      </c>
      <c r="AC1407" s="154" t="s">
        <v>391</v>
      </c>
      <c r="AD1407" s="242" t="b">
        <f t="shared" si="3"/>
        <v>0</v>
      </c>
      <c r="AE1407" s="154"/>
      <c r="AF1407" s="242" t="str">
        <f t="shared" si="4"/>
        <v>#ERROR!</v>
      </c>
      <c r="AG1407" s="154"/>
      <c r="AH1407" s="242" t="str">
        <f>IF(AG1407="","N/A",INDIRECT("MTR!"&amp;ADDRESS(MATCH(LEFT(AG1407,9),[1]MTR!C:C,0),COLUMN(J1407)),TRUE) &amp; "")</f>
        <v>#ERROR!</v>
      </c>
      <c r="AI1407" s="157" t="str">
        <f t="shared" si="5"/>
        <v>#ERROR!</v>
      </c>
    </row>
    <row r="1408" ht="12.75" customHeight="1">
      <c r="A1408" s="244" t="s">
        <v>5158</v>
      </c>
      <c r="B1408" s="244" t="s">
        <v>231</v>
      </c>
      <c r="C1408" s="244" t="s">
        <v>10314</v>
      </c>
      <c r="D1408" s="154" t="s">
        <v>503</v>
      </c>
      <c r="E1408" s="154"/>
      <c r="F1408" s="154" t="str">
        <f t="array" ref="F1408">XLOOKUP(Cover!$D$12,$R$1:$Z$1,$R1408:$Z1408)</f>
        <v>Mandatory</v>
      </c>
      <c r="G1408" s="154" t="s">
        <v>10315</v>
      </c>
      <c r="H1408" s="154" t="s">
        <v>6771</v>
      </c>
      <c r="I1408" s="154" t="s">
        <v>10313</v>
      </c>
      <c r="J1408" s="154" t="s">
        <v>6927</v>
      </c>
      <c r="K1408" s="154" t="s">
        <v>10286</v>
      </c>
      <c r="L1408" s="154" t="s">
        <v>6463</v>
      </c>
      <c r="M1408" s="154" t="s">
        <v>175</v>
      </c>
      <c r="N1408" s="154" t="s">
        <v>759</v>
      </c>
      <c r="O1408" s="247" t="s">
        <v>516</v>
      </c>
      <c r="P1408" s="247" t="s">
        <v>6776</v>
      </c>
      <c r="Q1408" s="154" t="str">
        <f t="shared" si="1"/>
        <v>#ERROR!</v>
      </c>
      <c r="R1408" s="154" t="s">
        <v>66</v>
      </c>
      <c r="S1408" s="154" t="s">
        <v>66</v>
      </c>
      <c r="T1408" s="155" t="s">
        <v>64</v>
      </c>
      <c r="U1408" s="155" t="s">
        <v>64</v>
      </c>
      <c r="V1408" s="154" t="s">
        <v>60</v>
      </c>
      <c r="W1408" s="154" t="s">
        <v>60</v>
      </c>
      <c r="X1408" s="154" t="s">
        <v>66</v>
      </c>
      <c r="Y1408" s="155" t="s">
        <v>64</v>
      </c>
      <c r="Z1408" s="154" t="s">
        <v>60</v>
      </c>
      <c r="AA1408" s="154"/>
      <c r="AB1408" s="242" t="str">
        <f t="shared" si="2"/>
        <v>#ERROR!</v>
      </c>
      <c r="AC1408" s="154" t="s">
        <v>391</v>
      </c>
      <c r="AD1408" s="242" t="b">
        <f t="shared" si="3"/>
        <v>0</v>
      </c>
      <c r="AE1408" s="154"/>
      <c r="AF1408" s="242" t="str">
        <f t="shared" si="4"/>
        <v>#ERROR!</v>
      </c>
      <c r="AG1408" s="154"/>
      <c r="AH1408" s="242" t="str">
        <f>IF(AG1408="","N/A",INDIRECT("MTR!"&amp;ADDRESS(MATCH(LEFT(AG1408,9),[1]MTR!C:C,0),COLUMN(J1408)),TRUE) &amp; "")</f>
        <v>#ERROR!</v>
      </c>
      <c r="AI1408" s="157" t="str">
        <f t="shared" si="5"/>
        <v>#ERROR!</v>
      </c>
    </row>
    <row r="1409" ht="12.75" customHeight="1">
      <c r="A1409" s="244" t="s">
        <v>5158</v>
      </c>
      <c r="B1409" s="244" t="s">
        <v>231</v>
      </c>
      <c r="C1409" s="244" t="s">
        <v>10316</v>
      </c>
      <c r="D1409" s="154" t="s">
        <v>503</v>
      </c>
      <c r="E1409" s="154"/>
      <c r="F1409" s="154" t="str">
        <f t="array" ref="F1409">XLOOKUP(Cover!$D$12,$R$1:$Z$1,$R1409:$Z1409)</f>
        <v>Recommended</v>
      </c>
      <c r="G1409" s="154" t="s">
        <v>10317</v>
      </c>
      <c r="H1409" s="154" t="s">
        <v>6775</v>
      </c>
      <c r="I1409" s="154" t="s">
        <v>10313</v>
      </c>
      <c r="J1409" s="154" t="s">
        <v>6927</v>
      </c>
      <c r="K1409" s="154" t="s">
        <v>10286</v>
      </c>
      <c r="L1409" s="154" t="s">
        <v>6463</v>
      </c>
      <c r="M1409" s="154"/>
      <c r="N1409" s="154" t="s">
        <v>759</v>
      </c>
      <c r="O1409" s="247" t="s">
        <v>516</v>
      </c>
      <c r="P1409" s="247" t="s">
        <v>6776</v>
      </c>
      <c r="Q1409" s="154" t="str">
        <f t="shared" si="1"/>
        <v>#ERROR!</v>
      </c>
      <c r="R1409" s="154" t="s">
        <v>66</v>
      </c>
      <c r="S1409" s="154" t="s">
        <v>66</v>
      </c>
      <c r="T1409" s="154" t="s">
        <v>64</v>
      </c>
      <c r="U1409" s="154" t="s">
        <v>64</v>
      </c>
      <c r="V1409" s="154" t="s">
        <v>64</v>
      </c>
      <c r="W1409" s="154" t="s">
        <v>64</v>
      </c>
      <c r="X1409" s="154" t="s">
        <v>66</v>
      </c>
      <c r="Y1409" s="154" t="s">
        <v>64</v>
      </c>
      <c r="Z1409" s="154" t="s">
        <v>64</v>
      </c>
      <c r="AA1409" s="154"/>
      <c r="AB1409" s="242" t="str">
        <f t="shared" si="2"/>
        <v>#ERROR!</v>
      </c>
      <c r="AC1409" s="154" t="s">
        <v>391</v>
      </c>
      <c r="AD1409" s="242" t="b">
        <f t="shared" si="3"/>
        <v>0</v>
      </c>
      <c r="AE1409" s="154"/>
      <c r="AF1409" s="242" t="str">
        <f t="shared" si="4"/>
        <v>#ERROR!</v>
      </c>
      <c r="AG1409" s="154"/>
      <c r="AH1409" s="242" t="str">
        <f>IF(AG1409="","N/A",INDIRECT("MTR!"&amp;ADDRESS(MATCH(LEFT(AG1409,9),[1]MTR!C:C,0),COLUMN(J1409)),TRUE) &amp; "")</f>
        <v>#ERROR!</v>
      </c>
      <c r="AI1409" s="157" t="str">
        <f t="shared" si="5"/>
        <v>#ERROR!</v>
      </c>
    </row>
    <row r="1410" ht="12.75" customHeight="1">
      <c r="A1410" s="244" t="s">
        <v>5158</v>
      </c>
      <c r="B1410" s="244" t="s">
        <v>231</v>
      </c>
      <c r="C1410" s="244" t="s">
        <v>10318</v>
      </c>
      <c r="D1410" s="154" t="s">
        <v>503</v>
      </c>
      <c r="E1410" s="154"/>
      <c r="F1410" s="154" t="str">
        <f t="array" ref="F1410">XLOOKUP(Cover!$D$12,$R$1:$Z$1,$R1410:$Z1410)</f>
        <v>Mandatory</v>
      </c>
      <c r="G1410" s="154" t="s">
        <v>10319</v>
      </c>
      <c r="H1410" s="154" t="s">
        <v>6771</v>
      </c>
      <c r="I1410" s="154" t="s">
        <v>10320</v>
      </c>
      <c r="J1410" s="154" t="s">
        <v>6956</v>
      </c>
      <c r="K1410" s="154" t="s">
        <v>10286</v>
      </c>
      <c r="L1410" s="154" t="s">
        <v>6463</v>
      </c>
      <c r="M1410" s="154" t="s">
        <v>175</v>
      </c>
      <c r="N1410" s="154" t="s">
        <v>759</v>
      </c>
      <c r="O1410" s="247" t="s">
        <v>516</v>
      </c>
      <c r="P1410" s="247" t="s">
        <v>6776</v>
      </c>
      <c r="Q1410" s="154" t="str">
        <f t="shared" si="1"/>
        <v>#ERROR!</v>
      </c>
      <c r="R1410" s="154" t="s">
        <v>66</v>
      </c>
      <c r="S1410" s="154" t="s">
        <v>66</v>
      </c>
      <c r="T1410" s="155" t="s">
        <v>64</v>
      </c>
      <c r="U1410" s="155" t="s">
        <v>64</v>
      </c>
      <c r="V1410" s="154" t="s">
        <v>60</v>
      </c>
      <c r="W1410" s="154" t="s">
        <v>60</v>
      </c>
      <c r="X1410" s="154" t="s">
        <v>66</v>
      </c>
      <c r="Y1410" s="155" t="s">
        <v>64</v>
      </c>
      <c r="Z1410" s="154" t="s">
        <v>60</v>
      </c>
      <c r="AA1410" s="154"/>
      <c r="AB1410" s="242" t="str">
        <f t="shared" si="2"/>
        <v>#ERROR!</v>
      </c>
      <c r="AC1410" s="154" t="s">
        <v>391</v>
      </c>
      <c r="AD1410" s="242" t="b">
        <f t="shared" si="3"/>
        <v>0</v>
      </c>
      <c r="AE1410" s="154"/>
      <c r="AF1410" s="242" t="str">
        <f t="shared" si="4"/>
        <v>#ERROR!</v>
      </c>
      <c r="AG1410" s="154"/>
      <c r="AH1410" s="242" t="str">
        <f>IF(AG1410="","N/A",INDIRECT("MTR!"&amp;ADDRESS(MATCH(LEFT(AG1410,9),[1]MTR!C:C,0),COLUMN(J1410)),TRUE) &amp; "")</f>
        <v>#ERROR!</v>
      </c>
      <c r="AI1410" s="157" t="str">
        <f t="shared" si="5"/>
        <v>#ERROR!</v>
      </c>
    </row>
    <row r="1411" ht="12.75" customHeight="1">
      <c r="A1411" s="244" t="s">
        <v>5158</v>
      </c>
      <c r="B1411" s="244" t="s">
        <v>231</v>
      </c>
      <c r="C1411" s="244" t="s">
        <v>10321</v>
      </c>
      <c r="D1411" s="154" t="s">
        <v>503</v>
      </c>
      <c r="E1411" s="154"/>
      <c r="F1411" s="154" t="str">
        <f t="array" ref="F1411">XLOOKUP(Cover!$D$12,$R$1:$Z$1,$R1411:$Z1411)</f>
        <v>Mandatory</v>
      </c>
      <c r="G1411" s="154" t="s">
        <v>10322</v>
      </c>
      <c r="H1411" s="154" t="s">
        <v>6808</v>
      </c>
      <c r="I1411" s="154" t="s">
        <v>10320</v>
      </c>
      <c r="J1411" s="154" t="s">
        <v>6956</v>
      </c>
      <c r="K1411" s="154" t="s">
        <v>10286</v>
      </c>
      <c r="L1411" s="154" t="s">
        <v>6463</v>
      </c>
      <c r="M1411" s="154" t="s">
        <v>175</v>
      </c>
      <c r="N1411" s="154" t="s">
        <v>759</v>
      </c>
      <c r="O1411" s="247" t="s">
        <v>516</v>
      </c>
      <c r="P1411" s="247" t="s">
        <v>6776</v>
      </c>
      <c r="Q1411" s="154" t="str">
        <f t="shared" si="1"/>
        <v>#ERROR!</v>
      </c>
      <c r="R1411" s="154" t="s">
        <v>66</v>
      </c>
      <c r="S1411" s="154" t="s">
        <v>66</v>
      </c>
      <c r="T1411" s="155" t="s">
        <v>64</v>
      </c>
      <c r="U1411" s="155" t="s">
        <v>64</v>
      </c>
      <c r="V1411" s="154" t="s">
        <v>60</v>
      </c>
      <c r="W1411" s="154" t="s">
        <v>60</v>
      </c>
      <c r="X1411" s="154" t="s">
        <v>66</v>
      </c>
      <c r="Y1411" s="155" t="s">
        <v>64</v>
      </c>
      <c r="Z1411" s="154" t="s">
        <v>60</v>
      </c>
      <c r="AA1411" s="154"/>
      <c r="AB1411" s="242" t="str">
        <f t="shared" si="2"/>
        <v>#ERROR!</v>
      </c>
      <c r="AC1411" s="154" t="s">
        <v>391</v>
      </c>
      <c r="AD1411" s="242" t="b">
        <f t="shared" si="3"/>
        <v>0</v>
      </c>
      <c r="AE1411" s="154"/>
      <c r="AF1411" s="242" t="str">
        <f t="shared" si="4"/>
        <v>#ERROR!</v>
      </c>
      <c r="AG1411" s="154"/>
      <c r="AH1411" s="242" t="str">
        <f>IF(AG1411="","N/A",INDIRECT("MTR!"&amp;ADDRESS(MATCH(LEFT(AG1411,9),[1]MTR!C:C,0),COLUMN(J1411)),TRUE) &amp; "")</f>
        <v>#ERROR!</v>
      </c>
      <c r="AI1411" s="157" t="str">
        <f t="shared" si="5"/>
        <v>#ERROR!</v>
      </c>
    </row>
    <row r="1412" ht="12.75" customHeight="1">
      <c r="A1412" s="244" t="s">
        <v>5158</v>
      </c>
      <c r="B1412" s="244" t="s">
        <v>231</v>
      </c>
      <c r="C1412" s="244" t="s">
        <v>10323</v>
      </c>
      <c r="D1412" s="154" t="s">
        <v>503</v>
      </c>
      <c r="E1412" s="154"/>
      <c r="F1412" s="154" t="str">
        <f t="array" ref="F1412">XLOOKUP(Cover!$D$12,$R$1:$Z$1,$R1412:$Z1412)</f>
        <v>Mandatory</v>
      </c>
      <c r="G1412" s="154" t="s">
        <v>10324</v>
      </c>
      <c r="H1412" s="154" t="s">
        <v>6782</v>
      </c>
      <c r="I1412" s="154" t="s">
        <v>10320</v>
      </c>
      <c r="J1412" s="154" t="s">
        <v>6956</v>
      </c>
      <c r="K1412" s="154" t="s">
        <v>10286</v>
      </c>
      <c r="L1412" s="154" t="s">
        <v>6463</v>
      </c>
      <c r="M1412" s="154" t="s">
        <v>175</v>
      </c>
      <c r="N1412" s="154" t="s">
        <v>759</v>
      </c>
      <c r="O1412" s="247" t="s">
        <v>516</v>
      </c>
      <c r="P1412" s="247" t="s">
        <v>6776</v>
      </c>
      <c r="Q1412" s="154" t="str">
        <f t="shared" si="1"/>
        <v>#ERROR!</v>
      </c>
      <c r="R1412" s="154" t="s">
        <v>66</v>
      </c>
      <c r="S1412" s="154" t="s">
        <v>66</v>
      </c>
      <c r="T1412" s="155" t="s">
        <v>64</v>
      </c>
      <c r="U1412" s="155" t="s">
        <v>64</v>
      </c>
      <c r="V1412" s="154" t="s">
        <v>60</v>
      </c>
      <c r="W1412" s="154" t="s">
        <v>60</v>
      </c>
      <c r="X1412" s="154" t="s">
        <v>66</v>
      </c>
      <c r="Y1412" s="155" t="s">
        <v>64</v>
      </c>
      <c r="Z1412" s="154" t="s">
        <v>60</v>
      </c>
      <c r="AA1412" s="154"/>
      <c r="AB1412" s="242" t="str">
        <f t="shared" si="2"/>
        <v>#ERROR!</v>
      </c>
      <c r="AC1412" s="154" t="s">
        <v>391</v>
      </c>
      <c r="AD1412" s="242" t="b">
        <f t="shared" si="3"/>
        <v>0</v>
      </c>
      <c r="AE1412" s="154"/>
      <c r="AF1412" s="242" t="str">
        <f t="shared" si="4"/>
        <v>#ERROR!</v>
      </c>
      <c r="AG1412" s="154"/>
      <c r="AH1412" s="242" t="str">
        <f>IF(AG1412="","N/A",INDIRECT("MTR!"&amp;ADDRESS(MATCH(LEFT(AG1412,9),[1]MTR!C:C,0),COLUMN(J1412)),TRUE) &amp; "")</f>
        <v>#ERROR!</v>
      </c>
      <c r="AI1412" s="157" t="str">
        <f t="shared" si="5"/>
        <v>#ERROR!</v>
      </c>
    </row>
    <row r="1413" ht="12.75" customHeight="1">
      <c r="A1413" s="244" t="s">
        <v>5158</v>
      </c>
      <c r="B1413" s="244" t="s">
        <v>231</v>
      </c>
      <c r="C1413" s="244" t="s">
        <v>10325</v>
      </c>
      <c r="D1413" s="154" t="s">
        <v>503</v>
      </c>
      <c r="E1413" s="154"/>
      <c r="F1413" s="154" t="str">
        <f t="array" ref="F1413">XLOOKUP(Cover!$D$12,$R$1:$Z$1,$R1413:$Z1413)</f>
        <v>Mandatory</v>
      </c>
      <c r="G1413" s="154" t="s">
        <v>10326</v>
      </c>
      <c r="H1413" s="154" t="s">
        <v>6771</v>
      </c>
      <c r="I1413" s="154" t="s">
        <v>10327</v>
      </c>
      <c r="J1413" s="154" t="s">
        <v>7006</v>
      </c>
      <c r="K1413" s="154" t="s">
        <v>10286</v>
      </c>
      <c r="L1413" s="154" t="s">
        <v>6463</v>
      </c>
      <c r="M1413" s="154" t="s">
        <v>175</v>
      </c>
      <c r="N1413" s="154" t="s">
        <v>759</v>
      </c>
      <c r="O1413" s="247" t="s">
        <v>516</v>
      </c>
      <c r="P1413" s="247" t="s">
        <v>6776</v>
      </c>
      <c r="Q1413" s="154" t="str">
        <f t="shared" si="1"/>
        <v>#ERROR!</v>
      </c>
      <c r="R1413" s="154" t="s">
        <v>66</v>
      </c>
      <c r="S1413" s="154" t="s">
        <v>66</v>
      </c>
      <c r="T1413" s="155" t="s">
        <v>64</v>
      </c>
      <c r="U1413" s="155" t="s">
        <v>64</v>
      </c>
      <c r="V1413" s="154" t="s">
        <v>60</v>
      </c>
      <c r="W1413" s="154" t="s">
        <v>60</v>
      </c>
      <c r="X1413" s="154" t="s">
        <v>66</v>
      </c>
      <c r="Y1413" s="155" t="s">
        <v>64</v>
      </c>
      <c r="Z1413" s="154" t="s">
        <v>60</v>
      </c>
      <c r="AA1413" s="154"/>
      <c r="AB1413" s="242" t="str">
        <f t="shared" si="2"/>
        <v>#ERROR!</v>
      </c>
      <c r="AC1413" s="154" t="s">
        <v>391</v>
      </c>
      <c r="AD1413" s="242" t="b">
        <f t="shared" si="3"/>
        <v>0</v>
      </c>
      <c r="AE1413" s="154"/>
      <c r="AF1413" s="242" t="str">
        <f t="shared" si="4"/>
        <v>#ERROR!</v>
      </c>
      <c r="AG1413" s="154"/>
      <c r="AH1413" s="242" t="str">
        <f>IF(AG1413="","N/A",INDIRECT("MTR!"&amp;ADDRESS(MATCH(LEFT(AG1413,9),[1]MTR!C:C,0),COLUMN(J1413)),TRUE) &amp; "")</f>
        <v>#ERROR!</v>
      </c>
      <c r="AI1413" s="157" t="str">
        <f t="shared" si="5"/>
        <v>#ERROR!</v>
      </c>
    </row>
    <row r="1414" ht="12.75" customHeight="1">
      <c r="A1414" s="244" t="s">
        <v>5158</v>
      </c>
      <c r="B1414" s="244" t="s">
        <v>231</v>
      </c>
      <c r="C1414" s="244" t="s">
        <v>10328</v>
      </c>
      <c r="D1414" s="154" t="s">
        <v>503</v>
      </c>
      <c r="E1414" s="154"/>
      <c r="F1414" s="154" t="str">
        <f t="array" ref="F1414">XLOOKUP(Cover!$D$12,$R$1:$Z$1,$R1414:$Z1414)</f>
        <v>Recommended</v>
      </c>
      <c r="G1414" s="154" t="s">
        <v>10329</v>
      </c>
      <c r="H1414" s="154" t="s">
        <v>6775</v>
      </c>
      <c r="I1414" s="154" t="s">
        <v>10327</v>
      </c>
      <c r="J1414" s="154" t="s">
        <v>7006</v>
      </c>
      <c r="K1414" s="154" t="s">
        <v>10286</v>
      </c>
      <c r="L1414" s="154" t="s">
        <v>6463</v>
      </c>
      <c r="M1414" s="154"/>
      <c r="N1414" s="154" t="s">
        <v>759</v>
      </c>
      <c r="O1414" s="247" t="s">
        <v>516</v>
      </c>
      <c r="P1414" s="247" t="s">
        <v>6776</v>
      </c>
      <c r="Q1414" s="154" t="str">
        <f t="shared" si="1"/>
        <v>#ERROR!</v>
      </c>
      <c r="R1414" s="154" t="s">
        <v>66</v>
      </c>
      <c r="S1414" s="154" t="s">
        <v>66</v>
      </c>
      <c r="T1414" s="154" t="s">
        <v>64</v>
      </c>
      <c r="U1414" s="154" t="s">
        <v>64</v>
      </c>
      <c r="V1414" s="154" t="s">
        <v>64</v>
      </c>
      <c r="W1414" s="154" t="s">
        <v>64</v>
      </c>
      <c r="X1414" s="154" t="s">
        <v>66</v>
      </c>
      <c r="Y1414" s="154" t="s">
        <v>64</v>
      </c>
      <c r="Z1414" s="154" t="s">
        <v>64</v>
      </c>
      <c r="AA1414" s="154"/>
      <c r="AB1414" s="242" t="str">
        <f t="shared" si="2"/>
        <v>#ERROR!</v>
      </c>
      <c r="AC1414" s="154" t="s">
        <v>391</v>
      </c>
      <c r="AD1414" s="242" t="b">
        <f t="shared" si="3"/>
        <v>0</v>
      </c>
      <c r="AE1414" s="154"/>
      <c r="AF1414" s="242" t="str">
        <f t="shared" si="4"/>
        <v>#ERROR!</v>
      </c>
      <c r="AG1414" s="154"/>
      <c r="AH1414" s="242" t="str">
        <f>IF(AG1414="","N/A",INDIRECT("MTR!"&amp;ADDRESS(MATCH(LEFT(AG1414,9),[1]MTR!C:C,0),COLUMN(J1414)),TRUE) &amp; "")</f>
        <v>#ERROR!</v>
      </c>
      <c r="AI1414" s="157" t="str">
        <f t="shared" si="5"/>
        <v>#ERROR!</v>
      </c>
    </row>
    <row r="1415" ht="12.75" customHeight="1">
      <c r="A1415" s="244" t="s">
        <v>5158</v>
      </c>
      <c r="B1415" s="244" t="s">
        <v>231</v>
      </c>
      <c r="C1415" s="244" t="s">
        <v>10330</v>
      </c>
      <c r="D1415" s="154" t="s">
        <v>503</v>
      </c>
      <c r="E1415" s="154"/>
      <c r="F1415" s="154" t="str">
        <f t="array" ref="F1415">XLOOKUP(Cover!$D$12,$R$1:$Z$1,$R1415:$Z1415)</f>
        <v>Mandatory</v>
      </c>
      <c r="G1415" s="154" t="s">
        <v>10331</v>
      </c>
      <c r="H1415" s="154" t="s">
        <v>6782</v>
      </c>
      <c r="I1415" s="154" t="s">
        <v>10327</v>
      </c>
      <c r="J1415" s="154" t="s">
        <v>7006</v>
      </c>
      <c r="K1415" s="154" t="s">
        <v>10286</v>
      </c>
      <c r="L1415" s="154" t="s">
        <v>6463</v>
      </c>
      <c r="M1415" s="154" t="s">
        <v>175</v>
      </c>
      <c r="N1415" s="154" t="s">
        <v>759</v>
      </c>
      <c r="O1415" s="247" t="s">
        <v>516</v>
      </c>
      <c r="P1415" s="247" t="s">
        <v>6776</v>
      </c>
      <c r="Q1415" s="154" t="str">
        <f t="shared" si="1"/>
        <v>#ERROR!</v>
      </c>
      <c r="R1415" s="154" t="s">
        <v>66</v>
      </c>
      <c r="S1415" s="154" t="s">
        <v>66</v>
      </c>
      <c r="T1415" s="155" t="s">
        <v>64</v>
      </c>
      <c r="U1415" s="155" t="s">
        <v>64</v>
      </c>
      <c r="V1415" s="154" t="s">
        <v>60</v>
      </c>
      <c r="W1415" s="154" t="s">
        <v>60</v>
      </c>
      <c r="X1415" s="154" t="s">
        <v>66</v>
      </c>
      <c r="Y1415" s="155" t="s">
        <v>64</v>
      </c>
      <c r="Z1415" s="154" t="s">
        <v>60</v>
      </c>
      <c r="AA1415" s="154"/>
      <c r="AB1415" s="242" t="str">
        <f t="shared" si="2"/>
        <v>#ERROR!</v>
      </c>
      <c r="AC1415" s="154" t="s">
        <v>391</v>
      </c>
      <c r="AD1415" s="242" t="b">
        <f t="shared" si="3"/>
        <v>0</v>
      </c>
      <c r="AE1415" s="154"/>
      <c r="AF1415" s="242" t="str">
        <f t="shared" si="4"/>
        <v>#ERROR!</v>
      </c>
      <c r="AG1415" s="154"/>
      <c r="AH1415" s="242" t="str">
        <f>IF(AG1415="","N/A",INDIRECT("MTR!"&amp;ADDRESS(MATCH(LEFT(AG1415,9),[1]MTR!C:C,0),COLUMN(J1415)),TRUE) &amp; "")</f>
        <v>#ERROR!</v>
      </c>
      <c r="AI1415" s="157" t="str">
        <f t="shared" si="5"/>
        <v>#ERROR!</v>
      </c>
    </row>
    <row r="1416" ht="12.75" customHeight="1">
      <c r="A1416" s="244" t="s">
        <v>5158</v>
      </c>
      <c r="B1416" s="244" t="s">
        <v>231</v>
      </c>
      <c r="C1416" s="255" t="s">
        <v>10332</v>
      </c>
      <c r="D1416" s="256" t="s">
        <v>42</v>
      </c>
      <c r="E1416" s="256" t="s">
        <v>489</v>
      </c>
      <c r="F1416" s="154" t="str">
        <f t="array" ref="F1416">XLOOKUP(Cover!$D$12,$R$1:$Z$1,$R1416:$Z1416)</f>
        <v>Mandatory</v>
      </c>
      <c r="G1416" s="154" t="s">
        <v>10333</v>
      </c>
      <c r="H1416" s="154" t="s">
        <v>6771</v>
      </c>
      <c r="I1416" s="154" t="s">
        <v>10334</v>
      </c>
      <c r="J1416" s="154" t="s">
        <v>7164</v>
      </c>
      <c r="K1416" s="154" t="s">
        <v>10286</v>
      </c>
      <c r="L1416" s="154" t="s">
        <v>5931</v>
      </c>
      <c r="M1416" s="154" t="s">
        <v>175</v>
      </c>
      <c r="N1416" s="154" t="s">
        <v>759</v>
      </c>
      <c r="O1416" s="247" t="s">
        <v>516</v>
      </c>
      <c r="P1416" s="247" t="s">
        <v>6776</v>
      </c>
      <c r="Q1416" s="154" t="str">
        <f t="shared" si="1"/>
        <v>#ERROR!</v>
      </c>
      <c r="R1416" s="154" t="s">
        <v>66</v>
      </c>
      <c r="S1416" s="154" t="s">
        <v>66</v>
      </c>
      <c r="T1416" s="155" t="s">
        <v>64</v>
      </c>
      <c r="U1416" s="155" t="s">
        <v>64</v>
      </c>
      <c r="V1416" s="154" t="s">
        <v>60</v>
      </c>
      <c r="W1416" s="154" t="s">
        <v>60</v>
      </c>
      <c r="X1416" s="154" t="s">
        <v>66</v>
      </c>
      <c r="Y1416" s="155" t="s">
        <v>64</v>
      </c>
      <c r="Z1416" s="154" t="s">
        <v>60</v>
      </c>
      <c r="AA1416" s="154"/>
      <c r="AB1416" s="242" t="str">
        <f t="shared" si="2"/>
        <v>#ERROR!</v>
      </c>
      <c r="AC1416" s="154" t="s">
        <v>391</v>
      </c>
      <c r="AD1416" s="242" t="b">
        <f t="shared" si="3"/>
        <v>0</v>
      </c>
      <c r="AE1416" s="154"/>
      <c r="AF1416" s="242" t="str">
        <f t="shared" si="4"/>
        <v>#ERROR!</v>
      </c>
      <c r="AG1416" s="154"/>
      <c r="AH1416" s="242" t="str">
        <f>IF(AG1416="","N/A",INDIRECT("MTR!"&amp;ADDRESS(MATCH(LEFT(AG1416,9),[1]MTR!C:C,0),COLUMN(J1416)),TRUE) &amp; "")</f>
        <v>#ERROR!</v>
      </c>
      <c r="AI1416" s="157" t="str">
        <f t="shared" si="5"/>
        <v>#ERROR!</v>
      </c>
    </row>
    <row r="1417" ht="12.75" customHeight="1">
      <c r="A1417" s="244" t="s">
        <v>5158</v>
      </c>
      <c r="B1417" s="244" t="s">
        <v>231</v>
      </c>
      <c r="C1417" s="255" t="s">
        <v>10335</v>
      </c>
      <c r="D1417" s="256" t="s">
        <v>42</v>
      </c>
      <c r="E1417" s="256" t="s">
        <v>489</v>
      </c>
      <c r="F1417" s="154" t="str">
        <f t="array" ref="F1417">XLOOKUP(Cover!$D$12,$R$1:$Z$1,$R1417:$Z1417)</f>
        <v>Mandatory</v>
      </c>
      <c r="G1417" s="154" t="s">
        <v>10336</v>
      </c>
      <c r="H1417" s="154" t="s">
        <v>6808</v>
      </c>
      <c r="I1417" s="154" t="s">
        <v>10334</v>
      </c>
      <c r="J1417" s="154" t="s">
        <v>7164</v>
      </c>
      <c r="K1417" s="154" t="s">
        <v>10286</v>
      </c>
      <c r="L1417" s="154" t="s">
        <v>5931</v>
      </c>
      <c r="M1417" s="154" t="s">
        <v>175</v>
      </c>
      <c r="N1417" s="154" t="s">
        <v>759</v>
      </c>
      <c r="O1417" s="247" t="s">
        <v>516</v>
      </c>
      <c r="P1417" s="247" t="s">
        <v>6776</v>
      </c>
      <c r="Q1417" s="154" t="str">
        <f t="shared" si="1"/>
        <v>#ERROR!</v>
      </c>
      <c r="R1417" s="154" t="s">
        <v>66</v>
      </c>
      <c r="S1417" s="154" t="s">
        <v>66</v>
      </c>
      <c r="T1417" s="155" t="s">
        <v>64</v>
      </c>
      <c r="U1417" s="155" t="s">
        <v>64</v>
      </c>
      <c r="V1417" s="154" t="s">
        <v>60</v>
      </c>
      <c r="W1417" s="154" t="s">
        <v>60</v>
      </c>
      <c r="X1417" s="154" t="s">
        <v>66</v>
      </c>
      <c r="Y1417" s="155" t="s">
        <v>64</v>
      </c>
      <c r="Z1417" s="154" t="s">
        <v>60</v>
      </c>
      <c r="AA1417" s="154"/>
      <c r="AB1417" s="242" t="str">
        <f t="shared" si="2"/>
        <v>#ERROR!</v>
      </c>
      <c r="AC1417" s="154" t="s">
        <v>391</v>
      </c>
      <c r="AD1417" s="242" t="b">
        <f t="shared" si="3"/>
        <v>0</v>
      </c>
      <c r="AE1417" s="154"/>
      <c r="AF1417" s="242" t="str">
        <f t="shared" si="4"/>
        <v>#ERROR!</v>
      </c>
      <c r="AG1417" s="154"/>
      <c r="AH1417" s="242" t="str">
        <f>IF(AG1417="","N/A",INDIRECT("MTR!"&amp;ADDRESS(MATCH(LEFT(AG1417,9),[1]MTR!C:C,0),COLUMN(J1417)),TRUE) &amp; "")</f>
        <v>#ERROR!</v>
      </c>
      <c r="AI1417" s="157" t="str">
        <f t="shared" si="5"/>
        <v>#ERROR!</v>
      </c>
    </row>
    <row r="1418" ht="12.75" customHeight="1">
      <c r="A1418" s="244" t="s">
        <v>5158</v>
      </c>
      <c r="B1418" s="244" t="s">
        <v>231</v>
      </c>
      <c r="C1418" s="255" t="s">
        <v>10337</v>
      </c>
      <c r="D1418" s="256" t="s">
        <v>42</v>
      </c>
      <c r="E1418" s="256" t="s">
        <v>489</v>
      </c>
      <c r="F1418" s="154" t="str">
        <f t="array" ref="F1418">XLOOKUP(Cover!$D$12,$R$1:$Z$1,$R1418:$Z1418)</f>
        <v>Recommended</v>
      </c>
      <c r="G1418" s="154" t="s">
        <v>10338</v>
      </c>
      <c r="H1418" s="154" t="s">
        <v>6775</v>
      </c>
      <c r="I1418" s="154" t="s">
        <v>10334</v>
      </c>
      <c r="J1418" s="154" t="s">
        <v>7164</v>
      </c>
      <c r="K1418" s="154" t="s">
        <v>10286</v>
      </c>
      <c r="L1418" s="154" t="s">
        <v>5931</v>
      </c>
      <c r="M1418" s="154"/>
      <c r="N1418" s="154" t="s">
        <v>759</v>
      </c>
      <c r="O1418" s="247" t="s">
        <v>516</v>
      </c>
      <c r="P1418" s="247" t="s">
        <v>6776</v>
      </c>
      <c r="Q1418" s="154" t="str">
        <f t="shared" si="1"/>
        <v>#ERROR!</v>
      </c>
      <c r="R1418" s="154" t="s">
        <v>66</v>
      </c>
      <c r="S1418" s="154" t="s">
        <v>66</v>
      </c>
      <c r="T1418" s="154" t="s">
        <v>64</v>
      </c>
      <c r="U1418" s="154" t="s">
        <v>64</v>
      </c>
      <c r="V1418" s="154" t="s">
        <v>64</v>
      </c>
      <c r="W1418" s="154" t="s">
        <v>64</v>
      </c>
      <c r="X1418" s="154" t="s">
        <v>66</v>
      </c>
      <c r="Y1418" s="154" t="s">
        <v>64</v>
      </c>
      <c r="Z1418" s="154" t="s">
        <v>64</v>
      </c>
      <c r="AA1418" s="154"/>
      <c r="AB1418" s="242" t="str">
        <f t="shared" si="2"/>
        <v>#ERROR!</v>
      </c>
      <c r="AC1418" s="154" t="s">
        <v>391</v>
      </c>
      <c r="AD1418" s="242" t="b">
        <f t="shared" si="3"/>
        <v>0</v>
      </c>
      <c r="AE1418" s="154"/>
      <c r="AF1418" s="242" t="str">
        <f t="shared" si="4"/>
        <v>#ERROR!</v>
      </c>
      <c r="AG1418" s="154"/>
      <c r="AH1418" s="242" t="str">
        <f>IF(AG1418="","N/A",INDIRECT("MTR!"&amp;ADDRESS(MATCH(LEFT(AG1418,9),[1]MTR!C:C,0),COLUMN(J1418)),TRUE) &amp; "")</f>
        <v>#ERROR!</v>
      </c>
      <c r="AI1418" s="157" t="str">
        <f t="shared" si="5"/>
        <v>#ERROR!</v>
      </c>
    </row>
    <row r="1419" ht="12.75" customHeight="1">
      <c r="A1419" s="244" t="s">
        <v>5158</v>
      </c>
      <c r="B1419" s="244" t="s">
        <v>231</v>
      </c>
      <c r="C1419" s="255" t="s">
        <v>10339</v>
      </c>
      <c r="D1419" s="256" t="s">
        <v>42</v>
      </c>
      <c r="E1419" s="256" t="s">
        <v>489</v>
      </c>
      <c r="F1419" s="154" t="str">
        <f t="array" ref="F1419">XLOOKUP(Cover!$D$12,$R$1:$Z$1,$R1419:$Z1419)</f>
        <v>Mandatory</v>
      </c>
      <c r="G1419" s="154" t="s">
        <v>10340</v>
      </c>
      <c r="H1419" s="154" t="s">
        <v>6782</v>
      </c>
      <c r="I1419" s="154" t="s">
        <v>10334</v>
      </c>
      <c r="J1419" s="154" t="s">
        <v>7164</v>
      </c>
      <c r="K1419" s="154" t="s">
        <v>10286</v>
      </c>
      <c r="L1419" s="154" t="s">
        <v>5931</v>
      </c>
      <c r="M1419" s="154" t="s">
        <v>175</v>
      </c>
      <c r="N1419" s="154" t="s">
        <v>759</v>
      </c>
      <c r="O1419" s="247" t="s">
        <v>516</v>
      </c>
      <c r="P1419" s="247" t="s">
        <v>6776</v>
      </c>
      <c r="Q1419" s="154" t="str">
        <f t="shared" si="1"/>
        <v>#ERROR!</v>
      </c>
      <c r="R1419" s="154" t="s">
        <v>66</v>
      </c>
      <c r="S1419" s="154" t="s">
        <v>66</v>
      </c>
      <c r="T1419" s="155" t="s">
        <v>64</v>
      </c>
      <c r="U1419" s="155" t="s">
        <v>64</v>
      </c>
      <c r="V1419" s="154" t="s">
        <v>60</v>
      </c>
      <c r="W1419" s="154" t="s">
        <v>60</v>
      </c>
      <c r="X1419" s="154" t="s">
        <v>66</v>
      </c>
      <c r="Y1419" s="155" t="s">
        <v>64</v>
      </c>
      <c r="Z1419" s="154" t="s">
        <v>60</v>
      </c>
      <c r="AA1419" s="154"/>
      <c r="AB1419" s="242" t="str">
        <f t="shared" si="2"/>
        <v>#ERROR!</v>
      </c>
      <c r="AC1419" s="154" t="s">
        <v>391</v>
      </c>
      <c r="AD1419" s="242" t="b">
        <f t="shared" si="3"/>
        <v>0</v>
      </c>
      <c r="AE1419" s="154"/>
      <c r="AF1419" s="242" t="str">
        <f t="shared" si="4"/>
        <v>#ERROR!</v>
      </c>
      <c r="AG1419" s="154"/>
      <c r="AH1419" s="242" t="str">
        <f>IF(AG1419="","N/A",INDIRECT("MTR!"&amp;ADDRESS(MATCH(LEFT(AG1419,9),[1]MTR!C:C,0),COLUMN(J1419)),TRUE) &amp; "")</f>
        <v>#ERROR!</v>
      </c>
      <c r="AI1419" s="157" t="str">
        <f t="shared" si="5"/>
        <v>#ERROR!</v>
      </c>
    </row>
    <row r="1420" ht="12.75" customHeight="1">
      <c r="A1420" s="238" t="s">
        <v>5158</v>
      </c>
      <c r="B1420" s="238" t="s">
        <v>231</v>
      </c>
      <c r="C1420" s="238" t="s">
        <v>10341</v>
      </c>
      <c r="D1420" s="240"/>
      <c r="E1420" s="240" t="s">
        <v>92</v>
      </c>
      <c r="F1420" s="240" t="str">
        <f t="array" ref="F1420">XLOOKUP(Cover!$D$12,$R$1:$Z$1,$R1420:$Z1420)</f>
        <v>Heading</v>
      </c>
      <c r="G1420" s="239" t="s">
        <v>10342</v>
      </c>
      <c r="H1420" s="240"/>
      <c r="I1420" s="240"/>
      <c r="J1420" s="240"/>
      <c r="K1420" s="240"/>
      <c r="L1420" s="240"/>
      <c r="M1420" s="240"/>
      <c r="N1420" s="240" t="s">
        <v>759</v>
      </c>
      <c r="O1420" s="240"/>
      <c r="P1420" s="240"/>
      <c r="Q1420" s="240" t="str">
        <f t="shared" si="1"/>
        <v/>
      </c>
      <c r="R1420" s="240" t="s">
        <v>390</v>
      </c>
      <c r="S1420" s="240" t="s">
        <v>390</v>
      </c>
      <c r="T1420" s="240" t="s">
        <v>390</v>
      </c>
      <c r="U1420" s="240" t="s">
        <v>390</v>
      </c>
      <c r="V1420" s="240" t="s">
        <v>390</v>
      </c>
      <c r="W1420" s="240" t="s">
        <v>390</v>
      </c>
      <c r="X1420" s="240" t="s">
        <v>390</v>
      </c>
      <c r="Y1420" s="240" t="s">
        <v>390</v>
      </c>
      <c r="Z1420" s="240" t="s">
        <v>390</v>
      </c>
      <c r="AA1420" s="240"/>
      <c r="AB1420" s="242" t="str">
        <f t="shared" si="2"/>
        <v>#ERROR!</v>
      </c>
      <c r="AC1420" s="240" t="s">
        <v>391</v>
      </c>
      <c r="AD1420" s="242" t="b">
        <f t="shared" si="3"/>
        <v>0</v>
      </c>
      <c r="AE1420" s="240"/>
      <c r="AF1420" s="242" t="str">
        <f t="shared" si="4"/>
        <v>#ERROR!</v>
      </c>
      <c r="AG1420" s="240"/>
      <c r="AH1420" s="242" t="str">
        <f>IF(AG1420="","N/A",INDIRECT("MTR!"&amp;ADDRESS(MATCH(LEFT(AG1420,9),[1]MTR!C:C,0),COLUMN(J1420)),TRUE) &amp; "")</f>
        <v>#ERROR!</v>
      </c>
      <c r="AI1420" s="157" t="str">
        <f t="shared" si="5"/>
        <v/>
      </c>
    </row>
    <row r="1421" ht="12.75" customHeight="1">
      <c r="A1421" s="244" t="s">
        <v>5158</v>
      </c>
      <c r="B1421" s="244" t="s">
        <v>231</v>
      </c>
      <c r="C1421" s="244" t="s">
        <v>10343</v>
      </c>
      <c r="D1421" s="154" t="s">
        <v>542</v>
      </c>
      <c r="E1421" s="154"/>
      <c r="F1421" s="154" t="str">
        <f t="array" ref="F1421">XLOOKUP(Cover!$D$12,$R$1:$Z$1,$R1421:$Z1421)</f>
        <v>Mandatory</v>
      </c>
      <c r="G1421" s="154" t="s">
        <v>10344</v>
      </c>
      <c r="H1421" s="154" t="s">
        <v>6771</v>
      </c>
      <c r="I1421" s="154" t="s">
        <v>10345</v>
      </c>
      <c r="J1421" s="154" t="s">
        <v>5782</v>
      </c>
      <c r="K1421" s="154" t="s">
        <v>10346</v>
      </c>
      <c r="L1421" s="154" t="s">
        <v>6525</v>
      </c>
      <c r="M1421" s="154" t="s">
        <v>1018</v>
      </c>
      <c r="N1421" s="154" t="s">
        <v>759</v>
      </c>
      <c r="O1421" s="247" t="s">
        <v>445</v>
      </c>
      <c r="P1421" s="247" t="s">
        <v>6772</v>
      </c>
      <c r="Q1421" s="154" t="str">
        <f t="shared" si="1"/>
        <v>#ERROR!</v>
      </c>
      <c r="R1421" s="154" t="s">
        <v>66</v>
      </c>
      <c r="S1421" s="154" t="s">
        <v>66</v>
      </c>
      <c r="T1421" s="155" t="s">
        <v>64</v>
      </c>
      <c r="U1421" s="155" t="s">
        <v>64</v>
      </c>
      <c r="V1421" s="154" t="s">
        <v>60</v>
      </c>
      <c r="W1421" s="154" t="s">
        <v>60</v>
      </c>
      <c r="X1421" s="154" t="s">
        <v>66</v>
      </c>
      <c r="Y1421" s="155" t="s">
        <v>64</v>
      </c>
      <c r="Z1421" s="154" t="s">
        <v>60</v>
      </c>
      <c r="AA1421" s="154"/>
      <c r="AB1421" s="242" t="str">
        <f t="shared" si="2"/>
        <v>#ERROR!</v>
      </c>
      <c r="AC1421" s="154" t="s">
        <v>391</v>
      </c>
      <c r="AD1421" s="242" t="b">
        <f t="shared" si="3"/>
        <v>0</v>
      </c>
      <c r="AE1421" s="154"/>
      <c r="AF1421" s="242" t="str">
        <f t="shared" si="4"/>
        <v>#ERROR!</v>
      </c>
      <c r="AG1421" s="154"/>
      <c r="AH1421" s="242" t="str">
        <f>IF(AG1421="","N/A",INDIRECT("MTR!"&amp;ADDRESS(MATCH(LEFT(AG1421,9),[1]MTR!C:C,0),COLUMN(J1421)),TRUE) &amp; "")</f>
        <v>#ERROR!</v>
      </c>
      <c r="AI1421" s="157" t="str">
        <f t="shared" si="5"/>
        <v>#ERROR!</v>
      </c>
    </row>
    <row r="1422" ht="12.75" customHeight="1">
      <c r="A1422" s="244" t="s">
        <v>5158</v>
      </c>
      <c r="B1422" s="244" t="s">
        <v>231</v>
      </c>
      <c r="C1422" s="244" t="s">
        <v>10347</v>
      </c>
      <c r="D1422" s="154" t="s">
        <v>542</v>
      </c>
      <c r="E1422" s="154"/>
      <c r="F1422" s="154" t="str">
        <f t="array" ref="F1422">XLOOKUP(Cover!$D$12,$R$1:$Z$1,$R1422:$Z1422)</f>
        <v>Mandatory</v>
      </c>
      <c r="G1422" s="154" t="s">
        <v>10348</v>
      </c>
      <c r="H1422" s="154" t="s">
        <v>9006</v>
      </c>
      <c r="I1422" s="154" t="s">
        <v>10345</v>
      </c>
      <c r="J1422" s="154" t="s">
        <v>5782</v>
      </c>
      <c r="K1422" s="154" t="s">
        <v>10346</v>
      </c>
      <c r="L1422" s="154" t="s">
        <v>6525</v>
      </c>
      <c r="M1422" s="154" t="s">
        <v>1018</v>
      </c>
      <c r="N1422" s="154" t="s">
        <v>759</v>
      </c>
      <c r="O1422" s="247" t="s">
        <v>445</v>
      </c>
      <c r="P1422" s="247" t="s">
        <v>6772</v>
      </c>
      <c r="Q1422" s="154" t="str">
        <f t="shared" si="1"/>
        <v>#ERROR!</v>
      </c>
      <c r="R1422" s="154" t="s">
        <v>66</v>
      </c>
      <c r="S1422" s="154" t="s">
        <v>66</v>
      </c>
      <c r="T1422" s="155" t="s">
        <v>64</v>
      </c>
      <c r="U1422" s="155" t="s">
        <v>64</v>
      </c>
      <c r="V1422" s="154" t="s">
        <v>60</v>
      </c>
      <c r="W1422" s="154" t="s">
        <v>60</v>
      </c>
      <c r="X1422" s="154" t="s">
        <v>66</v>
      </c>
      <c r="Y1422" s="155" t="s">
        <v>64</v>
      </c>
      <c r="Z1422" s="154" t="s">
        <v>60</v>
      </c>
      <c r="AA1422" s="154"/>
      <c r="AB1422" s="242" t="str">
        <f t="shared" si="2"/>
        <v>#ERROR!</v>
      </c>
      <c r="AC1422" s="154" t="s">
        <v>391</v>
      </c>
      <c r="AD1422" s="242" t="b">
        <f t="shared" si="3"/>
        <v>0</v>
      </c>
      <c r="AE1422" s="154"/>
      <c r="AF1422" s="242" t="str">
        <f t="shared" si="4"/>
        <v>#ERROR!</v>
      </c>
      <c r="AG1422" s="154"/>
      <c r="AH1422" s="242" t="str">
        <f>IF(AG1422="","N/A",INDIRECT("MTR!"&amp;ADDRESS(MATCH(LEFT(AG1422,9),[1]MTR!C:C,0),COLUMN(J1422)),TRUE) &amp; "")</f>
        <v>#ERROR!</v>
      </c>
      <c r="AI1422" s="157" t="str">
        <f t="shared" si="5"/>
        <v>#ERROR!</v>
      </c>
    </row>
    <row r="1423" ht="12.75" customHeight="1">
      <c r="A1423" s="244" t="s">
        <v>5158</v>
      </c>
      <c r="B1423" s="244" t="s">
        <v>231</v>
      </c>
      <c r="C1423" s="244" t="s">
        <v>10349</v>
      </c>
      <c r="D1423" s="154" t="s">
        <v>542</v>
      </c>
      <c r="E1423" s="154"/>
      <c r="F1423" s="154" t="str">
        <f t="array" ref="F1423">XLOOKUP(Cover!$D$12,$R$1:$Z$1,$R1423:$Z1423)</f>
        <v>Recommended</v>
      </c>
      <c r="G1423" s="154" t="s">
        <v>10350</v>
      </c>
      <c r="H1423" s="154" t="s">
        <v>6775</v>
      </c>
      <c r="I1423" s="154" t="s">
        <v>10351</v>
      </c>
      <c r="J1423" s="154" t="s">
        <v>5830</v>
      </c>
      <c r="K1423" s="154" t="s">
        <v>10346</v>
      </c>
      <c r="L1423" s="154" t="s">
        <v>6525</v>
      </c>
      <c r="M1423" s="154"/>
      <c r="N1423" s="154" t="s">
        <v>759</v>
      </c>
      <c r="O1423" s="247" t="s">
        <v>516</v>
      </c>
      <c r="P1423" s="247" t="s">
        <v>10352</v>
      </c>
      <c r="Q1423" s="154" t="str">
        <f t="shared" si="1"/>
        <v>#ERROR!</v>
      </c>
      <c r="R1423" s="154" t="s">
        <v>66</v>
      </c>
      <c r="S1423" s="154" t="s">
        <v>66</v>
      </c>
      <c r="T1423" s="154" t="s">
        <v>64</v>
      </c>
      <c r="U1423" s="154" t="s">
        <v>64</v>
      </c>
      <c r="V1423" s="154" t="s">
        <v>64</v>
      </c>
      <c r="W1423" s="154" t="s">
        <v>64</v>
      </c>
      <c r="X1423" s="154" t="s">
        <v>66</v>
      </c>
      <c r="Y1423" s="154" t="s">
        <v>64</v>
      </c>
      <c r="Z1423" s="154" t="s">
        <v>64</v>
      </c>
      <c r="AA1423" s="154"/>
      <c r="AB1423" s="242" t="str">
        <f t="shared" si="2"/>
        <v>#ERROR!</v>
      </c>
      <c r="AC1423" s="154" t="s">
        <v>391</v>
      </c>
      <c r="AD1423" s="242" t="b">
        <f t="shared" si="3"/>
        <v>0</v>
      </c>
      <c r="AE1423" s="154"/>
      <c r="AF1423" s="242" t="str">
        <f t="shared" si="4"/>
        <v>#ERROR!</v>
      </c>
      <c r="AG1423" s="154"/>
      <c r="AH1423" s="242" t="str">
        <f>IF(AG1423="","N/A",INDIRECT("MTR!"&amp;ADDRESS(MATCH(LEFT(AG1423,9),[1]MTR!C:C,0),COLUMN(J1423)),TRUE) &amp; "")</f>
        <v>#ERROR!</v>
      </c>
      <c r="AI1423" s="157" t="str">
        <f t="shared" si="5"/>
        <v>#ERROR!</v>
      </c>
    </row>
    <row r="1424" ht="12.75" customHeight="1">
      <c r="A1424" s="244" t="s">
        <v>5158</v>
      </c>
      <c r="B1424" s="244" t="s">
        <v>231</v>
      </c>
      <c r="C1424" s="244" t="s">
        <v>10353</v>
      </c>
      <c r="D1424" s="154" t="s">
        <v>542</v>
      </c>
      <c r="E1424" s="154"/>
      <c r="F1424" s="154" t="str">
        <f t="array" ref="F1424">XLOOKUP(Cover!$D$12,$R$1:$Z$1,$R1424:$Z1424)</f>
        <v>Recommended</v>
      </c>
      <c r="G1424" s="154" t="s">
        <v>10354</v>
      </c>
      <c r="H1424" s="154" t="s">
        <v>9009</v>
      </c>
      <c r="I1424" s="154" t="s">
        <v>10351</v>
      </c>
      <c r="J1424" s="154" t="s">
        <v>5830</v>
      </c>
      <c r="K1424" s="154" t="s">
        <v>10346</v>
      </c>
      <c r="L1424" s="154" t="s">
        <v>6525</v>
      </c>
      <c r="M1424" s="154"/>
      <c r="N1424" s="154" t="s">
        <v>759</v>
      </c>
      <c r="O1424" s="247" t="s">
        <v>445</v>
      </c>
      <c r="P1424" s="247" t="s">
        <v>89</v>
      </c>
      <c r="Q1424" s="154" t="str">
        <f t="shared" si="1"/>
        <v>#ERROR!</v>
      </c>
      <c r="R1424" s="154" t="s">
        <v>66</v>
      </c>
      <c r="S1424" s="154" t="s">
        <v>66</v>
      </c>
      <c r="T1424" s="154" t="s">
        <v>64</v>
      </c>
      <c r="U1424" s="154" t="s">
        <v>64</v>
      </c>
      <c r="V1424" s="154" t="s">
        <v>64</v>
      </c>
      <c r="W1424" s="154" t="s">
        <v>64</v>
      </c>
      <c r="X1424" s="154" t="s">
        <v>66</v>
      </c>
      <c r="Y1424" s="154" t="s">
        <v>64</v>
      </c>
      <c r="Z1424" s="154" t="s">
        <v>64</v>
      </c>
      <c r="AA1424" s="154"/>
      <c r="AB1424" s="242" t="str">
        <f t="shared" si="2"/>
        <v>#ERROR!</v>
      </c>
      <c r="AC1424" s="154" t="s">
        <v>391</v>
      </c>
      <c r="AD1424" s="242" t="b">
        <f t="shared" si="3"/>
        <v>0</v>
      </c>
      <c r="AE1424" s="154"/>
      <c r="AF1424" s="242" t="str">
        <f t="shared" si="4"/>
        <v>#ERROR!</v>
      </c>
      <c r="AG1424" s="154"/>
      <c r="AH1424" s="242" t="str">
        <f>IF(AG1424="","N/A",INDIRECT("MTR!"&amp;ADDRESS(MATCH(LEFT(AG1424,9),[1]MTR!C:C,0),COLUMN(J1424)),TRUE) &amp; "")</f>
        <v>#ERROR!</v>
      </c>
      <c r="AI1424" s="157" t="str">
        <f t="shared" si="5"/>
        <v>#ERROR!</v>
      </c>
    </row>
    <row r="1425" ht="12.75" customHeight="1">
      <c r="A1425" s="244" t="s">
        <v>5158</v>
      </c>
      <c r="B1425" s="244" t="s">
        <v>231</v>
      </c>
      <c r="C1425" s="244" t="s">
        <v>10355</v>
      </c>
      <c r="D1425" s="154" t="s">
        <v>781</v>
      </c>
      <c r="E1425" s="154"/>
      <c r="F1425" s="154" t="str">
        <f t="array" ref="F1425">XLOOKUP(Cover!$D$12,$R$1:$Z$1,$R1425:$Z1425)</f>
        <v>Recommended</v>
      </c>
      <c r="G1425" s="154" t="s">
        <v>10356</v>
      </c>
      <c r="H1425" s="154" t="s">
        <v>6779</v>
      </c>
      <c r="I1425" s="154" t="s">
        <v>10357</v>
      </c>
      <c r="J1425" s="154" t="s">
        <v>5888</v>
      </c>
      <c r="K1425" s="154" t="s">
        <v>10346</v>
      </c>
      <c r="L1425" s="154" t="s">
        <v>6140</v>
      </c>
      <c r="M1425" s="154"/>
      <c r="N1425" s="154" t="s">
        <v>759</v>
      </c>
      <c r="O1425" s="247" t="s">
        <v>445</v>
      </c>
      <c r="P1425" s="247" t="s">
        <v>6772</v>
      </c>
      <c r="Q1425" s="154" t="str">
        <f t="shared" si="1"/>
        <v>#ERROR!</v>
      </c>
      <c r="R1425" s="154" t="s">
        <v>66</v>
      </c>
      <c r="S1425" s="154" t="s">
        <v>66</v>
      </c>
      <c r="T1425" s="154" t="s">
        <v>64</v>
      </c>
      <c r="U1425" s="154" t="s">
        <v>64</v>
      </c>
      <c r="V1425" s="154" t="s">
        <v>64</v>
      </c>
      <c r="W1425" s="154" t="s">
        <v>64</v>
      </c>
      <c r="X1425" s="154" t="s">
        <v>66</v>
      </c>
      <c r="Y1425" s="154" t="s">
        <v>64</v>
      </c>
      <c r="Z1425" s="154" t="s">
        <v>64</v>
      </c>
      <c r="AA1425" s="154"/>
      <c r="AB1425" s="242" t="str">
        <f t="shared" si="2"/>
        <v>#ERROR!</v>
      </c>
      <c r="AC1425" s="154" t="s">
        <v>391</v>
      </c>
      <c r="AD1425" s="242" t="b">
        <f t="shared" si="3"/>
        <v>0</v>
      </c>
      <c r="AE1425" s="154"/>
      <c r="AF1425" s="242" t="str">
        <f t="shared" si="4"/>
        <v>#ERROR!</v>
      </c>
      <c r="AG1425" s="154"/>
      <c r="AH1425" s="242" t="str">
        <f>IF(AG1425="","N/A",INDIRECT("MTR!"&amp;ADDRESS(MATCH(LEFT(AG1425,9),[1]MTR!C:C,0),COLUMN(J1425)),TRUE) &amp; "")</f>
        <v>#ERROR!</v>
      </c>
      <c r="AI1425" s="157" t="str">
        <f t="shared" si="5"/>
        <v>#ERROR!</v>
      </c>
    </row>
    <row r="1426" ht="12.75" customHeight="1">
      <c r="A1426" s="244" t="s">
        <v>5158</v>
      </c>
      <c r="B1426" s="244" t="s">
        <v>231</v>
      </c>
      <c r="C1426" s="244" t="s">
        <v>10358</v>
      </c>
      <c r="D1426" s="154" t="s">
        <v>781</v>
      </c>
      <c r="E1426" s="154"/>
      <c r="F1426" s="154" t="str">
        <f t="array" ref="F1426">XLOOKUP(Cover!$D$12,$R$1:$Z$1,$R1426:$Z1426)</f>
        <v>Recommended</v>
      </c>
      <c r="G1426" s="154" t="s">
        <v>10359</v>
      </c>
      <c r="H1426" s="154" t="s">
        <v>9012</v>
      </c>
      <c r="I1426" s="154" t="s">
        <v>10357</v>
      </c>
      <c r="J1426" s="154" t="s">
        <v>5888</v>
      </c>
      <c r="K1426" s="154" t="s">
        <v>10346</v>
      </c>
      <c r="L1426" s="154" t="s">
        <v>6140</v>
      </c>
      <c r="M1426" s="154"/>
      <c r="N1426" s="154" t="s">
        <v>759</v>
      </c>
      <c r="O1426" s="247" t="s">
        <v>445</v>
      </c>
      <c r="P1426" s="247" t="s">
        <v>6772</v>
      </c>
      <c r="Q1426" s="154" t="str">
        <f t="shared" si="1"/>
        <v>#ERROR!</v>
      </c>
      <c r="R1426" s="154" t="s">
        <v>66</v>
      </c>
      <c r="S1426" s="154" t="s">
        <v>66</v>
      </c>
      <c r="T1426" s="154" t="s">
        <v>64</v>
      </c>
      <c r="U1426" s="154" t="s">
        <v>64</v>
      </c>
      <c r="V1426" s="154" t="s">
        <v>64</v>
      </c>
      <c r="W1426" s="154" t="s">
        <v>64</v>
      </c>
      <c r="X1426" s="154" t="s">
        <v>66</v>
      </c>
      <c r="Y1426" s="154" t="s">
        <v>64</v>
      </c>
      <c r="Z1426" s="154" t="s">
        <v>64</v>
      </c>
      <c r="AA1426" s="154"/>
      <c r="AB1426" s="242" t="str">
        <f t="shared" si="2"/>
        <v>#ERROR!</v>
      </c>
      <c r="AC1426" s="154" t="s">
        <v>391</v>
      </c>
      <c r="AD1426" s="242" t="b">
        <f t="shared" si="3"/>
        <v>0</v>
      </c>
      <c r="AE1426" s="154"/>
      <c r="AF1426" s="242" t="str">
        <f t="shared" si="4"/>
        <v>#ERROR!</v>
      </c>
      <c r="AG1426" s="154"/>
      <c r="AH1426" s="242" t="str">
        <f>IF(AG1426="","N/A",INDIRECT("MTR!"&amp;ADDRESS(MATCH(LEFT(AG1426,9),[1]MTR!C:C,0),COLUMN(J1426)),TRUE) &amp; "")</f>
        <v>#ERROR!</v>
      </c>
      <c r="AI1426" s="157" t="str">
        <f t="shared" si="5"/>
        <v>#ERROR!</v>
      </c>
    </row>
    <row r="1427" ht="12.75" customHeight="1">
      <c r="A1427" s="244" t="s">
        <v>5158</v>
      </c>
      <c r="B1427" s="244" t="s">
        <v>231</v>
      </c>
      <c r="C1427" s="244" t="s">
        <v>10360</v>
      </c>
      <c r="D1427" s="154" t="s">
        <v>542</v>
      </c>
      <c r="E1427" s="154"/>
      <c r="F1427" s="154" t="str">
        <f t="array" ref="F1427">XLOOKUP(Cover!$D$12,$R$1:$Z$1,$R1427:$Z1427)</f>
        <v>Mandatory</v>
      </c>
      <c r="G1427" s="154" t="s">
        <v>10361</v>
      </c>
      <c r="H1427" s="154" t="s">
        <v>6782</v>
      </c>
      <c r="I1427" s="154" t="s">
        <v>10362</v>
      </c>
      <c r="J1427" s="154" t="s">
        <v>5897</v>
      </c>
      <c r="K1427" s="154" t="s">
        <v>10346</v>
      </c>
      <c r="L1427" s="154" t="s">
        <v>6525</v>
      </c>
      <c r="M1427" s="154" t="s">
        <v>1018</v>
      </c>
      <c r="N1427" s="154" t="s">
        <v>759</v>
      </c>
      <c r="O1427" s="247" t="s">
        <v>445</v>
      </c>
      <c r="P1427" s="247" t="s">
        <v>6772</v>
      </c>
      <c r="Q1427" s="154" t="str">
        <f t="shared" si="1"/>
        <v>#ERROR!</v>
      </c>
      <c r="R1427" s="154" t="s">
        <v>66</v>
      </c>
      <c r="S1427" s="154" t="s">
        <v>66</v>
      </c>
      <c r="T1427" s="155" t="s">
        <v>64</v>
      </c>
      <c r="U1427" s="155" t="s">
        <v>64</v>
      </c>
      <c r="V1427" s="154" t="s">
        <v>60</v>
      </c>
      <c r="W1427" s="154" t="s">
        <v>60</v>
      </c>
      <c r="X1427" s="154" t="s">
        <v>66</v>
      </c>
      <c r="Y1427" s="155" t="s">
        <v>64</v>
      </c>
      <c r="Z1427" s="154" t="s">
        <v>60</v>
      </c>
      <c r="AA1427" s="154"/>
      <c r="AB1427" s="242" t="str">
        <f t="shared" si="2"/>
        <v>#ERROR!</v>
      </c>
      <c r="AC1427" s="154" t="s">
        <v>391</v>
      </c>
      <c r="AD1427" s="242" t="b">
        <f t="shared" si="3"/>
        <v>0</v>
      </c>
      <c r="AE1427" s="154"/>
      <c r="AF1427" s="242" t="str">
        <f t="shared" si="4"/>
        <v>#ERROR!</v>
      </c>
      <c r="AG1427" s="154"/>
      <c r="AH1427" s="242" t="str">
        <f>IF(AG1427="","N/A",INDIRECT("MTR!"&amp;ADDRESS(MATCH(LEFT(AG1427,9),[1]MTR!C:C,0),COLUMN(J1427)),TRUE) &amp; "")</f>
        <v>#ERROR!</v>
      </c>
      <c r="AI1427" s="157" t="str">
        <f t="shared" si="5"/>
        <v>#ERROR!</v>
      </c>
    </row>
    <row r="1428" ht="12.75" customHeight="1">
      <c r="A1428" s="244" t="s">
        <v>5158</v>
      </c>
      <c r="B1428" s="244" t="s">
        <v>231</v>
      </c>
      <c r="C1428" s="244" t="s">
        <v>10363</v>
      </c>
      <c r="D1428" s="154" t="s">
        <v>542</v>
      </c>
      <c r="E1428" s="154"/>
      <c r="F1428" s="154" t="str">
        <f t="array" ref="F1428">XLOOKUP(Cover!$D$12,$R$1:$Z$1,$R1428:$Z1428)</f>
        <v>Mandatory</v>
      </c>
      <c r="G1428" s="154" t="s">
        <v>10364</v>
      </c>
      <c r="H1428" s="154" t="s">
        <v>9015</v>
      </c>
      <c r="I1428" s="154" t="s">
        <v>10362</v>
      </c>
      <c r="J1428" s="154" t="s">
        <v>5897</v>
      </c>
      <c r="K1428" s="154" t="s">
        <v>10346</v>
      </c>
      <c r="L1428" s="154" t="s">
        <v>6525</v>
      </c>
      <c r="M1428" s="154" t="s">
        <v>1018</v>
      </c>
      <c r="N1428" s="154" t="s">
        <v>759</v>
      </c>
      <c r="O1428" s="247" t="s">
        <v>445</v>
      </c>
      <c r="P1428" s="247" t="s">
        <v>6772</v>
      </c>
      <c r="Q1428" s="154" t="str">
        <f t="shared" si="1"/>
        <v>#ERROR!</v>
      </c>
      <c r="R1428" s="154" t="s">
        <v>66</v>
      </c>
      <c r="S1428" s="154" t="s">
        <v>66</v>
      </c>
      <c r="T1428" s="155" t="s">
        <v>64</v>
      </c>
      <c r="U1428" s="155" t="s">
        <v>64</v>
      </c>
      <c r="V1428" s="154" t="s">
        <v>60</v>
      </c>
      <c r="W1428" s="154" t="s">
        <v>60</v>
      </c>
      <c r="X1428" s="154" t="s">
        <v>66</v>
      </c>
      <c r="Y1428" s="155" t="s">
        <v>64</v>
      </c>
      <c r="Z1428" s="154" t="s">
        <v>60</v>
      </c>
      <c r="AA1428" s="154"/>
      <c r="AB1428" s="242" t="str">
        <f t="shared" si="2"/>
        <v>#ERROR!</v>
      </c>
      <c r="AC1428" s="154" t="s">
        <v>391</v>
      </c>
      <c r="AD1428" s="242" t="b">
        <f t="shared" si="3"/>
        <v>0</v>
      </c>
      <c r="AE1428" s="154"/>
      <c r="AF1428" s="242" t="str">
        <f t="shared" si="4"/>
        <v>#ERROR!</v>
      </c>
      <c r="AG1428" s="154"/>
      <c r="AH1428" s="242" t="str">
        <f>IF(AG1428="","N/A",INDIRECT("MTR!"&amp;ADDRESS(MATCH(LEFT(AG1428,9),[1]MTR!C:C,0),COLUMN(J1428)),TRUE) &amp; "")</f>
        <v>#ERROR!</v>
      </c>
      <c r="AI1428" s="157" t="str">
        <f t="shared" si="5"/>
        <v>#ERROR!</v>
      </c>
    </row>
    <row r="1429" ht="12.75" customHeight="1">
      <c r="A1429" s="244" t="s">
        <v>5158</v>
      </c>
      <c r="B1429" s="244" t="s">
        <v>231</v>
      </c>
      <c r="C1429" s="244" t="s">
        <v>10365</v>
      </c>
      <c r="D1429" s="154" t="s">
        <v>861</v>
      </c>
      <c r="E1429" s="154"/>
      <c r="F1429" s="154" t="str">
        <f t="array" ref="F1429">XLOOKUP(Cover!$D$12,$R$1:$Z$1,$R1429:$Z1429)</f>
        <v>Recommended</v>
      </c>
      <c r="G1429" s="154" t="s">
        <v>10366</v>
      </c>
      <c r="H1429" s="154" t="s">
        <v>6785</v>
      </c>
      <c r="I1429" s="154" t="s">
        <v>10367</v>
      </c>
      <c r="J1429" s="154" t="s">
        <v>5903</v>
      </c>
      <c r="K1429" s="154" t="s">
        <v>10346</v>
      </c>
      <c r="L1429" s="154" t="s">
        <v>6428</v>
      </c>
      <c r="M1429" s="154"/>
      <c r="N1429" s="154" t="s">
        <v>759</v>
      </c>
      <c r="O1429" s="247" t="s">
        <v>445</v>
      </c>
      <c r="P1429" s="247" t="s">
        <v>6772</v>
      </c>
      <c r="Q1429" s="154" t="str">
        <f t="shared" si="1"/>
        <v>#ERROR!</v>
      </c>
      <c r="R1429" s="154" t="s">
        <v>66</v>
      </c>
      <c r="S1429" s="154" t="s">
        <v>66</v>
      </c>
      <c r="T1429" s="154" t="s">
        <v>64</v>
      </c>
      <c r="U1429" s="154" t="s">
        <v>64</v>
      </c>
      <c r="V1429" s="154" t="s">
        <v>64</v>
      </c>
      <c r="W1429" s="154" t="s">
        <v>64</v>
      </c>
      <c r="X1429" s="154" t="s">
        <v>66</v>
      </c>
      <c r="Y1429" s="154" t="s">
        <v>64</v>
      </c>
      <c r="Z1429" s="154" t="s">
        <v>64</v>
      </c>
      <c r="AA1429" s="154"/>
      <c r="AB1429" s="242" t="str">
        <f t="shared" si="2"/>
        <v>#ERROR!</v>
      </c>
      <c r="AC1429" s="154" t="s">
        <v>391</v>
      </c>
      <c r="AD1429" s="242" t="b">
        <f t="shared" si="3"/>
        <v>0</v>
      </c>
      <c r="AE1429" s="154"/>
      <c r="AF1429" s="242" t="str">
        <f t="shared" si="4"/>
        <v>#ERROR!</v>
      </c>
      <c r="AG1429" s="154"/>
      <c r="AH1429" s="242" t="str">
        <f>IF(AG1429="","N/A",INDIRECT("MTR!"&amp;ADDRESS(MATCH(LEFT(AG1429,9),[1]MTR!C:C,0),COLUMN(J1429)),TRUE) &amp; "")</f>
        <v>#ERROR!</v>
      </c>
      <c r="AI1429" s="157" t="str">
        <f t="shared" si="5"/>
        <v>#ERROR!</v>
      </c>
    </row>
    <row r="1430" ht="12.75" customHeight="1">
      <c r="A1430" s="244" t="s">
        <v>5158</v>
      </c>
      <c r="B1430" s="244" t="s">
        <v>231</v>
      </c>
      <c r="C1430" s="244" t="s">
        <v>10368</v>
      </c>
      <c r="D1430" s="154" t="s">
        <v>861</v>
      </c>
      <c r="E1430" s="154"/>
      <c r="F1430" s="154" t="str">
        <f t="array" ref="F1430">XLOOKUP(Cover!$D$12,$R$1:$Z$1,$R1430:$Z1430)</f>
        <v>Recommended</v>
      </c>
      <c r="G1430" s="154" t="s">
        <v>10369</v>
      </c>
      <c r="H1430" s="154" t="s">
        <v>1541</v>
      </c>
      <c r="I1430" s="154" t="s">
        <v>10367</v>
      </c>
      <c r="J1430" s="154" t="s">
        <v>5903</v>
      </c>
      <c r="K1430" s="154" t="s">
        <v>10346</v>
      </c>
      <c r="L1430" s="154" t="s">
        <v>6428</v>
      </c>
      <c r="M1430" s="154"/>
      <c r="N1430" s="154" t="s">
        <v>759</v>
      </c>
      <c r="O1430" s="247" t="s">
        <v>445</v>
      </c>
      <c r="P1430" s="247" t="s">
        <v>6772</v>
      </c>
      <c r="Q1430" s="154" t="str">
        <f t="shared" si="1"/>
        <v>#ERROR!</v>
      </c>
      <c r="R1430" s="154" t="s">
        <v>66</v>
      </c>
      <c r="S1430" s="154" t="s">
        <v>66</v>
      </c>
      <c r="T1430" s="154" t="s">
        <v>64</v>
      </c>
      <c r="U1430" s="154" t="s">
        <v>64</v>
      </c>
      <c r="V1430" s="154" t="s">
        <v>64</v>
      </c>
      <c r="W1430" s="154" t="s">
        <v>64</v>
      </c>
      <c r="X1430" s="154" t="s">
        <v>66</v>
      </c>
      <c r="Y1430" s="154" t="s">
        <v>64</v>
      </c>
      <c r="Z1430" s="154" t="s">
        <v>64</v>
      </c>
      <c r="AA1430" s="154"/>
      <c r="AB1430" s="242" t="str">
        <f t="shared" si="2"/>
        <v>#ERROR!</v>
      </c>
      <c r="AC1430" s="154" t="s">
        <v>391</v>
      </c>
      <c r="AD1430" s="242" t="b">
        <f t="shared" si="3"/>
        <v>0</v>
      </c>
      <c r="AE1430" s="154"/>
      <c r="AF1430" s="242" t="str">
        <f t="shared" si="4"/>
        <v>#ERROR!</v>
      </c>
      <c r="AG1430" s="154"/>
      <c r="AH1430" s="242" t="str">
        <f>IF(AG1430="","N/A",INDIRECT("MTR!"&amp;ADDRESS(MATCH(LEFT(AG1430,9),[1]MTR!C:C,0),COLUMN(J1430)),TRUE) &amp; "")</f>
        <v>#ERROR!</v>
      </c>
      <c r="AI1430" s="157" t="str">
        <f t="shared" si="5"/>
        <v>#ERROR!</v>
      </c>
    </row>
    <row r="1431" ht="12.75" customHeight="1">
      <c r="A1431" s="244" t="s">
        <v>5158</v>
      </c>
      <c r="B1431" s="244" t="s">
        <v>231</v>
      </c>
      <c r="C1431" s="244" t="s">
        <v>10370</v>
      </c>
      <c r="D1431" s="154" t="s">
        <v>781</v>
      </c>
      <c r="E1431" s="154"/>
      <c r="F1431" s="154" t="str">
        <f t="array" ref="F1431">XLOOKUP(Cover!$D$12,$R$1:$Z$1,$R1431:$Z1431)</f>
        <v>Mandatory</v>
      </c>
      <c r="G1431" s="154" t="s">
        <v>10371</v>
      </c>
      <c r="H1431" s="154" t="s">
        <v>6771</v>
      </c>
      <c r="I1431" s="154" t="s">
        <v>10372</v>
      </c>
      <c r="J1431" s="154" t="s">
        <v>6809</v>
      </c>
      <c r="K1431" s="154" t="s">
        <v>10346</v>
      </c>
      <c r="L1431" s="154" t="s">
        <v>6140</v>
      </c>
      <c r="M1431" s="154" t="s">
        <v>175</v>
      </c>
      <c r="N1431" s="154" t="s">
        <v>759</v>
      </c>
      <c r="O1431" s="247" t="s">
        <v>445</v>
      </c>
      <c r="P1431" s="247" t="s">
        <v>6772</v>
      </c>
      <c r="Q1431" s="154" t="str">
        <f t="shared" si="1"/>
        <v>#ERROR!</v>
      </c>
      <c r="R1431" s="154" t="s">
        <v>66</v>
      </c>
      <c r="S1431" s="154" t="s">
        <v>66</v>
      </c>
      <c r="T1431" s="155" t="s">
        <v>64</v>
      </c>
      <c r="U1431" s="155" t="s">
        <v>64</v>
      </c>
      <c r="V1431" s="154" t="s">
        <v>60</v>
      </c>
      <c r="W1431" s="154" t="s">
        <v>60</v>
      </c>
      <c r="X1431" s="154" t="s">
        <v>66</v>
      </c>
      <c r="Y1431" s="155" t="s">
        <v>64</v>
      </c>
      <c r="Z1431" s="154" t="s">
        <v>60</v>
      </c>
      <c r="AA1431" s="154"/>
      <c r="AB1431" s="242" t="str">
        <f t="shared" si="2"/>
        <v>#ERROR!</v>
      </c>
      <c r="AC1431" s="154" t="s">
        <v>391</v>
      </c>
      <c r="AD1431" s="242" t="b">
        <f t="shared" si="3"/>
        <v>0</v>
      </c>
      <c r="AE1431" s="154"/>
      <c r="AF1431" s="242" t="str">
        <f t="shared" si="4"/>
        <v>#ERROR!</v>
      </c>
      <c r="AG1431" s="154"/>
      <c r="AH1431" s="242" t="str">
        <f>IF(AG1431="","N/A",INDIRECT("MTR!"&amp;ADDRESS(MATCH(LEFT(AG1431,9),[1]MTR!C:C,0),COLUMN(J1431)),TRUE) &amp; "")</f>
        <v>#ERROR!</v>
      </c>
      <c r="AI1431" s="157" t="str">
        <f t="shared" si="5"/>
        <v>#ERROR!</v>
      </c>
    </row>
    <row r="1432" ht="12.75" customHeight="1">
      <c r="A1432" s="244" t="s">
        <v>5158</v>
      </c>
      <c r="B1432" s="244" t="s">
        <v>231</v>
      </c>
      <c r="C1432" s="244" t="s">
        <v>10373</v>
      </c>
      <c r="D1432" s="154" t="s">
        <v>781</v>
      </c>
      <c r="E1432" s="154"/>
      <c r="F1432" s="154" t="str">
        <f t="array" ref="F1432">XLOOKUP(Cover!$D$12,$R$1:$Z$1,$R1432:$Z1432)</f>
        <v>Mandatory</v>
      </c>
      <c r="G1432" s="154" t="s">
        <v>10374</v>
      </c>
      <c r="H1432" s="154" t="s">
        <v>9006</v>
      </c>
      <c r="I1432" s="154" t="s">
        <v>10372</v>
      </c>
      <c r="J1432" s="154" t="s">
        <v>6809</v>
      </c>
      <c r="K1432" s="154" t="s">
        <v>10346</v>
      </c>
      <c r="L1432" s="154" t="s">
        <v>6140</v>
      </c>
      <c r="M1432" s="154" t="s">
        <v>175</v>
      </c>
      <c r="N1432" s="154" t="s">
        <v>759</v>
      </c>
      <c r="O1432" s="247" t="s">
        <v>445</v>
      </c>
      <c r="P1432" s="247" t="s">
        <v>6772</v>
      </c>
      <c r="Q1432" s="154" t="str">
        <f t="shared" si="1"/>
        <v>#ERROR!</v>
      </c>
      <c r="R1432" s="154" t="s">
        <v>66</v>
      </c>
      <c r="S1432" s="154" t="s">
        <v>66</v>
      </c>
      <c r="T1432" s="155" t="s">
        <v>64</v>
      </c>
      <c r="U1432" s="155" t="s">
        <v>64</v>
      </c>
      <c r="V1432" s="154" t="s">
        <v>60</v>
      </c>
      <c r="W1432" s="154" t="s">
        <v>60</v>
      </c>
      <c r="X1432" s="154" t="s">
        <v>66</v>
      </c>
      <c r="Y1432" s="155" t="s">
        <v>64</v>
      </c>
      <c r="Z1432" s="154" t="s">
        <v>60</v>
      </c>
      <c r="AA1432" s="154"/>
      <c r="AB1432" s="242" t="str">
        <f t="shared" si="2"/>
        <v>#ERROR!</v>
      </c>
      <c r="AC1432" s="154" t="s">
        <v>391</v>
      </c>
      <c r="AD1432" s="242" t="b">
        <f t="shared" si="3"/>
        <v>0</v>
      </c>
      <c r="AE1432" s="154"/>
      <c r="AF1432" s="242" t="str">
        <f t="shared" si="4"/>
        <v>#ERROR!</v>
      </c>
      <c r="AG1432" s="154"/>
      <c r="AH1432" s="242" t="str">
        <f>IF(AG1432="","N/A",INDIRECT("MTR!"&amp;ADDRESS(MATCH(LEFT(AG1432,9),[1]MTR!C:C,0),COLUMN(J1432)),TRUE) &amp; "")</f>
        <v>#ERROR!</v>
      </c>
      <c r="AI1432" s="157" t="str">
        <f t="shared" si="5"/>
        <v>#ERROR!</v>
      </c>
    </row>
    <row r="1433" ht="12.75" customHeight="1">
      <c r="A1433" s="244" t="s">
        <v>5158</v>
      </c>
      <c r="B1433" s="244" t="s">
        <v>231</v>
      </c>
      <c r="C1433" s="244" t="s">
        <v>10375</v>
      </c>
      <c r="D1433" s="154" t="s">
        <v>861</v>
      </c>
      <c r="E1433" s="154"/>
      <c r="F1433" s="154" t="str">
        <f t="array" ref="F1433">XLOOKUP(Cover!$D$12,$R$1:$Z$1,$R1433:$Z1433)</f>
        <v>Mandatory</v>
      </c>
      <c r="G1433" s="154" t="s">
        <v>10376</v>
      </c>
      <c r="H1433" s="154" t="s">
        <v>6808</v>
      </c>
      <c r="I1433" s="154" t="s">
        <v>10372</v>
      </c>
      <c r="J1433" s="154" t="s">
        <v>6809</v>
      </c>
      <c r="K1433" s="154" t="s">
        <v>10346</v>
      </c>
      <c r="L1433" s="154" t="s">
        <v>6428</v>
      </c>
      <c r="M1433" s="154" t="s">
        <v>175</v>
      </c>
      <c r="N1433" s="154" t="s">
        <v>759</v>
      </c>
      <c r="O1433" s="247" t="s">
        <v>516</v>
      </c>
      <c r="P1433" s="247" t="s">
        <v>1575</v>
      </c>
      <c r="Q1433" s="154" t="str">
        <f t="shared" si="1"/>
        <v>#ERROR!</v>
      </c>
      <c r="R1433" s="154" t="s">
        <v>66</v>
      </c>
      <c r="S1433" s="154" t="s">
        <v>66</v>
      </c>
      <c r="T1433" s="155" t="s">
        <v>64</v>
      </c>
      <c r="U1433" s="155" t="s">
        <v>64</v>
      </c>
      <c r="V1433" s="154" t="s">
        <v>60</v>
      </c>
      <c r="W1433" s="154" t="s">
        <v>60</v>
      </c>
      <c r="X1433" s="154" t="s">
        <v>66</v>
      </c>
      <c r="Y1433" s="155" t="s">
        <v>64</v>
      </c>
      <c r="Z1433" s="154" t="s">
        <v>60</v>
      </c>
      <c r="AA1433" s="154"/>
      <c r="AB1433" s="242" t="str">
        <f t="shared" si="2"/>
        <v>#ERROR!</v>
      </c>
      <c r="AC1433" s="154" t="s">
        <v>391</v>
      </c>
      <c r="AD1433" s="242" t="b">
        <f t="shared" si="3"/>
        <v>0</v>
      </c>
      <c r="AE1433" s="154"/>
      <c r="AF1433" s="242" t="str">
        <f t="shared" si="4"/>
        <v>#ERROR!</v>
      </c>
      <c r="AG1433" s="154"/>
      <c r="AH1433" s="242" t="str">
        <f>IF(AG1433="","N/A",INDIRECT("MTR!"&amp;ADDRESS(MATCH(LEFT(AG1433,9),[1]MTR!C:C,0),COLUMN(J1433)),TRUE) &amp; "")</f>
        <v>#ERROR!</v>
      </c>
      <c r="AI1433" s="157" t="str">
        <f t="shared" si="5"/>
        <v>#ERROR!</v>
      </c>
    </row>
    <row r="1434" ht="12.75" customHeight="1">
      <c r="A1434" s="244" t="s">
        <v>5158</v>
      </c>
      <c r="B1434" s="244" t="s">
        <v>231</v>
      </c>
      <c r="C1434" s="244" t="s">
        <v>10377</v>
      </c>
      <c r="D1434" s="154" t="s">
        <v>861</v>
      </c>
      <c r="E1434" s="154"/>
      <c r="F1434" s="154" t="str">
        <f t="array" ref="F1434">XLOOKUP(Cover!$D$12,$R$1:$Z$1,$R1434:$Z1434)</f>
        <v>Mandatory</v>
      </c>
      <c r="G1434" s="154" t="s">
        <v>10378</v>
      </c>
      <c r="H1434" s="154" t="s">
        <v>9053</v>
      </c>
      <c r="I1434" s="154" t="s">
        <v>10372</v>
      </c>
      <c r="J1434" s="154" t="s">
        <v>6809</v>
      </c>
      <c r="K1434" s="154" t="s">
        <v>10346</v>
      </c>
      <c r="L1434" s="154" t="s">
        <v>6428</v>
      </c>
      <c r="M1434" s="154" t="s">
        <v>175</v>
      </c>
      <c r="N1434" s="154" t="s">
        <v>759</v>
      </c>
      <c r="O1434" s="247" t="s">
        <v>516</v>
      </c>
      <c r="P1434" s="247" t="s">
        <v>1575</v>
      </c>
      <c r="Q1434" s="154" t="str">
        <f t="shared" si="1"/>
        <v>#ERROR!</v>
      </c>
      <c r="R1434" s="154" t="s">
        <v>66</v>
      </c>
      <c r="S1434" s="154" t="s">
        <v>66</v>
      </c>
      <c r="T1434" s="155" t="s">
        <v>64</v>
      </c>
      <c r="U1434" s="155" t="s">
        <v>64</v>
      </c>
      <c r="V1434" s="154" t="s">
        <v>60</v>
      </c>
      <c r="W1434" s="154" t="s">
        <v>60</v>
      </c>
      <c r="X1434" s="154" t="s">
        <v>66</v>
      </c>
      <c r="Y1434" s="155" t="s">
        <v>64</v>
      </c>
      <c r="Z1434" s="154" t="s">
        <v>60</v>
      </c>
      <c r="AA1434" s="154"/>
      <c r="AB1434" s="242" t="str">
        <f t="shared" si="2"/>
        <v>#ERROR!</v>
      </c>
      <c r="AC1434" s="154" t="s">
        <v>391</v>
      </c>
      <c r="AD1434" s="242" t="b">
        <f t="shared" si="3"/>
        <v>0</v>
      </c>
      <c r="AE1434" s="154"/>
      <c r="AF1434" s="242" t="str">
        <f t="shared" si="4"/>
        <v>#ERROR!</v>
      </c>
      <c r="AG1434" s="154"/>
      <c r="AH1434" s="242" t="str">
        <f>IF(AG1434="","N/A",INDIRECT("MTR!"&amp;ADDRESS(MATCH(LEFT(AG1434,9),[1]MTR!C:C,0),COLUMN(J1434)),TRUE) &amp; "")</f>
        <v>#ERROR!</v>
      </c>
      <c r="AI1434" s="157" t="str">
        <f t="shared" si="5"/>
        <v>#ERROR!</v>
      </c>
    </row>
    <row r="1435" ht="12.75" customHeight="1">
      <c r="A1435" s="244" t="s">
        <v>5158</v>
      </c>
      <c r="B1435" s="244" t="s">
        <v>231</v>
      </c>
      <c r="C1435" s="245" t="s">
        <v>10379</v>
      </c>
      <c r="D1435" s="155" t="s">
        <v>542</v>
      </c>
      <c r="E1435" s="155" t="s">
        <v>92</v>
      </c>
      <c r="F1435" s="154" t="str">
        <f t="array" ref="F1435">XLOOKUP(Cover!$D$12,$R$1:$Z$1,$R1435:$Z1435)</f>
        <v>Information</v>
      </c>
      <c r="G1435" s="154" t="s">
        <v>10380</v>
      </c>
      <c r="H1435" s="154" t="s">
        <v>6771</v>
      </c>
      <c r="I1435" s="154" t="s">
        <v>10381</v>
      </c>
      <c r="J1435" s="154" t="s">
        <v>6815</v>
      </c>
      <c r="K1435" s="154" t="s">
        <v>10346</v>
      </c>
      <c r="L1435" s="154" t="s">
        <v>6140</v>
      </c>
      <c r="M1435" s="154"/>
      <c r="N1435" s="154" t="s">
        <v>759</v>
      </c>
      <c r="O1435" s="247" t="s">
        <v>445</v>
      </c>
      <c r="P1435" s="247" t="s">
        <v>6772</v>
      </c>
      <c r="Q1435" s="154" t="str">
        <f t="shared" si="1"/>
        <v>#ERROR!</v>
      </c>
      <c r="R1435" s="154" t="s">
        <v>66</v>
      </c>
      <c r="S1435" s="154" t="s">
        <v>66</v>
      </c>
      <c r="T1435" s="154" t="s">
        <v>66</v>
      </c>
      <c r="U1435" s="154" t="s">
        <v>66</v>
      </c>
      <c r="V1435" s="154" t="s">
        <v>66</v>
      </c>
      <c r="W1435" s="154" t="s">
        <v>66</v>
      </c>
      <c r="X1435" s="154" t="s">
        <v>66</v>
      </c>
      <c r="Y1435" s="154" t="s">
        <v>66</v>
      </c>
      <c r="Z1435" s="154" t="s">
        <v>66</v>
      </c>
      <c r="AA1435" s="154"/>
      <c r="AB1435" s="242" t="str">
        <f t="shared" si="2"/>
        <v>#ERROR!</v>
      </c>
      <c r="AC1435" s="154" t="s">
        <v>391</v>
      </c>
      <c r="AD1435" s="242" t="b">
        <f t="shared" si="3"/>
        <v>0</v>
      </c>
      <c r="AE1435" s="154"/>
      <c r="AF1435" s="242" t="str">
        <f t="shared" si="4"/>
        <v>#ERROR!</v>
      </c>
      <c r="AG1435" s="154"/>
      <c r="AH1435" s="242" t="str">
        <f>IF(AG1435="","N/A",INDIRECT("MTR!"&amp;ADDRESS(MATCH(LEFT(AG1435,9),[1]MTR!C:C,0),COLUMN(J1435)),TRUE) &amp; "")</f>
        <v>#ERROR!</v>
      </c>
      <c r="AI1435" s="157" t="str">
        <f t="shared" si="5"/>
        <v>#ERROR!</v>
      </c>
    </row>
    <row r="1436" ht="12.75" customHeight="1">
      <c r="A1436" s="244" t="s">
        <v>5158</v>
      </c>
      <c r="B1436" s="244" t="s">
        <v>231</v>
      </c>
      <c r="C1436" s="245" t="s">
        <v>10382</v>
      </c>
      <c r="D1436" s="155" t="s">
        <v>542</v>
      </c>
      <c r="E1436" s="155" t="s">
        <v>92</v>
      </c>
      <c r="F1436" s="154" t="str">
        <f t="array" ref="F1436">XLOOKUP(Cover!$D$12,$R$1:$Z$1,$R1436:$Z1436)</f>
        <v>Information</v>
      </c>
      <c r="G1436" s="154" t="s">
        <v>10383</v>
      </c>
      <c r="H1436" s="154" t="s">
        <v>9006</v>
      </c>
      <c r="I1436" s="154" t="s">
        <v>10381</v>
      </c>
      <c r="J1436" s="154" t="s">
        <v>6815</v>
      </c>
      <c r="K1436" s="154" t="s">
        <v>10346</v>
      </c>
      <c r="L1436" s="154" t="s">
        <v>6140</v>
      </c>
      <c r="M1436" s="154"/>
      <c r="N1436" s="154" t="s">
        <v>759</v>
      </c>
      <c r="O1436" s="247" t="s">
        <v>445</v>
      </c>
      <c r="P1436" s="247" t="s">
        <v>6772</v>
      </c>
      <c r="Q1436" s="154" t="str">
        <f t="shared" si="1"/>
        <v>#ERROR!</v>
      </c>
      <c r="R1436" s="154" t="s">
        <v>66</v>
      </c>
      <c r="S1436" s="154" t="s">
        <v>66</v>
      </c>
      <c r="T1436" s="154" t="s">
        <v>66</v>
      </c>
      <c r="U1436" s="154" t="s">
        <v>66</v>
      </c>
      <c r="V1436" s="154" t="s">
        <v>66</v>
      </c>
      <c r="W1436" s="154" t="s">
        <v>66</v>
      </c>
      <c r="X1436" s="154" t="s">
        <v>66</v>
      </c>
      <c r="Y1436" s="154" t="s">
        <v>66</v>
      </c>
      <c r="Z1436" s="154" t="s">
        <v>66</v>
      </c>
      <c r="AA1436" s="154"/>
      <c r="AB1436" s="242" t="str">
        <f t="shared" si="2"/>
        <v>#ERROR!</v>
      </c>
      <c r="AC1436" s="154" t="s">
        <v>391</v>
      </c>
      <c r="AD1436" s="242" t="b">
        <f t="shared" si="3"/>
        <v>0</v>
      </c>
      <c r="AE1436" s="154"/>
      <c r="AF1436" s="242" t="str">
        <f t="shared" si="4"/>
        <v>#ERROR!</v>
      </c>
      <c r="AG1436" s="154"/>
      <c r="AH1436" s="242" t="str">
        <f>IF(AG1436="","N/A",INDIRECT("MTR!"&amp;ADDRESS(MATCH(LEFT(AG1436,9),[1]MTR!C:C,0),COLUMN(J1436)),TRUE) &amp; "")</f>
        <v>#ERROR!</v>
      </c>
      <c r="AI1436" s="157" t="str">
        <f t="shared" si="5"/>
        <v>#ERROR!</v>
      </c>
    </row>
    <row r="1437" ht="12.75" customHeight="1">
      <c r="A1437" s="244" t="s">
        <v>5158</v>
      </c>
      <c r="B1437" s="244" t="s">
        <v>231</v>
      </c>
      <c r="C1437" s="244" t="s">
        <v>10384</v>
      </c>
      <c r="D1437" s="154" t="s">
        <v>542</v>
      </c>
      <c r="E1437" s="154"/>
      <c r="F1437" s="154" t="str">
        <f t="array" ref="F1437">XLOOKUP(Cover!$D$12,$R$1:$Z$1,$R1437:$Z1437)</f>
        <v>Mandatory</v>
      </c>
      <c r="G1437" s="154" t="s">
        <v>10385</v>
      </c>
      <c r="H1437" s="154" t="s">
        <v>6771</v>
      </c>
      <c r="I1437" s="154" t="s">
        <v>10386</v>
      </c>
      <c r="J1437" s="154" t="s">
        <v>6819</v>
      </c>
      <c r="K1437" s="154" t="s">
        <v>10346</v>
      </c>
      <c r="L1437" s="154" t="s">
        <v>6525</v>
      </c>
      <c r="M1437" s="154" t="s">
        <v>175</v>
      </c>
      <c r="N1437" s="154" t="s">
        <v>759</v>
      </c>
      <c r="O1437" s="247" t="s">
        <v>516</v>
      </c>
      <c r="P1437" s="247" t="s">
        <v>6776</v>
      </c>
      <c r="Q1437" s="154" t="str">
        <f t="shared" si="1"/>
        <v>#ERROR!</v>
      </c>
      <c r="R1437" s="154" t="s">
        <v>66</v>
      </c>
      <c r="S1437" s="154" t="s">
        <v>66</v>
      </c>
      <c r="T1437" s="155" t="s">
        <v>64</v>
      </c>
      <c r="U1437" s="155" t="s">
        <v>64</v>
      </c>
      <c r="V1437" s="154" t="s">
        <v>60</v>
      </c>
      <c r="W1437" s="154" t="s">
        <v>60</v>
      </c>
      <c r="X1437" s="154" t="s">
        <v>66</v>
      </c>
      <c r="Y1437" s="155" t="s">
        <v>64</v>
      </c>
      <c r="Z1437" s="154" t="s">
        <v>60</v>
      </c>
      <c r="AA1437" s="154"/>
      <c r="AB1437" s="242" t="str">
        <f t="shared" si="2"/>
        <v>#ERROR!</v>
      </c>
      <c r="AC1437" s="154" t="s">
        <v>391</v>
      </c>
      <c r="AD1437" s="242" t="b">
        <f t="shared" si="3"/>
        <v>0</v>
      </c>
      <c r="AE1437" s="154"/>
      <c r="AF1437" s="242" t="str">
        <f t="shared" si="4"/>
        <v>#ERROR!</v>
      </c>
      <c r="AG1437" s="154"/>
      <c r="AH1437" s="242" t="str">
        <f>IF(AG1437="","N/A",INDIRECT("MTR!"&amp;ADDRESS(MATCH(LEFT(AG1437,9),[1]MTR!C:C,0),COLUMN(J1437)),TRUE) &amp; "")</f>
        <v>#ERROR!</v>
      </c>
      <c r="AI1437" s="157" t="str">
        <f t="shared" si="5"/>
        <v>#ERROR!</v>
      </c>
    </row>
    <row r="1438" ht="12.75" customHeight="1">
      <c r="A1438" s="244" t="s">
        <v>5158</v>
      </c>
      <c r="B1438" s="244" t="s">
        <v>231</v>
      </c>
      <c r="C1438" s="244" t="s">
        <v>10387</v>
      </c>
      <c r="D1438" s="154" t="s">
        <v>542</v>
      </c>
      <c r="E1438" s="154"/>
      <c r="F1438" s="154" t="str">
        <f t="array" ref="F1438">XLOOKUP(Cover!$D$12,$R$1:$Z$1,$R1438:$Z1438)</f>
        <v>Mandatory</v>
      </c>
      <c r="G1438" s="154" t="s">
        <v>10388</v>
      </c>
      <c r="H1438" s="154" t="s">
        <v>9006</v>
      </c>
      <c r="I1438" s="154" t="s">
        <v>10386</v>
      </c>
      <c r="J1438" s="154" t="s">
        <v>6819</v>
      </c>
      <c r="K1438" s="154" t="s">
        <v>10346</v>
      </c>
      <c r="L1438" s="154" t="s">
        <v>6525</v>
      </c>
      <c r="M1438" s="154" t="s">
        <v>175</v>
      </c>
      <c r="N1438" s="154" t="s">
        <v>759</v>
      </c>
      <c r="O1438" s="247" t="s">
        <v>516</v>
      </c>
      <c r="P1438" s="247" t="s">
        <v>6776</v>
      </c>
      <c r="Q1438" s="154" t="str">
        <f t="shared" si="1"/>
        <v>#ERROR!</v>
      </c>
      <c r="R1438" s="154" t="s">
        <v>66</v>
      </c>
      <c r="S1438" s="154" t="s">
        <v>66</v>
      </c>
      <c r="T1438" s="155" t="s">
        <v>64</v>
      </c>
      <c r="U1438" s="155" t="s">
        <v>64</v>
      </c>
      <c r="V1438" s="154" t="s">
        <v>60</v>
      </c>
      <c r="W1438" s="154" t="s">
        <v>60</v>
      </c>
      <c r="X1438" s="154" t="s">
        <v>66</v>
      </c>
      <c r="Y1438" s="155" t="s">
        <v>64</v>
      </c>
      <c r="Z1438" s="154" t="s">
        <v>60</v>
      </c>
      <c r="AA1438" s="154"/>
      <c r="AB1438" s="242" t="str">
        <f t="shared" si="2"/>
        <v>#ERROR!</v>
      </c>
      <c r="AC1438" s="154" t="s">
        <v>391</v>
      </c>
      <c r="AD1438" s="242" t="b">
        <f t="shared" si="3"/>
        <v>0</v>
      </c>
      <c r="AE1438" s="154"/>
      <c r="AF1438" s="242" t="str">
        <f t="shared" si="4"/>
        <v>#ERROR!</v>
      </c>
      <c r="AG1438" s="154"/>
      <c r="AH1438" s="242" t="str">
        <f>IF(AG1438="","N/A",INDIRECT("MTR!"&amp;ADDRESS(MATCH(LEFT(AG1438,9),[1]MTR!C:C,0),COLUMN(J1438)),TRUE) &amp; "")</f>
        <v>#ERROR!</v>
      </c>
      <c r="AI1438" s="157" t="str">
        <f t="shared" si="5"/>
        <v>#ERROR!</v>
      </c>
    </row>
    <row r="1439" ht="12.75" customHeight="1">
      <c r="A1439" s="244" t="s">
        <v>5158</v>
      </c>
      <c r="B1439" s="244" t="s">
        <v>231</v>
      </c>
      <c r="C1439" s="244" t="s">
        <v>10389</v>
      </c>
      <c r="D1439" s="154" t="s">
        <v>542</v>
      </c>
      <c r="E1439" s="154"/>
      <c r="F1439" s="154" t="str">
        <f t="array" ref="F1439">XLOOKUP(Cover!$D$12,$R$1:$Z$1,$R1439:$Z1439)</f>
        <v>Recommended</v>
      </c>
      <c r="G1439" s="154" t="s">
        <v>10390</v>
      </c>
      <c r="H1439" s="154" t="s">
        <v>6775</v>
      </c>
      <c r="I1439" s="154" t="s">
        <v>10386</v>
      </c>
      <c r="J1439" s="154" t="s">
        <v>6819</v>
      </c>
      <c r="K1439" s="154" t="s">
        <v>10346</v>
      </c>
      <c r="L1439" s="154" t="s">
        <v>6525</v>
      </c>
      <c r="M1439" s="154"/>
      <c r="N1439" s="154" t="s">
        <v>759</v>
      </c>
      <c r="O1439" s="247" t="s">
        <v>516</v>
      </c>
      <c r="P1439" s="247" t="s">
        <v>6776</v>
      </c>
      <c r="Q1439" s="154" t="str">
        <f t="shared" si="1"/>
        <v>#ERROR!</v>
      </c>
      <c r="R1439" s="154" t="s">
        <v>66</v>
      </c>
      <c r="S1439" s="154" t="s">
        <v>66</v>
      </c>
      <c r="T1439" s="154" t="s">
        <v>64</v>
      </c>
      <c r="U1439" s="154" t="s">
        <v>64</v>
      </c>
      <c r="V1439" s="154" t="s">
        <v>64</v>
      </c>
      <c r="W1439" s="154" t="s">
        <v>64</v>
      </c>
      <c r="X1439" s="154" t="s">
        <v>66</v>
      </c>
      <c r="Y1439" s="154" t="s">
        <v>64</v>
      </c>
      <c r="Z1439" s="154" t="s">
        <v>64</v>
      </c>
      <c r="AA1439" s="154"/>
      <c r="AB1439" s="242" t="str">
        <f t="shared" si="2"/>
        <v>#ERROR!</v>
      </c>
      <c r="AC1439" s="154" t="s">
        <v>391</v>
      </c>
      <c r="AD1439" s="242" t="b">
        <f t="shared" si="3"/>
        <v>0</v>
      </c>
      <c r="AE1439" s="154"/>
      <c r="AF1439" s="242" t="str">
        <f t="shared" si="4"/>
        <v>#ERROR!</v>
      </c>
      <c r="AG1439" s="154"/>
      <c r="AH1439" s="242" t="str">
        <f>IF(AG1439="","N/A",INDIRECT("MTR!"&amp;ADDRESS(MATCH(LEFT(AG1439,9),[1]MTR!C:C,0),COLUMN(J1439)),TRUE) &amp; "")</f>
        <v>#ERROR!</v>
      </c>
      <c r="AI1439" s="157" t="str">
        <f t="shared" si="5"/>
        <v>#ERROR!</v>
      </c>
    </row>
    <row r="1440" ht="12.75" customHeight="1">
      <c r="A1440" s="244" t="s">
        <v>5158</v>
      </c>
      <c r="B1440" s="244" t="s">
        <v>231</v>
      </c>
      <c r="C1440" s="244" t="s">
        <v>10391</v>
      </c>
      <c r="D1440" s="154" t="s">
        <v>542</v>
      </c>
      <c r="E1440" s="154"/>
      <c r="F1440" s="154" t="str">
        <f t="array" ref="F1440">XLOOKUP(Cover!$D$12,$R$1:$Z$1,$R1440:$Z1440)</f>
        <v>Recommended</v>
      </c>
      <c r="G1440" s="154" t="s">
        <v>10392</v>
      </c>
      <c r="H1440" s="154" t="s">
        <v>9009</v>
      </c>
      <c r="I1440" s="154" t="s">
        <v>10386</v>
      </c>
      <c r="J1440" s="154" t="s">
        <v>6819</v>
      </c>
      <c r="K1440" s="154" t="s">
        <v>10346</v>
      </c>
      <c r="L1440" s="154" t="s">
        <v>6525</v>
      </c>
      <c r="M1440" s="154"/>
      <c r="N1440" s="154" t="s">
        <v>759</v>
      </c>
      <c r="O1440" s="247" t="s">
        <v>516</v>
      </c>
      <c r="P1440" s="247" t="s">
        <v>6776</v>
      </c>
      <c r="Q1440" s="154" t="str">
        <f t="shared" si="1"/>
        <v>#ERROR!</v>
      </c>
      <c r="R1440" s="154" t="s">
        <v>66</v>
      </c>
      <c r="S1440" s="154" t="s">
        <v>66</v>
      </c>
      <c r="T1440" s="154" t="s">
        <v>64</v>
      </c>
      <c r="U1440" s="154" t="s">
        <v>64</v>
      </c>
      <c r="V1440" s="154" t="s">
        <v>64</v>
      </c>
      <c r="W1440" s="154" t="s">
        <v>64</v>
      </c>
      <c r="X1440" s="154" t="s">
        <v>66</v>
      </c>
      <c r="Y1440" s="154" t="s">
        <v>64</v>
      </c>
      <c r="Z1440" s="154" t="s">
        <v>64</v>
      </c>
      <c r="AA1440" s="154"/>
      <c r="AB1440" s="242" t="str">
        <f t="shared" si="2"/>
        <v>#ERROR!</v>
      </c>
      <c r="AC1440" s="154" t="s">
        <v>391</v>
      </c>
      <c r="AD1440" s="242" t="b">
        <f t="shared" si="3"/>
        <v>0</v>
      </c>
      <c r="AE1440" s="154"/>
      <c r="AF1440" s="242" t="str">
        <f t="shared" si="4"/>
        <v>#ERROR!</v>
      </c>
      <c r="AG1440" s="154"/>
      <c r="AH1440" s="242" t="str">
        <f>IF(AG1440="","N/A",INDIRECT("MTR!"&amp;ADDRESS(MATCH(LEFT(AG1440,9),[1]MTR!C:C,0),COLUMN(J1440)),TRUE) &amp; "")</f>
        <v>#ERROR!</v>
      </c>
      <c r="AI1440" s="157" t="str">
        <f t="shared" si="5"/>
        <v>#ERROR!</v>
      </c>
    </row>
    <row r="1441" ht="12.75" customHeight="1">
      <c r="A1441" s="244" t="s">
        <v>5158</v>
      </c>
      <c r="B1441" s="244" t="s">
        <v>231</v>
      </c>
      <c r="C1441" s="244" t="s">
        <v>10393</v>
      </c>
      <c r="D1441" s="154" t="s">
        <v>781</v>
      </c>
      <c r="E1441" s="154"/>
      <c r="F1441" s="154" t="str">
        <f t="array" ref="F1441">XLOOKUP(Cover!$D$12,$R$1:$Z$1,$R1441:$Z1441)</f>
        <v>Mandatory</v>
      </c>
      <c r="G1441" s="154" t="s">
        <v>10394</v>
      </c>
      <c r="H1441" s="154" t="s">
        <v>6771</v>
      </c>
      <c r="I1441" s="154" t="s">
        <v>10395</v>
      </c>
      <c r="J1441" s="154" t="s">
        <v>6826</v>
      </c>
      <c r="K1441" s="154" t="s">
        <v>10346</v>
      </c>
      <c r="L1441" s="154" t="s">
        <v>6140</v>
      </c>
      <c r="M1441" s="154" t="s">
        <v>175</v>
      </c>
      <c r="N1441" s="154" t="s">
        <v>759</v>
      </c>
      <c r="O1441" s="247" t="s">
        <v>516</v>
      </c>
      <c r="P1441" s="247" t="s">
        <v>6776</v>
      </c>
      <c r="Q1441" s="154" t="str">
        <f t="shared" si="1"/>
        <v>#ERROR!</v>
      </c>
      <c r="R1441" s="154" t="s">
        <v>66</v>
      </c>
      <c r="S1441" s="154" t="s">
        <v>66</v>
      </c>
      <c r="T1441" s="155" t="s">
        <v>64</v>
      </c>
      <c r="U1441" s="155" t="s">
        <v>64</v>
      </c>
      <c r="V1441" s="154" t="s">
        <v>60</v>
      </c>
      <c r="W1441" s="154" t="s">
        <v>60</v>
      </c>
      <c r="X1441" s="154" t="s">
        <v>66</v>
      </c>
      <c r="Y1441" s="155" t="s">
        <v>64</v>
      </c>
      <c r="Z1441" s="154" t="s">
        <v>60</v>
      </c>
      <c r="AA1441" s="154"/>
      <c r="AB1441" s="242" t="str">
        <f t="shared" si="2"/>
        <v>#ERROR!</v>
      </c>
      <c r="AC1441" s="154" t="s">
        <v>391</v>
      </c>
      <c r="AD1441" s="242" t="b">
        <f t="shared" si="3"/>
        <v>0</v>
      </c>
      <c r="AE1441" s="154"/>
      <c r="AF1441" s="242" t="str">
        <f t="shared" si="4"/>
        <v>#ERROR!</v>
      </c>
      <c r="AG1441" s="154"/>
      <c r="AH1441" s="242" t="str">
        <f>IF(AG1441="","N/A",INDIRECT("MTR!"&amp;ADDRESS(MATCH(LEFT(AG1441,9),[1]MTR!C:C,0),COLUMN(J1441)),TRUE) &amp; "")</f>
        <v>#ERROR!</v>
      </c>
      <c r="AI1441" s="157" t="str">
        <f t="shared" si="5"/>
        <v>#ERROR!</v>
      </c>
    </row>
    <row r="1442" ht="12.75" customHeight="1">
      <c r="A1442" s="244" t="s">
        <v>5158</v>
      </c>
      <c r="B1442" s="244" t="s">
        <v>231</v>
      </c>
      <c r="C1442" s="244" t="s">
        <v>10396</v>
      </c>
      <c r="D1442" s="154" t="s">
        <v>781</v>
      </c>
      <c r="E1442" s="154"/>
      <c r="F1442" s="154" t="str">
        <f t="array" ref="F1442">XLOOKUP(Cover!$D$12,$R$1:$Z$1,$R1442:$Z1442)</f>
        <v>Mandatory</v>
      </c>
      <c r="G1442" s="154" t="s">
        <v>10397</v>
      </c>
      <c r="H1442" s="154" t="s">
        <v>9006</v>
      </c>
      <c r="I1442" s="154" t="s">
        <v>10395</v>
      </c>
      <c r="J1442" s="154" t="s">
        <v>6826</v>
      </c>
      <c r="K1442" s="154" t="s">
        <v>10346</v>
      </c>
      <c r="L1442" s="154" t="s">
        <v>6140</v>
      </c>
      <c r="M1442" s="154" t="s">
        <v>175</v>
      </c>
      <c r="N1442" s="154" t="s">
        <v>759</v>
      </c>
      <c r="O1442" s="247" t="s">
        <v>516</v>
      </c>
      <c r="P1442" s="247" t="s">
        <v>6776</v>
      </c>
      <c r="Q1442" s="154" t="str">
        <f t="shared" si="1"/>
        <v>#ERROR!</v>
      </c>
      <c r="R1442" s="154" t="s">
        <v>66</v>
      </c>
      <c r="S1442" s="154" t="s">
        <v>66</v>
      </c>
      <c r="T1442" s="155" t="s">
        <v>64</v>
      </c>
      <c r="U1442" s="155" t="s">
        <v>64</v>
      </c>
      <c r="V1442" s="154" t="s">
        <v>60</v>
      </c>
      <c r="W1442" s="154" t="s">
        <v>60</v>
      </c>
      <c r="X1442" s="154" t="s">
        <v>66</v>
      </c>
      <c r="Y1442" s="155" t="s">
        <v>64</v>
      </c>
      <c r="Z1442" s="154" t="s">
        <v>60</v>
      </c>
      <c r="AA1442" s="154"/>
      <c r="AB1442" s="242" t="str">
        <f t="shared" si="2"/>
        <v>#ERROR!</v>
      </c>
      <c r="AC1442" s="154" t="s">
        <v>391</v>
      </c>
      <c r="AD1442" s="242" t="b">
        <f t="shared" si="3"/>
        <v>0</v>
      </c>
      <c r="AE1442" s="154"/>
      <c r="AF1442" s="242" t="str">
        <f t="shared" si="4"/>
        <v>#ERROR!</v>
      </c>
      <c r="AG1442" s="154"/>
      <c r="AH1442" s="242" t="str">
        <f>IF(AG1442="","N/A",INDIRECT("MTR!"&amp;ADDRESS(MATCH(LEFT(AG1442,9),[1]MTR!C:C,0),COLUMN(J1442)),TRUE) &amp; "")</f>
        <v>#ERROR!</v>
      </c>
      <c r="AI1442" s="157" t="str">
        <f t="shared" si="5"/>
        <v>#ERROR!</v>
      </c>
    </row>
    <row r="1443" ht="12.75" customHeight="1">
      <c r="A1443" s="244" t="s">
        <v>5158</v>
      </c>
      <c r="B1443" s="244" t="s">
        <v>231</v>
      </c>
      <c r="C1443" s="244" t="s">
        <v>10398</v>
      </c>
      <c r="D1443" s="154" t="s">
        <v>781</v>
      </c>
      <c r="E1443" s="154"/>
      <c r="F1443" s="154" t="str">
        <f t="array" ref="F1443">XLOOKUP(Cover!$D$12,$R$1:$Z$1,$R1443:$Z1443)</f>
        <v>Recommended</v>
      </c>
      <c r="G1443" s="154" t="s">
        <v>10399</v>
      </c>
      <c r="H1443" s="154" t="s">
        <v>6779</v>
      </c>
      <c r="I1443" s="154" t="s">
        <v>10395</v>
      </c>
      <c r="J1443" s="154" t="s">
        <v>6826</v>
      </c>
      <c r="K1443" s="154" t="s">
        <v>10346</v>
      </c>
      <c r="L1443" s="154" t="s">
        <v>6140</v>
      </c>
      <c r="M1443" s="154"/>
      <c r="N1443" s="154" t="s">
        <v>759</v>
      </c>
      <c r="O1443" s="247" t="s">
        <v>516</v>
      </c>
      <c r="P1443" s="247" t="s">
        <v>6776</v>
      </c>
      <c r="Q1443" s="154" t="str">
        <f t="shared" si="1"/>
        <v>#ERROR!</v>
      </c>
      <c r="R1443" s="154" t="s">
        <v>66</v>
      </c>
      <c r="S1443" s="154" t="s">
        <v>66</v>
      </c>
      <c r="T1443" s="154" t="s">
        <v>64</v>
      </c>
      <c r="U1443" s="154" t="s">
        <v>64</v>
      </c>
      <c r="V1443" s="154" t="s">
        <v>64</v>
      </c>
      <c r="W1443" s="154" t="s">
        <v>64</v>
      </c>
      <c r="X1443" s="154" t="s">
        <v>66</v>
      </c>
      <c r="Y1443" s="154" t="s">
        <v>64</v>
      </c>
      <c r="Z1443" s="154" t="s">
        <v>64</v>
      </c>
      <c r="AA1443" s="154"/>
      <c r="AB1443" s="242" t="str">
        <f t="shared" si="2"/>
        <v>#ERROR!</v>
      </c>
      <c r="AC1443" s="154" t="s">
        <v>391</v>
      </c>
      <c r="AD1443" s="242" t="b">
        <f t="shared" si="3"/>
        <v>0</v>
      </c>
      <c r="AE1443" s="154"/>
      <c r="AF1443" s="242" t="str">
        <f t="shared" si="4"/>
        <v>#ERROR!</v>
      </c>
      <c r="AG1443" s="154"/>
      <c r="AH1443" s="242" t="str">
        <f>IF(AG1443="","N/A",INDIRECT("MTR!"&amp;ADDRESS(MATCH(LEFT(AG1443,9),[1]MTR!C:C,0),COLUMN(J1443)),TRUE) &amp; "")</f>
        <v>#ERROR!</v>
      </c>
      <c r="AI1443" s="157" t="str">
        <f t="shared" si="5"/>
        <v>#ERROR!</v>
      </c>
    </row>
    <row r="1444" ht="12.75" customHeight="1">
      <c r="A1444" s="244" t="s">
        <v>5158</v>
      </c>
      <c r="B1444" s="244" t="s">
        <v>231</v>
      </c>
      <c r="C1444" s="244" t="s">
        <v>10400</v>
      </c>
      <c r="D1444" s="154" t="s">
        <v>781</v>
      </c>
      <c r="E1444" s="154"/>
      <c r="F1444" s="154" t="str">
        <f t="array" ref="F1444">XLOOKUP(Cover!$D$12,$R$1:$Z$1,$R1444:$Z1444)</f>
        <v>Recommended</v>
      </c>
      <c r="G1444" s="154" t="s">
        <v>10401</v>
      </c>
      <c r="H1444" s="154" t="s">
        <v>9012</v>
      </c>
      <c r="I1444" s="154" t="s">
        <v>10395</v>
      </c>
      <c r="J1444" s="154" t="s">
        <v>6826</v>
      </c>
      <c r="K1444" s="154" t="s">
        <v>10346</v>
      </c>
      <c r="L1444" s="154" t="s">
        <v>6140</v>
      </c>
      <c r="M1444" s="154"/>
      <c r="N1444" s="154" t="s">
        <v>759</v>
      </c>
      <c r="O1444" s="247" t="s">
        <v>516</v>
      </c>
      <c r="P1444" s="247" t="s">
        <v>6776</v>
      </c>
      <c r="Q1444" s="154" t="str">
        <f t="shared" si="1"/>
        <v>#ERROR!</v>
      </c>
      <c r="R1444" s="154" t="s">
        <v>66</v>
      </c>
      <c r="S1444" s="154" t="s">
        <v>66</v>
      </c>
      <c r="T1444" s="154" t="s">
        <v>64</v>
      </c>
      <c r="U1444" s="154" t="s">
        <v>64</v>
      </c>
      <c r="V1444" s="154" t="s">
        <v>64</v>
      </c>
      <c r="W1444" s="154" t="s">
        <v>64</v>
      </c>
      <c r="X1444" s="154" t="s">
        <v>66</v>
      </c>
      <c r="Y1444" s="154" t="s">
        <v>64</v>
      </c>
      <c r="Z1444" s="154" t="s">
        <v>64</v>
      </c>
      <c r="AA1444" s="154"/>
      <c r="AB1444" s="242" t="str">
        <f t="shared" si="2"/>
        <v>#ERROR!</v>
      </c>
      <c r="AC1444" s="154" t="s">
        <v>391</v>
      </c>
      <c r="AD1444" s="242" t="b">
        <f t="shared" si="3"/>
        <v>0</v>
      </c>
      <c r="AE1444" s="154"/>
      <c r="AF1444" s="242" t="str">
        <f t="shared" si="4"/>
        <v>#ERROR!</v>
      </c>
      <c r="AG1444" s="154"/>
      <c r="AH1444" s="242" t="str">
        <f>IF(AG1444="","N/A",INDIRECT("MTR!"&amp;ADDRESS(MATCH(LEFT(AG1444,9),[1]MTR!C:C,0),COLUMN(J1444)),TRUE) &amp; "")</f>
        <v>#ERROR!</v>
      </c>
      <c r="AI1444" s="157" t="str">
        <f t="shared" si="5"/>
        <v>#ERROR!</v>
      </c>
    </row>
    <row r="1445" ht="12.75" customHeight="1">
      <c r="A1445" s="244" t="s">
        <v>5158</v>
      </c>
      <c r="B1445" s="244" t="s">
        <v>231</v>
      </c>
      <c r="C1445" s="244" t="s">
        <v>10402</v>
      </c>
      <c r="D1445" s="154" t="s">
        <v>861</v>
      </c>
      <c r="E1445" s="154"/>
      <c r="F1445" s="154" t="str">
        <f t="array" ref="F1445">XLOOKUP(Cover!$D$12,$R$1:$Z$1,$R1445:$Z1445)</f>
        <v>Mandatory</v>
      </c>
      <c r="G1445" s="154" t="s">
        <v>10403</v>
      </c>
      <c r="H1445" s="154" t="s">
        <v>6771</v>
      </c>
      <c r="I1445" s="154" t="s">
        <v>10404</v>
      </c>
      <c r="J1445" s="154" t="s">
        <v>6832</v>
      </c>
      <c r="K1445" s="154" t="s">
        <v>10346</v>
      </c>
      <c r="L1445" s="154" t="s">
        <v>6428</v>
      </c>
      <c r="M1445" s="154" t="s">
        <v>175</v>
      </c>
      <c r="N1445" s="154" t="s">
        <v>759</v>
      </c>
      <c r="O1445" s="247" t="s">
        <v>516</v>
      </c>
      <c r="P1445" s="247" t="s">
        <v>6776</v>
      </c>
      <c r="Q1445" s="154" t="str">
        <f t="shared" si="1"/>
        <v>#ERROR!</v>
      </c>
      <c r="R1445" s="154" t="s">
        <v>66</v>
      </c>
      <c r="S1445" s="154" t="s">
        <v>66</v>
      </c>
      <c r="T1445" s="155" t="s">
        <v>64</v>
      </c>
      <c r="U1445" s="155" t="s">
        <v>64</v>
      </c>
      <c r="V1445" s="154" t="s">
        <v>60</v>
      </c>
      <c r="W1445" s="154" t="s">
        <v>60</v>
      </c>
      <c r="X1445" s="154" t="s">
        <v>66</v>
      </c>
      <c r="Y1445" s="155" t="s">
        <v>64</v>
      </c>
      <c r="Z1445" s="154" t="s">
        <v>60</v>
      </c>
      <c r="AA1445" s="154"/>
      <c r="AB1445" s="242" t="str">
        <f t="shared" si="2"/>
        <v>#ERROR!</v>
      </c>
      <c r="AC1445" s="154" t="s">
        <v>391</v>
      </c>
      <c r="AD1445" s="242" t="b">
        <f t="shared" si="3"/>
        <v>0</v>
      </c>
      <c r="AE1445" s="154"/>
      <c r="AF1445" s="242" t="str">
        <f t="shared" si="4"/>
        <v>#ERROR!</v>
      </c>
      <c r="AG1445" s="154"/>
      <c r="AH1445" s="242" t="str">
        <f>IF(AG1445="","N/A",INDIRECT("MTR!"&amp;ADDRESS(MATCH(LEFT(AG1445,9),[1]MTR!C:C,0),COLUMN(J1445)),TRUE) &amp; "")</f>
        <v>#ERROR!</v>
      </c>
      <c r="AI1445" s="157" t="str">
        <f t="shared" si="5"/>
        <v>#ERROR!</v>
      </c>
    </row>
    <row r="1446" ht="12.75" customHeight="1">
      <c r="A1446" s="244" t="s">
        <v>5158</v>
      </c>
      <c r="B1446" s="244" t="s">
        <v>231</v>
      </c>
      <c r="C1446" s="244" t="s">
        <v>10405</v>
      </c>
      <c r="D1446" s="154" t="s">
        <v>861</v>
      </c>
      <c r="E1446" s="154"/>
      <c r="F1446" s="154" t="str">
        <f t="array" ref="F1446">XLOOKUP(Cover!$D$12,$R$1:$Z$1,$R1446:$Z1446)</f>
        <v>Mandatory</v>
      </c>
      <c r="G1446" s="154" t="s">
        <v>10406</v>
      </c>
      <c r="H1446" s="154" t="s">
        <v>9006</v>
      </c>
      <c r="I1446" s="154" t="s">
        <v>10404</v>
      </c>
      <c r="J1446" s="154" t="s">
        <v>6832</v>
      </c>
      <c r="K1446" s="154" t="s">
        <v>10346</v>
      </c>
      <c r="L1446" s="154" t="s">
        <v>6428</v>
      </c>
      <c r="M1446" s="154" t="s">
        <v>175</v>
      </c>
      <c r="N1446" s="154" t="s">
        <v>759</v>
      </c>
      <c r="O1446" s="247" t="s">
        <v>516</v>
      </c>
      <c r="P1446" s="247" t="s">
        <v>6776</v>
      </c>
      <c r="Q1446" s="154" t="str">
        <f t="shared" si="1"/>
        <v>#ERROR!</v>
      </c>
      <c r="R1446" s="154" t="s">
        <v>66</v>
      </c>
      <c r="S1446" s="154" t="s">
        <v>66</v>
      </c>
      <c r="T1446" s="155" t="s">
        <v>64</v>
      </c>
      <c r="U1446" s="155" t="s">
        <v>64</v>
      </c>
      <c r="V1446" s="154" t="s">
        <v>60</v>
      </c>
      <c r="W1446" s="154" t="s">
        <v>60</v>
      </c>
      <c r="X1446" s="154" t="s">
        <v>66</v>
      </c>
      <c r="Y1446" s="155" t="s">
        <v>64</v>
      </c>
      <c r="Z1446" s="154" t="s">
        <v>60</v>
      </c>
      <c r="AA1446" s="154"/>
      <c r="AB1446" s="242" t="str">
        <f t="shared" si="2"/>
        <v>#ERROR!</v>
      </c>
      <c r="AC1446" s="154" t="s">
        <v>391</v>
      </c>
      <c r="AD1446" s="242" t="b">
        <f t="shared" si="3"/>
        <v>0</v>
      </c>
      <c r="AE1446" s="154"/>
      <c r="AF1446" s="242" t="str">
        <f t="shared" si="4"/>
        <v>#ERROR!</v>
      </c>
      <c r="AG1446" s="154"/>
      <c r="AH1446" s="242" t="str">
        <f>IF(AG1446="","N/A",INDIRECT("MTR!"&amp;ADDRESS(MATCH(LEFT(AG1446,9),[1]MTR!C:C,0),COLUMN(J1446)),TRUE) &amp; "")</f>
        <v>#ERROR!</v>
      </c>
      <c r="AI1446" s="157" t="str">
        <f t="shared" si="5"/>
        <v>#ERROR!</v>
      </c>
    </row>
    <row r="1447" ht="12.75" customHeight="1">
      <c r="A1447" s="244" t="s">
        <v>5158</v>
      </c>
      <c r="B1447" s="244" t="s">
        <v>231</v>
      </c>
      <c r="C1447" s="244" t="s">
        <v>10407</v>
      </c>
      <c r="D1447" s="154" t="s">
        <v>861</v>
      </c>
      <c r="E1447" s="154"/>
      <c r="F1447" s="154" t="str">
        <f t="array" ref="F1447">XLOOKUP(Cover!$D$12,$R$1:$Z$1,$R1447:$Z1447)</f>
        <v>Mandatory</v>
      </c>
      <c r="G1447" s="154" t="s">
        <v>10408</v>
      </c>
      <c r="H1447" s="154" t="s">
        <v>6782</v>
      </c>
      <c r="I1447" s="154" t="s">
        <v>10404</v>
      </c>
      <c r="J1447" s="154" t="s">
        <v>6832</v>
      </c>
      <c r="K1447" s="154" t="s">
        <v>10346</v>
      </c>
      <c r="L1447" s="154" t="s">
        <v>6428</v>
      </c>
      <c r="M1447" s="154" t="s">
        <v>175</v>
      </c>
      <c r="N1447" s="154" t="s">
        <v>759</v>
      </c>
      <c r="O1447" s="247" t="s">
        <v>516</v>
      </c>
      <c r="P1447" s="247" t="s">
        <v>6776</v>
      </c>
      <c r="Q1447" s="154" t="str">
        <f t="shared" si="1"/>
        <v>#ERROR!</v>
      </c>
      <c r="R1447" s="154" t="s">
        <v>66</v>
      </c>
      <c r="S1447" s="154" t="s">
        <v>66</v>
      </c>
      <c r="T1447" s="155" t="s">
        <v>64</v>
      </c>
      <c r="U1447" s="155" t="s">
        <v>64</v>
      </c>
      <c r="V1447" s="154" t="s">
        <v>60</v>
      </c>
      <c r="W1447" s="154" t="s">
        <v>60</v>
      </c>
      <c r="X1447" s="154" t="s">
        <v>66</v>
      </c>
      <c r="Y1447" s="155" t="s">
        <v>64</v>
      </c>
      <c r="Z1447" s="154" t="s">
        <v>60</v>
      </c>
      <c r="AA1447" s="154"/>
      <c r="AB1447" s="242" t="str">
        <f t="shared" si="2"/>
        <v>#ERROR!</v>
      </c>
      <c r="AC1447" s="154" t="s">
        <v>391</v>
      </c>
      <c r="AD1447" s="242" t="b">
        <f t="shared" si="3"/>
        <v>0</v>
      </c>
      <c r="AE1447" s="154"/>
      <c r="AF1447" s="242" t="str">
        <f t="shared" si="4"/>
        <v>#ERROR!</v>
      </c>
      <c r="AG1447" s="154"/>
      <c r="AH1447" s="242" t="str">
        <f>IF(AG1447="","N/A",INDIRECT("MTR!"&amp;ADDRESS(MATCH(LEFT(AG1447,9),[1]MTR!C:C,0),COLUMN(J1447)),TRUE) &amp; "")</f>
        <v>#ERROR!</v>
      </c>
      <c r="AI1447" s="157" t="str">
        <f t="shared" si="5"/>
        <v>#ERROR!</v>
      </c>
    </row>
    <row r="1448" ht="12.75" customHeight="1">
      <c r="A1448" s="244" t="s">
        <v>5158</v>
      </c>
      <c r="B1448" s="244" t="s">
        <v>231</v>
      </c>
      <c r="C1448" s="244" t="s">
        <v>10409</v>
      </c>
      <c r="D1448" s="154" t="s">
        <v>861</v>
      </c>
      <c r="E1448" s="154"/>
      <c r="F1448" s="154" t="str">
        <f t="array" ref="F1448">XLOOKUP(Cover!$D$12,$R$1:$Z$1,$R1448:$Z1448)</f>
        <v>Mandatory</v>
      </c>
      <c r="G1448" s="154" t="s">
        <v>10410</v>
      </c>
      <c r="H1448" s="154" t="s">
        <v>9015</v>
      </c>
      <c r="I1448" s="154" t="s">
        <v>10404</v>
      </c>
      <c r="J1448" s="154" t="s">
        <v>6832</v>
      </c>
      <c r="K1448" s="154" t="s">
        <v>10346</v>
      </c>
      <c r="L1448" s="154" t="s">
        <v>6428</v>
      </c>
      <c r="M1448" s="154" t="s">
        <v>175</v>
      </c>
      <c r="N1448" s="154" t="s">
        <v>759</v>
      </c>
      <c r="O1448" s="247" t="s">
        <v>516</v>
      </c>
      <c r="P1448" s="247" t="s">
        <v>6776</v>
      </c>
      <c r="Q1448" s="154" t="str">
        <f t="shared" si="1"/>
        <v>#ERROR!</v>
      </c>
      <c r="R1448" s="154" t="s">
        <v>66</v>
      </c>
      <c r="S1448" s="154" t="s">
        <v>66</v>
      </c>
      <c r="T1448" s="155" t="s">
        <v>64</v>
      </c>
      <c r="U1448" s="155" t="s">
        <v>64</v>
      </c>
      <c r="V1448" s="154" t="s">
        <v>60</v>
      </c>
      <c r="W1448" s="154" t="s">
        <v>60</v>
      </c>
      <c r="X1448" s="154" t="s">
        <v>66</v>
      </c>
      <c r="Y1448" s="155" t="s">
        <v>64</v>
      </c>
      <c r="Z1448" s="154" t="s">
        <v>60</v>
      </c>
      <c r="AA1448" s="154"/>
      <c r="AB1448" s="242" t="str">
        <f t="shared" si="2"/>
        <v>#ERROR!</v>
      </c>
      <c r="AC1448" s="154" t="s">
        <v>391</v>
      </c>
      <c r="AD1448" s="242" t="b">
        <f t="shared" si="3"/>
        <v>0</v>
      </c>
      <c r="AE1448" s="154"/>
      <c r="AF1448" s="242" t="str">
        <f t="shared" si="4"/>
        <v>#ERROR!</v>
      </c>
      <c r="AG1448" s="154"/>
      <c r="AH1448" s="242" t="str">
        <f>IF(AG1448="","N/A",INDIRECT("MTR!"&amp;ADDRESS(MATCH(LEFT(AG1448,9),[1]MTR!C:C,0),COLUMN(J1448)),TRUE) &amp; "")</f>
        <v>#ERROR!</v>
      </c>
      <c r="AI1448" s="157" t="str">
        <f t="shared" si="5"/>
        <v>#ERROR!</v>
      </c>
    </row>
    <row r="1449" ht="12.75" customHeight="1">
      <c r="A1449" s="244" t="s">
        <v>5158</v>
      </c>
      <c r="B1449" s="244" t="s">
        <v>231</v>
      </c>
      <c r="C1449" s="244" t="s">
        <v>10411</v>
      </c>
      <c r="D1449" s="154" t="s">
        <v>1315</v>
      </c>
      <c r="E1449" s="154"/>
      <c r="F1449" s="154" t="str">
        <f t="array" ref="F1449">XLOOKUP(Cover!$D$12,$R$1:$Z$1,$R1449:$Z1449)</f>
        <v>Recommended</v>
      </c>
      <c r="G1449" s="154" t="s">
        <v>10412</v>
      </c>
      <c r="H1449" s="154" t="s">
        <v>6771</v>
      </c>
      <c r="I1449" s="154" t="s">
        <v>10413</v>
      </c>
      <c r="J1449" s="154" t="s">
        <v>6838</v>
      </c>
      <c r="K1449" s="154" t="s">
        <v>10346</v>
      </c>
      <c r="L1449" s="154" t="s">
        <v>6022</v>
      </c>
      <c r="M1449" s="154"/>
      <c r="N1449" s="154" t="s">
        <v>759</v>
      </c>
      <c r="O1449" s="247" t="s">
        <v>516</v>
      </c>
      <c r="P1449" s="247" t="s">
        <v>6776</v>
      </c>
      <c r="Q1449" s="154" t="str">
        <f t="shared" si="1"/>
        <v>#ERROR!</v>
      </c>
      <c r="R1449" s="154" t="s">
        <v>66</v>
      </c>
      <c r="S1449" s="154" t="s">
        <v>66</v>
      </c>
      <c r="T1449" s="154" t="s">
        <v>64</v>
      </c>
      <c r="U1449" s="154" t="s">
        <v>64</v>
      </c>
      <c r="V1449" s="154" t="s">
        <v>64</v>
      </c>
      <c r="W1449" s="154" t="s">
        <v>64</v>
      </c>
      <c r="X1449" s="154" t="s">
        <v>66</v>
      </c>
      <c r="Y1449" s="154" t="s">
        <v>64</v>
      </c>
      <c r="Z1449" s="154" t="s">
        <v>64</v>
      </c>
      <c r="AA1449" s="154"/>
      <c r="AB1449" s="242" t="str">
        <f t="shared" si="2"/>
        <v>#ERROR!</v>
      </c>
      <c r="AC1449" s="154" t="s">
        <v>391</v>
      </c>
      <c r="AD1449" s="242" t="b">
        <f t="shared" si="3"/>
        <v>0</v>
      </c>
      <c r="AE1449" s="154"/>
      <c r="AF1449" s="242" t="str">
        <f t="shared" si="4"/>
        <v>#ERROR!</v>
      </c>
      <c r="AG1449" s="154"/>
      <c r="AH1449" s="242" t="str">
        <f>IF(AG1449="","N/A",INDIRECT("MTR!"&amp;ADDRESS(MATCH(LEFT(AG1449,9),[1]MTR!C:C,0),COLUMN(J1449)),TRUE) &amp; "")</f>
        <v>#ERROR!</v>
      </c>
      <c r="AI1449" s="157" t="str">
        <f t="shared" si="5"/>
        <v>#ERROR!</v>
      </c>
    </row>
    <row r="1450" ht="12.75" customHeight="1">
      <c r="A1450" s="244" t="s">
        <v>5158</v>
      </c>
      <c r="B1450" s="244" t="s">
        <v>231</v>
      </c>
      <c r="C1450" s="244" t="s">
        <v>10414</v>
      </c>
      <c r="D1450" s="154" t="s">
        <v>1315</v>
      </c>
      <c r="E1450" s="154"/>
      <c r="F1450" s="154" t="str">
        <f t="array" ref="F1450">XLOOKUP(Cover!$D$12,$R$1:$Z$1,$R1450:$Z1450)</f>
        <v>Recommended</v>
      </c>
      <c r="G1450" s="154" t="s">
        <v>10415</v>
      </c>
      <c r="H1450" s="154" t="s">
        <v>6785</v>
      </c>
      <c r="I1450" s="154" t="s">
        <v>10413</v>
      </c>
      <c r="J1450" s="154" t="s">
        <v>6838</v>
      </c>
      <c r="K1450" s="154" t="s">
        <v>10346</v>
      </c>
      <c r="L1450" s="154" t="s">
        <v>6022</v>
      </c>
      <c r="M1450" s="154"/>
      <c r="N1450" s="154" t="s">
        <v>759</v>
      </c>
      <c r="O1450" s="247" t="s">
        <v>516</v>
      </c>
      <c r="P1450" s="247" t="s">
        <v>6776</v>
      </c>
      <c r="Q1450" s="154" t="str">
        <f t="shared" si="1"/>
        <v>#ERROR!</v>
      </c>
      <c r="R1450" s="154" t="s">
        <v>66</v>
      </c>
      <c r="S1450" s="154" t="s">
        <v>66</v>
      </c>
      <c r="T1450" s="154" t="s">
        <v>64</v>
      </c>
      <c r="U1450" s="154" t="s">
        <v>64</v>
      </c>
      <c r="V1450" s="154" t="s">
        <v>64</v>
      </c>
      <c r="W1450" s="154" t="s">
        <v>64</v>
      </c>
      <c r="X1450" s="154" t="s">
        <v>66</v>
      </c>
      <c r="Y1450" s="154" t="s">
        <v>64</v>
      </c>
      <c r="Z1450" s="154" t="s">
        <v>64</v>
      </c>
      <c r="AA1450" s="154"/>
      <c r="AB1450" s="242" t="str">
        <f t="shared" si="2"/>
        <v>#ERROR!</v>
      </c>
      <c r="AC1450" s="154" t="s">
        <v>391</v>
      </c>
      <c r="AD1450" s="242" t="b">
        <f t="shared" si="3"/>
        <v>0</v>
      </c>
      <c r="AE1450" s="154"/>
      <c r="AF1450" s="242" t="str">
        <f t="shared" si="4"/>
        <v>#ERROR!</v>
      </c>
      <c r="AG1450" s="154"/>
      <c r="AH1450" s="242" t="str">
        <f>IF(AG1450="","N/A",INDIRECT("MTR!"&amp;ADDRESS(MATCH(LEFT(AG1450,9),[1]MTR!C:C,0),COLUMN(J1450)),TRUE) &amp; "")</f>
        <v>#ERROR!</v>
      </c>
      <c r="AI1450" s="157" t="str">
        <f t="shared" si="5"/>
        <v>#ERROR!</v>
      </c>
    </row>
    <row r="1451" ht="12.75" customHeight="1">
      <c r="A1451" s="244" t="s">
        <v>5158</v>
      </c>
      <c r="B1451" s="244" t="s">
        <v>231</v>
      </c>
      <c r="C1451" s="244" t="s">
        <v>10416</v>
      </c>
      <c r="D1451" s="154" t="s">
        <v>1315</v>
      </c>
      <c r="E1451" s="154"/>
      <c r="F1451" s="154" t="str">
        <f t="array" ref="F1451">XLOOKUP(Cover!$D$12,$R$1:$Z$1,$R1451:$Z1451)</f>
        <v>Recommended</v>
      </c>
      <c r="G1451" s="154" t="s">
        <v>10417</v>
      </c>
      <c r="H1451" s="154" t="s">
        <v>9006</v>
      </c>
      <c r="I1451" s="154" t="s">
        <v>10413</v>
      </c>
      <c r="J1451" s="154" t="s">
        <v>6838</v>
      </c>
      <c r="K1451" s="154" t="s">
        <v>10346</v>
      </c>
      <c r="L1451" s="154" t="s">
        <v>6022</v>
      </c>
      <c r="M1451" s="154"/>
      <c r="N1451" s="154" t="s">
        <v>759</v>
      </c>
      <c r="O1451" s="247" t="s">
        <v>516</v>
      </c>
      <c r="P1451" s="247" t="s">
        <v>6776</v>
      </c>
      <c r="Q1451" s="154" t="str">
        <f t="shared" si="1"/>
        <v>#ERROR!</v>
      </c>
      <c r="R1451" s="154" t="s">
        <v>66</v>
      </c>
      <c r="S1451" s="154" t="s">
        <v>66</v>
      </c>
      <c r="T1451" s="154" t="s">
        <v>64</v>
      </c>
      <c r="U1451" s="154" t="s">
        <v>64</v>
      </c>
      <c r="V1451" s="154" t="s">
        <v>64</v>
      </c>
      <c r="W1451" s="154" t="s">
        <v>64</v>
      </c>
      <c r="X1451" s="154" t="s">
        <v>66</v>
      </c>
      <c r="Y1451" s="154" t="s">
        <v>64</v>
      </c>
      <c r="Z1451" s="154" t="s">
        <v>64</v>
      </c>
      <c r="AA1451" s="154"/>
      <c r="AB1451" s="242" t="str">
        <f t="shared" si="2"/>
        <v>#ERROR!</v>
      </c>
      <c r="AC1451" s="154" t="s">
        <v>391</v>
      </c>
      <c r="AD1451" s="242" t="b">
        <f t="shared" si="3"/>
        <v>0</v>
      </c>
      <c r="AE1451" s="154"/>
      <c r="AF1451" s="242" t="str">
        <f t="shared" si="4"/>
        <v>#ERROR!</v>
      </c>
      <c r="AG1451" s="154"/>
      <c r="AH1451" s="242" t="str">
        <f>IF(AG1451="","N/A",INDIRECT("MTR!"&amp;ADDRESS(MATCH(LEFT(AG1451,9),[1]MTR!C:C,0),COLUMN(J1451)),TRUE) &amp; "")</f>
        <v>#ERROR!</v>
      </c>
      <c r="AI1451" s="157" t="str">
        <f t="shared" si="5"/>
        <v>#ERROR!</v>
      </c>
    </row>
    <row r="1452" ht="12.75" customHeight="1">
      <c r="A1452" s="244" t="s">
        <v>5158</v>
      </c>
      <c r="B1452" s="244" t="s">
        <v>231</v>
      </c>
      <c r="C1452" s="244" t="s">
        <v>10418</v>
      </c>
      <c r="D1452" s="154" t="s">
        <v>1315</v>
      </c>
      <c r="E1452" s="154"/>
      <c r="F1452" s="154" t="str">
        <f t="array" ref="F1452">XLOOKUP(Cover!$D$12,$R$1:$Z$1,$R1452:$Z1452)</f>
        <v>Recommended</v>
      </c>
      <c r="G1452" s="154" t="s">
        <v>10419</v>
      </c>
      <c r="H1452" s="154" t="s">
        <v>1541</v>
      </c>
      <c r="I1452" s="154" t="s">
        <v>10413</v>
      </c>
      <c r="J1452" s="154" t="s">
        <v>6838</v>
      </c>
      <c r="K1452" s="154" t="s">
        <v>10346</v>
      </c>
      <c r="L1452" s="154" t="s">
        <v>6022</v>
      </c>
      <c r="M1452" s="154"/>
      <c r="N1452" s="154" t="s">
        <v>759</v>
      </c>
      <c r="O1452" s="247" t="s">
        <v>516</v>
      </c>
      <c r="P1452" s="247" t="s">
        <v>6776</v>
      </c>
      <c r="Q1452" s="154" t="str">
        <f t="shared" si="1"/>
        <v>#ERROR!</v>
      </c>
      <c r="R1452" s="154" t="s">
        <v>66</v>
      </c>
      <c r="S1452" s="154" t="s">
        <v>66</v>
      </c>
      <c r="T1452" s="154" t="s">
        <v>64</v>
      </c>
      <c r="U1452" s="154" t="s">
        <v>64</v>
      </c>
      <c r="V1452" s="154" t="s">
        <v>64</v>
      </c>
      <c r="W1452" s="154" t="s">
        <v>64</v>
      </c>
      <c r="X1452" s="154" t="s">
        <v>66</v>
      </c>
      <c r="Y1452" s="154" t="s">
        <v>64</v>
      </c>
      <c r="Z1452" s="154" t="s">
        <v>64</v>
      </c>
      <c r="AA1452" s="154"/>
      <c r="AB1452" s="242" t="str">
        <f t="shared" si="2"/>
        <v>#ERROR!</v>
      </c>
      <c r="AC1452" s="154" t="s">
        <v>391</v>
      </c>
      <c r="AD1452" s="242" t="b">
        <f t="shared" si="3"/>
        <v>0</v>
      </c>
      <c r="AE1452" s="154"/>
      <c r="AF1452" s="242" t="str">
        <f t="shared" si="4"/>
        <v>#ERROR!</v>
      </c>
      <c r="AG1452" s="154"/>
      <c r="AH1452" s="242" t="str">
        <f>IF(AG1452="","N/A",INDIRECT("MTR!"&amp;ADDRESS(MATCH(LEFT(AG1452,9),[1]MTR!C:C,0),COLUMN(J1452)),TRUE) &amp; "")</f>
        <v>#ERROR!</v>
      </c>
      <c r="AI1452" s="157" t="str">
        <f t="shared" si="5"/>
        <v>#ERROR!</v>
      </c>
    </row>
    <row r="1453" ht="12.75" customHeight="1">
      <c r="A1453" s="244" t="s">
        <v>5158</v>
      </c>
      <c r="B1453" s="244" t="s">
        <v>231</v>
      </c>
      <c r="C1453" s="244" t="s">
        <v>10420</v>
      </c>
      <c r="D1453" s="154" t="s">
        <v>503</v>
      </c>
      <c r="E1453" s="154"/>
      <c r="F1453" s="154" t="str">
        <f t="array" ref="F1453">XLOOKUP(Cover!$D$12,$R$1:$Z$1,$R1453:$Z1453)</f>
        <v>Mandatory</v>
      </c>
      <c r="G1453" s="154" t="s">
        <v>10421</v>
      </c>
      <c r="H1453" s="154" t="s">
        <v>6771</v>
      </c>
      <c r="I1453" s="154" t="s">
        <v>10422</v>
      </c>
      <c r="J1453" s="154" t="s">
        <v>6844</v>
      </c>
      <c r="K1453" s="154" t="s">
        <v>10346</v>
      </c>
      <c r="L1453" s="154" t="s">
        <v>6463</v>
      </c>
      <c r="M1453" s="154" t="s">
        <v>175</v>
      </c>
      <c r="N1453" s="154" t="s">
        <v>759</v>
      </c>
      <c r="O1453" s="247" t="s">
        <v>516</v>
      </c>
      <c r="P1453" s="247" t="s">
        <v>6776</v>
      </c>
      <c r="Q1453" s="154" t="str">
        <f t="shared" si="1"/>
        <v>#ERROR!</v>
      </c>
      <c r="R1453" s="154" t="s">
        <v>66</v>
      </c>
      <c r="S1453" s="154" t="s">
        <v>66</v>
      </c>
      <c r="T1453" s="155" t="s">
        <v>64</v>
      </c>
      <c r="U1453" s="155" t="s">
        <v>64</v>
      </c>
      <c r="V1453" s="154" t="s">
        <v>60</v>
      </c>
      <c r="W1453" s="154" t="s">
        <v>60</v>
      </c>
      <c r="X1453" s="154" t="s">
        <v>66</v>
      </c>
      <c r="Y1453" s="155" t="s">
        <v>64</v>
      </c>
      <c r="Z1453" s="154" t="s">
        <v>60</v>
      </c>
      <c r="AA1453" s="154"/>
      <c r="AB1453" s="242" t="str">
        <f t="shared" si="2"/>
        <v>#ERROR!</v>
      </c>
      <c r="AC1453" s="154" t="s">
        <v>391</v>
      </c>
      <c r="AD1453" s="242" t="b">
        <f t="shared" si="3"/>
        <v>0</v>
      </c>
      <c r="AE1453" s="154"/>
      <c r="AF1453" s="242" t="str">
        <f t="shared" si="4"/>
        <v>#ERROR!</v>
      </c>
      <c r="AG1453" s="154"/>
      <c r="AH1453" s="242" t="str">
        <f>IF(AG1453="","N/A",INDIRECT("MTR!"&amp;ADDRESS(MATCH(LEFT(AG1453,9),[1]MTR!C:C,0),COLUMN(J1453)),TRUE) &amp; "")</f>
        <v>#ERROR!</v>
      </c>
      <c r="AI1453" s="157" t="str">
        <f t="shared" si="5"/>
        <v>#ERROR!</v>
      </c>
    </row>
    <row r="1454" ht="12.75" customHeight="1">
      <c r="A1454" s="244" t="s">
        <v>5158</v>
      </c>
      <c r="B1454" s="244" t="s">
        <v>231</v>
      </c>
      <c r="C1454" s="244" t="s">
        <v>10423</v>
      </c>
      <c r="D1454" s="154" t="s">
        <v>503</v>
      </c>
      <c r="E1454" s="154"/>
      <c r="F1454" s="154" t="str">
        <f t="array" ref="F1454">XLOOKUP(Cover!$D$12,$R$1:$Z$1,$R1454:$Z1454)</f>
        <v>Mandatory</v>
      </c>
      <c r="G1454" s="154" t="s">
        <v>10424</v>
      </c>
      <c r="H1454" s="154" t="s">
        <v>9006</v>
      </c>
      <c r="I1454" s="154" t="s">
        <v>10422</v>
      </c>
      <c r="J1454" s="154" t="s">
        <v>6844</v>
      </c>
      <c r="K1454" s="154" t="s">
        <v>10346</v>
      </c>
      <c r="L1454" s="154" t="s">
        <v>6463</v>
      </c>
      <c r="M1454" s="154" t="s">
        <v>175</v>
      </c>
      <c r="N1454" s="154" t="s">
        <v>759</v>
      </c>
      <c r="O1454" s="247" t="s">
        <v>516</v>
      </c>
      <c r="P1454" s="247" t="s">
        <v>6776</v>
      </c>
      <c r="Q1454" s="154" t="str">
        <f t="shared" si="1"/>
        <v>#ERROR!</v>
      </c>
      <c r="R1454" s="154" t="s">
        <v>66</v>
      </c>
      <c r="S1454" s="154" t="s">
        <v>66</v>
      </c>
      <c r="T1454" s="155" t="s">
        <v>64</v>
      </c>
      <c r="U1454" s="155" t="s">
        <v>64</v>
      </c>
      <c r="V1454" s="154" t="s">
        <v>60</v>
      </c>
      <c r="W1454" s="154" t="s">
        <v>60</v>
      </c>
      <c r="X1454" s="154" t="s">
        <v>66</v>
      </c>
      <c r="Y1454" s="155" t="s">
        <v>64</v>
      </c>
      <c r="Z1454" s="154" t="s">
        <v>60</v>
      </c>
      <c r="AA1454" s="154"/>
      <c r="AB1454" s="242" t="str">
        <f t="shared" si="2"/>
        <v>#ERROR!</v>
      </c>
      <c r="AC1454" s="154" t="s">
        <v>391</v>
      </c>
      <c r="AD1454" s="242" t="b">
        <f t="shared" si="3"/>
        <v>0</v>
      </c>
      <c r="AE1454" s="154"/>
      <c r="AF1454" s="242" t="str">
        <f t="shared" si="4"/>
        <v>#ERROR!</v>
      </c>
      <c r="AG1454" s="154"/>
      <c r="AH1454" s="242" t="str">
        <f>IF(AG1454="","N/A",INDIRECT("MTR!"&amp;ADDRESS(MATCH(LEFT(AG1454,9),[1]MTR!C:C,0),COLUMN(J1454)),TRUE) &amp; "")</f>
        <v>#ERROR!</v>
      </c>
      <c r="AI1454" s="157" t="str">
        <f t="shared" si="5"/>
        <v>#ERROR!</v>
      </c>
    </row>
    <row r="1455" ht="12.75" customHeight="1">
      <c r="A1455" s="244" t="s">
        <v>5158</v>
      </c>
      <c r="B1455" s="244" t="s">
        <v>231</v>
      </c>
      <c r="C1455" s="244" t="s">
        <v>10425</v>
      </c>
      <c r="D1455" s="154" t="s">
        <v>542</v>
      </c>
      <c r="E1455" s="154"/>
      <c r="F1455" s="154" t="str">
        <f t="array" ref="F1455">XLOOKUP(Cover!$D$12,$R$1:$Z$1,$R1455:$Z1455)</f>
        <v>Information</v>
      </c>
      <c r="G1455" s="154" t="s">
        <v>10426</v>
      </c>
      <c r="H1455" s="154" t="s">
        <v>6775</v>
      </c>
      <c r="I1455" s="154" t="s">
        <v>10427</v>
      </c>
      <c r="J1455" s="154" t="s">
        <v>6854</v>
      </c>
      <c r="K1455" s="154" t="s">
        <v>10346</v>
      </c>
      <c r="L1455" s="154" t="s">
        <v>6140</v>
      </c>
      <c r="M1455" s="154"/>
      <c r="N1455" s="154" t="s">
        <v>759</v>
      </c>
      <c r="O1455" s="247" t="s">
        <v>516</v>
      </c>
      <c r="P1455" s="247" t="s">
        <v>10352</v>
      </c>
      <c r="Q1455" s="154" t="str">
        <f t="shared" si="1"/>
        <v>#ERROR!</v>
      </c>
      <c r="R1455" s="154" t="s">
        <v>66</v>
      </c>
      <c r="S1455" s="154" t="s">
        <v>66</v>
      </c>
      <c r="T1455" s="154" t="s">
        <v>66</v>
      </c>
      <c r="U1455" s="154" t="s">
        <v>66</v>
      </c>
      <c r="V1455" s="154" t="s">
        <v>66</v>
      </c>
      <c r="W1455" s="154" t="s">
        <v>66</v>
      </c>
      <c r="X1455" s="154" t="s">
        <v>66</v>
      </c>
      <c r="Y1455" s="154" t="s">
        <v>66</v>
      </c>
      <c r="Z1455" s="154" t="s">
        <v>66</v>
      </c>
      <c r="AA1455" s="154"/>
      <c r="AB1455" s="242" t="str">
        <f t="shared" si="2"/>
        <v>#ERROR!</v>
      </c>
      <c r="AC1455" s="154" t="s">
        <v>391</v>
      </c>
      <c r="AD1455" s="242" t="b">
        <f t="shared" si="3"/>
        <v>0</v>
      </c>
      <c r="AE1455" s="154"/>
      <c r="AF1455" s="242" t="str">
        <f t="shared" si="4"/>
        <v>#ERROR!</v>
      </c>
      <c r="AG1455" s="154"/>
      <c r="AH1455" s="242" t="str">
        <f>IF(AG1455="","N/A",INDIRECT("MTR!"&amp;ADDRESS(MATCH(LEFT(AG1455,9),[1]MTR!C:C,0),COLUMN(J1455)),TRUE) &amp; "")</f>
        <v>#ERROR!</v>
      </c>
      <c r="AI1455" s="157" t="str">
        <f t="shared" si="5"/>
        <v>#ERROR!</v>
      </c>
    </row>
    <row r="1456" ht="12.75" customHeight="1">
      <c r="A1456" s="244" t="s">
        <v>5158</v>
      </c>
      <c r="B1456" s="244" t="s">
        <v>231</v>
      </c>
      <c r="C1456" s="244" t="s">
        <v>10428</v>
      </c>
      <c r="D1456" s="154" t="s">
        <v>542</v>
      </c>
      <c r="E1456" s="154"/>
      <c r="F1456" s="154" t="str">
        <f t="array" ref="F1456">XLOOKUP(Cover!$D$12,$R$1:$Z$1,$R1456:$Z1456)</f>
        <v>Information</v>
      </c>
      <c r="G1456" s="154" t="s">
        <v>10429</v>
      </c>
      <c r="H1456" s="154" t="s">
        <v>9009</v>
      </c>
      <c r="I1456" s="154" t="s">
        <v>10427</v>
      </c>
      <c r="J1456" s="154" t="s">
        <v>6854</v>
      </c>
      <c r="K1456" s="154" t="s">
        <v>10346</v>
      </c>
      <c r="L1456" s="154" t="s">
        <v>6140</v>
      </c>
      <c r="M1456" s="154"/>
      <c r="N1456" s="154" t="s">
        <v>759</v>
      </c>
      <c r="O1456" s="247" t="s">
        <v>445</v>
      </c>
      <c r="P1456" s="247" t="s">
        <v>89</v>
      </c>
      <c r="Q1456" s="154" t="str">
        <f t="shared" si="1"/>
        <v>#ERROR!</v>
      </c>
      <c r="R1456" s="154" t="s">
        <v>66</v>
      </c>
      <c r="S1456" s="154" t="s">
        <v>66</v>
      </c>
      <c r="T1456" s="154" t="s">
        <v>66</v>
      </c>
      <c r="U1456" s="154" t="s">
        <v>66</v>
      </c>
      <c r="V1456" s="154" t="s">
        <v>66</v>
      </c>
      <c r="W1456" s="154" t="s">
        <v>66</v>
      </c>
      <c r="X1456" s="154" t="s">
        <v>66</v>
      </c>
      <c r="Y1456" s="154" t="s">
        <v>66</v>
      </c>
      <c r="Z1456" s="154" t="s">
        <v>66</v>
      </c>
      <c r="AA1456" s="154"/>
      <c r="AB1456" s="242" t="str">
        <f t="shared" si="2"/>
        <v>#ERROR!</v>
      </c>
      <c r="AC1456" s="154" t="s">
        <v>391</v>
      </c>
      <c r="AD1456" s="242" t="b">
        <f t="shared" si="3"/>
        <v>0</v>
      </c>
      <c r="AE1456" s="154"/>
      <c r="AF1456" s="242" t="str">
        <f t="shared" si="4"/>
        <v>#ERROR!</v>
      </c>
      <c r="AG1456" s="154"/>
      <c r="AH1456" s="242" t="str">
        <f>IF(AG1456="","N/A",INDIRECT("MTR!"&amp;ADDRESS(MATCH(LEFT(AG1456,9),[1]MTR!C:C,0),COLUMN(J1456)),TRUE) &amp; "")</f>
        <v>#ERROR!</v>
      </c>
      <c r="AI1456" s="157" t="str">
        <f t="shared" si="5"/>
        <v>#ERROR!</v>
      </c>
    </row>
    <row r="1457" ht="12.75" customHeight="1">
      <c r="A1457" s="244" t="s">
        <v>5158</v>
      </c>
      <c r="B1457" s="244" t="s">
        <v>231</v>
      </c>
      <c r="C1457" s="244" t="s">
        <v>10430</v>
      </c>
      <c r="D1457" s="154" t="s">
        <v>542</v>
      </c>
      <c r="E1457" s="154"/>
      <c r="F1457" s="154" t="str">
        <f t="array" ref="F1457">XLOOKUP(Cover!$D$12,$R$1:$Z$1,$R1457:$Z1457)</f>
        <v>Recommended</v>
      </c>
      <c r="G1457" s="154" t="s">
        <v>10431</v>
      </c>
      <c r="H1457" s="154" t="s">
        <v>6775</v>
      </c>
      <c r="I1457" s="154" t="s">
        <v>10432</v>
      </c>
      <c r="J1457" s="154" t="s">
        <v>6848</v>
      </c>
      <c r="K1457" s="154" t="s">
        <v>10346</v>
      </c>
      <c r="L1457" s="154" t="s">
        <v>6140</v>
      </c>
      <c r="M1457" s="154"/>
      <c r="N1457" s="154" t="s">
        <v>759</v>
      </c>
      <c r="O1457" s="247" t="s">
        <v>516</v>
      </c>
      <c r="P1457" s="247" t="s">
        <v>10352</v>
      </c>
      <c r="Q1457" s="154" t="str">
        <f t="shared" si="1"/>
        <v>#ERROR!</v>
      </c>
      <c r="R1457" s="154" t="s">
        <v>66</v>
      </c>
      <c r="S1457" s="154" t="s">
        <v>66</v>
      </c>
      <c r="T1457" s="154" t="s">
        <v>64</v>
      </c>
      <c r="U1457" s="154" t="s">
        <v>64</v>
      </c>
      <c r="V1457" s="154" t="s">
        <v>64</v>
      </c>
      <c r="W1457" s="154" t="s">
        <v>64</v>
      </c>
      <c r="X1457" s="154" t="s">
        <v>66</v>
      </c>
      <c r="Y1457" s="154" t="s">
        <v>64</v>
      </c>
      <c r="Z1457" s="154" t="s">
        <v>64</v>
      </c>
      <c r="AA1457" s="154"/>
      <c r="AB1457" s="242" t="str">
        <f t="shared" si="2"/>
        <v>#ERROR!</v>
      </c>
      <c r="AC1457" s="154" t="s">
        <v>391</v>
      </c>
      <c r="AD1457" s="242" t="b">
        <f t="shared" si="3"/>
        <v>0</v>
      </c>
      <c r="AE1457" s="154"/>
      <c r="AF1457" s="242" t="str">
        <f t="shared" si="4"/>
        <v>#ERROR!</v>
      </c>
      <c r="AG1457" s="154"/>
      <c r="AH1457" s="242" t="str">
        <f>IF(AG1457="","N/A",INDIRECT("MTR!"&amp;ADDRESS(MATCH(LEFT(AG1457,9),[1]MTR!C:C,0),COLUMN(J1457)),TRUE) &amp; "")</f>
        <v>#ERROR!</v>
      </c>
      <c r="AI1457" s="157" t="str">
        <f t="shared" si="5"/>
        <v>#ERROR!</v>
      </c>
    </row>
    <row r="1458" ht="12.75" customHeight="1">
      <c r="A1458" s="244" t="s">
        <v>5158</v>
      </c>
      <c r="B1458" s="244" t="s">
        <v>231</v>
      </c>
      <c r="C1458" s="244" t="s">
        <v>10433</v>
      </c>
      <c r="D1458" s="154" t="s">
        <v>542</v>
      </c>
      <c r="E1458" s="154"/>
      <c r="F1458" s="154" t="str">
        <f t="array" ref="F1458">XLOOKUP(Cover!$D$12,$R$1:$Z$1,$R1458:$Z1458)</f>
        <v>Recommended</v>
      </c>
      <c r="G1458" s="154" t="s">
        <v>10434</v>
      </c>
      <c r="H1458" s="154" t="s">
        <v>9009</v>
      </c>
      <c r="I1458" s="154" t="s">
        <v>10432</v>
      </c>
      <c r="J1458" s="154" t="s">
        <v>6848</v>
      </c>
      <c r="K1458" s="154" t="s">
        <v>10346</v>
      </c>
      <c r="L1458" s="154" t="s">
        <v>6140</v>
      </c>
      <c r="M1458" s="154"/>
      <c r="N1458" s="154" t="s">
        <v>759</v>
      </c>
      <c r="O1458" s="247" t="s">
        <v>445</v>
      </c>
      <c r="P1458" s="247" t="s">
        <v>89</v>
      </c>
      <c r="Q1458" s="154" t="str">
        <f t="shared" si="1"/>
        <v>#ERROR!</v>
      </c>
      <c r="R1458" s="154" t="s">
        <v>66</v>
      </c>
      <c r="S1458" s="154" t="s">
        <v>66</v>
      </c>
      <c r="T1458" s="154" t="s">
        <v>64</v>
      </c>
      <c r="U1458" s="154" t="s">
        <v>64</v>
      </c>
      <c r="V1458" s="154" t="s">
        <v>64</v>
      </c>
      <c r="W1458" s="154" t="s">
        <v>64</v>
      </c>
      <c r="X1458" s="154" t="s">
        <v>66</v>
      </c>
      <c r="Y1458" s="154" t="s">
        <v>64</v>
      </c>
      <c r="Z1458" s="154" t="s">
        <v>64</v>
      </c>
      <c r="AA1458" s="154"/>
      <c r="AB1458" s="242" t="str">
        <f t="shared" si="2"/>
        <v>#ERROR!</v>
      </c>
      <c r="AC1458" s="154" t="s">
        <v>391</v>
      </c>
      <c r="AD1458" s="242" t="b">
        <f t="shared" si="3"/>
        <v>0</v>
      </c>
      <c r="AE1458" s="154"/>
      <c r="AF1458" s="242" t="str">
        <f t="shared" si="4"/>
        <v>#ERROR!</v>
      </c>
      <c r="AG1458" s="154"/>
      <c r="AH1458" s="242" t="str">
        <f>IF(AG1458="","N/A",INDIRECT("MTR!"&amp;ADDRESS(MATCH(LEFT(AG1458,9),[1]MTR!C:C,0),COLUMN(J1458)),TRUE) &amp; "")</f>
        <v>#ERROR!</v>
      </c>
      <c r="AI1458" s="157" t="str">
        <f t="shared" si="5"/>
        <v>#ERROR!</v>
      </c>
    </row>
    <row r="1459" ht="12.75" customHeight="1">
      <c r="A1459" s="244" t="s">
        <v>5158</v>
      </c>
      <c r="B1459" s="244" t="s">
        <v>231</v>
      </c>
      <c r="C1459" s="244" t="s">
        <v>10435</v>
      </c>
      <c r="D1459" s="154" t="s">
        <v>542</v>
      </c>
      <c r="E1459" s="154"/>
      <c r="F1459" s="154" t="str">
        <f t="array" ref="F1459">XLOOKUP(Cover!$D$12,$R$1:$Z$1,$R1459:$Z1459)</f>
        <v>Recommended</v>
      </c>
      <c r="G1459" s="154" t="s">
        <v>10436</v>
      </c>
      <c r="H1459" s="154" t="s">
        <v>6847</v>
      </c>
      <c r="I1459" s="154" t="s">
        <v>10432</v>
      </c>
      <c r="J1459" s="154" t="s">
        <v>6848</v>
      </c>
      <c r="K1459" s="154" t="s">
        <v>10346</v>
      </c>
      <c r="L1459" s="154" t="s">
        <v>6525</v>
      </c>
      <c r="M1459" s="154"/>
      <c r="N1459" s="154" t="s">
        <v>759</v>
      </c>
      <c r="O1459" s="247" t="s">
        <v>516</v>
      </c>
      <c r="P1459" s="247" t="s">
        <v>1575</v>
      </c>
      <c r="Q1459" s="154" t="str">
        <f t="shared" si="1"/>
        <v>#ERROR!</v>
      </c>
      <c r="R1459" s="154" t="s">
        <v>66</v>
      </c>
      <c r="S1459" s="154" t="s">
        <v>66</v>
      </c>
      <c r="T1459" s="154" t="s">
        <v>64</v>
      </c>
      <c r="U1459" s="154" t="s">
        <v>64</v>
      </c>
      <c r="V1459" s="154" t="s">
        <v>64</v>
      </c>
      <c r="W1459" s="154" t="s">
        <v>64</v>
      </c>
      <c r="X1459" s="154" t="s">
        <v>66</v>
      </c>
      <c r="Y1459" s="154" t="s">
        <v>64</v>
      </c>
      <c r="Z1459" s="154" t="s">
        <v>64</v>
      </c>
      <c r="AA1459" s="154"/>
      <c r="AB1459" s="242" t="str">
        <f t="shared" si="2"/>
        <v>#ERROR!</v>
      </c>
      <c r="AC1459" s="154" t="s">
        <v>391</v>
      </c>
      <c r="AD1459" s="242" t="b">
        <f t="shared" si="3"/>
        <v>0</v>
      </c>
      <c r="AE1459" s="154"/>
      <c r="AF1459" s="242" t="str">
        <f t="shared" si="4"/>
        <v>#ERROR!</v>
      </c>
      <c r="AG1459" s="154"/>
      <c r="AH1459" s="242" t="str">
        <f>IF(AG1459="","N/A",INDIRECT("MTR!"&amp;ADDRESS(MATCH(LEFT(AG1459,9),[1]MTR!C:C,0),COLUMN(J1459)),TRUE) &amp; "")</f>
        <v>#ERROR!</v>
      </c>
      <c r="AI1459" s="157" t="str">
        <f t="shared" si="5"/>
        <v>#ERROR!</v>
      </c>
    </row>
    <row r="1460" ht="12.75" customHeight="1">
      <c r="A1460" s="244" t="s">
        <v>5158</v>
      </c>
      <c r="B1460" s="244" t="s">
        <v>231</v>
      </c>
      <c r="C1460" s="244" t="s">
        <v>10437</v>
      </c>
      <c r="D1460" s="154" t="s">
        <v>542</v>
      </c>
      <c r="E1460" s="154"/>
      <c r="F1460" s="154" t="str">
        <f t="array" ref="F1460">XLOOKUP(Cover!$D$12,$R$1:$Z$1,$R1460:$Z1460)</f>
        <v>Recommended</v>
      </c>
      <c r="G1460" s="154" t="s">
        <v>10438</v>
      </c>
      <c r="H1460" s="154" t="s">
        <v>9084</v>
      </c>
      <c r="I1460" s="154" t="s">
        <v>10432</v>
      </c>
      <c r="J1460" s="154" t="s">
        <v>6848</v>
      </c>
      <c r="K1460" s="154" t="s">
        <v>10346</v>
      </c>
      <c r="L1460" s="154" t="s">
        <v>6525</v>
      </c>
      <c r="M1460" s="154"/>
      <c r="N1460" s="154" t="s">
        <v>759</v>
      </c>
      <c r="O1460" s="247" t="s">
        <v>516</v>
      </c>
      <c r="P1460" s="247" t="s">
        <v>1575</v>
      </c>
      <c r="Q1460" s="154" t="str">
        <f t="shared" si="1"/>
        <v>#ERROR!</v>
      </c>
      <c r="R1460" s="154" t="s">
        <v>66</v>
      </c>
      <c r="S1460" s="154" t="s">
        <v>66</v>
      </c>
      <c r="T1460" s="154" t="s">
        <v>64</v>
      </c>
      <c r="U1460" s="154" t="s">
        <v>64</v>
      </c>
      <c r="V1460" s="154" t="s">
        <v>64</v>
      </c>
      <c r="W1460" s="154" t="s">
        <v>64</v>
      </c>
      <c r="X1460" s="154" t="s">
        <v>66</v>
      </c>
      <c r="Y1460" s="154" t="s">
        <v>64</v>
      </c>
      <c r="Z1460" s="154" t="s">
        <v>64</v>
      </c>
      <c r="AA1460" s="154"/>
      <c r="AB1460" s="242" t="str">
        <f t="shared" si="2"/>
        <v>#ERROR!</v>
      </c>
      <c r="AC1460" s="154" t="s">
        <v>391</v>
      </c>
      <c r="AD1460" s="242" t="b">
        <f t="shared" si="3"/>
        <v>0</v>
      </c>
      <c r="AE1460" s="154"/>
      <c r="AF1460" s="242" t="str">
        <f t="shared" si="4"/>
        <v>#ERROR!</v>
      </c>
      <c r="AG1460" s="154"/>
      <c r="AH1460" s="242" t="str">
        <f>IF(AG1460="","N/A",INDIRECT("MTR!"&amp;ADDRESS(MATCH(LEFT(AG1460,9),[1]MTR!C:C,0),COLUMN(J1460)),TRUE) &amp; "")</f>
        <v>#ERROR!</v>
      </c>
      <c r="AI1460" s="157" t="str">
        <f t="shared" si="5"/>
        <v>#ERROR!</v>
      </c>
    </row>
    <row r="1461" ht="12.75" customHeight="1">
      <c r="A1461" s="244" t="s">
        <v>5158</v>
      </c>
      <c r="B1461" s="244" t="s">
        <v>231</v>
      </c>
      <c r="C1461" s="244" t="s">
        <v>10439</v>
      </c>
      <c r="D1461" s="154" t="s">
        <v>781</v>
      </c>
      <c r="E1461" s="154"/>
      <c r="F1461" s="154" t="str">
        <f t="array" ref="F1461">XLOOKUP(Cover!$D$12,$R$1:$Z$1,$R1461:$Z1461)</f>
        <v>Recommended</v>
      </c>
      <c r="G1461" s="154" t="s">
        <v>10440</v>
      </c>
      <c r="H1461" s="154" t="s">
        <v>6775</v>
      </c>
      <c r="I1461" s="154" t="s">
        <v>10441</v>
      </c>
      <c r="J1461" s="154" t="s">
        <v>6858</v>
      </c>
      <c r="K1461" s="154" t="s">
        <v>10346</v>
      </c>
      <c r="L1461" s="154" t="s">
        <v>6140</v>
      </c>
      <c r="M1461" s="154"/>
      <c r="N1461" s="154" t="s">
        <v>759</v>
      </c>
      <c r="O1461" s="247" t="s">
        <v>516</v>
      </c>
      <c r="P1461" s="247" t="s">
        <v>6776</v>
      </c>
      <c r="Q1461" s="154" t="str">
        <f t="shared" si="1"/>
        <v>#ERROR!</v>
      </c>
      <c r="R1461" s="154" t="s">
        <v>66</v>
      </c>
      <c r="S1461" s="154" t="s">
        <v>66</v>
      </c>
      <c r="T1461" s="154" t="s">
        <v>64</v>
      </c>
      <c r="U1461" s="154" t="s">
        <v>64</v>
      </c>
      <c r="V1461" s="154" t="s">
        <v>64</v>
      </c>
      <c r="W1461" s="154" t="s">
        <v>64</v>
      </c>
      <c r="X1461" s="154" t="s">
        <v>66</v>
      </c>
      <c r="Y1461" s="154" t="s">
        <v>64</v>
      </c>
      <c r="Z1461" s="154" t="s">
        <v>64</v>
      </c>
      <c r="AA1461" s="154"/>
      <c r="AB1461" s="242" t="str">
        <f t="shared" si="2"/>
        <v>#ERROR!</v>
      </c>
      <c r="AC1461" s="154" t="s">
        <v>391</v>
      </c>
      <c r="AD1461" s="242" t="b">
        <f t="shared" si="3"/>
        <v>0</v>
      </c>
      <c r="AE1461" s="154"/>
      <c r="AF1461" s="242" t="str">
        <f t="shared" si="4"/>
        <v>#ERROR!</v>
      </c>
      <c r="AG1461" s="154"/>
      <c r="AH1461" s="242" t="str">
        <f>IF(AG1461="","N/A",INDIRECT("MTR!"&amp;ADDRESS(MATCH(LEFT(AG1461,9),[1]MTR!C:C,0),COLUMN(J1461)),TRUE) &amp; "")</f>
        <v>#ERROR!</v>
      </c>
      <c r="AI1461" s="157" t="str">
        <f t="shared" si="5"/>
        <v>#ERROR!</v>
      </c>
    </row>
    <row r="1462" ht="12.75" customHeight="1">
      <c r="A1462" s="244" t="s">
        <v>5158</v>
      </c>
      <c r="B1462" s="244" t="s">
        <v>231</v>
      </c>
      <c r="C1462" s="244" t="s">
        <v>10442</v>
      </c>
      <c r="D1462" s="154" t="s">
        <v>781</v>
      </c>
      <c r="E1462" s="154"/>
      <c r="F1462" s="154" t="str">
        <f t="array" ref="F1462">XLOOKUP(Cover!$D$12,$R$1:$Z$1,$R1462:$Z1462)</f>
        <v>Recommended</v>
      </c>
      <c r="G1462" s="154" t="s">
        <v>10443</v>
      </c>
      <c r="H1462" s="154" t="s">
        <v>9009</v>
      </c>
      <c r="I1462" s="154" t="s">
        <v>10441</v>
      </c>
      <c r="J1462" s="154" t="s">
        <v>6858</v>
      </c>
      <c r="K1462" s="154" t="s">
        <v>10346</v>
      </c>
      <c r="L1462" s="154" t="s">
        <v>6140</v>
      </c>
      <c r="M1462" s="154"/>
      <c r="N1462" s="154" t="s">
        <v>759</v>
      </c>
      <c r="O1462" s="247" t="s">
        <v>516</v>
      </c>
      <c r="P1462" s="247" t="s">
        <v>6776</v>
      </c>
      <c r="Q1462" s="154" t="str">
        <f t="shared" si="1"/>
        <v>#ERROR!</v>
      </c>
      <c r="R1462" s="154" t="s">
        <v>66</v>
      </c>
      <c r="S1462" s="154" t="s">
        <v>66</v>
      </c>
      <c r="T1462" s="154" t="s">
        <v>64</v>
      </c>
      <c r="U1462" s="154" t="s">
        <v>64</v>
      </c>
      <c r="V1462" s="154" t="s">
        <v>64</v>
      </c>
      <c r="W1462" s="154" t="s">
        <v>64</v>
      </c>
      <c r="X1462" s="154" t="s">
        <v>66</v>
      </c>
      <c r="Y1462" s="154" t="s">
        <v>64</v>
      </c>
      <c r="Z1462" s="154" t="s">
        <v>64</v>
      </c>
      <c r="AA1462" s="154"/>
      <c r="AB1462" s="242" t="str">
        <f t="shared" si="2"/>
        <v>#ERROR!</v>
      </c>
      <c r="AC1462" s="154" t="s">
        <v>391</v>
      </c>
      <c r="AD1462" s="242" t="b">
        <f t="shared" si="3"/>
        <v>0</v>
      </c>
      <c r="AE1462" s="154"/>
      <c r="AF1462" s="242" t="str">
        <f t="shared" si="4"/>
        <v>#ERROR!</v>
      </c>
      <c r="AG1462" s="154"/>
      <c r="AH1462" s="242" t="str">
        <f>IF(AG1462="","N/A",INDIRECT("MTR!"&amp;ADDRESS(MATCH(LEFT(AG1462,9),[1]MTR!C:C,0),COLUMN(J1462)),TRUE) &amp; "")</f>
        <v>#ERROR!</v>
      </c>
      <c r="AI1462" s="157" t="str">
        <f t="shared" si="5"/>
        <v>#ERROR!</v>
      </c>
    </row>
    <row r="1463" ht="12.75" customHeight="1">
      <c r="A1463" s="244" t="s">
        <v>5158</v>
      </c>
      <c r="B1463" s="244" t="s">
        <v>231</v>
      </c>
      <c r="C1463" s="244" t="s">
        <v>10444</v>
      </c>
      <c r="D1463" s="154" t="s">
        <v>781</v>
      </c>
      <c r="E1463" s="154"/>
      <c r="F1463" s="154" t="str">
        <f t="array" ref="F1463">XLOOKUP(Cover!$D$12,$R$1:$Z$1,$R1463:$Z1463)</f>
        <v>Recommended</v>
      </c>
      <c r="G1463" s="154" t="s">
        <v>10445</v>
      </c>
      <c r="H1463" s="154" t="s">
        <v>6779</v>
      </c>
      <c r="I1463" s="154" t="s">
        <v>10441</v>
      </c>
      <c r="J1463" s="154" t="s">
        <v>6858</v>
      </c>
      <c r="K1463" s="154" t="s">
        <v>10346</v>
      </c>
      <c r="L1463" s="154" t="s">
        <v>6140</v>
      </c>
      <c r="M1463" s="154"/>
      <c r="N1463" s="154" t="s">
        <v>759</v>
      </c>
      <c r="O1463" s="247" t="s">
        <v>516</v>
      </c>
      <c r="P1463" s="247" t="s">
        <v>6776</v>
      </c>
      <c r="Q1463" s="154" t="str">
        <f t="shared" si="1"/>
        <v>#ERROR!</v>
      </c>
      <c r="R1463" s="154" t="s">
        <v>66</v>
      </c>
      <c r="S1463" s="154" t="s">
        <v>66</v>
      </c>
      <c r="T1463" s="154" t="s">
        <v>64</v>
      </c>
      <c r="U1463" s="154" t="s">
        <v>64</v>
      </c>
      <c r="V1463" s="154" t="s">
        <v>64</v>
      </c>
      <c r="W1463" s="154" t="s">
        <v>64</v>
      </c>
      <c r="X1463" s="154" t="s">
        <v>66</v>
      </c>
      <c r="Y1463" s="154" t="s">
        <v>64</v>
      </c>
      <c r="Z1463" s="154" t="s">
        <v>64</v>
      </c>
      <c r="AA1463" s="154"/>
      <c r="AB1463" s="242" t="str">
        <f t="shared" si="2"/>
        <v>#ERROR!</v>
      </c>
      <c r="AC1463" s="154" t="s">
        <v>391</v>
      </c>
      <c r="AD1463" s="242" t="b">
        <f t="shared" si="3"/>
        <v>0</v>
      </c>
      <c r="AE1463" s="154"/>
      <c r="AF1463" s="242" t="str">
        <f t="shared" si="4"/>
        <v>#ERROR!</v>
      </c>
      <c r="AG1463" s="154"/>
      <c r="AH1463" s="242" t="str">
        <f>IF(AG1463="","N/A",INDIRECT("MTR!"&amp;ADDRESS(MATCH(LEFT(AG1463,9),[1]MTR!C:C,0),COLUMN(J1463)),TRUE) &amp; "")</f>
        <v>#ERROR!</v>
      </c>
      <c r="AI1463" s="157" t="str">
        <f t="shared" si="5"/>
        <v>#ERROR!</v>
      </c>
    </row>
    <row r="1464" ht="12.75" customHeight="1">
      <c r="A1464" s="244" t="s">
        <v>5158</v>
      </c>
      <c r="B1464" s="244" t="s">
        <v>231</v>
      </c>
      <c r="C1464" s="244" t="s">
        <v>10446</v>
      </c>
      <c r="D1464" s="154" t="s">
        <v>781</v>
      </c>
      <c r="E1464" s="154"/>
      <c r="F1464" s="154" t="str">
        <f t="array" ref="F1464">XLOOKUP(Cover!$D$12,$R$1:$Z$1,$R1464:$Z1464)</f>
        <v>Recommended</v>
      </c>
      <c r="G1464" s="154" t="s">
        <v>10447</v>
      </c>
      <c r="H1464" s="154" t="s">
        <v>9012</v>
      </c>
      <c r="I1464" s="154" t="s">
        <v>10441</v>
      </c>
      <c r="J1464" s="154" t="s">
        <v>6858</v>
      </c>
      <c r="K1464" s="154" t="s">
        <v>10346</v>
      </c>
      <c r="L1464" s="154" t="s">
        <v>6140</v>
      </c>
      <c r="M1464" s="154"/>
      <c r="N1464" s="154" t="s">
        <v>759</v>
      </c>
      <c r="O1464" s="247" t="s">
        <v>516</v>
      </c>
      <c r="P1464" s="247" t="s">
        <v>6776</v>
      </c>
      <c r="Q1464" s="154" t="str">
        <f t="shared" si="1"/>
        <v>#ERROR!</v>
      </c>
      <c r="R1464" s="154" t="s">
        <v>66</v>
      </c>
      <c r="S1464" s="154" t="s">
        <v>66</v>
      </c>
      <c r="T1464" s="154" t="s">
        <v>64</v>
      </c>
      <c r="U1464" s="154" t="s">
        <v>64</v>
      </c>
      <c r="V1464" s="154" t="s">
        <v>64</v>
      </c>
      <c r="W1464" s="154" t="s">
        <v>64</v>
      </c>
      <c r="X1464" s="154" t="s">
        <v>66</v>
      </c>
      <c r="Y1464" s="154" t="s">
        <v>64</v>
      </c>
      <c r="Z1464" s="154" t="s">
        <v>64</v>
      </c>
      <c r="AA1464" s="154"/>
      <c r="AB1464" s="242" t="str">
        <f t="shared" si="2"/>
        <v>#ERROR!</v>
      </c>
      <c r="AC1464" s="154" t="s">
        <v>391</v>
      </c>
      <c r="AD1464" s="242" t="b">
        <f t="shared" si="3"/>
        <v>0</v>
      </c>
      <c r="AE1464" s="154"/>
      <c r="AF1464" s="242" t="str">
        <f t="shared" si="4"/>
        <v>#ERROR!</v>
      </c>
      <c r="AG1464" s="154"/>
      <c r="AH1464" s="242" t="str">
        <f>IF(AG1464="","N/A",INDIRECT("MTR!"&amp;ADDRESS(MATCH(LEFT(AG1464,9),[1]MTR!C:C,0),COLUMN(J1464)),TRUE) &amp; "")</f>
        <v>#ERROR!</v>
      </c>
      <c r="AI1464" s="157" t="str">
        <f t="shared" si="5"/>
        <v>#ERROR!</v>
      </c>
    </row>
    <row r="1465" ht="12.75" customHeight="1">
      <c r="A1465" s="244" t="s">
        <v>5158</v>
      </c>
      <c r="B1465" s="244" t="s">
        <v>231</v>
      </c>
      <c r="C1465" s="244" t="s">
        <v>10448</v>
      </c>
      <c r="D1465" s="154" t="s">
        <v>861</v>
      </c>
      <c r="E1465" s="154"/>
      <c r="F1465" s="154" t="str">
        <f t="array" ref="F1465">XLOOKUP(Cover!$D$12,$R$1:$Z$1,$R1465:$Z1465)</f>
        <v>Recommended</v>
      </c>
      <c r="G1465" s="154" t="s">
        <v>10449</v>
      </c>
      <c r="H1465" s="154" t="s">
        <v>6775</v>
      </c>
      <c r="I1465" s="154" t="s">
        <v>10450</v>
      </c>
      <c r="J1465" s="154" t="s">
        <v>6865</v>
      </c>
      <c r="K1465" s="154" t="s">
        <v>10346</v>
      </c>
      <c r="L1465" s="154" t="s">
        <v>6428</v>
      </c>
      <c r="M1465" s="154"/>
      <c r="N1465" s="154" t="s">
        <v>759</v>
      </c>
      <c r="O1465" s="247" t="s">
        <v>516</v>
      </c>
      <c r="P1465" s="247" t="s">
        <v>6776</v>
      </c>
      <c r="Q1465" s="154" t="str">
        <f t="shared" si="1"/>
        <v>#ERROR!</v>
      </c>
      <c r="R1465" s="154" t="s">
        <v>66</v>
      </c>
      <c r="S1465" s="154" t="s">
        <v>66</v>
      </c>
      <c r="T1465" s="154" t="s">
        <v>64</v>
      </c>
      <c r="U1465" s="154" t="s">
        <v>64</v>
      </c>
      <c r="V1465" s="154" t="s">
        <v>64</v>
      </c>
      <c r="W1465" s="154" t="s">
        <v>64</v>
      </c>
      <c r="X1465" s="154" t="s">
        <v>66</v>
      </c>
      <c r="Y1465" s="154" t="s">
        <v>64</v>
      </c>
      <c r="Z1465" s="154" t="s">
        <v>64</v>
      </c>
      <c r="AA1465" s="154"/>
      <c r="AB1465" s="242" t="str">
        <f t="shared" si="2"/>
        <v>#ERROR!</v>
      </c>
      <c r="AC1465" s="154" t="s">
        <v>391</v>
      </c>
      <c r="AD1465" s="242" t="b">
        <f t="shared" si="3"/>
        <v>0</v>
      </c>
      <c r="AE1465" s="154"/>
      <c r="AF1465" s="242" t="str">
        <f t="shared" si="4"/>
        <v>#ERROR!</v>
      </c>
      <c r="AG1465" s="154"/>
      <c r="AH1465" s="242" t="str">
        <f>IF(AG1465="","N/A",INDIRECT("MTR!"&amp;ADDRESS(MATCH(LEFT(AG1465,9),[1]MTR!C:C,0),COLUMN(J1465)),TRUE) &amp; "")</f>
        <v>#ERROR!</v>
      </c>
      <c r="AI1465" s="157" t="str">
        <f t="shared" si="5"/>
        <v>#ERROR!</v>
      </c>
    </row>
    <row r="1466" ht="12.75" customHeight="1">
      <c r="A1466" s="244" t="s">
        <v>5158</v>
      </c>
      <c r="B1466" s="244" t="s">
        <v>231</v>
      </c>
      <c r="C1466" s="244" t="s">
        <v>10451</v>
      </c>
      <c r="D1466" s="154" t="s">
        <v>861</v>
      </c>
      <c r="E1466" s="154"/>
      <c r="F1466" s="154" t="str">
        <f t="array" ref="F1466">XLOOKUP(Cover!$D$12,$R$1:$Z$1,$R1466:$Z1466)</f>
        <v>Recommended</v>
      </c>
      <c r="G1466" s="154" t="s">
        <v>10452</v>
      </c>
      <c r="H1466" s="154" t="s">
        <v>9009</v>
      </c>
      <c r="I1466" s="154" t="s">
        <v>10450</v>
      </c>
      <c r="J1466" s="154" t="s">
        <v>6865</v>
      </c>
      <c r="K1466" s="154" t="s">
        <v>10346</v>
      </c>
      <c r="L1466" s="154" t="s">
        <v>6428</v>
      </c>
      <c r="M1466" s="154"/>
      <c r="N1466" s="154" t="s">
        <v>759</v>
      </c>
      <c r="O1466" s="247" t="s">
        <v>516</v>
      </c>
      <c r="P1466" s="247" t="s">
        <v>6776</v>
      </c>
      <c r="Q1466" s="154" t="str">
        <f t="shared" si="1"/>
        <v>#ERROR!</v>
      </c>
      <c r="R1466" s="154" t="s">
        <v>66</v>
      </c>
      <c r="S1466" s="154" t="s">
        <v>66</v>
      </c>
      <c r="T1466" s="154" t="s">
        <v>64</v>
      </c>
      <c r="U1466" s="154" t="s">
        <v>64</v>
      </c>
      <c r="V1466" s="154" t="s">
        <v>64</v>
      </c>
      <c r="W1466" s="154" t="s">
        <v>64</v>
      </c>
      <c r="X1466" s="154" t="s">
        <v>66</v>
      </c>
      <c r="Y1466" s="154" t="s">
        <v>64</v>
      </c>
      <c r="Z1466" s="154" t="s">
        <v>64</v>
      </c>
      <c r="AA1466" s="154"/>
      <c r="AB1466" s="242" t="str">
        <f t="shared" si="2"/>
        <v>#ERROR!</v>
      </c>
      <c r="AC1466" s="154" t="s">
        <v>391</v>
      </c>
      <c r="AD1466" s="242" t="b">
        <f t="shared" si="3"/>
        <v>0</v>
      </c>
      <c r="AE1466" s="154"/>
      <c r="AF1466" s="242" t="str">
        <f t="shared" si="4"/>
        <v>#ERROR!</v>
      </c>
      <c r="AG1466" s="154"/>
      <c r="AH1466" s="242" t="str">
        <f>IF(AG1466="","N/A",INDIRECT("MTR!"&amp;ADDRESS(MATCH(LEFT(AG1466,9),[1]MTR!C:C,0),COLUMN(J1466)),TRUE) &amp; "")</f>
        <v>#ERROR!</v>
      </c>
      <c r="AI1466" s="157" t="str">
        <f t="shared" si="5"/>
        <v>#ERROR!</v>
      </c>
    </row>
    <row r="1467" ht="12.75" customHeight="1">
      <c r="A1467" s="244" t="s">
        <v>5158</v>
      </c>
      <c r="B1467" s="244" t="s">
        <v>231</v>
      </c>
      <c r="C1467" s="244" t="s">
        <v>10453</v>
      </c>
      <c r="D1467" s="154" t="s">
        <v>861</v>
      </c>
      <c r="E1467" s="154"/>
      <c r="F1467" s="154" t="str">
        <f t="array" ref="F1467">XLOOKUP(Cover!$D$12,$R$1:$Z$1,$R1467:$Z1467)</f>
        <v>Mandatory</v>
      </c>
      <c r="G1467" s="154" t="s">
        <v>10454</v>
      </c>
      <c r="H1467" s="154" t="s">
        <v>6782</v>
      </c>
      <c r="I1467" s="154" t="s">
        <v>10450</v>
      </c>
      <c r="J1467" s="154" t="s">
        <v>6865</v>
      </c>
      <c r="K1467" s="154" t="s">
        <v>10346</v>
      </c>
      <c r="L1467" s="154" t="s">
        <v>6428</v>
      </c>
      <c r="M1467" s="154" t="s">
        <v>175</v>
      </c>
      <c r="N1467" s="154" t="s">
        <v>759</v>
      </c>
      <c r="O1467" s="247" t="s">
        <v>516</v>
      </c>
      <c r="P1467" s="247" t="s">
        <v>6776</v>
      </c>
      <c r="Q1467" s="154" t="str">
        <f t="shared" si="1"/>
        <v>#ERROR!</v>
      </c>
      <c r="R1467" s="154" t="s">
        <v>66</v>
      </c>
      <c r="S1467" s="154" t="s">
        <v>66</v>
      </c>
      <c r="T1467" s="155" t="s">
        <v>64</v>
      </c>
      <c r="U1467" s="155" t="s">
        <v>64</v>
      </c>
      <c r="V1467" s="154" t="s">
        <v>60</v>
      </c>
      <c r="W1467" s="154" t="s">
        <v>60</v>
      </c>
      <c r="X1467" s="154" t="s">
        <v>66</v>
      </c>
      <c r="Y1467" s="155" t="s">
        <v>64</v>
      </c>
      <c r="Z1467" s="154" t="s">
        <v>60</v>
      </c>
      <c r="AA1467" s="154"/>
      <c r="AB1467" s="242" t="str">
        <f t="shared" si="2"/>
        <v>#ERROR!</v>
      </c>
      <c r="AC1467" s="154" t="s">
        <v>391</v>
      </c>
      <c r="AD1467" s="242" t="b">
        <f t="shared" si="3"/>
        <v>0</v>
      </c>
      <c r="AE1467" s="154"/>
      <c r="AF1467" s="242" t="str">
        <f t="shared" si="4"/>
        <v>#ERROR!</v>
      </c>
      <c r="AG1467" s="154"/>
      <c r="AH1467" s="242" t="str">
        <f>IF(AG1467="","N/A",INDIRECT("MTR!"&amp;ADDRESS(MATCH(LEFT(AG1467,9),[1]MTR!C:C,0),COLUMN(J1467)),TRUE) &amp; "")</f>
        <v>#ERROR!</v>
      </c>
      <c r="AI1467" s="157" t="str">
        <f t="shared" si="5"/>
        <v>#ERROR!</v>
      </c>
    </row>
    <row r="1468" ht="12.75" customHeight="1">
      <c r="A1468" s="244" t="s">
        <v>5158</v>
      </c>
      <c r="B1468" s="244" t="s">
        <v>231</v>
      </c>
      <c r="C1468" s="244" t="s">
        <v>10455</v>
      </c>
      <c r="D1468" s="154" t="s">
        <v>861</v>
      </c>
      <c r="E1468" s="154"/>
      <c r="F1468" s="154" t="str">
        <f t="array" ref="F1468">XLOOKUP(Cover!$D$12,$R$1:$Z$1,$R1468:$Z1468)</f>
        <v>Mandatory</v>
      </c>
      <c r="G1468" s="154" t="s">
        <v>10456</v>
      </c>
      <c r="H1468" s="154" t="s">
        <v>9015</v>
      </c>
      <c r="I1468" s="154" t="s">
        <v>10450</v>
      </c>
      <c r="J1468" s="154" t="s">
        <v>6865</v>
      </c>
      <c r="K1468" s="154" t="s">
        <v>10346</v>
      </c>
      <c r="L1468" s="154" t="s">
        <v>6428</v>
      </c>
      <c r="M1468" s="154" t="s">
        <v>175</v>
      </c>
      <c r="N1468" s="154" t="s">
        <v>759</v>
      </c>
      <c r="O1468" s="247" t="s">
        <v>516</v>
      </c>
      <c r="P1468" s="247" t="s">
        <v>6776</v>
      </c>
      <c r="Q1468" s="154" t="str">
        <f t="shared" si="1"/>
        <v>#ERROR!</v>
      </c>
      <c r="R1468" s="154" t="s">
        <v>66</v>
      </c>
      <c r="S1468" s="154" t="s">
        <v>66</v>
      </c>
      <c r="T1468" s="155" t="s">
        <v>64</v>
      </c>
      <c r="U1468" s="155" t="s">
        <v>64</v>
      </c>
      <c r="V1468" s="154" t="s">
        <v>60</v>
      </c>
      <c r="W1468" s="154" t="s">
        <v>60</v>
      </c>
      <c r="X1468" s="154" t="s">
        <v>66</v>
      </c>
      <c r="Y1468" s="155" t="s">
        <v>64</v>
      </c>
      <c r="Z1468" s="154" t="s">
        <v>60</v>
      </c>
      <c r="AA1468" s="154"/>
      <c r="AB1468" s="242" t="str">
        <f t="shared" si="2"/>
        <v>#ERROR!</v>
      </c>
      <c r="AC1468" s="154" t="s">
        <v>391</v>
      </c>
      <c r="AD1468" s="242" t="b">
        <f t="shared" si="3"/>
        <v>0</v>
      </c>
      <c r="AE1468" s="154"/>
      <c r="AF1468" s="242" t="str">
        <f t="shared" si="4"/>
        <v>#ERROR!</v>
      </c>
      <c r="AG1468" s="154"/>
      <c r="AH1468" s="242" t="str">
        <f>IF(AG1468="","N/A",INDIRECT("MTR!"&amp;ADDRESS(MATCH(LEFT(AG1468,9),[1]MTR!C:C,0),COLUMN(J1468)),TRUE) &amp; "")</f>
        <v>#ERROR!</v>
      </c>
      <c r="AI1468" s="157" t="str">
        <f t="shared" si="5"/>
        <v>#ERROR!</v>
      </c>
    </row>
    <row r="1469" ht="12.75" customHeight="1">
      <c r="A1469" s="244" t="s">
        <v>5158</v>
      </c>
      <c r="B1469" s="244" t="s">
        <v>231</v>
      </c>
      <c r="C1469" s="244" t="s">
        <v>10457</v>
      </c>
      <c r="D1469" s="154" t="s">
        <v>1315</v>
      </c>
      <c r="E1469" s="154"/>
      <c r="F1469" s="154" t="str">
        <f t="array" ref="F1469">XLOOKUP(Cover!$D$12,$R$1:$Z$1,$R1469:$Z1469)</f>
        <v>Recommended</v>
      </c>
      <c r="G1469" s="154" t="s">
        <v>10458</v>
      </c>
      <c r="H1469" s="154" t="s">
        <v>6775</v>
      </c>
      <c r="I1469" s="154" t="s">
        <v>10459</v>
      </c>
      <c r="J1469" s="154" t="s">
        <v>6872</v>
      </c>
      <c r="K1469" s="154" t="s">
        <v>10346</v>
      </c>
      <c r="L1469" s="154" t="s">
        <v>6022</v>
      </c>
      <c r="M1469" s="154"/>
      <c r="N1469" s="154" t="s">
        <v>759</v>
      </c>
      <c r="O1469" s="247" t="s">
        <v>516</v>
      </c>
      <c r="P1469" s="247" t="s">
        <v>6776</v>
      </c>
      <c r="Q1469" s="154" t="str">
        <f t="shared" si="1"/>
        <v>#ERROR!</v>
      </c>
      <c r="R1469" s="154" t="s">
        <v>66</v>
      </c>
      <c r="S1469" s="154" t="s">
        <v>66</v>
      </c>
      <c r="T1469" s="154" t="s">
        <v>64</v>
      </c>
      <c r="U1469" s="154" t="s">
        <v>64</v>
      </c>
      <c r="V1469" s="154" t="s">
        <v>64</v>
      </c>
      <c r="W1469" s="154" t="s">
        <v>64</v>
      </c>
      <c r="X1469" s="154" t="s">
        <v>66</v>
      </c>
      <c r="Y1469" s="154" t="s">
        <v>64</v>
      </c>
      <c r="Z1469" s="154" t="s">
        <v>64</v>
      </c>
      <c r="AA1469" s="154"/>
      <c r="AB1469" s="242" t="str">
        <f t="shared" si="2"/>
        <v>#ERROR!</v>
      </c>
      <c r="AC1469" s="154" t="s">
        <v>391</v>
      </c>
      <c r="AD1469" s="242" t="b">
        <f t="shared" si="3"/>
        <v>0</v>
      </c>
      <c r="AE1469" s="154"/>
      <c r="AF1469" s="242" t="str">
        <f t="shared" si="4"/>
        <v>#ERROR!</v>
      </c>
      <c r="AG1469" s="154"/>
      <c r="AH1469" s="242" t="str">
        <f>IF(AG1469="","N/A",INDIRECT("MTR!"&amp;ADDRESS(MATCH(LEFT(AG1469,9),[1]MTR!C:C,0),COLUMN(J1469)),TRUE) &amp; "")</f>
        <v>#ERROR!</v>
      </c>
      <c r="AI1469" s="157" t="str">
        <f t="shared" si="5"/>
        <v>#ERROR!</v>
      </c>
    </row>
    <row r="1470" ht="12.75" customHeight="1">
      <c r="A1470" s="244" t="s">
        <v>5158</v>
      </c>
      <c r="B1470" s="244" t="s">
        <v>231</v>
      </c>
      <c r="C1470" s="244" t="s">
        <v>10460</v>
      </c>
      <c r="D1470" s="154" t="s">
        <v>1315</v>
      </c>
      <c r="E1470" s="154"/>
      <c r="F1470" s="154" t="str">
        <f t="array" ref="F1470">XLOOKUP(Cover!$D$12,$R$1:$Z$1,$R1470:$Z1470)</f>
        <v>Recommended</v>
      </c>
      <c r="G1470" s="154" t="s">
        <v>10461</v>
      </c>
      <c r="H1470" s="154" t="s">
        <v>6785</v>
      </c>
      <c r="I1470" s="154" t="s">
        <v>10459</v>
      </c>
      <c r="J1470" s="154" t="s">
        <v>6872</v>
      </c>
      <c r="K1470" s="154" t="s">
        <v>10346</v>
      </c>
      <c r="L1470" s="154" t="s">
        <v>6022</v>
      </c>
      <c r="M1470" s="154"/>
      <c r="N1470" s="154" t="s">
        <v>759</v>
      </c>
      <c r="O1470" s="247" t="s">
        <v>516</v>
      </c>
      <c r="P1470" s="247" t="s">
        <v>6776</v>
      </c>
      <c r="Q1470" s="154" t="str">
        <f t="shared" si="1"/>
        <v>#ERROR!</v>
      </c>
      <c r="R1470" s="154" t="s">
        <v>66</v>
      </c>
      <c r="S1470" s="154" t="s">
        <v>66</v>
      </c>
      <c r="T1470" s="154" t="s">
        <v>64</v>
      </c>
      <c r="U1470" s="154" t="s">
        <v>64</v>
      </c>
      <c r="V1470" s="154" t="s">
        <v>64</v>
      </c>
      <c r="W1470" s="154" t="s">
        <v>64</v>
      </c>
      <c r="X1470" s="154" t="s">
        <v>66</v>
      </c>
      <c r="Y1470" s="154" t="s">
        <v>64</v>
      </c>
      <c r="Z1470" s="154" t="s">
        <v>64</v>
      </c>
      <c r="AA1470" s="154"/>
      <c r="AB1470" s="242" t="str">
        <f t="shared" si="2"/>
        <v>#ERROR!</v>
      </c>
      <c r="AC1470" s="154" t="s">
        <v>391</v>
      </c>
      <c r="AD1470" s="242" t="b">
        <f t="shared" si="3"/>
        <v>0</v>
      </c>
      <c r="AE1470" s="154"/>
      <c r="AF1470" s="242" t="str">
        <f t="shared" si="4"/>
        <v>#ERROR!</v>
      </c>
      <c r="AG1470" s="154"/>
      <c r="AH1470" s="242" t="str">
        <f>IF(AG1470="","N/A",INDIRECT("MTR!"&amp;ADDRESS(MATCH(LEFT(AG1470,9),[1]MTR!C:C,0),COLUMN(J1470)),TRUE) &amp; "")</f>
        <v>#ERROR!</v>
      </c>
      <c r="AI1470" s="157" t="str">
        <f t="shared" si="5"/>
        <v>#ERROR!</v>
      </c>
    </row>
    <row r="1471" ht="12.75" customHeight="1">
      <c r="A1471" s="244" t="s">
        <v>5158</v>
      </c>
      <c r="B1471" s="244" t="s">
        <v>231</v>
      </c>
      <c r="C1471" s="244" t="s">
        <v>10462</v>
      </c>
      <c r="D1471" s="154" t="s">
        <v>1315</v>
      </c>
      <c r="E1471" s="154"/>
      <c r="F1471" s="154" t="str">
        <f t="array" ref="F1471">XLOOKUP(Cover!$D$12,$R$1:$Z$1,$R1471:$Z1471)</f>
        <v>Recommended</v>
      </c>
      <c r="G1471" s="154" t="s">
        <v>10463</v>
      </c>
      <c r="H1471" s="154" t="s">
        <v>9009</v>
      </c>
      <c r="I1471" s="154" t="s">
        <v>10459</v>
      </c>
      <c r="J1471" s="154" t="s">
        <v>6872</v>
      </c>
      <c r="K1471" s="154" t="s">
        <v>10346</v>
      </c>
      <c r="L1471" s="154" t="s">
        <v>6022</v>
      </c>
      <c r="M1471" s="154"/>
      <c r="N1471" s="154" t="s">
        <v>759</v>
      </c>
      <c r="O1471" s="247" t="s">
        <v>516</v>
      </c>
      <c r="P1471" s="247" t="s">
        <v>6776</v>
      </c>
      <c r="Q1471" s="154" t="str">
        <f t="shared" si="1"/>
        <v>#ERROR!</v>
      </c>
      <c r="R1471" s="154" t="s">
        <v>66</v>
      </c>
      <c r="S1471" s="154" t="s">
        <v>66</v>
      </c>
      <c r="T1471" s="154" t="s">
        <v>64</v>
      </c>
      <c r="U1471" s="154" t="s">
        <v>64</v>
      </c>
      <c r="V1471" s="154" t="s">
        <v>64</v>
      </c>
      <c r="W1471" s="154" t="s">
        <v>64</v>
      </c>
      <c r="X1471" s="154" t="s">
        <v>66</v>
      </c>
      <c r="Y1471" s="154" t="s">
        <v>64</v>
      </c>
      <c r="Z1471" s="154" t="s">
        <v>64</v>
      </c>
      <c r="AA1471" s="154"/>
      <c r="AB1471" s="242" t="str">
        <f t="shared" si="2"/>
        <v>#ERROR!</v>
      </c>
      <c r="AC1471" s="154" t="s">
        <v>391</v>
      </c>
      <c r="AD1471" s="242" t="b">
        <f t="shared" si="3"/>
        <v>0</v>
      </c>
      <c r="AE1471" s="154"/>
      <c r="AF1471" s="242" t="str">
        <f t="shared" si="4"/>
        <v>#ERROR!</v>
      </c>
      <c r="AG1471" s="154"/>
      <c r="AH1471" s="242" t="str">
        <f>IF(AG1471="","N/A",INDIRECT("MTR!"&amp;ADDRESS(MATCH(LEFT(AG1471,9),[1]MTR!C:C,0),COLUMN(J1471)),TRUE) &amp; "")</f>
        <v>#ERROR!</v>
      </c>
      <c r="AI1471" s="157" t="str">
        <f t="shared" si="5"/>
        <v>#ERROR!</v>
      </c>
    </row>
    <row r="1472" ht="12.75" customHeight="1">
      <c r="A1472" s="244" t="s">
        <v>5158</v>
      </c>
      <c r="B1472" s="244" t="s">
        <v>231</v>
      </c>
      <c r="C1472" s="244" t="s">
        <v>10464</v>
      </c>
      <c r="D1472" s="154" t="s">
        <v>1315</v>
      </c>
      <c r="E1472" s="154"/>
      <c r="F1472" s="154" t="str">
        <f t="array" ref="F1472">XLOOKUP(Cover!$D$12,$R$1:$Z$1,$R1472:$Z1472)</f>
        <v>Recommended</v>
      </c>
      <c r="G1472" s="154" t="s">
        <v>10465</v>
      </c>
      <c r="H1472" s="154" t="s">
        <v>1541</v>
      </c>
      <c r="I1472" s="154" t="s">
        <v>10459</v>
      </c>
      <c r="J1472" s="154" t="s">
        <v>6872</v>
      </c>
      <c r="K1472" s="154" t="s">
        <v>10346</v>
      </c>
      <c r="L1472" s="154" t="s">
        <v>6022</v>
      </c>
      <c r="M1472" s="154"/>
      <c r="N1472" s="154" t="s">
        <v>759</v>
      </c>
      <c r="O1472" s="247" t="s">
        <v>516</v>
      </c>
      <c r="P1472" s="247" t="s">
        <v>6776</v>
      </c>
      <c r="Q1472" s="154" t="str">
        <f t="shared" si="1"/>
        <v>#ERROR!</v>
      </c>
      <c r="R1472" s="154" t="s">
        <v>66</v>
      </c>
      <c r="S1472" s="154" t="s">
        <v>66</v>
      </c>
      <c r="T1472" s="154" t="s">
        <v>64</v>
      </c>
      <c r="U1472" s="154" t="s">
        <v>64</v>
      </c>
      <c r="V1472" s="154" t="s">
        <v>64</v>
      </c>
      <c r="W1472" s="154" t="s">
        <v>64</v>
      </c>
      <c r="X1472" s="154" t="s">
        <v>66</v>
      </c>
      <c r="Y1472" s="154" t="s">
        <v>64</v>
      </c>
      <c r="Z1472" s="154" t="s">
        <v>64</v>
      </c>
      <c r="AA1472" s="154"/>
      <c r="AB1472" s="242" t="str">
        <f t="shared" si="2"/>
        <v>#ERROR!</v>
      </c>
      <c r="AC1472" s="154" t="s">
        <v>391</v>
      </c>
      <c r="AD1472" s="242" t="b">
        <f t="shared" si="3"/>
        <v>0</v>
      </c>
      <c r="AE1472" s="154"/>
      <c r="AF1472" s="242" t="str">
        <f t="shared" si="4"/>
        <v>#ERROR!</v>
      </c>
      <c r="AG1472" s="154"/>
      <c r="AH1472" s="242" t="str">
        <f>IF(AG1472="","N/A",INDIRECT("MTR!"&amp;ADDRESS(MATCH(LEFT(AG1472,9),[1]MTR!C:C,0),COLUMN(J1472)),TRUE) &amp; "")</f>
        <v>#ERROR!</v>
      </c>
      <c r="AI1472" s="157" t="str">
        <f t="shared" si="5"/>
        <v>#ERROR!</v>
      </c>
    </row>
    <row r="1473" ht="12.75" customHeight="1">
      <c r="A1473" s="244" t="s">
        <v>5158</v>
      </c>
      <c r="B1473" s="244" t="s">
        <v>231</v>
      </c>
      <c r="C1473" s="244" t="s">
        <v>10466</v>
      </c>
      <c r="D1473" s="154" t="s">
        <v>503</v>
      </c>
      <c r="E1473" s="154"/>
      <c r="F1473" s="154" t="str">
        <f t="array" ref="F1473">XLOOKUP(Cover!$D$12,$R$1:$Z$1,$R1473:$Z1473)</f>
        <v>Recommended</v>
      </c>
      <c r="G1473" s="154" t="s">
        <v>10467</v>
      </c>
      <c r="H1473" s="154" t="s">
        <v>6775</v>
      </c>
      <c r="I1473" s="154" t="s">
        <v>10468</v>
      </c>
      <c r="J1473" s="154" t="s">
        <v>6879</v>
      </c>
      <c r="K1473" s="154" t="s">
        <v>10346</v>
      </c>
      <c r="L1473" s="154" t="s">
        <v>6463</v>
      </c>
      <c r="M1473" s="154"/>
      <c r="N1473" s="154" t="s">
        <v>759</v>
      </c>
      <c r="O1473" s="247" t="s">
        <v>516</v>
      </c>
      <c r="P1473" s="247" t="s">
        <v>6776</v>
      </c>
      <c r="Q1473" s="154" t="str">
        <f t="shared" si="1"/>
        <v>#ERROR!</v>
      </c>
      <c r="R1473" s="154" t="s">
        <v>66</v>
      </c>
      <c r="S1473" s="154" t="s">
        <v>66</v>
      </c>
      <c r="T1473" s="154" t="s">
        <v>64</v>
      </c>
      <c r="U1473" s="154" t="s">
        <v>64</v>
      </c>
      <c r="V1473" s="154" t="s">
        <v>64</v>
      </c>
      <c r="W1473" s="154" t="s">
        <v>64</v>
      </c>
      <c r="X1473" s="154" t="s">
        <v>66</v>
      </c>
      <c r="Y1473" s="154" t="s">
        <v>64</v>
      </c>
      <c r="Z1473" s="154" t="s">
        <v>64</v>
      </c>
      <c r="AA1473" s="154"/>
      <c r="AB1473" s="242" t="str">
        <f t="shared" si="2"/>
        <v>#ERROR!</v>
      </c>
      <c r="AC1473" s="154" t="s">
        <v>391</v>
      </c>
      <c r="AD1473" s="242" t="b">
        <f t="shared" si="3"/>
        <v>0</v>
      </c>
      <c r="AE1473" s="154"/>
      <c r="AF1473" s="242" t="str">
        <f t="shared" si="4"/>
        <v>#ERROR!</v>
      </c>
      <c r="AG1473" s="154"/>
      <c r="AH1473" s="242" t="str">
        <f>IF(AG1473="","N/A",INDIRECT("MTR!"&amp;ADDRESS(MATCH(LEFT(AG1473,9),[1]MTR!C:C,0),COLUMN(J1473)),TRUE) &amp; "")</f>
        <v>#ERROR!</v>
      </c>
      <c r="AI1473" s="157" t="str">
        <f t="shared" si="5"/>
        <v>#ERROR!</v>
      </c>
    </row>
    <row r="1474" ht="12.75" customHeight="1">
      <c r="A1474" s="244" t="s">
        <v>5158</v>
      </c>
      <c r="B1474" s="244" t="s">
        <v>231</v>
      </c>
      <c r="C1474" s="244" t="s">
        <v>10469</v>
      </c>
      <c r="D1474" s="154" t="s">
        <v>503</v>
      </c>
      <c r="E1474" s="154"/>
      <c r="F1474" s="154" t="str">
        <f t="array" ref="F1474">XLOOKUP(Cover!$D$12,$R$1:$Z$1,$R1474:$Z1474)</f>
        <v>Recommended</v>
      </c>
      <c r="G1474" s="154" t="s">
        <v>10470</v>
      </c>
      <c r="H1474" s="154" t="s">
        <v>9009</v>
      </c>
      <c r="I1474" s="154" t="s">
        <v>10468</v>
      </c>
      <c r="J1474" s="154" t="s">
        <v>6879</v>
      </c>
      <c r="K1474" s="154" t="s">
        <v>10346</v>
      </c>
      <c r="L1474" s="154" t="s">
        <v>6463</v>
      </c>
      <c r="M1474" s="154"/>
      <c r="N1474" s="154" t="s">
        <v>759</v>
      </c>
      <c r="O1474" s="247" t="s">
        <v>516</v>
      </c>
      <c r="P1474" s="247" t="s">
        <v>6776</v>
      </c>
      <c r="Q1474" s="154" t="str">
        <f t="shared" si="1"/>
        <v>#ERROR!</v>
      </c>
      <c r="R1474" s="154" t="s">
        <v>66</v>
      </c>
      <c r="S1474" s="154" t="s">
        <v>66</v>
      </c>
      <c r="T1474" s="154" t="s">
        <v>64</v>
      </c>
      <c r="U1474" s="154" t="s">
        <v>64</v>
      </c>
      <c r="V1474" s="154" t="s">
        <v>64</v>
      </c>
      <c r="W1474" s="154" t="s">
        <v>64</v>
      </c>
      <c r="X1474" s="154" t="s">
        <v>66</v>
      </c>
      <c r="Y1474" s="154" t="s">
        <v>64</v>
      </c>
      <c r="Z1474" s="154" t="s">
        <v>64</v>
      </c>
      <c r="AA1474" s="154"/>
      <c r="AB1474" s="242" t="str">
        <f t="shared" si="2"/>
        <v>#ERROR!</v>
      </c>
      <c r="AC1474" s="154" t="s">
        <v>391</v>
      </c>
      <c r="AD1474" s="242" t="b">
        <f t="shared" si="3"/>
        <v>0</v>
      </c>
      <c r="AE1474" s="154"/>
      <c r="AF1474" s="242" t="str">
        <f t="shared" si="4"/>
        <v>#ERROR!</v>
      </c>
      <c r="AG1474" s="154"/>
      <c r="AH1474" s="242" t="str">
        <f>IF(AG1474="","N/A",INDIRECT("MTR!"&amp;ADDRESS(MATCH(LEFT(AG1474,9),[1]MTR!C:C,0),COLUMN(J1474)),TRUE) &amp; "")</f>
        <v>#ERROR!</v>
      </c>
      <c r="AI1474" s="157" t="str">
        <f t="shared" si="5"/>
        <v>#ERROR!</v>
      </c>
    </row>
    <row r="1475" ht="12.75" customHeight="1">
      <c r="A1475" s="244" t="s">
        <v>5158</v>
      </c>
      <c r="B1475" s="244" t="s">
        <v>231</v>
      </c>
      <c r="C1475" s="244" t="s">
        <v>10471</v>
      </c>
      <c r="D1475" s="154" t="s">
        <v>781</v>
      </c>
      <c r="E1475" s="154"/>
      <c r="F1475" s="154" t="str">
        <f t="array" ref="F1475">XLOOKUP(Cover!$D$12,$R$1:$Z$1,$R1475:$Z1475)</f>
        <v>Mandatory</v>
      </c>
      <c r="G1475" s="154" t="s">
        <v>10472</v>
      </c>
      <c r="H1475" s="154" t="s">
        <v>6771</v>
      </c>
      <c r="I1475" s="154" t="s">
        <v>10473</v>
      </c>
      <c r="J1475" s="154" t="s">
        <v>6927</v>
      </c>
      <c r="K1475" s="154" t="s">
        <v>10346</v>
      </c>
      <c r="L1475" s="154" t="s">
        <v>6140</v>
      </c>
      <c r="M1475" s="154" t="s">
        <v>175</v>
      </c>
      <c r="N1475" s="154" t="s">
        <v>759</v>
      </c>
      <c r="O1475" s="247" t="s">
        <v>516</v>
      </c>
      <c r="P1475" s="247" t="s">
        <v>6776</v>
      </c>
      <c r="Q1475" s="154" t="str">
        <f t="shared" si="1"/>
        <v>#ERROR!</v>
      </c>
      <c r="R1475" s="154" t="s">
        <v>66</v>
      </c>
      <c r="S1475" s="154" t="s">
        <v>66</v>
      </c>
      <c r="T1475" s="155" t="s">
        <v>64</v>
      </c>
      <c r="U1475" s="155" t="s">
        <v>64</v>
      </c>
      <c r="V1475" s="154" t="s">
        <v>60</v>
      </c>
      <c r="W1475" s="154" t="s">
        <v>60</v>
      </c>
      <c r="X1475" s="154" t="s">
        <v>66</v>
      </c>
      <c r="Y1475" s="155" t="s">
        <v>64</v>
      </c>
      <c r="Z1475" s="154" t="s">
        <v>60</v>
      </c>
      <c r="AA1475" s="154"/>
      <c r="AB1475" s="242" t="str">
        <f t="shared" si="2"/>
        <v>#ERROR!</v>
      </c>
      <c r="AC1475" s="154" t="s">
        <v>391</v>
      </c>
      <c r="AD1475" s="242" t="b">
        <f t="shared" si="3"/>
        <v>0</v>
      </c>
      <c r="AE1475" s="154"/>
      <c r="AF1475" s="242" t="str">
        <f t="shared" si="4"/>
        <v>#ERROR!</v>
      </c>
      <c r="AG1475" s="154"/>
      <c r="AH1475" s="242" t="str">
        <f>IF(AG1475="","N/A",INDIRECT("MTR!"&amp;ADDRESS(MATCH(LEFT(AG1475,9),[1]MTR!C:C,0),COLUMN(J1475)),TRUE) &amp; "")</f>
        <v>#ERROR!</v>
      </c>
      <c r="AI1475" s="157" t="str">
        <f t="shared" si="5"/>
        <v>#ERROR!</v>
      </c>
    </row>
    <row r="1476" ht="12.75" customHeight="1">
      <c r="A1476" s="244" t="s">
        <v>5158</v>
      </c>
      <c r="B1476" s="244" t="s">
        <v>231</v>
      </c>
      <c r="C1476" s="244" t="s">
        <v>10474</v>
      </c>
      <c r="D1476" s="154" t="s">
        <v>781</v>
      </c>
      <c r="E1476" s="154"/>
      <c r="F1476" s="154" t="str">
        <f t="array" ref="F1476">XLOOKUP(Cover!$D$12,$R$1:$Z$1,$R1476:$Z1476)</f>
        <v>Mandatory</v>
      </c>
      <c r="G1476" s="154" t="s">
        <v>10475</v>
      </c>
      <c r="H1476" s="154" t="s">
        <v>9006</v>
      </c>
      <c r="I1476" s="154" t="s">
        <v>10473</v>
      </c>
      <c r="J1476" s="154" t="s">
        <v>6927</v>
      </c>
      <c r="K1476" s="154" t="s">
        <v>10346</v>
      </c>
      <c r="L1476" s="154" t="s">
        <v>6140</v>
      </c>
      <c r="M1476" s="154" t="s">
        <v>175</v>
      </c>
      <c r="N1476" s="154" t="s">
        <v>759</v>
      </c>
      <c r="O1476" s="247" t="s">
        <v>516</v>
      </c>
      <c r="P1476" s="247" t="s">
        <v>6776</v>
      </c>
      <c r="Q1476" s="154" t="str">
        <f t="shared" si="1"/>
        <v>#ERROR!</v>
      </c>
      <c r="R1476" s="154" t="s">
        <v>66</v>
      </c>
      <c r="S1476" s="154" t="s">
        <v>66</v>
      </c>
      <c r="T1476" s="155" t="s">
        <v>64</v>
      </c>
      <c r="U1476" s="155" t="s">
        <v>64</v>
      </c>
      <c r="V1476" s="154" t="s">
        <v>60</v>
      </c>
      <c r="W1476" s="154" t="s">
        <v>60</v>
      </c>
      <c r="X1476" s="154" t="s">
        <v>66</v>
      </c>
      <c r="Y1476" s="155" t="s">
        <v>64</v>
      </c>
      <c r="Z1476" s="154" t="s">
        <v>60</v>
      </c>
      <c r="AA1476" s="154"/>
      <c r="AB1476" s="242" t="str">
        <f t="shared" si="2"/>
        <v>#ERROR!</v>
      </c>
      <c r="AC1476" s="154" t="s">
        <v>391</v>
      </c>
      <c r="AD1476" s="242" t="b">
        <f t="shared" si="3"/>
        <v>0</v>
      </c>
      <c r="AE1476" s="154"/>
      <c r="AF1476" s="242" t="str">
        <f t="shared" si="4"/>
        <v>#ERROR!</v>
      </c>
      <c r="AG1476" s="154"/>
      <c r="AH1476" s="242" t="str">
        <f>IF(AG1476="","N/A",INDIRECT("MTR!"&amp;ADDRESS(MATCH(LEFT(AG1476,9),[1]MTR!C:C,0),COLUMN(J1476)),TRUE) &amp; "")</f>
        <v>#ERROR!</v>
      </c>
      <c r="AI1476" s="157" t="str">
        <f t="shared" si="5"/>
        <v>#ERROR!</v>
      </c>
    </row>
    <row r="1477" ht="12.75" customHeight="1">
      <c r="A1477" s="244" t="s">
        <v>5158</v>
      </c>
      <c r="B1477" s="244" t="s">
        <v>231</v>
      </c>
      <c r="C1477" s="244" t="s">
        <v>10476</v>
      </c>
      <c r="D1477" s="154" t="s">
        <v>861</v>
      </c>
      <c r="E1477" s="154"/>
      <c r="F1477" s="154" t="str">
        <f t="array" ref="F1477">XLOOKUP(Cover!$D$12,$R$1:$Z$1,$R1477:$Z1477)</f>
        <v>Mandatory</v>
      </c>
      <c r="G1477" s="154" t="s">
        <v>10477</v>
      </c>
      <c r="H1477" s="154" t="s">
        <v>6808</v>
      </c>
      <c r="I1477" s="154" t="s">
        <v>10473</v>
      </c>
      <c r="J1477" s="154" t="s">
        <v>6927</v>
      </c>
      <c r="K1477" s="154" t="s">
        <v>10346</v>
      </c>
      <c r="L1477" s="154" t="s">
        <v>6428</v>
      </c>
      <c r="M1477" s="154" t="s">
        <v>175</v>
      </c>
      <c r="N1477" s="154" t="s">
        <v>759</v>
      </c>
      <c r="O1477" s="247" t="s">
        <v>516</v>
      </c>
      <c r="P1477" s="247" t="s">
        <v>6776</v>
      </c>
      <c r="Q1477" s="154" t="str">
        <f t="shared" si="1"/>
        <v>#ERROR!</v>
      </c>
      <c r="R1477" s="154" t="s">
        <v>66</v>
      </c>
      <c r="S1477" s="154" t="s">
        <v>66</v>
      </c>
      <c r="T1477" s="155" t="s">
        <v>64</v>
      </c>
      <c r="U1477" s="155" t="s">
        <v>64</v>
      </c>
      <c r="V1477" s="154" t="s">
        <v>60</v>
      </c>
      <c r="W1477" s="154" t="s">
        <v>60</v>
      </c>
      <c r="X1477" s="154" t="s">
        <v>66</v>
      </c>
      <c r="Y1477" s="155" t="s">
        <v>64</v>
      </c>
      <c r="Z1477" s="154" t="s">
        <v>60</v>
      </c>
      <c r="AA1477" s="154"/>
      <c r="AB1477" s="242" t="str">
        <f t="shared" si="2"/>
        <v>#ERROR!</v>
      </c>
      <c r="AC1477" s="154" t="s">
        <v>391</v>
      </c>
      <c r="AD1477" s="242" t="b">
        <f t="shared" si="3"/>
        <v>0</v>
      </c>
      <c r="AE1477" s="154"/>
      <c r="AF1477" s="242" t="str">
        <f t="shared" si="4"/>
        <v>#ERROR!</v>
      </c>
      <c r="AG1477" s="154"/>
      <c r="AH1477" s="242" t="str">
        <f>IF(AG1477="","N/A",INDIRECT("MTR!"&amp;ADDRESS(MATCH(LEFT(AG1477,9),[1]MTR!C:C,0),COLUMN(J1477)),TRUE) &amp; "")</f>
        <v>#ERROR!</v>
      </c>
      <c r="AI1477" s="157" t="str">
        <f t="shared" si="5"/>
        <v>#ERROR!</v>
      </c>
    </row>
    <row r="1478" ht="12.75" customHeight="1">
      <c r="A1478" s="244" t="s">
        <v>5158</v>
      </c>
      <c r="B1478" s="244" t="s">
        <v>231</v>
      </c>
      <c r="C1478" s="244" t="s">
        <v>10478</v>
      </c>
      <c r="D1478" s="154" t="s">
        <v>861</v>
      </c>
      <c r="E1478" s="154"/>
      <c r="F1478" s="154" t="str">
        <f t="array" ref="F1478">XLOOKUP(Cover!$D$12,$R$1:$Z$1,$R1478:$Z1478)</f>
        <v>Mandatory</v>
      </c>
      <c r="G1478" s="154" t="s">
        <v>10479</v>
      </c>
      <c r="H1478" s="154" t="s">
        <v>9053</v>
      </c>
      <c r="I1478" s="154" t="s">
        <v>10473</v>
      </c>
      <c r="J1478" s="154" t="s">
        <v>6927</v>
      </c>
      <c r="K1478" s="154" t="s">
        <v>10346</v>
      </c>
      <c r="L1478" s="154" t="s">
        <v>6428</v>
      </c>
      <c r="M1478" s="154" t="s">
        <v>175</v>
      </c>
      <c r="N1478" s="154" t="s">
        <v>759</v>
      </c>
      <c r="O1478" s="247" t="s">
        <v>516</v>
      </c>
      <c r="P1478" s="247" t="s">
        <v>6776</v>
      </c>
      <c r="Q1478" s="154" t="str">
        <f t="shared" si="1"/>
        <v>#ERROR!</v>
      </c>
      <c r="R1478" s="154" t="s">
        <v>66</v>
      </c>
      <c r="S1478" s="154" t="s">
        <v>66</v>
      </c>
      <c r="T1478" s="155" t="s">
        <v>64</v>
      </c>
      <c r="U1478" s="155" t="s">
        <v>64</v>
      </c>
      <c r="V1478" s="154" t="s">
        <v>60</v>
      </c>
      <c r="W1478" s="154" t="s">
        <v>60</v>
      </c>
      <c r="X1478" s="154" t="s">
        <v>66</v>
      </c>
      <c r="Y1478" s="155" t="s">
        <v>64</v>
      </c>
      <c r="Z1478" s="154" t="s">
        <v>60</v>
      </c>
      <c r="AA1478" s="154"/>
      <c r="AB1478" s="242" t="str">
        <f t="shared" si="2"/>
        <v>#ERROR!</v>
      </c>
      <c r="AC1478" s="154" t="s">
        <v>391</v>
      </c>
      <c r="AD1478" s="242" t="b">
        <f t="shared" si="3"/>
        <v>0</v>
      </c>
      <c r="AE1478" s="154"/>
      <c r="AF1478" s="242" t="str">
        <f t="shared" si="4"/>
        <v>#ERROR!</v>
      </c>
      <c r="AG1478" s="154"/>
      <c r="AH1478" s="242" t="str">
        <f>IF(AG1478="","N/A",INDIRECT("MTR!"&amp;ADDRESS(MATCH(LEFT(AG1478,9),[1]MTR!C:C,0),COLUMN(J1478)),TRUE) &amp; "")</f>
        <v>#ERROR!</v>
      </c>
      <c r="AI1478" s="157" t="str">
        <f t="shared" si="5"/>
        <v>#ERROR!</v>
      </c>
    </row>
    <row r="1479" ht="12.75" customHeight="1">
      <c r="A1479" s="244" t="s">
        <v>5158</v>
      </c>
      <c r="B1479" s="244" t="s">
        <v>231</v>
      </c>
      <c r="C1479" s="244" t="s">
        <v>10480</v>
      </c>
      <c r="D1479" s="154" t="s">
        <v>781</v>
      </c>
      <c r="E1479" s="154"/>
      <c r="F1479" s="154" t="str">
        <f t="array" ref="F1479">XLOOKUP(Cover!$D$12,$R$1:$Z$1,$R1479:$Z1479)</f>
        <v>Recommended</v>
      </c>
      <c r="G1479" s="154" t="s">
        <v>10481</v>
      </c>
      <c r="H1479" s="154" t="s">
        <v>6775</v>
      </c>
      <c r="I1479" s="154" t="s">
        <v>10473</v>
      </c>
      <c r="J1479" s="154" t="s">
        <v>6927</v>
      </c>
      <c r="K1479" s="154" t="s">
        <v>10346</v>
      </c>
      <c r="L1479" s="154" t="s">
        <v>6140</v>
      </c>
      <c r="M1479" s="154"/>
      <c r="N1479" s="154" t="s">
        <v>759</v>
      </c>
      <c r="O1479" s="247" t="s">
        <v>516</v>
      </c>
      <c r="P1479" s="247" t="s">
        <v>6776</v>
      </c>
      <c r="Q1479" s="154" t="str">
        <f t="shared" si="1"/>
        <v>#ERROR!</v>
      </c>
      <c r="R1479" s="154" t="s">
        <v>66</v>
      </c>
      <c r="S1479" s="154" t="s">
        <v>66</v>
      </c>
      <c r="T1479" s="154" t="s">
        <v>64</v>
      </c>
      <c r="U1479" s="154" t="s">
        <v>64</v>
      </c>
      <c r="V1479" s="154" t="s">
        <v>64</v>
      </c>
      <c r="W1479" s="154" t="s">
        <v>64</v>
      </c>
      <c r="X1479" s="154" t="s">
        <v>66</v>
      </c>
      <c r="Y1479" s="154" t="s">
        <v>64</v>
      </c>
      <c r="Z1479" s="154" t="s">
        <v>64</v>
      </c>
      <c r="AA1479" s="154"/>
      <c r="AB1479" s="242" t="str">
        <f t="shared" si="2"/>
        <v>#ERROR!</v>
      </c>
      <c r="AC1479" s="154" t="s">
        <v>391</v>
      </c>
      <c r="AD1479" s="242" t="b">
        <f t="shared" si="3"/>
        <v>0</v>
      </c>
      <c r="AE1479" s="154"/>
      <c r="AF1479" s="242" t="str">
        <f t="shared" si="4"/>
        <v>#ERROR!</v>
      </c>
      <c r="AG1479" s="154"/>
      <c r="AH1479" s="242" t="str">
        <f>IF(AG1479="","N/A",INDIRECT("MTR!"&amp;ADDRESS(MATCH(LEFT(AG1479,9),[1]MTR!C:C,0),COLUMN(J1479)),TRUE) &amp; "")</f>
        <v>#ERROR!</v>
      </c>
      <c r="AI1479" s="157" t="str">
        <f t="shared" si="5"/>
        <v>#ERROR!</v>
      </c>
    </row>
    <row r="1480" ht="12.75" customHeight="1">
      <c r="A1480" s="244" t="s">
        <v>5158</v>
      </c>
      <c r="B1480" s="244" t="s">
        <v>231</v>
      </c>
      <c r="C1480" s="244" t="s">
        <v>10482</v>
      </c>
      <c r="D1480" s="154" t="s">
        <v>781</v>
      </c>
      <c r="E1480" s="154"/>
      <c r="F1480" s="154" t="str">
        <f t="array" ref="F1480">XLOOKUP(Cover!$D$12,$R$1:$Z$1,$R1480:$Z1480)</f>
        <v>Recommended</v>
      </c>
      <c r="G1480" s="154" t="s">
        <v>10483</v>
      </c>
      <c r="H1480" s="154" t="s">
        <v>9009</v>
      </c>
      <c r="I1480" s="154" t="s">
        <v>10473</v>
      </c>
      <c r="J1480" s="154" t="s">
        <v>6927</v>
      </c>
      <c r="K1480" s="154" t="s">
        <v>10346</v>
      </c>
      <c r="L1480" s="154" t="s">
        <v>6140</v>
      </c>
      <c r="M1480" s="154"/>
      <c r="N1480" s="154" t="s">
        <v>759</v>
      </c>
      <c r="O1480" s="247" t="s">
        <v>516</v>
      </c>
      <c r="P1480" s="247" t="s">
        <v>6776</v>
      </c>
      <c r="Q1480" s="154" t="str">
        <f t="shared" si="1"/>
        <v>#ERROR!</v>
      </c>
      <c r="R1480" s="154" t="s">
        <v>66</v>
      </c>
      <c r="S1480" s="154" t="s">
        <v>66</v>
      </c>
      <c r="T1480" s="154" t="s">
        <v>64</v>
      </c>
      <c r="U1480" s="154" t="s">
        <v>64</v>
      </c>
      <c r="V1480" s="154" t="s">
        <v>64</v>
      </c>
      <c r="W1480" s="154" t="s">
        <v>64</v>
      </c>
      <c r="X1480" s="154" t="s">
        <v>66</v>
      </c>
      <c r="Y1480" s="154" t="s">
        <v>64</v>
      </c>
      <c r="Z1480" s="154" t="s">
        <v>64</v>
      </c>
      <c r="AA1480" s="154"/>
      <c r="AB1480" s="242" t="str">
        <f t="shared" si="2"/>
        <v>#ERROR!</v>
      </c>
      <c r="AC1480" s="154" t="s">
        <v>391</v>
      </c>
      <c r="AD1480" s="242" t="b">
        <f t="shared" si="3"/>
        <v>0</v>
      </c>
      <c r="AE1480" s="154"/>
      <c r="AF1480" s="242" t="str">
        <f t="shared" si="4"/>
        <v>#ERROR!</v>
      </c>
      <c r="AG1480" s="154"/>
      <c r="AH1480" s="242" t="str">
        <f>IF(AG1480="","N/A",INDIRECT("MTR!"&amp;ADDRESS(MATCH(LEFT(AG1480,9),[1]MTR!C:C,0),COLUMN(J1480)),TRUE) &amp; "")</f>
        <v>#ERROR!</v>
      </c>
      <c r="AI1480" s="157" t="str">
        <f t="shared" si="5"/>
        <v>#ERROR!</v>
      </c>
    </row>
    <row r="1481" ht="12.75" customHeight="1">
      <c r="A1481" s="244" t="s">
        <v>5158</v>
      </c>
      <c r="B1481" s="244" t="s">
        <v>231</v>
      </c>
      <c r="C1481" s="245" t="s">
        <v>10484</v>
      </c>
      <c r="D1481" s="155" t="s">
        <v>542</v>
      </c>
      <c r="E1481" s="155" t="s">
        <v>92</v>
      </c>
      <c r="F1481" s="154" t="str">
        <f t="array" ref="F1481">XLOOKUP(Cover!$D$12,$R$1:$Z$1,$R1481:$Z1481)</f>
        <v>Information</v>
      </c>
      <c r="G1481" s="154" t="s">
        <v>10485</v>
      </c>
      <c r="H1481" s="154" t="s">
        <v>6771</v>
      </c>
      <c r="I1481" s="154" t="s">
        <v>10486</v>
      </c>
      <c r="J1481" s="154" t="s">
        <v>6935</v>
      </c>
      <c r="K1481" s="154" t="s">
        <v>10346</v>
      </c>
      <c r="L1481" s="154" t="s">
        <v>6140</v>
      </c>
      <c r="M1481" s="154"/>
      <c r="N1481" s="154" t="s">
        <v>759</v>
      </c>
      <c r="O1481" s="247" t="s">
        <v>516</v>
      </c>
      <c r="P1481" s="247" t="s">
        <v>6776</v>
      </c>
      <c r="Q1481" s="154" t="str">
        <f t="shared" si="1"/>
        <v>#ERROR!</v>
      </c>
      <c r="R1481" s="154" t="s">
        <v>66</v>
      </c>
      <c r="S1481" s="154" t="s">
        <v>66</v>
      </c>
      <c r="T1481" s="154" t="s">
        <v>66</v>
      </c>
      <c r="U1481" s="154" t="s">
        <v>66</v>
      </c>
      <c r="V1481" s="154" t="s">
        <v>66</v>
      </c>
      <c r="W1481" s="154" t="s">
        <v>66</v>
      </c>
      <c r="X1481" s="154" t="s">
        <v>66</v>
      </c>
      <c r="Y1481" s="154" t="s">
        <v>66</v>
      </c>
      <c r="Z1481" s="154" t="s">
        <v>66</v>
      </c>
      <c r="AA1481" s="154"/>
      <c r="AB1481" s="242" t="str">
        <f t="shared" si="2"/>
        <v>#ERROR!</v>
      </c>
      <c r="AC1481" s="154" t="s">
        <v>391</v>
      </c>
      <c r="AD1481" s="242" t="b">
        <f t="shared" si="3"/>
        <v>0</v>
      </c>
      <c r="AE1481" s="154"/>
      <c r="AF1481" s="242" t="str">
        <f t="shared" si="4"/>
        <v>#ERROR!</v>
      </c>
      <c r="AG1481" s="154"/>
      <c r="AH1481" s="242" t="str">
        <f>IF(AG1481="","N/A",INDIRECT("MTR!"&amp;ADDRESS(MATCH(LEFT(AG1481,9),[1]MTR!C:C,0),COLUMN(J1481)),TRUE) &amp; "")</f>
        <v>#ERROR!</v>
      </c>
      <c r="AI1481" s="157" t="str">
        <f t="shared" si="5"/>
        <v>#ERROR!</v>
      </c>
    </row>
    <row r="1482" ht="12.75" customHeight="1">
      <c r="A1482" s="244" t="s">
        <v>5158</v>
      </c>
      <c r="B1482" s="244" t="s">
        <v>231</v>
      </c>
      <c r="C1482" s="245" t="s">
        <v>10487</v>
      </c>
      <c r="D1482" s="155" t="s">
        <v>542</v>
      </c>
      <c r="E1482" s="155" t="s">
        <v>92</v>
      </c>
      <c r="F1482" s="154" t="str">
        <f t="array" ref="F1482">XLOOKUP(Cover!$D$12,$R$1:$Z$1,$R1482:$Z1482)</f>
        <v>Information</v>
      </c>
      <c r="G1482" s="154" t="s">
        <v>10488</v>
      </c>
      <c r="H1482" s="154" t="s">
        <v>9006</v>
      </c>
      <c r="I1482" s="154" t="s">
        <v>10486</v>
      </c>
      <c r="J1482" s="154" t="s">
        <v>6935</v>
      </c>
      <c r="K1482" s="154" t="s">
        <v>10346</v>
      </c>
      <c r="L1482" s="154" t="s">
        <v>6140</v>
      </c>
      <c r="M1482" s="154"/>
      <c r="N1482" s="154" t="s">
        <v>759</v>
      </c>
      <c r="O1482" s="247" t="s">
        <v>516</v>
      </c>
      <c r="P1482" s="247" t="s">
        <v>6776</v>
      </c>
      <c r="Q1482" s="154" t="str">
        <f t="shared" si="1"/>
        <v>#ERROR!</v>
      </c>
      <c r="R1482" s="154" t="s">
        <v>66</v>
      </c>
      <c r="S1482" s="154" t="s">
        <v>66</v>
      </c>
      <c r="T1482" s="154" t="s">
        <v>66</v>
      </c>
      <c r="U1482" s="154" t="s">
        <v>66</v>
      </c>
      <c r="V1482" s="154" t="s">
        <v>66</v>
      </c>
      <c r="W1482" s="154" t="s">
        <v>66</v>
      </c>
      <c r="X1482" s="154" t="s">
        <v>66</v>
      </c>
      <c r="Y1482" s="154" t="s">
        <v>66</v>
      </c>
      <c r="Z1482" s="154" t="s">
        <v>66</v>
      </c>
      <c r="AA1482" s="154"/>
      <c r="AB1482" s="242" t="str">
        <f t="shared" si="2"/>
        <v>#ERROR!</v>
      </c>
      <c r="AC1482" s="154" t="s">
        <v>391</v>
      </c>
      <c r="AD1482" s="242" t="b">
        <f t="shared" si="3"/>
        <v>0</v>
      </c>
      <c r="AE1482" s="154"/>
      <c r="AF1482" s="242" t="str">
        <f t="shared" si="4"/>
        <v>#ERROR!</v>
      </c>
      <c r="AG1482" s="154"/>
      <c r="AH1482" s="242" t="str">
        <f>IF(AG1482="","N/A",INDIRECT("MTR!"&amp;ADDRESS(MATCH(LEFT(AG1482,9),[1]MTR!C:C,0),COLUMN(J1482)),TRUE) &amp; "")</f>
        <v>#ERROR!</v>
      </c>
      <c r="AI1482" s="157" t="str">
        <f t="shared" si="5"/>
        <v>#ERROR!</v>
      </c>
    </row>
    <row r="1483" ht="12.75" customHeight="1">
      <c r="A1483" s="244" t="s">
        <v>5158</v>
      </c>
      <c r="B1483" s="244" t="s">
        <v>231</v>
      </c>
      <c r="C1483" s="245" t="s">
        <v>10489</v>
      </c>
      <c r="D1483" s="155" t="s">
        <v>542</v>
      </c>
      <c r="E1483" s="155" t="s">
        <v>92</v>
      </c>
      <c r="F1483" s="154" t="str">
        <f t="array" ref="F1483">XLOOKUP(Cover!$D$12,$R$1:$Z$1,$R1483:$Z1483)</f>
        <v>Information</v>
      </c>
      <c r="G1483" s="154" t="s">
        <v>10490</v>
      </c>
      <c r="H1483" s="154" t="s">
        <v>6775</v>
      </c>
      <c r="I1483" s="154" t="s">
        <v>10486</v>
      </c>
      <c r="J1483" s="154" t="s">
        <v>6935</v>
      </c>
      <c r="K1483" s="154" t="s">
        <v>10346</v>
      </c>
      <c r="L1483" s="154" t="s">
        <v>6140</v>
      </c>
      <c r="M1483" s="154"/>
      <c r="N1483" s="154" t="s">
        <v>759</v>
      </c>
      <c r="O1483" s="247" t="s">
        <v>516</v>
      </c>
      <c r="P1483" s="247" t="s">
        <v>6776</v>
      </c>
      <c r="Q1483" s="154" t="str">
        <f t="shared" si="1"/>
        <v>#ERROR!</v>
      </c>
      <c r="R1483" s="154" t="s">
        <v>66</v>
      </c>
      <c r="S1483" s="154" t="s">
        <v>66</v>
      </c>
      <c r="T1483" s="154" t="s">
        <v>66</v>
      </c>
      <c r="U1483" s="154" t="s">
        <v>66</v>
      </c>
      <c r="V1483" s="154" t="s">
        <v>66</v>
      </c>
      <c r="W1483" s="154" t="s">
        <v>66</v>
      </c>
      <c r="X1483" s="154" t="s">
        <v>66</v>
      </c>
      <c r="Y1483" s="154" t="s">
        <v>66</v>
      </c>
      <c r="Z1483" s="154" t="s">
        <v>66</v>
      </c>
      <c r="AA1483" s="154"/>
      <c r="AB1483" s="242" t="str">
        <f t="shared" si="2"/>
        <v>#ERROR!</v>
      </c>
      <c r="AC1483" s="154" t="s">
        <v>391</v>
      </c>
      <c r="AD1483" s="242" t="b">
        <f t="shared" si="3"/>
        <v>0</v>
      </c>
      <c r="AE1483" s="154"/>
      <c r="AF1483" s="242" t="str">
        <f t="shared" si="4"/>
        <v>#ERROR!</v>
      </c>
      <c r="AG1483" s="154"/>
      <c r="AH1483" s="242" t="str">
        <f>IF(AG1483="","N/A",INDIRECT("MTR!"&amp;ADDRESS(MATCH(LEFT(AG1483,9),[1]MTR!C:C,0),COLUMN(J1483)),TRUE) &amp; "")</f>
        <v>#ERROR!</v>
      </c>
      <c r="AI1483" s="157" t="str">
        <f t="shared" si="5"/>
        <v>#ERROR!</v>
      </c>
    </row>
    <row r="1484" ht="12.75" customHeight="1">
      <c r="A1484" s="244" t="s">
        <v>5158</v>
      </c>
      <c r="B1484" s="244" t="s">
        <v>231</v>
      </c>
      <c r="C1484" s="245" t="s">
        <v>10491</v>
      </c>
      <c r="D1484" s="155" t="s">
        <v>542</v>
      </c>
      <c r="E1484" s="155" t="s">
        <v>92</v>
      </c>
      <c r="F1484" s="154" t="str">
        <f t="array" ref="F1484">XLOOKUP(Cover!$D$12,$R$1:$Z$1,$R1484:$Z1484)</f>
        <v>Information</v>
      </c>
      <c r="G1484" s="154" t="s">
        <v>10492</v>
      </c>
      <c r="H1484" s="154" t="s">
        <v>9009</v>
      </c>
      <c r="I1484" s="154" t="s">
        <v>10486</v>
      </c>
      <c r="J1484" s="154" t="s">
        <v>6935</v>
      </c>
      <c r="K1484" s="154" t="s">
        <v>10346</v>
      </c>
      <c r="L1484" s="154" t="s">
        <v>6140</v>
      </c>
      <c r="M1484" s="154"/>
      <c r="N1484" s="154" t="s">
        <v>759</v>
      </c>
      <c r="O1484" s="247" t="s">
        <v>516</v>
      </c>
      <c r="P1484" s="247" t="s">
        <v>6776</v>
      </c>
      <c r="Q1484" s="154" t="str">
        <f t="shared" si="1"/>
        <v>#ERROR!</v>
      </c>
      <c r="R1484" s="154" t="s">
        <v>66</v>
      </c>
      <c r="S1484" s="154" t="s">
        <v>66</v>
      </c>
      <c r="T1484" s="154" t="s">
        <v>66</v>
      </c>
      <c r="U1484" s="154" t="s">
        <v>66</v>
      </c>
      <c r="V1484" s="154" t="s">
        <v>66</v>
      </c>
      <c r="W1484" s="154" t="s">
        <v>66</v>
      </c>
      <c r="X1484" s="154" t="s">
        <v>66</v>
      </c>
      <c r="Y1484" s="154" t="s">
        <v>66</v>
      </c>
      <c r="Z1484" s="154" t="s">
        <v>66</v>
      </c>
      <c r="AA1484" s="154"/>
      <c r="AB1484" s="242" t="str">
        <f t="shared" si="2"/>
        <v>#ERROR!</v>
      </c>
      <c r="AC1484" s="154" t="s">
        <v>391</v>
      </c>
      <c r="AD1484" s="242" t="b">
        <f t="shared" si="3"/>
        <v>0</v>
      </c>
      <c r="AE1484" s="154"/>
      <c r="AF1484" s="242" t="str">
        <f t="shared" si="4"/>
        <v>#ERROR!</v>
      </c>
      <c r="AG1484" s="154"/>
      <c r="AH1484" s="242" t="str">
        <f>IF(AG1484="","N/A",INDIRECT("MTR!"&amp;ADDRESS(MATCH(LEFT(AG1484,9),[1]MTR!C:C,0),COLUMN(J1484)),TRUE) &amp; "")</f>
        <v>#ERROR!</v>
      </c>
      <c r="AI1484" s="157" t="str">
        <f t="shared" si="5"/>
        <v>#ERROR!</v>
      </c>
    </row>
    <row r="1485" ht="12.75" customHeight="1">
      <c r="A1485" s="244" t="s">
        <v>5158</v>
      </c>
      <c r="B1485" s="244" t="s">
        <v>231</v>
      </c>
      <c r="C1485" s="244" t="s">
        <v>10493</v>
      </c>
      <c r="D1485" s="154" t="s">
        <v>781</v>
      </c>
      <c r="E1485" s="154"/>
      <c r="F1485" s="154" t="str">
        <f t="array" ref="F1485">XLOOKUP(Cover!$D$12,$R$1:$Z$1,$R1485:$Z1485)</f>
        <v>Information</v>
      </c>
      <c r="G1485" s="154" t="s">
        <v>10494</v>
      </c>
      <c r="H1485" s="154" t="s">
        <v>6771</v>
      </c>
      <c r="I1485" s="154" t="s">
        <v>10495</v>
      </c>
      <c r="J1485" s="154" t="s">
        <v>6950</v>
      </c>
      <c r="K1485" s="154" t="s">
        <v>10346</v>
      </c>
      <c r="L1485" s="154" t="s">
        <v>6942</v>
      </c>
      <c r="M1485" s="154"/>
      <c r="N1485" s="154" t="s">
        <v>759</v>
      </c>
      <c r="O1485" s="247" t="s">
        <v>516</v>
      </c>
      <c r="P1485" s="247" t="s">
        <v>6776</v>
      </c>
      <c r="Q1485" s="154" t="str">
        <f t="shared" si="1"/>
        <v>#ERROR!</v>
      </c>
      <c r="R1485" s="154" t="s">
        <v>66</v>
      </c>
      <c r="S1485" s="154" t="s">
        <v>66</v>
      </c>
      <c r="T1485" s="154" t="s">
        <v>66</v>
      </c>
      <c r="U1485" s="154" t="s">
        <v>66</v>
      </c>
      <c r="V1485" s="154" t="s">
        <v>66</v>
      </c>
      <c r="W1485" s="154" t="s">
        <v>66</v>
      </c>
      <c r="X1485" s="154" t="s">
        <v>66</v>
      </c>
      <c r="Y1485" s="154" t="s">
        <v>66</v>
      </c>
      <c r="Z1485" s="154" t="s">
        <v>66</v>
      </c>
      <c r="AA1485" s="154"/>
      <c r="AB1485" s="242" t="str">
        <f t="shared" si="2"/>
        <v>#ERROR!</v>
      </c>
      <c r="AC1485" s="154" t="s">
        <v>391</v>
      </c>
      <c r="AD1485" s="242" t="b">
        <f t="shared" si="3"/>
        <v>0</v>
      </c>
      <c r="AE1485" s="154"/>
      <c r="AF1485" s="242" t="str">
        <f t="shared" si="4"/>
        <v>#ERROR!</v>
      </c>
      <c r="AG1485" s="154"/>
      <c r="AH1485" s="242" t="str">
        <f>IF(AG1485="","N/A",INDIRECT("MTR!"&amp;ADDRESS(MATCH(LEFT(AG1485,9),[1]MTR!C:C,0),COLUMN(J1485)),TRUE) &amp; "")</f>
        <v>#ERROR!</v>
      </c>
      <c r="AI1485" s="157" t="str">
        <f t="shared" si="5"/>
        <v>#ERROR!</v>
      </c>
    </row>
    <row r="1486" ht="12.75" customHeight="1">
      <c r="A1486" s="244" t="s">
        <v>5158</v>
      </c>
      <c r="B1486" s="244" t="s">
        <v>231</v>
      </c>
      <c r="C1486" s="244" t="s">
        <v>10496</v>
      </c>
      <c r="D1486" s="154" t="s">
        <v>781</v>
      </c>
      <c r="E1486" s="154"/>
      <c r="F1486" s="154" t="str">
        <f t="array" ref="F1486">XLOOKUP(Cover!$D$12,$R$1:$Z$1,$R1486:$Z1486)</f>
        <v>Information</v>
      </c>
      <c r="G1486" s="154" t="s">
        <v>10497</v>
      </c>
      <c r="H1486" s="154" t="s">
        <v>6779</v>
      </c>
      <c r="I1486" s="154" t="s">
        <v>10495</v>
      </c>
      <c r="J1486" s="154" t="s">
        <v>6950</v>
      </c>
      <c r="K1486" s="154" t="s">
        <v>10346</v>
      </c>
      <c r="L1486" s="154" t="s">
        <v>6942</v>
      </c>
      <c r="M1486" s="154"/>
      <c r="N1486" s="154" t="s">
        <v>759</v>
      </c>
      <c r="O1486" s="247" t="s">
        <v>516</v>
      </c>
      <c r="P1486" s="247" t="s">
        <v>6776</v>
      </c>
      <c r="Q1486" s="154" t="str">
        <f t="shared" si="1"/>
        <v>#ERROR!</v>
      </c>
      <c r="R1486" s="154" t="s">
        <v>66</v>
      </c>
      <c r="S1486" s="154" t="s">
        <v>66</v>
      </c>
      <c r="T1486" s="154" t="s">
        <v>66</v>
      </c>
      <c r="U1486" s="154" t="s">
        <v>66</v>
      </c>
      <c r="V1486" s="154" t="s">
        <v>66</v>
      </c>
      <c r="W1486" s="154" t="s">
        <v>66</v>
      </c>
      <c r="X1486" s="154" t="s">
        <v>66</v>
      </c>
      <c r="Y1486" s="154" t="s">
        <v>66</v>
      </c>
      <c r="Z1486" s="154" t="s">
        <v>66</v>
      </c>
      <c r="AA1486" s="154"/>
      <c r="AB1486" s="242" t="str">
        <f t="shared" si="2"/>
        <v>#ERROR!</v>
      </c>
      <c r="AC1486" s="154" t="s">
        <v>391</v>
      </c>
      <c r="AD1486" s="242" t="b">
        <f t="shared" si="3"/>
        <v>0</v>
      </c>
      <c r="AE1486" s="154"/>
      <c r="AF1486" s="242" t="str">
        <f t="shared" si="4"/>
        <v>#ERROR!</v>
      </c>
      <c r="AG1486" s="154"/>
      <c r="AH1486" s="242" t="str">
        <f>IF(AG1486="","N/A",INDIRECT("MTR!"&amp;ADDRESS(MATCH(LEFT(AG1486,9),[1]MTR!C:C,0),COLUMN(J1486)),TRUE) &amp; "")</f>
        <v>#ERROR!</v>
      </c>
      <c r="AI1486" s="157" t="str">
        <f t="shared" si="5"/>
        <v>#ERROR!</v>
      </c>
    </row>
    <row r="1487" ht="12.75" customHeight="1">
      <c r="A1487" s="244" t="s">
        <v>5158</v>
      </c>
      <c r="B1487" s="244" t="s">
        <v>231</v>
      </c>
      <c r="C1487" s="244" t="s">
        <v>10498</v>
      </c>
      <c r="D1487" s="154" t="s">
        <v>781</v>
      </c>
      <c r="E1487" s="154"/>
      <c r="F1487" s="154" t="str">
        <f t="array" ref="F1487">XLOOKUP(Cover!$D$12,$R$1:$Z$1,$R1487:$Z1487)</f>
        <v>Information</v>
      </c>
      <c r="G1487" s="154" t="s">
        <v>10499</v>
      </c>
      <c r="H1487" s="154" t="s">
        <v>9006</v>
      </c>
      <c r="I1487" s="154" t="s">
        <v>10495</v>
      </c>
      <c r="J1487" s="154" t="s">
        <v>6950</v>
      </c>
      <c r="K1487" s="154" t="s">
        <v>10346</v>
      </c>
      <c r="L1487" s="154" t="s">
        <v>6942</v>
      </c>
      <c r="M1487" s="154"/>
      <c r="N1487" s="154" t="s">
        <v>759</v>
      </c>
      <c r="O1487" s="247" t="s">
        <v>516</v>
      </c>
      <c r="P1487" s="247" t="s">
        <v>6776</v>
      </c>
      <c r="Q1487" s="154" t="str">
        <f t="shared" si="1"/>
        <v>#ERROR!</v>
      </c>
      <c r="R1487" s="154" t="s">
        <v>66</v>
      </c>
      <c r="S1487" s="154" t="s">
        <v>66</v>
      </c>
      <c r="T1487" s="154" t="s">
        <v>66</v>
      </c>
      <c r="U1487" s="154" t="s">
        <v>66</v>
      </c>
      <c r="V1487" s="154" t="s">
        <v>66</v>
      </c>
      <c r="W1487" s="154" t="s">
        <v>66</v>
      </c>
      <c r="X1487" s="154" t="s">
        <v>66</v>
      </c>
      <c r="Y1487" s="154" t="s">
        <v>66</v>
      </c>
      <c r="Z1487" s="154" t="s">
        <v>66</v>
      </c>
      <c r="AA1487" s="154"/>
      <c r="AB1487" s="242" t="str">
        <f t="shared" si="2"/>
        <v>#ERROR!</v>
      </c>
      <c r="AC1487" s="154" t="s">
        <v>391</v>
      </c>
      <c r="AD1487" s="242" t="b">
        <f t="shared" si="3"/>
        <v>0</v>
      </c>
      <c r="AE1487" s="154"/>
      <c r="AF1487" s="242" t="str">
        <f t="shared" si="4"/>
        <v>#ERROR!</v>
      </c>
      <c r="AG1487" s="154"/>
      <c r="AH1487" s="242" t="str">
        <f>IF(AG1487="","N/A",INDIRECT("MTR!"&amp;ADDRESS(MATCH(LEFT(AG1487,9),[1]MTR!C:C,0),COLUMN(J1487)),TRUE) &amp; "")</f>
        <v>#ERROR!</v>
      </c>
      <c r="AI1487" s="157" t="str">
        <f t="shared" si="5"/>
        <v>#ERROR!</v>
      </c>
    </row>
    <row r="1488" ht="12.75" customHeight="1">
      <c r="A1488" s="244" t="s">
        <v>5158</v>
      </c>
      <c r="B1488" s="244" t="s">
        <v>231</v>
      </c>
      <c r="C1488" s="244" t="s">
        <v>10500</v>
      </c>
      <c r="D1488" s="154" t="s">
        <v>781</v>
      </c>
      <c r="E1488" s="154"/>
      <c r="F1488" s="154" t="str">
        <f t="array" ref="F1488">XLOOKUP(Cover!$D$12,$R$1:$Z$1,$R1488:$Z1488)</f>
        <v>Information</v>
      </c>
      <c r="G1488" s="154" t="s">
        <v>10501</v>
      </c>
      <c r="H1488" s="154" t="s">
        <v>9012</v>
      </c>
      <c r="I1488" s="154" t="s">
        <v>10495</v>
      </c>
      <c r="J1488" s="154" t="s">
        <v>6950</v>
      </c>
      <c r="K1488" s="154" t="s">
        <v>10346</v>
      </c>
      <c r="L1488" s="154" t="s">
        <v>6942</v>
      </c>
      <c r="M1488" s="154"/>
      <c r="N1488" s="154" t="s">
        <v>759</v>
      </c>
      <c r="O1488" s="247" t="s">
        <v>516</v>
      </c>
      <c r="P1488" s="247" t="s">
        <v>6776</v>
      </c>
      <c r="Q1488" s="154" t="str">
        <f t="shared" si="1"/>
        <v>#ERROR!</v>
      </c>
      <c r="R1488" s="154" t="s">
        <v>66</v>
      </c>
      <c r="S1488" s="154" t="s">
        <v>66</v>
      </c>
      <c r="T1488" s="154" t="s">
        <v>66</v>
      </c>
      <c r="U1488" s="154" t="s">
        <v>66</v>
      </c>
      <c r="V1488" s="154" t="s">
        <v>66</v>
      </c>
      <c r="W1488" s="154" t="s">
        <v>66</v>
      </c>
      <c r="X1488" s="154" t="s">
        <v>66</v>
      </c>
      <c r="Y1488" s="154" t="s">
        <v>66</v>
      </c>
      <c r="Z1488" s="154" t="s">
        <v>66</v>
      </c>
      <c r="AA1488" s="154"/>
      <c r="AB1488" s="242" t="str">
        <f t="shared" si="2"/>
        <v>#ERROR!</v>
      </c>
      <c r="AC1488" s="154" t="s">
        <v>391</v>
      </c>
      <c r="AD1488" s="242" t="b">
        <f t="shared" si="3"/>
        <v>0</v>
      </c>
      <c r="AE1488" s="154"/>
      <c r="AF1488" s="242" t="str">
        <f t="shared" si="4"/>
        <v>#ERROR!</v>
      </c>
      <c r="AG1488" s="154"/>
      <c r="AH1488" s="242" t="str">
        <f>IF(AG1488="","N/A",INDIRECT("MTR!"&amp;ADDRESS(MATCH(LEFT(AG1488,9),[1]MTR!C:C,0),COLUMN(J1488)),TRUE) &amp; "")</f>
        <v>#ERROR!</v>
      </c>
      <c r="AI1488" s="157" t="str">
        <f t="shared" si="5"/>
        <v>#ERROR!</v>
      </c>
    </row>
    <row r="1489" ht="12.75" customHeight="1">
      <c r="A1489" s="244" t="s">
        <v>5158</v>
      </c>
      <c r="B1489" s="244" t="s">
        <v>231</v>
      </c>
      <c r="C1489" s="244" t="s">
        <v>10502</v>
      </c>
      <c r="D1489" s="154" t="s">
        <v>861</v>
      </c>
      <c r="E1489" s="154"/>
      <c r="F1489" s="154" t="str">
        <f t="array" ref="F1489">XLOOKUP(Cover!$D$12,$R$1:$Z$1,$R1489:$Z1489)</f>
        <v>Mandatory</v>
      </c>
      <c r="G1489" s="154" t="s">
        <v>10503</v>
      </c>
      <c r="H1489" s="154" t="s">
        <v>6771</v>
      </c>
      <c r="I1489" s="154" t="s">
        <v>10504</v>
      </c>
      <c r="J1489" s="154" t="s">
        <v>6956</v>
      </c>
      <c r="K1489" s="154" t="s">
        <v>10346</v>
      </c>
      <c r="L1489" s="154" t="s">
        <v>6428</v>
      </c>
      <c r="M1489" s="154" t="s">
        <v>175</v>
      </c>
      <c r="N1489" s="154" t="s">
        <v>759</v>
      </c>
      <c r="O1489" s="247" t="s">
        <v>516</v>
      </c>
      <c r="P1489" s="247" t="s">
        <v>6776</v>
      </c>
      <c r="Q1489" s="154" t="str">
        <f t="shared" si="1"/>
        <v>#ERROR!</v>
      </c>
      <c r="R1489" s="154" t="s">
        <v>66</v>
      </c>
      <c r="S1489" s="154" t="s">
        <v>66</v>
      </c>
      <c r="T1489" s="155" t="s">
        <v>64</v>
      </c>
      <c r="U1489" s="155" t="s">
        <v>64</v>
      </c>
      <c r="V1489" s="154" t="s">
        <v>60</v>
      </c>
      <c r="W1489" s="154" t="s">
        <v>60</v>
      </c>
      <c r="X1489" s="154" t="s">
        <v>66</v>
      </c>
      <c r="Y1489" s="155" t="s">
        <v>64</v>
      </c>
      <c r="Z1489" s="154" t="s">
        <v>60</v>
      </c>
      <c r="AA1489" s="154"/>
      <c r="AB1489" s="242" t="str">
        <f t="shared" si="2"/>
        <v>#ERROR!</v>
      </c>
      <c r="AC1489" s="154" t="s">
        <v>391</v>
      </c>
      <c r="AD1489" s="242" t="b">
        <f t="shared" si="3"/>
        <v>0</v>
      </c>
      <c r="AE1489" s="154"/>
      <c r="AF1489" s="242" t="str">
        <f t="shared" si="4"/>
        <v>#ERROR!</v>
      </c>
      <c r="AG1489" s="154"/>
      <c r="AH1489" s="242" t="str">
        <f>IF(AG1489="","N/A",INDIRECT("MTR!"&amp;ADDRESS(MATCH(LEFT(AG1489,9),[1]MTR!C:C,0),COLUMN(J1489)),TRUE) &amp; "")</f>
        <v>#ERROR!</v>
      </c>
      <c r="AI1489" s="157" t="str">
        <f t="shared" si="5"/>
        <v>#ERROR!</v>
      </c>
    </row>
    <row r="1490" ht="12.75" customHeight="1">
      <c r="A1490" s="244" t="s">
        <v>5158</v>
      </c>
      <c r="B1490" s="244" t="s">
        <v>231</v>
      </c>
      <c r="C1490" s="244" t="s">
        <v>10505</v>
      </c>
      <c r="D1490" s="154" t="s">
        <v>1315</v>
      </c>
      <c r="E1490" s="154"/>
      <c r="F1490" s="154" t="str">
        <f t="array" ref="F1490">XLOOKUP(Cover!$D$12,$R$1:$Z$1,$R1490:$Z1490)</f>
        <v>Mandatory</v>
      </c>
      <c r="G1490" s="154" t="s">
        <v>10506</v>
      </c>
      <c r="H1490" s="154" t="s">
        <v>6808</v>
      </c>
      <c r="I1490" s="154" t="s">
        <v>10504</v>
      </c>
      <c r="J1490" s="154" t="s">
        <v>6956</v>
      </c>
      <c r="K1490" s="154" t="s">
        <v>10346</v>
      </c>
      <c r="L1490" s="154" t="s">
        <v>6022</v>
      </c>
      <c r="M1490" s="154" t="s">
        <v>175</v>
      </c>
      <c r="N1490" s="154" t="s">
        <v>759</v>
      </c>
      <c r="O1490" s="247" t="s">
        <v>516</v>
      </c>
      <c r="P1490" s="247" t="s">
        <v>6776</v>
      </c>
      <c r="Q1490" s="154" t="str">
        <f t="shared" si="1"/>
        <v>#ERROR!</v>
      </c>
      <c r="R1490" s="154" t="s">
        <v>66</v>
      </c>
      <c r="S1490" s="154" t="s">
        <v>66</v>
      </c>
      <c r="T1490" s="155" t="s">
        <v>64</v>
      </c>
      <c r="U1490" s="155" t="s">
        <v>64</v>
      </c>
      <c r="V1490" s="154" t="s">
        <v>60</v>
      </c>
      <c r="W1490" s="154" t="s">
        <v>60</v>
      </c>
      <c r="X1490" s="154" t="s">
        <v>66</v>
      </c>
      <c r="Y1490" s="155" t="s">
        <v>64</v>
      </c>
      <c r="Z1490" s="154" t="s">
        <v>60</v>
      </c>
      <c r="AA1490" s="154"/>
      <c r="AB1490" s="242" t="str">
        <f t="shared" si="2"/>
        <v>#ERROR!</v>
      </c>
      <c r="AC1490" s="154" t="s">
        <v>391</v>
      </c>
      <c r="AD1490" s="242" t="b">
        <f t="shared" si="3"/>
        <v>0</v>
      </c>
      <c r="AE1490" s="154"/>
      <c r="AF1490" s="242" t="str">
        <f t="shared" si="4"/>
        <v>#ERROR!</v>
      </c>
      <c r="AG1490" s="154"/>
      <c r="AH1490" s="242" t="str">
        <f>IF(AG1490="","N/A",INDIRECT("MTR!"&amp;ADDRESS(MATCH(LEFT(AG1490,9),[1]MTR!C:C,0),COLUMN(J1490)),TRUE) &amp; "")</f>
        <v>#ERROR!</v>
      </c>
      <c r="AI1490" s="157" t="str">
        <f t="shared" si="5"/>
        <v>#ERROR!</v>
      </c>
    </row>
    <row r="1491" ht="12.75" customHeight="1">
      <c r="A1491" s="244" t="s">
        <v>5158</v>
      </c>
      <c r="B1491" s="244" t="s">
        <v>231</v>
      </c>
      <c r="C1491" s="244" t="s">
        <v>10507</v>
      </c>
      <c r="D1491" s="154" t="s">
        <v>861</v>
      </c>
      <c r="E1491" s="154"/>
      <c r="F1491" s="154" t="str">
        <f t="array" ref="F1491">XLOOKUP(Cover!$D$12,$R$1:$Z$1,$R1491:$Z1491)</f>
        <v>Mandatory</v>
      </c>
      <c r="G1491" s="154" t="s">
        <v>10508</v>
      </c>
      <c r="H1491" s="154" t="s">
        <v>9006</v>
      </c>
      <c r="I1491" s="154" t="s">
        <v>10504</v>
      </c>
      <c r="J1491" s="154" t="s">
        <v>6956</v>
      </c>
      <c r="K1491" s="154" t="s">
        <v>10346</v>
      </c>
      <c r="L1491" s="154" t="s">
        <v>6428</v>
      </c>
      <c r="M1491" s="154" t="s">
        <v>175</v>
      </c>
      <c r="N1491" s="154" t="s">
        <v>759</v>
      </c>
      <c r="O1491" s="247" t="s">
        <v>516</v>
      </c>
      <c r="P1491" s="247" t="s">
        <v>6776</v>
      </c>
      <c r="Q1491" s="154" t="str">
        <f t="shared" si="1"/>
        <v>#ERROR!</v>
      </c>
      <c r="R1491" s="154" t="s">
        <v>66</v>
      </c>
      <c r="S1491" s="154" t="s">
        <v>66</v>
      </c>
      <c r="T1491" s="155" t="s">
        <v>64</v>
      </c>
      <c r="U1491" s="155" t="s">
        <v>64</v>
      </c>
      <c r="V1491" s="154" t="s">
        <v>60</v>
      </c>
      <c r="W1491" s="154" t="s">
        <v>60</v>
      </c>
      <c r="X1491" s="154" t="s">
        <v>66</v>
      </c>
      <c r="Y1491" s="155" t="s">
        <v>64</v>
      </c>
      <c r="Z1491" s="154" t="s">
        <v>60</v>
      </c>
      <c r="AA1491" s="154"/>
      <c r="AB1491" s="242" t="str">
        <f t="shared" si="2"/>
        <v>#ERROR!</v>
      </c>
      <c r="AC1491" s="154" t="s">
        <v>391</v>
      </c>
      <c r="AD1491" s="242" t="b">
        <f t="shared" si="3"/>
        <v>0</v>
      </c>
      <c r="AE1491" s="154"/>
      <c r="AF1491" s="242" t="str">
        <f t="shared" si="4"/>
        <v>#ERROR!</v>
      </c>
      <c r="AG1491" s="154"/>
      <c r="AH1491" s="242" t="str">
        <f>IF(AG1491="","N/A",INDIRECT("MTR!"&amp;ADDRESS(MATCH(LEFT(AG1491,9),[1]MTR!C:C,0),COLUMN(J1491)),TRUE) &amp; "")</f>
        <v>#ERROR!</v>
      </c>
      <c r="AI1491" s="157" t="str">
        <f t="shared" si="5"/>
        <v>#ERROR!</v>
      </c>
    </row>
    <row r="1492" ht="12.75" customHeight="1">
      <c r="A1492" s="244" t="s">
        <v>5158</v>
      </c>
      <c r="B1492" s="244" t="s">
        <v>231</v>
      </c>
      <c r="C1492" s="244" t="s">
        <v>10509</v>
      </c>
      <c r="D1492" s="154" t="s">
        <v>1315</v>
      </c>
      <c r="E1492" s="154"/>
      <c r="F1492" s="154" t="str">
        <f t="array" ref="F1492">XLOOKUP(Cover!$D$12,$R$1:$Z$1,$R1492:$Z1492)</f>
        <v>Mandatory</v>
      </c>
      <c r="G1492" s="154" t="s">
        <v>10510</v>
      </c>
      <c r="H1492" s="154" t="s">
        <v>9053</v>
      </c>
      <c r="I1492" s="154" t="s">
        <v>10504</v>
      </c>
      <c r="J1492" s="154" t="s">
        <v>6956</v>
      </c>
      <c r="K1492" s="154" t="s">
        <v>10346</v>
      </c>
      <c r="L1492" s="154" t="s">
        <v>6022</v>
      </c>
      <c r="M1492" s="154" t="s">
        <v>175</v>
      </c>
      <c r="N1492" s="154" t="s">
        <v>759</v>
      </c>
      <c r="O1492" s="247" t="s">
        <v>516</v>
      </c>
      <c r="P1492" s="247" t="s">
        <v>6776</v>
      </c>
      <c r="Q1492" s="154" t="str">
        <f t="shared" si="1"/>
        <v>#ERROR!</v>
      </c>
      <c r="R1492" s="154" t="s">
        <v>66</v>
      </c>
      <c r="S1492" s="154" t="s">
        <v>66</v>
      </c>
      <c r="T1492" s="155" t="s">
        <v>64</v>
      </c>
      <c r="U1492" s="155" t="s">
        <v>64</v>
      </c>
      <c r="V1492" s="154" t="s">
        <v>60</v>
      </c>
      <c r="W1492" s="154" t="s">
        <v>60</v>
      </c>
      <c r="X1492" s="154" t="s">
        <v>66</v>
      </c>
      <c r="Y1492" s="155" t="s">
        <v>64</v>
      </c>
      <c r="Z1492" s="154" t="s">
        <v>60</v>
      </c>
      <c r="AA1492" s="154"/>
      <c r="AB1492" s="242" t="str">
        <f t="shared" si="2"/>
        <v>#ERROR!</v>
      </c>
      <c r="AC1492" s="154" t="s">
        <v>391</v>
      </c>
      <c r="AD1492" s="242" t="b">
        <f t="shared" si="3"/>
        <v>0</v>
      </c>
      <c r="AE1492" s="154"/>
      <c r="AF1492" s="242" t="str">
        <f t="shared" si="4"/>
        <v>#ERROR!</v>
      </c>
      <c r="AG1492" s="154"/>
      <c r="AH1492" s="242" t="str">
        <f>IF(AG1492="","N/A",INDIRECT("MTR!"&amp;ADDRESS(MATCH(LEFT(AG1492,9),[1]MTR!C:C,0),COLUMN(J1492)),TRUE) &amp; "")</f>
        <v>#ERROR!</v>
      </c>
      <c r="AI1492" s="157" t="str">
        <f t="shared" si="5"/>
        <v>#ERROR!</v>
      </c>
    </row>
    <row r="1493" ht="12.75" customHeight="1">
      <c r="A1493" s="244" t="s">
        <v>5158</v>
      </c>
      <c r="B1493" s="244" t="s">
        <v>231</v>
      </c>
      <c r="C1493" s="244" t="s">
        <v>10511</v>
      </c>
      <c r="D1493" s="154" t="s">
        <v>861</v>
      </c>
      <c r="E1493" s="154"/>
      <c r="F1493" s="154" t="str">
        <f t="array" ref="F1493">XLOOKUP(Cover!$D$12,$R$1:$Z$1,$R1493:$Z1493)</f>
        <v>Mandatory</v>
      </c>
      <c r="G1493" s="154" t="s">
        <v>10512</v>
      </c>
      <c r="H1493" s="154" t="s">
        <v>6782</v>
      </c>
      <c r="I1493" s="154" t="s">
        <v>10504</v>
      </c>
      <c r="J1493" s="154" t="s">
        <v>6956</v>
      </c>
      <c r="K1493" s="154" t="s">
        <v>10346</v>
      </c>
      <c r="L1493" s="154" t="s">
        <v>6428</v>
      </c>
      <c r="M1493" s="154" t="s">
        <v>175</v>
      </c>
      <c r="N1493" s="154" t="s">
        <v>759</v>
      </c>
      <c r="O1493" s="247" t="s">
        <v>516</v>
      </c>
      <c r="P1493" s="247" t="s">
        <v>6776</v>
      </c>
      <c r="Q1493" s="154" t="str">
        <f t="shared" si="1"/>
        <v>#ERROR!</v>
      </c>
      <c r="R1493" s="154" t="s">
        <v>66</v>
      </c>
      <c r="S1493" s="154" t="s">
        <v>66</v>
      </c>
      <c r="T1493" s="155" t="s">
        <v>64</v>
      </c>
      <c r="U1493" s="155" t="s">
        <v>64</v>
      </c>
      <c r="V1493" s="154" t="s">
        <v>60</v>
      </c>
      <c r="W1493" s="154" t="s">
        <v>60</v>
      </c>
      <c r="X1493" s="154" t="s">
        <v>66</v>
      </c>
      <c r="Y1493" s="155" t="s">
        <v>64</v>
      </c>
      <c r="Z1493" s="154" t="s">
        <v>60</v>
      </c>
      <c r="AA1493" s="154"/>
      <c r="AB1493" s="242" t="str">
        <f t="shared" si="2"/>
        <v>#ERROR!</v>
      </c>
      <c r="AC1493" s="154" t="s">
        <v>391</v>
      </c>
      <c r="AD1493" s="242" t="b">
        <f t="shared" si="3"/>
        <v>0</v>
      </c>
      <c r="AE1493" s="154"/>
      <c r="AF1493" s="242" t="str">
        <f t="shared" si="4"/>
        <v>#ERROR!</v>
      </c>
      <c r="AG1493" s="154"/>
      <c r="AH1493" s="242" t="str">
        <f>IF(AG1493="","N/A",INDIRECT("MTR!"&amp;ADDRESS(MATCH(LEFT(AG1493,9),[1]MTR!C:C,0),COLUMN(J1493)),TRUE) &amp; "")</f>
        <v>#ERROR!</v>
      </c>
      <c r="AI1493" s="157" t="str">
        <f t="shared" si="5"/>
        <v>#ERROR!</v>
      </c>
    </row>
    <row r="1494" ht="12.75" customHeight="1">
      <c r="A1494" s="244" t="s">
        <v>5158</v>
      </c>
      <c r="B1494" s="244" t="s">
        <v>231</v>
      </c>
      <c r="C1494" s="244" t="s">
        <v>10513</v>
      </c>
      <c r="D1494" s="154" t="s">
        <v>861</v>
      </c>
      <c r="E1494" s="154"/>
      <c r="F1494" s="154" t="str">
        <f t="array" ref="F1494">XLOOKUP(Cover!$D$12,$R$1:$Z$1,$R1494:$Z1494)</f>
        <v>Mandatory</v>
      </c>
      <c r="G1494" s="154" t="s">
        <v>10514</v>
      </c>
      <c r="H1494" s="154" t="s">
        <v>9015</v>
      </c>
      <c r="I1494" s="154" t="s">
        <v>10504</v>
      </c>
      <c r="J1494" s="154" t="s">
        <v>6956</v>
      </c>
      <c r="K1494" s="154" t="s">
        <v>10346</v>
      </c>
      <c r="L1494" s="154" t="s">
        <v>6428</v>
      </c>
      <c r="M1494" s="154" t="s">
        <v>175</v>
      </c>
      <c r="N1494" s="154" t="s">
        <v>759</v>
      </c>
      <c r="O1494" s="247" t="s">
        <v>516</v>
      </c>
      <c r="P1494" s="247" t="s">
        <v>6776</v>
      </c>
      <c r="Q1494" s="154" t="str">
        <f t="shared" si="1"/>
        <v>#ERROR!</v>
      </c>
      <c r="R1494" s="154" t="s">
        <v>66</v>
      </c>
      <c r="S1494" s="154" t="s">
        <v>66</v>
      </c>
      <c r="T1494" s="155" t="s">
        <v>64</v>
      </c>
      <c r="U1494" s="155" t="s">
        <v>64</v>
      </c>
      <c r="V1494" s="154" t="s">
        <v>60</v>
      </c>
      <c r="W1494" s="154" t="s">
        <v>60</v>
      </c>
      <c r="X1494" s="154" t="s">
        <v>66</v>
      </c>
      <c r="Y1494" s="155" t="s">
        <v>64</v>
      </c>
      <c r="Z1494" s="154" t="s">
        <v>60</v>
      </c>
      <c r="AA1494" s="154"/>
      <c r="AB1494" s="242" t="str">
        <f t="shared" si="2"/>
        <v>#ERROR!</v>
      </c>
      <c r="AC1494" s="154" t="s">
        <v>391</v>
      </c>
      <c r="AD1494" s="242" t="b">
        <f t="shared" si="3"/>
        <v>0</v>
      </c>
      <c r="AE1494" s="154"/>
      <c r="AF1494" s="242" t="str">
        <f t="shared" si="4"/>
        <v>#ERROR!</v>
      </c>
      <c r="AG1494" s="154"/>
      <c r="AH1494" s="242" t="str">
        <f>IF(AG1494="","N/A",INDIRECT("MTR!"&amp;ADDRESS(MATCH(LEFT(AG1494,9),[1]MTR!C:C,0),COLUMN(J1494)),TRUE) &amp; "")</f>
        <v>#ERROR!</v>
      </c>
      <c r="AI1494" s="157" t="str">
        <f t="shared" si="5"/>
        <v>#ERROR!</v>
      </c>
    </row>
    <row r="1495" ht="12.75" customHeight="1">
      <c r="A1495" s="244" t="s">
        <v>5158</v>
      </c>
      <c r="B1495" s="244" t="s">
        <v>231</v>
      </c>
      <c r="C1495" s="245" t="s">
        <v>10515</v>
      </c>
      <c r="D1495" s="155" t="s">
        <v>503</v>
      </c>
      <c r="E1495" s="155" t="s">
        <v>92</v>
      </c>
      <c r="F1495" s="154" t="str">
        <f t="array" ref="F1495">XLOOKUP(Cover!$D$12,$R$1:$Z$1,$R1495:$Z1495)</f>
        <v>Information</v>
      </c>
      <c r="G1495" s="154" t="s">
        <v>10516</v>
      </c>
      <c r="H1495" s="154" t="s">
        <v>6771</v>
      </c>
      <c r="I1495" s="154" t="s">
        <v>10517</v>
      </c>
      <c r="J1495" s="154" t="s">
        <v>6964</v>
      </c>
      <c r="K1495" s="154" t="s">
        <v>10346</v>
      </c>
      <c r="L1495" s="154" t="s">
        <v>7431</v>
      </c>
      <c r="M1495" s="154"/>
      <c r="N1495" s="154" t="s">
        <v>759</v>
      </c>
      <c r="O1495" s="247" t="s">
        <v>516</v>
      </c>
      <c r="P1495" s="247" t="s">
        <v>6776</v>
      </c>
      <c r="Q1495" s="154" t="str">
        <f t="shared" si="1"/>
        <v>#ERROR!</v>
      </c>
      <c r="R1495" s="154" t="s">
        <v>66</v>
      </c>
      <c r="S1495" s="154" t="s">
        <v>66</v>
      </c>
      <c r="T1495" s="154" t="s">
        <v>66</v>
      </c>
      <c r="U1495" s="154" t="s">
        <v>66</v>
      </c>
      <c r="V1495" s="154" t="s">
        <v>66</v>
      </c>
      <c r="W1495" s="154" t="s">
        <v>66</v>
      </c>
      <c r="X1495" s="154" t="s">
        <v>66</v>
      </c>
      <c r="Y1495" s="154" t="s">
        <v>66</v>
      </c>
      <c r="Z1495" s="154" t="s">
        <v>66</v>
      </c>
      <c r="AA1495" s="154"/>
      <c r="AB1495" s="242" t="str">
        <f t="shared" si="2"/>
        <v>#ERROR!</v>
      </c>
      <c r="AC1495" s="154" t="s">
        <v>391</v>
      </c>
      <c r="AD1495" s="242" t="b">
        <f t="shared" si="3"/>
        <v>0</v>
      </c>
      <c r="AE1495" s="154"/>
      <c r="AF1495" s="242" t="str">
        <f t="shared" si="4"/>
        <v>#ERROR!</v>
      </c>
      <c r="AG1495" s="154"/>
      <c r="AH1495" s="242" t="str">
        <f>IF(AG1495="","N/A",INDIRECT("MTR!"&amp;ADDRESS(MATCH(LEFT(AG1495,9),[1]MTR!C:C,0),COLUMN(J1495)),TRUE) &amp; "")</f>
        <v>#ERROR!</v>
      </c>
      <c r="AI1495" s="157" t="str">
        <f t="shared" si="5"/>
        <v>#ERROR!</v>
      </c>
    </row>
    <row r="1496" ht="12.75" customHeight="1">
      <c r="A1496" s="244" t="s">
        <v>5158</v>
      </c>
      <c r="B1496" s="244" t="s">
        <v>231</v>
      </c>
      <c r="C1496" s="245" t="s">
        <v>10518</v>
      </c>
      <c r="D1496" s="155" t="s">
        <v>503</v>
      </c>
      <c r="E1496" s="155" t="s">
        <v>92</v>
      </c>
      <c r="F1496" s="154" t="str">
        <f t="array" ref="F1496">XLOOKUP(Cover!$D$12,$R$1:$Z$1,$R1496:$Z1496)</f>
        <v>Information</v>
      </c>
      <c r="G1496" s="154" t="s">
        <v>10519</v>
      </c>
      <c r="H1496" s="154" t="s">
        <v>9006</v>
      </c>
      <c r="I1496" s="154" t="s">
        <v>10517</v>
      </c>
      <c r="J1496" s="154" t="s">
        <v>6964</v>
      </c>
      <c r="K1496" s="154" t="s">
        <v>10346</v>
      </c>
      <c r="L1496" s="154" t="s">
        <v>7431</v>
      </c>
      <c r="M1496" s="154"/>
      <c r="N1496" s="154" t="s">
        <v>759</v>
      </c>
      <c r="O1496" s="247" t="s">
        <v>516</v>
      </c>
      <c r="P1496" s="247" t="s">
        <v>6776</v>
      </c>
      <c r="Q1496" s="154" t="str">
        <f t="shared" si="1"/>
        <v>#ERROR!</v>
      </c>
      <c r="R1496" s="154" t="s">
        <v>66</v>
      </c>
      <c r="S1496" s="154" t="s">
        <v>66</v>
      </c>
      <c r="T1496" s="154" t="s">
        <v>66</v>
      </c>
      <c r="U1496" s="154" t="s">
        <v>66</v>
      </c>
      <c r="V1496" s="154" t="s">
        <v>66</v>
      </c>
      <c r="W1496" s="154" t="s">
        <v>66</v>
      </c>
      <c r="X1496" s="154" t="s">
        <v>66</v>
      </c>
      <c r="Y1496" s="154" t="s">
        <v>66</v>
      </c>
      <c r="Z1496" s="154" t="s">
        <v>66</v>
      </c>
      <c r="AA1496" s="154"/>
      <c r="AB1496" s="242" t="str">
        <f t="shared" si="2"/>
        <v>#ERROR!</v>
      </c>
      <c r="AC1496" s="154" t="s">
        <v>391</v>
      </c>
      <c r="AD1496" s="242" t="b">
        <f t="shared" si="3"/>
        <v>0</v>
      </c>
      <c r="AE1496" s="154"/>
      <c r="AF1496" s="242" t="str">
        <f t="shared" si="4"/>
        <v>#ERROR!</v>
      </c>
      <c r="AG1496" s="154"/>
      <c r="AH1496" s="242" t="str">
        <f>IF(AG1496="","N/A",INDIRECT("MTR!"&amp;ADDRESS(MATCH(LEFT(AG1496,9),[1]MTR!C:C,0),COLUMN(J1496)),TRUE) &amp; "")</f>
        <v>#ERROR!</v>
      </c>
      <c r="AI1496" s="157" t="str">
        <f t="shared" si="5"/>
        <v>#ERROR!</v>
      </c>
    </row>
    <row r="1497" ht="12.75" customHeight="1">
      <c r="A1497" s="244" t="s">
        <v>5158</v>
      </c>
      <c r="B1497" s="244" t="s">
        <v>231</v>
      </c>
      <c r="C1497" s="245" t="s">
        <v>10520</v>
      </c>
      <c r="D1497" s="155" t="s">
        <v>503</v>
      </c>
      <c r="E1497" s="155" t="s">
        <v>92</v>
      </c>
      <c r="F1497" s="154" t="str">
        <f t="array" ref="F1497">XLOOKUP(Cover!$D$12,$R$1:$Z$1,$R1497:$Z1497)</f>
        <v>Information</v>
      </c>
      <c r="G1497" s="154" t="s">
        <v>10521</v>
      </c>
      <c r="H1497" s="154" t="s">
        <v>6782</v>
      </c>
      <c r="I1497" s="154" t="s">
        <v>10517</v>
      </c>
      <c r="J1497" s="154" t="s">
        <v>6964</v>
      </c>
      <c r="K1497" s="154" t="s">
        <v>10346</v>
      </c>
      <c r="L1497" s="154" t="s">
        <v>7431</v>
      </c>
      <c r="M1497" s="154"/>
      <c r="N1497" s="154" t="s">
        <v>759</v>
      </c>
      <c r="O1497" s="247" t="s">
        <v>516</v>
      </c>
      <c r="P1497" s="247" t="s">
        <v>6776</v>
      </c>
      <c r="Q1497" s="154" t="str">
        <f t="shared" si="1"/>
        <v>#ERROR!</v>
      </c>
      <c r="R1497" s="154" t="s">
        <v>66</v>
      </c>
      <c r="S1497" s="154" t="s">
        <v>66</v>
      </c>
      <c r="T1497" s="154" t="s">
        <v>66</v>
      </c>
      <c r="U1497" s="154" t="s">
        <v>66</v>
      </c>
      <c r="V1497" s="154" t="s">
        <v>66</v>
      </c>
      <c r="W1497" s="154" t="s">
        <v>66</v>
      </c>
      <c r="X1497" s="154" t="s">
        <v>66</v>
      </c>
      <c r="Y1497" s="154" t="s">
        <v>66</v>
      </c>
      <c r="Z1497" s="154" t="s">
        <v>66</v>
      </c>
      <c r="AA1497" s="154"/>
      <c r="AB1497" s="242" t="str">
        <f t="shared" si="2"/>
        <v>#ERROR!</v>
      </c>
      <c r="AC1497" s="154" t="s">
        <v>391</v>
      </c>
      <c r="AD1497" s="242" t="b">
        <f t="shared" si="3"/>
        <v>0</v>
      </c>
      <c r="AE1497" s="154"/>
      <c r="AF1497" s="242" t="str">
        <f t="shared" si="4"/>
        <v>#ERROR!</v>
      </c>
      <c r="AG1497" s="154"/>
      <c r="AH1497" s="242" t="str">
        <f>IF(AG1497="","N/A",INDIRECT("MTR!"&amp;ADDRESS(MATCH(LEFT(AG1497,9),[1]MTR!C:C,0),COLUMN(J1497)),TRUE) &amp; "")</f>
        <v>#ERROR!</v>
      </c>
      <c r="AI1497" s="157" t="str">
        <f t="shared" si="5"/>
        <v>#ERROR!</v>
      </c>
    </row>
    <row r="1498" ht="12.75" customHeight="1">
      <c r="A1498" s="244" t="s">
        <v>5158</v>
      </c>
      <c r="B1498" s="244" t="s">
        <v>231</v>
      </c>
      <c r="C1498" s="245" t="s">
        <v>10522</v>
      </c>
      <c r="D1498" s="155" t="s">
        <v>503</v>
      </c>
      <c r="E1498" s="155" t="s">
        <v>92</v>
      </c>
      <c r="F1498" s="154" t="str">
        <f t="array" ref="F1498">XLOOKUP(Cover!$D$12,$R$1:$Z$1,$R1498:$Z1498)</f>
        <v>Information</v>
      </c>
      <c r="G1498" s="154" t="s">
        <v>10523</v>
      </c>
      <c r="H1498" s="154" t="s">
        <v>9015</v>
      </c>
      <c r="I1498" s="154" t="s">
        <v>10517</v>
      </c>
      <c r="J1498" s="154" t="s">
        <v>6964</v>
      </c>
      <c r="K1498" s="154" t="s">
        <v>10346</v>
      </c>
      <c r="L1498" s="154" t="s">
        <v>7431</v>
      </c>
      <c r="M1498" s="154"/>
      <c r="N1498" s="154" t="s">
        <v>759</v>
      </c>
      <c r="O1498" s="247" t="s">
        <v>516</v>
      </c>
      <c r="P1498" s="247" t="s">
        <v>6776</v>
      </c>
      <c r="Q1498" s="154" t="str">
        <f t="shared" si="1"/>
        <v>#ERROR!</v>
      </c>
      <c r="R1498" s="154" t="s">
        <v>66</v>
      </c>
      <c r="S1498" s="154" t="s">
        <v>66</v>
      </c>
      <c r="T1498" s="154" t="s">
        <v>66</v>
      </c>
      <c r="U1498" s="154" t="s">
        <v>66</v>
      </c>
      <c r="V1498" s="154" t="s">
        <v>66</v>
      </c>
      <c r="W1498" s="154" t="s">
        <v>66</v>
      </c>
      <c r="X1498" s="154" t="s">
        <v>66</v>
      </c>
      <c r="Y1498" s="154" t="s">
        <v>66</v>
      </c>
      <c r="Z1498" s="154" t="s">
        <v>66</v>
      </c>
      <c r="AA1498" s="154"/>
      <c r="AB1498" s="242" t="str">
        <f t="shared" si="2"/>
        <v>#ERROR!</v>
      </c>
      <c r="AC1498" s="154" t="s">
        <v>391</v>
      </c>
      <c r="AD1498" s="242" t="b">
        <f t="shared" si="3"/>
        <v>0</v>
      </c>
      <c r="AE1498" s="154"/>
      <c r="AF1498" s="242" t="str">
        <f t="shared" si="4"/>
        <v>#ERROR!</v>
      </c>
      <c r="AG1498" s="154"/>
      <c r="AH1498" s="242" t="str">
        <f>IF(AG1498="","N/A",INDIRECT("MTR!"&amp;ADDRESS(MATCH(LEFT(AG1498,9),[1]MTR!C:C,0),COLUMN(J1498)),TRUE) &amp; "")</f>
        <v>#ERROR!</v>
      </c>
      <c r="AI1498" s="157" t="str">
        <f t="shared" si="5"/>
        <v>#ERROR!</v>
      </c>
    </row>
    <row r="1499" ht="12.75" customHeight="1">
      <c r="A1499" s="244" t="s">
        <v>5158</v>
      </c>
      <c r="B1499" s="244" t="s">
        <v>231</v>
      </c>
      <c r="C1499" s="244" t="s">
        <v>10524</v>
      </c>
      <c r="D1499" s="154" t="s">
        <v>503</v>
      </c>
      <c r="E1499" s="154"/>
      <c r="F1499" s="154" t="str">
        <f t="array" ref="F1499">XLOOKUP(Cover!$D$12,$R$1:$Z$1,$R1499:$Z1499)</f>
        <v>Mandatory</v>
      </c>
      <c r="G1499" s="154" t="s">
        <v>10525</v>
      </c>
      <c r="H1499" s="154" t="s">
        <v>6771</v>
      </c>
      <c r="I1499" s="154" t="s">
        <v>10526</v>
      </c>
      <c r="J1499" s="154" t="s">
        <v>6978</v>
      </c>
      <c r="K1499" s="154" t="s">
        <v>10346</v>
      </c>
      <c r="L1499" s="154" t="s">
        <v>6463</v>
      </c>
      <c r="M1499" s="154" t="s">
        <v>175</v>
      </c>
      <c r="N1499" s="154" t="s">
        <v>759</v>
      </c>
      <c r="O1499" s="247" t="s">
        <v>516</v>
      </c>
      <c r="P1499" s="247" t="s">
        <v>6776</v>
      </c>
      <c r="Q1499" s="154" t="str">
        <f t="shared" si="1"/>
        <v>#ERROR!</v>
      </c>
      <c r="R1499" s="154" t="s">
        <v>66</v>
      </c>
      <c r="S1499" s="154" t="s">
        <v>66</v>
      </c>
      <c r="T1499" s="155" t="s">
        <v>64</v>
      </c>
      <c r="U1499" s="155" t="s">
        <v>64</v>
      </c>
      <c r="V1499" s="154" t="s">
        <v>60</v>
      </c>
      <c r="W1499" s="154" t="s">
        <v>60</v>
      </c>
      <c r="X1499" s="154" t="s">
        <v>66</v>
      </c>
      <c r="Y1499" s="155" t="s">
        <v>64</v>
      </c>
      <c r="Z1499" s="154" t="s">
        <v>60</v>
      </c>
      <c r="AA1499" s="154"/>
      <c r="AB1499" s="242" t="str">
        <f t="shared" si="2"/>
        <v>#ERROR!</v>
      </c>
      <c r="AC1499" s="154" t="s">
        <v>391</v>
      </c>
      <c r="AD1499" s="242" t="b">
        <f t="shared" si="3"/>
        <v>0</v>
      </c>
      <c r="AE1499" s="154"/>
      <c r="AF1499" s="242" t="str">
        <f t="shared" si="4"/>
        <v>#ERROR!</v>
      </c>
      <c r="AG1499" s="154"/>
      <c r="AH1499" s="242" t="str">
        <f>IF(AG1499="","N/A",INDIRECT("MTR!"&amp;ADDRESS(MATCH(LEFT(AG1499,9),[1]MTR!C:C,0),COLUMN(J1499)),TRUE) &amp; "")</f>
        <v>#ERROR!</v>
      </c>
      <c r="AI1499" s="157" t="str">
        <f t="shared" si="5"/>
        <v>#ERROR!</v>
      </c>
    </row>
    <row r="1500" ht="12.75" customHeight="1">
      <c r="A1500" s="244" t="s">
        <v>5158</v>
      </c>
      <c r="B1500" s="244" t="s">
        <v>231</v>
      </c>
      <c r="C1500" s="244" t="s">
        <v>10527</v>
      </c>
      <c r="D1500" s="154" t="s">
        <v>503</v>
      </c>
      <c r="E1500" s="154"/>
      <c r="F1500" s="154" t="str">
        <f t="array" ref="F1500">XLOOKUP(Cover!$D$12,$R$1:$Z$1,$R1500:$Z1500)</f>
        <v>Mandatory</v>
      </c>
      <c r="G1500" s="154" t="s">
        <v>10528</v>
      </c>
      <c r="H1500" s="154" t="s">
        <v>9006</v>
      </c>
      <c r="I1500" s="154" t="s">
        <v>10526</v>
      </c>
      <c r="J1500" s="154" t="s">
        <v>6978</v>
      </c>
      <c r="K1500" s="154" t="s">
        <v>10346</v>
      </c>
      <c r="L1500" s="154" t="s">
        <v>6463</v>
      </c>
      <c r="M1500" s="154" t="s">
        <v>175</v>
      </c>
      <c r="N1500" s="154" t="s">
        <v>759</v>
      </c>
      <c r="O1500" s="247" t="s">
        <v>516</v>
      </c>
      <c r="P1500" s="247" t="s">
        <v>6776</v>
      </c>
      <c r="Q1500" s="154" t="str">
        <f t="shared" si="1"/>
        <v>#ERROR!</v>
      </c>
      <c r="R1500" s="154" t="s">
        <v>66</v>
      </c>
      <c r="S1500" s="154" t="s">
        <v>66</v>
      </c>
      <c r="T1500" s="155" t="s">
        <v>64</v>
      </c>
      <c r="U1500" s="155" t="s">
        <v>64</v>
      </c>
      <c r="V1500" s="154" t="s">
        <v>60</v>
      </c>
      <c r="W1500" s="154" t="s">
        <v>60</v>
      </c>
      <c r="X1500" s="154" t="s">
        <v>66</v>
      </c>
      <c r="Y1500" s="155" t="s">
        <v>64</v>
      </c>
      <c r="Z1500" s="154" t="s">
        <v>60</v>
      </c>
      <c r="AA1500" s="154"/>
      <c r="AB1500" s="242" t="str">
        <f t="shared" si="2"/>
        <v>#ERROR!</v>
      </c>
      <c r="AC1500" s="154" t="s">
        <v>391</v>
      </c>
      <c r="AD1500" s="242" t="b">
        <f t="shared" si="3"/>
        <v>0</v>
      </c>
      <c r="AE1500" s="154"/>
      <c r="AF1500" s="242" t="str">
        <f t="shared" si="4"/>
        <v>#ERROR!</v>
      </c>
      <c r="AG1500" s="154"/>
      <c r="AH1500" s="242" t="str">
        <f>IF(AG1500="","N/A",INDIRECT("MTR!"&amp;ADDRESS(MATCH(LEFT(AG1500,9),[1]MTR!C:C,0),COLUMN(J1500)),TRUE) &amp; "")</f>
        <v>#ERROR!</v>
      </c>
      <c r="AI1500" s="157" t="str">
        <f t="shared" si="5"/>
        <v>#ERROR!</v>
      </c>
    </row>
    <row r="1501" ht="12.75" customHeight="1">
      <c r="A1501" s="244" t="s">
        <v>5158</v>
      </c>
      <c r="B1501" s="244" t="s">
        <v>231</v>
      </c>
      <c r="C1501" s="244" t="s">
        <v>10529</v>
      </c>
      <c r="D1501" s="154" t="s">
        <v>503</v>
      </c>
      <c r="E1501" s="154"/>
      <c r="F1501" s="154" t="str">
        <f t="array" ref="F1501">XLOOKUP(Cover!$D$12,$R$1:$Z$1,$R1501:$Z1501)</f>
        <v>Mandatory</v>
      </c>
      <c r="G1501" s="154" t="s">
        <v>10530</v>
      </c>
      <c r="H1501" s="154" t="s">
        <v>6808</v>
      </c>
      <c r="I1501" s="154" t="s">
        <v>10526</v>
      </c>
      <c r="J1501" s="154" t="s">
        <v>6978</v>
      </c>
      <c r="K1501" s="154" t="s">
        <v>10346</v>
      </c>
      <c r="L1501" s="154" t="s">
        <v>6463</v>
      </c>
      <c r="M1501" s="154" t="s">
        <v>175</v>
      </c>
      <c r="N1501" s="154" t="s">
        <v>759</v>
      </c>
      <c r="O1501" s="247" t="s">
        <v>516</v>
      </c>
      <c r="P1501" s="247" t="s">
        <v>6776</v>
      </c>
      <c r="Q1501" s="154" t="str">
        <f t="shared" si="1"/>
        <v>#ERROR!</v>
      </c>
      <c r="R1501" s="154" t="s">
        <v>66</v>
      </c>
      <c r="S1501" s="154" t="s">
        <v>66</v>
      </c>
      <c r="T1501" s="155" t="s">
        <v>64</v>
      </c>
      <c r="U1501" s="155" t="s">
        <v>64</v>
      </c>
      <c r="V1501" s="154" t="s">
        <v>60</v>
      </c>
      <c r="W1501" s="154" t="s">
        <v>60</v>
      </c>
      <c r="X1501" s="154" t="s">
        <v>66</v>
      </c>
      <c r="Y1501" s="155" t="s">
        <v>64</v>
      </c>
      <c r="Z1501" s="154" t="s">
        <v>60</v>
      </c>
      <c r="AA1501" s="154"/>
      <c r="AB1501" s="242" t="str">
        <f t="shared" si="2"/>
        <v>#ERROR!</v>
      </c>
      <c r="AC1501" s="154" t="s">
        <v>391</v>
      </c>
      <c r="AD1501" s="242" t="b">
        <f t="shared" si="3"/>
        <v>0</v>
      </c>
      <c r="AE1501" s="154"/>
      <c r="AF1501" s="242" t="str">
        <f t="shared" si="4"/>
        <v>#ERROR!</v>
      </c>
      <c r="AG1501" s="154"/>
      <c r="AH1501" s="242" t="str">
        <f>IF(AG1501="","N/A",INDIRECT("MTR!"&amp;ADDRESS(MATCH(LEFT(AG1501,9),[1]MTR!C:C,0),COLUMN(J1501)),TRUE) &amp; "")</f>
        <v>#ERROR!</v>
      </c>
      <c r="AI1501" s="157" t="str">
        <f t="shared" si="5"/>
        <v>#ERROR!</v>
      </c>
    </row>
    <row r="1502" ht="12.75" customHeight="1">
      <c r="A1502" s="244" t="s">
        <v>5158</v>
      </c>
      <c r="B1502" s="244" t="s">
        <v>231</v>
      </c>
      <c r="C1502" s="244" t="s">
        <v>10531</v>
      </c>
      <c r="D1502" s="154" t="s">
        <v>503</v>
      </c>
      <c r="E1502" s="154"/>
      <c r="F1502" s="154" t="str">
        <f t="array" ref="F1502">XLOOKUP(Cover!$D$12,$R$1:$Z$1,$R1502:$Z1502)</f>
        <v>Mandatory</v>
      </c>
      <c r="G1502" s="154" t="s">
        <v>10532</v>
      </c>
      <c r="H1502" s="154" t="s">
        <v>9053</v>
      </c>
      <c r="I1502" s="154" t="s">
        <v>10526</v>
      </c>
      <c r="J1502" s="154" t="s">
        <v>6978</v>
      </c>
      <c r="K1502" s="154" t="s">
        <v>10346</v>
      </c>
      <c r="L1502" s="154" t="s">
        <v>6463</v>
      </c>
      <c r="M1502" s="154" t="s">
        <v>175</v>
      </c>
      <c r="N1502" s="154" t="s">
        <v>759</v>
      </c>
      <c r="O1502" s="247" t="s">
        <v>516</v>
      </c>
      <c r="P1502" s="247" t="s">
        <v>6776</v>
      </c>
      <c r="Q1502" s="154" t="str">
        <f t="shared" si="1"/>
        <v>#ERROR!</v>
      </c>
      <c r="R1502" s="154" t="s">
        <v>66</v>
      </c>
      <c r="S1502" s="154" t="s">
        <v>66</v>
      </c>
      <c r="T1502" s="155" t="s">
        <v>64</v>
      </c>
      <c r="U1502" s="155" t="s">
        <v>64</v>
      </c>
      <c r="V1502" s="154" t="s">
        <v>60</v>
      </c>
      <c r="W1502" s="154" t="s">
        <v>60</v>
      </c>
      <c r="X1502" s="154" t="s">
        <v>66</v>
      </c>
      <c r="Y1502" s="155" t="s">
        <v>64</v>
      </c>
      <c r="Z1502" s="154" t="s">
        <v>60</v>
      </c>
      <c r="AA1502" s="154"/>
      <c r="AB1502" s="242" t="str">
        <f t="shared" si="2"/>
        <v>#ERROR!</v>
      </c>
      <c r="AC1502" s="154" t="s">
        <v>391</v>
      </c>
      <c r="AD1502" s="242" t="b">
        <f t="shared" si="3"/>
        <v>0</v>
      </c>
      <c r="AE1502" s="154"/>
      <c r="AF1502" s="242" t="str">
        <f t="shared" si="4"/>
        <v>#ERROR!</v>
      </c>
      <c r="AG1502" s="154"/>
      <c r="AH1502" s="242" t="str">
        <f>IF(AG1502="","N/A",INDIRECT("MTR!"&amp;ADDRESS(MATCH(LEFT(AG1502,9),[1]MTR!C:C,0),COLUMN(J1502)),TRUE) &amp; "")</f>
        <v>#ERROR!</v>
      </c>
      <c r="AI1502" s="157" t="str">
        <f t="shared" si="5"/>
        <v>#ERROR!</v>
      </c>
    </row>
    <row r="1503" ht="12.75" customHeight="1">
      <c r="A1503" s="244" t="s">
        <v>5158</v>
      </c>
      <c r="B1503" s="244" t="s">
        <v>231</v>
      </c>
      <c r="C1503" s="244" t="s">
        <v>10533</v>
      </c>
      <c r="D1503" s="154" t="s">
        <v>781</v>
      </c>
      <c r="E1503" s="154"/>
      <c r="F1503" s="154" t="str">
        <f t="array" ref="F1503">XLOOKUP(Cover!$D$12,$R$1:$Z$1,$R1503:$Z1503)</f>
        <v>Mandatory</v>
      </c>
      <c r="G1503" s="154" t="s">
        <v>10534</v>
      </c>
      <c r="H1503" s="154" t="s">
        <v>6771</v>
      </c>
      <c r="I1503" s="154" t="s">
        <v>10535</v>
      </c>
      <c r="J1503" s="154" t="s">
        <v>6984</v>
      </c>
      <c r="K1503" s="154" t="s">
        <v>10346</v>
      </c>
      <c r="L1503" s="154" t="s">
        <v>6140</v>
      </c>
      <c r="M1503" s="154" t="s">
        <v>175</v>
      </c>
      <c r="N1503" s="154" t="s">
        <v>759</v>
      </c>
      <c r="O1503" s="247" t="s">
        <v>516</v>
      </c>
      <c r="P1503" s="247" t="s">
        <v>6776</v>
      </c>
      <c r="Q1503" s="154" t="str">
        <f t="shared" si="1"/>
        <v>#ERROR!</v>
      </c>
      <c r="R1503" s="154" t="s">
        <v>66</v>
      </c>
      <c r="S1503" s="154" t="s">
        <v>66</v>
      </c>
      <c r="T1503" s="155" t="s">
        <v>64</v>
      </c>
      <c r="U1503" s="155" t="s">
        <v>64</v>
      </c>
      <c r="V1503" s="154" t="s">
        <v>60</v>
      </c>
      <c r="W1503" s="154" t="s">
        <v>60</v>
      </c>
      <c r="X1503" s="154" t="s">
        <v>66</v>
      </c>
      <c r="Y1503" s="155" t="s">
        <v>64</v>
      </c>
      <c r="Z1503" s="154" t="s">
        <v>60</v>
      </c>
      <c r="AA1503" s="154"/>
      <c r="AB1503" s="242" t="str">
        <f t="shared" si="2"/>
        <v>#ERROR!</v>
      </c>
      <c r="AC1503" s="154" t="s">
        <v>391</v>
      </c>
      <c r="AD1503" s="242" t="b">
        <f t="shared" si="3"/>
        <v>0</v>
      </c>
      <c r="AE1503" s="154"/>
      <c r="AF1503" s="242" t="str">
        <f t="shared" si="4"/>
        <v>#ERROR!</v>
      </c>
      <c r="AG1503" s="154"/>
      <c r="AH1503" s="242" t="str">
        <f>IF(AG1503="","N/A",INDIRECT("MTR!"&amp;ADDRESS(MATCH(LEFT(AG1503,9),[1]MTR!C:C,0),COLUMN(J1503)),TRUE) &amp; "")</f>
        <v>#ERROR!</v>
      </c>
      <c r="AI1503" s="157" t="str">
        <f t="shared" si="5"/>
        <v>#ERROR!</v>
      </c>
    </row>
    <row r="1504" ht="12.75" customHeight="1">
      <c r="A1504" s="244" t="s">
        <v>5158</v>
      </c>
      <c r="B1504" s="244" t="s">
        <v>231</v>
      </c>
      <c r="C1504" s="244" t="s">
        <v>10536</v>
      </c>
      <c r="D1504" s="154" t="s">
        <v>781</v>
      </c>
      <c r="E1504" s="154"/>
      <c r="F1504" s="154" t="str">
        <f t="array" ref="F1504">XLOOKUP(Cover!$D$12,$R$1:$Z$1,$R1504:$Z1504)</f>
        <v>Mandatory</v>
      </c>
      <c r="G1504" s="154" t="s">
        <v>10537</v>
      </c>
      <c r="H1504" s="154" t="s">
        <v>9006</v>
      </c>
      <c r="I1504" s="154" t="s">
        <v>10535</v>
      </c>
      <c r="J1504" s="154" t="s">
        <v>6984</v>
      </c>
      <c r="K1504" s="154" t="s">
        <v>10346</v>
      </c>
      <c r="L1504" s="154" t="s">
        <v>6140</v>
      </c>
      <c r="M1504" s="154" t="s">
        <v>175</v>
      </c>
      <c r="N1504" s="154" t="s">
        <v>759</v>
      </c>
      <c r="O1504" s="247" t="s">
        <v>516</v>
      </c>
      <c r="P1504" s="247" t="s">
        <v>6776</v>
      </c>
      <c r="Q1504" s="154" t="str">
        <f t="shared" si="1"/>
        <v>#ERROR!</v>
      </c>
      <c r="R1504" s="154" t="s">
        <v>66</v>
      </c>
      <c r="S1504" s="154" t="s">
        <v>66</v>
      </c>
      <c r="T1504" s="155" t="s">
        <v>64</v>
      </c>
      <c r="U1504" s="155" t="s">
        <v>64</v>
      </c>
      <c r="V1504" s="154" t="s">
        <v>60</v>
      </c>
      <c r="W1504" s="154" t="s">
        <v>60</v>
      </c>
      <c r="X1504" s="154" t="s">
        <v>66</v>
      </c>
      <c r="Y1504" s="155" t="s">
        <v>64</v>
      </c>
      <c r="Z1504" s="154" t="s">
        <v>60</v>
      </c>
      <c r="AA1504" s="154"/>
      <c r="AB1504" s="242" t="str">
        <f t="shared" si="2"/>
        <v>#ERROR!</v>
      </c>
      <c r="AC1504" s="154" t="s">
        <v>391</v>
      </c>
      <c r="AD1504" s="242" t="b">
        <f t="shared" si="3"/>
        <v>0</v>
      </c>
      <c r="AE1504" s="154"/>
      <c r="AF1504" s="242" t="str">
        <f t="shared" si="4"/>
        <v>#ERROR!</v>
      </c>
      <c r="AG1504" s="154"/>
      <c r="AH1504" s="242" t="str">
        <f>IF(AG1504="","N/A",INDIRECT("MTR!"&amp;ADDRESS(MATCH(LEFT(AG1504,9),[1]MTR!C:C,0),COLUMN(J1504)),TRUE) &amp; "")</f>
        <v>#ERROR!</v>
      </c>
      <c r="AI1504" s="157" t="str">
        <f t="shared" si="5"/>
        <v>#ERROR!</v>
      </c>
    </row>
    <row r="1505" ht="12.75" customHeight="1">
      <c r="A1505" s="244" t="s">
        <v>5158</v>
      </c>
      <c r="B1505" s="244" t="s">
        <v>231</v>
      </c>
      <c r="C1505" s="244" t="s">
        <v>10538</v>
      </c>
      <c r="D1505" s="154" t="s">
        <v>781</v>
      </c>
      <c r="E1505" s="154"/>
      <c r="F1505" s="154" t="str">
        <f t="array" ref="F1505">XLOOKUP(Cover!$D$12,$R$1:$Z$1,$R1505:$Z1505)</f>
        <v>Recommended</v>
      </c>
      <c r="G1505" s="154" t="s">
        <v>10539</v>
      </c>
      <c r="H1505" s="154" t="s">
        <v>6775</v>
      </c>
      <c r="I1505" s="154" t="s">
        <v>10535</v>
      </c>
      <c r="J1505" s="154" t="s">
        <v>6984</v>
      </c>
      <c r="K1505" s="154" t="s">
        <v>10346</v>
      </c>
      <c r="L1505" s="154" t="s">
        <v>6140</v>
      </c>
      <c r="M1505" s="154"/>
      <c r="N1505" s="154" t="s">
        <v>759</v>
      </c>
      <c r="O1505" s="247" t="s">
        <v>516</v>
      </c>
      <c r="P1505" s="247" t="s">
        <v>6776</v>
      </c>
      <c r="Q1505" s="154" t="str">
        <f t="shared" si="1"/>
        <v>#ERROR!</v>
      </c>
      <c r="R1505" s="154" t="s">
        <v>66</v>
      </c>
      <c r="S1505" s="154" t="s">
        <v>66</v>
      </c>
      <c r="T1505" s="154" t="s">
        <v>64</v>
      </c>
      <c r="U1505" s="154" t="s">
        <v>64</v>
      </c>
      <c r="V1505" s="154" t="s">
        <v>64</v>
      </c>
      <c r="W1505" s="154" t="s">
        <v>64</v>
      </c>
      <c r="X1505" s="154" t="s">
        <v>66</v>
      </c>
      <c r="Y1505" s="154" t="s">
        <v>64</v>
      </c>
      <c r="Z1505" s="154" t="s">
        <v>64</v>
      </c>
      <c r="AA1505" s="154"/>
      <c r="AB1505" s="242" t="str">
        <f t="shared" si="2"/>
        <v>#ERROR!</v>
      </c>
      <c r="AC1505" s="154" t="s">
        <v>391</v>
      </c>
      <c r="AD1505" s="242" t="b">
        <f t="shared" si="3"/>
        <v>0</v>
      </c>
      <c r="AE1505" s="154"/>
      <c r="AF1505" s="242" t="str">
        <f t="shared" si="4"/>
        <v>#ERROR!</v>
      </c>
      <c r="AG1505" s="154"/>
      <c r="AH1505" s="242" t="str">
        <f>IF(AG1505="","N/A",INDIRECT("MTR!"&amp;ADDRESS(MATCH(LEFT(AG1505,9),[1]MTR!C:C,0),COLUMN(J1505)),TRUE) &amp; "")</f>
        <v>#ERROR!</v>
      </c>
      <c r="AI1505" s="157" t="str">
        <f t="shared" si="5"/>
        <v>#ERROR!</v>
      </c>
    </row>
    <row r="1506" ht="12.75" customHeight="1">
      <c r="A1506" s="244" t="s">
        <v>5158</v>
      </c>
      <c r="B1506" s="244" t="s">
        <v>231</v>
      </c>
      <c r="C1506" s="244" t="s">
        <v>10540</v>
      </c>
      <c r="D1506" s="154" t="s">
        <v>781</v>
      </c>
      <c r="E1506" s="154"/>
      <c r="F1506" s="154" t="str">
        <f t="array" ref="F1506">XLOOKUP(Cover!$D$12,$R$1:$Z$1,$R1506:$Z1506)</f>
        <v>Recommended</v>
      </c>
      <c r="G1506" s="154" t="s">
        <v>10541</v>
      </c>
      <c r="H1506" s="154" t="s">
        <v>9009</v>
      </c>
      <c r="I1506" s="154" t="s">
        <v>10535</v>
      </c>
      <c r="J1506" s="154" t="s">
        <v>6984</v>
      </c>
      <c r="K1506" s="154" t="s">
        <v>10346</v>
      </c>
      <c r="L1506" s="154" t="s">
        <v>6140</v>
      </c>
      <c r="M1506" s="154"/>
      <c r="N1506" s="154" t="s">
        <v>759</v>
      </c>
      <c r="O1506" s="247" t="s">
        <v>516</v>
      </c>
      <c r="P1506" s="247" t="s">
        <v>6776</v>
      </c>
      <c r="Q1506" s="154" t="str">
        <f t="shared" si="1"/>
        <v>#ERROR!</v>
      </c>
      <c r="R1506" s="154" t="s">
        <v>66</v>
      </c>
      <c r="S1506" s="154" t="s">
        <v>66</v>
      </c>
      <c r="T1506" s="154" t="s">
        <v>64</v>
      </c>
      <c r="U1506" s="154" t="s">
        <v>64</v>
      </c>
      <c r="V1506" s="154" t="s">
        <v>64</v>
      </c>
      <c r="W1506" s="154" t="s">
        <v>64</v>
      </c>
      <c r="X1506" s="154" t="s">
        <v>66</v>
      </c>
      <c r="Y1506" s="154" t="s">
        <v>64</v>
      </c>
      <c r="Z1506" s="154" t="s">
        <v>64</v>
      </c>
      <c r="AA1506" s="154"/>
      <c r="AB1506" s="242" t="str">
        <f t="shared" si="2"/>
        <v>#ERROR!</v>
      </c>
      <c r="AC1506" s="154" t="s">
        <v>391</v>
      </c>
      <c r="AD1506" s="242" t="b">
        <f t="shared" si="3"/>
        <v>0</v>
      </c>
      <c r="AE1506" s="154"/>
      <c r="AF1506" s="242" t="str">
        <f t="shared" si="4"/>
        <v>#ERROR!</v>
      </c>
      <c r="AG1506" s="154"/>
      <c r="AH1506" s="242" t="str">
        <f>IF(AG1506="","N/A",INDIRECT("MTR!"&amp;ADDRESS(MATCH(LEFT(AG1506,9),[1]MTR!C:C,0),COLUMN(J1506)),TRUE) &amp; "")</f>
        <v>#ERROR!</v>
      </c>
      <c r="AI1506" s="157" t="str">
        <f t="shared" si="5"/>
        <v>#ERROR!</v>
      </c>
    </row>
    <row r="1507" ht="12.75" customHeight="1">
      <c r="A1507" s="244" t="s">
        <v>5158</v>
      </c>
      <c r="B1507" s="244" t="s">
        <v>231</v>
      </c>
      <c r="C1507" s="244" t="s">
        <v>10542</v>
      </c>
      <c r="D1507" s="154" t="s">
        <v>781</v>
      </c>
      <c r="E1507" s="154"/>
      <c r="F1507" s="154" t="str">
        <f t="array" ref="F1507">XLOOKUP(Cover!$D$12,$R$1:$Z$1,$R1507:$Z1507)</f>
        <v>Recommended</v>
      </c>
      <c r="G1507" s="154" t="s">
        <v>10543</v>
      </c>
      <c r="H1507" s="154" t="s">
        <v>6847</v>
      </c>
      <c r="I1507" s="154" t="s">
        <v>10535</v>
      </c>
      <c r="J1507" s="154" t="s">
        <v>6984</v>
      </c>
      <c r="K1507" s="154" t="s">
        <v>10346</v>
      </c>
      <c r="L1507" s="154" t="s">
        <v>6140</v>
      </c>
      <c r="M1507" s="154"/>
      <c r="N1507" s="154" t="s">
        <v>759</v>
      </c>
      <c r="O1507" s="247" t="s">
        <v>516</v>
      </c>
      <c r="P1507" s="247" t="s">
        <v>6776</v>
      </c>
      <c r="Q1507" s="154" t="str">
        <f t="shared" si="1"/>
        <v>#ERROR!</v>
      </c>
      <c r="R1507" s="154" t="s">
        <v>66</v>
      </c>
      <c r="S1507" s="154" t="s">
        <v>66</v>
      </c>
      <c r="T1507" s="154" t="s">
        <v>64</v>
      </c>
      <c r="U1507" s="154" t="s">
        <v>64</v>
      </c>
      <c r="V1507" s="154" t="s">
        <v>64</v>
      </c>
      <c r="W1507" s="154" t="s">
        <v>64</v>
      </c>
      <c r="X1507" s="154" t="s">
        <v>66</v>
      </c>
      <c r="Y1507" s="154" t="s">
        <v>64</v>
      </c>
      <c r="Z1507" s="154" t="s">
        <v>64</v>
      </c>
      <c r="AA1507" s="154"/>
      <c r="AB1507" s="242" t="str">
        <f t="shared" si="2"/>
        <v>#ERROR!</v>
      </c>
      <c r="AC1507" s="154" t="s">
        <v>391</v>
      </c>
      <c r="AD1507" s="242" t="b">
        <f t="shared" si="3"/>
        <v>0</v>
      </c>
      <c r="AE1507" s="154"/>
      <c r="AF1507" s="242" t="str">
        <f t="shared" si="4"/>
        <v>#ERROR!</v>
      </c>
      <c r="AG1507" s="154"/>
      <c r="AH1507" s="242" t="str">
        <f>IF(AG1507="","N/A",INDIRECT("MTR!"&amp;ADDRESS(MATCH(LEFT(AG1507,9),[1]MTR!C:C,0),COLUMN(J1507)),TRUE) &amp; "")</f>
        <v>#ERROR!</v>
      </c>
      <c r="AI1507" s="157" t="str">
        <f t="shared" si="5"/>
        <v>#ERROR!</v>
      </c>
    </row>
    <row r="1508" ht="12.75" customHeight="1">
      <c r="A1508" s="244" t="s">
        <v>5158</v>
      </c>
      <c r="B1508" s="244" t="s">
        <v>231</v>
      </c>
      <c r="C1508" s="244" t="s">
        <v>10544</v>
      </c>
      <c r="D1508" s="154" t="s">
        <v>781</v>
      </c>
      <c r="E1508" s="154"/>
      <c r="F1508" s="154" t="str">
        <f t="array" ref="F1508">XLOOKUP(Cover!$D$12,$R$1:$Z$1,$R1508:$Z1508)</f>
        <v>Recommended</v>
      </c>
      <c r="G1508" s="154" t="s">
        <v>10545</v>
      </c>
      <c r="H1508" s="154" t="s">
        <v>9084</v>
      </c>
      <c r="I1508" s="154" t="s">
        <v>10535</v>
      </c>
      <c r="J1508" s="154" t="s">
        <v>6984</v>
      </c>
      <c r="K1508" s="154" t="s">
        <v>10346</v>
      </c>
      <c r="L1508" s="154" t="s">
        <v>6140</v>
      </c>
      <c r="M1508" s="154"/>
      <c r="N1508" s="154" t="s">
        <v>759</v>
      </c>
      <c r="O1508" s="247" t="s">
        <v>516</v>
      </c>
      <c r="P1508" s="247" t="s">
        <v>6776</v>
      </c>
      <c r="Q1508" s="154" t="str">
        <f t="shared" si="1"/>
        <v>#ERROR!</v>
      </c>
      <c r="R1508" s="154" t="s">
        <v>66</v>
      </c>
      <c r="S1508" s="154" t="s">
        <v>66</v>
      </c>
      <c r="T1508" s="154" t="s">
        <v>64</v>
      </c>
      <c r="U1508" s="154" t="s">
        <v>64</v>
      </c>
      <c r="V1508" s="154" t="s">
        <v>64</v>
      </c>
      <c r="W1508" s="154" t="s">
        <v>64</v>
      </c>
      <c r="X1508" s="154" t="s">
        <v>66</v>
      </c>
      <c r="Y1508" s="154" t="s">
        <v>64</v>
      </c>
      <c r="Z1508" s="154" t="s">
        <v>64</v>
      </c>
      <c r="AA1508" s="154"/>
      <c r="AB1508" s="242" t="str">
        <f t="shared" si="2"/>
        <v>#ERROR!</v>
      </c>
      <c r="AC1508" s="154" t="s">
        <v>391</v>
      </c>
      <c r="AD1508" s="242" t="b">
        <f t="shared" si="3"/>
        <v>0</v>
      </c>
      <c r="AE1508" s="154"/>
      <c r="AF1508" s="242" t="str">
        <f t="shared" si="4"/>
        <v>#ERROR!</v>
      </c>
      <c r="AG1508" s="154"/>
      <c r="AH1508" s="242" t="str">
        <f>IF(AG1508="","N/A",INDIRECT("MTR!"&amp;ADDRESS(MATCH(LEFT(AG1508,9),[1]MTR!C:C,0),COLUMN(J1508)),TRUE) &amp; "")</f>
        <v>#ERROR!</v>
      </c>
      <c r="AI1508" s="157" t="str">
        <f t="shared" si="5"/>
        <v>#ERROR!</v>
      </c>
    </row>
    <row r="1509" ht="12.75" customHeight="1">
      <c r="A1509" s="244" t="s">
        <v>5158</v>
      </c>
      <c r="B1509" s="244" t="s">
        <v>231</v>
      </c>
      <c r="C1509" s="244" t="s">
        <v>10546</v>
      </c>
      <c r="D1509" s="154" t="s">
        <v>542</v>
      </c>
      <c r="E1509" s="154"/>
      <c r="F1509" s="154" t="str">
        <f t="array" ref="F1509">XLOOKUP(Cover!$D$12,$R$1:$Z$1,$R1509:$Z1509)</f>
        <v>Information</v>
      </c>
      <c r="G1509" s="154" t="s">
        <v>10547</v>
      </c>
      <c r="H1509" s="154" t="s">
        <v>6771</v>
      </c>
      <c r="I1509" s="154" t="s">
        <v>10548</v>
      </c>
      <c r="J1509" s="154" t="s">
        <v>6992</v>
      </c>
      <c r="K1509" s="154" t="s">
        <v>10346</v>
      </c>
      <c r="L1509" s="154" t="s">
        <v>6140</v>
      </c>
      <c r="M1509" s="154"/>
      <c r="N1509" s="154" t="s">
        <v>759</v>
      </c>
      <c r="O1509" s="247" t="s">
        <v>516</v>
      </c>
      <c r="P1509" s="247" t="s">
        <v>6776</v>
      </c>
      <c r="Q1509" s="154" t="str">
        <f t="shared" si="1"/>
        <v>#ERROR!</v>
      </c>
      <c r="R1509" s="154" t="s">
        <v>66</v>
      </c>
      <c r="S1509" s="154" t="s">
        <v>66</v>
      </c>
      <c r="T1509" s="154" t="s">
        <v>66</v>
      </c>
      <c r="U1509" s="154" t="s">
        <v>66</v>
      </c>
      <c r="V1509" s="154" t="s">
        <v>66</v>
      </c>
      <c r="W1509" s="154" t="s">
        <v>66</v>
      </c>
      <c r="X1509" s="154" t="s">
        <v>66</v>
      </c>
      <c r="Y1509" s="154" t="s">
        <v>66</v>
      </c>
      <c r="Z1509" s="154" t="s">
        <v>66</v>
      </c>
      <c r="AA1509" s="154"/>
      <c r="AB1509" s="242" t="str">
        <f t="shared" si="2"/>
        <v>#ERROR!</v>
      </c>
      <c r="AC1509" s="154" t="s">
        <v>391</v>
      </c>
      <c r="AD1509" s="242" t="b">
        <f t="shared" si="3"/>
        <v>0</v>
      </c>
      <c r="AE1509" s="154"/>
      <c r="AF1509" s="242" t="str">
        <f t="shared" si="4"/>
        <v>#ERROR!</v>
      </c>
      <c r="AG1509" s="154"/>
      <c r="AH1509" s="242" t="str">
        <f>IF(AG1509="","N/A",INDIRECT("MTR!"&amp;ADDRESS(MATCH(LEFT(AG1509,9),[1]MTR!C:C,0),COLUMN(J1509)),TRUE) &amp; "")</f>
        <v>#ERROR!</v>
      </c>
      <c r="AI1509" s="157" t="str">
        <f t="shared" si="5"/>
        <v>#ERROR!</v>
      </c>
    </row>
    <row r="1510" ht="12.75" customHeight="1">
      <c r="A1510" s="244" t="s">
        <v>5158</v>
      </c>
      <c r="B1510" s="244" t="s">
        <v>231</v>
      </c>
      <c r="C1510" s="244" t="s">
        <v>10549</v>
      </c>
      <c r="D1510" s="154" t="s">
        <v>542</v>
      </c>
      <c r="E1510" s="154"/>
      <c r="F1510" s="154" t="str">
        <f t="array" ref="F1510">XLOOKUP(Cover!$D$12,$R$1:$Z$1,$R1510:$Z1510)</f>
        <v>Information</v>
      </c>
      <c r="G1510" s="154" t="s">
        <v>10550</v>
      </c>
      <c r="H1510" s="154" t="s">
        <v>9006</v>
      </c>
      <c r="I1510" s="154" t="s">
        <v>10548</v>
      </c>
      <c r="J1510" s="154" t="s">
        <v>6992</v>
      </c>
      <c r="K1510" s="154" t="s">
        <v>10346</v>
      </c>
      <c r="L1510" s="154" t="s">
        <v>6140</v>
      </c>
      <c r="M1510" s="154"/>
      <c r="N1510" s="154" t="s">
        <v>759</v>
      </c>
      <c r="O1510" s="247" t="s">
        <v>516</v>
      </c>
      <c r="P1510" s="247" t="s">
        <v>6776</v>
      </c>
      <c r="Q1510" s="154" t="str">
        <f t="shared" si="1"/>
        <v>#ERROR!</v>
      </c>
      <c r="R1510" s="154" t="s">
        <v>66</v>
      </c>
      <c r="S1510" s="154" t="s">
        <v>66</v>
      </c>
      <c r="T1510" s="154" t="s">
        <v>66</v>
      </c>
      <c r="U1510" s="154" t="s">
        <v>66</v>
      </c>
      <c r="V1510" s="154" t="s">
        <v>66</v>
      </c>
      <c r="W1510" s="154" t="s">
        <v>66</v>
      </c>
      <c r="X1510" s="154" t="s">
        <v>66</v>
      </c>
      <c r="Y1510" s="154" t="s">
        <v>66</v>
      </c>
      <c r="Z1510" s="154" t="s">
        <v>66</v>
      </c>
      <c r="AA1510" s="154"/>
      <c r="AB1510" s="242" t="str">
        <f t="shared" si="2"/>
        <v>#ERROR!</v>
      </c>
      <c r="AC1510" s="154" t="s">
        <v>391</v>
      </c>
      <c r="AD1510" s="242" t="b">
        <f t="shared" si="3"/>
        <v>0</v>
      </c>
      <c r="AE1510" s="154"/>
      <c r="AF1510" s="242" t="str">
        <f t="shared" si="4"/>
        <v>#ERROR!</v>
      </c>
      <c r="AG1510" s="154"/>
      <c r="AH1510" s="242" t="str">
        <f>IF(AG1510="","N/A",INDIRECT("MTR!"&amp;ADDRESS(MATCH(LEFT(AG1510,9),[1]MTR!C:C,0),COLUMN(J1510)),TRUE) &amp; "")</f>
        <v>#ERROR!</v>
      </c>
      <c r="AI1510" s="157" t="str">
        <f t="shared" si="5"/>
        <v>#ERROR!</v>
      </c>
    </row>
    <row r="1511" ht="12.75" customHeight="1">
      <c r="A1511" s="244" t="s">
        <v>5158</v>
      </c>
      <c r="B1511" s="244" t="s">
        <v>231</v>
      </c>
      <c r="C1511" s="244" t="s">
        <v>10551</v>
      </c>
      <c r="D1511" s="154" t="s">
        <v>542</v>
      </c>
      <c r="E1511" s="154"/>
      <c r="F1511" s="154" t="str">
        <f t="array" ref="F1511">XLOOKUP(Cover!$D$12,$R$1:$Z$1,$R1511:$Z1511)</f>
        <v>Information</v>
      </c>
      <c r="G1511" s="154" t="s">
        <v>10552</v>
      </c>
      <c r="H1511" s="154" t="s">
        <v>6775</v>
      </c>
      <c r="I1511" s="154" t="s">
        <v>10548</v>
      </c>
      <c r="J1511" s="154" t="s">
        <v>6992</v>
      </c>
      <c r="K1511" s="154" t="s">
        <v>10346</v>
      </c>
      <c r="L1511" s="154" t="s">
        <v>6140</v>
      </c>
      <c r="M1511" s="154"/>
      <c r="N1511" s="154" t="s">
        <v>759</v>
      </c>
      <c r="O1511" s="247" t="s">
        <v>516</v>
      </c>
      <c r="P1511" s="247" t="s">
        <v>6776</v>
      </c>
      <c r="Q1511" s="154" t="str">
        <f t="shared" si="1"/>
        <v>#ERROR!</v>
      </c>
      <c r="R1511" s="154" t="s">
        <v>66</v>
      </c>
      <c r="S1511" s="154" t="s">
        <v>66</v>
      </c>
      <c r="T1511" s="154" t="s">
        <v>66</v>
      </c>
      <c r="U1511" s="154" t="s">
        <v>66</v>
      </c>
      <c r="V1511" s="154" t="s">
        <v>66</v>
      </c>
      <c r="W1511" s="154" t="s">
        <v>66</v>
      </c>
      <c r="X1511" s="154" t="s">
        <v>66</v>
      </c>
      <c r="Y1511" s="154" t="s">
        <v>66</v>
      </c>
      <c r="Z1511" s="154" t="s">
        <v>66</v>
      </c>
      <c r="AA1511" s="154"/>
      <c r="AB1511" s="242" t="str">
        <f t="shared" si="2"/>
        <v>#ERROR!</v>
      </c>
      <c r="AC1511" s="154" t="s">
        <v>391</v>
      </c>
      <c r="AD1511" s="242" t="b">
        <f t="shared" si="3"/>
        <v>0</v>
      </c>
      <c r="AE1511" s="154"/>
      <c r="AF1511" s="242" t="str">
        <f t="shared" si="4"/>
        <v>#ERROR!</v>
      </c>
      <c r="AG1511" s="154"/>
      <c r="AH1511" s="242" t="str">
        <f>IF(AG1511="","N/A",INDIRECT("MTR!"&amp;ADDRESS(MATCH(LEFT(AG1511,9),[1]MTR!C:C,0),COLUMN(J1511)),TRUE) &amp; "")</f>
        <v>#ERROR!</v>
      </c>
      <c r="AI1511" s="157" t="str">
        <f t="shared" si="5"/>
        <v>#ERROR!</v>
      </c>
    </row>
    <row r="1512" ht="12.75" customHeight="1">
      <c r="A1512" s="244" t="s">
        <v>5158</v>
      </c>
      <c r="B1512" s="244" t="s">
        <v>231</v>
      </c>
      <c r="C1512" s="244" t="s">
        <v>10553</v>
      </c>
      <c r="D1512" s="154" t="s">
        <v>542</v>
      </c>
      <c r="E1512" s="154"/>
      <c r="F1512" s="154" t="str">
        <f t="array" ref="F1512">XLOOKUP(Cover!$D$12,$R$1:$Z$1,$R1512:$Z1512)</f>
        <v>Information</v>
      </c>
      <c r="G1512" s="154" t="s">
        <v>10554</v>
      </c>
      <c r="H1512" s="154" t="s">
        <v>9009</v>
      </c>
      <c r="I1512" s="154" t="s">
        <v>10548</v>
      </c>
      <c r="J1512" s="154" t="s">
        <v>6992</v>
      </c>
      <c r="K1512" s="154" t="s">
        <v>10346</v>
      </c>
      <c r="L1512" s="154" t="s">
        <v>6140</v>
      </c>
      <c r="M1512" s="154"/>
      <c r="N1512" s="154" t="s">
        <v>759</v>
      </c>
      <c r="O1512" s="247" t="s">
        <v>516</v>
      </c>
      <c r="P1512" s="247" t="s">
        <v>6776</v>
      </c>
      <c r="Q1512" s="154" t="str">
        <f t="shared" si="1"/>
        <v>#ERROR!</v>
      </c>
      <c r="R1512" s="154" t="s">
        <v>66</v>
      </c>
      <c r="S1512" s="154" t="s">
        <v>66</v>
      </c>
      <c r="T1512" s="154" t="s">
        <v>66</v>
      </c>
      <c r="U1512" s="154" t="s">
        <v>66</v>
      </c>
      <c r="V1512" s="154" t="s">
        <v>66</v>
      </c>
      <c r="W1512" s="154" t="s">
        <v>66</v>
      </c>
      <c r="X1512" s="154" t="s">
        <v>66</v>
      </c>
      <c r="Y1512" s="154" t="s">
        <v>66</v>
      </c>
      <c r="Z1512" s="154" t="s">
        <v>66</v>
      </c>
      <c r="AA1512" s="154"/>
      <c r="AB1512" s="242" t="str">
        <f t="shared" si="2"/>
        <v>#ERROR!</v>
      </c>
      <c r="AC1512" s="154" t="s">
        <v>391</v>
      </c>
      <c r="AD1512" s="242" t="b">
        <f t="shared" si="3"/>
        <v>0</v>
      </c>
      <c r="AE1512" s="154"/>
      <c r="AF1512" s="242" t="str">
        <f t="shared" si="4"/>
        <v>#ERROR!</v>
      </c>
      <c r="AG1512" s="154"/>
      <c r="AH1512" s="242" t="str">
        <f>IF(AG1512="","N/A",INDIRECT("MTR!"&amp;ADDRESS(MATCH(LEFT(AG1512,9),[1]MTR!C:C,0),COLUMN(J1512)),TRUE) &amp; "")</f>
        <v>#ERROR!</v>
      </c>
      <c r="AI1512" s="157" t="str">
        <f t="shared" si="5"/>
        <v>#ERROR!</v>
      </c>
    </row>
    <row r="1513" ht="12.75" customHeight="1">
      <c r="A1513" s="244" t="s">
        <v>5158</v>
      </c>
      <c r="B1513" s="244" t="s">
        <v>231</v>
      </c>
      <c r="C1513" s="244" t="s">
        <v>10555</v>
      </c>
      <c r="D1513" s="154" t="s">
        <v>781</v>
      </c>
      <c r="E1513" s="154"/>
      <c r="F1513" s="154" t="str">
        <f t="array" ref="F1513">XLOOKUP(Cover!$D$12,$R$1:$Z$1,$R1513:$Z1513)</f>
        <v>Mandatory</v>
      </c>
      <c r="G1513" s="154" t="s">
        <v>10556</v>
      </c>
      <c r="H1513" s="154" t="s">
        <v>6771</v>
      </c>
      <c r="I1513" s="154" t="s">
        <v>10557</v>
      </c>
      <c r="J1513" s="154" t="s">
        <v>6998</v>
      </c>
      <c r="K1513" s="154" t="s">
        <v>10346</v>
      </c>
      <c r="L1513" s="154" t="s">
        <v>6140</v>
      </c>
      <c r="M1513" s="154" t="s">
        <v>175</v>
      </c>
      <c r="N1513" s="154" t="s">
        <v>759</v>
      </c>
      <c r="O1513" s="247" t="s">
        <v>516</v>
      </c>
      <c r="P1513" s="247" t="s">
        <v>6776</v>
      </c>
      <c r="Q1513" s="154" t="str">
        <f t="shared" si="1"/>
        <v>#ERROR!</v>
      </c>
      <c r="R1513" s="154" t="s">
        <v>66</v>
      </c>
      <c r="S1513" s="154" t="s">
        <v>66</v>
      </c>
      <c r="T1513" s="155" t="s">
        <v>64</v>
      </c>
      <c r="U1513" s="155" t="s">
        <v>64</v>
      </c>
      <c r="V1513" s="154" t="s">
        <v>60</v>
      </c>
      <c r="W1513" s="154" t="s">
        <v>60</v>
      </c>
      <c r="X1513" s="154" t="s">
        <v>66</v>
      </c>
      <c r="Y1513" s="155" t="s">
        <v>64</v>
      </c>
      <c r="Z1513" s="154" t="s">
        <v>60</v>
      </c>
      <c r="AA1513" s="154"/>
      <c r="AB1513" s="242" t="str">
        <f t="shared" si="2"/>
        <v>#ERROR!</v>
      </c>
      <c r="AC1513" s="154" t="s">
        <v>391</v>
      </c>
      <c r="AD1513" s="242" t="b">
        <f t="shared" si="3"/>
        <v>0</v>
      </c>
      <c r="AE1513" s="154"/>
      <c r="AF1513" s="242" t="str">
        <f t="shared" si="4"/>
        <v>#ERROR!</v>
      </c>
      <c r="AG1513" s="154"/>
      <c r="AH1513" s="242" t="str">
        <f>IF(AG1513="","N/A",INDIRECT("MTR!"&amp;ADDRESS(MATCH(LEFT(AG1513,9),[1]MTR!C:C,0),COLUMN(J1513)),TRUE) &amp; "")</f>
        <v>#ERROR!</v>
      </c>
      <c r="AI1513" s="157" t="str">
        <f t="shared" si="5"/>
        <v>#ERROR!</v>
      </c>
    </row>
    <row r="1514" ht="12.75" customHeight="1">
      <c r="A1514" s="244" t="s">
        <v>5158</v>
      </c>
      <c r="B1514" s="244" t="s">
        <v>231</v>
      </c>
      <c r="C1514" s="244" t="s">
        <v>10558</v>
      </c>
      <c r="D1514" s="154" t="s">
        <v>781</v>
      </c>
      <c r="E1514" s="154"/>
      <c r="F1514" s="154" t="str">
        <f t="array" ref="F1514">XLOOKUP(Cover!$D$12,$R$1:$Z$1,$R1514:$Z1514)</f>
        <v>Mandatory</v>
      </c>
      <c r="G1514" s="154" t="s">
        <v>10559</v>
      </c>
      <c r="H1514" s="154" t="s">
        <v>9006</v>
      </c>
      <c r="I1514" s="154" t="s">
        <v>10557</v>
      </c>
      <c r="J1514" s="154" t="s">
        <v>6998</v>
      </c>
      <c r="K1514" s="154" t="s">
        <v>10346</v>
      </c>
      <c r="L1514" s="154" t="s">
        <v>6140</v>
      </c>
      <c r="M1514" s="154" t="s">
        <v>175</v>
      </c>
      <c r="N1514" s="154" t="s">
        <v>759</v>
      </c>
      <c r="O1514" s="247" t="s">
        <v>516</v>
      </c>
      <c r="P1514" s="247" t="s">
        <v>6776</v>
      </c>
      <c r="Q1514" s="154" t="str">
        <f t="shared" si="1"/>
        <v>#ERROR!</v>
      </c>
      <c r="R1514" s="154" t="s">
        <v>66</v>
      </c>
      <c r="S1514" s="154" t="s">
        <v>66</v>
      </c>
      <c r="T1514" s="155" t="s">
        <v>64</v>
      </c>
      <c r="U1514" s="155" t="s">
        <v>64</v>
      </c>
      <c r="V1514" s="154" t="s">
        <v>60</v>
      </c>
      <c r="W1514" s="154" t="s">
        <v>60</v>
      </c>
      <c r="X1514" s="154" t="s">
        <v>66</v>
      </c>
      <c r="Y1514" s="155" t="s">
        <v>64</v>
      </c>
      <c r="Z1514" s="154" t="s">
        <v>60</v>
      </c>
      <c r="AA1514" s="154"/>
      <c r="AB1514" s="242" t="str">
        <f t="shared" si="2"/>
        <v>#ERROR!</v>
      </c>
      <c r="AC1514" s="154" t="s">
        <v>391</v>
      </c>
      <c r="AD1514" s="242" t="b">
        <f t="shared" si="3"/>
        <v>0</v>
      </c>
      <c r="AE1514" s="154"/>
      <c r="AF1514" s="242" t="str">
        <f t="shared" si="4"/>
        <v>#ERROR!</v>
      </c>
      <c r="AG1514" s="154"/>
      <c r="AH1514" s="242" t="str">
        <f>IF(AG1514="","N/A",INDIRECT("MTR!"&amp;ADDRESS(MATCH(LEFT(AG1514,9),[1]MTR!C:C,0),COLUMN(J1514)),TRUE) &amp; "")</f>
        <v>#ERROR!</v>
      </c>
      <c r="AI1514" s="157" t="str">
        <f t="shared" si="5"/>
        <v>#ERROR!</v>
      </c>
    </row>
    <row r="1515" ht="12.75" customHeight="1">
      <c r="A1515" s="244" t="s">
        <v>5158</v>
      </c>
      <c r="B1515" s="244" t="s">
        <v>231</v>
      </c>
      <c r="C1515" s="244" t="s">
        <v>10560</v>
      </c>
      <c r="D1515" s="154" t="s">
        <v>781</v>
      </c>
      <c r="E1515" s="154"/>
      <c r="F1515" s="154" t="str">
        <f t="array" ref="F1515">XLOOKUP(Cover!$D$12,$R$1:$Z$1,$R1515:$Z1515)</f>
        <v>Recommended</v>
      </c>
      <c r="G1515" s="154" t="s">
        <v>10561</v>
      </c>
      <c r="H1515" s="154" t="s">
        <v>6775</v>
      </c>
      <c r="I1515" s="154" t="s">
        <v>10557</v>
      </c>
      <c r="J1515" s="154" t="s">
        <v>6998</v>
      </c>
      <c r="K1515" s="154" t="s">
        <v>10346</v>
      </c>
      <c r="L1515" s="154" t="s">
        <v>6140</v>
      </c>
      <c r="M1515" s="154"/>
      <c r="N1515" s="154" t="s">
        <v>759</v>
      </c>
      <c r="O1515" s="247" t="s">
        <v>516</v>
      </c>
      <c r="P1515" s="247" t="s">
        <v>6776</v>
      </c>
      <c r="Q1515" s="154" t="str">
        <f t="shared" si="1"/>
        <v>#ERROR!</v>
      </c>
      <c r="R1515" s="154" t="s">
        <v>66</v>
      </c>
      <c r="S1515" s="154" t="s">
        <v>66</v>
      </c>
      <c r="T1515" s="154" t="s">
        <v>64</v>
      </c>
      <c r="U1515" s="154" t="s">
        <v>64</v>
      </c>
      <c r="V1515" s="154" t="s">
        <v>64</v>
      </c>
      <c r="W1515" s="154" t="s">
        <v>64</v>
      </c>
      <c r="X1515" s="154" t="s">
        <v>66</v>
      </c>
      <c r="Y1515" s="154" t="s">
        <v>64</v>
      </c>
      <c r="Z1515" s="154" t="s">
        <v>64</v>
      </c>
      <c r="AA1515" s="154"/>
      <c r="AB1515" s="242" t="str">
        <f t="shared" si="2"/>
        <v>#ERROR!</v>
      </c>
      <c r="AC1515" s="154" t="s">
        <v>391</v>
      </c>
      <c r="AD1515" s="242" t="b">
        <f t="shared" si="3"/>
        <v>0</v>
      </c>
      <c r="AE1515" s="154"/>
      <c r="AF1515" s="242" t="str">
        <f t="shared" si="4"/>
        <v>#ERROR!</v>
      </c>
      <c r="AG1515" s="154"/>
      <c r="AH1515" s="242" t="str">
        <f>IF(AG1515="","N/A",INDIRECT("MTR!"&amp;ADDRESS(MATCH(LEFT(AG1515,9),[1]MTR!C:C,0),COLUMN(J1515)),TRUE) &amp; "")</f>
        <v>#ERROR!</v>
      </c>
      <c r="AI1515" s="157" t="str">
        <f t="shared" si="5"/>
        <v>#ERROR!</v>
      </c>
    </row>
    <row r="1516" ht="12.75" customHeight="1">
      <c r="A1516" s="244" t="s">
        <v>5158</v>
      </c>
      <c r="B1516" s="244" t="s">
        <v>231</v>
      </c>
      <c r="C1516" s="244" t="s">
        <v>10562</v>
      </c>
      <c r="D1516" s="154" t="s">
        <v>781</v>
      </c>
      <c r="E1516" s="154"/>
      <c r="F1516" s="154" t="str">
        <f t="array" ref="F1516">XLOOKUP(Cover!$D$12,$R$1:$Z$1,$R1516:$Z1516)</f>
        <v>Recommended</v>
      </c>
      <c r="G1516" s="154" t="s">
        <v>10563</v>
      </c>
      <c r="H1516" s="154" t="s">
        <v>9009</v>
      </c>
      <c r="I1516" s="154" t="s">
        <v>10557</v>
      </c>
      <c r="J1516" s="154" t="s">
        <v>6998</v>
      </c>
      <c r="K1516" s="154" t="s">
        <v>10346</v>
      </c>
      <c r="L1516" s="154" t="s">
        <v>6140</v>
      </c>
      <c r="M1516" s="154"/>
      <c r="N1516" s="154" t="s">
        <v>759</v>
      </c>
      <c r="O1516" s="247" t="s">
        <v>516</v>
      </c>
      <c r="P1516" s="247" t="s">
        <v>6776</v>
      </c>
      <c r="Q1516" s="154" t="str">
        <f t="shared" si="1"/>
        <v>#ERROR!</v>
      </c>
      <c r="R1516" s="154" t="s">
        <v>66</v>
      </c>
      <c r="S1516" s="154" t="s">
        <v>66</v>
      </c>
      <c r="T1516" s="154" t="s">
        <v>64</v>
      </c>
      <c r="U1516" s="154" t="s">
        <v>64</v>
      </c>
      <c r="V1516" s="154" t="s">
        <v>64</v>
      </c>
      <c r="W1516" s="154" t="s">
        <v>64</v>
      </c>
      <c r="X1516" s="154" t="s">
        <v>66</v>
      </c>
      <c r="Y1516" s="154" t="s">
        <v>64</v>
      </c>
      <c r="Z1516" s="154" t="s">
        <v>64</v>
      </c>
      <c r="AA1516" s="154"/>
      <c r="AB1516" s="242" t="str">
        <f t="shared" si="2"/>
        <v>#ERROR!</v>
      </c>
      <c r="AC1516" s="154" t="s">
        <v>391</v>
      </c>
      <c r="AD1516" s="242" t="b">
        <f t="shared" si="3"/>
        <v>0</v>
      </c>
      <c r="AE1516" s="154"/>
      <c r="AF1516" s="242" t="str">
        <f t="shared" si="4"/>
        <v>#ERROR!</v>
      </c>
      <c r="AG1516" s="154"/>
      <c r="AH1516" s="242" t="str">
        <f>IF(AG1516="","N/A",INDIRECT("MTR!"&amp;ADDRESS(MATCH(LEFT(AG1516,9),[1]MTR!C:C,0),COLUMN(J1516)),TRUE) &amp; "")</f>
        <v>#ERROR!</v>
      </c>
      <c r="AI1516" s="157" t="str">
        <f t="shared" si="5"/>
        <v>#ERROR!</v>
      </c>
    </row>
    <row r="1517" ht="12.75" customHeight="1">
      <c r="A1517" s="244" t="s">
        <v>5158</v>
      </c>
      <c r="B1517" s="244" t="s">
        <v>231</v>
      </c>
      <c r="C1517" s="244" t="s">
        <v>10564</v>
      </c>
      <c r="D1517" s="154" t="s">
        <v>781</v>
      </c>
      <c r="E1517" s="154"/>
      <c r="F1517" s="154" t="str">
        <f t="array" ref="F1517">XLOOKUP(Cover!$D$12,$R$1:$Z$1,$R1517:$Z1517)</f>
        <v>Recommended</v>
      </c>
      <c r="G1517" s="154" t="s">
        <v>10565</v>
      </c>
      <c r="H1517" s="154" t="s">
        <v>6779</v>
      </c>
      <c r="I1517" s="154" t="s">
        <v>10557</v>
      </c>
      <c r="J1517" s="154" t="s">
        <v>6998</v>
      </c>
      <c r="K1517" s="154" t="s">
        <v>10346</v>
      </c>
      <c r="L1517" s="154" t="s">
        <v>6140</v>
      </c>
      <c r="M1517" s="154"/>
      <c r="N1517" s="154" t="s">
        <v>759</v>
      </c>
      <c r="O1517" s="247" t="s">
        <v>516</v>
      </c>
      <c r="P1517" s="247" t="s">
        <v>6776</v>
      </c>
      <c r="Q1517" s="154" t="str">
        <f t="shared" si="1"/>
        <v>#ERROR!</v>
      </c>
      <c r="R1517" s="154" t="s">
        <v>66</v>
      </c>
      <c r="S1517" s="154" t="s">
        <v>66</v>
      </c>
      <c r="T1517" s="154" t="s">
        <v>64</v>
      </c>
      <c r="U1517" s="154" t="s">
        <v>64</v>
      </c>
      <c r="V1517" s="154" t="s">
        <v>64</v>
      </c>
      <c r="W1517" s="154" t="s">
        <v>64</v>
      </c>
      <c r="X1517" s="154" t="s">
        <v>66</v>
      </c>
      <c r="Y1517" s="154" t="s">
        <v>64</v>
      </c>
      <c r="Z1517" s="154" t="s">
        <v>64</v>
      </c>
      <c r="AA1517" s="154"/>
      <c r="AB1517" s="242" t="str">
        <f t="shared" si="2"/>
        <v>#ERROR!</v>
      </c>
      <c r="AC1517" s="154" t="s">
        <v>391</v>
      </c>
      <c r="AD1517" s="242" t="b">
        <f t="shared" si="3"/>
        <v>0</v>
      </c>
      <c r="AE1517" s="154"/>
      <c r="AF1517" s="242" t="str">
        <f t="shared" si="4"/>
        <v>#ERROR!</v>
      </c>
      <c r="AG1517" s="154"/>
      <c r="AH1517" s="242" t="str">
        <f>IF(AG1517="","N/A",INDIRECT("MTR!"&amp;ADDRESS(MATCH(LEFT(AG1517,9),[1]MTR!C:C,0),COLUMN(J1517)),TRUE) &amp; "")</f>
        <v>#ERROR!</v>
      </c>
      <c r="AI1517" s="157" t="str">
        <f t="shared" si="5"/>
        <v>#ERROR!</v>
      </c>
    </row>
    <row r="1518" ht="12.75" customHeight="1">
      <c r="A1518" s="244" t="s">
        <v>5158</v>
      </c>
      <c r="B1518" s="244" t="s">
        <v>231</v>
      </c>
      <c r="C1518" s="244" t="s">
        <v>10566</v>
      </c>
      <c r="D1518" s="154" t="s">
        <v>781</v>
      </c>
      <c r="E1518" s="154"/>
      <c r="F1518" s="154" t="str">
        <f t="array" ref="F1518">XLOOKUP(Cover!$D$12,$R$1:$Z$1,$R1518:$Z1518)</f>
        <v>Recommended</v>
      </c>
      <c r="G1518" s="154" t="s">
        <v>10567</v>
      </c>
      <c r="H1518" s="154" t="s">
        <v>9012</v>
      </c>
      <c r="I1518" s="154" t="s">
        <v>10557</v>
      </c>
      <c r="J1518" s="154" t="s">
        <v>6998</v>
      </c>
      <c r="K1518" s="154" t="s">
        <v>10346</v>
      </c>
      <c r="L1518" s="154" t="s">
        <v>6140</v>
      </c>
      <c r="M1518" s="154"/>
      <c r="N1518" s="154" t="s">
        <v>759</v>
      </c>
      <c r="O1518" s="247" t="s">
        <v>516</v>
      </c>
      <c r="P1518" s="247" t="s">
        <v>6776</v>
      </c>
      <c r="Q1518" s="154" t="str">
        <f t="shared" si="1"/>
        <v>#ERROR!</v>
      </c>
      <c r="R1518" s="154" t="s">
        <v>66</v>
      </c>
      <c r="S1518" s="154" t="s">
        <v>66</v>
      </c>
      <c r="T1518" s="154" t="s">
        <v>64</v>
      </c>
      <c r="U1518" s="154" t="s">
        <v>64</v>
      </c>
      <c r="V1518" s="154" t="s">
        <v>64</v>
      </c>
      <c r="W1518" s="154" t="s">
        <v>64</v>
      </c>
      <c r="X1518" s="154" t="s">
        <v>66</v>
      </c>
      <c r="Y1518" s="154" t="s">
        <v>64</v>
      </c>
      <c r="Z1518" s="154" t="s">
        <v>64</v>
      </c>
      <c r="AA1518" s="154"/>
      <c r="AB1518" s="242" t="str">
        <f t="shared" si="2"/>
        <v>#ERROR!</v>
      </c>
      <c r="AC1518" s="154" t="s">
        <v>391</v>
      </c>
      <c r="AD1518" s="242" t="b">
        <f t="shared" si="3"/>
        <v>0</v>
      </c>
      <c r="AE1518" s="154"/>
      <c r="AF1518" s="242" t="str">
        <f t="shared" si="4"/>
        <v>#ERROR!</v>
      </c>
      <c r="AG1518" s="154"/>
      <c r="AH1518" s="242" t="str">
        <f>IF(AG1518="","N/A",INDIRECT("MTR!"&amp;ADDRESS(MATCH(LEFT(AG1518,9),[1]MTR!C:C,0),COLUMN(J1518)),TRUE) &amp; "")</f>
        <v>#ERROR!</v>
      </c>
      <c r="AI1518" s="157" t="str">
        <f t="shared" si="5"/>
        <v>#ERROR!</v>
      </c>
    </row>
    <row r="1519" ht="12.75" customHeight="1">
      <c r="A1519" s="244" t="s">
        <v>5158</v>
      </c>
      <c r="B1519" s="244" t="s">
        <v>231</v>
      </c>
      <c r="C1519" s="244" t="s">
        <v>10568</v>
      </c>
      <c r="D1519" s="154" t="s">
        <v>861</v>
      </c>
      <c r="E1519" s="154"/>
      <c r="F1519" s="154" t="str">
        <f t="array" ref="F1519">XLOOKUP(Cover!$D$12,$R$1:$Z$1,$R1519:$Z1519)</f>
        <v>Mandatory</v>
      </c>
      <c r="G1519" s="154" t="s">
        <v>10569</v>
      </c>
      <c r="H1519" s="154" t="s">
        <v>6771</v>
      </c>
      <c r="I1519" s="154" t="s">
        <v>10570</v>
      </c>
      <c r="J1519" s="154" t="s">
        <v>7006</v>
      </c>
      <c r="K1519" s="154" t="s">
        <v>10346</v>
      </c>
      <c r="L1519" s="154" t="s">
        <v>6428</v>
      </c>
      <c r="M1519" s="154" t="s">
        <v>175</v>
      </c>
      <c r="N1519" s="154" t="s">
        <v>759</v>
      </c>
      <c r="O1519" s="247" t="s">
        <v>516</v>
      </c>
      <c r="P1519" s="247" t="s">
        <v>6776</v>
      </c>
      <c r="Q1519" s="154" t="str">
        <f t="shared" si="1"/>
        <v>#ERROR!</v>
      </c>
      <c r="R1519" s="154" t="s">
        <v>66</v>
      </c>
      <c r="S1519" s="154" t="s">
        <v>66</v>
      </c>
      <c r="T1519" s="155" t="s">
        <v>64</v>
      </c>
      <c r="U1519" s="155" t="s">
        <v>64</v>
      </c>
      <c r="V1519" s="154" t="s">
        <v>60</v>
      </c>
      <c r="W1519" s="154" t="s">
        <v>60</v>
      </c>
      <c r="X1519" s="154" t="s">
        <v>66</v>
      </c>
      <c r="Y1519" s="155" t="s">
        <v>64</v>
      </c>
      <c r="Z1519" s="154" t="s">
        <v>60</v>
      </c>
      <c r="AA1519" s="154"/>
      <c r="AB1519" s="242" t="str">
        <f t="shared" si="2"/>
        <v>#ERROR!</v>
      </c>
      <c r="AC1519" s="154" t="s">
        <v>391</v>
      </c>
      <c r="AD1519" s="242" t="b">
        <f t="shared" si="3"/>
        <v>0</v>
      </c>
      <c r="AE1519" s="154"/>
      <c r="AF1519" s="242" t="str">
        <f t="shared" si="4"/>
        <v>#ERROR!</v>
      </c>
      <c r="AG1519" s="154"/>
      <c r="AH1519" s="242" t="str">
        <f>IF(AG1519="","N/A",INDIRECT("MTR!"&amp;ADDRESS(MATCH(LEFT(AG1519,9),[1]MTR!C:C,0),COLUMN(J1519)),TRUE) &amp; "")</f>
        <v>#ERROR!</v>
      </c>
      <c r="AI1519" s="157" t="str">
        <f t="shared" si="5"/>
        <v>#ERROR!</v>
      </c>
    </row>
    <row r="1520" ht="12.75" customHeight="1">
      <c r="A1520" s="244" t="s">
        <v>5158</v>
      </c>
      <c r="B1520" s="244" t="s">
        <v>231</v>
      </c>
      <c r="C1520" s="244" t="s">
        <v>10571</v>
      </c>
      <c r="D1520" s="154" t="s">
        <v>861</v>
      </c>
      <c r="E1520" s="154"/>
      <c r="F1520" s="154" t="str">
        <f t="array" ref="F1520">XLOOKUP(Cover!$D$12,$R$1:$Z$1,$R1520:$Z1520)</f>
        <v>Mandatory</v>
      </c>
      <c r="G1520" s="154" t="s">
        <v>10572</v>
      </c>
      <c r="H1520" s="154" t="s">
        <v>9006</v>
      </c>
      <c r="I1520" s="154" t="s">
        <v>10570</v>
      </c>
      <c r="J1520" s="154" t="s">
        <v>7006</v>
      </c>
      <c r="K1520" s="154" t="s">
        <v>10346</v>
      </c>
      <c r="L1520" s="154" t="s">
        <v>6428</v>
      </c>
      <c r="M1520" s="154" t="s">
        <v>175</v>
      </c>
      <c r="N1520" s="154" t="s">
        <v>759</v>
      </c>
      <c r="O1520" s="247" t="s">
        <v>516</v>
      </c>
      <c r="P1520" s="247" t="s">
        <v>6776</v>
      </c>
      <c r="Q1520" s="154" t="str">
        <f t="shared" si="1"/>
        <v>#ERROR!</v>
      </c>
      <c r="R1520" s="154" t="s">
        <v>66</v>
      </c>
      <c r="S1520" s="154" t="s">
        <v>66</v>
      </c>
      <c r="T1520" s="155" t="s">
        <v>64</v>
      </c>
      <c r="U1520" s="155" t="s">
        <v>64</v>
      </c>
      <c r="V1520" s="154" t="s">
        <v>60</v>
      </c>
      <c r="W1520" s="154" t="s">
        <v>60</v>
      </c>
      <c r="X1520" s="154" t="s">
        <v>66</v>
      </c>
      <c r="Y1520" s="155" t="s">
        <v>64</v>
      </c>
      <c r="Z1520" s="154" t="s">
        <v>60</v>
      </c>
      <c r="AA1520" s="154"/>
      <c r="AB1520" s="242" t="str">
        <f t="shared" si="2"/>
        <v>#ERROR!</v>
      </c>
      <c r="AC1520" s="154" t="s">
        <v>391</v>
      </c>
      <c r="AD1520" s="242" t="b">
        <f t="shared" si="3"/>
        <v>0</v>
      </c>
      <c r="AE1520" s="154"/>
      <c r="AF1520" s="242" t="str">
        <f t="shared" si="4"/>
        <v>#ERROR!</v>
      </c>
      <c r="AG1520" s="154"/>
      <c r="AH1520" s="242" t="str">
        <f>IF(AG1520="","N/A",INDIRECT("MTR!"&amp;ADDRESS(MATCH(LEFT(AG1520,9),[1]MTR!C:C,0),COLUMN(J1520)),TRUE) &amp; "")</f>
        <v>#ERROR!</v>
      </c>
      <c r="AI1520" s="157" t="str">
        <f t="shared" si="5"/>
        <v>#ERROR!</v>
      </c>
    </row>
    <row r="1521" ht="12.75" customHeight="1">
      <c r="A1521" s="244" t="s">
        <v>5158</v>
      </c>
      <c r="B1521" s="244" t="s">
        <v>231</v>
      </c>
      <c r="C1521" s="244" t="s">
        <v>10573</v>
      </c>
      <c r="D1521" s="154" t="s">
        <v>861</v>
      </c>
      <c r="E1521" s="154"/>
      <c r="F1521" s="154" t="str">
        <f t="array" ref="F1521">XLOOKUP(Cover!$D$12,$R$1:$Z$1,$R1521:$Z1521)</f>
        <v>Recommended</v>
      </c>
      <c r="G1521" s="154" t="s">
        <v>10574</v>
      </c>
      <c r="H1521" s="154" t="s">
        <v>6775</v>
      </c>
      <c r="I1521" s="154" t="s">
        <v>10570</v>
      </c>
      <c r="J1521" s="154" t="s">
        <v>7006</v>
      </c>
      <c r="K1521" s="154" t="s">
        <v>10346</v>
      </c>
      <c r="L1521" s="154" t="s">
        <v>6428</v>
      </c>
      <c r="M1521" s="154"/>
      <c r="N1521" s="154" t="s">
        <v>759</v>
      </c>
      <c r="O1521" s="247" t="s">
        <v>516</v>
      </c>
      <c r="P1521" s="247" t="s">
        <v>6776</v>
      </c>
      <c r="Q1521" s="154" t="str">
        <f t="shared" si="1"/>
        <v>#ERROR!</v>
      </c>
      <c r="R1521" s="154" t="s">
        <v>66</v>
      </c>
      <c r="S1521" s="154" t="s">
        <v>66</v>
      </c>
      <c r="T1521" s="154" t="s">
        <v>64</v>
      </c>
      <c r="U1521" s="154" t="s">
        <v>64</v>
      </c>
      <c r="V1521" s="154" t="s">
        <v>64</v>
      </c>
      <c r="W1521" s="154" t="s">
        <v>64</v>
      </c>
      <c r="X1521" s="154" t="s">
        <v>66</v>
      </c>
      <c r="Y1521" s="154" t="s">
        <v>64</v>
      </c>
      <c r="Z1521" s="154" t="s">
        <v>64</v>
      </c>
      <c r="AA1521" s="154"/>
      <c r="AB1521" s="242" t="str">
        <f t="shared" si="2"/>
        <v>#ERROR!</v>
      </c>
      <c r="AC1521" s="154" t="s">
        <v>391</v>
      </c>
      <c r="AD1521" s="242" t="b">
        <f t="shared" si="3"/>
        <v>0</v>
      </c>
      <c r="AE1521" s="154"/>
      <c r="AF1521" s="242" t="str">
        <f t="shared" si="4"/>
        <v>#ERROR!</v>
      </c>
      <c r="AG1521" s="154"/>
      <c r="AH1521" s="242" t="str">
        <f>IF(AG1521="","N/A",INDIRECT("MTR!"&amp;ADDRESS(MATCH(LEFT(AG1521,9),[1]MTR!C:C,0),COLUMN(J1521)),TRUE) &amp; "")</f>
        <v>#ERROR!</v>
      </c>
      <c r="AI1521" s="157" t="str">
        <f t="shared" si="5"/>
        <v>#ERROR!</v>
      </c>
    </row>
    <row r="1522" ht="12.75" customHeight="1">
      <c r="A1522" s="244" t="s">
        <v>5158</v>
      </c>
      <c r="B1522" s="244" t="s">
        <v>231</v>
      </c>
      <c r="C1522" s="244" t="s">
        <v>10575</v>
      </c>
      <c r="D1522" s="154" t="s">
        <v>861</v>
      </c>
      <c r="E1522" s="154"/>
      <c r="F1522" s="154" t="str">
        <f t="array" ref="F1522">XLOOKUP(Cover!$D$12,$R$1:$Z$1,$R1522:$Z1522)</f>
        <v>Recommended</v>
      </c>
      <c r="G1522" s="154" t="s">
        <v>10576</v>
      </c>
      <c r="H1522" s="154" t="s">
        <v>9009</v>
      </c>
      <c r="I1522" s="154" t="s">
        <v>10570</v>
      </c>
      <c r="J1522" s="154" t="s">
        <v>7006</v>
      </c>
      <c r="K1522" s="154" t="s">
        <v>10346</v>
      </c>
      <c r="L1522" s="154" t="s">
        <v>6428</v>
      </c>
      <c r="M1522" s="154"/>
      <c r="N1522" s="154" t="s">
        <v>759</v>
      </c>
      <c r="O1522" s="247" t="s">
        <v>516</v>
      </c>
      <c r="P1522" s="247" t="s">
        <v>6776</v>
      </c>
      <c r="Q1522" s="154" t="str">
        <f t="shared" si="1"/>
        <v>#ERROR!</v>
      </c>
      <c r="R1522" s="154" t="s">
        <v>66</v>
      </c>
      <c r="S1522" s="154" t="s">
        <v>66</v>
      </c>
      <c r="T1522" s="154" t="s">
        <v>64</v>
      </c>
      <c r="U1522" s="154" t="s">
        <v>64</v>
      </c>
      <c r="V1522" s="154" t="s">
        <v>64</v>
      </c>
      <c r="W1522" s="154" t="s">
        <v>64</v>
      </c>
      <c r="X1522" s="154" t="s">
        <v>66</v>
      </c>
      <c r="Y1522" s="154" t="s">
        <v>64</v>
      </c>
      <c r="Z1522" s="154" t="s">
        <v>64</v>
      </c>
      <c r="AA1522" s="154"/>
      <c r="AB1522" s="242" t="str">
        <f t="shared" si="2"/>
        <v>#ERROR!</v>
      </c>
      <c r="AC1522" s="154" t="s">
        <v>391</v>
      </c>
      <c r="AD1522" s="242" t="b">
        <f t="shared" si="3"/>
        <v>0</v>
      </c>
      <c r="AE1522" s="154"/>
      <c r="AF1522" s="242" t="str">
        <f t="shared" si="4"/>
        <v>#ERROR!</v>
      </c>
      <c r="AG1522" s="154"/>
      <c r="AH1522" s="242" t="str">
        <f>IF(AG1522="","N/A",INDIRECT("MTR!"&amp;ADDRESS(MATCH(LEFT(AG1522,9),[1]MTR!C:C,0),COLUMN(J1522)),TRUE) &amp; "")</f>
        <v>#ERROR!</v>
      </c>
      <c r="AI1522" s="157" t="str">
        <f t="shared" si="5"/>
        <v>#ERROR!</v>
      </c>
    </row>
    <row r="1523" ht="12.75" customHeight="1">
      <c r="A1523" s="244" t="s">
        <v>5158</v>
      </c>
      <c r="B1523" s="244" t="s">
        <v>231</v>
      </c>
      <c r="C1523" s="244" t="s">
        <v>10577</v>
      </c>
      <c r="D1523" s="154" t="s">
        <v>861</v>
      </c>
      <c r="E1523" s="154"/>
      <c r="F1523" s="154" t="str">
        <f t="array" ref="F1523">XLOOKUP(Cover!$D$12,$R$1:$Z$1,$R1523:$Z1523)</f>
        <v>Mandatory</v>
      </c>
      <c r="G1523" s="154" t="s">
        <v>10578</v>
      </c>
      <c r="H1523" s="154" t="s">
        <v>6782</v>
      </c>
      <c r="I1523" s="154" t="s">
        <v>10570</v>
      </c>
      <c r="J1523" s="154" t="s">
        <v>7006</v>
      </c>
      <c r="K1523" s="154" t="s">
        <v>10346</v>
      </c>
      <c r="L1523" s="154" t="s">
        <v>6428</v>
      </c>
      <c r="M1523" s="154" t="s">
        <v>175</v>
      </c>
      <c r="N1523" s="154" t="s">
        <v>759</v>
      </c>
      <c r="O1523" s="247" t="s">
        <v>516</v>
      </c>
      <c r="P1523" s="247" t="s">
        <v>6776</v>
      </c>
      <c r="Q1523" s="154" t="str">
        <f t="shared" si="1"/>
        <v>#ERROR!</v>
      </c>
      <c r="R1523" s="154" t="s">
        <v>66</v>
      </c>
      <c r="S1523" s="154" t="s">
        <v>66</v>
      </c>
      <c r="T1523" s="155" t="s">
        <v>64</v>
      </c>
      <c r="U1523" s="155" t="s">
        <v>64</v>
      </c>
      <c r="V1523" s="154" t="s">
        <v>60</v>
      </c>
      <c r="W1523" s="154" t="s">
        <v>60</v>
      </c>
      <c r="X1523" s="154" t="s">
        <v>66</v>
      </c>
      <c r="Y1523" s="155" t="s">
        <v>64</v>
      </c>
      <c r="Z1523" s="154" t="s">
        <v>60</v>
      </c>
      <c r="AA1523" s="154"/>
      <c r="AB1523" s="242" t="str">
        <f t="shared" si="2"/>
        <v>#ERROR!</v>
      </c>
      <c r="AC1523" s="154" t="s">
        <v>391</v>
      </c>
      <c r="AD1523" s="242" t="b">
        <f t="shared" si="3"/>
        <v>0</v>
      </c>
      <c r="AE1523" s="154"/>
      <c r="AF1523" s="242" t="str">
        <f t="shared" si="4"/>
        <v>#ERROR!</v>
      </c>
      <c r="AG1523" s="154"/>
      <c r="AH1523" s="242" t="str">
        <f>IF(AG1523="","N/A",INDIRECT("MTR!"&amp;ADDRESS(MATCH(LEFT(AG1523,9),[1]MTR!C:C,0),COLUMN(J1523)),TRUE) &amp; "")</f>
        <v>#ERROR!</v>
      </c>
      <c r="AI1523" s="157" t="str">
        <f t="shared" si="5"/>
        <v>#ERROR!</v>
      </c>
    </row>
    <row r="1524" ht="12.75" customHeight="1">
      <c r="A1524" s="244" t="s">
        <v>5158</v>
      </c>
      <c r="B1524" s="244" t="s">
        <v>231</v>
      </c>
      <c r="C1524" s="244" t="s">
        <v>10579</v>
      </c>
      <c r="D1524" s="154" t="s">
        <v>861</v>
      </c>
      <c r="E1524" s="154"/>
      <c r="F1524" s="154" t="str">
        <f t="array" ref="F1524">XLOOKUP(Cover!$D$12,$R$1:$Z$1,$R1524:$Z1524)</f>
        <v>Mandatory</v>
      </c>
      <c r="G1524" s="154" t="s">
        <v>10580</v>
      </c>
      <c r="H1524" s="154" t="s">
        <v>9015</v>
      </c>
      <c r="I1524" s="154" t="s">
        <v>10570</v>
      </c>
      <c r="J1524" s="154" t="s">
        <v>7006</v>
      </c>
      <c r="K1524" s="154" t="s">
        <v>10346</v>
      </c>
      <c r="L1524" s="154" t="s">
        <v>6428</v>
      </c>
      <c r="M1524" s="154" t="s">
        <v>175</v>
      </c>
      <c r="N1524" s="154" t="s">
        <v>759</v>
      </c>
      <c r="O1524" s="247" t="s">
        <v>516</v>
      </c>
      <c r="P1524" s="247" t="s">
        <v>6776</v>
      </c>
      <c r="Q1524" s="154" t="str">
        <f t="shared" si="1"/>
        <v>#ERROR!</v>
      </c>
      <c r="R1524" s="154" t="s">
        <v>66</v>
      </c>
      <c r="S1524" s="154" t="s">
        <v>66</v>
      </c>
      <c r="T1524" s="155" t="s">
        <v>64</v>
      </c>
      <c r="U1524" s="155" t="s">
        <v>64</v>
      </c>
      <c r="V1524" s="154" t="s">
        <v>60</v>
      </c>
      <c r="W1524" s="154" t="s">
        <v>60</v>
      </c>
      <c r="X1524" s="154" t="s">
        <v>66</v>
      </c>
      <c r="Y1524" s="155" t="s">
        <v>64</v>
      </c>
      <c r="Z1524" s="154" t="s">
        <v>60</v>
      </c>
      <c r="AA1524" s="154"/>
      <c r="AB1524" s="242" t="str">
        <f t="shared" si="2"/>
        <v>#ERROR!</v>
      </c>
      <c r="AC1524" s="154" t="s">
        <v>391</v>
      </c>
      <c r="AD1524" s="242" t="b">
        <f t="shared" si="3"/>
        <v>0</v>
      </c>
      <c r="AE1524" s="154"/>
      <c r="AF1524" s="242" t="str">
        <f t="shared" si="4"/>
        <v>#ERROR!</v>
      </c>
      <c r="AG1524" s="154"/>
      <c r="AH1524" s="242" t="str">
        <f>IF(AG1524="","N/A",INDIRECT("MTR!"&amp;ADDRESS(MATCH(LEFT(AG1524,9),[1]MTR!C:C,0),COLUMN(J1524)),TRUE) &amp; "")</f>
        <v>#ERROR!</v>
      </c>
      <c r="AI1524" s="157" t="str">
        <f t="shared" si="5"/>
        <v>#ERROR!</v>
      </c>
    </row>
    <row r="1525" ht="12.75" customHeight="1">
      <c r="A1525" s="244" t="s">
        <v>5158</v>
      </c>
      <c r="B1525" s="244" t="s">
        <v>231</v>
      </c>
      <c r="C1525" s="244" t="s">
        <v>10581</v>
      </c>
      <c r="D1525" s="154" t="s">
        <v>1315</v>
      </c>
      <c r="E1525" s="154"/>
      <c r="F1525" s="154" t="str">
        <f t="array" ref="F1525">XLOOKUP(Cover!$D$12,$R$1:$Z$1,$R1525:$Z1525)</f>
        <v>Recommended</v>
      </c>
      <c r="G1525" s="154" t="s">
        <v>10582</v>
      </c>
      <c r="H1525" s="154" t="s">
        <v>6771</v>
      </c>
      <c r="I1525" s="154" t="s">
        <v>10583</v>
      </c>
      <c r="J1525" s="154" t="s">
        <v>7014</v>
      </c>
      <c r="K1525" s="154" t="s">
        <v>10346</v>
      </c>
      <c r="L1525" s="154" t="s">
        <v>6022</v>
      </c>
      <c r="M1525" s="154"/>
      <c r="N1525" s="154" t="s">
        <v>759</v>
      </c>
      <c r="O1525" s="247" t="s">
        <v>516</v>
      </c>
      <c r="P1525" s="247" t="s">
        <v>6776</v>
      </c>
      <c r="Q1525" s="154" t="str">
        <f t="shared" si="1"/>
        <v>#ERROR!</v>
      </c>
      <c r="R1525" s="154" t="s">
        <v>66</v>
      </c>
      <c r="S1525" s="154" t="s">
        <v>66</v>
      </c>
      <c r="T1525" s="154" t="s">
        <v>64</v>
      </c>
      <c r="U1525" s="154" t="s">
        <v>64</v>
      </c>
      <c r="V1525" s="154" t="s">
        <v>64</v>
      </c>
      <c r="W1525" s="154" t="s">
        <v>64</v>
      </c>
      <c r="X1525" s="154" t="s">
        <v>66</v>
      </c>
      <c r="Y1525" s="154" t="s">
        <v>64</v>
      </c>
      <c r="Z1525" s="154" t="s">
        <v>64</v>
      </c>
      <c r="AA1525" s="154"/>
      <c r="AB1525" s="242" t="str">
        <f t="shared" si="2"/>
        <v>#ERROR!</v>
      </c>
      <c r="AC1525" s="154" t="s">
        <v>391</v>
      </c>
      <c r="AD1525" s="242" t="b">
        <f t="shared" si="3"/>
        <v>0</v>
      </c>
      <c r="AE1525" s="154"/>
      <c r="AF1525" s="242" t="str">
        <f t="shared" si="4"/>
        <v>#ERROR!</v>
      </c>
      <c r="AG1525" s="154"/>
      <c r="AH1525" s="242" t="str">
        <f>IF(AG1525="","N/A",INDIRECT("MTR!"&amp;ADDRESS(MATCH(LEFT(AG1525,9),[1]MTR!C:C,0),COLUMN(J1525)),TRUE) &amp; "")</f>
        <v>#ERROR!</v>
      </c>
      <c r="AI1525" s="157" t="str">
        <f t="shared" si="5"/>
        <v>#ERROR!</v>
      </c>
    </row>
    <row r="1526" ht="12.75" customHeight="1">
      <c r="A1526" s="244" t="s">
        <v>5158</v>
      </c>
      <c r="B1526" s="244" t="s">
        <v>231</v>
      </c>
      <c r="C1526" s="244" t="s">
        <v>10584</v>
      </c>
      <c r="D1526" s="154" t="s">
        <v>1315</v>
      </c>
      <c r="E1526" s="154"/>
      <c r="F1526" s="154" t="str">
        <f t="array" ref="F1526">XLOOKUP(Cover!$D$12,$R$1:$Z$1,$R1526:$Z1526)</f>
        <v>Recommended</v>
      </c>
      <c r="G1526" s="154" t="s">
        <v>10585</v>
      </c>
      <c r="H1526" s="154" t="s">
        <v>6775</v>
      </c>
      <c r="I1526" s="154" t="s">
        <v>10583</v>
      </c>
      <c r="J1526" s="154" t="s">
        <v>7014</v>
      </c>
      <c r="K1526" s="154" t="s">
        <v>10346</v>
      </c>
      <c r="L1526" s="154" t="s">
        <v>6022</v>
      </c>
      <c r="M1526" s="154"/>
      <c r="N1526" s="154" t="s">
        <v>759</v>
      </c>
      <c r="O1526" s="247" t="s">
        <v>516</v>
      </c>
      <c r="P1526" s="247" t="s">
        <v>6776</v>
      </c>
      <c r="Q1526" s="154" t="str">
        <f t="shared" si="1"/>
        <v>#ERROR!</v>
      </c>
      <c r="R1526" s="154" t="s">
        <v>66</v>
      </c>
      <c r="S1526" s="154" t="s">
        <v>66</v>
      </c>
      <c r="T1526" s="154" t="s">
        <v>64</v>
      </c>
      <c r="U1526" s="154" t="s">
        <v>64</v>
      </c>
      <c r="V1526" s="154" t="s">
        <v>64</v>
      </c>
      <c r="W1526" s="154" t="s">
        <v>64</v>
      </c>
      <c r="X1526" s="154" t="s">
        <v>66</v>
      </c>
      <c r="Y1526" s="154" t="s">
        <v>64</v>
      </c>
      <c r="Z1526" s="154" t="s">
        <v>64</v>
      </c>
      <c r="AA1526" s="154"/>
      <c r="AB1526" s="242" t="str">
        <f t="shared" si="2"/>
        <v>#ERROR!</v>
      </c>
      <c r="AC1526" s="154" t="s">
        <v>391</v>
      </c>
      <c r="AD1526" s="242" t="b">
        <f t="shared" si="3"/>
        <v>0</v>
      </c>
      <c r="AE1526" s="154"/>
      <c r="AF1526" s="242" t="str">
        <f t="shared" si="4"/>
        <v>#ERROR!</v>
      </c>
      <c r="AG1526" s="154"/>
      <c r="AH1526" s="242" t="str">
        <f>IF(AG1526="","N/A",INDIRECT("MTR!"&amp;ADDRESS(MATCH(LEFT(AG1526,9),[1]MTR!C:C,0),COLUMN(J1526)),TRUE) &amp; "")</f>
        <v>#ERROR!</v>
      </c>
      <c r="AI1526" s="157" t="str">
        <f t="shared" si="5"/>
        <v>#ERROR!</v>
      </c>
    </row>
    <row r="1527" ht="12.75" customHeight="1">
      <c r="A1527" s="244" t="s">
        <v>5158</v>
      </c>
      <c r="B1527" s="244" t="s">
        <v>231</v>
      </c>
      <c r="C1527" s="244" t="s">
        <v>10586</v>
      </c>
      <c r="D1527" s="154" t="s">
        <v>1315</v>
      </c>
      <c r="E1527" s="154"/>
      <c r="F1527" s="154" t="str">
        <f t="array" ref="F1527">XLOOKUP(Cover!$D$12,$R$1:$Z$1,$R1527:$Z1527)</f>
        <v>Recommended</v>
      </c>
      <c r="G1527" s="154" t="s">
        <v>10587</v>
      </c>
      <c r="H1527" s="154" t="s">
        <v>6785</v>
      </c>
      <c r="I1527" s="154" t="s">
        <v>10583</v>
      </c>
      <c r="J1527" s="154" t="s">
        <v>7014</v>
      </c>
      <c r="K1527" s="154" t="s">
        <v>10346</v>
      </c>
      <c r="L1527" s="154" t="s">
        <v>6022</v>
      </c>
      <c r="M1527" s="154"/>
      <c r="N1527" s="154" t="s">
        <v>759</v>
      </c>
      <c r="O1527" s="247" t="s">
        <v>516</v>
      </c>
      <c r="P1527" s="247" t="s">
        <v>6776</v>
      </c>
      <c r="Q1527" s="154" t="str">
        <f t="shared" si="1"/>
        <v>#ERROR!</v>
      </c>
      <c r="R1527" s="154" t="s">
        <v>66</v>
      </c>
      <c r="S1527" s="154" t="s">
        <v>66</v>
      </c>
      <c r="T1527" s="154" t="s">
        <v>64</v>
      </c>
      <c r="U1527" s="154" t="s">
        <v>64</v>
      </c>
      <c r="V1527" s="154" t="s">
        <v>64</v>
      </c>
      <c r="W1527" s="154" t="s">
        <v>64</v>
      </c>
      <c r="X1527" s="154" t="s">
        <v>66</v>
      </c>
      <c r="Y1527" s="154" t="s">
        <v>64</v>
      </c>
      <c r="Z1527" s="154" t="s">
        <v>64</v>
      </c>
      <c r="AA1527" s="154"/>
      <c r="AB1527" s="242" t="str">
        <f t="shared" si="2"/>
        <v>#ERROR!</v>
      </c>
      <c r="AC1527" s="154" t="s">
        <v>391</v>
      </c>
      <c r="AD1527" s="242" t="b">
        <f t="shared" si="3"/>
        <v>0</v>
      </c>
      <c r="AE1527" s="154"/>
      <c r="AF1527" s="242" t="str">
        <f t="shared" si="4"/>
        <v>#ERROR!</v>
      </c>
      <c r="AG1527" s="154"/>
      <c r="AH1527" s="242" t="str">
        <f>IF(AG1527="","N/A",INDIRECT("MTR!"&amp;ADDRESS(MATCH(LEFT(AG1527,9),[1]MTR!C:C,0),COLUMN(J1527)),TRUE) &amp; "")</f>
        <v>#ERROR!</v>
      </c>
      <c r="AI1527" s="157" t="str">
        <f t="shared" si="5"/>
        <v>#ERROR!</v>
      </c>
    </row>
    <row r="1528" ht="12.75" customHeight="1">
      <c r="A1528" s="244" t="s">
        <v>5158</v>
      </c>
      <c r="B1528" s="244" t="s">
        <v>231</v>
      </c>
      <c r="C1528" s="244" t="s">
        <v>10588</v>
      </c>
      <c r="D1528" s="154" t="s">
        <v>1315</v>
      </c>
      <c r="E1528" s="154"/>
      <c r="F1528" s="154" t="str">
        <f t="array" ref="F1528">XLOOKUP(Cover!$D$12,$R$1:$Z$1,$R1528:$Z1528)</f>
        <v>Recommended</v>
      </c>
      <c r="G1528" s="154" t="s">
        <v>10589</v>
      </c>
      <c r="H1528" s="154" t="s">
        <v>9006</v>
      </c>
      <c r="I1528" s="154" t="s">
        <v>10583</v>
      </c>
      <c r="J1528" s="154" t="s">
        <v>7014</v>
      </c>
      <c r="K1528" s="154" t="s">
        <v>10346</v>
      </c>
      <c r="L1528" s="154" t="s">
        <v>6022</v>
      </c>
      <c r="M1528" s="154"/>
      <c r="N1528" s="154" t="s">
        <v>759</v>
      </c>
      <c r="O1528" s="247" t="s">
        <v>516</v>
      </c>
      <c r="P1528" s="247" t="s">
        <v>6776</v>
      </c>
      <c r="Q1528" s="154" t="str">
        <f t="shared" si="1"/>
        <v>#ERROR!</v>
      </c>
      <c r="R1528" s="154" t="s">
        <v>66</v>
      </c>
      <c r="S1528" s="154" t="s">
        <v>66</v>
      </c>
      <c r="T1528" s="154" t="s">
        <v>64</v>
      </c>
      <c r="U1528" s="154" t="s">
        <v>64</v>
      </c>
      <c r="V1528" s="154" t="s">
        <v>64</v>
      </c>
      <c r="W1528" s="154" t="s">
        <v>64</v>
      </c>
      <c r="X1528" s="154" t="s">
        <v>66</v>
      </c>
      <c r="Y1528" s="154" t="s">
        <v>64</v>
      </c>
      <c r="Z1528" s="154" t="s">
        <v>64</v>
      </c>
      <c r="AA1528" s="154"/>
      <c r="AB1528" s="242" t="str">
        <f t="shared" si="2"/>
        <v>#ERROR!</v>
      </c>
      <c r="AC1528" s="154" t="s">
        <v>391</v>
      </c>
      <c r="AD1528" s="242" t="b">
        <f t="shared" si="3"/>
        <v>0</v>
      </c>
      <c r="AE1528" s="154"/>
      <c r="AF1528" s="242" t="str">
        <f t="shared" si="4"/>
        <v>#ERROR!</v>
      </c>
      <c r="AG1528" s="154"/>
      <c r="AH1528" s="242" t="str">
        <f>IF(AG1528="","N/A",INDIRECT("MTR!"&amp;ADDRESS(MATCH(LEFT(AG1528,9),[1]MTR!C:C,0),COLUMN(J1528)),TRUE) &amp; "")</f>
        <v>#ERROR!</v>
      </c>
      <c r="AI1528" s="157" t="str">
        <f t="shared" si="5"/>
        <v>#ERROR!</v>
      </c>
    </row>
    <row r="1529" ht="12.75" customHeight="1">
      <c r="A1529" s="244" t="s">
        <v>5158</v>
      </c>
      <c r="B1529" s="244" t="s">
        <v>231</v>
      </c>
      <c r="C1529" s="244" t="s">
        <v>10590</v>
      </c>
      <c r="D1529" s="154" t="s">
        <v>1315</v>
      </c>
      <c r="E1529" s="154"/>
      <c r="F1529" s="154" t="str">
        <f t="array" ref="F1529">XLOOKUP(Cover!$D$12,$R$1:$Z$1,$R1529:$Z1529)</f>
        <v>Recommended</v>
      </c>
      <c r="G1529" s="154" t="s">
        <v>10591</v>
      </c>
      <c r="H1529" s="154" t="s">
        <v>9009</v>
      </c>
      <c r="I1529" s="154" t="s">
        <v>10583</v>
      </c>
      <c r="J1529" s="154" t="s">
        <v>7014</v>
      </c>
      <c r="K1529" s="154" t="s">
        <v>10346</v>
      </c>
      <c r="L1529" s="154" t="s">
        <v>6022</v>
      </c>
      <c r="M1529" s="154"/>
      <c r="N1529" s="154" t="s">
        <v>759</v>
      </c>
      <c r="O1529" s="247" t="s">
        <v>516</v>
      </c>
      <c r="P1529" s="247" t="s">
        <v>6776</v>
      </c>
      <c r="Q1529" s="154" t="str">
        <f t="shared" si="1"/>
        <v>#ERROR!</v>
      </c>
      <c r="R1529" s="154" t="s">
        <v>66</v>
      </c>
      <c r="S1529" s="154" t="s">
        <v>66</v>
      </c>
      <c r="T1529" s="154" t="s">
        <v>64</v>
      </c>
      <c r="U1529" s="154" t="s">
        <v>64</v>
      </c>
      <c r="V1529" s="154" t="s">
        <v>64</v>
      </c>
      <c r="W1529" s="154" t="s">
        <v>64</v>
      </c>
      <c r="X1529" s="154" t="s">
        <v>66</v>
      </c>
      <c r="Y1529" s="154" t="s">
        <v>64</v>
      </c>
      <c r="Z1529" s="154" t="s">
        <v>64</v>
      </c>
      <c r="AA1529" s="154"/>
      <c r="AB1529" s="242" t="str">
        <f t="shared" si="2"/>
        <v>#ERROR!</v>
      </c>
      <c r="AC1529" s="154" t="s">
        <v>391</v>
      </c>
      <c r="AD1529" s="242" t="b">
        <f t="shared" si="3"/>
        <v>0</v>
      </c>
      <c r="AE1529" s="154"/>
      <c r="AF1529" s="242" t="str">
        <f t="shared" si="4"/>
        <v>#ERROR!</v>
      </c>
      <c r="AG1529" s="154"/>
      <c r="AH1529" s="242" t="str">
        <f>IF(AG1529="","N/A",INDIRECT("MTR!"&amp;ADDRESS(MATCH(LEFT(AG1529,9),[1]MTR!C:C,0),COLUMN(J1529)),TRUE) &amp; "")</f>
        <v>#ERROR!</v>
      </c>
      <c r="AI1529" s="157" t="str">
        <f t="shared" si="5"/>
        <v>#ERROR!</v>
      </c>
    </row>
    <row r="1530" ht="12.75" customHeight="1">
      <c r="A1530" s="244" t="s">
        <v>5158</v>
      </c>
      <c r="B1530" s="244" t="s">
        <v>231</v>
      </c>
      <c r="C1530" s="244" t="s">
        <v>10592</v>
      </c>
      <c r="D1530" s="154" t="s">
        <v>1315</v>
      </c>
      <c r="E1530" s="154"/>
      <c r="F1530" s="154" t="str">
        <f t="array" ref="F1530">XLOOKUP(Cover!$D$12,$R$1:$Z$1,$R1530:$Z1530)</f>
        <v>Recommended</v>
      </c>
      <c r="G1530" s="154" t="s">
        <v>10593</v>
      </c>
      <c r="H1530" s="154" t="s">
        <v>1541</v>
      </c>
      <c r="I1530" s="154" t="s">
        <v>10583</v>
      </c>
      <c r="J1530" s="154" t="s">
        <v>7014</v>
      </c>
      <c r="K1530" s="154" t="s">
        <v>10346</v>
      </c>
      <c r="L1530" s="154" t="s">
        <v>6022</v>
      </c>
      <c r="M1530" s="154"/>
      <c r="N1530" s="154" t="s">
        <v>759</v>
      </c>
      <c r="O1530" s="247" t="s">
        <v>516</v>
      </c>
      <c r="P1530" s="247" t="s">
        <v>6776</v>
      </c>
      <c r="Q1530" s="154" t="str">
        <f t="shared" si="1"/>
        <v>#ERROR!</v>
      </c>
      <c r="R1530" s="154" t="s">
        <v>66</v>
      </c>
      <c r="S1530" s="154" t="s">
        <v>66</v>
      </c>
      <c r="T1530" s="154" t="s">
        <v>64</v>
      </c>
      <c r="U1530" s="154" t="s">
        <v>64</v>
      </c>
      <c r="V1530" s="154" t="s">
        <v>64</v>
      </c>
      <c r="W1530" s="154" t="s">
        <v>64</v>
      </c>
      <c r="X1530" s="154" t="s">
        <v>66</v>
      </c>
      <c r="Y1530" s="154" t="s">
        <v>64</v>
      </c>
      <c r="Z1530" s="154" t="s">
        <v>64</v>
      </c>
      <c r="AA1530" s="154"/>
      <c r="AB1530" s="242" t="str">
        <f t="shared" si="2"/>
        <v>#ERROR!</v>
      </c>
      <c r="AC1530" s="154" t="s">
        <v>391</v>
      </c>
      <c r="AD1530" s="242" t="b">
        <f t="shared" si="3"/>
        <v>0</v>
      </c>
      <c r="AE1530" s="154"/>
      <c r="AF1530" s="242" t="str">
        <f t="shared" si="4"/>
        <v>#ERROR!</v>
      </c>
      <c r="AG1530" s="154"/>
      <c r="AH1530" s="242" t="str">
        <f>IF(AG1530="","N/A",INDIRECT("MTR!"&amp;ADDRESS(MATCH(LEFT(AG1530,9),[1]MTR!C:C,0),COLUMN(J1530)),TRUE) &amp; "")</f>
        <v>#ERROR!</v>
      </c>
      <c r="AI1530" s="157" t="str">
        <f t="shared" si="5"/>
        <v>#ERROR!</v>
      </c>
    </row>
    <row r="1531" ht="12.75" customHeight="1">
      <c r="A1531" s="244" t="s">
        <v>5158</v>
      </c>
      <c r="B1531" s="244" t="s">
        <v>231</v>
      </c>
      <c r="C1531" s="244" t="s">
        <v>10594</v>
      </c>
      <c r="D1531" s="154" t="s">
        <v>503</v>
      </c>
      <c r="E1531" s="154"/>
      <c r="F1531" s="154" t="str">
        <f t="array" ref="F1531">XLOOKUP(Cover!$D$12,$R$1:$Z$1,$R1531:$Z1531)</f>
        <v>Mandatory</v>
      </c>
      <c r="G1531" s="154" t="s">
        <v>10595</v>
      </c>
      <c r="H1531" s="154" t="s">
        <v>6771</v>
      </c>
      <c r="I1531" s="154" t="s">
        <v>10596</v>
      </c>
      <c r="J1531" s="154" t="s">
        <v>7022</v>
      </c>
      <c r="K1531" s="154" t="s">
        <v>10346</v>
      </c>
      <c r="L1531" s="154" t="s">
        <v>6463</v>
      </c>
      <c r="M1531" s="154" t="s">
        <v>175</v>
      </c>
      <c r="N1531" s="154" t="s">
        <v>759</v>
      </c>
      <c r="O1531" s="247" t="s">
        <v>516</v>
      </c>
      <c r="P1531" s="247" t="s">
        <v>6776</v>
      </c>
      <c r="Q1531" s="154" t="str">
        <f t="shared" si="1"/>
        <v>#ERROR!</v>
      </c>
      <c r="R1531" s="154" t="s">
        <v>66</v>
      </c>
      <c r="S1531" s="154" t="s">
        <v>66</v>
      </c>
      <c r="T1531" s="155" t="s">
        <v>64</v>
      </c>
      <c r="U1531" s="155" t="s">
        <v>64</v>
      </c>
      <c r="V1531" s="154" t="s">
        <v>60</v>
      </c>
      <c r="W1531" s="154" t="s">
        <v>60</v>
      </c>
      <c r="X1531" s="154" t="s">
        <v>66</v>
      </c>
      <c r="Y1531" s="155" t="s">
        <v>64</v>
      </c>
      <c r="Z1531" s="154" t="s">
        <v>60</v>
      </c>
      <c r="AA1531" s="154"/>
      <c r="AB1531" s="242" t="str">
        <f t="shared" si="2"/>
        <v>#ERROR!</v>
      </c>
      <c r="AC1531" s="154" t="s">
        <v>391</v>
      </c>
      <c r="AD1531" s="242" t="b">
        <f t="shared" si="3"/>
        <v>0</v>
      </c>
      <c r="AE1531" s="154"/>
      <c r="AF1531" s="242" t="str">
        <f t="shared" si="4"/>
        <v>#ERROR!</v>
      </c>
      <c r="AG1531" s="154"/>
      <c r="AH1531" s="242" t="str">
        <f>IF(AG1531="","N/A",INDIRECT("MTR!"&amp;ADDRESS(MATCH(LEFT(AG1531,9),[1]MTR!C:C,0),COLUMN(J1531)),TRUE) &amp; "")</f>
        <v>#ERROR!</v>
      </c>
      <c r="AI1531" s="157" t="str">
        <f t="shared" si="5"/>
        <v>#ERROR!</v>
      </c>
    </row>
    <row r="1532" ht="12.75" customHeight="1">
      <c r="A1532" s="244" t="s">
        <v>5158</v>
      </c>
      <c r="B1532" s="244" t="s">
        <v>231</v>
      </c>
      <c r="C1532" s="244" t="s">
        <v>10597</v>
      </c>
      <c r="D1532" s="154" t="s">
        <v>503</v>
      </c>
      <c r="E1532" s="154"/>
      <c r="F1532" s="154" t="str">
        <f t="array" ref="F1532">XLOOKUP(Cover!$D$12,$R$1:$Z$1,$R1532:$Z1532)</f>
        <v>Recommended</v>
      </c>
      <c r="G1532" s="154" t="s">
        <v>10598</v>
      </c>
      <c r="H1532" s="154" t="s">
        <v>6775</v>
      </c>
      <c r="I1532" s="154" t="s">
        <v>10596</v>
      </c>
      <c r="J1532" s="154" t="s">
        <v>7022</v>
      </c>
      <c r="K1532" s="154" t="s">
        <v>10346</v>
      </c>
      <c r="L1532" s="154" t="s">
        <v>6463</v>
      </c>
      <c r="M1532" s="154"/>
      <c r="N1532" s="154" t="s">
        <v>759</v>
      </c>
      <c r="O1532" s="247" t="s">
        <v>516</v>
      </c>
      <c r="P1532" s="247" t="s">
        <v>6776</v>
      </c>
      <c r="Q1532" s="154" t="str">
        <f t="shared" si="1"/>
        <v>#ERROR!</v>
      </c>
      <c r="R1532" s="154" t="s">
        <v>66</v>
      </c>
      <c r="S1532" s="154" t="s">
        <v>66</v>
      </c>
      <c r="T1532" s="154" t="s">
        <v>64</v>
      </c>
      <c r="U1532" s="154" t="s">
        <v>64</v>
      </c>
      <c r="V1532" s="154" t="s">
        <v>64</v>
      </c>
      <c r="W1532" s="154" t="s">
        <v>64</v>
      </c>
      <c r="X1532" s="154" t="s">
        <v>66</v>
      </c>
      <c r="Y1532" s="154" t="s">
        <v>64</v>
      </c>
      <c r="Z1532" s="154" t="s">
        <v>64</v>
      </c>
      <c r="AA1532" s="154"/>
      <c r="AB1532" s="242" t="str">
        <f t="shared" si="2"/>
        <v>#ERROR!</v>
      </c>
      <c r="AC1532" s="154" t="s">
        <v>391</v>
      </c>
      <c r="AD1532" s="242" t="b">
        <f t="shared" si="3"/>
        <v>0</v>
      </c>
      <c r="AE1532" s="154"/>
      <c r="AF1532" s="242" t="str">
        <f t="shared" si="4"/>
        <v>#ERROR!</v>
      </c>
      <c r="AG1532" s="154"/>
      <c r="AH1532" s="242" t="str">
        <f>IF(AG1532="","N/A",INDIRECT("MTR!"&amp;ADDRESS(MATCH(LEFT(AG1532,9),[1]MTR!C:C,0),COLUMN(J1532)),TRUE) &amp; "")</f>
        <v>#ERROR!</v>
      </c>
      <c r="AI1532" s="157" t="str">
        <f t="shared" si="5"/>
        <v>#ERROR!</v>
      </c>
    </row>
    <row r="1533" ht="12.75" customHeight="1">
      <c r="A1533" s="244" t="s">
        <v>5158</v>
      </c>
      <c r="B1533" s="244" t="s">
        <v>231</v>
      </c>
      <c r="C1533" s="244" t="s">
        <v>10599</v>
      </c>
      <c r="D1533" s="154" t="s">
        <v>503</v>
      </c>
      <c r="E1533" s="154"/>
      <c r="F1533" s="154" t="str">
        <f t="array" ref="F1533">XLOOKUP(Cover!$D$12,$R$1:$Z$1,$R1533:$Z1533)</f>
        <v>Mandatory</v>
      </c>
      <c r="G1533" s="154" t="s">
        <v>10600</v>
      </c>
      <c r="H1533" s="154" t="s">
        <v>9006</v>
      </c>
      <c r="I1533" s="154" t="s">
        <v>10596</v>
      </c>
      <c r="J1533" s="154" t="s">
        <v>7022</v>
      </c>
      <c r="K1533" s="154" t="s">
        <v>10346</v>
      </c>
      <c r="L1533" s="154" t="s">
        <v>6463</v>
      </c>
      <c r="M1533" s="154" t="s">
        <v>175</v>
      </c>
      <c r="N1533" s="154" t="s">
        <v>759</v>
      </c>
      <c r="O1533" s="247" t="s">
        <v>516</v>
      </c>
      <c r="P1533" s="247" t="s">
        <v>6776</v>
      </c>
      <c r="Q1533" s="154" t="str">
        <f t="shared" si="1"/>
        <v>#ERROR!</v>
      </c>
      <c r="R1533" s="154" t="s">
        <v>66</v>
      </c>
      <c r="S1533" s="154" t="s">
        <v>66</v>
      </c>
      <c r="T1533" s="155" t="s">
        <v>64</v>
      </c>
      <c r="U1533" s="155" t="s">
        <v>64</v>
      </c>
      <c r="V1533" s="154" t="s">
        <v>60</v>
      </c>
      <c r="W1533" s="154" t="s">
        <v>60</v>
      </c>
      <c r="X1533" s="154" t="s">
        <v>66</v>
      </c>
      <c r="Y1533" s="155" t="s">
        <v>64</v>
      </c>
      <c r="Z1533" s="154" t="s">
        <v>60</v>
      </c>
      <c r="AA1533" s="154"/>
      <c r="AB1533" s="242" t="str">
        <f t="shared" si="2"/>
        <v>#ERROR!</v>
      </c>
      <c r="AC1533" s="154" t="s">
        <v>391</v>
      </c>
      <c r="AD1533" s="242" t="b">
        <f t="shared" si="3"/>
        <v>0</v>
      </c>
      <c r="AE1533" s="154"/>
      <c r="AF1533" s="242" t="str">
        <f t="shared" si="4"/>
        <v>#ERROR!</v>
      </c>
      <c r="AG1533" s="154"/>
      <c r="AH1533" s="242" t="str">
        <f>IF(AG1533="","N/A",INDIRECT("MTR!"&amp;ADDRESS(MATCH(LEFT(AG1533,9),[1]MTR!C:C,0),COLUMN(J1533)),TRUE) &amp; "")</f>
        <v>#ERROR!</v>
      </c>
      <c r="AI1533" s="157" t="str">
        <f t="shared" si="5"/>
        <v>#ERROR!</v>
      </c>
    </row>
    <row r="1534" ht="12.75" customHeight="1">
      <c r="A1534" s="244" t="s">
        <v>5158</v>
      </c>
      <c r="B1534" s="244" t="s">
        <v>231</v>
      </c>
      <c r="C1534" s="244" t="s">
        <v>10601</v>
      </c>
      <c r="D1534" s="154" t="s">
        <v>503</v>
      </c>
      <c r="E1534" s="154"/>
      <c r="F1534" s="154" t="str">
        <f t="array" ref="F1534">XLOOKUP(Cover!$D$12,$R$1:$Z$1,$R1534:$Z1534)</f>
        <v>Recommended</v>
      </c>
      <c r="G1534" s="154" t="s">
        <v>10602</v>
      </c>
      <c r="H1534" s="154" t="s">
        <v>9009</v>
      </c>
      <c r="I1534" s="154" t="s">
        <v>10596</v>
      </c>
      <c r="J1534" s="154" t="s">
        <v>7022</v>
      </c>
      <c r="K1534" s="154" t="s">
        <v>10346</v>
      </c>
      <c r="L1534" s="154" t="s">
        <v>6463</v>
      </c>
      <c r="M1534" s="154"/>
      <c r="N1534" s="154" t="s">
        <v>759</v>
      </c>
      <c r="O1534" s="247" t="s">
        <v>516</v>
      </c>
      <c r="P1534" s="247" t="s">
        <v>6776</v>
      </c>
      <c r="Q1534" s="154" t="str">
        <f t="shared" si="1"/>
        <v>#ERROR!</v>
      </c>
      <c r="R1534" s="154" t="s">
        <v>66</v>
      </c>
      <c r="S1534" s="154" t="s">
        <v>66</v>
      </c>
      <c r="T1534" s="154" t="s">
        <v>64</v>
      </c>
      <c r="U1534" s="154" t="s">
        <v>64</v>
      </c>
      <c r="V1534" s="154" t="s">
        <v>64</v>
      </c>
      <c r="W1534" s="154" t="s">
        <v>64</v>
      </c>
      <c r="X1534" s="154" t="s">
        <v>66</v>
      </c>
      <c r="Y1534" s="154" t="s">
        <v>64</v>
      </c>
      <c r="Z1534" s="154" t="s">
        <v>64</v>
      </c>
      <c r="AA1534" s="154"/>
      <c r="AB1534" s="242" t="str">
        <f t="shared" si="2"/>
        <v>#ERROR!</v>
      </c>
      <c r="AC1534" s="154" t="s">
        <v>391</v>
      </c>
      <c r="AD1534" s="242" t="b">
        <f t="shared" si="3"/>
        <v>0</v>
      </c>
      <c r="AE1534" s="154"/>
      <c r="AF1534" s="242" t="str">
        <f t="shared" si="4"/>
        <v>#ERROR!</v>
      </c>
      <c r="AG1534" s="154"/>
      <c r="AH1534" s="242" t="str">
        <f>IF(AG1534="","N/A",INDIRECT("MTR!"&amp;ADDRESS(MATCH(LEFT(AG1534,9),[1]MTR!C:C,0),COLUMN(J1534)),TRUE) &amp; "")</f>
        <v>#ERROR!</v>
      </c>
      <c r="AI1534" s="157" t="str">
        <f t="shared" si="5"/>
        <v>#ERROR!</v>
      </c>
    </row>
    <row r="1535" ht="12.75" customHeight="1">
      <c r="A1535" s="244" t="s">
        <v>5158</v>
      </c>
      <c r="B1535" s="244" t="s">
        <v>231</v>
      </c>
      <c r="C1535" s="244" t="s">
        <v>10603</v>
      </c>
      <c r="D1535" s="154" t="s">
        <v>781</v>
      </c>
      <c r="E1535" s="154"/>
      <c r="F1535" s="154" t="str">
        <f t="array" ref="F1535">XLOOKUP(Cover!$D$12,$R$1:$Z$1,$R1535:$Z1535)</f>
        <v>Information</v>
      </c>
      <c r="G1535" s="154" t="s">
        <v>10604</v>
      </c>
      <c r="H1535" s="154" t="s">
        <v>6775</v>
      </c>
      <c r="I1535" s="154" t="s">
        <v>10605</v>
      </c>
      <c r="J1535" s="154" t="s">
        <v>7062</v>
      </c>
      <c r="K1535" s="154" t="s">
        <v>10346</v>
      </c>
      <c r="L1535" s="154" t="s">
        <v>6942</v>
      </c>
      <c r="M1535" s="154"/>
      <c r="N1535" s="154" t="s">
        <v>759</v>
      </c>
      <c r="O1535" s="247" t="s">
        <v>516</v>
      </c>
      <c r="P1535" s="247" t="s">
        <v>6776</v>
      </c>
      <c r="Q1535" s="154" t="str">
        <f t="shared" si="1"/>
        <v>#ERROR!</v>
      </c>
      <c r="R1535" s="154" t="s">
        <v>66</v>
      </c>
      <c r="S1535" s="154" t="s">
        <v>66</v>
      </c>
      <c r="T1535" s="154" t="s">
        <v>66</v>
      </c>
      <c r="U1535" s="154" t="s">
        <v>66</v>
      </c>
      <c r="V1535" s="154" t="s">
        <v>66</v>
      </c>
      <c r="W1535" s="154" t="s">
        <v>66</v>
      </c>
      <c r="X1535" s="154" t="s">
        <v>66</v>
      </c>
      <c r="Y1535" s="154" t="s">
        <v>66</v>
      </c>
      <c r="Z1535" s="154" t="s">
        <v>66</v>
      </c>
      <c r="AA1535" s="154"/>
      <c r="AB1535" s="242" t="str">
        <f t="shared" si="2"/>
        <v>#ERROR!</v>
      </c>
      <c r="AC1535" s="154" t="s">
        <v>391</v>
      </c>
      <c r="AD1535" s="242" t="b">
        <f t="shared" si="3"/>
        <v>0</v>
      </c>
      <c r="AE1535" s="154"/>
      <c r="AF1535" s="242" t="str">
        <f t="shared" si="4"/>
        <v>#ERROR!</v>
      </c>
      <c r="AG1535" s="154"/>
      <c r="AH1535" s="242" t="str">
        <f>IF(AG1535="","N/A",INDIRECT("MTR!"&amp;ADDRESS(MATCH(LEFT(AG1535,9),[1]MTR!C:C,0),COLUMN(J1535)),TRUE) &amp; "")</f>
        <v>#ERROR!</v>
      </c>
      <c r="AI1535" s="157" t="str">
        <f t="shared" si="5"/>
        <v>#ERROR!</v>
      </c>
    </row>
    <row r="1536" ht="12.75" customHeight="1">
      <c r="A1536" s="244" t="s">
        <v>5158</v>
      </c>
      <c r="B1536" s="244" t="s">
        <v>231</v>
      </c>
      <c r="C1536" s="244" t="s">
        <v>10606</v>
      </c>
      <c r="D1536" s="154" t="s">
        <v>781</v>
      </c>
      <c r="E1536" s="154"/>
      <c r="F1536" s="154" t="str">
        <f t="array" ref="F1536">XLOOKUP(Cover!$D$12,$R$1:$Z$1,$R1536:$Z1536)</f>
        <v>Information</v>
      </c>
      <c r="G1536" s="154" t="s">
        <v>10607</v>
      </c>
      <c r="H1536" s="154" t="s">
        <v>6779</v>
      </c>
      <c r="I1536" s="154" t="s">
        <v>10605</v>
      </c>
      <c r="J1536" s="154" t="s">
        <v>7062</v>
      </c>
      <c r="K1536" s="154" t="s">
        <v>10346</v>
      </c>
      <c r="L1536" s="154" t="s">
        <v>6942</v>
      </c>
      <c r="M1536" s="154"/>
      <c r="N1536" s="154" t="s">
        <v>759</v>
      </c>
      <c r="O1536" s="247" t="s">
        <v>516</v>
      </c>
      <c r="P1536" s="247" t="s">
        <v>6776</v>
      </c>
      <c r="Q1536" s="154" t="str">
        <f t="shared" si="1"/>
        <v>#ERROR!</v>
      </c>
      <c r="R1536" s="154" t="s">
        <v>66</v>
      </c>
      <c r="S1536" s="154" t="s">
        <v>66</v>
      </c>
      <c r="T1536" s="154" t="s">
        <v>66</v>
      </c>
      <c r="U1536" s="154" t="s">
        <v>66</v>
      </c>
      <c r="V1536" s="154" t="s">
        <v>66</v>
      </c>
      <c r="W1536" s="154" t="s">
        <v>66</v>
      </c>
      <c r="X1536" s="154" t="s">
        <v>66</v>
      </c>
      <c r="Y1536" s="154" t="s">
        <v>66</v>
      </c>
      <c r="Z1536" s="154" t="s">
        <v>66</v>
      </c>
      <c r="AA1536" s="154"/>
      <c r="AB1536" s="242" t="str">
        <f t="shared" si="2"/>
        <v>#ERROR!</v>
      </c>
      <c r="AC1536" s="154" t="s">
        <v>391</v>
      </c>
      <c r="AD1536" s="242" t="b">
        <f t="shared" si="3"/>
        <v>0</v>
      </c>
      <c r="AE1536" s="154"/>
      <c r="AF1536" s="242" t="str">
        <f t="shared" si="4"/>
        <v>#ERROR!</v>
      </c>
      <c r="AG1536" s="154"/>
      <c r="AH1536" s="242" t="str">
        <f>IF(AG1536="","N/A",INDIRECT("MTR!"&amp;ADDRESS(MATCH(LEFT(AG1536,9),[1]MTR!C:C,0),COLUMN(J1536)),TRUE) &amp; "")</f>
        <v>#ERROR!</v>
      </c>
      <c r="AI1536" s="157" t="str">
        <f t="shared" si="5"/>
        <v>#ERROR!</v>
      </c>
    </row>
    <row r="1537" ht="12.75" customHeight="1">
      <c r="A1537" s="244" t="s">
        <v>5158</v>
      </c>
      <c r="B1537" s="244" t="s">
        <v>231</v>
      </c>
      <c r="C1537" s="244" t="s">
        <v>10608</v>
      </c>
      <c r="D1537" s="154" t="s">
        <v>781</v>
      </c>
      <c r="E1537" s="154"/>
      <c r="F1537" s="154" t="str">
        <f t="array" ref="F1537">XLOOKUP(Cover!$D$12,$R$1:$Z$1,$R1537:$Z1537)</f>
        <v>Information</v>
      </c>
      <c r="G1537" s="154" t="s">
        <v>10609</v>
      </c>
      <c r="H1537" s="154" t="s">
        <v>9009</v>
      </c>
      <c r="I1537" s="154" t="s">
        <v>10605</v>
      </c>
      <c r="J1537" s="154" t="s">
        <v>7062</v>
      </c>
      <c r="K1537" s="154" t="s">
        <v>10346</v>
      </c>
      <c r="L1537" s="154" t="s">
        <v>6942</v>
      </c>
      <c r="M1537" s="154"/>
      <c r="N1537" s="154" t="s">
        <v>759</v>
      </c>
      <c r="O1537" s="247" t="s">
        <v>516</v>
      </c>
      <c r="P1537" s="247" t="s">
        <v>6776</v>
      </c>
      <c r="Q1537" s="154" t="str">
        <f t="shared" si="1"/>
        <v>#ERROR!</v>
      </c>
      <c r="R1537" s="154" t="s">
        <v>66</v>
      </c>
      <c r="S1537" s="154" t="s">
        <v>66</v>
      </c>
      <c r="T1537" s="154" t="s">
        <v>66</v>
      </c>
      <c r="U1537" s="154" t="s">
        <v>66</v>
      </c>
      <c r="V1537" s="154" t="s">
        <v>66</v>
      </c>
      <c r="W1537" s="154" t="s">
        <v>66</v>
      </c>
      <c r="X1537" s="154" t="s">
        <v>66</v>
      </c>
      <c r="Y1537" s="154" t="s">
        <v>66</v>
      </c>
      <c r="Z1537" s="154" t="s">
        <v>66</v>
      </c>
      <c r="AA1537" s="154"/>
      <c r="AB1537" s="242" t="str">
        <f t="shared" si="2"/>
        <v>#ERROR!</v>
      </c>
      <c r="AC1537" s="154" t="s">
        <v>391</v>
      </c>
      <c r="AD1537" s="242" t="b">
        <f t="shared" si="3"/>
        <v>0</v>
      </c>
      <c r="AE1537" s="154"/>
      <c r="AF1537" s="242" t="str">
        <f t="shared" si="4"/>
        <v>#ERROR!</v>
      </c>
      <c r="AG1537" s="154"/>
      <c r="AH1537" s="242" t="str">
        <f>IF(AG1537="","N/A",INDIRECT("MTR!"&amp;ADDRESS(MATCH(LEFT(AG1537,9),[1]MTR!C:C,0),COLUMN(J1537)),TRUE) &amp; "")</f>
        <v>#ERROR!</v>
      </c>
      <c r="AI1537" s="157" t="str">
        <f t="shared" si="5"/>
        <v>#ERROR!</v>
      </c>
    </row>
    <row r="1538" ht="12.75" customHeight="1">
      <c r="A1538" s="244" t="s">
        <v>5158</v>
      </c>
      <c r="B1538" s="244" t="s">
        <v>231</v>
      </c>
      <c r="C1538" s="244" t="s">
        <v>10610</v>
      </c>
      <c r="D1538" s="154" t="s">
        <v>781</v>
      </c>
      <c r="E1538" s="154"/>
      <c r="F1538" s="154" t="str">
        <f t="array" ref="F1538">XLOOKUP(Cover!$D$12,$R$1:$Z$1,$R1538:$Z1538)</f>
        <v>Information</v>
      </c>
      <c r="G1538" s="154" t="s">
        <v>10611</v>
      </c>
      <c r="H1538" s="154" t="s">
        <v>9012</v>
      </c>
      <c r="I1538" s="154" t="s">
        <v>10605</v>
      </c>
      <c r="J1538" s="154" t="s">
        <v>7062</v>
      </c>
      <c r="K1538" s="154" t="s">
        <v>10346</v>
      </c>
      <c r="L1538" s="154" t="s">
        <v>6942</v>
      </c>
      <c r="M1538" s="154"/>
      <c r="N1538" s="154" t="s">
        <v>759</v>
      </c>
      <c r="O1538" s="247" t="s">
        <v>516</v>
      </c>
      <c r="P1538" s="247" t="s">
        <v>6776</v>
      </c>
      <c r="Q1538" s="154" t="str">
        <f t="shared" si="1"/>
        <v>#ERROR!</v>
      </c>
      <c r="R1538" s="154" t="s">
        <v>66</v>
      </c>
      <c r="S1538" s="154" t="s">
        <v>66</v>
      </c>
      <c r="T1538" s="154" t="s">
        <v>66</v>
      </c>
      <c r="U1538" s="154" t="s">
        <v>66</v>
      </c>
      <c r="V1538" s="154" t="s">
        <v>66</v>
      </c>
      <c r="W1538" s="154" t="s">
        <v>66</v>
      </c>
      <c r="X1538" s="154" t="s">
        <v>66</v>
      </c>
      <c r="Y1538" s="154" t="s">
        <v>66</v>
      </c>
      <c r="Z1538" s="154" t="s">
        <v>66</v>
      </c>
      <c r="AA1538" s="154"/>
      <c r="AB1538" s="242" t="str">
        <f t="shared" si="2"/>
        <v>#ERROR!</v>
      </c>
      <c r="AC1538" s="154" t="s">
        <v>391</v>
      </c>
      <c r="AD1538" s="242" t="b">
        <f t="shared" si="3"/>
        <v>0</v>
      </c>
      <c r="AE1538" s="154"/>
      <c r="AF1538" s="242" t="str">
        <f t="shared" si="4"/>
        <v>#ERROR!</v>
      </c>
      <c r="AG1538" s="154"/>
      <c r="AH1538" s="242" t="str">
        <f>IF(AG1538="","N/A",INDIRECT("MTR!"&amp;ADDRESS(MATCH(LEFT(AG1538,9),[1]MTR!C:C,0),COLUMN(J1538)),TRUE) &amp; "")</f>
        <v>#ERROR!</v>
      </c>
      <c r="AI1538" s="157" t="str">
        <f t="shared" si="5"/>
        <v>#ERROR!</v>
      </c>
    </row>
    <row r="1539" ht="12.75" customHeight="1">
      <c r="A1539" s="244" t="s">
        <v>5158</v>
      </c>
      <c r="B1539" s="244" t="s">
        <v>231</v>
      </c>
      <c r="C1539" s="244" t="s">
        <v>10612</v>
      </c>
      <c r="D1539" s="154" t="s">
        <v>781</v>
      </c>
      <c r="E1539" s="154"/>
      <c r="F1539" s="154" t="str">
        <f t="array" ref="F1539">XLOOKUP(Cover!$D$12,$R$1:$Z$1,$R1539:$Z1539)</f>
        <v>Mandatory</v>
      </c>
      <c r="G1539" s="154" t="s">
        <v>10613</v>
      </c>
      <c r="H1539" s="154" t="s">
        <v>6771</v>
      </c>
      <c r="I1539" s="154" t="s">
        <v>10614</v>
      </c>
      <c r="J1539" s="154" t="s">
        <v>7136</v>
      </c>
      <c r="K1539" s="154" t="s">
        <v>10346</v>
      </c>
      <c r="L1539" s="154" t="s">
        <v>6140</v>
      </c>
      <c r="M1539" s="154" t="s">
        <v>175</v>
      </c>
      <c r="N1539" s="154" t="s">
        <v>759</v>
      </c>
      <c r="O1539" s="247" t="s">
        <v>516</v>
      </c>
      <c r="P1539" s="247" t="s">
        <v>6776</v>
      </c>
      <c r="Q1539" s="154" t="str">
        <f t="shared" si="1"/>
        <v>#ERROR!</v>
      </c>
      <c r="R1539" s="154" t="s">
        <v>66</v>
      </c>
      <c r="S1539" s="154" t="s">
        <v>66</v>
      </c>
      <c r="T1539" s="155" t="s">
        <v>64</v>
      </c>
      <c r="U1539" s="155" t="s">
        <v>64</v>
      </c>
      <c r="V1539" s="154" t="s">
        <v>60</v>
      </c>
      <c r="W1539" s="154" t="s">
        <v>60</v>
      </c>
      <c r="X1539" s="154" t="s">
        <v>66</v>
      </c>
      <c r="Y1539" s="155" t="s">
        <v>64</v>
      </c>
      <c r="Z1539" s="154" t="s">
        <v>60</v>
      </c>
      <c r="AA1539" s="154"/>
      <c r="AB1539" s="242" t="str">
        <f t="shared" si="2"/>
        <v>#ERROR!</v>
      </c>
      <c r="AC1539" s="154" t="s">
        <v>391</v>
      </c>
      <c r="AD1539" s="242" t="b">
        <f t="shared" si="3"/>
        <v>0</v>
      </c>
      <c r="AE1539" s="154"/>
      <c r="AF1539" s="242" t="str">
        <f t="shared" si="4"/>
        <v>#ERROR!</v>
      </c>
      <c r="AG1539" s="154"/>
      <c r="AH1539" s="242" t="str">
        <f>IF(AG1539="","N/A",INDIRECT("MTR!"&amp;ADDRESS(MATCH(LEFT(AG1539,9),[1]MTR!C:C,0),COLUMN(J1539)),TRUE) &amp; "")</f>
        <v>#ERROR!</v>
      </c>
      <c r="AI1539" s="157" t="str">
        <f t="shared" si="5"/>
        <v>#ERROR!</v>
      </c>
    </row>
    <row r="1540" ht="12.75" customHeight="1">
      <c r="A1540" s="244" t="s">
        <v>5158</v>
      </c>
      <c r="B1540" s="244" t="s">
        <v>231</v>
      </c>
      <c r="C1540" s="244" t="s">
        <v>10615</v>
      </c>
      <c r="D1540" s="154" t="s">
        <v>781</v>
      </c>
      <c r="E1540" s="154"/>
      <c r="F1540" s="154" t="str">
        <f t="array" ref="F1540">XLOOKUP(Cover!$D$12,$R$1:$Z$1,$R1540:$Z1540)</f>
        <v>Mandatory</v>
      </c>
      <c r="G1540" s="154" t="s">
        <v>10616</v>
      </c>
      <c r="H1540" s="154" t="s">
        <v>9006</v>
      </c>
      <c r="I1540" s="154" t="s">
        <v>10614</v>
      </c>
      <c r="J1540" s="154" t="s">
        <v>7136</v>
      </c>
      <c r="K1540" s="154" t="s">
        <v>10346</v>
      </c>
      <c r="L1540" s="154" t="s">
        <v>6140</v>
      </c>
      <c r="M1540" s="154" t="s">
        <v>175</v>
      </c>
      <c r="N1540" s="154" t="s">
        <v>759</v>
      </c>
      <c r="O1540" s="247" t="s">
        <v>516</v>
      </c>
      <c r="P1540" s="247" t="s">
        <v>6776</v>
      </c>
      <c r="Q1540" s="154" t="str">
        <f t="shared" si="1"/>
        <v>#ERROR!</v>
      </c>
      <c r="R1540" s="154" t="s">
        <v>66</v>
      </c>
      <c r="S1540" s="154" t="s">
        <v>66</v>
      </c>
      <c r="T1540" s="155" t="s">
        <v>64</v>
      </c>
      <c r="U1540" s="155" t="s">
        <v>64</v>
      </c>
      <c r="V1540" s="154" t="s">
        <v>60</v>
      </c>
      <c r="W1540" s="154" t="s">
        <v>60</v>
      </c>
      <c r="X1540" s="154" t="s">
        <v>66</v>
      </c>
      <c r="Y1540" s="155" t="s">
        <v>64</v>
      </c>
      <c r="Z1540" s="154" t="s">
        <v>60</v>
      </c>
      <c r="AA1540" s="154"/>
      <c r="AB1540" s="242" t="str">
        <f t="shared" si="2"/>
        <v>#ERROR!</v>
      </c>
      <c r="AC1540" s="154" t="s">
        <v>391</v>
      </c>
      <c r="AD1540" s="242" t="b">
        <f t="shared" si="3"/>
        <v>0</v>
      </c>
      <c r="AE1540" s="154"/>
      <c r="AF1540" s="242" t="str">
        <f t="shared" si="4"/>
        <v>#ERROR!</v>
      </c>
      <c r="AG1540" s="154"/>
      <c r="AH1540" s="242" t="str">
        <f>IF(AG1540="","N/A",INDIRECT("MTR!"&amp;ADDRESS(MATCH(LEFT(AG1540,9),[1]MTR!C:C,0),COLUMN(J1540)),TRUE) &amp; "")</f>
        <v>#ERROR!</v>
      </c>
      <c r="AI1540" s="157" t="str">
        <f t="shared" si="5"/>
        <v>#ERROR!</v>
      </c>
    </row>
    <row r="1541" ht="12.75" customHeight="1">
      <c r="A1541" s="244" t="s">
        <v>5158</v>
      </c>
      <c r="B1541" s="244" t="s">
        <v>231</v>
      </c>
      <c r="C1541" s="244" t="s">
        <v>10617</v>
      </c>
      <c r="D1541" s="154" t="s">
        <v>1773</v>
      </c>
      <c r="E1541" s="154"/>
      <c r="F1541" s="154" t="str">
        <f t="array" ref="F1541">XLOOKUP(Cover!$D$12,$R$1:$Z$1,$R1541:$Z1541)</f>
        <v>Mandatory</v>
      </c>
      <c r="G1541" s="154" t="s">
        <v>10618</v>
      </c>
      <c r="H1541" s="154" t="s">
        <v>6808</v>
      </c>
      <c r="I1541" s="154" t="s">
        <v>10614</v>
      </c>
      <c r="J1541" s="154" t="s">
        <v>7136</v>
      </c>
      <c r="K1541" s="154" t="s">
        <v>10346</v>
      </c>
      <c r="L1541" s="154" t="s">
        <v>7175</v>
      </c>
      <c r="M1541" s="154" t="s">
        <v>175</v>
      </c>
      <c r="N1541" s="154" t="s">
        <v>759</v>
      </c>
      <c r="O1541" s="247" t="s">
        <v>516</v>
      </c>
      <c r="P1541" s="247" t="s">
        <v>6776</v>
      </c>
      <c r="Q1541" s="154" t="str">
        <f t="shared" si="1"/>
        <v>#ERROR!</v>
      </c>
      <c r="R1541" s="154" t="s">
        <v>66</v>
      </c>
      <c r="S1541" s="154" t="s">
        <v>66</v>
      </c>
      <c r="T1541" s="155" t="s">
        <v>64</v>
      </c>
      <c r="U1541" s="155" t="s">
        <v>64</v>
      </c>
      <c r="V1541" s="154" t="s">
        <v>60</v>
      </c>
      <c r="W1541" s="154" t="s">
        <v>60</v>
      </c>
      <c r="X1541" s="154" t="s">
        <v>66</v>
      </c>
      <c r="Y1541" s="155" t="s">
        <v>64</v>
      </c>
      <c r="Z1541" s="154" t="s">
        <v>60</v>
      </c>
      <c r="AA1541" s="154"/>
      <c r="AB1541" s="242" t="str">
        <f t="shared" si="2"/>
        <v>#ERROR!</v>
      </c>
      <c r="AC1541" s="154" t="s">
        <v>391</v>
      </c>
      <c r="AD1541" s="242" t="b">
        <f t="shared" si="3"/>
        <v>0</v>
      </c>
      <c r="AE1541" s="154"/>
      <c r="AF1541" s="242" t="str">
        <f t="shared" si="4"/>
        <v>#ERROR!</v>
      </c>
      <c r="AG1541" s="154"/>
      <c r="AH1541" s="242" t="str">
        <f>IF(AG1541="","N/A",INDIRECT("MTR!"&amp;ADDRESS(MATCH(LEFT(AG1541,9),[1]MTR!C:C,0),COLUMN(J1541)),TRUE) &amp; "")</f>
        <v>#ERROR!</v>
      </c>
      <c r="AI1541" s="157" t="str">
        <f t="shared" si="5"/>
        <v>#ERROR!</v>
      </c>
    </row>
    <row r="1542" ht="12.75" customHeight="1">
      <c r="A1542" s="244" t="s">
        <v>5158</v>
      </c>
      <c r="B1542" s="244" t="s">
        <v>231</v>
      </c>
      <c r="C1542" s="244" t="s">
        <v>10619</v>
      </c>
      <c r="D1542" s="154" t="s">
        <v>1773</v>
      </c>
      <c r="E1542" s="154"/>
      <c r="F1542" s="154" t="str">
        <f t="array" ref="F1542">XLOOKUP(Cover!$D$12,$R$1:$Z$1,$R1542:$Z1542)</f>
        <v>Mandatory</v>
      </c>
      <c r="G1542" s="154" t="s">
        <v>10620</v>
      </c>
      <c r="H1542" s="154" t="s">
        <v>9053</v>
      </c>
      <c r="I1542" s="154" t="s">
        <v>10614</v>
      </c>
      <c r="J1542" s="154" t="s">
        <v>7136</v>
      </c>
      <c r="K1542" s="154" t="s">
        <v>10346</v>
      </c>
      <c r="L1542" s="154" t="s">
        <v>7175</v>
      </c>
      <c r="M1542" s="154" t="s">
        <v>175</v>
      </c>
      <c r="N1542" s="154" t="s">
        <v>759</v>
      </c>
      <c r="O1542" s="247" t="s">
        <v>516</v>
      </c>
      <c r="P1542" s="247" t="s">
        <v>6776</v>
      </c>
      <c r="Q1542" s="154" t="str">
        <f t="shared" si="1"/>
        <v>#ERROR!</v>
      </c>
      <c r="R1542" s="154" t="s">
        <v>66</v>
      </c>
      <c r="S1542" s="154" t="s">
        <v>66</v>
      </c>
      <c r="T1542" s="155" t="s">
        <v>64</v>
      </c>
      <c r="U1542" s="155" t="s">
        <v>64</v>
      </c>
      <c r="V1542" s="154" t="s">
        <v>60</v>
      </c>
      <c r="W1542" s="154" t="s">
        <v>60</v>
      </c>
      <c r="X1542" s="154" t="s">
        <v>66</v>
      </c>
      <c r="Y1542" s="155" t="s">
        <v>64</v>
      </c>
      <c r="Z1542" s="154" t="s">
        <v>60</v>
      </c>
      <c r="AA1542" s="154"/>
      <c r="AB1542" s="242" t="str">
        <f t="shared" si="2"/>
        <v>#ERROR!</v>
      </c>
      <c r="AC1542" s="154" t="s">
        <v>391</v>
      </c>
      <c r="AD1542" s="242" t="b">
        <f t="shared" si="3"/>
        <v>0</v>
      </c>
      <c r="AE1542" s="154"/>
      <c r="AF1542" s="242" t="str">
        <f t="shared" si="4"/>
        <v>#ERROR!</v>
      </c>
      <c r="AG1542" s="154"/>
      <c r="AH1542" s="242" t="str">
        <f>IF(AG1542="","N/A",INDIRECT("MTR!"&amp;ADDRESS(MATCH(LEFT(AG1542,9),[1]MTR!C:C,0),COLUMN(J1542)),TRUE) &amp; "")</f>
        <v>#ERROR!</v>
      </c>
      <c r="AI1542" s="157" t="str">
        <f t="shared" si="5"/>
        <v>#ERROR!</v>
      </c>
    </row>
    <row r="1543" ht="12.75" customHeight="1">
      <c r="A1543" s="244" t="s">
        <v>5158</v>
      </c>
      <c r="B1543" s="244" t="s">
        <v>231</v>
      </c>
      <c r="C1543" s="244" t="s">
        <v>10621</v>
      </c>
      <c r="D1543" s="154" t="s">
        <v>781</v>
      </c>
      <c r="E1543" s="154"/>
      <c r="F1543" s="154" t="str">
        <f t="array" ref="F1543">XLOOKUP(Cover!$D$12,$R$1:$Z$1,$R1543:$Z1543)</f>
        <v>Recommended</v>
      </c>
      <c r="G1543" s="154" t="s">
        <v>10622</v>
      </c>
      <c r="H1543" s="154" t="s">
        <v>6775</v>
      </c>
      <c r="I1543" s="154" t="s">
        <v>10614</v>
      </c>
      <c r="J1543" s="154" t="s">
        <v>7136</v>
      </c>
      <c r="K1543" s="154" t="s">
        <v>10346</v>
      </c>
      <c r="L1543" s="154" t="s">
        <v>6140</v>
      </c>
      <c r="M1543" s="154"/>
      <c r="N1543" s="154" t="s">
        <v>759</v>
      </c>
      <c r="O1543" s="247" t="s">
        <v>516</v>
      </c>
      <c r="P1543" s="247" t="s">
        <v>6776</v>
      </c>
      <c r="Q1543" s="154" t="str">
        <f t="shared" si="1"/>
        <v>#ERROR!</v>
      </c>
      <c r="R1543" s="154" t="s">
        <v>66</v>
      </c>
      <c r="S1543" s="154" t="s">
        <v>66</v>
      </c>
      <c r="T1543" s="154" t="s">
        <v>64</v>
      </c>
      <c r="U1543" s="154" t="s">
        <v>64</v>
      </c>
      <c r="V1543" s="154" t="s">
        <v>64</v>
      </c>
      <c r="W1543" s="154" t="s">
        <v>64</v>
      </c>
      <c r="X1543" s="154" t="s">
        <v>66</v>
      </c>
      <c r="Y1543" s="154" t="s">
        <v>64</v>
      </c>
      <c r="Z1543" s="154" t="s">
        <v>64</v>
      </c>
      <c r="AA1543" s="154"/>
      <c r="AB1543" s="242" t="str">
        <f t="shared" si="2"/>
        <v>#ERROR!</v>
      </c>
      <c r="AC1543" s="154" t="s">
        <v>391</v>
      </c>
      <c r="AD1543" s="242" t="b">
        <f t="shared" si="3"/>
        <v>0</v>
      </c>
      <c r="AE1543" s="154"/>
      <c r="AF1543" s="242" t="str">
        <f t="shared" si="4"/>
        <v>#ERROR!</v>
      </c>
      <c r="AG1543" s="154"/>
      <c r="AH1543" s="242" t="str">
        <f>IF(AG1543="","N/A",INDIRECT("MTR!"&amp;ADDRESS(MATCH(LEFT(AG1543,9),[1]MTR!C:C,0),COLUMN(J1543)),TRUE) &amp; "")</f>
        <v>#ERROR!</v>
      </c>
      <c r="AI1543" s="157" t="str">
        <f t="shared" si="5"/>
        <v>#ERROR!</v>
      </c>
    </row>
    <row r="1544" ht="12.75" customHeight="1">
      <c r="A1544" s="244" t="s">
        <v>5158</v>
      </c>
      <c r="B1544" s="244" t="s">
        <v>231</v>
      </c>
      <c r="C1544" s="244" t="s">
        <v>10623</v>
      </c>
      <c r="D1544" s="154" t="s">
        <v>781</v>
      </c>
      <c r="E1544" s="154"/>
      <c r="F1544" s="154" t="str">
        <f t="array" ref="F1544">XLOOKUP(Cover!$D$12,$R$1:$Z$1,$R1544:$Z1544)</f>
        <v>Recommended</v>
      </c>
      <c r="G1544" s="154" t="s">
        <v>10624</v>
      </c>
      <c r="H1544" s="154" t="s">
        <v>9009</v>
      </c>
      <c r="I1544" s="154" t="s">
        <v>10614</v>
      </c>
      <c r="J1544" s="154" t="s">
        <v>7136</v>
      </c>
      <c r="K1544" s="154" t="s">
        <v>10346</v>
      </c>
      <c r="L1544" s="154" t="s">
        <v>6140</v>
      </c>
      <c r="M1544" s="154"/>
      <c r="N1544" s="154" t="s">
        <v>759</v>
      </c>
      <c r="O1544" s="247" t="s">
        <v>516</v>
      </c>
      <c r="P1544" s="247" t="s">
        <v>6776</v>
      </c>
      <c r="Q1544" s="154" t="str">
        <f t="shared" si="1"/>
        <v>#ERROR!</v>
      </c>
      <c r="R1544" s="154" t="s">
        <v>66</v>
      </c>
      <c r="S1544" s="154" t="s">
        <v>66</v>
      </c>
      <c r="T1544" s="154" t="s">
        <v>64</v>
      </c>
      <c r="U1544" s="154" t="s">
        <v>64</v>
      </c>
      <c r="V1544" s="154" t="s">
        <v>64</v>
      </c>
      <c r="W1544" s="154" t="s">
        <v>64</v>
      </c>
      <c r="X1544" s="154" t="s">
        <v>66</v>
      </c>
      <c r="Y1544" s="154" t="s">
        <v>64</v>
      </c>
      <c r="Z1544" s="154" t="s">
        <v>64</v>
      </c>
      <c r="AA1544" s="154"/>
      <c r="AB1544" s="242" t="str">
        <f t="shared" si="2"/>
        <v>#ERROR!</v>
      </c>
      <c r="AC1544" s="154" t="s">
        <v>391</v>
      </c>
      <c r="AD1544" s="242" t="b">
        <f t="shared" si="3"/>
        <v>0</v>
      </c>
      <c r="AE1544" s="154"/>
      <c r="AF1544" s="242" t="str">
        <f t="shared" si="4"/>
        <v>#ERROR!</v>
      </c>
      <c r="AG1544" s="154"/>
      <c r="AH1544" s="242" t="str">
        <f>IF(AG1544="","N/A",INDIRECT("MTR!"&amp;ADDRESS(MATCH(LEFT(AG1544,9),[1]MTR!C:C,0),COLUMN(J1544)),TRUE) &amp; "")</f>
        <v>#ERROR!</v>
      </c>
      <c r="AI1544" s="157" t="str">
        <f t="shared" si="5"/>
        <v>#ERROR!</v>
      </c>
    </row>
    <row r="1545" ht="12.75" customHeight="1">
      <c r="A1545" s="244" t="s">
        <v>5158</v>
      </c>
      <c r="B1545" s="244" t="s">
        <v>231</v>
      </c>
      <c r="C1545" s="244" t="s">
        <v>10625</v>
      </c>
      <c r="D1545" s="154" t="s">
        <v>781</v>
      </c>
      <c r="E1545" s="154"/>
      <c r="F1545" s="154" t="str">
        <f t="array" ref="F1545">XLOOKUP(Cover!$D$12,$R$1:$Z$1,$R1545:$Z1545)</f>
        <v>Recommended</v>
      </c>
      <c r="G1545" s="154" t="s">
        <v>10626</v>
      </c>
      <c r="H1545" s="154" t="s">
        <v>6847</v>
      </c>
      <c r="I1545" s="154" t="s">
        <v>10614</v>
      </c>
      <c r="J1545" s="154" t="s">
        <v>7136</v>
      </c>
      <c r="K1545" s="154" t="s">
        <v>10346</v>
      </c>
      <c r="L1545" s="154" t="s">
        <v>6140</v>
      </c>
      <c r="M1545" s="154"/>
      <c r="N1545" s="154" t="s">
        <v>759</v>
      </c>
      <c r="O1545" s="247" t="s">
        <v>516</v>
      </c>
      <c r="P1545" s="247" t="s">
        <v>6776</v>
      </c>
      <c r="Q1545" s="154" t="str">
        <f t="shared" si="1"/>
        <v>#ERROR!</v>
      </c>
      <c r="R1545" s="154" t="s">
        <v>66</v>
      </c>
      <c r="S1545" s="154" t="s">
        <v>66</v>
      </c>
      <c r="T1545" s="154" t="s">
        <v>64</v>
      </c>
      <c r="U1545" s="154" t="s">
        <v>64</v>
      </c>
      <c r="V1545" s="154" t="s">
        <v>64</v>
      </c>
      <c r="W1545" s="154" t="s">
        <v>64</v>
      </c>
      <c r="X1545" s="154" t="s">
        <v>66</v>
      </c>
      <c r="Y1545" s="154" t="s">
        <v>64</v>
      </c>
      <c r="Z1545" s="154" t="s">
        <v>64</v>
      </c>
      <c r="AA1545" s="154"/>
      <c r="AB1545" s="242" t="str">
        <f t="shared" si="2"/>
        <v>#ERROR!</v>
      </c>
      <c r="AC1545" s="154" t="s">
        <v>391</v>
      </c>
      <c r="AD1545" s="242" t="b">
        <f t="shared" si="3"/>
        <v>0</v>
      </c>
      <c r="AE1545" s="154"/>
      <c r="AF1545" s="242" t="str">
        <f t="shared" si="4"/>
        <v>#ERROR!</v>
      </c>
      <c r="AG1545" s="154"/>
      <c r="AH1545" s="242" t="str">
        <f>IF(AG1545="","N/A",INDIRECT("MTR!"&amp;ADDRESS(MATCH(LEFT(AG1545,9),[1]MTR!C:C,0),COLUMN(J1545)),TRUE) &amp; "")</f>
        <v>#ERROR!</v>
      </c>
      <c r="AI1545" s="157" t="str">
        <f t="shared" si="5"/>
        <v>#ERROR!</v>
      </c>
    </row>
    <row r="1546" ht="12.75" customHeight="1">
      <c r="A1546" s="244" t="s">
        <v>5158</v>
      </c>
      <c r="B1546" s="244" t="s">
        <v>231</v>
      </c>
      <c r="C1546" s="244" t="s">
        <v>10627</v>
      </c>
      <c r="D1546" s="154" t="s">
        <v>781</v>
      </c>
      <c r="E1546" s="154"/>
      <c r="F1546" s="154" t="str">
        <f t="array" ref="F1546">XLOOKUP(Cover!$D$12,$R$1:$Z$1,$R1546:$Z1546)</f>
        <v>Recommended</v>
      </c>
      <c r="G1546" s="154" t="s">
        <v>10628</v>
      </c>
      <c r="H1546" s="154" t="s">
        <v>9084</v>
      </c>
      <c r="I1546" s="154" t="s">
        <v>10614</v>
      </c>
      <c r="J1546" s="154" t="s">
        <v>7136</v>
      </c>
      <c r="K1546" s="154" t="s">
        <v>10346</v>
      </c>
      <c r="L1546" s="154" t="s">
        <v>6140</v>
      </c>
      <c r="M1546" s="154"/>
      <c r="N1546" s="154" t="s">
        <v>759</v>
      </c>
      <c r="O1546" s="247" t="s">
        <v>516</v>
      </c>
      <c r="P1546" s="247" t="s">
        <v>6776</v>
      </c>
      <c r="Q1546" s="154" t="str">
        <f t="shared" si="1"/>
        <v>#ERROR!</v>
      </c>
      <c r="R1546" s="154" t="s">
        <v>66</v>
      </c>
      <c r="S1546" s="154" t="s">
        <v>66</v>
      </c>
      <c r="T1546" s="154" t="s">
        <v>64</v>
      </c>
      <c r="U1546" s="154" t="s">
        <v>64</v>
      </c>
      <c r="V1546" s="154" t="s">
        <v>64</v>
      </c>
      <c r="W1546" s="154" t="s">
        <v>64</v>
      </c>
      <c r="X1546" s="154" t="s">
        <v>66</v>
      </c>
      <c r="Y1546" s="154" t="s">
        <v>64</v>
      </c>
      <c r="Z1546" s="154" t="s">
        <v>64</v>
      </c>
      <c r="AA1546" s="154"/>
      <c r="AB1546" s="242" t="str">
        <f t="shared" si="2"/>
        <v>#ERROR!</v>
      </c>
      <c r="AC1546" s="154" t="s">
        <v>391</v>
      </c>
      <c r="AD1546" s="242" t="b">
        <f t="shared" si="3"/>
        <v>0</v>
      </c>
      <c r="AE1546" s="154"/>
      <c r="AF1546" s="242" t="str">
        <f t="shared" si="4"/>
        <v>#ERROR!</v>
      </c>
      <c r="AG1546" s="154"/>
      <c r="AH1546" s="242" t="str">
        <f>IF(AG1546="","N/A",INDIRECT("MTR!"&amp;ADDRESS(MATCH(LEFT(AG1546,9),[1]MTR!C:C,0),COLUMN(J1546)),TRUE) &amp; "")</f>
        <v>#ERROR!</v>
      </c>
      <c r="AI1546" s="157" t="str">
        <f t="shared" si="5"/>
        <v>#ERROR!</v>
      </c>
    </row>
    <row r="1547" ht="12.75" customHeight="1">
      <c r="A1547" s="244" t="s">
        <v>5158</v>
      </c>
      <c r="B1547" s="244" t="s">
        <v>231</v>
      </c>
      <c r="C1547" s="244" t="s">
        <v>10629</v>
      </c>
      <c r="D1547" s="154" t="s">
        <v>542</v>
      </c>
      <c r="E1547" s="154"/>
      <c r="F1547" s="154" t="str">
        <f t="array" ref="F1547">XLOOKUP(Cover!$D$12,$R$1:$Z$1,$R1547:$Z1547)</f>
        <v>Information</v>
      </c>
      <c r="G1547" s="154" t="s">
        <v>10630</v>
      </c>
      <c r="H1547" s="154" t="s">
        <v>6771</v>
      </c>
      <c r="I1547" s="154" t="s">
        <v>10631</v>
      </c>
      <c r="J1547" s="154" t="s">
        <v>7130</v>
      </c>
      <c r="K1547" s="154" t="s">
        <v>10346</v>
      </c>
      <c r="L1547" s="154" t="s">
        <v>6140</v>
      </c>
      <c r="M1547" s="154"/>
      <c r="N1547" s="154" t="s">
        <v>759</v>
      </c>
      <c r="O1547" s="247" t="s">
        <v>516</v>
      </c>
      <c r="P1547" s="247" t="s">
        <v>6776</v>
      </c>
      <c r="Q1547" s="154" t="str">
        <f t="shared" si="1"/>
        <v>#ERROR!</v>
      </c>
      <c r="R1547" s="154" t="s">
        <v>66</v>
      </c>
      <c r="S1547" s="154" t="s">
        <v>66</v>
      </c>
      <c r="T1547" s="154" t="s">
        <v>66</v>
      </c>
      <c r="U1547" s="154" t="s">
        <v>66</v>
      </c>
      <c r="V1547" s="154" t="s">
        <v>66</v>
      </c>
      <c r="W1547" s="154" t="s">
        <v>66</v>
      </c>
      <c r="X1547" s="154" t="s">
        <v>66</v>
      </c>
      <c r="Y1547" s="154" t="s">
        <v>66</v>
      </c>
      <c r="Z1547" s="154" t="s">
        <v>66</v>
      </c>
      <c r="AA1547" s="154"/>
      <c r="AB1547" s="242" t="str">
        <f t="shared" si="2"/>
        <v>#ERROR!</v>
      </c>
      <c r="AC1547" s="154" t="s">
        <v>391</v>
      </c>
      <c r="AD1547" s="242" t="b">
        <f t="shared" si="3"/>
        <v>0</v>
      </c>
      <c r="AE1547" s="154"/>
      <c r="AF1547" s="242" t="str">
        <f t="shared" si="4"/>
        <v>#ERROR!</v>
      </c>
      <c r="AG1547" s="154"/>
      <c r="AH1547" s="242" t="str">
        <f>IF(AG1547="","N/A",INDIRECT("MTR!"&amp;ADDRESS(MATCH(LEFT(AG1547,9),[1]MTR!C:C,0),COLUMN(J1547)),TRUE) &amp; "")</f>
        <v>#ERROR!</v>
      </c>
      <c r="AI1547" s="157" t="str">
        <f t="shared" si="5"/>
        <v>#ERROR!</v>
      </c>
    </row>
    <row r="1548" ht="12.75" customHeight="1">
      <c r="A1548" s="244" t="s">
        <v>5158</v>
      </c>
      <c r="B1548" s="244" t="s">
        <v>231</v>
      </c>
      <c r="C1548" s="244" t="s">
        <v>10632</v>
      </c>
      <c r="D1548" s="154" t="s">
        <v>542</v>
      </c>
      <c r="E1548" s="154"/>
      <c r="F1548" s="154" t="str">
        <f t="array" ref="F1548">XLOOKUP(Cover!$D$12,$R$1:$Z$1,$R1548:$Z1548)</f>
        <v>Information</v>
      </c>
      <c r="G1548" s="154" t="s">
        <v>10633</v>
      </c>
      <c r="H1548" s="154" t="s">
        <v>9006</v>
      </c>
      <c r="I1548" s="154" t="s">
        <v>10631</v>
      </c>
      <c r="J1548" s="154" t="s">
        <v>7130</v>
      </c>
      <c r="K1548" s="154" t="s">
        <v>10346</v>
      </c>
      <c r="L1548" s="154" t="s">
        <v>6140</v>
      </c>
      <c r="M1548" s="154"/>
      <c r="N1548" s="154" t="s">
        <v>759</v>
      </c>
      <c r="O1548" s="247" t="s">
        <v>516</v>
      </c>
      <c r="P1548" s="247" t="s">
        <v>6776</v>
      </c>
      <c r="Q1548" s="154" t="str">
        <f t="shared" si="1"/>
        <v>#ERROR!</v>
      </c>
      <c r="R1548" s="154" t="s">
        <v>66</v>
      </c>
      <c r="S1548" s="154" t="s">
        <v>66</v>
      </c>
      <c r="T1548" s="154" t="s">
        <v>66</v>
      </c>
      <c r="U1548" s="154" t="s">
        <v>66</v>
      </c>
      <c r="V1548" s="154" t="s">
        <v>66</v>
      </c>
      <c r="W1548" s="154" t="s">
        <v>66</v>
      </c>
      <c r="X1548" s="154" t="s">
        <v>66</v>
      </c>
      <c r="Y1548" s="154" t="s">
        <v>66</v>
      </c>
      <c r="Z1548" s="154" t="s">
        <v>66</v>
      </c>
      <c r="AA1548" s="154"/>
      <c r="AB1548" s="242" t="str">
        <f t="shared" si="2"/>
        <v>#ERROR!</v>
      </c>
      <c r="AC1548" s="154" t="s">
        <v>391</v>
      </c>
      <c r="AD1548" s="242" t="b">
        <f t="shared" si="3"/>
        <v>0</v>
      </c>
      <c r="AE1548" s="154"/>
      <c r="AF1548" s="242" t="str">
        <f t="shared" si="4"/>
        <v>#ERROR!</v>
      </c>
      <c r="AG1548" s="154"/>
      <c r="AH1548" s="242" t="str">
        <f>IF(AG1548="","N/A",INDIRECT("MTR!"&amp;ADDRESS(MATCH(LEFT(AG1548,9),[1]MTR!C:C,0),COLUMN(J1548)),TRUE) &amp; "")</f>
        <v>#ERROR!</v>
      </c>
      <c r="AI1548" s="157" t="str">
        <f t="shared" si="5"/>
        <v>#ERROR!</v>
      </c>
    </row>
    <row r="1549" ht="12.75" customHeight="1">
      <c r="A1549" s="244" t="s">
        <v>5158</v>
      </c>
      <c r="B1549" s="244" t="s">
        <v>231</v>
      </c>
      <c r="C1549" s="244" t="s">
        <v>10634</v>
      </c>
      <c r="D1549" s="154" t="s">
        <v>542</v>
      </c>
      <c r="E1549" s="154"/>
      <c r="F1549" s="154" t="str">
        <f t="array" ref="F1549">XLOOKUP(Cover!$D$12,$R$1:$Z$1,$R1549:$Z1549)</f>
        <v>Information</v>
      </c>
      <c r="G1549" s="154" t="s">
        <v>10635</v>
      </c>
      <c r="H1549" s="154" t="s">
        <v>6775</v>
      </c>
      <c r="I1549" s="154" t="s">
        <v>10631</v>
      </c>
      <c r="J1549" s="154" t="s">
        <v>7130</v>
      </c>
      <c r="K1549" s="154" t="s">
        <v>10346</v>
      </c>
      <c r="L1549" s="154" t="s">
        <v>6140</v>
      </c>
      <c r="M1549" s="154"/>
      <c r="N1549" s="154" t="s">
        <v>759</v>
      </c>
      <c r="O1549" s="247" t="s">
        <v>516</v>
      </c>
      <c r="P1549" s="247" t="s">
        <v>6776</v>
      </c>
      <c r="Q1549" s="154" t="str">
        <f t="shared" si="1"/>
        <v>#ERROR!</v>
      </c>
      <c r="R1549" s="154" t="s">
        <v>66</v>
      </c>
      <c r="S1549" s="154" t="s">
        <v>66</v>
      </c>
      <c r="T1549" s="154" t="s">
        <v>66</v>
      </c>
      <c r="U1549" s="154" t="s">
        <v>66</v>
      </c>
      <c r="V1549" s="154" t="s">
        <v>66</v>
      </c>
      <c r="W1549" s="154" t="s">
        <v>66</v>
      </c>
      <c r="X1549" s="154" t="s">
        <v>66</v>
      </c>
      <c r="Y1549" s="154" t="s">
        <v>66</v>
      </c>
      <c r="Z1549" s="154" t="s">
        <v>66</v>
      </c>
      <c r="AA1549" s="154"/>
      <c r="AB1549" s="242" t="str">
        <f t="shared" si="2"/>
        <v>#ERROR!</v>
      </c>
      <c r="AC1549" s="154" t="s">
        <v>391</v>
      </c>
      <c r="AD1549" s="242" t="b">
        <f t="shared" si="3"/>
        <v>0</v>
      </c>
      <c r="AE1549" s="154"/>
      <c r="AF1549" s="242" t="str">
        <f t="shared" si="4"/>
        <v>#ERROR!</v>
      </c>
      <c r="AG1549" s="154"/>
      <c r="AH1549" s="242" t="str">
        <f>IF(AG1549="","N/A",INDIRECT("MTR!"&amp;ADDRESS(MATCH(LEFT(AG1549,9),[1]MTR!C:C,0),COLUMN(J1549)),TRUE) &amp; "")</f>
        <v>#ERROR!</v>
      </c>
      <c r="AI1549" s="157" t="str">
        <f t="shared" si="5"/>
        <v>#ERROR!</v>
      </c>
    </row>
    <row r="1550" ht="12.75" customHeight="1">
      <c r="A1550" s="244" t="s">
        <v>5158</v>
      </c>
      <c r="B1550" s="244" t="s">
        <v>231</v>
      </c>
      <c r="C1550" s="244" t="s">
        <v>10636</v>
      </c>
      <c r="D1550" s="154" t="s">
        <v>542</v>
      </c>
      <c r="E1550" s="154"/>
      <c r="F1550" s="154" t="str">
        <f t="array" ref="F1550">XLOOKUP(Cover!$D$12,$R$1:$Z$1,$R1550:$Z1550)</f>
        <v>Information</v>
      </c>
      <c r="G1550" s="154" t="s">
        <v>10637</v>
      </c>
      <c r="H1550" s="154" t="s">
        <v>9009</v>
      </c>
      <c r="I1550" s="154" t="s">
        <v>10631</v>
      </c>
      <c r="J1550" s="154" t="s">
        <v>7130</v>
      </c>
      <c r="K1550" s="154" t="s">
        <v>10346</v>
      </c>
      <c r="L1550" s="154" t="s">
        <v>6140</v>
      </c>
      <c r="M1550" s="154"/>
      <c r="N1550" s="154" t="s">
        <v>759</v>
      </c>
      <c r="O1550" s="247" t="s">
        <v>516</v>
      </c>
      <c r="P1550" s="247" t="s">
        <v>6776</v>
      </c>
      <c r="Q1550" s="154" t="str">
        <f t="shared" si="1"/>
        <v>#ERROR!</v>
      </c>
      <c r="R1550" s="154" t="s">
        <v>66</v>
      </c>
      <c r="S1550" s="154" t="s">
        <v>66</v>
      </c>
      <c r="T1550" s="154" t="s">
        <v>66</v>
      </c>
      <c r="U1550" s="154" t="s">
        <v>66</v>
      </c>
      <c r="V1550" s="154" t="s">
        <v>66</v>
      </c>
      <c r="W1550" s="154" t="s">
        <v>66</v>
      </c>
      <c r="X1550" s="154" t="s">
        <v>66</v>
      </c>
      <c r="Y1550" s="154" t="s">
        <v>66</v>
      </c>
      <c r="Z1550" s="154" t="s">
        <v>66</v>
      </c>
      <c r="AA1550" s="154"/>
      <c r="AB1550" s="242" t="str">
        <f t="shared" si="2"/>
        <v>#ERROR!</v>
      </c>
      <c r="AC1550" s="154" t="s">
        <v>391</v>
      </c>
      <c r="AD1550" s="242" t="b">
        <f t="shared" si="3"/>
        <v>0</v>
      </c>
      <c r="AE1550" s="154"/>
      <c r="AF1550" s="242" t="str">
        <f t="shared" si="4"/>
        <v>#ERROR!</v>
      </c>
      <c r="AG1550" s="154"/>
      <c r="AH1550" s="242" t="str">
        <f>IF(AG1550="","N/A",INDIRECT("MTR!"&amp;ADDRESS(MATCH(LEFT(AG1550,9),[1]MTR!C:C,0),COLUMN(J1550)),TRUE) &amp; "")</f>
        <v>#ERROR!</v>
      </c>
      <c r="AI1550" s="157" t="str">
        <f t="shared" si="5"/>
        <v>#ERROR!</v>
      </c>
    </row>
    <row r="1551" ht="12.75" customHeight="1">
      <c r="A1551" s="244" t="s">
        <v>5158</v>
      </c>
      <c r="B1551" s="244" t="s">
        <v>231</v>
      </c>
      <c r="C1551" s="244" t="s">
        <v>10638</v>
      </c>
      <c r="D1551" s="154" t="s">
        <v>781</v>
      </c>
      <c r="E1551" s="154"/>
      <c r="F1551" s="154" t="str">
        <f t="array" ref="F1551">XLOOKUP(Cover!$D$12,$R$1:$Z$1,$R1551:$Z1551)</f>
        <v>Information</v>
      </c>
      <c r="G1551" s="154" t="s">
        <v>10639</v>
      </c>
      <c r="H1551" s="154" t="s">
        <v>6771</v>
      </c>
      <c r="I1551" s="154" t="s">
        <v>10640</v>
      </c>
      <c r="J1551" s="154" t="s">
        <v>7156</v>
      </c>
      <c r="K1551" s="154" t="s">
        <v>10346</v>
      </c>
      <c r="L1551" s="154" t="s">
        <v>6942</v>
      </c>
      <c r="M1551" s="154"/>
      <c r="N1551" s="154" t="s">
        <v>759</v>
      </c>
      <c r="O1551" s="247" t="s">
        <v>516</v>
      </c>
      <c r="P1551" s="247" t="s">
        <v>6776</v>
      </c>
      <c r="Q1551" s="154" t="str">
        <f t="shared" si="1"/>
        <v>#ERROR!</v>
      </c>
      <c r="R1551" s="154" t="s">
        <v>66</v>
      </c>
      <c r="S1551" s="154" t="s">
        <v>66</v>
      </c>
      <c r="T1551" s="154" t="s">
        <v>66</v>
      </c>
      <c r="U1551" s="154" t="s">
        <v>66</v>
      </c>
      <c r="V1551" s="154" t="s">
        <v>66</v>
      </c>
      <c r="W1551" s="154" t="s">
        <v>66</v>
      </c>
      <c r="X1551" s="154" t="s">
        <v>66</v>
      </c>
      <c r="Y1551" s="154" t="s">
        <v>66</v>
      </c>
      <c r="Z1551" s="154" t="s">
        <v>66</v>
      </c>
      <c r="AA1551" s="154"/>
      <c r="AB1551" s="242" t="str">
        <f t="shared" si="2"/>
        <v>#ERROR!</v>
      </c>
      <c r="AC1551" s="154" t="s">
        <v>391</v>
      </c>
      <c r="AD1551" s="242" t="b">
        <f t="shared" si="3"/>
        <v>0</v>
      </c>
      <c r="AE1551" s="154"/>
      <c r="AF1551" s="242" t="str">
        <f t="shared" si="4"/>
        <v>#ERROR!</v>
      </c>
      <c r="AG1551" s="154"/>
      <c r="AH1551" s="242" t="str">
        <f>IF(AG1551="","N/A",INDIRECT("MTR!"&amp;ADDRESS(MATCH(LEFT(AG1551,9),[1]MTR!C:C,0),COLUMN(J1551)),TRUE) &amp; "")</f>
        <v>#ERROR!</v>
      </c>
      <c r="AI1551" s="157" t="str">
        <f t="shared" si="5"/>
        <v>#ERROR!</v>
      </c>
    </row>
    <row r="1552" ht="12.75" customHeight="1">
      <c r="A1552" s="244" t="s">
        <v>5158</v>
      </c>
      <c r="B1552" s="244" t="s">
        <v>231</v>
      </c>
      <c r="C1552" s="244" t="s">
        <v>10641</v>
      </c>
      <c r="D1552" s="154" t="s">
        <v>781</v>
      </c>
      <c r="E1552" s="154"/>
      <c r="F1552" s="154" t="str">
        <f t="array" ref="F1552">XLOOKUP(Cover!$D$12,$R$1:$Z$1,$R1552:$Z1552)</f>
        <v>Information</v>
      </c>
      <c r="G1552" s="154" t="s">
        <v>10642</v>
      </c>
      <c r="H1552" s="154" t="s">
        <v>9006</v>
      </c>
      <c r="I1552" s="154" t="s">
        <v>10640</v>
      </c>
      <c r="J1552" s="154" t="s">
        <v>7156</v>
      </c>
      <c r="K1552" s="154" t="s">
        <v>10346</v>
      </c>
      <c r="L1552" s="154" t="s">
        <v>6942</v>
      </c>
      <c r="M1552" s="154"/>
      <c r="N1552" s="154" t="s">
        <v>759</v>
      </c>
      <c r="O1552" s="247" t="s">
        <v>516</v>
      </c>
      <c r="P1552" s="247" t="s">
        <v>6776</v>
      </c>
      <c r="Q1552" s="154" t="str">
        <f t="shared" si="1"/>
        <v>#ERROR!</v>
      </c>
      <c r="R1552" s="154" t="s">
        <v>66</v>
      </c>
      <c r="S1552" s="154" t="s">
        <v>66</v>
      </c>
      <c r="T1552" s="154" t="s">
        <v>66</v>
      </c>
      <c r="U1552" s="154" t="s">
        <v>66</v>
      </c>
      <c r="V1552" s="154" t="s">
        <v>66</v>
      </c>
      <c r="W1552" s="154" t="s">
        <v>66</v>
      </c>
      <c r="X1552" s="154" t="s">
        <v>66</v>
      </c>
      <c r="Y1552" s="154" t="s">
        <v>66</v>
      </c>
      <c r="Z1552" s="154" t="s">
        <v>66</v>
      </c>
      <c r="AA1552" s="154"/>
      <c r="AB1552" s="242" t="str">
        <f t="shared" si="2"/>
        <v>#ERROR!</v>
      </c>
      <c r="AC1552" s="154" t="s">
        <v>391</v>
      </c>
      <c r="AD1552" s="242" t="b">
        <f t="shared" si="3"/>
        <v>0</v>
      </c>
      <c r="AE1552" s="154"/>
      <c r="AF1552" s="242" t="str">
        <f t="shared" si="4"/>
        <v>#ERROR!</v>
      </c>
      <c r="AG1552" s="154"/>
      <c r="AH1552" s="242" t="str">
        <f>IF(AG1552="","N/A",INDIRECT("MTR!"&amp;ADDRESS(MATCH(LEFT(AG1552,9),[1]MTR!C:C,0),COLUMN(J1552)),TRUE) &amp; "")</f>
        <v>#ERROR!</v>
      </c>
      <c r="AI1552" s="157" t="str">
        <f t="shared" si="5"/>
        <v>#ERROR!</v>
      </c>
    </row>
    <row r="1553" ht="12.75" customHeight="1">
      <c r="A1553" s="244" t="s">
        <v>5158</v>
      </c>
      <c r="B1553" s="244" t="s">
        <v>231</v>
      </c>
      <c r="C1553" s="244" t="s">
        <v>10643</v>
      </c>
      <c r="D1553" s="154" t="s">
        <v>781</v>
      </c>
      <c r="E1553" s="154"/>
      <c r="F1553" s="154" t="str">
        <f t="array" ref="F1553">XLOOKUP(Cover!$D$12,$R$1:$Z$1,$R1553:$Z1553)</f>
        <v>Information</v>
      </c>
      <c r="G1553" s="154" t="s">
        <v>10644</v>
      </c>
      <c r="H1553" s="154" t="s">
        <v>6775</v>
      </c>
      <c r="I1553" s="154" t="s">
        <v>10640</v>
      </c>
      <c r="J1553" s="154" t="s">
        <v>7156</v>
      </c>
      <c r="K1553" s="154" t="s">
        <v>10346</v>
      </c>
      <c r="L1553" s="154" t="s">
        <v>6942</v>
      </c>
      <c r="M1553" s="154"/>
      <c r="N1553" s="154" t="s">
        <v>759</v>
      </c>
      <c r="O1553" s="247" t="s">
        <v>516</v>
      </c>
      <c r="P1553" s="247" t="s">
        <v>6776</v>
      </c>
      <c r="Q1553" s="154" t="str">
        <f t="shared" si="1"/>
        <v>#ERROR!</v>
      </c>
      <c r="R1553" s="154" t="s">
        <v>66</v>
      </c>
      <c r="S1553" s="154" t="s">
        <v>66</v>
      </c>
      <c r="T1553" s="154" t="s">
        <v>66</v>
      </c>
      <c r="U1553" s="154" t="s">
        <v>66</v>
      </c>
      <c r="V1553" s="154" t="s">
        <v>66</v>
      </c>
      <c r="W1553" s="154" t="s">
        <v>66</v>
      </c>
      <c r="X1553" s="154" t="s">
        <v>66</v>
      </c>
      <c r="Y1553" s="154" t="s">
        <v>66</v>
      </c>
      <c r="Z1553" s="154" t="s">
        <v>66</v>
      </c>
      <c r="AA1553" s="154"/>
      <c r="AB1553" s="242" t="str">
        <f t="shared" si="2"/>
        <v>#ERROR!</v>
      </c>
      <c r="AC1553" s="154" t="s">
        <v>391</v>
      </c>
      <c r="AD1553" s="242" t="b">
        <f t="shared" si="3"/>
        <v>0</v>
      </c>
      <c r="AE1553" s="154"/>
      <c r="AF1553" s="242" t="str">
        <f t="shared" si="4"/>
        <v>#ERROR!</v>
      </c>
      <c r="AG1553" s="154"/>
      <c r="AH1553" s="242" t="str">
        <f>IF(AG1553="","N/A",INDIRECT("MTR!"&amp;ADDRESS(MATCH(LEFT(AG1553,9),[1]MTR!C:C,0),COLUMN(J1553)),TRUE) &amp; "")</f>
        <v>#ERROR!</v>
      </c>
      <c r="AI1553" s="157" t="str">
        <f t="shared" si="5"/>
        <v>#ERROR!</v>
      </c>
    </row>
    <row r="1554" ht="12.75" customHeight="1">
      <c r="A1554" s="244" t="s">
        <v>5158</v>
      </c>
      <c r="B1554" s="244" t="s">
        <v>231</v>
      </c>
      <c r="C1554" s="244" t="s">
        <v>10645</v>
      </c>
      <c r="D1554" s="154" t="s">
        <v>781</v>
      </c>
      <c r="E1554" s="154"/>
      <c r="F1554" s="154" t="str">
        <f t="array" ref="F1554">XLOOKUP(Cover!$D$12,$R$1:$Z$1,$R1554:$Z1554)</f>
        <v>Information</v>
      </c>
      <c r="G1554" s="154" t="s">
        <v>10646</v>
      </c>
      <c r="H1554" s="154" t="s">
        <v>9009</v>
      </c>
      <c r="I1554" s="154" t="s">
        <v>10640</v>
      </c>
      <c r="J1554" s="154" t="s">
        <v>7156</v>
      </c>
      <c r="K1554" s="154" t="s">
        <v>10346</v>
      </c>
      <c r="L1554" s="154" t="s">
        <v>6942</v>
      </c>
      <c r="M1554" s="154"/>
      <c r="N1554" s="154" t="s">
        <v>759</v>
      </c>
      <c r="O1554" s="247" t="s">
        <v>516</v>
      </c>
      <c r="P1554" s="247" t="s">
        <v>6776</v>
      </c>
      <c r="Q1554" s="154" t="str">
        <f t="shared" si="1"/>
        <v>#ERROR!</v>
      </c>
      <c r="R1554" s="154" t="s">
        <v>66</v>
      </c>
      <c r="S1554" s="154" t="s">
        <v>66</v>
      </c>
      <c r="T1554" s="154" t="s">
        <v>66</v>
      </c>
      <c r="U1554" s="154" t="s">
        <v>66</v>
      </c>
      <c r="V1554" s="154" t="s">
        <v>66</v>
      </c>
      <c r="W1554" s="154" t="s">
        <v>66</v>
      </c>
      <c r="X1554" s="154" t="s">
        <v>66</v>
      </c>
      <c r="Y1554" s="154" t="s">
        <v>66</v>
      </c>
      <c r="Z1554" s="154" t="s">
        <v>66</v>
      </c>
      <c r="AA1554" s="154"/>
      <c r="AB1554" s="242" t="str">
        <f t="shared" si="2"/>
        <v>#ERROR!</v>
      </c>
      <c r="AC1554" s="154" t="s">
        <v>391</v>
      </c>
      <c r="AD1554" s="242" t="b">
        <f t="shared" si="3"/>
        <v>0</v>
      </c>
      <c r="AE1554" s="154"/>
      <c r="AF1554" s="242" t="str">
        <f t="shared" si="4"/>
        <v>#ERROR!</v>
      </c>
      <c r="AG1554" s="154"/>
      <c r="AH1554" s="242" t="str">
        <f>IF(AG1554="","N/A",INDIRECT("MTR!"&amp;ADDRESS(MATCH(LEFT(AG1554,9),[1]MTR!C:C,0),COLUMN(J1554)),TRUE) &amp; "")</f>
        <v>#ERROR!</v>
      </c>
      <c r="AI1554" s="157" t="str">
        <f t="shared" si="5"/>
        <v>#ERROR!</v>
      </c>
    </row>
    <row r="1555" ht="12.75" customHeight="1">
      <c r="A1555" s="244" t="s">
        <v>5158</v>
      </c>
      <c r="B1555" s="244" t="s">
        <v>231</v>
      </c>
      <c r="C1555" s="244" t="s">
        <v>10647</v>
      </c>
      <c r="D1555" s="154" t="s">
        <v>781</v>
      </c>
      <c r="E1555" s="154"/>
      <c r="F1555" s="154" t="str">
        <f t="array" ref="F1555">XLOOKUP(Cover!$D$12,$R$1:$Z$1,$R1555:$Z1555)</f>
        <v>Information</v>
      </c>
      <c r="G1555" s="154" t="s">
        <v>10648</v>
      </c>
      <c r="H1555" s="154" t="s">
        <v>6779</v>
      </c>
      <c r="I1555" s="154" t="s">
        <v>10640</v>
      </c>
      <c r="J1555" s="154" t="s">
        <v>7156</v>
      </c>
      <c r="K1555" s="154" t="s">
        <v>10346</v>
      </c>
      <c r="L1555" s="154" t="s">
        <v>6942</v>
      </c>
      <c r="M1555" s="154"/>
      <c r="N1555" s="154" t="s">
        <v>759</v>
      </c>
      <c r="O1555" s="247" t="s">
        <v>516</v>
      </c>
      <c r="P1555" s="247" t="s">
        <v>6776</v>
      </c>
      <c r="Q1555" s="154" t="str">
        <f t="shared" si="1"/>
        <v>#ERROR!</v>
      </c>
      <c r="R1555" s="154" t="s">
        <v>66</v>
      </c>
      <c r="S1555" s="154" t="s">
        <v>66</v>
      </c>
      <c r="T1555" s="154" t="s">
        <v>66</v>
      </c>
      <c r="U1555" s="154" t="s">
        <v>66</v>
      </c>
      <c r="V1555" s="154" t="s">
        <v>66</v>
      </c>
      <c r="W1555" s="154" t="s">
        <v>66</v>
      </c>
      <c r="X1555" s="154" t="s">
        <v>66</v>
      </c>
      <c r="Y1555" s="154" t="s">
        <v>66</v>
      </c>
      <c r="Z1555" s="154" t="s">
        <v>66</v>
      </c>
      <c r="AA1555" s="154"/>
      <c r="AB1555" s="242" t="str">
        <f t="shared" si="2"/>
        <v>#ERROR!</v>
      </c>
      <c r="AC1555" s="154" t="s">
        <v>391</v>
      </c>
      <c r="AD1555" s="242" t="b">
        <f t="shared" si="3"/>
        <v>0</v>
      </c>
      <c r="AE1555" s="154"/>
      <c r="AF1555" s="242" t="str">
        <f t="shared" si="4"/>
        <v>#ERROR!</v>
      </c>
      <c r="AG1555" s="154"/>
      <c r="AH1555" s="242" t="str">
        <f>IF(AG1555="","N/A",INDIRECT("MTR!"&amp;ADDRESS(MATCH(LEFT(AG1555,9),[1]MTR!C:C,0),COLUMN(J1555)),TRUE) &amp; "")</f>
        <v>#ERROR!</v>
      </c>
      <c r="AI1555" s="157" t="str">
        <f t="shared" si="5"/>
        <v>#ERROR!</v>
      </c>
    </row>
    <row r="1556" ht="12.75" customHeight="1">
      <c r="A1556" s="244" t="s">
        <v>5158</v>
      </c>
      <c r="B1556" s="244" t="s">
        <v>231</v>
      </c>
      <c r="C1556" s="244" t="s">
        <v>10649</v>
      </c>
      <c r="D1556" s="154" t="s">
        <v>781</v>
      </c>
      <c r="E1556" s="154"/>
      <c r="F1556" s="154" t="str">
        <f t="array" ref="F1556">XLOOKUP(Cover!$D$12,$R$1:$Z$1,$R1556:$Z1556)</f>
        <v>Information</v>
      </c>
      <c r="G1556" s="154" t="s">
        <v>10650</v>
      </c>
      <c r="H1556" s="154" t="s">
        <v>9012</v>
      </c>
      <c r="I1556" s="154" t="s">
        <v>10640</v>
      </c>
      <c r="J1556" s="154" t="s">
        <v>7156</v>
      </c>
      <c r="K1556" s="154" t="s">
        <v>10346</v>
      </c>
      <c r="L1556" s="154" t="s">
        <v>6942</v>
      </c>
      <c r="M1556" s="154"/>
      <c r="N1556" s="154" t="s">
        <v>759</v>
      </c>
      <c r="O1556" s="247" t="s">
        <v>516</v>
      </c>
      <c r="P1556" s="247" t="s">
        <v>6776</v>
      </c>
      <c r="Q1556" s="154" t="str">
        <f t="shared" si="1"/>
        <v>#ERROR!</v>
      </c>
      <c r="R1556" s="154" t="s">
        <v>66</v>
      </c>
      <c r="S1556" s="154" t="s">
        <v>66</v>
      </c>
      <c r="T1556" s="154" t="s">
        <v>66</v>
      </c>
      <c r="U1556" s="154" t="s">
        <v>66</v>
      </c>
      <c r="V1556" s="154" t="s">
        <v>66</v>
      </c>
      <c r="W1556" s="154" t="s">
        <v>66</v>
      </c>
      <c r="X1556" s="154" t="s">
        <v>66</v>
      </c>
      <c r="Y1556" s="154" t="s">
        <v>66</v>
      </c>
      <c r="Z1556" s="154" t="s">
        <v>66</v>
      </c>
      <c r="AA1556" s="154"/>
      <c r="AB1556" s="242" t="str">
        <f t="shared" si="2"/>
        <v>#ERROR!</v>
      </c>
      <c r="AC1556" s="154" t="s">
        <v>391</v>
      </c>
      <c r="AD1556" s="242" t="b">
        <f t="shared" si="3"/>
        <v>0</v>
      </c>
      <c r="AE1556" s="154"/>
      <c r="AF1556" s="242" t="str">
        <f t="shared" si="4"/>
        <v>#ERROR!</v>
      </c>
      <c r="AG1556" s="154"/>
      <c r="AH1556" s="242" t="str">
        <f>IF(AG1556="","N/A",INDIRECT("MTR!"&amp;ADDRESS(MATCH(LEFT(AG1556,9),[1]MTR!C:C,0),COLUMN(J1556)),TRUE) &amp; "")</f>
        <v>#ERROR!</v>
      </c>
      <c r="AI1556" s="157" t="str">
        <f t="shared" si="5"/>
        <v>#ERROR!</v>
      </c>
    </row>
    <row r="1557" ht="12.75" customHeight="1">
      <c r="A1557" s="244" t="s">
        <v>5158</v>
      </c>
      <c r="B1557" s="244" t="s">
        <v>231</v>
      </c>
      <c r="C1557" s="244" t="s">
        <v>10651</v>
      </c>
      <c r="D1557" s="154" t="s">
        <v>861</v>
      </c>
      <c r="E1557" s="154"/>
      <c r="F1557" s="154" t="str">
        <f t="array" ref="F1557">XLOOKUP(Cover!$D$12,$R$1:$Z$1,$R1557:$Z1557)</f>
        <v>Mandatory</v>
      </c>
      <c r="G1557" s="154" t="s">
        <v>10652</v>
      </c>
      <c r="H1557" s="154" t="s">
        <v>6771</v>
      </c>
      <c r="I1557" s="154" t="s">
        <v>10653</v>
      </c>
      <c r="J1557" s="154" t="s">
        <v>7164</v>
      </c>
      <c r="K1557" s="154" t="s">
        <v>10346</v>
      </c>
      <c r="L1557" s="154" t="s">
        <v>6428</v>
      </c>
      <c r="M1557" s="154" t="s">
        <v>175</v>
      </c>
      <c r="N1557" s="154" t="s">
        <v>759</v>
      </c>
      <c r="O1557" s="247" t="s">
        <v>516</v>
      </c>
      <c r="P1557" s="247" t="s">
        <v>6776</v>
      </c>
      <c r="Q1557" s="154" t="str">
        <f t="shared" si="1"/>
        <v>#ERROR!</v>
      </c>
      <c r="R1557" s="154" t="s">
        <v>66</v>
      </c>
      <c r="S1557" s="154" t="s">
        <v>66</v>
      </c>
      <c r="T1557" s="155" t="s">
        <v>64</v>
      </c>
      <c r="U1557" s="155" t="s">
        <v>64</v>
      </c>
      <c r="V1557" s="154" t="s">
        <v>60</v>
      </c>
      <c r="W1557" s="154" t="s">
        <v>60</v>
      </c>
      <c r="X1557" s="154" t="s">
        <v>66</v>
      </c>
      <c r="Y1557" s="155" t="s">
        <v>64</v>
      </c>
      <c r="Z1557" s="154" t="s">
        <v>60</v>
      </c>
      <c r="AA1557" s="154"/>
      <c r="AB1557" s="242" t="str">
        <f t="shared" si="2"/>
        <v>#ERROR!</v>
      </c>
      <c r="AC1557" s="154" t="s">
        <v>391</v>
      </c>
      <c r="AD1557" s="242" t="b">
        <f t="shared" si="3"/>
        <v>0</v>
      </c>
      <c r="AE1557" s="154"/>
      <c r="AF1557" s="242" t="str">
        <f t="shared" si="4"/>
        <v>#ERROR!</v>
      </c>
      <c r="AG1557" s="154"/>
      <c r="AH1557" s="242" t="str">
        <f>IF(AG1557="","N/A",INDIRECT("MTR!"&amp;ADDRESS(MATCH(LEFT(AG1557,9),[1]MTR!C:C,0),COLUMN(J1557)),TRUE) &amp; "")</f>
        <v>#ERROR!</v>
      </c>
      <c r="AI1557" s="157" t="str">
        <f t="shared" si="5"/>
        <v>#ERROR!</v>
      </c>
    </row>
    <row r="1558" ht="12.75" customHeight="1">
      <c r="A1558" s="244" t="s">
        <v>5158</v>
      </c>
      <c r="B1558" s="244" t="s">
        <v>231</v>
      </c>
      <c r="C1558" s="244" t="s">
        <v>10654</v>
      </c>
      <c r="D1558" s="154" t="s">
        <v>1315</v>
      </c>
      <c r="E1558" s="154"/>
      <c r="F1558" s="154" t="str">
        <f t="array" ref="F1558">XLOOKUP(Cover!$D$12,$R$1:$Z$1,$R1558:$Z1558)</f>
        <v>Mandatory</v>
      </c>
      <c r="G1558" s="154" t="s">
        <v>10655</v>
      </c>
      <c r="H1558" s="154" t="s">
        <v>6808</v>
      </c>
      <c r="I1558" s="154" t="s">
        <v>10653</v>
      </c>
      <c r="J1558" s="154" t="s">
        <v>7164</v>
      </c>
      <c r="K1558" s="154" t="s">
        <v>10346</v>
      </c>
      <c r="L1558" s="154" t="s">
        <v>6884</v>
      </c>
      <c r="M1558" s="154" t="s">
        <v>175</v>
      </c>
      <c r="N1558" s="154" t="s">
        <v>759</v>
      </c>
      <c r="O1558" s="247" t="s">
        <v>516</v>
      </c>
      <c r="P1558" s="247" t="s">
        <v>6776</v>
      </c>
      <c r="Q1558" s="154" t="str">
        <f t="shared" si="1"/>
        <v>#ERROR!</v>
      </c>
      <c r="R1558" s="154" t="s">
        <v>66</v>
      </c>
      <c r="S1558" s="154" t="s">
        <v>66</v>
      </c>
      <c r="T1558" s="155" t="s">
        <v>64</v>
      </c>
      <c r="U1558" s="155" t="s">
        <v>64</v>
      </c>
      <c r="V1558" s="154" t="s">
        <v>60</v>
      </c>
      <c r="W1558" s="154" t="s">
        <v>60</v>
      </c>
      <c r="X1558" s="154" t="s">
        <v>66</v>
      </c>
      <c r="Y1558" s="155" t="s">
        <v>64</v>
      </c>
      <c r="Z1558" s="154" t="s">
        <v>60</v>
      </c>
      <c r="AA1558" s="154"/>
      <c r="AB1558" s="242" t="str">
        <f t="shared" si="2"/>
        <v>#ERROR!</v>
      </c>
      <c r="AC1558" s="154" t="s">
        <v>391</v>
      </c>
      <c r="AD1558" s="242" t="b">
        <f t="shared" si="3"/>
        <v>0</v>
      </c>
      <c r="AE1558" s="154"/>
      <c r="AF1558" s="242" t="str">
        <f t="shared" si="4"/>
        <v>#ERROR!</v>
      </c>
      <c r="AG1558" s="154"/>
      <c r="AH1558" s="242" t="str">
        <f>IF(AG1558="","N/A",INDIRECT("MTR!"&amp;ADDRESS(MATCH(LEFT(AG1558,9),[1]MTR!C:C,0),COLUMN(J1558)),TRUE) &amp; "")</f>
        <v>#ERROR!</v>
      </c>
      <c r="AI1558" s="157" t="str">
        <f t="shared" si="5"/>
        <v>#ERROR!</v>
      </c>
    </row>
    <row r="1559" ht="12.75" customHeight="1">
      <c r="A1559" s="244" t="s">
        <v>5158</v>
      </c>
      <c r="B1559" s="244" t="s">
        <v>231</v>
      </c>
      <c r="C1559" s="244" t="s">
        <v>10656</v>
      </c>
      <c r="D1559" s="154" t="s">
        <v>861</v>
      </c>
      <c r="E1559" s="154"/>
      <c r="F1559" s="154" t="str">
        <f t="array" ref="F1559">XLOOKUP(Cover!$D$12,$R$1:$Z$1,$R1559:$Z1559)</f>
        <v>Mandatory</v>
      </c>
      <c r="G1559" s="154" t="s">
        <v>10657</v>
      </c>
      <c r="H1559" s="154" t="s">
        <v>9006</v>
      </c>
      <c r="I1559" s="154" t="s">
        <v>10653</v>
      </c>
      <c r="J1559" s="154" t="s">
        <v>7164</v>
      </c>
      <c r="K1559" s="154" t="s">
        <v>10346</v>
      </c>
      <c r="L1559" s="154" t="s">
        <v>6428</v>
      </c>
      <c r="M1559" s="154" t="s">
        <v>175</v>
      </c>
      <c r="N1559" s="154" t="s">
        <v>759</v>
      </c>
      <c r="O1559" s="247" t="s">
        <v>516</v>
      </c>
      <c r="P1559" s="247" t="s">
        <v>6776</v>
      </c>
      <c r="Q1559" s="154" t="str">
        <f t="shared" si="1"/>
        <v>#ERROR!</v>
      </c>
      <c r="R1559" s="154" t="s">
        <v>66</v>
      </c>
      <c r="S1559" s="154" t="s">
        <v>66</v>
      </c>
      <c r="T1559" s="155" t="s">
        <v>64</v>
      </c>
      <c r="U1559" s="155" t="s">
        <v>64</v>
      </c>
      <c r="V1559" s="154" t="s">
        <v>60</v>
      </c>
      <c r="W1559" s="154" t="s">
        <v>60</v>
      </c>
      <c r="X1559" s="154" t="s">
        <v>66</v>
      </c>
      <c r="Y1559" s="155" t="s">
        <v>64</v>
      </c>
      <c r="Z1559" s="154" t="s">
        <v>60</v>
      </c>
      <c r="AA1559" s="154"/>
      <c r="AB1559" s="242" t="str">
        <f t="shared" si="2"/>
        <v>#ERROR!</v>
      </c>
      <c r="AC1559" s="154" t="s">
        <v>391</v>
      </c>
      <c r="AD1559" s="242" t="b">
        <f t="shared" si="3"/>
        <v>0</v>
      </c>
      <c r="AE1559" s="154"/>
      <c r="AF1559" s="242" t="str">
        <f t="shared" si="4"/>
        <v>#ERROR!</v>
      </c>
      <c r="AG1559" s="154"/>
      <c r="AH1559" s="242" t="str">
        <f>IF(AG1559="","N/A",INDIRECT("MTR!"&amp;ADDRESS(MATCH(LEFT(AG1559,9),[1]MTR!C:C,0),COLUMN(J1559)),TRUE) &amp; "")</f>
        <v>#ERROR!</v>
      </c>
      <c r="AI1559" s="157" t="str">
        <f t="shared" si="5"/>
        <v>#ERROR!</v>
      </c>
    </row>
    <row r="1560" ht="12.75" customHeight="1">
      <c r="A1560" s="244" t="s">
        <v>5158</v>
      </c>
      <c r="B1560" s="244" t="s">
        <v>231</v>
      </c>
      <c r="C1560" s="244" t="s">
        <v>10658</v>
      </c>
      <c r="D1560" s="154" t="s">
        <v>1315</v>
      </c>
      <c r="E1560" s="154"/>
      <c r="F1560" s="154" t="str">
        <f t="array" ref="F1560">XLOOKUP(Cover!$D$12,$R$1:$Z$1,$R1560:$Z1560)</f>
        <v>Mandatory</v>
      </c>
      <c r="G1560" s="154" t="s">
        <v>10659</v>
      </c>
      <c r="H1560" s="154" t="s">
        <v>9053</v>
      </c>
      <c r="I1560" s="154" t="s">
        <v>10653</v>
      </c>
      <c r="J1560" s="154" t="s">
        <v>7164</v>
      </c>
      <c r="K1560" s="154" t="s">
        <v>10346</v>
      </c>
      <c r="L1560" s="154" t="s">
        <v>6884</v>
      </c>
      <c r="M1560" s="154" t="s">
        <v>175</v>
      </c>
      <c r="N1560" s="154" t="s">
        <v>759</v>
      </c>
      <c r="O1560" s="247" t="s">
        <v>516</v>
      </c>
      <c r="P1560" s="247" t="s">
        <v>6776</v>
      </c>
      <c r="Q1560" s="154" t="str">
        <f t="shared" si="1"/>
        <v>#ERROR!</v>
      </c>
      <c r="R1560" s="154" t="s">
        <v>66</v>
      </c>
      <c r="S1560" s="154" t="s">
        <v>66</v>
      </c>
      <c r="T1560" s="155" t="s">
        <v>64</v>
      </c>
      <c r="U1560" s="155" t="s">
        <v>64</v>
      </c>
      <c r="V1560" s="154" t="s">
        <v>60</v>
      </c>
      <c r="W1560" s="154" t="s">
        <v>60</v>
      </c>
      <c r="X1560" s="154" t="s">
        <v>66</v>
      </c>
      <c r="Y1560" s="155" t="s">
        <v>64</v>
      </c>
      <c r="Z1560" s="154" t="s">
        <v>60</v>
      </c>
      <c r="AA1560" s="154"/>
      <c r="AB1560" s="242" t="str">
        <f t="shared" si="2"/>
        <v>#ERROR!</v>
      </c>
      <c r="AC1560" s="154" t="s">
        <v>391</v>
      </c>
      <c r="AD1560" s="242" t="b">
        <f t="shared" si="3"/>
        <v>0</v>
      </c>
      <c r="AE1560" s="154"/>
      <c r="AF1560" s="242" t="str">
        <f t="shared" si="4"/>
        <v>#ERROR!</v>
      </c>
      <c r="AG1560" s="154"/>
      <c r="AH1560" s="242" t="str">
        <f>IF(AG1560="","N/A",INDIRECT("MTR!"&amp;ADDRESS(MATCH(LEFT(AG1560,9),[1]MTR!C:C,0),COLUMN(J1560)),TRUE) &amp; "")</f>
        <v>#ERROR!</v>
      </c>
      <c r="AI1560" s="157" t="str">
        <f t="shared" si="5"/>
        <v>#ERROR!</v>
      </c>
    </row>
    <row r="1561" ht="12.75" customHeight="1">
      <c r="A1561" s="244" t="s">
        <v>5158</v>
      </c>
      <c r="B1561" s="244" t="s">
        <v>231</v>
      </c>
      <c r="C1561" s="244" t="s">
        <v>10660</v>
      </c>
      <c r="D1561" s="154" t="s">
        <v>861</v>
      </c>
      <c r="E1561" s="154"/>
      <c r="F1561" s="154" t="str">
        <f t="array" ref="F1561">XLOOKUP(Cover!$D$12,$R$1:$Z$1,$R1561:$Z1561)</f>
        <v>Recommended</v>
      </c>
      <c r="G1561" s="154" t="s">
        <v>10661</v>
      </c>
      <c r="H1561" s="154" t="s">
        <v>6775</v>
      </c>
      <c r="I1561" s="154" t="s">
        <v>10653</v>
      </c>
      <c r="J1561" s="154" t="s">
        <v>7164</v>
      </c>
      <c r="K1561" s="154" t="s">
        <v>10346</v>
      </c>
      <c r="L1561" s="154" t="s">
        <v>6428</v>
      </c>
      <c r="M1561" s="154"/>
      <c r="N1561" s="154" t="s">
        <v>759</v>
      </c>
      <c r="O1561" s="247" t="s">
        <v>516</v>
      </c>
      <c r="P1561" s="247" t="s">
        <v>6776</v>
      </c>
      <c r="Q1561" s="154" t="str">
        <f t="shared" si="1"/>
        <v>#ERROR!</v>
      </c>
      <c r="R1561" s="154" t="s">
        <v>66</v>
      </c>
      <c r="S1561" s="154" t="s">
        <v>66</v>
      </c>
      <c r="T1561" s="154" t="s">
        <v>64</v>
      </c>
      <c r="U1561" s="154" t="s">
        <v>64</v>
      </c>
      <c r="V1561" s="154" t="s">
        <v>64</v>
      </c>
      <c r="W1561" s="154" t="s">
        <v>64</v>
      </c>
      <c r="X1561" s="154" t="s">
        <v>66</v>
      </c>
      <c r="Y1561" s="154" t="s">
        <v>64</v>
      </c>
      <c r="Z1561" s="154" t="s">
        <v>64</v>
      </c>
      <c r="AA1561" s="154"/>
      <c r="AB1561" s="242" t="str">
        <f t="shared" si="2"/>
        <v>#ERROR!</v>
      </c>
      <c r="AC1561" s="154" t="s">
        <v>391</v>
      </c>
      <c r="AD1561" s="242" t="b">
        <f t="shared" si="3"/>
        <v>0</v>
      </c>
      <c r="AE1561" s="154"/>
      <c r="AF1561" s="242" t="str">
        <f t="shared" si="4"/>
        <v>#ERROR!</v>
      </c>
      <c r="AG1561" s="154"/>
      <c r="AH1561" s="242" t="str">
        <f>IF(AG1561="","N/A",INDIRECT("MTR!"&amp;ADDRESS(MATCH(LEFT(AG1561,9),[1]MTR!C:C,0),COLUMN(J1561)),TRUE) &amp; "")</f>
        <v>#ERROR!</v>
      </c>
      <c r="AI1561" s="157" t="str">
        <f t="shared" si="5"/>
        <v>#ERROR!</v>
      </c>
    </row>
    <row r="1562" ht="12.75" customHeight="1">
      <c r="A1562" s="244" t="s">
        <v>5158</v>
      </c>
      <c r="B1562" s="244" t="s">
        <v>231</v>
      </c>
      <c r="C1562" s="244" t="s">
        <v>10662</v>
      </c>
      <c r="D1562" s="154" t="s">
        <v>861</v>
      </c>
      <c r="E1562" s="154"/>
      <c r="F1562" s="154" t="str">
        <f t="array" ref="F1562">XLOOKUP(Cover!$D$12,$R$1:$Z$1,$R1562:$Z1562)</f>
        <v>Recommended</v>
      </c>
      <c r="G1562" s="154" t="s">
        <v>10663</v>
      </c>
      <c r="H1562" s="154" t="s">
        <v>9009</v>
      </c>
      <c r="I1562" s="154" t="s">
        <v>10653</v>
      </c>
      <c r="J1562" s="154" t="s">
        <v>7164</v>
      </c>
      <c r="K1562" s="154" t="s">
        <v>10346</v>
      </c>
      <c r="L1562" s="154" t="s">
        <v>6428</v>
      </c>
      <c r="M1562" s="154"/>
      <c r="N1562" s="154" t="s">
        <v>759</v>
      </c>
      <c r="O1562" s="247" t="s">
        <v>516</v>
      </c>
      <c r="P1562" s="247" t="s">
        <v>6776</v>
      </c>
      <c r="Q1562" s="154" t="str">
        <f t="shared" si="1"/>
        <v>#ERROR!</v>
      </c>
      <c r="R1562" s="154" t="s">
        <v>66</v>
      </c>
      <c r="S1562" s="154" t="s">
        <v>66</v>
      </c>
      <c r="T1562" s="154" t="s">
        <v>64</v>
      </c>
      <c r="U1562" s="154" t="s">
        <v>64</v>
      </c>
      <c r="V1562" s="154" t="s">
        <v>64</v>
      </c>
      <c r="W1562" s="154" t="s">
        <v>64</v>
      </c>
      <c r="X1562" s="154" t="s">
        <v>66</v>
      </c>
      <c r="Y1562" s="154" t="s">
        <v>64</v>
      </c>
      <c r="Z1562" s="154" t="s">
        <v>64</v>
      </c>
      <c r="AA1562" s="154"/>
      <c r="AB1562" s="242" t="str">
        <f t="shared" si="2"/>
        <v>#ERROR!</v>
      </c>
      <c r="AC1562" s="154" t="s">
        <v>391</v>
      </c>
      <c r="AD1562" s="242" t="b">
        <f t="shared" si="3"/>
        <v>0</v>
      </c>
      <c r="AE1562" s="154"/>
      <c r="AF1562" s="242" t="str">
        <f t="shared" si="4"/>
        <v>#ERROR!</v>
      </c>
      <c r="AG1562" s="154"/>
      <c r="AH1562" s="242" t="str">
        <f>IF(AG1562="","N/A",INDIRECT("MTR!"&amp;ADDRESS(MATCH(LEFT(AG1562,9),[1]MTR!C:C,0),COLUMN(J1562)),TRUE) &amp; "")</f>
        <v>#ERROR!</v>
      </c>
      <c r="AI1562" s="157" t="str">
        <f t="shared" si="5"/>
        <v>#ERROR!</v>
      </c>
    </row>
    <row r="1563" ht="12.75" customHeight="1">
      <c r="A1563" s="244" t="s">
        <v>5158</v>
      </c>
      <c r="B1563" s="244" t="s">
        <v>231</v>
      </c>
      <c r="C1563" s="244" t="s">
        <v>10664</v>
      </c>
      <c r="D1563" s="154" t="s">
        <v>861</v>
      </c>
      <c r="E1563" s="154"/>
      <c r="F1563" s="154" t="str">
        <f t="array" ref="F1563">XLOOKUP(Cover!$D$12,$R$1:$Z$1,$R1563:$Z1563)</f>
        <v>Mandatory</v>
      </c>
      <c r="G1563" s="154" t="s">
        <v>10665</v>
      </c>
      <c r="H1563" s="154" t="s">
        <v>6782</v>
      </c>
      <c r="I1563" s="154" t="s">
        <v>10653</v>
      </c>
      <c r="J1563" s="154" t="s">
        <v>7164</v>
      </c>
      <c r="K1563" s="154" t="s">
        <v>10346</v>
      </c>
      <c r="L1563" s="154" t="s">
        <v>6428</v>
      </c>
      <c r="M1563" s="154" t="s">
        <v>175</v>
      </c>
      <c r="N1563" s="154" t="s">
        <v>759</v>
      </c>
      <c r="O1563" s="247" t="s">
        <v>516</v>
      </c>
      <c r="P1563" s="247" t="s">
        <v>6776</v>
      </c>
      <c r="Q1563" s="154" t="str">
        <f t="shared" si="1"/>
        <v>#ERROR!</v>
      </c>
      <c r="R1563" s="154" t="s">
        <v>66</v>
      </c>
      <c r="S1563" s="154" t="s">
        <v>66</v>
      </c>
      <c r="T1563" s="155" t="s">
        <v>64</v>
      </c>
      <c r="U1563" s="155" t="s">
        <v>64</v>
      </c>
      <c r="V1563" s="154" t="s">
        <v>60</v>
      </c>
      <c r="W1563" s="154" t="s">
        <v>60</v>
      </c>
      <c r="X1563" s="154" t="s">
        <v>66</v>
      </c>
      <c r="Y1563" s="155" t="s">
        <v>64</v>
      </c>
      <c r="Z1563" s="154" t="s">
        <v>60</v>
      </c>
      <c r="AA1563" s="154"/>
      <c r="AB1563" s="242" t="str">
        <f t="shared" si="2"/>
        <v>#ERROR!</v>
      </c>
      <c r="AC1563" s="154" t="s">
        <v>391</v>
      </c>
      <c r="AD1563" s="242" t="b">
        <f t="shared" si="3"/>
        <v>0</v>
      </c>
      <c r="AE1563" s="154"/>
      <c r="AF1563" s="242" t="str">
        <f t="shared" si="4"/>
        <v>#ERROR!</v>
      </c>
      <c r="AG1563" s="154"/>
      <c r="AH1563" s="242" t="str">
        <f>IF(AG1563="","N/A",INDIRECT("MTR!"&amp;ADDRESS(MATCH(LEFT(AG1563,9),[1]MTR!C:C,0),COLUMN(J1563)),TRUE) &amp; "")</f>
        <v>#ERROR!</v>
      </c>
      <c r="AI1563" s="157" t="str">
        <f t="shared" si="5"/>
        <v>#ERROR!</v>
      </c>
    </row>
    <row r="1564" ht="12.75" customHeight="1">
      <c r="A1564" s="244" t="s">
        <v>5158</v>
      </c>
      <c r="B1564" s="244" t="s">
        <v>231</v>
      </c>
      <c r="C1564" s="244" t="s">
        <v>10666</v>
      </c>
      <c r="D1564" s="154" t="s">
        <v>861</v>
      </c>
      <c r="E1564" s="154"/>
      <c r="F1564" s="154" t="str">
        <f t="array" ref="F1564">XLOOKUP(Cover!$D$12,$R$1:$Z$1,$R1564:$Z1564)</f>
        <v>Mandatory</v>
      </c>
      <c r="G1564" s="154" t="s">
        <v>10667</v>
      </c>
      <c r="H1564" s="154" t="s">
        <v>9015</v>
      </c>
      <c r="I1564" s="154" t="s">
        <v>10653</v>
      </c>
      <c r="J1564" s="154" t="s">
        <v>7164</v>
      </c>
      <c r="K1564" s="154" t="s">
        <v>10346</v>
      </c>
      <c r="L1564" s="154" t="s">
        <v>6428</v>
      </c>
      <c r="M1564" s="154" t="s">
        <v>175</v>
      </c>
      <c r="N1564" s="154" t="s">
        <v>759</v>
      </c>
      <c r="O1564" s="247" t="s">
        <v>516</v>
      </c>
      <c r="P1564" s="247" t="s">
        <v>6776</v>
      </c>
      <c r="Q1564" s="154" t="str">
        <f t="shared" si="1"/>
        <v>#ERROR!</v>
      </c>
      <c r="R1564" s="154" t="s">
        <v>66</v>
      </c>
      <c r="S1564" s="154" t="s">
        <v>66</v>
      </c>
      <c r="T1564" s="155" t="s">
        <v>64</v>
      </c>
      <c r="U1564" s="155" t="s">
        <v>64</v>
      </c>
      <c r="V1564" s="154" t="s">
        <v>60</v>
      </c>
      <c r="W1564" s="154" t="s">
        <v>60</v>
      </c>
      <c r="X1564" s="154" t="s">
        <v>66</v>
      </c>
      <c r="Y1564" s="155" t="s">
        <v>64</v>
      </c>
      <c r="Z1564" s="154" t="s">
        <v>60</v>
      </c>
      <c r="AA1564" s="154"/>
      <c r="AB1564" s="242" t="str">
        <f t="shared" si="2"/>
        <v>#ERROR!</v>
      </c>
      <c r="AC1564" s="154" t="s">
        <v>391</v>
      </c>
      <c r="AD1564" s="242" t="b">
        <f t="shared" si="3"/>
        <v>0</v>
      </c>
      <c r="AE1564" s="154"/>
      <c r="AF1564" s="242" t="str">
        <f t="shared" si="4"/>
        <v>#ERROR!</v>
      </c>
      <c r="AG1564" s="154"/>
      <c r="AH1564" s="242" t="str">
        <f>IF(AG1564="","N/A",INDIRECT("MTR!"&amp;ADDRESS(MATCH(LEFT(AG1564,9),[1]MTR!C:C,0),COLUMN(J1564)),TRUE) &amp; "")</f>
        <v>#ERROR!</v>
      </c>
      <c r="AI1564" s="157" t="str">
        <f t="shared" si="5"/>
        <v>#ERROR!</v>
      </c>
    </row>
    <row r="1565" ht="12.75" customHeight="1">
      <c r="A1565" s="244" t="s">
        <v>5158</v>
      </c>
      <c r="B1565" s="244" t="s">
        <v>231</v>
      </c>
      <c r="C1565" s="244" t="s">
        <v>10668</v>
      </c>
      <c r="D1565" s="154" t="s">
        <v>503</v>
      </c>
      <c r="E1565" s="154"/>
      <c r="F1565" s="154" t="str">
        <f t="array" ref="F1565">XLOOKUP(Cover!$D$12,$R$1:$Z$1,$R1565:$Z1565)</f>
        <v>Mandatory</v>
      </c>
      <c r="G1565" s="154" t="s">
        <v>10669</v>
      </c>
      <c r="H1565" s="154" t="s">
        <v>6771</v>
      </c>
      <c r="I1565" s="154" t="s">
        <v>10670</v>
      </c>
      <c r="J1565" s="154" t="s">
        <v>7185</v>
      </c>
      <c r="K1565" s="154" t="s">
        <v>10346</v>
      </c>
      <c r="L1565" s="154" t="s">
        <v>7431</v>
      </c>
      <c r="M1565" s="154" t="s">
        <v>175</v>
      </c>
      <c r="N1565" s="154" t="s">
        <v>759</v>
      </c>
      <c r="O1565" s="247" t="s">
        <v>516</v>
      </c>
      <c r="P1565" s="247" t="s">
        <v>6776</v>
      </c>
      <c r="Q1565" s="154" t="str">
        <f t="shared" si="1"/>
        <v>#ERROR!</v>
      </c>
      <c r="R1565" s="154" t="s">
        <v>66</v>
      </c>
      <c r="S1565" s="154" t="s">
        <v>66</v>
      </c>
      <c r="T1565" s="155" t="s">
        <v>64</v>
      </c>
      <c r="U1565" s="155" t="s">
        <v>64</v>
      </c>
      <c r="V1565" s="154" t="s">
        <v>60</v>
      </c>
      <c r="W1565" s="154" t="s">
        <v>60</v>
      </c>
      <c r="X1565" s="154" t="s">
        <v>66</v>
      </c>
      <c r="Y1565" s="155" t="s">
        <v>64</v>
      </c>
      <c r="Z1565" s="154" t="s">
        <v>60</v>
      </c>
      <c r="AA1565" s="154"/>
      <c r="AB1565" s="242" t="str">
        <f t="shared" si="2"/>
        <v>#ERROR!</v>
      </c>
      <c r="AC1565" s="154" t="s">
        <v>391</v>
      </c>
      <c r="AD1565" s="242" t="b">
        <f t="shared" si="3"/>
        <v>0</v>
      </c>
      <c r="AE1565" s="154"/>
      <c r="AF1565" s="242" t="str">
        <f t="shared" si="4"/>
        <v>#ERROR!</v>
      </c>
      <c r="AG1565" s="154"/>
      <c r="AH1565" s="242" t="str">
        <f>IF(AG1565="","N/A",INDIRECT("MTR!"&amp;ADDRESS(MATCH(LEFT(AG1565,9),[1]MTR!C:C,0),COLUMN(J1565)),TRUE) &amp; "")</f>
        <v>#ERROR!</v>
      </c>
      <c r="AI1565" s="157" t="str">
        <f t="shared" si="5"/>
        <v>#ERROR!</v>
      </c>
    </row>
    <row r="1566" ht="12.75" customHeight="1">
      <c r="A1566" s="244" t="s">
        <v>5158</v>
      </c>
      <c r="B1566" s="244" t="s">
        <v>231</v>
      </c>
      <c r="C1566" s="244" t="s">
        <v>10671</v>
      </c>
      <c r="D1566" s="154" t="s">
        <v>503</v>
      </c>
      <c r="E1566" s="154"/>
      <c r="F1566" s="154" t="str">
        <f t="array" ref="F1566">XLOOKUP(Cover!$D$12,$R$1:$Z$1,$R1566:$Z1566)</f>
        <v>Mandatory</v>
      </c>
      <c r="G1566" s="154" t="s">
        <v>10672</v>
      </c>
      <c r="H1566" s="154" t="s">
        <v>6808</v>
      </c>
      <c r="I1566" s="154" t="s">
        <v>10670</v>
      </c>
      <c r="J1566" s="154" t="s">
        <v>7185</v>
      </c>
      <c r="K1566" s="154" t="s">
        <v>10346</v>
      </c>
      <c r="L1566" s="154" t="s">
        <v>7431</v>
      </c>
      <c r="M1566" s="154" t="s">
        <v>175</v>
      </c>
      <c r="N1566" s="154" t="s">
        <v>759</v>
      </c>
      <c r="O1566" s="247" t="s">
        <v>516</v>
      </c>
      <c r="P1566" s="247" t="s">
        <v>6776</v>
      </c>
      <c r="Q1566" s="154" t="str">
        <f t="shared" si="1"/>
        <v>#ERROR!</v>
      </c>
      <c r="R1566" s="154" t="s">
        <v>66</v>
      </c>
      <c r="S1566" s="154" t="s">
        <v>66</v>
      </c>
      <c r="T1566" s="155" t="s">
        <v>64</v>
      </c>
      <c r="U1566" s="155" t="s">
        <v>64</v>
      </c>
      <c r="V1566" s="154" t="s">
        <v>60</v>
      </c>
      <c r="W1566" s="154" t="s">
        <v>60</v>
      </c>
      <c r="X1566" s="154" t="s">
        <v>66</v>
      </c>
      <c r="Y1566" s="155" t="s">
        <v>64</v>
      </c>
      <c r="Z1566" s="154" t="s">
        <v>60</v>
      </c>
      <c r="AA1566" s="154"/>
      <c r="AB1566" s="242" t="str">
        <f t="shared" si="2"/>
        <v>#ERROR!</v>
      </c>
      <c r="AC1566" s="154" t="s">
        <v>391</v>
      </c>
      <c r="AD1566" s="242" t="b">
        <f t="shared" si="3"/>
        <v>0</v>
      </c>
      <c r="AE1566" s="154"/>
      <c r="AF1566" s="242" t="str">
        <f t="shared" si="4"/>
        <v>#ERROR!</v>
      </c>
      <c r="AG1566" s="154"/>
      <c r="AH1566" s="242" t="str">
        <f>IF(AG1566="","N/A",INDIRECT("MTR!"&amp;ADDRESS(MATCH(LEFT(AG1566,9),[1]MTR!C:C,0),COLUMN(J1566)),TRUE) &amp; "")</f>
        <v>#ERROR!</v>
      </c>
      <c r="AI1566" s="157" t="str">
        <f t="shared" si="5"/>
        <v>#ERROR!</v>
      </c>
    </row>
    <row r="1567" ht="12.75" customHeight="1">
      <c r="A1567" s="244" t="s">
        <v>5158</v>
      </c>
      <c r="B1567" s="244" t="s">
        <v>231</v>
      </c>
      <c r="C1567" s="244" t="s">
        <v>10673</v>
      </c>
      <c r="D1567" s="154" t="s">
        <v>503</v>
      </c>
      <c r="E1567" s="154"/>
      <c r="F1567" s="154" t="str">
        <f t="array" ref="F1567">XLOOKUP(Cover!$D$12,$R$1:$Z$1,$R1567:$Z1567)</f>
        <v>Recommended</v>
      </c>
      <c r="G1567" s="154" t="s">
        <v>10674</v>
      </c>
      <c r="H1567" s="154" t="s">
        <v>6775</v>
      </c>
      <c r="I1567" s="154" t="s">
        <v>10670</v>
      </c>
      <c r="J1567" s="154" t="s">
        <v>7185</v>
      </c>
      <c r="K1567" s="154" t="s">
        <v>10346</v>
      </c>
      <c r="L1567" s="154" t="s">
        <v>7431</v>
      </c>
      <c r="M1567" s="154"/>
      <c r="N1567" s="154" t="s">
        <v>759</v>
      </c>
      <c r="O1567" s="247" t="s">
        <v>516</v>
      </c>
      <c r="P1567" s="247" t="s">
        <v>6776</v>
      </c>
      <c r="Q1567" s="154" t="str">
        <f t="shared" si="1"/>
        <v>#ERROR!</v>
      </c>
      <c r="R1567" s="154" t="s">
        <v>66</v>
      </c>
      <c r="S1567" s="154" t="s">
        <v>66</v>
      </c>
      <c r="T1567" s="154" t="s">
        <v>64</v>
      </c>
      <c r="U1567" s="154" t="s">
        <v>64</v>
      </c>
      <c r="V1567" s="154" t="s">
        <v>64</v>
      </c>
      <c r="W1567" s="154" t="s">
        <v>64</v>
      </c>
      <c r="X1567" s="154" t="s">
        <v>66</v>
      </c>
      <c r="Y1567" s="154" t="s">
        <v>64</v>
      </c>
      <c r="Z1567" s="154" t="s">
        <v>64</v>
      </c>
      <c r="AA1567" s="154"/>
      <c r="AB1567" s="242" t="str">
        <f t="shared" si="2"/>
        <v>#ERROR!</v>
      </c>
      <c r="AC1567" s="154" t="s">
        <v>391</v>
      </c>
      <c r="AD1567" s="242" t="b">
        <f t="shared" si="3"/>
        <v>0</v>
      </c>
      <c r="AE1567" s="154"/>
      <c r="AF1567" s="242" t="str">
        <f t="shared" si="4"/>
        <v>#ERROR!</v>
      </c>
      <c r="AG1567" s="154"/>
      <c r="AH1567" s="242" t="str">
        <f>IF(AG1567="","N/A",INDIRECT("MTR!"&amp;ADDRESS(MATCH(LEFT(AG1567,9),[1]MTR!C:C,0),COLUMN(J1567)),TRUE) &amp; "")</f>
        <v>#ERROR!</v>
      </c>
      <c r="AI1567" s="157" t="str">
        <f t="shared" si="5"/>
        <v>#ERROR!</v>
      </c>
    </row>
    <row r="1568" ht="12.75" customHeight="1">
      <c r="A1568" s="244" t="s">
        <v>5158</v>
      </c>
      <c r="B1568" s="244" t="s">
        <v>231</v>
      </c>
      <c r="C1568" s="244" t="s">
        <v>10675</v>
      </c>
      <c r="D1568" s="154" t="s">
        <v>503</v>
      </c>
      <c r="E1568" s="154"/>
      <c r="F1568" s="154" t="str">
        <f t="array" ref="F1568">XLOOKUP(Cover!$D$12,$R$1:$Z$1,$R1568:$Z1568)</f>
        <v>Mandatory</v>
      </c>
      <c r="G1568" s="154" t="s">
        <v>10676</v>
      </c>
      <c r="H1568" s="154" t="s">
        <v>9006</v>
      </c>
      <c r="I1568" s="154" t="s">
        <v>10670</v>
      </c>
      <c r="J1568" s="154" t="s">
        <v>7185</v>
      </c>
      <c r="K1568" s="154" t="s">
        <v>10346</v>
      </c>
      <c r="L1568" s="154" t="s">
        <v>7431</v>
      </c>
      <c r="M1568" s="154" t="s">
        <v>175</v>
      </c>
      <c r="N1568" s="154" t="s">
        <v>759</v>
      </c>
      <c r="O1568" s="247" t="s">
        <v>516</v>
      </c>
      <c r="P1568" s="247" t="s">
        <v>6776</v>
      </c>
      <c r="Q1568" s="154" t="str">
        <f t="shared" si="1"/>
        <v>#ERROR!</v>
      </c>
      <c r="R1568" s="154" t="s">
        <v>66</v>
      </c>
      <c r="S1568" s="154" t="s">
        <v>66</v>
      </c>
      <c r="T1568" s="155" t="s">
        <v>64</v>
      </c>
      <c r="U1568" s="155" t="s">
        <v>64</v>
      </c>
      <c r="V1568" s="154" t="s">
        <v>60</v>
      </c>
      <c r="W1568" s="154" t="s">
        <v>60</v>
      </c>
      <c r="X1568" s="154" t="s">
        <v>66</v>
      </c>
      <c r="Y1568" s="155" t="s">
        <v>64</v>
      </c>
      <c r="Z1568" s="154" t="s">
        <v>60</v>
      </c>
      <c r="AA1568" s="154"/>
      <c r="AB1568" s="242" t="str">
        <f t="shared" si="2"/>
        <v>#ERROR!</v>
      </c>
      <c r="AC1568" s="154" t="s">
        <v>391</v>
      </c>
      <c r="AD1568" s="242" t="b">
        <f t="shared" si="3"/>
        <v>0</v>
      </c>
      <c r="AE1568" s="154"/>
      <c r="AF1568" s="242" t="str">
        <f t="shared" si="4"/>
        <v>#ERROR!</v>
      </c>
      <c r="AG1568" s="154"/>
      <c r="AH1568" s="242" t="str">
        <f>IF(AG1568="","N/A",INDIRECT("MTR!"&amp;ADDRESS(MATCH(LEFT(AG1568,9),[1]MTR!C:C,0),COLUMN(J1568)),TRUE) &amp; "")</f>
        <v>#ERROR!</v>
      </c>
      <c r="AI1568" s="157" t="str">
        <f t="shared" si="5"/>
        <v>#ERROR!</v>
      </c>
    </row>
    <row r="1569" ht="12.75" customHeight="1">
      <c r="A1569" s="244" t="s">
        <v>5158</v>
      </c>
      <c r="B1569" s="244" t="s">
        <v>231</v>
      </c>
      <c r="C1569" s="244" t="s">
        <v>10677</v>
      </c>
      <c r="D1569" s="154" t="s">
        <v>503</v>
      </c>
      <c r="E1569" s="154"/>
      <c r="F1569" s="154" t="str">
        <f t="array" ref="F1569">XLOOKUP(Cover!$D$12,$R$1:$Z$1,$R1569:$Z1569)</f>
        <v>Mandatory</v>
      </c>
      <c r="G1569" s="154" t="s">
        <v>10678</v>
      </c>
      <c r="H1569" s="154" t="s">
        <v>9053</v>
      </c>
      <c r="I1569" s="154" t="s">
        <v>10670</v>
      </c>
      <c r="J1569" s="154" t="s">
        <v>7185</v>
      </c>
      <c r="K1569" s="154" t="s">
        <v>10346</v>
      </c>
      <c r="L1569" s="154" t="s">
        <v>7431</v>
      </c>
      <c r="M1569" s="154" t="s">
        <v>175</v>
      </c>
      <c r="N1569" s="154" t="s">
        <v>759</v>
      </c>
      <c r="O1569" s="247" t="s">
        <v>516</v>
      </c>
      <c r="P1569" s="247" t="s">
        <v>6776</v>
      </c>
      <c r="Q1569" s="154" t="str">
        <f t="shared" si="1"/>
        <v>#ERROR!</v>
      </c>
      <c r="R1569" s="154" t="s">
        <v>66</v>
      </c>
      <c r="S1569" s="154" t="s">
        <v>66</v>
      </c>
      <c r="T1569" s="155" t="s">
        <v>64</v>
      </c>
      <c r="U1569" s="155" t="s">
        <v>64</v>
      </c>
      <c r="V1569" s="154" t="s">
        <v>60</v>
      </c>
      <c r="W1569" s="154" t="s">
        <v>60</v>
      </c>
      <c r="X1569" s="154" t="s">
        <v>66</v>
      </c>
      <c r="Y1569" s="155" t="s">
        <v>64</v>
      </c>
      <c r="Z1569" s="154" t="s">
        <v>60</v>
      </c>
      <c r="AA1569" s="154"/>
      <c r="AB1569" s="242" t="str">
        <f t="shared" si="2"/>
        <v>#ERROR!</v>
      </c>
      <c r="AC1569" s="154" t="s">
        <v>391</v>
      </c>
      <c r="AD1569" s="242" t="b">
        <f t="shared" si="3"/>
        <v>0</v>
      </c>
      <c r="AE1569" s="154"/>
      <c r="AF1569" s="242" t="str">
        <f t="shared" si="4"/>
        <v>#ERROR!</v>
      </c>
      <c r="AG1569" s="154"/>
      <c r="AH1569" s="242" t="str">
        <f>IF(AG1569="","N/A",INDIRECT("MTR!"&amp;ADDRESS(MATCH(LEFT(AG1569,9),[1]MTR!C:C,0),COLUMN(J1569)),TRUE) &amp; "")</f>
        <v>#ERROR!</v>
      </c>
      <c r="AI1569" s="157" t="str">
        <f t="shared" si="5"/>
        <v>#ERROR!</v>
      </c>
    </row>
    <row r="1570" ht="12.75" customHeight="1">
      <c r="A1570" s="244" t="s">
        <v>5158</v>
      </c>
      <c r="B1570" s="244" t="s">
        <v>231</v>
      </c>
      <c r="C1570" s="244" t="s">
        <v>10679</v>
      </c>
      <c r="D1570" s="154" t="s">
        <v>503</v>
      </c>
      <c r="E1570" s="154"/>
      <c r="F1570" s="154" t="str">
        <f t="array" ref="F1570">XLOOKUP(Cover!$D$12,$R$1:$Z$1,$R1570:$Z1570)</f>
        <v>Recommended</v>
      </c>
      <c r="G1570" s="154" t="s">
        <v>10680</v>
      </c>
      <c r="H1570" s="154" t="s">
        <v>9009</v>
      </c>
      <c r="I1570" s="154" t="s">
        <v>10670</v>
      </c>
      <c r="J1570" s="154" t="s">
        <v>7185</v>
      </c>
      <c r="K1570" s="154" t="s">
        <v>10346</v>
      </c>
      <c r="L1570" s="154" t="s">
        <v>7431</v>
      </c>
      <c r="M1570" s="154"/>
      <c r="N1570" s="154" t="s">
        <v>759</v>
      </c>
      <c r="O1570" s="247" t="s">
        <v>516</v>
      </c>
      <c r="P1570" s="247" t="s">
        <v>6776</v>
      </c>
      <c r="Q1570" s="154" t="str">
        <f t="shared" si="1"/>
        <v>#ERROR!</v>
      </c>
      <c r="R1570" s="154" t="s">
        <v>66</v>
      </c>
      <c r="S1570" s="154" t="s">
        <v>66</v>
      </c>
      <c r="T1570" s="154" t="s">
        <v>64</v>
      </c>
      <c r="U1570" s="154" t="s">
        <v>64</v>
      </c>
      <c r="V1570" s="154" t="s">
        <v>64</v>
      </c>
      <c r="W1570" s="154" t="s">
        <v>64</v>
      </c>
      <c r="X1570" s="154" t="s">
        <v>66</v>
      </c>
      <c r="Y1570" s="154" t="s">
        <v>64</v>
      </c>
      <c r="Z1570" s="154" t="s">
        <v>64</v>
      </c>
      <c r="AA1570" s="154"/>
      <c r="AB1570" s="242" t="str">
        <f t="shared" si="2"/>
        <v>#ERROR!</v>
      </c>
      <c r="AC1570" s="154" t="s">
        <v>391</v>
      </c>
      <c r="AD1570" s="242" t="b">
        <f t="shared" si="3"/>
        <v>0</v>
      </c>
      <c r="AE1570" s="154"/>
      <c r="AF1570" s="242" t="str">
        <f t="shared" si="4"/>
        <v>#ERROR!</v>
      </c>
      <c r="AG1570" s="154"/>
      <c r="AH1570" s="242" t="str">
        <f>IF(AG1570="","N/A",INDIRECT("MTR!"&amp;ADDRESS(MATCH(LEFT(AG1570,9),[1]MTR!C:C,0),COLUMN(J1570)),TRUE) &amp; "")</f>
        <v>#ERROR!</v>
      </c>
      <c r="AI1570" s="157" t="str">
        <f t="shared" si="5"/>
        <v>#ERROR!</v>
      </c>
    </row>
    <row r="1571" ht="12.75" customHeight="1">
      <c r="A1571" s="244" t="s">
        <v>5158</v>
      </c>
      <c r="B1571" s="244" t="s">
        <v>231</v>
      </c>
      <c r="C1571" s="244" t="s">
        <v>10681</v>
      </c>
      <c r="D1571" s="154" t="s">
        <v>781</v>
      </c>
      <c r="E1571" s="154"/>
      <c r="F1571" s="154" t="str">
        <f t="array" ref="F1571">XLOOKUP(Cover!$D$12,$R$1:$Z$1,$R1571:$Z1571)</f>
        <v>Information</v>
      </c>
      <c r="G1571" s="154" t="s">
        <v>10682</v>
      </c>
      <c r="H1571" s="154" t="s">
        <v>6771</v>
      </c>
      <c r="I1571" s="154" t="s">
        <v>10683</v>
      </c>
      <c r="J1571" s="154" t="s">
        <v>7201</v>
      </c>
      <c r="K1571" s="154" t="s">
        <v>10346</v>
      </c>
      <c r="L1571" s="154" t="s">
        <v>6942</v>
      </c>
      <c r="M1571" s="154"/>
      <c r="N1571" s="154" t="s">
        <v>759</v>
      </c>
      <c r="O1571" s="247" t="s">
        <v>516</v>
      </c>
      <c r="P1571" s="247" t="s">
        <v>6776</v>
      </c>
      <c r="Q1571" s="154" t="str">
        <f t="shared" si="1"/>
        <v>#ERROR!</v>
      </c>
      <c r="R1571" s="154" t="s">
        <v>66</v>
      </c>
      <c r="S1571" s="154" t="s">
        <v>66</v>
      </c>
      <c r="T1571" s="154" t="s">
        <v>66</v>
      </c>
      <c r="U1571" s="154" t="s">
        <v>66</v>
      </c>
      <c r="V1571" s="154" t="s">
        <v>66</v>
      </c>
      <c r="W1571" s="154" t="s">
        <v>66</v>
      </c>
      <c r="X1571" s="154" t="s">
        <v>66</v>
      </c>
      <c r="Y1571" s="154" t="s">
        <v>66</v>
      </c>
      <c r="Z1571" s="154" t="s">
        <v>66</v>
      </c>
      <c r="AA1571" s="154"/>
      <c r="AB1571" s="242" t="str">
        <f t="shared" si="2"/>
        <v>#ERROR!</v>
      </c>
      <c r="AC1571" s="154" t="s">
        <v>391</v>
      </c>
      <c r="AD1571" s="242" t="b">
        <f t="shared" si="3"/>
        <v>0</v>
      </c>
      <c r="AE1571" s="154"/>
      <c r="AF1571" s="242" t="str">
        <f t="shared" si="4"/>
        <v>#ERROR!</v>
      </c>
      <c r="AG1571" s="154"/>
      <c r="AH1571" s="242" t="str">
        <f>IF(AG1571="","N/A",INDIRECT("MTR!"&amp;ADDRESS(MATCH(LEFT(AG1571,9),[1]MTR!C:C,0),COLUMN(J1571)),TRUE) &amp; "")</f>
        <v>#ERROR!</v>
      </c>
      <c r="AI1571" s="157" t="str">
        <f t="shared" si="5"/>
        <v>#ERROR!</v>
      </c>
    </row>
    <row r="1572" ht="12.75" customHeight="1">
      <c r="A1572" s="244" t="s">
        <v>5158</v>
      </c>
      <c r="B1572" s="244" t="s">
        <v>231</v>
      </c>
      <c r="C1572" s="244" t="s">
        <v>10684</v>
      </c>
      <c r="D1572" s="154" t="s">
        <v>781</v>
      </c>
      <c r="E1572" s="154"/>
      <c r="F1572" s="154" t="str">
        <f t="array" ref="F1572">XLOOKUP(Cover!$D$12,$R$1:$Z$1,$R1572:$Z1572)</f>
        <v>Information</v>
      </c>
      <c r="G1572" s="154" t="s">
        <v>10685</v>
      </c>
      <c r="H1572" s="154" t="s">
        <v>9006</v>
      </c>
      <c r="I1572" s="154" t="s">
        <v>10683</v>
      </c>
      <c r="J1572" s="154" t="s">
        <v>7201</v>
      </c>
      <c r="K1572" s="154" t="s">
        <v>10346</v>
      </c>
      <c r="L1572" s="154" t="s">
        <v>6942</v>
      </c>
      <c r="M1572" s="154"/>
      <c r="N1572" s="154" t="s">
        <v>759</v>
      </c>
      <c r="O1572" s="247" t="s">
        <v>516</v>
      </c>
      <c r="P1572" s="247" t="s">
        <v>6776</v>
      </c>
      <c r="Q1572" s="154" t="str">
        <f t="shared" si="1"/>
        <v>#ERROR!</v>
      </c>
      <c r="R1572" s="154" t="s">
        <v>66</v>
      </c>
      <c r="S1572" s="154" t="s">
        <v>66</v>
      </c>
      <c r="T1572" s="154" t="s">
        <v>66</v>
      </c>
      <c r="U1572" s="154" t="s">
        <v>66</v>
      </c>
      <c r="V1572" s="154" t="s">
        <v>66</v>
      </c>
      <c r="W1572" s="154" t="s">
        <v>66</v>
      </c>
      <c r="X1572" s="154" t="s">
        <v>66</v>
      </c>
      <c r="Y1572" s="154" t="s">
        <v>66</v>
      </c>
      <c r="Z1572" s="154" t="s">
        <v>66</v>
      </c>
      <c r="AA1572" s="154"/>
      <c r="AB1572" s="242" t="str">
        <f t="shared" si="2"/>
        <v>#ERROR!</v>
      </c>
      <c r="AC1572" s="154" t="s">
        <v>391</v>
      </c>
      <c r="AD1572" s="242" t="b">
        <f t="shared" si="3"/>
        <v>0</v>
      </c>
      <c r="AE1572" s="154"/>
      <c r="AF1572" s="242" t="str">
        <f t="shared" si="4"/>
        <v>#ERROR!</v>
      </c>
      <c r="AG1572" s="154"/>
      <c r="AH1572" s="242" t="str">
        <f>IF(AG1572="","N/A",INDIRECT("MTR!"&amp;ADDRESS(MATCH(LEFT(AG1572,9),[1]MTR!C:C,0),COLUMN(J1572)),TRUE) &amp; "")</f>
        <v>#ERROR!</v>
      </c>
      <c r="AI1572" s="157" t="str">
        <f t="shared" si="5"/>
        <v>#ERROR!</v>
      </c>
    </row>
    <row r="1573" ht="12.75" customHeight="1">
      <c r="A1573" s="244" t="s">
        <v>5158</v>
      </c>
      <c r="B1573" s="244" t="s">
        <v>231</v>
      </c>
      <c r="C1573" s="244" t="s">
        <v>10686</v>
      </c>
      <c r="D1573" s="154" t="s">
        <v>781</v>
      </c>
      <c r="E1573" s="154"/>
      <c r="F1573" s="154" t="str">
        <f t="array" ref="F1573">XLOOKUP(Cover!$D$12,$R$1:$Z$1,$R1573:$Z1573)</f>
        <v>Information</v>
      </c>
      <c r="G1573" s="154" t="s">
        <v>10687</v>
      </c>
      <c r="H1573" s="154" t="s">
        <v>6775</v>
      </c>
      <c r="I1573" s="154" t="s">
        <v>10683</v>
      </c>
      <c r="J1573" s="154" t="s">
        <v>7201</v>
      </c>
      <c r="K1573" s="154" t="s">
        <v>10346</v>
      </c>
      <c r="L1573" s="154" t="s">
        <v>6942</v>
      </c>
      <c r="M1573" s="154"/>
      <c r="N1573" s="154" t="s">
        <v>759</v>
      </c>
      <c r="O1573" s="247" t="s">
        <v>516</v>
      </c>
      <c r="P1573" s="247" t="s">
        <v>6776</v>
      </c>
      <c r="Q1573" s="154" t="str">
        <f t="shared" si="1"/>
        <v>#ERROR!</v>
      </c>
      <c r="R1573" s="154" t="s">
        <v>66</v>
      </c>
      <c r="S1573" s="154" t="s">
        <v>66</v>
      </c>
      <c r="T1573" s="154" t="s">
        <v>66</v>
      </c>
      <c r="U1573" s="154" t="s">
        <v>66</v>
      </c>
      <c r="V1573" s="154" t="s">
        <v>66</v>
      </c>
      <c r="W1573" s="154" t="s">
        <v>66</v>
      </c>
      <c r="X1573" s="154" t="s">
        <v>66</v>
      </c>
      <c r="Y1573" s="154" t="s">
        <v>66</v>
      </c>
      <c r="Z1573" s="154" t="s">
        <v>66</v>
      </c>
      <c r="AA1573" s="154"/>
      <c r="AB1573" s="242" t="str">
        <f t="shared" si="2"/>
        <v>#ERROR!</v>
      </c>
      <c r="AC1573" s="154" t="s">
        <v>391</v>
      </c>
      <c r="AD1573" s="242" t="b">
        <f t="shared" si="3"/>
        <v>0</v>
      </c>
      <c r="AE1573" s="154"/>
      <c r="AF1573" s="242" t="str">
        <f t="shared" si="4"/>
        <v>#ERROR!</v>
      </c>
      <c r="AG1573" s="154"/>
      <c r="AH1573" s="242" t="str">
        <f>IF(AG1573="","N/A",INDIRECT("MTR!"&amp;ADDRESS(MATCH(LEFT(AG1573,9),[1]MTR!C:C,0),COLUMN(J1573)),TRUE) &amp; "")</f>
        <v>#ERROR!</v>
      </c>
      <c r="AI1573" s="157" t="str">
        <f t="shared" si="5"/>
        <v>#ERROR!</v>
      </c>
    </row>
    <row r="1574" ht="12.75" customHeight="1">
      <c r="A1574" s="244" t="s">
        <v>5158</v>
      </c>
      <c r="B1574" s="244" t="s">
        <v>231</v>
      </c>
      <c r="C1574" s="244" t="s">
        <v>10688</v>
      </c>
      <c r="D1574" s="154" t="s">
        <v>781</v>
      </c>
      <c r="E1574" s="154"/>
      <c r="F1574" s="154" t="str">
        <f t="array" ref="F1574">XLOOKUP(Cover!$D$12,$R$1:$Z$1,$R1574:$Z1574)</f>
        <v>Information</v>
      </c>
      <c r="G1574" s="154" t="s">
        <v>10689</v>
      </c>
      <c r="H1574" s="154" t="s">
        <v>9009</v>
      </c>
      <c r="I1574" s="154" t="s">
        <v>10683</v>
      </c>
      <c r="J1574" s="154" t="s">
        <v>7201</v>
      </c>
      <c r="K1574" s="154" t="s">
        <v>10346</v>
      </c>
      <c r="L1574" s="154" t="s">
        <v>6942</v>
      </c>
      <c r="M1574" s="154"/>
      <c r="N1574" s="154" t="s">
        <v>759</v>
      </c>
      <c r="O1574" s="247" t="s">
        <v>516</v>
      </c>
      <c r="P1574" s="247" t="s">
        <v>6776</v>
      </c>
      <c r="Q1574" s="154" t="str">
        <f t="shared" si="1"/>
        <v>#ERROR!</v>
      </c>
      <c r="R1574" s="154" t="s">
        <v>66</v>
      </c>
      <c r="S1574" s="154" t="s">
        <v>66</v>
      </c>
      <c r="T1574" s="154" t="s">
        <v>66</v>
      </c>
      <c r="U1574" s="154" t="s">
        <v>66</v>
      </c>
      <c r="V1574" s="154" t="s">
        <v>66</v>
      </c>
      <c r="W1574" s="154" t="s">
        <v>66</v>
      </c>
      <c r="X1574" s="154" t="s">
        <v>66</v>
      </c>
      <c r="Y1574" s="154" t="s">
        <v>66</v>
      </c>
      <c r="Z1574" s="154" t="s">
        <v>66</v>
      </c>
      <c r="AA1574" s="154"/>
      <c r="AB1574" s="242" t="str">
        <f t="shared" si="2"/>
        <v>#ERROR!</v>
      </c>
      <c r="AC1574" s="154" t="s">
        <v>391</v>
      </c>
      <c r="AD1574" s="242" t="b">
        <f t="shared" si="3"/>
        <v>0</v>
      </c>
      <c r="AE1574" s="154"/>
      <c r="AF1574" s="242" t="str">
        <f t="shared" si="4"/>
        <v>#ERROR!</v>
      </c>
      <c r="AG1574" s="154"/>
      <c r="AH1574" s="242" t="str">
        <f>IF(AG1574="","N/A",INDIRECT("MTR!"&amp;ADDRESS(MATCH(LEFT(AG1574,9),[1]MTR!C:C,0),COLUMN(J1574)),TRUE) &amp; "")</f>
        <v>#ERROR!</v>
      </c>
      <c r="AI1574" s="157" t="str">
        <f t="shared" si="5"/>
        <v>#ERROR!</v>
      </c>
    </row>
    <row r="1575" ht="12.75" customHeight="1">
      <c r="A1575" s="244" t="s">
        <v>5158</v>
      </c>
      <c r="B1575" s="244" t="s">
        <v>231</v>
      </c>
      <c r="C1575" s="244" t="s">
        <v>10690</v>
      </c>
      <c r="D1575" s="154" t="s">
        <v>781</v>
      </c>
      <c r="E1575" s="154"/>
      <c r="F1575" s="154" t="str">
        <f t="array" ref="F1575">XLOOKUP(Cover!$D$12,$R$1:$Z$1,$R1575:$Z1575)</f>
        <v>Information</v>
      </c>
      <c r="G1575" s="154" t="s">
        <v>10691</v>
      </c>
      <c r="H1575" s="154" t="s">
        <v>6779</v>
      </c>
      <c r="I1575" s="154" t="s">
        <v>10683</v>
      </c>
      <c r="J1575" s="154" t="s">
        <v>7201</v>
      </c>
      <c r="K1575" s="154" t="s">
        <v>10346</v>
      </c>
      <c r="L1575" s="154" t="s">
        <v>6942</v>
      </c>
      <c r="M1575" s="154"/>
      <c r="N1575" s="154" t="s">
        <v>759</v>
      </c>
      <c r="O1575" s="247" t="s">
        <v>516</v>
      </c>
      <c r="P1575" s="247" t="s">
        <v>6776</v>
      </c>
      <c r="Q1575" s="154" t="str">
        <f t="shared" si="1"/>
        <v>#ERROR!</v>
      </c>
      <c r="R1575" s="154" t="s">
        <v>66</v>
      </c>
      <c r="S1575" s="154" t="s">
        <v>66</v>
      </c>
      <c r="T1575" s="154" t="s">
        <v>66</v>
      </c>
      <c r="U1575" s="154" t="s">
        <v>66</v>
      </c>
      <c r="V1575" s="154" t="s">
        <v>66</v>
      </c>
      <c r="W1575" s="154" t="s">
        <v>66</v>
      </c>
      <c r="X1575" s="154" t="s">
        <v>66</v>
      </c>
      <c r="Y1575" s="154" t="s">
        <v>66</v>
      </c>
      <c r="Z1575" s="154" t="s">
        <v>66</v>
      </c>
      <c r="AA1575" s="154"/>
      <c r="AB1575" s="242" t="str">
        <f t="shared" si="2"/>
        <v>#ERROR!</v>
      </c>
      <c r="AC1575" s="154" t="s">
        <v>391</v>
      </c>
      <c r="AD1575" s="242" t="b">
        <f t="shared" si="3"/>
        <v>0</v>
      </c>
      <c r="AE1575" s="154"/>
      <c r="AF1575" s="242" t="str">
        <f t="shared" si="4"/>
        <v>#ERROR!</v>
      </c>
      <c r="AG1575" s="154"/>
      <c r="AH1575" s="242" t="str">
        <f>IF(AG1575="","N/A",INDIRECT("MTR!"&amp;ADDRESS(MATCH(LEFT(AG1575,9),[1]MTR!C:C,0),COLUMN(J1575)),TRUE) &amp; "")</f>
        <v>#ERROR!</v>
      </c>
      <c r="AI1575" s="157" t="str">
        <f t="shared" si="5"/>
        <v>#ERROR!</v>
      </c>
    </row>
    <row r="1576" ht="12.75" customHeight="1">
      <c r="A1576" s="244" t="s">
        <v>5158</v>
      </c>
      <c r="B1576" s="244" t="s">
        <v>231</v>
      </c>
      <c r="C1576" s="244" t="s">
        <v>10692</v>
      </c>
      <c r="D1576" s="154" t="s">
        <v>781</v>
      </c>
      <c r="E1576" s="154"/>
      <c r="F1576" s="154" t="str">
        <f t="array" ref="F1576">XLOOKUP(Cover!$D$12,$R$1:$Z$1,$R1576:$Z1576)</f>
        <v>Information</v>
      </c>
      <c r="G1576" s="154" t="s">
        <v>10693</v>
      </c>
      <c r="H1576" s="154" t="s">
        <v>9012</v>
      </c>
      <c r="I1576" s="154" t="s">
        <v>10683</v>
      </c>
      <c r="J1576" s="154" t="s">
        <v>7201</v>
      </c>
      <c r="K1576" s="154" t="s">
        <v>10346</v>
      </c>
      <c r="L1576" s="154" t="s">
        <v>6942</v>
      </c>
      <c r="M1576" s="154"/>
      <c r="N1576" s="154" t="s">
        <v>759</v>
      </c>
      <c r="O1576" s="247" t="s">
        <v>516</v>
      </c>
      <c r="P1576" s="247" t="s">
        <v>6776</v>
      </c>
      <c r="Q1576" s="154" t="str">
        <f t="shared" si="1"/>
        <v>#ERROR!</v>
      </c>
      <c r="R1576" s="154" t="s">
        <v>66</v>
      </c>
      <c r="S1576" s="154" t="s">
        <v>66</v>
      </c>
      <c r="T1576" s="154" t="s">
        <v>66</v>
      </c>
      <c r="U1576" s="154" t="s">
        <v>66</v>
      </c>
      <c r="V1576" s="154" t="s">
        <v>66</v>
      </c>
      <c r="W1576" s="154" t="s">
        <v>66</v>
      </c>
      <c r="X1576" s="154" t="s">
        <v>66</v>
      </c>
      <c r="Y1576" s="154" t="s">
        <v>66</v>
      </c>
      <c r="Z1576" s="154" t="s">
        <v>66</v>
      </c>
      <c r="AA1576" s="154"/>
      <c r="AB1576" s="242" t="str">
        <f t="shared" si="2"/>
        <v>#ERROR!</v>
      </c>
      <c r="AC1576" s="154" t="s">
        <v>391</v>
      </c>
      <c r="AD1576" s="242" t="b">
        <f t="shared" si="3"/>
        <v>0</v>
      </c>
      <c r="AE1576" s="154"/>
      <c r="AF1576" s="242" t="str">
        <f t="shared" si="4"/>
        <v>#ERROR!</v>
      </c>
      <c r="AG1576" s="154"/>
      <c r="AH1576" s="242" t="str">
        <f>IF(AG1576="","N/A",INDIRECT("MTR!"&amp;ADDRESS(MATCH(LEFT(AG1576,9),[1]MTR!C:C,0),COLUMN(J1576)),TRUE) &amp; "")</f>
        <v>#ERROR!</v>
      </c>
      <c r="AI1576" s="157" t="str">
        <f t="shared" si="5"/>
        <v>#ERROR!</v>
      </c>
    </row>
    <row r="1577" ht="12.75" customHeight="1">
      <c r="A1577" s="244" t="s">
        <v>5158</v>
      </c>
      <c r="B1577" s="244" t="s">
        <v>231</v>
      </c>
      <c r="C1577" s="244" t="s">
        <v>10694</v>
      </c>
      <c r="D1577" s="154" t="s">
        <v>781</v>
      </c>
      <c r="E1577" s="154"/>
      <c r="F1577" s="154" t="str">
        <f t="array" ref="F1577">XLOOKUP(Cover!$D$12,$R$1:$Z$1,$R1577:$Z1577)</f>
        <v>Information</v>
      </c>
      <c r="G1577" s="154" t="s">
        <v>10695</v>
      </c>
      <c r="H1577" s="154" t="s">
        <v>6771</v>
      </c>
      <c r="I1577" s="154" t="s">
        <v>10696</v>
      </c>
      <c r="J1577" s="154" t="s">
        <v>7281</v>
      </c>
      <c r="K1577" s="154" t="s">
        <v>10346</v>
      </c>
      <c r="L1577" s="154" t="s">
        <v>6942</v>
      </c>
      <c r="M1577" s="154"/>
      <c r="N1577" s="154" t="s">
        <v>759</v>
      </c>
      <c r="O1577" s="247" t="s">
        <v>516</v>
      </c>
      <c r="P1577" s="247" t="s">
        <v>6776</v>
      </c>
      <c r="Q1577" s="154" t="str">
        <f t="shared" si="1"/>
        <v>#ERROR!</v>
      </c>
      <c r="R1577" s="154" t="s">
        <v>66</v>
      </c>
      <c r="S1577" s="154" t="s">
        <v>66</v>
      </c>
      <c r="T1577" s="154" t="s">
        <v>66</v>
      </c>
      <c r="U1577" s="154" t="s">
        <v>66</v>
      </c>
      <c r="V1577" s="154" t="s">
        <v>66</v>
      </c>
      <c r="W1577" s="154" t="s">
        <v>66</v>
      </c>
      <c r="X1577" s="154" t="s">
        <v>66</v>
      </c>
      <c r="Y1577" s="154" t="s">
        <v>66</v>
      </c>
      <c r="Z1577" s="154" t="s">
        <v>66</v>
      </c>
      <c r="AA1577" s="154"/>
      <c r="AB1577" s="242" t="str">
        <f t="shared" si="2"/>
        <v>#ERROR!</v>
      </c>
      <c r="AC1577" s="154" t="s">
        <v>391</v>
      </c>
      <c r="AD1577" s="242" t="b">
        <f t="shared" si="3"/>
        <v>0</v>
      </c>
      <c r="AE1577" s="154"/>
      <c r="AF1577" s="242" t="str">
        <f t="shared" si="4"/>
        <v>#ERROR!</v>
      </c>
      <c r="AG1577" s="154"/>
      <c r="AH1577" s="242" t="str">
        <f>IF(AG1577="","N/A",INDIRECT("MTR!"&amp;ADDRESS(MATCH(LEFT(AG1577,9),[1]MTR!C:C,0),COLUMN(J1577)),TRUE) &amp; "")</f>
        <v>#ERROR!</v>
      </c>
      <c r="AI1577" s="157" t="str">
        <f t="shared" si="5"/>
        <v>#ERROR!</v>
      </c>
    </row>
    <row r="1578" ht="12.75" customHeight="1">
      <c r="A1578" s="244" t="s">
        <v>5158</v>
      </c>
      <c r="B1578" s="244" t="s">
        <v>231</v>
      </c>
      <c r="C1578" s="244" t="s">
        <v>10697</v>
      </c>
      <c r="D1578" s="154" t="s">
        <v>781</v>
      </c>
      <c r="E1578" s="154"/>
      <c r="F1578" s="154" t="str">
        <f t="array" ref="F1578">XLOOKUP(Cover!$D$12,$R$1:$Z$1,$R1578:$Z1578)</f>
        <v>Information</v>
      </c>
      <c r="G1578" s="154" t="s">
        <v>10698</v>
      </c>
      <c r="H1578" s="154" t="s">
        <v>9006</v>
      </c>
      <c r="I1578" s="154" t="s">
        <v>10696</v>
      </c>
      <c r="J1578" s="154" t="s">
        <v>7281</v>
      </c>
      <c r="K1578" s="154" t="s">
        <v>10346</v>
      </c>
      <c r="L1578" s="154" t="s">
        <v>6942</v>
      </c>
      <c r="M1578" s="154"/>
      <c r="N1578" s="154" t="s">
        <v>759</v>
      </c>
      <c r="O1578" s="247" t="s">
        <v>516</v>
      </c>
      <c r="P1578" s="247" t="s">
        <v>6776</v>
      </c>
      <c r="Q1578" s="154" t="str">
        <f t="shared" si="1"/>
        <v>#ERROR!</v>
      </c>
      <c r="R1578" s="154" t="s">
        <v>66</v>
      </c>
      <c r="S1578" s="154" t="s">
        <v>66</v>
      </c>
      <c r="T1578" s="154" t="s">
        <v>66</v>
      </c>
      <c r="U1578" s="154" t="s">
        <v>66</v>
      </c>
      <c r="V1578" s="154" t="s">
        <v>66</v>
      </c>
      <c r="W1578" s="154" t="s">
        <v>66</v>
      </c>
      <c r="X1578" s="154" t="s">
        <v>66</v>
      </c>
      <c r="Y1578" s="154" t="s">
        <v>66</v>
      </c>
      <c r="Z1578" s="154" t="s">
        <v>66</v>
      </c>
      <c r="AA1578" s="154"/>
      <c r="AB1578" s="242" t="str">
        <f t="shared" si="2"/>
        <v>#ERROR!</v>
      </c>
      <c r="AC1578" s="154" t="s">
        <v>391</v>
      </c>
      <c r="AD1578" s="242" t="b">
        <f t="shared" si="3"/>
        <v>0</v>
      </c>
      <c r="AE1578" s="154"/>
      <c r="AF1578" s="242" t="str">
        <f t="shared" si="4"/>
        <v>#ERROR!</v>
      </c>
      <c r="AG1578" s="154"/>
      <c r="AH1578" s="242" t="str">
        <f>IF(AG1578="","N/A",INDIRECT("MTR!"&amp;ADDRESS(MATCH(LEFT(AG1578,9),[1]MTR!C:C,0),COLUMN(J1578)),TRUE) &amp; "")</f>
        <v>#ERROR!</v>
      </c>
      <c r="AI1578" s="157" t="str">
        <f t="shared" si="5"/>
        <v>#ERROR!</v>
      </c>
    </row>
    <row r="1579" ht="12.75" customHeight="1">
      <c r="A1579" s="244" t="s">
        <v>5158</v>
      </c>
      <c r="B1579" s="244" t="s">
        <v>231</v>
      </c>
      <c r="C1579" s="244" t="s">
        <v>10699</v>
      </c>
      <c r="D1579" s="154" t="s">
        <v>781</v>
      </c>
      <c r="E1579" s="154"/>
      <c r="F1579" s="154" t="str">
        <f t="array" ref="F1579">XLOOKUP(Cover!$D$12,$R$1:$Z$1,$R1579:$Z1579)</f>
        <v>Information</v>
      </c>
      <c r="G1579" s="154" t="s">
        <v>10700</v>
      </c>
      <c r="H1579" s="154" t="s">
        <v>6775</v>
      </c>
      <c r="I1579" s="154" t="s">
        <v>10696</v>
      </c>
      <c r="J1579" s="154" t="s">
        <v>7281</v>
      </c>
      <c r="K1579" s="154" t="s">
        <v>10346</v>
      </c>
      <c r="L1579" s="154" t="s">
        <v>6942</v>
      </c>
      <c r="M1579" s="154"/>
      <c r="N1579" s="154" t="s">
        <v>759</v>
      </c>
      <c r="O1579" s="247" t="s">
        <v>516</v>
      </c>
      <c r="P1579" s="247" t="s">
        <v>6776</v>
      </c>
      <c r="Q1579" s="154" t="str">
        <f t="shared" si="1"/>
        <v>#ERROR!</v>
      </c>
      <c r="R1579" s="154" t="s">
        <v>66</v>
      </c>
      <c r="S1579" s="154" t="s">
        <v>66</v>
      </c>
      <c r="T1579" s="154" t="s">
        <v>66</v>
      </c>
      <c r="U1579" s="154" t="s">
        <v>66</v>
      </c>
      <c r="V1579" s="154" t="s">
        <v>66</v>
      </c>
      <c r="W1579" s="154" t="s">
        <v>66</v>
      </c>
      <c r="X1579" s="154" t="s">
        <v>66</v>
      </c>
      <c r="Y1579" s="154" t="s">
        <v>66</v>
      </c>
      <c r="Z1579" s="154" t="s">
        <v>66</v>
      </c>
      <c r="AA1579" s="154"/>
      <c r="AB1579" s="242" t="str">
        <f t="shared" si="2"/>
        <v>#ERROR!</v>
      </c>
      <c r="AC1579" s="154" t="s">
        <v>391</v>
      </c>
      <c r="AD1579" s="242" t="b">
        <f t="shared" si="3"/>
        <v>0</v>
      </c>
      <c r="AE1579" s="154"/>
      <c r="AF1579" s="242" t="str">
        <f t="shared" si="4"/>
        <v>#ERROR!</v>
      </c>
      <c r="AG1579" s="154"/>
      <c r="AH1579" s="242" t="str">
        <f>IF(AG1579="","N/A",INDIRECT("MTR!"&amp;ADDRESS(MATCH(LEFT(AG1579,9),[1]MTR!C:C,0),COLUMN(J1579)),TRUE) &amp; "")</f>
        <v>#ERROR!</v>
      </c>
      <c r="AI1579" s="157" t="str">
        <f t="shared" si="5"/>
        <v>#ERROR!</v>
      </c>
    </row>
    <row r="1580" ht="12.75" customHeight="1">
      <c r="A1580" s="244" t="s">
        <v>5158</v>
      </c>
      <c r="B1580" s="244" t="s">
        <v>231</v>
      </c>
      <c r="C1580" s="244" t="s">
        <v>10701</v>
      </c>
      <c r="D1580" s="154" t="s">
        <v>781</v>
      </c>
      <c r="E1580" s="154"/>
      <c r="F1580" s="154" t="str">
        <f t="array" ref="F1580">XLOOKUP(Cover!$D$12,$R$1:$Z$1,$R1580:$Z1580)</f>
        <v>Information</v>
      </c>
      <c r="G1580" s="154" t="s">
        <v>10702</v>
      </c>
      <c r="H1580" s="154" t="s">
        <v>9009</v>
      </c>
      <c r="I1580" s="154" t="s">
        <v>10696</v>
      </c>
      <c r="J1580" s="154" t="s">
        <v>7281</v>
      </c>
      <c r="K1580" s="154" t="s">
        <v>10346</v>
      </c>
      <c r="L1580" s="154" t="s">
        <v>6942</v>
      </c>
      <c r="M1580" s="154"/>
      <c r="N1580" s="154" t="s">
        <v>759</v>
      </c>
      <c r="O1580" s="247" t="s">
        <v>516</v>
      </c>
      <c r="P1580" s="247" t="s">
        <v>6776</v>
      </c>
      <c r="Q1580" s="154" t="str">
        <f t="shared" si="1"/>
        <v>#ERROR!</v>
      </c>
      <c r="R1580" s="154" t="s">
        <v>66</v>
      </c>
      <c r="S1580" s="154" t="s">
        <v>66</v>
      </c>
      <c r="T1580" s="154" t="s">
        <v>66</v>
      </c>
      <c r="U1580" s="154" t="s">
        <v>66</v>
      </c>
      <c r="V1580" s="154" t="s">
        <v>66</v>
      </c>
      <c r="W1580" s="154" t="s">
        <v>66</v>
      </c>
      <c r="X1580" s="154" t="s">
        <v>66</v>
      </c>
      <c r="Y1580" s="154" t="s">
        <v>66</v>
      </c>
      <c r="Z1580" s="154" t="s">
        <v>66</v>
      </c>
      <c r="AA1580" s="154"/>
      <c r="AB1580" s="242" t="str">
        <f t="shared" si="2"/>
        <v>#ERROR!</v>
      </c>
      <c r="AC1580" s="154" t="s">
        <v>391</v>
      </c>
      <c r="AD1580" s="242" t="b">
        <f t="shared" si="3"/>
        <v>0</v>
      </c>
      <c r="AE1580" s="154"/>
      <c r="AF1580" s="242" t="str">
        <f t="shared" si="4"/>
        <v>#ERROR!</v>
      </c>
      <c r="AG1580" s="154"/>
      <c r="AH1580" s="242" t="str">
        <f>IF(AG1580="","N/A",INDIRECT("MTR!"&amp;ADDRESS(MATCH(LEFT(AG1580,9),[1]MTR!C:C,0),COLUMN(J1580)),TRUE) &amp; "")</f>
        <v>#ERROR!</v>
      </c>
      <c r="AI1580" s="157" t="str">
        <f t="shared" si="5"/>
        <v>#ERROR!</v>
      </c>
    </row>
    <row r="1581" ht="12.75" customHeight="1">
      <c r="A1581" s="244" t="s">
        <v>5158</v>
      </c>
      <c r="B1581" s="244" t="s">
        <v>231</v>
      </c>
      <c r="C1581" s="244" t="s">
        <v>10703</v>
      </c>
      <c r="D1581" s="154" t="s">
        <v>781</v>
      </c>
      <c r="E1581" s="154"/>
      <c r="F1581" s="154" t="str">
        <f t="array" ref="F1581">XLOOKUP(Cover!$D$12,$R$1:$Z$1,$R1581:$Z1581)</f>
        <v>Information</v>
      </c>
      <c r="G1581" s="154" t="s">
        <v>10704</v>
      </c>
      <c r="H1581" s="154" t="s">
        <v>6779</v>
      </c>
      <c r="I1581" s="154" t="s">
        <v>10696</v>
      </c>
      <c r="J1581" s="154" t="s">
        <v>7281</v>
      </c>
      <c r="K1581" s="154" t="s">
        <v>10346</v>
      </c>
      <c r="L1581" s="154" t="s">
        <v>6942</v>
      </c>
      <c r="M1581" s="154"/>
      <c r="N1581" s="154" t="s">
        <v>759</v>
      </c>
      <c r="O1581" s="247" t="s">
        <v>516</v>
      </c>
      <c r="P1581" s="247" t="s">
        <v>6776</v>
      </c>
      <c r="Q1581" s="154" t="str">
        <f t="shared" si="1"/>
        <v>#ERROR!</v>
      </c>
      <c r="R1581" s="154" t="s">
        <v>66</v>
      </c>
      <c r="S1581" s="154" t="s">
        <v>66</v>
      </c>
      <c r="T1581" s="154" t="s">
        <v>66</v>
      </c>
      <c r="U1581" s="154" t="s">
        <v>66</v>
      </c>
      <c r="V1581" s="154" t="s">
        <v>66</v>
      </c>
      <c r="W1581" s="154" t="s">
        <v>66</v>
      </c>
      <c r="X1581" s="154" t="s">
        <v>66</v>
      </c>
      <c r="Y1581" s="154" t="s">
        <v>66</v>
      </c>
      <c r="Z1581" s="154" t="s">
        <v>66</v>
      </c>
      <c r="AA1581" s="154"/>
      <c r="AB1581" s="242" t="str">
        <f t="shared" si="2"/>
        <v>#ERROR!</v>
      </c>
      <c r="AC1581" s="154" t="s">
        <v>391</v>
      </c>
      <c r="AD1581" s="242" t="b">
        <f t="shared" si="3"/>
        <v>0</v>
      </c>
      <c r="AE1581" s="154"/>
      <c r="AF1581" s="242" t="str">
        <f t="shared" si="4"/>
        <v>#ERROR!</v>
      </c>
      <c r="AG1581" s="154"/>
      <c r="AH1581" s="242" t="str">
        <f>IF(AG1581="","N/A",INDIRECT("MTR!"&amp;ADDRESS(MATCH(LEFT(AG1581,9),[1]MTR!C:C,0),COLUMN(J1581)),TRUE) &amp; "")</f>
        <v>#ERROR!</v>
      </c>
      <c r="AI1581" s="157" t="str">
        <f t="shared" si="5"/>
        <v>#ERROR!</v>
      </c>
    </row>
    <row r="1582" ht="12.75" customHeight="1">
      <c r="A1582" s="244" t="s">
        <v>5158</v>
      </c>
      <c r="B1582" s="244" t="s">
        <v>231</v>
      </c>
      <c r="C1582" s="244" t="s">
        <v>10705</v>
      </c>
      <c r="D1582" s="154" t="s">
        <v>781</v>
      </c>
      <c r="E1582" s="154"/>
      <c r="F1582" s="154" t="str">
        <f t="array" ref="F1582">XLOOKUP(Cover!$D$12,$R$1:$Z$1,$R1582:$Z1582)</f>
        <v>Information</v>
      </c>
      <c r="G1582" s="154" t="s">
        <v>10706</v>
      </c>
      <c r="H1582" s="154" t="s">
        <v>9012</v>
      </c>
      <c r="I1582" s="154" t="s">
        <v>10696</v>
      </c>
      <c r="J1582" s="154" t="s">
        <v>7281</v>
      </c>
      <c r="K1582" s="154" t="s">
        <v>10346</v>
      </c>
      <c r="L1582" s="154" t="s">
        <v>6942</v>
      </c>
      <c r="M1582" s="154"/>
      <c r="N1582" s="154" t="s">
        <v>759</v>
      </c>
      <c r="O1582" s="247" t="s">
        <v>516</v>
      </c>
      <c r="P1582" s="247" t="s">
        <v>6776</v>
      </c>
      <c r="Q1582" s="154" t="str">
        <f t="shared" si="1"/>
        <v>#ERROR!</v>
      </c>
      <c r="R1582" s="154" t="s">
        <v>66</v>
      </c>
      <c r="S1582" s="154" t="s">
        <v>66</v>
      </c>
      <c r="T1582" s="154" t="s">
        <v>66</v>
      </c>
      <c r="U1582" s="154" t="s">
        <v>66</v>
      </c>
      <c r="V1582" s="154" t="s">
        <v>66</v>
      </c>
      <c r="W1582" s="154" t="s">
        <v>66</v>
      </c>
      <c r="X1582" s="154" t="s">
        <v>66</v>
      </c>
      <c r="Y1582" s="154" t="s">
        <v>66</v>
      </c>
      <c r="Z1582" s="154" t="s">
        <v>66</v>
      </c>
      <c r="AA1582" s="154"/>
      <c r="AB1582" s="242" t="str">
        <f t="shared" si="2"/>
        <v>#ERROR!</v>
      </c>
      <c r="AC1582" s="154" t="s">
        <v>391</v>
      </c>
      <c r="AD1582" s="242" t="b">
        <f t="shared" si="3"/>
        <v>0</v>
      </c>
      <c r="AE1582" s="154"/>
      <c r="AF1582" s="242" t="str">
        <f t="shared" si="4"/>
        <v>#ERROR!</v>
      </c>
      <c r="AG1582" s="154"/>
      <c r="AH1582" s="242" t="str">
        <f>IF(AG1582="","N/A",INDIRECT("MTR!"&amp;ADDRESS(MATCH(LEFT(AG1582,9),[1]MTR!C:C,0),COLUMN(J1582)),TRUE) &amp; "")</f>
        <v>#ERROR!</v>
      </c>
      <c r="AI1582" s="157" t="str">
        <f t="shared" si="5"/>
        <v>#ERROR!</v>
      </c>
    </row>
    <row r="1583" ht="12.75" customHeight="1">
      <c r="A1583" s="238" t="s">
        <v>5158</v>
      </c>
      <c r="B1583" s="238" t="s">
        <v>231</v>
      </c>
      <c r="C1583" s="238" t="s">
        <v>10707</v>
      </c>
      <c r="D1583" s="240"/>
      <c r="E1583" s="240" t="s">
        <v>92</v>
      </c>
      <c r="F1583" s="240" t="str">
        <f t="array" ref="F1583">XLOOKUP(Cover!$D$12,$R$1:$Z$1,$R1583:$Z1583)</f>
        <v>Heading</v>
      </c>
      <c r="G1583" s="239" t="s">
        <v>10708</v>
      </c>
      <c r="H1583" s="240"/>
      <c r="I1583" s="240"/>
      <c r="J1583" s="240"/>
      <c r="K1583" s="240"/>
      <c r="L1583" s="240"/>
      <c r="M1583" s="240"/>
      <c r="N1583" s="240" t="s">
        <v>759</v>
      </c>
      <c r="O1583" s="240"/>
      <c r="P1583" s="240"/>
      <c r="Q1583" s="240" t="str">
        <f t="shared" si="1"/>
        <v/>
      </c>
      <c r="R1583" s="240" t="s">
        <v>390</v>
      </c>
      <c r="S1583" s="240" t="s">
        <v>390</v>
      </c>
      <c r="T1583" s="240" t="s">
        <v>390</v>
      </c>
      <c r="U1583" s="240" t="s">
        <v>390</v>
      </c>
      <c r="V1583" s="240" t="s">
        <v>390</v>
      </c>
      <c r="W1583" s="240" t="s">
        <v>390</v>
      </c>
      <c r="X1583" s="240" t="s">
        <v>390</v>
      </c>
      <c r="Y1583" s="240" t="s">
        <v>390</v>
      </c>
      <c r="Z1583" s="240" t="s">
        <v>390</v>
      </c>
      <c r="AA1583" s="240"/>
      <c r="AB1583" s="242" t="str">
        <f t="shared" si="2"/>
        <v>#ERROR!</v>
      </c>
      <c r="AC1583" s="240" t="s">
        <v>391</v>
      </c>
      <c r="AD1583" s="242" t="b">
        <f t="shared" si="3"/>
        <v>0</v>
      </c>
      <c r="AE1583" s="240"/>
      <c r="AF1583" s="242" t="str">
        <f t="shared" si="4"/>
        <v>#ERROR!</v>
      </c>
      <c r="AG1583" s="240"/>
      <c r="AH1583" s="242" t="str">
        <f>IF(AG1583="","N/A",INDIRECT("MTR!"&amp;ADDRESS(MATCH(LEFT(AG1583,9),[1]MTR!C:C,0),COLUMN(J1583)),TRUE) &amp; "")</f>
        <v>#ERROR!</v>
      </c>
      <c r="AI1583" s="157" t="str">
        <f t="shared" si="5"/>
        <v/>
      </c>
    </row>
    <row r="1584" ht="12.75" customHeight="1">
      <c r="A1584" s="244" t="s">
        <v>5158</v>
      </c>
      <c r="B1584" s="244" t="s">
        <v>231</v>
      </c>
      <c r="C1584" s="244" t="s">
        <v>10709</v>
      </c>
      <c r="D1584" s="154" t="s">
        <v>503</v>
      </c>
      <c r="E1584" s="154"/>
      <c r="F1584" s="154" t="str">
        <f t="array" ref="F1584">XLOOKUP(Cover!$D$12,$R$1:$Z$1,$R1584:$Z1584)</f>
        <v>Information</v>
      </c>
      <c r="G1584" s="154" t="s">
        <v>10710</v>
      </c>
      <c r="H1584" s="154" t="s">
        <v>7308</v>
      </c>
      <c r="I1584" s="154" t="s">
        <v>10711</v>
      </c>
      <c r="J1584" s="154" t="s">
        <v>5782</v>
      </c>
      <c r="K1584" s="154" t="s">
        <v>10712</v>
      </c>
      <c r="L1584" s="154" t="s">
        <v>7431</v>
      </c>
      <c r="M1584" s="154"/>
      <c r="N1584" s="154" t="s">
        <v>759</v>
      </c>
      <c r="O1584" s="247" t="s">
        <v>516</v>
      </c>
      <c r="P1584" s="247" t="s">
        <v>6776</v>
      </c>
      <c r="Q1584" s="154" t="str">
        <f t="shared" si="1"/>
        <v>#ERROR!</v>
      </c>
      <c r="R1584" s="154" t="s">
        <v>66</v>
      </c>
      <c r="S1584" s="154" t="s">
        <v>66</v>
      </c>
      <c r="T1584" s="154" t="s">
        <v>66</v>
      </c>
      <c r="U1584" s="154" t="s">
        <v>66</v>
      </c>
      <c r="V1584" s="154" t="s">
        <v>66</v>
      </c>
      <c r="W1584" s="154" t="s">
        <v>66</v>
      </c>
      <c r="X1584" s="154" t="s">
        <v>66</v>
      </c>
      <c r="Y1584" s="154" t="s">
        <v>66</v>
      </c>
      <c r="Z1584" s="154" t="s">
        <v>66</v>
      </c>
      <c r="AA1584" s="154"/>
      <c r="AB1584" s="242" t="str">
        <f t="shared" si="2"/>
        <v>#ERROR!</v>
      </c>
      <c r="AC1584" s="154" t="s">
        <v>391</v>
      </c>
      <c r="AD1584" s="242" t="b">
        <f t="shared" si="3"/>
        <v>0</v>
      </c>
      <c r="AE1584" s="154"/>
      <c r="AF1584" s="242" t="str">
        <f t="shared" si="4"/>
        <v>#ERROR!</v>
      </c>
      <c r="AG1584" s="154"/>
      <c r="AH1584" s="242" t="str">
        <f>IF(AG1584="","N/A",INDIRECT("MTR!"&amp;ADDRESS(MATCH(LEFT(AG1584,9),[1]MTR!C:C,0),COLUMN(J1584)),TRUE) &amp; "")</f>
        <v>#ERROR!</v>
      </c>
      <c r="AI1584" s="157" t="str">
        <f t="shared" si="5"/>
        <v>#ERROR!</v>
      </c>
    </row>
    <row r="1585" ht="12.75" customHeight="1">
      <c r="A1585" s="244" t="s">
        <v>5158</v>
      </c>
      <c r="B1585" s="244" t="s">
        <v>231</v>
      </c>
      <c r="C1585" s="244" t="s">
        <v>10713</v>
      </c>
      <c r="D1585" s="154" t="s">
        <v>503</v>
      </c>
      <c r="E1585" s="154"/>
      <c r="F1585" s="154" t="str">
        <f t="array" ref="F1585">XLOOKUP(Cover!$D$12,$R$1:$Z$1,$R1585:$Z1585)</f>
        <v>Information</v>
      </c>
      <c r="G1585" s="154" t="s">
        <v>10714</v>
      </c>
      <c r="H1585" s="154" t="s">
        <v>7838</v>
      </c>
      <c r="I1585" s="154" t="s">
        <v>10711</v>
      </c>
      <c r="J1585" s="154" t="s">
        <v>5782</v>
      </c>
      <c r="K1585" s="154" t="s">
        <v>10712</v>
      </c>
      <c r="L1585" s="154" t="s">
        <v>7431</v>
      </c>
      <c r="M1585" s="154"/>
      <c r="N1585" s="154" t="s">
        <v>759</v>
      </c>
      <c r="O1585" s="247" t="s">
        <v>516</v>
      </c>
      <c r="P1585" s="247" t="s">
        <v>6776</v>
      </c>
      <c r="Q1585" s="154" t="str">
        <f t="shared" si="1"/>
        <v>#ERROR!</v>
      </c>
      <c r="R1585" s="154" t="s">
        <v>66</v>
      </c>
      <c r="S1585" s="154" t="s">
        <v>66</v>
      </c>
      <c r="T1585" s="154" t="s">
        <v>66</v>
      </c>
      <c r="U1585" s="154" t="s">
        <v>66</v>
      </c>
      <c r="V1585" s="154" t="s">
        <v>66</v>
      </c>
      <c r="W1585" s="154" t="s">
        <v>66</v>
      </c>
      <c r="X1585" s="154" t="s">
        <v>66</v>
      </c>
      <c r="Y1585" s="154" t="s">
        <v>66</v>
      </c>
      <c r="Z1585" s="154" t="s">
        <v>66</v>
      </c>
      <c r="AA1585" s="154"/>
      <c r="AB1585" s="242" t="str">
        <f t="shared" si="2"/>
        <v>#ERROR!</v>
      </c>
      <c r="AC1585" s="154" t="s">
        <v>391</v>
      </c>
      <c r="AD1585" s="242" t="b">
        <f t="shared" si="3"/>
        <v>0</v>
      </c>
      <c r="AE1585" s="154"/>
      <c r="AF1585" s="242" t="str">
        <f t="shared" si="4"/>
        <v>#ERROR!</v>
      </c>
      <c r="AG1585" s="154"/>
      <c r="AH1585" s="242" t="str">
        <f>IF(AG1585="","N/A",INDIRECT("MTR!"&amp;ADDRESS(MATCH(LEFT(AG1585,9),[1]MTR!C:C,0),COLUMN(J1585)),TRUE) &amp; "")</f>
        <v>#ERROR!</v>
      </c>
      <c r="AI1585" s="157" t="str">
        <f t="shared" si="5"/>
        <v>#ERROR!</v>
      </c>
    </row>
    <row r="1586" ht="12.75" customHeight="1">
      <c r="A1586" s="244" t="s">
        <v>5158</v>
      </c>
      <c r="B1586" s="244" t="s">
        <v>231</v>
      </c>
      <c r="C1586" s="244" t="s">
        <v>10715</v>
      </c>
      <c r="D1586" s="154" t="s">
        <v>45</v>
      </c>
      <c r="E1586" s="154"/>
      <c r="F1586" s="154" t="str">
        <f t="array" ref="F1586">XLOOKUP(Cover!$D$12,$R$1:$Z$1,$R1586:$Z1586)</f>
        <v>Information</v>
      </c>
      <c r="G1586" s="154" t="s">
        <v>10716</v>
      </c>
      <c r="H1586" s="154" t="s">
        <v>7311</v>
      </c>
      <c r="I1586" s="154" t="s">
        <v>10717</v>
      </c>
      <c r="J1586" s="154" t="s">
        <v>5782</v>
      </c>
      <c r="K1586" s="154" t="s">
        <v>10712</v>
      </c>
      <c r="L1586" s="154" t="s">
        <v>10718</v>
      </c>
      <c r="M1586" s="154"/>
      <c r="N1586" s="154" t="s">
        <v>759</v>
      </c>
      <c r="O1586" s="247" t="s">
        <v>516</v>
      </c>
      <c r="P1586" s="247" t="s">
        <v>6776</v>
      </c>
      <c r="Q1586" s="154" t="str">
        <f t="shared" si="1"/>
        <v>#ERROR!</v>
      </c>
      <c r="R1586" s="154" t="s">
        <v>66</v>
      </c>
      <c r="S1586" s="154" t="s">
        <v>66</v>
      </c>
      <c r="T1586" s="154" t="s">
        <v>66</v>
      </c>
      <c r="U1586" s="154" t="s">
        <v>66</v>
      </c>
      <c r="V1586" s="154" t="s">
        <v>66</v>
      </c>
      <c r="W1586" s="154" t="s">
        <v>66</v>
      </c>
      <c r="X1586" s="154" t="s">
        <v>66</v>
      </c>
      <c r="Y1586" s="154" t="s">
        <v>66</v>
      </c>
      <c r="Z1586" s="154" t="s">
        <v>66</v>
      </c>
      <c r="AA1586" s="154"/>
      <c r="AB1586" s="242" t="str">
        <f t="shared" si="2"/>
        <v>#ERROR!</v>
      </c>
      <c r="AC1586" s="154" t="s">
        <v>391</v>
      </c>
      <c r="AD1586" s="242" t="b">
        <f t="shared" si="3"/>
        <v>0</v>
      </c>
      <c r="AE1586" s="154"/>
      <c r="AF1586" s="242" t="str">
        <f t="shared" si="4"/>
        <v>#ERROR!</v>
      </c>
      <c r="AG1586" s="154"/>
      <c r="AH1586" s="242" t="str">
        <f>IF(AG1586="","N/A",INDIRECT("MTR!"&amp;ADDRESS(MATCH(LEFT(AG1586,9),[1]MTR!C:C,0),COLUMN(J1586)),TRUE) &amp; "")</f>
        <v>#ERROR!</v>
      </c>
      <c r="AI1586" s="157" t="str">
        <f t="shared" si="5"/>
        <v>#ERROR!</v>
      </c>
    </row>
    <row r="1587" ht="12.75" customHeight="1">
      <c r="A1587" s="244" t="s">
        <v>5158</v>
      </c>
      <c r="B1587" s="244" t="s">
        <v>231</v>
      </c>
      <c r="C1587" s="244" t="s">
        <v>10719</v>
      </c>
      <c r="D1587" s="154" t="s">
        <v>45</v>
      </c>
      <c r="E1587" s="154"/>
      <c r="F1587" s="154" t="str">
        <f t="array" ref="F1587">XLOOKUP(Cover!$D$12,$R$1:$Z$1,$R1587:$Z1587)</f>
        <v>Information</v>
      </c>
      <c r="G1587" s="154" t="s">
        <v>10720</v>
      </c>
      <c r="H1587" s="154" t="s">
        <v>7838</v>
      </c>
      <c r="I1587" s="154" t="s">
        <v>10717</v>
      </c>
      <c r="J1587" s="154" t="s">
        <v>5782</v>
      </c>
      <c r="K1587" s="154" t="s">
        <v>10712</v>
      </c>
      <c r="L1587" s="154" t="s">
        <v>10718</v>
      </c>
      <c r="M1587" s="154"/>
      <c r="N1587" s="154" t="s">
        <v>759</v>
      </c>
      <c r="O1587" s="247" t="s">
        <v>516</v>
      </c>
      <c r="P1587" s="247" t="s">
        <v>6776</v>
      </c>
      <c r="Q1587" s="154" t="str">
        <f t="shared" si="1"/>
        <v>#ERROR!</v>
      </c>
      <c r="R1587" s="154" t="s">
        <v>66</v>
      </c>
      <c r="S1587" s="154" t="s">
        <v>66</v>
      </c>
      <c r="T1587" s="154" t="s">
        <v>66</v>
      </c>
      <c r="U1587" s="154" t="s">
        <v>66</v>
      </c>
      <c r="V1587" s="154" t="s">
        <v>66</v>
      </c>
      <c r="W1587" s="154" t="s">
        <v>66</v>
      </c>
      <c r="X1587" s="154" t="s">
        <v>66</v>
      </c>
      <c r="Y1587" s="154" t="s">
        <v>66</v>
      </c>
      <c r="Z1587" s="154" t="s">
        <v>66</v>
      </c>
      <c r="AA1587" s="154"/>
      <c r="AB1587" s="242" t="str">
        <f t="shared" si="2"/>
        <v>#ERROR!</v>
      </c>
      <c r="AC1587" s="154" t="s">
        <v>391</v>
      </c>
      <c r="AD1587" s="242" t="b">
        <f t="shared" si="3"/>
        <v>0</v>
      </c>
      <c r="AE1587" s="154"/>
      <c r="AF1587" s="242" t="str">
        <f t="shared" si="4"/>
        <v>#ERROR!</v>
      </c>
      <c r="AG1587" s="154"/>
      <c r="AH1587" s="242" t="str">
        <f>IF(AG1587="","N/A",INDIRECT("MTR!"&amp;ADDRESS(MATCH(LEFT(AG1587,9),[1]MTR!C:C,0),COLUMN(J1587)),TRUE) &amp; "")</f>
        <v>#ERROR!</v>
      </c>
      <c r="AI1587" s="157" t="str">
        <f t="shared" si="5"/>
        <v>#ERROR!</v>
      </c>
    </row>
    <row r="1588" ht="12.75" customHeight="1">
      <c r="A1588" s="238" t="s">
        <v>5158</v>
      </c>
      <c r="B1588" s="238" t="s">
        <v>231</v>
      </c>
      <c r="C1588" s="238" t="s">
        <v>10721</v>
      </c>
      <c r="D1588" s="240"/>
      <c r="E1588" s="240" t="s">
        <v>92</v>
      </c>
      <c r="F1588" s="240" t="str">
        <f t="array" ref="F1588">XLOOKUP(Cover!$D$12,$R$1:$Z$1,$R1588:$Z1588)</f>
        <v>Heading</v>
      </c>
      <c r="G1588" s="239" t="s">
        <v>10722</v>
      </c>
      <c r="H1588" s="240"/>
      <c r="I1588" s="240"/>
      <c r="J1588" s="240"/>
      <c r="K1588" s="240"/>
      <c r="L1588" s="240"/>
      <c r="M1588" s="240"/>
      <c r="N1588" s="240" t="s">
        <v>759</v>
      </c>
      <c r="O1588" s="240"/>
      <c r="P1588" s="240"/>
      <c r="Q1588" s="240" t="str">
        <f t="shared" si="1"/>
        <v/>
      </c>
      <c r="R1588" s="240" t="s">
        <v>390</v>
      </c>
      <c r="S1588" s="240" t="s">
        <v>390</v>
      </c>
      <c r="T1588" s="240" t="s">
        <v>390</v>
      </c>
      <c r="U1588" s="240" t="s">
        <v>390</v>
      </c>
      <c r="V1588" s="240" t="s">
        <v>390</v>
      </c>
      <c r="W1588" s="240" t="s">
        <v>390</v>
      </c>
      <c r="X1588" s="240" t="s">
        <v>390</v>
      </c>
      <c r="Y1588" s="240" t="s">
        <v>390</v>
      </c>
      <c r="Z1588" s="240" t="s">
        <v>390</v>
      </c>
      <c r="AA1588" s="240"/>
      <c r="AB1588" s="242" t="str">
        <f t="shared" si="2"/>
        <v>#ERROR!</v>
      </c>
      <c r="AC1588" s="240" t="s">
        <v>391</v>
      </c>
      <c r="AD1588" s="242" t="b">
        <f t="shared" si="3"/>
        <v>0</v>
      </c>
      <c r="AE1588" s="240"/>
      <c r="AF1588" s="242" t="str">
        <f t="shared" si="4"/>
        <v>#ERROR!</v>
      </c>
      <c r="AG1588" s="240"/>
      <c r="AH1588" s="242" t="str">
        <f>IF(AG1588="","N/A",INDIRECT("MTR!"&amp;ADDRESS(MATCH(LEFT(AG1588,9),[1]MTR!C:C,0),COLUMN(J1588)),TRUE) &amp; "")</f>
        <v>#ERROR!</v>
      </c>
      <c r="AI1588" s="157" t="str">
        <f t="shared" si="5"/>
        <v/>
      </c>
    </row>
    <row r="1589" ht="12.75" customHeight="1">
      <c r="A1589" s="244" t="s">
        <v>5158</v>
      </c>
      <c r="B1589" s="244" t="s">
        <v>231</v>
      </c>
      <c r="C1589" s="244" t="s">
        <v>10723</v>
      </c>
      <c r="D1589" s="154" t="s">
        <v>1773</v>
      </c>
      <c r="E1589" s="154"/>
      <c r="F1589" s="154" t="str">
        <f t="array" ref="F1589">XLOOKUP(Cover!$D$12,$R$1:$Z$1,$R1589:$Z1589)</f>
        <v>Information</v>
      </c>
      <c r="G1589" s="154" t="s">
        <v>10724</v>
      </c>
      <c r="H1589" s="154" t="s">
        <v>7304</v>
      </c>
      <c r="I1589" s="154" t="s">
        <v>10725</v>
      </c>
      <c r="J1589" s="154" t="s">
        <v>5730</v>
      </c>
      <c r="K1589" s="154" t="s">
        <v>10726</v>
      </c>
      <c r="L1589" s="154" t="s">
        <v>6126</v>
      </c>
      <c r="M1589" s="154"/>
      <c r="N1589" s="154" t="s">
        <v>759</v>
      </c>
      <c r="O1589" s="247" t="s">
        <v>445</v>
      </c>
      <c r="P1589" s="247" t="s">
        <v>6772</v>
      </c>
      <c r="Q1589" s="154" t="str">
        <f t="shared" si="1"/>
        <v>#ERROR!</v>
      </c>
      <c r="R1589" s="154" t="s">
        <v>66</v>
      </c>
      <c r="S1589" s="154" t="s">
        <v>66</v>
      </c>
      <c r="T1589" s="154" t="s">
        <v>66</v>
      </c>
      <c r="U1589" s="154" t="s">
        <v>66</v>
      </c>
      <c r="V1589" s="154" t="s">
        <v>66</v>
      </c>
      <c r="W1589" s="154" t="s">
        <v>66</v>
      </c>
      <c r="X1589" s="154" t="s">
        <v>66</v>
      </c>
      <c r="Y1589" s="154" t="s">
        <v>66</v>
      </c>
      <c r="Z1589" s="154" t="s">
        <v>66</v>
      </c>
      <c r="AA1589" s="154"/>
      <c r="AB1589" s="242" t="str">
        <f t="shared" si="2"/>
        <v>#ERROR!</v>
      </c>
      <c r="AC1589" s="154" t="s">
        <v>391</v>
      </c>
      <c r="AD1589" s="242" t="b">
        <f t="shared" si="3"/>
        <v>0</v>
      </c>
      <c r="AE1589" s="154"/>
      <c r="AF1589" s="242" t="str">
        <f t="shared" si="4"/>
        <v>#ERROR!</v>
      </c>
      <c r="AG1589" s="154"/>
      <c r="AH1589" s="242" t="str">
        <f>IF(AG1589="","N/A",INDIRECT("MTR!"&amp;ADDRESS(MATCH(LEFT(AG1589,9),[1]MTR!C:C,0),COLUMN(J1589)),TRUE) &amp; "")</f>
        <v>#ERROR!</v>
      </c>
      <c r="AI1589" s="157" t="str">
        <f t="shared" si="5"/>
        <v>#ERROR!</v>
      </c>
    </row>
    <row r="1590" ht="12.75" customHeight="1">
      <c r="A1590" s="244" t="s">
        <v>5158</v>
      </c>
      <c r="B1590" s="244" t="s">
        <v>231</v>
      </c>
      <c r="C1590" s="244" t="s">
        <v>10727</v>
      </c>
      <c r="D1590" s="154" t="s">
        <v>1773</v>
      </c>
      <c r="E1590" s="154"/>
      <c r="F1590" s="154" t="str">
        <f t="array" ref="F1590">XLOOKUP(Cover!$D$12,$R$1:$Z$1,$R1590:$Z1590)</f>
        <v>Information</v>
      </c>
      <c r="G1590" s="154" t="s">
        <v>10728</v>
      </c>
      <c r="H1590" s="154" t="s">
        <v>8295</v>
      </c>
      <c r="I1590" s="154" t="s">
        <v>10725</v>
      </c>
      <c r="J1590" s="154" t="s">
        <v>5730</v>
      </c>
      <c r="K1590" s="154" t="s">
        <v>10726</v>
      </c>
      <c r="L1590" s="154" t="s">
        <v>6126</v>
      </c>
      <c r="M1590" s="154"/>
      <c r="N1590" s="154" t="s">
        <v>759</v>
      </c>
      <c r="O1590" s="247" t="s">
        <v>445</v>
      </c>
      <c r="P1590" s="247" t="s">
        <v>6772</v>
      </c>
      <c r="Q1590" s="154" t="str">
        <f t="shared" si="1"/>
        <v>#ERROR!</v>
      </c>
      <c r="R1590" s="154" t="s">
        <v>66</v>
      </c>
      <c r="S1590" s="154" t="s">
        <v>66</v>
      </c>
      <c r="T1590" s="154" t="s">
        <v>66</v>
      </c>
      <c r="U1590" s="154" t="s">
        <v>66</v>
      </c>
      <c r="V1590" s="154" t="s">
        <v>66</v>
      </c>
      <c r="W1590" s="154" t="s">
        <v>66</v>
      </c>
      <c r="X1590" s="154" t="s">
        <v>66</v>
      </c>
      <c r="Y1590" s="154" t="s">
        <v>66</v>
      </c>
      <c r="Z1590" s="154" t="s">
        <v>66</v>
      </c>
      <c r="AA1590" s="154"/>
      <c r="AB1590" s="242" t="str">
        <f t="shared" si="2"/>
        <v>#ERROR!</v>
      </c>
      <c r="AC1590" s="154" t="s">
        <v>391</v>
      </c>
      <c r="AD1590" s="242" t="b">
        <f t="shared" si="3"/>
        <v>0</v>
      </c>
      <c r="AE1590" s="154"/>
      <c r="AF1590" s="242" t="str">
        <f t="shared" si="4"/>
        <v>#ERROR!</v>
      </c>
      <c r="AG1590" s="154"/>
      <c r="AH1590" s="242" t="str">
        <f>IF(AG1590="","N/A",INDIRECT("MTR!"&amp;ADDRESS(MATCH(LEFT(AG1590,9),[1]MTR!C:C,0),COLUMN(J1590)),TRUE) &amp; "")</f>
        <v>#ERROR!</v>
      </c>
      <c r="AI1590" s="157" t="str">
        <f t="shared" si="5"/>
        <v>#ERROR!</v>
      </c>
    </row>
    <row r="1591" ht="12.75" customHeight="1">
      <c r="A1591" s="244" t="s">
        <v>5158</v>
      </c>
      <c r="B1591" s="244" t="s">
        <v>231</v>
      </c>
      <c r="C1591" s="244" t="s">
        <v>10729</v>
      </c>
      <c r="D1591" s="154" t="s">
        <v>503</v>
      </c>
      <c r="E1591" s="154"/>
      <c r="F1591" s="154" t="str">
        <f t="array" ref="F1591">XLOOKUP(Cover!$D$12,$R$1:$Z$1,$R1591:$Z1591)</f>
        <v>Information</v>
      </c>
      <c r="G1591" s="154" t="s">
        <v>10730</v>
      </c>
      <c r="H1591" s="154" t="s">
        <v>7308</v>
      </c>
      <c r="I1591" s="154" t="s">
        <v>10731</v>
      </c>
      <c r="J1591" s="154" t="s">
        <v>5782</v>
      </c>
      <c r="K1591" s="154" t="s">
        <v>10726</v>
      </c>
      <c r="L1591" s="154" t="s">
        <v>6463</v>
      </c>
      <c r="M1591" s="154"/>
      <c r="N1591" s="154" t="s">
        <v>759</v>
      </c>
      <c r="O1591" s="247" t="s">
        <v>516</v>
      </c>
      <c r="P1591" s="247" t="s">
        <v>6776</v>
      </c>
      <c r="Q1591" s="154" t="str">
        <f t="shared" si="1"/>
        <v>#ERROR!</v>
      </c>
      <c r="R1591" s="154" t="s">
        <v>66</v>
      </c>
      <c r="S1591" s="154" t="s">
        <v>66</v>
      </c>
      <c r="T1591" s="154" t="s">
        <v>66</v>
      </c>
      <c r="U1591" s="154" t="s">
        <v>66</v>
      </c>
      <c r="V1591" s="154" t="s">
        <v>66</v>
      </c>
      <c r="W1591" s="154" t="s">
        <v>66</v>
      </c>
      <c r="X1591" s="154" t="s">
        <v>66</v>
      </c>
      <c r="Y1591" s="154" t="s">
        <v>66</v>
      </c>
      <c r="Z1591" s="154" t="s">
        <v>66</v>
      </c>
      <c r="AA1591" s="154"/>
      <c r="AB1591" s="242" t="str">
        <f t="shared" si="2"/>
        <v>#ERROR!</v>
      </c>
      <c r="AC1591" s="154" t="s">
        <v>391</v>
      </c>
      <c r="AD1591" s="242" t="b">
        <f t="shared" si="3"/>
        <v>0</v>
      </c>
      <c r="AE1591" s="154"/>
      <c r="AF1591" s="242" t="str">
        <f t="shared" si="4"/>
        <v>#ERROR!</v>
      </c>
      <c r="AG1591" s="154"/>
      <c r="AH1591" s="242" t="str">
        <f>IF(AG1591="","N/A",INDIRECT("MTR!"&amp;ADDRESS(MATCH(LEFT(AG1591,9),[1]MTR!C:C,0),COLUMN(J1591)),TRUE) &amp; "")</f>
        <v>#ERROR!</v>
      </c>
      <c r="AI1591" s="157" t="str">
        <f t="shared" si="5"/>
        <v>#ERROR!</v>
      </c>
    </row>
    <row r="1592" ht="12.75" customHeight="1">
      <c r="A1592" s="244" t="s">
        <v>5158</v>
      </c>
      <c r="B1592" s="244" t="s">
        <v>231</v>
      </c>
      <c r="C1592" s="244" t="s">
        <v>10732</v>
      </c>
      <c r="D1592" s="154" t="s">
        <v>503</v>
      </c>
      <c r="E1592" s="154"/>
      <c r="F1592" s="154" t="str">
        <f t="array" ref="F1592">XLOOKUP(Cover!$D$12,$R$1:$Z$1,$R1592:$Z1592)</f>
        <v>Information</v>
      </c>
      <c r="G1592" s="154" t="s">
        <v>10733</v>
      </c>
      <c r="H1592" s="154" t="s">
        <v>8299</v>
      </c>
      <c r="I1592" s="154" t="s">
        <v>10731</v>
      </c>
      <c r="J1592" s="154" t="s">
        <v>5782</v>
      </c>
      <c r="K1592" s="154" t="s">
        <v>10726</v>
      </c>
      <c r="L1592" s="154" t="s">
        <v>6463</v>
      </c>
      <c r="M1592" s="154"/>
      <c r="N1592" s="154" t="s">
        <v>759</v>
      </c>
      <c r="O1592" s="247" t="s">
        <v>516</v>
      </c>
      <c r="P1592" s="247" t="s">
        <v>6776</v>
      </c>
      <c r="Q1592" s="154" t="str">
        <f t="shared" si="1"/>
        <v>#ERROR!</v>
      </c>
      <c r="R1592" s="154" t="s">
        <v>66</v>
      </c>
      <c r="S1592" s="154" t="s">
        <v>66</v>
      </c>
      <c r="T1592" s="154" t="s">
        <v>66</v>
      </c>
      <c r="U1592" s="154" t="s">
        <v>66</v>
      </c>
      <c r="V1592" s="154" t="s">
        <v>66</v>
      </c>
      <c r="W1592" s="154" t="s">
        <v>66</v>
      </c>
      <c r="X1592" s="154" t="s">
        <v>66</v>
      </c>
      <c r="Y1592" s="154" t="s">
        <v>66</v>
      </c>
      <c r="Z1592" s="154" t="s">
        <v>66</v>
      </c>
      <c r="AA1592" s="154"/>
      <c r="AB1592" s="242" t="str">
        <f t="shared" si="2"/>
        <v>#ERROR!</v>
      </c>
      <c r="AC1592" s="154" t="s">
        <v>391</v>
      </c>
      <c r="AD1592" s="242" t="b">
        <f t="shared" si="3"/>
        <v>0</v>
      </c>
      <c r="AE1592" s="154"/>
      <c r="AF1592" s="242" t="str">
        <f t="shared" si="4"/>
        <v>#ERROR!</v>
      </c>
      <c r="AG1592" s="154"/>
      <c r="AH1592" s="242" t="str">
        <f>IF(AG1592="","N/A",INDIRECT("MTR!"&amp;ADDRESS(MATCH(LEFT(AG1592,9),[1]MTR!C:C,0),COLUMN(J1592)),TRUE) &amp; "")</f>
        <v>#ERROR!</v>
      </c>
      <c r="AI1592" s="157" t="str">
        <f t="shared" si="5"/>
        <v>#ERROR!</v>
      </c>
    </row>
    <row r="1593" ht="12.75" customHeight="1">
      <c r="A1593" s="244" t="s">
        <v>5158</v>
      </c>
      <c r="B1593" s="244" t="s">
        <v>231</v>
      </c>
      <c r="C1593" s="255" t="s">
        <v>10734</v>
      </c>
      <c r="D1593" s="256" t="s">
        <v>42</v>
      </c>
      <c r="E1593" s="256" t="s">
        <v>489</v>
      </c>
      <c r="F1593" s="154" t="str">
        <f t="array" ref="F1593">XLOOKUP(Cover!$D$12,$R$1:$Z$1,$R1593:$Z1593)</f>
        <v>Information</v>
      </c>
      <c r="G1593" s="154" t="s">
        <v>10735</v>
      </c>
      <c r="H1593" s="154" t="s">
        <v>7304</v>
      </c>
      <c r="I1593" s="154" t="s">
        <v>10736</v>
      </c>
      <c r="J1593" s="154" t="s">
        <v>6791</v>
      </c>
      <c r="K1593" s="154" t="s">
        <v>10726</v>
      </c>
      <c r="L1593" s="154" t="s">
        <v>5931</v>
      </c>
      <c r="M1593" s="154"/>
      <c r="N1593" s="154" t="s">
        <v>759</v>
      </c>
      <c r="O1593" s="247" t="s">
        <v>516</v>
      </c>
      <c r="P1593" s="247" t="s">
        <v>6776</v>
      </c>
      <c r="Q1593" s="154" t="str">
        <f t="shared" si="1"/>
        <v>#ERROR!</v>
      </c>
      <c r="R1593" s="154" t="s">
        <v>66</v>
      </c>
      <c r="S1593" s="154" t="s">
        <v>66</v>
      </c>
      <c r="T1593" s="154" t="s">
        <v>66</v>
      </c>
      <c r="U1593" s="154" t="s">
        <v>66</v>
      </c>
      <c r="V1593" s="154" t="s">
        <v>66</v>
      </c>
      <c r="W1593" s="154" t="s">
        <v>66</v>
      </c>
      <c r="X1593" s="154" t="s">
        <v>66</v>
      </c>
      <c r="Y1593" s="154" t="s">
        <v>66</v>
      </c>
      <c r="Z1593" s="154" t="s">
        <v>66</v>
      </c>
      <c r="AA1593" s="154"/>
      <c r="AB1593" s="242" t="str">
        <f t="shared" si="2"/>
        <v>#ERROR!</v>
      </c>
      <c r="AC1593" s="154" t="s">
        <v>391</v>
      </c>
      <c r="AD1593" s="242" t="b">
        <f t="shared" si="3"/>
        <v>0</v>
      </c>
      <c r="AE1593" s="154"/>
      <c r="AF1593" s="242" t="str">
        <f t="shared" si="4"/>
        <v>#ERROR!</v>
      </c>
      <c r="AG1593" s="154"/>
      <c r="AH1593" s="242" t="str">
        <f>IF(AG1593="","N/A",INDIRECT("MTR!"&amp;ADDRESS(MATCH(LEFT(AG1593,9),[1]MTR!C:C,0),COLUMN(J1593)),TRUE) &amp; "")</f>
        <v>#ERROR!</v>
      </c>
      <c r="AI1593" s="157" t="str">
        <f t="shared" si="5"/>
        <v>#ERROR!</v>
      </c>
    </row>
    <row r="1594" ht="12.75" customHeight="1">
      <c r="A1594" s="244" t="s">
        <v>5158</v>
      </c>
      <c r="B1594" s="244" t="s">
        <v>231</v>
      </c>
      <c r="C1594" s="255" t="s">
        <v>10737</v>
      </c>
      <c r="D1594" s="256" t="s">
        <v>42</v>
      </c>
      <c r="E1594" s="256" t="s">
        <v>489</v>
      </c>
      <c r="F1594" s="154" t="str">
        <f t="array" ref="F1594">XLOOKUP(Cover!$D$12,$R$1:$Z$1,$R1594:$Z1594)</f>
        <v>Information</v>
      </c>
      <c r="G1594" s="154" t="s">
        <v>10738</v>
      </c>
      <c r="H1594" s="154" t="s">
        <v>8295</v>
      </c>
      <c r="I1594" s="154" t="s">
        <v>10736</v>
      </c>
      <c r="J1594" s="154" t="s">
        <v>6791</v>
      </c>
      <c r="K1594" s="154" t="s">
        <v>10726</v>
      </c>
      <c r="L1594" s="154" t="s">
        <v>5931</v>
      </c>
      <c r="M1594" s="154"/>
      <c r="N1594" s="154" t="s">
        <v>759</v>
      </c>
      <c r="O1594" s="247" t="s">
        <v>516</v>
      </c>
      <c r="P1594" s="247" t="s">
        <v>6776</v>
      </c>
      <c r="Q1594" s="154" t="str">
        <f t="shared" si="1"/>
        <v>#ERROR!</v>
      </c>
      <c r="R1594" s="154" t="s">
        <v>66</v>
      </c>
      <c r="S1594" s="154" t="s">
        <v>66</v>
      </c>
      <c r="T1594" s="154" t="s">
        <v>66</v>
      </c>
      <c r="U1594" s="154" t="s">
        <v>66</v>
      </c>
      <c r="V1594" s="154" t="s">
        <v>66</v>
      </c>
      <c r="W1594" s="154" t="s">
        <v>66</v>
      </c>
      <c r="X1594" s="154" t="s">
        <v>66</v>
      </c>
      <c r="Y1594" s="154" t="s">
        <v>66</v>
      </c>
      <c r="Z1594" s="154" t="s">
        <v>66</v>
      </c>
      <c r="AA1594" s="154"/>
      <c r="AB1594" s="242" t="str">
        <f t="shared" si="2"/>
        <v>#ERROR!</v>
      </c>
      <c r="AC1594" s="154" t="s">
        <v>391</v>
      </c>
      <c r="AD1594" s="242" t="b">
        <f t="shared" si="3"/>
        <v>0</v>
      </c>
      <c r="AE1594" s="154"/>
      <c r="AF1594" s="242" t="str">
        <f t="shared" si="4"/>
        <v>#ERROR!</v>
      </c>
      <c r="AG1594" s="154"/>
      <c r="AH1594" s="242" t="str">
        <f>IF(AG1594="","N/A",INDIRECT("MTR!"&amp;ADDRESS(MATCH(LEFT(AG1594,9),[1]MTR!C:C,0),COLUMN(J1594)),TRUE) &amp; "")</f>
        <v>#ERROR!</v>
      </c>
      <c r="AI1594" s="157" t="str">
        <f t="shared" si="5"/>
        <v>#ERROR!</v>
      </c>
    </row>
    <row r="1595" ht="12.75" customHeight="1">
      <c r="A1595" s="244" t="s">
        <v>5158</v>
      </c>
      <c r="B1595" s="244" t="s">
        <v>231</v>
      </c>
      <c r="C1595" s="255" t="s">
        <v>10739</v>
      </c>
      <c r="D1595" s="256" t="s">
        <v>42</v>
      </c>
      <c r="E1595" s="256" t="s">
        <v>489</v>
      </c>
      <c r="F1595" s="154" t="str">
        <f t="array" ref="F1595">XLOOKUP(Cover!$D$12,$R$1:$Z$1,$R1595:$Z1595)</f>
        <v>Information</v>
      </c>
      <c r="G1595" s="154" t="s">
        <v>10740</v>
      </c>
      <c r="H1595" s="154" t="s">
        <v>7308</v>
      </c>
      <c r="I1595" s="154" t="s">
        <v>10736</v>
      </c>
      <c r="J1595" s="154" t="s">
        <v>6791</v>
      </c>
      <c r="K1595" s="154" t="s">
        <v>10726</v>
      </c>
      <c r="L1595" s="154" t="s">
        <v>5931</v>
      </c>
      <c r="M1595" s="154"/>
      <c r="N1595" s="154" t="s">
        <v>759</v>
      </c>
      <c r="O1595" s="247" t="s">
        <v>516</v>
      </c>
      <c r="P1595" s="247" t="s">
        <v>6776</v>
      </c>
      <c r="Q1595" s="154" t="str">
        <f t="shared" si="1"/>
        <v>#ERROR!</v>
      </c>
      <c r="R1595" s="154" t="s">
        <v>66</v>
      </c>
      <c r="S1595" s="154" t="s">
        <v>66</v>
      </c>
      <c r="T1595" s="154" t="s">
        <v>66</v>
      </c>
      <c r="U1595" s="154" t="s">
        <v>66</v>
      </c>
      <c r="V1595" s="154" t="s">
        <v>66</v>
      </c>
      <c r="W1595" s="154" t="s">
        <v>66</v>
      </c>
      <c r="X1595" s="154" t="s">
        <v>66</v>
      </c>
      <c r="Y1595" s="154" t="s">
        <v>66</v>
      </c>
      <c r="Z1595" s="154" t="s">
        <v>66</v>
      </c>
      <c r="AA1595" s="154"/>
      <c r="AB1595" s="242" t="str">
        <f t="shared" si="2"/>
        <v>#ERROR!</v>
      </c>
      <c r="AC1595" s="154" t="s">
        <v>391</v>
      </c>
      <c r="AD1595" s="242" t="b">
        <f t="shared" si="3"/>
        <v>0</v>
      </c>
      <c r="AE1595" s="154"/>
      <c r="AF1595" s="242" t="str">
        <f t="shared" si="4"/>
        <v>#ERROR!</v>
      </c>
      <c r="AG1595" s="154"/>
      <c r="AH1595" s="242" t="str">
        <f>IF(AG1595="","N/A",INDIRECT("MTR!"&amp;ADDRESS(MATCH(LEFT(AG1595,9),[1]MTR!C:C,0),COLUMN(J1595)),TRUE) &amp; "")</f>
        <v>#ERROR!</v>
      </c>
      <c r="AI1595" s="157" t="str">
        <f t="shared" si="5"/>
        <v>#ERROR!</v>
      </c>
    </row>
    <row r="1596" ht="12.75" customHeight="1">
      <c r="A1596" s="244" t="s">
        <v>5158</v>
      </c>
      <c r="B1596" s="244" t="s">
        <v>231</v>
      </c>
      <c r="C1596" s="255" t="s">
        <v>10741</v>
      </c>
      <c r="D1596" s="256" t="s">
        <v>42</v>
      </c>
      <c r="E1596" s="256" t="s">
        <v>489</v>
      </c>
      <c r="F1596" s="154" t="str">
        <f t="array" ref="F1596">XLOOKUP(Cover!$D$12,$R$1:$Z$1,$R1596:$Z1596)</f>
        <v>Information</v>
      </c>
      <c r="G1596" s="154" t="s">
        <v>10742</v>
      </c>
      <c r="H1596" s="154" t="s">
        <v>8299</v>
      </c>
      <c r="I1596" s="154" t="s">
        <v>10736</v>
      </c>
      <c r="J1596" s="154" t="s">
        <v>6791</v>
      </c>
      <c r="K1596" s="154" t="s">
        <v>10726</v>
      </c>
      <c r="L1596" s="154" t="s">
        <v>5931</v>
      </c>
      <c r="M1596" s="154"/>
      <c r="N1596" s="154" t="s">
        <v>759</v>
      </c>
      <c r="O1596" s="247" t="s">
        <v>516</v>
      </c>
      <c r="P1596" s="247" t="s">
        <v>6776</v>
      </c>
      <c r="Q1596" s="154" t="str">
        <f t="shared" si="1"/>
        <v>#ERROR!</v>
      </c>
      <c r="R1596" s="154" t="s">
        <v>66</v>
      </c>
      <c r="S1596" s="154" t="s">
        <v>66</v>
      </c>
      <c r="T1596" s="154" t="s">
        <v>66</v>
      </c>
      <c r="U1596" s="154" t="s">
        <v>66</v>
      </c>
      <c r="V1596" s="154" t="s">
        <v>66</v>
      </c>
      <c r="W1596" s="154" t="s">
        <v>66</v>
      </c>
      <c r="X1596" s="154" t="s">
        <v>66</v>
      </c>
      <c r="Y1596" s="154" t="s">
        <v>66</v>
      </c>
      <c r="Z1596" s="154" t="s">
        <v>66</v>
      </c>
      <c r="AA1596" s="154"/>
      <c r="AB1596" s="242" t="str">
        <f t="shared" si="2"/>
        <v>#ERROR!</v>
      </c>
      <c r="AC1596" s="154" t="s">
        <v>391</v>
      </c>
      <c r="AD1596" s="242" t="b">
        <f t="shared" si="3"/>
        <v>0</v>
      </c>
      <c r="AE1596" s="154"/>
      <c r="AF1596" s="242" t="str">
        <f t="shared" si="4"/>
        <v>#ERROR!</v>
      </c>
      <c r="AG1596" s="154"/>
      <c r="AH1596" s="242" t="str">
        <f>IF(AG1596="","N/A",INDIRECT("MTR!"&amp;ADDRESS(MATCH(LEFT(AG1596,9),[1]MTR!C:C,0),COLUMN(J1596)),TRUE) &amp; "")</f>
        <v>#ERROR!</v>
      </c>
      <c r="AI1596" s="157" t="str">
        <f t="shared" si="5"/>
        <v>#ERROR!</v>
      </c>
    </row>
    <row r="1597" ht="12.75" customHeight="1">
      <c r="A1597" s="238" t="s">
        <v>5158</v>
      </c>
      <c r="B1597" s="238" t="s">
        <v>231</v>
      </c>
      <c r="C1597" s="238" t="s">
        <v>10743</v>
      </c>
      <c r="D1597" s="240"/>
      <c r="E1597" s="240" t="s">
        <v>92</v>
      </c>
      <c r="F1597" s="240" t="str">
        <f t="array" ref="F1597">XLOOKUP(Cover!$D$12,$R$1:$Z$1,$R1597:$Z1597)</f>
        <v>Heading</v>
      </c>
      <c r="G1597" s="239" t="s">
        <v>10744</v>
      </c>
      <c r="H1597" s="240"/>
      <c r="I1597" s="240"/>
      <c r="J1597" s="240"/>
      <c r="K1597" s="240"/>
      <c r="L1597" s="240"/>
      <c r="M1597" s="240"/>
      <c r="N1597" s="240" t="s">
        <v>759</v>
      </c>
      <c r="O1597" s="240"/>
      <c r="P1597" s="240"/>
      <c r="Q1597" s="240" t="str">
        <f t="shared" si="1"/>
        <v/>
      </c>
      <c r="R1597" s="240" t="s">
        <v>390</v>
      </c>
      <c r="S1597" s="240" t="s">
        <v>390</v>
      </c>
      <c r="T1597" s="240" t="s">
        <v>390</v>
      </c>
      <c r="U1597" s="240" t="s">
        <v>390</v>
      </c>
      <c r="V1597" s="240" t="s">
        <v>390</v>
      </c>
      <c r="W1597" s="240" t="s">
        <v>390</v>
      </c>
      <c r="X1597" s="240" t="s">
        <v>390</v>
      </c>
      <c r="Y1597" s="240" t="s">
        <v>390</v>
      </c>
      <c r="Z1597" s="240" t="s">
        <v>390</v>
      </c>
      <c r="AA1597" s="240"/>
      <c r="AB1597" s="242" t="str">
        <f t="shared" si="2"/>
        <v>#ERROR!</v>
      </c>
      <c r="AC1597" s="240" t="s">
        <v>391</v>
      </c>
      <c r="AD1597" s="242" t="b">
        <f t="shared" si="3"/>
        <v>0</v>
      </c>
      <c r="AE1597" s="240"/>
      <c r="AF1597" s="242" t="str">
        <f t="shared" si="4"/>
        <v>#ERROR!</v>
      </c>
      <c r="AG1597" s="240"/>
      <c r="AH1597" s="242" t="str">
        <f>IF(AG1597="","N/A",INDIRECT("MTR!"&amp;ADDRESS(MATCH(LEFT(AG1597,9),[1]MTR!C:C,0),COLUMN(J1597)),TRUE) &amp; "")</f>
        <v>#ERROR!</v>
      </c>
      <c r="AI1597" s="157" t="str">
        <f t="shared" si="5"/>
        <v/>
      </c>
    </row>
    <row r="1598" ht="12.75" customHeight="1">
      <c r="A1598" s="244" t="s">
        <v>5158</v>
      </c>
      <c r="B1598" s="244" t="s">
        <v>231</v>
      </c>
      <c r="C1598" s="244" t="s">
        <v>10745</v>
      </c>
      <c r="D1598" s="154" t="s">
        <v>781</v>
      </c>
      <c r="E1598" s="154"/>
      <c r="F1598" s="154" t="str">
        <f t="array" ref="F1598">XLOOKUP(Cover!$D$12,$R$1:$Z$1,$R1598:$Z1598)</f>
        <v>Mandatory</v>
      </c>
      <c r="G1598" s="154" t="s">
        <v>10746</v>
      </c>
      <c r="H1598" s="154" t="s">
        <v>7304</v>
      </c>
      <c r="I1598" s="154" t="s">
        <v>10747</v>
      </c>
      <c r="J1598" s="154" t="s">
        <v>5730</v>
      </c>
      <c r="K1598" s="154" t="s">
        <v>10748</v>
      </c>
      <c r="L1598" s="154" t="s">
        <v>6140</v>
      </c>
      <c r="M1598" s="154" t="s">
        <v>1018</v>
      </c>
      <c r="N1598" s="154" t="s">
        <v>759</v>
      </c>
      <c r="O1598" s="247" t="s">
        <v>445</v>
      </c>
      <c r="P1598" s="247" t="s">
        <v>6772</v>
      </c>
      <c r="Q1598" s="154" t="str">
        <f t="shared" si="1"/>
        <v>#ERROR!</v>
      </c>
      <c r="R1598" s="154" t="s">
        <v>66</v>
      </c>
      <c r="S1598" s="154" t="s">
        <v>66</v>
      </c>
      <c r="T1598" s="155" t="s">
        <v>64</v>
      </c>
      <c r="U1598" s="155" t="s">
        <v>64</v>
      </c>
      <c r="V1598" s="154" t="s">
        <v>60</v>
      </c>
      <c r="W1598" s="154" t="s">
        <v>60</v>
      </c>
      <c r="X1598" s="154" t="s">
        <v>66</v>
      </c>
      <c r="Y1598" s="155" t="s">
        <v>64</v>
      </c>
      <c r="Z1598" s="154" t="s">
        <v>60</v>
      </c>
      <c r="AA1598" s="154"/>
      <c r="AB1598" s="242" t="str">
        <f t="shared" si="2"/>
        <v>#ERROR!</v>
      </c>
      <c r="AC1598" s="154" t="s">
        <v>391</v>
      </c>
      <c r="AD1598" s="242" t="b">
        <f t="shared" si="3"/>
        <v>0</v>
      </c>
      <c r="AE1598" s="154"/>
      <c r="AF1598" s="242" t="str">
        <f t="shared" si="4"/>
        <v>#ERROR!</v>
      </c>
      <c r="AG1598" s="154"/>
      <c r="AH1598" s="242" t="str">
        <f>IF(AG1598="","N/A",INDIRECT("MTR!"&amp;ADDRESS(MATCH(LEFT(AG1598,9),[1]MTR!C:C,0),COLUMN(J1598)),TRUE) &amp; "")</f>
        <v>#ERROR!</v>
      </c>
      <c r="AI1598" s="157" t="str">
        <f t="shared" si="5"/>
        <v>#ERROR!</v>
      </c>
    </row>
    <row r="1599" ht="12.75" customHeight="1">
      <c r="A1599" s="244" t="s">
        <v>5158</v>
      </c>
      <c r="B1599" s="244" t="s">
        <v>231</v>
      </c>
      <c r="C1599" s="244" t="s">
        <v>10749</v>
      </c>
      <c r="D1599" s="154" t="s">
        <v>781</v>
      </c>
      <c r="E1599" s="154"/>
      <c r="F1599" s="154" t="str">
        <f t="array" ref="F1599">XLOOKUP(Cover!$D$12,$R$1:$Z$1,$R1599:$Z1599)</f>
        <v>Mandatory</v>
      </c>
      <c r="G1599" s="154" t="s">
        <v>10750</v>
      </c>
      <c r="H1599" s="154" t="s">
        <v>8507</v>
      </c>
      <c r="I1599" s="154" t="s">
        <v>10747</v>
      </c>
      <c r="J1599" s="154" t="s">
        <v>5730</v>
      </c>
      <c r="K1599" s="154" t="s">
        <v>10748</v>
      </c>
      <c r="L1599" s="154" t="s">
        <v>6140</v>
      </c>
      <c r="M1599" s="154" t="s">
        <v>1018</v>
      </c>
      <c r="N1599" s="154" t="s">
        <v>759</v>
      </c>
      <c r="O1599" s="247" t="s">
        <v>445</v>
      </c>
      <c r="P1599" s="247" t="s">
        <v>6772</v>
      </c>
      <c r="Q1599" s="154" t="str">
        <f t="shared" si="1"/>
        <v>#ERROR!</v>
      </c>
      <c r="R1599" s="154" t="s">
        <v>66</v>
      </c>
      <c r="S1599" s="154" t="s">
        <v>66</v>
      </c>
      <c r="T1599" s="155" t="s">
        <v>64</v>
      </c>
      <c r="U1599" s="155" t="s">
        <v>64</v>
      </c>
      <c r="V1599" s="154" t="s">
        <v>60</v>
      </c>
      <c r="W1599" s="154" t="s">
        <v>60</v>
      </c>
      <c r="X1599" s="154" t="s">
        <v>66</v>
      </c>
      <c r="Y1599" s="155" t="s">
        <v>64</v>
      </c>
      <c r="Z1599" s="154" t="s">
        <v>60</v>
      </c>
      <c r="AA1599" s="154"/>
      <c r="AB1599" s="242" t="str">
        <f t="shared" si="2"/>
        <v>#ERROR!</v>
      </c>
      <c r="AC1599" s="154" t="s">
        <v>391</v>
      </c>
      <c r="AD1599" s="242" t="b">
        <f t="shared" si="3"/>
        <v>0</v>
      </c>
      <c r="AE1599" s="154"/>
      <c r="AF1599" s="242" t="str">
        <f t="shared" si="4"/>
        <v>#ERROR!</v>
      </c>
      <c r="AG1599" s="154"/>
      <c r="AH1599" s="242" t="str">
        <f>IF(AG1599="","N/A",INDIRECT("MTR!"&amp;ADDRESS(MATCH(LEFT(AG1599,9),[1]MTR!C:C,0),COLUMN(J1599)),TRUE) &amp; "")</f>
        <v>#ERROR!</v>
      </c>
      <c r="AI1599" s="157" t="str">
        <f t="shared" si="5"/>
        <v>#ERROR!</v>
      </c>
    </row>
    <row r="1600" ht="12.75" customHeight="1">
      <c r="A1600" s="244" t="s">
        <v>5158</v>
      </c>
      <c r="B1600" s="244" t="s">
        <v>231</v>
      </c>
      <c r="C1600" s="244" t="s">
        <v>10751</v>
      </c>
      <c r="D1600" s="154" t="s">
        <v>503</v>
      </c>
      <c r="E1600" s="154"/>
      <c r="F1600" s="154" t="str">
        <f t="array" ref="F1600">XLOOKUP(Cover!$D$12,$R$1:$Z$1,$R1600:$Z1600)</f>
        <v>Information</v>
      </c>
      <c r="G1600" s="154" t="s">
        <v>10752</v>
      </c>
      <c r="H1600" s="154" t="s">
        <v>7308</v>
      </c>
      <c r="I1600" s="154" t="s">
        <v>10753</v>
      </c>
      <c r="J1600" s="154" t="s">
        <v>5782</v>
      </c>
      <c r="K1600" s="154" t="s">
        <v>10748</v>
      </c>
      <c r="L1600" s="154" t="s">
        <v>7431</v>
      </c>
      <c r="M1600" s="154"/>
      <c r="N1600" s="154" t="s">
        <v>759</v>
      </c>
      <c r="O1600" s="247" t="s">
        <v>516</v>
      </c>
      <c r="P1600" s="247" t="s">
        <v>6776</v>
      </c>
      <c r="Q1600" s="154" t="str">
        <f t="shared" si="1"/>
        <v>#ERROR!</v>
      </c>
      <c r="R1600" s="154" t="s">
        <v>66</v>
      </c>
      <c r="S1600" s="154" t="s">
        <v>66</v>
      </c>
      <c r="T1600" s="154" t="s">
        <v>66</v>
      </c>
      <c r="U1600" s="154" t="s">
        <v>66</v>
      </c>
      <c r="V1600" s="154" t="s">
        <v>66</v>
      </c>
      <c r="W1600" s="154" t="s">
        <v>66</v>
      </c>
      <c r="X1600" s="154" t="s">
        <v>66</v>
      </c>
      <c r="Y1600" s="154" t="s">
        <v>66</v>
      </c>
      <c r="Z1600" s="154" t="s">
        <v>66</v>
      </c>
      <c r="AA1600" s="154"/>
      <c r="AB1600" s="242" t="str">
        <f t="shared" si="2"/>
        <v>#ERROR!</v>
      </c>
      <c r="AC1600" s="154" t="s">
        <v>391</v>
      </c>
      <c r="AD1600" s="242" t="b">
        <f t="shared" si="3"/>
        <v>0</v>
      </c>
      <c r="AE1600" s="154"/>
      <c r="AF1600" s="242" t="str">
        <f t="shared" si="4"/>
        <v>#ERROR!</v>
      </c>
      <c r="AG1600" s="154"/>
      <c r="AH1600" s="242" t="str">
        <f>IF(AG1600="","N/A",INDIRECT("MTR!"&amp;ADDRESS(MATCH(LEFT(AG1600,9),[1]MTR!C:C,0),COLUMN(J1600)),TRUE) &amp; "")</f>
        <v>#ERROR!</v>
      </c>
      <c r="AI1600" s="157" t="str">
        <f t="shared" si="5"/>
        <v>#ERROR!</v>
      </c>
    </row>
    <row r="1601" ht="12.75" customHeight="1">
      <c r="A1601" s="244" t="s">
        <v>5158</v>
      </c>
      <c r="B1601" s="244" t="s">
        <v>231</v>
      </c>
      <c r="C1601" s="244" t="s">
        <v>10754</v>
      </c>
      <c r="D1601" s="154" t="s">
        <v>503</v>
      </c>
      <c r="E1601" s="154"/>
      <c r="F1601" s="154" t="str">
        <f t="array" ref="F1601">XLOOKUP(Cover!$D$12,$R$1:$Z$1,$R1601:$Z1601)</f>
        <v>Information</v>
      </c>
      <c r="G1601" s="154" t="s">
        <v>10755</v>
      </c>
      <c r="H1601" s="154" t="s">
        <v>1489</v>
      </c>
      <c r="I1601" s="154" t="s">
        <v>10753</v>
      </c>
      <c r="J1601" s="154" t="s">
        <v>5782</v>
      </c>
      <c r="K1601" s="154" t="s">
        <v>10748</v>
      </c>
      <c r="L1601" s="154" t="s">
        <v>7431</v>
      </c>
      <c r="M1601" s="154"/>
      <c r="N1601" s="154" t="s">
        <v>759</v>
      </c>
      <c r="O1601" s="247" t="s">
        <v>516</v>
      </c>
      <c r="P1601" s="247" t="s">
        <v>6776</v>
      </c>
      <c r="Q1601" s="154" t="str">
        <f t="shared" si="1"/>
        <v>#ERROR!</v>
      </c>
      <c r="R1601" s="154" t="s">
        <v>66</v>
      </c>
      <c r="S1601" s="154" t="s">
        <v>66</v>
      </c>
      <c r="T1601" s="154" t="s">
        <v>66</v>
      </c>
      <c r="U1601" s="154" t="s">
        <v>66</v>
      </c>
      <c r="V1601" s="154" t="s">
        <v>66</v>
      </c>
      <c r="W1601" s="154" t="s">
        <v>66</v>
      </c>
      <c r="X1601" s="154" t="s">
        <v>66</v>
      </c>
      <c r="Y1601" s="154" t="s">
        <v>66</v>
      </c>
      <c r="Z1601" s="154" t="s">
        <v>66</v>
      </c>
      <c r="AA1601" s="154"/>
      <c r="AB1601" s="242" t="str">
        <f t="shared" si="2"/>
        <v>#ERROR!</v>
      </c>
      <c r="AC1601" s="154" t="s">
        <v>391</v>
      </c>
      <c r="AD1601" s="242" t="b">
        <f t="shared" si="3"/>
        <v>0</v>
      </c>
      <c r="AE1601" s="154"/>
      <c r="AF1601" s="242" t="str">
        <f t="shared" si="4"/>
        <v>#ERROR!</v>
      </c>
      <c r="AG1601" s="154"/>
      <c r="AH1601" s="242" t="str">
        <f>IF(AG1601="","N/A",INDIRECT("MTR!"&amp;ADDRESS(MATCH(LEFT(AG1601,9),[1]MTR!C:C,0),COLUMN(J1601)),TRUE) &amp; "")</f>
        <v>#ERROR!</v>
      </c>
      <c r="AI1601" s="157" t="str">
        <f t="shared" si="5"/>
        <v>#ERROR!</v>
      </c>
    </row>
    <row r="1602" ht="12.75" customHeight="1">
      <c r="A1602" s="244" t="s">
        <v>5158</v>
      </c>
      <c r="B1602" s="244" t="s">
        <v>231</v>
      </c>
      <c r="C1602" s="244" t="s">
        <v>10756</v>
      </c>
      <c r="D1602" s="154" t="s">
        <v>45</v>
      </c>
      <c r="E1602" s="154"/>
      <c r="F1602" s="154" t="str">
        <f t="array" ref="F1602">XLOOKUP(Cover!$D$12,$R$1:$Z$1,$R1602:$Z1602)</f>
        <v>Information</v>
      </c>
      <c r="G1602" s="154" t="s">
        <v>10757</v>
      </c>
      <c r="H1602" s="154" t="s">
        <v>7311</v>
      </c>
      <c r="I1602" s="154" t="s">
        <v>10758</v>
      </c>
      <c r="J1602" s="154" t="s">
        <v>5782</v>
      </c>
      <c r="K1602" s="154" t="s">
        <v>10748</v>
      </c>
      <c r="L1602" s="154" t="s">
        <v>10718</v>
      </c>
      <c r="M1602" s="154"/>
      <c r="N1602" s="154" t="s">
        <v>759</v>
      </c>
      <c r="O1602" s="247" t="s">
        <v>516</v>
      </c>
      <c r="P1602" s="247" t="s">
        <v>6776</v>
      </c>
      <c r="Q1602" s="154" t="str">
        <f t="shared" si="1"/>
        <v>#ERROR!</v>
      </c>
      <c r="R1602" s="154" t="s">
        <v>66</v>
      </c>
      <c r="S1602" s="154" t="s">
        <v>66</v>
      </c>
      <c r="T1602" s="154" t="s">
        <v>66</v>
      </c>
      <c r="U1602" s="154" t="s">
        <v>66</v>
      </c>
      <c r="V1602" s="154" t="s">
        <v>66</v>
      </c>
      <c r="W1602" s="154" t="s">
        <v>66</v>
      </c>
      <c r="X1602" s="154" t="s">
        <v>66</v>
      </c>
      <c r="Y1602" s="154" t="s">
        <v>66</v>
      </c>
      <c r="Z1602" s="154" t="s">
        <v>66</v>
      </c>
      <c r="AA1602" s="154"/>
      <c r="AB1602" s="242" t="str">
        <f t="shared" si="2"/>
        <v>#ERROR!</v>
      </c>
      <c r="AC1602" s="154" t="s">
        <v>391</v>
      </c>
      <c r="AD1602" s="242" t="b">
        <f t="shared" si="3"/>
        <v>0</v>
      </c>
      <c r="AE1602" s="154"/>
      <c r="AF1602" s="242" t="str">
        <f t="shared" si="4"/>
        <v>#ERROR!</v>
      </c>
      <c r="AG1602" s="154"/>
      <c r="AH1602" s="242" t="str">
        <f>IF(AG1602="","N/A",INDIRECT("MTR!"&amp;ADDRESS(MATCH(LEFT(AG1602,9),[1]MTR!C:C,0),COLUMN(J1602)),TRUE) &amp; "")</f>
        <v>#ERROR!</v>
      </c>
      <c r="AI1602" s="157" t="str">
        <f t="shared" si="5"/>
        <v>#ERROR!</v>
      </c>
    </row>
    <row r="1603" ht="12.75" customHeight="1">
      <c r="A1603" s="244" t="s">
        <v>5158</v>
      </c>
      <c r="B1603" s="244" t="s">
        <v>231</v>
      </c>
      <c r="C1603" s="244" t="s">
        <v>10759</v>
      </c>
      <c r="D1603" s="154" t="s">
        <v>45</v>
      </c>
      <c r="E1603" s="154"/>
      <c r="F1603" s="154" t="str">
        <f t="array" ref="F1603">XLOOKUP(Cover!$D$12,$R$1:$Z$1,$R1603:$Z1603)</f>
        <v>Information</v>
      </c>
      <c r="G1603" s="154" t="s">
        <v>10760</v>
      </c>
      <c r="H1603" s="154" t="s">
        <v>1489</v>
      </c>
      <c r="I1603" s="154" t="s">
        <v>10758</v>
      </c>
      <c r="J1603" s="154" t="s">
        <v>5782</v>
      </c>
      <c r="K1603" s="154" t="s">
        <v>10748</v>
      </c>
      <c r="L1603" s="154" t="s">
        <v>10718</v>
      </c>
      <c r="M1603" s="154"/>
      <c r="N1603" s="154" t="s">
        <v>759</v>
      </c>
      <c r="O1603" s="247" t="s">
        <v>516</v>
      </c>
      <c r="P1603" s="247" t="s">
        <v>6776</v>
      </c>
      <c r="Q1603" s="154" t="str">
        <f t="shared" si="1"/>
        <v>#ERROR!</v>
      </c>
      <c r="R1603" s="154" t="s">
        <v>66</v>
      </c>
      <c r="S1603" s="154" t="s">
        <v>66</v>
      </c>
      <c r="T1603" s="154" t="s">
        <v>66</v>
      </c>
      <c r="U1603" s="154" t="s">
        <v>66</v>
      </c>
      <c r="V1603" s="154" t="s">
        <v>66</v>
      </c>
      <c r="W1603" s="154" t="s">
        <v>66</v>
      </c>
      <c r="X1603" s="154" t="s">
        <v>66</v>
      </c>
      <c r="Y1603" s="154" t="s">
        <v>66</v>
      </c>
      <c r="Z1603" s="154" t="s">
        <v>66</v>
      </c>
      <c r="AA1603" s="154"/>
      <c r="AB1603" s="242" t="str">
        <f t="shared" si="2"/>
        <v>#ERROR!</v>
      </c>
      <c r="AC1603" s="154" t="s">
        <v>391</v>
      </c>
      <c r="AD1603" s="242" t="b">
        <f t="shared" si="3"/>
        <v>0</v>
      </c>
      <c r="AE1603" s="154"/>
      <c r="AF1603" s="242" t="str">
        <f t="shared" si="4"/>
        <v>#ERROR!</v>
      </c>
      <c r="AG1603" s="154"/>
      <c r="AH1603" s="242" t="str">
        <f>IF(AG1603="","N/A",INDIRECT("MTR!"&amp;ADDRESS(MATCH(LEFT(AG1603,9),[1]MTR!C:C,0),COLUMN(J1603)),TRUE) &amp; "")</f>
        <v>#ERROR!</v>
      </c>
      <c r="AI1603" s="157" t="str">
        <f t="shared" si="5"/>
        <v>#ERROR!</v>
      </c>
    </row>
    <row r="1604" ht="12.75" customHeight="1">
      <c r="A1604" s="244" t="s">
        <v>5158</v>
      </c>
      <c r="B1604" s="244" t="s">
        <v>231</v>
      </c>
      <c r="C1604" s="244" t="s">
        <v>10761</v>
      </c>
      <c r="D1604" s="154" t="s">
        <v>781</v>
      </c>
      <c r="E1604" s="154"/>
      <c r="F1604" s="154" t="str">
        <f t="array" ref="F1604">XLOOKUP(Cover!$D$12,$R$1:$Z$1,$R1604:$Z1604)</f>
        <v>Information</v>
      </c>
      <c r="G1604" s="154" t="s">
        <v>10762</v>
      </c>
      <c r="H1604" s="154" t="s">
        <v>7317</v>
      </c>
      <c r="I1604" s="154" t="s">
        <v>10763</v>
      </c>
      <c r="J1604" s="154" t="s">
        <v>5888</v>
      </c>
      <c r="K1604" s="154" t="s">
        <v>10748</v>
      </c>
      <c r="L1604" s="154" t="s">
        <v>6140</v>
      </c>
      <c r="M1604" s="154"/>
      <c r="N1604" s="154" t="s">
        <v>759</v>
      </c>
      <c r="O1604" s="247" t="s">
        <v>516</v>
      </c>
      <c r="P1604" s="247" t="s">
        <v>6776</v>
      </c>
      <c r="Q1604" s="154" t="str">
        <f t="shared" si="1"/>
        <v>#ERROR!</v>
      </c>
      <c r="R1604" s="154" t="s">
        <v>66</v>
      </c>
      <c r="S1604" s="154" t="s">
        <v>66</v>
      </c>
      <c r="T1604" s="154" t="s">
        <v>66</v>
      </c>
      <c r="U1604" s="154" t="s">
        <v>66</v>
      </c>
      <c r="V1604" s="154" t="s">
        <v>66</v>
      </c>
      <c r="W1604" s="154" t="s">
        <v>66</v>
      </c>
      <c r="X1604" s="154" t="s">
        <v>66</v>
      </c>
      <c r="Y1604" s="154" t="s">
        <v>66</v>
      </c>
      <c r="Z1604" s="154" t="s">
        <v>66</v>
      </c>
      <c r="AA1604" s="154"/>
      <c r="AB1604" s="242" t="str">
        <f t="shared" si="2"/>
        <v>#ERROR!</v>
      </c>
      <c r="AC1604" s="154" t="s">
        <v>391</v>
      </c>
      <c r="AD1604" s="242" t="b">
        <f t="shared" si="3"/>
        <v>0</v>
      </c>
      <c r="AE1604" s="154"/>
      <c r="AF1604" s="242" t="str">
        <f t="shared" si="4"/>
        <v>#ERROR!</v>
      </c>
      <c r="AG1604" s="154"/>
      <c r="AH1604" s="242" t="str">
        <f>IF(AG1604="","N/A",INDIRECT("MTR!"&amp;ADDRESS(MATCH(LEFT(AG1604,9),[1]MTR!C:C,0),COLUMN(J1604)),TRUE) &amp; "")</f>
        <v>#ERROR!</v>
      </c>
      <c r="AI1604" s="157" t="str">
        <f t="shared" si="5"/>
        <v>#ERROR!</v>
      </c>
    </row>
    <row r="1605" ht="12.75" customHeight="1">
      <c r="A1605" s="244" t="s">
        <v>5158</v>
      </c>
      <c r="B1605" s="244" t="s">
        <v>231</v>
      </c>
      <c r="C1605" s="244" t="s">
        <v>10764</v>
      </c>
      <c r="D1605" s="154" t="s">
        <v>781</v>
      </c>
      <c r="E1605" s="154"/>
      <c r="F1605" s="154" t="str">
        <f t="array" ref="F1605">XLOOKUP(Cover!$D$12,$R$1:$Z$1,$R1605:$Z1605)</f>
        <v>Information</v>
      </c>
      <c r="G1605" s="154" t="s">
        <v>10765</v>
      </c>
      <c r="H1605" s="154" t="s">
        <v>8516</v>
      </c>
      <c r="I1605" s="154" t="s">
        <v>10763</v>
      </c>
      <c r="J1605" s="154" t="s">
        <v>5888</v>
      </c>
      <c r="K1605" s="154" t="s">
        <v>10748</v>
      </c>
      <c r="L1605" s="154" t="s">
        <v>6140</v>
      </c>
      <c r="M1605" s="154"/>
      <c r="N1605" s="154" t="s">
        <v>759</v>
      </c>
      <c r="O1605" s="247" t="s">
        <v>516</v>
      </c>
      <c r="P1605" s="247" t="s">
        <v>6776</v>
      </c>
      <c r="Q1605" s="154" t="str">
        <f t="shared" si="1"/>
        <v>#ERROR!</v>
      </c>
      <c r="R1605" s="154" t="s">
        <v>66</v>
      </c>
      <c r="S1605" s="154" t="s">
        <v>66</v>
      </c>
      <c r="T1605" s="154" t="s">
        <v>66</v>
      </c>
      <c r="U1605" s="154" t="s">
        <v>66</v>
      </c>
      <c r="V1605" s="154" t="s">
        <v>66</v>
      </c>
      <c r="W1605" s="154" t="s">
        <v>66</v>
      </c>
      <c r="X1605" s="154" t="s">
        <v>66</v>
      </c>
      <c r="Y1605" s="154" t="s">
        <v>66</v>
      </c>
      <c r="Z1605" s="154" t="s">
        <v>66</v>
      </c>
      <c r="AA1605" s="154"/>
      <c r="AB1605" s="242" t="str">
        <f t="shared" si="2"/>
        <v>#ERROR!</v>
      </c>
      <c r="AC1605" s="154" t="s">
        <v>391</v>
      </c>
      <c r="AD1605" s="242" t="b">
        <f t="shared" si="3"/>
        <v>0</v>
      </c>
      <c r="AE1605" s="154"/>
      <c r="AF1605" s="242" t="str">
        <f t="shared" si="4"/>
        <v>#ERROR!</v>
      </c>
      <c r="AG1605" s="154"/>
      <c r="AH1605" s="242" t="str">
        <f>IF(AG1605="","N/A",INDIRECT("MTR!"&amp;ADDRESS(MATCH(LEFT(AG1605,9),[1]MTR!C:C,0),COLUMN(J1605)),TRUE) &amp; "")</f>
        <v>#ERROR!</v>
      </c>
      <c r="AI1605" s="157" t="str">
        <f t="shared" si="5"/>
        <v>#ERROR!</v>
      </c>
    </row>
    <row r="1606" ht="12.75" customHeight="1">
      <c r="A1606" s="244" t="s">
        <v>5158</v>
      </c>
      <c r="B1606" s="244" t="s">
        <v>231</v>
      </c>
      <c r="C1606" s="244" t="s">
        <v>10766</v>
      </c>
      <c r="D1606" s="154" t="s">
        <v>781</v>
      </c>
      <c r="E1606" s="154"/>
      <c r="F1606" s="154" t="str">
        <f t="array" ref="F1606">XLOOKUP(Cover!$D$12,$R$1:$Z$1,$R1606:$Z1606)</f>
        <v>Information</v>
      </c>
      <c r="G1606" s="154" t="s">
        <v>10767</v>
      </c>
      <c r="H1606" s="154" t="s">
        <v>7304</v>
      </c>
      <c r="I1606" s="154" t="s">
        <v>10768</v>
      </c>
      <c r="J1606" s="154" t="s">
        <v>7349</v>
      </c>
      <c r="K1606" s="154" t="s">
        <v>10748</v>
      </c>
      <c r="L1606" s="154" t="s">
        <v>6140</v>
      </c>
      <c r="M1606" s="154"/>
      <c r="N1606" s="154" t="s">
        <v>759</v>
      </c>
      <c r="O1606" s="247" t="s">
        <v>516</v>
      </c>
      <c r="P1606" s="247" t="s">
        <v>6776</v>
      </c>
      <c r="Q1606" s="154" t="str">
        <f t="shared" si="1"/>
        <v>#ERROR!</v>
      </c>
      <c r="R1606" s="154" t="s">
        <v>66</v>
      </c>
      <c r="S1606" s="154" t="s">
        <v>66</v>
      </c>
      <c r="T1606" s="154" t="s">
        <v>66</v>
      </c>
      <c r="U1606" s="154" t="s">
        <v>66</v>
      </c>
      <c r="V1606" s="154" t="s">
        <v>66</v>
      </c>
      <c r="W1606" s="154" t="s">
        <v>66</v>
      </c>
      <c r="X1606" s="154" t="s">
        <v>66</v>
      </c>
      <c r="Y1606" s="154" t="s">
        <v>66</v>
      </c>
      <c r="Z1606" s="154" t="s">
        <v>66</v>
      </c>
      <c r="AA1606" s="154"/>
      <c r="AB1606" s="242" t="str">
        <f t="shared" si="2"/>
        <v>#ERROR!</v>
      </c>
      <c r="AC1606" s="154" t="s">
        <v>391</v>
      </c>
      <c r="AD1606" s="242" t="b">
        <f t="shared" si="3"/>
        <v>0</v>
      </c>
      <c r="AE1606" s="154"/>
      <c r="AF1606" s="242" t="str">
        <f t="shared" si="4"/>
        <v>#ERROR!</v>
      </c>
      <c r="AG1606" s="154"/>
      <c r="AH1606" s="242" t="str">
        <f>IF(AG1606="","N/A",INDIRECT("MTR!"&amp;ADDRESS(MATCH(LEFT(AG1606,9),[1]MTR!C:C,0),COLUMN(J1606)),TRUE) &amp; "")</f>
        <v>#ERROR!</v>
      </c>
      <c r="AI1606" s="157" t="str">
        <f t="shared" si="5"/>
        <v>#ERROR!</v>
      </c>
    </row>
    <row r="1607" ht="12.75" customHeight="1">
      <c r="A1607" s="244" t="s">
        <v>5158</v>
      </c>
      <c r="B1607" s="244" t="s">
        <v>231</v>
      </c>
      <c r="C1607" s="244" t="s">
        <v>10769</v>
      </c>
      <c r="D1607" s="154" t="s">
        <v>781</v>
      </c>
      <c r="E1607" s="154"/>
      <c r="F1607" s="154" t="str">
        <f t="array" ref="F1607">XLOOKUP(Cover!$D$12,$R$1:$Z$1,$R1607:$Z1607)</f>
        <v>Information</v>
      </c>
      <c r="G1607" s="154" t="s">
        <v>10770</v>
      </c>
      <c r="H1607" s="154" t="s">
        <v>8507</v>
      </c>
      <c r="I1607" s="154" t="s">
        <v>10768</v>
      </c>
      <c r="J1607" s="154" t="s">
        <v>7349</v>
      </c>
      <c r="K1607" s="154" t="s">
        <v>10748</v>
      </c>
      <c r="L1607" s="154" t="s">
        <v>6140</v>
      </c>
      <c r="M1607" s="154"/>
      <c r="N1607" s="154" t="s">
        <v>759</v>
      </c>
      <c r="O1607" s="247" t="s">
        <v>516</v>
      </c>
      <c r="P1607" s="247" t="s">
        <v>6776</v>
      </c>
      <c r="Q1607" s="154" t="str">
        <f t="shared" si="1"/>
        <v>#ERROR!</v>
      </c>
      <c r="R1607" s="154" t="s">
        <v>66</v>
      </c>
      <c r="S1607" s="154" t="s">
        <v>66</v>
      </c>
      <c r="T1607" s="154" t="s">
        <v>66</v>
      </c>
      <c r="U1607" s="154" t="s">
        <v>66</v>
      </c>
      <c r="V1607" s="154" t="s">
        <v>66</v>
      </c>
      <c r="W1607" s="154" t="s">
        <v>66</v>
      </c>
      <c r="X1607" s="154" t="s">
        <v>66</v>
      </c>
      <c r="Y1607" s="154" t="s">
        <v>66</v>
      </c>
      <c r="Z1607" s="154" t="s">
        <v>66</v>
      </c>
      <c r="AA1607" s="154"/>
      <c r="AB1607" s="242" t="str">
        <f t="shared" si="2"/>
        <v>#ERROR!</v>
      </c>
      <c r="AC1607" s="154" t="s">
        <v>391</v>
      </c>
      <c r="AD1607" s="242" t="b">
        <f t="shared" si="3"/>
        <v>0</v>
      </c>
      <c r="AE1607" s="154"/>
      <c r="AF1607" s="242" t="str">
        <f t="shared" si="4"/>
        <v>#ERROR!</v>
      </c>
      <c r="AG1607" s="154"/>
      <c r="AH1607" s="242" t="str">
        <f>IF(AG1607="","N/A",INDIRECT("MTR!"&amp;ADDRESS(MATCH(LEFT(AG1607,9),[1]MTR!C:C,0),COLUMN(J1607)),TRUE) &amp; "")</f>
        <v>#ERROR!</v>
      </c>
      <c r="AI1607" s="157" t="str">
        <f t="shared" si="5"/>
        <v>#ERROR!</v>
      </c>
    </row>
    <row r="1608" ht="12.75" customHeight="1">
      <c r="A1608" s="244" t="s">
        <v>5158</v>
      </c>
      <c r="B1608" s="244" t="s">
        <v>231</v>
      </c>
      <c r="C1608" s="244" t="s">
        <v>10771</v>
      </c>
      <c r="D1608" s="154" t="s">
        <v>781</v>
      </c>
      <c r="E1608" s="154"/>
      <c r="F1608" s="154" t="str">
        <f t="array" ref="F1608">XLOOKUP(Cover!$D$12,$R$1:$Z$1,$R1608:$Z1608)</f>
        <v>Information</v>
      </c>
      <c r="G1608" s="154" t="s">
        <v>10772</v>
      </c>
      <c r="H1608" s="154" t="s">
        <v>7317</v>
      </c>
      <c r="I1608" s="154" t="s">
        <v>10768</v>
      </c>
      <c r="J1608" s="154" t="s">
        <v>7349</v>
      </c>
      <c r="K1608" s="154" t="s">
        <v>10748</v>
      </c>
      <c r="L1608" s="154" t="s">
        <v>6140</v>
      </c>
      <c r="M1608" s="154"/>
      <c r="N1608" s="154" t="s">
        <v>759</v>
      </c>
      <c r="O1608" s="247" t="s">
        <v>516</v>
      </c>
      <c r="P1608" s="247" t="s">
        <v>6776</v>
      </c>
      <c r="Q1608" s="154" t="str">
        <f t="shared" si="1"/>
        <v>#ERROR!</v>
      </c>
      <c r="R1608" s="154" t="s">
        <v>66</v>
      </c>
      <c r="S1608" s="154" t="s">
        <v>66</v>
      </c>
      <c r="T1608" s="154" t="s">
        <v>66</v>
      </c>
      <c r="U1608" s="154" t="s">
        <v>66</v>
      </c>
      <c r="V1608" s="154" t="s">
        <v>66</v>
      </c>
      <c r="W1608" s="154" t="s">
        <v>66</v>
      </c>
      <c r="X1608" s="154" t="s">
        <v>66</v>
      </c>
      <c r="Y1608" s="154" t="s">
        <v>66</v>
      </c>
      <c r="Z1608" s="154" t="s">
        <v>66</v>
      </c>
      <c r="AA1608" s="154"/>
      <c r="AB1608" s="242" t="str">
        <f t="shared" si="2"/>
        <v>#ERROR!</v>
      </c>
      <c r="AC1608" s="154" t="s">
        <v>391</v>
      </c>
      <c r="AD1608" s="242" t="b">
        <f t="shared" si="3"/>
        <v>0</v>
      </c>
      <c r="AE1608" s="154"/>
      <c r="AF1608" s="242" t="str">
        <f t="shared" si="4"/>
        <v>#ERROR!</v>
      </c>
      <c r="AG1608" s="154"/>
      <c r="AH1608" s="242" t="str">
        <f>IF(AG1608="","N/A",INDIRECT("MTR!"&amp;ADDRESS(MATCH(LEFT(AG1608,9),[1]MTR!C:C,0),COLUMN(J1608)),TRUE) &amp; "")</f>
        <v>#ERROR!</v>
      </c>
      <c r="AI1608" s="157" t="str">
        <f t="shared" si="5"/>
        <v>#ERROR!</v>
      </c>
    </row>
    <row r="1609" ht="12.75" customHeight="1">
      <c r="A1609" s="244" t="s">
        <v>5158</v>
      </c>
      <c r="B1609" s="244" t="s">
        <v>231</v>
      </c>
      <c r="C1609" s="244" t="s">
        <v>10773</v>
      </c>
      <c r="D1609" s="154" t="s">
        <v>781</v>
      </c>
      <c r="E1609" s="154"/>
      <c r="F1609" s="154" t="str">
        <f t="array" ref="F1609">XLOOKUP(Cover!$D$12,$R$1:$Z$1,$R1609:$Z1609)</f>
        <v>Information</v>
      </c>
      <c r="G1609" s="154" t="s">
        <v>10774</v>
      </c>
      <c r="H1609" s="154" t="s">
        <v>8516</v>
      </c>
      <c r="I1609" s="154" t="s">
        <v>10768</v>
      </c>
      <c r="J1609" s="154" t="s">
        <v>7349</v>
      </c>
      <c r="K1609" s="154" t="s">
        <v>10748</v>
      </c>
      <c r="L1609" s="154" t="s">
        <v>6140</v>
      </c>
      <c r="M1609" s="154"/>
      <c r="N1609" s="154" t="s">
        <v>759</v>
      </c>
      <c r="O1609" s="247" t="s">
        <v>516</v>
      </c>
      <c r="P1609" s="247" t="s">
        <v>6776</v>
      </c>
      <c r="Q1609" s="154" t="str">
        <f t="shared" si="1"/>
        <v>#ERROR!</v>
      </c>
      <c r="R1609" s="154" t="s">
        <v>66</v>
      </c>
      <c r="S1609" s="154" t="s">
        <v>66</v>
      </c>
      <c r="T1609" s="154" t="s">
        <v>66</v>
      </c>
      <c r="U1609" s="154" t="s">
        <v>66</v>
      </c>
      <c r="V1609" s="154" t="s">
        <v>66</v>
      </c>
      <c r="W1609" s="154" t="s">
        <v>66</v>
      </c>
      <c r="X1609" s="154" t="s">
        <v>66</v>
      </c>
      <c r="Y1609" s="154" t="s">
        <v>66</v>
      </c>
      <c r="Z1609" s="154" t="s">
        <v>66</v>
      </c>
      <c r="AA1609" s="154"/>
      <c r="AB1609" s="242" t="str">
        <f t="shared" si="2"/>
        <v>#ERROR!</v>
      </c>
      <c r="AC1609" s="154" t="s">
        <v>391</v>
      </c>
      <c r="AD1609" s="242" t="b">
        <f t="shared" si="3"/>
        <v>0</v>
      </c>
      <c r="AE1609" s="154"/>
      <c r="AF1609" s="242" t="str">
        <f t="shared" si="4"/>
        <v>#ERROR!</v>
      </c>
      <c r="AG1609" s="154"/>
      <c r="AH1609" s="242" t="str">
        <f>IF(AG1609="","N/A",INDIRECT("MTR!"&amp;ADDRESS(MATCH(LEFT(AG1609,9),[1]MTR!C:C,0),COLUMN(J1609)),TRUE) &amp; "")</f>
        <v>#ERROR!</v>
      </c>
      <c r="AI1609" s="157" t="str">
        <f t="shared" si="5"/>
        <v>#ERROR!</v>
      </c>
    </row>
    <row r="1610" ht="12.75" customHeight="1">
      <c r="A1610" s="238" t="s">
        <v>5158</v>
      </c>
      <c r="B1610" s="238" t="s">
        <v>231</v>
      </c>
      <c r="C1610" s="238" t="s">
        <v>10775</v>
      </c>
      <c r="D1610" s="240"/>
      <c r="E1610" s="240" t="s">
        <v>92</v>
      </c>
      <c r="F1610" s="240" t="str">
        <f t="array" ref="F1610">XLOOKUP(Cover!$D$12,$R$1:$Z$1,$R1610:$Z1610)</f>
        <v>Heading</v>
      </c>
      <c r="G1610" s="239" t="s">
        <v>10776</v>
      </c>
      <c r="H1610" s="240"/>
      <c r="I1610" s="240"/>
      <c r="J1610" s="240"/>
      <c r="K1610" s="240"/>
      <c r="L1610" s="240"/>
      <c r="M1610" s="240"/>
      <c r="N1610" s="240" t="s">
        <v>759</v>
      </c>
      <c r="O1610" s="240"/>
      <c r="P1610" s="240"/>
      <c r="Q1610" s="240" t="str">
        <f t="shared" si="1"/>
        <v/>
      </c>
      <c r="R1610" s="240" t="s">
        <v>390</v>
      </c>
      <c r="S1610" s="240" t="s">
        <v>390</v>
      </c>
      <c r="T1610" s="240" t="s">
        <v>390</v>
      </c>
      <c r="U1610" s="240" t="s">
        <v>390</v>
      </c>
      <c r="V1610" s="240" t="s">
        <v>390</v>
      </c>
      <c r="W1610" s="240" t="s">
        <v>390</v>
      </c>
      <c r="X1610" s="240" t="s">
        <v>390</v>
      </c>
      <c r="Y1610" s="240" t="s">
        <v>390</v>
      </c>
      <c r="Z1610" s="240" t="s">
        <v>390</v>
      </c>
      <c r="AA1610" s="240"/>
      <c r="AB1610" s="242" t="str">
        <f t="shared" si="2"/>
        <v>#ERROR!</v>
      </c>
      <c r="AC1610" s="240" t="s">
        <v>391</v>
      </c>
      <c r="AD1610" s="242" t="b">
        <f t="shared" si="3"/>
        <v>0</v>
      </c>
      <c r="AE1610" s="240"/>
      <c r="AF1610" s="242" t="str">
        <f t="shared" si="4"/>
        <v>#ERROR!</v>
      </c>
      <c r="AG1610" s="240"/>
      <c r="AH1610" s="242" t="str">
        <f>IF(AG1610="","N/A",INDIRECT("MTR!"&amp;ADDRESS(MATCH(LEFT(AG1610,9),[1]MTR!C:C,0),COLUMN(J1610)),TRUE) &amp; "")</f>
        <v>#ERROR!</v>
      </c>
      <c r="AI1610" s="157" t="str">
        <f t="shared" si="5"/>
        <v/>
      </c>
    </row>
    <row r="1611" ht="12.75" customHeight="1">
      <c r="A1611" s="244" t="s">
        <v>5158</v>
      </c>
      <c r="B1611" s="244" t="s">
        <v>231</v>
      </c>
      <c r="C1611" s="244" t="s">
        <v>10777</v>
      </c>
      <c r="D1611" s="154" t="s">
        <v>1069</v>
      </c>
      <c r="E1611" s="154"/>
      <c r="F1611" s="154" t="str">
        <f t="array" ref="F1611">XLOOKUP(Cover!$D$12,$R$1:$Z$1,$R1611:$Z1611)</f>
        <v>Recommended</v>
      </c>
      <c r="G1611" s="154" t="s">
        <v>10778</v>
      </c>
      <c r="H1611" s="154" t="s">
        <v>7304</v>
      </c>
      <c r="I1611" s="154" t="s">
        <v>10779</v>
      </c>
      <c r="J1611" s="154" t="s">
        <v>5730</v>
      </c>
      <c r="K1611" s="154" t="s">
        <v>10780</v>
      </c>
      <c r="L1611" s="154" t="s">
        <v>5927</v>
      </c>
      <c r="M1611" s="154"/>
      <c r="N1611" s="154" t="s">
        <v>759</v>
      </c>
      <c r="O1611" s="247" t="s">
        <v>445</v>
      </c>
      <c r="P1611" s="247" t="s">
        <v>89</v>
      </c>
      <c r="Q1611" s="154" t="str">
        <f t="shared" si="1"/>
        <v>#ERROR!</v>
      </c>
      <c r="R1611" s="154" t="s">
        <v>66</v>
      </c>
      <c r="S1611" s="154" t="s">
        <v>66</v>
      </c>
      <c r="T1611" s="154" t="s">
        <v>64</v>
      </c>
      <c r="U1611" s="154" t="s">
        <v>64</v>
      </c>
      <c r="V1611" s="154" t="s">
        <v>64</v>
      </c>
      <c r="W1611" s="154" t="s">
        <v>64</v>
      </c>
      <c r="X1611" s="154" t="s">
        <v>66</v>
      </c>
      <c r="Y1611" s="154" t="s">
        <v>64</v>
      </c>
      <c r="Z1611" s="154" t="s">
        <v>64</v>
      </c>
      <c r="AA1611" s="154"/>
      <c r="AB1611" s="242" t="str">
        <f t="shared" si="2"/>
        <v>#ERROR!</v>
      </c>
      <c r="AC1611" s="154" t="s">
        <v>391</v>
      </c>
      <c r="AD1611" s="242" t="b">
        <f t="shared" si="3"/>
        <v>0</v>
      </c>
      <c r="AE1611" s="154"/>
      <c r="AF1611" s="242" t="str">
        <f t="shared" si="4"/>
        <v>#ERROR!</v>
      </c>
      <c r="AG1611" s="154"/>
      <c r="AH1611" s="242" t="str">
        <f>IF(AG1611="","N/A",INDIRECT("MTR!"&amp;ADDRESS(MATCH(LEFT(AG1611,9),[1]MTR!C:C,0),COLUMN(J1611)),TRUE) &amp; "")</f>
        <v>#ERROR!</v>
      </c>
      <c r="AI1611" s="157" t="str">
        <f t="shared" si="5"/>
        <v>#ERROR!</v>
      </c>
    </row>
    <row r="1612" ht="12.75" customHeight="1">
      <c r="A1612" s="238" t="s">
        <v>5158</v>
      </c>
      <c r="B1612" s="238" t="s">
        <v>231</v>
      </c>
      <c r="C1612" s="238" t="s">
        <v>10781</v>
      </c>
      <c r="D1612" s="240"/>
      <c r="E1612" s="240" t="s">
        <v>92</v>
      </c>
      <c r="F1612" s="240" t="str">
        <f t="array" ref="F1612">XLOOKUP(Cover!$D$12,$R$1:$Z$1,$R1612:$Z1612)</f>
        <v>Heading</v>
      </c>
      <c r="G1612" s="239" t="s">
        <v>10782</v>
      </c>
      <c r="H1612" s="240"/>
      <c r="I1612" s="240"/>
      <c r="J1612" s="240"/>
      <c r="K1612" s="240"/>
      <c r="L1612" s="240"/>
      <c r="M1612" s="240"/>
      <c r="N1612" s="240" t="s">
        <v>759</v>
      </c>
      <c r="O1612" s="240"/>
      <c r="P1612" s="240"/>
      <c r="Q1612" s="240" t="str">
        <f t="shared" si="1"/>
        <v/>
      </c>
      <c r="R1612" s="240" t="s">
        <v>390</v>
      </c>
      <c r="S1612" s="240" t="s">
        <v>390</v>
      </c>
      <c r="T1612" s="240" t="s">
        <v>390</v>
      </c>
      <c r="U1612" s="240" t="s">
        <v>390</v>
      </c>
      <c r="V1612" s="240" t="s">
        <v>390</v>
      </c>
      <c r="W1612" s="240" t="s">
        <v>390</v>
      </c>
      <c r="X1612" s="240" t="s">
        <v>390</v>
      </c>
      <c r="Y1612" s="240" t="s">
        <v>390</v>
      </c>
      <c r="Z1612" s="240" t="s">
        <v>390</v>
      </c>
      <c r="AA1612" s="240"/>
      <c r="AB1612" s="242" t="str">
        <f t="shared" si="2"/>
        <v>#ERROR!</v>
      </c>
      <c r="AC1612" s="240" t="s">
        <v>391</v>
      </c>
      <c r="AD1612" s="242" t="b">
        <f t="shared" si="3"/>
        <v>0</v>
      </c>
      <c r="AE1612" s="240"/>
      <c r="AF1612" s="242" t="str">
        <f t="shared" si="4"/>
        <v>#ERROR!</v>
      </c>
      <c r="AG1612" s="240"/>
      <c r="AH1612" s="242" t="str">
        <f>IF(AG1612="","N/A",INDIRECT("MTR!"&amp;ADDRESS(MATCH(LEFT(AG1612,9),[1]MTR!C:C,0),COLUMN(J1612)),TRUE) &amp; "")</f>
        <v>#ERROR!</v>
      </c>
      <c r="AI1612" s="157" t="str">
        <f t="shared" si="5"/>
        <v/>
      </c>
    </row>
    <row r="1613" ht="12.75" customHeight="1">
      <c r="A1613" s="244" t="s">
        <v>5158</v>
      </c>
      <c r="B1613" s="244" t="s">
        <v>231</v>
      </c>
      <c r="C1613" s="244" t="s">
        <v>10783</v>
      </c>
      <c r="D1613" s="154" t="s">
        <v>542</v>
      </c>
      <c r="E1613" s="154"/>
      <c r="F1613" s="154" t="str">
        <f t="array" ref="F1613">XLOOKUP(Cover!$D$12,$R$1:$Z$1,$R1613:$Z1613)</f>
        <v>Mandatory</v>
      </c>
      <c r="G1613" s="154" t="s">
        <v>10784</v>
      </c>
      <c r="H1613" s="154" t="s">
        <v>7304</v>
      </c>
      <c r="I1613" s="154" t="s">
        <v>10785</v>
      </c>
      <c r="J1613" s="154" t="s">
        <v>5730</v>
      </c>
      <c r="K1613" s="154" t="s">
        <v>10786</v>
      </c>
      <c r="L1613" s="154" t="s">
        <v>6525</v>
      </c>
      <c r="M1613" s="154" t="s">
        <v>1018</v>
      </c>
      <c r="N1613" s="154" t="s">
        <v>759</v>
      </c>
      <c r="O1613" s="247" t="s">
        <v>445</v>
      </c>
      <c r="P1613" s="247" t="s">
        <v>6772</v>
      </c>
      <c r="Q1613" s="154" t="str">
        <f t="shared" si="1"/>
        <v>#ERROR!</v>
      </c>
      <c r="R1613" s="154" t="s">
        <v>66</v>
      </c>
      <c r="S1613" s="154" t="s">
        <v>66</v>
      </c>
      <c r="T1613" s="155" t="s">
        <v>64</v>
      </c>
      <c r="U1613" s="155" t="s">
        <v>64</v>
      </c>
      <c r="V1613" s="154" t="s">
        <v>60</v>
      </c>
      <c r="W1613" s="154" t="s">
        <v>60</v>
      </c>
      <c r="X1613" s="154" t="s">
        <v>66</v>
      </c>
      <c r="Y1613" s="155" t="s">
        <v>64</v>
      </c>
      <c r="Z1613" s="154" t="s">
        <v>60</v>
      </c>
      <c r="AA1613" s="154"/>
      <c r="AB1613" s="242" t="str">
        <f t="shared" si="2"/>
        <v>#ERROR!</v>
      </c>
      <c r="AC1613" s="154" t="s">
        <v>391</v>
      </c>
      <c r="AD1613" s="242" t="b">
        <f t="shared" si="3"/>
        <v>0</v>
      </c>
      <c r="AE1613" s="154"/>
      <c r="AF1613" s="242" t="str">
        <f t="shared" si="4"/>
        <v>#ERROR!</v>
      </c>
      <c r="AG1613" s="154"/>
      <c r="AH1613" s="242" t="str">
        <f>IF(AG1613="","N/A",INDIRECT("MTR!"&amp;ADDRESS(MATCH(LEFT(AG1613,9),[1]MTR!C:C,0),COLUMN(J1613)),TRUE) &amp; "")</f>
        <v>#ERROR!</v>
      </c>
      <c r="AI1613" s="157" t="str">
        <f t="shared" si="5"/>
        <v>#ERROR!</v>
      </c>
    </row>
    <row r="1614" ht="12.75" customHeight="1">
      <c r="A1614" s="244" t="s">
        <v>5158</v>
      </c>
      <c r="B1614" s="244" t="s">
        <v>231</v>
      </c>
      <c r="C1614" s="244" t="s">
        <v>10787</v>
      </c>
      <c r="D1614" s="154" t="s">
        <v>542</v>
      </c>
      <c r="E1614" s="154"/>
      <c r="F1614" s="154" t="str">
        <f t="array" ref="F1614">XLOOKUP(Cover!$D$12,$R$1:$Z$1,$R1614:$Z1614)</f>
        <v>Mandatory</v>
      </c>
      <c r="G1614" s="154" t="s">
        <v>10788</v>
      </c>
      <c r="H1614" s="154" t="s">
        <v>9002</v>
      </c>
      <c r="I1614" s="154" t="s">
        <v>10785</v>
      </c>
      <c r="J1614" s="154" t="s">
        <v>5730</v>
      </c>
      <c r="K1614" s="154" t="s">
        <v>10786</v>
      </c>
      <c r="L1614" s="154" t="s">
        <v>6525</v>
      </c>
      <c r="M1614" s="154" t="s">
        <v>1018</v>
      </c>
      <c r="N1614" s="154" t="s">
        <v>759</v>
      </c>
      <c r="O1614" s="247" t="s">
        <v>445</v>
      </c>
      <c r="P1614" s="247" t="s">
        <v>6772</v>
      </c>
      <c r="Q1614" s="154" t="str">
        <f t="shared" si="1"/>
        <v>#ERROR!</v>
      </c>
      <c r="R1614" s="154" t="s">
        <v>66</v>
      </c>
      <c r="S1614" s="154" t="s">
        <v>66</v>
      </c>
      <c r="T1614" s="155" t="s">
        <v>64</v>
      </c>
      <c r="U1614" s="155" t="s">
        <v>64</v>
      </c>
      <c r="V1614" s="154" t="s">
        <v>60</v>
      </c>
      <c r="W1614" s="154" t="s">
        <v>60</v>
      </c>
      <c r="X1614" s="154" t="s">
        <v>66</v>
      </c>
      <c r="Y1614" s="155" t="s">
        <v>64</v>
      </c>
      <c r="Z1614" s="154" t="s">
        <v>60</v>
      </c>
      <c r="AA1614" s="154"/>
      <c r="AB1614" s="242" t="str">
        <f t="shared" si="2"/>
        <v>#ERROR!</v>
      </c>
      <c r="AC1614" s="154" t="s">
        <v>391</v>
      </c>
      <c r="AD1614" s="242" t="b">
        <f t="shared" si="3"/>
        <v>0</v>
      </c>
      <c r="AE1614" s="154"/>
      <c r="AF1614" s="242" t="str">
        <f t="shared" si="4"/>
        <v>#ERROR!</v>
      </c>
      <c r="AG1614" s="154"/>
      <c r="AH1614" s="242" t="str">
        <f>IF(AG1614="","N/A",INDIRECT("MTR!"&amp;ADDRESS(MATCH(LEFT(AG1614,9),[1]MTR!C:C,0),COLUMN(J1614)),TRUE) &amp; "")</f>
        <v>#ERROR!</v>
      </c>
      <c r="AI1614" s="157" t="str">
        <f t="shared" si="5"/>
        <v>#ERROR!</v>
      </c>
    </row>
    <row r="1615" ht="12.75" customHeight="1">
      <c r="A1615" s="244" t="s">
        <v>5158</v>
      </c>
      <c r="B1615" s="244" t="s">
        <v>231</v>
      </c>
      <c r="C1615" s="244" t="s">
        <v>10789</v>
      </c>
      <c r="D1615" s="154" t="s">
        <v>542</v>
      </c>
      <c r="E1615" s="154"/>
      <c r="F1615" s="154" t="str">
        <f t="array" ref="F1615">XLOOKUP(Cover!$D$12,$R$1:$Z$1,$R1615:$Z1615)</f>
        <v>Information</v>
      </c>
      <c r="G1615" s="154" t="s">
        <v>10790</v>
      </c>
      <c r="H1615" s="154" t="s">
        <v>7311</v>
      </c>
      <c r="I1615" s="154" t="s">
        <v>10791</v>
      </c>
      <c r="J1615" s="154" t="s">
        <v>5782</v>
      </c>
      <c r="K1615" s="154" t="s">
        <v>10786</v>
      </c>
      <c r="L1615" s="154" t="s">
        <v>5909</v>
      </c>
      <c r="M1615" s="154"/>
      <c r="N1615" s="154" t="s">
        <v>759</v>
      </c>
      <c r="O1615" s="247" t="s">
        <v>445</v>
      </c>
      <c r="P1615" s="247" t="s">
        <v>6772</v>
      </c>
      <c r="Q1615" s="154" t="str">
        <f t="shared" si="1"/>
        <v>#ERROR!</v>
      </c>
      <c r="R1615" s="154" t="s">
        <v>66</v>
      </c>
      <c r="S1615" s="154" t="s">
        <v>66</v>
      </c>
      <c r="T1615" s="154" t="s">
        <v>66</v>
      </c>
      <c r="U1615" s="154" t="s">
        <v>66</v>
      </c>
      <c r="V1615" s="154" t="s">
        <v>66</v>
      </c>
      <c r="W1615" s="154" t="s">
        <v>66</v>
      </c>
      <c r="X1615" s="154" t="s">
        <v>66</v>
      </c>
      <c r="Y1615" s="154" t="s">
        <v>66</v>
      </c>
      <c r="Z1615" s="154" t="s">
        <v>66</v>
      </c>
      <c r="AA1615" s="154"/>
      <c r="AB1615" s="242" t="str">
        <f t="shared" si="2"/>
        <v>#ERROR!</v>
      </c>
      <c r="AC1615" s="154" t="s">
        <v>391</v>
      </c>
      <c r="AD1615" s="242" t="b">
        <f t="shared" si="3"/>
        <v>0</v>
      </c>
      <c r="AE1615" s="154"/>
      <c r="AF1615" s="242" t="str">
        <f t="shared" si="4"/>
        <v>#ERROR!</v>
      </c>
      <c r="AG1615" s="154"/>
      <c r="AH1615" s="242" t="str">
        <f>IF(AG1615="","N/A",INDIRECT("MTR!"&amp;ADDRESS(MATCH(LEFT(AG1615,9),[1]MTR!C:C,0),COLUMN(J1615)),TRUE) &amp; "")</f>
        <v>#ERROR!</v>
      </c>
      <c r="AI1615" s="157" t="str">
        <f t="shared" si="5"/>
        <v>#ERROR!</v>
      </c>
    </row>
    <row r="1616" ht="12.75" customHeight="1">
      <c r="A1616" s="244" t="s">
        <v>5158</v>
      </c>
      <c r="B1616" s="244" t="s">
        <v>231</v>
      </c>
      <c r="C1616" s="244" t="s">
        <v>10792</v>
      </c>
      <c r="D1616" s="154" t="s">
        <v>542</v>
      </c>
      <c r="E1616" s="154"/>
      <c r="F1616" s="154" t="str">
        <f t="array" ref="F1616">XLOOKUP(Cover!$D$12,$R$1:$Z$1,$R1616:$Z1616)</f>
        <v>Information</v>
      </c>
      <c r="G1616" s="154" t="s">
        <v>10793</v>
      </c>
      <c r="H1616" s="154" t="s">
        <v>9006</v>
      </c>
      <c r="I1616" s="154" t="s">
        <v>10791</v>
      </c>
      <c r="J1616" s="154" t="s">
        <v>5782</v>
      </c>
      <c r="K1616" s="154" t="s">
        <v>10786</v>
      </c>
      <c r="L1616" s="154" t="s">
        <v>6064</v>
      </c>
      <c r="M1616" s="154"/>
      <c r="N1616" s="154" t="s">
        <v>759</v>
      </c>
      <c r="O1616" s="247" t="s">
        <v>445</v>
      </c>
      <c r="P1616" s="247" t="s">
        <v>6772</v>
      </c>
      <c r="Q1616" s="154" t="str">
        <f t="shared" si="1"/>
        <v>#ERROR!</v>
      </c>
      <c r="R1616" s="154" t="s">
        <v>66</v>
      </c>
      <c r="S1616" s="154" t="s">
        <v>66</v>
      </c>
      <c r="T1616" s="154" t="s">
        <v>66</v>
      </c>
      <c r="U1616" s="154" t="s">
        <v>66</v>
      </c>
      <c r="V1616" s="154" t="s">
        <v>66</v>
      </c>
      <c r="W1616" s="154" t="s">
        <v>66</v>
      </c>
      <c r="X1616" s="154" t="s">
        <v>66</v>
      </c>
      <c r="Y1616" s="154" t="s">
        <v>66</v>
      </c>
      <c r="Z1616" s="154" t="s">
        <v>66</v>
      </c>
      <c r="AA1616" s="154"/>
      <c r="AB1616" s="242" t="str">
        <f t="shared" si="2"/>
        <v>#ERROR!</v>
      </c>
      <c r="AC1616" s="154" t="s">
        <v>391</v>
      </c>
      <c r="AD1616" s="242" t="b">
        <f t="shared" si="3"/>
        <v>0</v>
      </c>
      <c r="AE1616" s="154"/>
      <c r="AF1616" s="242" t="str">
        <f t="shared" si="4"/>
        <v>#ERROR!</v>
      </c>
      <c r="AG1616" s="154"/>
      <c r="AH1616" s="242" t="str">
        <f>IF(AG1616="","N/A",INDIRECT("MTR!"&amp;ADDRESS(MATCH(LEFT(AG1616,9),[1]MTR!C:C,0),COLUMN(J1616)),TRUE) &amp; "")</f>
        <v>#ERROR!</v>
      </c>
      <c r="AI1616" s="157" t="str">
        <f t="shared" si="5"/>
        <v>#ERROR!</v>
      </c>
    </row>
    <row r="1617" ht="12.75" customHeight="1">
      <c r="A1617" s="244" t="s">
        <v>5158</v>
      </c>
      <c r="B1617" s="244" t="s">
        <v>231</v>
      </c>
      <c r="C1617" s="244" t="s">
        <v>10794</v>
      </c>
      <c r="D1617" s="154" t="s">
        <v>503</v>
      </c>
      <c r="E1617" s="154"/>
      <c r="F1617" s="154" t="str">
        <f t="array" ref="F1617">XLOOKUP(Cover!$D$12,$R$1:$Z$1,$R1617:$Z1617)</f>
        <v>Information</v>
      </c>
      <c r="G1617" s="154" t="s">
        <v>10795</v>
      </c>
      <c r="H1617" s="154" t="s">
        <v>7308</v>
      </c>
      <c r="I1617" s="154" t="s">
        <v>10796</v>
      </c>
      <c r="J1617" s="154" t="s">
        <v>5782</v>
      </c>
      <c r="K1617" s="154" t="s">
        <v>10786</v>
      </c>
      <c r="L1617" s="154" t="s">
        <v>7431</v>
      </c>
      <c r="M1617" s="154"/>
      <c r="N1617" s="154" t="s">
        <v>759</v>
      </c>
      <c r="O1617" s="247" t="s">
        <v>516</v>
      </c>
      <c r="P1617" s="247" t="s">
        <v>6776</v>
      </c>
      <c r="Q1617" s="154" t="str">
        <f t="shared" si="1"/>
        <v>#ERROR!</v>
      </c>
      <c r="R1617" s="154" t="s">
        <v>66</v>
      </c>
      <c r="S1617" s="154" t="s">
        <v>66</v>
      </c>
      <c r="T1617" s="154" t="s">
        <v>66</v>
      </c>
      <c r="U1617" s="154" t="s">
        <v>66</v>
      </c>
      <c r="V1617" s="154" t="s">
        <v>66</v>
      </c>
      <c r="W1617" s="154" t="s">
        <v>66</v>
      </c>
      <c r="X1617" s="154" t="s">
        <v>66</v>
      </c>
      <c r="Y1617" s="154" t="s">
        <v>66</v>
      </c>
      <c r="Z1617" s="154" t="s">
        <v>66</v>
      </c>
      <c r="AA1617" s="154"/>
      <c r="AB1617" s="242" t="str">
        <f t="shared" si="2"/>
        <v>#ERROR!</v>
      </c>
      <c r="AC1617" s="154" t="s">
        <v>391</v>
      </c>
      <c r="AD1617" s="242" t="b">
        <f t="shared" si="3"/>
        <v>0</v>
      </c>
      <c r="AE1617" s="154"/>
      <c r="AF1617" s="242" t="str">
        <f t="shared" si="4"/>
        <v>#ERROR!</v>
      </c>
      <c r="AG1617" s="154"/>
      <c r="AH1617" s="242" t="str">
        <f>IF(AG1617="","N/A",INDIRECT("MTR!"&amp;ADDRESS(MATCH(LEFT(AG1617,9),[1]MTR!C:C,0),COLUMN(J1617)),TRUE) &amp; "")</f>
        <v>#ERROR!</v>
      </c>
      <c r="AI1617" s="157" t="str">
        <f t="shared" si="5"/>
        <v>#ERROR!</v>
      </c>
    </row>
    <row r="1618" ht="12.75" customHeight="1">
      <c r="A1618" s="244" t="s">
        <v>5158</v>
      </c>
      <c r="B1618" s="244" t="s">
        <v>231</v>
      </c>
      <c r="C1618" s="244" t="s">
        <v>10797</v>
      </c>
      <c r="D1618" s="154" t="s">
        <v>503</v>
      </c>
      <c r="E1618" s="154"/>
      <c r="F1618" s="154" t="str">
        <f t="array" ref="F1618">XLOOKUP(Cover!$D$12,$R$1:$Z$1,$R1618:$Z1618)</f>
        <v>Information</v>
      </c>
      <c r="G1618" s="154" t="s">
        <v>10798</v>
      </c>
      <c r="H1618" s="154" t="s">
        <v>9006</v>
      </c>
      <c r="I1618" s="154" t="s">
        <v>10796</v>
      </c>
      <c r="J1618" s="154" t="s">
        <v>5782</v>
      </c>
      <c r="K1618" s="154" t="s">
        <v>10786</v>
      </c>
      <c r="L1618" s="154" t="s">
        <v>7431</v>
      </c>
      <c r="M1618" s="154"/>
      <c r="N1618" s="154" t="s">
        <v>759</v>
      </c>
      <c r="O1618" s="247" t="s">
        <v>516</v>
      </c>
      <c r="P1618" s="247" t="s">
        <v>6776</v>
      </c>
      <c r="Q1618" s="154" t="str">
        <f t="shared" si="1"/>
        <v>#ERROR!</v>
      </c>
      <c r="R1618" s="154" t="s">
        <v>66</v>
      </c>
      <c r="S1618" s="154" t="s">
        <v>66</v>
      </c>
      <c r="T1618" s="154" t="s">
        <v>66</v>
      </c>
      <c r="U1618" s="154" t="s">
        <v>66</v>
      </c>
      <c r="V1618" s="154" t="s">
        <v>66</v>
      </c>
      <c r="W1618" s="154" t="s">
        <v>66</v>
      </c>
      <c r="X1618" s="154" t="s">
        <v>66</v>
      </c>
      <c r="Y1618" s="154" t="s">
        <v>66</v>
      </c>
      <c r="Z1618" s="154" t="s">
        <v>66</v>
      </c>
      <c r="AA1618" s="154"/>
      <c r="AB1618" s="242" t="str">
        <f t="shared" si="2"/>
        <v>#ERROR!</v>
      </c>
      <c r="AC1618" s="154" t="s">
        <v>391</v>
      </c>
      <c r="AD1618" s="242" t="b">
        <f t="shared" si="3"/>
        <v>0</v>
      </c>
      <c r="AE1618" s="154"/>
      <c r="AF1618" s="242" t="str">
        <f t="shared" si="4"/>
        <v>#ERROR!</v>
      </c>
      <c r="AG1618" s="154"/>
      <c r="AH1618" s="242" t="str">
        <f>IF(AG1618="","N/A",INDIRECT("MTR!"&amp;ADDRESS(MATCH(LEFT(AG1618,9),[1]MTR!C:C,0),COLUMN(J1618)),TRUE) &amp; "")</f>
        <v>#ERROR!</v>
      </c>
      <c r="AI1618" s="157" t="str">
        <f t="shared" si="5"/>
        <v>#ERROR!</v>
      </c>
    </row>
    <row r="1619" ht="12.75" customHeight="1">
      <c r="A1619" s="244" t="s">
        <v>5158</v>
      </c>
      <c r="B1619" s="244" t="s">
        <v>231</v>
      </c>
      <c r="C1619" s="244" t="s">
        <v>10799</v>
      </c>
      <c r="D1619" s="154" t="s">
        <v>542</v>
      </c>
      <c r="E1619" s="154"/>
      <c r="F1619" s="154" t="str">
        <f t="array" ref="F1619">XLOOKUP(Cover!$D$12,$R$1:$Z$1,$R1619:$Z1619)</f>
        <v>Recommended</v>
      </c>
      <c r="G1619" s="154" t="s">
        <v>10800</v>
      </c>
      <c r="H1619" s="154" t="s">
        <v>7314</v>
      </c>
      <c r="I1619" s="154" t="s">
        <v>10801</v>
      </c>
      <c r="J1619" s="154" t="s">
        <v>5830</v>
      </c>
      <c r="K1619" s="154" t="s">
        <v>10786</v>
      </c>
      <c r="L1619" s="154" t="s">
        <v>6525</v>
      </c>
      <c r="M1619" s="154"/>
      <c r="N1619" s="154" t="s">
        <v>759</v>
      </c>
      <c r="O1619" s="247" t="s">
        <v>516</v>
      </c>
      <c r="P1619" s="247" t="s">
        <v>10352</v>
      </c>
      <c r="Q1619" s="154" t="str">
        <f t="shared" si="1"/>
        <v>#ERROR!</v>
      </c>
      <c r="R1619" s="154" t="s">
        <v>66</v>
      </c>
      <c r="S1619" s="154" t="s">
        <v>66</v>
      </c>
      <c r="T1619" s="154" t="s">
        <v>64</v>
      </c>
      <c r="U1619" s="154" t="s">
        <v>64</v>
      </c>
      <c r="V1619" s="154" t="s">
        <v>64</v>
      </c>
      <c r="W1619" s="154" t="s">
        <v>64</v>
      </c>
      <c r="X1619" s="154" t="s">
        <v>66</v>
      </c>
      <c r="Y1619" s="154" t="s">
        <v>64</v>
      </c>
      <c r="Z1619" s="154" t="s">
        <v>64</v>
      </c>
      <c r="AA1619" s="154"/>
      <c r="AB1619" s="242" t="str">
        <f t="shared" si="2"/>
        <v>#ERROR!</v>
      </c>
      <c r="AC1619" s="154" t="s">
        <v>391</v>
      </c>
      <c r="AD1619" s="242" t="b">
        <f t="shared" si="3"/>
        <v>0</v>
      </c>
      <c r="AE1619" s="154"/>
      <c r="AF1619" s="242" t="str">
        <f t="shared" si="4"/>
        <v>#ERROR!</v>
      </c>
      <c r="AG1619" s="154"/>
      <c r="AH1619" s="242" t="str">
        <f>IF(AG1619="","N/A",INDIRECT("MTR!"&amp;ADDRESS(MATCH(LEFT(AG1619,9),[1]MTR!C:C,0),COLUMN(J1619)),TRUE) &amp; "")</f>
        <v>#ERROR!</v>
      </c>
      <c r="AI1619" s="157" t="str">
        <f t="shared" si="5"/>
        <v>#ERROR!</v>
      </c>
    </row>
    <row r="1620" ht="12.75" customHeight="1">
      <c r="A1620" s="244" t="s">
        <v>5158</v>
      </c>
      <c r="B1620" s="244" t="s">
        <v>231</v>
      </c>
      <c r="C1620" s="244" t="s">
        <v>10802</v>
      </c>
      <c r="D1620" s="154" t="s">
        <v>542</v>
      </c>
      <c r="E1620" s="154"/>
      <c r="F1620" s="154" t="str">
        <f t="array" ref="F1620">XLOOKUP(Cover!$D$12,$R$1:$Z$1,$R1620:$Z1620)</f>
        <v>Recommended</v>
      </c>
      <c r="G1620" s="154" t="s">
        <v>10803</v>
      </c>
      <c r="H1620" s="154" t="s">
        <v>9009</v>
      </c>
      <c r="I1620" s="154" t="s">
        <v>10801</v>
      </c>
      <c r="J1620" s="154" t="s">
        <v>5830</v>
      </c>
      <c r="K1620" s="154" t="s">
        <v>10786</v>
      </c>
      <c r="L1620" s="154" t="s">
        <v>6525</v>
      </c>
      <c r="M1620" s="154"/>
      <c r="N1620" s="154" t="s">
        <v>759</v>
      </c>
      <c r="O1620" s="247" t="s">
        <v>445</v>
      </c>
      <c r="P1620" s="247" t="s">
        <v>89</v>
      </c>
      <c r="Q1620" s="154" t="str">
        <f t="shared" si="1"/>
        <v>#ERROR!</v>
      </c>
      <c r="R1620" s="154" t="s">
        <v>66</v>
      </c>
      <c r="S1620" s="154" t="s">
        <v>66</v>
      </c>
      <c r="T1620" s="154" t="s">
        <v>64</v>
      </c>
      <c r="U1620" s="154" t="s">
        <v>64</v>
      </c>
      <c r="V1620" s="154" t="s">
        <v>64</v>
      </c>
      <c r="W1620" s="154" t="s">
        <v>64</v>
      </c>
      <c r="X1620" s="154" t="s">
        <v>66</v>
      </c>
      <c r="Y1620" s="154" t="s">
        <v>64</v>
      </c>
      <c r="Z1620" s="154" t="s">
        <v>64</v>
      </c>
      <c r="AA1620" s="154"/>
      <c r="AB1620" s="242" t="str">
        <f t="shared" si="2"/>
        <v>#ERROR!</v>
      </c>
      <c r="AC1620" s="154" t="s">
        <v>391</v>
      </c>
      <c r="AD1620" s="242" t="b">
        <f t="shared" si="3"/>
        <v>0</v>
      </c>
      <c r="AE1620" s="154"/>
      <c r="AF1620" s="242" t="str">
        <f t="shared" si="4"/>
        <v>#ERROR!</v>
      </c>
      <c r="AG1620" s="154"/>
      <c r="AH1620" s="242" t="str">
        <f>IF(AG1620="","N/A",INDIRECT("MTR!"&amp;ADDRESS(MATCH(LEFT(AG1620,9),[1]MTR!C:C,0),COLUMN(J1620)),TRUE) &amp; "")</f>
        <v>#ERROR!</v>
      </c>
      <c r="AI1620" s="157" t="str">
        <f t="shared" si="5"/>
        <v>#ERROR!</v>
      </c>
    </row>
    <row r="1621" ht="12.75" customHeight="1">
      <c r="A1621" s="244" t="s">
        <v>5158</v>
      </c>
      <c r="B1621" s="244" t="s">
        <v>231</v>
      </c>
      <c r="C1621" s="244" t="s">
        <v>10804</v>
      </c>
      <c r="D1621" s="154" t="s">
        <v>1069</v>
      </c>
      <c r="E1621" s="154"/>
      <c r="F1621" s="154" t="str">
        <f t="array" ref="F1621">XLOOKUP(Cover!$D$12,$R$1:$Z$1,$R1621:$Z1621)</f>
        <v>Recommended</v>
      </c>
      <c r="G1621" s="154" t="s">
        <v>10805</v>
      </c>
      <c r="H1621" s="154" t="s">
        <v>7317</v>
      </c>
      <c r="I1621" s="154" t="s">
        <v>10806</v>
      </c>
      <c r="J1621" s="154" t="s">
        <v>5888</v>
      </c>
      <c r="K1621" s="154" t="s">
        <v>10786</v>
      </c>
      <c r="L1621" s="154" t="s">
        <v>5927</v>
      </c>
      <c r="M1621" s="154"/>
      <c r="N1621" s="154" t="s">
        <v>759</v>
      </c>
      <c r="O1621" s="247" t="s">
        <v>445</v>
      </c>
      <c r="P1621" s="247" t="s">
        <v>6772</v>
      </c>
      <c r="Q1621" s="154" t="str">
        <f t="shared" si="1"/>
        <v>#ERROR!</v>
      </c>
      <c r="R1621" s="154" t="s">
        <v>66</v>
      </c>
      <c r="S1621" s="154" t="s">
        <v>66</v>
      </c>
      <c r="T1621" s="154" t="s">
        <v>64</v>
      </c>
      <c r="U1621" s="154" t="s">
        <v>64</v>
      </c>
      <c r="V1621" s="154" t="s">
        <v>64</v>
      </c>
      <c r="W1621" s="154" t="s">
        <v>64</v>
      </c>
      <c r="X1621" s="154" t="s">
        <v>66</v>
      </c>
      <c r="Y1621" s="154" t="s">
        <v>64</v>
      </c>
      <c r="Z1621" s="154" t="s">
        <v>64</v>
      </c>
      <c r="AA1621" s="154"/>
      <c r="AB1621" s="242" t="str">
        <f t="shared" si="2"/>
        <v>#ERROR!</v>
      </c>
      <c r="AC1621" s="154" t="s">
        <v>391</v>
      </c>
      <c r="AD1621" s="242" t="b">
        <f t="shared" si="3"/>
        <v>0</v>
      </c>
      <c r="AE1621" s="154"/>
      <c r="AF1621" s="242" t="str">
        <f t="shared" si="4"/>
        <v>#ERROR!</v>
      </c>
      <c r="AG1621" s="154"/>
      <c r="AH1621" s="242" t="str">
        <f>IF(AG1621="","N/A",INDIRECT("MTR!"&amp;ADDRESS(MATCH(LEFT(AG1621,9),[1]MTR!C:C,0),COLUMN(J1621)),TRUE) &amp; "")</f>
        <v>#ERROR!</v>
      </c>
      <c r="AI1621" s="157" t="str">
        <f t="shared" si="5"/>
        <v>#ERROR!</v>
      </c>
    </row>
    <row r="1622" ht="12.75" customHeight="1">
      <c r="A1622" s="244" t="s">
        <v>5158</v>
      </c>
      <c r="B1622" s="244" t="s">
        <v>231</v>
      </c>
      <c r="C1622" s="244" t="s">
        <v>10807</v>
      </c>
      <c r="D1622" s="154" t="s">
        <v>1069</v>
      </c>
      <c r="E1622" s="154"/>
      <c r="F1622" s="154" t="str">
        <f t="array" ref="F1622">XLOOKUP(Cover!$D$12,$R$1:$Z$1,$R1622:$Z1622)</f>
        <v>Recommended</v>
      </c>
      <c r="G1622" s="154" t="s">
        <v>10808</v>
      </c>
      <c r="H1622" s="154" t="s">
        <v>9012</v>
      </c>
      <c r="I1622" s="154" t="s">
        <v>10806</v>
      </c>
      <c r="J1622" s="154" t="s">
        <v>5888</v>
      </c>
      <c r="K1622" s="154" t="s">
        <v>10786</v>
      </c>
      <c r="L1622" s="154" t="s">
        <v>5927</v>
      </c>
      <c r="M1622" s="154"/>
      <c r="N1622" s="154" t="s">
        <v>759</v>
      </c>
      <c r="O1622" s="247" t="s">
        <v>445</v>
      </c>
      <c r="P1622" s="247" t="s">
        <v>6772</v>
      </c>
      <c r="Q1622" s="154" t="str">
        <f t="shared" si="1"/>
        <v>#ERROR!</v>
      </c>
      <c r="R1622" s="154" t="s">
        <v>66</v>
      </c>
      <c r="S1622" s="154" t="s">
        <v>66</v>
      </c>
      <c r="T1622" s="154" t="s">
        <v>64</v>
      </c>
      <c r="U1622" s="154" t="s">
        <v>64</v>
      </c>
      <c r="V1622" s="154" t="s">
        <v>64</v>
      </c>
      <c r="W1622" s="154" t="s">
        <v>64</v>
      </c>
      <c r="X1622" s="154" t="s">
        <v>66</v>
      </c>
      <c r="Y1622" s="154" t="s">
        <v>64</v>
      </c>
      <c r="Z1622" s="154" t="s">
        <v>64</v>
      </c>
      <c r="AA1622" s="154"/>
      <c r="AB1622" s="242" t="str">
        <f t="shared" si="2"/>
        <v>#ERROR!</v>
      </c>
      <c r="AC1622" s="154" t="s">
        <v>391</v>
      </c>
      <c r="AD1622" s="242" t="b">
        <f t="shared" si="3"/>
        <v>0</v>
      </c>
      <c r="AE1622" s="154"/>
      <c r="AF1622" s="242" t="str">
        <f t="shared" si="4"/>
        <v>#ERROR!</v>
      </c>
      <c r="AG1622" s="154"/>
      <c r="AH1622" s="242" t="str">
        <f>IF(AG1622="","N/A",INDIRECT("MTR!"&amp;ADDRESS(MATCH(LEFT(AG1622,9),[1]MTR!C:C,0),COLUMN(J1622)),TRUE) &amp; "")</f>
        <v>#ERROR!</v>
      </c>
      <c r="AI1622" s="157" t="str">
        <f t="shared" si="5"/>
        <v>#ERROR!</v>
      </c>
    </row>
    <row r="1623" ht="12.75" customHeight="1">
      <c r="A1623" s="244" t="s">
        <v>5158</v>
      </c>
      <c r="B1623" s="244" t="s">
        <v>231</v>
      </c>
      <c r="C1623" s="244" t="s">
        <v>10809</v>
      </c>
      <c r="D1623" s="154" t="s">
        <v>542</v>
      </c>
      <c r="E1623" s="154"/>
      <c r="F1623" s="154" t="str">
        <f t="array" ref="F1623">XLOOKUP(Cover!$D$12,$R$1:$Z$1,$R1623:$Z1623)</f>
        <v>Mandatory</v>
      </c>
      <c r="G1623" s="154" t="s">
        <v>10810</v>
      </c>
      <c r="H1623" s="154" t="s">
        <v>7320</v>
      </c>
      <c r="I1623" s="154" t="s">
        <v>10811</v>
      </c>
      <c r="J1623" s="154" t="s">
        <v>5897</v>
      </c>
      <c r="K1623" s="154" t="s">
        <v>10786</v>
      </c>
      <c r="L1623" s="154" t="s">
        <v>6525</v>
      </c>
      <c r="M1623" s="154" t="s">
        <v>1018</v>
      </c>
      <c r="N1623" s="154" t="s">
        <v>759</v>
      </c>
      <c r="O1623" s="247" t="s">
        <v>445</v>
      </c>
      <c r="P1623" s="247" t="s">
        <v>6772</v>
      </c>
      <c r="Q1623" s="154" t="str">
        <f t="shared" si="1"/>
        <v>#ERROR!</v>
      </c>
      <c r="R1623" s="154" t="s">
        <v>66</v>
      </c>
      <c r="S1623" s="154" t="s">
        <v>66</v>
      </c>
      <c r="T1623" s="155" t="s">
        <v>64</v>
      </c>
      <c r="U1623" s="155" t="s">
        <v>64</v>
      </c>
      <c r="V1623" s="154" t="s">
        <v>60</v>
      </c>
      <c r="W1623" s="154" t="s">
        <v>60</v>
      </c>
      <c r="X1623" s="154" t="s">
        <v>66</v>
      </c>
      <c r="Y1623" s="155" t="s">
        <v>64</v>
      </c>
      <c r="Z1623" s="154" t="s">
        <v>60</v>
      </c>
      <c r="AA1623" s="154"/>
      <c r="AB1623" s="242" t="str">
        <f t="shared" si="2"/>
        <v>#ERROR!</v>
      </c>
      <c r="AC1623" s="154" t="s">
        <v>391</v>
      </c>
      <c r="AD1623" s="242" t="b">
        <f t="shared" si="3"/>
        <v>0</v>
      </c>
      <c r="AE1623" s="154"/>
      <c r="AF1623" s="242" t="str">
        <f t="shared" si="4"/>
        <v>#ERROR!</v>
      </c>
      <c r="AG1623" s="154"/>
      <c r="AH1623" s="242" t="str">
        <f>IF(AG1623="","N/A",INDIRECT("MTR!"&amp;ADDRESS(MATCH(LEFT(AG1623,9),[1]MTR!C:C,0),COLUMN(J1623)),TRUE) &amp; "")</f>
        <v>#ERROR!</v>
      </c>
      <c r="AI1623" s="157" t="str">
        <f t="shared" si="5"/>
        <v>#ERROR!</v>
      </c>
    </row>
    <row r="1624" ht="12.75" customHeight="1">
      <c r="A1624" s="244" t="s">
        <v>5158</v>
      </c>
      <c r="B1624" s="244" t="s">
        <v>231</v>
      </c>
      <c r="C1624" s="244" t="s">
        <v>10812</v>
      </c>
      <c r="D1624" s="154" t="s">
        <v>542</v>
      </c>
      <c r="E1624" s="154"/>
      <c r="F1624" s="154" t="str">
        <f t="array" ref="F1624">XLOOKUP(Cover!$D$12,$R$1:$Z$1,$R1624:$Z1624)</f>
        <v>Mandatory</v>
      </c>
      <c r="G1624" s="154" t="s">
        <v>10813</v>
      </c>
      <c r="H1624" s="154" t="s">
        <v>9015</v>
      </c>
      <c r="I1624" s="154" t="s">
        <v>10811</v>
      </c>
      <c r="J1624" s="154" t="s">
        <v>5897</v>
      </c>
      <c r="K1624" s="154" t="s">
        <v>10786</v>
      </c>
      <c r="L1624" s="154" t="s">
        <v>6525</v>
      </c>
      <c r="M1624" s="154" t="s">
        <v>1018</v>
      </c>
      <c r="N1624" s="154" t="s">
        <v>759</v>
      </c>
      <c r="O1624" s="247" t="s">
        <v>445</v>
      </c>
      <c r="P1624" s="247" t="s">
        <v>6772</v>
      </c>
      <c r="Q1624" s="154" t="str">
        <f t="shared" si="1"/>
        <v>#ERROR!</v>
      </c>
      <c r="R1624" s="154" t="s">
        <v>66</v>
      </c>
      <c r="S1624" s="154" t="s">
        <v>66</v>
      </c>
      <c r="T1624" s="155" t="s">
        <v>64</v>
      </c>
      <c r="U1624" s="155" t="s">
        <v>64</v>
      </c>
      <c r="V1624" s="154" t="s">
        <v>60</v>
      </c>
      <c r="W1624" s="154" t="s">
        <v>60</v>
      </c>
      <c r="X1624" s="154" t="s">
        <v>66</v>
      </c>
      <c r="Y1624" s="155" t="s">
        <v>64</v>
      </c>
      <c r="Z1624" s="154" t="s">
        <v>60</v>
      </c>
      <c r="AA1624" s="154"/>
      <c r="AB1624" s="242" t="str">
        <f t="shared" si="2"/>
        <v>#ERROR!</v>
      </c>
      <c r="AC1624" s="154" t="s">
        <v>391</v>
      </c>
      <c r="AD1624" s="242" t="b">
        <f t="shared" si="3"/>
        <v>0</v>
      </c>
      <c r="AE1624" s="154"/>
      <c r="AF1624" s="242" t="str">
        <f t="shared" si="4"/>
        <v>#ERROR!</v>
      </c>
      <c r="AG1624" s="154"/>
      <c r="AH1624" s="242" t="str">
        <f>IF(AG1624="","N/A",INDIRECT("MTR!"&amp;ADDRESS(MATCH(LEFT(AG1624,9),[1]MTR!C:C,0),COLUMN(J1624)),TRUE) &amp; "")</f>
        <v>#ERROR!</v>
      </c>
      <c r="AI1624" s="157" t="str">
        <f t="shared" si="5"/>
        <v>#ERROR!</v>
      </c>
    </row>
    <row r="1625" ht="12.75" customHeight="1">
      <c r="A1625" s="244" t="s">
        <v>5158</v>
      </c>
      <c r="B1625" s="244" t="s">
        <v>231</v>
      </c>
      <c r="C1625" s="244" t="s">
        <v>10814</v>
      </c>
      <c r="D1625" s="154" t="s">
        <v>781</v>
      </c>
      <c r="E1625" s="154"/>
      <c r="F1625" s="154" t="str">
        <f t="array" ref="F1625">XLOOKUP(Cover!$D$12,$R$1:$Z$1,$R1625:$Z1625)</f>
        <v>Information</v>
      </c>
      <c r="G1625" s="154" t="s">
        <v>10815</v>
      </c>
      <c r="H1625" s="154" t="s">
        <v>7323</v>
      </c>
      <c r="I1625" s="154" t="s">
        <v>10816</v>
      </c>
      <c r="J1625" s="154" t="s">
        <v>5903</v>
      </c>
      <c r="K1625" s="154" t="s">
        <v>10786</v>
      </c>
      <c r="L1625" s="154" t="s">
        <v>6140</v>
      </c>
      <c r="M1625" s="154"/>
      <c r="N1625" s="154" t="s">
        <v>759</v>
      </c>
      <c r="O1625" s="247" t="s">
        <v>445</v>
      </c>
      <c r="P1625" s="247" t="s">
        <v>6772</v>
      </c>
      <c r="Q1625" s="154" t="str">
        <f t="shared" si="1"/>
        <v>#ERROR!</v>
      </c>
      <c r="R1625" s="154" t="s">
        <v>66</v>
      </c>
      <c r="S1625" s="154" t="s">
        <v>66</v>
      </c>
      <c r="T1625" s="154" t="s">
        <v>66</v>
      </c>
      <c r="U1625" s="154" t="s">
        <v>66</v>
      </c>
      <c r="V1625" s="154" t="s">
        <v>66</v>
      </c>
      <c r="W1625" s="154" t="s">
        <v>66</v>
      </c>
      <c r="X1625" s="154" t="s">
        <v>66</v>
      </c>
      <c r="Y1625" s="154" t="s">
        <v>66</v>
      </c>
      <c r="Z1625" s="154" t="s">
        <v>66</v>
      </c>
      <c r="AA1625" s="154"/>
      <c r="AB1625" s="242" t="str">
        <f t="shared" si="2"/>
        <v>#ERROR!</v>
      </c>
      <c r="AC1625" s="154" t="s">
        <v>391</v>
      </c>
      <c r="AD1625" s="242" t="b">
        <f t="shared" si="3"/>
        <v>0</v>
      </c>
      <c r="AE1625" s="154"/>
      <c r="AF1625" s="242" t="str">
        <f t="shared" si="4"/>
        <v>#ERROR!</v>
      </c>
      <c r="AG1625" s="154"/>
      <c r="AH1625" s="242" t="str">
        <f>IF(AG1625="","N/A",INDIRECT("MTR!"&amp;ADDRESS(MATCH(LEFT(AG1625,9),[1]MTR!C:C,0),COLUMN(J1625)),TRUE) &amp; "")</f>
        <v>#ERROR!</v>
      </c>
      <c r="AI1625" s="157" t="str">
        <f t="shared" si="5"/>
        <v>#ERROR!</v>
      </c>
    </row>
    <row r="1626" ht="12.75" customHeight="1">
      <c r="A1626" s="244" t="s">
        <v>5158</v>
      </c>
      <c r="B1626" s="244" t="s">
        <v>231</v>
      </c>
      <c r="C1626" s="244" t="s">
        <v>10817</v>
      </c>
      <c r="D1626" s="154" t="s">
        <v>781</v>
      </c>
      <c r="E1626" s="154"/>
      <c r="F1626" s="154" t="str">
        <f t="array" ref="F1626">XLOOKUP(Cover!$D$12,$R$1:$Z$1,$R1626:$Z1626)</f>
        <v>Information</v>
      </c>
      <c r="G1626" s="154" t="s">
        <v>10818</v>
      </c>
      <c r="H1626" s="154" t="s">
        <v>1541</v>
      </c>
      <c r="I1626" s="154" t="s">
        <v>10816</v>
      </c>
      <c r="J1626" s="154" t="s">
        <v>5903</v>
      </c>
      <c r="K1626" s="154" t="s">
        <v>10786</v>
      </c>
      <c r="L1626" s="154" t="s">
        <v>6140</v>
      </c>
      <c r="M1626" s="154"/>
      <c r="N1626" s="154" t="s">
        <v>759</v>
      </c>
      <c r="O1626" s="247" t="s">
        <v>445</v>
      </c>
      <c r="P1626" s="247" t="s">
        <v>6772</v>
      </c>
      <c r="Q1626" s="154" t="str">
        <f t="shared" si="1"/>
        <v>#ERROR!</v>
      </c>
      <c r="R1626" s="154" t="s">
        <v>66</v>
      </c>
      <c r="S1626" s="154" t="s">
        <v>66</v>
      </c>
      <c r="T1626" s="154" t="s">
        <v>66</v>
      </c>
      <c r="U1626" s="154" t="s">
        <v>66</v>
      </c>
      <c r="V1626" s="154" t="s">
        <v>66</v>
      </c>
      <c r="W1626" s="154" t="s">
        <v>66</v>
      </c>
      <c r="X1626" s="154" t="s">
        <v>66</v>
      </c>
      <c r="Y1626" s="154" t="s">
        <v>66</v>
      </c>
      <c r="Z1626" s="154" t="s">
        <v>66</v>
      </c>
      <c r="AA1626" s="154"/>
      <c r="AB1626" s="242" t="str">
        <f t="shared" si="2"/>
        <v>#ERROR!</v>
      </c>
      <c r="AC1626" s="154" t="s">
        <v>391</v>
      </c>
      <c r="AD1626" s="242" t="b">
        <f t="shared" si="3"/>
        <v>0</v>
      </c>
      <c r="AE1626" s="154"/>
      <c r="AF1626" s="242" t="str">
        <f t="shared" si="4"/>
        <v>#ERROR!</v>
      </c>
      <c r="AG1626" s="154"/>
      <c r="AH1626" s="242" t="str">
        <f>IF(AG1626="","N/A",INDIRECT("MTR!"&amp;ADDRESS(MATCH(LEFT(AG1626,9),[1]MTR!C:C,0),COLUMN(J1626)),TRUE) &amp; "")</f>
        <v>#ERROR!</v>
      </c>
      <c r="AI1626" s="157" t="str">
        <f t="shared" si="5"/>
        <v>#ERROR!</v>
      </c>
    </row>
    <row r="1627" ht="12.75" customHeight="1">
      <c r="A1627" s="244" t="s">
        <v>5158</v>
      </c>
      <c r="B1627" s="244" t="s">
        <v>231</v>
      </c>
      <c r="C1627" s="244" t="s">
        <v>10819</v>
      </c>
      <c r="D1627" s="154" t="s">
        <v>861</v>
      </c>
      <c r="E1627" s="154"/>
      <c r="F1627" s="154" t="str">
        <f t="array" ref="F1627">XLOOKUP(Cover!$D$12,$R$1:$Z$1,$R1627:$Z1627)</f>
        <v>Information</v>
      </c>
      <c r="G1627" s="154" t="s">
        <v>10820</v>
      </c>
      <c r="H1627" s="154" t="s">
        <v>7304</v>
      </c>
      <c r="I1627" s="154" t="s">
        <v>10821</v>
      </c>
      <c r="J1627" s="154" t="s">
        <v>6791</v>
      </c>
      <c r="K1627" s="154" t="s">
        <v>10786</v>
      </c>
      <c r="L1627" s="154" t="s">
        <v>6428</v>
      </c>
      <c r="M1627" s="154"/>
      <c r="N1627" s="154" t="s">
        <v>759</v>
      </c>
      <c r="O1627" s="247" t="s">
        <v>516</v>
      </c>
      <c r="P1627" s="247" t="s">
        <v>6776</v>
      </c>
      <c r="Q1627" s="154" t="str">
        <f t="shared" si="1"/>
        <v>#ERROR!</v>
      </c>
      <c r="R1627" s="154" t="s">
        <v>66</v>
      </c>
      <c r="S1627" s="154" t="s">
        <v>66</v>
      </c>
      <c r="T1627" s="154" t="s">
        <v>66</v>
      </c>
      <c r="U1627" s="154" t="s">
        <v>66</v>
      </c>
      <c r="V1627" s="154" t="s">
        <v>66</v>
      </c>
      <c r="W1627" s="154" t="s">
        <v>66</v>
      </c>
      <c r="X1627" s="154" t="s">
        <v>66</v>
      </c>
      <c r="Y1627" s="154" t="s">
        <v>66</v>
      </c>
      <c r="Z1627" s="154" t="s">
        <v>66</v>
      </c>
      <c r="AA1627" s="154"/>
      <c r="AB1627" s="242" t="str">
        <f t="shared" si="2"/>
        <v>#ERROR!</v>
      </c>
      <c r="AC1627" s="154" t="s">
        <v>391</v>
      </c>
      <c r="AD1627" s="242" t="b">
        <f t="shared" si="3"/>
        <v>0</v>
      </c>
      <c r="AE1627" s="154"/>
      <c r="AF1627" s="242" t="str">
        <f t="shared" si="4"/>
        <v>#ERROR!</v>
      </c>
      <c r="AG1627" s="154"/>
      <c r="AH1627" s="242" t="str">
        <f>IF(AG1627="","N/A",INDIRECT("MTR!"&amp;ADDRESS(MATCH(LEFT(AG1627,9),[1]MTR!C:C,0),COLUMN(J1627)),TRUE) &amp; "")</f>
        <v>#ERROR!</v>
      </c>
      <c r="AI1627" s="157" t="str">
        <f t="shared" si="5"/>
        <v>#ERROR!</v>
      </c>
    </row>
    <row r="1628" ht="12.75" customHeight="1">
      <c r="A1628" s="244" t="s">
        <v>5158</v>
      </c>
      <c r="B1628" s="244" t="s">
        <v>231</v>
      </c>
      <c r="C1628" s="244" t="s">
        <v>10822</v>
      </c>
      <c r="D1628" s="154" t="s">
        <v>861</v>
      </c>
      <c r="E1628" s="154"/>
      <c r="F1628" s="154" t="str">
        <f t="array" ref="F1628">XLOOKUP(Cover!$D$12,$R$1:$Z$1,$R1628:$Z1628)</f>
        <v>Information</v>
      </c>
      <c r="G1628" s="154" t="s">
        <v>10823</v>
      </c>
      <c r="H1628" s="154" t="s">
        <v>9002</v>
      </c>
      <c r="I1628" s="154" t="s">
        <v>10821</v>
      </c>
      <c r="J1628" s="154" t="s">
        <v>6791</v>
      </c>
      <c r="K1628" s="154" t="s">
        <v>10786</v>
      </c>
      <c r="L1628" s="154" t="s">
        <v>6428</v>
      </c>
      <c r="M1628" s="154"/>
      <c r="N1628" s="154" t="s">
        <v>759</v>
      </c>
      <c r="O1628" s="247" t="s">
        <v>516</v>
      </c>
      <c r="P1628" s="247" t="s">
        <v>6776</v>
      </c>
      <c r="Q1628" s="154" t="str">
        <f t="shared" si="1"/>
        <v>#ERROR!</v>
      </c>
      <c r="R1628" s="154" t="s">
        <v>66</v>
      </c>
      <c r="S1628" s="154" t="s">
        <v>66</v>
      </c>
      <c r="T1628" s="154" t="s">
        <v>66</v>
      </c>
      <c r="U1628" s="154" t="s">
        <v>66</v>
      </c>
      <c r="V1628" s="154" t="s">
        <v>66</v>
      </c>
      <c r="W1628" s="154" t="s">
        <v>66</v>
      </c>
      <c r="X1628" s="154" t="s">
        <v>66</v>
      </c>
      <c r="Y1628" s="154" t="s">
        <v>66</v>
      </c>
      <c r="Z1628" s="154" t="s">
        <v>66</v>
      </c>
      <c r="AA1628" s="154"/>
      <c r="AB1628" s="242" t="str">
        <f t="shared" si="2"/>
        <v>#ERROR!</v>
      </c>
      <c r="AC1628" s="154" t="s">
        <v>391</v>
      </c>
      <c r="AD1628" s="242" t="b">
        <f t="shared" si="3"/>
        <v>0</v>
      </c>
      <c r="AE1628" s="154"/>
      <c r="AF1628" s="242" t="str">
        <f t="shared" si="4"/>
        <v>#ERROR!</v>
      </c>
      <c r="AG1628" s="154"/>
      <c r="AH1628" s="242" t="str">
        <f>IF(AG1628="","N/A",INDIRECT("MTR!"&amp;ADDRESS(MATCH(LEFT(AG1628,9),[1]MTR!C:C,0),COLUMN(J1628)),TRUE) &amp; "")</f>
        <v>#ERROR!</v>
      </c>
      <c r="AI1628" s="157" t="str">
        <f t="shared" si="5"/>
        <v>#ERROR!</v>
      </c>
    </row>
    <row r="1629" ht="12.75" customHeight="1">
      <c r="A1629" s="244" t="s">
        <v>5158</v>
      </c>
      <c r="B1629" s="244" t="s">
        <v>231</v>
      </c>
      <c r="C1629" s="244" t="s">
        <v>10824</v>
      </c>
      <c r="D1629" s="154" t="s">
        <v>861</v>
      </c>
      <c r="E1629" s="154"/>
      <c r="F1629" s="154" t="str">
        <f t="array" ref="F1629">XLOOKUP(Cover!$D$12,$R$1:$Z$1,$R1629:$Z1629)</f>
        <v>Information</v>
      </c>
      <c r="G1629" s="154" t="s">
        <v>10825</v>
      </c>
      <c r="H1629" s="154" t="s">
        <v>7311</v>
      </c>
      <c r="I1629" s="154" t="s">
        <v>10821</v>
      </c>
      <c r="J1629" s="154" t="s">
        <v>6791</v>
      </c>
      <c r="K1629" s="154" t="s">
        <v>10786</v>
      </c>
      <c r="L1629" s="154" t="s">
        <v>6428</v>
      </c>
      <c r="M1629" s="154"/>
      <c r="N1629" s="154" t="s">
        <v>759</v>
      </c>
      <c r="O1629" s="247" t="s">
        <v>516</v>
      </c>
      <c r="P1629" s="247" t="s">
        <v>6776</v>
      </c>
      <c r="Q1629" s="154" t="str">
        <f t="shared" si="1"/>
        <v>#ERROR!</v>
      </c>
      <c r="R1629" s="154" t="s">
        <v>66</v>
      </c>
      <c r="S1629" s="154" t="s">
        <v>66</v>
      </c>
      <c r="T1629" s="154" t="s">
        <v>66</v>
      </c>
      <c r="U1629" s="154" t="s">
        <v>66</v>
      </c>
      <c r="V1629" s="154" t="s">
        <v>66</v>
      </c>
      <c r="W1629" s="154" t="s">
        <v>66</v>
      </c>
      <c r="X1629" s="154" t="s">
        <v>66</v>
      </c>
      <c r="Y1629" s="154" t="s">
        <v>66</v>
      </c>
      <c r="Z1629" s="154" t="s">
        <v>66</v>
      </c>
      <c r="AA1629" s="154"/>
      <c r="AB1629" s="242" t="str">
        <f t="shared" si="2"/>
        <v>#ERROR!</v>
      </c>
      <c r="AC1629" s="154" t="s">
        <v>391</v>
      </c>
      <c r="AD1629" s="242" t="b">
        <f t="shared" si="3"/>
        <v>0</v>
      </c>
      <c r="AE1629" s="154"/>
      <c r="AF1629" s="242" t="str">
        <f t="shared" si="4"/>
        <v>#ERROR!</v>
      </c>
      <c r="AG1629" s="154"/>
      <c r="AH1629" s="242" t="str">
        <f>IF(AG1629="","N/A",INDIRECT("MTR!"&amp;ADDRESS(MATCH(LEFT(AG1629,9),[1]MTR!C:C,0),COLUMN(J1629)),TRUE) &amp; "")</f>
        <v>#ERROR!</v>
      </c>
      <c r="AI1629" s="157" t="str">
        <f t="shared" si="5"/>
        <v>#ERROR!</v>
      </c>
    </row>
    <row r="1630" ht="12.75" customHeight="1">
      <c r="A1630" s="244" t="s">
        <v>5158</v>
      </c>
      <c r="B1630" s="244" t="s">
        <v>231</v>
      </c>
      <c r="C1630" s="244" t="s">
        <v>10826</v>
      </c>
      <c r="D1630" s="154" t="s">
        <v>861</v>
      </c>
      <c r="E1630" s="154"/>
      <c r="F1630" s="154" t="str">
        <f t="array" ref="F1630">XLOOKUP(Cover!$D$12,$R$1:$Z$1,$R1630:$Z1630)</f>
        <v>Information</v>
      </c>
      <c r="G1630" s="154" t="s">
        <v>10827</v>
      </c>
      <c r="H1630" s="154" t="s">
        <v>9006</v>
      </c>
      <c r="I1630" s="154" t="s">
        <v>10821</v>
      </c>
      <c r="J1630" s="154" t="s">
        <v>6791</v>
      </c>
      <c r="K1630" s="154" t="s">
        <v>10786</v>
      </c>
      <c r="L1630" s="154" t="s">
        <v>6428</v>
      </c>
      <c r="M1630" s="154"/>
      <c r="N1630" s="154" t="s">
        <v>759</v>
      </c>
      <c r="O1630" s="247" t="s">
        <v>516</v>
      </c>
      <c r="P1630" s="247" t="s">
        <v>6776</v>
      </c>
      <c r="Q1630" s="154" t="str">
        <f t="shared" si="1"/>
        <v>#ERROR!</v>
      </c>
      <c r="R1630" s="154" t="s">
        <v>66</v>
      </c>
      <c r="S1630" s="154" t="s">
        <v>66</v>
      </c>
      <c r="T1630" s="154" t="s">
        <v>66</v>
      </c>
      <c r="U1630" s="154" t="s">
        <v>66</v>
      </c>
      <c r="V1630" s="154" t="s">
        <v>66</v>
      </c>
      <c r="W1630" s="154" t="s">
        <v>66</v>
      </c>
      <c r="X1630" s="154" t="s">
        <v>66</v>
      </c>
      <c r="Y1630" s="154" t="s">
        <v>66</v>
      </c>
      <c r="Z1630" s="154" t="s">
        <v>66</v>
      </c>
      <c r="AA1630" s="154"/>
      <c r="AB1630" s="242" t="str">
        <f t="shared" si="2"/>
        <v>#ERROR!</v>
      </c>
      <c r="AC1630" s="154" t="s">
        <v>391</v>
      </c>
      <c r="AD1630" s="242" t="b">
        <f t="shared" si="3"/>
        <v>0</v>
      </c>
      <c r="AE1630" s="154"/>
      <c r="AF1630" s="242" t="str">
        <f t="shared" si="4"/>
        <v>#ERROR!</v>
      </c>
      <c r="AG1630" s="154"/>
      <c r="AH1630" s="242" t="str">
        <f>IF(AG1630="","N/A",INDIRECT("MTR!"&amp;ADDRESS(MATCH(LEFT(AG1630,9),[1]MTR!C:C,0),COLUMN(J1630)),TRUE) &amp; "")</f>
        <v>#ERROR!</v>
      </c>
      <c r="AI1630" s="157" t="str">
        <f t="shared" si="5"/>
        <v>#ERROR!</v>
      </c>
    </row>
    <row r="1631" ht="12.75" customHeight="1">
      <c r="A1631" s="244" t="s">
        <v>5158</v>
      </c>
      <c r="B1631" s="244" t="s">
        <v>231</v>
      </c>
      <c r="C1631" s="244" t="s">
        <v>10828</v>
      </c>
      <c r="D1631" s="154" t="s">
        <v>546</v>
      </c>
      <c r="E1631" s="154"/>
      <c r="F1631" s="154" t="str">
        <f t="array" ref="F1631">XLOOKUP(Cover!$D$12,$R$1:$Z$1,$R1631:$Z1631)</f>
        <v>Mandatory</v>
      </c>
      <c r="G1631" s="154" t="s">
        <v>10829</v>
      </c>
      <c r="H1631" s="154" t="s">
        <v>7304</v>
      </c>
      <c r="I1631" s="154" t="s">
        <v>10830</v>
      </c>
      <c r="J1631" s="154" t="s">
        <v>6797</v>
      </c>
      <c r="K1631" s="154" t="s">
        <v>10786</v>
      </c>
      <c r="L1631" s="154" t="s">
        <v>6529</v>
      </c>
      <c r="M1631" s="154" t="s">
        <v>175</v>
      </c>
      <c r="N1631" s="154" t="s">
        <v>759</v>
      </c>
      <c r="O1631" s="247" t="s">
        <v>516</v>
      </c>
      <c r="P1631" s="247" t="s">
        <v>6776</v>
      </c>
      <c r="Q1631" s="154" t="str">
        <f t="shared" si="1"/>
        <v>#ERROR!</v>
      </c>
      <c r="R1631" s="154" t="s">
        <v>66</v>
      </c>
      <c r="S1631" s="154" t="s">
        <v>66</v>
      </c>
      <c r="T1631" s="155" t="s">
        <v>64</v>
      </c>
      <c r="U1631" s="155" t="s">
        <v>64</v>
      </c>
      <c r="V1631" s="154" t="s">
        <v>60</v>
      </c>
      <c r="W1631" s="154" t="s">
        <v>60</v>
      </c>
      <c r="X1631" s="154" t="s">
        <v>66</v>
      </c>
      <c r="Y1631" s="155" t="s">
        <v>64</v>
      </c>
      <c r="Z1631" s="154" t="s">
        <v>60</v>
      </c>
      <c r="AA1631" s="154"/>
      <c r="AB1631" s="242" t="str">
        <f t="shared" si="2"/>
        <v>#ERROR!</v>
      </c>
      <c r="AC1631" s="154" t="s">
        <v>391</v>
      </c>
      <c r="AD1631" s="242" t="b">
        <f t="shared" si="3"/>
        <v>0</v>
      </c>
      <c r="AE1631" s="154"/>
      <c r="AF1631" s="242" t="str">
        <f t="shared" si="4"/>
        <v>#ERROR!</v>
      </c>
      <c r="AG1631" s="154"/>
      <c r="AH1631" s="242" t="str">
        <f>IF(AG1631="","N/A",INDIRECT("MTR!"&amp;ADDRESS(MATCH(LEFT(AG1631,9),[1]MTR!C:C,0),COLUMN(J1631)),TRUE) &amp; "")</f>
        <v>#ERROR!</v>
      </c>
      <c r="AI1631" s="157" t="str">
        <f t="shared" si="5"/>
        <v>#ERROR!</v>
      </c>
    </row>
    <row r="1632" ht="12.75" customHeight="1">
      <c r="A1632" s="244" t="s">
        <v>5158</v>
      </c>
      <c r="B1632" s="244" t="s">
        <v>231</v>
      </c>
      <c r="C1632" s="244" t="s">
        <v>10831</v>
      </c>
      <c r="D1632" s="154" t="s">
        <v>546</v>
      </c>
      <c r="E1632" s="154"/>
      <c r="F1632" s="154" t="str">
        <f t="array" ref="F1632">XLOOKUP(Cover!$D$12,$R$1:$Z$1,$R1632:$Z1632)</f>
        <v>Mandatory</v>
      </c>
      <c r="G1632" s="154" t="s">
        <v>10832</v>
      </c>
      <c r="H1632" s="154" t="s">
        <v>9002</v>
      </c>
      <c r="I1632" s="154" t="s">
        <v>10830</v>
      </c>
      <c r="J1632" s="154" t="s">
        <v>6797</v>
      </c>
      <c r="K1632" s="154" t="s">
        <v>10786</v>
      </c>
      <c r="L1632" s="154" t="s">
        <v>6529</v>
      </c>
      <c r="M1632" s="154" t="s">
        <v>175</v>
      </c>
      <c r="N1632" s="154" t="s">
        <v>759</v>
      </c>
      <c r="O1632" s="247" t="s">
        <v>516</v>
      </c>
      <c r="P1632" s="247" t="s">
        <v>6776</v>
      </c>
      <c r="Q1632" s="154" t="str">
        <f t="shared" si="1"/>
        <v>#ERROR!</v>
      </c>
      <c r="R1632" s="154" t="s">
        <v>66</v>
      </c>
      <c r="S1632" s="154" t="s">
        <v>66</v>
      </c>
      <c r="T1632" s="155" t="s">
        <v>64</v>
      </c>
      <c r="U1632" s="155" t="s">
        <v>64</v>
      </c>
      <c r="V1632" s="154" t="s">
        <v>60</v>
      </c>
      <c r="W1632" s="154" t="s">
        <v>60</v>
      </c>
      <c r="X1632" s="154" t="s">
        <v>66</v>
      </c>
      <c r="Y1632" s="155" t="s">
        <v>64</v>
      </c>
      <c r="Z1632" s="154" t="s">
        <v>60</v>
      </c>
      <c r="AA1632" s="154"/>
      <c r="AB1632" s="242" t="str">
        <f t="shared" si="2"/>
        <v>#ERROR!</v>
      </c>
      <c r="AC1632" s="154" t="s">
        <v>391</v>
      </c>
      <c r="AD1632" s="242" t="b">
        <f t="shared" si="3"/>
        <v>0</v>
      </c>
      <c r="AE1632" s="154"/>
      <c r="AF1632" s="242" t="str">
        <f t="shared" si="4"/>
        <v>#ERROR!</v>
      </c>
      <c r="AG1632" s="154"/>
      <c r="AH1632" s="242" t="str">
        <f>IF(AG1632="","N/A",INDIRECT("MTR!"&amp;ADDRESS(MATCH(LEFT(AG1632,9),[1]MTR!C:C,0),COLUMN(J1632)),TRUE) &amp; "")</f>
        <v>#ERROR!</v>
      </c>
      <c r="AI1632" s="157" t="str">
        <f t="shared" si="5"/>
        <v>#ERROR!</v>
      </c>
    </row>
    <row r="1633" ht="12.75" customHeight="1">
      <c r="A1633" s="244" t="s">
        <v>5158</v>
      </c>
      <c r="B1633" s="244" t="s">
        <v>231</v>
      </c>
      <c r="C1633" s="244" t="s">
        <v>10833</v>
      </c>
      <c r="D1633" s="154" t="s">
        <v>546</v>
      </c>
      <c r="E1633" s="154"/>
      <c r="F1633" s="154" t="str">
        <f t="array" ref="F1633">XLOOKUP(Cover!$D$12,$R$1:$Z$1,$R1633:$Z1633)</f>
        <v>Recommended</v>
      </c>
      <c r="G1633" s="154" t="s">
        <v>10834</v>
      </c>
      <c r="H1633" s="154" t="s">
        <v>7314</v>
      </c>
      <c r="I1633" s="154" t="s">
        <v>10830</v>
      </c>
      <c r="J1633" s="154" t="s">
        <v>6797</v>
      </c>
      <c r="K1633" s="154" t="s">
        <v>10786</v>
      </c>
      <c r="L1633" s="154" t="s">
        <v>6529</v>
      </c>
      <c r="M1633" s="154"/>
      <c r="N1633" s="154" t="s">
        <v>759</v>
      </c>
      <c r="O1633" s="247" t="s">
        <v>516</v>
      </c>
      <c r="P1633" s="247" t="s">
        <v>6776</v>
      </c>
      <c r="Q1633" s="154" t="str">
        <f t="shared" si="1"/>
        <v>#ERROR!</v>
      </c>
      <c r="R1633" s="154" t="s">
        <v>66</v>
      </c>
      <c r="S1633" s="154" t="s">
        <v>66</v>
      </c>
      <c r="T1633" s="154" t="s">
        <v>64</v>
      </c>
      <c r="U1633" s="154" t="s">
        <v>64</v>
      </c>
      <c r="V1633" s="154" t="s">
        <v>64</v>
      </c>
      <c r="W1633" s="154" t="s">
        <v>64</v>
      </c>
      <c r="X1633" s="154" t="s">
        <v>66</v>
      </c>
      <c r="Y1633" s="154" t="s">
        <v>64</v>
      </c>
      <c r="Z1633" s="154" t="s">
        <v>64</v>
      </c>
      <c r="AA1633" s="154"/>
      <c r="AB1633" s="242" t="str">
        <f t="shared" si="2"/>
        <v>#ERROR!</v>
      </c>
      <c r="AC1633" s="154" t="s">
        <v>391</v>
      </c>
      <c r="AD1633" s="242" t="b">
        <f t="shared" si="3"/>
        <v>0</v>
      </c>
      <c r="AE1633" s="154"/>
      <c r="AF1633" s="242" t="str">
        <f t="shared" si="4"/>
        <v>#ERROR!</v>
      </c>
      <c r="AG1633" s="154"/>
      <c r="AH1633" s="242" t="str">
        <f>IF(AG1633="","N/A",INDIRECT("MTR!"&amp;ADDRESS(MATCH(LEFT(AG1633,9),[1]MTR!C:C,0),COLUMN(J1633)),TRUE) &amp; "")</f>
        <v>#ERROR!</v>
      </c>
      <c r="AI1633" s="157" t="str">
        <f t="shared" si="5"/>
        <v>#ERROR!</v>
      </c>
    </row>
    <row r="1634" ht="12.75" customHeight="1">
      <c r="A1634" s="244" t="s">
        <v>5158</v>
      </c>
      <c r="B1634" s="244" t="s">
        <v>231</v>
      </c>
      <c r="C1634" s="244" t="s">
        <v>10835</v>
      </c>
      <c r="D1634" s="154" t="s">
        <v>546</v>
      </c>
      <c r="E1634" s="154"/>
      <c r="F1634" s="154" t="str">
        <f t="array" ref="F1634">XLOOKUP(Cover!$D$12,$R$1:$Z$1,$R1634:$Z1634)</f>
        <v>Recommended</v>
      </c>
      <c r="G1634" s="154" t="s">
        <v>10836</v>
      </c>
      <c r="H1634" s="154" t="s">
        <v>9009</v>
      </c>
      <c r="I1634" s="154" t="s">
        <v>10830</v>
      </c>
      <c r="J1634" s="154" t="s">
        <v>6797</v>
      </c>
      <c r="K1634" s="154" t="s">
        <v>10786</v>
      </c>
      <c r="L1634" s="154" t="s">
        <v>6529</v>
      </c>
      <c r="M1634" s="154"/>
      <c r="N1634" s="154" t="s">
        <v>759</v>
      </c>
      <c r="O1634" s="247" t="s">
        <v>516</v>
      </c>
      <c r="P1634" s="247" t="s">
        <v>6776</v>
      </c>
      <c r="Q1634" s="154" t="str">
        <f t="shared" si="1"/>
        <v>#ERROR!</v>
      </c>
      <c r="R1634" s="154" t="s">
        <v>66</v>
      </c>
      <c r="S1634" s="154" t="s">
        <v>66</v>
      </c>
      <c r="T1634" s="154" t="s">
        <v>64</v>
      </c>
      <c r="U1634" s="154" t="s">
        <v>64</v>
      </c>
      <c r="V1634" s="154" t="s">
        <v>64</v>
      </c>
      <c r="W1634" s="154" t="s">
        <v>64</v>
      </c>
      <c r="X1634" s="154" t="s">
        <v>66</v>
      </c>
      <c r="Y1634" s="154" t="s">
        <v>64</v>
      </c>
      <c r="Z1634" s="154" t="s">
        <v>64</v>
      </c>
      <c r="AA1634" s="154"/>
      <c r="AB1634" s="242" t="str">
        <f t="shared" si="2"/>
        <v>#ERROR!</v>
      </c>
      <c r="AC1634" s="154" t="s">
        <v>391</v>
      </c>
      <c r="AD1634" s="242" t="b">
        <f t="shared" si="3"/>
        <v>0</v>
      </c>
      <c r="AE1634" s="154"/>
      <c r="AF1634" s="242" t="str">
        <f t="shared" si="4"/>
        <v>#ERROR!</v>
      </c>
      <c r="AG1634" s="154"/>
      <c r="AH1634" s="242" t="str">
        <f>IF(AG1634="","N/A",INDIRECT("MTR!"&amp;ADDRESS(MATCH(LEFT(AG1634,9),[1]MTR!C:C,0),COLUMN(J1634)),TRUE) &amp; "")</f>
        <v>#ERROR!</v>
      </c>
      <c r="AI1634" s="157" t="str">
        <f t="shared" si="5"/>
        <v>#ERROR!</v>
      </c>
    </row>
    <row r="1635" ht="12.75" customHeight="1">
      <c r="A1635" s="244" t="s">
        <v>5158</v>
      </c>
      <c r="B1635" s="244" t="s">
        <v>231</v>
      </c>
      <c r="C1635" s="244" t="s">
        <v>10837</v>
      </c>
      <c r="D1635" s="154" t="s">
        <v>781</v>
      </c>
      <c r="E1635" s="154"/>
      <c r="F1635" s="154" t="str">
        <f t="array" ref="F1635">XLOOKUP(Cover!$D$12,$R$1:$Z$1,$R1635:$Z1635)</f>
        <v>Mandatory</v>
      </c>
      <c r="G1635" s="154" t="s">
        <v>10838</v>
      </c>
      <c r="H1635" s="154" t="s">
        <v>7304</v>
      </c>
      <c r="I1635" s="154" t="s">
        <v>10839</v>
      </c>
      <c r="J1635" s="154" t="s">
        <v>6803</v>
      </c>
      <c r="K1635" s="154" t="s">
        <v>10786</v>
      </c>
      <c r="L1635" s="154" t="s">
        <v>6942</v>
      </c>
      <c r="M1635" s="154" t="s">
        <v>175</v>
      </c>
      <c r="N1635" s="154" t="s">
        <v>759</v>
      </c>
      <c r="O1635" s="247" t="s">
        <v>516</v>
      </c>
      <c r="P1635" s="247" t="s">
        <v>6776</v>
      </c>
      <c r="Q1635" s="154" t="str">
        <f t="shared" si="1"/>
        <v>#ERROR!</v>
      </c>
      <c r="R1635" s="154" t="s">
        <v>66</v>
      </c>
      <c r="S1635" s="154" t="s">
        <v>66</v>
      </c>
      <c r="T1635" s="155" t="s">
        <v>64</v>
      </c>
      <c r="U1635" s="155" t="s">
        <v>64</v>
      </c>
      <c r="V1635" s="154" t="s">
        <v>60</v>
      </c>
      <c r="W1635" s="154" t="s">
        <v>60</v>
      </c>
      <c r="X1635" s="154" t="s">
        <v>66</v>
      </c>
      <c r="Y1635" s="155" t="s">
        <v>64</v>
      </c>
      <c r="Z1635" s="154" t="s">
        <v>60</v>
      </c>
      <c r="AA1635" s="154"/>
      <c r="AB1635" s="242" t="str">
        <f t="shared" si="2"/>
        <v>#ERROR!</v>
      </c>
      <c r="AC1635" s="154" t="s">
        <v>391</v>
      </c>
      <c r="AD1635" s="242" t="b">
        <f t="shared" si="3"/>
        <v>0</v>
      </c>
      <c r="AE1635" s="154"/>
      <c r="AF1635" s="242" t="str">
        <f t="shared" si="4"/>
        <v>#ERROR!</v>
      </c>
      <c r="AG1635" s="154"/>
      <c r="AH1635" s="242" t="str">
        <f>IF(AG1635="","N/A",INDIRECT("MTR!"&amp;ADDRESS(MATCH(LEFT(AG1635,9),[1]MTR!C:C,0),COLUMN(J1635)),TRUE) &amp; "")</f>
        <v>#ERROR!</v>
      </c>
      <c r="AI1635" s="157" t="str">
        <f t="shared" si="5"/>
        <v>#ERROR!</v>
      </c>
    </row>
    <row r="1636" ht="12.75" customHeight="1">
      <c r="A1636" s="244" t="s">
        <v>5158</v>
      </c>
      <c r="B1636" s="244" t="s">
        <v>231</v>
      </c>
      <c r="C1636" s="244" t="s">
        <v>10840</v>
      </c>
      <c r="D1636" s="154" t="s">
        <v>781</v>
      </c>
      <c r="E1636" s="154"/>
      <c r="F1636" s="154" t="str">
        <f t="array" ref="F1636">XLOOKUP(Cover!$D$12,$R$1:$Z$1,$R1636:$Z1636)</f>
        <v>Mandatory</v>
      </c>
      <c r="G1636" s="154" t="s">
        <v>10841</v>
      </c>
      <c r="H1636" s="154" t="s">
        <v>7320</v>
      </c>
      <c r="I1636" s="154" t="s">
        <v>10839</v>
      </c>
      <c r="J1636" s="154" t="s">
        <v>6803</v>
      </c>
      <c r="K1636" s="154" t="s">
        <v>10786</v>
      </c>
      <c r="L1636" s="154" t="s">
        <v>6942</v>
      </c>
      <c r="M1636" s="154" t="s">
        <v>175</v>
      </c>
      <c r="N1636" s="154" t="s">
        <v>759</v>
      </c>
      <c r="O1636" s="247" t="s">
        <v>516</v>
      </c>
      <c r="P1636" s="247" t="s">
        <v>6776</v>
      </c>
      <c r="Q1636" s="154" t="str">
        <f t="shared" si="1"/>
        <v>#ERROR!</v>
      </c>
      <c r="R1636" s="154" t="s">
        <v>66</v>
      </c>
      <c r="S1636" s="154" t="s">
        <v>66</v>
      </c>
      <c r="T1636" s="155" t="s">
        <v>64</v>
      </c>
      <c r="U1636" s="155" t="s">
        <v>64</v>
      </c>
      <c r="V1636" s="154" t="s">
        <v>60</v>
      </c>
      <c r="W1636" s="154" t="s">
        <v>60</v>
      </c>
      <c r="X1636" s="154" t="s">
        <v>66</v>
      </c>
      <c r="Y1636" s="155" t="s">
        <v>64</v>
      </c>
      <c r="Z1636" s="154" t="s">
        <v>60</v>
      </c>
      <c r="AA1636" s="154"/>
      <c r="AB1636" s="242" t="str">
        <f t="shared" si="2"/>
        <v>#ERROR!</v>
      </c>
      <c r="AC1636" s="154" t="s">
        <v>391</v>
      </c>
      <c r="AD1636" s="242" t="b">
        <f t="shared" si="3"/>
        <v>0</v>
      </c>
      <c r="AE1636" s="154"/>
      <c r="AF1636" s="242" t="str">
        <f t="shared" si="4"/>
        <v>#ERROR!</v>
      </c>
      <c r="AG1636" s="154"/>
      <c r="AH1636" s="242" t="str">
        <f>IF(AG1636="","N/A",INDIRECT("MTR!"&amp;ADDRESS(MATCH(LEFT(AG1636,9),[1]MTR!C:C,0),COLUMN(J1636)),TRUE) &amp; "")</f>
        <v>#ERROR!</v>
      </c>
      <c r="AI1636" s="157" t="str">
        <f t="shared" si="5"/>
        <v>#ERROR!</v>
      </c>
    </row>
    <row r="1637" ht="12.75" customHeight="1">
      <c r="A1637" s="244" t="s">
        <v>5158</v>
      </c>
      <c r="B1637" s="244" t="s">
        <v>231</v>
      </c>
      <c r="C1637" s="244" t="s">
        <v>10842</v>
      </c>
      <c r="D1637" s="154" t="s">
        <v>781</v>
      </c>
      <c r="E1637" s="154"/>
      <c r="F1637" s="154" t="str">
        <f t="array" ref="F1637">XLOOKUP(Cover!$D$12,$R$1:$Z$1,$R1637:$Z1637)</f>
        <v>Mandatory</v>
      </c>
      <c r="G1637" s="154" t="s">
        <v>10843</v>
      </c>
      <c r="H1637" s="154" t="s">
        <v>9002</v>
      </c>
      <c r="I1637" s="154" t="s">
        <v>10839</v>
      </c>
      <c r="J1637" s="154" t="s">
        <v>6803</v>
      </c>
      <c r="K1637" s="154" t="s">
        <v>10786</v>
      </c>
      <c r="L1637" s="154" t="s">
        <v>6942</v>
      </c>
      <c r="M1637" s="154" t="s">
        <v>175</v>
      </c>
      <c r="N1637" s="154" t="s">
        <v>759</v>
      </c>
      <c r="O1637" s="247" t="s">
        <v>516</v>
      </c>
      <c r="P1637" s="247" t="s">
        <v>6776</v>
      </c>
      <c r="Q1637" s="154" t="str">
        <f t="shared" si="1"/>
        <v>#ERROR!</v>
      </c>
      <c r="R1637" s="154" t="s">
        <v>66</v>
      </c>
      <c r="S1637" s="154" t="s">
        <v>66</v>
      </c>
      <c r="T1637" s="155" t="s">
        <v>64</v>
      </c>
      <c r="U1637" s="155" t="s">
        <v>64</v>
      </c>
      <c r="V1637" s="154" t="s">
        <v>60</v>
      </c>
      <c r="W1637" s="154" t="s">
        <v>60</v>
      </c>
      <c r="X1637" s="154" t="s">
        <v>66</v>
      </c>
      <c r="Y1637" s="155" t="s">
        <v>64</v>
      </c>
      <c r="Z1637" s="154" t="s">
        <v>60</v>
      </c>
      <c r="AA1637" s="154"/>
      <c r="AB1637" s="242" t="str">
        <f t="shared" si="2"/>
        <v>#ERROR!</v>
      </c>
      <c r="AC1637" s="154" t="s">
        <v>391</v>
      </c>
      <c r="AD1637" s="242" t="b">
        <f t="shared" si="3"/>
        <v>0</v>
      </c>
      <c r="AE1637" s="154"/>
      <c r="AF1637" s="242" t="str">
        <f t="shared" si="4"/>
        <v>#ERROR!</v>
      </c>
      <c r="AG1637" s="154"/>
      <c r="AH1637" s="242" t="str">
        <f>IF(AG1637="","N/A",INDIRECT("MTR!"&amp;ADDRESS(MATCH(LEFT(AG1637,9),[1]MTR!C:C,0),COLUMN(J1637)),TRUE) &amp; "")</f>
        <v>#ERROR!</v>
      </c>
      <c r="AI1637" s="157" t="str">
        <f t="shared" si="5"/>
        <v>#ERROR!</v>
      </c>
    </row>
    <row r="1638" ht="12.75" customHeight="1">
      <c r="A1638" s="244" t="s">
        <v>5158</v>
      </c>
      <c r="B1638" s="244" t="s">
        <v>231</v>
      </c>
      <c r="C1638" s="244" t="s">
        <v>10844</v>
      </c>
      <c r="D1638" s="154" t="s">
        <v>781</v>
      </c>
      <c r="E1638" s="154"/>
      <c r="F1638" s="154" t="str">
        <f t="array" ref="F1638">XLOOKUP(Cover!$D$12,$R$1:$Z$1,$R1638:$Z1638)</f>
        <v>Mandatory</v>
      </c>
      <c r="G1638" s="154" t="s">
        <v>10845</v>
      </c>
      <c r="H1638" s="154" t="s">
        <v>9015</v>
      </c>
      <c r="I1638" s="154" t="s">
        <v>10839</v>
      </c>
      <c r="J1638" s="154" t="s">
        <v>6803</v>
      </c>
      <c r="K1638" s="154" t="s">
        <v>10786</v>
      </c>
      <c r="L1638" s="154" t="s">
        <v>6942</v>
      </c>
      <c r="M1638" s="154" t="s">
        <v>175</v>
      </c>
      <c r="N1638" s="154" t="s">
        <v>759</v>
      </c>
      <c r="O1638" s="247" t="s">
        <v>516</v>
      </c>
      <c r="P1638" s="247" t="s">
        <v>6776</v>
      </c>
      <c r="Q1638" s="154" t="str">
        <f t="shared" si="1"/>
        <v>#ERROR!</v>
      </c>
      <c r="R1638" s="154" t="s">
        <v>66</v>
      </c>
      <c r="S1638" s="154" t="s">
        <v>66</v>
      </c>
      <c r="T1638" s="155" t="s">
        <v>64</v>
      </c>
      <c r="U1638" s="155" t="s">
        <v>64</v>
      </c>
      <c r="V1638" s="154" t="s">
        <v>60</v>
      </c>
      <c r="W1638" s="154" t="s">
        <v>60</v>
      </c>
      <c r="X1638" s="154" t="s">
        <v>66</v>
      </c>
      <c r="Y1638" s="155" t="s">
        <v>64</v>
      </c>
      <c r="Z1638" s="154" t="s">
        <v>60</v>
      </c>
      <c r="AA1638" s="154"/>
      <c r="AB1638" s="242" t="str">
        <f t="shared" si="2"/>
        <v>#ERROR!</v>
      </c>
      <c r="AC1638" s="154" t="s">
        <v>391</v>
      </c>
      <c r="AD1638" s="242" t="b">
        <f t="shared" si="3"/>
        <v>0</v>
      </c>
      <c r="AE1638" s="154"/>
      <c r="AF1638" s="242" t="str">
        <f t="shared" si="4"/>
        <v>#ERROR!</v>
      </c>
      <c r="AG1638" s="154"/>
      <c r="AH1638" s="242" t="str">
        <f>IF(AG1638="","N/A",INDIRECT("MTR!"&amp;ADDRESS(MATCH(LEFT(AG1638,9),[1]MTR!C:C,0),COLUMN(J1638)),TRUE) &amp; "")</f>
        <v>#ERROR!</v>
      </c>
      <c r="AI1638" s="157" t="str">
        <f t="shared" si="5"/>
        <v>#ERROR!</v>
      </c>
    </row>
    <row r="1639" ht="12.75" customHeight="1">
      <c r="A1639" s="244" t="s">
        <v>5158</v>
      </c>
      <c r="B1639" s="244" t="s">
        <v>231</v>
      </c>
      <c r="C1639" s="244" t="s">
        <v>10846</v>
      </c>
      <c r="D1639" s="154" t="s">
        <v>781</v>
      </c>
      <c r="E1639" s="154"/>
      <c r="F1639" s="154" t="str">
        <f t="array" ref="F1639">XLOOKUP(Cover!$D$12,$R$1:$Z$1,$R1639:$Z1639)</f>
        <v>Information</v>
      </c>
      <c r="G1639" s="154" t="s">
        <v>10847</v>
      </c>
      <c r="H1639" s="154" t="s">
        <v>7304</v>
      </c>
      <c r="I1639" s="154" t="s">
        <v>10848</v>
      </c>
      <c r="J1639" s="154" t="s">
        <v>7360</v>
      </c>
      <c r="K1639" s="154" t="s">
        <v>10786</v>
      </c>
      <c r="L1639" s="154" t="s">
        <v>6140</v>
      </c>
      <c r="M1639" s="154"/>
      <c r="N1639" s="154" t="s">
        <v>759</v>
      </c>
      <c r="O1639" s="247" t="s">
        <v>516</v>
      </c>
      <c r="P1639" s="247" t="s">
        <v>6776</v>
      </c>
      <c r="Q1639" s="154" t="str">
        <f t="shared" si="1"/>
        <v>#ERROR!</v>
      </c>
      <c r="R1639" s="154" t="s">
        <v>66</v>
      </c>
      <c r="S1639" s="154" t="s">
        <v>66</v>
      </c>
      <c r="T1639" s="154" t="s">
        <v>66</v>
      </c>
      <c r="U1639" s="154" t="s">
        <v>66</v>
      </c>
      <c r="V1639" s="154" t="s">
        <v>66</v>
      </c>
      <c r="W1639" s="154" t="s">
        <v>66</v>
      </c>
      <c r="X1639" s="154" t="s">
        <v>66</v>
      </c>
      <c r="Y1639" s="154" t="s">
        <v>66</v>
      </c>
      <c r="Z1639" s="154" t="s">
        <v>66</v>
      </c>
      <c r="AA1639" s="154"/>
      <c r="AB1639" s="242" t="str">
        <f t="shared" si="2"/>
        <v>#ERROR!</v>
      </c>
      <c r="AC1639" s="154" t="s">
        <v>391</v>
      </c>
      <c r="AD1639" s="242" t="b">
        <f t="shared" si="3"/>
        <v>0</v>
      </c>
      <c r="AE1639" s="154"/>
      <c r="AF1639" s="242" t="str">
        <f t="shared" si="4"/>
        <v>#ERROR!</v>
      </c>
      <c r="AG1639" s="154"/>
      <c r="AH1639" s="242" t="str">
        <f>IF(AG1639="","N/A",INDIRECT("MTR!"&amp;ADDRESS(MATCH(LEFT(AG1639,9),[1]MTR!C:C,0),COLUMN(J1639)),TRUE) &amp; "")</f>
        <v>#ERROR!</v>
      </c>
      <c r="AI1639" s="157" t="str">
        <f t="shared" si="5"/>
        <v>#ERROR!</v>
      </c>
    </row>
    <row r="1640" ht="12.75" customHeight="1">
      <c r="A1640" s="244" t="s">
        <v>5158</v>
      </c>
      <c r="B1640" s="244" t="s">
        <v>231</v>
      </c>
      <c r="C1640" s="244" t="s">
        <v>10849</v>
      </c>
      <c r="D1640" s="154" t="s">
        <v>781</v>
      </c>
      <c r="E1640" s="154"/>
      <c r="F1640" s="154" t="str">
        <f t="array" ref="F1640">XLOOKUP(Cover!$D$12,$R$1:$Z$1,$R1640:$Z1640)</f>
        <v>Information</v>
      </c>
      <c r="G1640" s="154" t="s">
        <v>10850</v>
      </c>
      <c r="H1640" s="154" t="s">
        <v>9002</v>
      </c>
      <c r="I1640" s="154" t="s">
        <v>10848</v>
      </c>
      <c r="J1640" s="154" t="s">
        <v>7360</v>
      </c>
      <c r="K1640" s="154" t="s">
        <v>10786</v>
      </c>
      <c r="L1640" s="154" t="s">
        <v>6140</v>
      </c>
      <c r="M1640" s="154"/>
      <c r="N1640" s="154" t="s">
        <v>759</v>
      </c>
      <c r="O1640" s="247" t="s">
        <v>516</v>
      </c>
      <c r="P1640" s="247" t="s">
        <v>6776</v>
      </c>
      <c r="Q1640" s="154" t="str">
        <f t="shared" si="1"/>
        <v>#ERROR!</v>
      </c>
      <c r="R1640" s="154" t="s">
        <v>66</v>
      </c>
      <c r="S1640" s="154" t="s">
        <v>66</v>
      </c>
      <c r="T1640" s="154" t="s">
        <v>66</v>
      </c>
      <c r="U1640" s="154" t="s">
        <v>66</v>
      </c>
      <c r="V1640" s="154" t="s">
        <v>66</v>
      </c>
      <c r="W1640" s="154" t="s">
        <v>66</v>
      </c>
      <c r="X1640" s="154" t="s">
        <v>66</v>
      </c>
      <c r="Y1640" s="154" t="s">
        <v>66</v>
      </c>
      <c r="Z1640" s="154" t="s">
        <v>66</v>
      </c>
      <c r="AA1640" s="154"/>
      <c r="AB1640" s="242" t="str">
        <f t="shared" si="2"/>
        <v>#ERROR!</v>
      </c>
      <c r="AC1640" s="154" t="s">
        <v>391</v>
      </c>
      <c r="AD1640" s="242" t="b">
        <f t="shared" si="3"/>
        <v>0</v>
      </c>
      <c r="AE1640" s="154"/>
      <c r="AF1640" s="242" t="str">
        <f t="shared" si="4"/>
        <v>#ERROR!</v>
      </c>
      <c r="AG1640" s="154"/>
      <c r="AH1640" s="242" t="str">
        <f>IF(AG1640="","N/A",INDIRECT("MTR!"&amp;ADDRESS(MATCH(LEFT(AG1640,9),[1]MTR!C:C,0),COLUMN(J1640)),TRUE) &amp; "")</f>
        <v>#ERROR!</v>
      </c>
      <c r="AI1640" s="157" t="str">
        <f t="shared" si="5"/>
        <v>#ERROR!</v>
      </c>
    </row>
    <row r="1641" ht="12.75" customHeight="1">
      <c r="A1641" s="244" t="s">
        <v>5158</v>
      </c>
      <c r="B1641" s="244" t="s">
        <v>231</v>
      </c>
      <c r="C1641" s="244" t="s">
        <v>10851</v>
      </c>
      <c r="D1641" s="154" t="s">
        <v>781</v>
      </c>
      <c r="E1641" s="154"/>
      <c r="F1641" s="154" t="str">
        <f t="array" ref="F1641">XLOOKUP(Cover!$D$12,$R$1:$Z$1,$R1641:$Z1641)</f>
        <v>Information</v>
      </c>
      <c r="G1641" s="154" t="s">
        <v>10852</v>
      </c>
      <c r="H1641" s="154" t="s">
        <v>7323</v>
      </c>
      <c r="I1641" s="154" t="s">
        <v>10848</v>
      </c>
      <c r="J1641" s="154" t="s">
        <v>7360</v>
      </c>
      <c r="K1641" s="154" t="s">
        <v>10786</v>
      </c>
      <c r="L1641" s="154" t="s">
        <v>6140</v>
      </c>
      <c r="M1641" s="154"/>
      <c r="N1641" s="154" t="s">
        <v>759</v>
      </c>
      <c r="O1641" s="247" t="s">
        <v>516</v>
      </c>
      <c r="P1641" s="247" t="s">
        <v>6776</v>
      </c>
      <c r="Q1641" s="154" t="str">
        <f t="shared" si="1"/>
        <v>#ERROR!</v>
      </c>
      <c r="R1641" s="154" t="s">
        <v>66</v>
      </c>
      <c r="S1641" s="154" t="s">
        <v>66</v>
      </c>
      <c r="T1641" s="154" t="s">
        <v>66</v>
      </c>
      <c r="U1641" s="154" t="s">
        <v>66</v>
      </c>
      <c r="V1641" s="154" t="s">
        <v>66</v>
      </c>
      <c r="W1641" s="154" t="s">
        <v>66</v>
      </c>
      <c r="X1641" s="154" t="s">
        <v>66</v>
      </c>
      <c r="Y1641" s="154" t="s">
        <v>66</v>
      </c>
      <c r="Z1641" s="154" t="s">
        <v>66</v>
      </c>
      <c r="AA1641" s="154"/>
      <c r="AB1641" s="242" t="str">
        <f t="shared" si="2"/>
        <v>#ERROR!</v>
      </c>
      <c r="AC1641" s="154" t="s">
        <v>391</v>
      </c>
      <c r="AD1641" s="242" t="b">
        <f t="shared" si="3"/>
        <v>0</v>
      </c>
      <c r="AE1641" s="154"/>
      <c r="AF1641" s="242" t="str">
        <f t="shared" si="4"/>
        <v>#ERROR!</v>
      </c>
      <c r="AG1641" s="154"/>
      <c r="AH1641" s="242" t="str">
        <f>IF(AG1641="","N/A",INDIRECT("MTR!"&amp;ADDRESS(MATCH(LEFT(AG1641,9),[1]MTR!C:C,0),COLUMN(J1641)),TRUE) &amp; "")</f>
        <v>#ERROR!</v>
      </c>
      <c r="AI1641" s="157" t="str">
        <f t="shared" si="5"/>
        <v>#ERROR!</v>
      </c>
    </row>
    <row r="1642" ht="12.75" customHeight="1">
      <c r="A1642" s="244" t="s">
        <v>5158</v>
      </c>
      <c r="B1642" s="244" t="s">
        <v>231</v>
      </c>
      <c r="C1642" s="244" t="s">
        <v>10853</v>
      </c>
      <c r="D1642" s="154" t="s">
        <v>781</v>
      </c>
      <c r="E1642" s="154"/>
      <c r="F1642" s="154" t="str">
        <f t="array" ref="F1642">XLOOKUP(Cover!$D$12,$R$1:$Z$1,$R1642:$Z1642)</f>
        <v>Information</v>
      </c>
      <c r="G1642" s="154" t="s">
        <v>10854</v>
      </c>
      <c r="H1642" s="154" t="s">
        <v>1541</v>
      </c>
      <c r="I1642" s="154" t="s">
        <v>10848</v>
      </c>
      <c r="J1642" s="154" t="s">
        <v>7360</v>
      </c>
      <c r="K1642" s="154" t="s">
        <v>10786</v>
      </c>
      <c r="L1642" s="154" t="s">
        <v>6140</v>
      </c>
      <c r="M1642" s="154"/>
      <c r="N1642" s="154" t="s">
        <v>759</v>
      </c>
      <c r="O1642" s="247" t="s">
        <v>516</v>
      </c>
      <c r="P1642" s="247" t="s">
        <v>6776</v>
      </c>
      <c r="Q1642" s="154" t="str">
        <f t="shared" si="1"/>
        <v>#ERROR!</v>
      </c>
      <c r="R1642" s="154" t="s">
        <v>66</v>
      </c>
      <c r="S1642" s="154" t="s">
        <v>66</v>
      </c>
      <c r="T1642" s="154" t="s">
        <v>66</v>
      </c>
      <c r="U1642" s="154" t="s">
        <v>66</v>
      </c>
      <c r="V1642" s="154" t="s">
        <v>66</v>
      </c>
      <c r="W1642" s="154" t="s">
        <v>66</v>
      </c>
      <c r="X1642" s="154" t="s">
        <v>66</v>
      </c>
      <c r="Y1642" s="154" t="s">
        <v>66</v>
      </c>
      <c r="Z1642" s="154" t="s">
        <v>66</v>
      </c>
      <c r="AA1642" s="154"/>
      <c r="AB1642" s="242" t="str">
        <f t="shared" si="2"/>
        <v>#ERROR!</v>
      </c>
      <c r="AC1642" s="154" t="s">
        <v>391</v>
      </c>
      <c r="AD1642" s="242" t="b">
        <f t="shared" si="3"/>
        <v>0</v>
      </c>
      <c r="AE1642" s="154"/>
      <c r="AF1642" s="242" t="str">
        <f t="shared" si="4"/>
        <v>#ERROR!</v>
      </c>
      <c r="AG1642" s="154"/>
      <c r="AH1642" s="242" t="str">
        <f>IF(AG1642="","N/A",INDIRECT("MTR!"&amp;ADDRESS(MATCH(LEFT(AG1642,9),[1]MTR!C:C,0),COLUMN(J1642)),TRUE) &amp; "")</f>
        <v>#ERROR!</v>
      </c>
      <c r="AI1642" s="157" t="str">
        <f t="shared" si="5"/>
        <v>#ERROR!</v>
      </c>
    </row>
    <row r="1643" ht="12.75" customHeight="1">
      <c r="A1643" s="244" t="s">
        <v>5158</v>
      </c>
      <c r="B1643" s="244" t="s">
        <v>231</v>
      </c>
      <c r="C1643" s="244" t="s">
        <v>10855</v>
      </c>
      <c r="D1643" s="154" t="s">
        <v>542</v>
      </c>
      <c r="E1643" s="154"/>
      <c r="F1643" s="154" t="str">
        <f t="array" ref="F1643">XLOOKUP(Cover!$D$12,$R$1:$Z$1,$R1643:$Z1643)</f>
        <v>Information</v>
      </c>
      <c r="G1643" s="154" t="s">
        <v>10856</v>
      </c>
      <c r="H1643" s="154" t="s">
        <v>7314</v>
      </c>
      <c r="I1643" s="154" t="s">
        <v>10857</v>
      </c>
      <c r="J1643" s="154" t="s">
        <v>6848</v>
      </c>
      <c r="K1643" s="154" t="s">
        <v>10786</v>
      </c>
      <c r="L1643" s="154" t="s">
        <v>6140</v>
      </c>
      <c r="M1643" s="154"/>
      <c r="N1643" s="154" t="s">
        <v>759</v>
      </c>
      <c r="O1643" s="247" t="s">
        <v>516</v>
      </c>
      <c r="P1643" s="247" t="s">
        <v>10352</v>
      </c>
      <c r="Q1643" s="154" t="str">
        <f t="shared" si="1"/>
        <v>#ERROR!</v>
      </c>
      <c r="R1643" s="154" t="s">
        <v>66</v>
      </c>
      <c r="S1643" s="154" t="s">
        <v>66</v>
      </c>
      <c r="T1643" s="154" t="s">
        <v>66</v>
      </c>
      <c r="U1643" s="154" t="s">
        <v>66</v>
      </c>
      <c r="V1643" s="154" t="s">
        <v>66</v>
      </c>
      <c r="W1643" s="154" t="s">
        <v>66</v>
      </c>
      <c r="X1643" s="154" t="s">
        <v>66</v>
      </c>
      <c r="Y1643" s="154" t="s">
        <v>66</v>
      </c>
      <c r="Z1643" s="154" t="s">
        <v>66</v>
      </c>
      <c r="AA1643" s="154"/>
      <c r="AB1643" s="242" t="str">
        <f t="shared" si="2"/>
        <v>#ERROR!</v>
      </c>
      <c r="AC1643" s="154" t="s">
        <v>391</v>
      </c>
      <c r="AD1643" s="242" t="b">
        <f t="shared" si="3"/>
        <v>0</v>
      </c>
      <c r="AE1643" s="154"/>
      <c r="AF1643" s="242" t="str">
        <f t="shared" si="4"/>
        <v>#ERROR!</v>
      </c>
      <c r="AG1643" s="154"/>
      <c r="AH1643" s="242" t="str">
        <f>IF(AG1643="","N/A",INDIRECT("MTR!"&amp;ADDRESS(MATCH(LEFT(AG1643,9),[1]MTR!C:C,0),COLUMN(J1643)),TRUE) &amp; "")</f>
        <v>#ERROR!</v>
      </c>
      <c r="AI1643" s="157" t="str">
        <f t="shared" si="5"/>
        <v>#ERROR!</v>
      </c>
    </row>
    <row r="1644" ht="12.75" customHeight="1">
      <c r="A1644" s="244" t="s">
        <v>5158</v>
      </c>
      <c r="B1644" s="244" t="s">
        <v>231</v>
      </c>
      <c r="C1644" s="244" t="s">
        <v>10858</v>
      </c>
      <c r="D1644" s="154" t="s">
        <v>542</v>
      </c>
      <c r="E1644" s="154"/>
      <c r="F1644" s="154" t="str">
        <f t="array" ref="F1644">XLOOKUP(Cover!$D$12,$R$1:$Z$1,$R1644:$Z1644)</f>
        <v>Information</v>
      </c>
      <c r="G1644" s="154" t="s">
        <v>10859</v>
      </c>
      <c r="H1644" s="154" t="s">
        <v>9009</v>
      </c>
      <c r="I1644" s="154" t="s">
        <v>10857</v>
      </c>
      <c r="J1644" s="154" t="s">
        <v>6848</v>
      </c>
      <c r="K1644" s="154" t="s">
        <v>10786</v>
      </c>
      <c r="L1644" s="154" t="s">
        <v>6140</v>
      </c>
      <c r="M1644" s="154"/>
      <c r="N1644" s="154" t="s">
        <v>759</v>
      </c>
      <c r="O1644" s="247" t="s">
        <v>445</v>
      </c>
      <c r="P1644" s="247" t="s">
        <v>89</v>
      </c>
      <c r="Q1644" s="154" t="str">
        <f t="shared" si="1"/>
        <v>#ERROR!</v>
      </c>
      <c r="R1644" s="154" t="s">
        <v>66</v>
      </c>
      <c r="S1644" s="154" t="s">
        <v>66</v>
      </c>
      <c r="T1644" s="154" t="s">
        <v>66</v>
      </c>
      <c r="U1644" s="154" t="s">
        <v>66</v>
      </c>
      <c r="V1644" s="154" t="s">
        <v>66</v>
      </c>
      <c r="W1644" s="154" t="s">
        <v>66</v>
      </c>
      <c r="X1644" s="154" t="s">
        <v>66</v>
      </c>
      <c r="Y1644" s="154" t="s">
        <v>66</v>
      </c>
      <c r="Z1644" s="154" t="s">
        <v>66</v>
      </c>
      <c r="AA1644" s="154"/>
      <c r="AB1644" s="242" t="str">
        <f t="shared" si="2"/>
        <v>#ERROR!</v>
      </c>
      <c r="AC1644" s="154" t="s">
        <v>391</v>
      </c>
      <c r="AD1644" s="242" t="b">
        <f t="shared" si="3"/>
        <v>0</v>
      </c>
      <c r="AE1644" s="154"/>
      <c r="AF1644" s="242" t="str">
        <f t="shared" si="4"/>
        <v>#ERROR!</v>
      </c>
      <c r="AG1644" s="154"/>
      <c r="AH1644" s="242" t="str">
        <f>IF(AG1644="","N/A",INDIRECT("MTR!"&amp;ADDRESS(MATCH(LEFT(AG1644,9),[1]MTR!C:C,0),COLUMN(J1644)),TRUE) &amp; "")</f>
        <v>#ERROR!</v>
      </c>
      <c r="AI1644" s="157" t="str">
        <f t="shared" si="5"/>
        <v>#ERROR!</v>
      </c>
    </row>
    <row r="1645" ht="12.75" customHeight="1">
      <c r="A1645" s="244" t="s">
        <v>5158</v>
      </c>
      <c r="B1645" s="244" t="s">
        <v>231</v>
      </c>
      <c r="C1645" s="244" t="s">
        <v>10860</v>
      </c>
      <c r="D1645" s="154" t="s">
        <v>542</v>
      </c>
      <c r="E1645" s="154"/>
      <c r="F1645" s="154" t="str">
        <f t="array" ref="F1645">XLOOKUP(Cover!$D$12,$R$1:$Z$1,$R1645:$Z1645)</f>
        <v>Information</v>
      </c>
      <c r="G1645" s="154" t="s">
        <v>10861</v>
      </c>
      <c r="H1645" s="154" t="s">
        <v>7390</v>
      </c>
      <c r="I1645" s="154" t="s">
        <v>10857</v>
      </c>
      <c r="J1645" s="154" t="s">
        <v>6848</v>
      </c>
      <c r="K1645" s="154" t="s">
        <v>10786</v>
      </c>
      <c r="L1645" s="154" t="s">
        <v>6525</v>
      </c>
      <c r="M1645" s="154"/>
      <c r="N1645" s="154" t="s">
        <v>759</v>
      </c>
      <c r="O1645" s="247" t="s">
        <v>516</v>
      </c>
      <c r="P1645" s="247" t="s">
        <v>1575</v>
      </c>
      <c r="Q1645" s="154" t="str">
        <f t="shared" si="1"/>
        <v>#ERROR!</v>
      </c>
      <c r="R1645" s="154" t="s">
        <v>66</v>
      </c>
      <c r="S1645" s="154" t="s">
        <v>66</v>
      </c>
      <c r="T1645" s="154" t="s">
        <v>66</v>
      </c>
      <c r="U1645" s="154" t="s">
        <v>66</v>
      </c>
      <c r="V1645" s="154" t="s">
        <v>66</v>
      </c>
      <c r="W1645" s="154" t="s">
        <v>66</v>
      </c>
      <c r="X1645" s="154" t="s">
        <v>66</v>
      </c>
      <c r="Y1645" s="154" t="s">
        <v>66</v>
      </c>
      <c r="Z1645" s="154" t="s">
        <v>66</v>
      </c>
      <c r="AA1645" s="154"/>
      <c r="AB1645" s="242" t="str">
        <f t="shared" si="2"/>
        <v>#ERROR!</v>
      </c>
      <c r="AC1645" s="154" t="s">
        <v>391</v>
      </c>
      <c r="AD1645" s="242" t="b">
        <f t="shared" si="3"/>
        <v>0</v>
      </c>
      <c r="AE1645" s="154"/>
      <c r="AF1645" s="242" t="str">
        <f t="shared" si="4"/>
        <v>#ERROR!</v>
      </c>
      <c r="AG1645" s="154"/>
      <c r="AH1645" s="242" t="str">
        <f>IF(AG1645="","N/A",INDIRECT("MTR!"&amp;ADDRESS(MATCH(LEFT(AG1645,9),[1]MTR!C:C,0),COLUMN(J1645)),TRUE) &amp; "")</f>
        <v>#ERROR!</v>
      </c>
      <c r="AI1645" s="157" t="str">
        <f t="shared" si="5"/>
        <v>#ERROR!</v>
      </c>
    </row>
    <row r="1646" ht="12.75" customHeight="1">
      <c r="A1646" s="244" t="s">
        <v>5158</v>
      </c>
      <c r="B1646" s="244" t="s">
        <v>231</v>
      </c>
      <c r="C1646" s="244" t="s">
        <v>10862</v>
      </c>
      <c r="D1646" s="154" t="s">
        <v>542</v>
      </c>
      <c r="E1646" s="154"/>
      <c r="F1646" s="154" t="str">
        <f t="array" ref="F1646">XLOOKUP(Cover!$D$12,$R$1:$Z$1,$R1646:$Z1646)</f>
        <v>Information</v>
      </c>
      <c r="G1646" s="154" t="s">
        <v>10863</v>
      </c>
      <c r="H1646" s="154" t="s">
        <v>9084</v>
      </c>
      <c r="I1646" s="154" t="s">
        <v>10857</v>
      </c>
      <c r="J1646" s="154" t="s">
        <v>6848</v>
      </c>
      <c r="K1646" s="154" t="s">
        <v>10786</v>
      </c>
      <c r="L1646" s="154" t="s">
        <v>6525</v>
      </c>
      <c r="M1646" s="154"/>
      <c r="N1646" s="154" t="s">
        <v>759</v>
      </c>
      <c r="O1646" s="247" t="s">
        <v>516</v>
      </c>
      <c r="P1646" s="247" t="s">
        <v>1575</v>
      </c>
      <c r="Q1646" s="154" t="str">
        <f t="shared" si="1"/>
        <v>#ERROR!</v>
      </c>
      <c r="R1646" s="154" t="s">
        <v>66</v>
      </c>
      <c r="S1646" s="154" t="s">
        <v>66</v>
      </c>
      <c r="T1646" s="154" t="s">
        <v>66</v>
      </c>
      <c r="U1646" s="154" t="s">
        <v>66</v>
      </c>
      <c r="V1646" s="154" t="s">
        <v>66</v>
      </c>
      <c r="W1646" s="154" t="s">
        <v>66</v>
      </c>
      <c r="X1646" s="154" t="s">
        <v>66</v>
      </c>
      <c r="Y1646" s="154" t="s">
        <v>66</v>
      </c>
      <c r="Z1646" s="154" t="s">
        <v>66</v>
      </c>
      <c r="AA1646" s="154"/>
      <c r="AB1646" s="242" t="str">
        <f t="shared" si="2"/>
        <v>#ERROR!</v>
      </c>
      <c r="AC1646" s="154" t="s">
        <v>391</v>
      </c>
      <c r="AD1646" s="242" t="b">
        <f t="shared" si="3"/>
        <v>0</v>
      </c>
      <c r="AE1646" s="154"/>
      <c r="AF1646" s="242" t="str">
        <f t="shared" si="4"/>
        <v>#ERROR!</v>
      </c>
      <c r="AG1646" s="154"/>
      <c r="AH1646" s="242" t="str">
        <f>IF(AG1646="","N/A",INDIRECT("MTR!"&amp;ADDRESS(MATCH(LEFT(AG1646,9),[1]MTR!C:C,0),COLUMN(J1646)),TRUE) &amp; "")</f>
        <v>#ERROR!</v>
      </c>
      <c r="AI1646" s="157" t="str">
        <f t="shared" si="5"/>
        <v>#ERROR!</v>
      </c>
    </row>
    <row r="1647" ht="12.75" customHeight="1">
      <c r="A1647" s="244" t="s">
        <v>5158</v>
      </c>
      <c r="B1647" s="244" t="s">
        <v>231</v>
      </c>
      <c r="C1647" s="244" t="s">
        <v>10864</v>
      </c>
      <c r="D1647" s="154" t="s">
        <v>781</v>
      </c>
      <c r="E1647" s="154"/>
      <c r="F1647" s="154" t="str">
        <f t="array" ref="F1647">XLOOKUP(Cover!$D$12,$R$1:$Z$1,$R1647:$Z1647)</f>
        <v>Recommended</v>
      </c>
      <c r="G1647" s="154" t="s">
        <v>10865</v>
      </c>
      <c r="H1647" s="154" t="s">
        <v>7314</v>
      </c>
      <c r="I1647" s="154" t="s">
        <v>10866</v>
      </c>
      <c r="J1647" s="154" t="s">
        <v>6865</v>
      </c>
      <c r="K1647" s="154" t="s">
        <v>10786</v>
      </c>
      <c r="L1647" s="154" t="s">
        <v>6942</v>
      </c>
      <c r="M1647" s="154"/>
      <c r="N1647" s="154" t="s">
        <v>759</v>
      </c>
      <c r="O1647" s="247" t="s">
        <v>516</v>
      </c>
      <c r="P1647" s="247" t="s">
        <v>6776</v>
      </c>
      <c r="Q1647" s="154" t="str">
        <f t="shared" si="1"/>
        <v>#ERROR!</v>
      </c>
      <c r="R1647" s="154" t="s">
        <v>66</v>
      </c>
      <c r="S1647" s="154" t="s">
        <v>66</v>
      </c>
      <c r="T1647" s="154" t="s">
        <v>64</v>
      </c>
      <c r="U1647" s="154" t="s">
        <v>64</v>
      </c>
      <c r="V1647" s="154" t="s">
        <v>64</v>
      </c>
      <c r="W1647" s="154" t="s">
        <v>64</v>
      </c>
      <c r="X1647" s="154" t="s">
        <v>66</v>
      </c>
      <c r="Y1647" s="154" t="s">
        <v>64</v>
      </c>
      <c r="Z1647" s="154" t="s">
        <v>64</v>
      </c>
      <c r="AA1647" s="154"/>
      <c r="AB1647" s="242" t="str">
        <f t="shared" si="2"/>
        <v>#ERROR!</v>
      </c>
      <c r="AC1647" s="154" t="s">
        <v>391</v>
      </c>
      <c r="AD1647" s="242" t="b">
        <f t="shared" si="3"/>
        <v>0</v>
      </c>
      <c r="AE1647" s="154"/>
      <c r="AF1647" s="242" t="str">
        <f t="shared" si="4"/>
        <v>#ERROR!</v>
      </c>
      <c r="AG1647" s="154"/>
      <c r="AH1647" s="242" t="str">
        <f>IF(AG1647="","N/A",INDIRECT("MTR!"&amp;ADDRESS(MATCH(LEFT(AG1647,9),[1]MTR!C:C,0),COLUMN(J1647)),TRUE) &amp; "")</f>
        <v>#ERROR!</v>
      </c>
      <c r="AI1647" s="157" t="str">
        <f t="shared" si="5"/>
        <v>#ERROR!</v>
      </c>
    </row>
    <row r="1648" ht="12.75" customHeight="1">
      <c r="A1648" s="244" t="s">
        <v>5158</v>
      </c>
      <c r="B1648" s="244" t="s">
        <v>231</v>
      </c>
      <c r="C1648" s="244" t="s">
        <v>10867</v>
      </c>
      <c r="D1648" s="154" t="s">
        <v>781</v>
      </c>
      <c r="E1648" s="154"/>
      <c r="F1648" s="154" t="str">
        <f t="array" ref="F1648">XLOOKUP(Cover!$D$12,$R$1:$Z$1,$R1648:$Z1648)</f>
        <v>Mandatory</v>
      </c>
      <c r="G1648" s="154" t="s">
        <v>10868</v>
      </c>
      <c r="H1648" s="154" t="s">
        <v>7320</v>
      </c>
      <c r="I1648" s="154" t="s">
        <v>10866</v>
      </c>
      <c r="J1648" s="154" t="s">
        <v>6865</v>
      </c>
      <c r="K1648" s="154" t="s">
        <v>10786</v>
      </c>
      <c r="L1648" s="154" t="s">
        <v>6942</v>
      </c>
      <c r="M1648" s="154" t="s">
        <v>175</v>
      </c>
      <c r="N1648" s="154" t="s">
        <v>759</v>
      </c>
      <c r="O1648" s="247" t="s">
        <v>516</v>
      </c>
      <c r="P1648" s="247" t="s">
        <v>6776</v>
      </c>
      <c r="Q1648" s="154" t="str">
        <f t="shared" si="1"/>
        <v>#ERROR!</v>
      </c>
      <c r="R1648" s="154" t="s">
        <v>66</v>
      </c>
      <c r="S1648" s="154" t="s">
        <v>66</v>
      </c>
      <c r="T1648" s="155" t="s">
        <v>64</v>
      </c>
      <c r="U1648" s="155" t="s">
        <v>64</v>
      </c>
      <c r="V1648" s="154" t="s">
        <v>60</v>
      </c>
      <c r="W1648" s="154" t="s">
        <v>60</v>
      </c>
      <c r="X1648" s="154" t="s">
        <v>66</v>
      </c>
      <c r="Y1648" s="155" t="s">
        <v>64</v>
      </c>
      <c r="Z1648" s="154" t="s">
        <v>60</v>
      </c>
      <c r="AA1648" s="154"/>
      <c r="AB1648" s="242" t="str">
        <f t="shared" si="2"/>
        <v>#ERROR!</v>
      </c>
      <c r="AC1648" s="154" t="s">
        <v>391</v>
      </c>
      <c r="AD1648" s="242" t="b">
        <f t="shared" si="3"/>
        <v>0</v>
      </c>
      <c r="AE1648" s="154"/>
      <c r="AF1648" s="242" t="str">
        <f t="shared" si="4"/>
        <v>#ERROR!</v>
      </c>
      <c r="AG1648" s="154"/>
      <c r="AH1648" s="242" t="str">
        <f>IF(AG1648="","N/A",INDIRECT("MTR!"&amp;ADDRESS(MATCH(LEFT(AG1648,9),[1]MTR!C:C,0),COLUMN(J1648)),TRUE) &amp; "")</f>
        <v>#ERROR!</v>
      </c>
      <c r="AI1648" s="157" t="str">
        <f t="shared" si="5"/>
        <v>#ERROR!</v>
      </c>
    </row>
    <row r="1649" ht="12.75" customHeight="1">
      <c r="A1649" s="244" t="s">
        <v>5158</v>
      </c>
      <c r="B1649" s="244" t="s">
        <v>231</v>
      </c>
      <c r="C1649" s="244" t="s">
        <v>10869</v>
      </c>
      <c r="D1649" s="154" t="s">
        <v>781</v>
      </c>
      <c r="E1649" s="154"/>
      <c r="F1649" s="154" t="str">
        <f t="array" ref="F1649">XLOOKUP(Cover!$D$12,$R$1:$Z$1,$R1649:$Z1649)</f>
        <v>Recommended</v>
      </c>
      <c r="G1649" s="154" t="s">
        <v>10870</v>
      </c>
      <c r="H1649" s="154" t="s">
        <v>9009</v>
      </c>
      <c r="I1649" s="154" t="s">
        <v>10866</v>
      </c>
      <c r="J1649" s="154" t="s">
        <v>6865</v>
      </c>
      <c r="K1649" s="154" t="s">
        <v>10786</v>
      </c>
      <c r="L1649" s="154" t="s">
        <v>6942</v>
      </c>
      <c r="M1649" s="154"/>
      <c r="N1649" s="154" t="s">
        <v>759</v>
      </c>
      <c r="O1649" s="247" t="s">
        <v>516</v>
      </c>
      <c r="P1649" s="247" t="s">
        <v>6776</v>
      </c>
      <c r="Q1649" s="154" t="str">
        <f t="shared" si="1"/>
        <v>#ERROR!</v>
      </c>
      <c r="R1649" s="154" t="s">
        <v>66</v>
      </c>
      <c r="S1649" s="154" t="s">
        <v>66</v>
      </c>
      <c r="T1649" s="154" t="s">
        <v>64</v>
      </c>
      <c r="U1649" s="154" t="s">
        <v>64</v>
      </c>
      <c r="V1649" s="154" t="s">
        <v>64</v>
      </c>
      <c r="W1649" s="154" t="s">
        <v>64</v>
      </c>
      <c r="X1649" s="154" t="s">
        <v>66</v>
      </c>
      <c r="Y1649" s="154" t="s">
        <v>64</v>
      </c>
      <c r="Z1649" s="154" t="s">
        <v>64</v>
      </c>
      <c r="AA1649" s="154"/>
      <c r="AB1649" s="242" t="str">
        <f t="shared" si="2"/>
        <v>#ERROR!</v>
      </c>
      <c r="AC1649" s="154" t="s">
        <v>391</v>
      </c>
      <c r="AD1649" s="242" t="b">
        <f t="shared" si="3"/>
        <v>0</v>
      </c>
      <c r="AE1649" s="154"/>
      <c r="AF1649" s="242" t="str">
        <f t="shared" si="4"/>
        <v>#ERROR!</v>
      </c>
      <c r="AG1649" s="154"/>
      <c r="AH1649" s="242" t="str">
        <f>IF(AG1649="","N/A",INDIRECT("MTR!"&amp;ADDRESS(MATCH(LEFT(AG1649,9),[1]MTR!C:C,0),COLUMN(J1649)),TRUE) &amp; "")</f>
        <v>#ERROR!</v>
      </c>
      <c r="AI1649" s="157" t="str">
        <f t="shared" si="5"/>
        <v>#ERROR!</v>
      </c>
    </row>
    <row r="1650" ht="12.75" customHeight="1">
      <c r="A1650" s="244" t="s">
        <v>5158</v>
      </c>
      <c r="B1650" s="244" t="s">
        <v>231</v>
      </c>
      <c r="C1650" s="244" t="s">
        <v>10871</v>
      </c>
      <c r="D1650" s="154" t="s">
        <v>781</v>
      </c>
      <c r="E1650" s="154"/>
      <c r="F1650" s="154" t="str">
        <f t="array" ref="F1650">XLOOKUP(Cover!$D$12,$R$1:$Z$1,$R1650:$Z1650)</f>
        <v>Mandatory</v>
      </c>
      <c r="G1650" s="154" t="s">
        <v>10872</v>
      </c>
      <c r="H1650" s="154" t="s">
        <v>9015</v>
      </c>
      <c r="I1650" s="154" t="s">
        <v>10866</v>
      </c>
      <c r="J1650" s="154" t="s">
        <v>6865</v>
      </c>
      <c r="K1650" s="154" t="s">
        <v>10786</v>
      </c>
      <c r="L1650" s="154" t="s">
        <v>6942</v>
      </c>
      <c r="M1650" s="154" t="s">
        <v>175</v>
      </c>
      <c r="N1650" s="154" t="s">
        <v>759</v>
      </c>
      <c r="O1650" s="247" t="s">
        <v>516</v>
      </c>
      <c r="P1650" s="247" t="s">
        <v>6776</v>
      </c>
      <c r="Q1650" s="154" t="str">
        <f t="shared" si="1"/>
        <v>#ERROR!</v>
      </c>
      <c r="R1650" s="154" t="s">
        <v>66</v>
      </c>
      <c r="S1650" s="154" t="s">
        <v>66</v>
      </c>
      <c r="T1650" s="155" t="s">
        <v>64</v>
      </c>
      <c r="U1650" s="155" t="s">
        <v>64</v>
      </c>
      <c r="V1650" s="154" t="s">
        <v>60</v>
      </c>
      <c r="W1650" s="154" t="s">
        <v>60</v>
      </c>
      <c r="X1650" s="154" t="s">
        <v>66</v>
      </c>
      <c r="Y1650" s="155" t="s">
        <v>64</v>
      </c>
      <c r="Z1650" s="154" t="s">
        <v>60</v>
      </c>
      <c r="AA1650" s="154"/>
      <c r="AB1650" s="242" t="str">
        <f t="shared" si="2"/>
        <v>#ERROR!</v>
      </c>
      <c r="AC1650" s="154" t="s">
        <v>391</v>
      </c>
      <c r="AD1650" s="242" t="b">
        <f t="shared" si="3"/>
        <v>0</v>
      </c>
      <c r="AE1650" s="154"/>
      <c r="AF1650" s="242" t="str">
        <f t="shared" si="4"/>
        <v>#ERROR!</v>
      </c>
      <c r="AG1650" s="154"/>
      <c r="AH1650" s="242" t="str">
        <f>IF(AG1650="","N/A",INDIRECT("MTR!"&amp;ADDRESS(MATCH(LEFT(AG1650,9),[1]MTR!C:C,0),COLUMN(J1650)),TRUE) &amp; "")</f>
        <v>#ERROR!</v>
      </c>
      <c r="AI1650" s="157" t="str">
        <f t="shared" si="5"/>
        <v>#ERROR!</v>
      </c>
    </row>
    <row r="1651" ht="12.75" customHeight="1">
      <c r="A1651" s="244" t="s">
        <v>5158</v>
      </c>
      <c r="B1651" s="244" t="s">
        <v>231</v>
      </c>
      <c r="C1651" s="244" t="s">
        <v>10873</v>
      </c>
      <c r="D1651" s="154" t="s">
        <v>781</v>
      </c>
      <c r="E1651" s="154"/>
      <c r="F1651" s="154" t="str">
        <f t="array" ref="F1651">XLOOKUP(Cover!$D$12,$R$1:$Z$1,$R1651:$Z1651)</f>
        <v>Information</v>
      </c>
      <c r="G1651" s="154" t="s">
        <v>10874</v>
      </c>
      <c r="H1651" s="154" t="s">
        <v>7314</v>
      </c>
      <c r="I1651" s="154" t="s">
        <v>10875</v>
      </c>
      <c r="J1651" s="154" t="s">
        <v>6872</v>
      </c>
      <c r="K1651" s="154" t="s">
        <v>10786</v>
      </c>
      <c r="L1651" s="154" t="s">
        <v>6942</v>
      </c>
      <c r="M1651" s="154"/>
      <c r="N1651" s="154" t="s">
        <v>759</v>
      </c>
      <c r="O1651" s="247" t="s">
        <v>516</v>
      </c>
      <c r="P1651" s="247" t="s">
        <v>6776</v>
      </c>
      <c r="Q1651" s="154" t="str">
        <f t="shared" si="1"/>
        <v>#ERROR!</v>
      </c>
      <c r="R1651" s="154" t="s">
        <v>66</v>
      </c>
      <c r="S1651" s="154" t="s">
        <v>66</v>
      </c>
      <c r="T1651" s="154" t="s">
        <v>66</v>
      </c>
      <c r="U1651" s="154" t="s">
        <v>66</v>
      </c>
      <c r="V1651" s="154" t="s">
        <v>66</v>
      </c>
      <c r="W1651" s="154" t="s">
        <v>66</v>
      </c>
      <c r="X1651" s="154" t="s">
        <v>66</v>
      </c>
      <c r="Y1651" s="154" t="s">
        <v>66</v>
      </c>
      <c r="Z1651" s="154" t="s">
        <v>66</v>
      </c>
      <c r="AA1651" s="154"/>
      <c r="AB1651" s="242" t="str">
        <f t="shared" si="2"/>
        <v>#ERROR!</v>
      </c>
      <c r="AC1651" s="154" t="s">
        <v>391</v>
      </c>
      <c r="AD1651" s="242" t="b">
        <f t="shared" si="3"/>
        <v>0</v>
      </c>
      <c r="AE1651" s="154"/>
      <c r="AF1651" s="242" t="str">
        <f t="shared" si="4"/>
        <v>#ERROR!</v>
      </c>
      <c r="AG1651" s="154"/>
      <c r="AH1651" s="242" t="str">
        <f>IF(AG1651="","N/A",INDIRECT("MTR!"&amp;ADDRESS(MATCH(LEFT(AG1651,9),[1]MTR!C:C,0),COLUMN(J1651)),TRUE) &amp; "")</f>
        <v>#ERROR!</v>
      </c>
      <c r="AI1651" s="157" t="str">
        <f t="shared" si="5"/>
        <v>#ERROR!</v>
      </c>
    </row>
    <row r="1652" ht="12.75" customHeight="1">
      <c r="A1652" s="244" t="s">
        <v>5158</v>
      </c>
      <c r="B1652" s="244" t="s">
        <v>231</v>
      </c>
      <c r="C1652" s="244" t="s">
        <v>10876</v>
      </c>
      <c r="D1652" s="154" t="s">
        <v>781</v>
      </c>
      <c r="E1652" s="154"/>
      <c r="F1652" s="154" t="str">
        <f t="array" ref="F1652">XLOOKUP(Cover!$D$12,$R$1:$Z$1,$R1652:$Z1652)</f>
        <v>Information</v>
      </c>
      <c r="G1652" s="154" t="s">
        <v>10877</v>
      </c>
      <c r="H1652" s="154" t="s">
        <v>9009</v>
      </c>
      <c r="I1652" s="154" t="s">
        <v>10875</v>
      </c>
      <c r="J1652" s="154" t="s">
        <v>6872</v>
      </c>
      <c r="K1652" s="154" t="s">
        <v>10786</v>
      </c>
      <c r="L1652" s="154" t="s">
        <v>6942</v>
      </c>
      <c r="M1652" s="154"/>
      <c r="N1652" s="154" t="s">
        <v>759</v>
      </c>
      <c r="O1652" s="247" t="s">
        <v>516</v>
      </c>
      <c r="P1652" s="247" t="s">
        <v>6776</v>
      </c>
      <c r="Q1652" s="154" t="str">
        <f t="shared" si="1"/>
        <v>#ERROR!</v>
      </c>
      <c r="R1652" s="154" t="s">
        <v>66</v>
      </c>
      <c r="S1652" s="154" t="s">
        <v>66</v>
      </c>
      <c r="T1652" s="154" t="s">
        <v>66</v>
      </c>
      <c r="U1652" s="154" t="s">
        <v>66</v>
      </c>
      <c r="V1652" s="154" t="s">
        <v>66</v>
      </c>
      <c r="W1652" s="154" t="s">
        <v>66</v>
      </c>
      <c r="X1652" s="154" t="s">
        <v>66</v>
      </c>
      <c r="Y1652" s="154" t="s">
        <v>66</v>
      </c>
      <c r="Z1652" s="154" t="s">
        <v>66</v>
      </c>
      <c r="AA1652" s="154"/>
      <c r="AB1652" s="242" t="str">
        <f t="shared" si="2"/>
        <v>#ERROR!</v>
      </c>
      <c r="AC1652" s="154" t="s">
        <v>391</v>
      </c>
      <c r="AD1652" s="242" t="b">
        <f t="shared" si="3"/>
        <v>0</v>
      </c>
      <c r="AE1652" s="154"/>
      <c r="AF1652" s="242" t="str">
        <f t="shared" si="4"/>
        <v>#ERROR!</v>
      </c>
      <c r="AG1652" s="154"/>
      <c r="AH1652" s="242" t="str">
        <f>IF(AG1652="","N/A",INDIRECT("MTR!"&amp;ADDRESS(MATCH(LEFT(AG1652,9),[1]MTR!C:C,0),COLUMN(J1652)),TRUE) &amp; "")</f>
        <v>#ERROR!</v>
      </c>
      <c r="AI1652" s="157" t="str">
        <f t="shared" si="5"/>
        <v>#ERROR!</v>
      </c>
    </row>
    <row r="1653" ht="12.75" customHeight="1">
      <c r="A1653" s="244" t="s">
        <v>5158</v>
      </c>
      <c r="B1653" s="244" t="s">
        <v>231</v>
      </c>
      <c r="C1653" s="244" t="s">
        <v>10878</v>
      </c>
      <c r="D1653" s="154" t="s">
        <v>781</v>
      </c>
      <c r="E1653" s="154"/>
      <c r="F1653" s="154" t="str">
        <f t="array" ref="F1653">XLOOKUP(Cover!$D$12,$R$1:$Z$1,$R1653:$Z1653)</f>
        <v>Information</v>
      </c>
      <c r="G1653" s="154" t="s">
        <v>10879</v>
      </c>
      <c r="H1653" s="154" t="s">
        <v>7323</v>
      </c>
      <c r="I1653" s="154" t="s">
        <v>10875</v>
      </c>
      <c r="J1653" s="154" t="s">
        <v>6872</v>
      </c>
      <c r="K1653" s="154" t="s">
        <v>10786</v>
      </c>
      <c r="L1653" s="154" t="s">
        <v>6942</v>
      </c>
      <c r="M1653" s="154"/>
      <c r="N1653" s="154" t="s">
        <v>759</v>
      </c>
      <c r="O1653" s="247" t="s">
        <v>516</v>
      </c>
      <c r="P1653" s="247" t="s">
        <v>6776</v>
      </c>
      <c r="Q1653" s="154" t="str">
        <f t="shared" si="1"/>
        <v>#ERROR!</v>
      </c>
      <c r="R1653" s="154" t="s">
        <v>66</v>
      </c>
      <c r="S1653" s="154" t="s">
        <v>66</v>
      </c>
      <c r="T1653" s="154" t="s">
        <v>66</v>
      </c>
      <c r="U1653" s="154" t="s">
        <v>66</v>
      </c>
      <c r="V1653" s="154" t="s">
        <v>66</v>
      </c>
      <c r="W1653" s="154" t="s">
        <v>66</v>
      </c>
      <c r="X1653" s="154" t="s">
        <v>66</v>
      </c>
      <c r="Y1653" s="154" t="s">
        <v>66</v>
      </c>
      <c r="Z1653" s="154" t="s">
        <v>66</v>
      </c>
      <c r="AA1653" s="154"/>
      <c r="AB1653" s="242" t="str">
        <f t="shared" si="2"/>
        <v>#ERROR!</v>
      </c>
      <c r="AC1653" s="154" t="s">
        <v>391</v>
      </c>
      <c r="AD1653" s="242" t="b">
        <f t="shared" si="3"/>
        <v>0</v>
      </c>
      <c r="AE1653" s="154"/>
      <c r="AF1653" s="242" t="str">
        <f t="shared" si="4"/>
        <v>#ERROR!</v>
      </c>
      <c r="AG1653" s="154"/>
      <c r="AH1653" s="242" t="str">
        <f>IF(AG1653="","N/A",INDIRECT("MTR!"&amp;ADDRESS(MATCH(LEFT(AG1653,9),[1]MTR!C:C,0),COLUMN(J1653)),TRUE) &amp; "")</f>
        <v>#ERROR!</v>
      </c>
      <c r="AI1653" s="157" t="str">
        <f t="shared" si="5"/>
        <v>#ERROR!</v>
      </c>
    </row>
    <row r="1654" ht="12.75" customHeight="1">
      <c r="A1654" s="244" t="s">
        <v>5158</v>
      </c>
      <c r="B1654" s="244" t="s">
        <v>231</v>
      </c>
      <c r="C1654" s="244" t="s">
        <v>10880</v>
      </c>
      <c r="D1654" s="154" t="s">
        <v>781</v>
      </c>
      <c r="E1654" s="154"/>
      <c r="F1654" s="154" t="str">
        <f t="array" ref="F1654">XLOOKUP(Cover!$D$12,$R$1:$Z$1,$R1654:$Z1654)</f>
        <v>Information</v>
      </c>
      <c r="G1654" s="154" t="s">
        <v>10881</v>
      </c>
      <c r="H1654" s="154" t="s">
        <v>1541</v>
      </c>
      <c r="I1654" s="154" t="s">
        <v>10875</v>
      </c>
      <c r="J1654" s="154" t="s">
        <v>6872</v>
      </c>
      <c r="K1654" s="154" t="s">
        <v>10786</v>
      </c>
      <c r="L1654" s="154" t="s">
        <v>6942</v>
      </c>
      <c r="M1654" s="154"/>
      <c r="N1654" s="154" t="s">
        <v>759</v>
      </c>
      <c r="O1654" s="247" t="s">
        <v>516</v>
      </c>
      <c r="P1654" s="247" t="s">
        <v>6776</v>
      </c>
      <c r="Q1654" s="154" t="str">
        <f t="shared" si="1"/>
        <v>#ERROR!</v>
      </c>
      <c r="R1654" s="154" t="s">
        <v>66</v>
      </c>
      <c r="S1654" s="154" t="s">
        <v>66</v>
      </c>
      <c r="T1654" s="154" t="s">
        <v>66</v>
      </c>
      <c r="U1654" s="154" t="s">
        <v>66</v>
      </c>
      <c r="V1654" s="154" t="s">
        <v>66</v>
      </c>
      <c r="W1654" s="154" t="s">
        <v>66</v>
      </c>
      <c r="X1654" s="154" t="s">
        <v>66</v>
      </c>
      <c r="Y1654" s="154" t="s">
        <v>66</v>
      </c>
      <c r="Z1654" s="154" t="s">
        <v>66</v>
      </c>
      <c r="AA1654" s="154"/>
      <c r="AB1654" s="242" t="str">
        <f t="shared" si="2"/>
        <v>#ERROR!</v>
      </c>
      <c r="AC1654" s="154" t="s">
        <v>391</v>
      </c>
      <c r="AD1654" s="242" t="b">
        <f t="shared" si="3"/>
        <v>0</v>
      </c>
      <c r="AE1654" s="154"/>
      <c r="AF1654" s="242" t="str">
        <f t="shared" si="4"/>
        <v>#ERROR!</v>
      </c>
      <c r="AG1654" s="154"/>
      <c r="AH1654" s="242" t="str">
        <f>IF(AG1654="","N/A",INDIRECT("MTR!"&amp;ADDRESS(MATCH(LEFT(AG1654,9),[1]MTR!C:C,0),COLUMN(J1654)),TRUE) &amp; "")</f>
        <v>#ERROR!</v>
      </c>
      <c r="AI1654" s="157" t="str">
        <f t="shared" si="5"/>
        <v>#ERROR!</v>
      </c>
    </row>
    <row r="1655" ht="12.75" customHeight="1">
      <c r="A1655" s="244" t="s">
        <v>5158</v>
      </c>
      <c r="B1655" s="244" t="s">
        <v>231</v>
      </c>
      <c r="C1655" s="244" t="s">
        <v>10882</v>
      </c>
      <c r="D1655" s="154" t="s">
        <v>1315</v>
      </c>
      <c r="E1655" s="154"/>
      <c r="F1655" s="154" t="str">
        <f t="array" ref="F1655">XLOOKUP(Cover!$D$12,$R$1:$Z$1,$R1655:$Z1655)</f>
        <v>Information</v>
      </c>
      <c r="G1655" s="154" t="s">
        <v>10883</v>
      </c>
      <c r="H1655" s="154" t="s">
        <v>7304</v>
      </c>
      <c r="I1655" s="154" t="s">
        <v>10884</v>
      </c>
      <c r="J1655" s="154" t="s">
        <v>6911</v>
      </c>
      <c r="K1655" s="154" t="s">
        <v>10786</v>
      </c>
      <c r="L1655" s="154" t="s">
        <v>6884</v>
      </c>
      <c r="M1655" s="154"/>
      <c r="N1655" s="154" t="s">
        <v>759</v>
      </c>
      <c r="O1655" s="247" t="s">
        <v>516</v>
      </c>
      <c r="P1655" s="247" t="s">
        <v>6776</v>
      </c>
      <c r="Q1655" s="154" t="str">
        <f t="shared" si="1"/>
        <v>#ERROR!</v>
      </c>
      <c r="R1655" s="154" t="s">
        <v>66</v>
      </c>
      <c r="S1655" s="154" t="s">
        <v>66</v>
      </c>
      <c r="T1655" s="154" t="s">
        <v>66</v>
      </c>
      <c r="U1655" s="154" t="s">
        <v>66</v>
      </c>
      <c r="V1655" s="154" t="s">
        <v>66</v>
      </c>
      <c r="W1655" s="154" t="s">
        <v>66</v>
      </c>
      <c r="X1655" s="154" t="s">
        <v>66</v>
      </c>
      <c r="Y1655" s="154" t="s">
        <v>66</v>
      </c>
      <c r="Z1655" s="154" t="s">
        <v>66</v>
      </c>
      <c r="AA1655" s="154"/>
      <c r="AB1655" s="242" t="str">
        <f t="shared" si="2"/>
        <v>#ERROR!</v>
      </c>
      <c r="AC1655" s="154" t="s">
        <v>391</v>
      </c>
      <c r="AD1655" s="242" t="b">
        <f t="shared" si="3"/>
        <v>0</v>
      </c>
      <c r="AE1655" s="154"/>
      <c r="AF1655" s="242" t="str">
        <f t="shared" si="4"/>
        <v>#ERROR!</v>
      </c>
      <c r="AG1655" s="154"/>
      <c r="AH1655" s="242" t="str">
        <f>IF(AG1655="","N/A",INDIRECT("MTR!"&amp;ADDRESS(MATCH(LEFT(AG1655,9),[1]MTR!C:C,0),COLUMN(J1655)),TRUE) &amp; "")</f>
        <v>#ERROR!</v>
      </c>
      <c r="AI1655" s="157" t="str">
        <f t="shared" si="5"/>
        <v>#ERROR!</v>
      </c>
    </row>
    <row r="1656" ht="12.75" customHeight="1">
      <c r="A1656" s="244" t="s">
        <v>5158</v>
      </c>
      <c r="B1656" s="244" t="s">
        <v>231</v>
      </c>
      <c r="C1656" s="244" t="s">
        <v>10885</v>
      </c>
      <c r="D1656" s="154" t="s">
        <v>1315</v>
      </c>
      <c r="E1656" s="154"/>
      <c r="F1656" s="154" t="str">
        <f t="array" ref="F1656">XLOOKUP(Cover!$D$12,$R$1:$Z$1,$R1656:$Z1656)</f>
        <v>Information</v>
      </c>
      <c r="G1656" s="154" t="s">
        <v>10886</v>
      </c>
      <c r="H1656" s="154" t="s">
        <v>7311</v>
      </c>
      <c r="I1656" s="154" t="s">
        <v>10884</v>
      </c>
      <c r="J1656" s="154" t="s">
        <v>6911</v>
      </c>
      <c r="K1656" s="154" t="s">
        <v>10786</v>
      </c>
      <c r="L1656" s="154" t="s">
        <v>6884</v>
      </c>
      <c r="M1656" s="154"/>
      <c r="N1656" s="154" t="s">
        <v>759</v>
      </c>
      <c r="O1656" s="247" t="s">
        <v>516</v>
      </c>
      <c r="P1656" s="247" t="s">
        <v>6776</v>
      </c>
      <c r="Q1656" s="154" t="str">
        <f t="shared" si="1"/>
        <v>#ERROR!</v>
      </c>
      <c r="R1656" s="154" t="s">
        <v>66</v>
      </c>
      <c r="S1656" s="154" t="s">
        <v>66</v>
      </c>
      <c r="T1656" s="154" t="s">
        <v>66</v>
      </c>
      <c r="U1656" s="154" t="s">
        <v>66</v>
      </c>
      <c r="V1656" s="154" t="s">
        <v>66</v>
      </c>
      <c r="W1656" s="154" t="s">
        <v>66</v>
      </c>
      <c r="X1656" s="154" t="s">
        <v>66</v>
      </c>
      <c r="Y1656" s="154" t="s">
        <v>66</v>
      </c>
      <c r="Z1656" s="154" t="s">
        <v>66</v>
      </c>
      <c r="AA1656" s="154"/>
      <c r="AB1656" s="242" t="str">
        <f t="shared" si="2"/>
        <v>#ERROR!</v>
      </c>
      <c r="AC1656" s="154" t="s">
        <v>391</v>
      </c>
      <c r="AD1656" s="242" t="b">
        <f t="shared" si="3"/>
        <v>0</v>
      </c>
      <c r="AE1656" s="154"/>
      <c r="AF1656" s="242" t="str">
        <f t="shared" si="4"/>
        <v>#ERROR!</v>
      </c>
      <c r="AG1656" s="154"/>
      <c r="AH1656" s="242" t="str">
        <f>IF(AG1656="","N/A",INDIRECT("MTR!"&amp;ADDRESS(MATCH(LEFT(AG1656,9),[1]MTR!C:C,0),COLUMN(J1656)),TRUE) &amp; "")</f>
        <v>#ERROR!</v>
      </c>
      <c r="AI1656" s="157" t="str">
        <f t="shared" si="5"/>
        <v>#ERROR!</v>
      </c>
    </row>
    <row r="1657" ht="12.75" customHeight="1">
      <c r="A1657" s="244" t="s">
        <v>5158</v>
      </c>
      <c r="B1657" s="244" t="s">
        <v>231</v>
      </c>
      <c r="C1657" s="244" t="s">
        <v>10887</v>
      </c>
      <c r="D1657" s="154" t="s">
        <v>1315</v>
      </c>
      <c r="E1657" s="154"/>
      <c r="F1657" s="154" t="str">
        <f t="array" ref="F1657">XLOOKUP(Cover!$D$12,$R$1:$Z$1,$R1657:$Z1657)</f>
        <v>Information</v>
      </c>
      <c r="G1657" s="154" t="s">
        <v>10888</v>
      </c>
      <c r="H1657" s="154" t="s">
        <v>7314</v>
      </c>
      <c r="I1657" s="154" t="s">
        <v>10884</v>
      </c>
      <c r="J1657" s="154" t="s">
        <v>6911</v>
      </c>
      <c r="K1657" s="154" t="s">
        <v>10786</v>
      </c>
      <c r="L1657" s="154" t="s">
        <v>6884</v>
      </c>
      <c r="M1657" s="154"/>
      <c r="N1657" s="154" t="s">
        <v>759</v>
      </c>
      <c r="O1657" s="247" t="s">
        <v>516</v>
      </c>
      <c r="P1657" s="247" t="s">
        <v>6776</v>
      </c>
      <c r="Q1657" s="154" t="str">
        <f t="shared" si="1"/>
        <v>#ERROR!</v>
      </c>
      <c r="R1657" s="154" t="s">
        <v>66</v>
      </c>
      <c r="S1657" s="154" t="s">
        <v>66</v>
      </c>
      <c r="T1657" s="154" t="s">
        <v>66</v>
      </c>
      <c r="U1657" s="154" t="s">
        <v>66</v>
      </c>
      <c r="V1657" s="154" t="s">
        <v>66</v>
      </c>
      <c r="W1657" s="154" t="s">
        <v>66</v>
      </c>
      <c r="X1657" s="154" t="s">
        <v>66</v>
      </c>
      <c r="Y1657" s="154" t="s">
        <v>66</v>
      </c>
      <c r="Z1657" s="154" t="s">
        <v>66</v>
      </c>
      <c r="AA1657" s="154"/>
      <c r="AB1657" s="242" t="str">
        <f t="shared" si="2"/>
        <v>#ERROR!</v>
      </c>
      <c r="AC1657" s="154" t="s">
        <v>391</v>
      </c>
      <c r="AD1657" s="242" t="b">
        <f t="shared" si="3"/>
        <v>0</v>
      </c>
      <c r="AE1657" s="154"/>
      <c r="AF1657" s="242" t="str">
        <f t="shared" si="4"/>
        <v>#ERROR!</v>
      </c>
      <c r="AG1657" s="154"/>
      <c r="AH1657" s="242" t="str">
        <f>IF(AG1657="","N/A",INDIRECT("MTR!"&amp;ADDRESS(MATCH(LEFT(AG1657,9),[1]MTR!C:C,0),COLUMN(J1657)),TRUE) &amp; "")</f>
        <v>#ERROR!</v>
      </c>
      <c r="AI1657" s="157" t="str">
        <f t="shared" si="5"/>
        <v>#ERROR!</v>
      </c>
    </row>
    <row r="1658" ht="12.75" customHeight="1">
      <c r="A1658" s="244" t="s">
        <v>5158</v>
      </c>
      <c r="B1658" s="244" t="s">
        <v>231</v>
      </c>
      <c r="C1658" s="244" t="s">
        <v>10889</v>
      </c>
      <c r="D1658" s="154" t="s">
        <v>1315</v>
      </c>
      <c r="E1658" s="154"/>
      <c r="F1658" s="154" t="str">
        <f t="array" ref="F1658">XLOOKUP(Cover!$D$12,$R$1:$Z$1,$R1658:$Z1658)</f>
        <v>Information</v>
      </c>
      <c r="G1658" s="154" t="s">
        <v>10890</v>
      </c>
      <c r="H1658" s="154" t="s">
        <v>9002</v>
      </c>
      <c r="I1658" s="154" t="s">
        <v>10884</v>
      </c>
      <c r="J1658" s="154" t="s">
        <v>6911</v>
      </c>
      <c r="K1658" s="154" t="s">
        <v>10786</v>
      </c>
      <c r="L1658" s="154" t="s">
        <v>6884</v>
      </c>
      <c r="M1658" s="154"/>
      <c r="N1658" s="154" t="s">
        <v>759</v>
      </c>
      <c r="O1658" s="247" t="s">
        <v>516</v>
      </c>
      <c r="P1658" s="247" t="s">
        <v>6776</v>
      </c>
      <c r="Q1658" s="154" t="str">
        <f t="shared" si="1"/>
        <v>#ERROR!</v>
      </c>
      <c r="R1658" s="154" t="s">
        <v>66</v>
      </c>
      <c r="S1658" s="154" t="s">
        <v>66</v>
      </c>
      <c r="T1658" s="154" t="s">
        <v>66</v>
      </c>
      <c r="U1658" s="154" t="s">
        <v>66</v>
      </c>
      <c r="V1658" s="154" t="s">
        <v>66</v>
      </c>
      <c r="W1658" s="154" t="s">
        <v>66</v>
      </c>
      <c r="X1658" s="154" t="s">
        <v>66</v>
      </c>
      <c r="Y1658" s="154" t="s">
        <v>66</v>
      </c>
      <c r="Z1658" s="154" t="s">
        <v>66</v>
      </c>
      <c r="AA1658" s="154"/>
      <c r="AB1658" s="242" t="str">
        <f t="shared" si="2"/>
        <v>#ERROR!</v>
      </c>
      <c r="AC1658" s="154" t="s">
        <v>391</v>
      </c>
      <c r="AD1658" s="242" t="b">
        <f t="shared" si="3"/>
        <v>0</v>
      </c>
      <c r="AE1658" s="154"/>
      <c r="AF1658" s="242" t="str">
        <f t="shared" si="4"/>
        <v>#ERROR!</v>
      </c>
      <c r="AG1658" s="154"/>
      <c r="AH1658" s="242" t="str">
        <f>IF(AG1658="","N/A",INDIRECT("MTR!"&amp;ADDRESS(MATCH(LEFT(AG1658,9),[1]MTR!C:C,0),COLUMN(J1658)),TRUE) &amp; "")</f>
        <v>#ERROR!</v>
      </c>
      <c r="AI1658" s="157" t="str">
        <f t="shared" si="5"/>
        <v>#ERROR!</v>
      </c>
    </row>
    <row r="1659" ht="12.75" customHeight="1">
      <c r="A1659" s="244" t="s">
        <v>5158</v>
      </c>
      <c r="B1659" s="244" t="s">
        <v>231</v>
      </c>
      <c r="C1659" s="244" t="s">
        <v>10891</v>
      </c>
      <c r="D1659" s="154" t="s">
        <v>1315</v>
      </c>
      <c r="E1659" s="154"/>
      <c r="F1659" s="154" t="str">
        <f t="array" ref="F1659">XLOOKUP(Cover!$D$12,$R$1:$Z$1,$R1659:$Z1659)</f>
        <v>Information</v>
      </c>
      <c r="G1659" s="154" t="s">
        <v>10892</v>
      </c>
      <c r="H1659" s="154" t="s">
        <v>9006</v>
      </c>
      <c r="I1659" s="154" t="s">
        <v>10884</v>
      </c>
      <c r="J1659" s="154" t="s">
        <v>6911</v>
      </c>
      <c r="K1659" s="154" t="s">
        <v>10786</v>
      </c>
      <c r="L1659" s="154" t="s">
        <v>6884</v>
      </c>
      <c r="M1659" s="154"/>
      <c r="N1659" s="154" t="s">
        <v>759</v>
      </c>
      <c r="O1659" s="247" t="s">
        <v>516</v>
      </c>
      <c r="P1659" s="247" t="s">
        <v>6776</v>
      </c>
      <c r="Q1659" s="154" t="str">
        <f t="shared" si="1"/>
        <v>#ERROR!</v>
      </c>
      <c r="R1659" s="154" t="s">
        <v>66</v>
      </c>
      <c r="S1659" s="154" t="s">
        <v>66</v>
      </c>
      <c r="T1659" s="154" t="s">
        <v>66</v>
      </c>
      <c r="U1659" s="154" t="s">
        <v>66</v>
      </c>
      <c r="V1659" s="154" t="s">
        <v>66</v>
      </c>
      <c r="W1659" s="154" t="s">
        <v>66</v>
      </c>
      <c r="X1659" s="154" t="s">
        <v>66</v>
      </c>
      <c r="Y1659" s="154" t="s">
        <v>66</v>
      </c>
      <c r="Z1659" s="154" t="s">
        <v>66</v>
      </c>
      <c r="AA1659" s="154"/>
      <c r="AB1659" s="242" t="str">
        <f t="shared" si="2"/>
        <v>#ERROR!</v>
      </c>
      <c r="AC1659" s="154" t="s">
        <v>391</v>
      </c>
      <c r="AD1659" s="242" t="b">
        <f t="shared" si="3"/>
        <v>0</v>
      </c>
      <c r="AE1659" s="154"/>
      <c r="AF1659" s="242" t="str">
        <f t="shared" si="4"/>
        <v>#ERROR!</v>
      </c>
      <c r="AG1659" s="154"/>
      <c r="AH1659" s="242" t="str">
        <f>IF(AG1659="","N/A",INDIRECT("MTR!"&amp;ADDRESS(MATCH(LEFT(AG1659,9),[1]MTR!C:C,0),COLUMN(J1659)),TRUE) &amp; "")</f>
        <v>#ERROR!</v>
      </c>
      <c r="AI1659" s="157" t="str">
        <f t="shared" si="5"/>
        <v>#ERROR!</v>
      </c>
    </row>
    <row r="1660" ht="12.75" customHeight="1">
      <c r="A1660" s="244" t="s">
        <v>5158</v>
      </c>
      <c r="B1660" s="244" t="s">
        <v>231</v>
      </c>
      <c r="C1660" s="244" t="s">
        <v>10893</v>
      </c>
      <c r="D1660" s="154" t="s">
        <v>1315</v>
      </c>
      <c r="E1660" s="154"/>
      <c r="F1660" s="154" t="str">
        <f t="array" ref="F1660">XLOOKUP(Cover!$D$12,$R$1:$Z$1,$R1660:$Z1660)</f>
        <v>Information</v>
      </c>
      <c r="G1660" s="154" t="s">
        <v>10894</v>
      </c>
      <c r="H1660" s="154" t="s">
        <v>9009</v>
      </c>
      <c r="I1660" s="154" t="s">
        <v>10884</v>
      </c>
      <c r="J1660" s="154" t="s">
        <v>6911</v>
      </c>
      <c r="K1660" s="154" t="s">
        <v>10786</v>
      </c>
      <c r="L1660" s="154" t="s">
        <v>6884</v>
      </c>
      <c r="M1660" s="154"/>
      <c r="N1660" s="154" t="s">
        <v>759</v>
      </c>
      <c r="O1660" s="247" t="s">
        <v>516</v>
      </c>
      <c r="P1660" s="247" t="s">
        <v>6776</v>
      </c>
      <c r="Q1660" s="154" t="str">
        <f t="shared" si="1"/>
        <v>#ERROR!</v>
      </c>
      <c r="R1660" s="154" t="s">
        <v>66</v>
      </c>
      <c r="S1660" s="154" t="s">
        <v>66</v>
      </c>
      <c r="T1660" s="154" t="s">
        <v>66</v>
      </c>
      <c r="U1660" s="154" t="s">
        <v>66</v>
      </c>
      <c r="V1660" s="154" t="s">
        <v>66</v>
      </c>
      <c r="W1660" s="154" t="s">
        <v>66</v>
      </c>
      <c r="X1660" s="154" t="s">
        <v>66</v>
      </c>
      <c r="Y1660" s="154" t="s">
        <v>66</v>
      </c>
      <c r="Z1660" s="154" t="s">
        <v>66</v>
      </c>
      <c r="AA1660" s="154"/>
      <c r="AB1660" s="242" t="str">
        <f t="shared" si="2"/>
        <v>#ERROR!</v>
      </c>
      <c r="AC1660" s="154" t="s">
        <v>391</v>
      </c>
      <c r="AD1660" s="242" t="b">
        <f t="shared" si="3"/>
        <v>0</v>
      </c>
      <c r="AE1660" s="154"/>
      <c r="AF1660" s="242" t="str">
        <f t="shared" si="4"/>
        <v>#ERROR!</v>
      </c>
      <c r="AG1660" s="154"/>
      <c r="AH1660" s="242" t="str">
        <f>IF(AG1660="","N/A",INDIRECT("MTR!"&amp;ADDRESS(MATCH(LEFT(AG1660,9),[1]MTR!C:C,0),COLUMN(J1660)),TRUE) &amp; "")</f>
        <v>#ERROR!</v>
      </c>
      <c r="AI1660" s="157" t="str">
        <f t="shared" si="5"/>
        <v>#ERROR!</v>
      </c>
    </row>
    <row r="1661" ht="12.75" customHeight="1">
      <c r="A1661" s="244" t="s">
        <v>5158</v>
      </c>
      <c r="B1661" s="244" t="s">
        <v>231</v>
      </c>
      <c r="C1661" s="244" t="s">
        <v>10895</v>
      </c>
      <c r="D1661" s="154" t="s">
        <v>1315</v>
      </c>
      <c r="E1661" s="154"/>
      <c r="F1661" s="154" t="str">
        <f t="array" ref="F1661">XLOOKUP(Cover!$D$12,$R$1:$Z$1,$R1661:$Z1661)</f>
        <v>Information</v>
      </c>
      <c r="G1661" s="154" t="s">
        <v>10896</v>
      </c>
      <c r="H1661" s="154" t="s">
        <v>7304</v>
      </c>
      <c r="I1661" s="154" t="s">
        <v>10897</v>
      </c>
      <c r="J1661" s="154" t="s">
        <v>7478</v>
      </c>
      <c r="K1661" s="154" t="s">
        <v>10786</v>
      </c>
      <c r="L1661" s="154" t="s">
        <v>6884</v>
      </c>
      <c r="M1661" s="154"/>
      <c r="N1661" s="154" t="s">
        <v>759</v>
      </c>
      <c r="O1661" s="247" t="s">
        <v>516</v>
      </c>
      <c r="P1661" s="247" t="s">
        <v>6776</v>
      </c>
      <c r="Q1661" s="154" t="str">
        <f t="shared" si="1"/>
        <v>#ERROR!</v>
      </c>
      <c r="R1661" s="154" t="s">
        <v>66</v>
      </c>
      <c r="S1661" s="154" t="s">
        <v>66</v>
      </c>
      <c r="T1661" s="154" t="s">
        <v>66</v>
      </c>
      <c r="U1661" s="154" t="s">
        <v>66</v>
      </c>
      <c r="V1661" s="154" t="s">
        <v>66</v>
      </c>
      <c r="W1661" s="154" t="s">
        <v>66</v>
      </c>
      <c r="X1661" s="154" t="s">
        <v>66</v>
      </c>
      <c r="Y1661" s="154" t="s">
        <v>66</v>
      </c>
      <c r="Z1661" s="154" t="s">
        <v>66</v>
      </c>
      <c r="AA1661" s="154"/>
      <c r="AB1661" s="242" t="str">
        <f t="shared" si="2"/>
        <v>#ERROR!</v>
      </c>
      <c r="AC1661" s="154" t="s">
        <v>391</v>
      </c>
      <c r="AD1661" s="242" t="b">
        <f t="shared" si="3"/>
        <v>0</v>
      </c>
      <c r="AE1661" s="154"/>
      <c r="AF1661" s="242" t="str">
        <f t="shared" si="4"/>
        <v>#ERROR!</v>
      </c>
      <c r="AG1661" s="154"/>
      <c r="AH1661" s="242" t="str">
        <f>IF(AG1661="","N/A",INDIRECT("MTR!"&amp;ADDRESS(MATCH(LEFT(AG1661,9),[1]MTR!C:C,0),COLUMN(J1661)),TRUE) &amp; "")</f>
        <v>#ERROR!</v>
      </c>
      <c r="AI1661" s="157" t="str">
        <f t="shared" si="5"/>
        <v>#ERROR!</v>
      </c>
    </row>
    <row r="1662" ht="12.75" customHeight="1">
      <c r="A1662" s="244" t="s">
        <v>5158</v>
      </c>
      <c r="B1662" s="244" t="s">
        <v>231</v>
      </c>
      <c r="C1662" s="244" t="s">
        <v>10898</v>
      </c>
      <c r="D1662" s="154" t="s">
        <v>1315</v>
      </c>
      <c r="E1662" s="154"/>
      <c r="F1662" s="154" t="str">
        <f t="array" ref="F1662">XLOOKUP(Cover!$D$12,$R$1:$Z$1,$R1662:$Z1662)</f>
        <v>Information</v>
      </c>
      <c r="G1662" s="154" t="s">
        <v>10899</v>
      </c>
      <c r="H1662" s="154" t="s">
        <v>7311</v>
      </c>
      <c r="I1662" s="154" t="s">
        <v>10897</v>
      </c>
      <c r="J1662" s="154" t="s">
        <v>7478</v>
      </c>
      <c r="K1662" s="154" t="s">
        <v>10786</v>
      </c>
      <c r="L1662" s="154" t="s">
        <v>6884</v>
      </c>
      <c r="M1662" s="154"/>
      <c r="N1662" s="154" t="s">
        <v>759</v>
      </c>
      <c r="O1662" s="247" t="s">
        <v>516</v>
      </c>
      <c r="P1662" s="247" t="s">
        <v>6776</v>
      </c>
      <c r="Q1662" s="154" t="str">
        <f t="shared" si="1"/>
        <v>#ERROR!</v>
      </c>
      <c r="R1662" s="154" t="s">
        <v>66</v>
      </c>
      <c r="S1662" s="154" t="s">
        <v>66</v>
      </c>
      <c r="T1662" s="154" t="s">
        <v>66</v>
      </c>
      <c r="U1662" s="154" t="s">
        <v>66</v>
      </c>
      <c r="V1662" s="154" t="s">
        <v>66</v>
      </c>
      <c r="W1662" s="154" t="s">
        <v>66</v>
      </c>
      <c r="X1662" s="154" t="s">
        <v>66</v>
      </c>
      <c r="Y1662" s="154" t="s">
        <v>66</v>
      </c>
      <c r="Z1662" s="154" t="s">
        <v>66</v>
      </c>
      <c r="AA1662" s="154"/>
      <c r="AB1662" s="242" t="str">
        <f t="shared" si="2"/>
        <v>#ERROR!</v>
      </c>
      <c r="AC1662" s="154" t="s">
        <v>391</v>
      </c>
      <c r="AD1662" s="242" t="b">
        <f t="shared" si="3"/>
        <v>0</v>
      </c>
      <c r="AE1662" s="154"/>
      <c r="AF1662" s="242" t="str">
        <f t="shared" si="4"/>
        <v>#ERROR!</v>
      </c>
      <c r="AG1662" s="154"/>
      <c r="AH1662" s="242" t="str">
        <f>IF(AG1662="","N/A",INDIRECT("MTR!"&amp;ADDRESS(MATCH(LEFT(AG1662,9),[1]MTR!C:C,0),COLUMN(J1662)),TRUE) &amp; "")</f>
        <v>#ERROR!</v>
      </c>
      <c r="AI1662" s="157" t="str">
        <f t="shared" si="5"/>
        <v>#ERROR!</v>
      </c>
    </row>
    <row r="1663" ht="12.75" customHeight="1">
      <c r="A1663" s="244" t="s">
        <v>5158</v>
      </c>
      <c r="B1663" s="244" t="s">
        <v>231</v>
      </c>
      <c r="C1663" s="244" t="s">
        <v>10900</v>
      </c>
      <c r="D1663" s="154" t="s">
        <v>1315</v>
      </c>
      <c r="E1663" s="154"/>
      <c r="F1663" s="154" t="str">
        <f t="array" ref="F1663">XLOOKUP(Cover!$D$12,$R$1:$Z$1,$R1663:$Z1663)</f>
        <v>Information</v>
      </c>
      <c r="G1663" s="154" t="s">
        <v>10901</v>
      </c>
      <c r="H1663" s="154" t="s">
        <v>7323</v>
      </c>
      <c r="I1663" s="154" t="s">
        <v>10897</v>
      </c>
      <c r="J1663" s="154" t="s">
        <v>7478</v>
      </c>
      <c r="K1663" s="154" t="s">
        <v>10786</v>
      </c>
      <c r="L1663" s="154" t="s">
        <v>6884</v>
      </c>
      <c r="M1663" s="154"/>
      <c r="N1663" s="154" t="s">
        <v>759</v>
      </c>
      <c r="O1663" s="247" t="s">
        <v>516</v>
      </c>
      <c r="P1663" s="247" t="s">
        <v>6776</v>
      </c>
      <c r="Q1663" s="154" t="str">
        <f t="shared" si="1"/>
        <v>#ERROR!</v>
      </c>
      <c r="R1663" s="154" t="s">
        <v>66</v>
      </c>
      <c r="S1663" s="154" t="s">
        <v>66</v>
      </c>
      <c r="T1663" s="154" t="s">
        <v>66</v>
      </c>
      <c r="U1663" s="154" t="s">
        <v>66</v>
      </c>
      <c r="V1663" s="154" t="s">
        <v>66</v>
      </c>
      <c r="W1663" s="154" t="s">
        <v>66</v>
      </c>
      <c r="X1663" s="154" t="s">
        <v>66</v>
      </c>
      <c r="Y1663" s="154" t="s">
        <v>66</v>
      </c>
      <c r="Z1663" s="154" t="s">
        <v>66</v>
      </c>
      <c r="AA1663" s="154"/>
      <c r="AB1663" s="242" t="str">
        <f t="shared" si="2"/>
        <v>#ERROR!</v>
      </c>
      <c r="AC1663" s="154" t="s">
        <v>391</v>
      </c>
      <c r="AD1663" s="242" t="b">
        <f t="shared" si="3"/>
        <v>0</v>
      </c>
      <c r="AE1663" s="154"/>
      <c r="AF1663" s="242" t="str">
        <f t="shared" si="4"/>
        <v>#ERROR!</v>
      </c>
      <c r="AG1663" s="154"/>
      <c r="AH1663" s="242" t="str">
        <f>IF(AG1663="","N/A",INDIRECT("MTR!"&amp;ADDRESS(MATCH(LEFT(AG1663,9),[1]MTR!C:C,0),COLUMN(J1663)),TRUE) &amp; "")</f>
        <v>#ERROR!</v>
      </c>
      <c r="AI1663" s="157" t="str">
        <f t="shared" si="5"/>
        <v>#ERROR!</v>
      </c>
    </row>
    <row r="1664" ht="12.75" customHeight="1">
      <c r="A1664" s="244" t="s">
        <v>5158</v>
      </c>
      <c r="B1664" s="244" t="s">
        <v>231</v>
      </c>
      <c r="C1664" s="244" t="s">
        <v>10902</v>
      </c>
      <c r="D1664" s="154" t="s">
        <v>1315</v>
      </c>
      <c r="E1664" s="154"/>
      <c r="F1664" s="154" t="str">
        <f t="array" ref="F1664">XLOOKUP(Cover!$D$12,$R$1:$Z$1,$R1664:$Z1664)</f>
        <v>Information</v>
      </c>
      <c r="G1664" s="154" t="s">
        <v>10903</v>
      </c>
      <c r="H1664" s="154" t="s">
        <v>9002</v>
      </c>
      <c r="I1664" s="154" t="s">
        <v>10897</v>
      </c>
      <c r="J1664" s="154" t="s">
        <v>7478</v>
      </c>
      <c r="K1664" s="154" t="s">
        <v>10786</v>
      </c>
      <c r="L1664" s="154" t="s">
        <v>6884</v>
      </c>
      <c r="M1664" s="154"/>
      <c r="N1664" s="154" t="s">
        <v>759</v>
      </c>
      <c r="O1664" s="247" t="s">
        <v>516</v>
      </c>
      <c r="P1664" s="247" t="s">
        <v>6776</v>
      </c>
      <c r="Q1664" s="154" t="str">
        <f t="shared" si="1"/>
        <v>#ERROR!</v>
      </c>
      <c r="R1664" s="154" t="s">
        <v>66</v>
      </c>
      <c r="S1664" s="154" t="s">
        <v>66</v>
      </c>
      <c r="T1664" s="154" t="s">
        <v>66</v>
      </c>
      <c r="U1664" s="154" t="s">
        <v>66</v>
      </c>
      <c r="V1664" s="154" t="s">
        <v>66</v>
      </c>
      <c r="W1664" s="154" t="s">
        <v>66</v>
      </c>
      <c r="X1664" s="154" t="s">
        <v>66</v>
      </c>
      <c r="Y1664" s="154" t="s">
        <v>66</v>
      </c>
      <c r="Z1664" s="154" t="s">
        <v>66</v>
      </c>
      <c r="AA1664" s="154"/>
      <c r="AB1664" s="242" t="str">
        <f t="shared" si="2"/>
        <v>#ERROR!</v>
      </c>
      <c r="AC1664" s="154" t="s">
        <v>391</v>
      </c>
      <c r="AD1664" s="242" t="b">
        <f t="shared" si="3"/>
        <v>0</v>
      </c>
      <c r="AE1664" s="154"/>
      <c r="AF1664" s="242" t="str">
        <f t="shared" si="4"/>
        <v>#ERROR!</v>
      </c>
      <c r="AG1664" s="154"/>
      <c r="AH1664" s="242" t="str">
        <f>IF(AG1664="","N/A",INDIRECT("MTR!"&amp;ADDRESS(MATCH(LEFT(AG1664,9),[1]MTR!C:C,0),COLUMN(J1664)),TRUE) &amp; "")</f>
        <v>#ERROR!</v>
      </c>
      <c r="AI1664" s="157" t="str">
        <f t="shared" si="5"/>
        <v>#ERROR!</v>
      </c>
    </row>
    <row r="1665" ht="12.75" customHeight="1">
      <c r="A1665" s="244" t="s">
        <v>5158</v>
      </c>
      <c r="B1665" s="244" t="s">
        <v>231</v>
      </c>
      <c r="C1665" s="244" t="s">
        <v>10904</v>
      </c>
      <c r="D1665" s="154" t="s">
        <v>1315</v>
      </c>
      <c r="E1665" s="154"/>
      <c r="F1665" s="154" t="str">
        <f t="array" ref="F1665">XLOOKUP(Cover!$D$12,$R$1:$Z$1,$R1665:$Z1665)</f>
        <v>Information</v>
      </c>
      <c r="G1665" s="154" t="s">
        <v>10905</v>
      </c>
      <c r="H1665" s="154" t="s">
        <v>9006</v>
      </c>
      <c r="I1665" s="154" t="s">
        <v>10897</v>
      </c>
      <c r="J1665" s="154" t="s">
        <v>7478</v>
      </c>
      <c r="K1665" s="154" t="s">
        <v>10786</v>
      </c>
      <c r="L1665" s="154" t="s">
        <v>6884</v>
      </c>
      <c r="M1665" s="154"/>
      <c r="N1665" s="154" t="s">
        <v>759</v>
      </c>
      <c r="O1665" s="247" t="s">
        <v>516</v>
      </c>
      <c r="P1665" s="247" t="s">
        <v>6776</v>
      </c>
      <c r="Q1665" s="154" t="str">
        <f t="shared" si="1"/>
        <v>#ERROR!</v>
      </c>
      <c r="R1665" s="154" t="s">
        <v>66</v>
      </c>
      <c r="S1665" s="154" t="s">
        <v>66</v>
      </c>
      <c r="T1665" s="154" t="s">
        <v>66</v>
      </c>
      <c r="U1665" s="154" t="s">
        <v>66</v>
      </c>
      <c r="V1665" s="154" t="s">
        <v>66</v>
      </c>
      <c r="W1665" s="154" t="s">
        <v>66</v>
      </c>
      <c r="X1665" s="154" t="s">
        <v>66</v>
      </c>
      <c r="Y1665" s="154" t="s">
        <v>66</v>
      </c>
      <c r="Z1665" s="154" t="s">
        <v>66</v>
      </c>
      <c r="AA1665" s="154"/>
      <c r="AB1665" s="242" t="str">
        <f t="shared" si="2"/>
        <v>#ERROR!</v>
      </c>
      <c r="AC1665" s="154" t="s">
        <v>391</v>
      </c>
      <c r="AD1665" s="242" t="b">
        <f t="shared" si="3"/>
        <v>0</v>
      </c>
      <c r="AE1665" s="154"/>
      <c r="AF1665" s="242" t="str">
        <f t="shared" si="4"/>
        <v>#ERROR!</v>
      </c>
      <c r="AG1665" s="154"/>
      <c r="AH1665" s="242" t="str">
        <f>IF(AG1665="","N/A",INDIRECT("MTR!"&amp;ADDRESS(MATCH(LEFT(AG1665,9),[1]MTR!C:C,0),COLUMN(J1665)),TRUE) &amp; "")</f>
        <v>#ERROR!</v>
      </c>
      <c r="AI1665" s="157" t="str">
        <f t="shared" si="5"/>
        <v>#ERROR!</v>
      </c>
    </row>
    <row r="1666" ht="12.75" customHeight="1">
      <c r="A1666" s="244" t="s">
        <v>5158</v>
      </c>
      <c r="B1666" s="244" t="s">
        <v>231</v>
      </c>
      <c r="C1666" s="244" t="s">
        <v>10906</v>
      </c>
      <c r="D1666" s="154" t="s">
        <v>1315</v>
      </c>
      <c r="E1666" s="154"/>
      <c r="F1666" s="154" t="str">
        <f t="array" ref="F1666">XLOOKUP(Cover!$D$12,$R$1:$Z$1,$R1666:$Z1666)</f>
        <v>Information</v>
      </c>
      <c r="G1666" s="154" t="s">
        <v>10907</v>
      </c>
      <c r="H1666" s="154" t="s">
        <v>1541</v>
      </c>
      <c r="I1666" s="154" t="s">
        <v>10897</v>
      </c>
      <c r="J1666" s="154" t="s">
        <v>7478</v>
      </c>
      <c r="K1666" s="154" t="s">
        <v>10786</v>
      </c>
      <c r="L1666" s="154" t="s">
        <v>6884</v>
      </c>
      <c r="M1666" s="154"/>
      <c r="N1666" s="154" t="s">
        <v>759</v>
      </c>
      <c r="O1666" s="247" t="s">
        <v>516</v>
      </c>
      <c r="P1666" s="247" t="s">
        <v>6776</v>
      </c>
      <c r="Q1666" s="154" t="str">
        <f t="shared" si="1"/>
        <v>#ERROR!</v>
      </c>
      <c r="R1666" s="154" t="s">
        <v>66</v>
      </c>
      <c r="S1666" s="154" t="s">
        <v>66</v>
      </c>
      <c r="T1666" s="154" t="s">
        <v>66</v>
      </c>
      <c r="U1666" s="154" t="s">
        <v>66</v>
      </c>
      <c r="V1666" s="154" t="s">
        <v>66</v>
      </c>
      <c r="W1666" s="154" t="s">
        <v>66</v>
      </c>
      <c r="X1666" s="154" t="s">
        <v>66</v>
      </c>
      <c r="Y1666" s="154" t="s">
        <v>66</v>
      </c>
      <c r="Z1666" s="154" t="s">
        <v>66</v>
      </c>
      <c r="AA1666" s="154"/>
      <c r="AB1666" s="242" t="str">
        <f t="shared" si="2"/>
        <v>#ERROR!</v>
      </c>
      <c r="AC1666" s="154" t="s">
        <v>391</v>
      </c>
      <c r="AD1666" s="242" t="b">
        <f t="shared" si="3"/>
        <v>0</v>
      </c>
      <c r="AE1666" s="154"/>
      <c r="AF1666" s="242" t="str">
        <f t="shared" si="4"/>
        <v>#ERROR!</v>
      </c>
      <c r="AG1666" s="154"/>
      <c r="AH1666" s="242" t="str">
        <f>IF(AG1666="","N/A",INDIRECT("MTR!"&amp;ADDRESS(MATCH(LEFT(AG1666,9),[1]MTR!C:C,0),COLUMN(J1666)),TRUE) &amp; "")</f>
        <v>#ERROR!</v>
      </c>
      <c r="AI1666" s="157" t="str">
        <f t="shared" si="5"/>
        <v>#ERROR!</v>
      </c>
    </row>
    <row r="1667" ht="12.75" customHeight="1">
      <c r="A1667" s="244" t="s">
        <v>5158</v>
      </c>
      <c r="B1667" s="244" t="s">
        <v>231</v>
      </c>
      <c r="C1667" s="244" t="s">
        <v>10908</v>
      </c>
      <c r="D1667" s="154" t="s">
        <v>1315</v>
      </c>
      <c r="E1667" s="154"/>
      <c r="F1667" s="154" t="str">
        <f t="array" ref="F1667">XLOOKUP(Cover!$D$12,$R$1:$Z$1,$R1667:$Z1667)</f>
        <v>Recommended</v>
      </c>
      <c r="G1667" s="154" t="s">
        <v>10909</v>
      </c>
      <c r="H1667" s="154" t="s">
        <v>7304</v>
      </c>
      <c r="I1667" s="154" t="s">
        <v>10910</v>
      </c>
      <c r="J1667" s="154" t="s">
        <v>7486</v>
      </c>
      <c r="K1667" s="154" t="s">
        <v>10786</v>
      </c>
      <c r="L1667" s="154" t="s">
        <v>6884</v>
      </c>
      <c r="M1667" s="154"/>
      <c r="N1667" s="154" t="s">
        <v>759</v>
      </c>
      <c r="O1667" s="247" t="s">
        <v>516</v>
      </c>
      <c r="P1667" s="247" t="s">
        <v>6776</v>
      </c>
      <c r="Q1667" s="154" t="str">
        <f t="shared" si="1"/>
        <v>#ERROR!</v>
      </c>
      <c r="R1667" s="154" t="s">
        <v>66</v>
      </c>
      <c r="S1667" s="154" t="s">
        <v>66</v>
      </c>
      <c r="T1667" s="154" t="s">
        <v>64</v>
      </c>
      <c r="U1667" s="154" t="s">
        <v>64</v>
      </c>
      <c r="V1667" s="154" t="s">
        <v>64</v>
      </c>
      <c r="W1667" s="154" t="s">
        <v>64</v>
      </c>
      <c r="X1667" s="154" t="s">
        <v>66</v>
      </c>
      <c r="Y1667" s="154" t="s">
        <v>64</v>
      </c>
      <c r="Z1667" s="154" t="s">
        <v>64</v>
      </c>
      <c r="AA1667" s="154"/>
      <c r="AB1667" s="242" t="str">
        <f t="shared" si="2"/>
        <v>#ERROR!</v>
      </c>
      <c r="AC1667" s="154" t="s">
        <v>391</v>
      </c>
      <c r="AD1667" s="242" t="b">
        <f t="shared" si="3"/>
        <v>0</v>
      </c>
      <c r="AE1667" s="154"/>
      <c r="AF1667" s="242" t="str">
        <f t="shared" si="4"/>
        <v>#ERROR!</v>
      </c>
      <c r="AG1667" s="154"/>
      <c r="AH1667" s="242" t="str">
        <f>IF(AG1667="","N/A",INDIRECT("MTR!"&amp;ADDRESS(MATCH(LEFT(AG1667,9),[1]MTR!C:C,0),COLUMN(J1667)),TRUE) &amp; "")</f>
        <v>#ERROR!</v>
      </c>
      <c r="AI1667" s="157" t="str">
        <f t="shared" si="5"/>
        <v>#ERROR!</v>
      </c>
    </row>
    <row r="1668" ht="12.75" customHeight="1">
      <c r="A1668" s="244" t="s">
        <v>5158</v>
      </c>
      <c r="B1668" s="244" t="s">
        <v>231</v>
      </c>
      <c r="C1668" s="244" t="s">
        <v>10911</v>
      </c>
      <c r="D1668" s="154" t="s">
        <v>1315</v>
      </c>
      <c r="E1668" s="154"/>
      <c r="F1668" s="154" t="str">
        <f t="array" ref="F1668">XLOOKUP(Cover!$D$12,$R$1:$Z$1,$R1668:$Z1668)</f>
        <v>Recommended</v>
      </c>
      <c r="G1668" s="154" t="s">
        <v>10912</v>
      </c>
      <c r="H1668" s="154" t="s">
        <v>9002</v>
      </c>
      <c r="I1668" s="154" t="s">
        <v>10910</v>
      </c>
      <c r="J1668" s="154" t="s">
        <v>7486</v>
      </c>
      <c r="K1668" s="154" t="s">
        <v>10786</v>
      </c>
      <c r="L1668" s="154" t="s">
        <v>6884</v>
      </c>
      <c r="M1668" s="154"/>
      <c r="N1668" s="154" t="s">
        <v>759</v>
      </c>
      <c r="O1668" s="247" t="s">
        <v>516</v>
      </c>
      <c r="P1668" s="247" t="s">
        <v>6776</v>
      </c>
      <c r="Q1668" s="154" t="str">
        <f t="shared" si="1"/>
        <v>#ERROR!</v>
      </c>
      <c r="R1668" s="154" t="s">
        <v>66</v>
      </c>
      <c r="S1668" s="154" t="s">
        <v>66</v>
      </c>
      <c r="T1668" s="154" t="s">
        <v>64</v>
      </c>
      <c r="U1668" s="154" t="s">
        <v>64</v>
      </c>
      <c r="V1668" s="154" t="s">
        <v>64</v>
      </c>
      <c r="W1668" s="154" t="s">
        <v>64</v>
      </c>
      <c r="X1668" s="154" t="s">
        <v>66</v>
      </c>
      <c r="Y1668" s="154" t="s">
        <v>64</v>
      </c>
      <c r="Z1668" s="154" t="s">
        <v>64</v>
      </c>
      <c r="AA1668" s="154"/>
      <c r="AB1668" s="242" t="str">
        <f t="shared" si="2"/>
        <v>#ERROR!</v>
      </c>
      <c r="AC1668" s="154" t="s">
        <v>391</v>
      </c>
      <c r="AD1668" s="242" t="b">
        <f t="shared" si="3"/>
        <v>0</v>
      </c>
      <c r="AE1668" s="154"/>
      <c r="AF1668" s="242" t="str">
        <f t="shared" si="4"/>
        <v>#ERROR!</v>
      </c>
      <c r="AG1668" s="154"/>
      <c r="AH1668" s="242" t="str">
        <f>IF(AG1668="","N/A",INDIRECT("MTR!"&amp;ADDRESS(MATCH(LEFT(AG1668,9),[1]MTR!C:C,0),COLUMN(J1668)),TRUE) &amp; "")</f>
        <v>#ERROR!</v>
      </c>
      <c r="AI1668" s="157" t="str">
        <f t="shared" si="5"/>
        <v>#ERROR!</v>
      </c>
    </row>
    <row r="1669" ht="12.75" customHeight="1">
      <c r="A1669" s="244" t="s">
        <v>5158</v>
      </c>
      <c r="B1669" s="244" t="s">
        <v>231</v>
      </c>
      <c r="C1669" s="244" t="s">
        <v>10913</v>
      </c>
      <c r="D1669" s="154" t="s">
        <v>1315</v>
      </c>
      <c r="E1669" s="154"/>
      <c r="F1669" s="154" t="str">
        <f t="array" ref="F1669">XLOOKUP(Cover!$D$12,$R$1:$Z$1,$R1669:$Z1669)</f>
        <v>Information</v>
      </c>
      <c r="G1669" s="154" t="s">
        <v>10914</v>
      </c>
      <c r="H1669" s="154" t="s">
        <v>7314</v>
      </c>
      <c r="I1669" s="154" t="s">
        <v>10910</v>
      </c>
      <c r="J1669" s="154" t="s">
        <v>7486</v>
      </c>
      <c r="K1669" s="154" t="s">
        <v>10786</v>
      </c>
      <c r="L1669" s="154" t="s">
        <v>6884</v>
      </c>
      <c r="M1669" s="154"/>
      <c r="N1669" s="154" t="s">
        <v>759</v>
      </c>
      <c r="O1669" s="247" t="s">
        <v>516</v>
      </c>
      <c r="P1669" s="247" t="s">
        <v>6776</v>
      </c>
      <c r="Q1669" s="154" t="str">
        <f t="shared" si="1"/>
        <v>#ERROR!</v>
      </c>
      <c r="R1669" s="154" t="s">
        <v>66</v>
      </c>
      <c r="S1669" s="154" t="s">
        <v>66</v>
      </c>
      <c r="T1669" s="154" t="s">
        <v>66</v>
      </c>
      <c r="U1669" s="154" t="s">
        <v>66</v>
      </c>
      <c r="V1669" s="154" t="s">
        <v>66</v>
      </c>
      <c r="W1669" s="154" t="s">
        <v>66</v>
      </c>
      <c r="X1669" s="154" t="s">
        <v>66</v>
      </c>
      <c r="Y1669" s="154" t="s">
        <v>66</v>
      </c>
      <c r="Z1669" s="154" t="s">
        <v>66</v>
      </c>
      <c r="AA1669" s="154"/>
      <c r="AB1669" s="242" t="str">
        <f t="shared" si="2"/>
        <v>#ERROR!</v>
      </c>
      <c r="AC1669" s="154" t="s">
        <v>391</v>
      </c>
      <c r="AD1669" s="242" t="b">
        <f t="shared" si="3"/>
        <v>0</v>
      </c>
      <c r="AE1669" s="154"/>
      <c r="AF1669" s="242" t="str">
        <f t="shared" si="4"/>
        <v>#ERROR!</v>
      </c>
      <c r="AG1669" s="154"/>
      <c r="AH1669" s="242" t="str">
        <f>IF(AG1669="","N/A",INDIRECT("MTR!"&amp;ADDRESS(MATCH(LEFT(AG1669,9),[1]MTR!C:C,0),COLUMN(J1669)),TRUE) &amp; "")</f>
        <v>#ERROR!</v>
      </c>
      <c r="AI1669" s="157" t="str">
        <f t="shared" si="5"/>
        <v>#ERROR!</v>
      </c>
    </row>
    <row r="1670" ht="12.75" customHeight="1">
      <c r="A1670" s="244" t="s">
        <v>5158</v>
      </c>
      <c r="B1670" s="244" t="s">
        <v>231</v>
      </c>
      <c r="C1670" s="244" t="s">
        <v>10915</v>
      </c>
      <c r="D1670" s="154" t="s">
        <v>1315</v>
      </c>
      <c r="E1670" s="154"/>
      <c r="F1670" s="154" t="str">
        <f t="array" ref="F1670">XLOOKUP(Cover!$D$12,$R$1:$Z$1,$R1670:$Z1670)</f>
        <v>Information</v>
      </c>
      <c r="G1670" s="154" t="s">
        <v>10916</v>
      </c>
      <c r="H1670" s="154" t="s">
        <v>7390</v>
      </c>
      <c r="I1670" s="154" t="s">
        <v>10910</v>
      </c>
      <c r="J1670" s="154" t="s">
        <v>7486</v>
      </c>
      <c r="K1670" s="154" t="s">
        <v>10786</v>
      </c>
      <c r="L1670" s="154" t="s">
        <v>6884</v>
      </c>
      <c r="M1670" s="154"/>
      <c r="N1670" s="154" t="s">
        <v>759</v>
      </c>
      <c r="O1670" s="247" t="s">
        <v>516</v>
      </c>
      <c r="P1670" s="247" t="s">
        <v>6776</v>
      </c>
      <c r="Q1670" s="154" t="str">
        <f t="shared" si="1"/>
        <v>#ERROR!</v>
      </c>
      <c r="R1670" s="154" t="s">
        <v>66</v>
      </c>
      <c r="S1670" s="154" t="s">
        <v>66</v>
      </c>
      <c r="T1670" s="154" t="s">
        <v>66</v>
      </c>
      <c r="U1670" s="154" t="s">
        <v>66</v>
      </c>
      <c r="V1670" s="154" t="s">
        <v>66</v>
      </c>
      <c r="W1670" s="154" t="s">
        <v>66</v>
      </c>
      <c r="X1670" s="154" t="s">
        <v>66</v>
      </c>
      <c r="Y1670" s="154" t="s">
        <v>66</v>
      </c>
      <c r="Z1670" s="154" t="s">
        <v>66</v>
      </c>
      <c r="AA1670" s="154"/>
      <c r="AB1670" s="242" t="str">
        <f t="shared" si="2"/>
        <v>#ERROR!</v>
      </c>
      <c r="AC1670" s="154" t="s">
        <v>391</v>
      </c>
      <c r="AD1670" s="242" t="b">
        <f t="shared" si="3"/>
        <v>0</v>
      </c>
      <c r="AE1670" s="154"/>
      <c r="AF1670" s="242" t="str">
        <f t="shared" si="4"/>
        <v>#ERROR!</v>
      </c>
      <c r="AG1670" s="154"/>
      <c r="AH1670" s="242" t="str">
        <f>IF(AG1670="","N/A",INDIRECT("MTR!"&amp;ADDRESS(MATCH(LEFT(AG1670,9),[1]MTR!C:C,0),COLUMN(J1670)),TRUE) &amp; "")</f>
        <v>#ERROR!</v>
      </c>
      <c r="AI1670" s="157" t="str">
        <f t="shared" si="5"/>
        <v>#ERROR!</v>
      </c>
    </row>
    <row r="1671" ht="12.75" customHeight="1">
      <c r="A1671" s="244" t="s">
        <v>5158</v>
      </c>
      <c r="B1671" s="244" t="s">
        <v>231</v>
      </c>
      <c r="C1671" s="244" t="s">
        <v>10917</v>
      </c>
      <c r="D1671" s="154" t="s">
        <v>1315</v>
      </c>
      <c r="E1671" s="154"/>
      <c r="F1671" s="154" t="str">
        <f t="array" ref="F1671">XLOOKUP(Cover!$D$12,$R$1:$Z$1,$R1671:$Z1671)</f>
        <v>Information</v>
      </c>
      <c r="G1671" s="154" t="s">
        <v>10918</v>
      </c>
      <c r="H1671" s="154" t="s">
        <v>9009</v>
      </c>
      <c r="I1671" s="154" t="s">
        <v>10910</v>
      </c>
      <c r="J1671" s="154" t="s">
        <v>7486</v>
      </c>
      <c r="K1671" s="154" t="s">
        <v>10786</v>
      </c>
      <c r="L1671" s="154" t="s">
        <v>6884</v>
      </c>
      <c r="M1671" s="154"/>
      <c r="N1671" s="154" t="s">
        <v>759</v>
      </c>
      <c r="O1671" s="247" t="s">
        <v>516</v>
      </c>
      <c r="P1671" s="247" t="s">
        <v>6776</v>
      </c>
      <c r="Q1671" s="154" t="str">
        <f t="shared" si="1"/>
        <v>#ERROR!</v>
      </c>
      <c r="R1671" s="154" t="s">
        <v>66</v>
      </c>
      <c r="S1671" s="154" t="s">
        <v>66</v>
      </c>
      <c r="T1671" s="154" t="s">
        <v>66</v>
      </c>
      <c r="U1671" s="154" t="s">
        <v>66</v>
      </c>
      <c r="V1671" s="154" t="s">
        <v>66</v>
      </c>
      <c r="W1671" s="154" t="s">
        <v>66</v>
      </c>
      <c r="X1671" s="154" t="s">
        <v>66</v>
      </c>
      <c r="Y1671" s="154" t="s">
        <v>66</v>
      </c>
      <c r="Z1671" s="154" t="s">
        <v>66</v>
      </c>
      <c r="AA1671" s="154"/>
      <c r="AB1671" s="242" t="str">
        <f t="shared" si="2"/>
        <v>#ERROR!</v>
      </c>
      <c r="AC1671" s="154" t="s">
        <v>391</v>
      </c>
      <c r="AD1671" s="242" t="b">
        <f t="shared" si="3"/>
        <v>0</v>
      </c>
      <c r="AE1671" s="154"/>
      <c r="AF1671" s="242" t="str">
        <f t="shared" si="4"/>
        <v>#ERROR!</v>
      </c>
      <c r="AG1671" s="154"/>
      <c r="AH1671" s="242" t="str">
        <f>IF(AG1671="","N/A",INDIRECT("MTR!"&amp;ADDRESS(MATCH(LEFT(AG1671,9),[1]MTR!C:C,0),COLUMN(J1671)),TRUE) &amp; "")</f>
        <v>#ERROR!</v>
      </c>
      <c r="AI1671" s="157" t="str">
        <f t="shared" si="5"/>
        <v>#ERROR!</v>
      </c>
    </row>
    <row r="1672" ht="12.75" customHeight="1">
      <c r="A1672" s="244" t="s">
        <v>5158</v>
      </c>
      <c r="B1672" s="244" t="s">
        <v>231</v>
      </c>
      <c r="C1672" s="244" t="s">
        <v>10919</v>
      </c>
      <c r="D1672" s="154" t="s">
        <v>1315</v>
      </c>
      <c r="E1672" s="154"/>
      <c r="F1672" s="154" t="str">
        <f t="array" ref="F1672">XLOOKUP(Cover!$D$12,$R$1:$Z$1,$R1672:$Z1672)</f>
        <v>Information</v>
      </c>
      <c r="G1672" s="154" t="s">
        <v>10920</v>
      </c>
      <c r="H1672" s="154" t="s">
        <v>9084</v>
      </c>
      <c r="I1672" s="154" t="s">
        <v>10910</v>
      </c>
      <c r="J1672" s="154" t="s">
        <v>7486</v>
      </c>
      <c r="K1672" s="154" t="s">
        <v>10786</v>
      </c>
      <c r="L1672" s="154" t="s">
        <v>6884</v>
      </c>
      <c r="M1672" s="154"/>
      <c r="N1672" s="154" t="s">
        <v>759</v>
      </c>
      <c r="O1672" s="247" t="s">
        <v>516</v>
      </c>
      <c r="P1672" s="247" t="s">
        <v>6776</v>
      </c>
      <c r="Q1672" s="154" t="str">
        <f t="shared" si="1"/>
        <v>#ERROR!</v>
      </c>
      <c r="R1672" s="154" t="s">
        <v>66</v>
      </c>
      <c r="S1672" s="154" t="s">
        <v>66</v>
      </c>
      <c r="T1672" s="154" t="s">
        <v>66</v>
      </c>
      <c r="U1672" s="154" t="s">
        <v>66</v>
      </c>
      <c r="V1672" s="154" t="s">
        <v>66</v>
      </c>
      <c r="W1672" s="154" t="s">
        <v>66</v>
      </c>
      <c r="X1672" s="154" t="s">
        <v>66</v>
      </c>
      <c r="Y1672" s="154" t="s">
        <v>66</v>
      </c>
      <c r="Z1672" s="154" t="s">
        <v>66</v>
      </c>
      <c r="AA1672" s="154"/>
      <c r="AB1672" s="242" t="str">
        <f t="shared" si="2"/>
        <v>#ERROR!</v>
      </c>
      <c r="AC1672" s="154" t="s">
        <v>391</v>
      </c>
      <c r="AD1672" s="242" t="b">
        <f t="shared" si="3"/>
        <v>0</v>
      </c>
      <c r="AE1672" s="154"/>
      <c r="AF1672" s="242" t="str">
        <f t="shared" si="4"/>
        <v>#ERROR!</v>
      </c>
      <c r="AG1672" s="154"/>
      <c r="AH1672" s="242" t="str">
        <f>IF(AG1672="","N/A",INDIRECT("MTR!"&amp;ADDRESS(MATCH(LEFT(AG1672,9),[1]MTR!C:C,0),COLUMN(J1672)),TRUE) &amp; "")</f>
        <v>#ERROR!</v>
      </c>
      <c r="AI1672" s="157" t="str">
        <f t="shared" si="5"/>
        <v>#ERROR!</v>
      </c>
    </row>
    <row r="1673" ht="12.75" customHeight="1">
      <c r="A1673" s="244" t="s">
        <v>5158</v>
      </c>
      <c r="B1673" s="244" t="s">
        <v>231</v>
      </c>
      <c r="C1673" s="244" t="s">
        <v>10921</v>
      </c>
      <c r="D1673" s="154" t="s">
        <v>781</v>
      </c>
      <c r="E1673" s="154"/>
      <c r="F1673" s="154" t="str">
        <f t="array" ref="F1673">XLOOKUP(Cover!$D$12,$R$1:$Z$1,$R1673:$Z1673)</f>
        <v>Mandatory</v>
      </c>
      <c r="G1673" s="154" t="s">
        <v>10922</v>
      </c>
      <c r="H1673" s="154" t="s">
        <v>7304</v>
      </c>
      <c r="I1673" s="154" t="s">
        <v>10923</v>
      </c>
      <c r="J1673" s="154" t="s">
        <v>7502</v>
      </c>
      <c r="K1673" s="154" t="s">
        <v>10786</v>
      </c>
      <c r="L1673" s="154" t="s">
        <v>6140</v>
      </c>
      <c r="M1673" s="154" t="s">
        <v>175</v>
      </c>
      <c r="N1673" s="154" t="s">
        <v>759</v>
      </c>
      <c r="O1673" s="247" t="s">
        <v>516</v>
      </c>
      <c r="P1673" s="247" t="s">
        <v>6776</v>
      </c>
      <c r="Q1673" s="154" t="str">
        <f t="shared" si="1"/>
        <v>#ERROR!</v>
      </c>
      <c r="R1673" s="154" t="s">
        <v>66</v>
      </c>
      <c r="S1673" s="154" t="s">
        <v>66</v>
      </c>
      <c r="T1673" s="155" t="s">
        <v>64</v>
      </c>
      <c r="U1673" s="155" t="s">
        <v>64</v>
      </c>
      <c r="V1673" s="154" t="s">
        <v>60</v>
      </c>
      <c r="W1673" s="154" t="s">
        <v>60</v>
      </c>
      <c r="X1673" s="154" t="s">
        <v>66</v>
      </c>
      <c r="Y1673" s="155" t="s">
        <v>64</v>
      </c>
      <c r="Z1673" s="154" t="s">
        <v>60</v>
      </c>
      <c r="AA1673" s="154"/>
      <c r="AB1673" s="242" t="str">
        <f t="shared" si="2"/>
        <v>#ERROR!</v>
      </c>
      <c r="AC1673" s="154" t="s">
        <v>391</v>
      </c>
      <c r="AD1673" s="242" t="b">
        <f t="shared" si="3"/>
        <v>0</v>
      </c>
      <c r="AE1673" s="154"/>
      <c r="AF1673" s="242" t="str">
        <f t="shared" si="4"/>
        <v>#ERROR!</v>
      </c>
      <c r="AG1673" s="154"/>
      <c r="AH1673" s="242" t="str">
        <f>IF(AG1673="","N/A",INDIRECT("MTR!"&amp;ADDRESS(MATCH(LEFT(AG1673,9),[1]MTR!C:C,0),COLUMN(J1673)),TRUE) &amp; "")</f>
        <v>#ERROR!</v>
      </c>
      <c r="AI1673" s="157" t="str">
        <f t="shared" si="5"/>
        <v>#ERROR!</v>
      </c>
    </row>
    <row r="1674" ht="12.75" customHeight="1">
      <c r="A1674" s="244" t="s">
        <v>5158</v>
      </c>
      <c r="B1674" s="244" t="s">
        <v>231</v>
      </c>
      <c r="C1674" s="244" t="s">
        <v>10924</v>
      </c>
      <c r="D1674" s="154" t="s">
        <v>1773</v>
      </c>
      <c r="E1674" s="154"/>
      <c r="F1674" s="154" t="str">
        <f t="array" ref="F1674">XLOOKUP(Cover!$D$12,$R$1:$Z$1,$R1674:$Z1674)</f>
        <v>Mandatory</v>
      </c>
      <c r="G1674" s="154" t="s">
        <v>10925</v>
      </c>
      <c r="H1674" s="154" t="s">
        <v>9002</v>
      </c>
      <c r="I1674" s="154" t="s">
        <v>10923</v>
      </c>
      <c r="J1674" s="154" t="s">
        <v>7502</v>
      </c>
      <c r="K1674" s="154" t="s">
        <v>10786</v>
      </c>
      <c r="L1674" s="154" t="s">
        <v>7175</v>
      </c>
      <c r="M1674" s="154" t="s">
        <v>175</v>
      </c>
      <c r="N1674" s="154" t="s">
        <v>759</v>
      </c>
      <c r="O1674" s="247" t="s">
        <v>516</v>
      </c>
      <c r="P1674" s="247" t="s">
        <v>6776</v>
      </c>
      <c r="Q1674" s="154" t="str">
        <f t="shared" si="1"/>
        <v>#ERROR!</v>
      </c>
      <c r="R1674" s="154" t="s">
        <v>66</v>
      </c>
      <c r="S1674" s="154" t="s">
        <v>66</v>
      </c>
      <c r="T1674" s="155" t="s">
        <v>64</v>
      </c>
      <c r="U1674" s="155" t="s">
        <v>64</v>
      </c>
      <c r="V1674" s="154" t="s">
        <v>60</v>
      </c>
      <c r="W1674" s="154" t="s">
        <v>60</v>
      </c>
      <c r="X1674" s="154" t="s">
        <v>66</v>
      </c>
      <c r="Y1674" s="155" t="s">
        <v>64</v>
      </c>
      <c r="Z1674" s="154" t="s">
        <v>60</v>
      </c>
      <c r="AA1674" s="154"/>
      <c r="AB1674" s="242" t="str">
        <f t="shared" si="2"/>
        <v>#ERROR!</v>
      </c>
      <c r="AC1674" s="154" t="s">
        <v>391</v>
      </c>
      <c r="AD1674" s="242" t="b">
        <f t="shared" si="3"/>
        <v>0</v>
      </c>
      <c r="AE1674" s="154"/>
      <c r="AF1674" s="242" t="str">
        <f t="shared" si="4"/>
        <v>#ERROR!</v>
      </c>
      <c r="AG1674" s="154"/>
      <c r="AH1674" s="242" t="str">
        <f>IF(AG1674="","N/A",INDIRECT("MTR!"&amp;ADDRESS(MATCH(LEFT(AG1674,9),[1]MTR!C:C,0),COLUMN(J1674)),TRUE) &amp; "")</f>
        <v>#ERROR!</v>
      </c>
      <c r="AI1674" s="157" t="str">
        <f t="shared" si="5"/>
        <v>#ERROR!</v>
      </c>
    </row>
    <row r="1675" ht="12.75" customHeight="1">
      <c r="A1675" s="244" t="s">
        <v>5158</v>
      </c>
      <c r="B1675" s="244" t="s">
        <v>231</v>
      </c>
      <c r="C1675" s="244" t="s">
        <v>10926</v>
      </c>
      <c r="D1675" s="154" t="s">
        <v>1773</v>
      </c>
      <c r="E1675" s="154"/>
      <c r="F1675" s="154" t="str">
        <f t="array" ref="F1675">XLOOKUP(Cover!$D$12,$R$1:$Z$1,$R1675:$Z1675)</f>
        <v>Mandatory</v>
      </c>
      <c r="G1675" s="154" t="s">
        <v>10927</v>
      </c>
      <c r="H1675" s="154" t="s">
        <v>7320</v>
      </c>
      <c r="I1675" s="154" t="s">
        <v>10923</v>
      </c>
      <c r="J1675" s="154" t="s">
        <v>7502</v>
      </c>
      <c r="K1675" s="154" t="s">
        <v>10786</v>
      </c>
      <c r="L1675" s="154" t="s">
        <v>7175</v>
      </c>
      <c r="M1675" s="154" t="s">
        <v>175</v>
      </c>
      <c r="N1675" s="154" t="s">
        <v>759</v>
      </c>
      <c r="O1675" s="247" t="s">
        <v>516</v>
      </c>
      <c r="P1675" s="247" t="s">
        <v>6776</v>
      </c>
      <c r="Q1675" s="154" t="str">
        <f t="shared" si="1"/>
        <v>#ERROR!</v>
      </c>
      <c r="R1675" s="154" t="s">
        <v>66</v>
      </c>
      <c r="S1675" s="154" t="s">
        <v>66</v>
      </c>
      <c r="T1675" s="155" t="s">
        <v>64</v>
      </c>
      <c r="U1675" s="155" t="s">
        <v>64</v>
      </c>
      <c r="V1675" s="154" t="s">
        <v>60</v>
      </c>
      <c r="W1675" s="154" t="s">
        <v>60</v>
      </c>
      <c r="X1675" s="154" t="s">
        <v>66</v>
      </c>
      <c r="Y1675" s="155" t="s">
        <v>64</v>
      </c>
      <c r="Z1675" s="154" t="s">
        <v>60</v>
      </c>
      <c r="AA1675" s="154"/>
      <c r="AB1675" s="242" t="str">
        <f t="shared" si="2"/>
        <v>#ERROR!</v>
      </c>
      <c r="AC1675" s="154" t="s">
        <v>391</v>
      </c>
      <c r="AD1675" s="242" t="b">
        <f t="shared" si="3"/>
        <v>0</v>
      </c>
      <c r="AE1675" s="154"/>
      <c r="AF1675" s="242" t="str">
        <f t="shared" si="4"/>
        <v>#ERROR!</v>
      </c>
      <c r="AG1675" s="154"/>
      <c r="AH1675" s="242" t="str">
        <f>IF(AG1675="","N/A",INDIRECT("MTR!"&amp;ADDRESS(MATCH(LEFT(AG1675,9),[1]MTR!C:C,0),COLUMN(J1675)),TRUE) &amp; "")</f>
        <v>#ERROR!</v>
      </c>
      <c r="AI1675" s="157" t="str">
        <f t="shared" si="5"/>
        <v>#ERROR!</v>
      </c>
    </row>
    <row r="1676" ht="12.75" customHeight="1">
      <c r="A1676" s="244" t="s">
        <v>5158</v>
      </c>
      <c r="B1676" s="244" t="s">
        <v>231</v>
      </c>
      <c r="C1676" s="244" t="s">
        <v>10928</v>
      </c>
      <c r="D1676" s="154" t="s">
        <v>1773</v>
      </c>
      <c r="E1676" s="154"/>
      <c r="F1676" s="154" t="str">
        <f t="array" ref="F1676">XLOOKUP(Cover!$D$12,$R$1:$Z$1,$R1676:$Z1676)</f>
        <v>Mandatory</v>
      </c>
      <c r="G1676" s="154" t="s">
        <v>10929</v>
      </c>
      <c r="H1676" s="154" t="s">
        <v>9015</v>
      </c>
      <c r="I1676" s="154" t="s">
        <v>10923</v>
      </c>
      <c r="J1676" s="154" t="s">
        <v>7502</v>
      </c>
      <c r="K1676" s="154" t="s">
        <v>10786</v>
      </c>
      <c r="L1676" s="154" t="s">
        <v>7175</v>
      </c>
      <c r="M1676" s="154" t="s">
        <v>175</v>
      </c>
      <c r="N1676" s="154" t="s">
        <v>759</v>
      </c>
      <c r="O1676" s="247" t="s">
        <v>516</v>
      </c>
      <c r="P1676" s="247" t="s">
        <v>6776</v>
      </c>
      <c r="Q1676" s="154" t="str">
        <f t="shared" si="1"/>
        <v>#ERROR!</v>
      </c>
      <c r="R1676" s="154" t="s">
        <v>66</v>
      </c>
      <c r="S1676" s="154" t="s">
        <v>66</v>
      </c>
      <c r="T1676" s="155" t="s">
        <v>64</v>
      </c>
      <c r="U1676" s="155" t="s">
        <v>64</v>
      </c>
      <c r="V1676" s="154" t="s">
        <v>60</v>
      </c>
      <c r="W1676" s="154" t="s">
        <v>60</v>
      </c>
      <c r="X1676" s="154" t="s">
        <v>66</v>
      </c>
      <c r="Y1676" s="155" t="s">
        <v>64</v>
      </c>
      <c r="Z1676" s="154" t="s">
        <v>60</v>
      </c>
      <c r="AA1676" s="154"/>
      <c r="AB1676" s="242" t="str">
        <f t="shared" si="2"/>
        <v>#ERROR!</v>
      </c>
      <c r="AC1676" s="154" t="s">
        <v>391</v>
      </c>
      <c r="AD1676" s="242" t="b">
        <f t="shared" si="3"/>
        <v>0</v>
      </c>
      <c r="AE1676" s="154"/>
      <c r="AF1676" s="242" t="str">
        <f t="shared" si="4"/>
        <v>#ERROR!</v>
      </c>
      <c r="AG1676" s="154"/>
      <c r="AH1676" s="242" t="str">
        <f>IF(AG1676="","N/A",INDIRECT("MTR!"&amp;ADDRESS(MATCH(LEFT(AG1676,9),[1]MTR!C:C,0),COLUMN(J1676)),TRUE) &amp; "")</f>
        <v>#ERROR!</v>
      </c>
      <c r="AI1676" s="157" t="str">
        <f t="shared" si="5"/>
        <v>#ERROR!</v>
      </c>
    </row>
    <row r="1677" ht="12.75" customHeight="1">
      <c r="A1677" s="244" t="s">
        <v>5158</v>
      </c>
      <c r="B1677" s="244" t="s">
        <v>231</v>
      </c>
      <c r="C1677" s="244" t="s">
        <v>10930</v>
      </c>
      <c r="D1677" s="154" t="s">
        <v>1315</v>
      </c>
      <c r="E1677" s="154"/>
      <c r="F1677" s="154" t="str">
        <f t="array" ref="F1677">XLOOKUP(Cover!$D$12,$R$1:$Z$1,$R1677:$Z1677)</f>
        <v>Information</v>
      </c>
      <c r="G1677" s="154" t="s">
        <v>10931</v>
      </c>
      <c r="H1677" s="154" t="s">
        <v>7304</v>
      </c>
      <c r="I1677" s="154" t="s">
        <v>10932</v>
      </c>
      <c r="J1677" s="154" t="s">
        <v>7510</v>
      </c>
      <c r="K1677" s="154" t="s">
        <v>10786</v>
      </c>
      <c r="L1677" s="154" t="s">
        <v>6022</v>
      </c>
      <c r="M1677" s="154"/>
      <c r="N1677" s="154" t="s">
        <v>759</v>
      </c>
      <c r="O1677" s="247" t="s">
        <v>516</v>
      </c>
      <c r="P1677" s="247" t="s">
        <v>6776</v>
      </c>
      <c r="Q1677" s="154" t="str">
        <f t="shared" si="1"/>
        <v>#ERROR!</v>
      </c>
      <c r="R1677" s="154" t="s">
        <v>66</v>
      </c>
      <c r="S1677" s="154" t="s">
        <v>66</v>
      </c>
      <c r="T1677" s="154" t="s">
        <v>66</v>
      </c>
      <c r="U1677" s="154" t="s">
        <v>66</v>
      </c>
      <c r="V1677" s="154" t="s">
        <v>66</v>
      </c>
      <c r="W1677" s="154" t="s">
        <v>66</v>
      </c>
      <c r="X1677" s="154" t="s">
        <v>66</v>
      </c>
      <c r="Y1677" s="154" t="s">
        <v>66</v>
      </c>
      <c r="Z1677" s="154" t="s">
        <v>66</v>
      </c>
      <c r="AA1677" s="154"/>
      <c r="AB1677" s="242" t="str">
        <f t="shared" si="2"/>
        <v>#ERROR!</v>
      </c>
      <c r="AC1677" s="154" t="s">
        <v>391</v>
      </c>
      <c r="AD1677" s="242" t="b">
        <f t="shared" si="3"/>
        <v>0</v>
      </c>
      <c r="AE1677" s="154"/>
      <c r="AF1677" s="242" t="str">
        <f t="shared" si="4"/>
        <v>#ERROR!</v>
      </c>
      <c r="AG1677" s="154"/>
      <c r="AH1677" s="242" t="str">
        <f>IF(AG1677="","N/A",INDIRECT("MTR!"&amp;ADDRESS(MATCH(LEFT(AG1677,9),[1]MTR!C:C,0),COLUMN(J1677)),TRUE) &amp; "")</f>
        <v>#ERROR!</v>
      </c>
      <c r="AI1677" s="157" t="str">
        <f t="shared" si="5"/>
        <v>#ERROR!</v>
      </c>
    </row>
    <row r="1678" ht="12.75" customHeight="1">
      <c r="A1678" s="244" t="s">
        <v>5158</v>
      </c>
      <c r="B1678" s="244" t="s">
        <v>231</v>
      </c>
      <c r="C1678" s="244" t="s">
        <v>10933</v>
      </c>
      <c r="D1678" s="154" t="s">
        <v>1315</v>
      </c>
      <c r="E1678" s="154"/>
      <c r="F1678" s="154" t="str">
        <f t="array" ref="F1678">XLOOKUP(Cover!$D$12,$R$1:$Z$1,$R1678:$Z1678)</f>
        <v>Information</v>
      </c>
      <c r="G1678" s="154" t="s">
        <v>10934</v>
      </c>
      <c r="H1678" s="154" t="s">
        <v>7314</v>
      </c>
      <c r="I1678" s="154" t="s">
        <v>10932</v>
      </c>
      <c r="J1678" s="154" t="s">
        <v>7510</v>
      </c>
      <c r="K1678" s="154" t="s">
        <v>10786</v>
      </c>
      <c r="L1678" s="154" t="s">
        <v>6022</v>
      </c>
      <c r="M1678" s="154"/>
      <c r="N1678" s="154" t="s">
        <v>759</v>
      </c>
      <c r="O1678" s="247" t="s">
        <v>516</v>
      </c>
      <c r="P1678" s="247" t="s">
        <v>6776</v>
      </c>
      <c r="Q1678" s="154" t="str">
        <f t="shared" si="1"/>
        <v>#ERROR!</v>
      </c>
      <c r="R1678" s="154" t="s">
        <v>66</v>
      </c>
      <c r="S1678" s="154" t="s">
        <v>66</v>
      </c>
      <c r="T1678" s="154" t="s">
        <v>66</v>
      </c>
      <c r="U1678" s="154" t="s">
        <v>66</v>
      </c>
      <c r="V1678" s="154" t="s">
        <v>66</v>
      </c>
      <c r="W1678" s="154" t="s">
        <v>66</v>
      </c>
      <c r="X1678" s="154" t="s">
        <v>66</v>
      </c>
      <c r="Y1678" s="154" t="s">
        <v>66</v>
      </c>
      <c r="Z1678" s="154" t="s">
        <v>66</v>
      </c>
      <c r="AA1678" s="154"/>
      <c r="AB1678" s="242" t="str">
        <f t="shared" si="2"/>
        <v>#ERROR!</v>
      </c>
      <c r="AC1678" s="154" t="s">
        <v>391</v>
      </c>
      <c r="AD1678" s="242" t="b">
        <f t="shared" si="3"/>
        <v>0</v>
      </c>
      <c r="AE1678" s="154"/>
      <c r="AF1678" s="242" t="str">
        <f t="shared" si="4"/>
        <v>#ERROR!</v>
      </c>
      <c r="AG1678" s="154"/>
      <c r="AH1678" s="242" t="str">
        <f>IF(AG1678="","N/A",INDIRECT("MTR!"&amp;ADDRESS(MATCH(LEFT(AG1678,9),[1]MTR!C:C,0),COLUMN(J1678)),TRUE) &amp; "")</f>
        <v>#ERROR!</v>
      </c>
      <c r="AI1678" s="157" t="str">
        <f t="shared" si="5"/>
        <v>#ERROR!</v>
      </c>
    </row>
    <row r="1679" ht="12.75" customHeight="1">
      <c r="A1679" s="244" t="s">
        <v>5158</v>
      </c>
      <c r="B1679" s="244" t="s">
        <v>231</v>
      </c>
      <c r="C1679" s="244" t="s">
        <v>10935</v>
      </c>
      <c r="D1679" s="154" t="s">
        <v>1315</v>
      </c>
      <c r="E1679" s="154"/>
      <c r="F1679" s="154" t="str">
        <f t="array" ref="F1679">XLOOKUP(Cover!$D$12,$R$1:$Z$1,$R1679:$Z1679)</f>
        <v>Information</v>
      </c>
      <c r="G1679" s="154" t="s">
        <v>10936</v>
      </c>
      <c r="H1679" s="154" t="s">
        <v>7323</v>
      </c>
      <c r="I1679" s="154" t="s">
        <v>10932</v>
      </c>
      <c r="J1679" s="154" t="s">
        <v>7510</v>
      </c>
      <c r="K1679" s="154" t="s">
        <v>10786</v>
      </c>
      <c r="L1679" s="154" t="s">
        <v>6022</v>
      </c>
      <c r="M1679" s="154"/>
      <c r="N1679" s="154" t="s">
        <v>759</v>
      </c>
      <c r="O1679" s="247" t="s">
        <v>516</v>
      </c>
      <c r="P1679" s="247" t="s">
        <v>6776</v>
      </c>
      <c r="Q1679" s="154" t="str">
        <f t="shared" si="1"/>
        <v>#ERROR!</v>
      </c>
      <c r="R1679" s="154" t="s">
        <v>66</v>
      </c>
      <c r="S1679" s="154" t="s">
        <v>66</v>
      </c>
      <c r="T1679" s="154" t="s">
        <v>66</v>
      </c>
      <c r="U1679" s="154" t="s">
        <v>66</v>
      </c>
      <c r="V1679" s="154" t="s">
        <v>66</v>
      </c>
      <c r="W1679" s="154" t="s">
        <v>66</v>
      </c>
      <c r="X1679" s="154" t="s">
        <v>66</v>
      </c>
      <c r="Y1679" s="154" t="s">
        <v>66</v>
      </c>
      <c r="Z1679" s="154" t="s">
        <v>66</v>
      </c>
      <c r="AA1679" s="154"/>
      <c r="AB1679" s="242" t="str">
        <f t="shared" si="2"/>
        <v>#ERROR!</v>
      </c>
      <c r="AC1679" s="154" t="s">
        <v>391</v>
      </c>
      <c r="AD1679" s="242" t="b">
        <f t="shared" si="3"/>
        <v>0</v>
      </c>
      <c r="AE1679" s="154"/>
      <c r="AF1679" s="242" t="str">
        <f t="shared" si="4"/>
        <v>#ERROR!</v>
      </c>
      <c r="AG1679" s="154"/>
      <c r="AH1679" s="242" t="str">
        <f>IF(AG1679="","N/A",INDIRECT("MTR!"&amp;ADDRESS(MATCH(LEFT(AG1679,9),[1]MTR!C:C,0),COLUMN(J1679)),TRUE) &amp; "")</f>
        <v>#ERROR!</v>
      </c>
      <c r="AI1679" s="157" t="str">
        <f t="shared" si="5"/>
        <v>#ERROR!</v>
      </c>
    </row>
    <row r="1680" ht="12.75" customHeight="1">
      <c r="A1680" s="244" t="s">
        <v>5158</v>
      </c>
      <c r="B1680" s="244" t="s">
        <v>231</v>
      </c>
      <c r="C1680" s="244" t="s">
        <v>10937</v>
      </c>
      <c r="D1680" s="154" t="s">
        <v>1315</v>
      </c>
      <c r="E1680" s="154"/>
      <c r="F1680" s="154" t="str">
        <f t="array" ref="F1680">XLOOKUP(Cover!$D$12,$R$1:$Z$1,$R1680:$Z1680)</f>
        <v>Information</v>
      </c>
      <c r="G1680" s="154" t="s">
        <v>10938</v>
      </c>
      <c r="H1680" s="154" t="s">
        <v>9002</v>
      </c>
      <c r="I1680" s="154" t="s">
        <v>10932</v>
      </c>
      <c r="J1680" s="154" t="s">
        <v>7510</v>
      </c>
      <c r="K1680" s="154" t="s">
        <v>10786</v>
      </c>
      <c r="L1680" s="154" t="s">
        <v>6022</v>
      </c>
      <c r="M1680" s="154"/>
      <c r="N1680" s="154" t="s">
        <v>759</v>
      </c>
      <c r="O1680" s="247" t="s">
        <v>516</v>
      </c>
      <c r="P1680" s="247" t="s">
        <v>6776</v>
      </c>
      <c r="Q1680" s="154" t="str">
        <f t="shared" si="1"/>
        <v>#ERROR!</v>
      </c>
      <c r="R1680" s="154" t="s">
        <v>66</v>
      </c>
      <c r="S1680" s="154" t="s">
        <v>66</v>
      </c>
      <c r="T1680" s="154" t="s">
        <v>66</v>
      </c>
      <c r="U1680" s="154" t="s">
        <v>66</v>
      </c>
      <c r="V1680" s="154" t="s">
        <v>66</v>
      </c>
      <c r="W1680" s="154" t="s">
        <v>66</v>
      </c>
      <c r="X1680" s="154" t="s">
        <v>66</v>
      </c>
      <c r="Y1680" s="154" t="s">
        <v>66</v>
      </c>
      <c r="Z1680" s="154" t="s">
        <v>66</v>
      </c>
      <c r="AA1680" s="154"/>
      <c r="AB1680" s="242" t="str">
        <f t="shared" si="2"/>
        <v>#ERROR!</v>
      </c>
      <c r="AC1680" s="154" t="s">
        <v>391</v>
      </c>
      <c r="AD1680" s="242" t="b">
        <f t="shared" si="3"/>
        <v>0</v>
      </c>
      <c r="AE1680" s="154"/>
      <c r="AF1680" s="242" t="str">
        <f t="shared" si="4"/>
        <v>#ERROR!</v>
      </c>
      <c r="AG1680" s="154"/>
      <c r="AH1680" s="242" t="str">
        <f>IF(AG1680="","N/A",INDIRECT("MTR!"&amp;ADDRESS(MATCH(LEFT(AG1680,9),[1]MTR!C:C,0),COLUMN(J1680)),TRUE) &amp; "")</f>
        <v>#ERROR!</v>
      </c>
      <c r="AI1680" s="157" t="str">
        <f t="shared" si="5"/>
        <v>#ERROR!</v>
      </c>
    </row>
    <row r="1681" ht="12.75" customHeight="1">
      <c r="A1681" s="244" t="s">
        <v>5158</v>
      </c>
      <c r="B1681" s="244" t="s">
        <v>231</v>
      </c>
      <c r="C1681" s="244" t="s">
        <v>10939</v>
      </c>
      <c r="D1681" s="154" t="s">
        <v>1315</v>
      </c>
      <c r="E1681" s="154"/>
      <c r="F1681" s="154" t="str">
        <f t="array" ref="F1681">XLOOKUP(Cover!$D$12,$R$1:$Z$1,$R1681:$Z1681)</f>
        <v>Information</v>
      </c>
      <c r="G1681" s="154" t="s">
        <v>10940</v>
      </c>
      <c r="H1681" s="154" t="s">
        <v>9009</v>
      </c>
      <c r="I1681" s="154" t="s">
        <v>10932</v>
      </c>
      <c r="J1681" s="154" t="s">
        <v>7510</v>
      </c>
      <c r="K1681" s="154" t="s">
        <v>10786</v>
      </c>
      <c r="L1681" s="154" t="s">
        <v>6022</v>
      </c>
      <c r="M1681" s="154"/>
      <c r="N1681" s="154" t="s">
        <v>759</v>
      </c>
      <c r="O1681" s="247" t="s">
        <v>516</v>
      </c>
      <c r="P1681" s="247" t="s">
        <v>6776</v>
      </c>
      <c r="Q1681" s="154" t="str">
        <f t="shared" si="1"/>
        <v>#ERROR!</v>
      </c>
      <c r="R1681" s="154" t="s">
        <v>66</v>
      </c>
      <c r="S1681" s="154" t="s">
        <v>66</v>
      </c>
      <c r="T1681" s="154" t="s">
        <v>66</v>
      </c>
      <c r="U1681" s="154" t="s">
        <v>66</v>
      </c>
      <c r="V1681" s="154" t="s">
        <v>66</v>
      </c>
      <c r="W1681" s="154" t="s">
        <v>66</v>
      </c>
      <c r="X1681" s="154" t="s">
        <v>66</v>
      </c>
      <c r="Y1681" s="154" t="s">
        <v>66</v>
      </c>
      <c r="Z1681" s="154" t="s">
        <v>66</v>
      </c>
      <c r="AA1681" s="154"/>
      <c r="AB1681" s="242" t="str">
        <f t="shared" si="2"/>
        <v>#ERROR!</v>
      </c>
      <c r="AC1681" s="154" t="s">
        <v>391</v>
      </c>
      <c r="AD1681" s="242" t="b">
        <f t="shared" si="3"/>
        <v>0</v>
      </c>
      <c r="AE1681" s="154"/>
      <c r="AF1681" s="242" t="str">
        <f t="shared" si="4"/>
        <v>#ERROR!</v>
      </c>
      <c r="AG1681" s="154"/>
      <c r="AH1681" s="242" t="str">
        <f>IF(AG1681="","N/A",INDIRECT("MTR!"&amp;ADDRESS(MATCH(LEFT(AG1681,9),[1]MTR!C:C,0),COLUMN(J1681)),TRUE) &amp; "")</f>
        <v>#ERROR!</v>
      </c>
      <c r="AI1681" s="157" t="str">
        <f t="shared" si="5"/>
        <v>#ERROR!</v>
      </c>
    </row>
    <row r="1682" ht="12.75" customHeight="1">
      <c r="A1682" s="244" t="s">
        <v>5158</v>
      </c>
      <c r="B1682" s="244" t="s">
        <v>231</v>
      </c>
      <c r="C1682" s="244" t="s">
        <v>10941</v>
      </c>
      <c r="D1682" s="154" t="s">
        <v>1315</v>
      </c>
      <c r="E1682" s="154"/>
      <c r="F1682" s="154" t="str">
        <f t="array" ref="F1682">XLOOKUP(Cover!$D$12,$R$1:$Z$1,$R1682:$Z1682)</f>
        <v>Information</v>
      </c>
      <c r="G1682" s="154" t="s">
        <v>10942</v>
      </c>
      <c r="H1682" s="154" t="s">
        <v>1541</v>
      </c>
      <c r="I1682" s="154" t="s">
        <v>10932</v>
      </c>
      <c r="J1682" s="154" t="s">
        <v>7510</v>
      </c>
      <c r="K1682" s="154" t="s">
        <v>10786</v>
      </c>
      <c r="L1682" s="154" t="s">
        <v>6022</v>
      </c>
      <c r="M1682" s="154"/>
      <c r="N1682" s="154" t="s">
        <v>759</v>
      </c>
      <c r="O1682" s="247" t="s">
        <v>516</v>
      </c>
      <c r="P1682" s="247" t="s">
        <v>6776</v>
      </c>
      <c r="Q1682" s="154" t="str">
        <f t="shared" si="1"/>
        <v>#ERROR!</v>
      </c>
      <c r="R1682" s="154" t="s">
        <v>66</v>
      </c>
      <c r="S1682" s="154" t="s">
        <v>66</v>
      </c>
      <c r="T1682" s="154" t="s">
        <v>66</v>
      </c>
      <c r="U1682" s="154" t="s">
        <v>66</v>
      </c>
      <c r="V1682" s="154" t="s">
        <v>66</v>
      </c>
      <c r="W1682" s="154" t="s">
        <v>66</v>
      </c>
      <c r="X1682" s="154" t="s">
        <v>66</v>
      </c>
      <c r="Y1682" s="154" t="s">
        <v>66</v>
      </c>
      <c r="Z1682" s="154" t="s">
        <v>66</v>
      </c>
      <c r="AA1682" s="154"/>
      <c r="AB1682" s="242" t="str">
        <f t="shared" si="2"/>
        <v>#ERROR!</v>
      </c>
      <c r="AC1682" s="154" t="s">
        <v>391</v>
      </c>
      <c r="AD1682" s="242" t="b">
        <f t="shared" si="3"/>
        <v>0</v>
      </c>
      <c r="AE1682" s="154"/>
      <c r="AF1682" s="242" t="str">
        <f t="shared" si="4"/>
        <v>#ERROR!</v>
      </c>
      <c r="AG1682" s="154"/>
      <c r="AH1682" s="242" t="str">
        <f>IF(AG1682="","N/A",INDIRECT("MTR!"&amp;ADDRESS(MATCH(LEFT(AG1682,9),[1]MTR!C:C,0),COLUMN(J1682)),TRUE) &amp; "")</f>
        <v>#ERROR!</v>
      </c>
      <c r="AI1682" s="157" t="str">
        <f t="shared" si="5"/>
        <v>#ERROR!</v>
      </c>
    </row>
    <row r="1683" ht="12.75" customHeight="1">
      <c r="A1683" s="244" t="s">
        <v>5158</v>
      </c>
      <c r="B1683" s="244" t="s">
        <v>231</v>
      </c>
      <c r="C1683" s="244" t="s">
        <v>10943</v>
      </c>
      <c r="D1683" s="154" t="s">
        <v>1315</v>
      </c>
      <c r="E1683" s="154"/>
      <c r="F1683" s="154" t="str">
        <f t="array" ref="F1683">XLOOKUP(Cover!$D$12,$R$1:$Z$1,$R1683:$Z1683)</f>
        <v>Information</v>
      </c>
      <c r="G1683" s="154" t="s">
        <v>10944</v>
      </c>
      <c r="H1683" s="154" t="s">
        <v>7311</v>
      </c>
      <c r="I1683" s="154" t="s">
        <v>10945</v>
      </c>
      <c r="J1683" s="154" t="s">
        <v>6984</v>
      </c>
      <c r="K1683" s="154" t="s">
        <v>10786</v>
      </c>
      <c r="L1683" s="154" t="s">
        <v>6884</v>
      </c>
      <c r="M1683" s="154"/>
      <c r="N1683" s="154" t="s">
        <v>759</v>
      </c>
      <c r="O1683" s="247" t="s">
        <v>516</v>
      </c>
      <c r="P1683" s="247" t="s">
        <v>6776</v>
      </c>
      <c r="Q1683" s="154" t="str">
        <f t="shared" si="1"/>
        <v>#ERROR!</v>
      </c>
      <c r="R1683" s="154" t="s">
        <v>66</v>
      </c>
      <c r="S1683" s="154" t="s">
        <v>66</v>
      </c>
      <c r="T1683" s="154" t="s">
        <v>66</v>
      </c>
      <c r="U1683" s="154" t="s">
        <v>66</v>
      </c>
      <c r="V1683" s="154" t="s">
        <v>66</v>
      </c>
      <c r="W1683" s="154" t="s">
        <v>66</v>
      </c>
      <c r="X1683" s="154" t="s">
        <v>66</v>
      </c>
      <c r="Y1683" s="154" t="s">
        <v>66</v>
      </c>
      <c r="Z1683" s="154" t="s">
        <v>66</v>
      </c>
      <c r="AA1683" s="154"/>
      <c r="AB1683" s="242" t="str">
        <f t="shared" si="2"/>
        <v>#ERROR!</v>
      </c>
      <c r="AC1683" s="154" t="s">
        <v>391</v>
      </c>
      <c r="AD1683" s="242" t="b">
        <f t="shared" si="3"/>
        <v>0</v>
      </c>
      <c r="AE1683" s="154"/>
      <c r="AF1683" s="242" t="str">
        <f t="shared" si="4"/>
        <v>#ERROR!</v>
      </c>
      <c r="AG1683" s="154"/>
      <c r="AH1683" s="242" t="str">
        <f>IF(AG1683="","N/A",INDIRECT("MTR!"&amp;ADDRESS(MATCH(LEFT(AG1683,9),[1]MTR!C:C,0),COLUMN(J1683)),TRUE) &amp; "")</f>
        <v>#ERROR!</v>
      </c>
      <c r="AI1683" s="157" t="str">
        <f t="shared" si="5"/>
        <v>#ERROR!</v>
      </c>
    </row>
    <row r="1684" ht="12.75" customHeight="1">
      <c r="A1684" s="244" t="s">
        <v>5158</v>
      </c>
      <c r="B1684" s="244" t="s">
        <v>231</v>
      </c>
      <c r="C1684" s="244" t="s">
        <v>10946</v>
      </c>
      <c r="D1684" s="154" t="s">
        <v>1315</v>
      </c>
      <c r="E1684" s="154"/>
      <c r="F1684" s="154" t="str">
        <f t="array" ref="F1684">XLOOKUP(Cover!$D$12,$R$1:$Z$1,$R1684:$Z1684)</f>
        <v>Information</v>
      </c>
      <c r="G1684" s="154" t="s">
        <v>10947</v>
      </c>
      <c r="H1684" s="154" t="s">
        <v>7314</v>
      </c>
      <c r="I1684" s="154" t="s">
        <v>10945</v>
      </c>
      <c r="J1684" s="154" t="s">
        <v>6984</v>
      </c>
      <c r="K1684" s="154" t="s">
        <v>10786</v>
      </c>
      <c r="L1684" s="154" t="s">
        <v>6884</v>
      </c>
      <c r="M1684" s="154"/>
      <c r="N1684" s="154" t="s">
        <v>759</v>
      </c>
      <c r="O1684" s="247" t="s">
        <v>516</v>
      </c>
      <c r="P1684" s="247" t="s">
        <v>6776</v>
      </c>
      <c r="Q1684" s="154" t="str">
        <f t="shared" si="1"/>
        <v>#ERROR!</v>
      </c>
      <c r="R1684" s="154" t="s">
        <v>66</v>
      </c>
      <c r="S1684" s="154" t="s">
        <v>66</v>
      </c>
      <c r="T1684" s="154" t="s">
        <v>66</v>
      </c>
      <c r="U1684" s="154" t="s">
        <v>66</v>
      </c>
      <c r="V1684" s="154" t="s">
        <v>66</v>
      </c>
      <c r="W1684" s="154" t="s">
        <v>66</v>
      </c>
      <c r="X1684" s="154" t="s">
        <v>66</v>
      </c>
      <c r="Y1684" s="154" t="s">
        <v>66</v>
      </c>
      <c r="Z1684" s="154" t="s">
        <v>66</v>
      </c>
      <c r="AA1684" s="154"/>
      <c r="AB1684" s="242" t="str">
        <f t="shared" si="2"/>
        <v>#ERROR!</v>
      </c>
      <c r="AC1684" s="154" t="s">
        <v>391</v>
      </c>
      <c r="AD1684" s="242" t="b">
        <f t="shared" si="3"/>
        <v>0</v>
      </c>
      <c r="AE1684" s="154"/>
      <c r="AF1684" s="242" t="str">
        <f t="shared" si="4"/>
        <v>#ERROR!</v>
      </c>
      <c r="AG1684" s="154"/>
      <c r="AH1684" s="242" t="str">
        <f>IF(AG1684="","N/A",INDIRECT("MTR!"&amp;ADDRESS(MATCH(LEFT(AG1684,9),[1]MTR!C:C,0),COLUMN(J1684)),TRUE) &amp; "")</f>
        <v>#ERROR!</v>
      </c>
      <c r="AI1684" s="157" t="str">
        <f t="shared" si="5"/>
        <v>#ERROR!</v>
      </c>
    </row>
    <row r="1685" ht="12.75" customHeight="1">
      <c r="A1685" s="244" t="s">
        <v>5158</v>
      </c>
      <c r="B1685" s="244" t="s">
        <v>231</v>
      </c>
      <c r="C1685" s="244" t="s">
        <v>10948</v>
      </c>
      <c r="D1685" s="154" t="s">
        <v>1315</v>
      </c>
      <c r="E1685" s="154"/>
      <c r="F1685" s="154" t="str">
        <f t="array" ref="F1685">XLOOKUP(Cover!$D$12,$R$1:$Z$1,$R1685:$Z1685)</f>
        <v>Information</v>
      </c>
      <c r="G1685" s="154" t="s">
        <v>10949</v>
      </c>
      <c r="H1685" s="154" t="s">
        <v>7390</v>
      </c>
      <c r="I1685" s="154" t="s">
        <v>10945</v>
      </c>
      <c r="J1685" s="154" t="s">
        <v>6984</v>
      </c>
      <c r="K1685" s="154" t="s">
        <v>10786</v>
      </c>
      <c r="L1685" s="154" t="s">
        <v>6884</v>
      </c>
      <c r="M1685" s="154"/>
      <c r="N1685" s="154" t="s">
        <v>759</v>
      </c>
      <c r="O1685" s="247" t="s">
        <v>516</v>
      </c>
      <c r="P1685" s="247" t="s">
        <v>6776</v>
      </c>
      <c r="Q1685" s="154" t="str">
        <f t="shared" si="1"/>
        <v>#ERROR!</v>
      </c>
      <c r="R1685" s="154" t="s">
        <v>66</v>
      </c>
      <c r="S1685" s="154" t="s">
        <v>66</v>
      </c>
      <c r="T1685" s="154" t="s">
        <v>66</v>
      </c>
      <c r="U1685" s="154" t="s">
        <v>66</v>
      </c>
      <c r="V1685" s="154" t="s">
        <v>66</v>
      </c>
      <c r="W1685" s="154" t="s">
        <v>66</v>
      </c>
      <c r="X1685" s="154" t="s">
        <v>66</v>
      </c>
      <c r="Y1685" s="154" t="s">
        <v>66</v>
      </c>
      <c r="Z1685" s="154" t="s">
        <v>66</v>
      </c>
      <c r="AA1685" s="154"/>
      <c r="AB1685" s="242" t="str">
        <f t="shared" si="2"/>
        <v>#ERROR!</v>
      </c>
      <c r="AC1685" s="154" t="s">
        <v>391</v>
      </c>
      <c r="AD1685" s="242" t="b">
        <f t="shared" si="3"/>
        <v>0</v>
      </c>
      <c r="AE1685" s="154"/>
      <c r="AF1685" s="242" t="str">
        <f t="shared" si="4"/>
        <v>#ERROR!</v>
      </c>
      <c r="AG1685" s="154"/>
      <c r="AH1685" s="242" t="str">
        <f>IF(AG1685="","N/A",INDIRECT("MTR!"&amp;ADDRESS(MATCH(LEFT(AG1685,9),[1]MTR!C:C,0),COLUMN(J1685)),TRUE) &amp; "")</f>
        <v>#ERROR!</v>
      </c>
      <c r="AI1685" s="157" t="str">
        <f t="shared" si="5"/>
        <v>#ERROR!</v>
      </c>
    </row>
    <row r="1686" ht="12.75" customHeight="1">
      <c r="A1686" s="244" t="s">
        <v>5158</v>
      </c>
      <c r="B1686" s="244" t="s">
        <v>231</v>
      </c>
      <c r="C1686" s="244" t="s">
        <v>10950</v>
      </c>
      <c r="D1686" s="154" t="s">
        <v>1315</v>
      </c>
      <c r="E1686" s="154"/>
      <c r="F1686" s="154" t="str">
        <f t="array" ref="F1686">XLOOKUP(Cover!$D$12,$R$1:$Z$1,$R1686:$Z1686)</f>
        <v>Information</v>
      </c>
      <c r="G1686" s="154" t="s">
        <v>10951</v>
      </c>
      <c r="H1686" s="154" t="s">
        <v>9006</v>
      </c>
      <c r="I1686" s="154" t="s">
        <v>10945</v>
      </c>
      <c r="J1686" s="154" t="s">
        <v>6984</v>
      </c>
      <c r="K1686" s="154" t="s">
        <v>10786</v>
      </c>
      <c r="L1686" s="154" t="s">
        <v>6884</v>
      </c>
      <c r="M1686" s="154"/>
      <c r="N1686" s="154" t="s">
        <v>759</v>
      </c>
      <c r="O1686" s="247" t="s">
        <v>516</v>
      </c>
      <c r="P1686" s="247" t="s">
        <v>6776</v>
      </c>
      <c r="Q1686" s="154" t="str">
        <f t="shared" si="1"/>
        <v>#ERROR!</v>
      </c>
      <c r="R1686" s="154" t="s">
        <v>66</v>
      </c>
      <c r="S1686" s="154" t="s">
        <v>66</v>
      </c>
      <c r="T1686" s="154" t="s">
        <v>66</v>
      </c>
      <c r="U1686" s="154" t="s">
        <v>66</v>
      </c>
      <c r="V1686" s="154" t="s">
        <v>66</v>
      </c>
      <c r="W1686" s="154" t="s">
        <v>66</v>
      </c>
      <c r="X1686" s="154" t="s">
        <v>66</v>
      </c>
      <c r="Y1686" s="154" t="s">
        <v>66</v>
      </c>
      <c r="Z1686" s="154" t="s">
        <v>66</v>
      </c>
      <c r="AA1686" s="154"/>
      <c r="AB1686" s="242" t="str">
        <f t="shared" si="2"/>
        <v>#ERROR!</v>
      </c>
      <c r="AC1686" s="154" t="s">
        <v>391</v>
      </c>
      <c r="AD1686" s="242" t="b">
        <f t="shared" si="3"/>
        <v>0</v>
      </c>
      <c r="AE1686" s="154"/>
      <c r="AF1686" s="242" t="str">
        <f t="shared" si="4"/>
        <v>#ERROR!</v>
      </c>
      <c r="AG1686" s="154"/>
      <c r="AH1686" s="242" t="str">
        <f>IF(AG1686="","N/A",INDIRECT("MTR!"&amp;ADDRESS(MATCH(LEFT(AG1686,9),[1]MTR!C:C,0),COLUMN(J1686)),TRUE) &amp; "")</f>
        <v>#ERROR!</v>
      </c>
      <c r="AI1686" s="157" t="str">
        <f t="shared" si="5"/>
        <v>#ERROR!</v>
      </c>
    </row>
    <row r="1687" ht="12.75" customHeight="1">
      <c r="A1687" s="244" t="s">
        <v>5158</v>
      </c>
      <c r="B1687" s="244" t="s">
        <v>231</v>
      </c>
      <c r="C1687" s="244" t="s">
        <v>10952</v>
      </c>
      <c r="D1687" s="154" t="s">
        <v>1315</v>
      </c>
      <c r="E1687" s="154"/>
      <c r="F1687" s="154" t="str">
        <f t="array" ref="F1687">XLOOKUP(Cover!$D$12,$R$1:$Z$1,$R1687:$Z1687)</f>
        <v>Information</v>
      </c>
      <c r="G1687" s="154" t="s">
        <v>10953</v>
      </c>
      <c r="H1687" s="154" t="s">
        <v>9084</v>
      </c>
      <c r="I1687" s="154" t="s">
        <v>10945</v>
      </c>
      <c r="J1687" s="154" t="s">
        <v>6984</v>
      </c>
      <c r="K1687" s="154" t="s">
        <v>10786</v>
      </c>
      <c r="L1687" s="154" t="s">
        <v>6884</v>
      </c>
      <c r="M1687" s="154"/>
      <c r="N1687" s="154" t="s">
        <v>759</v>
      </c>
      <c r="O1687" s="247" t="s">
        <v>516</v>
      </c>
      <c r="P1687" s="247" t="s">
        <v>6776</v>
      </c>
      <c r="Q1687" s="154" t="str">
        <f t="shared" si="1"/>
        <v>#ERROR!</v>
      </c>
      <c r="R1687" s="154" t="s">
        <v>66</v>
      </c>
      <c r="S1687" s="154" t="s">
        <v>66</v>
      </c>
      <c r="T1687" s="154" t="s">
        <v>66</v>
      </c>
      <c r="U1687" s="154" t="s">
        <v>66</v>
      </c>
      <c r="V1687" s="154" t="s">
        <v>66</v>
      </c>
      <c r="W1687" s="154" t="s">
        <v>66</v>
      </c>
      <c r="X1687" s="154" t="s">
        <v>66</v>
      </c>
      <c r="Y1687" s="154" t="s">
        <v>66</v>
      </c>
      <c r="Z1687" s="154" t="s">
        <v>66</v>
      </c>
      <c r="AA1687" s="154"/>
      <c r="AB1687" s="242" t="str">
        <f t="shared" si="2"/>
        <v>#ERROR!</v>
      </c>
      <c r="AC1687" s="154" t="s">
        <v>391</v>
      </c>
      <c r="AD1687" s="242" t="b">
        <f t="shared" si="3"/>
        <v>0</v>
      </c>
      <c r="AE1687" s="154"/>
      <c r="AF1687" s="242" t="str">
        <f t="shared" si="4"/>
        <v>#ERROR!</v>
      </c>
      <c r="AG1687" s="154"/>
      <c r="AH1687" s="242" t="str">
        <f>IF(AG1687="","N/A",INDIRECT("MTR!"&amp;ADDRESS(MATCH(LEFT(AG1687,9),[1]MTR!C:C,0),COLUMN(J1687)),TRUE) &amp; "")</f>
        <v>#ERROR!</v>
      </c>
      <c r="AI1687" s="157" t="str">
        <f t="shared" si="5"/>
        <v>#ERROR!</v>
      </c>
    </row>
    <row r="1688" ht="12.75" customHeight="1">
      <c r="A1688" s="244" t="s">
        <v>5158</v>
      </c>
      <c r="B1688" s="244" t="s">
        <v>231</v>
      </c>
      <c r="C1688" s="244" t="s">
        <v>10954</v>
      </c>
      <c r="D1688" s="154" t="s">
        <v>1315</v>
      </c>
      <c r="E1688" s="154"/>
      <c r="F1688" s="154" t="str">
        <f t="array" ref="F1688">XLOOKUP(Cover!$D$12,$R$1:$Z$1,$R1688:$Z1688)</f>
        <v>Information</v>
      </c>
      <c r="G1688" s="154" t="s">
        <v>10955</v>
      </c>
      <c r="H1688" s="154" t="s">
        <v>9009</v>
      </c>
      <c r="I1688" s="154" t="s">
        <v>10945</v>
      </c>
      <c r="J1688" s="154" t="s">
        <v>6984</v>
      </c>
      <c r="K1688" s="154" t="s">
        <v>10786</v>
      </c>
      <c r="L1688" s="154" t="s">
        <v>6884</v>
      </c>
      <c r="M1688" s="154"/>
      <c r="N1688" s="154" t="s">
        <v>759</v>
      </c>
      <c r="O1688" s="247" t="s">
        <v>516</v>
      </c>
      <c r="P1688" s="247" t="s">
        <v>6776</v>
      </c>
      <c r="Q1688" s="154" t="str">
        <f t="shared" si="1"/>
        <v>#ERROR!</v>
      </c>
      <c r="R1688" s="154" t="s">
        <v>66</v>
      </c>
      <c r="S1688" s="154" t="s">
        <v>66</v>
      </c>
      <c r="T1688" s="154" t="s">
        <v>66</v>
      </c>
      <c r="U1688" s="154" t="s">
        <v>66</v>
      </c>
      <c r="V1688" s="154" t="s">
        <v>66</v>
      </c>
      <c r="W1688" s="154" t="s">
        <v>66</v>
      </c>
      <c r="X1688" s="154" t="s">
        <v>66</v>
      </c>
      <c r="Y1688" s="154" t="s">
        <v>66</v>
      </c>
      <c r="Z1688" s="154" t="s">
        <v>66</v>
      </c>
      <c r="AA1688" s="154"/>
      <c r="AB1688" s="242" t="str">
        <f t="shared" si="2"/>
        <v>#ERROR!</v>
      </c>
      <c r="AC1688" s="154" t="s">
        <v>391</v>
      </c>
      <c r="AD1688" s="242" t="b">
        <f t="shared" si="3"/>
        <v>0</v>
      </c>
      <c r="AE1688" s="154"/>
      <c r="AF1688" s="242" t="str">
        <f t="shared" si="4"/>
        <v>#ERROR!</v>
      </c>
      <c r="AG1688" s="154"/>
      <c r="AH1688" s="242" t="str">
        <f>IF(AG1688="","N/A",INDIRECT("MTR!"&amp;ADDRESS(MATCH(LEFT(AG1688,9),[1]MTR!C:C,0),COLUMN(J1688)),TRUE) &amp; "")</f>
        <v>#ERROR!</v>
      </c>
      <c r="AI1688" s="157" t="str">
        <f t="shared" si="5"/>
        <v>#ERROR!</v>
      </c>
    </row>
    <row r="1689" ht="12.75" customHeight="1">
      <c r="A1689" s="244" t="s">
        <v>5158</v>
      </c>
      <c r="B1689" s="244" t="s">
        <v>231</v>
      </c>
      <c r="C1689" s="244" t="s">
        <v>10956</v>
      </c>
      <c r="D1689" s="154" t="s">
        <v>1315</v>
      </c>
      <c r="E1689" s="154"/>
      <c r="F1689" s="154" t="str">
        <f t="array" ref="F1689">XLOOKUP(Cover!$D$12,$R$1:$Z$1,$R1689:$Z1689)</f>
        <v>Information</v>
      </c>
      <c r="G1689" s="154" t="s">
        <v>10957</v>
      </c>
      <c r="H1689" s="154" t="s">
        <v>7311</v>
      </c>
      <c r="I1689" s="154" t="s">
        <v>10958</v>
      </c>
      <c r="J1689" s="154" t="s">
        <v>7014</v>
      </c>
      <c r="K1689" s="154" t="s">
        <v>10786</v>
      </c>
      <c r="L1689" s="154" t="s">
        <v>6884</v>
      </c>
      <c r="M1689" s="154"/>
      <c r="N1689" s="154" t="s">
        <v>759</v>
      </c>
      <c r="O1689" s="247" t="s">
        <v>516</v>
      </c>
      <c r="P1689" s="247" t="s">
        <v>6776</v>
      </c>
      <c r="Q1689" s="154" t="str">
        <f t="shared" si="1"/>
        <v>#ERROR!</v>
      </c>
      <c r="R1689" s="154" t="s">
        <v>66</v>
      </c>
      <c r="S1689" s="154" t="s">
        <v>66</v>
      </c>
      <c r="T1689" s="154" t="s">
        <v>66</v>
      </c>
      <c r="U1689" s="154" t="s">
        <v>66</v>
      </c>
      <c r="V1689" s="154" t="s">
        <v>66</v>
      </c>
      <c r="W1689" s="154" t="s">
        <v>66</v>
      </c>
      <c r="X1689" s="154" t="s">
        <v>66</v>
      </c>
      <c r="Y1689" s="154" t="s">
        <v>66</v>
      </c>
      <c r="Z1689" s="154" t="s">
        <v>66</v>
      </c>
      <c r="AA1689" s="154"/>
      <c r="AB1689" s="242" t="str">
        <f t="shared" si="2"/>
        <v>#ERROR!</v>
      </c>
      <c r="AC1689" s="154" t="s">
        <v>391</v>
      </c>
      <c r="AD1689" s="242" t="b">
        <f t="shared" si="3"/>
        <v>0</v>
      </c>
      <c r="AE1689" s="154"/>
      <c r="AF1689" s="242" t="str">
        <f t="shared" si="4"/>
        <v>#ERROR!</v>
      </c>
      <c r="AG1689" s="154"/>
      <c r="AH1689" s="242" t="str">
        <f>IF(AG1689="","N/A",INDIRECT("MTR!"&amp;ADDRESS(MATCH(LEFT(AG1689,9),[1]MTR!C:C,0),COLUMN(J1689)),TRUE) &amp; "")</f>
        <v>#ERROR!</v>
      </c>
      <c r="AI1689" s="157" t="str">
        <f t="shared" si="5"/>
        <v>#ERROR!</v>
      </c>
    </row>
    <row r="1690" ht="12.75" customHeight="1">
      <c r="A1690" s="244" t="s">
        <v>5158</v>
      </c>
      <c r="B1690" s="244" t="s">
        <v>231</v>
      </c>
      <c r="C1690" s="244" t="s">
        <v>10959</v>
      </c>
      <c r="D1690" s="154" t="s">
        <v>1315</v>
      </c>
      <c r="E1690" s="154"/>
      <c r="F1690" s="154" t="str">
        <f t="array" ref="F1690">XLOOKUP(Cover!$D$12,$R$1:$Z$1,$R1690:$Z1690)</f>
        <v>Information</v>
      </c>
      <c r="G1690" s="154" t="s">
        <v>10960</v>
      </c>
      <c r="H1690" s="154" t="s">
        <v>7314</v>
      </c>
      <c r="I1690" s="154" t="s">
        <v>10958</v>
      </c>
      <c r="J1690" s="154" t="s">
        <v>7014</v>
      </c>
      <c r="K1690" s="154" t="s">
        <v>10786</v>
      </c>
      <c r="L1690" s="154" t="s">
        <v>6884</v>
      </c>
      <c r="M1690" s="154"/>
      <c r="N1690" s="154" t="s">
        <v>759</v>
      </c>
      <c r="O1690" s="247" t="s">
        <v>516</v>
      </c>
      <c r="P1690" s="247" t="s">
        <v>6776</v>
      </c>
      <c r="Q1690" s="154" t="str">
        <f t="shared" si="1"/>
        <v>#ERROR!</v>
      </c>
      <c r="R1690" s="154" t="s">
        <v>66</v>
      </c>
      <c r="S1690" s="154" t="s">
        <v>66</v>
      </c>
      <c r="T1690" s="154" t="s">
        <v>66</v>
      </c>
      <c r="U1690" s="154" t="s">
        <v>66</v>
      </c>
      <c r="V1690" s="154" t="s">
        <v>66</v>
      </c>
      <c r="W1690" s="154" t="s">
        <v>66</v>
      </c>
      <c r="X1690" s="154" t="s">
        <v>66</v>
      </c>
      <c r="Y1690" s="154" t="s">
        <v>66</v>
      </c>
      <c r="Z1690" s="154" t="s">
        <v>66</v>
      </c>
      <c r="AA1690" s="154"/>
      <c r="AB1690" s="242" t="str">
        <f t="shared" si="2"/>
        <v>#ERROR!</v>
      </c>
      <c r="AC1690" s="154" t="s">
        <v>391</v>
      </c>
      <c r="AD1690" s="242" t="b">
        <f t="shared" si="3"/>
        <v>0</v>
      </c>
      <c r="AE1690" s="154"/>
      <c r="AF1690" s="242" t="str">
        <f t="shared" si="4"/>
        <v>#ERROR!</v>
      </c>
      <c r="AG1690" s="154"/>
      <c r="AH1690" s="242" t="str">
        <f>IF(AG1690="","N/A",INDIRECT("MTR!"&amp;ADDRESS(MATCH(LEFT(AG1690,9),[1]MTR!C:C,0),COLUMN(J1690)),TRUE) &amp; "")</f>
        <v>#ERROR!</v>
      </c>
      <c r="AI1690" s="157" t="str">
        <f t="shared" si="5"/>
        <v>#ERROR!</v>
      </c>
    </row>
    <row r="1691" ht="12.75" customHeight="1">
      <c r="A1691" s="244" t="s">
        <v>5158</v>
      </c>
      <c r="B1691" s="244" t="s">
        <v>231</v>
      </c>
      <c r="C1691" s="244" t="s">
        <v>10961</v>
      </c>
      <c r="D1691" s="154" t="s">
        <v>1315</v>
      </c>
      <c r="E1691" s="154"/>
      <c r="F1691" s="154" t="str">
        <f t="array" ref="F1691">XLOOKUP(Cover!$D$12,$R$1:$Z$1,$R1691:$Z1691)</f>
        <v>Information</v>
      </c>
      <c r="G1691" s="154" t="s">
        <v>10962</v>
      </c>
      <c r="H1691" s="154" t="s">
        <v>7323</v>
      </c>
      <c r="I1691" s="154" t="s">
        <v>10958</v>
      </c>
      <c r="J1691" s="154" t="s">
        <v>7014</v>
      </c>
      <c r="K1691" s="154" t="s">
        <v>10786</v>
      </c>
      <c r="L1691" s="154" t="s">
        <v>6884</v>
      </c>
      <c r="M1691" s="154"/>
      <c r="N1691" s="154" t="s">
        <v>759</v>
      </c>
      <c r="O1691" s="247" t="s">
        <v>516</v>
      </c>
      <c r="P1691" s="247" t="s">
        <v>6776</v>
      </c>
      <c r="Q1691" s="154" t="str">
        <f t="shared" si="1"/>
        <v>#ERROR!</v>
      </c>
      <c r="R1691" s="154" t="s">
        <v>66</v>
      </c>
      <c r="S1691" s="154" t="s">
        <v>66</v>
      </c>
      <c r="T1691" s="154" t="s">
        <v>66</v>
      </c>
      <c r="U1691" s="154" t="s">
        <v>66</v>
      </c>
      <c r="V1691" s="154" t="s">
        <v>66</v>
      </c>
      <c r="W1691" s="154" t="s">
        <v>66</v>
      </c>
      <c r="X1691" s="154" t="s">
        <v>66</v>
      </c>
      <c r="Y1691" s="154" t="s">
        <v>66</v>
      </c>
      <c r="Z1691" s="154" t="s">
        <v>66</v>
      </c>
      <c r="AA1691" s="154"/>
      <c r="AB1691" s="242" t="str">
        <f t="shared" si="2"/>
        <v>#ERROR!</v>
      </c>
      <c r="AC1691" s="154" t="s">
        <v>391</v>
      </c>
      <c r="AD1691" s="242" t="b">
        <f t="shared" si="3"/>
        <v>0</v>
      </c>
      <c r="AE1691" s="154"/>
      <c r="AF1691" s="242" t="str">
        <f t="shared" si="4"/>
        <v>#ERROR!</v>
      </c>
      <c r="AG1691" s="154"/>
      <c r="AH1691" s="242" t="str">
        <f>IF(AG1691="","N/A",INDIRECT("MTR!"&amp;ADDRESS(MATCH(LEFT(AG1691,9),[1]MTR!C:C,0),COLUMN(J1691)),TRUE) &amp; "")</f>
        <v>#ERROR!</v>
      </c>
      <c r="AI1691" s="157" t="str">
        <f t="shared" si="5"/>
        <v>#ERROR!</v>
      </c>
    </row>
    <row r="1692" ht="12.75" customHeight="1">
      <c r="A1692" s="244" t="s">
        <v>5158</v>
      </c>
      <c r="B1692" s="244" t="s">
        <v>231</v>
      </c>
      <c r="C1692" s="244" t="s">
        <v>10963</v>
      </c>
      <c r="D1692" s="154" t="s">
        <v>1315</v>
      </c>
      <c r="E1692" s="154"/>
      <c r="F1692" s="154" t="str">
        <f t="array" ref="F1692">XLOOKUP(Cover!$D$12,$R$1:$Z$1,$R1692:$Z1692)</f>
        <v>Information</v>
      </c>
      <c r="G1692" s="154" t="s">
        <v>10964</v>
      </c>
      <c r="H1692" s="154" t="s">
        <v>9006</v>
      </c>
      <c r="I1692" s="154" t="s">
        <v>10958</v>
      </c>
      <c r="J1692" s="154" t="s">
        <v>7014</v>
      </c>
      <c r="K1692" s="154" t="s">
        <v>10786</v>
      </c>
      <c r="L1692" s="154" t="s">
        <v>6884</v>
      </c>
      <c r="M1692" s="154"/>
      <c r="N1692" s="154" t="s">
        <v>759</v>
      </c>
      <c r="O1692" s="247" t="s">
        <v>516</v>
      </c>
      <c r="P1692" s="247" t="s">
        <v>6776</v>
      </c>
      <c r="Q1692" s="154" t="str">
        <f t="shared" si="1"/>
        <v>#ERROR!</v>
      </c>
      <c r="R1692" s="154" t="s">
        <v>66</v>
      </c>
      <c r="S1692" s="154" t="s">
        <v>66</v>
      </c>
      <c r="T1692" s="154" t="s">
        <v>66</v>
      </c>
      <c r="U1692" s="154" t="s">
        <v>66</v>
      </c>
      <c r="V1692" s="154" t="s">
        <v>66</v>
      </c>
      <c r="W1692" s="154" t="s">
        <v>66</v>
      </c>
      <c r="X1692" s="154" t="s">
        <v>66</v>
      </c>
      <c r="Y1692" s="154" t="s">
        <v>66</v>
      </c>
      <c r="Z1692" s="154" t="s">
        <v>66</v>
      </c>
      <c r="AA1692" s="154"/>
      <c r="AB1692" s="242" t="str">
        <f t="shared" si="2"/>
        <v>#ERROR!</v>
      </c>
      <c r="AC1692" s="154" t="s">
        <v>391</v>
      </c>
      <c r="AD1692" s="242" t="b">
        <f t="shared" si="3"/>
        <v>0</v>
      </c>
      <c r="AE1692" s="154"/>
      <c r="AF1692" s="242" t="str">
        <f t="shared" si="4"/>
        <v>#ERROR!</v>
      </c>
      <c r="AG1692" s="154"/>
      <c r="AH1692" s="242" t="str">
        <f>IF(AG1692="","N/A",INDIRECT("MTR!"&amp;ADDRESS(MATCH(LEFT(AG1692,9),[1]MTR!C:C,0),COLUMN(J1692)),TRUE) &amp; "")</f>
        <v>#ERROR!</v>
      </c>
      <c r="AI1692" s="157" t="str">
        <f t="shared" si="5"/>
        <v>#ERROR!</v>
      </c>
    </row>
    <row r="1693" ht="12.75" customHeight="1">
      <c r="A1693" s="244" t="s">
        <v>5158</v>
      </c>
      <c r="B1693" s="244" t="s">
        <v>231</v>
      </c>
      <c r="C1693" s="244" t="s">
        <v>10965</v>
      </c>
      <c r="D1693" s="154" t="s">
        <v>1315</v>
      </c>
      <c r="E1693" s="154"/>
      <c r="F1693" s="154" t="str">
        <f t="array" ref="F1693">XLOOKUP(Cover!$D$12,$R$1:$Z$1,$R1693:$Z1693)</f>
        <v>Information</v>
      </c>
      <c r="G1693" s="154" t="s">
        <v>10966</v>
      </c>
      <c r="H1693" s="154" t="s">
        <v>9009</v>
      </c>
      <c r="I1693" s="154" t="s">
        <v>10958</v>
      </c>
      <c r="J1693" s="154" t="s">
        <v>7014</v>
      </c>
      <c r="K1693" s="154" t="s">
        <v>10786</v>
      </c>
      <c r="L1693" s="154" t="s">
        <v>6884</v>
      </c>
      <c r="M1693" s="154"/>
      <c r="N1693" s="154" t="s">
        <v>759</v>
      </c>
      <c r="O1693" s="247" t="s">
        <v>516</v>
      </c>
      <c r="P1693" s="247" t="s">
        <v>6776</v>
      </c>
      <c r="Q1693" s="154" t="str">
        <f t="shared" si="1"/>
        <v>#ERROR!</v>
      </c>
      <c r="R1693" s="154" t="s">
        <v>66</v>
      </c>
      <c r="S1693" s="154" t="s">
        <v>66</v>
      </c>
      <c r="T1693" s="154" t="s">
        <v>66</v>
      </c>
      <c r="U1693" s="154" t="s">
        <v>66</v>
      </c>
      <c r="V1693" s="154" t="s">
        <v>66</v>
      </c>
      <c r="W1693" s="154" t="s">
        <v>66</v>
      </c>
      <c r="X1693" s="154" t="s">
        <v>66</v>
      </c>
      <c r="Y1693" s="154" t="s">
        <v>66</v>
      </c>
      <c r="Z1693" s="154" t="s">
        <v>66</v>
      </c>
      <c r="AA1693" s="154"/>
      <c r="AB1693" s="242" t="str">
        <f t="shared" si="2"/>
        <v>#ERROR!</v>
      </c>
      <c r="AC1693" s="154" t="s">
        <v>391</v>
      </c>
      <c r="AD1693" s="242" t="b">
        <f t="shared" si="3"/>
        <v>0</v>
      </c>
      <c r="AE1693" s="154"/>
      <c r="AF1693" s="242" t="str">
        <f t="shared" si="4"/>
        <v>#ERROR!</v>
      </c>
      <c r="AG1693" s="154"/>
      <c r="AH1693" s="242" t="str">
        <f>IF(AG1693="","N/A",INDIRECT("MTR!"&amp;ADDRESS(MATCH(LEFT(AG1693,9),[1]MTR!C:C,0),COLUMN(J1693)),TRUE) &amp; "")</f>
        <v>#ERROR!</v>
      </c>
      <c r="AI1693" s="157" t="str">
        <f t="shared" si="5"/>
        <v>#ERROR!</v>
      </c>
    </row>
    <row r="1694" ht="12.75" customHeight="1">
      <c r="A1694" s="244" t="s">
        <v>5158</v>
      </c>
      <c r="B1694" s="244" t="s">
        <v>231</v>
      </c>
      <c r="C1694" s="244" t="s">
        <v>10967</v>
      </c>
      <c r="D1694" s="154" t="s">
        <v>1315</v>
      </c>
      <c r="E1694" s="154"/>
      <c r="F1694" s="154" t="str">
        <f t="array" ref="F1694">XLOOKUP(Cover!$D$12,$R$1:$Z$1,$R1694:$Z1694)</f>
        <v>Information</v>
      </c>
      <c r="G1694" s="154" t="s">
        <v>10968</v>
      </c>
      <c r="H1694" s="154" t="s">
        <v>1541</v>
      </c>
      <c r="I1694" s="154" t="s">
        <v>10958</v>
      </c>
      <c r="J1694" s="154" t="s">
        <v>7014</v>
      </c>
      <c r="K1694" s="154" t="s">
        <v>10786</v>
      </c>
      <c r="L1694" s="154" t="s">
        <v>6884</v>
      </c>
      <c r="M1694" s="154"/>
      <c r="N1694" s="154" t="s">
        <v>759</v>
      </c>
      <c r="O1694" s="247" t="s">
        <v>516</v>
      </c>
      <c r="P1694" s="247" t="s">
        <v>6776</v>
      </c>
      <c r="Q1694" s="154" t="str">
        <f t="shared" si="1"/>
        <v>#ERROR!</v>
      </c>
      <c r="R1694" s="154" t="s">
        <v>66</v>
      </c>
      <c r="S1694" s="154" t="s">
        <v>66</v>
      </c>
      <c r="T1694" s="154" t="s">
        <v>66</v>
      </c>
      <c r="U1694" s="154" t="s">
        <v>66</v>
      </c>
      <c r="V1694" s="154" t="s">
        <v>66</v>
      </c>
      <c r="W1694" s="154" t="s">
        <v>66</v>
      </c>
      <c r="X1694" s="154" t="s">
        <v>66</v>
      </c>
      <c r="Y1694" s="154" t="s">
        <v>66</v>
      </c>
      <c r="Z1694" s="154" t="s">
        <v>66</v>
      </c>
      <c r="AA1694" s="154"/>
      <c r="AB1694" s="242" t="str">
        <f t="shared" si="2"/>
        <v>#ERROR!</v>
      </c>
      <c r="AC1694" s="154" t="s">
        <v>391</v>
      </c>
      <c r="AD1694" s="242" t="b">
        <f t="shared" si="3"/>
        <v>0</v>
      </c>
      <c r="AE1694" s="154"/>
      <c r="AF1694" s="242" t="str">
        <f t="shared" si="4"/>
        <v>#ERROR!</v>
      </c>
      <c r="AG1694" s="154"/>
      <c r="AH1694" s="242" t="str">
        <f>IF(AG1694="","N/A",INDIRECT("MTR!"&amp;ADDRESS(MATCH(LEFT(AG1694,9),[1]MTR!C:C,0),COLUMN(J1694)),TRUE) &amp; "")</f>
        <v>#ERROR!</v>
      </c>
      <c r="AI1694" s="157" t="str">
        <f t="shared" si="5"/>
        <v>#ERROR!</v>
      </c>
    </row>
    <row r="1695" ht="12.75" customHeight="1">
      <c r="A1695" s="244" t="s">
        <v>5158</v>
      </c>
      <c r="B1695" s="244" t="s">
        <v>231</v>
      </c>
      <c r="C1695" s="244" t="s">
        <v>10969</v>
      </c>
      <c r="D1695" s="154" t="s">
        <v>781</v>
      </c>
      <c r="E1695" s="154"/>
      <c r="F1695" s="154" t="str">
        <f t="array" ref="F1695">XLOOKUP(Cover!$D$12,$R$1:$Z$1,$R1695:$Z1695)</f>
        <v>Information</v>
      </c>
      <c r="G1695" s="154" t="s">
        <v>10970</v>
      </c>
      <c r="H1695" s="154" t="s">
        <v>7314</v>
      </c>
      <c r="I1695" s="154" t="s">
        <v>10971</v>
      </c>
      <c r="J1695" s="154" t="s">
        <v>7592</v>
      </c>
      <c r="K1695" s="154" t="s">
        <v>10786</v>
      </c>
      <c r="L1695" s="154" t="s">
        <v>6942</v>
      </c>
      <c r="M1695" s="154"/>
      <c r="N1695" s="154" t="s">
        <v>759</v>
      </c>
      <c r="O1695" s="247" t="s">
        <v>516</v>
      </c>
      <c r="P1695" s="247" t="s">
        <v>6776</v>
      </c>
      <c r="Q1695" s="154" t="str">
        <f t="shared" si="1"/>
        <v>#ERROR!</v>
      </c>
      <c r="R1695" s="154" t="s">
        <v>66</v>
      </c>
      <c r="S1695" s="154" t="s">
        <v>66</v>
      </c>
      <c r="T1695" s="154" t="s">
        <v>66</v>
      </c>
      <c r="U1695" s="154" t="s">
        <v>66</v>
      </c>
      <c r="V1695" s="154" t="s">
        <v>66</v>
      </c>
      <c r="W1695" s="154" t="s">
        <v>66</v>
      </c>
      <c r="X1695" s="154" t="s">
        <v>66</v>
      </c>
      <c r="Y1695" s="154" t="s">
        <v>66</v>
      </c>
      <c r="Z1695" s="154" t="s">
        <v>66</v>
      </c>
      <c r="AA1695" s="154"/>
      <c r="AB1695" s="242" t="str">
        <f t="shared" si="2"/>
        <v>#ERROR!</v>
      </c>
      <c r="AC1695" s="154" t="s">
        <v>391</v>
      </c>
      <c r="AD1695" s="242" t="b">
        <f t="shared" si="3"/>
        <v>0</v>
      </c>
      <c r="AE1695" s="154"/>
      <c r="AF1695" s="242" t="str">
        <f t="shared" si="4"/>
        <v>#ERROR!</v>
      </c>
      <c r="AG1695" s="154"/>
      <c r="AH1695" s="242" t="str">
        <f>IF(AG1695="","N/A",INDIRECT("MTR!"&amp;ADDRESS(MATCH(LEFT(AG1695,9),[1]MTR!C:C,0),COLUMN(J1695)),TRUE) &amp; "")</f>
        <v>#ERROR!</v>
      </c>
      <c r="AI1695" s="157" t="str">
        <f t="shared" si="5"/>
        <v>#ERROR!</v>
      </c>
    </row>
    <row r="1696" ht="12.75" customHeight="1">
      <c r="A1696" s="244" t="s">
        <v>5158</v>
      </c>
      <c r="B1696" s="244" t="s">
        <v>231</v>
      </c>
      <c r="C1696" s="244" t="s">
        <v>10972</v>
      </c>
      <c r="D1696" s="154" t="s">
        <v>781</v>
      </c>
      <c r="E1696" s="154"/>
      <c r="F1696" s="154" t="str">
        <f t="array" ref="F1696">XLOOKUP(Cover!$D$12,$R$1:$Z$1,$R1696:$Z1696)</f>
        <v>Information</v>
      </c>
      <c r="G1696" s="154" t="s">
        <v>10973</v>
      </c>
      <c r="H1696" s="154" t="s">
        <v>7390</v>
      </c>
      <c r="I1696" s="154" t="s">
        <v>10971</v>
      </c>
      <c r="J1696" s="154" t="s">
        <v>7592</v>
      </c>
      <c r="K1696" s="154" t="s">
        <v>10786</v>
      </c>
      <c r="L1696" s="154" t="s">
        <v>6942</v>
      </c>
      <c r="M1696" s="154"/>
      <c r="N1696" s="154" t="s">
        <v>759</v>
      </c>
      <c r="O1696" s="247" t="s">
        <v>516</v>
      </c>
      <c r="P1696" s="247" t="s">
        <v>6776</v>
      </c>
      <c r="Q1696" s="154" t="str">
        <f t="shared" si="1"/>
        <v>#ERROR!</v>
      </c>
      <c r="R1696" s="154" t="s">
        <v>66</v>
      </c>
      <c r="S1696" s="154" t="s">
        <v>66</v>
      </c>
      <c r="T1696" s="154" t="s">
        <v>66</v>
      </c>
      <c r="U1696" s="154" t="s">
        <v>66</v>
      </c>
      <c r="V1696" s="154" t="s">
        <v>66</v>
      </c>
      <c r="W1696" s="154" t="s">
        <v>66</v>
      </c>
      <c r="X1696" s="154" t="s">
        <v>66</v>
      </c>
      <c r="Y1696" s="154" t="s">
        <v>66</v>
      </c>
      <c r="Z1696" s="154" t="s">
        <v>66</v>
      </c>
      <c r="AA1696" s="154"/>
      <c r="AB1696" s="242" t="str">
        <f t="shared" si="2"/>
        <v>#ERROR!</v>
      </c>
      <c r="AC1696" s="154" t="s">
        <v>391</v>
      </c>
      <c r="AD1696" s="242" t="b">
        <f t="shared" si="3"/>
        <v>0</v>
      </c>
      <c r="AE1696" s="154"/>
      <c r="AF1696" s="242" t="str">
        <f t="shared" si="4"/>
        <v>#ERROR!</v>
      </c>
      <c r="AG1696" s="154"/>
      <c r="AH1696" s="242" t="str">
        <f>IF(AG1696="","N/A",INDIRECT("MTR!"&amp;ADDRESS(MATCH(LEFT(AG1696,9),[1]MTR!C:C,0),COLUMN(J1696)),TRUE) &amp; "")</f>
        <v>#ERROR!</v>
      </c>
      <c r="AI1696" s="157" t="str">
        <f t="shared" si="5"/>
        <v>#ERROR!</v>
      </c>
    </row>
    <row r="1697" ht="12.75" customHeight="1">
      <c r="A1697" s="244" t="s">
        <v>5158</v>
      </c>
      <c r="B1697" s="244" t="s">
        <v>231</v>
      </c>
      <c r="C1697" s="244" t="s">
        <v>10974</v>
      </c>
      <c r="D1697" s="154" t="s">
        <v>781</v>
      </c>
      <c r="E1697" s="154"/>
      <c r="F1697" s="154" t="str">
        <f t="array" ref="F1697">XLOOKUP(Cover!$D$12,$R$1:$Z$1,$R1697:$Z1697)</f>
        <v>Information</v>
      </c>
      <c r="G1697" s="154" t="s">
        <v>10975</v>
      </c>
      <c r="H1697" s="154" t="s">
        <v>7323</v>
      </c>
      <c r="I1697" s="154" t="s">
        <v>10971</v>
      </c>
      <c r="J1697" s="154" t="s">
        <v>7592</v>
      </c>
      <c r="K1697" s="154" t="s">
        <v>10786</v>
      </c>
      <c r="L1697" s="154" t="s">
        <v>6942</v>
      </c>
      <c r="M1697" s="154"/>
      <c r="N1697" s="154" t="s">
        <v>759</v>
      </c>
      <c r="O1697" s="247" t="s">
        <v>516</v>
      </c>
      <c r="P1697" s="247" t="s">
        <v>6776</v>
      </c>
      <c r="Q1697" s="154" t="str">
        <f t="shared" si="1"/>
        <v>#ERROR!</v>
      </c>
      <c r="R1697" s="154" t="s">
        <v>66</v>
      </c>
      <c r="S1697" s="154" t="s">
        <v>66</v>
      </c>
      <c r="T1697" s="154" t="s">
        <v>66</v>
      </c>
      <c r="U1697" s="154" t="s">
        <v>66</v>
      </c>
      <c r="V1697" s="154" t="s">
        <v>66</v>
      </c>
      <c r="W1697" s="154" t="s">
        <v>66</v>
      </c>
      <c r="X1697" s="154" t="s">
        <v>66</v>
      </c>
      <c r="Y1697" s="154" t="s">
        <v>66</v>
      </c>
      <c r="Z1697" s="154" t="s">
        <v>66</v>
      </c>
      <c r="AA1697" s="154"/>
      <c r="AB1697" s="242" t="str">
        <f t="shared" si="2"/>
        <v>#ERROR!</v>
      </c>
      <c r="AC1697" s="154" t="s">
        <v>391</v>
      </c>
      <c r="AD1697" s="242" t="b">
        <f t="shared" si="3"/>
        <v>0</v>
      </c>
      <c r="AE1697" s="154"/>
      <c r="AF1697" s="242" t="str">
        <f t="shared" si="4"/>
        <v>#ERROR!</v>
      </c>
      <c r="AG1697" s="154"/>
      <c r="AH1697" s="242" t="str">
        <f>IF(AG1697="","N/A",INDIRECT("MTR!"&amp;ADDRESS(MATCH(LEFT(AG1697,9),[1]MTR!C:C,0),COLUMN(J1697)),TRUE) &amp; "")</f>
        <v>#ERROR!</v>
      </c>
      <c r="AI1697" s="157" t="str">
        <f t="shared" si="5"/>
        <v>#ERROR!</v>
      </c>
    </row>
    <row r="1698" ht="12.75" customHeight="1">
      <c r="A1698" s="244" t="s">
        <v>5158</v>
      </c>
      <c r="B1698" s="244" t="s">
        <v>231</v>
      </c>
      <c r="C1698" s="244" t="s">
        <v>10976</v>
      </c>
      <c r="D1698" s="154" t="s">
        <v>781</v>
      </c>
      <c r="E1698" s="154"/>
      <c r="F1698" s="154" t="str">
        <f t="array" ref="F1698">XLOOKUP(Cover!$D$12,$R$1:$Z$1,$R1698:$Z1698)</f>
        <v>Information</v>
      </c>
      <c r="G1698" s="154" t="s">
        <v>10977</v>
      </c>
      <c r="H1698" s="154" t="s">
        <v>9009</v>
      </c>
      <c r="I1698" s="154" t="s">
        <v>10971</v>
      </c>
      <c r="J1698" s="154" t="s">
        <v>7592</v>
      </c>
      <c r="K1698" s="154" t="s">
        <v>10786</v>
      </c>
      <c r="L1698" s="154" t="s">
        <v>6942</v>
      </c>
      <c r="M1698" s="154"/>
      <c r="N1698" s="154" t="s">
        <v>759</v>
      </c>
      <c r="O1698" s="247" t="s">
        <v>516</v>
      </c>
      <c r="P1698" s="247" t="s">
        <v>6776</v>
      </c>
      <c r="Q1698" s="154" t="str">
        <f t="shared" si="1"/>
        <v>#ERROR!</v>
      </c>
      <c r="R1698" s="154" t="s">
        <v>66</v>
      </c>
      <c r="S1698" s="154" t="s">
        <v>66</v>
      </c>
      <c r="T1698" s="154" t="s">
        <v>66</v>
      </c>
      <c r="U1698" s="154" t="s">
        <v>66</v>
      </c>
      <c r="V1698" s="154" t="s">
        <v>66</v>
      </c>
      <c r="W1698" s="154" t="s">
        <v>66</v>
      </c>
      <c r="X1698" s="154" t="s">
        <v>66</v>
      </c>
      <c r="Y1698" s="154" t="s">
        <v>66</v>
      </c>
      <c r="Z1698" s="154" t="s">
        <v>66</v>
      </c>
      <c r="AA1698" s="154"/>
      <c r="AB1698" s="242" t="str">
        <f t="shared" si="2"/>
        <v>#ERROR!</v>
      </c>
      <c r="AC1698" s="154" t="s">
        <v>391</v>
      </c>
      <c r="AD1698" s="242" t="b">
        <f t="shared" si="3"/>
        <v>0</v>
      </c>
      <c r="AE1698" s="154"/>
      <c r="AF1698" s="242" t="str">
        <f t="shared" si="4"/>
        <v>#ERROR!</v>
      </c>
      <c r="AG1698" s="154"/>
      <c r="AH1698" s="242" t="str">
        <f>IF(AG1698="","N/A",INDIRECT("MTR!"&amp;ADDRESS(MATCH(LEFT(AG1698,9),[1]MTR!C:C,0),COLUMN(J1698)),TRUE) &amp; "")</f>
        <v>#ERROR!</v>
      </c>
      <c r="AI1698" s="157" t="str">
        <f t="shared" si="5"/>
        <v>#ERROR!</v>
      </c>
    </row>
    <row r="1699" ht="12.75" customHeight="1">
      <c r="A1699" s="244" t="s">
        <v>5158</v>
      </c>
      <c r="B1699" s="244" t="s">
        <v>231</v>
      </c>
      <c r="C1699" s="244" t="s">
        <v>10978</v>
      </c>
      <c r="D1699" s="154" t="s">
        <v>781</v>
      </c>
      <c r="E1699" s="154"/>
      <c r="F1699" s="154" t="str">
        <f t="array" ref="F1699">XLOOKUP(Cover!$D$12,$R$1:$Z$1,$R1699:$Z1699)</f>
        <v>Information</v>
      </c>
      <c r="G1699" s="154" t="s">
        <v>10979</v>
      </c>
      <c r="H1699" s="154" t="s">
        <v>9084</v>
      </c>
      <c r="I1699" s="154" t="s">
        <v>10971</v>
      </c>
      <c r="J1699" s="154" t="s">
        <v>7592</v>
      </c>
      <c r="K1699" s="154" t="s">
        <v>10786</v>
      </c>
      <c r="L1699" s="154" t="s">
        <v>6942</v>
      </c>
      <c r="M1699" s="154"/>
      <c r="N1699" s="154" t="s">
        <v>759</v>
      </c>
      <c r="O1699" s="247" t="s">
        <v>516</v>
      </c>
      <c r="P1699" s="247" t="s">
        <v>6776</v>
      </c>
      <c r="Q1699" s="154" t="str">
        <f t="shared" si="1"/>
        <v>#ERROR!</v>
      </c>
      <c r="R1699" s="154" t="s">
        <v>66</v>
      </c>
      <c r="S1699" s="154" t="s">
        <v>66</v>
      </c>
      <c r="T1699" s="154" t="s">
        <v>66</v>
      </c>
      <c r="U1699" s="154" t="s">
        <v>66</v>
      </c>
      <c r="V1699" s="154" t="s">
        <v>66</v>
      </c>
      <c r="W1699" s="154" t="s">
        <v>66</v>
      </c>
      <c r="X1699" s="154" t="s">
        <v>66</v>
      </c>
      <c r="Y1699" s="154" t="s">
        <v>66</v>
      </c>
      <c r="Z1699" s="154" t="s">
        <v>66</v>
      </c>
      <c r="AA1699" s="154"/>
      <c r="AB1699" s="242" t="str">
        <f t="shared" si="2"/>
        <v>#ERROR!</v>
      </c>
      <c r="AC1699" s="154" t="s">
        <v>391</v>
      </c>
      <c r="AD1699" s="242" t="b">
        <f t="shared" si="3"/>
        <v>0</v>
      </c>
      <c r="AE1699" s="154"/>
      <c r="AF1699" s="242" t="str">
        <f t="shared" si="4"/>
        <v>#ERROR!</v>
      </c>
      <c r="AG1699" s="154"/>
      <c r="AH1699" s="242" t="str">
        <f>IF(AG1699="","N/A",INDIRECT("MTR!"&amp;ADDRESS(MATCH(LEFT(AG1699,9),[1]MTR!C:C,0),COLUMN(J1699)),TRUE) &amp; "")</f>
        <v>#ERROR!</v>
      </c>
      <c r="AI1699" s="157" t="str">
        <f t="shared" si="5"/>
        <v>#ERROR!</v>
      </c>
    </row>
    <row r="1700" ht="12.75" customHeight="1">
      <c r="A1700" s="244" t="s">
        <v>5158</v>
      </c>
      <c r="B1700" s="244" t="s">
        <v>231</v>
      </c>
      <c r="C1700" s="244" t="s">
        <v>10980</v>
      </c>
      <c r="D1700" s="154" t="s">
        <v>781</v>
      </c>
      <c r="E1700" s="154"/>
      <c r="F1700" s="154" t="str">
        <f t="array" ref="F1700">XLOOKUP(Cover!$D$12,$R$1:$Z$1,$R1700:$Z1700)</f>
        <v>Information</v>
      </c>
      <c r="G1700" s="154" t="s">
        <v>10981</v>
      </c>
      <c r="H1700" s="154" t="s">
        <v>1541</v>
      </c>
      <c r="I1700" s="154" t="s">
        <v>10971</v>
      </c>
      <c r="J1700" s="154" t="s">
        <v>7592</v>
      </c>
      <c r="K1700" s="154" t="s">
        <v>10786</v>
      </c>
      <c r="L1700" s="154" t="s">
        <v>6942</v>
      </c>
      <c r="M1700" s="154"/>
      <c r="N1700" s="154" t="s">
        <v>759</v>
      </c>
      <c r="O1700" s="247" t="s">
        <v>516</v>
      </c>
      <c r="P1700" s="247" t="s">
        <v>6776</v>
      </c>
      <c r="Q1700" s="154" t="str">
        <f t="shared" si="1"/>
        <v>#ERROR!</v>
      </c>
      <c r="R1700" s="154" t="s">
        <v>66</v>
      </c>
      <c r="S1700" s="154" t="s">
        <v>66</v>
      </c>
      <c r="T1700" s="154" t="s">
        <v>66</v>
      </c>
      <c r="U1700" s="154" t="s">
        <v>66</v>
      </c>
      <c r="V1700" s="154" t="s">
        <v>66</v>
      </c>
      <c r="W1700" s="154" t="s">
        <v>66</v>
      </c>
      <c r="X1700" s="154" t="s">
        <v>66</v>
      </c>
      <c r="Y1700" s="154" t="s">
        <v>66</v>
      </c>
      <c r="Z1700" s="154" t="s">
        <v>66</v>
      </c>
      <c r="AA1700" s="154"/>
      <c r="AB1700" s="242" t="str">
        <f t="shared" si="2"/>
        <v>#ERROR!</v>
      </c>
      <c r="AC1700" s="154" t="s">
        <v>391</v>
      </c>
      <c r="AD1700" s="242" t="b">
        <f t="shared" si="3"/>
        <v>0</v>
      </c>
      <c r="AE1700" s="154"/>
      <c r="AF1700" s="242" t="str">
        <f t="shared" si="4"/>
        <v>#ERROR!</v>
      </c>
      <c r="AG1700" s="154"/>
      <c r="AH1700" s="242" t="str">
        <f>IF(AG1700="","N/A",INDIRECT("MTR!"&amp;ADDRESS(MATCH(LEFT(AG1700,9),[1]MTR!C:C,0),COLUMN(J1700)),TRUE) &amp; "")</f>
        <v>#ERROR!</v>
      </c>
      <c r="AI1700" s="157" t="str">
        <f t="shared" si="5"/>
        <v>#ERROR!</v>
      </c>
    </row>
    <row r="1701" ht="12.75" customHeight="1">
      <c r="A1701" s="244" t="s">
        <v>5158</v>
      </c>
      <c r="B1701" s="244" t="s">
        <v>231</v>
      </c>
      <c r="C1701" s="244" t="s">
        <v>10982</v>
      </c>
      <c r="D1701" s="154" t="s">
        <v>1315</v>
      </c>
      <c r="E1701" s="154"/>
      <c r="F1701" s="154" t="str">
        <f t="array" ref="F1701">XLOOKUP(Cover!$D$12,$R$1:$Z$1,$R1701:$Z1701)</f>
        <v>Information</v>
      </c>
      <c r="G1701" s="154" t="s">
        <v>10983</v>
      </c>
      <c r="H1701" s="154" t="s">
        <v>7304</v>
      </c>
      <c r="I1701" s="154" t="s">
        <v>10984</v>
      </c>
      <c r="J1701" s="154" t="s">
        <v>7648</v>
      </c>
      <c r="K1701" s="154" t="s">
        <v>10786</v>
      </c>
      <c r="L1701" s="154" t="s">
        <v>6884</v>
      </c>
      <c r="M1701" s="154"/>
      <c r="N1701" s="154" t="s">
        <v>759</v>
      </c>
      <c r="O1701" s="247" t="s">
        <v>516</v>
      </c>
      <c r="P1701" s="247" t="s">
        <v>6776</v>
      </c>
      <c r="Q1701" s="154" t="str">
        <f t="shared" si="1"/>
        <v>#ERROR!</v>
      </c>
      <c r="R1701" s="154" t="s">
        <v>66</v>
      </c>
      <c r="S1701" s="154" t="s">
        <v>66</v>
      </c>
      <c r="T1701" s="154" t="s">
        <v>66</v>
      </c>
      <c r="U1701" s="154" t="s">
        <v>66</v>
      </c>
      <c r="V1701" s="154" t="s">
        <v>66</v>
      </c>
      <c r="W1701" s="154" t="s">
        <v>66</v>
      </c>
      <c r="X1701" s="154" t="s">
        <v>66</v>
      </c>
      <c r="Y1701" s="154" t="s">
        <v>66</v>
      </c>
      <c r="Z1701" s="154" t="s">
        <v>66</v>
      </c>
      <c r="AA1701" s="154"/>
      <c r="AB1701" s="242" t="str">
        <f t="shared" si="2"/>
        <v>#ERROR!</v>
      </c>
      <c r="AC1701" s="154" t="s">
        <v>391</v>
      </c>
      <c r="AD1701" s="242" t="b">
        <f t="shared" si="3"/>
        <v>0</v>
      </c>
      <c r="AE1701" s="154"/>
      <c r="AF1701" s="242" t="str">
        <f t="shared" si="4"/>
        <v>#ERROR!</v>
      </c>
      <c r="AG1701" s="154"/>
      <c r="AH1701" s="242" t="str">
        <f>IF(AG1701="","N/A",INDIRECT("MTR!"&amp;ADDRESS(MATCH(LEFT(AG1701,9),[1]MTR!C:C,0),COLUMN(J1701)),TRUE) &amp; "")</f>
        <v>#ERROR!</v>
      </c>
      <c r="AI1701" s="157" t="str">
        <f t="shared" si="5"/>
        <v>#ERROR!</v>
      </c>
    </row>
    <row r="1702" ht="12.75" customHeight="1">
      <c r="A1702" s="244" t="s">
        <v>5158</v>
      </c>
      <c r="B1702" s="244" t="s">
        <v>231</v>
      </c>
      <c r="C1702" s="244" t="s">
        <v>10985</v>
      </c>
      <c r="D1702" s="154" t="s">
        <v>1315</v>
      </c>
      <c r="E1702" s="154"/>
      <c r="F1702" s="154" t="str">
        <f t="array" ref="F1702">XLOOKUP(Cover!$D$12,$R$1:$Z$1,$R1702:$Z1702)</f>
        <v>Information</v>
      </c>
      <c r="G1702" s="154" t="s">
        <v>10986</v>
      </c>
      <c r="H1702" s="154" t="s">
        <v>7311</v>
      </c>
      <c r="I1702" s="154" t="s">
        <v>10984</v>
      </c>
      <c r="J1702" s="154" t="s">
        <v>7648</v>
      </c>
      <c r="K1702" s="154" t="s">
        <v>10786</v>
      </c>
      <c r="L1702" s="154" t="s">
        <v>6884</v>
      </c>
      <c r="M1702" s="154"/>
      <c r="N1702" s="154" t="s">
        <v>759</v>
      </c>
      <c r="O1702" s="247" t="s">
        <v>516</v>
      </c>
      <c r="P1702" s="247" t="s">
        <v>6776</v>
      </c>
      <c r="Q1702" s="154" t="str">
        <f t="shared" si="1"/>
        <v>#ERROR!</v>
      </c>
      <c r="R1702" s="154" t="s">
        <v>66</v>
      </c>
      <c r="S1702" s="154" t="s">
        <v>66</v>
      </c>
      <c r="T1702" s="154" t="s">
        <v>66</v>
      </c>
      <c r="U1702" s="154" t="s">
        <v>66</v>
      </c>
      <c r="V1702" s="154" t="s">
        <v>66</v>
      </c>
      <c r="W1702" s="154" t="s">
        <v>66</v>
      </c>
      <c r="X1702" s="154" t="s">
        <v>66</v>
      </c>
      <c r="Y1702" s="154" t="s">
        <v>66</v>
      </c>
      <c r="Z1702" s="154" t="s">
        <v>66</v>
      </c>
      <c r="AA1702" s="154"/>
      <c r="AB1702" s="242" t="str">
        <f t="shared" si="2"/>
        <v>#ERROR!</v>
      </c>
      <c r="AC1702" s="154" t="s">
        <v>391</v>
      </c>
      <c r="AD1702" s="242" t="b">
        <f t="shared" si="3"/>
        <v>0</v>
      </c>
      <c r="AE1702" s="154"/>
      <c r="AF1702" s="242" t="str">
        <f t="shared" si="4"/>
        <v>#ERROR!</v>
      </c>
      <c r="AG1702" s="154"/>
      <c r="AH1702" s="242" t="str">
        <f>IF(AG1702="","N/A",INDIRECT("MTR!"&amp;ADDRESS(MATCH(LEFT(AG1702,9),[1]MTR!C:C,0),COLUMN(J1702)),TRUE) &amp; "")</f>
        <v>#ERROR!</v>
      </c>
      <c r="AI1702" s="157" t="str">
        <f t="shared" si="5"/>
        <v>#ERROR!</v>
      </c>
    </row>
    <row r="1703" ht="12.75" customHeight="1">
      <c r="A1703" s="244" t="s">
        <v>5158</v>
      </c>
      <c r="B1703" s="244" t="s">
        <v>231</v>
      </c>
      <c r="C1703" s="244" t="s">
        <v>10987</v>
      </c>
      <c r="D1703" s="154" t="s">
        <v>1315</v>
      </c>
      <c r="E1703" s="154"/>
      <c r="F1703" s="154" t="str">
        <f t="array" ref="F1703">XLOOKUP(Cover!$D$12,$R$1:$Z$1,$R1703:$Z1703)</f>
        <v>Information</v>
      </c>
      <c r="G1703" s="154" t="s">
        <v>10988</v>
      </c>
      <c r="H1703" s="154" t="s">
        <v>7314</v>
      </c>
      <c r="I1703" s="154" t="s">
        <v>10984</v>
      </c>
      <c r="J1703" s="154" t="s">
        <v>7648</v>
      </c>
      <c r="K1703" s="154" t="s">
        <v>10786</v>
      </c>
      <c r="L1703" s="154" t="s">
        <v>6884</v>
      </c>
      <c r="M1703" s="154"/>
      <c r="N1703" s="154" t="s">
        <v>759</v>
      </c>
      <c r="O1703" s="247" t="s">
        <v>516</v>
      </c>
      <c r="P1703" s="247" t="s">
        <v>6776</v>
      </c>
      <c r="Q1703" s="154" t="str">
        <f t="shared" si="1"/>
        <v>#ERROR!</v>
      </c>
      <c r="R1703" s="154" t="s">
        <v>66</v>
      </c>
      <c r="S1703" s="154" t="s">
        <v>66</v>
      </c>
      <c r="T1703" s="154" t="s">
        <v>66</v>
      </c>
      <c r="U1703" s="154" t="s">
        <v>66</v>
      </c>
      <c r="V1703" s="154" t="s">
        <v>66</v>
      </c>
      <c r="W1703" s="154" t="s">
        <v>66</v>
      </c>
      <c r="X1703" s="154" t="s">
        <v>66</v>
      </c>
      <c r="Y1703" s="154" t="s">
        <v>66</v>
      </c>
      <c r="Z1703" s="154" t="s">
        <v>66</v>
      </c>
      <c r="AA1703" s="154"/>
      <c r="AB1703" s="242" t="str">
        <f t="shared" si="2"/>
        <v>#ERROR!</v>
      </c>
      <c r="AC1703" s="154" t="s">
        <v>391</v>
      </c>
      <c r="AD1703" s="242" t="b">
        <f t="shared" si="3"/>
        <v>0</v>
      </c>
      <c r="AE1703" s="154"/>
      <c r="AF1703" s="242" t="str">
        <f t="shared" si="4"/>
        <v>#ERROR!</v>
      </c>
      <c r="AG1703" s="154"/>
      <c r="AH1703" s="242" t="str">
        <f>IF(AG1703="","N/A",INDIRECT("MTR!"&amp;ADDRESS(MATCH(LEFT(AG1703,9),[1]MTR!C:C,0),COLUMN(J1703)),TRUE) &amp; "")</f>
        <v>#ERROR!</v>
      </c>
      <c r="AI1703" s="157" t="str">
        <f t="shared" si="5"/>
        <v>#ERROR!</v>
      </c>
    </row>
    <row r="1704" ht="12.75" customHeight="1">
      <c r="A1704" s="244" t="s">
        <v>5158</v>
      </c>
      <c r="B1704" s="244" t="s">
        <v>231</v>
      </c>
      <c r="C1704" s="244" t="s">
        <v>10989</v>
      </c>
      <c r="D1704" s="154" t="s">
        <v>1315</v>
      </c>
      <c r="E1704" s="154"/>
      <c r="F1704" s="154" t="str">
        <f t="array" ref="F1704">XLOOKUP(Cover!$D$12,$R$1:$Z$1,$R1704:$Z1704)</f>
        <v>Information</v>
      </c>
      <c r="G1704" s="154" t="s">
        <v>10990</v>
      </c>
      <c r="H1704" s="154" t="s">
        <v>7390</v>
      </c>
      <c r="I1704" s="154" t="s">
        <v>10984</v>
      </c>
      <c r="J1704" s="154" t="s">
        <v>7648</v>
      </c>
      <c r="K1704" s="154" t="s">
        <v>10786</v>
      </c>
      <c r="L1704" s="154" t="s">
        <v>6884</v>
      </c>
      <c r="M1704" s="154"/>
      <c r="N1704" s="154" t="s">
        <v>759</v>
      </c>
      <c r="O1704" s="247" t="s">
        <v>516</v>
      </c>
      <c r="P1704" s="247" t="s">
        <v>6776</v>
      </c>
      <c r="Q1704" s="154" t="str">
        <f t="shared" si="1"/>
        <v>#ERROR!</v>
      </c>
      <c r="R1704" s="154" t="s">
        <v>66</v>
      </c>
      <c r="S1704" s="154" t="s">
        <v>66</v>
      </c>
      <c r="T1704" s="154" t="s">
        <v>66</v>
      </c>
      <c r="U1704" s="154" t="s">
        <v>66</v>
      </c>
      <c r="V1704" s="154" t="s">
        <v>66</v>
      </c>
      <c r="W1704" s="154" t="s">
        <v>66</v>
      </c>
      <c r="X1704" s="154" t="s">
        <v>66</v>
      </c>
      <c r="Y1704" s="154" t="s">
        <v>66</v>
      </c>
      <c r="Z1704" s="154" t="s">
        <v>66</v>
      </c>
      <c r="AA1704" s="154"/>
      <c r="AB1704" s="242" t="str">
        <f t="shared" si="2"/>
        <v>#ERROR!</v>
      </c>
      <c r="AC1704" s="154" t="s">
        <v>391</v>
      </c>
      <c r="AD1704" s="242" t="b">
        <f t="shared" si="3"/>
        <v>0</v>
      </c>
      <c r="AE1704" s="154"/>
      <c r="AF1704" s="242" t="str">
        <f t="shared" si="4"/>
        <v>#ERROR!</v>
      </c>
      <c r="AG1704" s="154"/>
      <c r="AH1704" s="242" t="str">
        <f>IF(AG1704="","N/A",INDIRECT("MTR!"&amp;ADDRESS(MATCH(LEFT(AG1704,9),[1]MTR!C:C,0),COLUMN(J1704)),TRUE) &amp; "")</f>
        <v>#ERROR!</v>
      </c>
      <c r="AI1704" s="157" t="str">
        <f t="shared" si="5"/>
        <v>#ERROR!</v>
      </c>
    </row>
    <row r="1705" ht="12.75" customHeight="1">
      <c r="A1705" s="244" t="s">
        <v>5158</v>
      </c>
      <c r="B1705" s="244" t="s">
        <v>231</v>
      </c>
      <c r="C1705" s="244" t="s">
        <v>10991</v>
      </c>
      <c r="D1705" s="154" t="s">
        <v>1315</v>
      </c>
      <c r="E1705" s="154"/>
      <c r="F1705" s="154" t="str">
        <f t="array" ref="F1705">XLOOKUP(Cover!$D$12,$R$1:$Z$1,$R1705:$Z1705)</f>
        <v>Information</v>
      </c>
      <c r="G1705" s="154" t="s">
        <v>10992</v>
      </c>
      <c r="H1705" s="154" t="s">
        <v>9002</v>
      </c>
      <c r="I1705" s="154" t="s">
        <v>10984</v>
      </c>
      <c r="J1705" s="154" t="s">
        <v>7648</v>
      </c>
      <c r="K1705" s="154" t="s">
        <v>10786</v>
      </c>
      <c r="L1705" s="154" t="s">
        <v>6884</v>
      </c>
      <c r="M1705" s="154"/>
      <c r="N1705" s="154" t="s">
        <v>759</v>
      </c>
      <c r="O1705" s="247" t="s">
        <v>516</v>
      </c>
      <c r="P1705" s="247" t="s">
        <v>6776</v>
      </c>
      <c r="Q1705" s="154" t="str">
        <f t="shared" si="1"/>
        <v>#ERROR!</v>
      </c>
      <c r="R1705" s="154" t="s">
        <v>66</v>
      </c>
      <c r="S1705" s="154" t="s">
        <v>66</v>
      </c>
      <c r="T1705" s="154" t="s">
        <v>66</v>
      </c>
      <c r="U1705" s="154" t="s">
        <v>66</v>
      </c>
      <c r="V1705" s="154" t="s">
        <v>66</v>
      </c>
      <c r="W1705" s="154" t="s">
        <v>66</v>
      </c>
      <c r="X1705" s="154" t="s">
        <v>66</v>
      </c>
      <c r="Y1705" s="154" t="s">
        <v>66</v>
      </c>
      <c r="Z1705" s="154" t="s">
        <v>66</v>
      </c>
      <c r="AA1705" s="154"/>
      <c r="AB1705" s="242" t="str">
        <f t="shared" si="2"/>
        <v>#ERROR!</v>
      </c>
      <c r="AC1705" s="154" t="s">
        <v>391</v>
      </c>
      <c r="AD1705" s="242" t="b">
        <f t="shared" si="3"/>
        <v>0</v>
      </c>
      <c r="AE1705" s="154"/>
      <c r="AF1705" s="242" t="str">
        <f t="shared" si="4"/>
        <v>#ERROR!</v>
      </c>
      <c r="AG1705" s="154"/>
      <c r="AH1705" s="242" t="str">
        <f>IF(AG1705="","N/A",INDIRECT("MTR!"&amp;ADDRESS(MATCH(LEFT(AG1705,9),[1]MTR!C:C,0),COLUMN(J1705)),TRUE) &amp; "")</f>
        <v>#ERROR!</v>
      </c>
      <c r="AI1705" s="157" t="str">
        <f t="shared" si="5"/>
        <v>#ERROR!</v>
      </c>
    </row>
    <row r="1706" ht="12.75" customHeight="1">
      <c r="A1706" s="244" t="s">
        <v>5158</v>
      </c>
      <c r="B1706" s="244" t="s">
        <v>231</v>
      </c>
      <c r="C1706" s="244" t="s">
        <v>10993</v>
      </c>
      <c r="D1706" s="154" t="s">
        <v>1315</v>
      </c>
      <c r="E1706" s="154"/>
      <c r="F1706" s="154" t="str">
        <f t="array" ref="F1706">XLOOKUP(Cover!$D$12,$R$1:$Z$1,$R1706:$Z1706)</f>
        <v>Information</v>
      </c>
      <c r="G1706" s="154" t="s">
        <v>10994</v>
      </c>
      <c r="H1706" s="154" t="s">
        <v>9006</v>
      </c>
      <c r="I1706" s="154" t="s">
        <v>10984</v>
      </c>
      <c r="J1706" s="154" t="s">
        <v>7648</v>
      </c>
      <c r="K1706" s="154" t="s">
        <v>10786</v>
      </c>
      <c r="L1706" s="154" t="s">
        <v>6884</v>
      </c>
      <c r="M1706" s="154"/>
      <c r="N1706" s="154" t="s">
        <v>759</v>
      </c>
      <c r="O1706" s="247" t="s">
        <v>516</v>
      </c>
      <c r="P1706" s="247" t="s">
        <v>6776</v>
      </c>
      <c r="Q1706" s="154" t="str">
        <f t="shared" si="1"/>
        <v>#ERROR!</v>
      </c>
      <c r="R1706" s="154" t="s">
        <v>66</v>
      </c>
      <c r="S1706" s="154" t="s">
        <v>66</v>
      </c>
      <c r="T1706" s="154" t="s">
        <v>66</v>
      </c>
      <c r="U1706" s="154" t="s">
        <v>66</v>
      </c>
      <c r="V1706" s="154" t="s">
        <v>66</v>
      </c>
      <c r="W1706" s="154" t="s">
        <v>66</v>
      </c>
      <c r="X1706" s="154" t="s">
        <v>66</v>
      </c>
      <c r="Y1706" s="154" t="s">
        <v>66</v>
      </c>
      <c r="Z1706" s="154" t="s">
        <v>66</v>
      </c>
      <c r="AA1706" s="154"/>
      <c r="AB1706" s="242" t="str">
        <f t="shared" si="2"/>
        <v>#ERROR!</v>
      </c>
      <c r="AC1706" s="154" t="s">
        <v>391</v>
      </c>
      <c r="AD1706" s="242" t="b">
        <f t="shared" si="3"/>
        <v>0</v>
      </c>
      <c r="AE1706" s="154"/>
      <c r="AF1706" s="242" t="str">
        <f t="shared" si="4"/>
        <v>#ERROR!</v>
      </c>
      <c r="AG1706" s="154"/>
      <c r="AH1706" s="242" t="str">
        <f>IF(AG1706="","N/A",INDIRECT("MTR!"&amp;ADDRESS(MATCH(LEFT(AG1706,9),[1]MTR!C:C,0),COLUMN(J1706)),TRUE) &amp; "")</f>
        <v>#ERROR!</v>
      </c>
      <c r="AI1706" s="157" t="str">
        <f t="shared" si="5"/>
        <v>#ERROR!</v>
      </c>
    </row>
    <row r="1707" ht="12.75" customHeight="1">
      <c r="A1707" s="244" t="s">
        <v>5158</v>
      </c>
      <c r="B1707" s="244" t="s">
        <v>231</v>
      </c>
      <c r="C1707" s="244" t="s">
        <v>10995</v>
      </c>
      <c r="D1707" s="154" t="s">
        <v>1315</v>
      </c>
      <c r="E1707" s="154"/>
      <c r="F1707" s="154" t="str">
        <f t="array" ref="F1707">XLOOKUP(Cover!$D$12,$R$1:$Z$1,$R1707:$Z1707)</f>
        <v>Information</v>
      </c>
      <c r="G1707" s="154" t="s">
        <v>10996</v>
      </c>
      <c r="H1707" s="154" t="s">
        <v>9009</v>
      </c>
      <c r="I1707" s="154" t="s">
        <v>10984</v>
      </c>
      <c r="J1707" s="154" t="s">
        <v>7648</v>
      </c>
      <c r="K1707" s="154" t="s">
        <v>10786</v>
      </c>
      <c r="L1707" s="154" t="s">
        <v>6884</v>
      </c>
      <c r="M1707" s="154"/>
      <c r="N1707" s="154" t="s">
        <v>759</v>
      </c>
      <c r="O1707" s="247" t="s">
        <v>516</v>
      </c>
      <c r="P1707" s="247" t="s">
        <v>6776</v>
      </c>
      <c r="Q1707" s="154" t="str">
        <f t="shared" si="1"/>
        <v>#ERROR!</v>
      </c>
      <c r="R1707" s="154" t="s">
        <v>66</v>
      </c>
      <c r="S1707" s="154" t="s">
        <v>66</v>
      </c>
      <c r="T1707" s="154" t="s">
        <v>66</v>
      </c>
      <c r="U1707" s="154" t="s">
        <v>66</v>
      </c>
      <c r="V1707" s="154" t="s">
        <v>66</v>
      </c>
      <c r="W1707" s="154" t="s">
        <v>66</v>
      </c>
      <c r="X1707" s="154" t="s">
        <v>66</v>
      </c>
      <c r="Y1707" s="154" t="s">
        <v>66</v>
      </c>
      <c r="Z1707" s="154" t="s">
        <v>66</v>
      </c>
      <c r="AA1707" s="154"/>
      <c r="AB1707" s="242" t="str">
        <f t="shared" si="2"/>
        <v>#ERROR!</v>
      </c>
      <c r="AC1707" s="154" t="s">
        <v>391</v>
      </c>
      <c r="AD1707" s="242" t="b">
        <f t="shared" si="3"/>
        <v>0</v>
      </c>
      <c r="AE1707" s="154"/>
      <c r="AF1707" s="242" t="str">
        <f t="shared" si="4"/>
        <v>#ERROR!</v>
      </c>
      <c r="AG1707" s="154"/>
      <c r="AH1707" s="242" t="str">
        <f>IF(AG1707="","N/A",INDIRECT("MTR!"&amp;ADDRESS(MATCH(LEFT(AG1707,9),[1]MTR!C:C,0),COLUMN(J1707)),TRUE) &amp; "")</f>
        <v>#ERROR!</v>
      </c>
      <c r="AI1707" s="157" t="str">
        <f t="shared" si="5"/>
        <v>#ERROR!</v>
      </c>
    </row>
    <row r="1708" ht="12.75" customHeight="1">
      <c r="A1708" s="244" t="s">
        <v>5158</v>
      </c>
      <c r="B1708" s="244" t="s">
        <v>231</v>
      </c>
      <c r="C1708" s="244" t="s">
        <v>10997</v>
      </c>
      <c r="D1708" s="154" t="s">
        <v>1315</v>
      </c>
      <c r="E1708" s="154"/>
      <c r="F1708" s="154" t="str">
        <f t="array" ref="F1708">XLOOKUP(Cover!$D$12,$R$1:$Z$1,$R1708:$Z1708)</f>
        <v>Information</v>
      </c>
      <c r="G1708" s="154" t="s">
        <v>10998</v>
      </c>
      <c r="H1708" s="154" t="s">
        <v>9084</v>
      </c>
      <c r="I1708" s="154" t="s">
        <v>10984</v>
      </c>
      <c r="J1708" s="154" t="s">
        <v>7648</v>
      </c>
      <c r="K1708" s="154" t="s">
        <v>10786</v>
      </c>
      <c r="L1708" s="154" t="s">
        <v>6884</v>
      </c>
      <c r="M1708" s="154"/>
      <c r="N1708" s="154" t="s">
        <v>759</v>
      </c>
      <c r="O1708" s="247" t="s">
        <v>516</v>
      </c>
      <c r="P1708" s="247" t="s">
        <v>6776</v>
      </c>
      <c r="Q1708" s="154" t="str">
        <f t="shared" si="1"/>
        <v>#ERROR!</v>
      </c>
      <c r="R1708" s="154" t="s">
        <v>66</v>
      </c>
      <c r="S1708" s="154" t="s">
        <v>66</v>
      </c>
      <c r="T1708" s="154" t="s">
        <v>66</v>
      </c>
      <c r="U1708" s="154" t="s">
        <v>66</v>
      </c>
      <c r="V1708" s="154" t="s">
        <v>66</v>
      </c>
      <c r="W1708" s="154" t="s">
        <v>66</v>
      </c>
      <c r="X1708" s="154" t="s">
        <v>66</v>
      </c>
      <c r="Y1708" s="154" t="s">
        <v>66</v>
      </c>
      <c r="Z1708" s="154" t="s">
        <v>66</v>
      </c>
      <c r="AA1708" s="154"/>
      <c r="AB1708" s="242" t="str">
        <f t="shared" si="2"/>
        <v>#ERROR!</v>
      </c>
      <c r="AC1708" s="154" t="s">
        <v>391</v>
      </c>
      <c r="AD1708" s="242" t="b">
        <f t="shared" si="3"/>
        <v>0</v>
      </c>
      <c r="AE1708" s="154"/>
      <c r="AF1708" s="242" t="str">
        <f t="shared" si="4"/>
        <v>#ERROR!</v>
      </c>
      <c r="AG1708" s="154"/>
      <c r="AH1708" s="242" t="str">
        <f>IF(AG1708="","N/A",INDIRECT("MTR!"&amp;ADDRESS(MATCH(LEFT(AG1708,9),[1]MTR!C:C,0),COLUMN(J1708)),TRUE) &amp; "")</f>
        <v>#ERROR!</v>
      </c>
      <c r="AI1708" s="157" t="str">
        <f t="shared" si="5"/>
        <v>#ERROR!</v>
      </c>
    </row>
    <row r="1709" ht="12.75" customHeight="1">
      <c r="A1709" s="244" t="s">
        <v>5158</v>
      </c>
      <c r="B1709" s="244" t="s">
        <v>231</v>
      </c>
      <c r="C1709" s="244" t="s">
        <v>10999</v>
      </c>
      <c r="D1709" s="154" t="s">
        <v>1069</v>
      </c>
      <c r="E1709" s="154"/>
      <c r="F1709" s="154" t="str">
        <f t="array" ref="F1709">XLOOKUP(Cover!$D$12,$R$1:$Z$1,$R1709:$Z1709)</f>
        <v>Information</v>
      </c>
      <c r="G1709" s="154" t="s">
        <v>11000</v>
      </c>
      <c r="H1709" s="154" t="s">
        <v>7304</v>
      </c>
      <c r="I1709" s="154" t="s">
        <v>11001</v>
      </c>
      <c r="J1709" s="154" t="s">
        <v>7676</v>
      </c>
      <c r="K1709" s="154" t="s">
        <v>10786</v>
      </c>
      <c r="L1709" s="154" t="s">
        <v>5927</v>
      </c>
      <c r="M1709" s="154"/>
      <c r="N1709" s="154" t="s">
        <v>759</v>
      </c>
      <c r="O1709" s="247" t="s">
        <v>516</v>
      </c>
      <c r="P1709" s="247" t="s">
        <v>6776</v>
      </c>
      <c r="Q1709" s="154" t="str">
        <f t="shared" si="1"/>
        <v>#ERROR!</v>
      </c>
      <c r="R1709" s="154" t="s">
        <v>66</v>
      </c>
      <c r="S1709" s="154" t="s">
        <v>66</v>
      </c>
      <c r="T1709" s="154" t="s">
        <v>66</v>
      </c>
      <c r="U1709" s="154" t="s">
        <v>66</v>
      </c>
      <c r="V1709" s="154" t="s">
        <v>66</v>
      </c>
      <c r="W1709" s="154" t="s">
        <v>66</v>
      </c>
      <c r="X1709" s="154" t="s">
        <v>66</v>
      </c>
      <c r="Y1709" s="154" t="s">
        <v>66</v>
      </c>
      <c r="Z1709" s="154" t="s">
        <v>66</v>
      </c>
      <c r="AA1709" s="154"/>
      <c r="AB1709" s="242" t="str">
        <f t="shared" si="2"/>
        <v>#ERROR!</v>
      </c>
      <c r="AC1709" s="154" t="s">
        <v>391</v>
      </c>
      <c r="AD1709" s="242" t="b">
        <f t="shared" si="3"/>
        <v>0</v>
      </c>
      <c r="AE1709" s="154"/>
      <c r="AF1709" s="242" t="str">
        <f t="shared" si="4"/>
        <v>#ERROR!</v>
      </c>
      <c r="AG1709" s="154"/>
      <c r="AH1709" s="242" t="str">
        <f>IF(AG1709="","N/A",INDIRECT("MTR!"&amp;ADDRESS(MATCH(LEFT(AG1709,9),[1]MTR!C:C,0),COLUMN(J1709)),TRUE) &amp; "")</f>
        <v>#ERROR!</v>
      </c>
      <c r="AI1709" s="157" t="str">
        <f t="shared" si="5"/>
        <v>#ERROR!</v>
      </c>
    </row>
    <row r="1710" ht="12.75" customHeight="1">
      <c r="A1710" s="244" t="s">
        <v>5158</v>
      </c>
      <c r="B1710" s="244" t="s">
        <v>231</v>
      </c>
      <c r="C1710" s="244" t="s">
        <v>11002</v>
      </c>
      <c r="D1710" s="154" t="s">
        <v>1069</v>
      </c>
      <c r="E1710" s="154"/>
      <c r="F1710" s="154" t="str">
        <f t="array" ref="F1710">XLOOKUP(Cover!$D$12,$R$1:$Z$1,$R1710:$Z1710)</f>
        <v>Information</v>
      </c>
      <c r="G1710" s="154" t="s">
        <v>11003</v>
      </c>
      <c r="H1710" s="154" t="s">
        <v>7314</v>
      </c>
      <c r="I1710" s="154" t="s">
        <v>11001</v>
      </c>
      <c r="J1710" s="154" t="s">
        <v>7676</v>
      </c>
      <c r="K1710" s="154" t="s">
        <v>10786</v>
      </c>
      <c r="L1710" s="154" t="s">
        <v>5927</v>
      </c>
      <c r="M1710" s="154"/>
      <c r="N1710" s="154" t="s">
        <v>759</v>
      </c>
      <c r="O1710" s="247" t="s">
        <v>516</v>
      </c>
      <c r="P1710" s="247" t="s">
        <v>6776</v>
      </c>
      <c r="Q1710" s="154" t="str">
        <f t="shared" si="1"/>
        <v>#ERROR!</v>
      </c>
      <c r="R1710" s="154" t="s">
        <v>66</v>
      </c>
      <c r="S1710" s="154" t="s">
        <v>66</v>
      </c>
      <c r="T1710" s="154" t="s">
        <v>66</v>
      </c>
      <c r="U1710" s="154" t="s">
        <v>66</v>
      </c>
      <c r="V1710" s="154" t="s">
        <v>66</v>
      </c>
      <c r="W1710" s="154" t="s">
        <v>66</v>
      </c>
      <c r="X1710" s="154" t="s">
        <v>66</v>
      </c>
      <c r="Y1710" s="154" t="s">
        <v>66</v>
      </c>
      <c r="Z1710" s="154" t="s">
        <v>66</v>
      </c>
      <c r="AA1710" s="154"/>
      <c r="AB1710" s="242" t="str">
        <f t="shared" si="2"/>
        <v>#ERROR!</v>
      </c>
      <c r="AC1710" s="154" t="s">
        <v>391</v>
      </c>
      <c r="AD1710" s="242" t="b">
        <f t="shared" si="3"/>
        <v>0</v>
      </c>
      <c r="AE1710" s="154"/>
      <c r="AF1710" s="242" t="str">
        <f t="shared" si="4"/>
        <v>#ERROR!</v>
      </c>
      <c r="AG1710" s="154"/>
      <c r="AH1710" s="242" t="str">
        <f>IF(AG1710="","N/A",INDIRECT("MTR!"&amp;ADDRESS(MATCH(LEFT(AG1710,9),[1]MTR!C:C,0),COLUMN(J1710)),TRUE) &amp; "")</f>
        <v>#ERROR!</v>
      </c>
      <c r="AI1710" s="157" t="str">
        <f t="shared" si="5"/>
        <v>#ERROR!</v>
      </c>
    </row>
    <row r="1711" ht="12.75" customHeight="1">
      <c r="A1711" s="244" t="s">
        <v>5158</v>
      </c>
      <c r="B1711" s="244" t="s">
        <v>231</v>
      </c>
      <c r="C1711" s="244" t="s">
        <v>11004</v>
      </c>
      <c r="D1711" s="154" t="s">
        <v>1069</v>
      </c>
      <c r="E1711" s="154"/>
      <c r="F1711" s="154" t="str">
        <f t="array" ref="F1711">XLOOKUP(Cover!$D$12,$R$1:$Z$1,$R1711:$Z1711)</f>
        <v>Information</v>
      </c>
      <c r="G1711" s="154" t="s">
        <v>11005</v>
      </c>
      <c r="H1711" s="154" t="s">
        <v>7323</v>
      </c>
      <c r="I1711" s="154" t="s">
        <v>11001</v>
      </c>
      <c r="J1711" s="154" t="s">
        <v>7676</v>
      </c>
      <c r="K1711" s="154" t="s">
        <v>10786</v>
      </c>
      <c r="L1711" s="154" t="s">
        <v>5927</v>
      </c>
      <c r="M1711" s="154"/>
      <c r="N1711" s="154" t="s">
        <v>759</v>
      </c>
      <c r="O1711" s="247" t="s">
        <v>516</v>
      </c>
      <c r="P1711" s="247" t="s">
        <v>6776</v>
      </c>
      <c r="Q1711" s="154" t="str">
        <f t="shared" si="1"/>
        <v>#ERROR!</v>
      </c>
      <c r="R1711" s="154" t="s">
        <v>66</v>
      </c>
      <c r="S1711" s="154" t="s">
        <v>66</v>
      </c>
      <c r="T1711" s="154" t="s">
        <v>66</v>
      </c>
      <c r="U1711" s="154" t="s">
        <v>66</v>
      </c>
      <c r="V1711" s="154" t="s">
        <v>66</v>
      </c>
      <c r="W1711" s="154" t="s">
        <v>66</v>
      </c>
      <c r="X1711" s="154" t="s">
        <v>66</v>
      </c>
      <c r="Y1711" s="154" t="s">
        <v>66</v>
      </c>
      <c r="Z1711" s="154" t="s">
        <v>66</v>
      </c>
      <c r="AA1711" s="154"/>
      <c r="AB1711" s="242" t="str">
        <f t="shared" si="2"/>
        <v>#ERROR!</v>
      </c>
      <c r="AC1711" s="154" t="s">
        <v>391</v>
      </c>
      <c r="AD1711" s="242" t="b">
        <f t="shared" si="3"/>
        <v>0</v>
      </c>
      <c r="AE1711" s="154"/>
      <c r="AF1711" s="242" t="str">
        <f t="shared" si="4"/>
        <v>#ERROR!</v>
      </c>
      <c r="AG1711" s="154"/>
      <c r="AH1711" s="242" t="str">
        <f>IF(AG1711="","N/A",INDIRECT("MTR!"&amp;ADDRESS(MATCH(LEFT(AG1711,9),[1]MTR!C:C,0),COLUMN(J1711)),TRUE) &amp; "")</f>
        <v>#ERROR!</v>
      </c>
      <c r="AI1711" s="157" t="str">
        <f t="shared" si="5"/>
        <v>#ERROR!</v>
      </c>
    </row>
    <row r="1712" ht="12.75" customHeight="1">
      <c r="A1712" s="244" t="s">
        <v>5158</v>
      </c>
      <c r="B1712" s="244" t="s">
        <v>231</v>
      </c>
      <c r="C1712" s="244" t="s">
        <v>11006</v>
      </c>
      <c r="D1712" s="154" t="s">
        <v>1069</v>
      </c>
      <c r="E1712" s="154"/>
      <c r="F1712" s="154" t="str">
        <f t="array" ref="F1712">XLOOKUP(Cover!$D$12,$R$1:$Z$1,$R1712:$Z1712)</f>
        <v>Information</v>
      </c>
      <c r="G1712" s="154" t="s">
        <v>11007</v>
      </c>
      <c r="H1712" s="154" t="s">
        <v>9002</v>
      </c>
      <c r="I1712" s="154" t="s">
        <v>11001</v>
      </c>
      <c r="J1712" s="154" t="s">
        <v>7676</v>
      </c>
      <c r="K1712" s="154" t="s">
        <v>10786</v>
      </c>
      <c r="L1712" s="154" t="s">
        <v>5927</v>
      </c>
      <c r="M1712" s="154"/>
      <c r="N1712" s="154" t="s">
        <v>759</v>
      </c>
      <c r="O1712" s="247" t="s">
        <v>516</v>
      </c>
      <c r="P1712" s="247" t="s">
        <v>6776</v>
      </c>
      <c r="Q1712" s="154" t="str">
        <f t="shared" si="1"/>
        <v>#ERROR!</v>
      </c>
      <c r="R1712" s="154" t="s">
        <v>66</v>
      </c>
      <c r="S1712" s="154" t="s">
        <v>66</v>
      </c>
      <c r="T1712" s="154" t="s">
        <v>66</v>
      </c>
      <c r="U1712" s="154" t="s">
        <v>66</v>
      </c>
      <c r="V1712" s="154" t="s">
        <v>66</v>
      </c>
      <c r="W1712" s="154" t="s">
        <v>66</v>
      </c>
      <c r="X1712" s="154" t="s">
        <v>66</v>
      </c>
      <c r="Y1712" s="154" t="s">
        <v>66</v>
      </c>
      <c r="Z1712" s="154" t="s">
        <v>66</v>
      </c>
      <c r="AA1712" s="154"/>
      <c r="AB1712" s="242" t="str">
        <f t="shared" si="2"/>
        <v>#ERROR!</v>
      </c>
      <c r="AC1712" s="154" t="s">
        <v>391</v>
      </c>
      <c r="AD1712" s="242" t="b">
        <f t="shared" si="3"/>
        <v>0</v>
      </c>
      <c r="AE1712" s="154"/>
      <c r="AF1712" s="242" t="str">
        <f t="shared" si="4"/>
        <v>#ERROR!</v>
      </c>
      <c r="AG1712" s="154"/>
      <c r="AH1712" s="242" t="str">
        <f>IF(AG1712="","N/A",INDIRECT("MTR!"&amp;ADDRESS(MATCH(LEFT(AG1712,9),[1]MTR!C:C,0),COLUMN(J1712)),TRUE) &amp; "")</f>
        <v>#ERROR!</v>
      </c>
      <c r="AI1712" s="157" t="str">
        <f t="shared" si="5"/>
        <v>#ERROR!</v>
      </c>
    </row>
    <row r="1713" ht="12.75" customHeight="1">
      <c r="A1713" s="244" t="s">
        <v>5158</v>
      </c>
      <c r="B1713" s="244" t="s">
        <v>231</v>
      </c>
      <c r="C1713" s="244" t="s">
        <v>11008</v>
      </c>
      <c r="D1713" s="154" t="s">
        <v>1069</v>
      </c>
      <c r="E1713" s="154"/>
      <c r="F1713" s="154" t="str">
        <f t="array" ref="F1713">XLOOKUP(Cover!$D$12,$R$1:$Z$1,$R1713:$Z1713)</f>
        <v>Information</v>
      </c>
      <c r="G1713" s="154" t="s">
        <v>11009</v>
      </c>
      <c r="H1713" s="154" t="s">
        <v>9009</v>
      </c>
      <c r="I1713" s="154" t="s">
        <v>11001</v>
      </c>
      <c r="J1713" s="154" t="s">
        <v>7676</v>
      </c>
      <c r="K1713" s="154" t="s">
        <v>10786</v>
      </c>
      <c r="L1713" s="154" t="s">
        <v>5927</v>
      </c>
      <c r="M1713" s="154"/>
      <c r="N1713" s="154" t="s">
        <v>759</v>
      </c>
      <c r="O1713" s="247" t="s">
        <v>516</v>
      </c>
      <c r="P1713" s="247" t="s">
        <v>6776</v>
      </c>
      <c r="Q1713" s="154" t="str">
        <f t="shared" si="1"/>
        <v>#ERROR!</v>
      </c>
      <c r="R1713" s="154" t="s">
        <v>66</v>
      </c>
      <c r="S1713" s="154" t="s">
        <v>66</v>
      </c>
      <c r="T1713" s="154" t="s">
        <v>66</v>
      </c>
      <c r="U1713" s="154" t="s">
        <v>66</v>
      </c>
      <c r="V1713" s="154" t="s">
        <v>66</v>
      </c>
      <c r="W1713" s="154" t="s">
        <v>66</v>
      </c>
      <c r="X1713" s="154" t="s">
        <v>66</v>
      </c>
      <c r="Y1713" s="154" t="s">
        <v>66</v>
      </c>
      <c r="Z1713" s="154" t="s">
        <v>66</v>
      </c>
      <c r="AA1713" s="154"/>
      <c r="AB1713" s="242" t="str">
        <f t="shared" si="2"/>
        <v>#ERROR!</v>
      </c>
      <c r="AC1713" s="154" t="s">
        <v>391</v>
      </c>
      <c r="AD1713" s="242" t="b">
        <f t="shared" si="3"/>
        <v>0</v>
      </c>
      <c r="AE1713" s="154"/>
      <c r="AF1713" s="242" t="str">
        <f t="shared" si="4"/>
        <v>#ERROR!</v>
      </c>
      <c r="AG1713" s="154"/>
      <c r="AH1713" s="242" t="str">
        <f>IF(AG1713="","N/A",INDIRECT("MTR!"&amp;ADDRESS(MATCH(LEFT(AG1713,9),[1]MTR!C:C,0),COLUMN(J1713)),TRUE) &amp; "")</f>
        <v>#ERROR!</v>
      </c>
      <c r="AI1713" s="157" t="str">
        <f t="shared" si="5"/>
        <v>#ERROR!</v>
      </c>
    </row>
    <row r="1714" ht="12.75" customHeight="1">
      <c r="A1714" s="244" t="s">
        <v>5158</v>
      </c>
      <c r="B1714" s="244" t="s">
        <v>231</v>
      </c>
      <c r="C1714" s="244" t="s">
        <v>11010</v>
      </c>
      <c r="D1714" s="154" t="s">
        <v>1069</v>
      </c>
      <c r="E1714" s="154"/>
      <c r="F1714" s="154" t="str">
        <f t="array" ref="F1714">XLOOKUP(Cover!$D$12,$R$1:$Z$1,$R1714:$Z1714)</f>
        <v>Information</v>
      </c>
      <c r="G1714" s="154" t="s">
        <v>11011</v>
      </c>
      <c r="H1714" s="154" t="s">
        <v>1541</v>
      </c>
      <c r="I1714" s="154" t="s">
        <v>11001</v>
      </c>
      <c r="J1714" s="154" t="s">
        <v>7676</v>
      </c>
      <c r="K1714" s="154" t="s">
        <v>10786</v>
      </c>
      <c r="L1714" s="154" t="s">
        <v>5927</v>
      </c>
      <c r="M1714" s="154"/>
      <c r="N1714" s="154" t="s">
        <v>759</v>
      </c>
      <c r="O1714" s="247" t="s">
        <v>516</v>
      </c>
      <c r="P1714" s="247" t="s">
        <v>6776</v>
      </c>
      <c r="Q1714" s="154" t="str">
        <f t="shared" si="1"/>
        <v>#ERROR!</v>
      </c>
      <c r="R1714" s="154" t="s">
        <v>66</v>
      </c>
      <c r="S1714" s="154" t="s">
        <v>66</v>
      </c>
      <c r="T1714" s="154" t="s">
        <v>66</v>
      </c>
      <c r="U1714" s="154" t="s">
        <v>66</v>
      </c>
      <c r="V1714" s="154" t="s">
        <v>66</v>
      </c>
      <c r="W1714" s="154" t="s">
        <v>66</v>
      </c>
      <c r="X1714" s="154" t="s">
        <v>66</v>
      </c>
      <c r="Y1714" s="154" t="s">
        <v>66</v>
      </c>
      <c r="Z1714" s="154" t="s">
        <v>66</v>
      </c>
      <c r="AA1714" s="154"/>
      <c r="AB1714" s="242" t="str">
        <f t="shared" si="2"/>
        <v>#ERROR!</v>
      </c>
      <c r="AC1714" s="154" t="s">
        <v>391</v>
      </c>
      <c r="AD1714" s="242" t="b">
        <f t="shared" si="3"/>
        <v>0</v>
      </c>
      <c r="AE1714" s="154"/>
      <c r="AF1714" s="242" t="str">
        <f t="shared" si="4"/>
        <v>#ERROR!</v>
      </c>
      <c r="AG1714" s="154"/>
      <c r="AH1714" s="242" t="str">
        <f>IF(AG1714="","N/A",INDIRECT("MTR!"&amp;ADDRESS(MATCH(LEFT(AG1714,9),[1]MTR!C:C,0),COLUMN(J1714)),TRUE) &amp; "")</f>
        <v>#ERROR!</v>
      </c>
      <c r="AI1714" s="157" t="str">
        <f t="shared" si="5"/>
        <v>#ERROR!</v>
      </c>
    </row>
    <row r="1715" ht="12.75" customHeight="1">
      <c r="A1715" s="244" t="s">
        <v>5158</v>
      </c>
      <c r="B1715" s="244" t="s">
        <v>231</v>
      </c>
      <c r="C1715" s="244" t="s">
        <v>11012</v>
      </c>
      <c r="D1715" s="154" t="s">
        <v>1315</v>
      </c>
      <c r="E1715" s="154"/>
      <c r="F1715" s="154" t="str">
        <f t="array" ref="F1715">XLOOKUP(Cover!$D$12,$R$1:$Z$1,$R1715:$Z1715)</f>
        <v>Information</v>
      </c>
      <c r="G1715" s="154" t="s">
        <v>11013</v>
      </c>
      <c r="H1715" s="154" t="s">
        <v>7311</v>
      </c>
      <c r="I1715" s="154" t="s">
        <v>11014</v>
      </c>
      <c r="J1715" s="154" t="s">
        <v>7736</v>
      </c>
      <c r="K1715" s="154" t="s">
        <v>10786</v>
      </c>
      <c r="L1715" s="154" t="s">
        <v>6884</v>
      </c>
      <c r="M1715" s="154"/>
      <c r="N1715" s="154" t="s">
        <v>759</v>
      </c>
      <c r="O1715" s="247" t="s">
        <v>516</v>
      </c>
      <c r="P1715" s="247" t="s">
        <v>6776</v>
      </c>
      <c r="Q1715" s="154" t="str">
        <f t="shared" si="1"/>
        <v>#ERROR!</v>
      </c>
      <c r="R1715" s="154" t="s">
        <v>66</v>
      </c>
      <c r="S1715" s="154" t="s">
        <v>66</v>
      </c>
      <c r="T1715" s="154" t="s">
        <v>66</v>
      </c>
      <c r="U1715" s="154" t="s">
        <v>66</v>
      </c>
      <c r="V1715" s="154" t="s">
        <v>66</v>
      </c>
      <c r="W1715" s="154" t="s">
        <v>66</v>
      </c>
      <c r="X1715" s="154" t="s">
        <v>66</v>
      </c>
      <c r="Y1715" s="154" t="s">
        <v>66</v>
      </c>
      <c r="Z1715" s="154" t="s">
        <v>66</v>
      </c>
      <c r="AA1715" s="154"/>
      <c r="AB1715" s="242" t="str">
        <f t="shared" si="2"/>
        <v>#ERROR!</v>
      </c>
      <c r="AC1715" s="154" t="s">
        <v>391</v>
      </c>
      <c r="AD1715" s="242" t="b">
        <f t="shared" si="3"/>
        <v>0</v>
      </c>
      <c r="AE1715" s="154"/>
      <c r="AF1715" s="242" t="str">
        <f t="shared" si="4"/>
        <v>#ERROR!</v>
      </c>
      <c r="AG1715" s="154"/>
      <c r="AH1715" s="242" t="str">
        <f>IF(AG1715="","N/A",INDIRECT("MTR!"&amp;ADDRESS(MATCH(LEFT(AG1715,9),[1]MTR!C:C,0),COLUMN(J1715)),TRUE) &amp; "")</f>
        <v>#ERROR!</v>
      </c>
      <c r="AI1715" s="157" t="str">
        <f t="shared" si="5"/>
        <v>#ERROR!</v>
      </c>
    </row>
    <row r="1716" ht="12.75" customHeight="1">
      <c r="A1716" s="244" t="s">
        <v>5158</v>
      </c>
      <c r="B1716" s="244" t="s">
        <v>231</v>
      </c>
      <c r="C1716" s="244" t="s">
        <v>11015</v>
      </c>
      <c r="D1716" s="154" t="s">
        <v>1315</v>
      </c>
      <c r="E1716" s="154"/>
      <c r="F1716" s="154" t="str">
        <f t="array" ref="F1716">XLOOKUP(Cover!$D$12,$R$1:$Z$1,$R1716:$Z1716)</f>
        <v>Information</v>
      </c>
      <c r="G1716" s="154" t="s">
        <v>11016</v>
      </c>
      <c r="H1716" s="154" t="s">
        <v>7314</v>
      </c>
      <c r="I1716" s="154" t="s">
        <v>11014</v>
      </c>
      <c r="J1716" s="154" t="s">
        <v>7736</v>
      </c>
      <c r="K1716" s="154" t="s">
        <v>10786</v>
      </c>
      <c r="L1716" s="154" t="s">
        <v>6884</v>
      </c>
      <c r="M1716" s="154"/>
      <c r="N1716" s="154" t="s">
        <v>759</v>
      </c>
      <c r="O1716" s="247" t="s">
        <v>516</v>
      </c>
      <c r="P1716" s="247" t="s">
        <v>6776</v>
      </c>
      <c r="Q1716" s="154" t="str">
        <f t="shared" si="1"/>
        <v>#ERROR!</v>
      </c>
      <c r="R1716" s="154" t="s">
        <v>66</v>
      </c>
      <c r="S1716" s="154" t="s">
        <v>66</v>
      </c>
      <c r="T1716" s="154" t="s">
        <v>66</v>
      </c>
      <c r="U1716" s="154" t="s">
        <v>66</v>
      </c>
      <c r="V1716" s="154" t="s">
        <v>66</v>
      </c>
      <c r="W1716" s="154" t="s">
        <v>66</v>
      </c>
      <c r="X1716" s="154" t="s">
        <v>66</v>
      </c>
      <c r="Y1716" s="154" t="s">
        <v>66</v>
      </c>
      <c r="Z1716" s="154" t="s">
        <v>66</v>
      </c>
      <c r="AA1716" s="154"/>
      <c r="AB1716" s="242" t="str">
        <f t="shared" si="2"/>
        <v>#ERROR!</v>
      </c>
      <c r="AC1716" s="154" t="s">
        <v>391</v>
      </c>
      <c r="AD1716" s="242" t="b">
        <f t="shared" si="3"/>
        <v>0</v>
      </c>
      <c r="AE1716" s="154"/>
      <c r="AF1716" s="242" t="str">
        <f t="shared" si="4"/>
        <v>#ERROR!</v>
      </c>
      <c r="AG1716" s="154"/>
      <c r="AH1716" s="242" t="str">
        <f>IF(AG1716="","N/A",INDIRECT("MTR!"&amp;ADDRESS(MATCH(LEFT(AG1716,9),[1]MTR!C:C,0),COLUMN(J1716)),TRUE) &amp; "")</f>
        <v>#ERROR!</v>
      </c>
      <c r="AI1716" s="157" t="str">
        <f t="shared" si="5"/>
        <v>#ERROR!</v>
      </c>
    </row>
    <row r="1717" ht="12.75" customHeight="1">
      <c r="A1717" s="244" t="s">
        <v>5158</v>
      </c>
      <c r="B1717" s="244" t="s">
        <v>231</v>
      </c>
      <c r="C1717" s="244" t="s">
        <v>11017</v>
      </c>
      <c r="D1717" s="154" t="s">
        <v>1315</v>
      </c>
      <c r="E1717" s="154"/>
      <c r="F1717" s="154" t="str">
        <f t="array" ref="F1717">XLOOKUP(Cover!$D$12,$R$1:$Z$1,$R1717:$Z1717)</f>
        <v>Information</v>
      </c>
      <c r="G1717" s="154" t="s">
        <v>11018</v>
      </c>
      <c r="H1717" s="154" t="s">
        <v>7390</v>
      </c>
      <c r="I1717" s="154" t="s">
        <v>11014</v>
      </c>
      <c r="J1717" s="154" t="s">
        <v>7736</v>
      </c>
      <c r="K1717" s="154" t="s">
        <v>10786</v>
      </c>
      <c r="L1717" s="154" t="s">
        <v>6884</v>
      </c>
      <c r="M1717" s="154"/>
      <c r="N1717" s="154" t="s">
        <v>759</v>
      </c>
      <c r="O1717" s="247" t="s">
        <v>516</v>
      </c>
      <c r="P1717" s="247" t="s">
        <v>6776</v>
      </c>
      <c r="Q1717" s="154" t="str">
        <f t="shared" si="1"/>
        <v>#ERROR!</v>
      </c>
      <c r="R1717" s="154" t="s">
        <v>66</v>
      </c>
      <c r="S1717" s="154" t="s">
        <v>66</v>
      </c>
      <c r="T1717" s="154" t="s">
        <v>66</v>
      </c>
      <c r="U1717" s="154" t="s">
        <v>66</v>
      </c>
      <c r="V1717" s="154" t="s">
        <v>66</v>
      </c>
      <c r="W1717" s="154" t="s">
        <v>66</v>
      </c>
      <c r="X1717" s="154" t="s">
        <v>66</v>
      </c>
      <c r="Y1717" s="154" t="s">
        <v>66</v>
      </c>
      <c r="Z1717" s="154" t="s">
        <v>66</v>
      </c>
      <c r="AA1717" s="154"/>
      <c r="AB1717" s="242" t="str">
        <f t="shared" si="2"/>
        <v>#ERROR!</v>
      </c>
      <c r="AC1717" s="154" t="s">
        <v>391</v>
      </c>
      <c r="AD1717" s="242" t="b">
        <f t="shared" si="3"/>
        <v>0</v>
      </c>
      <c r="AE1717" s="154"/>
      <c r="AF1717" s="242" t="str">
        <f t="shared" si="4"/>
        <v>#ERROR!</v>
      </c>
      <c r="AG1717" s="154"/>
      <c r="AH1717" s="242" t="str">
        <f>IF(AG1717="","N/A",INDIRECT("MTR!"&amp;ADDRESS(MATCH(LEFT(AG1717,9),[1]MTR!C:C,0),COLUMN(J1717)),TRUE) &amp; "")</f>
        <v>#ERROR!</v>
      </c>
      <c r="AI1717" s="157" t="str">
        <f t="shared" si="5"/>
        <v>#ERROR!</v>
      </c>
    </row>
    <row r="1718" ht="12.75" customHeight="1">
      <c r="A1718" s="244" t="s">
        <v>5158</v>
      </c>
      <c r="B1718" s="244" t="s">
        <v>231</v>
      </c>
      <c r="C1718" s="244" t="s">
        <v>11019</v>
      </c>
      <c r="D1718" s="154" t="s">
        <v>1315</v>
      </c>
      <c r="E1718" s="154"/>
      <c r="F1718" s="154" t="str">
        <f t="array" ref="F1718">XLOOKUP(Cover!$D$12,$R$1:$Z$1,$R1718:$Z1718)</f>
        <v>Information</v>
      </c>
      <c r="G1718" s="154" t="s">
        <v>11020</v>
      </c>
      <c r="H1718" s="154" t="s">
        <v>7323</v>
      </c>
      <c r="I1718" s="154" t="s">
        <v>11014</v>
      </c>
      <c r="J1718" s="154" t="s">
        <v>7736</v>
      </c>
      <c r="K1718" s="154" t="s">
        <v>10786</v>
      </c>
      <c r="L1718" s="154" t="s">
        <v>6884</v>
      </c>
      <c r="M1718" s="154"/>
      <c r="N1718" s="154" t="s">
        <v>759</v>
      </c>
      <c r="O1718" s="247" t="s">
        <v>516</v>
      </c>
      <c r="P1718" s="247" t="s">
        <v>6776</v>
      </c>
      <c r="Q1718" s="154" t="str">
        <f t="shared" si="1"/>
        <v>#ERROR!</v>
      </c>
      <c r="R1718" s="154" t="s">
        <v>66</v>
      </c>
      <c r="S1718" s="154" t="s">
        <v>66</v>
      </c>
      <c r="T1718" s="154" t="s">
        <v>66</v>
      </c>
      <c r="U1718" s="154" t="s">
        <v>66</v>
      </c>
      <c r="V1718" s="154" t="s">
        <v>66</v>
      </c>
      <c r="W1718" s="154" t="s">
        <v>66</v>
      </c>
      <c r="X1718" s="154" t="s">
        <v>66</v>
      </c>
      <c r="Y1718" s="154" t="s">
        <v>66</v>
      </c>
      <c r="Z1718" s="154" t="s">
        <v>66</v>
      </c>
      <c r="AA1718" s="154"/>
      <c r="AB1718" s="242" t="str">
        <f t="shared" si="2"/>
        <v>#ERROR!</v>
      </c>
      <c r="AC1718" s="154" t="s">
        <v>391</v>
      </c>
      <c r="AD1718" s="242" t="b">
        <f t="shared" si="3"/>
        <v>0</v>
      </c>
      <c r="AE1718" s="154"/>
      <c r="AF1718" s="242" t="str">
        <f t="shared" si="4"/>
        <v>#ERROR!</v>
      </c>
      <c r="AG1718" s="154"/>
      <c r="AH1718" s="242" t="str">
        <f>IF(AG1718="","N/A",INDIRECT("MTR!"&amp;ADDRESS(MATCH(LEFT(AG1718,9),[1]MTR!C:C,0),COLUMN(J1718)),TRUE) &amp; "")</f>
        <v>#ERROR!</v>
      </c>
      <c r="AI1718" s="157" t="str">
        <f t="shared" si="5"/>
        <v>#ERROR!</v>
      </c>
    </row>
    <row r="1719" ht="12.75" customHeight="1">
      <c r="A1719" s="244" t="s">
        <v>5158</v>
      </c>
      <c r="B1719" s="244" t="s">
        <v>231</v>
      </c>
      <c r="C1719" s="244" t="s">
        <v>11021</v>
      </c>
      <c r="D1719" s="154" t="s">
        <v>1315</v>
      </c>
      <c r="E1719" s="154"/>
      <c r="F1719" s="154" t="str">
        <f t="array" ref="F1719">XLOOKUP(Cover!$D$12,$R$1:$Z$1,$R1719:$Z1719)</f>
        <v>Information</v>
      </c>
      <c r="G1719" s="154" t="s">
        <v>11022</v>
      </c>
      <c r="H1719" s="154" t="s">
        <v>9006</v>
      </c>
      <c r="I1719" s="154" t="s">
        <v>11014</v>
      </c>
      <c r="J1719" s="154" t="s">
        <v>7736</v>
      </c>
      <c r="K1719" s="154" t="s">
        <v>10786</v>
      </c>
      <c r="L1719" s="154" t="s">
        <v>6884</v>
      </c>
      <c r="M1719" s="154"/>
      <c r="N1719" s="154" t="s">
        <v>759</v>
      </c>
      <c r="O1719" s="247" t="s">
        <v>516</v>
      </c>
      <c r="P1719" s="247" t="s">
        <v>6776</v>
      </c>
      <c r="Q1719" s="154" t="str">
        <f t="shared" si="1"/>
        <v>#ERROR!</v>
      </c>
      <c r="R1719" s="154" t="s">
        <v>66</v>
      </c>
      <c r="S1719" s="154" t="s">
        <v>66</v>
      </c>
      <c r="T1719" s="154" t="s">
        <v>66</v>
      </c>
      <c r="U1719" s="154" t="s">
        <v>66</v>
      </c>
      <c r="V1719" s="154" t="s">
        <v>66</v>
      </c>
      <c r="W1719" s="154" t="s">
        <v>66</v>
      </c>
      <c r="X1719" s="154" t="s">
        <v>66</v>
      </c>
      <c r="Y1719" s="154" t="s">
        <v>66</v>
      </c>
      <c r="Z1719" s="154" t="s">
        <v>66</v>
      </c>
      <c r="AA1719" s="154"/>
      <c r="AB1719" s="242" t="str">
        <f t="shared" si="2"/>
        <v>#ERROR!</v>
      </c>
      <c r="AC1719" s="154" t="s">
        <v>391</v>
      </c>
      <c r="AD1719" s="242" t="b">
        <f t="shared" si="3"/>
        <v>0</v>
      </c>
      <c r="AE1719" s="154"/>
      <c r="AF1719" s="242" t="str">
        <f t="shared" si="4"/>
        <v>#ERROR!</v>
      </c>
      <c r="AG1719" s="154"/>
      <c r="AH1719" s="242" t="str">
        <f>IF(AG1719="","N/A",INDIRECT("MTR!"&amp;ADDRESS(MATCH(LEFT(AG1719,9),[1]MTR!C:C,0),COLUMN(J1719)),TRUE) &amp; "")</f>
        <v>#ERROR!</v>
      </c>
      <c r="AI1719" s="157" t="str">
        <f t="shared" si="5"/>
        <v>#ERROR!</v>
      </c>
    </row>
    <row r="1720" ht="12.75" customHeight="1">
      <c r="A1720" s="244" t="s">
        <v>5158</v>
      </c>
      <c r="B1720" s="244" t="s">
        <v>231</v>
      </c>
      <c r="C1720" s="244" t="s">
        <v>11023</v>
      </c>
      <c r="D1720" s="154" t="s">
        <v>1315</v>
      </c>
      <c r="E1720" s="154"/>
      <c r="F1720" s="154" t="str">
        <f t="array" ref="F1720">XLOOKUP(Cover!$D$12,$R$1:$Z$1,$R1720:$Z1720)</f>
        <v>Information</v>
      </c>
      <c r="G1720" s="154" t="s">
        <v>11024</v>
      </c>
      <c r="H1720" s="154" t="s">
        <v>9009</v>
      </c>
      <c r="I1720" s="154" t="s">
        <v>11014</v>
      </c>
      <c r="J1720" s="154" t="s">
        <v>7736</v>
      </c>
      <c r="K1720" s="154" t="s">
        <v>10786</v>
      </c>
      <c r="L1720" s="154" t="s">
        <v>6884</v>
      </c>
      <c r="M1720" s="154"/>
      <c r="N1720" s="154" t="s">
        <v>759</v>
      </c>
      <c r="O1720" s="247" t="s">
        <v>516</v>
      </c>
      <c r="P1720" s="247" t="s">
        <v>6776</v>
      </c>
      <c r="Q1720" s="154" t="str">
        <f t="shared" si="1"/>
        <v>#ERROR!</v>
      </c>
      <c r="R1720" s="154" t="s">
        <v>66</v>
      </c>
      <c r="S1720" s="154" t="s">
        <v>66</v>
      </c>
      <c r="T1720" s="154" t="s">
        <v>66</v>
      </c>
      <c r="U1720" s="154" t="s">
        <v>66</v>
      </c>
      <c r="V1720" s="154" t="s">
        <v>66</v>
      </c>
      <c r="W1720" s="154" t="s">
        <v>66</v>
      </c>
      <c r="X1720" s="154" t="s">
        <v>66</v>
      </c>
      <c r="Y1720" s="154" t="s">
        <v>66</v>
      </c>
      <c r="Z1720" s="154" t="s">
        <v>66</v>
      </c>
      <c r="AA1720" s="154"/>
      <c r="AB1720" s="242" t="str">
        <f t="shared" si="2"/>
        <v>#ERROR!</v>
      </c>
      <c r="AC1720" s="154" t="s">
        <v>391</v>
      </c>
      <c r="AD1720" s="242" t="b">
        <f t="shared" si="3"/>
        <v>0</v>
      </c>
      <c r="AE1720" s="154"/>
      <c r="AF1720" s="242" t="str">
        <f t="shared" si="4"/>
        <v>#ERROR!</v>
      </c>
      <c r="AG1720" s="154"/>
      <c r="AH1720" s="242" t="str">
        <f>IF(AG1720="","N/A",INDIRECT("MTR!"&amp;ADDRESS(MATCH(LEFT(AG1720,9),[1]MTR!C:C,0),COLUMN(J1720)),TRUE) &amp; "")</f>
        <v>#ERROR!</v>
      </c>
      <c r="AI1720" s="157" t="str">
        <f t="shared" si="5"/>
        <v>#ERROR!</v>
      </c>
    </row>
    <row r="1721" ht="12.75" customHeight="1">
      <c r="A1721" s="244" t="s">
        <v>5158</v>
      </c>
      <c r="B1721" s="244" t="s">
        <v>231</v>
      </c>
      <c r="C1721" s="244" t="s">
        <v>11025</v>
      </c>
      <c r="D1721" s="154" t="s">
        <v>1315</v>
      </c>
      <c r="E1721" s="154"/>
      <c r="F1721" s="154" t="str">
        <f t="array" ref="F1721">XLOOKUP(Cover!$D$12,$R$1:$Z$1,$R1721:$Z1721)</f>
        <v>Information</v>
      </c>
      <c r="G1721" s="154" t="s">
        <v>11026</v>
      </c>
      <c r="H1721" s="154" t="s">
        <v>9084</v>
      </c>
      <c r="I1721" s="154" t="s">
        <v>11014</v>
      </c>
      <c r="J1721" s="154" t="s">
        <v>7736</v>
      </c>
      <c r="K1721" s="154" t="s">
        <v>10786</v>
      </c>
      <c r="L1721" s="154" t="s">
        <v>6884</v>
      </c>
      <c r="M1721" s="154"/>
      <c r="N1721" s="154" t="s">
        <v>759</v>
      </c>
      <c r="O1721" s="247" t="s">
        <v>516</v>
      </c>
      <c r="P1721" s="247" t="s">
        <v>6776</v>
      </c>
      <c r="Q1721" s="154" t="str">
        <f t="shared" si="1"/>
        <v>#ERROR!</v>
      </c>
      <c r="R1721" s="154" t="s">
        <v>66</v>
      </c>
      <c r="S1721" s="154" t="s">
        <v>66</v>
      </c>
      <c r="T1721" s="154" t="s">
        <v>66</v>
      </c>
      <c r="U1721" s="154" t="s">
        <v>66</v>
      </c>
      <c r="V1721" s="154" t="s">
        <v>66</v>
      </c>
      <c r="W1721" s="154" t="s">
        <v>66</v>
      </c>
      <c r="X1721" s="154" t="s">
        <v>66</v>
      </c>
      <c r="Y1721" s="154" t="s">
        <v>66</v>
      </c>
      <c r="Z1721" s="154" t="s">
        <v>66</v>
      </c>
      <c r="AA1721" s="154"/>
      <c r="AB1721" s="242" t="str">
        <f t="shared" si="2"/>
        <v>#ERROR!</v>
      </c>
      <c r="AC1721" s="154" t="s">
        <v>391</v>
      </c>
      <c r="AD1721" s="242" t="b">
        <f t="shared" si="3"/>
        <v>0</v>
      </c>
      <c r="AE1721" s="154"/>
      <c r="AF1721" s="242" t="str">
        <f t="shared" si="4"/>
        <v>#ERROR!</v>
      </c>
      <c r="AG1721" s="154"/>
      <c r="AH1721" s="242" t="str">
        <f>IF(AG1721="","N/A",INDIRECT("MTR!"&amp;ADDRESS(MATCH(LEFT(AG1721,9),[1]MTR!C:C,0),COLUMN(J1721)),TRUE) &amp; "")</f>
        <v>#ERROR!</v>
      </c>
      <c r="AI1721" s="157" t="str">
        <f t="shared" si="5"/>
        <v>#ERROR!</v>
      </c>
    </row>
    <row r="1722" ht="12.75" customHeight="1">
      <c r="A1722" s="244" t="s">
        <v>5158</v>
      </c>
      <c r="B1722" s="244" t="s">
        <v>231</v>
      </c>
      <c r="C1722" s="244" t="s">
        <v>11027</v>
      </c>
      <c r="D1722" s="154" t="s">
        <v>1315</v>
      </c>
      <c r="E1722" s="154"/>
      <c r="F1722" s="154" t="str">
        <f t="array" ref="F1722">XLOOKUP(Cover!$D$12,$R$1:$Z$1,$R1722:$Z1722)</f>
        <v>Information</v>
      </c>
      <c r="G1722" s="154" t="s">
        <v>11028</v>
      </c>
      <c r="H1722" s="154" t="s">
        <v>1541</v>
      </c>
      <c r="I1722" s="154" t="s">
        <v>11014</v>
      </c>
      <c r="J1722" s="154" t="s">
        <v>7736</v>
      </c>
      <c r="K1722" s="154" t="s">
        <v>10786</v>
      </c>
      <c r="L1722" s="154" t="s">
        <v>6884</v>
      </c>
      <c r="M1722" s="154"/>
      <c r="N1722" s="154" t="s">
        <v>759</v>
      </c>
      <c r="O1722" s="247" t="s">
        <v>516</v>
      </c>
      <c r="P1722" s="247" t="s">
        <v>6776</v>
      </c>
      <c r="Q1722" s="154" t="str">
        <f t="shared" si="1"/>
        <v>#ERROR!</v>
      </c>
      <c r="R1722" s="154" t="s">
        <v>66</v>
      </c>
      <c r="S1722" s="154" t="s">
        <v>66</v>
      </c>
      <c r="T1722" s="154" t="s">
        <v>66</v>
      </c>
      <c r="U1722" s="154" t="s">
        <v>66</v>
      </c>
      <c r="V1722" s="154" t="s">
        <v>66</v>
      </c>
      <c r="W1722" s="154" t="s">
        <v>66</v>
      </c>
      <c r="X1722" s="154" t="s">
        <v>66</v>
      </c>
      <c r="Y1722" s="154" t="s">
        <v>66</v>
      </c>
      <c r="Z1722" s="154" t="s">
        <v>66</v>
      </c>
      <c r="AA1722" s="154"/>
      <c r="AB1722" s="242" t="str">
        <f t="shared" si="2"/>
        <v>#ERROR!</v>
      </c>
      <c r="AC1722" s="154" t="s">
        <v>391</v>
      </c>
      <c r="AD1722" s="242" t="b">
        <f t="shared" si="3"/>
        <v>0</v>
      </c>
      <c r="AE1722" s="154"/>
      <c r="AF1722" s="242" t="str">
        <f t="shared" si="4"/>
        <v>#ERROR!</v>
      </c>
      <c r="AG1722" s="154"/>
      <c r="AH1722" s="242" t="str">
        <f>IF(AG1722="","N/A",INDIRECT("MTR!"&amp;ADDRESS(MATCH(LEFT(AG1722,9),[1]MTR!C:C,0),COLUMN(J1722)),TRUE) &amp; "")</f>
        <v>#ERROR!</v>
      </c>
      <c r="AI1722" s="157" t="str">
        <f t="shared" si="5"/>
        <v>#ERROR!</v>
      </c>
    </row>
    <row r="1723" ht="12.75" customHeight="1">
      <c r="A1723" s="238" t="s">
        <v>5158</v>
      </c>
      <c r="B1723" s="238" t="s">
        <v>231</v>
      </c>
      <c r="C1723" s="238" t="s">
        <v>11029</v>
      </c>
      <c r="D1723" s="240"/>
      <c r="E1723" s="240" t="s">
        <v>92</v>
      </c>
      <c r="F1723" s="240" t="str">
        <f t="array" ref="F1723">XLOOKUP(Cover!$D$12,$R$1:$Z$1,$R1723:$Z1723)</f>
        <v>Heading</v>
      </c>
      <c r="G1723" s="239" t="s">
        <v>11030</v>
      </c>
      <c r="H1723" s="240"/>
      <c r="I1723" s="240"/>
      <c r="J1723" s="240"/>
      <c r="K1723" s="240"/>
      <c r="L1723" s="240"/>
      <c r="M1723" s="240"/>
      <c r="N1723" s="240" t="s">
        <v>759</v>
      </c>
      <c r="O1723" s="240"/>
      <c r="P1723" s="240"/>
      <c r="Q1723" s="240" t="str">
        <f t="shared" si="1"/>
        <v/>
      </c>
      <c r="R1723" s="240" t="s">
        <v>390</v>
      </c>
      <c r="S1723" s="240" t="s">
        <v>390</v>
      </c>
      <c r="T1723" s="240" t="s">
        <v>390</v>
      </c>
      <c r="U1723" s="240" t="s">
        <v>390</v>
      </c>
      <c r="V1723" s="240" t="s">
        <v>390</v>
      </c>
      <c r="W1723" s="240" t="s">
        <v>390</v>
      </c>
      <c r="X1723" s="240" t="s">
        <v>390</v>
      </c>
      <c r="Y1723" s="240" t="s">
        <v>390</v>
      </c>
      <c r="Z1723" s="240" t="s">
        <v>390</v>
      </c>
      <c r="AA1723" s="240"/>
      <c r="AB1723" s="242" t="str">
        <f t="shared" si="2"/>
        <v>#ERROR!</v>
      </c>
      <c r="AC1723" s="240" t="s">
        <v>391</v>
      </c>
      <c r="AD1723" s="242" t="b">
        <f t="shared" si="3"/>
        <v>0</v>
      </c>
      <c r="AE1723" s="240"/>
      <c r="AF1723" s="242" t="str">
        <f t="shared" si="4"/>
        <v>#ERROR!</v>
      </c>
      <c r="AG1723" s="240"/>
      <c r="AH1723" s="242" t="str">
        <f>IF(AG1723="","N/A",INDIRECT("MTR!"&amp;ADDRESS(MATCH(LEFT(AG1723,9),[1]MTR!C:C,0),COLUMN(J1723)),TRUE) &amp; "")</f>
        <v>#ERROR!</v>
      </c>
      <c r="AI1723" s="157" t="str">
        <f t="shared" si="5"/>
        <v/>
      </c>
    </row>
    <row r="1724" ht="12.75" customHeight="1">
      <c r="A1724" s="244" t="s">
        <v>5158</v>
      </c>
      <c r="B1724" s="244" t="s">
        <v>231</v>
      </c>
      <c r="C1724" s="244" t="s">
        <v>11031</v>
      </c>
      <c r="D1724" s="154" t="s">
        <v>1773</v>
      </c>
      <c r="E1724" s="154"/>
      <c r="F1724" s="154" t="str">
        <f t="array" ref="F1724">XLOOKUP(Cover!$D$12,$R$1:$Z$1,$R1724:$Z1724)</f>
        <v>Recommended</v>
      </c>
      <c r="G1724" s="154" t="s">
        <v>11032</v>
      </c>
      <c r="H1724" s="154" t="s">
        <v>7838</v>
      </c>
      <c r="I1724" s="154" t="s">
        <v>11033</v>
      </c>
      <c r="J1724" s="154" t="s">
        <v>5782</v>
      </c>
      <c r="K1724" s="154" t="s">
        <v>11034</v>
      </c>
      <c r="L1724" s="154" t="s">
        <v>6126</v>
      </c>
      <c r="M1724" s="154"/>
      <c r="N1724" s="154" t="s">
        <v>759</v>
      </c>
      <c r="O1724" s="247" t="s">
        <v>516</v>
      </c>
      <c r="P1724" s="247" t="s">
        <v>11035</v>
      </c>
      <c r="Q1724" s="154" t="str">
        <f t="shared" si="1"/>
        <v>#ERROR!</v>
      </c>
      <c r="R1724" s="154" t="s">
        <v>66</v>
      </c>
      <c r="S1724" s="154" t="s">
        <v>66</v>
      </c>
      <c r="T1724" s="154" t="s">
        <v>64</v>
      </c>
      <c r="U1724" s="154" t="s">
        <v>64</v>
      </c>
      <c r="V1724" s="154" t="s">
        <v>64</v>
      </c>
      <c r="W1724" s="154" t="s">
        <v>64</v>
      </c>
      <c r="X1724" s="154" t="s">
        <v>66</v>
      </c>
      <c r="Y1724" s="154" t="s">
        <v>64</v>
      </c>
      <c r="Z1724" s="154" t="s">
        <v>64</v>
      </c>
      <c r="AA1724" s="154"/>
      <c r="AB1724" s="242" t="str">
        <f t="shared" si="2"/>
        <v>#ERROR!</v>
      </c>
      <c r="AC1724" s="154" t="s">
        <v>391</v>
      </c>
      <c r="AD1724" s="242" t="b">
        <f t="shared" si="3"/>
        <v>0</v>
      </c>
      <c r="AE1724" s="154"/>
      <c r="AF1724" s="242" t="str">
        <f t="shared" si="4"/>
        <v>#ERROR!</v>
      </c>
      <c r="AG1724" s="154" t="s">
        <v>652</v>
      </c>
      <c r="AH1724" s="242" t="str">
        <f>IF(AG1724="","N/A",INDIRECT("MTR!"&amp;ADDRESS(MATCH(LEFT(AG1724,9),[1]MTR!C:C,0),COLUMN(J1724)),TRUE) &amp; "")</f>
        <v>#ERROR!</v>
      </c>
      <c r="AI1724" s="157" t="str">
        <f t="shared" si="5"/>
        <v>#ERROR!</v>
      </c>
    </row>
    <row r="1725" ht="12.75" customHeight="1">
      <c r="A1725" s="244" t="s">
        <v>5158</v>
      </c>
      <c r="B1725" s="244" t="s">
        <v>231</v>
      </c>
      <c r="C1725" s="244" t="s">
        <v>11036</v>
      </c>
      <c r="D1725" s="154" t="s">
        <v>1773</v>
      </c>
      <c r="E1725" s="154"/>
      <c r="F1725" s="154" t="str">
        <f t="array" ref="F1725">XLOOKUP(Cover!$D$12,$R$1:$Z$1,$R1725:$Z1725)</f>
        <v>Recommended</v>
      </c>
      <c r="G1725" s="154" t="s">
        <v>11037</v>
      </c>
      <c r="H1725" s="154" t="s">
        <v>1489</v>
      </c>
      <c r="I1725" s="154" t="s">
        <v>11033</v>
      </c>
      <c r="J1725" s="154" t="s">
        <v>5782</v>
      </c>
      <c r="K1725" s="154" t="s">
        <v>11034</v>
      </c>
      <c r="L1725" s="154" t="s">
        <v>6126</v>
      </c>
      <c r="M1725" s="154"/>
      <c r="N1725" s="154" t="s">
        <v>759</v>
      </c>
      <c r="O1725" s="247" t="s">
        <v>445</v>
      </c>
      <c r="P1725" s="247" t="s">
        <v>89</v>
      </c>
      <c r="Q1725" s="154" t="str">
        <f t="shared" si="1"/>
        <v>#ERROR!</v>
      </c>
      <c r="R1725" s="154" t="s">
        <v>66</v>
      </c>
      <c r="S1725" s="154" t="s">
        <v>66</v>
      </c>
      <c r="T1725" s="154" t="s">
        <v>64</v>
      </c>
      <c r="U1725" s="154" t="s">
        <v>64</v>
      </c>
      <c r="V1725" s="154" t="s">
        <v>64</v>
      </c>
      <c r="W1725" s="154" t="s">
        <v>64</v>
      </c>
      <c r="X1725" s="154" t="s">
        <v>66</v>
      </c>
      <c r="Y1725" s="154" t="s">
        <v>64</v>
      </c>
      <c r="Z1725" s="154" t="s">
        <v>64</v>
      </c>
      <c r="AA1725" s="154"/>
      <c r="AB1725" s="242" t="str">
        <f t="shared" si="2"/>
        <v>#ERROR!</v>
      </c>
      <c r="AC1725" s="154" t="s">
        <v>391</v>
      </c>
      <c r="AD1725" s="242" t="b">
        <f t="shared" si="3"/>
        <v>0</v>
      </c>
      <c r="AE1725" s="154"/>
      <c r="AF1725" s="242" t="str">
        <f t="shared" si="4"/>
        <v>#ERROR!</v>
      </c>
      <c r="AG1725" s="154" t="s">
        <v>652</v>
      </c>
      <c r="AH1725" s="242" t="str">
        <f>IF(AG1725="","N/A",INDIRECT("MTR!"&amp;ADDRESS(MATCH(LEFT(AG1725,9),[1]MTR!C:C,0),COLUMN(J1725)),TRUE) &amp; "")</f>
        <v>#ERROR!</v>
      </c>
      <c r="AI1725" s="157" t="str">
        <f t="shared" si="5"/>
        <v>#ERROR!</v>
      </c>
    </row>
    <row r="1726" ht="12.75" customHeight="1">
      <c r="A1726" s="244" t="s">
        <v>5158</v>
      </c>
      <c r="B1726" s="244" t="s">
        <v>231</v>
      </c>
      <c r="C1726" s="244" t="s">
        <v>11038</v>
      </c>
      <c r="D1726" s="154" t="s">
        <v>546</v>
      </c>
      <c r="E1726" s="154"/>
      <c r="F1726" s="154" t="str">
        <f t="array" ref="F1726">XLOOKUP(Cover!$D$12,$R$1:$Z$1,$R1726:$Z1726)</f>
        <v>Recommended</v>
      </c>
      <c r="G1726" s="154" t="s">
        <v>11039</v>
      </c>
      <c r="H1726" s="154" t="s">
        <v>7850</v>
      </c>
      <c r="I1726" s="154" t="s">
        <v>11040</v>
      </c>
      <c r="J1726" s="154" t="s">
        <v>5897</v>
      </c>
      <c r="K1726" s="154" t="s">
        <v>11034</v>
      </c>
      <c r="L1726" s="154" t="s">
        <v>6529</v>
      </c>
      <c r="M1726" s="154"/>
      <c r="N1726" s="154" t="s">
        <v>759</v>
      </c>
      <c r="O1726" s="247" t="s">
        <v>445</v>
      </c>
      <c r="P1726" s="247" t="s">
        <v>6772</v>
      </c>
      <c r="Q1726" s="154" t="str">
        <f t="shared" si="1"/>
        <v>#ERROR!</v>
      </c>
      <c r="R1726" s="154" t="s">
        <v>66</v>
      </c>
      <c r="S1726" s="154" t="s">
        <v>66</v>
      </c>
      <c r="T1726" s="154" t="s">
        <v>64</v>
      </c>
      <c r="U1726" s="154" t="s">
        <v>64</v>
      </c>
      <c r="V1726" s="154" t="s">
        <v>64</v>
      </c>
      <c r="W1726" s="154" t="s">
        <v>64</v>
      </c>
      <c r="X1726" s="154" t="s">
        <v>66</v>
      </c>
      <c r="Y1726" s="154" t="s">
        <v>64</v>
      </c>
      <c r="Z1726" s="154" t="s">
        <v>64</v>
      </c>
      <c r="AA1726" s="154"/>
      <c r="AB1726" s="242" t="str">
        <f t="shared" si="2"/>
        <v>#ERROR!</v>
      </c>
      <c r="AC1726" s="154" t="s">
        <v>391</v>
      </c>
      <c r="AD1726" s="242" t="b">
        <f t="shared" si="3"/>
        <v>0</v>
      </c>
      <c r="AE1726" s="154"/>
      <c r="AF1726" s="242" t="str">
        <f t="shared" si="4"/>
        <v>#ERROR!</v>
      </c>
      <c r="AG1726" s="154"/>
      <c r="AH1726" s="242" t="str">
        <f>IF(AG1726="","N/A",INDIRECT("MTR!"&amp;ADDRESS(MATCH(LEFT(AG1726,9),[1]MTR!C:C,0),COLUMN(J1726)),TRUE) &amp; "")</f>
        <v>#ERROR!</v>
      </c>
      <c r="AI1726" s="157" t="str">
        <f t="shared" si="5"/>
        <v>#ERROR!</v>
      </c>
    </row>
    <row r="1727" ht="12.75" customHeight="1">
      <c r="A1727" s="244" t="s">
        <v>5158</v>
      </c>
      <c r="B1727" s="244" t="s">
        <v>231</v>
      </c>
      <c r="C1727" s="244" t="s">
        <v>11041</v>
      </c>
      <c r="D1727" s="154" t="s">
        <v>546</v>
      </c>
      <c r="E1727" s="154"/>
      <c r="F1727" s="154" t="str">
        <f t="array" ref="F1727">XLOOKUP(Cover!$D$12,$R$1:$Z$1,$R1727:$Z1727)</f>
        <v>Recommended</v>
      </c>
      <c r="G1727" s="154" t="s">
        <v>11042</v>
      </c>
      <c r="H1727" s="154" t="s">
        <v>8519</v>
      </c>
      <c r="I1727" s="154" t="s">
        <v>11040</v>
      </c>
      <c r="J1727" s="154" t="s">
        <v>5897</v>
      </c>
      <c r="K1727" s="154" t="s">
        <v>11034</v>
      </c>
      <c r="L1727" s="154" t="s">
        <v>6529</v>
      </c>
      <c r="M1727" s="154"/>
      <c r="N1727" s="154" t="s">
        <v>759</v>
      </c>
      <c r="O1727" s="247" t="s">
        <v>445</v>
      </c>
      <c r="P1727" s="247" t="s">
        <v>6772</v>
      </c>
      <c r="Q1727" s="154" t="str">
        <f t="shared" si="1"/>
        <v>#ERROR!</v>
      </c>
      <c r="R1727" s="154" t="s">
        <v>66</v>
      </c>
      <c r="S1727" s="154" t="s">
        <v>66</v>
      </c>
      <c r="T1727" s="154" t="s">
        <v>64</v>
      </c>
      <c r="U1727" s="154" t="s">
        <v>64</v>
      </c>
      <c r="V1727" s="154" t="s">
        <v>64</v>
      </c>
      <c r="W1727" s="154" t="s">
        <v>64</v>
      </c>
      <c r="X1727" s="154" t="s">
        <v>66</v>
      </c>
      <c r="Y1727" s="154" t="s">
        <v>64</v>
      </c>
      <c r="Z1727" s="154" t="s">
        <v>64</v>
      </c>
      <c r="AA1727" s="154"/>
      <c r="AB1727" s="242" t="str">
        <f t="shared" si="2"/>
        <v>#ERROR!</v>
      </c>
      <c r="AC1727" s="154" t="s">
        <v>391</v>
      </c>
      <c r="AD1727" s="242" t="b">
        <f t="shared" si="3"/>
        <v>0</v>
      </c>
      <c r="AE1727" s="154"/>
      <c r="AF1727" s="242" t="str">
        <f t="shared" si="4"/>
        <v>#ERROR!</v>
      </c>
      <c r="AG1727" s="154"/>
      <c r="AH1727" s="242" t="str">
        <f>IF(AG1727="","N/A",INDIRECT("MTR!"&amp;ADDRESS(MATCH(LEFT(AG1727,9),[1]MTR!C:C,0),COLUMN(J1727)),TRUE) &amp; "")</f>
        <v>#ERROR!</v>
      </c>
      <c r="AI1727" s="157" t="str">
        <f t="shared" si="5"/>
        <v>#ERROR!</v>
      </c>
    </row>
    <row r="1728" ht="12.75" customHeight="1">
      <c r="A1728" s="244" t="s">
        <v>5158</v>
      </c>
      <c r="B1728" s="244" t="s">
        <v>231</v>
      </c>
      <c r="C1728" s="244" t="s">
        <v>11043</v>
      </c>
      <c r="D1728" s="154" t="s">
        <v>1773</v>
      </c>
      <c r="E1728" s="154"/>
      <c r="F1728" s="154" t="str">
        <f t="array" ref="F1728">XLOOKUP(Cover!$D$12,$R$1:$Z$1,$R1728:$Z1728)</f>
        <v>Recommended</v>
      </c>
      <c r="G1728" s="154" t="s">
        <v>11044</v>
      </c>
      <c r="H1728" s="154" t="s">
        <v>7838</v>
      </c>
      <c r="I1728" s="154" t="s">
        <v>11045</v>
      </c>
      <c r="J1728" s="154" t="s">
        <v>6809</v>
      </c>
      <c r="K1728" s="154" t="s">
        <v>11034</v>
      </c>
      <c r="L1728" s="154" t="s">
        <v>6126</v>
      </c>
      <c r="M1728" s="154"/>
      <c r="N1728" s="154" t="s">
        <v>759</v>
      </c>
      <c r="O1728" s="247" t="s">
        <v>516</v>
      </c>
      <c r="P1728" s="247" t="s">
        <v>11035</v>
      </c>
      <c r="Q1728" s="154" t="str">
        <f t="shared" si="1"/>
        <v>#ERROR!</v>
      </c>
      <c r="R1728" s="154" t="s">
        <v>66</v>
      </c>
      <c r="S1728" s="154" t="s">
        <v>66</v>
      </c>
      <c r="T1728" s="154" t="s">
        <v>64</v>
      </c>
      <c r="U1728" s="154" t="s">
        <v>64</v>
      </c>
      <c r="V1728" s="154" t="s">
        <v>64</v>
      </c>
      <c r="W1728" s="154" t="s">
        <v>64</v>
      </c>
      <c r="X1728" s="154" t="s">
        <v>66</v>
      </c>
      <c r="Y1728" s="154" t="s">
        <v>64</v>
      </c>
      <c r="Z1728" s="154" t="s">
        <v>64</v>
      </c>
      <c r="AA1728" s="154"/>
      <c r="AB1728" s="242" t="str">
        <f t="shared" si="2"/>
        <v>#ERROR!</v>
      </c>
      <c r="AC1728" s="154" t="s">
        <v>391</v>
      </c>
      <c r="AD1728" s="242" t="b">
        <f t="shared" si="3"/>
        <v>0</v>
      </c>
      <c r="AE1728" s="154"/>
      <c r="AF1728" s="242" t="str">
        <f t="shared" si="4"/>
        <v>#ERROR!</v>
      </c>
      <c r="AG1728" s="154" t="s">
        <v>652</v>
      </c>
      <c r="AH1728" s="242" t="str">
        <f>IF(AG1728="","N/A",INDIRECT("MTR!"&amp;ADDRESS(MATCH(LEFT(AG1728,9),[1]MTR!C:C,0),COLUMN(J1728)),TRUE) &amp; "")</f>
        <v>#ERROR!</v>
      </c>
      <c r="AI1728" s="157" t="str">
        <f t="shared" si="5"/>
        <v>#ERROR!</v>
      </c>
    </row>
    <row r="1729" ht="12.75" customHeight="1">
      <c r="A1729" s="244" t="s">
        <v>5158</v>
      </c>
      <c r="B1729" s="244" t="s">
        <v>231</v>
      </c>
      <c r="C1729" s="244" t="s">
        <v>11046</v>
      </c>
      <c r="D1729" s="154" t="s">
        <v>1773</v>
      </c>
      <c r="E1729" s="154"/>
      <c r="F1729" s="154" t="str">
        <f t="array" ref="F1729">XLOOKUP(Cover!$D$12,$R$1:$Z$1,$R1729:$Z1729)</f>
        <v>Recommended</v>
      </c>
      <c r="G1729" s="154" t="s">
        <v>11047</v>
      </c>
      <c r="H1729" s="154" t="s">
        <v>1489</v>
      </c>
      <c r="I1729" s="154" t="s">
        <v>11045</v>
      </c>
      <c r="J1729" s="154" t="s">
        <v>6809</v>
      </c>
      <c r="K1729" s="154" t="s">
        <v>11034</v>
      </c>
      <c r="L1729" s="154" t="s">
        <v>6126</v>
      </c>
      <c r="M1729" s="154"/>
      <c r="N1729" s="154" t="s">
        <v>759</v>
      </c>
      <c r="O1729" s="247" t="s">
        <v>445</v>
      </c>
      <c r="P1729" s="247" t="s">
        <v>89</v>
      </c>
      <c r="Q1729" s="154" t="str">
        <f t="shared" si="1"/>
        <v>#ERROR!</v>
      </c>
      <c r="R1729" s="154" t="s">
        <v>66</v>
      </c>
      <c r="S1729" s="154" t="s">
        <v>66</v>
      </c>
      <c r="T1729" s="154" t="s">
        <v>64</v>
      </c>
      <c r="U1729" s="154" t="s">
        <v>64</v>
      </c>
      <c r="V1729" s="154" t="s">
        <v>64</v>
      </c>
      <c r="W1729" s="154" t="s">
        <v>64</v>
      </c>
      <c r="X1729" s="154" t="s">
        <v>66</v>
      </c>
      <c r="Y1729" s="154" t="s">
        <v>64</v>
      </c>
      <c r="Z1729" s="154" t="s">
        <v>64</v>
      </c>
      <c r="AA1729" s="154"/>
      <c r="AB1729" s="242" t="str">
        <f t="shared" si="2"/>
        <v>#ERROR!</v>
      </c>
      <c r="AC1729" s="154" t="s">
        <v>391</v>
      </c>
      <c r="AD1729" s="242" t="b">
        <f t="shared" si="3"/>
        <v>0</v>
      </c>
      <c r="AE1729" s="154"/>
      <c r="AF1729" s="242" t="str">
        <f t="shared" si="4"/>
        <v>#ERROR!</v>
      </c>
      <c r="AG1729" s="154" t="s">
        <v>652</v>
      </c>
      <c r="AH1729" s="242" t="str">
        <f>IF(AG1729="","N/A",INDIRECT("MTR!"&amp;ADDRESS(MATCH(LEFT(AG1729,9),[1]MTR!C:C,0),COLUMN(J1729)),TRUE) &amp; "")</f>
        <v>#ERROR!</v>
      </c>
      <c r="AI1729" s="157" t="str">
        <f t="shared" si="5"/>
        <v>#ERROR!</v>
      </c>
    </row>
    <row r="1730" ht="12.75" customHeight="1">
      <c r="A1730" s="244" t="s">
        <v>5158</v>
      </c>
      <c r="B1730" s="244" t="s">
        <v>231</v>
      </c>
      <c r="C1730" s="244" t="s">
        <v>11048</v>
      </c>
      <c r="D1730" s="154" t="s">
        <v>1773</v>
      </c>
      <c r="E1730" s="154"/>
      <c r="F1730" s="154" t="str">
        <f t="array" ref="F1730">XLOOKUP(Cover!$D$12,$R$1:$Z$1,$R1730:$Z1730)</f>
        <v>Recommended</v>
      </c>
      <c r="G1730" s="154" t="s">
        <v>11049</v>
      </c>
      <c r="H1730" s="154" t="s">
        <v>7892</v>
      </c>
      <c r="I1730" s="154" t="s">
        <v>11045</v>
      </c>
      <c r="J1730" s="154" t="s">
        <v>6809</v>
      </c>
      <c r="K1730" s="154" t="s">
        <v>11034</v>
      </c>
      <c r="L1730" s="154" t="s">
        <v>6126</v>
      </c>
      <c r="M1730" s="154"/>
      <c r="N1730" s="154" t="s">
        <v>759</v>
      </c>
      <c r="O1730" s="247" t="s">
        <v>516</v>
      </c>
      <c r="P1730" s="247" t="s">
        <v>1575</v>
      </c>
      <c r="Q1730" s="154" t="str">
        <f t="shared" si="1"/>
        <v>#ERROR!</v>
      </c>
      <c r="R1730" s="154" t="s">
        <v>66</v>
      </c>
      <c r="S1730" s="154" t="s">
        <v>66</v>
      </c>
      <c r="T1730" s="154" t="s">
        <v>64</v>
      </c>
      <c r="U1730" s="154" t="s">
        <v>64</v>
      </c>
      <c r="V1730" s="154" t="s">
        <v>64</v>
      </c>
      <c r="W1730" s="154" t="s">
        <v>64</v>
      </c>
      <c r="X1730" s="154" t="s">
        <v>66</v>
      </c>
      <c r="Y1730" s="154" t="s">
        <v>64</v>
      </c>
      <c r="Z1730" s="154" t="s">
        <v>64</v>
      </c>
      <c r="AA1730" s="154"/>
      <c r="AB1730" s="242" t="str">
        <f t="shared" si="2"/>
        <v>#ERROR!</v>
      </c>
      <c r="AC1730" s="154" t="s">
        <v>391</v>
      </c>
      <c r="AD1730" s="242" t="b">
        <f t="shared" si="3"/>
        <v>0</v>
      </c>
      <c r="AE1730" s="154"/>
      <c r="AF1730" s="242" t="str">
        <f t="shared" si="4"/>
        <v>#ERROR!</v>
      </c>
      <c r="AG1730" s="154" t="s">
        <v>652</v>
      </c>
      <c r="AH1730" s="242" t="str">
        <f>IF(AG1730="","N/A",INDIRECT("MTR!"&amp;ADDRESS(MATCH(LEFT(AG1730,9),[1]MTR!C:C,0),COLUMN(J1730)),TRUE) &amp; "")</f>
        <v>#ERROR!</v>
      </c>
      <c r="AI1730" s="157" t="str">
        <f t="shared" si="5"/>
        <v>#ERROR!</v>
      </c>
    </row>
    <row r="1731" ht="12.75" customHeight="1">
      <c r="A1731" s="244" t="s">
        <v>5158</v>
      </c>
      <c r="B1731" s="244" t="s">
        <v>231</v>
      </c>
      <c r="C1731" s="244" t="s">
        <v>11050</v>
      </c>
      <c r="D1731" s="154" t="s">
        <v>1773</v>
      </c>
      <c r="E1731" s="154"/>
      <c r="F1731" s="154" t="str">
        <f t="array" ref="F1731">XLOOKUP(Cover!$D$12,$R$1:$Z$1,$R1731:$Z1731)</f>
        <v>Recommended</v>
      </c>
      <c r="G1731" s="154" t="s">
        <v>11051</v>
      </c>
      <c r="H1731" s="154" t="s">
        <v>8550</v>
      </c>
      <c r="I1731" s="154" t="s">
        <v>11045</v>
      </c>
      <c r="J1731" s="154" t="s">
        <v>6809</v>
      </c>
      <c r="K1731" s="154" t="s">
        <v>11034</v>
      </c>
      <c r="L1731" s="154" t="s">
        <v>6126</v>
      </c>
      <c r="M1731" s="154"/>
      <c r="N1731" s="154" t="s">
        <v>759</v>
      </c>
      <c r="O1731" s="247" t="s">
        <v>516</v>
      </c>
      <c r="P1731" s="247" t="s">
        <v>1575</v>
      </c>
      <c r="Q1731" s="154" t="str">
        <f t="shared" si="1"/>
        <v>#ERROR!</v>
      </c>
      <c r="R1731" s="154" t="s">
        <v>66</v>
      </c>
      <c r="S1731" s="154" t="s">
        <v>66</v>
      </c>
      <c r="T1731" s="154" t="s">
        <v>64</v>
      </c>
      <c r="U1731" s="154" t="s">
        <v>64</v>
      </c>
      <c r="V1731" s="154" t="s">
        <v>64</v>
      </c>
      <c r="W1731" s="154" t="s">
        <v>64</v>
      </c>
      <c r="X1731" s="154" t="s">
        <v>66</v>
      </c>
      <c r="Y1731" s="154" t="s">
        <v>64</v>
      </c>
      <c r="Z1731" s="154" t="s">
        <v>64</v>
      </c>
      <c r="AA1731" s="154"/>
      <c r="AB1731" s="242" t="str">
        <f t="shared" si="2"/>
        <v>#ERROR!</v>
      </c>
      <c r="AC1731" s="154" t="s">
        <v>391</v>
      </c>
      <c r="AD1731" s="242" t="b">
        <f t="shared" si="3"/>
        <v>0</v>
      </c>
      <c r="AE1731" s="154"/>
      <c r="AF1731" s="242" t="str">
        <f t="shared" si="4"/>
        <v>#ERROR!</v>
      </c>
      <c r="AG1731" s="154" t="s">
        <v>652</v>
      </c>
      <c r="AH1731" s="242" t="str">
        <f>IF(AG1731="","N/A",INDIRECT("MTR!"&amp;ADDRESS(MATCH(LEFT(AG1731,9),[1]MTR!C:C,0),COLUMN(J1731)),TRUE) &amp; "")</f>
        <v>#ERROR!</v>
      </c>
      <c r="AI1731" s="157" t="str">
        <f t="shared" si="5"/>
        <v>#ERROR!</v>
      </c>
    </row>
    <row r="1732" ht="12.75" customHeight="1">
      <c r="A1732" s="244" t="s">
        <v>5158</v>
      </c>
      <c r="B1732" s="244" t="s">
        <v>231</v>
      </c>
      <c r="C1732" s="244" t="s">
        <v>11052</v>
      </c>
      <c r="D1732" s="154" t="s">
        <v>546</v>
      </c>
      <c r="E1732" s="154"/>
      <c r="F1732" s="154" t="str">
        <f t="array" ref="F1732">XLOOKUP(Cover!$D$12,$R$1:$Z$1,$R1732:$Z1732)</f>
        <v>Recommended</v>
      </c>
      <c r="G1732" s="154" t="s">
        <v>11053</v>
      </c>
      <c r="H1732" s="154" t="s">
        <v>7838</v>
      </c>
      <c r="I1732" s="154" t="s">
        <v>11054</v>
      </c>
      <c r="J1732" s="154" t="s">
        <v>6832</v>
      </c>
      <c r="K1732" s="154" t="s">
        <v>11034</v>
      </c>
      <c r="L1732" s="154" t="s">
        <v>6529</v>
      </c>
      <c r="M1732" s="154"/>
      <c r="N1732" s="154" t="s">
        <v>759</v>
      </c>
      <c r="O1732" s="247" t="s">
        <v>516</v>
      </c>
      <c r="P1732" s="247" t="s">
        <v>6776</v>
      </c>
      <c r="Q1732" s="154" t="str">
        <f t="shared" si="1"/>
        <v>#ERROR!</v>
      </c>
      <c r="R1732" s="154" t="s">
        <v>66</v>
      </c>
      <c r="S1732" s="154" t="s">
        <v>66</v>
      </c>
      <c r="T1732" s="154" t="s">
        <v>64</v>
      </c>
      <c r="U1732" s="154" t="s">
        <v>64</v>
      </c>
      <c r="V1732" s="154" t="s">
        <v>64</v>
      </c>
      <c r="W1732" s="154" t="s">
        <v>64</v>
      </c>
      <c r="X1732" s="154" t="s">
        <v>66</v>
      </c>
      <c r="Y1732" s="154" t="s">
        <v>64</v>
      </c>
      <c r="Z1732" s="154" t="s">
        <v>64</v>
      </c>
      <c r="AA1732" s="154"/>
      <c r="AB1732" s="242" t="str">
        <f t="shared" si="2"/>
        <v>#ERROR!</v>
      </c>
      <c r="AC1732" s="154" t="s">
        <v>391</v>
      </c>
      <c r="AD1732" s="242" t="b">
        <f t="shared" si="3"/>
        <v>0</v>
      </c>
      <c r="AE1732" s="154"/>
      <c r="AF1732" s="242" t="str">
        <f t="shared" si="4"/>
        <v>#ERROR!</v>
      </c>
      <c r="AG1732" s="154"/>
      <c r="AH1732" s="242" t="str">
        <f>IF(AG1732="","N/A",INDIRECT("MTR!"&amp;ADDRESS(MATCH(LEFT(AG1732,9),[1]MTR!C:C,0),COLUMN(J1732)),TRUE) &amp; "")</f>
        <v>#ERROR!</v>
      </c>
      <c r="AI1732" s="157" t="str">
        <f t="shared" si="5"/>
        <v>#ERROR!</v>
      </c>
    </row>
    <row r="1733" ht="12.75" customHeight="1">
      <c r="A1733" s="244" t="s">
        <v>5158</v>
      </c>
      <c r="B1733" s="244" t="s">
        <v>231</v>
      </c>
      <c r="C1733" s="244" t="s">
        <v>11055</v>
      </c>
      <c r="D1733" s="154" t="s">
        <v>546</v>
      </c>
      <c r="E1733" s="154"/>
      <c r="F1733" s="154" t="str">
        <f t="array" ref="F1733">XLOOKUP(Cover!$D$12,$R$1:$Z$1,$R1733:$Z1733)</f>
        <v>Recommended</v>
      </c>
      <c r="G1733" s="154" t="s">
        <v>11056</v>
      </c>
      <c r="H1733" s="154" t="s">
        <v>1489</v>
      </c>
      <c r="I1733" s="154" t="s">
        <v>11054</v>
      </c>
      <c r="J1733" s="154" t="s">
        <v>6832</v>
      </c>
      <c r="K1733" s="154" t="s">
        <v>11034</v>
      </c>
      <c r="L1733" s="154" t="s">
        <v>6529</v>
      </c>
      <c r="M1733" s="154"/>
      <c r="N1733" s="154" t="s">
        <v>759</v>
      </c>
      <c r="O1733" s="247" t="s">
        <v>516</v>
      </c>
      <c r="P1733" s="247" t="s">
        <v>6776</v>
      </c>
      <c r="Q1733" s="154" t="str">
        <f t="shared" si="1"/>
        <v>#ERROR!</v>
      </c>
      <c r="R1733" s="154" t="s">
        <v>66</v>
      </c>
      <c r="S1733" s="154" t="s">
        <v>66</v>
      </c>
      <c r="T1733" s="154" t="s">
        <v>64</v>
      </c>
      <c r="U1733" s="154" t="s">
        <v>64</v>
      </c>
      <c r="V1733" s="154" t="s">
        <v>64</v>
      </c>
      <c r="W1733" s="154" t="s">
        <v>64</v>
      </c>
      <c r="X1733" s="154" t="s">
        <v>66</v>
      </c>
      <c r="Y1733" s="154" t="s">
        <v>64</v>
      </c>
      <c r="Z1733" s="154" t="s">
        <v>64</v>
      </c>
      <c r="AA1733" s="154"/>
      <c r="AB1733" s="242" t="str">
        <f t="shared" si="2"/>
        <v>#ERROR!</v>
      </c>
      <c r="AC1733" s="154" t="s">
        <v>391</v>
      </c>
      <c r="AD1733" s="242" t="b">
        <f t="shared" si="3"/>
        <v>0</v>
      </c>
      <c r="AE1733" s="154"/>
      <c r="AF1733" s="242" t="str">
        <f t="shared" si="4"/>
        <v>#ERROR!</v>
      </c>
      <c r="AG1733" s="154"/>
      <c r="AH1733" s="242" t="str">
        <f>IF(AG1733="","N/A",INDIRECT("MTR!"&amp;ADDRESS(MATCH(LEFT(AG1733,9),[1]MTR!C:C,0),COLUMN(J1733)),TRUE) &amp; "")</f>
        <v>#ERROR!</v>
      </c>
      <c r="AI1733" s="157" t="str">
        <f t="shared" si="5"/>
        <v>#ERROR!</v>
      </c>
    </row>
    <row r="1734" ht="12.75" customHeight="1">
      <c r="A1734" s="244" t="s">
        <v>5158</v>
      </c>
      <c r="B1734" s="244" t="s">
        <v>231</v>
      </c>
      <c r="C1734" s="244" t="s">
        <v>11057</v>
      </c>
      <c r="D1734" s="154" t="s">
        <v>546</v>
      </c>
      <c r="E1734" s="154"/>
      <c r="F1734" s="154" t="str">
        <f t="array" ref="F1734">XLOOKUP(Cover!$D$12,$R$1:$Z$1,$R1734:$Z1734)</f>
        <v>Recommended</v>
      </c>
      <c r="G1734" s="154" t="s">
        <v>11058</v>
      </c>
      <c r="H1734" s="154" t="s">
        <v>7850</v>
      </c>
      <c r="I1734" s="154" t="s">
        <v>11054</v>
      </c>
      <c r="J1734" s="154" t="s">
        <v>6832</v>
      </c>
      <c r="K1734" s="154" t="s">
        <v>11034</v>
      </c>
      <c r="L1734" s="154" t="s">
        <v>6529</v>
      </c>
      <c r="M1734" s="154"/>
      <c r="N1734" s="154" t="s">
        <v>759</v>
      </c>
      <c r="O1734" s="247" t="s">
        <v>516</v>
      </c>
      <c r="P1734" s="247" t="s">
        <v>6776</v>
      </c>
      <c r="Q1734" s="154" t="str">
        <f t="shared" si="1"/>
        <v>#ERROR!</v>
      </c>
      <c r="R1734" s="154" t="s">
        <v>66</v>
      </c>
      <c r="S1734" s="154" t="s">
        <v>66</v>
      </c>
      <c r="T1734" s="154" t="s">
        <v>64</v>
      </c>
      <c r="U1734" s="154" t="s">
        <v>64</v>
      </c>
      <c r="V1734" s="154" t="s">
        <v>64</v>
      </c>
      <c r="W1734" s="154" t="s">
        <v>64</v>
      </c>
      <c r="X1734" s="154" t="s">
        <v>66</v>
      </c>
      <c r="Y1734" s="154" t="s">
        <v>64</v>
      </c>
      <c r="Z1734" s="154" t="s">
        <v>64</v>
      </c>
      <c r="AA1734" s="154"/>
      <c r="AB1734" s="242" t="str">
        <f t="shared" si="2"/>
        <v>#ERROR!</v>
      </c>
      <c r="AC1734" s="154" t="s">
        <v>391</v>
      </c>
      <c r="AD1734" s="242" t="b">
        <f t="shared" si="3"/>
        <v>0</v>
      </c>
      <c r="AE1734" s="154"/>
      <c r="AF1734" s="242" t="str">
        <f t="shared" si="4"/>
        <v>#ERROR!</v>
      </c>
      <c r="AG1734" s="154"/>
      <c r="AH1734" s="242" t="str">
        <f>IF(AG1734="","N/A",INDIRECT("MTR!"&amp;ADDRESS(MATCH(LEFT(AG1734,9),[1]MTR!C:C,0),COLUMN(J1734)),TRUE) &amp; "")</f>
        <v>#ERROR!</v>
      </c>
      <c r="AI1734" s="157" t="str">
        <f t="shared" si="5"/>
        <v>#ERROR!</v>
      </c>
    </row>
    <row r="1735" ht="12.75" customHeight="1">
      <c r="A1735" s="244" t="s">
        <v>5158</v>
      </c>
      <c r="B1735" s="244" t="s">
        <v>231</v>
      </c>
      <c r="C1735" s="244" t="s">
        <v>11059</v>
      </c>
      <c r="D1735" s="154" t="s">
        <v>546</v>
      </c>
      <c r="E1735" s="154"/>
      <c r="F1735" s="154" t="str">
        <f t="array" ref="F1735">XLOOKUP(Cover!$D$12,$R$1:$Z$1,$R1735:$Z1735)</f>
        <v>Recommended</v>
      </c>
      <c r="G1735" s="154" t="s">
        <v>11060</v>
      </c>
      <c r="H1735" s="154" t="s">
        <v>8519</v>
      </c>
      <c r="I1735" s="154" t="s">
        <v>11054</v>
      </c>
      <c r="J1735" s="154" t="s">
        <v>6832</v>
      </c>
      <c r="K1735" s="154" t="s">
        <v>11034</v>
      </c>
      <c r="L1735" s="154" t="s">
        <v>6529</v>
      </c>
      <c r="M1735" s="154"/>
      <c r="N1735" s="154" t="s">
        <v>759</v>
      </c>
      <c r="O1735" s="247" t="s">
        <v>516</v>
      </c>
      <c r="P1735" s="247" t="s">
        <v>6776</v>
      </c>
      <c r="Q1735" s="154" t="str">
        <f t="shared" si="1"/>
        <v>#ERROR!</v>
      </c>
      <c r="R1735" s="154" t="s">
        <v>66</v>
      </c>
      <c r="S1735" s="154" t="s">
        <v>66</v>
      </c>
      <c r="T1735" s="154" t="s">
        <v>64</v>
      </c>
      <c r="U1735" s="154" t="s">
        <v>64</v>
      </c>
      <c r="V1735" s="154" t="s">
        <v>64</v>
      </c>
      <c r="W1735" s="154" t="s">
        <v>64</v>
      </c>
      <c r="X1735" s="154" t="s">
        <v>66</v>
      </c>
      <c r="Y1735" s="154" t="s">
        <v>64</v>
      </c>
      <c r="Z1735" s="154" t="s">
        <v>64</v>
      </c>
      <c r="AA1735" s="154"/>
      <c r="AB1735" s="242" t="str">
        <f t="shared" si="2"/>
        <v>#ERROR!</v>
      </c>
      <c r="AC1735" s="154" t="s">
        <v>391</v>
      </c>
      <c r="AD1735" s="242" t="b">
        <f t="shared" si="3"/>
        <v>0</v>
      </c>
      <c r="AE1735" s="154"/>
      <c r="AF1735" s="242" t="str">
        <f t="shared" si="4"/>
        <v>#ERROR!</v>
      </c>
      <c r="AG1735" s="154"/>
      <c r="AH1735" s="242" t="str">
        <f>IF(AG1735="","N/A",INDIRECT("MTR!"&amp;ADDRESS(MATCH(LEFT(AG1735,9),[1]MTR!C:C,0),COLUMN(J1735)),TRUE) &amp; "")</f>
        <v>#ERROR!</v>
      </c>
      <c r="AI1735" s="157" t="str">
        <f t="shared" si="5"/>
        <v>#ERROR!</v>
      </c>
    </row>
    <row r="1736" ht="12.75" customHeight="1">
      <c r="A1736" s="244" t="s">
        <v>5158</v>
      </c>
      <c r="B1736" s="244" t="s">
        <v>231</v>
      </c>
      <c r="C1736" s="244" t="s">
        <v>11061</v>
      </c>
      <c r="D1736" s="154" t="s">
        <v>546</v>
      </c>
      <c r="E1736" s="154"/>
      <c r="F1736" s="154" t="str">
        <f t="array" ref="F1736">XLOOKUP(Cover!$D$12,$R$1:$Z$1,$R1736:$Z1736)</f>
        <v>Recommended</v>
      </c>
      <c r="G1736" s="154" t="s">
        <v>11062</v>
      </c>
      <c r="H1736" s="154" t="s">
        <v>7838</v>
      </c>
      <c r="I1736" s="154" t="s">
        <v>11063</v>
      </c>
      <c r="J1736" s="154" t="s">
        <v>6956</v>
      </c>
      <c r="K1736" s="154" t="s">
        <v>11034</v>
      </c>
      <c r="L1736" s="154" t="s">
        <v>6529</v>
      </c>
      <c r="M1736" s="154"/>
      <c r="N1736" s="154" t="s">
        <v>759</v>
      </c>
      <c r="O1736" s="247" t="s">
        <v>516</v>
      </c>
      <c r="P1736" s="247" t="s">
        <v>6776</v>
      </c>
      <c r="Q1736" s="154" t="str">
        <f t="shared" si="1"/>
        <v>#ERROR!</v>
      </c>
      <c r="R1736" s="154" t="s">
        <v>66</v>
      </c>
      <c r="S1736" s="154" t="s">
        <v>66</v>
      </c>
      <c r="T1736" s="154" t="s">
        <v>64</v>
      </c>
      <c r="U1736" s="154" t="s">
        <v>64</v>
      </c>
      <c r="V1736" s="154" t="s">
        <v>64</v>
      </c>
      <c r="W1736" s="154" t="s">
        <v>64</v>
      </c>
      <c r="X1736" s="154" t="s">
        <v>66</v>
      </c>
      <c r="Y1736" s="154" t="s">
        <v>64</v>
      </c>
      <c r="Z1736" s="154" t="s">
        <v>64</v>
      </c>
      <c r="AA1736" s="154"/>
      <c r="AB1736" s="242" t="str">
        <f t="shared" si="2"/>
        <v>#ERROR!</v>
      </c>
      <c r="AC1736" s="154" t="s">
        <v>391</v>
      </c>
      <c r="AD1736" s="242" t="b">
        <f t="shared" si="3"/>
        <v>0</v>
      </c>
      <c r="AE1736" s="154"/>
      <c r="AF1736" s="242" t="str">
        <f t="shared" si="4"/>
        <v>#ERROR!</v>
      </c>
      <c r="AG1736" s="154"/>
      <c r="AH1736" s="242" t="str">
        <f>IF(AG1736="","N/A",INDIRECT("MTR!"&amp;ADDRESS(MATCH(LEFT(AG1736,9),[1]MTR!C:C,0),COLUMN(J1736)),TRUE) &amp; "")</f>
        <v>#ERROR!</v>
      </c>
      <c r="AI1736" s="157" t="str">
        <f t="shared" si="5"/>
        <v>#ERROR!</v>
      </c>
    </row>
    <row r="1737" ht="12.75" customHeight="1">
      <c r="A1737" s="244" t="s">
        <v>5158</v>
      </c>
      <c r="B1737" s="244" t="s">
        <v>231</v>
      </c>
      <c r="C1737" s="244" t="s">
        <v>11064</v>
      </c>
      <c r="D1737" s="154" t="s">
        <v>546</v>
      </c>
      <c r="E1737" s="154"/>
      <c r="F1737" s="154" t="str">
        <f t="array" ref="F1737">XLOOKUP(Cover!$D$12,$R$1:$Z$1,$R1737:$Z1737)</f>
        <v>Recommended</v>
      </c>
      <c r="G1737" s="154" t="s">
        <v>11065</v>
      </c>
      <c r="H1737" s="154" t="s">
        <v>1489</v>
      </c>
      <c r="I1737" s="154" t="s">
        <v>11063</v>
      </c>
      <c r="J1737" s="154" t="s">
        <v>6956</v>
      </c>
      <c r="K1737" s="154" t="s">
        <v>11034</v>
      </c>
      <c r="L1737" s="154" t="s">
        <v>6529</v>
      </c>
      <c r="M1737" s="154"/>
      <c r="N1737" s="154" t="s">
        <v>759</v>
      </c>
      <c r="O1737" s="247" t="s">
        <v>516</v>
      </c>
      <c r="P1737" s="247" t="s">
        <v>6776</v>
      </c>
      <c r="Q1737" s="154" t="str">
        <f t="shared" si="1"/>
        <v>#ERROR!</v>
      </c>
      <c r="R1737" s="154" t="s">
        <v>66</v>
      </c>
      <c r="S1737" s="154" t="s">
        <v>66</v>
      </c>
      <c r="T1737" s="154" t="s">
        <v>64</v>
      </c>
      <c r="U1737" s="154" t="s">
        <v>64</v>
      </c>
      <c r="V1737" s="154" t="s">
        <v>64</v>
      </c>
      <c r="W1737" s="154" t="s">
        <v>64</v>
      </c>
      <c r="X1737" s="154" t="s">
        <v>66</v>
      </c>
      <c r="Y1737" s="154" t="s">
        <v>64</v>
      </c>
      <c r="Z1737" s="154" t="s">
        <v>64</v>
      </c>
      <c r="AA1737" s="154"/>
      <c r="AB1737" s="242" t="str">
        <f t="shared" si="2"/>
        <v>#ERROR!</v>
      </c>
      <c r="AC1737" s="154" t="s">
        <v>391</v>
      </c>
      <c r="AD1737" s="242" t="b">
        <f t="shared" si="3"/>
        <v>0</v>
      </c>
      <c r="AE1737" s="154"/>
      <c r="AF1737" s="242" t="str">
        <f t="shared" si="4"/>
        <v>#ERROR!</v>
      </c>
      <c r="AG1737" s="154"/>
      <c r="AH1737" s="242" t="str">
        <f>IF(AG1737="","N/A",INDIRECT("MTR!"&amp;ADDRESS(MATCH(LEFT(AG1737,9),[1]MTR!C:C,0),COLUMN(J1737)),TRUE) &amp; "")</f>
        <v>#ERROR!</v>
      </c>
      <c r="AI1737" s="157" t="str">
        <f t="shared" si="5"/>
        <v>#ERROR!</v>
      </c>
    </row>
    <row r="1738" ht="12.75" customHeight="1">
      <c r="A1738" s="244" t="s">
        <v>5158</v>
      </c>
      <c r="B1738" s="244" t="s">
        <v>231</v>
      </c>
      <c r="C1738" s="244" t="s">
        <v>11066</v>
      </c>
      <c r="D1738" s="154" t="s">
        <v>546</v>
      </c>
      <c r="E1738" s="154"/>
      <c r="F1738" s="154" t="str">
        <f t="array" ref="F1738">XLOOKUP(Cover!$D$12,$R$1:$Z$1,$R1738:$Z1738)</f>
        <v>Recommended</v>
      </c>
      <c r="G1738" s="154" t="s">
        <v>11067</v>
      </c>
      <c r="H1738" s="154" t="s">
        <v>7892</v>
      </c>
      <c r="I1738" s="154" t="s">
        <v>11063</v>
      </c>
      <c r="J1738" s="154" t="s">
        <v>6956</v>
      </c>
      <c r="K1738" s="154" t="s">
        <v>11034</v>
      </c>
      <c r="L1738" s="154" t="s">
        <v>6529</v>
      </c>
      <c r="M1738" s="154"/>
      <c r="N1738" s="154" t="s">
        <v>759</v>
      </c>
      <c r="O1738" s="247" t="s">
        <v>516</v>
      </c>
      <c r="P1738" s="247" t="s">
        <v>6776</v>
      </c>
      <c r="Q1738" s="154" t="str">
        <f t="shared" si="1"/>
        <v>#ERROR!</v>
      </c>
      <c r="R1738" s="154" t="s">
        <v>66</v>
      </c>
      <c r="S1738" s="154" t="s">
        <v>66</v>
      </c>
      <c r="T1738" s="154" t="s">
        <v>64</v>
      </c>
      <c r="U1738" s="154" t="s">
        <v>64</v>
      </c>
      <c r="V1738" s="154" t="s">
        <v>64</v>
      </c>
      <c r="W1738" s="154" t="s">
        <v>64</v>
      </c>
      <c r="X1738" s="154" t="s">
        <v>66</v>
      </c>
      <c r="Y1738" s="154" t="s">
        <v>64</v>
      </c>
      <c r="Z1738" s="154" t="s">
        <v>64</v>
      </c>
      <c r="AA1738" s="154"/>
      <c r="AB1738" s="242" t="str">
        <f t="shared" si="2"/>
        <v>#ERROR!</v>
      </c>
      <c r="AC1738" s="154" t="s">
        <v>391</v>
      </c>
      <c r="AD1738" s="242" t="b">
        <f t="shared" si="3"/>
        <v>0</v>
      </c>
      <c r="AE1738" s="154"/>
      <c r="AF1738" s="242" t="str">
        <f t="shared" si="4"/>
        <v>#ERROR!</v>
      </c>
      <c r="AG1738" s="154"/>
      <c r="AH1738" s="242" t="str">
        <f>IF(AG1738="","N/A",INDIRECT("MTR!"&amp;ADDRESS(MATCH(LEFT(AG1738,9),[1]MTR!C:C,0),COLUMN(J1738)),TRUE) &amp; "")</f>
        <v>#ERROR!</v>
      </c>
      <c r="AI1738" s="157" t="str">
        <f t="shared" si="5"/>
        <v>#ERROR!</v>
      </c>
    </row>
    <row r="1739" ht="12.75" customHeight="1">
      <c r="A1739" s="244" t="s">
        <v>5158</v>
      </c>
      <c r="B1739" s="244" t="s">
        <v>231</v>
      </c>
      <c r="C1739" s="244" t="s">
        <v>11068</v>
      </c>
      <c r="D1739" s="154" t="s">
        <v>546</v>
      </c>
      <c r="E1739" s="154"/>
      <c r="F1739" s="154" t="str">
        <f t="array" ref="F1739">XLOOKUP(Cover!$D$12,$R$1:$Z$1,$R1739:$Z1739)</f>
        <v>Recommended</v>
      </c>
      <c r="G1739" s="154" t="s">
        <v>11069</v>
      </c>
      <c r="H1739" s="154" t="s">
        <v>8550</v>
      </c>
      <c r="I1739" s="154" t="s">
        <v>11063</v>
      </c>
      <c r="J1739" s="154" t="s">
        <v>6956</v>
      </c>
      <c r="K1739" s="154" t="s">
        <v>11034</v>
      </c>
      <c r="L1739" s="154" t="s">
        <v>6529</v>
      </c>
      <c r="M1739" s="154"/>
      <c r="N1739" s="154" t="s">
        <v>759</v>
      </c>
      <c r="O1739" s="247" t="s">
        <v>516</v>
      </c>
      <c r="P1739" s="247" t="s">
        <v>6776</v>
      </c>
      <c r="Q1739" s="154" t="str">
        <f t="shared" si="1"/>
        <v>#ERROR!</v>
      </c>
      <c r="R1739" s="154" t="s">
        <v>66</v>
      </c>
      <c r="S1739" s="154" t="s">
        <v>66</v>
      </c>
      <c r="T1739" s="154" t="s">
        <v>64</v>
      </c>
      <c r="U1739" s="154" t="s">
        <v>64</v>
      </c>
      <c r="V1739" s="154" t="s">
        <v>64</v>
      </c>
      <c r="W1739" s="154" t="s">
        <v>64</v>
      </c>
      <c r="X1739" s="154" t="s">
        <v>66</v>
      </c>
      <c r="Y1739" s="154" t="s">
        <v>64</v>
      </c>
      <c r="Z1739" s="154" t="s">
        <v>64</v>
      </c>
      <c r="AA1739" s="154"/>
      <c r="AB1739" s="242" t="str">
        <f t="shared" si="2"/>
        <v>#ERROR!</v>
      </c>
      <c r="AC1739" s="154" t="s">
        <v>391</v>
      </c>
      <c r="AD1739" s="242" t="b">
        <f t="shared" si="3"/>
        <v>0</v>
      </c>
      <c r="AE1739" s="154"/>
      <c r="AF1739" s="242" t="str">
        <f t="shared" si="4"/>
        <v>#ERROR!</v>
      </c>
      <c r="AG1739" s="154"/>
      <c r="AH1739" s="242" t="str">
        <f>IF(AG1739="","N/A",INDIRECT("MTR!"&amp;ADDRESS(MATCH(LEFT(AG1739,9),[1]MTR!C:C,0),COLUMN(J1739)),TRUE) &amp; "")</f>
        <v>#ERROR!</v>
      </c>
      <c r="AI1739" s="157" t="str">
        <f t="shared" si="5"/>
        <v>#ERROR!</v>
      </c>
    </row>
    <row r="1740" ht="12.75" customHeight="1">
      <c r="A1740" s="244" t="s">
        <v>5158</v>
      </c>
      <c r="B1740" s="244" t="s">
        <v>231</v>
      </c>
      <c r="C1740" s="244" t="s">
        <v>11070</v>
      </c>
      <c r="D1740" s="154" t="s">
        <v>546</v>
      </c>
      <c r="E1740" s="154"/>
      <c r="F1740" s="154" t="str">
        <f t="array" ref="F1740">XLOOKUP(Cover!$D$12,$R$1:$Z$1,$R1740:$Z1740)</f>
        <v>Recommended</v>
      </c>
      <c r="G1740" s="154" t="s">
        <v>11071</v>
      </c>
      <c r="H1740" s="154" t="s">
        <v>7850</v>
      </c>
      <c r="I1740" s="154" t="s">
        <v>11063</v>
      </c>
      <c r="J1740" s="154" t="s">
        <v>6956</v>
      </c>
      <c r="K1740" s="154" t="s">
        <v>11034</v>
      </c>
      <c r="L1740" s="154" t="s">
        <v>6529</v>
      </c>
      <c r="M1740" s="154"/>
      <c r="N1740" s="154" t="s">
        <v>759</v>
      </c>
      <c r="O1740" s="247" t="s">
        <v>516</v>
      </c>
      <c r="P1740" s="247" t="s">
        <v>6776</v>
      </c>
      <c r="Q1740" s="154" t="str">
        <f t="shared" si="1"/>
        <v>#ERROR!</v>
      </c>
      <c r="R1740" s="154" t="s">
        <v>66</v>
      </c>
      <c r="S1740" s="154" t="s">
        <v>66</v>
      </c>
      <c r="T1740" s="154" t="s">
        <v>64</v>
      </c>
      <c r="U1740" s="154" t="s">
        <v>64</v>
      </c>
      <c r="V1740" s="154" t="s">
        <v>64</v>
      </c>
      <c r="W1740" s="154" t="s">
        <v>64</v>
      </c>
      <c r="X1740" s="154" t="s">
        <v>66</v>
      </c>
      <c r="Y1740" s="154" t="s">
        <v>64</v>
      </c>
      <c r="Z1740" s="154" t="s">
        <v>64</v>
      </c>
      <c r="AA1740" s="154"/>
      <c r="AB1740" s="242" t="str">
        <f t="shared" si="2"/>
        <v>#ERROR!</v>
      </c>
      <c r="AC1740" s="154" t="s">
        <v>391</v>
      </c>
      <c r="AD1740" s="242" t="b">
        <f t="shared" si="3"/>
        <v>0</v>
      </c>
      <c r="AE1740" s="154"/>
      <c r="AF1740" s="242" t="str">
        <f t="shared" si="4"/>
        <v>#ERROR!</v>
      </c>
      <c r="AG1740" s="154"/>
      <c r="AH1740" s="242" t="str">
        <f>IF(AG1740="","N/A",INDIRECT("MTR!"&amp;ADDRESS(MATCH(LEFT(AG1740,9),[1]MTR!C:C,0),COLUMN(J1740)),TRUE) &amp; "")</f>
        <v>#ERROR!</v>
      </c>
      <c r="AI1740" s="157" t="str">
        <f t="shared" si="5"/>
        <v>#ERROR!</v>
      </c>
    </row>
    <row r="1741" ht="12.75" customHeight="1">
      <c r="A1741" s="244" t="s">
        <v>5158</v>
      </c>
      <c r="B1741" s="244" t="s">
        <v>231</v>
      </c>
      <c r="C1741" s="244" t="s">
        <v>11072</v>
      </c>
      <c r="D1741" s="154" t="s">
        <v>546</v>
      </c>
      <c r="E1741" s="154"/>
      <c r="F1741" s="154" t="str">
        <f t="array" ref="F1741">XLOOKUP(Cover!$D$12,$R$1:$Z$1,$R1741:$Z1741)</f>
        <v>Recommended</v>
      </c>
      <c r="G1741" s="154" t="s">
        <v>11073</v>
      </c>
      <c r="H1741" s="154" t="s">
        <v>8519</v>
      </c>
      <c r="I1741" s="154" t="s">
        <v>11063</v>
      </c>
      <c r="J1741" s="154" t="s">
        <v>6956</v>
      </c>
      <c r="K1741" s="154" t="s">
        <v>11034</v>
      </c>
      <c r="L1741" s="154" t="s">
        <v>6529</v>
      </c>
      <c r="M1741" s="154"/>
      <c r="N1741" s="154" t="s">
        <v>759</v>
      </c>
      <c r="O1741" s="247" t="s">
        <v>516</v>
      </c>
      <c r="P1741" s="247" t="s">
        <v>6776</v>
      </c>
      <c r="Q1741" s="154" t="str">
        <f t="shared" si="1"/>
        <v>#ERROR!</v>
      </c>
      <c r="R1741" s="154" t="s">
        <v>66</v>
      </c>
      <c r="S1741" s="154" t="s">
        <v>66</v>
      </c>
      <c r="T1741" s="154" t="s">
        <v>64</v>
      </c>
      <c r="U1741" s="154" t="s">
        <v>64</v>
      </c>
      <c r="V1741" s="154" t="s">
        <v>64</v>
      </c>
      <c r="W1741" s="154" t="s">
        <v>64</v>
      </c>
      <c r="X1741" s="154" t="s">
        <v>66</v>
      </c>
      <c r="Y1741" s="154" t="s">
        <v>64</v>
      </c>
      <c r="Z1741" s="154" t="s">
        <v>64</v>
      </c>
      <c r="AA1741" s="154"/>
      <c r="AB1741" s="242" t="str">
        <f t="shared" si="2"/>
        <v>#ERROR!</v>
      </c>
      <c r="AC1741" s="154" t="s">
        <v>391</v>
      </c>
      <c r="AD1741" s="242" t="b">
        <f t="shared" si="3"/>
        <v>0</v>
      </c>
      <c r="AE1741" s="154"/>
      <c r="AF1741" s="242" t="str">
        <f t="shared" si="4"/>
        <v>#ERROR!</v>
      </c>
      <c r="AG1741" s="154"/>
      <c r="AH1741" s="242" t="str">
        <f>IF(AG1741="","N/A",INDIRECT("MTR!"&amp;ADDRESS(MATCH(LEFT(AG1741,9),[1]MTR!C:C,0),COLUMN(J1741)),TRUE) &amp; "")</f>
        <v>#ERROR!</v>
      </c>
      <c r="AI1741" s="157" t="str">
        <f t="shared" si="5"/>
        <v>#ERROR!</v>
      </c>
    </row>
    <row r="1742" ht="12.75" customHeight="1">
      <c r="A1742" s="238" t="s">
        <v>5158</v>
      </c>
      <c r="B1742" s="238" t="s">
        <v>231</v>
      </c>
      <c r="C1742" s="238" t="s">
        <v>11074</v>
      </c>
      <c r="D1742" s="240"/>
      <c r="E1742" s="240" t="s">
        <v>92</v>
      </c>
      <c r="F1742" s="240" t="str">
        <f t="array" ref="F1742">XLOOKUP(Cover!$D$12,$R$1:$Z$1,$R1742:$Z1742)</f>
        <v>Heading</v>
      </c>
      <c r="G1742" s="239" t="s">
        <v>11075</v>
      </c>
      <c r="H1742" s="240"/>
      <c r="I1742" s="240"/>
      <c r="J1742" s="240"/>
      <c r="K1742" s="240"/>
      <c r="L1742" s="240"/>
      <c r="M1742" s="240"/>
      <c r="N1742" s="240" t="s">
        <v>759</v>
      </c>
      <c r="O1742" s="240"/>
      <c r="P1742" s="240"/>
      <c r="Q1742" s="240" t="str">
        <f t="shared" si="1"/>
        <v/>
      </c>
      <c r="R1742" s="240" t="s">
        <v>390</v>
      </c>
      <c r="S1742" s="240" t="s">
        <v>390</v>
      </c>
      <c r="T1742" s="240" t="s">
        <v>390</v>
      </c>
      <c r="U1742" s="240" t="s">
        <v>390</v>
      </c>
      <c r="V1742" s="240" t="s">
        <v>390</v>
      </c>
      <c r="W1742" s="240" t="s">
        <v>390</v>
      </c>
      <c r="X1742" s="240" t="s">
        <v>390</v>
      </c>
      <c r="Y1742" s="240" t="s">
        <v>390</v>
      </c>
      <c r="Z1742" s="240" t="s">
        <v>390</v>
      </c>
      <c r="AA1742" s="240"/>
      <c r="AB1742" s="242" t="str">
        <f t="shared" si="2"/>
        <v>#ERROR!</v>
      </c>
      <c r="AC1742" s="240" t="s">
        <v>391</v>
      </c>
      <c r="AD1742" s="242" t="b">
        <f t="shared" si="3"/>
        <v>0</v>
      </c>
      <c r="AE1742" s="240"/>
      <c r="AF1742" s="242" t="str">
        <f t="shared" si="4"/>
        <v>#ERROR!</v>
      </c>
      <c r="AG1742" s="240"/>
      <c r="AH1742" s="242" t="str">
        <f>IF(AG1742="","N/A",INDIRECT("MTR!"&amp;ADDRESS(MATCH(LEFT(AG1742,9),[1]MTR!C:C,0),COLUMN(J1742)),TRUE) &amp; "")</f>
        <v>#ERROR!</v>
      </c>
      <c r="AI1742" s="157" t="str">
        <f t="shared" si="5"/>
        <v/>
      </c>
    </row>
    <row r="1743" ht="12.75" customHeight="1">
      <c r="A1743" s="244" t="s">
        <v>5158</v>
      </c>
      <c r="B1743" s="244" t="s">
        <v>231</v>
      </c>
      <c r="C1743" s="244" t="s">
        <v>11076</v>
      </c>
      <c r="D1743" s="154" t="s">
        <v>542</v>
      </c>
      <c r="E1743" s="154"/>
      <c r="F1743" s="154" t="str">
        <f t="array" ref="F1743">XLOOKUP(Cover!$D$12,$R$1:$Z$1,$R1743:$Z1743)</f>
        <v>Recommended</v>
      </c>
      <c r="G1743" s="154" t="s">
        <v>11077</v>
      </c>
      <c r="H1743" s="154" t="s">
        <v>7834</v>
      </c>
      <c r="I1743" s="154" t="s">
        <v>11078</v>
      </c>
      <c r="J1743" s="154" t="s">
        <v>5730</v>
      </c>
      <c r="K1743" s="154" t="s">
        <v>11079</v>
      </c>
      <c r="L1743" s="154" t="s">
        <v>6525</v>
      </c>
      <c r="M1743" s="154"/>
      <c r="N1743" s="154" t="s">
        <v>759</v>
      </c>
      <c r="O1743" s="247" t="s">
        <v>516</v>
      </c>
      <c r="P1743" s="247" t="s">
        <v>11080</v>
      </c>
      <c r="Q1743" s="154" t="str">
        <f t="shared" si="1"/>
        <v>#ERROR!</v>
      </c>
      <c r="R1743" s="154" t="s">
        <v>66</v>
      </c>
      <c r="S1743" s="154" t="s">
        <v>66</v>
      </c>
      <c r="T1743" s="154" t="s">
        <v>64</v>
      </c>
      <c r="U1743" s="154" t="s">
        <v>64</v>
      </c>
      <c r="V1743" s="154" t="s">
        <v>64</v>
      </c>
      <c r="W1743" s="154" t="s">
        <v>64</v>
      </c>
      <c r="X1743" s="154" t="s">
        <v>66</v>
      </c>
      <c r="Y1743" s="154" t="s">
        <v>64</v>
      </c>
      <c r="Z1743" s="154" t="s">
        <v>64</v>
      </c>
      <c r="AA1743" s="154"/>
      <c r="AB1743" s="242" t="str">
        <f t="shared" si="2"/>
        <v>#ERROR!</v>
      </c>
      <c r="AC1743" s="154" t="s">
        <v>391</v>
      </c>
      <c r="AD1743" s="242" t="b">
        <f t="shared" si="3"/>
        <v>0</v>
      </c>
      <c r="AE1743" s="154"/>
      <c r="AF1743" s="242" t="str">
        <f t="shared" si="4"/>
        <v>#ERROR!</v>
      </c>
      <c r="AG1743" s="154"/>
      <c r="AH1743" s="242" t="str">
        <f>IF(AG1743="","N/A",INDIRECT("MTR!"&amp;ADDRESS(MATCH(LEFT(AG1743,9),[1]MTR!C:C,0),COLUMN(J1743)),TRUE) &amp; "")</f>
        <v>#ERROR!</v>
      </c>
      <c r="AI1743" s="157" t="str">
        <f t="shared" si="5"/>
        <v>#ERROR!</v>
      </c>
    </row>
    <row r="1744" ht="12.75" customHeight="1">
      <c r="A1744" s="244" t="s">
        <v>5158</v>
      </c>
      <c r="B1744" s="244" t="s">
        <v>231</v>
      </c>
      <c r="C1744" s="244" t="s">
        <v>11081</v>
      </c>
      <c r="D1744" s="154" t="s">
        <v>542</v>
      </c>
      <c r="E1744" s="154"/>
      <c r="F1744" s="154" t="str">
        <f t="array" ref="F1744">XLOOKUP(Cover!$D$12,$R$1:$Z$1,$R1744:$Z1744)</f>
        <v>Recommended</v>
      </c>
      <c r="G1744" s="154" t="s">
        <v>11082</v>
      </c>
      <c r="H1744" s="154" t="s">
        <v>9002</v>
      </c>
      <c r="I1744" s="154" t="s">
        <v>11078</v>
      </c>
      <c r="J1744" s="154" t="s">
        <v>5730</v>
      </c>
      <c r="K1744" s="154" t="s">
        <v>11079</v>
      </c>
      <c r="L1744" s="154" t="s">
        <v>6525</v>
      </c>
      <c r="M1744" s="154"/>
      <c r="N1744" s="154" t="s">
        <v>759</v>
      </c>
      <c r="O1744" s="247" t="s">
        <v>445</v>
      </c>
      <c r="P1744" s="247" t="s">
        <v>89</v>
      </c>
      <c r="Q1744" s="154" t="str">
        <f t="shared" si="1"/>
        <v>#ERROR!</v>
      </c>
      <c r="R1744" s="154" t="s">
        <v>66</v>
      </c>
      <c r="S1744" s="154" t="s">
        <v>66</v>
      </c>
      <c r="T1744" s="154" t="s">
        <v>64</v>
      </c>
      <c r="U1744" s="154" t="s">
        <v>64</v>
      </c>
      <c r="V1744" s="154" t="s">
        <v>64</v>
      </c>
      <c r="W1744" s="154" t="s">
        <v>64</v>
      </c>
      <c r="X1744" s="154" t="s">
        <v>66</v>
      </c>
      <c r="Y1744" s="154" t="s">
        <v>64</v>
      </c>
      <c r="Z1744" s="154" t="s">
        <v>64</v>
      </c>
      <c r="AA1744" s="154"/>
      <c r="AB1744" s="242" t="str">
        <f t="shared" si="2"/>
        <v>#ERROR!</v>
      </c>
      <c r="AC1744" s="154" t="s">
        <v>391</v>
      </c>
      <c r="AD1744" s="242" t="b">
        <f t="shared" si="3"/>
        <v>0</v>
      </c>
      <c r="AE1744" s="154"/>
      <c r="AF1744" s="242" t="str">
        <f t="shared" si="4"/>
        <v>#ERROR!</v>
      </c>
      <c r="AG1744" s="154"/>
      <c r="AH1744" s="242" t="str">
        <f>IF(AG1744="","N/A",INDIRECT("MTR!"&amp;ADDRESS(MATCH(LEFT(AG1744,9),[1]MTR!C:C,0),COLUMN(J1744)),TRUE) &amp; "")</f>
        <v>#ERROR!</v>
      </c>
      <c r="AI1744" s="157" t="str">
        <f t="shared" si="5"/>
        <v>#ERROR!</v>
      </c>
    </row>
    <row r="1745" ht="12.75" customHeight="1">
      <c r="A1745" s="244" t="s">
        <v>5158</v>
      </c>
      <c r="B1745" s="244" t="s">
        <v>231</v>
      </c>
      <c r="C1745" s="244" t="s">
        <v>11083</v>
      </c>
      <c r="D1745" s="154" t="s">
        <v>542</v>
      </c>
      <c r="E1745" s="154"/>
      <c r="F1745" s="154" t="str">
        <f t="array" ref="F1745">XLOOKUP(Cover!$D$12,$R$1:$Z$1,$R1745:$Z1745)</f>
        <v>Recommended</v>
      </c>
      <c r="G1745" s="154" t="s">
        <v>11084</v>
      </c>
      <c r="H1745" s="154" t="s">
        <v>7838</v>
      </c>
      <c r="I1745" s="154" t="s">
        <v>11085</v>
      </c>
      <c r="J1745" s="154" t="s">
        <v>5782</v>
      </c>
      <c r="K1745" s="154" t="s">
        <v>11079</v>
      </c>
      <c r="L1745" s="154" t="s">
        <v>6525</v>
      </c>
      <c r="M1745" s="154"/>
      <c r="N1745" s="154" t="s">
        <v>759</v>
      </c>
      <c r="O1745" s="247" t="s">
        <v>516</v>
      </c>
      <c r="P1745" s="247" t="s">
        <v>11086</v>
      </c>
      <c r="Q1745" s="154" t="str">
        <f t="shared" si="1"/>
        <v>#ERROR!</v>
      </c>
      <c r="R1745" s="154" t="s">
        <v>66</v>
      </c>
      <c r="S1745" s="154" t="s">
        <v>66</v>
      </c>
      <c r="T1745" s="154" t="s">
        <v>64</v>
      </c>
      <c r="U1745" s="154" t="s">
        <v>64</v>
      </c>
      <c r="V1745" s="154" t="s">
        <v>64</v>
      </c>
      <c r="W1745" s="154" t="s">
        <v>64</v>
      </c>
      <c r="X1745" s="154" t="s">
        <v>66</v>
      </c>
      <c r="Y1745" s="154" t="s">
        <v>64</v>
      </c>
      <c r="Z1745" s="154" t="s">
        <v>64</v>
      </c>
      <c r="AA1745" s="154"/>
      <c r="AB1745" s="242" t="str">
        <f t="shared" si="2"/>
        <v>#ERROR!</v>
      </c>
      <c r="AC1745" s="154" t="s">
        <v>391</v>
      </c>
      <c r="AD1745" s="242" t="b">
        <f t="shared" si="3"/>
        <v>0</v>
      </c>
      <c r="AE1745" s="154"/>
      <c r="AF1745" s="242" t="str">
        <f t="shared" si="4"/>
        <v>#ERROR!</v>
      </c>
      <c r="AG1745" s="154"/>
      <c r="AH1745" s="242" t="str">
        <f>IF(AG1745="","N/A",INDIRECT("MTR!"&amp;ADDRESS(MATCH(LEFT(AG1745,9),[1]MTR!C:C,0),COLUMN(J1745)),TRUE) &amp; "")</f>
        <v>#ERROR!</v>
      </c>
      <c r="AI1745" s="157" t="str">
        <f t="shared" si="5"/>
        <v>#ERROR!</v>
      </c>
    </row>
    <row r="1746" ht="12.75" customHeight="1">
      <c r="A1746" s="244" t="s">
        <v>5158</v>
      </c>
      <c r="B1746" s="244" t="s">
        <v>231</v>
      </c>
      <c r="C1746" s="244" t="s">
        <v>11087</v>
      </c>
      <c r="D1746" s="154" t="s">
        <v>542</v>
      </c>
      <c r="E1746" s="154"/>
      <c r="F1746" s="154" t="str">
        <f t="array" ref="F1746">XLOOKUP(Cover!$D$12,$R$1:$Z$1,$R1746:$Z1746)</f>
        <v>Recommended</v>
      </c>
      <c r="G1746" s="154" t="s">
        <v>11088</v>
      </c>
      <c r="H1746" s="154" t="s">
        <v>9006</v>
      </c>
      <c r="I1746" s="154" t="s">
        <v>11085</v>
      </c>
      <c r="J1746" s="154" t="s">
        <v>5782</v>
      </c>
      <c r="K1746" s="154" t="s">
        <v>11079</v>
      </c>
      <c r="L1746" s="154" t="s">
        <v>6525</v>
      </c>
      <c r="M1746" s="154"/>
      <c r="N1746" s="154" t="s">
        <v>759</v>
      </c>
      <c r="O1746" s="247" t="s">
        <v>445</v>
      </c>
      <c r="P1746" s="247" t="s">
        <v>89</v>
      </c>
      <c r="Q1746" s="154" t="str">
        <f t="shared" si="1"/>
        <v>#ERROR!</v>
      </c>
      <c r="R1746" s="154" t="s">
        <v>66</v>
      </c>
      <c r="S1746" s="154" t="s">
        <v>66</v>
      </c>
      <c r="T1746" s="154" t="s">
        <v>64</v>
      </c>
      <c r="U1746" s="154" t="s">
        <v>64</v>
      </c>
      <c r="V1746" s="154" t="s">
        <v>64</v>
      </c>
      <c r="W1746" s="154" t="s">
        <v>64</v>
      </c>
      <c r="X1746" s="154" t="s">
        <v>66</v>
      </c>
      <c r="Y1746" s="154" t="s">
        <v>64</v>
      </c>
      <c r="Z1746" s="154" t="s">
        <v>64</v>
      </c>
      <c r="AA1746" s="154"/>
      <c r="AB1746" s="242" t="str">
        <f t="shared" si="2"/>
        <v>#ERROR!</v>
      </c>
      <c r="AC1746" s="154" t="s">
        <v>391</v>
      </c>
      <c r="AD1746" s="242" t="b">
        <f t="shared" si="3"/>
        <v>0</v>
      </c>
      <c r="AE1746" s="154"/>
      <c r="AF1746" s="242" t="str">
        <f t="shared" si="4"/>
        <v>#ERROR!</v>
      </c>
      <c r="AG1746" s="154"/>
      <c r="AH1746" s="242" t="str">
        <f>IF(AG1746="","N/A",INDIRECT("MTR!"&amp;ADDRESS(MATCH(LEFT(AG1746,9),[1]MTR!C:C,0),COLUMN(J1746)),TRUE) &amp; "")</f>
        <v>#ERROR!</v>
      </c>
      <c r="AI1746" s="157" t="str">
        <f t="shared" si="5"/>
        <v>#ERROR!</v>
      </c>
    </row>
    <row r="1747" ht="12.75" customHeight="1">
      <c r="A1747" s="244" t="s">
        <v>5158</v>
      </c>
      <c r="B1747" s="244" t="s">
        <v>231</v>
      </c>
      <c r="C1747" s="244" t="s">
        <v>11089</v>
      </c>
      <c r="D1747" s="154" t="s">
        <v>781</v>
      </c>
      <c r="E1747" s="154"/>
      <c r="F1747" s="154" t="str">
        <f t="array" ref="F1747">XLOOKUP(Cover!$D$12,$R$1:$Z$1,$R1747:$Z1747)</f>
        <v>Information</v>
      </c>
      <c r="G1747" s="154" t="s">
        <v>11090</v>
      </c>
      <c r="H1747" s="154" t="s">
        <v>7844</v>
      </c>
      <c r="I1747" s="154" t="s">
        <v>11091</v>
      </c>
      <c r="J1747" s="154" t="s">
        <v>5830</v>
      </c>
      <c r="K1747" s="154" t="s">
        <v>11079</v>
      </c>
      <c r="L1747" s="154" t="s">
        <v>6140</v>
      </c>
      <c r="M1747" s="154"/>
      <c r="N1747" s="154" t="s">
        <v>759</v>
      </c>
      <c r="O1747" s="247" t="s">
        <v>516</v>
      </c>
      <c r="P1747" s="247" t="s">
        <v>10352</v>
      </c>
      <c r="Q1747" s="154" t="str">
        <f t="shared" si="1"/>
        <v>#ERROR!</v>
      </c>
      <c r="R1747" s="154" t="s">
        <v>66</v>
      </c>
      <c r="S1747" s="154" t="s">
        <v>66</v>
      </c>
      <c r="T1747" s="154" t="s">
        <v>66</v>
      </c>
      <c r="U1747" s="154" t="s">
        <v>66</v>
      </c>
      <c r="V1747" s="154" t="s">
        <v>66</v>
      </c>
      <c r="W1747" s="154" t="s">
        <v>66</v>
      </c>
      <c r="X1747" s="154" t="s">
        <v>66</v>
      </c>
      <c r="Y1747" s="154" t="s">
        <v>66</v>
      </c>
      <c r="Z1747" s="154" t="s">
        <v>66</v>
      </c>
      <c r="AA1747" s="154"/>
      <c r="AB1747" s="242" t="str">
        <f t="shared" si="2"/>
        <v>#ERROR!</v>
      </c>
      <c r="AC1747" s="154" t="s">
        <v>391</v>
      </c>
      <c r="AD1747" s="242" t="b">
        <f t="shared" si="3"/>
        <v>0</v>
      </c>
      <c r="AE1747" s="154"/>
      <c r="AF1747" s="242" t="str">
        <f t="shared" si="4"/>
        <v>#ERROR!</v>
      </c>
      <c r="AG1747" s="154"/>
      <c r="AH1747" s="242" t="str">
        <f>IF(AG1747="","N/A",INDIRECT("MTR!"&amp;ADDRESS(MATCH(LEFT(AG1747,9),[1]MTR!C:C,0),COLUMN(J1747)),TRUE) &amp; "")</f>
        <v>#ERROR!</v>
      </c>
      <c r="AI1747" s="157" t="str">
        <f t="shared" si="5"/>
        <v>#ERROR!</v>
      </c>
    </row>
    <row r="1748" ht="12.75" customHeight="1">
      <c r="A1748" s="244" t="s">
        <v>5158</v>
      </c>
      <c r="B1748" s="244" t="s">
        <v>231</v>
      </c>
      <c r="C1748" s="244" t="s">
        <v>11092</v>
      </c>
      <c r="D1748" s="154" t="s">
        <v>781</v>
      </c>
      <c r="E1748" s="154"/>
      <c r="F1748" s="154" t="str">
        <f t="array" ref="F1748">XLOOKUP(Cover!$D$12,$R$1:$Z$1,$R1748:$Z1748)</f>
        <v>Information</v>
      </c>
      <c r="G1748" s="154" t="s">
        <v>11093</v>
      </c>
      <c r="H1748" s="154" t="s">
        <v>9009</v>
      </c>
      <c r="I1748" s="154" t="s">
        <v>11091</v>
      </c>
      <c r="J1748" s="154" t="s">
        <v>5830</v>
      </c>
      <c r="K1748" s="154" t="s">
        <v>11079</v>
      </c>
      <c r="L1748" s="154" t="s">
        <v>6140</v>
      </c>
      <c r="M1748" s="154"/>
      <c r="N1748" s="154" t="s">
        <v>759</v>
      </c>
      <c r="O1748" s="247" t="s">
        <v>445</v>
      </c>
      <c r="P1748" s="247" t="s">
        <v>6772</v>
      </c>
      <c r="Q1748" s="154" t="str">
        <f t="shared" si="1"/>
        <v>#ERROR!</v>
      </c>
      <c r="R1748" s="154" t="s">
        <v>66</v>
      </c>
      <c r="S1748" s="154" t="s">
        <v>66</v>
      </c>
      <c r="T1748" s="154" t="s">
        <v>66</v>
      </c>
      <c r="U1748" s="154" t="s">
        <v>66</v>
      </c>
      <c r="V1748" s="154" t="s">
        <v>66</v>
      </c>
      <c r="W1748" s="154" t="s">
        <v>66</v>
      </c>
      <c r="X1748" s="154" t="s">
        <v>66</v>
      </c>
      <c r="Y1748" s="154" t="s">
        <v>66</v>
      </c>
      <c r="Z1748" s="154" t="s">
        <v>66</v>
      </c>
      <c r="AA1748" s="154"/>
      <c r="AB1748" s="242" t="str">
        <f t="shared" si="2"/>
        <v>#ERROR!</v>
      </c>
      <c r="AC1748" s="154" t="s">
        <v>391</v>
      </c>
      <c r="AD1748" s="242" t="b">
        <f t="shared" si="3"/>
        <v>0</v>
      </c>
      <c r="AE1748" s="154"/>
      <c r="AF1748" s="242" t="str">
        <f t="shared" si="4"/>
        <v>#ERROR!</v>
      </c>
      <c r="AG1748" s="154"/>
      <c r="AH1748" s="242" t="str">
        <f>IF(AG1748="","N/A",INDIRECT("MTR!"&amp;ADDRESS(MATCH(LEFT(AG1748,9),[1]MTR!C:C,0),COLUMN(J1748)),TRUE) &amp; "")</f>
        <v>#ERROR!</v>
      </c>
      <c r="AI1748" s="157" t="str">
        <f t="shared" si="5"/>
        <v>#ERROR!</v>
      </c>
    </row>
    <row r="1749" ht="12.75" customHeight="1">
      <c r="A1749" s="244" t="s">
        <v>5158</v>
      </c>
      <c r="B1749" s="244" t="s">
        <v>231</v>
      </c>
      <c r="C1749" s="244" t="s">
        <v>11094</v>
      </c>
      <c r="D1749" s="154" t="s">
        <v>1069</v>
      </c>
      <c r="E1749" s="154"/>
      <c r="F1749" s="154" t="str">
        <f t="array" ref="F1749">XLOOKUP(Cover!$D$12,$R$1:$Z$1,$R1749:$Z1749)</f>
        <v>Recommended</v>
      </c>
      <c r="G1749" s="154" t="s">
        <v>11095</v>
      </c>
      <c r="H1749" s="154" t="s">
        <v>7850</v>
      </c>
      <c r="I1749" s="154" t="s">
        <v>11096</v>
      </c>
      <c r="J1749" s="154" t="s">
        <v>5897</v>
      </c>
      <c r="K1749" s="154" t="s">
        <v>11079</v>
      </c>
      <c r="L1749" s="154" t="s">
        <v>5927</v>
      </c>
      <c r="M1749" s="154"/>
      <c r="N1749" s="154" t="s">
        <v>759</v>
      </c>
      <c r="O1749" s="247" t="s">
        <v>445</v>
      </c>
      <c r="P1749" s="247" t="s">
        <v>6772</v>
      </c>
      <c r="Q1749" s="154" t="str">
        <f t="shared" si="1"/>
        <v>#ERROR!</v>
      </c>
      <c r="R1749" s="154" t="s">
        <v>66</v>
      </c>
      <c r="S1749" s="154" t="s">
        <v>66</v>
      </c>
      <c r="T1749" s="154" t="s">
        <v>64</v>
      </c>
      <c r="U1749" s="154" t="s">
        <v>64</v>
      </c>
      <c r="V1749" s="154" t="s">
        <v>64</v>
      </c>
      <c r="W1749" s="154" t="s">
        <v>64</v>
      </c>
      <c r="X1749" s="154" t="s">
        <v>66</v>
      </c>
      <c r="Y1749" s="154" t="s">
        <v>64</v>
      </c>
      <c r="Z1749" s="154" t="s">
        <v>64</v>
      </c>
      <c r="AA1749" s="154"/>
      <c r="AB1749" s="242" t="str">
        <f t="shared" si="2"/>
        <v>#ERROR!</v>
      </c>
      <c r="AC1749" s="154" t="s">
        <v>391</v>
      </c>
      <c r="AD1749" s="242" t="b">
        <f t="shared" si="3"/>
        <v>0</v>
      </c>
      <c r="AE1749" s="154"/>
      <c r="AF1749" s="242" t="str">
        <f t="shared" si="4"/>
        <v>#ERROR!</v>
      </c>
      <c r="AG1749" s="154"/>
      <c r="AH1749" s="242" t="str">
        <f>IF(AG1749="","N/A",INDIRECT("MTR!"&amp;ADDRESS(MATCH(LEFT(AG1749,9),[1]MTR!C:C,0),COLUMN(J1749)),TRUE) &amp; "")</f>
        <v>#ERROR!</v>
      </c>
      <c r="AI1749" s="157" t="str">
        <f t="shared" si="5"/>
        <v>#ERROR!</v>
      </c>
    </row>
    <row r="1750" ht="12.75" customHeight="1">
      <c r="A1750" s="244" t="s">
        <v>5158</v>
      </c>
      <c r="B1750" s="244" t="s">
        <v>231</v>
      </c>
      <c r="C1750" s="244" t="s">
        <v>11097</v>
      </c>
      <c r="D1750" s="154" t="s">
        <v>1069</v>
      </c>
      <c r="E1750" s="154"/>
      <c r="F1750" s="154" t="str">
        <f t="array" ref="F1750">XLOOKUP(Cover!$D$12,$R$1:$Z$1,$R1750:$Z1750)</f>
        <v>Recommended</v>
      </c>
      <c r="G1750" s="154" t="s">
        <v>11098</v>
      </c>
      <c r="H1750" s="154" t="s">
        <v>9015</v>
      </c>
      <c r="I1750" s="154" t="s">
        <v>11096</v>
      </c>
      <c r="J1750" s="154" t="s">
        <v>5897</v>
      </c>
      <c r="K1750" s="154" t="s">
        <v>11079</v>
      </c>
      <c r="L1750" s="154" t="s">
        <v>5927</v>
      </c>
      <c r="M1750" s="154"/>
      <c r="N1750" s="154" t="s">
        <v>759</v>
      </c>
      <c r="O1750" s="247" t="s">
        <v>445</v>
      </c>
      <c r="P1750" s="247" t="s">
        <v>6772</v>
      </c>
      <c r="Q1750" s="154" t="str">
        <f t="shared" si="1"/>
        <v>#ERROR!</v>
      </c>
      <c r="R1750" s="154" t="s">
        <v>66</v>
      </c>
      <c r="S1750" s="154" t="s">
        <v>66</v>
      </c>
      <c r="T1750" s="154" t="s">
        <v>64</v>
      </c>
      <c r="U1750" s="154" t="s">
        <v>64</v>
      </c>
      <c r="V1750" s="154" t="s">
        <v>64</v>
      </c>
      <c r="W1750" s="154" t="s">
        <v>64</v>
      </c>
      <c r="X1750" s="154" t="s">
        <v>66</v>
      </c>
      <c r="Y1750" s="154" t="s">
        <v>64</v>
      </c>
      <c r="Z1750" s="154" t="s">
        <v>64</v>
      </c>
      <c r="AA1750" s="154"/>
      <c r="AB1750" s="242" t="str">
        <f t="shared" si="2"/>
        <v>#ERROR!</v>
      </c>
      <c r="AC1750" s="154" t="s">
        <v>391</v>
      </c>
      <c r="AD1750" s="242" t="b">
        <f t="shared" si="3"/>
        <v>0</v>
      </c>
      <c r="AE1750" s="154"/>
      <c r="AF1750" s="242" t="str">
        <f t="shared" si="4"/>
        <v>#ERROR!</v>
      </c>
      <c r="AG1750" s="154"/>
      <c r="AH1750" s="242" t="str">
        <f>IF(AG1750="","N/A",INDIRECT("MTR!"&amp;ADDRESS(MATCH(LEFT(AG1750,9),[1]MTR!C:C,0),COLUMN(J1750)),TRUE) &amp; "")</f>
        <v>#ERROR!</v>
      </c>
      <c r="AI1750" s="157" t="str">
        <f t="shared" si="5"/>
        <v>#ERROR!</v>
      </c>
    </row>
    <row r="1751" ht="12.75" customHeight="1">
      <c r="A1751" s="244" t="s">
        <v>5158</v>
      </c>
      <c r="B1751" s="244" t="s">
        <v>231</v>
      </c>
      <c r="C1751" s="244" t="s">
        <v>11099</v>
      </c>
      <c r="D1751" s="154" t="s">
        <v>781</v>
      </c>
      <c r="E1751" s="154"/>
      <c r="F1751" s="154" t="str">
        <f t="array" ref="F1751">XLOOKUP(Cover!$D$12,$R$1:$Z$1,$R1751:$Z1751)</f>
        <v>Information</v>
      </c>
      <c r="G1751" s="154" t="s">
        <v>11100</v>
      </c>
      <c r="H1751" s="154" t="s">
        <v>7853</v>
      </c>
      <c r="I1751" s="154" t="s">
        <v>11101</v>
      </c>
      <c r="J1751" s="154" t="s">
        <v>5903</v>
      </c>
      <c r="K1751" s="154" t="s">
        <v>11079</v>
      </c>
      <c r="L1751" s="154" t="s">
        <v>6942</v>
      </c>
      <c r="M1751" s="154"/>
      <c r="N1751" s="154" t="s">
        <v>759</v>
      </c>
      <c r="O1751" s="247" t="s">
        <v>445</v>
      </c>
      <c r="P1751" s="247" t="s">
        <v>6772</v>
      </c>
      <c r="Q1751" s="154" t="str">
        <f t="shared" si="1"/>
        <v>#ERROR!</v>
      </c>
      <c r="R1751" s="154" t="s">
        <v>66</v>
      </c>
      <c r="S1751" s="154" t="s">
        <v>66</v>
      </c>
      <c r="T1751" s="154" t="s">
        <v>66</v>
      </c>
      <c r="U1751" s="154" t="s">
        <v>66</v>
      </c>
      <c r="V1751" s="154" t="s">
        <v>66</v>
      </c>
      <c r="W1751" s="154" t="s">
        <v>66</v>
      </c>
      <c r="X1751" s="154" t="s">
        <v>66</v>
      </c>
      <c r="Y1751" s="154" t="s">
        <v>66</v>
      </c>
      <c r="Z1751" s="154" t="s">
        <v>66</v>
      </c>
      <c r="AA1751" s="154"/>
      <c r="AB1751" s="242" t="str">
        <f t="shared" si="2"/>
        <v>#ERROR!</v>
      </c>
      <c r="AC1751" s="154" t="s">
        <v>391</v>
      </c>
      <c r="AD1751" s="242" t="b">
        <f t="shared" si="3"/>
        <v>0</v>
      </c>
      <c r="AE1751" s="154"/>
      <c r="AF1751" s="242" t="str">
        <f t="shared" si="4"/>
        <v>#ERROR!</v>
      </c>
      <c r="AG1751" s="154"/>
      <c r="AH1751" s="242" t="str">
        <f>IF(AG1751="","N/A",INDIRECT("MTR!"&amp;ADDRESS(MATCH(LEFT(AG1751,9),[1]MTR!C:C,0),COLUMN(J1751)),TRUE) &amp; "")</f>
        <v>#ERROR!</v>
      </c>
      <c r="AI1751" s="157" t="str">
        <f t="shared" si="5"/>
        <v>#ERROR!</v>
      </c>
    </row>
    <row r="1752" ht="12.75" customHeight="1">
      <c r="A1752" s="244" t="s">
        <v>5158</v>
      </c>
      <c r="B1752" s="244" t="s">
        <v>231</v>
      </c>
      <c r="C1752" s="244" t="s">
        <v>11102</v>
      </c>
      <c r="D1752" s="154" t="s">
        <v>781</v>
      </c>
      <c r="E1752" s="154"/>
      <c r="F1752" s="154" t="str">
        <f t="array" ref="F1752">XLOOKUP(Cover!$D$12,$R$1:$Z$1,$R1752:$Z1752)</f>
        <v>Information</v>
      </c>
      <c r="G1752" s="154" t="s">
        <v>11103</v>
      </c>
      <c r="H1752" s="154" t="s">
        <v>1541</v>
      </c>
      <c r="I1752" s="154" t="s">
        <v>11101</v>
      </c>
      <c r="J1752" s="154" t="s">
        <v>5903</v>
      </c>
      <c r="K1752" s="154" t="s">
        <v>11079</v>
      </c>
      <c r="L1752" s="154" t="s">
        <v>6942</v>
      </c>
      <c r="M1752" s="154"/>
      <c r="N1752" s="154" t="s">
        <v>759</v>
      </c>
      <c r="O1752" s="247" t="s">
        <v>445</v>
      </c>
      <c r="P1752" s="247" t="s">
        <v>6772</v>
      </c>
      <c r="Q1752" s="154" t="str">
        <f t="shared" si="1"/>
        <v>#ERROR!</v>
      </c>
      <c r="R1752" s="154" t="s">
        <v>66</v>
      </c>
      <c r="S1752" s="154" t="s">
        <v>66</v>
      </c>
      <c r="T1752" s="154" t="s">
        <v>66</v>
      </c>
      <c r="U1752" s="154" t="s">
        <v>66</v>
      </c>
      <c r="V1752" s="154" t="s">
        <v>66</v>
      </c>
      <c r="W1752" s="154" t="s">
        <v>66</v>
      </c>
      <c r="X1752" s="154" t="s">
        <v>66</v>
      </c>
      <c r="Y1752" s="154" t="s">
        <v>66</v>
      </c>
      <c r="Z1752" s="154" t="s">
        <v>66</v>
      </c>
      <c r="AA1752" s="154"/>
      <c r="AB1752" s="242" t="str">
        <f t="shared" si="2"/>
        <v>#ERROR!</v>
      </c>
      <c r="AC1752" s="154" t="s">
        <v>391</v>
      </c>
      <c r="AD1752" s="242" t="b">
        <f t="shared" si="3"/>
        <v>0</v>
      </c>
      <c r="AE1752" s="154"/>
      <c r="AF1752" s="242" t="str">
        <f t="shared" si="4"/>
        <v>#ERROR!</v>
      </c>
      <c r="AG1752" s="154"/>
      <c r="AH1752" s="242" t="str">
        <f>IF(AG1752="","N/A",INDIRECT("MTR!"&amp;ADDRESS(MATCH(LEFT(AG1752,9),[1]MTR!C:C,0),COLUMN(J1752)),TRUE) &amp; "")</f>
        <v>#ERROR!</v>
      </c>
      <c r="AI1752" s="157" t="str">
        <f t="shared" si="5"/>
        <v>#ERROR!</v>
      </c>
    </row>
    <row r="1753" ht="12.75" customHeight="1">
      <c r="A1753" s="244" t="s">
        <v>5158</v>
      </c>
      <c r="B1753" s="244" t="s">
        <v>231</v>
      </c>
      <c r="C1753" s="244" t="s">
        <v>11104</v>
      </c>
      <c r="D1753" s="154" t="s">
        <v>542</v>
      </c>
      <c r="E1753" s="154"/>
      <c r="F1753" s="154" t="str">
        <f t="array" ref="F1753">XLOOKUP(Cover!$D$12,$R$1:$Z$1,$R1753:$Z1753)</f>
        <v>Recommended</v>
      </c>
      <c r="G1753" s="154" t="s">
        <v>11105</v>
      </c>
      <c r="H1753" s="154" t="s">
        <v>7834</v>
      </c>
      <c r="I1753" s="154" t="s">
        <v>11106</v>
      </c>
      <c r="J1753" s="154" t="s">
        <v>6791</v>
      </c>
      <c r="K1753" s="154" t="s">
        <v>11079</v>
      </c>
      <c r="L1753" s="154" t="s">
        <v>6525</v>
      </c>
      <c r="M1753" s="154"/>
      <c r="N1753" s="154" t="s">
        <v>759</v>
      </c>
      <c r="O1753" s="247" t="s">
        <v>516</v>
      </c>
      <c r="P1753" s="247" t="s">
        <v>6776</v>
      </c>
      <c r="Q1753" s="154" t="str">
        <f t="shared" si="1"/>
        <v>#ERROR!</v>
      </c>
      <c r="R1753" s="154" t="s">
        <v>66</v>
      </c>
      <c r="S1753" s="154" t="s">
        <v>66</v>
      </c>
      <c r="T1753" s="154" t="s">
        <v>64</v>
      </c>
      <c r="U1753" s="154" t="s">
        <v>64</v>
      </c>
      <c r="V1753" s="154" t="s">
        <v>64</v>
      </c>
      <c r="W1753" s="154" t="s">
        <v>64</v>
      </c>
      <c r="X1753" s="154" t="s">
        <v>66</v>
      </c>
      <c r="Y1753" s="154" t="s">
        <v>64</v>
      </c>
      <c r="Z1753" s="154" t="s">
        <v>64</v>
      </c>
      <c r="AA1753" s="154"/>
      <c r="AB1753" s="242" t="str">
        <f t="shared" si="2"/>
        <v>#ERROR!</v>
      </c>
      <c r="AC1753" s="154" t="s">
        <v>391</v>
      </c>
      <c r="AD1753" s="242" t="b">
        <f t="shared" si="3"/>
        <v>0</v>
      </c>
      <c r="AE1753" s="154"/>
      <c r="AF1753" s="242" t="str">
        <f t="shared" si="4"/>
        <v>#ERROR!</v>
      </c>
      <c r="AG1753" s="154"/>
      <c r="AH1753" s="242" t="str">
        <f>IF(AG1753="","N/A",INDIRECT("MTR!"&amp;ADDRESS(MATCH(LEFT(AG1753,9),[1]MTR!C:C,0),COLUMN(J1753)),TRUE) &amp; "")</f>
        <v>#ERROR!</v>
      </c>
      <c r="AI1753" s="157" t="str">
        <f t="shared" si="5"/>
        <v>#ERROR!</v>
      </c>
    </row>
    <row r="1754" ht="12.75" customHeight="1">
      <c r="A1754" s="244" t="s">
        <v>5158</v>
      </c>
      <c r="B1754" s="244" t="s">
        <v>231</v>
      </c>
      <c r="C1754" s="244" t="s">
        <v>11107</v>
      </c>
      <c r="D1754" s="154" t="s">
        <v>542</v>
      </c>
      <c r="E1754" s="154"/>
      <c r="F1754" s="154" t="str">
        <f t="array" ref="F1754">XLOOKUP(Cover!$D$12,$R$1:$Z$1,$R1754:$Z1754)</f>
        <v>Recommended</v>
      </c>
      <c r="G1754" s="154" t="s">
        <v>11108</v>
      </c>
      <c r="H1754" s="154" t="s">
        <v>9002</v>
      </c>
      <c r="I1754" s="154" t="s">
        <v>11106</v>
      </c>
      <c r="J1754" s="154" t="s">
        <v>6791</v>
      </c>
      <c r="K1754" s="154" t="s">
        <v>11079</v>
      </c>
      <c r="L1754" s="154" t="s">
        <v>6525</v>
      </c>
      <c r="M1754" s="154"/>
      <c r="N1754" s="154" t="s">
        <v>759</v>
      </c>
      <c r="O1754" s="247" t="s">
        <v>516</v>
      </c>
      <c r="P1754" s="247" t="s">
        <v>6776</v>
      </c>
      <c r="Q1754" s="154" t="str">
        <f t="shared" si="1"/>
        <v>#ERROR!</v>
      </c>
      <c r="R1754" s="154" t="s">
        <v>66</v>
      </c>
      <c r="S1754" s="154" t="s">
        <v>66</v>
      </c>
      <c r="T1754" s="154" t="s">
        <v>64</v>
      </c>
      <c r="U1754" s="154" t="s">
        <v>64</v>
      </c>
      <c r="V1754" s="154" t="s">
        <v>64</v>
      </c>
      <c r="W1754" s="154" t="s">
        <v>64</v>
      </c>
      <c r="X1754" s="154" t="s">
        <v>66</v>
      </c>
      <c r="Y1754" s="154" t="s">
        <v>64</v>
      </c>
      <c r="Z1754" s="154" t="s">
        <v>64</v>
      </c>
      <c r="AA1754" s="154"/>
      <c r="AB1754" s="242" t="str">
        <f t="shared" si="2"/>
        <v>#ERROR!</v>
      </c>
      <c r="AC1754" s="154" t="s">
        <v>391</v>
      </c>
      <c r="AD1754" s="242" t="b">
        <f t="shared" si="3"/>
        <v>0</v>
      </c>
      <c r="AE1754" s="154"/>
      <c r="AF1754" s="242" t="str">
        <f t="shared" si="4"/>
        <v>#ERROR!</v>
      </c>
      <c r="AG1754" s="154"/>
      <c r="AH1754" s="242" t="str">
        <f>IF(AG1754="","N/A",INDIRECT("MTR!"&amp;ADDRESS(MATCH(LEFT(AG1754,9),[1]MTR!C:C,0),COLUMN(J1754)),TRUE) &amp; "")</f>
        <v>#ERROR!</v>
      </c>
      <c r="AI1754" s="157" t="str">
        <f t="shared" si="5"/>
        <v>#ERROR!</v>
      </c>
    </row>
    <row r="1755" ht="12.75" customHeight="1">
      <c r="A1755" s="244" t="s">
        <v>5158</v>
      </c>
      <c r="B1755" s="244" t="s">
        <v>231</v>
      </c>
      <c r="C1755" s="244" t="s">
        <v>11109</v>
      </c>
      <c r="D1755" s="154" t="s">
        <v>542</v>
      </c>
      <c r="E1755" s="154"/>
      <c r="F1755" s="154" t="str">
        <f t="array" ref="F1755">XLOOKUP(Cover!$D$12,$R$1:$Z$1,$R1755:$Z1755)</f>
        <v>Recommended</v>
      </c>
      <c r="G1755" s="154" t="s">
        <v>11110</v>
      </c>
      <c r="H1755" s="154" t="s">
        <v>7838</v>
      </c>
      <c r="I1755" s="154" t="s">
        <v>11106</v>
      </c>
      <c r="J1755" s="154" t="s">
        <v>6791</v>
      </c>
      <c r="K1755" s="154" t="s">
        <v>11079</v>
      </c>
      <c r="L1755" s="154" t="s">
        <v>6525</v>
      </c>
      <c r="M1755" s="154"/>
      <c r="N1755" s="154" t="s">
        <v>759</v>
      </c>
      <c r="O1755" s="247" t="s">
        <v>516</v>
      </c>
      <c r="P1755" s="247" t="s">
        <v>6776</v>
      </c>
      <c r="Q1755" s="154" t="str">
        <f t="shared" si="1"/>
        <v>#ERROR!</v>
      </c>
      <c r="R1755" s="154" t="s">
        <v>66</v>
      </c>
      <c r="S1755" s="154" t="s">
        <v>66</v>
      </c>
      <c r="T1755" s="154" t="s">
        <v>64</v>
      </c>
      <c r="U1755" s="154" t="s">
        <v>64</v>
      </c>
      <c r="V1755" s="154" t="s">
        <v>64</v>
      </c>
      <c r="W1755" s="154" t="s">
        <v>64</v>
      </c>
      <c r="X1755" s="154" t="s">
        <v>66</v>
      </c>
      <c r="Y1755" s="154" t="s">
        <v>64</v>
      </c>
      <c r="Z1755" s="154" t="s">
        <v>64</v>
      </c>
      <c r="AA1755" s="154"/>
      <c r="AB1755" s="242" t="str">
        <f t="shared" si="2"/>
        <v>#ERROR!</v>
      </c>
      <c r="AC1755" s="154" t="s">
        <v>391</v>
      </c>
      <c r="AD1755" s="242" t="b">
        <f t="shared" si="3"/>
        <v>0</v>
      </c>
      <c r="AE1755" s="154"/>
      <c r="AF1755" s="242" t="str">
        <f t="shared" si="4"/>
        <v>#ERROR!</v>
      </c>
      <c r="AG1755" s="154"/>
      <c r="AH1755" s="242" t="str">
        <f>IF(AG1755="","N/A",INDIRECT("MTR!"&amp;ADDRESS(MATCH(LEFT(AG1755,9),[1]MTR!C:C,0),COLUMN(J1755)),TRUE) &amp; "")</f>
        <v>#ERROR!</v>
      </c>
      <c r="AI1755" s="157" t="str">
        <f t="shared" si="5"/>
        <v>#ERROR!</v>
      </c>
    </row>
    <row r="1756" ht="12.75" customHeight="1">
      <c r="A1756" s="244" t="s">
        <v>5158</v>
      </c>
      <c r="B1756" s="244" t="s">
        <v>231</v>
      </c>
      <c r="C1756" s="244" t="s">
        <v>11111</v>
      </c>
      <c r="D1756" s="154" t="s">
        <v>542</v>
      </c>
      <c r="E1756" s="154"/>
      <c r="F1756" s="154" t="str">
        <f t="array" ref="F1756">XLOOKUP(Cover!$D$12,$R$1:$Z$1,$R1756:$Z1756)</f>
        <v>Recommended</v>
      </c>
      <c r="G1756" s="154" t="s">
        <v>11112</v>
      </c>
      <c r="H1756" s="154" t="s">
        <v>9006</v>
      </c>
      <c r="I1756" s="154" t="s">
        <v>11106</v>
      </c>
      <c r="J1756" s="154" t="s">
        <v>6791</v>
      </c>
      <c r="K1756" s="154" t="s">
        <v>11079</v>
      </c>
      <c r="L1756" s="154" t="s">
        <v>6525</v>
      </c>
      <c r="M1756" s="154"/>
      <c r="N1756" s="154" t="s">
        <v>759</v>
      </c>
      <c r="O1756" s="247" t="s">
        <v>516</v>
      </c>
      <c r="P1756" s="247" t="s">
        <v>6776</v>
      </c>
      <c r="Q1756" s="154" t="str">
        <f t="shared" si="1"/>
        <v>#ERROR!</v>
      </c>
      <c r="R1756" s="154" t="s">
        <v>66</v>
      </c>
      <c r="S1756" s="154" t="s">
        <v>66</v>
      </c>
      <c r="T1756" s="154" t="s">
        <v>64</v>
      </c>
      <c r="U1756" s="154" t="s">
        <v>64</v>
      </c>
      <c r="V1756" s="154" t="s">
        <v>64</v>
      </c>
      <c r="W1756" s="154" t="s">
        <v>64</v>
      </c>
      <c r="X1756" s="154" t="s">
        <v>66</v>
      </c>
      <c r="Y1756" s="154" t="s">
        <v>64</v>
      </c>
      <c r="Z1756" s="154" t="s">
        <v>64</v>
      </c>
      <c r="AA1756" s="154"/>
      <c r="AB1756" s="242" t="str">
        <f t="shared" si="2"/>
        <v>#ERROR!</v>
      </c>
      <c r="AC1756" s="154" t="s">
        <v>391</v>
      </c>
      <c r="AD1756" s="242" t="b">
        <f t="shared" si="3"/>
        <v>0</v>
      </c>
      <c r="AE1756" s="154"/>
      <c r="AF1756" s="242" t="str">
        <f t="shared" si="4"/>
        <v>#ERROR!</v>
      </c>
      <c r="AG1756" s="154"/>
      <c r="AH1756" s="242" t="str">
        <f>IF(AG1756="","N/A",INDIRECT("MTR!"&amp;ADDRESS(MATCH(LEFT(AG1756,9),[1]MTR!C:C,0),COLUMN(J1756)),TRUE) &amp; "")</f>
        <v>#ERROR!</v>
      </c>
      <c r="AI1756" s="157" t="str">
        <f t="shared" si="5"/>
        <v>#ERROR!</v>
      </c>
    </row>
    <row r="1757" ht="12.75" customHeight="1">
      <c r="A1757" s="244" t="s">
        <v>5158</v>
      </c>
      <c r="B1757" s="244" t="s">
        <v>231</v>
      </c>
      <c r="C1757" s="244" t="s">
        <v>11113</v>
      </c>
      <c r="D1757" s="154" t="s">
        <v>546</v>
      </c>
      <c r="E1757" s="154"/>
      <c r="F1757" s="154" t="str">
        <f t="array" ref="F1757">XLOOKUP(Cover!$D$12,$R$1:$Z$1,$R1757:$Z1757)</f>
        <v>Information</v>
      </c>
      <c r="G1757" s="154" t="s">
        <v>11114</v>
      </c>
      <c r="H1757" s="154" t="s">
        <v>7834</v>
      </c>
      <c r="I1757" s="154" t="s">
        <v>11115</v>
      </c>
      <c r="J1757" s="154" t="s">
        <v>6797</v>
      </c>
      <c r="K1757" s="154" t="s">
        <v>11079</v>
      </c>
      <c r="L1757" s="154" t="s">
        <v>6529</v>
      </c>
      <c r="M1757" s="154"/>
      <c r="N1757" s="154" t="s">
        <v>759</v>
      </c>
      <c r="O1757" s="247" t="s">
        <v>516</v>
      </c>
      <c r="P1757" s="247" t="s">
        <v>6776</v>
      </c>
      <c r="Q1757" s="154" t="str">
        <f t="shared" si="1"/>
        <v>#ERROR!</v>
      </c>
      <c r="R1757" s="154" t="s">
        <v>66</v>
      </c>
      <c r="S1757" s="154" t="s">
        <v>66</v>
      </c>
      <c r="T1757" s="154" t="s">
        <v>66</v>
      </c>
      <c r="U1757" s="154" t="s">
        <v>66</v>
      </c>
      <c r="V1757" s="154" t="s">
        <v>66</v>
      </c>
      <c r="W1757" s="154" t="s">
        <v>66</v>
      </c>
      <c r="X1757" s="154" t="s">
        <v>66</v>
      </c>
      <c r="Y1757" s="154" t="s">
        <v>66</v>
      </c>
      <c r="Z1757" s="154" t="s">
        <v>66</v>
      </c>
      <c r="AA1757" s="154"/>
      <c r="AB1757" s="242" t="str">
        <f t="shared" si="2"/>
        <v>#ERROR!</v>
      </c>
      <c r="AC1757" s="154" t="s">
        <v>391</v>
      </c>
      <c r="AD1757" s="242" t="b">
        <f t="shared" si="3"/>
        <v>0</v>
      </c>
      <c r="AE1757" s="154"/>
      <c r="AF1757" s="242" t="str">
        <f t="shared" si="4"/>
        <v>#ERROR!</v>
      </c>
      <c r="AG1757" s="154"/>
      <c r="AH1757" s="242" t="str">
        <f>IF(AG1757="","N/A",INDIRECT("MTR!"&amp;ADDRESS(MATCH(LEFT(AG1757,9),[1]MTR!C:C,0),COLUMN(J1757)),TRUE) &amp; "")</f>
        <v>#ERROR!</v>
      </c>
      <c r="AI1757" s="157" t="str">
        <f t="shared" si="5"/>
        <v>#ERROR!</v>
      </c>
    </row>
    <row r="1758" ht="12.75" customHeight="1">
      <c r="A1758" s="244" t="s">
        <v>5158</v>
      </c>
      <c r="B1758" s="244" t="s">
        <v>231</v>
      </c>
      <c r="C1758" s="244" t="s">
        <v>11116</v>
      </c>
      <c r="D1758" s="154" t="s">
        <v>546</v>
      </c>
      <c r="E1758" s="154"/>
      <c r="F1758" s="154" t="str">
        <f t="array" ref="F1758">XLOOKUP(Cover!$D$12,$R$1:$Z$1,$R1758:$Z1758)</f>
        <v>Information</v>
      </c>
      <c r="G1758" s="154" t="s">
        <v>11117</v>
      </c>
      <c r="H1758" s="154" t="s">
        <v>9002</v>
      </c>
      <c r="I1758" s="154" t="s">
        <v>11115</v>
      </c>
      <c r="J1758" s="154" t="s">
        <v>6797</v>
      </c>
      <c r="K1758" s="154" t="s">
        <v>11079</v>
      </c>
      <c r="L1758" s="154" t="s">
        <v>6529</v>
      </c>
      <c r="M1758" s="154"/>
      <c r="N1758" s="154" t="s">
        <v>759</v>
      </c>
      <c r="O1758" s="247" t="s">
        <v>516</v>
      </c>
      <c r="P1758" s="247" t="s">
        <v>6776</v>
      </c>
      <c r="Q1758" s="154" t="str">
        <f t="shared" si="1"/>
        <v>#ERROR!</v>
      </c>
      <c r="R1758" s="154" t="s">
        <v>66</v>
      </c>
      <c r="S1758" s="154" t="s">
        <v>66</v>
      </c>
      <c r="T1758" s="154" t="s">
        <v>66</v>
      </c>
      <c r="U1758" s="154" t="s">
        <v>66</v>
      </c>
      <c r="V1758" s="154" t="s">
        <v>66</v>
      </c>
      <c r="W1758" s="154" t="s">
        <v>66</v>
      </c>
      <c r="X1758" s="154" t="s">
        <v>66</v>
      </c>
      <c r="Y1758" s="154" t="s">
        <v>66</v>
      </c>
      <c r="Z1758" s="154" t="s">
        <v>66</v>
      </c>
      <c r="AA1758" s="154"/>
      <c r="AB1758" s="242" t="str">
        <f t="shared" si="2"/>
        <v>#ERROR!</v>
      </c>
      <c r="AC1758" s="154" t="s">
        <v>391</v>
      </c>
      <c r="AD1758" s="242" t="b">
        <f t="shared" si="3"/>
        <v>0</v>
      </c>
      <c r="AE1758" s="154"/>
      <c r="AF1758" s="242" t="str">
        <f t="shared" si="4"/>
        <v>#ERROR!</v>
      </c>
      <c r="AG1758" s="154"/>
      <c r="AH1758" s="242" t="str">
        <f>IF(AG1758="","N/A",INDIRECT("MTR!"&amp;ADDRESS(MATCH(LEFT(AG1758,9),[1]MTR!C:C,0),COLUMN(J1758)),TRUE) &amp; "")</f>
        <v>#ERROR!</v>
      </c>
      <c r="AI1758" s="157" t="str">
        <f t="shared" si="5"/>
        <v>#ERROR!</v>
      </c>
    </row>
    <row r="1759" ht="12.75" customHeight="1">
      <c r="A1759" s="244" t="s">
        <v>5158</v>
      </c>
      <c r="B1759" s="244" t="s">
        <v>231</v>
      </c>
      <c r="C1759" s="244" t="s">
        <v>11118</v>
      </c>
      <c r="D1759" s="154" t="s">
        <v>546</v>
      </c>
      <c r="E1759" s="154"/>
      <c r="F1759" s="154" t="str">
        <f t="array" ref="F1759">XLOOKUP(Cover!$D$12,$R$1:$Z$1,$R1759:$Z1759)</f>
        <v>Information</v>
      </c>
      <c r="G1759" s="154" t="s">
        <v>11119</v>
      </c>
      <c r="H1759" s="154" t="s">
        <v>7844</v>
      </c>
      <c r="I1759" s="154" t="s">
        <v>11115</v>
      </c>
      <c r="J1759" s="154" t="s">
        <v>6797</v>
      </c>
      <c r="K1759" s="154" t="s">
        <v>11079</v>
      </c>
      <c r="L1759" s="154" t="s">
        <v>6529</v>
      </c>
      <c r="M1759" s="154"/>
      <c r="N1759" s="154" t="s">
        <v>759</v>
      </c>
      <c r="O1759" s="247" t="s">
        <v>516</v>
      </c>
      <c r="P1759" s="247" t="s">
        <v>6776</v>
      </c>
      <c r="Q1759" s="154" t="str">
        <f t="shared" si="1"/>
        <v>#ERROR!</v>
      </c>
      <c r="R1759" s="154" t="s">
        <v>66</v>
      </c>
      <c r="S1759" s="154" t="s">
        <v>66</v>
      </c>
      <c r="T1759" s="154" t="s">
        <v>66</v>
      </c>
      <c r="U1759" s="154" t="s">
        <v>66</v>
      </c>
      <c r="V1759" s="154" t="s">
        <v>66</v>
      </c>
      <c r="W1759" s="154" t="s">
        <v>66</v>
      </c>
      <c r="X1759" s="154" t="s">
        <v>66</v>
      </c>
      <c r="Y1759" s="154" t="s">
        <v>66</v>
      </c>
      <c r="Z1759" s="154" t="s">
        <v>66</v>
      </c>
      <c r="AA1759" s="154"/>
      <c r="AB1759" s="242" t="str">
        <f t="shared" si="2"/>
        <v>#ERROR!</v>
      </c>
      <c r="AC1759" s="154" t="s">
        <v>391</v>
      </c>
      <c r="AD1759" s="242" t="b">
        <f t="shared" si="3"/>
        <v>0</v>
      </c>
      <c r="AE1759" s="154"/>
      <c r="AF1759" s="242" t="str">
        <f t="shared" si="4"/>
        <v>#ERROR!</v>
      </c>
      <c r="AG1759" s="154"/>
      <c r="AH1759" s="242" t="str">
        <f>IF(AG1759="","N/A",INDIRECT("MTR!"&amp;ADDRESS(MATCH(LEFT(AG1759,9),[1]MTR!C:C,0),COLUMN(J1759)),TRUE) &amp; "")</f>
        <v>#ERROR!</v>
      </c>
      <c r="AI1759" s="157" t="str">
        <f t="shared" si="5"/>
        <v>#ERROR!</v>
      </c>
    </row>
    <row r="1760" ht="12.75" customHeight="1">
      <c r="A1760" s="244" t="s">
        <v>5158</v>
      </c>
      <c r="B1760" s="244" t="s">
        <v>231</v>
      </c>
      <c r="C1760" s="244" t="s">
        <v>11120</v>
      </c>
      <c r="D1760" s="154" t="s">
        <v>546</v>
      </c>
      <c r="E1760" s="154"/>
      <c r="F1760" s="154" t="str">
        <f t="array" ref="F1760">XLOOKUP(Cover!$D$12,$R$1:$Z$1,$R1760:$Z1760)</f>
        <v>Information</v>
      </c>
      <c r="G1760" s="154" t="s">
        <v>11121</v>
      </c>
      <c r="H1760" s="154" t="s">
        <v>9009</v>
      </c>
      <c r="I1760" s="154" t="s">
        <v>11115</v>
      </c>
      <c r="J1760" s="154" t="s">
        <v>6797</v>
      </c>
      <c r="K1760" s="154" t="s">
        <v>11079</v>
      </c>
      <c r="L1760" s="154" t="s">
        <v>6529</v>
      </c>
      <c r="M1760" s="154"/>
      <c r="N1760" s="154" t="s">
        <v>759</v>
      </c>
      <c r="O1760" s="247" t="s">
        <v>516</v>
      </c>
      <c r="P1760" s="247" t="s">
        <v>6776</v>
      </c>
      <c r="Q1760" s="154" t="str">
        <f t="shared" si="1"/>
        <v>#ERROR!</v>
      </c>
      <c r="R1760" s="154" t="s">
        <v>66</v>
      </c>
      <c r="S1760" s="154" t="s">
        <v>66</v>
      </c>
      <c r="T1760" s="154" t="s">
        <v>66</v>
      </c>
      <c r="U1760" s="154" t="s">
        <v>66</v>
      </c>
      <c r="V1760" s="154" t="s">
        <v>66</v>
      </c>
      <c r="W1760" s="154" t="s">
        <v>66</v>
      </c>
      <c r="X1760" s="154" t="s">
        <v>66</v>
      </c>
      <c r="Y1760" s="154" t="s">
        <v>66</v>
      </c>
      <c r="Z1760" s="154" t="s">
        <v>66</v>
      </c>
      <c r="AA1760" s="154"/>
      <c r="AB1760" s="242" t="str">
        <f t="shared" si="2"/>
        <v>#ERROR!</v>
      </c>
      <c r="AC1760" s="154" t="s">
        <v>391</v>
      </c>
      <c r="AD1760" s="242" t="b">
        <f t="shared" si="3"/>
        <v>0</v>
      </c>
      <c r="AE1760" s="154"/>
      <c r="AF1760" s="242" t="str">
        <f t="shared" si="4"/>
        <v>#ERROR!</v>
      </c>
      <c r="AG1760" s="154"/>
      <c r="AH1760" s="242" t="str">
        <f>IF(AG1760="","N/A",INDIRECT("MTR!"&amp;ADDRESS(MATCH(LEFT(AG1760,9),[1]MTR!C:C,0),COLUMN(J1760)),TRUE) &amp; "")</f>
        <v>#ERROR!</v>
      </c>
      <c r="AI1760" s="157" t="str">
        <f t="shared" si="5"/>
        <v>#ERROR!</v>
      </c>
    </row>
    <row r="1761" ht="12.75" customHeight="1">
      <c r="A1761" s="244" t="s">
        <v>5158</v>
      </c>
      <c r="B1761" s="244" t="s">
        <v>231</v>
      </c>
      <c r="C1761" s="244" t="s">
        <v>11122</v>
      </c>
      <c r="D1761" s="154" t="s">
        <v>1069</v>
      </c>
      <c r="E1761" s="154"/>
      <c r="F1761" s="154" t="str">
        <f t="array" ref="F1761">XLOOKUP(Cover!$D$12,$R$1:$Z$1,$R1761:$Z1761)</f>
        <v>Recommended</v>
      </c>
      <c r="G1761" s="154" t="s">
        <v>11123</v>
      </c>
      <c r="H1761" s="154" t="s">
        <v>7834</v>
      </c>
      <c r="I1761" s="154" t="s">
        <v>11124</v>
      </c>
      <c r="J1761" s="154" t="s">
        <v>6803</v>
      </c>
      <c r="K1761" s="154" t="s">
        <v>11079</v>
      </c>
      <c r="L1761" s="154" t="s">
        <v>5927</v>
      </c>
      <c r="M1761" s="154"/>
      <c r="N1761" s="154" t="s">
        <v>759</v>
      </c>
      <c r="O1761" s="247" t="s">
        <v>516</v>
      </c>
      <c r="P1761" s="247" t="s">
        <v>6776</v>
      </c>
      <c r="Q1761" s="154" t="str">
        <f t="shared" si="1"/>
        <v>#ERROR!</v>
      </c>
      <c r="R1761" s="154" t="s">
        <v>66</v>
      </c>
      <c r="S1761" s="154" t="s">
        <v>66</v>
      </c>
      <c r="T1761" s="154" t="s">
        <v>64</v>
      </c>
      <c r="U1761" s="154" t="s">
        <v>64</v>
      </c>
      <c r="V1761" s="154" t="s">
        <v>64</v>
      </c>
      <c r="W1761" s="154" t="s">
        <v>64</v>
      </c>
      <c r="X1761" s="154" t="s">
        <v>66</v>
      </c>
      <c r="Y1761" s="154" t="s">
        <v>64</v>
      </c>
      <c r="Z1761" s="154" t="s">
        <v>64</v>
      </c>
      <c r="AA1761" s="154"/>
      <c r="AB1761" s="242" t="str">
        <f t="shared" si="2"/>
        <v>#ERROR!</v>
      </c>
      <c r="AC1761" s="154" t="s">
        <v>391</v>
      </c>
      <c r="AD1761" s="242" t="b">
        <f t="shared" si="3"/>
        <v>0</v>
      </c>
      <c r="AE1761" s="154"/>
      <c r="AF1761" s="242" t="str">
        <f t="shared" si="4"/>
        <v>#ERROR!</v>
      </c>
      <c r="AG1761" s="154"/>
      <c r="AH1761" s="242" t="str">
        <f>IF(AG1761="","N/A",INDIRECT("MTR!"&amp;ADDRESS(MATCH(LEFT(AG1761,9),[1]MTR!C:C,0),COLUMN(J1761)),TRUE) &amp; "")</f>
        <v>#ERROR!</v>
      </c>
      <c r="AI1761" s="157" t="str">
        <f t="shared" si="5"/>
        <v>#ERROR!</v>
      </c>
    </row>
    <row r="1762" ht="12.75" customHeight="1">
      <c r="A1762" s="244" t="s">
        <v>5158</v>
      </c>
      <c r="B1762" s="244" t="s">
        <v>231</v>
      </c>
      <c r="C1762" s="244" t="s">
        <v>11125</v>
      </c>
      <c r="D1762" s="154" t="s">
        <v>1069</v>
      </c>
      <c r="E1762" s="154"/>
      <c r="F1762" s="154" t="str">
        <f t="array" ref="F1762">XLOOKUP(Cover!$D$12,$R$1:$Z$1,$R1762:$Z1762)</f>
        <v>Recommended</v>
      </c>
      <c r="G1762" s="154" t="s">
        <v>11126</v>
      </c>
      <c r="H1762" s="154" t="s">
        <v>7850</v>
      </c>
      <c r="I1762" s="154" t="s">
        <v>11124</v>
      </c>
      <c r="J1762" s="154" t="s">
        <v>6803</v>
      </c>
      <c r="K1762" s="154" t="s">
        <v>11079</v>
      </c>
      <c r="L1762" s="154" t="s">
        <v>5927</v>
      </c>
      <c r="M1762" s="154"/>
      <c r="N1762" s="154" t="s">
        <v>759</v>
      </c>
      <c r="O1762" s="247" t="s">
        <v>516</v>
      </c>
      <c r="P1762" s="247" t="s">
        <v>6776</v>
      </c>
      <c r="Q1762" s="154" t="str">
        <f t="shared" si="1"/>
        <v>#ERROR!</v>
      </c>
      <c r="R1762" s="154" t="s">
        <v>66</v>
      </c>
      <c r="S1762" s="154" t="s">
        <v>66</v>
      </c>
      <c r="T1762" s="154" t="s">
        <v>64</v>
      </c>
      <c r="U1762" s="154" t="s">
        <v>64</v>
      </c>
      <c r="V1762" s="154" t="s">
        <v>64</v>
      </c>
      <c r="W1762" s="154" t="s">
        <v>64</v>
      </c>
      <c r="X1762" s="154" t="s">
        <v>66</v>
      </c>
      <c r="Y1762" s="154" t="s">
        <v>64</v>
      </c>
      <c r="Z1762" s="154" t="s">
        <v>64</v>
      </c>
      <c r="AA1762" s="154"/>
      <c r="AB1762" s="242" t="str">
        <f t="shared" si="2"/>
        <v>#ERROR!</v>
      </c>
      <c r="AC1762" s="154" t="s">
        <v>391</v>
      </c>
      <c r="AD1762" s="242" t="b">
        <f t="shared" si="3"/>
        <v>0</v>
      </c>
      <c r="AE1762" s="154"/>
      <c r="AF1762" s="242" t="str">
        <f t="shared" si="4"/>
        <v>#ERROR!</v>
      </c>
      <c r="AG1762" s="154"/>
      <c r="AH1762" s="242" t="str">
        <f>IF(AG1762="","N/A",INDIRECT("MTR!"&amp;ADDRESS(MATCH(LEFT(AG1762,9),[1]MTR!C:C,0),COLUMN(J1762)),TRUE) &amp; "")</f>
        <v>#ERROR!</v>
      </c>
      <c r="AI1762" s="157" t="str">
        <f t="shared" si="5"/>
        <v>#ERROR!</v>
      </c>
    </row>
    <row r="1763" ht="12.75" customHeight="1">
      <c r="A1763" s="244" t="s">
        <v>5158</v>
      </c>
      <c r="B1763" s="244" t="s">
        <v>231</v>
      </c>
      <c r="C1763" s="244" t="s">
        <v>11127</v>
      </c>
      <c r="D1763" s="154" t="s">
        <v>1069</v>
      </c>
      <c r="E1763" s="154"/>
      <c r="F1763" s="154" t="str">
        <f t="array" ref="F1763">XLOOKUP(Cover!$D$12,$R$1:$Z$1,$R1763:$Z1763)</f>
        <v>Recommended</v>
      </c>
      <c r="G1763" s="154" t="s">
        <v>11128</v>
      </c>
      <c r="H1763" s="154" t="s">
        <v>9002</v>
      </c>
      <c r="I1763" s="154" t="s">
        <v>11124</v>
      </c>
      <c r="J1763" s="154" t="s">
        <v>6803</v>
      </c>
      <c r="K1763" s="154" t="s">
        <v>11079</v>
      </c>
      <c r="L1763" s="154" t="s">
        <v>5927</v>
      </c>
      <c r="M1763" s="154"/>
      <c r="N1763" s="154" t="s">
        <v>759</v>
      </c>
      <c r="O1763" s="247" t="s">
        <v>516</v>
      </c>
      <c r="P1763" s="247" t="s">
        <v>6776</v>
      </c>
      <c r="Q1763" s="154" t="str">
        <f t="shared" si="1"/>
        <v>#ERROR!</v>
      </c>
      <c r="R1763" s="154" t="s">
        <v>66</v>
      </c>
      <c r="S1763" s="154" t="s">
        <v>66</v>
      </c>
      <c r="T1763" s="154" t="s">
        <v>64</v>
      </c>
      <c r="U1763" s="154" t="s">
        <v>64</v>
      </c>
      <c r="V1763" s="154" t="s">
        <v>64</v>
      </c>
      <c r="W1763" s="154" t="s">
        <v>64</v>
      </c>
      <c r="X1763" s="154" t="s">
        <v>66</v>
      </c>
      <c r="Y1763" s="154" t="s">
        <v>64</v>
      </c>
      <c r="Z1763" s="154" t="s">
        <v>64</v>
      </c>
      <c r="AA1763" s="154"/>
      <c r="AB1763" s="242" t="str">
        <f t="shared" si="2"/>
        <v>#ERROR!</v>
      </c>
      <c r="AC1763" s="154" t="s">
        <v>391</v>
      </c>
      <c r="AD1763" s="242" t="b">
        <f t="shared" si="3"/>
        <v>0</v>
      </c>
      <c r="AE1763" s="154"/>
      <c r="AF1763" s="242" t="str">
        <f t="shared" si="4"/>
        <v>#ERROR!</v>
      </c>
      <c r="AG1763" s="154"/>
      <c r="AH1763" s="242" t="str">
        <f>IF(AG1763="","N/A",INDIRECT("MTR!"&amp;ADDRESS(MATCH(LEFT(AG1763,9),[1]MTR!C:C,0),COLUMN(J1763)),TRUE) &amp; "")</f>
        <v>#ERROR!</v>
      </c>
      <c r="AI1763" s="157" t="str">
        <f t="shared" si="5"/>
        <v>#ERROR!</v>
      </c>
    </row>
    <row r="1764" ht="12.75" customHeight="1">
      <c r="A1764" s="244" t="s">
        <v>5158</v>
      </c>
      <c r="B1764" s="244" t="s">
        <v>231</v>
      </c>
      <c r="C1764" s="244" t="s">
        <v>11129</v>
      </c>
      <c r="D1764" s="154" t="s">
        <v>1069</v>
      </c>
      <c r="E1764" s="154"/>
      <c r="F1764" s="154" t="str">
        <f t="array" ref="F1764">XLOOKUP(Cover!$D$12,$R$1:$Z$1,$R1764:$Z1764)</f>
        <v>Recommended</v>
      </c>
      <c r="G1764" s="154" t="s">
        <v>11130</v>
      </c>
      <c r="H1764" s="154" t="s">
        <v>9015</v>
      </c>
      <c r="I1764" s="154" t="s">
        <v>11124</v>
      </c>
      <c r="J1764" s="154" t="s">
        <v>6803</v>
      </c>
      <c r="K1764" s="154" t="s">
        <v>11079</v>
      </c>
      <c r="L1764" s="154" t="s">
        <v>5927</v>
      </c>
      <c r="M1764" s="154"/>
      <c r="N1764" s="154" t="s">
        <v>759</v>
      </c>
      <c r="O1764" s="247" t="s">
        <v>516</v>
      </c>
      <c r="P1764" s="247" t="s">
        <v>6776</v>
      </c>
      <c r="Q1764" s="154" t="str">
        <f t="shared" si="1"/>
        <v>#ERROR!</v>
      </c>
      <c r="R1764" s="154" t="s">
        <v>66</v>
      </c>
      <c r="S1764" s="154" t="s">
        <v>66</v>
      </c>
      <c r="T1764" s="154" t="s">
        <v>64</v>
      </c>
      <c r="U1764" s="154" t="s">
        <v>64</v>
      </c>
      <c r="V1764" s="154" t="s">
        <v>64</v>
      </c>
      <c r="W1764" s="154" t="s">
        <v>64</v>
      </c>
      <c r="X1764" s="154" t="s">
        <v>66</v>
      </c>
      <c r="Y1764" s="154" t="s">
        <v>64</v>
      </c>
      <c r="Z1764" s="154" t="s">
        <v>64</v>
      </c>
      <c r="AA1764" s="154"/>
      <c r="AB1764" s="242" t="str">
        <f t="shared" si="2"/>
        <v>#ERROR!</v>
      </c>
      <c r="AC1764" s="154" t="s">
        <v>391</v>
      </c>
      <c r="AD1764" s="242" t="b">
        <f t="shared" si="3"/>
        <v>0</v>
      </c>
      <c r="AE1764" s="154"/>
      <c r="AF1764" s="242" t="str">
        <f t="shared" si="4"/>
        <v>#ERROR!</v>
      </c>
      <c r="AG1764" s="154"/>
      <c r="AH1764" s="242" t="str">
        <f>IF(AG1764="","N/A",INDIRECT("MTR!"&amp;ADDRESS(MATCH(LEFT(AG1764,9),[1]MTR!C:C,0),COLUMN(J1764)),TRUE) &amp; "")</f>
        <v>#ERROR!</v>
      </c>
      <c r="AI1764" s="157" t="str">
        <f t="shared" si="5"/>
        <v>#ERROR!</v>
      </c>
    </row>
    <row r="1765" ht="12.75" customHeight="1">
      <c r="A1765" s="244" t="s">
        <v>5158</v>
      </c>
      <c r="B1765" s="244" t="s">
        <v>231</v>
      </c>
      <c r="C1765" s="244" t="s">
        <v>11131</v>
      </c>
      <c r="D1765" s="154" t="s">
        <v>546</v>
      </c>
      <c r="E1765" s="154"/>
      <c r="F1765" s="154" t="str">
        <f t="array" ref="F1765">XLOOKUP(Cover!$D$12,$R$1:$Z$1,$R1765:$Z1765)</f>
        <v>Information</v>
      </c>
      <c r="G1765" s="154" t="s">
        <v>11132</v>
      </c>
      <c r="H1765" s="154" t="s">
        <v>7834</v>
      </c>
      <c r="I1765" s="154" t="s">
        <v>11133</v>
      </c>
      <c r="J1765" s="154" t="s">
        <v>7360</v>
      </c>
      <c r="K1765" s="154" t="s">
        <v>11079</v>
      </c>
      <c r="L1765" s="154" t="s">
        <v>6942</v>
      </c>
      <c r="M1765" s="154"/>
      <c r="N1765" s="154" t="s">
        <v>759</v>
      </c>
      <c r="O1765" s="247" t="s">
        <v>516</v>
      </c>
      <c r="P1765" s="247" t="s">
        <v>6776</v>
      </c>
      <c r="Q1765" s="154" t="str">
        <f t="shared" si="1"/>
        <v>#ERROR!</v>
      </c>
      <c r="R1765" s="154" t="s">
        <v>66</v>
      </c>
      <c r="S1765" s="154" t="s">
        <v>66</v>
      </c>
      <c r="T1765" s="154" t="s">
        <v>66</v>
      </c>
      <c r="U1765" s="154" t="s">
        <v>66</v>
      </c>
      <c r="V1765" s="154" t="s">
        <v>66</v>
      </c>
      <c r="W1765" s="154" t="s">
        <v>66</v>
      </c>
      <c r="X1765" s="154" t="s">
        <v>66</v>
      </c>
      <c r="Y1765" s="154" t="s">
        <v>66</v>
      </c>
      <c r="Z1765" s="154" t="s">
        <v>66</v>
      </c>
      <c r="AA1765" s="154"/>
      <c r="AB1765" s="242" t="str">
        <f t="shared" si="2"/>
        <v>#ERROR!</v>
      </c>
      <c r="AC1765" s="154" t="s">
        <v>391</v>
      </c>
      <c r="AD1765" s="242" t="b">
        <f t="shared" si="3"/>
        <v>0</v>
      </c>
      <c r="AE1765" s="154"/>
      <c r="AF1765" s="242" t="str">
        <f t="shared" si="4"/>
        <v>#ERROR!</v>
      </c>
      <c r="AG1765" s="154"/>
      <c r="AH1765" s="242" t="str">
        <f>IF(AG1765="","N/A",INDIRECT("MTR!"&amp;ADDRESS(MATCH(LEFT(AG1765,9),[1]MTR!C:C,0),COLUMN(J1765)),TRUE) &amp; "")</f>
        <v>#ERROR!</v>
      </c>
      <c r="AI1765" s="157" t="str">
        <f t="shared" si="5"/>
        <v>#ERROR!</v>
      </c>
    </row>
    <row r="1766" ht="12.75" customHeight="1">
      <c r="A1766" s="244" t="s">
        <v>5158</v>
      </c>
      <c r="B1766" s="244" t="s">
        <v>231</v>
      </c>
      <c r="C1766" s="244" t="s">
        <v>11134</v>
      </c>
      <c r="D1766" s="154" t="s">
        <v>546</v>
      </c>
      <c r="E1766" s="154"/>
      <c r="F1766" s="154" t="str">
        <f t="array" ref="F1766">XLOOKUP(Cover!$D$12,$R$1:$Z$1,$R1766:$Z1766)</f>
        <v>Information</v>
      </c>
      <c r="G1766" s="154" t="s">
        <v>11135</v>
      </c>
      <c r="H1766" s="154" t="s">
        <v>9002</v>
      </c>
      <c r="I1766" s="154" t="s">
        <v>11133</v>
      </c>
      <c r="J1766" s="154" t="s">
        <v>7360</v>
      </c>
      <c r="K1766" s="154" t="s">
        <v>11079</v>
      </c>
      <c r="L1766" s="154" t="s">
        <v>6942</v>
      </c>
      <c r="M1766" s="154"/>
      <c r="N1766" s="154" t="s">
        <v>759</v>
      </c>
      <c r="O1766" s="247" t="s">
        <v>516</v>
      </c>
      <c r="P1766" s="247" t="s">
        <v>6776</v>
      </c>
      <c r="Q1766" s="154" t="str">
        <f t="shared" si="1"/>
        <v>#ERROR!</v>
      </c>
      <c r="R1766" s="154" t="s">
        <v>66</v>
      </c>
      <c r="S1766" s="154" t="s">
        <v>66</v>
      </c>
      <c r="T1766" s="154" t="s">
        <v>66</v>
      </c>
      <c r="U1766" s="154" t="s">
        <v>66</v>
      </c>
      <c r="V1766" s="154" t="s">
        <v>66</v>
      </c>
      <c r="W1766" s="154" t="s">
        <v>66</v>
      </c>
      <c r="X1766" s="154" t="s">
        <v>66</v>
      </c>
      <c r="Y1766" s="154" t="s">
        <v>66</v>
      </c>
      <c r="Z1766" s="154" t="s">
        <v>66</v>
      </c>
      <c r="AA1766" s="154"/>
      <c r="AB1766" s="242" t="str">
        <f t="shared" si="2"/>
        <v>#ERROR!</v>
      </c>
      <c r="AC1766" s="154" t="s">
        <v>391</v>
      </c>
      <c r="AD1766" s="242" t="b">
        <f t="shared" si="3"/>
        <v>0</v>
      </c>
      <c r="AE1766" s="154"/>
      <c r="AF1766" s="242" t="str">
        <f t="shared" si="4"/>
        <v>#ERROR!</v>
      </c>
      <c r="AG1766" s="154"/>
      <c r="AH1766" s="242" t="str">
        <f>IF(AG1766="","N/A",INDIRECT("MTR!"&amp;ADDRESS(MATCH(LEFT(AG1766,9),[1]MTR!C:C,0),COLUMN(J1766)),TRUE) &amp; "")</f>
        <v>#ERROR!</v>
      </c>
      <c r="AI1766" s="157" t="str">
        <f t="shared" si="5"/>
        <v>#ERROR!</v>
      </c>
    </row>
    <row r="1767" ht="12.75" customHeight="1">
      <c r="A1767" s="244" t="s">
        <v>5158</v>
      </c>
      <c r="B1767" s="244" t="s">
        <v>231</v>
      </c>
      <c r="C1767" s="244" t="s">
        <v>11136</v>
      </c>
      <c r="D1767" s="154" t="s">
        <v>546</v>
      </c>
      <c r="E1767" s="154"/>
      <c r="F1767" s="154" t="str">
        <f t="array" ref="F1767">XLOOKUP(Cover!$D$12,$R$1:$Z$1,$R1767:$Z1767)</f>
        <v>Information</v>
      </c>
      <c r="G1767" s="154" t="s">
        <v>11137</v>
      </c>
      <c r="H1767" s="154" t="s">
        <v>7853</v>
      </c>
      <c r="I1767" s="154" t="s">
        <v>11133</v>
      </c>
      <c r="J1767" s="154" t="s">
        <v>7360</v>
      </c>
      <c r="K1767" s="154" t="s">
        <v>11079</v>
      </c>
      <c r="L1767" s="154" t="s">
        <v>6942</v>
      </c>
      <c r="M1767" s="154"/>
      <c r="N1767" s="154" t="s">
        <v>759</v>
      </c>
      <c r="O1767" s="247" t="s">
        <v>516</v>
      </c>
      <c r="P1767" s="247" t="s">
        <v>6776</v>
      </c>
      <c r="Q1767" s="154" t="str">
        <f t="shared" si="1"/>
        <v>#ERROR!</v>
      </c>
      <c r="R1767" s="154" t="s">
        <v>66</v>
      </c>
      <c r="S1767" s="154" t="s">
        <v>66</v>
      </c>
      <c r="T1767" s="154" t="s">
        <v>66</v>
      </c>
      <c r="U1767" s="154" t="s">
        <v>66</v>
      </c>
      <c r="V1767" s="154" t="s">
        <v>66</v>
      </c>
      <c r="W1767" s="154" t="s">
        <v>66</v>
      </c>
      <c r="X1767" s="154" t="s">
        <v>66</v>
      </c>
      <c r="Y1767" s="154" t="s">
        <v>66</v>
      </c>
      <c r="Z1767" s="154" t="s">
        <v>66</v>
      </c>
      <c r="AA1767" s="154"/>
      <c r="AB1767" s="242" t="str">
        <f t="shared" si="2"/>
        <v>#ERROR!</v>
      </c>
      <c r="AC1767" s="154" t="s">
        <v>391</v>
      </c>
      <c r="AD1767" s="242" t="b">
        <f t="shared" si="3"/>
        <v>0</v>
      </c>
      <c r="AE1767" s="154"/>
      <c r="AF1767" s="242" t="str">
        <f t="shared" si="4"/>
        <v>#ERROR!</v>
      </c>
      <c r="AG1767" s="154"/>
      <c r="AH1767" s="242" t="str">
        <f>IF(AG1767="","N/A",INDIRECT("MTR!"&amp;ADDRESS(MATCH(LEFT(AG1767,9),[1]MTR!C:C,0),COLUMN(J1767)),TRUE) &amp; "")</f>
        <v>#ERROR!</v>
      </c>
      <c r="AI1767" s="157" t="str">
        <f t="shared" si="5"/>
        <v>#ERROR!</v>
      </c>
    </row>
    <row r="1768" ht="12.75" customHeight="1">
      <c r="A1768" s="244" t="s">
        <v>5158</v>
      </c>
      <c r="B1768" s="244" t="s">
        <v>231</v>
      </c>
      <c r="C1768" s="244" t="s">
        <v>11138</v>
      </c>
      <c r="D1768" s="154" t="s">
        <v>546</v>
      </c>
      <c r="E1768" s="154"/>
      <c r="F1768" s="154" t="str">
        <f t="array" ref="F1768">XLOOKUP(Cover!$D$12,$R$1:$Z$1,$R1768:$Z1768)</f>
        <v>Information</v>
      </c>
      <c r="G1768" s="154" t="s">
        <v>11139</v>
      </c>
      <c r="H1768" s="154" t="s">
        <v>1541</v>
      </c>
      <c r="I1768" s="154" t="s">
        <v>11133</v>
      </c>
      <c r="J1768" s="154" t="s">
        <v>7360</v>
      </c>
      <c r="K1768" s="154" t="s">
        <v>11079</v>
      </c>
      <c r="L1768" s="154" t="s">
        <v>6942</v>
      </c>
      <c r="M1768" s="154"/>
      <c r="N1768" s="154" t="s">
        <v>759</v>
      </c>
      <c r="O1768" s="247" t="s">
        <v>516</v>
      </c>
      <c r="P1768" s="247" t="s">
        <v>6776</v>
      </c>
      <c r="Q1768" s="154" t="str">
        <f t="shared" si="1"/>
        <v>#ERROR!</v>
      </c>
      <c r="R1768" s="154" t="s">
        <v>66</v>
      </c>
      <c r="S1768" s="154" t="s">
        <v>66</v>
      </c>
      <c r="T1768" s="154" t="s">
        <v>66</v>
      </c>
      <c r="U1768" s="154" t="s">
        <v>66</v>
      </c>
      <c r="V1768" s="154" t="s">
        <v>66</v>
      </c>
      <c r="W1768" s="154" t="s">
        <v>66</v>
      </c>
      <c r="X1768" s="154" t="s">
        <v>66</v>
      </c>
      <c r="Y1768" s="154" t="s">
        <v>66</v>
      </c>
      <c r="Z1768" s="154" t="s">
        <v>66</v>
      </c>
      <c r="AA1768" s="154"/>
      <c r="AB1768" s="242" t="str">
        <f t="shared" si="2"/>
        <v>#ERROR!</v>
      </c>
      <c r="AC1768" s="154" t="s">
        <v>391</v>
      </c>
      <c r="AD1768" s="242" t="b">
        <f t="shared" si="3"/>
        <v>0</v>
      </c>
      <c r="AE1768" s="154"/>
      <c r="AF1768" s="242" t="str">
        <f t="shared" si="4"/>
        <v>#ERROR!</v>
      </c>
      <c r="AG1768" s="154"/>
      <c r="AH1768" s="242" t="str">
        <f>IF(AG1768="","N/A",INDIRECT("MTR!"&amp;ADDRESS(MATCH(LEFT(AG1768,9),[1]MTR!C:C,0),COLUMN(J1768)),TRUE) &amp; "")</f>
        <v>#ERROR!</v>
      </c>
      <c r="AI1768" s="157" t="str">
        <f t="shared" si="5"/>
        <v>#ERROR!</v>
      </c>
    </row>
    <row r="1769" ht="12.75" customHeight="1">
      <c r="A1769" s="244" t="s">
        <v>5158</v>
      </c>
      <c r="B1769" s="244" t="s">
        <v>231</v>
      </c>
      <c r="C1769" s="244" t="s">
        <v>11140</v>
      </c>
      <c r="D1769" s="154" t="s">
        <v>546</v>
      </c>
      <c r="E1769" s="154"/>
      <c r="F1769" s="154" t="str">
        <f t="array" ref="F1769">XLOOKUP(Cover!$D$12,$R$1:$Z$1,$R1769:$Z1769)</f>
        <v>Information</v>
      </c>
      <c r="G1769" s="154" t="s">
        <v>11141</v>
      </c>
      <c r="H1769" s="154" t="s">
        <v>7838</v>
      </c>
      <c r="I1769" s="154" t="s">
        <v>11142</v>
      </c>
      <c r="J1769" s="154" t="s">
        <v>6815</v>
      </c>
      <c r="K1769" s="154" t="s">
        <v>11079</v>
      </c>
      <c r="L1769" s="154" t="s">
        <v>6529</v>
      </c>
      <c r="M1769" s="154"/>
      <c r="N1769" s="154" t="s">
        <v>759</v>
      </c>
      <c r="O1769" s="247" t="s">
        <v>516</v>
      </c>
      <c r="P1769" s="247" t="s">
        <v>11086</v>
      </c>
      <c r="Q1769" s="154" t="str">
        <f t="shared" si="1"/>
        <v>#ERROR!</v>
      </c>
      <c r="R1769" s="154" t="s">
        <v>66</v>
      </c>
      <c r="S1769" s="154" t="s">
        <v>66</v>
      </c>
      <c r="T1769" s="154" t="s">
        <v>66</v>
      </c>
      <c r="U1769" s="154" t="s">
        <v>66</v>
      </c>
      <c r="V1769" s="154" t="s">
        <v>66</v>
      </c>
      <c r="W1769" s="154" t="s">
        <v>66</v>
      </c>
      <c r="X1769" s="154" t="s">
        <v>66</v>
      </c>
      <c r="Y1769" s="154" t="s">
        <v>66</v>
      </c>
      <c r="Z1769" s="154" t="s">
        <v>66</v>
      </c>
      <c r="AA1769" s="154"/>
      <c r="AB1769" s="242" t="str">
        <f t="shared" si="2"/>
        <v>#ERROR!</v>
      </c>
      <c r="AC1769" s="154" t="s">
        <v>391</v>
      </c>
      <c r="AD1769" s="242" t="b">
        <f t="shared" si="3"/>
        <v>0</v>
      </c>
      <c r="AE1769" s="154"/>
      <c r="AF1769" s="242" t="str">
        <f t="shared" si="4"/>
        <v>#ERROR!</v>
      </c>
      <c r="AG1769" s="154"/>
      <c r="AH1769" s="242" t="str">
        <f>IF(AG1769="","N/A",INDIRECT("MTR!"&amp;ADDRESS(MATCH(LEFT(AG1769,9),[1]MTR!C:C,0),COLUMN(J1769)),TRUE) &amp; "")</f>
        <v>#ERROR!</v>
      </c>
      <c r="AI1769" s="157" t="str">
        <f t="shared" si="5"/>
        <v>#ERROR!</v>
      </c>
    </row>
    <row r="1770" ht="12.75" customHeight="1">
      <c r="A1770" s="244" t="s">
        <v>5158</v>
      </c>
      <c r="B1770" s="244" t="s">
        <v>231</v>
      </c>
      <c r="C1770" s="244" t="s">
        <v>11143</v>
      </c>
      <c r="D1770" s="154" t="s">
        <v>546</v>
      </c>
      <c r="E1770" s="154"/>
      <c r="F1770" s="154" t="str">
        <f t="array" ref="F1770">XLOOKUP(Cover!$D$12,$R$1:$Z$1,$R1770:$Z1770)</f>
        <v>Information</v>
      </c>
      <c r="G1770" s="154" t="s">
        <v>11144</v>
      </c>
      <c r="H1770" s="154" t="s">
        <v>9006</v>
      </c>
      <c r="I1770" s="154" t="s">
        <v>11142</v>
      </c>
      <c r="J1770" s="154" t="s">
        <v>6815</v>
      </c>
      <c r="K1770" s="154" t="s">
        <v>11079</v>
      </c>
      <c r="L1770" s="154" t="s">
        <v>6529</v>
      </c>
      <c r="M1770" s="154"/>
      <c r="N1770" s="154" t="s">
        <v>759</v>
      </c>
      <c r="O1770" s="247" t="s">
        <v>445</v>
      </c>
      <c r="P1770" s="247" t="s">
        <v>89</v>
      </c>
      <c r="Q1770" s="154" t="str">
        <f t="shared" si="1"/>
        <v>#ERROR!</v>
      </c>
      <c r="R1770" s="154" t="s">
        <v>66</v>
      </c>
      <c r="S1770" s="154" t="s">
        <v>66</v>
      </c>
      <c r="T1770" s="154" t="s">
        <v>66</v>
      </c>
      <c r="U1770" s="154" t="s">
        <v>66</v>
      </c>
      <c r="V1770" s="154" t="s">
        <v>66</v>
      </c>
      <c r="W1770" s="154" t="s">
        <v>66</v>
      </c>
      <c r="X1770" s="154" t="s">
        <v>66</v>
      </c>
      <c r="Y1770" s="154" t="s">
        <v>66</v>
      </c>
      <c r="Z1770" s="154" t="s">
        <v>66</v>
      </c>
      <c r="AA1770" s="154"/>
      <c r="AB1770" s="242" t="str">
        <f t="shared" si="2"/>
        <v>#ERROR!</v>
      </c>
      <c r="AC1770" s="154" t="s">
        <v>391</v>
      </c>
      <c r="AD1770" s="242" t="b">
        <f t="shared" si="3"/>
        <v>0</v>
      </c>
      <c r="AE1770" s="154"/>
      <c r="AF1770" s="242" t="str">
        <f t="shared" si="4"/>
        <v>#ERROR!</v>
      </c>
      <c r="AG1770" s="154"/>
      <c r="AH1770" s="242" t="str">
        <f>IF(AG1770="","N/A",INDIRECT("MTR!"&amp;ADDRESS(MATCH(LEFT(AG1770,9),[1]MTR!C:C,0),COLUMN(J1770)),TRUE) &amp; "")</f>
        <v>#ERROR!</v>
      </c>
      <c r="AI1770" s="157" t="str">
        <f t="shared" si="5"/>
        <v>#ERROR!</v>
      </c>
    </row>
    <row r="1771" ht="12.75" customHeight="1">
      <c r="A1771" s="244" t="s">
        <v>5158</v>
      </c>
      <c r="B1771" s="244" t="s">
        <v>231</v>
      </c>
      <c r="C1771" s="244" t="s">
        <v>11145</v>
      </c>
      <c r="D1771" s="154" t="s">
        <v>542</v>
      </c>
      <c r="E1771" s="154"/>
      <c r="F1771" s="154" t="str">
        <f t="array" ref="F1771">XLOOKUP(Cover!$D$12,$R$1:$Z$1,$R1771:$Z1771)</f>
        <v>Recommended</v>
      </c>
      <c r="G1771" s="154" t="s">
        <v>11146</v>
      </c>
      <c r="H1771" s="154" t="s">
        <v>7838</v>
      </c>
      <c r="I1771" s="154" t="s">
        <v>11147</v>
      </c>
      <c r="J1771" s="154" t="s">
        <v>6809</v>
      </c>
      <c r="K1771" s="154" t="s">
        <v>11079</v>
      </c>
      <c r="L1771" s="154" t="s">
        <v>6525</v>
      </c>
      <c r="M1771" s="154"/>
      <c r="N1771" s="154" t="s">
        <v>759</v>
      </c>
      <c r="O1771" s="247" t="s">
        <v>516</v>
      </c>
      <c r="P1771" s="247" t="s">
        <v>11086</v>
      </c>
      <c r="Q1771" s="154" t="str">
        <f t="shared" si="1"/>
        <v>#ERROR!</v>
      </c>
      <c r="R1771" s="154" t="s">
        <v>66</v>
      </c>
      <c r="S1771" s="154" t="s">
        <v>66</v>
      </c>
      <c r="T1771" s="154" t="s">
        <v>64</v>
      </c>
      <c r="U1771" s="154" t="s">
        <v>64</v>
      </c>
      <c r="V1771" s="154" t="s">
        <v>64</v>
      </c>
      <c r="W1771" s="154" t="s">
        <v>64</v>
      </c>
      <c r="X1771" s="154" t="s">
        <v>66</v>
      </c>
      <c r="Y1771" s="154" t="s">
        <v>64</v>
      </c>
      <c r="Z1771" s="154" t="s">
        <v>64</v>
      </c>
      <c r="AA1771" s="154"/>
      <c r="AB1771" s="242" t="str">
        <f t="shared" si="2"/>
        <v>#ERROR!</v>
      </c>
      <c r="AC1771" s="154" t="s">
        <v>391</v>
      </c>
      <c r="AD1771" s="242" t="b">
        <f t="shared" si="3"/>
        <v>0</v>
      </c>
      <c r="AE1771" s="154"/>
      <c r="AF1771" s="242" t="str">
        <f t="shared" si="4"/>
        <v>#ERROR!</v>
      </c>
      <c r="AG1771" s="154"/>
      <c r="AH1771" s="242" t="str">
        <f>IF(AG1771="","N/A",INDIRECT("MTR!"&amp;ADDRESS(MATCH(LEFT(AG1771,9),[1]MTR!C:C,0),COLUMN(J1771)),TRUE) &amp; "")</f>
        <v>#ERROR!</v>
      </c>
      <c r="AI1771" s="157" t="str">
        <f t="shared" si="5"/>
        <v>#ERROR!</v>
      </c>
    </row>
    <row r="1772" ht="12.75" customHeight="1">
      <c r="A1772" s="244" t="s">
        <v>5158</v>
      </c>
      <c r="B1772" s="244" t="s">
        <v>231</v>
      </c>
      <c r="C1772" s="244" t="s">
        <v>11148</v>
      </c>
      <c r="D1772" s="154" t="s">
        <v>542</v>
      </c>
      <c r="E1772" s="154"/>
      <c r="F1772" s="154" t="str">
        <f t="array" ref="F1772">XLOOKUP(Cover!$D$12,$R$1:$Z$1,$R1772:$Z1772)</f>
        <v>Recommended</v>
      </c>
      <c r="G1772" s="154" t="s">
        <v>11149</v>
      </c>
      <c r="H1772" s="154" t="s">
        <v>9006</v>
      </c>
      <c r="I1772" s="154" t="s">
        <v>11147</v>
      </c>
      <c r="J1772" s="154" t="s">
        <v>6809</v>
      </c>
      <c r="K1772" s="154" t="s">
        <v>11079</v>
      </c>
      <c r="L1772" s="154" t="s">
        <v>6525</v>
      </c>
      <c r="M1772" s="154"/>
      <c r="N1772" s="154" t="s">
        <v>759</v>
      </c>
      <c r="O1772" s="247" t="s">
        <v>445</v>
      </c>
      <c r="P1772" s="247" t="s">
        <v>89</v>
      </c>
      <c r="Q1772" s="154" t="str">
        <f t="shared" si="1"/>
        <v>#ERROR!</v>
      </c>
      <c r="R1772" s="154" t="s">
        <v>66</v>
      </c>
      <c r="S1772" s="154" t="s">
        <v>66</v>
      </c>
      <c r="T1772" s="154" t="s">
        <v>64</v>
      </c>
      <c r="U1772" s="154" t="s">
        <v>64</v>
      </c>
      <c r="V1772" s="154" t="s">
        <v>64</v>
      </c>
      <c r="W1772" s="154" t="s">
        <v>64</v>
      </c>
      <c r="X1772" s="154" t="s">
        <v>66</v>
      </c>
      <c r="Y1772" s="154" t="s">
        <v>64</v>
      </c>
      <c r="Z1772" s="154" t="s">
        <v>64</v>
      </c>
      <c r="AA1772" s="154"/>
      <c r="AB1772" s="242" t="str">
        <f t="shared" si="2"/>
        <v>#ERROR!</v>
      </c>
      <c r="AC1772" s="154" t="s">
        <v>391</v>
      </c>
      <c r="AD1772" s="242" t="b">
        <f t="shared" si="3"/>
        <v>0</v>
      </c>
      <c r="AE1772" s="154"/>
      <c r="AF1772" s="242" t="str">
        <f t="shared" si="4"/>
        <v>#ERROR!</v>
      </c>
      <c r="AG1772" s="154"/>
      <c r="AH1772" s="242" t="str">
        <f>IF(AG1772="","N/A",INDIRECT("MTR!"&amp;ADDRESS(MATCH(LEFT(AG1772,9),[1]MTR!C:C,0),COLUMN(J1772)),TRUE) &amp; "")</f>
        <v>#ERROR!</v>
      </c>
      <c r="AI1772" s="157" t="str">
        <f t="shared" si="5"/>
        <v>#ERROR!</v>
      </c>
    </row>
    <row r="1773" ht="12.75" customHeight="1">
      <c r="A1773" s="244" t="s">
        <v>5158</v>
      </c>
      <c r="B1773" s="244" t="s">
        <v>231</v>
      </c>
      <c r="C1773" s="244" t="s">
        <v>11150</v>
      </c>
      <c r="D1773" s="154" t="s">
        <v>542</v>
      </c>
      <c r="E1773" s="154"/>
      <c r="F1773" s="154" t="str">
        <f t="array" ref="F1773">XLOOKUP(Cover!$D$12,$R$1:$Z$1,$R1773:$Z1773)</f>
        <v>Recommended</v>
      </c>
      <c r="G1773" s="154" t="s">
        <v>11151</v>
      </c>
      <c r="H1773" s="154" t="s">
        <v>7892</v>
      </c>
      <c r="I1773" s="154" t="s">
        <v>11147</v>
      </c>
      <c r="J1773" s="154" t="s">
        <v>6809</v>
      </c>
      <c r="K1773" s="154" t="s">
        <v>11079</v>
      </c>
      <c r="L1773" s="154" t="s">
        <v>6525</v>
      </c>
      <c r="M1773" s="154"/>
      <c r="N1773" s="154" t="s">
        <v>759</v>
      </c>
      <c r="O1773" s="247" t="s">
        <v>516</v>
      </c>
      <c r="P1773" s="247" t="s">
        <v>1575</v>
      </c>
      <c r="Q1773" s="154" t="str">
        <f t="shared" si="1"/>
        <v>#ERROR!</v>
      </c>
      <c r="R1773" s="154" t="s">
        <v>66</v>
      </c>
      <c r="S1773" s="154" t="s">
        <v>66</v>
      </c>
      <c r="T1773" s="154" t="s">
        <v>64</v>
      </c>
      <c r="U1773" s="154" t="s">
        <v>64</v>
      </c>
      <c r="V1773" s="154" t="s">
        <v>64</v>
      </c>
      <c r="W1773" s="154" t="s">
        <v>64</v>
      </c>
      <c r="X1773" s="154" t="s">
        <v>66</v>
      </c>
      <c r="Y1773" s="154" t="s">
        <v>64</v>
      </c>
      <c r="Z1773" s="154" t="s">
        <v>64</v>
      </c>
      <c r="AA1773" s="154"/>
      <c r="AB1773" s="242" t="str">
        <f t="shared" si="2"/>
        <v>#ERROR!</v>
      </c>
      <c r="AC1773" s="154" t="s">
        <v>391</v>
      </c>
      <c r="AD1773" s="242" t="b">
        <f t="shared" si="3"/>
        <v>0</v>
      </c>
      <c r="AE1773" s="154"/>
      <c r="AF1773" s="242" t="str">
        <f t="shared" si="4"/>
        <v>#ERROR!</v>
      </c>
      <c r="AG1773" s="154"/>
      <c r="AH1773" s="242" t="str">
        <f>IF(AG1773="","N/A",INDIRECT("MTR!"&amp;ADDRESS(MATCH(LEFT(AG1773,9),[1]MTR!C:C,0),COLUMN(J1773)),TRUE) &amp; "")</f>
        <v>#ERROR!</v>
      </c>
      <c r="AI1773" s="157" t="str">
        <f t="shared" si="5"/>
        <v>#ERROR!</v>
      </c>
    </row>
    <row r="1774" ht="12.75" customHeight="1">
      <c r="A1774" s="244" t="s">
        <v>5158</v>
      </c>
      <c r="B1774" s="244" t="s">
        <v>231</v>
      </c>
      <c r="C1774" s="244" t="s">
        <v>11152</v>
      </c>
      <c r="D1774" s="154" t="s">
        <v>1315</v>
      </c>
      <c r="E1774" s="154"/>
      <c r="F1774" s="154" t="str">
        <f t="array" ref="F1774">XLOOKUP(Cover!$D$12,$R$1:$Z$1,$R1774:$Z1774)</f>
        <v>Recommended</v>
      </c>
      <c r="G1774" s="154" t="s">
        <v>11153</v>
      </c>
      <c r="H1774" s="154" t="s">
        <v>9053</v>
      </c>
      <c r="I1774" s="154" t="s">
        <v>11147</v>
      </c>
      <c r="J1774" s="154" t="s">
        <v>6809</v>
      </c>
      <c r="K1774" s="154" t="s">
        <v>11079</v>
      </c>
      <c r="L1774" s="154" t="s">
        <v>6905</v>
      </c>
      <c r="M1774" s="154"/>
      <c r="N1774" s="154" t="s">
        <v>759</v>
      </c>
      <c r="O1774" s="247" t="s">
        <v>516</v>
      </c>
      <c r="P1774" s="247" t="s">
        <v>1575</v>
      </c>
      <c r="Q1774" s="154" t="str">
        <f t="shared" si="1"/>
        <v>#ERROR!</v>
      </c>
      <c r="R1774" s="154" t="s">
        <v>66</v>
      </c>
      <c r="S1774" s="154" t="s">
        <v>66</v>
      </c>
      <c r="T1774" s="154" t="s">
        <v>64</v>
      </c>
      <c r="U1774" s="154" t="s">
        <v>64</v>
      </c>
      <c r="V1774" s="154" t="s">
        <v>64</v>
      </c>
      <c r="W1774" s="154" t="s">
        <v>64</v>
      </c>
      <c r="X1774" s="154" t="s">
        <v>66</v>
      </c>
      <c r="Y1774" s="154" t="s">
        <v>64</v>
      </c>
      <c r="Z1774" s="154" t="s">
        <v>64</v>
      </c>
      <c r="AA1774" s="154"/>
      <c r="AB1774" s="242" t="str">
        <f t="shared" si="2"/>
        <v>#ERROR!</v>
      </c>
      <c r="AC1774" s="154" t="s">
        <v>391</v>
      </c>
      <c r="AD1774" s="242" t="b">
        <f t="shared" si="3"/>
        <v>0</v>
      </c>
      <c r="AE1774" s="154"/>
      <c r="AF1774" s="242" t="str">
        <f t="shared" si="4"/>
        <v>#ERROR!</v>
      </c>
      <c r="AG1774" s="154"/>
      <c r="AH1774" s="242" t="str">
        <f>IF(AG1774="","N/A",INDIRECT("MTR!"&amp;ADDRESS(MATCH(LEFT(AG1774,9),[1]MTR!C:C,0),COLUMN(J1774)),TRUE) &amp; "")</f>
        <v>#ERROR!</v>
      </c>
      <c r="AI1774" s="157" t="str">
        <f t="shared" si="5"/>
        <v>#ERROR!</v>
      </c>
    </row>
    <row r="1775" ht="12.75" customHeight="1">
      <c r="A1775" s="244" t="s">
        <v>5158</v>
      </c>
      <c r="B1775" s="244" t="s">
        <v>231</v>
      </c>
      <c r="C1775" s="244" t="s">
        <v>11154</v>
      </c>
      <c r="D1775" s="154" t="s">
        <v>546</v>
      </c>
      <c r="E1775" s="154"/>
      <c r="F1775" s="154" t="str">
        <f t="array" ref="F1775">XLOOKUP(Cover!$D$12,$R$1:$Z$1,$R1775:$Z1775)</f>
        <v>Information</v>
      </c>
      <c r="G1775" s="154" t="s">
        <v>11155</v>
      </c>
      <c r="H1775" s="154" t="s">
        <v>7838</v>
      </c>
      <c r="I1775" s="154" t="s">
        <v>11156</v>
      </c>
      <c r="J1775" s="154" t="s">
        <v>6819</v>
      </c>
      <c r="K1775" s="154" t="s">
        <v>11079</v>
      </c>
      <c r="L1775" s="154" t="s">
        <v>6529</v>
      </c>
      <c r="M1775" s="154"/>
      <c r="N1775" s="154" t="s">
        <v>759</v>
      </c>
      <c r="O1775" s="247" t="s">
        <v>516</v>
      </c>
      <c r="P1775" s="247" t="s">
        <v>6776</v>
      </c>
      <c r="Q1775" s="154" t="str">
        <f t="shared" si="1"/>
        <v>#ERROR!</v>
      </c>
      <c r="R1775" s="154" t="s">
        <v>66</v>
      </c>
      <c r="S1775" s="154" t="s">
        <v>66</v>
      </c>
      <c r="T1775" s="154" t="s">
        <v>66</v>
      </c>
      <c r="U1775" s="154" t="s">
        <v>66</v>
      </c>
      <c r="V1775" s="154" t="s">
        <v>66</v>
      </c>
      <c r="W1775" s="154" t="s">
        <v>66</v>
      </c>
      <c r="X1775" s="154" t="s">
        <v>66</v>
      </c>
      <c r="Y1775" s="154" t="s">
        <v>66</v>
      </c>
      <c r="Z1775" s="154" t="s">
        <v>66</v>
      </c>
      <c r="AA1775" s="154"/>
      <c r="AB1775" s="242" t="str">
        <f t="shared" si="2"/>
        <v>#ERROR!</v>
      </c>
      <c r="AC1775" s="154" t="s">
        <v>391</v>
      </c>
      <c r="AD1775" s="242" t="b">
        <f t="shared" si="3"/>
        <v>0</v>
      </c>
      <c r="AE1775" s="154"/>
      <c r="AF1775" s="242" t="str">
        <f t="shared" si="4"/>
        <v>#ERROR!</v>
      </c>
      <c r="AG1775" s="154"/>
      <c r="AH1775" s="242" t="str">
        <f>IF(AG1775="","N/A",INDIRECT("MTR!"&amp;ADDRESS(MATCH(LEFT(AG1775,9),[1]MTR!C:C,0),COLUMN(J1775)),TRUE) &amp; "")</f>
        <v>#ERROR!</v>
      </c>
      <c r="AI1775" s="157" t="str">
        <f t="shared" si="5"/>
        <v>#ERROR!</v>
      </c>
    </row>
    <row r="1776" ht="12.75" customHeight="1">
      <c r="A1776" s="244" t="s">
        <v>5158</v>
      </c>
      <c r="B1776" s="244" t="s">
        <v>231</v>
      </c>
      <c r="C1776" s="244" t="s">
        <v>11157</v>
      </c>
      <c r="D1776" s="154" t="s">
        <v>546</v>
      </c>
      <c r="E1776" s="154"/>
      <c r="F1776" s="154" t="str">
        <f t="array" ref="F1776">XLOOKUP(Cover!$D$12,$R$1:$Z$1,$R1776:$Z1776)</f>
        <v>Information</v>
      </c>
      <c r="G1776" s="154" t="s">
        <v>11158</v>
      </c>
      <c r="H1776" s="154" t="s">
        <v>9006</v>
      </c>
      <c r="I1776" s="154" t="s">
        <v>11156</v>
      </c>
      <c r="J1776" s="154" t="s">
        <v>6819</v>
      </c>
      <c r="K1776" s="154" t="s">
        <v>11079</v>
      </c>
      <c r="L1776" s="154" t="s">
        <v>6529</v>
      </c>
      <c r="M1776" s="154"/>
      <c r="N1776" s="154" t="s">
        <v>759</v>
      </c>
      <c r="O1776" s="247" t="s">
        <v>516</v>
      </c>
      <c r="P1776" s="247" t="s">
        <v>6776</v>
      </c>
      <c r="Q1776" s="154" t="str">
        <f t="shared" si="1"/>
        <v>#ERROR!</v>
      </c>
      <c r="R1776" s="154" t="s">
        <v>66</v>
      </c>
      <c r="S1776" s="154" t="s">
        <v>66</v>
      </c>
      <c r="T1776" s="154" t="s">
        <v>66</v>
      </c>
      <c r="U1776" s="154" t="s">
        <v>66</v>
      </c>
      <c r="V1776" s="154" t="s">
        <v>66</v>
      </c>
      <c r="W1776" s="154" t="s">
        <v>66</v>
      </c>
      <c r="X1776" s="154" t="s">
        <v>66</v>
      </c>
      <c r="Y1776" s="154" t="s">
        <v>66</v>
      </c>
      <c r="Z1776" s="154" t="s">
        <v>66</v>
      </c>
      <c r="AA1776" s="154"/>
      <c r="AB1776" s="242" t="str">
        <f t="shared" si="2"/>
        <v>#ERROR!</v>
      </c>
      <c r="AC1776" s="154" t="s">
        <v>391</v>
      </c>
      <c r="AD1776" s="242" t="b">
        <f t="shared" si="3"/>
        <v>0</v>
      </c>
      <c r="AE1776" s="154"/>
      <c r="AF1776" s="242" t="str">
        <f t="shared" si="4"/>
        <v>#ERROR!</v>
      </c>
      <c r="AG1776" s="154"/>
      <c r="AH1776" s="242" t="str">
        <f>IF(AG1776="","N/A",INDIRECT("MTR!"&amp;ADDRESS(MATCH(LEFT(AG1776,9),[1]MTR!C:C,0),COLUMN(J1776)),TRUE) &amp; "")</f>
        <v>#ERROR!</v>
      </c>
      <c r="AI1776" s="157" t="str">
        <f t="shared" si="5"/>
        <v>#ERROR!</v>
      </c>
    </row>
    <row r="1777" ht="12.75" customHeight="1">
      <c r="A1777" s="244" t="s">
        <v>5158</v>
      </c>
      <c r="B1777" s="244" t="s">
        <v>231</v>
      </c>
      <c r="C1777" s="244" t="s">
        <v>11159</v>
      </c>
      <c r="D1777" s="154" t="s">
        <v>546</v>
      </c>
      <c r="E1777" s="154"/>
      <c r="F1777" s="154" t="str">
        <f t="array" ref="F1777">XLOOKUP(Cover!$D$12,$R$1:$Z$1,$R1777:$Z1777)</f>
        <v>Information</v>
      </c>
      <c r="G1777" s="154" t="s">
        <v>11160</v>
      </c>
      <c r="H1777" s="154" t="s">
        <v>7844</v>
      </c>
      <c r="I1777" s="154" t="s">
        <v>11156</v>
      </c>
      <c r="J1777" s="154" t="s">
        <v>6819</v>
      </c>
      <c r="K1777" s="154" t="s">
        <v>11079</v>
      </c>
      <c r="L1777" s="154" t="s">
        <v>6529</v>
      </c>
      <c r="M1777" s="154"/>
      <c r="N1777" s="154" t="s">
        <v>759</v>
      </c>
      <c r="O1777" s="247" t="s">
        <v>516</v>
      </c>
      <c r="P1777" s="247" t="s">
        <v>6776</v>
      </c>
      <c r="Q1777" s="154" t="str">
        <f t="shared" si="1"/>
        <v>#ERROR!</v>
      </c>
      <c r="R1777" s="154" t="s">
        <v>66</v>
      </c>
      <c r="S1777" s="154" t="s">
        <v>66</v>
      </c>
      <c r="T1777" s="154" t="s">
        <v>66</v>
      </c>
      <c r="U1777" s="154" t="s">
        <v>66</v>
      </c>
      <c r="V1777" s="154" t="s">
        <v>66</v>
      </c>
      <c r="W1777" s="154" t="s">
        <v>66</v>
      </c>
      <c r="X1777" s="154" t="s">
        <v>66</v>
      </c>
      <c r="Y1777" s="154" t="s">
        <v>66</v>
      </c>
      <c r="Z1777" s="154" t="s">
        <v>66</v>
      </c>
      <c r="AA1777" s="154"/>
      <c r="AB1777" s="242" t="str">
        <f t="shared" si="2"/>
        <v>#ERROR!</v>
      </c>
      <c r="AC1777" s="154" t="s">
        <v>391</v>
      </c>
      <c r="AD1777" s="242" t="b">
        <f t="shared" si="3"/>
        <v>0</v>
      </c>
      <c r="AE1777" s="154"/>
      <c r="AF1777" s="242" t="str">
        <f t="shared" si="4"/>
        <v>#ERROR!</v>
      </c>
      <c r="AG1777" s="154"/>
      <c r="AH1777" s="242" t="str">
        <f>IF(AG1777="","N/A",INDIRECT("MTR!"&amp;ADDRESS(MATCH(LEFT(AG1777,9),[1]MTR!C:C,0),COLUMN(J1777)),TRUE) &amp; "")</f>
        <v>#ERROR!</v>
      </c>
      <c r="AI1777" s="157" t="str">
        <f t="shared" si="5"/>
        <v>#ERROR!</v>
      </c>
    </row>
    <row r="1778" ht="12.75" customHeight="1">
      <c r="A1778" s="244" t="s">
        <v>5158</v>
      </c>
      <c r="B1778" s="244" t="s">
        <v>231</v>
      </c>
      <c r="C1778" s="244" t="s">
        <v>11161</v>
      </c>
      <c r="D1778" s="154" t="s">
        <v>546</v>
      </c>
      <c r="E1778" s="154"/>
      <c r="F1778" s="154" t="str">
        <f t="array" ref="F1778">XLOOKUP(Cover!$D$12,$R$1:$Z$1,$R1778:$Z1778)</f>
        <v>Information</v>
      </c>
      <c r="G1778" s="154" t="s">
        <v>11162</v>
      </c>
      <c r="H1778" s="154" t="s">
        <v>9009</v>
      </c>
      <c r="I1778" s="154" t="s">
        <v>11156</v>
      </c>
      <c r="J1778" s="154" t="s">
        <v>6819</v>
      </c>
      <c r="K1778" s="154" t="s">
        <v>11079</v>
      </c>
      <c r="L1778" s="154" t="s">
        <v>6529</v>
      </c>
      <c r="M1778" s="154"/>
      <c r="N1778" s="154" t="s">
        <v>759</v>
      </c>
      <c r="O1778" s="247" t="s">
        <v>516</v>
      </c>
      <c r="P1778" s="247" t="s">
        <v>6776</v>
      </c>
      <c r="Q1778" s="154" t="str">
        <f t="shared" si="1"/>
        <v>#ERROR!</v>
      </c>
      <c r="R1778" s="154" t="s">
        <v>66</v>
      </c>
      <c r="S1778" s="154" t="s">
        <v>66</v>
      </c>
      <c r="T1778" s="154" t="s">
        <v>66</v>
      </c>
      <c r="U1778" s="154" t="s">
        <v>66</v>
      </c>
      <c r="V1778" s="154" t="s">
        <v>66</v>
      </c>
      <c r="W1778" s="154" t="s">
        <v>66</v>
      </c>
      <c r="X1778" s="154" t="s">
        <v>66</v>
      </c>
      <c r="Y1778" s="154" t="s">
        <v>66</v>
      </c>
      <c r="Z1778" s="154" t="s">
        <v>66</v>
      </c>
      <c r="AA1778" s="154"/>
      <c r="AB1778" s="242" t="str">
        <f t="shared" si="2"/>
        <v>#ERROR!</v>
      </c>
      <c r="AC1778" s="154" t="s">
        <v>391</v>
      </c>
      <c r="AD1778" s="242" t="b">
        <f t="shared" si="3"/>
        <v>0</v>
      </c>
      <c r="AE1778" s="154"/>
      <c r="AF1778" s="242" t="str">
        <f t="shared" si="4"/>
        <v>#ERROR!</v>
      </c>
      <c r="AG1778" s="154"/>
      <c r="AH1778" s="242" t="str">
        <f>IF(AG1778="","N/A",INDIRECT("MTR!"&amp;ADDRESS(MATCH(LEFT(AG1778,9),[1]MTR!C:C,0),COLUMN(J1778)),TRUE) &amp; "")</f>
        <v>#ERROR!</v>
      </c>
      <c r="AI1778" s="157" t="str">
        <f t="shared" si="5"/>
        <v>#ERROR!</v>
      </c>
    </row>
    <row r="1779" ht="12.75" customHeight="1">
      <c r="A1779" s="244" t="s">
        <v>5158</v>
      </c>
      <c r="B1779" s="244" t="s">
        <v>231</v>
      </c>
      <c r="C1779" s="244" t="s">
        <v>11163</v>
      </c>
      <c r="D1779" s="154" t="s">
        <v>1069</v>
      </c>
      <c r="E1779" s="154"/>
      <c r="F1779" s="154" t="str">
        <f t="array" ref="F1779">XLOOKUP(Cover!$D$12,$R$1:$Z$1,$R1779:$Z1779)</f>
        <v>Recommended</v>
      </c>
      <c r="G1779" s="154" t="s">
        <v>11164</v>
      </c>
      <c r="H1779" s="154" t="s">
        <v>7838</v>
      </c>
      <c r="I1779" s="154" t="s">
        <v>11165</v>
      </c>
      <c r="J1779" s="154" t="s">
        <v>6832</v>
      </c>
      <c r="K1779" s="154" t="s">
        <v>11079</v>
      </c>
      <c r="L1779" s="154" t="s">
        <v>5927</v>
      </c>
      <c r="M1779" s="154"/>
      <c r="N1779" s="154" t="s">
        <v>759</v>
      </c>
      <c r="O1779" s="247" t="s">
        <v>516</v>
      </c>
      <c r="P1779" s="247" t="s">
        <v>6776</v>
      </c>
      <c r="Q1779" s="154" t="str">
        <f t="shared" si="1"/>
        <v>#ERROR!</v>
      </c>
      <c r="R1779" s="154" t="s">
        <v>66</v>
      </c>
      <c r="S1779" s="154" t="s">
        <v>66</v>
      </c>
      <c r="T1779" s="154" t="s">
        <v>64</v>
      </c>
      <c r="U1779" s="154" t="s">
        <v>64</v>
      </c>
      <c r="V1779" s="154" t="s">
        <v>64</v>
      </c>
      <c r="W1779" s="154" t="s">
        <v>64</v>
      </c>
      <c r="X1779" s="154" t="s">
        <v>66</v>
      </c>
      <c r="Y1779" s="154" t="s">
        <v>64</v>
      </c>
      <c r="Z1779" s="154" t="s">
        <v>64</v>
      </c>
      <c r="AA1779" s="154"/>
      <c r="AB1779" s="242" t="str">
        <f t="shared" si="2"/>
        <v>#ERROR!</v>
      </c>
      <c r="AC1779" s="154" t="s">
        <v>391</v>
      </c>
      <c r="AD1779" s="242" t="b">
        <f t="shared" si="3"/>
        <v>0</v>
      </c>
      <c r="AE1779" s="154"/>
      <c r="AF1779" s="242" t="str">
        <f t="shared" si="4"/>
        <v>#ERROR!</v>
      </c>
      <c r="AG1779" s="154"/>
      <c r="AH1779" s="242" t="str">
        <f>IF(AG1779="","N/A",INDIRECT("MTR!"&amp;ADDRESS(MATCH(LEFT(AG1779,9),[1]MTR!C:C,0),COLUMN(J1779)),TRUE) &amp; "")</f>
        <v>#ERROR!</v>
      </c>
      <c r="AI1779" s="157" t="str">
        <f t="shared" si="5"/>
        <v>#ERROR!</v>
      </c>
    </row>
    <row r="1780" ht="12.75" customHeight="1">
      <c r="A1780" s="244" t="s">
        <v>5158</v>
      </c>
      <c r="B1780" s="244" t="s">
        <v>231</v>
      </c>
      <c r="C1780" s="244" t="s">
        <v>11166</v>
      </c>
      <c r="D1780" s="154" t="s">
        <v>1069</v>
      </c>
      <c r="E1780" s="154"/>
      <c r="F1780" s="154" t="str">
        <f t="array" ref="F1780">XLOOKUP(Cover!$D$12,$R$1:$Z$1,$R1780:$Z1780)</f>
        <v>Recommended</v>
      </c>
      <c r="G1780" s="154" t="s">
        <v>11167</v>
      </c>
      <c r="H1780" s="154" t="s">
        <v>7850</v>
      </c>
      <c r="I1780" s="154" t="s">
        <v>11165</v>
      </c>
      <c r="J1780" s="154" t="s">
        <v>6832</v>
      </c>
      <c r="K1780" s="154" t="s">
        <v>11079</v>
      </c>
      <c r="L1780" s="154" t="s">
        <v>5927</v>
      </c>
      <c r="M1780" s="154"/>
      <c r="N1780" s="154" t="s">
        <v>759</v>
      </c>
      <c r="O1780" s="247" t="s">
        <v>516</v>
      </c>
      <c r="P1780" s="247" t="s">
        <v>6776</v>
      </c>
      <c r="Q1780" s="154" t="str">
        <f t="shared" si="1"/>
        <v>#ERROR!</v>
      </c>
      <c r="R1780" s="154" t="s">
        <v>66</v>
      </c>
      <c r="S1780" s="154" t="s">
        <v>66</v>
      </c>
      <c r="T1780" s="154" t="s">
        <v>64</v>
      </c>
      <c r="U1780" s="154" t="s">
        <v>64</v>
      </c>
      <c r="V1780" s="154" t="s">
        <v>64</v>
      </c>
      <c r="W1780" s="154" t="s">
        <v>64</v>
      </c>
      <c r="X1780" s="154" t="s">
        <v>66</v>
      </c>
      <c r="Y1780" s="154" t="s">
        <v>64</v>
      </c>
      <c r="Z1780" s="154" t="s">
        <v>64</v>
      </c>
      <c r="AA1780" s="154"/>
      <c r="AB1780" s="242" t="str">
        <f t="shared" si="2"/>
        <v>#ERROR!</v>
      </c>
      <c r="AC1780" s="154" t="s">
        <v>391</v>
      </c>
      <c r="AD1780" s="242" t="b">
        <f t="shared" si="3"/>
        <v>0</v>
      </c>
      <c r="AE1780" s="154"/>
      <c r="AF1780" s="242" t="str">
        <f t="shared" si="4"/>
        <v>#ERROR!</v>
      </c>
      <c r="AG1780" s="154"/>
      <c r="AH1780" s="242" t="str">
        <f>IF(AG1780="","N/A",INDIRECT("MTR!"&amp;ADDRESS(MATCH(LEFT(AG1780,9),[1]MTR!C:C,0),COLUMN(J1780)),TRUE) &amp; "")</f>
        <v>#ERROR!</v>
      </c>
      <c r="AI1780" s="157" t="str">
        <f t="shared" si="5"/>
        <v>#ERROR!</v>
      </c>
    </row>
    <row r="1781" ht="12.75" customHeight="1">
      <c r="A1781" s="244" t="s">
        <v>5158</v>
      </c>
      <c r="B1781" s="244" t="s">
        <v>231</v>
      </c>
      <c r="C1781" s="244" t="s">
        <v>11168</v>
      </c>
      <c r="D1781" s="154" t="s">
        <v>1069</v>
      </c>
      <c r="E1781" s="154"/>
      <c r="F1781" s="154" t="str">
        <f t="array" ref="F1781">XLOOKUP(Cover!$D$12,$R$1:$Z$1,$R1781:$Z1781)</f>
        <v>Recommended</v>
      </c>
      <c r="G1781" s="154" t="s">
        <v>11169</v>
      </c>
      <c r="H1781" s="154" t="s">
        <v>9015</v>
      </c>
      <c r="I1781" s="154" t="s">
        <v>11165</v>
      </c>
      <c r="J1781" s="154" t="s">
        <v>6832</v>
      </c>
      <c r="K1781" s="154" t="s">
        <v>11079</v>
      </c>
      <c r="L1781" s="154" t="s">
        <v>5927</v>
      </c>
      <c r="M1781" s="154"/>
      <c r="N1781" s="154" t="s">
        <v>759</v>
      </c>
      <c r="O1781" s="247" t="s">
        <v>516</v>
      </c>
      <c r="P1781" s="247" t="s">
        <v>6776</v>
      </c>
      <c r="Q1781" s="154" t="str">
        <f t="shared" si="1"/>
        <v>#ERROR!</v>
      </c>
      <c r="R1781" s="154" t="s">
        <v>66</v>
      </c>
      <c r="S1781" s="154" t="s">
        <v>66</v>
      </c>
      <c r="T1781" s="154" t="s">
        <v>64</v>
      </c>
      <c r="U1781" s="154" t="s">
        <v>64</v>
      </c>
      <c r="V1781" s="154" t="s">
        <v>64</v>
      </c>
      <c r="W1781" s="154" t="s">
        <v>64</v>
      </c>
      <c r="X1781" s="154" t="s">
        <v>66</v>
      </c>
      <c r="Y1781" s="154" t="s">
        <v>64</v>
      </c>
      <c r="Z1781" s="154" t="s">
        <v>64</v>
      </c>
      <c r="AA1781" s="154"/>
      <c r="AB1781" s="242" t="str">
        <f t="shared" si="2"/>
        <v>#ERROR!</v>
      </c>
      <c r="AC1781" s="154" t="s">
        <v>391</v>
      </c>
      <c r="AD1781" s="242" t="b">
        <f t="shared" si="3"/>
        <v>0</v>
      </c>
      <c r="AE1781" s="154"/>
      <c r="AF1781" s="242" t="str">
        <f t="shared" si="4"/>
        <v>#ERROR!</v>
      </c>
      <c r="AG1781" s="154"/>
      <c r="AH1781" s="242" t="str">
        <f>IF(AG1781="","N/A",INDIRECT("MTR!"&amp;ADDRESS(MATCH(LEFT(AG1781,9),[1]MTR!C:C,0),COLUMN(J1781)),TRUE) &amp; "")</f>
        <v>#ERROR!</v>
      </c>
      <c r="AI1781" s="157" t="str">
        <f t="shared" si="5"/>
        <v>#ERROR!</v>
      </c>
    </row>
    <row r="1782" ht="12.75" customHeight="1">
      <c r="A1782" s="244" t="s">
        <v>5158</v>
      </c>
      <c r="B1782" s="244" t="s">
        <v>231</v>
      </c>
      <c r="C1782" s="244" t="s">
        <v>11170</v>
      </c>
      <c r="D1782" s="154" t="s">
        <v>1069</v>
      </c>
      <c r="E1782" s="154"/>
      <c r="F1782" s="154" t="str">
        <f t="array" ref="F1782">XLOOKUP(Cover!$D$12,$R$1:$Z$1,$R1782:$Z1782)</f>
        <v>Recommended</v>
      </c>
      <c r="G1782" s="154" t="s">
        <v>11171</v>
      </c>
      <c r="H1782" s="154" t="s">
        <v>9006</v>
      </c>
      <c r="I1782" s="154" t="s">
        <v>11165</v>
      </c>
      <c r="J1782" s="154" t="s">
        <v>6832</v>
      </c>
      <c r="K1782" s="154" t="s">
        <v>11079</v>
      </c>
      <c r="L1782" s="154" t="s">
        <v>5927</v>
      </c>
      <c r="M1782" s="154"/>
      <c r="N1782" s="154" t="s">
        <v>759</v>
      </c>
      <c r="O1782" s="247" t="s">
        <v>516</v>
      </c>
      <c r="P1782" s="247" t="s">
        <v>6776</v>
      </c>
      <c r="Q1782" s="154" t="str">
        <f t="shared" si="1"/>
        <v>#ERROR!</v>
      </c>
      <c r="R1782" s="154" t="s">
        <v>66</v>
      </c>
      <c r="S1782" s="154" t="s">
        <v>66</v>
      </c>
      <c r="T1782" s="154" t="s">
        <v>64</v>
      </c>
      <c r="U1782" s="154" t="s">
        <v>64</v>
      </c>
      <c r="V1782" s="154" t="s">
        <v>64</v>
      </c>
      <c r="W1782" s="154" t="s">
        <v>64</v>
      </c>
      <c r="X1782" s="154" t="s">
        <v>66</v>
      </c>
      <c r="Y1782" s="154" t="s">
        <v>64</v>
      </c>
      <c r="Z1782" s="154" t="s">
        <v>64</v>
      </c>
      <c r="AA1782" s="154"/>
      <c r="AB1782" s="242" t="str">
        <f t="shared" si="2"/>
        <v>#ERROR!</v>
      </c>
      <c r="AC1782" s="154" t="s">
        <v>391</v>
      </c>
      <c r="AD1782" s="242" t="b">
        <f t="shared" si="3"/>
        <v>0</v>
      </c>
      <c r="AE1782" s="154"/>
      <c r="AF1782" s="242" t="str">
        <f t="shared" si="4"/>
        <v>#ERROR!</v>
      </c>
      <c r="AG1782" s="154"/>
      <c r="AH1782" s="242" t="str">
        <f>IF(AG1782="","N/A",INDIRECT("MTR!"&amp;ADDRESS(MATCH(LEFT(AG1782,9),[1]MTR!C:C,0),COLUMN(J1782)),TRUE) &amp; "")</f>
        <v>#ERROR!</v>
      </c>
      <c r="AI1782" s="157" t="str">
        <f t="shared" si="5"/>
        <v>#ERROR!</v>
      </c>
    </row>
    <row r="1783" ht="12.75" customHeight="1">
      <c r="A1783" s="244" t="s">
        <v>5158</v>
      </c>
      <c r="B1783" s="244" t="s">
        <v>231</v>
      </c>
      <c r="C1783" s="244" t="s">
        <v>11172</v>
      </c>
      <c r="D1783" s="154" t="s">
        <v>546</v>
      </c>
      <c r="E1783" s="154"/>
      <c r="F1783" s="154" t="str">
        <f t="array" ref="F1783">XLOOKUP(Cover!$D$12,$R$1:$Z$1,$R1783:$Z1783)</f>
        <v>Information</v>
      </c>
      <c r="G1783" s="154" t="s">
        <v>11173</v>
      </c>
      <c r="H1783" s="154" t="s">
        <v>7838</v>
      </c>
      <c r="I1783" s="154" t="s">
        <v>11174</v>
      </c>
      <c r="J1783" s="154" t="s">
        <v>6838</v>
      </c>
      <c r="K1783" s="154" t="s">
        <v>11079</v>
      </c>
      <c r="L1783" s="154" t="s">
        <v>6942</v>
      </c>
      <c r="M1783" s="154"/>
      <c r="N1783" s="154" t="s">
        <v>759</v>
      </c>
      <c r="O1783" s="247" t="s">
        <v>516</v>
      </c>
      <c r="P1783" s="247" t="s">
        <v>6776</v>
      </c>
      <c r="Q1783" s="154" t="str">
        <f t="shared" si="1"/>
        <v>#ERROR!</v>
      </c>
      <c r="R1783" s="154" t="s">
        <v>66</v>
      </c>
      <c r="S1783" s="154" t="s">
        <v>66</v>
      </c>
      <c r="T1783" s="154" t="s">
        <v>66</v>
      </c>
      <c r="U1783" s="154" t="s">
        <v>66</v>
      </c>
      <c r="V1783" s="154" t="s">
        <v>66</v>
      </c>
      <c r="W1783" s="154" t="s">
        <v>66</v>
      </c>
      <c r="X1783" s="154" t="s">
        <v>66</v>
      </c>
      <c r="Y1783" s="154" t="s">
        <v>66</v>
      </c>
      <c r="Z1783" s="154" t="s">
        <v>66</v>
      </c>
      <c r="AA1783" s="154"/>
      <c r="AB1783" s="242" t="str">
        <f t="shared" si="2"/>
        <v>#ERROR!</v>
      </c>
      <c r="AC1783" s="154" t="s">
        <v>391</v>
      </c>
      <c r="AD1783" s="242" t="b">
        <f t="shared" si="3"/>
        <v>0</v>
      </c>
      <c r="AE1783" s="154"/>
      <c r="AF1783" s="242" t="str">
        <f t="shared" si="4"/>
        <v>#ERROR!</v>
      </c>
      <c r="AG1783" s="154"/>
      <c r="AH1783" s="242" t="str">
        <f>IF(AG1783="","N/A",INDIRECT("MTR!"&amp;ADDRESS(MATCH(LEFT(AG1783,9),[1]MTR!C:C,0),COLUMN(J1783)),TRUE) &amp; "")</f>
        <v>#ERROR!</v>
      </c>
      <c r="AI1783" s="157" t="str">
        <f t="shared" si="5"/>
        <v>#ERROR!</v>
      </c>
    </row>
    <row r="1784" ht="12.75" customHeight="1">
      <c r="A1784" s="244" t="s">
        <v>5158</v>
      </c>
      <c r="B1784" s="244" t="s">
        <v>231</v>
      </c>
      <c r="C1784" s="244" t="s">
        <v>11175</v>
      </c>
      <c r="D1784" s="154" t="s">
        <v>546</v>
      </c>
      <c r="E1784" s="154"/>
      <c r="F1784" s="154" t="str">
        <f t="array" ref="F1784">XLOOKUP(Cover!$D$12,$R$1:$Z$1,$R1784:$Z1784)</f>
        <v>Information</v>
      </c>
      <c r="G1784" s="154" t="s">
        <v>11176</v>
      </c>
      <c r="H1784" s="154" t="s">
        <v>9006</v>
      </c>
      <c r="I1784" s="154" t="s">
        <v>11174</v>
      </c>
      <c r="J1784" s="154" t="s">
        <v>6838</v>
      </c>
      <c r="K1784" s="154" t="s">
        <v>11079</v>
      </c>
      <c r="L1784" s="154" t="s">
        <v>6942</v>
      </c>
      <c r="M1784" s="154"/>
      <c r="N1784" s="154" t="s">
        <v>759</v>
      </c>
      <c r="O1784" s="247" t="s">
        <v>516</v>
      </c>
      <c r="P1784" s="247" t="s">
        <v>6776</v>
      </c>
      <c r="Q1784" s="154" t="str">
        <f t="shared" si="1"/>
        <v>#ERROR!</v>
      </c>
      <c r="R1784" s="154" t="s">
        <v>66</v>
      </c>
      <c r="S1784" s="154" t="s">
        <v>66</v>
      </c>
      <c r="T1784" s="154" t="s">
        <v>66</v>
      </c>
      <c r="U1784" s="154" t="s">
        <v>66</v>
      </c>
      <c r="V1784" s="154" t="s">
        <v>66</v>
      </c>
      <c r="W1784" s="154" t="s">
        <v>66</v>
      </c>
      <c r="X1784" s="154" t="s">
        <v>66</v>
      </c>
      <c r="Y1784" s="154" t="s">
        <v>66</v>
      </c>
      <c r="Z1784" s="154" t="s">
        <v>66</v>
      </c>
      <c r="AA1784" s="154"/>
      <c r="AB1784" s="242" t="str">
        <f t="shared" si="2"/>
        <v>#ERROR!</v>
      </c>
      <c r="AC1784" s="154" t="s">
        <v>391</v>
      </c>
      <c r="AD1784" s="242" t="b">
        <f t="shared" si="3"/>
        <v>0</v>
      </c>
      <c r="AE1784" s="154"/>
      <c r="AF1784" s="242" t="str">
        <f t="shared" si="4"/>
        <v>#ERROR!</v>
      </c>
      <c r="AG1784" s="154"/>
      <c r="AH1784" s="242" t="str">
        <f>IF(AG1784="","N/A",INDIRECT("MTR!"&amp;ADDRESS(MATCH(LEFT(AG1784,9),[1]MTR!C:C,0),COLUMN(J1784)),TRUE) &amp; "")</f>
        <v>#ERROR!</v>
      </c>
      <c r="AI1784" s="157" t="str">
        <f t="shared" si="5"/>
        <v>#ERROR!</v>
      </c>
    </row>
    <row r="1785" ht="12.75" customHeight="1">
      <c r="A1785" s="244" t="s">
        <v>5158</v>
      </c>
      <c r="B1785" s="244" t="s">
        <v>231</v>
      </c>
      <c r="C1785" s="244" t="s">
        <v>11177</v>
      </c>
      <c r="D1785" s="154" t="s">
        <v>546</v>
      </c>
      <c r="E1785" s="154"/>
      <c r="F1785" s="154" t="str">
        <f t="array" ref="F1785">XLOOKUP(Cover!$D$12,$R$1:$Z$1,$R1785:$Z1785)</f>
        <v>Information</v>
      </c>
      <c r="G1785" s="154" t="s">
        <v>11178</v>
      </c>
      <c r="H1785" s="154" t="s">
        <v>7853</v>
      </c>
      <c r="I1785" s="154" t="s">
        <v>11174</v>
      </c>
      <c r="J1785" s="154" t="s">
        <v>6838</v>
      </c>
      <c r="K1785" s="154" t="s">
        <v>11079</v>
      </c>
      <c r="L1785" s="154" t="s">
        <v>6942</v>
      </c>
      <c r="M1785" s="154"/>
      <c r="N1785" s="154" t="s">
        <v>759</v>
      </c>
      <c r="O1785" s="247" t="s">
        <v>516</v>
      </c>
      <c r="P1785" s="247" t="s">
        <v>6776</v>
      </c>
      <c r="Q1785" s="154" t="str">
        <f t="shared" si="1"/>
        <v>#ERROR!</v>
      </c>
      <c r="R1785" s="154" t="s">
        <v>66</v>
      </c>
      <c r="S1785" s="154" t="s">
        <v>66</v>
      </c>
      <c r="T1785" s="154" t="s">
        <v>66</v>
      </c>
      <c r="U1785" s="154" t="s">
        <v>66</v>
      </c>
      <c r="V1785" s="154" t="s">
        <v>66</v>
      </c>
      <c r="W1785" s="154" t="s">
        <v>66</v>
      </c>
      <c r="X1785" s="154" t="s">
        <v>66</v>
      </c>
      <c r="Y1785" s="154" t="s">
        <v>66</v>
      </c>
      <c r="Z1785" s="154" t="s">
        <v>66</v>
      </c>
      <c r="AA1785" s="154"/>
      <c r="AB1785" s="242" t="str">
        <f t="shared" si="2"/>
        <v>#ERROR!</v>
      </c>
      <c r="AC1785" s="154" t="s">
        <v>391</v>
      </c>
      <c r="AD1785" s="242" t="b">
        <f t="shared" si="3"/>
        <v>0</v>
      </c>
      <c r="AE1785" s="154"/>
      <c r="AF1785" s="242" t="str">
        <f t="shared" si="4"/>
        <v>#ERROR!</v>
      </c>
      <c r="AG1785" s="154"/>
      <c r="AH1785" s="242" t="str">
        <f>IF(AG1785="","N/A",INDIRECT("MTR!"&amp;ADDRESS(MATCH(LEFT(AG1785,9),[1]MTR!C:C,0),COLUMN(J1785)),TRUE) &amp; "")</f>
        <v>#ERROR!</v>
      </c>
      <c r="AI1785" s="157" t="str">
        <f t="shared" si="5"/>
        <v>#ERROR!</v>
      </c>
    </row>
    <row r="1786" ht="12.75" customHeight="1">
      <c r="A1786" s="244" t="s">
        <v>5158</v>
      </c>
      <c r="B1786" s="244" t="s">
        <v>231</v>
      </c>
      <c r="C1786" s="244" t="s">
        <v>11179</v>
      </c>
      <c r="D1786" s="154" t="s">
        <v>546</v>
      </c>
      <c r="E1786" s="154"/>
      <c r="F1786" s="154" t="str">
        <f t="array" ref="F1786">XLOOKUP(Cover!$D$12,$R$1:$Z$1,$R1786:$Z1786)</f>
        <v>Information</v>
      </c>
      <c r="G1786" s="154" t="s">
        <v>11180</v>
      </c>
      <c r="H1786" s="154" t="s">
        <v>1541</v>
      </c>
      <c r="I1786" s="154" t="s">
        <v>11174</v>
      </c>
      <c r="J1786" s="154" t="s">
        <v>6838</v>
      </c>
      <c r="K1786" s="154" t="s">
        <v>11079</v>
      </c>
      <c r="L1786" s="154" t="s">
        <v>6942</v>
      </c>
      <c r="M1786" s="154"/>
      <c r="N1786" s="154" t="s">
        <v>759</v>
      </c>
      <c r="O1786" s="247" t="s">
        <v>516</v>
      </c>
      <c r="P1786" s="247" t="s">
        <v>6776</v>
      </c>
      <c r="Q1786" s="154" t="str">
        <f t="shared" si="1"/>
        <v>#ERROR!</v>
      </c>
      <c r="R1786" s="154" t="s">
        <v>66</v>
      </c>
      <c r="S1786" s="154" t="s">
        <v>66</v>
      </c>
      <c r="T1786" s="154" t="s">
        <v>66</v>
      </c>
      <c r="U1786" s="154" t="s">
        <v>66</v>
      </c>
      <c r="V1786" s="154" t="s">
        <v>66</v>
      </c>
      <c r="W1786" s="154" t="s">
        <v>66</v>
      </c>
      <c r="X1786" s="154" t="s">
        <v>66</v>
      </c>
      <c r="Y1786" s="154" t="s">
        <v>66</v>
      </c>
      <c r="Z1786" s="154" t="s">
        <v>66</v>
      </c>
      <c r="AA1786" s="154"/>
      <c r="AB1786" s="242" t="str">
        <f t="shared" si="2"/>
        <v>#ERROR!</v>
      </c>
      <c r="AC1786" s="154" t="s">
        <v>391</v>
      </c>
      <c r="AD1786" s="242" t="b">
        <f t="shared" si="3"/>
        <v>0</v>
      </c>
      <c r="AE1786" s="154"/>
      <c r="AF1786" s="242" t="str">
        <f t="shared" si="4"/>
        <v>#ERROR!</v>
      </c>
      <c r="AG1786" s="154"/>
      <c r="AH1786" s="242" t="str">
        <f>IF(AG1786="","N/A",INDIRECT("MTR!"&amp;ADDRESS(MATCH(LEFT(AG1786,9),[1]MTR!C:C,0),COLUMN(J1786)),TRUE) &amp; "")</f>
        <v>#ERROR!</v>
      </c>
      <c r="AI1786" s="157" t="str">
        <f t="shared" si="5"/>
        <v>#ERROR!</v>
      </c>
    </row>
    <row r="1787" ht="12.75" customHeight="1">
      <c r="A1787" s="244" t="s">
        <v>5158</v>
      </c>
      <c r="B1787" s="244" t="s">
        <v>231</v>
      </c>
      <c r="C1787" s="244" t="s">
        <v>11181</v>
      </c>
      <c r="D1787" s="154" t="s">
        <v>546</v>
      </c>
      <c r="E1787" s="154"/>
      <c r="F1787" s="154" t="str">
        <f t="array" ref="F1787">XLOOKUP(Cover!$D$12,$R$1:$Z$1,$R1787:$Z1787)</f>
        <v>Information</v>
      </c>
      <c r="G1787" s="154" t="s">
        <v>11182</v>
      </c>
      <c r="H1787" s="154" t="s">
        <v>7844</v>
      </c>
      <c r="I1787" s="154" t="s">
        <v>11183</v>
      </c>
      <c r="J1787" s="154" t="s">
        <v>6872</v>
      </c>
      <c r="K1787" s="154" t="s">
        <v>11079</v>
      </c>
      <c r="L1787" s="154" t="s">
        <v>6529</v>
      </c>
      <c r="M1787" s="154"/>
      <c r="N1787" s="154" t="s">
        <v>759</v>
      </c>
      <c r="O1787" s="247" t="s">
        <v>516</v>
      </c>
      <c r="P1787" s="247" t="s">
        <v>6776</v>
      </c>
      <c r="Q1787" s="154" t="str">
        <f t="shared" si="1"/>
        <v>#ERROR!</v>
      </c>
      <c r="R1787" s="154" t="s">
        <v>66</v>
      </c>
      <c r="S1787" s="154" t="s">
        <v>66</v>
      </c>
      <c r="T1787" s="154" t="s">
        <v>66</v>
      </c>
      <c r="U1787" s="154" t="s">
        <v>66</v>
      </c>
      <c r="V1787" s="154" t="s">
        <v>66</v>
      </c>
      <c r="W1787" s="154" t="s">
        <v>66</v>
      </c>
      <c r="X1787" s="154" t="s">
        <v>66</v>
      </c>
      <c r="Y1787" s="154" t="s">
        <v>66</v>
      </c>
      <c r="Z1787" s="154" t="s">
        <v>66</v>
      </c>
      <c r="AA1787" s="154"/>
      <c r="AB1787" s="242" t="str">
        <f t="shared" si="2"/>
        <v>#ERROR!</v>
      </c>
      <c r="AC1787" s="154" t="s">
        <v>391</v>
      </c>
      <c r="AD1787" s="242" t="b">
        <f t="shared" si="3"/>
        <v>0</v>
      </c>
      <c r="AE1787" s="154"/>
      <c r="AF1787" s="242" t="str">
        <f t="shared" si="4"/>
        <v>#ERROR!</v>
      </c>
      <c r="AG1787" s="154"/>
      <c r="AH1787" s="242" t="str">
        <f>IF(AG1787="","N/A",INDIRECT("MTR!"&amp;ADDRESS(MATCH(LEFT(AG1787,9),[1]MTR!C:C,0),COLUMN(J1787)),TRUE) &amp; "")</f>
        <v>#ERROR!</v>
      </c>
      <c r="AI1787" s="157" t="str">
        <f t="shared" si="5"/>
        <v>#ERROR!</v>
      </c>
    </row>
    <row r="1788" ht="12.75" customHeight="1">
      <c r="A1788" s="244" t="s">
        <v>5158</v>
      </c>
      <c r="B1788" s="244" t="s">
        <v>231</v>
      </c>
      <c r="C1788" s="244" t="s">
        <v>11184</v>
      </c>
      <c r="D1788" s="154" t="s">
        <v>546</v>
      </c>
      <c r="E1788" s="154"/>
      <c r="F1788" s="154" t="str">
        <f t="array" ref="F1788">XLOOKUP(Cover!$D$12,$R$1:$Z$1,$R1788:$Z1788)</f>
        <v>Information</v>
      </c>
      <c r="G1788" s="154" t="s">
        <v>11185</v>
      </c>
      <c r="H1788" s="154" t="s">
        <v>9009</v>
      </c>
      <c r="I1788" s="154" t="s">
        <v>11183</v>
      </c>
      <c r="J1788" s="154" t="s">
        <v>6872</v>
      </c>
      <c r="K1788" s="154" t="s">
        <v>11079</v>
      </c>
      <c r="L1788" s="154" t="s">
        <v>6529</v>
      </c>
      <c r="M1788" s="154"/>
      <c r="N1788" s="154" t="s">
        <v>759</v>
      </c>
      <c r="O1788" s="247" t="s">
        <v>516</v>
      </c>
      <c r="P1788" s="247" t="s">
        <v>6776</v>
      </c>
      <c r="Q1788" s="154" t="str">
        <f t="shared" si="1"/>
        <v>#ERROR!</v>
      </c>
      <c r="R1788" s="154" t="s">
        <v>66</v>
      </c>
      <c r="S1788" s="154" t="s">
        <v>66</v>
      </c>
      <c r="T1788" s="154" t="s">
        <v>66</v>
      </c>
      <c r="U1788" s="154" t="s">
        <v>66</v>
      </c>
      <c r="V1788" s="154" t="s">
        <v>66</v>
      </c>
      <c r="W1788" s="154" t="s">
        <v>66</v>
      </c>
      <c r="X1788" s="154" t="s">
        <v>66</v>
      </c>
      <c r="Y1788" s="154" t="s">
        <v>66</v>
      </c>
      <c r="Z1788" s="154" t="s">
        <v>66</v>
      </c>
      <c r="AA1788" s="154"/>
      <c r="AB1788" s="242" t="str">
        <f t="shared" si="2"/>
        <v>#ERROR!</v>
      </c>
      <c r="AC1788" s="154" t="s">
        <v>391</v>
      </c>
      <c r="AD1788" s="242" t="b">
        <f t="shared" si="3"/>
        <v>0</v>
      </c>
      <c r="AE1788" s="154"/>
      <c r="AF1788" s="242" t="str">
        <f t="shared" si="4"/>
        <v>#ERROR!</v>
      </c>
      <c r="AG1788" s="154"/>
      <c r="AH1788" s="242" t="str">
        <f>IF(AG1788="","N/A",INDIRECT("MTR!"&amp;ADDRESS(MATCH(LEFT(AG1788,9),[1]MTR!C:C,0),COLUMN(J1788)),TRUE) &amp; "")</f>
        <v>#ERROR!</v>
      </c>
      <c r="AI1788" s="157" t="str">
        <f t="shared" si="5"/>
        <v>#ERROR!</v>
      </c>
    </row>
    <row r="1789" ht="12.75" customHeight="1">
      <c r="A1789" s="244" t="s">
        <v>5158</v>
      </c>
      <c r="B1789" s="244" t="s">
        <v>231</v>
      </c>
      <c r="C1789" s="244" t="s">
        <v>11186</v>
      </c>
      <c r="D1789" s="154" t="s">
        <v>546</v>
      </c>
      <c r="E1789" s="154"/>
      <c r="F1789" s="154" t="str">
        <f t="array" ref="F1789">XLOOKUP(Cover!$D$12,$R$1:$Z$1,$R1789:$Z1789)</f>
        <v>Information</v>
      </c>
      <c r="G1789" s="154" t="s">
        <v>11187</v>
      </c>
      <c r="H1789" s="154" t="s">
        <v>7853</v>
      </c>
      <c r="I1789" s="154" t="s">
        <v>11183</v>
      </c>
      <c r="J1789" s="154" t="s">
        <v>6872</v>
      </c>
      <c r="K1789" s="154" t="s">
        <v>11079</v>
      </c>
      <c r="L1789" s="154" t="s">
        <v>6529</v>
      </c>
      <c r="M1789" s="154"/>
      <c r="N1789" s="154" t="s">
        <v>759</v>
      </c>
      <c r="O1789" s="247" t="s">
        <v>516</v>
      </c>
      <c r="P1789" s="247" t="s">
        <v>6776</v>
      </c>
      <c r="Q1789" s="154" t="str">
        <f t="shared" si="1"/>
        <v>#ERROR!</v>
      </c>
      <c r="R1789" s="154" t="s">
        <v>66</v>
      </c>
      <c r="S1789" s="154" t="s">
        <v>66</v>
      </c>
      <c r="T1789" s="154" t="s">
        <v>66</v>
      </c>
      <c r="U1789" s="154" t="s">
        <v>66</v>
      </c>
      <c r="V1789" s="154" t="s">
        <v>66</v>
      </c>
      <c r="W1789" s="154" t="s">
        <v>66</v>
      </c>
      <c r="X1789" s="154" t="s">
        <v>66</v>
      </c>
      <c r="Y1789" s="154" t="s">
        <v>66</v>
      </c>
      <c r="Z1789" s="154" t="s">
        <v>66</v>
      </c>
      <c r="AA1789" s="154"/>
      <c r="AB1789" s="242" t="str">
        <f t="shared" si="2"/>
        <v>#ERROR!</v>
      </c>
      <c r="AC1789" s="154" t="s">
        <v>391</v>
      </c>
      <c r="AD1789" s="242" t="b">
        <f t="shared" si="3"/>
        <v>0</v>
      </c>
      <c r="AE1789" s="154"/>
      <c r="AF1789" s="242" t="str">
        <f t="shared" si="4"/>
        <v>#ERROR!</v>
      </c>
      <c r="AG1789" s="154"/>
      <c r="AH1789" s="242" t="str">
        <f>IF(AG1789="","N/A",INDIRECT("MTR!"&amp;ADDRESS(MATCH(LEFT(AG1789,9),[1]MTR!C:C,0),COLUMN(J1789)),TRUE) &amp; "")</f>
        <v>#ERROR!</v>
      </c>
      <c r="AI1789" s="157" t="str">
        <f t="shared" si="5"/>
        <v>#ERROR!</v>
      </c>
    </row>
    <row r="1790" ht="12.75" customHeight="1">
      <c r="A1790" s="244" t="s">
        <v>5158</v>
      </c>
      <c r="B1790" s="244" t="s">
        <v>231</v>
      </c>
      <c r="C1790" s="244" t="s">
        <v>11188</v>
      </c>
      <c r="D1790" s="154" t="s">
        <v>546</v>
      </c>
      <c r="E1790" s="154"/>
      <c r="F1790" s="154" t="str">
        <f t="array" ref="F1790">XLOOKUP(Cover!$D$12,$R$1:$Z$1,$R1790:$Z1790)</f>
        <v>Information</v>
      </c>
      <c r="G1790" s="154" t="s">
        <v>11189</v>
      </c>
      <c r="H1790" s="154" t="s">
        <v>1541</v>
      </c>
      <c r="I1790" s="154" t="s">
        <v>11183</v>
      </c>
      <c r="J1790" s="154" t="s">
        <v>6872</v>
      </c>
      <c r="K1790" s="154" t="s">
        <v>11079</v>
      </c>
      <c r="L1790" s="154" t="s">
        <v>6529</v>
      </c>
      <c r="M1790" s="154"/>
      <c r="N1790" s="154" t="s">
        <v>759</v>
      </c>
      <c r="O1790" s="247" t="s">
        <v>516</v>
      </c>
      <c r="P1790" s="247" t="s">
        <v>6776</v>
      </c>
      <c r="Q1790" s="154" t="str">
        <f t="shared" si="1"/>
        <v>#ERROR!</v>
      </c>
      <c r="R1790" s="154" t="s">
        <v>66</v>
      </c>
      <c r="S1790" s="154" t="s">
        <v>66</v>
      </c>
      <c r="T1790" s="154" t="s">
        <v>66</v>
      </c>
      <c r="U1790" s="154" t="s">
        <v>66</v>
      </c>
      <c r="V1790" s="154" t="s">
        <v>66</v>
      </c>
      <c r="W1790" s="154" t="s">
        <v>66</v>
      </c>
      <c r="X1790" s="154" t="s">
        <v>66</v>
      </c>
      <c r="Y1790" s="154" t="s">
        <v>66</v>
      </c>
      <c r="Z1790" s="154" t="s">
        <v>66</v>
      </c>
      <c r="AA1790" s="154"/>
      <c r="AB1790" s="242" t="str">
        <f t="shared" si="2"/>
        <v>#ERROR!</v>
      </c>
      <c r="AC1790" s="154" t="s">
        <v>391</v>
      </c>
      <c r="AD1790" s="242" t="b">
        <f t="shared" si="3"/>
        <v>0</v>
      </c>
      <c r="AE1790" s="154"/>
      <c r="AF1790" s="242" t="str">
        <f t="shared" si="4"/>
        <v>#ERROR!</v>
      </c>
      <c r="AG1790" s="154"/>
      <c r="AH1790" s="242" t="str">
        <f>IF(AG1790="","N/A",INDIRECT("MTR!"&amp;ADDRESS(MATCH(LEFT(AG1790,9),[1]MTR!C:C,0),COLUMN(J1790)),TRUE) &amp; "")</f>
        <v>#ERROR!</v>
      </c>
      <c r="AI1790" s="157" t="str">
        <f t="shared" si="5"/>
        <v>#ERROR!</v>
      </c>
    </row>
    <row r="1791" ht="12.75" customHeight="1">
      <c r="A1791" s="244" t="s">
        <v>5158</v>
      </c>
      <c r="B1791" s="244" t="s">
        <v>231</v>
      </c>
      <c r="C1791" s="244" t="s">
        <v>11190</v>
      </c>
      <c r="D1791" s="154" t="s">
        <v>542</v>
      </c>
      <c r="E1791" s="154"/>
      <c r="F1791" s="154" t="str">
        <f t="array" ref="F1791">XLOOKUP(Cover!$D$12,$R$1:$Z$1,$R1791:$Z1791)</f>
        <v>Recommended</v>
      </c>
      <c r="G1791" s="154" t="s">
        <v>11191</v>
      </c>
      <c r="H1791" s="154" t="s">
        <v>7834</v>
      </c>
      <c r="I1791" s="154" t="s">
        <v>11192</v>
      </c>
      <c r="J1791" s="154" t="s">
        <v>7963</v>
      </c>
      <c r="K1791" s="154" t="s">
        <v>11079</v>
      </c>
      <c r="L1791" s="154" t="s">
        <v>6525</v>
      </c>
      <c r="M1791" s="154"/>
      <c r="N1791" s="154" t="s">
        <v>759</v>
      </c>
      <c r="O1791" s="247" t="s">
        <v>516</v>
      </c>
      <c r="P1791" s="247" t="s">
        <v>6776</v>
      </c>
      <c r="Q1791" s="154" t="str">
        <f t="shared" si="1"/>
        <v>#ERROR!</v>
      </c>
      <c r="R1791" s="154" t="s">
        <v>66</v>
      </c>
      <c r="S1791" s="154" t="s">
        <v>66</v>
      </c>
      <c r="T1791" s="154" t="s">
        <v>64</v>
      </c>
      <c r="U1791" s="154" t="s">
        <v>64</v>
      </c>
      <c r="V1791" s="154" t="s">
        <v>64</v>
      </c>
      <c r="W1791" s="154" t="s">
        <v>64</v>
      </c>
      <c r="X1791" s="154" t="s">
        <v>66</v>
      </c>
      <c r="Y1791" s="154" t="s">
        <v>64</v>
      </c>
      <c r="Z1791" s="154" t="s">
        <v>64</v>
      </c>
      <c r="AA1791" s="154"/>
      <c r="AB1791" s="242" t="str">
        <f t="shared" si="2"/>
        <v>#ERROR!</v>
      </c>
      <c r="AC1791" s="154" t="s">
        <v>391</v>
      </c>
      <c r="AD1791" s="242" t="b">
        <f t="shared" si="3"/>
        <v>0</v>
      </c>
      <c r="AE1791" s="154"/>
      <c r="AF1791" s="242" t="str">
        <f t="shared" si="4"/>
        <v>#ERROR!</v>
      </c>
      <c r="AG1791" s="154"/>
      <c r="AH1791" s="242" t="str">
        <f>IF(AG1791="","N/A",INDIRECT("MTR!"&amp;ADDRESS(MATCH(LEFT(AG1791,9),[1]MTR!C:C,0),COLUMN(J1791)),TRUE) &amp; "")</f>
        <v>#ERROR!</v>
      </c>
      <c r="AI1791" s="157" t="str">
        <f t="shared" si="5"/>
        <v>#ERROR!</v>
      </c>
    </row>
    <row r="1792" ht="12.75" customHeight="1">
      <c r="A1792" s="244" t="s">
        <v>5158</v>
      </c>
      <c r="B1792" s="244" t="s">
        <v>231</v>
      </c>
      <c r="C1792" s="244" t="s">
        <v>11193</v>
      </c>
      <c r="D1792" s="154" t="s">
        <v>542</v>
      </c>
      <c r="E1792" s="154"/>
      <c r="F1792" s="154" t="str">
        <f t="array" ref="F1792">XLOOKUP(Cover!$D$12,$R$1:$Z$1,$R1792:$Z1792)</f>
        <v>Recommended</v>
      </c>
      <c r="G1792" s="154" t="s">
        <v>11194</v>
      </c>
      <c r="H1792" s="154" t="s">
        <v>9002</v>
      </c>
      <c r="I1792" s="154" t="s">
        <v>11192</v>
      </c>
      <c r="J1792" s="154" t="s">
        <v>7963</v>
      </c>
      <c r="K1792" s="154" t="s">
        <v>11079</v>
      </c>
      <c r="L1792" s="154" t="s">
        <v>6525</v>
      </c>
      <c r="M1792" s="154"/>
      <c r="N1792" s="154" t="s">
        <v>759</v>
      </c>
      <c r="O1792" s="247" t="s">
        <v>516</v>
      </c>
      <c r="P1792" s="247" t="s">
        <v>6776</v>
      </c>
      <c r="Q1792" s="154" t="str">
        <f t="shared" si="1"/>
        <v>#ERROR!</v>
      </c>
      <c r="R1792" s="154" t="s">
        <v>66</v>
      </c>
      <c r="S1792" s="154" t="s">
        <v>66</v>
      </c>
      <c r="T1792" s="154" t="s">
        <v>64</v>
      </c>
      <c r="U1792" s="154" t="s">
        <v>64</v>
      </c>
      <c r="V1792" s="154" t="s">
        <v>64</v>
      </c>
      <c r="W1792" s="154" t="s">
        <v>64</v>
      </c>
      <c r="X1792" s="154" t="s">
        <v>66</v>
      </c>
      <c r="Y1792" s="154" t="s">
        <v>64</v>
      </c>
      <c r="Z1792" s="154" t="s">
        <v>64</v>
      </c>
      <c r="AA1792" s="154"/>
      <c r="AB1792" s="242" t="str">
        <f t="shared" si="2"/>
        <v>#ERROR!</v>
      </c>
      <c r="AC1792" s="154" t="s">
        <v>391</v>
      </c>
      <c r="AD1792" s="242" t="b">
        <f t="shared" si="3"/>
        <v>0</v>
      </c>
      <c r="AE1792" s="154"/>
      <c r="AF1792" s="242" t="str">
        <f t="shared" si="4"/>
        <v>#ERROR!</v>
      </c>
      <c r="AG1792" s="154"/>
      <c r="AH1792" s="242" t="str">
        <f>IF(AG1792="","N/A",INDIRECT("MTR!"&amp;ADDRESS(MATCH(LEFT(AG1792,9),[1]MTR!C:C,0),COLUMN(J1792)),TRUE) &amp; "")</f>
        <v>#ERROR!</v>
      </c>
      <c r="AI1792" s="157" t="str">
        <f t="shared" si="5"/>
        <v>#ERROR!</v>
      </c>
    </row>
    <row r="1793" ht="12.75" customHeight="1">
      <c r="A1793" s="244" t="s">
        <v>5158</v>
      </c>
      <c r="B1793" s="244" t="s">
        <v>231</v>
      </c>
      <c r="C1793" s="244" t="s">
        <v>11195</v>
      </c>
      <c r="D1793" s="154" t="s">
        <v>542</v>
      </c>
      <c r="E1793" s="154"/>
      <c r="F1793" s="154" t="str">
        <f t="array" ref="F1793">XLOOKUP(Cover!$D$12,$R$1:$Z$1,$R1793:$Z1793)</f>
        <v>Recommended</v>
      </c>
      <c r="G1793" s="154" t="s">
        <v>11196</v>
      </c>
      <c r="H1793" s="154" t="s">
        <v>7838</v>
      </c>
      <c r="I1793" s="154" t="s">
        <v>11192</v>
      </c>
      <c r="J1793" s="154" t="s">
        <v>7963</v>
      </c>
      <c r="K1793" s="154" t="s">
        <v>11079</v>
      </c>
      <c r="L1793" s="154" t="s">
        <v>6525</v>
      </c>
      <c r="M1793" s="154"/>
      <c r="N1793" s="154" t="s">
        <v>759</v>
      </c>
      <c r="O1793" s="247" t="s">
        <v>516</v>
      </c>
      <c r="P1793" s="247" t="s">
        <v>6776</v>
      </c>
      <c r="Q1793" s="154" t="str">
        <f t="shared" si="1"/>
        <v>#ERROR!</v>
      </c>
      <c r="R1793" s="154" t="s">
        <v>66</v>
      </c>
      <c r="S1793" s="154" t="s">
        <v>66</v>
      </c>
      <c r="T1793" s="154" t="s">
        <v>64</v>
      </c>
      <c r="U1793" s="154" t="s">
        <v>64</v>
      </c>
      <c r="V1793" s="154" t="s">
        <v>64</v>
      </c>
      <c r="W1793" s="154" t="s">
        <v>64</v>
      </c>
      <c r="X1793" s="154" t="s">
        <v>66</v>
      </c>
      <c r="Y1793" s="154" t="s">
        <v>64</v>
      </c>
      <c r="Z1793" s="154" t="s">
        <v>64</v>
      </c>
      <c r="AA1793" s="154"/>
      <c r="AB1793" s="242" t="str">
        <f t="shared" si="2"/>
        <v>#ERROR!</v>
      </c>
      <c r="AC1793" s="154" t="s">
        <v>391</v>
      </c>
      <c r="AD1793" s="242" t="b">
        <f t="shared" si="3"/>
        <v>0</v>
      </c>
      <c r="AE1793" s="154"/>
      <c r="AF1793" s="242" t="str">
        <f t="shared" si="4"/>
        <v>#ERROR!</v>
      </c>
      <c r="AG1793" s="154"/>
      <c r="AH1793" s="242" t="str">
        <f>IF(AG1793="","N/A",INDIRECT("MTR!"&amp;ADDRESS(MATCH(LEFT(AG1793,9),[1]MTR!C:C,0),COLUMN(J1793)),TRUE) &amp; "")</f>
        <v>#ERROR!</v>
      </c>
      <c r="AI1793" s="157" t="str">
        <f t="shared" si="5"/>
        <v>#ERROR!</v>
      </c>
    </row>
    <row r="1794" ht="12.75" customHeight="1">
      <c r="A1794" s="244" t="s">
        <v>5158</v>
      </c>
      <c r="B1794" s="244" t="s">
        <v>231</v>
      </c>
      <c r="C1794" s="244" t="s">
        <v>11197</v>
      </c>
      <c r="D1794" s="154" t="s">
        <v>542</v>
      </c>
      <c r="E1794" s="154"/>
      <c r="F1794" s="154" t="str">
        <f t="array" ref="F1794">XLOOKUP(Cover!$D$12,$R$1:$Z$1,$R1794:$Z1794)</f>
        <v>Recommended</v>
      </c>
      <c r="G1794" s="154" t="s">
        <v>11198</v>
      </c>
      <c r="H1794" s="154" t="s">
        <v>9006</v>
      </c>
      <c r="I1794" s="154" t="s">
        <v>11192</v>
      </c>
      <c r="J1794" s="154" t="s">
        <v>7963</v>
      </c>
      <c r="K1794" s="154" t="s">
        <v>11079</v>
      </c>
      <c r="L1794" s="154" t="s">
        <v>6525</v>
      </c>
      <c r="M1794" s="154"/>
      <c r="N1794" s="154" t="s">
        <v>759</v>
      </c>
      <c r="O1794" s="247" t="s">
        <v>516</v>
      </c>
      <c r="P1794" s="247" t="s">
        <v>6776</v>
      </c>
      <c r="Q1794" s="154" t="str">
        <f t="shared" si="1"/>
        <v>#ERROR!</v>
      </c>
      <c r="R1794" s="154" t="s">
        <v>66</v>
      </c>
      <c r="S1794" s="154" t="s">
        <v>66</v>
      </c>
      <c r="T1794" s="154" t="s">
        <v>64</v>
      </c>
      <c r="U1794" s="154" t="s">
        <v>64</v>
      </c>
      <c r="V1794" s="154" t="s">
        <v>64</v>
      </c>
      <c r="W1794" s="154" t="s">
        <v>64</v>
      </c>
      <c r="X1794" s="154" t="s">
        <v>66</v>
      </c>
      <c r="Y1794" s="154" t="s">
        <v>64</v>
      </c>
      <c r="Z1794" s="154" t="s">
        <v>64</v>
      </c>
      <c r="AA1794" s="154"/>
      <c r="AB1794" s="242" t="str">
        <f t="shared" si="2"/>
        <v>#ERROR!</v>
      </c>
      <c r="AC1794" s="154" t="s">
        <v>391</v>
      </c>
      <c r="AD1794" s="242" t="b">
        <f t="shared" si="3"/>
        <v>0</v>
      </c>
      <c r="AE1794" s="154"/>
      <c r="AF1794" s="242" t="str">
        <f t="shared" si="4"/>
        <v>#ERROR!</v>
      </c>
      <c r="AG1794" s="154"/>
      <c r="AH1794" s="242" t="str">
        <f>IF(AG1794="","N/A",INDIRECT("MTR!"&amp;ADDRESS(MATCH(LEFT(AG1794,9),[1]MTR!C:C,0),COLUMN(J1794)),TRUE) &amp; "")</f>
        <v>#ERROR!</v>
      </c>
      <c r="AI1794" s="157" t="str">
        <f t="shared" si="5"/>
        <v>#ERROR!</v>
      </c>
    </row>
    <row r="1795" ht="12.75" customHeight="1">
      <c r="A1795" s="244" t="s">
        <v>5158</v>
      </c>
      <c r="B1795" s="244" t="s">
        <v>231</v>
      </c>
      <c r="C1795" s="244" t="s">
        <v>11199</v>
      </c>
      <c r="D1795" s="154" t="s">
        <v>542</v>
      </c>
      <c r="E1795" s="154"/>
      <c r="F1795" s="154" t="str">
        <f t="array" ref="F1795">XLOOKUP(Cover!$D$12,$R$1:$Z$1,$R1795:$Z1795)</f>
        <v>Recommended</v>
      </c>
      <c r="G1795" s="154" t="s">
        <v>11200</v>
      </c>
      <c r="H1795" s="154" t="s">
        <v>7892</v>
      </c>
      <c r="I1795" s="154" t="s">
        <v>11192</v>
      </c>
      <c r="J1795" s="154" t="s">
        <v>7963</v>
      </c>
      <c r="K1795" s="154" t="s">
        <v>11079</v>
      </c>
      <c r="L1795" s="154" t="s">
        <v>6525</v>
      </c>
      <c r="M1795" s="154"/>
      <c r="N1795" s="154" t="s">
        <v>759</v>
      </c>
      <c r="O1795" s="247" t="s">
        <v>516</v>
      </c>
      <c r="P1795" s="247" t="s">
        <v>6776</v>
      </c>
      <c r="Q1795" s="154" t="str">
        <f t="shared" si="1"/>
        <v>#ERROR!</v>
      </c>
      <c r="R1795" s="154" t="s">
        <v>66</v>
      </c>
      <c r="S1795" s="154" t="s">
        <v>66</v>
      </c>
      <c r="T1795" s="154" t="s">
        <v>64</v>
      </c>
      <c r="U1795" s="154" t="s">
        <v>64</v>
      </c>
      <c r="V1795" s="154" t="s">
        <v>64</v>
      </c>
      <c r="W1795" s="154" t="s">
        <v>64</v>
      </c>
      <c r="X1795" s="154" t="s">
        <v>66</v>
      </c>
      <c r="Y1795" s="154" t="s">
        <v>64</v>
      </c>
      <c r="Z1795" s="154" t="s">
        <v>64</v>
      </c>
      <c r="AA1795" s="154"/>
      <c r="AB1795" s="242" t="str">
        <f t="shared" si="2"/>
        <v>#ERROR!</v>
      </c>
      <c r="AC1795" s="154" t="s">
        <v>391</v>
      </c>
      <c r="AD1795" s="242" t="b">
        <f t="shared" si="3"/>
        <v>0</v>
      </c>
      <c r="AE1795" s="154"/>
      <c r="AF1795" s="242" t="str">
        <f t="shared" si="4"/>
        <v>#ERROR!</v>
      </c>
      <c r="AG1795" s="154"/>
      <c r="AH1795" s="242" t="str">
        <f>IF(AG1795="","N/A",INDIRECT("MTR!"&amp;ADDRESS(MATCH(LEFT(AG1795,9),[1]MTR!C:C,0),COLUMN(J1795)),TRUE) &amp; "")</f>
        <v>#ERROR!</v>
      </c>
      <c r="AI1795" s="157" t="str">
        <f t="shared" si="5"/>
        <v>#ERROR!</v>
      </c>
    </row>
    <row r="1796" ht="12.75" customHeight="1">
      <c r="A1796" s="244" t="s">
        <v>5158</v>
      </c>
      <c r="B1796" s="244" t="s">
        <v>231</v>
      </c>
      <c r="C1796" s="244" t="s">
        <v>11201</v>
      </c>
      <c r="D1796" s="154" t="s">
        <v>1069</v>
      </c>
      <c r="E1796" s="154"/>
      <c r="F1796" s="154" t="str">
        <f t="array" ref="F1796">XLOOKUP(Cover!$D$12,$R$1:$Z$1,$R1796:$Z1796)</f>
        <v>Recommended</v>
      </c>
      <c r="G1796" s="154" t="s">
        <v>11202</v>
      </c>
      <c r="H1796" s="154" t="s">
        <v>9053</v>
      </c>
      <c r="I1796" s="154" t="s">
        <v>11192</v>
      </c>
      <c r="J1796" s="154" t="s">
        <v>7963</v>
      </c>
      <c r="K1796" s="154" t="s">
        <v>11079</v>
      </c>
      <c r="L1796" s="154" t="s">
        <v>5927</v>
      </c>
      <c r="M1796" s="154"/>
      <c r="N1796" s="154" t="s">
        <v>759</v>
      </c>
      <c r="O1796" s="247" t="s">
        <v>516</v>
      </c>
      <c r="P1796" s="247" t="s">
        <v>6776</v>
      </c>
      <c r="Q1796" s="154" t="str">
        <f t="shared" si="1"/>
        <v>#ERROR!</v>
      </c>
      <c r="R1796" s="154" t="s">
        <v>66</v>
      </c>
      <c r="S1796" s="154" t="s">
        <v>66</v>
      </c>
      <c r="T1796" s="154" t="s">
        <v>64</v>
      </c>
      <c r="U1796" s="154" t="s">
        <v>64</v>
      </c>
      <c r="V1796" s="154" t="s">
        <v>64</v>
      </c>
      <c r="W1796" s="154" t="s">
        <v>64</v>
      </c>
      <c r="X1796" s="154" t="s">
        <v>66</v>
      </c>
      <c r="Y1796" s="154" t="s">
        <v>64</v>
      </c>
      <c r="Z1796" s="154" t="s">
        <v>64</v>
      </c>
      <c r="AA1796" s="154"/>
      <c r="AB1796" s="242" t="str">
        <f t="shared" si="2"/>
        <v>#ERROR!</v>
      </c>
      <c r="AC1796" s="154" t="s">
        <v>391</v>
      </c>
      <c r="AD1796" s="242" t="b">
        <f t="shared" si="3"/>
        <v>0</v>
      </c>
      <c r="AE1796" s="154"/>
      <c r="AF1796" s="242" t="str">
        <f t="shared" si="4"/>
        <v>#ERROR!</v>
      </c>
      <c r="AG1796" s="154"/>
      <c r="AH1796" s="242" t="str">
        <f>IF(AG1796="","N/A",INDIRECT("MTR!"&amp;ADDRESS(MATCH(LEFT(AG1796,9),[1]MTR!C:C,0),COLUMN(J1796)),TRUE) &amp; "")</f>
        <v>#ERROR!</v>
      </c>
      <c r="AI1796" s="157" t="str">
        <f t="shared" si="5"/>
        <v>#ERROR!</v>
      </c>
    </row>
    <row r="1797" ht="12.75" customHeight="1">
      <c r="A1797" s="244" t="s">
        <v>5158</v>
      </c>
      <c r="B1797" s="244" t="s">
        <v>231</v>
      </c>
      <c r="C1797" s="244" t="s">
        <v>11203</v>
      </c>
      <c r="D1797" s="154" t="s">
        <v>546</v>
      </c>
      <c r="E1797" s="154"/>
      <c r="F1797" s="154" t="str">
        <f t="array" ref="F1797">XLOOKUP(Cover!$D$12,$R$1:$Z$1,$R1797:$Z1797)</f>
        <v>Information</v>
      </c>
      <c r="G1797" s="154" t="s">
        <v>11204</v>
      </c>
      <c r="H1797" s="154" t="s">
        <v>7834</v>
      </c>
      <c r="I1797" s="154" t="s">
        <v>11205</v>
      </c>
      <c r="J1797" s="154" t="s">
        <v>6911</v>
      </c>
      <c r="K1797" s="154" t="s">
        <v>11079</v>
      </c>
      <c r="L1797" s="154" t="s">
        <v>6529</v>
      </c>
      <c r="M1797" s="154"/>
      <c r="N1797" s="154" t="s">
        <v>759</v>
      </c>
      <c r="O1797" s="247" t="s">
        <v>516</v>
      </c>
      <c r="P1797" s="247" t="s">
        <v>6776</v>
      </c>
      <c r="Q1797" s="154" t="str">
        <f t="shared" si="1"/>
        <v>#ERROR!</v>
      </c>
      <c r="R1797" s="154" t="s">
        <v>66</v>
      </c>
      <c r="S1797" s="154" t="s">
        <v>66</v>
      </c>
      <c r="T1797" s="154" t="s">
        <v>66</v>
      </c>
      <c r="U1797" s="154" t="s">
        <v>66</v>
      </c>
      <c r="V1797" s="154" t="s">
        <v>66</v>
      </c>
      <c r="W1797" s="154" t="s">
        <v>66</v>
      </c>
      <c r="X1797" s="154" t="s">
        <v>66</v>
      </c>
      <c r="Y1797" s="154" t="s">
        <v>66</v>
      </c>
      <c r="Z1797" s="154" t="s">
        <v>66</v>
      </c>
      <c r="AA1797" s="154"/>
      <c r="AB1797" s="242" t="str">
        <f t="shared" si="2"/>
        <v>#ERROR!</v>
      </c>
      <c r="AC1797" s="154" t="s">
        <v>391</v>
      </c>
      <c r="AD1797" s="242" t="b">
        <f t="shared" si="3"/>
        <v>0</v>
      </c>
      <c r="AE1797" s="154"/>
      <c r="AF1797" s="242" t="str">
        <f t="shared" si="4"/>
        <v>#ERROR!</v>
      </c>
      <c r="AG1797" s="154"/>
      <c r="AH1797" s="242" t="str">
        <f>IF(AG1797="","N/A",INDIRECT("MTR!"&amp;ADDRESS(MATCH(LEFT(AG1797,9),[1]MTR!C:C,0),COLUMN(J1797)),TRUE) &amp; "")</f>
        <v>#ERROR!</v>
      </c>
      <c r="AI1797" s="157" t="str">
        <f t="shared" si="5"/>
        <v>#ERROR!</v>
      </c>
    </row>
    <row r="1798" ht="12.75" customHeight="1">
      <c r="A1798" s="244" t="s">
        <v>5158</v>
      </c>
      <c r="B1798" s="244" t="s">
        <v>231</v>
      </c>
      <c r="C1798" s="244" t="s">
        <v>11206</v>
      </c>
      <c r="D1798" s="154" t="s">
        <v>546</v>
      </c>
      <c r="E1798" s="154"/>
      <c r="F1798" s="154" t="str">
        <f t="array" ref="F1798">XLOOKUP(Cover!$D$12,$R$1:$Z$1,$R1798:$Z1798)</f>
        <v>Information</v>
      </c>
      <c r="G1798" s="154" t="s">
        <v>11207</v>
      </c>
      <c r="H1798" s="154" t="s">
        <v>9002</v>
      </c>
      <c r="I1798" s="154" t="s">
        <v>11205</v>
      </c>
      <c r="J1798" s="154" t="s">
        <v>6911</v>
      </c>
      <c r="K1798" s="154" t="s">
        <v>11079</v>
      </c>
      <c r="L1798" s="154" t="s">
        <v>6529</v>
      </c>
      <c r="M1798" s="154"/>
      <c r="N1798" s="154" t="s">
        <v>759</v>
      </c>
      <c r="O1798" s="247" t="s">
        <v>516</v>
      </c>
      <c r="P1798" s="247" t="s">
        <v>6776</v>
      </c>
      <c r="Q1798" s="154" t="str">
        <f t="shared" si="1"/>
        <v>#ERROR!</v>
      </c>
      <c r="R1798" s="154" t="s">
        <v>66</v>
      </c>
      <c r="S1798" s="154" t="s">
        <v>66</v>
      </c>
      <c r="T1798" s="154" t="s">
        <v>66</v>
      </c>
      <c r="U1798" s="154" t="s">
        <v>66</v>
      </c>
      <c r="V1798" s="154" t="s">
        <v>66</v>
      </c>
      <c r="W1798" s="154" t="s">
        <v>66</v>
      </c>
      <c r="X1798" s="154" t="s">
        <v>66</v>
      </c>
      <c r="Y1798" s="154" t="s">
        <v>66</v>
      </c>
      <c r="Z1798" s="154" t="s">
        <v>66</v>
      </c>
      <c r="AA1798" s="154"/>
      <c r="AB1798" s="242" t="str">
        <f t="shared" si="2"/>
        <v>#ERROR!</v>
      </c>
      <c r="AC1798" s="154" t="s">
        <v>391</v>
      </c>
      <c r="AD1798" s="242" t="b">
        <f t="shared" si="3"/>
        <v>0</v>
      </c>
      <c r="AE1798" s="154"/>
      <c r="AF1798" s="242" t="str">
        <f t="shared" si="4"/>
        <v>#ERROR!</v>
      </c>
      <c r="AG1798" s="154"/>
      <c r="AH1798" s="242" t="str">
        <f>IF(AG1798="","N/A",INDIRECT("MTR!"&amp;ADDRESS(MATCH(LEFT(AG1798,9),[1]MTR!C:C,0),COLUMN(J1798)),TRUE) &amp; "")</f>
        <v>#ERROR!</v>
      </c>
      <c r="AI1798" s="157" t="str">
        <f t="shared" si="5"/>
        <v>#ERROR!</v>
      </c>
    </row>
    <row r="1799" ht="12.75" customHeight="1">
      <c r="A1799" s="244" t="s">
        <v>5158</v>
      </c>
      <c r="B1799" s="244" t="s">
        <v>231</v>
      </c>
      <c r="C1799" s="244" t="s">
        <v>11208</v>
      </c>
      <c r="D1799" s="154" t="s">
        <v>546</v>
      </c>
      <c r="E1799" s="154"/>
      <c r="F1799" s="154" t="str">
        <f t="array" ref="F1799">XLOOKUP(Cover!$D$12,$R$1:$Z$1,$R1799:$Z1799)</f>
        <v>Information</v>
      </c>
      <c r="G1799" s="154" t="s">
        <v>11209</v>
      </c>
      <c r="H1799" s="154" t="s">
        <v>7838</v>
      </c>
      <c r="I1799" s="154" t="s">
        <v>11205</v>
      </c>
      <c r="J1799" s="154" t="s">
        <v>6911</v>
      </c>
      <c r="K1799" s="154" t="s">
        <v>11079</v>
      </c>
      <c r="L1799" s="154" t="s">
        <v>6529</v>
      </c>
      <c r="M1799" s="154"/>
      <c r="N1799" s="154" t="s">
        <v>759</v>
      </c>
      <c r="O1799" s="247" t="s">
        <v>516</v>
      </c>
      <c r="P1799" s="247" t="s">
        <v>6776</v>
      </c>
      <c r="Q1799" s="154" t="str">
        <f t="shared" si="1"/>
        <v>#ERROR!</v>
      </c>
      <c r="R1799" s="154" t="s">
        <v>66</v>
      </c>
      <c r="S1799" s="154" t="s">
        <v>66</v>
      </c>
      <c r="T1799" s="154" t="s">
        <v>66</v>
      </c>
      <c r="U1799" s="154" t="s">
        <v>66</v>
      </c>
      <c r="V1799" s="154" t="s">
        <v>66</v>
      </c>
      <c r="W1799" s="154" t="s">
        <v>66</v>
      </c>
      <c r="X1799" s="154" t="s">
        <v>66</v>
      </c>
      <c r="Y1799" s="154" t="s">
        <v>66</v>
      </c>
      <c r="Z1799" s="154" t="s">
        <v>66</v>
      </c>
      <c r="AA1799" s="154"/>
      <c r="AB1799" s="242" t="str">
        <f t="shared" si="2"/>
        <v>#ERROR!</v>
      </c>
      <c r="AC1799" s="154" t="s">
        <v>391</v>
      </c>
      <c r="AD1799" s="242" t="b">
        <f t="shared" si="3"/>
        <v>0</v>
      </c>
      <c r="AE1799" s="154"/>
      <c r="AF1799" s="242" t="str">
        <f t="shared" si="4"/>
        <v>#ERROR!</v>
      </c>
      <c r="AG1799" s="154"/>
      <c r="AH1799" s="242" t="str">
        <f>IF(AG1799="","N/A",INDIRECT("MTR!"&amp;ADDRESS(MATCH(LEFT(AG1799,9),[1]MTR!C:C,0),COLUMN(J1799)),TRUE) &amp; "")</f>
        <v>#ERROR!</v>
      </c>
      <c r="AI1799" s="157" t="str">
        <f t="shared" si="5"/>
        <v>#ERROR!</v>
      </c>
    </row>
    <row r="1800" ht="12.75" customHeight="1">
      <c r="A1800" s="244" t="s">
        <v>5158</v>
      </c>
      <c r="B1800" s="244" t="s">
        <v>231</v>
      </c>
      <c r="C1800" s="244" t="s">
        <v>11210</v>
      </c>
      <c r="D1800" s="154" t="s">
        <v>546</v>
      </c>
      <c r="E1800" s="154"/>
      <c r="F1800" s="154" t="str">
        <f t="array" ref="F1800">XLOOKUP(Cover!$D$12,$R$1:$Z$1,$R1800:$Z1800)</f>
        <v>Information</v>
      </c>
      <c r="G1800" s="154" t="s">
        <v>11211</v>
      </c>
      <c r="H1800" s="154" t="s">
        <v>9006</v>
      </c>
      <c r="I1800" s="154" t="s">
        <v>11205</v>
      </c>
      <c r="J1800" s="154" t="s">
        <v>6911</v>
      </c>
      <c r="K1800" s="154" t="s">
        <v>11079</v>
      </c>
      <c r="L1800" s="154" t="s">
        <v>6529</v>
      </c>
      <c r="M1800" s="154"/>
      <c r="N1800" s="154" t="s">
        <v>759</v>
      </c>
      <c r="O1800" s="247" t="s">
        <v>516</v>
      </c>
      <c r="P1800" s="247" t="s">
        <v>6776</v>
      </c>
      <c r="Q1800" s="154" t="str">
        <f t="shared" si="1"/>
        <v>#ERROR!</v>
      </c>
      <c r="R1800" s="154" t="s">
        <v>66</v>
      </c>
      <c r="S1800" s="154" t="s">
        <v>66</v>
      </c>
      <c r="T1800" s="154" t="s">
        <v>66</v>
      </c>
      <c r="U1800" s="154" t="s">
        <v>66</v>
      </c>
      <c r="V1800" s="154" t="s">
        <v>66</v>
      </c>
      <c r="W1800" s="154" t="s">
        <v>66</v>
      </c>
      <c r="X1800" s="154" t="s">
        <v>66</v>
      </c>
      <c r="Y1800" s="154" t="s">
        <v>66</v>
      </c>
      <c r="Z1800" s="154" t="s">
        <v>66</v>
      </c>
      <c r="AA1800" s="154"/>
      <c r="AB1800" s="242" t="str">
        <f t="shared" si="2"/>
        <v>#ERROR!</v>
      </c>
      <c r="AC1800" s="154" t="s">
        <v>391</v>
      </c>
      <c r="AD1800" s="242" t="b">
        <f t="shared" si="3"/>
        <v>0</v>
      </c>
      <c r="AE1800" s="154"/>
      <c r="AF1800" s="242" t="str">
        <f t="shared" si="4"/>
        <v>#ERROR!</v>
      </c>
      <c r="AG1800" s="154"/>
      <c r="AH1800" s="242" t="str">
        <f>IF(AG1800="","N/A",INDIRECT("MTR!"&amp;ADDRESS(MATCH(LEFT(AG1800,9),[1]MTR!C:C,0),COLUMN(J1800)),TRUE) &amp; "")</f>
        <v>#ERROR!</v>
      </c>
      <c r="AI1800" s="157" t="str">
        <f t="shared" si="5"/>
        <v>#ERROR!</v>
      </c>
    </row>
    <row r="1801" ht="12.75" customHeight="1">
      <c r="A1801" s="244" t="s">
        <v>5158</v>
      </c>
      <c r="B1801" s="244" t="s">
        <v>231</v>
      </c>
      <c r="C1801" s="244" t="s">
        <v>11212</v>
      </c>
      <c r="D1801" s="154" t="s">
        <v>546</v>
      </c>
      <c r="E1801" s="154"/>
      <c r="F1801" s="154" t="str">
        <f t="array" ref="F1801">XLOOKUP(Cover!$D$12,$R$1:$Z$1,$R1801:$Z1801)</f>
        <v>Information</v>
      </c>
      <c r="G1801" s="154" t="s">
        <v>11213</v>
      </c>
      <c r="H1801" s="154" t="s">
        <v>7844</v>
      </c>
      <c r="I1801" s="154" t="s">
        <v>11205</v>
      </c>
      <c r="J1801" s="154" t="s">
        <v>6911</v>
      </c>
      <c r="K1801" s="154" t="s">
        <v>11079</v>
      </c>
      <c r="L1801" s="154" t="s">
        <v>6529</v>
      </c>
      <c r="M1801" s="154"/>
      <c r="N1801" s="154" t="s">
        <v>759</v>
      </c>
      <c r="O1801" s="247" t="s">
        <v>516</v>
      </c>
      <c r="P1801" s="247" t="s">
        <v>6776</v>
      </c>
      <c r="Q1801" s="154" t="str">
        <f t="shared" si="1"/>
        <v>#ERROR!</v>
      </c>
      <c r="R1801" s="154" t="s">
        <v>66</v>
      </c>
      <c r="S1801" s="154" t="s">
        <v>66</v>
      </c>
      <c r="T1801" s="154" t="s">
        <v>66</v>
      </c>
      <c r="U1801" s="154" t="s">
        <v>66</v>
      </c>
      <c r="V1801" s="154" t="s">
        <v>66</v>
      </c>
      <c r="W1801" s="154" t="s">
        <v>66</v>
      </c>
      <c r="X1801" s="154" t="s">
        <v>66</v>
      </c>
      <c r="Y1801" s="154" t="s">
        <v>66</v>
      </c>
      <c r="Z1801" s="154" t="s">
        <v>66</v>
      </c>
      <c r="AA1801" s="154"/>
      <c r="AB1801" s="242" t="str">
        <f t="shared" si="2"/>
        <v>#ERROR!</v>
      </c>
      <c r="AC1801" s="154" t="s">
        <v>391</v>
      </c>
      <c r="AD1801" s="242" t="b">
        <f t="shared" si="3"/>
        <v>0</v>
      </c>
      <c r="AE1801" s="154"/>
      <c r="AF1801" s="242" t="str">
        <f t="shared" si="4"/>
        <v>#ERROR!</v>
      </c>
      <c r="AG1801" s="154"/>
      <c r="AH1801" s="242" t="str">
        <f>IF(AG1801="","N/A",INDIRECT("MTR!"&amp;ADDRESS(MATCH(LEFT(AG1801,9),[1]MTR!C:C,0),COLUMN(J1801)),TRUE) &amp; "")</f>
        <v>#ERROR!</v>
      </c>
      <c r="AI1801" s="157" t="str">
        <f t="shared" si="5"/>
        <v>#ERROR!</v>
      </c>
    </row>
    <row r="1802" ht="12.75" customHeight="1">
      <c r="A1802" s="244" t="s">
        <v>5158</v>
      </c>
      <c r="B1802" s="244" t="s">
        <v>231</v>
      </c>
      <c r="C1802" s="244" t="s">
        <v>11214</v>
      </c>
      <c r="D1802" s="154" t="s">
        <v>546</v>
      </c>
      <c r="E1802" s="154"/>
      <c r="F1802" s="154" t="str">
        <f t="array" ref="F1802">XLOOKUP(Cover!$D$12,$R$1:$Z$1,$R1802:$Z1802)</f>
        <v>Information</v>
      </c>
      <c r="G1802" s="154" t="s">
        <v>11215</v>
      </c>
      <c r="H1802" s="154" t="s">
        <v>9009</v>
      </c>
      <c r="I1802" s="154" t="s">
        <v>11205</v>
      </c>
      <c r="J1802" s="154" t="s">
        <v>6911</v>
      </c>
      <c r="K1802" s="154" t="s">
        <v>11079</v>
      </c>
      <c r="L1802" s="154" t="s">
        <v>6529</v>
      </c>
      <c r="M1802" s="154"/>
      <c r="N1802" s="154" t="s">
        <v>759</v>
      </c>
      <c r="O1802" s="247" t="s">
        <v>516</v>
      </c>
      <c r="P1802" s="247" t="s">
        <v>6776</v>
      </c>
      <c r="Q1802" s="154" t="str">
        <f t="shared" si="1"/>
        <v>#ERROR!</v>
      </c>
      <c r="R1802" s="154" t="s">
        <v>66</v>
      </c>
      <c r="S1802" s="154" t="s">
        <v>66</v>
      </c>
      <c r="T1802" s="154" t="s">
        <v>66</v>
      </c>
      <c r="U1802" s="154" t="s">
        <v>66</v>
      </c>
      <c r="V1802" s="154" t="s">
        <v>66</v>
      </c>
      <c r="W1802" s="154" t="s">
        <v>66</v>
      </c>
      <c r="X1802" s="154" t="s">
        <v>66</v>
      </c>
      <c r="Y1802" s="154" t="s">
        <v>66</v>
      </c>
      <c r="Z1802" s="154" t="s">
        <v>66</v>
      </c>
      <c r="AA1802" s="154"/>
      <c r="AB1802" s="242" t="str">
        <f t="shared" si="2"/>
        <v>#ERROR!</v>
      </c>
      <c r="AC1802" s="154" t="s">
        <v>391</v>
      </c>
      <c r="AD1802" s="242" t="b">
        <f t="shared" si="3"/>
        <v>0</v>
      </c>
      <c r="AE1802" s="154"/>
      <c r="AF1802" s="242" t="str">
        <f t="shared" si="4"/>
        <v>#ERROR!</v>
      </c>
      <c r="AG1802" s="154"/>
      <c r="AH1802" s="242" t="str">
        <f>IF(AG1802="","N/A",INDIRECT("MTR!"&amp;ADDRESS(MATCH(LEFT(AG1802,9),[1]MTR!C:C,0),COLUMN(J1802)),TRUE) &amp; "")</f>
        <v>#ERROR!</v>
      </c>
      <c r="AI1802" s="157" t="str">
        <f t="shared" si="5"/>
        <v>#ERROR!</v>
      </c>
    </row>
    <row r="1803" ht="12.75" customHeight="1">
      <c r="A1803" s="244" t="s">
        <v>5158</v>
      </c>
      <c r="B1803" s="244" t="s">
        <v>231</v>
      </c>
      <c r="C1803" s="244" t="s">
        <v>11216</v>
      </c>
      <c r="D1803" s="154" t="s">
        <v>1315</v>
      </c>
      <c r="E1803" s="154"/>
      <c r="F1803" s="154" t="str">
        <f t="array" ref="F1803">XLOOKUP(Cover!$D$12,$R$1:$Z$1,$R1803:$Z1803)</f>
        <v>Recommended</v>
      </c>
      <c r="G1803" s="154" t="s">
        <v>11217</v>
      </c>
      <c r="H1803" s="154" t="s">
        <v>7834</v>
      </c>
      <c r="I1803" s="154" t="s">
        <v>11218</v>
      </c>
      <c r="J1803" s="154" t="s">
        <v>6919</v>
      </c>
      <c r="K1803" s="154" t="s">
        <v>11079</v>
      </c>
      <c r="L1803" s="154" t="s">
        <v>6884</v>
      </c>
      <c r="M1803" s="154"/>
      <c r="N1803" s="154" t="s">
        <v>759</v>
      </c>
      <c r="O1803" s="247" t="s">
        <v>516</v>
      </c>
      <c r="P1803" s="247" t="s">
        <v>6776</v>
      </c>
      <c r="Q1803" s="154" t="str">
        <f t="shared" si="1"/>
        <v>#ERROR!</v>
      </c>
      <c r="R1803" s="154" t="s">
        <v>66</v>
      </c>
      <c r="S1803" s="154" t="s">
        <v>66</v>
      </c>
      <c r="T1803" s="154" t="s">
        <v>64</v>
      </c>
      <c r="U1803" s="154" t="s">
        <v>64</v>
      </c>
      <c r="V1803" s="154" t="s">
        <v>64</v>
      </c>
      <c r="W1803" s="154" t="s">
        <v>64</v>
      </c>
      <c r="X1803" s="154" t="s">
        <v>66</v>
      </c>
      <c r="Y1803" s="154" t="s">
        <v>64</v>
      </c>
      <c r="Z1803" s="154" t="s">
        <v>64</v>
      </c>
      <c r="AA1803" s="154"/>
      <c r="AB1803" s="242" t="str">
        <f t="shared" si="2"/>
        <v>#ERROR!</v>
      </c>
      <c r="AC1803" s="154" t="s">
        <v>391</v>
      </c>
      <c r="AD1803" s="242" t="b">
        <f t="shared" si="3"/>
        <v>0</v>
      </c>
      <c r="AE1803" s="154"/>
      <c r="AF1803" s="242" t="str">
        <f t="shared" si="4"/>
        <v>#ERROR!</v>
      </c>
      <c r="AG1803" s="154"/>
      <c r="AH1803" s="242" t="str">
        <f>IF(AG1803="","N/A",INDIRECT("MTR!"&amp;ADDRESS(MATCH(LEFT(AG1803,9),[1]MTR!C:C,0),COLUMN(J1803)),TRUE) &amp; "")</f>
        <v>#ERROR!</v>
      </c>
      <c r="AI1803" s="157" t="str">
        <f t="shared" si="5"/>
        <v>#ERROR!</v>
      </c>
    </row>
    <row r="1804" ht="12.75" customHeight="1">
      <c r="A1804" s="244" t="s">
        <v>5158</v>
      </c>
      <c r="B1804" s="244" t="s">
        <v>231</v>
      </c>
      <c r="C1804" s="244" t="s">
        <v>11219</v>
      </c>
      <c r="D1804" s="154" t="s">
        <v>1315</v>
      </c>
      <c r="E1804" s="154"/>
      <c r="F1804" s="154" t="str">
        <f t="array" ref="F1804">XLOOKUP(Cover!$D$12,$R$1:$Z$1,$R1804:$Z1804)</f>
        <v>Recommended</v>
      </c>
      <c r="G1804" s="154" t="s">
        <v>11220</v>
      </c>
      <c r="H1804" s="154" t="s">
        <v>7838</v>
      </c>
      <c r="I1804" s="154" t="s">
        <v>11218</v>
      </c>
      <c r="J1804" s="154" t="s">
        <v>6919</v>
      </c>
      <c r="K1804" s="154" t="s">
        <v>11079</v>
      </c>
      <c r="L1804" s="154" t="s">
        <v>6884</v>
      </c>
      <c r="M1804" s="154"/>
      <c r="N1804" s="154" t="s">
        <v>759</v>
      </c>
      <c r="O1804" s="247" t="s">
        <v>516</v>
      </c>
      <c r="P1804" s="247" t="s">
        <v>6776</v>
      </c>
      <c r="Q1804" s="154" t="str">
        <f t="shared" si="1"/>
        <v>#ERROR!</v>
      </c>
      <c r="R1804" s="154" t="s">
        <v>66</v>
      </c>
      <c r="S1804" s="154" t="s">
        <v>66</v>
      </c>
      <c r="T1804" s="154" t="s">
        <v>64</v>
      </c>
      <c r="U1804" s="154" t="s">
        <v>64</v>
      </c>
      <c r="V1804" s="154" t="s">
        <v>64</v>
      </c>
      <c r="W1804" s="154" t="s">
        <v>64</v>
      </c>
      <c r="X1804" s="154" t="s">
        <v>66</v>
      </c>
      <c r="Y1804" s="154" t="s">
        <v>64</v>
      </c>
      <c r="Z1804" s="154" t="s">
        <v>64</v>
      </c>
      <c r="AA1804" s="154"/>
      <c r="AB1804" s="242" t="str">
        <f t="shared" si="2"/>
        <v>#ERROR!</v>
      </c>
      <c r="AC1804" s="154" t="s">
        <v>391</v>
      </c>
      <c r="AD1804" s="242" t="b">
        <f t="shared" si="3"/>
        <v>0</v>
      </c>
      <c r="AE1804" s="154"/>
      <c r="AF1804" s="242" t="str">
        <f t="shared" si="4"/>
        <v>#ERROR!</v>
      </c>
      <c r="AG1804" s="154"/>
      <c r="AH1804" s="242" t="str">
        <f>IF(AG1804="","N/A",INDIRECT("MTR!"&amp;ADDRESS(MATCH(LEFT(AG1804,9),[1]MTR!C:C,0),COLUMN(J1804)),TRUE) &amp; "")</f>
        <v>#ERROR!</v>
      </c>
      <c r="AI1804" s="157" t="str">
        <f t="shared" si="5"/>
        <v>#ERROR!</v>
      </c>
    </row>
    <row r="1805" ht="12.75" customHeight="1">
      <c r="A1805" s="244" t="s">
        <v>5158</v>
      </c>
      <c r="B1805" s="244" t="s">
        <v>231</v>
      </c>
      <c r="C1805" s="244" t="s">
        <v>11221</v>
      </c>
      <c r="D1805" s="154" t="s">
        <v>1315</v>
      </c>
      <c r="E1805" s="154"/>
      <c r="F1805" s="154" t="str">
        <f t="array" ref="F1805">XLOOKUP(Cover!$D$12,$R$1:$Z$1,$R1805:$Z1805)</f>
        <v>Recommended</v>
      </c>
      <c r="G1805" s="154" t="s">
        <v>11222</v>
      </c>
      <c r="H1805" s="154" t="s">
        <v>7850</v>
      </c>
      <c r="I1805" s="154" t="s">
        <v>11218</v>
      </c>
      <c r="J1805" s="154" t="s">
        <v>6919</v>
      </c>
      <c r="K1805" s="154" t="s">
        <v>11079</v>
      </c>
      <c r="L1805" s="154" t="s">
        <v>6884</v>
      </c>
      <c r="M1805" s="154"/>
      <c r="N1805" s="154" t="s">
        <v>759</v>
      </c>
      <c r="O1805" s="247" t="s">
        <v>516</v>
      </c>
      <c r="P1805" s="247" t="s">
        <v>6776</v>
      </c>
      <c r="Q1805" s="154" t="str">
        <f t="shared" si="1"/>
        <v>#ERROR!</v>
      </c>
      <c r="R1805" s="154" t="s">
        <v>66</v>
      </c>
      <c r="S1805" s="154" t="s">
        <v>66</v>
      </c>
      <c r="T1805" s="154" t="s">
        <v>64</v>
      </c>
      <c r="U1805" s="154" t="s">
        <v>64</v>
      </c>
      <c r="V1805" s="154" t="s">
        <v>64</v>
      </c>
      <c r="W1805" s="154" t="s">
        <v>64</v>
      </c>
      <c r="X1805" s="154" t="s">
        <v>66</v>
      </c>
      <c r="Y1805" s="154" t="s">
        <v>64</v>
      </c>
      <c r="Z1805" s="154" t="s">
        <v>64</v>
      </c>
      <c r="AA1805" s="154"/>
      <c r="AB1805" s="242" t="str">
        <f t="shared" si="2"/>
        <v>#ERROR!</v>
      </c>
      <c r="AC1805" s="154" t="s">
        <v>391</v>
      </c>
      <c r="AD1805" s="242" t="b">
        <f t="shared" si="3"/>
        <v>0</v>
      </c>
      <c r="AE1805" s="154"/>
      <c r="AF1805" s="242" t="str">
        <f t="shared" si="4"/>
        <v>#ERROR!</v>
      </c>
      <c r="AG1805" s="154"/>
      <c r="AH1805" s="242" t="str">
        <f>IF(AG1805="","N/A",INDIRECT("MTR!"&amp;ADDRESS(MATCH(LEFT(AG1805,9),[1]MTR!C:C,0),COLUMN(J1805)),TRUE) &amp; "")</f>
        <v>#ERROR!</v>
      </c>
      <c r="AI1805" s="157" t="str">
        <f t="shared" si="5"/>
        <v>#ERROR!</v>
      </c>
    </row>
    <row r="1806" ht="12.75" customHeight="1">
      <c r="A1806" s="244" t="s">
        <v>5158</v>
      </c>
      <c r="B1806" s="244" t="s">
        <v>231</v>
      </c>
      <c r="C1806" s="244" t="s">
        <v>11223</v>
      </c>
      <c r="D1806" s="154" t="s">
        <v>1315</v>
      </c>
      <c r="E1806" s="154"/>
      <c r="F1806" s="154" t="str">
        <f t="array" ref="F1806">XLOOKUP(Cover!$D$12,$R$1:$Z$1,$R1806:$Z1806)</f>
        <v>Recommended</v>
      </c>
      <c r="G1806" s="154" t="s">
        <v>11224</v>
      </c>
      <c r="H1806" s="154" t="s">
        <v>9002</v>
      </c>
      <c r="I1806" s="154" t="s">
        <v>11218</v>
      </c>
      <c r="J1806" s="154" t="s">
        <v>6919</v>
      </c>
      <c r="K1806" s="154" t="s">
        <v>11079</v>
      </c>
      <c r="L1806" s="154" t="s">
        <v>6884</v>
      </c>
      <c r="M1806" s="154"/>
      <c r="N1806" s="154" t="s">
        <v>759</v>
      </c>
      <c r="O1806" s="247" t="s">
        <v>516</v>
      </c>
      <c r="P1806" s="247" t="s">
        <v>6776</v>
      </c>
      <c r="Q1806" s="154" t="str">
        <f t="shared" si="1"/>
        <v>#ERROR!</v>
      </c>
      <c r="R1806" s="154" t="s">
        <v>66</v>
      </c>
      <c r="S1806" s="154" t="s">
        <v>66</v>
      </c>
      <c r="T1806" s="154" t="s">
        <v>64</v>
      </c>
      <c r="U1806" s="154" t="s">
        <v>64</v>
      </c>
      <c r="V1806" s="154" t="s">
        <v>64</v>
      </c>
      <c r="W1806" s="154" t="s">
        <v>64</v>
      </c>
      <c r="X1806" s="154" t="s">
        <v>66</v>
      </c>
      <c r="Y1806" s="154" t="s">
        <v>64</v>
      </c>
      <c r="Z1806" s="154" t="s">
        <v>64</v>
      </c>
      <c r="AA1806" s="154"/>
      <c r="AB1806" s="242" t="str">
        <f t="shared" si="2"/>
        <v>#ERROR!</v>
      </c>
      <c r="AC1806" s="154" t="s">
        <v>391</v>
      </c>
      <c r="AD1806" s="242" t="b">
        <f t="shared" si="3"/>
        <v>0</v>
      </c>
      <c r="AE1806" s="154"/>
      <c r="AF1806" s="242" t="str">
        <f t="shared" si="4"/>
        <v>#ERROR!</v>
      </c>
      <c r="AG1806" s="154"/>
      <c r="AH1806" s="242" t="str">
        <f>IF(AG1806="","N/A",INDIRECT("MTR!"&amp;ADDRESS(MATCH(LEFT(AG1806,9),[1]MTR!C:C,0),COLUMN(J1806)),TRUE) &amp; "")</f>
        <v>#ERROR!</v>
      </c>
      <c r="AI1806" s="157" t="str">
        <f t="shared" si="5"/>
        <v>#ERROR!</v>
      </c>
    </row>
    <row r="1807" ht="12.75" customHeight="1">
      <c r="A1807" s="244" t="s">
        <v>5158</v>
      </c>
      <c r="B1807" s="244" t="s">
        <v>231</v>
      </c>
      <c r="C1807" s="244" t="s">
        <v>11225</v>
      </c>
      <c r="D1807" s="154" t="s">
        <v>1315</v>
      </c>
      <c r="E1807" s="154"/>
      <c r="F1807" s="154" t="str">
        <f t="array" ref="F1807">XLOOKUP(Cover!$D$12,$R$1:$Z$1,$R1807:$Z1807)</f>
        <v>Recommended</v>
      </c>
      <c r="G1807" s="154" t="s">
        <v>11226</v>
      </c>
      <c r="H1807" s="154" t="s">
        <v>9006</v>
      </c>
      <c r="I1807" s="154" t="s">
        <v>11218</v>
      </c>
      <c r="J1807" s="154" t="s">
        <v>6919</v>
      </c>
      <c r="K1807" s="154" t="s">
        <v>11079</v>
      </c>
      <c r="L1807" s="154" t="s">
        <v>6884</v>
      </c>
      <c r="M1807" s="154"/>
      <c r="N1807" s="154" t="s">
        <v>759</v>
      </c>
      <c r="O1807" s="247" t="s">
        <v>516</v>
      </c>
      <c r="P1807" s="247" t="s">
        <v>6776</v>
      </c>
      <c r="Q1807" s="154" t="str">
        <f t="shared" si="1"/>
        <v>#ERROR!</v>
      </c>
      <c r="R1807" s="154" t="s">
        <v>66</v>
      </c>
      <c r="S1807" s="154" t="s">
        <v>66</v>
      </c>
      <c r="T1807" s="154" t="s">
        <v>64</v>
      </c>
      <c r="U1807" s="154" t="s">
        <v>64</v>
      </c>
      <c r="V1807" s="154" t="s">
        <v>64</v>
      </c>
      <c r="W1807" s="154" t="s">
        <v>64</v>
      </c>
      <c r="X1807" s="154" t="s">
        <v>66</v>
      </c>
      <c r="Y1807" s="154" t="s">
        <v>64</v>
      </c>
      <c r="Z1807" s="154" t="s">
        <v>64</v>
      </c>
      <c r="AA1807" s="154"/>
      <c r="AB1807" s="242" t="str">
        <f t="shared" si="2"/>
        <v>#ERROR!</v>
      </c>
      <c r="AC1807" s="154" t="s">
        <v>391</v>
      </c>
      <c r="AD1807" s="242" t="b">
        <f t="shared" si="3"/>
        <v>0</v>
      </c>
      <c r="AE1807" s="154"/>
      <c r="AF1807" s="242" t="str">
        <f t="shared" si="4"/>
        <v>#ERROR!</v>
      </c>
      <c r="AG1807" s="154"/>
      <c r="AH1807" s="242" t="str">
        <f>IF(AG1807="","N/A",INDIRECT("MTR!"&amp;ADDRESS(MATCH(LEFT(AG1807,9),[1]MTR!C:C,0),COLUMN(J1807)),TRUE) &amp; "")</f>
        <v>#ERROR!</v>
      </c>
      <c r="AI1807" s="157" t="str">
        <f t="shared" si="5"/>
        <v>#ERROR!</v>
      </c>
    </row>
    <row r="1808" ht="12.75" customHeight="1">
      <c r="A1808" s="244" t="s">
        <v>5158</v>
      </c>
      <c r="B1808" s="244" t="s">
        <v>231</v>
      </c>
      <c r="C1808" s="244" t="s">
        <v>11227</v>
      </c>
      <c r="D1808" s="154" t="s">
        <v>1315</v>
      </c>
      <c r="E1808" s="154"/>
      <c r="F1808" s="154" t="str">
        <f t="array" ref="F1808">XLOOKUP(Cover!$D$12,$R$1:$Z$1,$R1808:$Z1808)</f>
        <v>Recommended</v>
      </c>
      <c r="G1808" s="154" t="s">
        <v>11228</v>
      </c>
      <c r="H1808" s="154" t="s">
        <v>9015</v>
      </c>
      <c r="I1808" s="154" t="s">
        <v>11218</v>
      </c>
      <c r="J1808" s="154" t="s">
        <v>6919</v>
      </c>
      <c r="K1808" s="154" t="s">
        <v>11079</v>
      </c>
      <c r="L1808" s="154" t="s">
        <v>6884</v>
      </c>
      <c r="M1808" s="154"/>
      <c r="N1808" s="154" t="s">
        <v>759</v>
      </c>
      <c r="O1808" s="247" t="s">
        <v>516</v>
      </c>
      <c r="P1808" s="247" t="s">
        <v>6776</v>
      </c>
      <c r="Q1808" s="154" t="str">
        <f t="shared" si="1"/>
        <v>#ERROR!</v>
      </c>
      <c r="R1808" s="154" t="s">
        <v>66</v>
      </c>
      <c r="S1808" s="154" t="s">
        <v>66</v>
      </c>
      <c r="T1808" s="154" t="s">
        <v>64</v>
      </c>
      <c r="U1808" s="154" t="s">
        <v>64</v>
      </c>
      <c r="V1808" s="154" t="s">
        <v>64</v>
      </c>
      <c r="W1808" s="154" t="s">
        <v>64</v>
      </c>
      <c r="X1808" s="154" t="s">
        <v>66</v>
      </c>
      <c r="Y1808" s="154" t="s">
        <v>64</v>
      </c>
      <c r="Z1808" s="154" t="s">
        <v>64</v>
      </c>
      <c r="AA1808" s="154"/>
      <c r="AB1808" s="242" t="str">
        <f t="shared" si="2"/>
        <v>#ERROR!</v>
      </c>
      <c r="AC1808" s="154" t="s">
        <v>391</v>
      </c>
      <c r="AD1808" s="242" t="b">
        <f t="shared" si="3"/>
        <v>0</v>
      </c>
      <c r="AE1808" s="154"/>
      <c r="AF1808" s="242" t="str">
        <f t="shared" si="4"/>
        <v>#ERROR!</v>
      </c>
      <c r="AG1808" s="154"/>
      <c r="AH1808" s="242" t="str">
        <f>IF(AG1808="","N/A",INDIRECT("MTR!"&amp;ADDRESS(MATCH(LEFT(AG1808,9),[1]MTR!C:C,0),COLUMN(J1808)),TRUE) &amp; "")</f>
        <v>#ERROR!</v>
      </c>
      <c r="AI1808" s="157" t="str">
        <f t="shared" si="5"/>
        <v>#ERROR!</v>
      </c>
    </row>
    <row r="1809" ht="12.75" customHeight="1">
      <c r="A1809" s="244" t="s">
        <v>5158</v>
      </c>
      <c r="B1809" s="244" t="s">
        <v>231</v>
      </c>
      <c r="C1809" s="244" t="s">
        <v>11229</v>
      </c>
      <c r="D1809" s="154" t="s">
        <v>546</v>
      </c>
      <c r="E1809" s="154"/>
      <c r="F1809" s="154" t="str">
        <f t="array" ref="F1809">XLOOKUP(Cover!$D$12,$R$1:$Z$1,$R1809:$Z1809)</f>
        <v>Information</v>
      </c>
      <c r="G1809" s="154" t="s">
        <v>11230</v>
      </c>
      <c r="H1809" s="154" t="s">
        <v>7834</v>
      </c>
      <c r="I1809" s="154" t="s">
        <v>11231</v>
      </c>
      <c r="J1809" s="154" t="s">
        <v>7478</v>
      </c>
      <c r="K1809" s="154" t="s">
        <v>11079</v>
      </c>
      <c r="L1809" s="154" t="s">
        <v>6942</v>
      </c>
      <c r="M1809" s="154"/>
      <c r="N1809" s="154" t="s">
        <v>759</v>
      </c>
      <c r="O1809" s="247" t="s">
        <v>516</v>
      </c>
      <c r="P1809" s="247" t="s">
        <v>6776</v>
      </c>
      <c r="Q1809" s="154" t="str">
        <f t="shared" si="1"/>
        <v>#ERROR!</v>
      </c>
      <c r="R1809" s="154" t="s">
        <v>66</v>
      </c>
      <c r="S1809" s="154" t="s">
        <v>66</v>
      </c>
      <c r="T1809" s="154" t="s">
        <v>66</v>
      </c>
      <c r="U1809" s="154" t="s">
        <v>66</v>
      </c>
      <c r="V1809" s="154" t="s">
        <v>66</v>
      </c>
      <c r="W1809" s="154" t="s">
        <v>66</v>
      </c>
      <c r="X1809" s="154" t="s">
        <v>66</v>
      </c>
      <c r="Y1809" s="154" t="s">
        <v>66</v>
      </c>
      <c r="Z1809" s="154" t="s">
        <v>66</v>
      </c>
      <c r="AA1809" s="154"/>
      <c r="AB1809" s="242" t="str">
        <f t="shared" si="2"/>
        <v>#ERROR!</v>
      </c>
      <c r="AC1809" s="154" t="s">
        <v>391</v>
      </c>
      <c r="AD1809" s="242" t="b">
        <f t="shared" si="3"/>
        <v>0</v>
      </c>
      <c r="AE1809" s="154"/>
      <c r="AF1809" s="242" t="str">
        <f t="shared" si="4"/>
        <v>#ERROR!</v>
      </c>
      <c r="AG1809" s="154"/>
      <c r="AH1809" s="242" t="str">
        <f>IF(AG1809="","N/A",INDIRECT("MTR!"&amp;ADDRESS(MATCH(LEFT(AG1809,9),[1]MTR!C:C,0),COLUMN(J1809)),TRUE) &amp; "")</f>
        <v>#ERROR!</v>
      </c>
      <c r="AI1809" s="157" t="str">
        <f t="shared" si="5"/>
        <v>#ERROR!</v>
      </c>
    </row>
    <row r="1810" ht="12.75" customHeight="1">
      <c r="A1810" s="244" t="s">
        <v>5158</v>
      </c>
      <c r="B1810" s="244" t="s">
        <v>231</v>
      </c>
      <c r="C1810" s="244" t="s">
        <v>11232</v>
      </c>
      <c r="D1810" s="154" t="s">
        <v>546</v>
      </c>
      <c r="E1810" s="154"/>
      <c r="F1810" s="154" t="str">
        <f t="array" ref="F1810">XLOOKUP(Cover!$D$12,$R$1:$Z$1,$R1810:$Z1810)</f>
        <v>Information</v>
      </c>
      <c r="G1810" s="154" t="s">
        <v>11233</v>
      </c>
      <c r="H1810" s="154" t="s">
        <v>9002</v>
      </c>
      <c r="I1810" s="154" t="s">
        <v>11231</v>
      </c>
      <c r="J1810" s="154" t="s">
        <v>7478</v>
      </c>
      <c r="K1810" s="154" t="s">
        <v>11079</v>
      </c>
      <c r="L1810" s="154" t="s">
        <v>6942</v>
      </c>
      <c r="M1810" s="154"/>
      <c r="N1810" s="154" t="s">
        <v>759</v>
      </c>
      <c r="O1810" s="247" t="s">
        <v>516</v>
      </c>
      <c r="P1810" s="247" t="s">
        <v>6776</v>
      </c>
      <c r="Q1810" s="154" t="str">
        <f t="shared" si="1"/>
        <v>#ERROR!</v>
      </c>
      <c r="R1810" s="154" t="s">
        <v>66</v>
      </c>
      <c r="S1810" s="154" t="s">
        <v>66</v>
      </c>
      <c r="T1810" s="154" t="s">
        <v>66</v>
      </c>
      <c r="U1810" s="154" t="s">
        <v>66</v>
      </c>
      <c r="V1810" s="154" t="s">
        <v>66</v>
      </c>
      <c r="W1810" s="154" t="s">
        <v>66</v>
      </c>
      <c r="X1810" s="154" t="s">
        <v>66</v>
      </c>
      <c r="Y1810" s="154" t="s">
        <v>66</v>
      </c>
      <c r="Z1810" s="154" t="s">
        <v>66</v>
      </c>
      <c r="AA1810" s="154"/>
      <c r="AB1810" s="242" t="str">
        <f t="shared" si="2"/>
        <v>#ERROR!</v>
      </c>
      <c r="AC1810" s="154" t="s">
        <v>391</v>
      </c>
      <c r="AD1810" s="242" t="b">
        <f t="shared" si="3"/>
        <v>0</v>
      </c>
      <c r="AE1810" s="154"/>
      <c r="AF1810" s="242" t="str">
        <f t="shared" si="4"/>
        <v>#ERROR!</v>
      </c>
      <c r="AG1810" s="154"/>
      <c r="AH1810" s="242" t="str">
        <f>IF(AG1810="","N/A",INDIRECT("MTR!"&amp;ADDRESS(MATCH(LEFT(AG1810,9),[1]MTR!C:C,0),COLUMN(J1810)),TRUE) &amp; "")</f>
        <v>#ERROR!</v>
      </c>
      <c r="AI1810" s="157" t="str">
        <f t="shared" si="5"/>
        <v>#ERROR!</v>
      </c>
    </row>
    <row r="1811" ht="12.75" customHeight="1">
      <c r="A1811" s="244" t="s">
        <v>5158</v>
      </c>
      <c r="B1811" s="244" t="s">
        <v>231</v>
      </c>
      <c r="C1811" s="244" t="s">
        <v>11234</v>
      </c>
      <c r="D1811" s="154" t="s">
        <v>546</v>
      </c>
      <c r="E1811" s="154"/>
      <c r="F1811" s="154" t="str">
        <f t="array" ref="F1811">XLOOKUP(Cover!$D$12,$R$1:$Z$1,$R1811:$Z1811)</f>
        <v>Information</v>
      </c>
      <c r="G1811" s="154" t="s">
        <v>11235</v>
      </c>
      <c r="H1811" s="154" t="s">
        <v>7838</v>
      </c>
      <c r="I1811" s="154" t="s">
        <v>11231</v>
      </c>
      <c r="J1811" s="154" t="s">
        <v>7478</v>
      </c>
      <c r="K1811" s="154" t="s">
        <v>11079</v>
      </c>
      <c r="L1811" s="154" t="s">
        <v>6942</v>
      </c>
      <c r="M1811" s="154"/>
      <c r="N1811" s="154" t="s">
        <v>759</v>
      </c>
      <c r="O1811" s="247" t="s">
        <v>516</v>
      </c>
      <c r="P1811" s="247" t="s">
        <v>6776</v>
      </c>
      <c r="Q1811" s="154" t="str">
        <f t="shared" si="1"/>
        <v>#ERROR!</v>
      </c>
      <c r="R1811" s="154" t="s">
        <v>66</v>
      </c>
      <c r="S1811" s="154" t="s">
        <v>66</v>
      </c>
      <c r="T1811" s="154" t="s">
        <v>66</v>
      </c>
      <c r="U1811" s="154" t="s">
        <v>66</v>
      </c>
      <c r="V1811" s="154" t="s">
        <v>66</v>
      </c>
      <c r="W1811" s="154" t="s">
        <v>66</v>
      </c>
      <c r="X1811" s="154" t="s">
        <v>66</v>
      </c>
      <c r="Y1811" s="154" t="s">
        <v>66</v>
      </c>
      <c r="Z1811" s="154" t="s">
        <v>66</v>
      </c>
      <c r="AA1811" s="154"/>
      <c r="AB1811" s="242" t="str">
        <f t="shared" si="2"/>
        <v>#ERROR!</v>
      </c>
      <c r="AC1811" s="154" t="s">
        <v>391</v>
      </c>
      <c r="AD1811" s="242" t="b">
        <f t="shared" si="3"/>
        <v>0</v>
      </c>
      <c r="AE1811" s="154"/>
      <c r="AF1811" s="242" t="str">
        <f t="shared" si="4"/>
        <v>#ERROR!</v>
      </c>
      <c r="AG1811" s="154"/>
      <c r="AH1811" s="242" t="str">
        <f>IF(AG1811="","N/A",INDIRECT("MTR!"&amp;ADDRESS(MATCH(LEFT(AG1811,9),[1]MTR!C:C,0),COLUMN(J1811)),TRUE) &amp; "")</f>
        <v>#ERROR!</v>
      </c>
      <c r="AI1811" s="157" t="str">
        <f t="shared" si="5"/>
        <v>#ERROR!</v>
      </c>
    </row>
    <row r="1812" ht="12.75" customHeight="1">
      <c r="A1812" s="244" t="s">
        <v>5158</v>
      </c>
      <c r="B1812" s="244" t="s">
        <v>231</v>
      </c>
      <c r="C1812" s="244" t="s">
        <v>11236</v>
      </c>
      <c r="D1812" s="154" t="s">
        <v>546</v>
      </c>
      <c r="E1812" s="154"/>
      <c r="F1812" s="154" t="str">
        <f t="array" ref="F1812">XLOOKUP(Cover!$D$12,$R$1:$Z$1,$R1812:$Z1812)</f>
        <v>Information</v>
      </c>
      <c r="G1812" s="154" t="s">
        <v>11237</v>
      </c>
      <c r="H1812" s="154" t="s">
        <v>9006</v>
      </c>
      <c r="I1812" s="154" t="s">
        <v>11231</v>
      </c>
      <c r="J1812" s="154" t="s">
        <v>7478</v>
      </c>
      <c r="K1812" s="154" t="s">
        <v>11079</v>
      </c>
      <c r="L1812" s="154" t="s">
        <v>6942</v>
      </c>
      <c r="M1812" s="154"/>
      <c r="N1812" s="154" t="s">
        <v>759</v>
      </c>
      <c r="O1812" s="247" t="s">
        <v>516</v>
      </c>
      <c r="P1812" s="247" t="s">
        <v>6776</v>
      </c>
      <c r="Q1812" s="154" t="str">
        <f t="shared" si="1"/>
        <v>#ERROR!</v>
      </c>
      <c r="R1812" s="154" t="s">
        <v>66</v>
      </c>
      <c r="S1812" s="154" t="s">
        <v>66</v>
      </c>
      <c r="T1812" s="154" t="s">
        <v>66</v>
      </c>
      <c r="U1812" s="154" t="s">
        <v>66</v>
      </c>
      <c r="V1812" s="154" t="s">
        <v>66</v>
      </c>
      <c r="W1812" s="154" t="s">
        <v>66</v>
      </c>
      <c r="X1812" s="154" t="s">
        <v>66</v>
      </c>
      <c r="Y1812" s="154" t="s">
        <v>66</v>
      </c>
      <c r="Z1812" s="154" t="s">
        <v>66</v>
      </c>
      <c r="AA1812" s="154"/>
      <c r="AB1812" s="242" t="str">
        <f t="shared" si="2"/>
        <v>#ERROR!</v>
      </c>
      <c r="AC1812" s="154" t="s">
        <v>391</v>
      </c>
      <c r="AD1812" s="242" t="b">
        <f t="shared" si="3"/>
        <v>0</v>
      </c>
      <c r="AE1812" s="154"/>
      <c r="AF1812" s="242" t="str">
        <f t="shared" si="4"/>
        <v>#ERROR!</v>
      </c>
      <c r="AG1812" s="154"/>
      <c r="AH1812" s="242" t="str">
        <f>IF(AG1812="","N/A",INDIRECT("MTR!"&amp;ADDRESS(MATCH(LEFT(AG1812,9),[1]MTR!C:C,0),COLUMN(J1812)),TRUE) &amp; "")</f>
        <v>#ERROR!</v>
      </c>
      <c r="AI1812" s="157" t="str">
        <f t="shared" si="5"/>
        <v>#ERROR!</v>
      </c>
    </row>
    <row r="1813" ht="12.75" customHeight="1">
      <c r="A1813" s="244" t="s">
        <v>5158</v>
      </c>
      <c r="B1813" s="244" t="s">
        <v>231</v>
      </c>
      <c r="C1813" s="244" t="s">
        <v>11238</v>
      </c>
      <c r="D1813" s="154" t="s">
        <v>546</v>
      </c>
      <c r="E1813" s="154"/>
      <c r="F1813" s="154" t="str">
        <f t="array" ref="F1813">XLOOKUP(Cover!$D$12,$R$1:$Z$1,$R1813:$Z1813)</f>
        <v>Information</v>
      </c>
      <c r="G1813" s="154" t="s">
        <v>11239</v>
      </c>
      <c r="H1813" s="154" t="s">
        <v>7853</v>
      </c>
      <c r="I1813" s="154" t="s">
        <v>11231</v>
      </c>
      <c r="J1813" s="154" t="s">
        <v>7478</v>
      </c>
      <c r="K1813" s="154" t="s">
        <v>11079</v>
      </c>
      <c r="L1813" s="154" t="s">
        <v>6942</v>
      </c>
      <c r="M1813" s="154"/>
      <c r="N1813" s="154" t="s">
        <v>759</v>
      </c>
      <c r="O1813" s="247" t="s">
        <v>516</v>
      </c>
      <c r="P1813" s="247" t="s">
        <v>6776</v>
      </c>
      <c r="Q1813" s="154" t="str">
        <f t="shared" si="1"/>
        <v>#ERROR!</v>
      </c>
      <c r="R1813" s="154" t="s">
        <v>66</v>
      </c>
      <c r="S1813" s="154" t="s">
        <v>66</v>
      </c>
      <c r="T1813" s="154" t="s">
        <v>66</v>
      </c>
      <c r="U1813" s="154" t="s">
        <v>66</v>
      </c>
      <c r="V1813" s="154" t="s">
        <v>66</v>
      </c>
      <c r="W1813" s="154" t="s">
        <v>66</v>
      </c>
      <c r="X1813" s="154" t="s">
        <v>66</v>
      </c>
      <c r="Y1813" s="154" t="s">
        <v>66</v>
      </c>
      <c r="Z1813" s="154" t="s">
        <v>66</v>
      </c>
      <c r="AA1813" s="154"/>
      <c r="AB1813" s="242" t="str">
        <f t="shared" si="2"/>
        <v>#ERROR!</v>
      </c>
      <c r="AC1813" s="154" t="s">
        <v>391</v>
      </c>
      <c r="AD1813" s="242" t="b">
        <f t="shared" si="3"/>
        <v>0</v>
      </c>
      <c r="AE1813" s="154"/>
      <c r="AF1813" s="242" t="str">
        <f t="shared" si="4"/>
        <v>#ERROR!</v>
      </c>
      <c r="AG1813" s="154"/>
      <c r="AH1813" s="242" t="str">
        <f>IF(AG1813="","N/A",INDIRECT("MTR!"&amp;ADDRESS(MATCH(LEFT(AG1813,9),[1]MTR!C:C,0),COLUMN(J1813)),TRUE) &amp; "")</f>
        <v>#ERROR!</v>
      </c>
      <c r="AI1813" s="157" t="str">
        <f t="shared" si="5"/>
        <v>#ERROR!</v>
      </c>
    </row>
    <row r="1814" ht="12.75" customHeight="1">
      <c r="A1814" s="244" t="s">
        <v>5158</v>
      </c>
      <c r="B1814" s="244" t="s">
        <v>231</v>
      </c>
      <c r="C1814" s="244" t="s">
        <v>11240</v>
      </c>
      <c r="D1814" s="154" t="s">
        <v>546</v>
      </c>
      <c r="E1814" s="154"/>
      <c r="F1814" s="154" t="str">
        <f t="array" ref="F1814">XLOOKUP(Cover!$D$12,$R$1:$Z$1,$R1814:$Z1814)</f>
        <v>Information</v>
      </c>
      <c r="G1814" s="154" t="s">
        <v>11241</v>
      </c>
      <c r="H1814" s="154" t="s">
        <v>1541</v>
      </c>
      <c r="I1814" s="154" t="s">
        <v>11231</v>
      </c>
      <c r="J1814" s="154" t="s">
        <v>7478</v>
      </c>
      <c r="K1814" s="154" t="s">
        <v>11079</v>
      </c>
      <c r="L1814" s="154" t="s">
        <v>6942</v>
      </c>
      <c r="M1814" s="154"/>
      <c r="N1814" s="154" t="s">
        <v>759</v>
      </c>
      <c r="O1814" s="247" t="s">
        <v>516</v>
      </c>
      <c r="P1814" s="247" t="s">
        <v>6776</v>
      </c>
      <c r="Q1814" s="154" t="str">
        <f t="shared" si="1"/>
        <v>#ERROR!</v>
      </c>
      <c r="R1814" s="154" t="s">
        <v>66</v>
      </c>
      <c r="S1814" s="154" t="s">
        <v>66</v>
      </c>
      <c r="T1814" s="154" t="s">
        <v>66</v>
      </c>
      <c r="U1814" s="154" t="s">
        <v>66</v>
      </c>
      <c r="V1814" s="154" t="s">
        <v>66</v>
      </c>
      <c r="W1814" s="154" t="s">
        <v>66</v>
      </c>
      <c r="X1814" s="154" t="s">
        <v>66</v>
      </c>
      <c r="Y1814" s="154" t="s">
        <v>66</v>
      </c>
      <c r="Z1814" s="154" t="s">
        <v>66</v>
      </c>
      <c r="AA1814" s="154"/>
      <c r="AB1814" s="242" t="str">
        <f t="shared" si="2"/>
        <v>#ERROR!</v>
      </c>
      <c r="AC1814" s="154" t="s">
        <v>391</v>
      </c>
      <c r="AD1814" s="242" t="b">
        <f t="shared" si="3"/>
        <v>0</v>
      </c>
      <c r="AE1814" s="154"/>
      <c r="AF1814" s="242" t="str">
        <f t="shared" si="4"/>
        <v>#ERROR!</v>
      </c>
      <c r="AG1814" s="154"/>
      <c r="AH1814" s="242" t="str">
        <f>IF(AG1814="","N/A",INDIRECT("MTR!"&amp;ADDRESS(MATCH(LEFT(AG1814,9),[1]MTR!C:C,0),COLUMN(J1814)),TRUE) &amp; "")</f>
        <v>#ERROR!</v>
      </c>
      <c r="AI1814" s="157" t="str">
        <f t="shared" si="5"/>
        <v>#ERROR!</v>
      </c>
    </row>
    <row r="1815" ht="12.75" customHeight="1">
      <c r="A1815" s="244" t="s">
        <v>5158</v>
      </c>
      <c r="B1815" s="244" t="s">
        <v>231</v>
      </c>
      <c r="C1815" s="244" t="s">
        <v>11242</v>
      </c>
      <c r="D1815" s="154" t="s">
        <v>546</v>
      </c>
      <c r="E1815" s="154"/>
      <c r="F1815" s="154" t="str">
        <f t="array" ref="F1815">XLOOKUP(Cover!$D$12,$R$1:$Z$1,$R1815:$Z1815)</f>
        <v>Information</v>
      </c>
      <c r="G1815" s="154" t="s">
        <v>11243</v>
      </c>
      <c r="H1815" s="154" t="s">
        <v>7834</v>
      </c>
      <c r="I1815" s="154" t="s">
        <v>11244</v>
      </c>
      <c r="J1815" s="154" t="s">
        <v>7510</v>
      </c>
      <c r="K1815" s="154" t="s">
        <v>11079</v>
      </c>
      <c r="L1815" s="154" t="s">
        <v>6529</v>
      </c>
      <c r="M1815" s="154"/>
      <c r="N1815" s="154" t="s">
        <v>759</v>
      </c>
      <c r="O1815" s="247" t="s">
        <v>516</v>
      </c>
      <c r="P1815" s="247" t="s">
        <v>6776</v>
      </c>
      <c r="Q1815" s="154" t="str">
        <f t="shared" si="1"/>
        <v>#ERROR!</v>
      </c>
      <c r="R1815" s="154" t="s">
        <v>66</v>
      </c>
      <c r="S1815" s="154" t="s">
        <v>66</v>
      </c>
      <c r="T1815" s="154" t="s">
        <v>66</v>
      </c>
      <c r="U1815" s="154" t="s">
        <v>66</v>
      </c>
      <c r="V1815" s="154" t="s">
        <v>66</v>
      </c>
      <c r="W1815" s="154" t="s">
        <v>66</v>
      </c>
      <c r="X1815" s="154" t="s">
        <v>66</v>
      </c>
      <c r="Y1815" s="154" t="s">
        <v>66</v>
      </c>
      <c r="Z1815" s="154" t="s">
        <v>66</v>
      </c>
      <c r="AA1815" s="154"/>
      <c r="AB1815" s="242" t="str">
        <f t="shared" si="2"/>
        <v>#ERROR!</v>
      </c>
      <c r="AC1815" s="154" t="s">
        <v>391</v>
      </c>
      <c r="AD1815" s="242" t="b">
        <f t="shared" si="3"/>
        <v>0</v>
      </c>
      <c r="AE1815" s="154"/>
      <c r="AF1815" s="242" t="str">
        <f t="shared" si="4"/>
        <v>#ERROR!</v>
      </c>
      <c r="AG1815" s="154"/>
      <c r="AH1815" s="242" t="str">
        <f>IF(AG1815="","N/A",INDIRECT("MTR!"&amp;ADDRESS(MATCH(LEFT(AG1815,9),[1]MTR!C:C,0),COLUMN(J1815)),TRUE) &amp; "")</f>
        <v>#ERROR!</v>
      </c>
      <c r="AI1815" s="157" t="str">
        <f t="shared" si="5"/>
        <v>#ERROR!</v>
      </c>
    </row>
    <row r="1816" ht="12.75" customHeight="1">
      <c r="A1816" s="244" t="s">
        <v>5158</v>
      </c>
      <c r="B1816" s="244" t="s">
        <v>231</v>
      </c>
      <c r="C1816" s="244" t="s">
        <v>11245</v>
      </c>
      <c r="D1816" s="154" t="s">
        <v>546</v>
      </c>
      <c r="E1816" s="154"/>
      <c r="F1816" s="154" t="str">
        <f t="array" ref="F1816">XLOOKUP(Cover!$D$12,$R$1:$Z$1,$R1816:$Z1816)</f>
        <v>Information</v>
      </c>
      <c r="G1816" s="154" t="s">
        <v>11246</v>
      </c>
      <c r="H1816" s="154" t="s">
        <v>9002</v>
      </c>
      <c r="I1816" s="154" t="s">
        <v>11244</v>
      </c>
      <c r="J1816" s="154" t="s">
        <v>7510</v>
      </c>
      <c r="K1816" s="154" t="s">
        <v>11079</v>
      </c>
      <c r="L1816" s="154" t="s">
        <v>6529</v>
      </c>
      <c r="M1816" s="154"/>
      <c r="N1816" s="154" t="s">
        <v>759</v>
      </c>
      <c r="O1816" s="247" t="s">
        <v>516</v>
      </c>
      <c r="P1816" s="247" t="s">
        <v>6776</v>
      </c>
      <c r="Q1816" s="154" t="str">
        <f t="shared" si="1"/>
        <v>#ERROR!</v>
      </c>
      <c r="R1816" s="154" t="s">
        <v>66</v>
      </c>
      <c r="S1816" s="154" t="s">
        <v>66</v>
      </c>
      <c r="T1816" s="154" t="s">
        <v>66</v>
      </c>
      <c r="U1816" s="154" t="s">
        <v>66</v>
      </c>
      <c r="V1816" s="154" t="s">
        <v>66</v>
      </c>
      <c r="W1816" s="154" t="s">
        <v>66</v>
      </c>
      <c r="X1816" s="154" t="s">
        <v>66</v>
      </c>
      <c r="Y1816" s="154" t="s">
        <v>66</v>
      </c>
      <c r="Z1816" s="154" t="s">
        <v>66</v>
      </c>
      <c r="AA1816" s="154"/>
      <c r="AB1816" s="242" t="str">
        <f t="shared" si="2"/>
        <v>#ERROR!</v>
      </c>
      <c r="AC1816" s="154" t="s">
        <v>391</v>
      </c>
      <c r="AD1816" s="242" t="b">
        <f t="shared" si="3"/>
        <v>0</v>
      </c>
      <c r="AE1816" s="154"/>
      <c r="AF1816" s="242" t="str">
        <f t="shared" si="4"/>
        <v>#ERROR!</v>
      </c>
      <c r="AG1816" s="154"/>
      <c r="AH1816" s="242" t="str">
        <f>IF(AG1816="","N/A",INDIRECT("MTR!"&amp;ADDRESS(MATCH(LEFT(AG1816,9),[1]MTR!C:C,0),COLUMN(J1816)),TRUE) &amp; "")</f>
        <v>#ERROR!</v>
      </c>
      <c r="AI1816" s="157" t="str">
        <f t="shared" si="5"/>
        <v>#ERROR!</v>
      </c>
    </row>
    <row r="1817" ht="12.75" customHeight="1">
      <c r="A1817" s="244" t="s">
        <v>5158</v>
      </c>
      <c r="B1817" s="244" t="s">
        <v>231</v>
      </c>
      <c r="C1817" s="244" t="s">
        <v>11247</v>
      </c>
      <c r="D1817" s="154" t="s">
        <v>546</v>
      </c>
      <c r="E1817" s="154"/>
      <c r="F1817" s="154" t="str">
        <f t="array" ref="F1817">XLOOKUP(Cover!$D$12,$R$1:$Z$1,$R1817:$Z1817)</f>
        <v>Information</v>
      </c>
      <c r="G1817" s="154" t="s">
        <v>11248</v>
      </c>
      <c r="H1817" s="154" t="s">
        <v>7844</v>
      </c>
      <c r="I1817" s="154" t="s">
        <v>11244</v>
      </c>
      <c r="J1817" s="154" t="s">
        <v>7510</v>
      </c>
      <c r="K1817" s="154" t="s">
        <v>11079</v>
      </c>
      <c r="L1817" s="154" t="s">
        <v>6529</v>
      </c>
      <c r="M1817" s="154"/>
      <c r="N1817" s="154" t="s">
        <v>759</v>
      </c>
      <c r="O1817" s="247" t="s">
        <v>516</v>
      </c>
      <c r="P1817" s="247" t="s">
        <v>6776</v>
      </c>
      <c r="Q1817" s="154" t="str">
        <f t="shared" si="1"/>
        <v>#ERROR!</v>
      </c>
      <c r="R1817" s="154" t="s">
        <v>66</v>
      </c>
      <c r="S1817" s="154" t="s">
        <v>66</v>
      </c>
      <c r="T1817" s="154" t="s">
        <v>66</v>
      </c>
      <c r="U1817" s="154" t="s">
        <v>66</v>
      </c>
      <c r="V1817" s="154" t="s">
        <v>66</v>
      </c>
      <c r="W1817" s="154" t="s">
        <v>66</v>
      </c>
      <c r="X1817" s="154" t="s">
        <v>66</v>
      </c>
      <c r="Y1817" s="154" t="s">
        <v>66</v>
      </c>
      <c r="Z1817" s="154" t="s">
        <v>66</v>
      </c>
      <c r="AA1817" s="154"/>
      <c r="AB1817" s="242" t="str">
        <f t="shared" si="2"/>
        <v>#ERROR!</v>
      </c>
      <c r="AC1817" s="154" t="s">
        <v>391</v>
      </c>
      <c r="AD1817" s="242" t="b">
        <f t="shared" si="3"/>
        <v>0</v>
      </c>
      <c r="AE1817" s="154"/>
      <c r="AF1817" s="242" t="str">
        <f t="shared" si="4"/>
        <v>#ERROR!</v>
      </c>
      <c r="AG1817" s="154"/>
      <c r="AH1817" s="242" t="str">
        <f>IF(AG1817="","N/A",INDIRECT("MTR!"&amp;ADDRESS(MATCH(LEFT(AG1817,9),[1]MTR!C:C,0),COLUMN(J1817)),TRUE) &amp; "")</f>
        <v>#ERROR!</v>
      </c>
      <c r="AI1817" s="157" t="str">
        <f t="shared" si="5"/>
        <v>#ERROR!</v>
      </c>
    </row>
    <row r="1818" ht="12.75" customHeight="1">
      <c r="A1818" s="244" t="s">
        <v>5158</v>
      </c>
      <c r="B1818" s="244" t="s">
        <v>231</v>
      </c>
      <c r="C1818" s="244" t="s">
        <v>11249</v>
      </c>
      <c r="D1818" s="154" t="s">
        <v>546</v>
      </c>
      <c r="E1818" s="154"/>
      <c r="F1818" s="154" t="str">
        <f t="array" ref="F1818">XLOOKUP(Cover!$D$12,$R$1:$Z$1,$R1818:$Z1818)</f>
        <v>Information</v>
      </c>
      <c r="G1818" s="154" t="s">
        <v>11250</v>
      </c>
      <c r="H1818" s="154" t="s">
        <v>9009</v>
      </c>
      <c r="I1818" s="154" t="s">
        <v>11244</v>
      </c>
      <c r="J1818" s="154" t="s">
        <v>7510</v>
      </c>
      <c r="K1818" s="154" t="s">
        <v>11079</v>
      </c>
      <c r="L1818" s="154" t="s">
        <v>6529</v>
      </c>
      <c r="M1818" s="154"/>
      <c r="N1818" s="154" t="s">
        <v>759</v>
      </c>
      <c r="O1818" s="247" t="s">
        <v>516</v>
      </c>
      <c r="P1818" s="247" t="s">
        <v>6776</v>
      </c>
      <c r="Q1818" s="154" t="str">
        <f t="shared" si="1"/>
        <v>#ERROR!</v>
      </c>
      <c r="R1818" s="154" t="s">
        <v>66</v>
      </c>
      <c r="S1818" s="154" t="s">
        <v>66</v>
      </c>
      <c r="T1818" s="154" t="s">
        <v>66</v>
      </c>
      <c r="U1818" s="154" t="s">
        <v>66</v>
      </c>
      <c r="V1818" s="154" t="s">
        <v>66</v>
      </c>
      <c r="W1818" s="154" t="s">
        <v>66</v>
      </c>
      <c r="X1818" s="154" t="s">
        <v>66</v>
      </c>
      <c r="Y1818" s="154" t="s">
        <v>66</v>
      </c>
      <c r="Z1818" s="154" t="s">
        <v>66</v>
      </c>
      <c r="AA1818" s="154"/>
      <c r="AB1818" s="242" t="str">
        <f t="shared" si="2"/>
        <v>#ERROR!</v>
      </c>
      <c r="AC1818" s="154" t="s">
        <v>391</v>
      </c>
      <c r="AD1818" s="242" t="b">
        <f t="shared" si="3"/>
        <v>0</v>
      </c>
      <c r="AE1818" s="154"/>
      <c r="AF1818" s="242" t="str">
        <f t="shared" si="4"/>
        <v>#ERROR!</v>
      </c>
      <c r="AG1818" s="154"/>
      <c r="AH1818" s="242" t="str">
        <f>IF(AG1818="","N/A",INDIRECT("MTR!"&amp;ADDRESS(MATCH(LEFT(AG1818,9),[1]MTR!C:C,0),COLUMN(J1818)),TRUE) &amp; "")</f>
        <v>#ERROR!</v>
      </c>
      <c r="AI1818" s="157" t="str">
        <f t="shared" si="5"/>
        <v>#ERROR!</v>
      </c>
    </row>
    <row r="1819" ht="12.75" customHeight="1">
      <c r="A1819" s="244" t="s">
        <v>5158</v>
      </c>
      <c r="B1819" s="244" t="s">
        <v>231</v>
      </c>
      <c r="C1819" s="244" t="s">
        <v>11251</v>
      </c>
      <c r="D1819" s="154" t="s">
        <v>546</v>
      </c>
      <c r="E1819" s="154"/>
      <c r="F1819" s="154" t="str">
        <f t="array" ref="F1819">XLOOKUP(Cover!$D$12,$R$1:$Z$1,$R1819:$Z1819)</f>
        <v>Information</v>
      </c>
      <c r="G1819" s="154" t="s">
        <v>11252</v>
      </c>
      <c r="H1819" s="154" t="s">
        <v>7853</v>
      </c>
      <c r="I1819" s="154" t="s">
        <v>11244</v>
      </c>
      <c r="J1819" s="154" t="s">
        <v>7510</v>
      </c>
      <c r="K1819" s="154" t="s">
        <v>11079</v>
      </c>
      <c r="L1819" s="154" t="s">
        <v>6529</v>
      </c>
      <c r="M1819" s="154"/>
      <c r="N1819" s="154" t="s">
        <v>759</v>
      </c>
      <c r="O1819" s="247" t="s">
        <v>516</v>
      </c>
      <c r="P1819" s="247" t="s">
        <v>6776</v>
      </c>
      <c r="Q1819" s="154" t="str">
        <f t="shared" si="1"/>
        <v>#ERROR!</v>
      </c>
      <c r="R1819" s="154" t="s">
        <v>66</v>
      </c>
      <c r="S1819" s="154" t="s">
        <v>66</v>
      </c>
      <c r="T1819" s="154" t="s">
        <v>66</v>
      </c>
      <c r="U1819" s="154" t="s">
        <v>66</v>
      </c>
      <c r="V1819" s="154" t="s">
        <v>66</v>
      </c>
      <c r="W1819" s="154" t="s">
        <v>66</v>
      </c>
      <c r="X1819" s="154" t="s">
        <v>66</v>
      </c>
      <c r="Y1819" s="154" t="s">
        <v>66</v>
      </c>
      <c r="Z1819" s="154" t="s">
        <v>66</v>
      </c>
      <c r="AA1819" s="154"/>
      <c r="AB1819" s="242" t="str">
        <f t="shared" si="2"/>
        <v>#ERROR!</v>
      </c>
      <c r="AC1819" s="154" t="s">
        <v>391</v>
      </c>
      <c r="AD1819" s="242" t="b">
        <f t="shared" si="3"/>
        <v>0</v>
      </c>
      <c r="AE1819" s="154"/>
      <c r="AF1819" s="242" t="str">
        <f t="shared" si="4"/>
        <v>#ERROR!</v>
      </c>
      <c r="AG1819" s="154"/>
      <c r="AH1819" s="242" t="str">
        <f>IF(AG1819="","N/A",INDIRECT("MTR!"&amp;ADDRESS(MATCH(LEFT(AG1819,9),[1]MTR!C:C,0),COLUMN(J1819)),TRUE) &amp; "")</f>
        <v>#ERROR!</v>
      </c>
      <c r="AI1819" s="157" t="str">
        <f t="shared" si="5"/>
        <v>#ERROR!</v>
      </c>
    </row>
    <row r="1820" ht="12.75" customHeight="1">
      <c r="A1820" s="244" t="s">
        <v>5158</v>
      </c>
      <c r="B1820" s="244" t="s">
        <v>231</v>
      </c>
      <c r="C1820" s="244" t="s">
        <v>11253</v>
      </c>
      <c r="D1820" s="154" t="s">
        <v>546</v>
      </c>
      <c r="E1820" s="154"/>
      <c r="F1820" s="154" t="str">
        <f t="array" ref="F1820">XLOOKUP(Cover!$D$12,$R$1:$Z$1,$R1820:$Z1820)</f>
        <v>Information</v>
      </c>
      <c r="G1820" s="154" t="s">
        <v>11254</v>
      </c>
      <c r="H1820" s="154" t="s">
        <v>1541</v>
      </c>
      <c r="I1820" s="154" t="s">
        <v>11244</v>
      </c>
      <c r="J1820" s="154" t="s">
        <v>7510</v>
      </c>
      <c r="K1820" s="154" t="s">
        <v>11079</v>
      </c>
      <c r="L1820" s="154" t="s">
        <v>6529</v>
      </c>
      <c r="M1820" s="154"/>
      <c r="N1820" s="154" t="s">
        <v>759</v>
      </c>
      <c r="O1820" s="247" t="s">
        <v>516</v>
      </c>
      <c r="P1820" s="247" t="s">
        <v>6776</v>
      </c>
      <c r="Q1820" s="154" t="str">
        <f t="shared" si="1"/>
        <v>#ERROR!</v>
      </c>
      <c r="R1820" s="154" t="s">
        <v>66</v>
      </c>
      <c r="S1820" s="154" t="s">
        <v>66</v>
      </c>
      <c r="T1820" s="154" t="s">
        <v>66</v>
      </c>
      <c r="U1820" s="154" t="s">
        <v>66</v>
      </c>
      <c r="V1820" s="154" t="s">
        <v>66</v>
      </c>
      <c r="W1820" s="154" t="s">
        <v>66</v>
      </c>
      <c r="X1820" s="154" t="s">
        <v>66</v>
      </c>
      <c r="Y1820" s="154" t="s">
        <v>66</v>
      </c>
      <c r="Z1820" s="154" t="s">
        <v>66</v>
      </c>
      <c r="AA1820" s="154"/>
      <c r="AB1820" s="242" t="str">
        <f t="shared" si="2"/>
        <v>#ERROR!</v>
      </c>
      <c r="AC1820" s="154" t="s">
        <v>391</v>
      </c>
      <c r="AD1820" s="242" t="b">
        <f t="shared" si="3"/>
        <v>0</v>
      </c>
      <c r="AE1820" s="154"/>
      <c r="AF1820" s="242" t="str">
        <f t="shared" si="4"/>
        <v>#ERROR!</v>
      </c>
      <c r="AG1820" s="154"/>
      <c r="AH1820" s="242" t="str">
        <f>IF(AG1820="","N/A",INDIRECT("MTR!"&amp;ADDRESS(MATCH(LEFT(AG1820,9),[1]MTR!C:C,0),COLUMN(J1820)),TRUE) &amp; "")</f>
        <v>#ERROR!</v>
      </c>
      <c r="AI1820" s="157" t="str">
        <f t="shared" si="5"/>
        <v>#ERROR!</v>
      </c>
    </row>
    <row r="1821" ht="12.75" customHeight="1">
      <c r="A1821" s="244" t="s">
        <v>5158</v>
      </c>
      <c r="B1821" s="244" t="s">
        <v>231</v>
      </c>
      <c r="C1821" s="244" t="s">
        <v>11255</v>
      </c>
      <c r="D1821" s="154" t="s">
        <v>546</v>
      </c>
      <c r="E1821" s="154"/>
      <c r="F1821" s="154" t="str">
        <f t="array" ref="F1821">XLOOKUP(Cover!$D$12,$R$1:$Z$1,$R1821:$Z1821)</f>
        <v>Information</v>
      </c>
      <c r="G1821" s="154" t="s">
        <v>11256</v>
      </c>
      <c r="H1821" s="154" t="s">
        <v>7838</v>
      </c>
      <c r="I1821" s="154" t="s">
        <v>11257</v>
      </c>
      <c r="J1821" s="154" t="s">
        <v>6935</v>
      </c>
      <c r="K1821" s="154" t="s">
        <v>11079</v>
      </c>
      <c r="L1821" s="154" t="s">
        <v>6529</v>
      </c>
      <c r="M1821" s="154"/>
      <c r="N1821" s="154" t="s">
        <v>759</v>
      </c>
      <c r="O1821" s="247" t="s">
        <v>516</v>
      </c>
      <c r="P1821" s="247" t="s">
        <v>6776</v>
      </c>
      <c r="Q1821" s="154" t="str">
        <f t="shared" si="1"/>
        <v>#ERROR!</v>
      </c>
      <c r="R1821" s="154" t="s">
        <v>66</v>
      </c>
      <c r="S1821" s="154" t="s">
        <v>66</v>
      </c>
      <c r="T1821" s="154" t="s">
        <v>66</v>
      </c>
      <c r="U1821" s="154" t="s">
        <v>66</v>
      </c>
      <c r="V1821" s="154" t="s">
        <v>66</v>
      </c>
      <c r="W1821" s="154" t="s">
        <v>66</v>
      </c>
      <c r="X1821" s="154" t="s">
        <v>66</v>
      </c>
      <c r="Y1821" s="154" t="s">
        <v>66</v>
      </c>
      <c r="Z1821" s="154" t="s">
        <v>66</v>
      </c>
      <c r="AA1821" s="154"/>
      <c r="AB1821" s="242" t="str">
        <f t="shared" si="2"/>
        <v>#ERROR!</v>
      </c>
      <c r="AC1821" s="154" t="s">
        <v>391</v>
      </c>
      <c r="AD1821" s="242" t="b">
        <f t="shared" si="3"/>
        <v>0</v>
      </c>
      <c r="AE1821" s="154"/>
      <c r="AF1821" s="242" t="str">
        <f t="shared" si="4"/>
        <v>#ERROR!</v>
      </c>
      <c r="AG1821" s="154"/>
      <c r="AH1821" s="242" t="str">
        <f>IF(AG1821="","N/A",INDIRECT("MTR!"&amp;ADDRESS(MATCH(LEFT(AG1821,9),[1]MTR!C:C,0),COLUMN(J1821)),TRUE) &amp; "")</f>
        <v>#ERROR!</v>
      </c>
      <c r="AI1821" s="157" t="str">
        <f t="shared" si="5"/>
        <v>#ERROR!</v>
      </c>
    </row>
    <row r="1822" ht="12.75" customHeight="1">
      <c r="A1822" s="244" t="s">
        <v>5158</v>
      </c>
      <c r="B1822" s="244" t="s">
        <v>231</v>
      </c>
      <c r="C1822" s="244" t="s">
        <v>11258</v>
      </c>
      <c r="D1822" s="154" t="s">
        <v>546</v>
      </c>
      <c r="E1822" s="154"/>
      <c r="F1822" s="154" t="str">
        <f t="array" ref="F1822">XLOOKUP(Cover!$D$12,$R$1:$Z$1,$R1822:$Z1822)</f>
        <v>Information</v>
      </c>
      <c r="G1822" s="154" t="s">
        <v>11259</v>
      </c>
      <c r="H1822" s="154" t="s">
        <v>9006</v>
      </c>
      <c r="I1822" s="154" t="s">
        <v>11257</v>
      </c>
      <c r="J1822" s="154" t="s">
        <v>6935</v>
      </c>
      <c r="K1822" s="154" t="s">
        <v>11079</v>
      </c>
      <c r="L1822" s="154" t="s">
        <v>6529</v>
      </c>
      <c r="M1822" s="154"/>
      <c r="N1822" s="154" t="s">
        <v>759</v>
      </c>
      <c r="O1822" s="247" t="s">
        <v>516</v>
      </c>
      <c r="P1822" s="247" t="s">
        <v>6776</v>
      </c>
      <c r="Q1822" s="154" t="str">
        <f t="shared" si="1"/>
        <v>#ERROR!</v>
      </c>
      <c r="R1822" s="154" t="s">
        <v>66</v>
      </c>
      <c r="S1822" s="154" t="s">
        <v>66</v>
      </c>
      <c r="T1822" s="154" t="s">
        <v>66</v>
      </c>
      <c r="U1822" s="154" t="s">
        <v>66</v>
      </c>
      <c r="V1822" s="154" t="s">
        <v>66</v>
      </c>
      <c r="W1822" s="154" t="s">
        <v>66</v>
      </c>
      <c r="X1822" s="154" t="s">
        <v>66</v>
      </c>
      <c r="Y1822" s="154" t="s">
        <v>66</v>
      </c>
      <c r="Z1822" s="154" t="s">
        <v>66</v>
      </c>
      <c r="AA1822" s="154"/>
      <c r="AB1822" s="242" t="str">
        <f t="shared" si="2"/>
        <v>#ERROR!</v>
      </c>
      <c r="AC1822" s="154" t="s">
        <v>391</v>
      </c>
      <c r="AD1822" s="242" t="b">
        <f t="shared" si="3"/>
        <v>0</v>
      </c>
      <c r="AE1822" s="154"/>
      <c r="AF1822" s="242" t="str">
        <f t="shared" si="4"/>
        <v>#ERROR!</v>
      </c>
      <c r="AG1822" s="154"/>
      <c r="AH1822" s="242" t="str">
        <f>IF(AG1822="","N/A",INDIRECT("MTR!"&amp;ADDRESS(MATCH(LEFT(AG1822,9),[1]MTR!C:C,0),COLUMN(J1822)),TRUE) &amp; "")</f>
        <v>#ERROR!</v>
      </c>
      <c r="AI1822" s="157" t="str">
        <f t="shared" si="5"/>
        <v>#ERROR!</v>
      </c>
    </row>
    <row r="1823" ht="12.75" customHeight="1">
      <c r="A1823" s="244" t="s">
        <v>5158</v>
      </c>
      <c r="B1823" s="244" t="s">
        <v>231</v>
      </c>
      <c r="C1823" s="244" t="s">
        <v>11260</v>
      </c>
      <c r="D1823" s="154" t="s">
        <v>546</v>
      </c>
      <c r="E1823" s="154"/>
      <c r="F1823" s="154" t="str">
        <f t="array" ref="F1823">XLOOKUP(Cover!$D$12,$R$1:$Z$1,$R1823:$Z1823)</f>
        <v>Information</v>
      </c>
      <c r="G1823" s="154" t="s">
        <v>11261</v>
      </c>
      <c r="H1823" s="154" t="s">
        <v>7844</v>
      </c>
      <c r="I1823" s="154" t="s">
        <v>11257</v>
      </c>
      <c r="J1823" s="154" t="s">
        <v>6935</v>
      </c>
      <c r="K1823" s="154" t="s">
        <v>11079</v>
      </c>
      <c r="L1823" s="154" t="s">
        <v>6529</v>
      </c>
      <c r="M1823" s="154"/>
      <c r="N1823" s="154" t="s">
        <v>759</v>
      </c>
      <c r="O1823" s="247" t="s">
        <v>516</v>
      </c>
      <c r="P1823" s="247" t="s">
        <v>6776</v>
      </c>
      <c r="Q1823" s="154" t="str">
        <f t="shared" si="1"/>
        <v>#ERROR!</v>
      </c>
      <c r="R1823" s="154" t="s">
        <v>66</v>
      </c>
      <c r="S1823" s="154" t="s">
        <v>66</v>
      </c>
      <c r="T1823" s="154" t="s">
        <v>66</v>
      </c>
      <c r="U1823" s="154" t="s">
        <v>66</v>
      </c>
      <c r="V1823" s="154" t="s">
        <v>66</v>
      </c>
      <c r="W1823" s="154" t="s">
        <v>66</v>
      </c>
      <c r="X1823" s="154" t="s">
        <v>66</v>
      </c>
      <c r="Y1823" s="154" t="s">
        <v>66</v>
      </c>
      <c r="Z1823" s="154" t="s">
        <v>66</v>
      </c>
      <c r="AA1823" s="154"/>
      <c r="AB1823" s="242" t="str">
        <f t="shared" si="2"/>
        <v>#ERROR!</v>
      </c>
      <c r="AC1823" s="154" t="s">
        <v>391</v>
      </c>
      <c r="AD1823" s="242" t="b">
        <f t="shared" si="3"/>
        <v>0</v>
      </c>
      <c r="AE1823" s="154"/>
      <c r="AF1823" s="242" t="str">
        <f t="shared" si="4"/>
        <v>#ERROR!</v>
      </c>
      <c r="AG1823" s="154"/>
      <c r="AH1823" s="242" t="str">
        <f>IF(AG1823="","N/A",INDIRECT("MTR!"&amp;ADDRESS(MATCH(LEFT(AG1823,9),[1]MTR!C:C,0),COLUMN(J1823)),TRUE) &amp; "")</f>
        <v>#ERROR!</v>
      </c>
      <c r="AI1823" s="157" t="str">
        <f t="shared" si="5"/>
        <v>#ERROR!</v>
      </c>
    </row>
    <row r="1824" ht="12.75" customHeight="1">
      <c r="A1824" s="244" t="s">
        <v>5158</v>
      </c>
      <c r="B1824" s="244" t="s">
        <v>231</v>
      </c>
      <c r="C1824" s="244" t="s">
        <v>11262</v>
      </c>
      <c r="D1824" s="154" t="s">
        <v>546</v>
      </c>
      <c r="E1824" s="154"/>
      <c r="F1824" s="154" t="str">
        <f t="array" ref="F1824">XLOOKUP(Cover!$D$12,$R$1:$Z$1,$R1824:$Z1824)</f>
        <v>Information</v>
      </c>
      <c r="G1824" s="154" t="s">
        <v>11263</v>
      </c>
      <c r="H1824" s="154" t="s">
        <v>9009</v>
      </c>
      <c r="I1824" s="154" t="s">
        <v>11257</v>
      </c>
      <c r="J1824" s="154" t="s">
        <v>6935</v>
      </c>
      <c r="K1824" s="154" t="s">
        <v>11079</v>
      </c>
      <c r="L1824" s="154" t="s">
        <v>6529</v>
      </c>
      <c r="M1824" s="154"/>
      <c r="N1824" s="154" t="s">
        <v>759</v>
      </c>
      <c r="O1824" s="247" t="s">
        <v>516</v>
      </c>
      <c r="P1824" s="247" t="s">
        <v>6776</v>
      </c>
      <c r="Q1824" s="154" t="str">
        <f t="shared" si="1"/>
        <v>#ERROR!</v>
      </c>
      <c r="R1824" s="154" t="s">
        <v>66</v>
      </c>
      <c r="S1824" s="154" t="s">
        <v>66</v>
      </c>
      <c r="T1824" s="154" t="s">
        <v>66</v>
      </c>
      <c r="U1824" s="154" t="s">
        <v>66</v>
      </c>
      <c r="V1824" s="154" t="s">
        <v>66</v>
      </c>
      <c r="W1824" s="154" t="s">
        <v>66</v>
      </c>
      <c r="X1824" s="154" t="s">
        <v>66</v>
      </c>
      <c r="Y1824" s="154" t="s">
        <v>66</v>
      </c>
      <c r="Z1824" s="154" t="s">
        <v>66</v>
      </c>
      <c r="AA1824" s="154"/>
      <c r="AB1824" s="242" t="str">
        <f t="shared" si="2"/>
        <v>#ERROR!</v>
      </c>
      <c r="AC1824" s="154" t="s">
        <v>391</v>
      </c>
      <c r="AD1824" s="242" t="b">
        <f t="shared" si="3"/>
        <v>0</v>
      </c>
      <c r="AE1824" s="154"/>
      <c r="AF1824" s="242" t="str">
        <f t="shared" si="4"/>
        <v>#ERROR!</v>
      </c>
      <c r="AG1824" s="154"/>
      <c r="AH1824" s="242" t="str">
        <f>IF(AG1824="","N/A",INDIRECT("MTR!"&amp;ADDRESS(MATCH(LEFT(AG1824,9),[1]MTR!C:C,0),COLUMN(J1824)),TRUE) &amp; "")</f>
        <v>#ERROR!</v>
      </c>
      <c r="AI1824" s="157" t="str">
        <f t="shared" si="5"/>
        <v>#ERROR!</v>
      </c>
    </row>
    <row r="1825" ht="12.75" customHeight="1">
      <c r="A1825" s="244" t="s">
        <v>5158</v>
      </c>
      <c r="B1825" s="244" t="s">
        <v>231</v>
      </c>
      <c r="C1825" s="244" t="s">
        <v>11264</v>
      </c>
      <c r="D1825" s="154" t="s">
        <v>546</v>
      </c>
      <c r="E1825" s="154"/>
      <c r="F1825" s="154" t="str">
        <f t="array" ref="F1825">XLOOKUP(Cover!$D$12,$R$1:$Z$1,$R1825:$Z1825)</f>
        <v>Information</v>
      </c>
      <c r="G1825" s="154" t="s">
        <v>11265</v>
      </c>
      <c r="H1825" s="154" t="s">
        <v>7838</v>
      </c>
      <c r="I1825" s="154" t="s">
        <v>11266</v>
      </c>
      <c r="J1825" s="154" t="s">
        <v>6927</v>
      </c>
      <c r="K1825" s="154" t="s">
        <v>11079</v>
      </c>
      <c r="L1825" s="154" t="s">
        <v>6529</v>
      </c>
      <c r="M1825" s="154"/>
      <c r="N1825" s="154" t="s">
        <v>759</v>
      </c>
      <c r="O1825" s="247" t="s">
        <v>516</v>
      </c>
      <c r="P1825" s="247" t="s">
        <v>6776</v>
      </c>
      <c r="Q1825" s="154" t="str">
        <f t="shared" si="1"/>
        <v>#ERROR!</v>
      </c>
      <c r="R1825" s="154" t="s">
        <v>66</v>
      </c>
      <c r="S1825" s="154" t="s">
        <v>66</v>
      </c>
      <c r="T1825" s="154" t="s">
        <v>66</v>
      </c>
      <c r="U1825" s="154" t="s">
        <v>66</v>
      </c>
      <c r="V1825" s="154" t="s">
        <v>66</v>
      </c>
      <c r="W1825" s="154" t="s">
        <v>66</v>
      </c>
      <c r="X1825" s="154" t="s">
        <v>66</v>
      </c>
      <c r="Y1825" s="154" t="s">
        <v>66</v>
      </c>
      <c r="Z1825" s="154" t="s">
        <v>66</v>
      </c>
      <c r="AA1825" s="154"/>
      <c r="AB1825" s="242" t="str">
        <f t="shared" si="2"/>
        <v>#ERROR!</v>
      </c>
      <c r="AC1825" s="154" t="s">
        <v>391</v>
      </c>
      <c r="AD1825" s="242" t="b">
        <f t="shared" si="3"/>
        <v>0</v>
      </c>
      <c r="AE1825" s="154"/>
      <c r="AF1825" s="242" t="str">
        <f t="shared" si="4"/>
        <v>#ERROR!</v>
      </c>
      <c r="AG1825" s="154"/>
      <c r="AH1825" s="242" t="str">
        <f>IF(AG1825="","N/A",INDIRECT("MTR!"&amp;ADDRESS(MATCH(LEFT(AG1825,9),[1]MTR!C:C,0),COLUMN(J1825)),TRUE) &amp; "")</f>
        <v>#ERROR!</v>
      </c>
      <c r="AI1825" s="157" t="str">
        <f t="shared" si="5"/>
        <v>#ERROR!</v>
      </c>
    </row>
    <row r="1826" ht="12.75" customHeight="1">
      <c r="A1826" s="244" t="s">
        <v>5158</v>
      </c>
      <c r="B1826" s="244" t="s">
        <v>231</v>
      </c>
      <c r="C1826" s="244" t="s">
        <v>11267</v>
      </c>
      <c r="D1826" s="154" t="s">
        <v>546</v>
      </c>
      <c r="E1826" s="154"/>
      <c r="F1826" s="154" t="str">
        <f t="array" ref="F1826">XLOOKUP(Cover!$D$12,$R$1:$Z$1,$R1826:$Z1826)</f>
        <v>Information</v>
      </c>
      <c r="G1826" s="154" t="s">
        <v>11268</v>
      </c>
      <c r="H1826" s="154" t="s">
        <v>9006</v>
      </c>
      <c r="I1826" s="154" t="s">
        <v>11266</v>
      </c>
      <c r="J1826" s="154" t="s">
        <v>6927</v>
      </c>
      <c r="K1826" s="154" t="s">
        <v>11079</v>
      </c>
      <c r="L1826" s="154" t="s">
        <v>6529</v>
      </c>
      <c r="M1826" s="154"/>
      <c r="N1826" s="154" t="s">
        <v>759</v>
      </c>
      <c r="O1826" s="247" t="s">
        <v>516</v>
      </c>
      <c r="P1826" s="247" t="s">
        <v>6776</v>
      </c>
      <c r="Q1826" s="154" t="str">
        <f t="shared" si="1"/>
        <v>#ERROR!</v>
      </c>
      <c r="R1826" s="154" t="s">
        <v>66</v>
      </c>
      <c r="S1826" s="154" t="s">
        <v>66</v>
      </c>
      <c r="T1826" s="154" t="s">
        <v>66</v>
      </c>
      <c r="U1826" s="154" t="s">
        <v>66</v>
      </c>
      <c r="V1826" s="154" t="s">
        <v>66</v>
      </c>
      <c r="W1826" s="154" t="s">
        <v>66</v>
      </c>
      <c r="X1826" s="154" t="s">
        <v>66</v>
      </c>
      <c r="Y1826" s="154" t="s">
        <v>66</v>
      </c>
      <c r="Z1826" s="154" t="s">
        <v>66</v>
      </c>
      <c r="AA1826" s="154"/>
      <c r="AB1826" s="242" t="str">
        <f t="shared" si="2"/>
        <v>#ERROR!</v>
      </c>
      <c r="AC1826" s="154" t="s">
        <v>391</v>
      </c>
      <c r="AD1826" s="242" t="b">
        <f t="shared" si="3"/>
        <v>0</v>
      </c>
      <c r="AE1826" s="154"/>
      <c r="AF1826" s="242" t="str">
        <f t="shared" si="4"/>
        <v>#ERROR!</v>
      </c>
      <c r="AG1826" s="154"/>
      <c r="AH1826" s="242" t="str">
        <f>IF(AG1826="","N/A",INDIRECT("MTR!"&amp;ADDRESS(MATCH(LEFT(AG1826,9),[1]MTR!C:C,0),COLUMN(J1826)),TRUE) &amp; "")</f>
        <v>#ERROR!</v>
      </c>
      <c r="AI1826" s="157" t="str">
        <f t="shared" si="5"/>
        <v>#ERROR!</v>
      </c>
    </row>
    <row r="1827" ht="12.75" customHeight="1">
      <c r="A1827" s="244" t="s">
        <v>5158</v>
      </c>
      <c r="B1827" s="244" t="s">
        <v>231</v>
      </c>
      <c r="C1827" s="244" t="s">
        <v>11269</v>
      </c>
      <c r="D1827" s="154" t="s">
        <v>546</v>
      </c>
      <c r="E1827" s="154"/>
      <c r="F1827" s="154" t="str">
        <f t="array" ref="F1827">XLOOKUP(Cover!$D$12,$R$1:$Z$1,$R1827:$Z1827)</f>
        <v>Information</v>
      </c>
      <c r="G1827" s="154" t="s">
        <v>11270</v>
      </c>
      <c r="H1827" s="154" t="s">
        <v>7892</v>
      </c>
      <c r="I1827" s="154" t="s">
        <v>11266</v>
      </c>
      <c r="J1827" s="154" t="s">
        <v>6927</v>
      </c>
      <c r="K1827" s="154" t="s">
        <v>11079</v>
      </c>
      <c r="L1827" s="154" t="s">
        <v>6529</v>
      </c>
      <c r="M1827" s="154"/>
      <c r="N1827" s="154" t="s">
        <v>759</v>
      </c>
      <c r="O1827" s="247" t="s">
        <v>516</v>
      </c>
      <c r="P1827" s="247" t="s">
        <v>6776</v>
      </c>
      <c r="Q1827" s="154" t="str">
        <f t="shared" si="1"/>
        <v>#ERROR!</v>
      </c>
      <c r="R1827" s="154" t="s">
        <v>66</v>
      </c>
      <c r="S1827" s="154" t="s">
        <v>66</v>
      </c>
      <c r="T1827" s="154" t="s">
        <v>66</v>
      </c>
      <c r="U1827" s="154" t="s">
        <v>66</v>
      </c>
      <c r="V1827" s="154" t="s">
        <v>66</v>
      </c>
      <c r="W1827" s="154" t="s">
        <v>66</v>
      </c>
      <c r="X1827" s="154" t="s">
        <v>66</v>
      </c>
      <c r="Y1827" s="154" t="s">
        <v>66</v>
      </c>
      <c r="Z1827" s="154" t="s">
        <v>66</v>
      </c>
      <c r="AA1827" s="154"/>
      <c r="AB1827" s="242" t="str">
        <f t="shared" si="2"/>
        <v>#ERROR!</v>
      </c>
      <c r="AC1827" s="154" t="s">
        <v>391</v>
      </c>
      <c r="AD1827" s="242" t="b">
        <f t="shared" si="3"/>
        <v>0</v>
      </c>
      <c r="AE1827" s="154"/>
      <c r="AF1827" s="242" t="str">
        <f t="shared" si="4"/>
        <v>#ERROR!</v>
      </c>
      <c r="AG1827" s="154"/>
      <c r="AH1827" s="242" t="str">
        <f>IF(AG1827="","N/A",INDIRECT("MTR!"&amp;ADDRESS(MATCH(LEFT(AG1827,9),[1]MTR!C:C,0),COLUMN(J1827)),TRUE) &amp; "")</f>
        <v>#ERROR!</v>
      </c>
      <c r="AI1827" s="157" t="str">
        <f t="shared" si="5"/>
        <v>#ERROR!</v>
      </c>
    </row>
    <row r="1828" ht="12.75" customHeight="1">
      <c r="A1828" s="244" t="s">
        <v>5158</v>
      </c>
      <c r="B1828" s="244" t="s">
        <v>231</v>
      </c>
      <c r="C1828" s="244" t="s">
        <v>11271</v>
      </c>
      <c r="D1828" s="154" t="s">
        <v>546</v>
      </c>
      <c r="E1828" s="154"/>
      <c r="F1828" s="154" t="str">
        <f t="array" ref="F1828">XLOOKUP(Cover!$D$12,$R$1:$Z$1,$R1828:$Z1828)</f>
        <v>Information</v>
      </c>
      <c r="G1828" s="154" t="s">
        <v>11272</v>
      </c>
      <c r="H1828" s="154" t="s">
        <v>9053</v>
      </c>
      <c r="I1828" s="154" t="s">
        <v>11266</v>
      </c>
      <c r="J1828" s="154" t="s">
        <v>6927</v>
      </c>
      <c r="K1828" s="154" t="s">
        <v>11079</v>
      </c>
      <c r="L1828" s="154" t="s">
        <v>6529</v>
      </c>
      <c r="M1828" s="154"/>
      <c r="N1828" s="154" t="s">
        <v>759</v>
      </c>
      <c r="O1828" s="247" t="s">
        <v>516</v>
      </c>
      <c r="P1828" s="247" t="s">
        <v>6776</v>
      </c>
      <c r="Q1828" s="154" t="str">
        <f t="shared" si="1"/>
        <v>#ERROR!</v>
      </c>
      <c r="R1828" s="154" t="s">
        <v>66</v>
      </c>
      <c r="S1828" s="154" t="s">
        <v>66</v>
      </c>
      <c r="T1828" s="154" t="s">
        <v>66</v>
      </c>
      <c r="U1828" s="154" t="s">
        <v>66</v>
      </c>
      <c r="V1828" s="154" t="s">
        <v>66</v>
      </c>
      <c r="W1828" s="154" t="s">
        <v>66</v>
      </c>
      <c r="X1828" s="154" t="s">
        <v>66</v>
      </c>
      <c r="Y1828" s="154" t="s">
        <v>66</v>
      </c>
      <c r="Z1828" s="154" t="s">
        <v>66</v>
      </c>
      <c r="AA1828" s="154"/>
      <c r="AB1828" s="242" t="str">
        <f t="shared" si="2"/>
        <v>#ERROR!</v>
      </c>
      <c r="AC1828" s="154" t="s">
        <v>391</v>
      </c>
      <c r="AD1828" s="242" t="b">
        <f t="shared" si="3"/>
        <v>0</v>
      </c>
      <c r="AE1828" s="154"/>
      <c r="AF1828" s="242" t="str">
        <f t="shared" si="4"/>
        <v>#ERROR!</v>
      </c>
      <c r="AG1828" s="154"/>
      <c r="AH1828" s="242" t="str">
        <f>IF(AG1828="","N/A",INDIRECT("MTR!"&amp;ADDRESS(MATCH(LEFT(AG1828,9),[1]MTR!C:C,0),COLUMN(J1828)),TRUE) &amp; "")</f>
        <v>#ERROR!</v>
      </c>
      <c r="AI1828" s="157" t="str">
        <f t="shared" si="5"/>
        <v>#ERROR!</v>
      </c>
    </row>
    <row r="1829" ht="12.75" customHeight="1">
      <c r="A1829" s="244" t="s">
        <v>5158</v>
      </c>
      <c r="B1829" s="244" t="s">
        <v>231</v>
      </c>
      <c r="C1829" s="244" t="s">
        <v>11273</v>
      </c>
      <c r="D1829" s="154" t="s">
        <v>546</v>
      </c>
      <c r="E1829" s="154"/>
      <c r="F1829" s="154" t="str">
        <f t="array" ref="F1829">XLOOKUP(Cover!$D$12,$R$1:$Z$1,$R1829:$Z1829)</f>
        <v>Information</v>
      </c>
      <c r="G1829" s="154" t="s">
        <v>11274</v>
      </c>
      <c r="H1829" s="154" t="s">
        <v>7844</v>
      </c>
      <c r="I1829" s="154" t="s">
        <v>11266</v>
      </c>
      <c r="J1829" s="154" t="s">
        <v>6927</v>
      </c>
      <c r="K1829" s="154" t="s">
        <v>11079</v>
      </c>
      <c r="L1829" s="154" t="s">
        <v>6529</v>
      </c>
      <c r="M1829" s="154"/>
      <c r="N1829" s="154" t="s">
        <v>759</v>
      </c>
      <c r="O1829" s="247" t="s">
        <v>516</v>
      </c>
      <c r="P1829" s="247" t="s">
        <v>6776</v>
      </c>
      <c r="Q1829" s="154" t="str">
        <f t="shared" si="1"/>
        <v>#ERROR!</v>
      </c>
      <c r="R1829" s="154" t="s">
        <v>66</v>
      </c>
      <c r="S1829" s="154" t="s">
        <v>66</v>
      </c>
      <c r="T1829" s="154" t="s">
        <v>66</v>
      </c>
      <c r="U1829" s="154" t="s">
        <v>66</v>
      </c>
      <c r="V1829" s="154" t="s">
        <v>66</v>
      </c>
      <c r="W1829" s="154" t="s">
        <v>66</v>
      </c>
      <c r="X1829" s="154" t="s">
        <v>66</v>
      </c>
      <c r="Y1829" s="154" t="s">
        <v>66</v>
      </c>
      <c r="Z1829" s="154" t="s">
        <v>66</v>
      </c>
      <c r="AA1829" s="154"/>
      <c r="AB1829" s="242" t="str">
        <f t="shared" si="2"/>
        <v>#ERROR!</v>
      </c>
      <c r="AC1829" s="154" t="s">
        <v>391</v>
      </c>
      <c r="AD1829" s="242" t="b">
        <f t="shared" si="3"/>
        <v>0</v>
      </c>
      <c r="AE1829" s="154"/>
      <c r="AF1829" s="242" t="str">
        <f t="shared" si="4"/>
        <v>#ERROR!</v>
      </c>
      <c r="AG1829" s="154"/>
      <c r="AH1829" s="242" t="str">
        <f>IF(AG1829="","N/A",INDIRECT("MTR!"&amp;ADDRESS(MATCH(LEFT(AG1829,9),[1]MTR!C:C,0),COLUMN(J1829)),TRUE) &amp; "")</f>
        <v>#ERROR!</v>
      </c>
      <c r="AI1829" s="157" t="str">
        <f t="shared" si="5"/>
        <v>#ERROR!</v>
      </c>
    </row>
    <row r="1830" ht="12.75" customHeight="1">
      <c r="A1830" s="244" t="s">
        <v>5158</v>
      </c>
      <c r="B1830" s="244" t="s">
        <v>231</v>
      </c>
      <c r="C1830" s="244" t="s">
        <v>11275</v>
      </c>
      <c r="D1830" s="154" t="s">
        <v>546</v>
      </c>
      <c r="E1830" s="154"/>
      <c r="F1830" s="154" t="str">
        <f t="array" ref="F1830">XLOOKUP(Cover!$D$12,$R$1:$Z$1,$R1830:$Z1830)</f>
        <v>Information</v>
      </c>
      <c r="G1830" s="154" t="s">
        <v>11276</v>
      </c>
      <c r="H1830" s="154" t="s">
        <v>9009</v>
      </c>
      <c r="I1830" s="154" t="s">
        <v>11266</v>
      </c>
      <c r="J1830" s="154" t="s">
        <v>6927</v>
      </c>
      <c r="K1830" s="154" t="s">
        <v>11079</v>
      </c>
      <c r="L1830" s="154" t="s">
        <v>6529</v>
      </c>
      <c r="M1830" s="154"/>
      <c r="N1830" s="154" t="s">
        <v>759</v>
      </c>
      <c r="O1830" s="247" t="s">
        <v>516</v>
      </c>
      <c r="P1830" s="247" t="s">
        <v>6776</v>
      </c>
      <c r="Q1830" s="154" t="str">
        <f t="shared" si="1"/>
        <v>#ERROR!</v>
      </c>
      <c r="R1830" s="154" t="s">
        <v>66</v>
      </c>
      <c r="S1830" s="154" t="s">
        <v>66</v>
      </c>
      <c r="T1830" s="154" t="s">
        <v>66</v>
      </c>
      <c r="U1830" s="154" t="s">
        <v>66</v>
      </c>
      <c r="V1830" s="154" t="s">
        <v>66</v>
      </c>
      <c r="W1830" s="154" t="s">
        <v>66</v>
      </c>
      <c r="X1830" s="154" t="s">
        <v>66</v>
      </c>
      <c r="Y1830" s="154" t="s">
        <v>66</v>
      </c>
      <c r="Z1830" s="154" t="s">
        <v>66</v>
      </c>
      <c r="AA1830" s="154"/>
      <c r="AB1830" s="242" t="str">
        <f t="shared" si="2"/>
        <v>#ERROR!</v>
      </c>
      <c r="AC1830" s="154" t="s">
        <v>391</v>
      </c>
      <c r="AD1830" s="242" t="b">
        <f t="shared" si="3"/>
        <v>0</v>
      </c>
      <c r="AE1830" s="154"/>
      <c r="AF1830" s="242" t="str">
        <f t="shared" si="4"/>
        <v>#ERROR!</v>
      </c>
      <c r="AG1830" s="154"/>
      <c r="AH1830" s="242" t="str">
        <f>IF(AG1830="","N/A",INDIRECT("MTR!"&amp;ADDRESS(MATCH(LEFT(AG1830,9),[1]MTR!C:C,0),COLUMN(J1830)),TRUE) &amp; "")</f>
        <v>#ERROR!</v>
      </c>
      <c r="AI1830" s="157" t="str">
        <f t="shared" si="5"/>
        <v>#ERROR!</v>
      </c>
    </row>
    <row r="1831" ht="12.75" customHeight="1">
      <c r="A1831" s="244" t="s">
        <v>5158</v>
      </c>
      <c r="B1831" s="244" t="s">
        <v>231</v>
      </c>
      <c r="C1831" s="244" t="s">
        <v>11277</v>
      </c>
      <c r="D1831" s="154" t="s">
        <v>1069</v>
      </c>
      <c r="E1831" s="154"/>
      <c r="F1831" s="154" t="str">
        <f t="array" ref="F1831">XLOOKUP(Cover!$D$12,$R$1:$Z$1,$R1831:$Z1831)</f>
        <v>Recommended</v>
      </c>
      <c r="G1831" s="154" t="s">
        <v>11062</v>
      </c>
      <c r="H1831" s="154" t="s">
        <v>7838</v>
      </c>
      <c r="I1831" s="154" t="s">
        <v>11063</v>
      </c>
      <c r="J1831" s="154" t="s">
        <v>6956</v>
      </c>
      <c r="K1831" s="154" t="s">
        <v>11034</v>
      </c>
      <c r="L1831" s="154" t="s">
        <v>5927</v>
      </c>
      <c r="M1831" s="154"/>
      <c r="N1831" s="154" t="s">
        <v>759</v>
      </c>
      <c r="O1831" s="247" t="s">
        <v>516</v>
      </c>
      <c r="P1831" s="247" t="s">
        <v>6776</v>
      </c>
      <c r="Q1831" s="154" t="str">
        <f t="shared" si="1"/>
        <v>#ERROR!</v>
      </c>
      <c r="R1831" s="154" t="s">
        <v>66</v>
      </c>
      <c r="S1831" s="154" t="s">
        <v>66</v>
      </c>
      <c r="T1831" s="154" t="s">
        <v>64</v>
      </c>
      <c r="U1831" s="154" t="s">
        <v>64</v>
      </c>
      <c r="V1831" s="154" t="s">
        <v>64</v>
      </c>
      <c r="W1831" s="154" t="s">
        <v>64</v>
      </c>
      <c r="X1831" s="154" t="s">
        <v>66</v>
      </c>
      <c r="Y1831" s="154" t="s">
        <v>64</v>
      </c>
      <c r="Z1831" s="154" t="s">
        <v>64</v>
      </c>
      <c r="AA1831" s="154"/>
      <c r="AB1831" s="242" t="str">
        <f t="shared" si="2"/>
        <v>#ERROR!</v>
      </c>
      <c r="AC1831" s="154" t="s">
        <v>391</v>
      </c>
      <c r="AD1831" s="242" t="b">
        <f t="shared" si="3"/>
        <v>0</v>
      </c>
      <c r="AE1831" s="154"/>
      <c r="AF1831" s="242" t="str">
        <f t="shared" si="4"/>
        <v>#ERROR!</v>
      </c>
      <c r="AG1831" s="154"/>
      <c r="AH1831" s="242" t="str">
        <f>IF(AG1831="","N/A",INDIRECT("MTR!"&amp;ADDRESS(MATCH(LEFT(AG1831,9),[1]MTR!C:C,0),COLUMN(J1831)),TRUE) &amp; "")</f>
        <v>#ERROR!</v>
      </c>
      <c r="AI1831" s="157" t="str">
        <f t="shared" si="5"/>
        <v>#ERROR!</v>
      </c>
    </row>
    <row r="1832" ht="12.75" customHeight="1">
      <c r="A1832" s="244" t="s">
        <v>5158</v>
      </c>
      <c r="B1832" s="244" t="s">
        <v>231</v>
      </c>
      <c r="C1832" s="244" t="s">
        <v>11278</v>
      </c>
      <c r="D1832" s="154" t="s">
        <v>1069</v>
      </c>
      <c r="E1832" s="154"/>
      <c r="F1832" s="154" t="str">
        <f t="array" ref="F1832">XLOOKUP(Cover!$D$12,$R$1:$Z$1,$R1832:$Z1832)</f>
        <v>Recommended</v>
      </c>
      <c r="G1832" s="154" t="s">
        <v>11067</v>
      </c>
      <c r="H1832" s="154" t="s">
        <v>7892</v>
      </c>
      <c r="I1832" s="154" t="s">
        <v>11063</v>
      </c>
      <c r="J1832" s="154" t="s">
        <v>6956</v>
      </c>
      <c r="K1832" s="154" t="s">
        <v>11034</v>
      </c>
      <c r="L1832" s="154" t="s">
        <v>5927</v>
      </c>
      <c r="M1832" s="154"/>
      <c r="N1832" s="154" t="s">
        <v>759</v>
      </c>
      <c r="O1832" s="247" t="s">
        <v>516</v>
      </c>
      <c r="P1832" s="247" t="s">
        <v>6776</v>
      </c>
      <c r="Q1832" s="154" t="str">
        <f t="shared" si="1"/>
        <v>#ERROR!</v>
      </c>
      <c r="R1832" s="154" t="s">
        <v>66</v>
      </c>
      <c r="S1832" s="154" t="s">
        <v>66</v>
      </c>
      <c r="T1832" s="154" t="s">
        <v>64</v>
      </c>
      <c r="U1832" s="154" t="s">
        <v>64</v>
      </c>
      <c r="V1832" s="154" t="s">
        <v>64</v>
      </c>
      <c r="W1832" s="154" t="s">
        <v>64</v>
      </c>
      <c r="X1832" s="154" t="s">
        <v>66</v>
      </c>
      <c r="Y1832" s="154" t="s">
        <v>64</v>
      </c>
      <c r="Z1832" s="154" t="s">
        <v>64</v>
      </c>
      <c r="AA1832" s="154"/>
      <c r="AB1832" s="242" t="str">
        <f t="shared" si="2"/>
        <v>#ERROR!</v>
      </c>
      <c r="AC1832" s="154" t="s">
        <v>391</v>
      </c>
      <c r="AD1832" s="242" t="b">
        <f t="shared" si="3"/>
        <v>0</v>
      </c>
      <c r="AE1832" s="154"/>
      <c r="AF1832" s="242" t="str">
        <f t="shared" si="4"/>
        <v>#ERROR!</v>
      </c>
      <c r="AG1832" s="154"/>
      <c r="AH1832" s="242" t="str">
        <f>IF(AG1832="","N/A",INDIRECT("MTR!"&amp;ADDRESS(MATCH(LEFT(AG1832,9),[1]MTR!C:C,0),COLUMN(J1832)),TRUE) &amp; "")</f>
        <v>#ERROR!</v>
      </c>
      <c r="AI1832" s="157" t="str">
        <f t="shared" si="5"/>
        <v>#ERROR!</v>
      </c>
    </row>
    <row r="1833" ht="12.75" customHeight="1">
      <c r="A1833" s="244" t="s">
        <v>5158</v>
      </c>
      <c r="B1833" s="244" t="s">
        <v>231</v>
      </c>
      <c r="C1833" s="244" t="s">
        <v>11279</v>
      </c>
      <c r="D1833" s="154" t="s">
        <v>1069</v>
      </c>
      <c r="E1833" s="154"/>
      <c r="F1833" s="154" t="str">
        <f t="array" ref="F1833">XLOOKUP(Cover!$D$12,$R$1:$Z$1,$R1833:$Z1833)</f>
        <v>Recommended</v>
      </c>
      <c r="G1833" s="154" t="s">
        <v>11071</v>
      </c>
      <c r="H1833" s="154" t="s">
        <v>7850</v>
      </c>
      <c r="I1833" s="154" t="s">
        <v>11063</v>
      </c>
      <c r="J1833" s="154" t="s">
        <v>6956</v>
      </c>
      <c r="K1833" s="154" t="s">
        <v>11034</v>
      </c>
      <c r="L1833" s="154" t="s">
        <v>5927</v>
      </c>
      <c r="M1833" s="154"/>
      <c r="N1833" s="154" t="s">
        <v>759</v>
      </c>
      <c r="O1833" s="247" t="s">
        <v>516</v>
      </c>
      <c r="P1833" s="247" t="s">
        <v>6776</v>
      </c>
      <c r="Q1833" s="154" t="str">
        <f t="shared" si="1"/>
        <v>#ERROR!</v>
      </c>
      <c r="R1833" s="154" t="s">
        <v>66</v>
      </c>
      <c r="S1833" s="154" t="s">
        <v>66</v>
      </c>
      <c r="T1833" s="154" t="s">
        <v>64</v>
      </c>
      <c r="U1833" s="154" t="s">
        <v>64</v>
      </c>
      <c r="V1833" s="154" t="s">
        <v>64</v>
      </c>
      <c r="W1833" s="154" t="s">
        <v>64</v>
      </c>
      <c r="X1833" s="154" t="s">
        <v>66</v>
      </c>
      <c r="Y1833" s="154" t="s">
        <v>64</v>
      </c>
      <c r="Z1833" s="154" t="s">
        <v>64</v>
      </c>
      <c r="AA1833" s="154"/>
      <c r="AB1833" s="242" t="str">
        <f t="shared" si="2"/>
        <v>#ERROR!</v>
      </c>
      <c r="AC1833" s="154" t="s">
        <v>391</v>
      </c>
      <c r="AD1833" s="242" t="b">
        <f t="shared" si="3"/>
        <v>0</v>
      </c>
      <c r="AE1833" s="154"/>
      <c r="AF1833" s="242" t="str">
        <f t="shared" si="4"/>
        <v>#ERROR!</v>
      </c>
      <c r="AG1833" s="154"/>
      <c r="AH1833" s="242" t="str">
        <f>IF(AG1833="","N/A",INDIRECT("MTR!"&amp;ADDRESS(MATCH(LEFT(AG1833,9),[1]MTR!C:C,0),COLUMN(J1833)),TRUE) &amp; "")</f>
        <v>#ERROR!</v>
      </c>
      <c r="AI1833" s="157" t="str">
        <f t="shared" si="5"/>
        <v>#ERROR!</v>
      </c>
    </row>
    <row r="1834" ht="12.75" customHeight="1">
      <c r="A1834" s="244" t="s">
        <v>5158</v>
      </c>
      <c r="B1834" s="244" t="s">
        <v>231</v>
      </c>
      <c r="C1834" s="244" t="s">
        <v>11280</v>
      </c>
      <c r="D1834" s="154" t="s">
        <v>1069</v>
      </c>
      <c r="E1834" s="154"/>
      <c r="F1834" s="154" t="str">
        <f t="array" ref="F1834">XLOOKUP(Cover!$D$12,$R$1:$Z$1,$R1834:$Z1834)</f>
        <v>Recommended</v>
      </c>
      <c r="G1834" s="154" t="s">
        <v>11065</v>
      </c>
      <c r="H1834" s="154" t="s">
        <v>1489</v>
      </c>
      <c r="I1834" s="154" t="s">
        <v>11063</v>
      </c>
      <c r="J1834" s="154" t="s">
        <v>6956</v>
      </c>
      <c r="K1834" s="154" t="s">
        <v>11034</v>
      </c>
      <c r="L1834" s="154" t="s">
        <v>5927</v>
      </c>
      <c r="M1834" s="154"/>
      <c r="N1834" s="154" t="s">
        <v>759</v>
      </c>
      <c r="O1834" s="247" t="s">
        <v>516</v>
      </c>
      <c r="P1834" s="247" t="s">
        <v>6776</v>
      </c>
      <c r="Q1834" s="154" t="str">
        <f t="shared" si="1"/>
        <v>#ERROR!</v>
      </c>
      <c r="R1834" s="154" t="s">
        <v>66</v>
      </c>
      <c r="S1834" s="154" t="s">
        <v>66</v>
      </c>
      <c r="T1834" s="154" t="s">
        <v>64</v>
      </c>
      <c r="U1834" s="154" t="s">
        <v>64</v>
      </c>
      <c r="V1834" s="154" t="s">
        <v>64</v>
      </c>
      <c r="W1834" s="154" t="s">
        <v>64</v>
      </c>
      <c r="X1834" s="154" t="s">
        <v>66</v>
      </c>
      <c r="Y1834" s="154" t="s">
        <v>64</v>
      </c>
      <c r="Z1834" s="154" t="s">
        <v>64</v>
      </c>
      <c r="AA1834" s="154"/>
      <c r="AB1834" s="242" t="str">
        <f t="shared" si="2"/>
        <v>#ERROR!</v>
      </c>
      <c r="AC1834" s="154" t="s">
        <v>391</v>
      </c>
      <c r="AD1834" s="242" t="b">
        <f t="shared" si="3"/>
        <v>0</v>
      </c>
      <c r="AE1834" s="154"/>
      <c r="AF1834" s="242" t="str">
        <f t="shared" si="4"/>
        <v>#ERROR!</v>
      </c>
      <c r="AG1834" s="154"/>
      <c r="AH1834" s="242" t="str">
        <f>IF(AG1834="","N/A",INDIRECT("MTR!"&amp;ADDRESS(MATCH(LEFT(AG1834,9),[1]MTR!C:C,0),COLUMN(J1834)),TRUE) &amp; "")</f>
        <v>#ERROR!</v>
      </c>
      <c r="AI1834" s="157" t="str">
        <f t="shared" si="5"/>
        <v>#ERROR!</v>
      </c>
    </row>
    <row r="1835" ht="12.75" customHeight="1">
      <c r="A1835" s="244" t="s">
        <v>5158</v>
      </c>
      <c r="B1835" s="244" t="s">
        <v>231</v>
      </c>
      <c r="C1835" s="244" t="s">
        <v>11281</v>
      </c>
      <c r="D1835" s="154" t="s">
        <v>1069</v>
      </c>
      <c r="E1835" s="154"/>
      <c r="F1835" s="154" t="str">
        <f t="array" ref="F1835">XLOOKUP(Cover!$D$12,$R$1:$Z$1,$R1835:$Z1835)</f>
        <v>Recommended</v>
      </c>
      <c r="G1835" s="154" t="s">
        <v>11073</v>
      </c>
      <c r="H1835" s="154" t="s">
        <v>8519</v>
      </c>
      <c r="I1835" s="154" t="s">
        <v>11063</v>
      </c>
      <c r="J1835" s="154" t="s">
        <v>6956</v>
      </c>
      <c r="K1835" s="154" t="s">
        <v>11034</v>
      </c>
      <c r="L1835" s="154" t="s">
        <v>5927</v>
      </c>
      <c r="M1835" s="154"/>
      <c r="N1835" s="154" t="s">
        <v>759</v>
      </c>
      <c r="O1835" s="247" t="s">
        <v>516</v>
      </c>
      <c r="P1835" s="247" t="s">
        <v>6776</v>
      </c>
      <c r="Q1835" s="154" t="str">
        <f t="shared" si="1"/>
        <v>#ERROR!</v>
      </c>
      <c r="R1835" s="154" t="s">
        <v>66</v>
      </c>
      <c r="S1835" s="154" t="s">
        <v>66</v>
      </c>
      <c r="T1835" s="154" t="s">
        <v>64</v>
      </c>
      <c r="U1835" s="154" t="s">
        <v>64</v>
      </c>
      <c r="V1835" s="154" t="s">
        <v>64</v>
      </c>
      <c r="W1835" s="154" t="s">
        <v>64</v>
      </c>
      <c r="X1835" s="154" t="s">
        <v>66</v>
      </c>
      <c r="Y1835" s="154" t="s">
        <v>64</v>
      </c>
      <c r="Z1835" s="154" t="s">
        <v>64</v>
      </c>
      <c r="AA1835" s="154"/>
      <c r="AB1835" s="242" t="str">
        <f t="shared" si="2"/>
        <v>#ERROR!</v>
      </c>
      <c r="AC1835" s="154" t="s">
        <v>391</v>
      </c>
      <c r="AD1835" s="242" t="b">
        <f t="shared" si="3"/>
        <v>0</v>
      </c>
      <c r="AE1835" s="154"/>
      <c r="AF1835" s="242" t="str">
        <f t="shared" si="4"/>
        <v>#ERROR!</v>
      </c>
      <c r="AG1835" s="154"/>
      <c r="AH1835" s="242" t="str">
        <f>IF(AG1835="","N/A",INDIRECT("MTR!"&amp;ADDRESS(MATCH(LEFT(AG1835,9),[1]MTR!C:C,0),COLUMN(J1835)),TRUE) &amp; "")</f>
        <v>#ERROR!</v>
      </c>
      <c r="AI1835" s="157" t="str">
        <f t="shared" si="5"/>
        <v>#ERROR!</v>
      </c>
    </row>
    <row r="1836" ht="12.75" customHeight="1">
      <c r="A1836" s="244" t="s">
        <v>5158</v>
      </c>
      <c r="B1836" s="244" t="s">
        <v>231</v>
      </c>
      <c r="C1836" s="244" t="s">
        <v>11282</v>
      </c>
      <c r="D1836" s="154" t="s">
        <v>546</v>
      </c>
      <c r="E1836" s="154"/>
      <c r="F1836" s="154" t="str">
        <f t="array" ref="F1836">XLOOKUP(Cover!$D$12,$R$1:$Z$1,$R1836:$Z1836)</f>
        <v>Information</v>
      </c>
      <c r="G1836" s="154" t="s">
        <v>11283</v>
      </c>
      <c r="H1836" s="154" t="s">
        <v>7838</v>
      </c>
      <c r="I1836" s="154" t="s">
        <v>11284</v>
      </c>
      <c r="J1836" s="154" t="s">
        <v>8058</v>
      </c>
      <c r="K1836" s="154" t="s">
        <v>11079</v>
      </c>
      <c r="L1836" s="154" t="s">
        <v>6942</v>
      </c>
      <c r="M1836" s="154"/>
      <c r="N1836" s="154" t="s">
        <v>759</v>
      </c>
      <c r="O1836" s="247" t="s">
        <v>516</v>
      </c>
      <c r="P1836" s="247" t="s">
        <v>6776</v>
      </c>
      <c r="Q1836" s="154" t="str">
        <f t="shared" si="1"/>
        <v>#ERROR!</v>
      </c>
      <c r="R1836" s="154" t="s">
        <v>66</v>
      </c>
      <c r="S1836" s="154" t="s">
        <v>66</v>
      </c>
      <c r="T1836" s="154" t="s">
        <v>66</v>
      </c>
      <c r="U1836" s="154" t="s">
        <v>66</v>
      </c>
      <c r="V1836" s="154" t="s">
        <v>66</v>
      </c>
      <c r="W1836" s="154" t="s">
        <v>66</v>
      </c>
      <c r="X1836" s="154" t="s">
        <v>66</v>
      </c>
      <c r="Y1836" s="154" t="s">
        <v>66</v>
      </c>
      <c r="Z1836" s="154" t="s">
        <v>66</v>
      </c>
      <c r="AA1836" s="154"/>
      <c r="AB1836" s="242" t="str">
        <f t="shared" si="2"/>
        <v>#ERROR!</v>
      </c>
      <c r="AC1836" s="154" t="s">
        <v>391</v>
      </c>
      <c r="AD1836" s="242" t="b">
        <f t="shared" si="3"/>
        <v>0</v>
      </c>
      <c r="AE1836" s="154"/>
      <c r="AF1836" s="242" t="str">
        <f t="shared" si="4"/>
        <v>#ERROR!</v>
      </c>
      <c r="AG1836" s="154"/>
      <c r="AH1836" s="242" t="str">
        <f>IF(AG1836="","N/A",INDIRECT("MTR!"&amp;ADDRESS(MATCH(LEFT(AG1836,9),[1]MTR!C:C,0),COLUMN(J1836)),TRUE) &amp; "")</f>
        <v>#ERROR!</v>
      </c>
      <c r="AI1836" s="157" t="str">
        <f t="shared" si="5"/>
        <v>#ERROR!</v>
      </c>
    </row>
    <row r="1837" ht="12.75" customHeight="1">
      <c r="A1837" s="244" t="s">
        <v>5158</v>
      </c>
      <c r="B1837" s="244" t="s">
        <v>231</v>
      </c>
      <c r="C1837" s="244" t="s">
        <v>11285</v>
      </c>
      <c r="D1837" s="154" t="s">
        <v>546</v>
      </c>
      <c r="E1837" s="154"/>
      <c r="F1837" s="154" t="str">
        <f t="array" ref="F1837">XLOOKUP(Cover!$D$12,$R$1:$Z$1,$R1837:$Z1837)</f>
        <v>Information</v>
      </c>
      <c r="G1837" s="154" t="s">
        <v>11286</v>
      </c>
      <c r="H1837" s="154" t="s">
        <v>9006</v>
      </c>
      <c r="I1837" s="154" t="s">
        <v>11284</v>
      </c>
      <c r="J1837" s="154" t="s">
        <v>8058</v>
      </c>
      <c r="K1837" s="154" t="s">
        <v>11079</v>
      </c>
      <c r="L1837" s="154" t="s">
        <v>6942</v>
      </c>
      <c r="M1837" s="154"/>
      <c r="N1837" s="154" t="s">
        <v>759</v>
      </c>
      <c r="O1837" s="247" t="s">
        <v>516</v>
      </c>
      <c r="P1837" s="247" t="s">
        <v>6776</v>
      </c>
      <c r="Q1837" s="154" t="str">
        <f t="shared" si="1"/>
        <v>#ERROR!</v>
      </c>
      <c r="R1837" s="154" t="s">
        <v>66</v>
      </c>
      <c r="S1837" s="154" t="s">
        <v>66</v>
      </c>
      <c r="T1837" s="154" t="s">
        <v>66</v>
      </c>
      <c r="U1837" s="154" t="s">
        <v>66</v>
      </c>
      <c r="V1837" s="154" t="s">
        <v>66</v>
      </c>
      <c r="W1837" s="154" t="s">
        <v>66</v>
      </c>
      <c r="X1837" s="154" t="s">
        <v>66</v>
      </c>
      <c r="Y1837" s="154" t="s">
        <v>66</v>
      </c>
      <c r="Z1837" s="154" t="s">
        <v>66</v>
      </c>
      <c r="AA1837" s="154"/>
      <c r="AB1837" s="242" t="str">
        <f t="shared" si="2"/>
        <v>#ERROR!</v>
      </c>
      <c r="AC1837" s="154" t="s">
        <v>391</v>
      </c>
      <c r="AD1837" s="242" t="b">
        <f t="shared" si="3"/>
        <v>0</v>
      </c>
      <c r="AE1837" s="154"/>
      <c r="AF1837" s="242" t="str">
        <f t="shared" si="4"/>
        <v>#ERROR!</v>
      </c>
      <c r="AG1837" s="154"/>
      <c r="AH1837" s="242" t="str">
        <f>IF(AG1837="","N/A",INDIRECT("MTR!"&amp;ADDRESS(MATCH(LEFT(AG1837,9),[1]MTR!C:C,0),COLUMN(J1837)),TRUE) &amp; "")</f>
        <v>#ERROR!</v>
      </c>
      <c r="AI1837" s="157" t="str">
        <f t="shared" si="5"/>
        <v>#ERROR!</v>
      </c>
    </row>
    <row r="1838" ht="12.75" customHeight="1">
      <c r="A1838" s="244" t="s">
        <v>5158</v>
      </c>
      <c r="B1838" s="244" t="s">
        <v>231</v>
      </c>
      <c r="C1838" s="244" t="s">
        <v>11287</v>
      </c>
      <c r="D1838" s="154" t="s">
        <v>546</v>
      </c>
      <c r="E1838" s="154"/>
      <c r="F1838" s="154" t="str">
        <f t="array" ref="F1838">XLOOKUP(Cover!$D$12,$R$1:$Z$1,$R1838:$Z1838)</f>
        <v>Information</v>
      </c>
      <c r="G1838" s="154" t="s">
        <v>11288</v>
      </c>
      <c r="H1838" s="154" t="s">
        <v>7853</v>
      </c>
      <c r="I1838" s="154" t="s">
        <v>11284</v>
      </c>
      <c r="J1838" s="154" t="s">
        <v>8058</v>
      </c>
      <c r="K1838" s="154" t="s">
        <v>11079</v>
      </c>
      <c r="L1838" s="154" t="s">
        <v>6942</v>
      </c>
      <c r="M1838" s="154"/>
      <c r="N1838" s="154" t="s">
        <v>759</v>
      </c>
      <c r="O1838" s="247" t="s">
        <v>516</v>
      </c>
      <c r="P1838" s="247" t="s">
        <v>6776</v>
      </c>
      <c r="Q1838" s="154" t="str">
        <f t="shared" si="1"/>
        <v>#ERROR!</v>
      </c>
      <c r="R1838" s="154" t="s">
        <v>66</v>
      </c>
      <c r="S1838" s="154" t="s">
        <v>66</v>
      </c>
      <c r="T1838" s="154" t="s">
        <v>66</v>
      </c>
      <c r="U1838" s="154" t="s">
        <v>66</v>
      </c>
      <c r="V1838" s="154" t="s">
        <v>66</v>
      </c>
      <c r="W1838" s="154" t="s">
        <v>66</v>
      </c>
      <c r="X1838" s="154" t="s">
        <v>66</v>
      </c>
      <c r="Y1838" s="154" t="s">
        <v>66</v>
      </c>
      <c r="Z1838" s="154" t="s">
        <v>66</v>
      </c>
      <c r="AA1838" s="154"/>
      <c r="AB1838" s="242" t="str">
        <f t="shared" si="2"/>
        <v>#ERROR!</v>
      </c>
      <c r="AC1838" s="154" t="s">
        <v>391</v>
      </c>
      <c r="AD1838" s="242" t="b">
        <f t="shared" si="3"/>
        <v>0</v>
      </c>
      <c r="AE1838" s="154"/>
      <c r="AF1838" s="242" t="str">
        <f t="shared" si="4"/>
        <v>#ERROR!</v>
      </c>
      <c r="AG1838" s="154"/>
      <c r="AH1838" s="242" t="str">
        <f>IF(AG1838="","N/A",INDIRECT("MTR!"&amp;ADDRESS(MATCH(LEFT(AG1838,9),[1]MTR!C:C,0),COLUMN(J1838)),TRUE) &amp; "")</f>
        <v>#ERROR!</v>
      </c>
      <c r="AI1838" s="157" t="str">
        <f t="shared" si="5"/>
        <v>#ERROR!</v>
      </c>
    </row>
    <row r="1839" ht="12.75" customHeight="1">
      <c r="A1839" s="244" t="s">
        <v>5158</v>
      </c>
      <c r="B1839" s="244" t="s">
        <v>231</v>
      </c>
      <c r="C1839" s="244" t="s">
        <v>11289</v>
      </c>
      <c r="D1839" s="154" t="s">
        <v>546</v>
      </c>
      <c r="E1839" s="154"/>
      <c r="F1839" s="154" t="str">
        <f t="array" ref="F1839">XLOOKUP(Cover!$D$12,$R$1:$Z$1,$R1839:$Z1839)</f>
        <v>Information</v>
      </c>
      <c r="G1839" s="154" t="s">
        <v>11290</v>
      </c>
      <c r="H1839" s="154" t="s">
        <v>1541</v>
      </c>
      <c r="I1839" s="154" t="s">
        <v>11284</v>
      </c>
      <c r="J1839" s="154" t="s">
        <v>8058</v>
      </c>
      <c r="K1839" s="154" t="s">
        <v>11079</v>
      </c>
      <c r="L1839" s="154" t="s">
        <v>6942</v>
      </c>
      <c r="M1839" s="154"/>
      <c r="N1839" s="154" t="s">
        <v>759</v>
      </c>
      <c r="O1839" s="247" t="s">
        <v>516</v>
      </c>
      <c r="P1839" s="247" t="s">
        <v>6776</v>
      </c>
      <c r="Q1839" s="154" t="str">
        <f t="shared" si="1"/>
        <v>#ERROR!</v>
      </c>
      <c r="R1839" s="154" t="s">
        <v>66</v>
      </c>
      <c r="S1839" s="154" t="s">
        <v>66</v>
      </c>
      <c r="T1839" s="154" t="s">
        <v>66</v>
      </c>
      <c r="U1839" s="154" t="s">
        <v>66</v>
      </c>
      <c r="V1839" s="154" t="s">
        <v>66</v>
      </c>
      <c r="W1839" s="154" t="s">
        <v>66</v>
      </c>
      <c r="X1839" s="154" t="s">
        <v>66</v>
      </c>
      <c r="Y1839" s="154" t="s">
        <v>66</v>
      </c>
      <c r="Z1839" s="154" t="s">
        <v>66</v>
      </c>
      <c r="AA1839" s="154"/>
      <c r="AB1839" s="242" t="str">
        <f t="shared" si="2"/>
        <v>#ERROR!</v>
      </c>
      <c r="AC1839" s="154" t="s">
        <v>391</v>
      </c>
      <c r="AD1839" s="242" t="b">
        <f t="shared" si="3"/>
        <v>0</v>
      </c>
      <c r="AE1839" s="154"/>
      <c r="AF1839" s="242" t="str">
        <f t="shared" si="4"/>
        <v>#ERROR!</v>
      </c>
      <c r="AG1839" s="154"/>
      <c r="AH1839" s="242" t="str">
        <f>IF(AG1839="","N/A",INDIRECT("MTR!"&amp;ADDRESS(MATCH(LEFT(AG1839,9),[1]MTR!C:C,0),COLUMN(J1839)),TRUE) &amp; "")</f>
        <v>#ERROR!</v>
      </c>
      <c r="AI1839" s="157" t="str">
        <f t="shared" si="5"/>
        <v>#ERROR!</v>
      </c>
    </row>
    <row r="1840" ht="12.75" customHeight="1">
      <c r="A1840" s="244" t="s">
        <v>5158</v>
      </c>
      <c r="B1840" s="244" t="s">
        <v>231</v>
      </c>
      <c r="C1840" s="244" t="s">
        <v>11291</v>
      </c>
      <c r="D1840" s="154" t="s">
        <v>546</v>
      </c>
      <c r="E1840" s="154"/>
      <c r="F1840" s="154" t="str">
        <f t="array" ref="F1840">XLOOKUP(Cover!$D$12,$R$1:$Z$1,$R1840:$Z1840)</f>
        <v>Information</v>
      </c>
      <c r="G1840" s="154" t="s">
        <v>11292</v>
      </c>
      <c r="H1840" s="154" t="s">
        <v>7838</v>
      </c>
      <c r="I1840" s="154" t="s">
        <v>11293</v>
      </c>
      <c r="J1840" s="154" t="s">
        <v>6970</v>
      </c>
      <c r="K1840" s="154" t="s">
        <v>11079</v>
      </c>
      <c r="L1840" s="154" t="s">
        <v>6942</v>
      </c>
      <c r="M1840" s="154"/>
      <c r="N1840" s="154" t="s">
        <v>759</v>
      </c>
      <c r="O1840" s="247" t="s">
        <v>516</v>
      </c>
      <c r="P1840" s="247" t="s">
        <v>6776</v>
      </c>
      <c r="Q1840" s="154" t="str">
        <f t="shared" si="1"/>
        <v>#ERROR!</v>
      </c>
      <c r="R1840" s="154" t="s">
        <v>66</v>
      </c>
      <c r="S1840" s="154" t="s">
        <v>66</v>
      </c>
      <c r="T1840" s="154" t="s">
        <v>66</v>
      </c>
      <c r="U1840" s="154" t="s">
        <v>66</v>
      </c>
      <c r="V1840" s="154" t="s">
        <v>66</v>
      </c>
      <c r="W1840" s="154" t="s">
        <v>66</v>
      </c>
      <c r="X1840" s="154" t="s">
        <v>66</v>
      </c>
      <c r="Y1840" s="154" t="s">
        <v>66</v>
      </c>
      <c r="Z1840" s="154" t="s">
        <v>66</v>
      </c>
      <c r="AA1840" s="154"/>
      <c r="AB1840" s="242" t="str">
        <f t="shared" si="2"/>
        <v>#ERROR!</v>
      </c>
      <c r="AC1840" s="154" t="s">
        <v>391</v>
      </c>
      <c r="AD1840" s="242" t="b">
        <f t="shared" si="3"/>
        <v>0</v>
      </c>
      <c r="AE1840" s="154"/>
      <c r="AF1840" s="242" t="str">
        <f t="shared" si="4"/>
        <v>#ERROR!</v>
      </c>
      <c r="AG1840" s="154"/>
      <c r="AH1840" s="242" t="str">
        <f>IF(AG1840="","N/A",INDIRECT("MTR!"&amp;ADDRESS(MATCH(LEFT(AG1840,9),[1]MTR!C:C,0),COLUMN(J1840)),TRUE) &amp; "")</f>
        <v>#ERROR!</v>
      </c>
      <c r="AI1840" s="157" t="str">
        <f t="shared" si="5"/>
        <v>#ERROR!</v>
      </c>
    </row>
    <row r="1841" ht="12.75" customHeight="1">
      <c r="A1841" s="244" t="s">
        <v>5158</v>
      </c>
      <c r="B1841" s="244" t="s">
        <v>231</v>
      </c>
      <c r="C1841" s="244" t="s">
        <v>11294</v>
      </c>
      <c r="D1841" s="154" t="s">
        <v>546</v>
      </c>
      <c r="E1841" s="154"/>
      <c r="F1841" s="154" t="str">
        <f t="array" ref="F1841">XLOOKUP(Cover!$D$12,$R$1:$Z$1,$R1841:$Z1841)</f>
        <v>Information</v>
      </c>
      <c r="G1841" s="154" t="s">
        <v>11295</v>
      </c>
      <c r="H1841" s="154" t="s">
        <v>9006</v>
      </c>
      <c r="I1841" s="154" t="s">
        <v>11293</v>
      </c>
      <c r="J1841" s="154" t="s">
        <v>6970</v>
      </c>
      <c r="K1841" s="154" t="s">
        <v>11079</v>
      </c>
      <c r="L1841" s="154" t="s">
        <v>6942</v>
      </c>
      <c r="M1841" s="154"/>
      <c r="N1841" s="154" t="s">
        <v>759</v>
      </c>
      <c r="O1841" s="247" t="s">
        <v>516</v>
      </c>
      <c r="P1841" s="247" t="s">
        <v>6776</v>
      </c>
      <c r="Q1841" s="154" t="str">
        <f t="shared" si="1"/>
        <v>#ERROR!</v>
      </c>
      <c r="R1841" s="154" t="s">
        <v>66</v>
      </c>
      <c r="S1841" s="154" t="s">
        <v>66</v>
      </c>
      <c r="T1841" s="154" t="s">
        <v>66</v>
      </c>
      <c r="U1841" s="154" t="s">
        <v>66</v>
      </c>
      <c r="V1841" s="154" t="s">
        <v>66</v>
      </c>
      <c r="W1841" s="154" t="s">
        <v>66</v>
      </c>
      <c r="X1841" s="154" t="s">
        <v>66</v>
      </c>
      <c r="Y1841" s="154" t="s">
        <v>66</v>
      </c>
      <c r="Z1841" s="154" t="s">
        <v>66</v>
      </c>
      <c r="AA1841" s="154"/>
      <c r="AB1841" s="242" t="str">
        <f t="shared" si="2"/>
        <v>#ERROR!</v>
      </c>
      <c r="AC1841" s="154" t="s">
        <v>391</v>
      </c>
      <c r="AD1841" s="242" t="b">
        <f t="shared" si="3"/>
        <v>0</v>
      </c>
      <c r="AE1841" s="154"/>
      <c r="AF1841" s="242" t="str">
        <f t="shared" si="4"/>
        <v>#ERROR!</v>
      </c>
      <c r="AG1841" s="154"/>
      <c r="AH1841" s="242" t="str">
        <f>IF(AG1841="","N/A",INDIRECT("MTR!"&amp;ADDRESS(MATCH(LEFT(AG1841,9),[1]MTR!C:C,0),COLUMN(J1841)),TRUE) &amp; "")</f>
        <v>#ERROR!</v>
      </c>
      <c r="AI1841" s="157" t="str">
        <f t="shared" si="5"/>
        <v>#ERROR!</v>
      </c>
    </row>
    <row r="1842" ht="12.75" customHeight="1">
      <c r="A1842" s="244" t="s">
        <v>5158</v>
      </c>
      <c r="B1842" s="244" t="s">
        <v>231</v>
      </c>
      <c r="C1842" s="244" t="s">
        <v>11296</v>
      </c>
      <c r="D1842" s="154" t="s">
        <v>546</v>
      </c>
      <c r="E1842" s="154"/>
      <c r="F1842" s="154" t="str">
        <f t="array" ref="F1842">XLOOKUP(Cover!$D$12,$R$1:$Z$1,$R1842:$Z1842)</f>
        <v>Information</v>
      </c>
      <c r="G1842" s="154" t="s">
        <v>11297</v>
      </c>
      <c r="H1842" s="154" t="s">
        <v>7892</v>
      </c>
      <c r="I1842" s="154" t="s">
        <v>11293</v>
      </c>
      <c r="J1842" s="154" t="s">
        <v>6970</v>
      </c>
      <c r="K1842" s="154" t="s">
        <v>11079</v>
      </c>
      <c r="L1842" s="154" t="s">
        <v>6942</v>
      </c>
      <c r="M1842" s="154"/>
      <c r="N1842" s="154" t="s">
        <v>759</v>
      </c>
      <c r="O1842" s="247" t="s">
        <v>516</v>
      </c>
      <c r="P1842" s="247" t="s">
        <v>6776</v>
      </c>
      <c r="Q1842" s="154" t="str">
        <f t="shared" si="1"/>
        <v>#ERROR!</v>
      </c>
      <c r="R1842" s="154" t="s">
        <v>66</v>
      </c>
      <c r="S1842" s="154" t="s">
        <v>66</v>
      </c>
      <c r="T1842" s="154" t="s">
        <v>66</v>
      </c>
      <c r="U1842" s="154" t="s">
        <v>66</v>
      </c>
      <c r="V1842" s="154" t="s">
        <v>66</v>
      </c>
      <c r="W1842" s="154" t="s">
        <v>66</v>
      </c>
      <c r="X1842" s="154" t="s">
        <v>66</v>
      </c>
      <c r="Y1842" s="154" t="s">
        <v>66</v>
      </c>
      <c r="Z1842" s="154" t="s">
        <v>66</v>
      </c>
      <c r="AA1842" s="154"/>
      <c r="AB1842" s="242" t="str">
        <f t="shared" si="2"/>
        <v>#ERROR!</v>
      </c>
      <c r="AC1842" s="154" t="s">
        <v>391</v>
      </c>
      <c r="AD1842" s="242" t="b">
        <f t="shared" si="3"/>
        <v>0</v>
      </c>
      <c r="AE1842" s="154"/>
      <c r="AF1842" s="242" t="str">
        <f t="shared" si="4"/>
        <v>#ERROR!</v>
      </c>
      <c r="AG1842" s="154"/>
      <c r="AH1842" s="242" t="str">
        <f>IF(AG1842="","N/A",INDIRECT("MTR!"&amp;ADDRESS(MATCH(LEFT(AG1842,9),[1]MTR!C:C,0),COLUMN(J1842)),TRUE) &amp; "")</f>
        <v>#ERROR!</v>
      </c>
      <c r="AI1842" s="157" t="str">
        <f t="shared" si="5"/>
        <v>#ERROR!</v>
      </c>
    </row>
    <row r="1843" ht="12.75" customHeight="1">
      <c r="A1843" s="244" t="s">
        <v>5158</v>
      </c>
      <c r="B1843" s="244" t="s">
        <v>231</v>
      </c>
      <c r="C1843" s="244" t="s">
        <v>11298</v>
      </c>
      <c r="D1843" s="154" t="s">
        <v>546</v>
      </c>
      <c r="E1843" s="154"/>
      <c r="F1843" s="154" t="str">
        <f t="array" ref="F1843">XLOOKUP(Cover!$D$12,$R$1:$Z$1,$R1843:$Z1843)</f>
        <v>Information</v>
      </c>
      <c r="G1843" s="154" t="s">
        <v>11299</v>
      </c>
      <c r="H1843" s="154" t="s">
        <v>9053</v>
      </c>
      <c r="I1843" s="154" t="s">
        <v>11293</v>
      </c>
      <c r="J1843" s="154" t="s">
        <v>6970</v>
      </c>
      <c r="K1843" s="154" t="s">
        <v>11079</v>
      </c>
      <c r="L1843" s="154" t="s">
        <v>6942</v>
      </c>
      <c r="M1843" s="154"/>
      <c r="N1843" s="154" t="s">
        <v>759</v>
      </c>
      <c r="O1843" s="247" t="s">
        <v>516</v>
      </c>
      <c r="P1843" s="247" t="s">
        <v>6776</v>
      </c>
      <c r="Q1843" s="154" t="str">
        <f t="shared" si="1"/>
        <v>#ERROR!</v>
      </c>
      <c r="R1843" s="154" t="s">
        <v>66</v>
      </c>
      <c r="S1843" s="154" t="s">
        <v>66</v>
      </c>
      <c r="T1843" s="154" t="s">
        <v>66</v>
      </c>
      <c r="U1843" s="154" t="s">
        <v>66</v>
      </c>
      <c r="V1843" s="154" t="s">
        <v>66</v>
      </c>
      <c r="W1843" s="154" t="s">
        <v>66</v>
      </c>
      <c r="X1843" s="154" t="s">
        <v>66</v>
      </c>
      <c r="Y1843" s="154" t="s">
        <v>66</v>
      </c>
      <c r="Z1843" s="154" t="s">
        <v>66</v>
      </c>
      <c r="AA1843" s="154"/>
      <c r="AB1843" s="242" t="str">
        <f t="shared" si="2"/>
        <v>#ERROR!</v>
      </c>
      <c r="AC1843" s="154" t="s">
        <v>391</v>
      </c>
      <c r="AD1843" s="242" t="b">
        <f t="shared" si="3"/>
        <v>0</v>
      </c>
      <c r="AE1843" s="154"/>
      <c r="AF1843" s="242" t="str">
        <f t="shared" si="4"/>
        <v>#ERROR!</v>
      </c>
      <c r="AG1843" s="154"/>
      <c r="AH1843" s="242" t="str">
        <f>IF(AG1843="","N/A",INDIRECT("MTR!"&amp;ADDRESS(MATCH(LEFT(AG1843,9),[1]MTR!C:C,0),COLUMN(J1843)),TRUE) &amp; "")</f>
        <v>#ERROR!</v>
      </c>
      <c r="AI1843" s="157" t="str">
        <f t="shared" si="5"/>
        <v>#ERROR!</v>
      </c>
    </row>
    <row r="1844" ht="12.75" customHeight="1">
      <c r="A1844" s="244" t="s">
        <v>5158</v>
      </c>
      <c r="B1844" s="244" t="s">
        <v>231</v>
      </c>
      <c r="C1844" s="244" t="s">
        <v>11300</v>
      </c>
      <c r="D1844" s="154" t="s">
        <v>546</v>
      </c>
      <c r="E1844" s="154"/>
      <c r="F1844" s="154" t="str">
        <f t="array" ref="F1844">XLOOKUP(Cover!$D$12,$R$1:$Z$1,$R1844:$Z1844)</f>
        <v>Information</v>
      </c>
      <c r="G1844" s="154" t="s">
        <v>11301</v>
      </c>
      <c r="H1844" s="154" t="s">
        <v>7853</v>
      </c>
      <c r="I1844" s="154" t="s">
        <v>11293</v>
      </c>
      <c r="J1844" s="154" t="s">
        <v>6970</v>
      </c>
      <c r="K1844" s="154" t="s">
        <v>11079</v>
      </c>
      <c r="L1844" s="154" t="s">
        <v>6942</v>
      </c>
      <c r="M1844" s="154"/>
      <c r="N1844" s="154" t="s">
        <v>759</v>
      </c>
      <c r="O1844" s="247" t="s">
        <v>516</v>
      </c>
      <c r="P1844" s="247" t="s">
        <v>6776</v>
      </c>
      <c r="Q1844" s="154" t="str">
        <f t="shared" si="1"/>
        <v>#ERROR!</v>
      </c>
      <c r="R1844" s="154" t="s">
        <v>66</v>
      </c>
      <c r="S1844" s="154" t="s">
        <v>66</v>
      </c>
      <c r="T1844" s="154" t="s">
        <v>66</v>
      </c>
      <c r="U1844" s="154" t="s">
        <v>66</v>
      </c>
      <c r="V1844" s="154" t="s">
        <v>66</v>
      </c>
      <c r="W1844" s="154" t="s">
        <v>66</v>
      </c>
      <c r="X1844" s="154" t="s">
        <v>66</v>
      </c>
      <c r="Y1844" s="154" t="s">
        <v>66</v>
      </c>
      <c r="Z1844" s="154" t="s">
        <v>66</v>
      </c>
      <c r="AA1844" s="154"/>
      <c r="AB1844" s="242" t="str">
        <f t="shared" si="2"/>
        <v>#ERROR!</v>
      </c>
      <c r="AC1844" s="154" t="s">
        <v>391</v>
      </c>
      <c r="AD1844" s="242" t="b">
        <f t="shared" si="3"/>
        <v>0</v>
      </c>
      <c r="AE1844" s="154"/>
      <c r="AF1844" s="242" t="str">
        <f t="shared" si="4"/>
        <v>#ERROR!</v>
      </c>
      <c r="AG1844" s="154"/>
      <c r="AH1844" s="242" t="str">
        <f>IF(AG1844="","N/A",INDIRECT("MTR!"&amp;ADDRESS(MATCH(LEFT(AG1844,9),[1]MTR!C:C,0),COLUMN(J1844)),TRUE) &amp; "")</f>
        <v>#ERROR!</v>
      </c>
      <c r="AI1844" s="157" t="str">
        <f t="shared" si="5"/>
        <v>#ERROR!</v>
      </c>
    </row>
    <row r="1845" ht="12.75" customHeight="1">
      <c r="A1845" s="244" t="s">
        <v>5158</v>
      </c>
      <c r="B1845" s="244" t="s">
        <v>231</v>
      </c>
      <c r="C1845" s="244" t="s">
        <v>11302</v>
      </c>
      <c r="D1845" s="154" t="s">
        <v>546</v>
      </c>
      <c r="E1845" s="154"/>
      <c r="F1845" s="154" t="str">
        <f t="array" ref="F1845">XLOOKUP(Cover!$D$12,$R$1:$Z$1,$R1845:$Z1845)</f>
        <v>Information</v>
      </c>
      <c r="G1845" s="154" t="s">
        <v>11303</v>
      </c>
      <c r="H1845" s="154" t="s">
        <v>1541</v>
      </c>
      <c r="I1845" s="154" t="s">
        <v>11293</v>
      </c>
      <c r="J1845" s="154" t="s">
        <v>6970</v>
      </c>
      <c r="K1845" s="154" t="s">
        <v>11079</v>
      </c>
      <c r="L1845" s="154" t="s">
        <v>6942</v>
      </c>
      <c r="M1845" s="154"/>
      <c r="N1845" s="154" t="s">
        <v>759</v>
      </c>
      <c r="O1845" s="247" t="s">
        <v>516</v>
      </c>
      <c r="P1845" s="247" t="s">
        <v>6776</v>
      </c>
      <c r="Q1845" s="154" t="str">
        <f t="shared" si="1"/>
        <v>#ERROR!</v>
      </c>
      <c r="R1845" s="154" t="s">
        <v>66</v>
      </c>
      <c r="S1845" s="154" t="s">
        <v>66</v>
      </c>
      <c r="T1845" s="154" t="s">
        <v>66</v>
      </c>
      <c r="U1845" s="154" t="s">
        <v>66</v>
      </c>
      <c r="V1845" s="154" t="s">
        <v>66</v>
      </c>
      <c r="W1845" s="154" t="s">
        <v>66</v>
      </c>
      <c r="X1845" s="154" t="s">
        <v>66</v>
      </c>
      <c r="Y1845" s="154" t="s">
        <v>66</v>
      </c>
      <c r="Z1845" s="154" t="s">
        <v>66</v>
      </c>
      <c r="AA1845" s="154"/>
      <c r="AB1845" s="242" t="str">
        <f t="shared" si="2"/>
        <v>#ERROR!</v>
      </c>
      <c r="AC1845" s="154" t="s">
        <v>391</v>
      </c>
      <c r="AD1845" s="242" t="b">
        <f t="shared" si="3"/>
        <v>0</v>
      </c>
      <c r="AE1845" s="154"/>
      <c r="AF1845" s="242" t="str">
        <f t="shared" si="4"/>
        <v>#ERROR!</v>
      </c>
      <c r="AG1845" s="154"/>
      <c r="AH1845" s="242" t="str">
        <f>IF(AG1845="","N/A",INDIRECT("MTR!"&amp;ADDRESS(MATCH(LEFT(AG1845,9),[1]MTR!C:C,0),COLUMN(J1845)),TRUE) &amp; "")</f>
        <v>#ERROR!</v>
      </c>
      <c r="AI1845" s="157" t="str">
        <f t="shared" si="5"/>
        <v>#ERROR!</v>
      </c>
    </row>
    <row r="1846" ht="12.75" customHeight="1">
      <c r="A1846" s="244" t="s">
        <v>5158</v>
      </c>
      <c r="B1846" s="244" t="s">
        <v>231</v>
      </c>
      <c r="C1846" s="244" t="s">
        <v>11304</v>
      </c>
      <c r="D1846" s="154" t="s">
        <v>546</v>
      </c>
      <c r="E1846" s="154"/>
      <c r="F1846" s="154" t="str">
        <f t="array" ref="F1846">XLOOKUP(Cover!$D$12,$R$1:$Z$1,$R1846:$Z1846)</f>
        <v>Information</v>
      </c>
      <c r="G1846" s="154" t="s">
        <v>11305</v>
      </c>
      <c r="H1846" s="154" t="s">
        <v>7838</v>
      </c>
      <c r="I1846" s="154" t="s">
        <v>11306</v>
      </c>
      <c r="J1846" s="154" t="s">
        <v>7014</v>
      </c>
      <c r="K1846" s="154" t="s">
        <v>11079</v>
      </c>
      <c r="L1846" s="154" t="s">
        <v>6529</v>
      </c>
      <c r="M1846" s="154"/>
      <c r="N1846" s="154" t="s">
        <v>759</v>
      </c>
      <c r="O1846" s="247" t="s">
        <v>516</v>
      </c>
      <c r="P1846" s="247" t="s">
        <v>6776</v>
      </c>
      <c r="Q1846" s="154" t="str">
        <f t="shared" si="1"/>
        <v>#ERROR!</v>
      </c>
      <c r="R1846" s="154" t="s">
        <v>66</v>
      </c>
      <c r="S1846" s="154" t="s">
        <v>66</v>
      </c>
      <c r="T1846" s="154" t="s">
        <v>66</v>
      </c>
      <c r="U1846" s="154" t="s">
        <v>66</v>
      </c>
      <c r="V1846" s="154" t="s">
        <v>66</v>
      </c>
      <c r="W1846" s="154" t="s">
        <v>66</v>
      </c>
      <c r="X1846" s="154" t="s">
        <v>66</v>
      </c>
      <c r="Y1846" s="154" t="s">
        <v>66</v>
      </c>
      <c r="Z1846" s="154" t="s">
        <v>66</v>
      </c>
      <c r="AA1846" s="154"/>
      <c r="AB1846" s="242" t="str">
        <f t="shared" si="2"/>
        <v>#ERROR!</v>
      </c>
      <c r="AC1846" s="154" t="s">
        <v>391</v>
      </c>
      <c r="AD1846" s="242" t="b">
        <f t="shared" si="3"/>
        <v>0</v>
      </c>
      <c r="AE1846" s="154"/>
      <c r="AF1846" s="242" t="str">
        <f t="shared" si="4"/>
        <v>#ERROR!</v>
      </c>
      <c r="AG1846" s="154"/>
      <c r="AH1846" s="242" t="str">
        <f>IF(AG1846="","N/A",INDIRECT("MTR!"&amp;ADDRESS(MATCH(LEFT(AG1846,9),[1]MTR!C:C,0),COLUMN(J1846)),TRUE) &amp; "")</f>
        <v>#ERROR!</v>
      </c>
      <c r="AI1846" s="157" t="str">
        <f t="shared" si="5"/>
        <v>#ERROR!</v>
      </c>
    </row>
    <row r="1847" ht="12.75" customHeight="1">
      <c r="A1847" s="244" t="s">
        <v>5158</v>
      </c>
      <c r="B1847" s="244" t="s">
        <v>231</v>
      </c>
      <c r="C1847" s="244" t="s">
        <v>11307</v>
      </c>
      <c r="D1847" s="154" t="s">
        <v>546</v>
      </c>
      <c r="E1847" s="154"/>
      <c r="F1847" s="154" t="str">
        <f t="array" ref="F1847">XLOOKUP(Cover!$D$12,$R$1:$Z$1,$R1847:$Z1847)</f>
        <v>Information</v>
      </c>
      <c r="G1847" s="154" t="s">
        <v>11308</v>
      </c>
      <c r="H1847" s="154" t="s">
        <v>9006</v>
      </c>
      <c r="I1847" s="154" t="s">
        <v>11306</v>
      </c>
      <c r="J1847" s="154" t="s">
        <v>7014</v>
      </c>
      <c r="K1847" s="154" t="s">
        <v>11079</v>
      </c>
      <c r="L1847" s="154" t="s">
        <v>6529</v>
      </c>
      <c r="M1847" s="154"/>
      <c r="N1847" s="154" t="s">
        <v>759</v>
      </c>
      <c r="O1847" s="247" t="s">
        <v>516</v>
      </c>
      <c r="P1847" s="247" t="s">
        <v>6776</v>
      </c>
      <c r="Q1847" s="154" t="str">
        <f t="shared" si="1"/>
        <v>#ERROR!</v>
      </c>
      <c r="R1847" s="154" t="s">
        <v>66</v>
      </c>
      <c r="S1847" s="154" t="s">
        <v>66</v>
      </c>
      <c r="T1847" s="154" t="s">
        <v>66</v>
      </c>
      <c r="U1847" s="154" t="s">
        <v>66</v>
      </c>
      <c r="V1847" s="154" t="s">
        <v>66</v>
      </c>
      <c r="W1847" s="154" t="s">
        <v>66</v>
      </c>
      <c r="X1847" s="154" t="s">
        <v>66</v>
      </c>
      <c r="Y1847" s="154" t="s">
        <v>66</v>
      </c>
      <c r="Z1847" s="154" t="s">
        <v>66</v>
      </c>
      <c r="AA1847" s="154"/>
      <c r="AB1847" s="242" t="str">
        <f t="shared" si="2"/>
        <v>#ERROR!</v>
      </c>
      <c r="AC1847" s="154" t="s">
        <v>391</v>
      </c>
      <c r="AD1847" s="242" t="b">
        <f t="shared" si="3"/>
        <v>0</v>
      </c>
      <c r="AE1847" s="154"/>
      <c r="AF1847" s="242" t="str">
        <f t="shared" si="4"/>
        <v>#ERROR!</v>
      </c>
      <c r="AG1847" s="154"/>
      <c r="AH1847" s="242" t="str">
        <f>IF(AG1847="","N/A",INDIRECT("MTR!"&amp;ADDRESS(MATCH(LEFT(AG1847,9),[1]MTR!C:C,0),COLUMN(J1847)),TRUE) &amp; "")</f>
        <v>#ERROR!</v>
      </c>
      <c r="AI1847" s="157" t="str">
        <f t="shared" si="5"/>
        <v>#ERROR!</v>
      </c>
    </row>
    <row r="1848" ht="12.75" customHeight="1">
      <c r="A1848" s="244" t="s">
        <v>5158</v>
      </c>
      <c r="B1848" s="244" t="s">
        <v>231</v>
      </c>
      <c r="C1848" s="244" t="s">
        <v>11309</v>
      </c>
      <c r="D1848" s="154" t="s">
        <v>546</v>
      </c>
      <c r="E1848" s="154"/>
      <c r="F1848" s="154" t="str">
        <f t="array" ref="F1848">XLOOKUP(Cover!$D$12,$R$1:$Z$1,$R1848:$Z1848)</f>
        <v>Information</v>
      </c>
      <c r="G1848" s="154" t="s">
        <v>11310</v>
      </c>
      <c r="H1848" s="154" t="s">
        <v>7844</v>
      </c>
      <c r="I1848" s="154" t="s">
        <v>11306</v>
      </c>
      <c r="J1848" s="154" t="s">
        <v>7014</v>
      </c>
      <c r="K1848" s="154" t="s">
        <v>11079</v>
      </c>
      <c r="L1848" s="154" t="s">
        <v>6529</v>
      </c>
      <c r="M1848" s="154"/>
      <c r="N1848" s="154" t="s">
        <v>759</v>
      </c>
      <c r="O1848" s="247" t="s">
        <v>516</v>
      </c>
      <c r="P1848" s="247" t="s">
        <v>6776</v>
      </c>
      <c r="Q1848" s="154" t="str">
        <f t="shared" si="1"/>
        <v>#ERROR!</v>
      </c>
      <c r="R1848" s="154" t="s">
        <v>66</v>
      </c>
      <c r="S1848" s="154" t="s">
        <v>66</v>
      </c>
      <c r="T1848" s="154" t="s">
        <v>66</v>
      </c>
      <c r="U1848" s="154" t="s">
        <v>66</v>
      </c>
      <c r="V1848" s="154" t="s">
        <v>66</v>
      </c>
      <c r="W1848" s="154" t="s">
        <v>66</v>
      </c>
      <c r="X1848" s="154" t="s">
        <v>66</v>
      </c>
      <c r="Y1848" s="154" t="s">
        <v>66</v>
      </c>
      <c r="Z1848" s="154" t="s">
        <v>66</v>
      </c>
      <c r="AA1848" s="154"/>
      <c r="AB1848" s="242" t="str">
        <f t="shared" si="2"/>
        <v>#ERROR!</v>
      </c>
      <c r="AC1848" s="154" t="s">
        <v>391</v>
      </c>
      <c r="AD1848" s="242" t="b">
        <f t="shared" si="3"/>
        <v>0</v>
      </c>
      <c r="AE1848" s="154"/>
      <c r="AF1848" s="242" t="str">
        <f t="shared" si="4"/>
        <v>#ERROR!</v>
      </c>
      <c r="AG1848" s="154"/>
      <c r="AH1848" s="242" t="str">
        <f>IF(AG1848="","N/A",INDIRECT("MTR!"&amp;ADDRESS(MATCH(LEFT(AG1848,9),[1]MTR!C:C,0),COLUMN(J1848)),TRUE) &amp; "")</f>
        <v>#ERROR!</v>
      </c>
      <c r="AI1848" s="157" t="str">
        <f t="shared" si="5"/>
        <v>#ERROR!</v>
      </c>
    </row>
    <row r="1849" ht="12.75" customHeight="1">
      <c r="A1849" s="244" t="s">
        <v>5158</v>
      </c>
      <c r="B1849" s="244" t="s">
        <v>231</v>
      </c>
      <c r="C1849" s="244" t="s">
        <v>11311</v>
      </c>
      <c r="D1849" s="154" t="s">
        <v>546</v>
      </c>
      <c r="E1849" s="154"/>
      <c r="F1849" s="154" t="str">
        <f t="array" ref="F1849">XLOOKUP(Cover!$D$12,$R$1:$Z$1,$R1849:$Z1849)</f>
        <v>Information</v>
      </c>
      <c r="G1849" s="154" t="s">
        <v>11312</v>
      </c>
      <c r="H1849" s="154" t="s">
        <v>9009</v>
      </c>
      <c r="I1849" s="154" t="s">
        <v>11306</v>
      </c>
      <c r="J1849" s="154" t="s">
        <v>7014</v>
      </c>
      <c r="K1849" s="154" t="s">
        <v>11079</v>
      </c>
      <c r="L1849" s="154" t="s">
        <v>6529</v>
      </c>
      <c r="M1849" s="154"/>
      <c r="N1849" s="154" t="s">
        <v>759</v>
      </c>
      <c r="O1849" s="247" t="s">
        <v>516</v>
      </c>
      <c r="P1849" s="247" t="s">
        <v>6776</v>
      </c>
      <c r="Q1849" s="154" t="str">
        <f t="shared" si="1"/>
        <v>#ERROR!</v>
      </c>
      <c r="R1849" s="154" t="s">
        <v>66</v>
      </c>
      <c r="S1849" s="154" t="s">
        <v>66</v>
      </c>
      <c r="T1849" s="154" t="s">
        <v>66</v>
      </c>
      <c r="U1849" s="154" t="s">
        <v>66</v>
      </c>
      <c r="V1849" s="154" t="s">
        <v>66</v>
      </c>
      <c r="W1849" s="154" t="s">
        <v>66</v>
      </c>
      <c r="X1849" s="154" t="s">
        <v>66</v>
      </c>
      <c r="Y1849" s="154" t="s">
        <v>66</v>
      </c>
      <c r="Z1849" s="154" t="s">
        <v>66</v>
      </c>
      <c r="AA1849" s="154"/>
      <c r="AB1849" s="242" t="str">
        <f t="shared" si="2"/>
        <v>#ERROR!</v>
      </c>
      <c r="AC1849" s="154" t="s">
        <v>391</v>
      </c>
      <c r="AD1849" s="242" t="b">
        <f t="shared" si="3"/>
        <v>0</v>
      </c>
      <c r="AE1849" s="154"/>
      <c r="AF1849" s="242" t="str">
        <f t="shared" si="4"/>
        <v>#ERROR!</v>
      </c>
      <c r="AG1849" s="154"/>
      <c r="AH1849" s="242" t="str">
        <f>IF(AG1849="","N/A",INDIRECT("MTR!"&amp;ADDRESS(MATCH(LEFT(AG1849,9),[1]MTR!C:C,0),COLUMN(J1849)),TRUE) &amp; "")</f>
        <v>#ERROR!</v>
      </c>
      <c r="AI1849" s="157" t="str">
        <f t="shared" si="5"/>
        <v>#ERROR!</v>
      </c>
    </row>
    <row r="1850" ht="12.75" customHeight="1">
      <c r="A1850" s="244" t="s">
        <v>5158</v>
      </c>
      <c r="B1850" s="244" t="s">
        <v>231</v>
      </c>
      <c r="C1850" s="244" t="s">
        <v>11313</v>
      </c>
      <c r="D1850" s="154" t="s">
        <v>546</v>
      </c>
      <c r="E1850" s="154"/>
      <c r="F1850" s="154" t="str">
        <f t="array" ref="F1850">XLOOKUP(Cover!$D$12,$R$1:$Z$1,$R1850:$Z1850)</f>
        <v>Information</v>
      </c>
      <c r="G1850" s="154" t="s">
        <v>11314</v>
      </c>
      <c r="H1850" s="154" t="s">
        <v>7853</v>
      </c>
      <c r="I1850" s="154" t="s">
        <v>11306</v>
      </c>
      <c r="J1850" s="154" t="s">
        <v>7014</v>
      </c>
      <c r="K1850" s="154" t="s">
        <v>11079</v>
      </c>
      <c r="L1850" s="154" t="s">
        <v>6529</v>
      </c>
      <c r="M1850" s="154"/>
      <c r="N1850" s="154" t="s">
        <v>759</v>
      </c>
      <c r="O1850" s="247" t="s">
        <v>516</v>
      </c>
      <c r="P1850" s="247" t="s">
        <v>6776</v>
      </c>
      <c r="Q1850" s="154" t="str">
        <f t="shared" si="1"/>
        <v>#ERROR!</v>
      </c>
      <c r="R1850" s="154" t="s">
        <v>66</v>
      </c>
      <c r="S1850" s="154" t="s">
        <v>66</v>
      </c>
      <c r="T1850" s="154" t="s">
        <v>66</v>
      </c>
      <c r="U1850" s="154" t="s">
        <v>66</v>
      </c>
      <c r="V1850" s="154" t="s">
        <v>66</v>
      </c>
      <c r="W1850" s="154" t="s">
        <v>66</v>
      </c>
      <c r="X1850" s="154" t="s">
        <v>66</v>
      </c>
      <c r="Y1850" s="154" t="s">
        <v>66</v>
      </c>
      <c r="Z1850" s="154" t="s">
        <v>66</v>
      </c>
      <c r="AA1850" s="154"/>
      <c r="AB1850" s="242" t="str">
        <f t="shared" si="2"/>
        <v>#ERROR!</v>
      </c>
      <c r="AC1850" s="154" t="s">
        <v>391</v>
      </c>
      <c r="AD1850" s="242" t="b">
        <f t="shared" si="3"/>
        <v>0</v>
      </c>
      <c r="AE1850" s="154"/>
      <c r="AF1850" s="242" t="str">
        <f t="shared" si="4"/>
        <v>#ERROR!</v>
      </c>
      <c r="AG1850" s="154"/>
      <c r="AH1850" s="242" t="str">
        <f>IF(AG1850="","N/A",INDIRECT("MTR!"&amp;ADDRESS(MATCH(LEFT(AG1850,9),[1]MTR!C:C,0),COLUMN(J1850)),TRUE) &amp; "")</f>
        <v>#ERROR!</v>
      </c>
      <c r="AI1850" s="157" t="str">
        <f t="shared" si="5"/>
        <v>#ERROR!</v>
      </c>
    </row>
    <row r="1851" ht="12.75" customHeight="1">
      <c r="A1851" s="244" t="s">
        <v>5158</v>
      </c>
      <c r="B1851" s="244" t="s">
        <v>231</v>
      </c>
      <c r="C1851" s="244" t="s">
        <v>11315</v>
      </c>
      <c r="D1851" s="154" t="s">
        <v>546</v>
      </c>
      <c r="E1851" s="154"/>
      <c r="F1851" s="154" t="str">
        <f t="array" ref="F1851">XLOOKUP(Cover!$D$12,$R$1:$Z$1,$R1851:$Z1851)</f>
        <v>Information</v>
      </c>
      <c r="G1851" s="154" t="s">
        <v>11316</v>
      </c>
      <c r="H1851" s="154" t="s">
        <v>1541</v>
      </c>
      <c r="I1851" s="154" t="s">
        <v>11306</v>
      </c>
      <c r="J1851" s="154" t="s">
        <v>7014</v>
      </c>
      <c r="K1851" s="154" t="s">
        <v>11079</v>
      </c>
      <c r="L1851" s="154" t="s">
        <v>6529</v>
      </c>
      <c r="M1851" s="154"/>
      <c r="N1851" s="154" t="s">
        <v>759</v>
      </c>
      <c r="O1851" s="247" t="s">
        <v>516</v>
      </c>
      <c r="P1851" s="247" t="s">
        <v>6776</v>
      </c>
      <c r="Q1851" s="154" t="str">
        <f t="shared" si="1"/>
        <v>#ERROR!</v>
      </c>
      <c r="R1851" s="154" t="s">
        <v>66</v>
      </c>
      <c r="S1851" s="154" t="s">
        <v>66</v>
      </c>
      <c r="T1851" s="154" t="s">
        <v>66</v>
      </c>
      <c r="U1851" s="154" t="s">
        <v>66</v>
      </c>
      <c r="V1851" s="154" t="s">
        <v>66</v>
      </c>
      <c r="W1851" s="154" t="s">
        <v>66</v>
      </c>
      <c r="X1851" s="154" t="s">
        <v>66</v>
      </c>
      <c r="Y1851" s="154" t="s">
        <v>66</v>
      </c>
      <c r="Z1851" s="154" t="s">
        <v>66</v>
      </c>
      <c r="AA1851" s="154"/>
      <c r="AB1851" s="242" t="str">
        <f t="shared" si="2"/>
        <v>#ERROR!</v>
      </c>
      <c r="AC1851" s="154" t="s">
        <v>391</v>
      </c>
      <c r="AD1851" s="242" t="b">
        <f t="shared" si="3"/>
        <v>0</v>
      </c>
      <c r="AE1851" s="154"/>
      <c r="AF1851" s="242" t="str">
        <f t="shared" si="4"/>
        <v>#ERROR!</v>
      </c>
      <c r="AG1851" s="154"/>
      <c r="AH1851" s="242" t="str">
        <f>IF(AG1851="","N/A",INDIRECT("MTR!"&amp;ADDRESS(MATCH(LEFT(AG1851,9),[1]MTR!C:C,0),COLUMN(J1851)),TRUE) &amp; "")</f>
        <v>#ERROR!</v>
      </c>
      <c r="AI1851" s="157" t="str">
        <f t="shared" si="5"/>
        <v>#ERROR!</v>
      </c>
    </row>
    <row r="1852" ht="12.75" customHeight="1">
      <c r="A1852" s="244" t="s">
        <v>5158</v>
      </c>
      <c r="B1852" s="244" t="s">
        <v>231</v>
      </c>
      <c r="C1852" s="244" t="s">
        <v>11317</v>
      </c>
      <c r="D1852" s="154" t="s">
        <v>546</v>
      </c>
      <c r="E1852" s="154"/>
      <c r="F1852" s="154" t="str">
        <f t="array" ref="F1852">XLOOKUP(Cover!$D$12,$R$1:$Z$1,$R1852:$Z1852)</f>
        <v>Information</v>
      </c>
      <c r="G1852" s="154" t="s">
        <v>11318</v>
      </c>
      <c r="H1852" s="154" t="s">
        <v>7834</v>
      </c>
      <c r="I1852" s="154" t="s">
        <v>11319</v>
      </c>
      <c r="J1852" s="154" t="s">
        <v>8128</v>
      </c>
      <c r="K1852" s="154" t="s">
        <v>11079</v>
      </c>
      <c r="L1852" s="154" t="s">
        <v>6529</v>
      </c>
      <c r="M1852" s="154"/>
      <c r="N1852" s="154" t="s">
        <v>759</v>
      </c>
      <c r="O1852" s="247" t="s">
        <v>516</v>
      </c>
      <c r="P1852" s="247" t="s">
        <v>6776</v>
      </c>
      <c r="Q1852" s="154" t="str">
        <f t="shared" si="1"/>
        <v>#ERROR!</v>
      </c>
      <c r="R1852" s="154" t="s">
        <v>66</v>
      </c>
      <c r="S1852" s="154" t="s">
        <v>66</v>
      </c>
      <c r="T1852" s="154" t="s">
        <v>66</v>
      </c>
      <c r="U1852" s="154" t="s">
        <v>66</v>
      </c>
      <c r="V1852" s="154" t="s">
        <v>66</v>
      </c>
      <c r="W1852" s="154" t="s">
        <v>66</v>
      </c>
      <c r="X1852" s="154" t="s">
        <v>66</v>
      </c>
      <c r="Y1852" s="154" t="s">
        <v>66</v>
      </c>
      <c r="Z1852" s="154" t="s">
        <v>66</v>
      </c>
      <c r="AA1852" s="154"/>
      <c r="AB1852" s="242" t="str">
        <f t="shared" si="2"/>
        <v>#ERROR!</v>
      </c>
      <c r="AC1852" s="154" t="s">
        <v>391</v>
      </c>
      <c r="AD1852" s="242" t="b">
        <f t="shared" si="3"/>
        <v>0</v>
      </c>
      <c r="AE1852" s="154"/>
      <c r="AF1852" s="242" t="str">
        <f t="shared" si="4"/>
        <v>#ERROR!</v>
      </c>
      <c r="AG1852" s="154"/>
      <c r="AH1852" s="242" t="str">
        <f>IF(AG1852="","N/A",INDIRECT("MTR!"&amp;ADDRESS(MATCH(LEFT(AG1852,9),[1]MTR!C:C,0),COLUMN(J1852)),TRUE) &amp; "")</f>
        <v>#ERROR!</v>
      </c>
      <c r="AI1852" s="157" t="str">
        <f t="shared" si="5"/>
        <v>#ERROR!</v>
      </c>
    </row>
    <row r="1853" ht="12.75" customHeight="1">
      <c r="A1853" s="244" t="s">
        <v>5158</v>
      </c>
      <c r="B1853" s="244" t="s">
        <v>231</v>
      </c>
      <c r="C1853" s="244" t="s">
        <v>11320</v>
      </c>
      <c r="D1853" s="154" t="s">
        <v>546</v>
      </c>
      <c r="E1853" s="154"/>
      <c r="F1853" s="154" t="str">
        <f t="array" ref="F1853">XLOOKUP(Cover!$D$12,$R$1:$Z$1,$R1853:$Z1853)</f>
        <v>Information</v>
      </c>
      <c r="G1853" s="154" t="s">
        <v>11321</v>
      </c>
      <c r="H1853" s="154" t="s">
        <v>9002</v>
      </c>
      <c r="I1853" s="154" t="s">
        <v>11319</v>
      </c>
      <c r="J1853" s="154" t="s">
        <v>8128</v>
      </c>
      <c r="K1853" s="154" t="s">
        <v>11079</v>
      </c>
      <c r="L1853" s="154" t="s">
        <v>6529</v>
      </c>
      <c r="M1853" s="154"/>
      <c r="N1853" s="154" t="s">
        <v>759</v>
      </c>
      <c r="O1853" s="247" t="s">
        <v>516</v>
      </c>
      <c r="P1853" s="247" t="s">
        <v>6776</v>
      </c>
      <c r="Q1853" s="154" t="str">
        <f t="shared" si="1"/>
        <v>#ERROR!</v>
      </c>
      <c r="R1853" s="154" t="s">
        <v>66</v>
      </c>
      <c r="S1853" s="154" t="s">
        <v>66</v>
      </c>
      <c r="T1853" s="154" t="s">
        <v>66</v>
      </c>
      <c r="U1853" s="154" t="s">
        <v>66</v>
      </c>
      <c r="V1853" s="154" t="s">
        <v>66</v>
      </c>
      <c r="W1853" s="154" t="s">
        <v>66</v>
      </c>
      <c r="X1853" s="154" t="s">
        <v>66</v>
      </c>
      <c r="Y1853" s="154" t="s">
        <v>66</v>
      </c>
      <c r="Z1853" s="154" t="s">
        <v>66</v>
      </c>
      <c r="AA1853" s="154"/>
      <c r="AB1853" s="242" t="str">
        <f t="shared" si="2"/>
        <v>#ERROR!</v>
      </c>
      <c r="AC1853" s="154" t="s">
        <v>391</v>
      </c>
      <c r="AD1853" s="242" t="b">
        <f t="shared" si="3"/>
        <v>0</v>
      </c>
      <c r="AE1853" s="154"/>
      <c r="AF1853" s="242" t="str">
        <f t="shared" si="4"/>
        <v>#ERROR!</v>
      </c>
      <c r="AG1853" s="154"/>
      <c r="AH1853" s="242" t="str">
        <f>IF(AG1853="","N/A",INDIRECT("MTR!"&amp;ADDRESS(MATCH(LEFT(AG1853,9),[1]MTR!C:C,0),COLUMN(J1853)),TRUE) &amp; "")</f>
        <v>#ERROR!</v>
      </c>
      <c r="AI1853" s="157" t="str">
        <f t="shared" si="5"/>
        <v>#ERROR!</v>
      </c>
    </row>
    <row r="1854" ht="12.75" customHeight="1">
      <c r="A1854" s="244" t="s">
        <v>5158</v>
      </c>
      <c r="B1854" s="244" t="s">
        <v>231</v>
      </c>
      <c r="C1854" s="244" t="s">
        <v>11322</v>
      </c>
      <c r="D1854" s="154" t="s">
        <v>546</v>
      </c>
      <c r="E1854" s="154"/>
      <c r="F1854" s="154" t="str">
        <f t="array" ref="F1854">XLOOKUP(Cover!$D$12,$R$1:$Z$1,$R1854:$Z1854)</f>
        <v>Information</v>
      </c>
      <c r="G1854" s="154" t="s">
        <v>11323</v>
      </c>
      <c r="H1854" s="154" t="s">
        <v>7838</v>
      </c>
      <c r="I1854" s="154" t="s">
        <v>11319</v>
      </c>
      <c r="J1854" s="154" t="s">
        <v>8128</v>
      </c>
      <c r="K1854" s="154" t="s">
        <v>11079</v>
      </c>
      <c r="L1854" s="154" t="s">
        <v>6529</v>
      </c>
      <c r="M1854" s="154"/>
      <c r="N1854" s="154" t="s">
        <v>759</v>
      </c>
      <c r="O1854" s="247" t="s">
        <v>516</v>
      </c>
      <c r="P1854" s="247" t="s">
        <v>6776</v>
      </c>
      <c r="Q1854" s="154" t="str">
        <f t="shared" si="1"/>
        <v>#ERROR!</v>
      </c>
      <c r="R1854" s="154" t="s">
        <v>66</v>
      </c>
      <c r="S1854" s="154" t="s">
        <v>66</v>
      </c>
      <c r="T1854" s="154" t="s">
        <v>66</v>
      </c>
      <c r="U1854" s="154" t="s">
        <v>66</v>
      </c>
      <c r="V1854" s="154" t="s">
        <v>66</v>
      </c>
      <c r="W1854" s="154" t="s">
        <v>66</v>
      </c>
      <c r="X1854" s="154" t="s">
        <v>66</v>
      </c>
      <c r="Y1854" s="154" t="s">
        <v>66</v>
      </c>
      <c r="Z1854" s="154" t="s">
        <v>66</v>
      </c>
      <c r="AA1854" s="154"/>
      <c r="AB1854" s="242" t="str">
        <f t="shared" si="2"/>
        <v>#ERROR!</v>
      </c>
      <c r="AC1854" s="154" t="s">
        <v>391</v>
      </c>
      <c r="AD1854" s="242" t="b">
        <f t="shared" si="3"/>
        <v>0</v>
      </c>
      <c r="AE1854" s="154"/>
      <c r="AF1854" s="242" t="str">
        <f t="shared" si="4"/>
        <v>#ERROR!</v>
      </c>
      <c r="AG1854" s="154"/>
      <c r="AH1854" s="242" t="str">
        <f>IF(AG1854="","N/A",INDIRECT("MTR!"&amp;ADDRESS(MATCH(LEFT(AG1854,9),[1]MTR!C:C,0),COLUMN(J1854)),TRUE) &amp; "")</f>
        <v>#ERROR!</v>
      </c>
      <c r="AI1854" s="157" t="str">
        <f t="shared" si="5"/>
        <v>#ERROR!</v>
      </c>
    </row>
    <row r="1855" ht="12.75" customHeight="1">
      <c r="A1855" s="244" t="s">
        <v>5158</v>
      </c>
      <c r="B1855" s="244" t="s">
        <v>231</v>
      </c>
      <c r="C1855" s="244" t="s">
        <v>11324</v>
      </c>
      <c r="D1855" s="154" t="s">
        <v>546</v>
      </c>
      <c r="E1855" s="154"/>
      <c r="F1855" s="154" t="str">
        <f t="array" ref="F1855">XLOOKUP(Cover!$D$12,$R$1:$Z$1,$R1855:$Z1855)</f>
        <v>Information</v>
      </c>
      <c r="G1855" s="154" t="s">
        <v>11325</v>
      </c>
      <c r="H1855" s="154" t="s">
        <v>9006</v>
      </c>
      <c r="I1855" s="154" t="s">
        <v>11319</v>
      </c>
      <c r="J1855" s="154" t="s">
        <v>8128</v>
      </c>
      <c r="K1855" s="154" t="s">
        <v>11079</v>
      </c>
      <c r="L1855" s="154" t="s">
        <v>6529</v>
      </c>
      <c r="M1855" s="154"/>
      <c r="N1855" s="154" t="s">
        <v>759</v>
      </c>
      <c r="O1855" s="247" t="s">
        <v>516</v>
      </c>
      <c r="P1855" s="247" t="s">
        <v>6776</v>
      </c>
      <c r="Q1855" s="154" t="str">
        <f t="shared" si="1"/>
        <v>#ERROR!</v>
      </c>
      <c r="R1855" s="154" t="s">
        <v>66</v>
      </c>
      <c r="S1855" s="154" t="s">
        <v>66</v>
      </c>
      <c r="T1855" s="154" t="s">
        <v>66</v>
      </c>
      <c r="U1855" s="154" t="s">
        <v>66</v>
      </c>
      <c r="V1855" s="154" t="s">
        <v>66</v>
      </c>
      <c r="W1855" s="154" t="s">
        <v>66</v>
      </c>
      <c r="X1855" s="154" t="s">
        <v>66</v>
      </c>
      <c r="Y1855" s="154" t="s">
        <v>66</v>
      </c>
      <c r="Z1855" s="154" t="s">
        <v>66</v>
      </c>
      <c r="AA1855" s="154"/>
      <c r="AB1855" s="242" t="str">
        <f t="shared" si="2"/>
        <v>#ERROR!</v>
      </c>
      <c r="AC1855" s="154" t="s">
        <v>391</v>
      </c>
      <c r="AD1855" s="242" t="b">
        <f t="shared" si="3"/>
        <v>0</v>
      </c>
      <c r="AE1855" s="154"/>
      <c r="AF1855" s="242" t="str">
        <f t="shared" si="4"/>
        <v>#ERROR!</v>
      </c>
      <c r="AG1855" s="154"/>
      <c r="AH1855" s="242" t="str">
        <f>IF(AG1855="","N/A",INDIRECT("MTR!"&amp;ADDRESS(MATCH(LEFT(AG1855,9),[1]MTR!C:C,0),COLUMN(J1855)),TRUE) &amp; "")</f>
        <v>#ERROR!</v>
      </c>
      <c r="AI1855" s="157" t="str">
        <f t="shared" si="5"/>
        <v>#ERROR!</v>
      </c>
    </row>
    <row r="1856" ht="12.75" customHeight="1">
      <c r="A1856" s="244" t="s">
        <v>5158</v>
      </c>
      <c r="B1856" s="244" t="s">
        <v>231</v>
      </c>
      <c r="C1856" s="244" t="s">
        <v>11326</v>
      </c>
      <c r="D1856" s="154" t="s">
        <v>546</v>
      </c>
      <c r="E1856" s="154"/>
      <c r="F1856" s="154" t="str">
        <f t="array" ref="F1856">XLOOKUP(Cover!$D$12,$R$1:$Z$1,$R1856:$Z1856)</f>
        <v>Information</v>
      </c>
      <c r="G1856" s="154" t="s">
        <v>11327</v>
      </c>
      <c r="H1856" s="154" t="s">
        <v>7892</v>
      </c>
      <c r="I1856" s="154" t="s">
        <v>11319</v>
      </c>
      <c r="J1856" s="154" t="s">
        <v>8128</v>
      </c>
      <c r="K1856" s="154" t="s">
        <v>11079</v>
      </c>
      <c r="L1856" s="154" t="s">
        <v>6529</v>
      </c>
      <c r="M1856" s="154"/>
      <c r="N1856" s="154" t="s">
        <v>759</v>
      </c>
      <c r="O1856" s="247" t="s">
        <v>516</v>
      </c>
      <c r="P1856" s="247" t="s">
        <v>6776</v>
      </c>
      <c r="Q1856" s="154" t="str">
        <f t="shared" si="1"/>
        <v>#ERROR!</v>
      </c>
      <c r="R1856" s="154" t="s">
        <v>66</v>
      </c>
      <c r="S1856" s="154" t="s">
        <v>66</v>
      </c>
      <c r="T1856" s="154" t="s">
        <v>66</v>
      </c>
      <c r="U1856" s="154" t="s">
        <v>66</v>
      </c>
      <c r="V1856" s="154" t="s">
        <v>66</v>
      </c>
      <c r="W1856" s="154" t="s">
        <v>66</v>
      </c>
      <c r="X1856" s="154" t="s">
        <v>66</v>
      </c>
      <c r="Y1856" s="154" t="s">
        <v>66</v>
      </c>
      <c r="Z1856" s="154" t="s">
        <v>66</v>
      </c>
      <c r="AA1856" s="154"/>
      <c r="AB1856" s="242" t="str">
        <f t="shared" si="2"/>
        <v>#ERROR!</v>
      </c>
      <c r="AC1856" s="154" t="s">
        <v>391</v>
      </c>
      <c r="AD1856" s="242" t="b">
        <f t="shared" si="3"/>
        <v>0</v>
      </c>
      <c r="AE1856" s="154"/>
      <c r="AF1856" s="242" t="str">
        <f t="shared" si="4"/>
        <v>#ERROR!</v>
      </c>
      <c r="AG1856" s="154"/>
      <c r="AH1856" s="242" t="str">
        <f>IF(AG1856="","N/A",INDIRECT("MTR!"&amp;ADDRESS(MATCH(LEFT(AG1856,9),[1]MTR!C:C,0),COLUMN(J1856)),TRUE) &amp; "")</f>
        <v>#ERROR!</v>
      </c>
      <c r="AI1856" s="157" t="str">
        <f t="shared" si="5"/>
        <v>#ERROR!</v>
      </c>
    </row>
    <row r="1857" ht="12.75" customHeight="1">
      <c r="A1857" s="244" t="s">
        <v>5158</v>
      </c>
      <c r="B1857" s="244" t="s">
        <v>231</v>
      </c>
      <c r="C1857" s="244" t="s">
        <v>11328</v>
      </c>
      <c r="D1857" s="154" t="s">
        <v>546</v>
      </c>
      <c r="E1857" s="154"/>
      <c r="F1857" s="154" t="str">
        <f t="array" ref="F1857">XLOOKUP(Cover!$D$12,$R$1:$Z$1,$R1857:$Z1857)</f>
        <v>Information</v>
      </c>
      <c r="G1857" s="154" t="s">
        <v>11329</v>
      </c>
      <c r="H1857" s="154" t="s">
        <v>9053</v>
      </c>
      <c r="I1857" s="154" t="s">
        <v>11319</v>
      </c>
      <c r="J1857" s="154" t="s">
        <v>8128</v>
      </c>
      <c r="K1857" s="154" t="s">
        <v>11079</v>
      </c>
      <c r="L1857" s="154" t="s">
        <v>6529</v>
      </c>
      <c r="M1857" s="154"/>
      <c r="N1857" s="154" t="s">
        <v>759</v>
      </c>
      <c r="O1857" s="247" t="s">
        <v>516</v>
      </c>
      <c r="P1857" s="247" t="s">
        <v>6776</v>
      </c>
      <c r="Q1857" s="154" t="str">
        <f t="shared" si="1"/>
        <v>#ERROR!</v>
      </c>
      <c r="R1857" s="154" t="s">
        <v>66</v>
      </c>
      <c r="S1857" s="154" t="s">
        <v>66</v>
      </c>
      <c r="T1857" s="154" t="s">
        <v>66</v>
      </c>
      <c r="U1857" s="154" t="s">
        <v>66</v>
      </c>
      <c r="V1857" s="154" t="s">
        <v>66</v>
      </c>
      <c r="W1857" s="154" t="s">
        <v>66</v>
      </c>
      <c r="X1857" s="154" t="s">
        <v>66</v>
      </c>
      <c r="Y1857" s="154" t="s">
        <v>66</v>
      </c>
      <c r="Z1857" s="154" t="s">
        <v>66</v>
      </c>
      <c r="AA1857" s="154"/>
      <c r="AB1857" s="242" t="str">
        <f t="shared" si="2"/>
        <v>#ERROR!</v>
      </c>
      <c r="AC1857" s="154" t="s">
        <v>391</v>
      </c>
      <c r="AD1857" s="242" t="b">
        <f t="shared" si="3"/>
        <v>0</v>
      </c>
      <c r="AE1857" s="154"/>
      <c r="AF1857" s="242" t="str">
        <f t="shared" si="4"/>
        <v>#ERROR!</v>
      </c>
      <c r="AG1857" s="154"/>
      <c r="AH1857" s="242" t="str">
        <f>IF(AG1857="","N/A",INDIRECT("MTR!"&amp;ADDRESS(MATCH(LEFT(AG1857,9),[1]MTR!C:C,0),COLUMN(J1857)),TRUE) &amp; "")</f>
        <v>#ERROR!</v>
      </c>
      <c r="AI1857" s="157" t="str">
        <f t="shared" si="5"/>
        <v>#ERROR!</v>
      </c>
    </row>
    <row r="1858" ht="12.75" customHeight="1">
      <c r="A1858" s="244" t="s">
        <v>5158</v>
      </c>
      <c r="B1858" s="244" t="s">
        <v>231</v>
      </c>
      <c r="C1858" s="244" t="s">
        <v>11330</v>
      </c>
      <c r="D1858" s="154" t="s">
        <v>546</v>
      </c>
      <c r="E1858" s="154"/>
      <c r="F1858" s="154" t="str">
        <f t="array" ref="F1858">XLOOKUP(Cover!$D$12,$R$1:$Z$1,$R1858:$Z1858)</f>
        <v>Information</v>
      </c>
      <c r="G1858" s="154" t="s">
        <v>11331</v>
      </c>
      <c r="H1858" s="154" t="s">
        <v>7844</v>
      </c>
      <c r="I1858" s="154" t="s">
        <v>11319</v>
      </c>
      <c r="J1858" s="154" t="s">
        <v>8128</v>
      </c>
      <c r="K1858" s="154" t="s">
        <v>11079</v>
      </c>
      <c r="L1858" s="154" t="s">
        <v>6529</v>
      </c>
      <c r="M1858" s="154"/>
      <c r="N1858" s="154" t="s">
        <v>759</v>
      </c>
      <c r="O1858" s="247" t="s">
        <v>516</v>
      </c>
      <c r="P1858" s="247" t="s">
        <v>6776</v>
      </c>
      <c r="Q1858" s="154" t="str">
        <f t="shared" si="1"/>
        <v>#ERROR!</v>
      </c>
      <c r="R1858" s="154" t="s">
        <v>66</v>
      </c>
      <c r="S1858" s="154" t="s">
        <v>66</v>
      </c>
      <c r="T1858" s="154" t="s">
        <v>66</v>
      </c>
      <c r="U1858" s="154" t="s">
        <v>66</v>
      </c>
      <c r="V1858" s="154" t="s">
        <v>66</v>
      </c>
      <c r="W1858" s="154" t="s">
        <v>66</v>
      </c>
      <c r="X1858" s="154" t="s">
        <v>66</v>
      </c>
      <c r="Y1858" s="154" t="s">
        <v>66</v>
      </c>
      <c r="Z1858" s="154" t="s">
        <v>66</v>
      </c>
      <c r="AA1858" s="154"/>
      <c r="AB1858" s="242" t="str">
        <f t="shared" si="2"/>
        <v>#ERROR!</v>
      </c>
      <c r="AC1858" s="154" t="s">
        <v>391</v>
      </c>
      <c r="AD1858" s="242" t="b">
        <f t="shared" si="3"/>
        <v>0</v>
      </c>
      <c r="AE1858" s="154"/>
      <c r="AF1858" s="242" t="str">
        <f t="shared" si="4"/>
        <v>#ERROR!</v>
      </c>
      <c r="AG1858" s="154"/>
      <c r="AH1858" s="242" t="str">
        <f>IF(AG1858="","N/A",INDIRECT("MTR!"&amp;ADDRESS(MATCH(LEFT(AG1858,9),[1]MTR!C:C,0),COLUMN(J1858)),TRUE) &amp; "")</f>
        <v>#ERROR!</v>
      </c>
      <c r="AI1858" s="157" t="str">
        <f t="shared" si="5"/>
        <v>#ERROR!</v>
      </c>
    </row>
    <row r="1859" ht="12.75" customHeight="1">
      <c r="A1859" s="244" t="s">
        <v>5158</v>
      </c>
      <c r="B1859" s="244" t="s">
        <v>231</v>
      </c>
      <c r="C1859" s="244" t="s">
        <v>11332</v>
      </c>
      <c r="D1859" s="154" t="s">
        <v>546</v>
      </c>
      <c r="E1859" s="154"/>
      <c r="F1859" s="154" t="str">
        <f t="array" ref="F1859">XLOOKUP(Cover!$D$12,$R$1:$Z$1,$R1859:$Z1859)</f>
        <v>Information</v>
      </c>
      <c r="G1859" s="154" t="s">
        <v>11333</v>
      </c>
      <c r="H1859" s="154" t="s">
        <v>9009</v>
      </c>
      <c r="I1859" s="154" t="s">
        <v>11319</v>
      </c>
      <c r="J1859" s="154" t="s">
        <v>8128</v>
      </c>
      <c r="K1859" s="154" t="s">
        <v>11079</v>
      </c>
      <c r="L1859" s="154" t="s">
        <v>6529</v>
      </c>
      <c r="M1859" s="154"/>
      <c r="N1859" s="154" t="s">
        <v>759</v>
      </c>
      <c r="O1859" s="247" t="s">
        <v>516</v>
      </c>
      <c r="P1859" s="247" t="s">
        <v>6776</v>
      </c>
      <c r="Q1859" s="154" t="str">
        <f t="shared" si="1"/>
        <v>#ERROR!</v>
      </c>
      <c r="R1859" s="154" t="s">
        <v>66</v>
      </c>
      <c r="S1859" s="154" t="s">
        <v>66</v>
      </c>
      <c r="T1859" s="154" t="s">
        <v>66</v>
      </c>
      <c r="U1859" s="154" t="s">
        <v>66</v>
      </c>
      <c r="V1859" s="154" t="s">
        <v>66</v>
      </c>
      <c r="W1859" s="154" t="s">
        <v>66</v>
      </c>
      <c r="X1859" s="154" t="s">
        <v>66</v>
      </c>
      <c r="Y1859" s="154" t="s">
        <v>66</v>
      </c>
      <c r="Z1859" s="154" t="s">
        <v>66</v>
      </c>
      <c r="AA1859" s="154"/>
      <c r="AB1859" s="242" t="str">
        <f t="shared" si="2"/>
        <v>#ERROR!</v>
      </c>
      <c r="AC1859" s="154" t="s">
        <v>391</v>
      </c>
      <c r="AD1859" s="242" t="b">
        <f t="shared" si="3"/>
        <v>0</v>
      </c>
      <c r="AE1859" s="154"/>
      <c r="AF1859" s="242" t="str">
        <f t="shared" si="4"/>
        <v>#ERROR!</v>
      </c>
      <c r="AG1859" s="154"/>
      <c r="AH1859" s="242" t="str">
        <f>IF(AG1859="","N/A",INDIRECT("MTR!"&amp;ADDRESS(MATCH(LEFT(AG1859,9),[1]MTR!C:C,0),COLUMN(J1859)),TRUE) &amp; "")</f>
        <v>#ERROR!</v>
      </c>
      <c r="AI1859" s="157" t="str">
        <f t="shared" si="5"/>
        <v>#ERROR!</v>
      </c>
    </row>
    <row r="1860" ht="12.75" customHeight="1">
      <c r="A1860" s="244" t="s">
        <v>5158</v>
      </c>
      <c r="B1860" s="244" t="s">
        <v>231</v>
      </c>
      <c r="C1860" s="244" t="s">
        <v>11334</v>
      </c>
      <c r="D1860" s="154" t="s">
        <v>546</v>
      </c>
      <c r="E1860" s="154"/>
      <c r="F1860" s="154" t="str">
        <f t="array" ref="F1860">XLOOKUP(Cover!$D$12,$R$1:$Z$1,$R1860:$Z1860)</f>
        <v>Information</v>
      </c>
      <c r="G1860" s="154" t="s">
        <v>11335</v>
      </c>
      <c r="H1860" s="154" t="s">
        <v>7834</v>
      </c>
      <c r="I1860" s="154" t="s">
        <v>11336</v>
      </c>
      <c r="J1860" s="154" t="s">
        <v>8149</v>
      </c>
      <c r="K1860" s="154" t="s">
        <v>11079</v>
      </c>
      <c r="L1860" s="154" t="s">
        <v>6942</v>
      </c>
      <c r="M1860" s="154"/>
      <c r="N1860" s="154" t="s">
        <v>759</v>
      </c>
      <c r="O1860" s="247" t="s">
        <v>516</v>
      </c>
      <c r="P1860" s="247" t="s">
        <v>6776</v>
      </c>
      <c r="Q1860" s="154" t="str">
        <f t="shared" si="1"/>
        <v>#ERROR!</v>
      </c>
      <c r="R1860" s="154" t="s">
        <v>66</v>
      </c>
      <c r="S1860" s="154" t="s">
        <v>66</v>
      </c>
      <c r="T1860" s="154" t="s">
        <v>66</v>
      </c>
      <c r="U1860" s="154" t="s">
        <v>66</v>
      </c>
      <c r="V1860" s="154" t="s">
        <v>66</v>
      </c>
      <c r="W1860" s="154" t="s">
        <v>66</v>
      </c>
      <c r="X1860" s="154" t="s">
        <v>66</v>
      </c>
      <c r="Y1860" s="154" t="s">
        <v>66</v>
      </c>
      <c r="Z1860" s="154" t="s">
        <v>66</v>
      </c>
      <c r="AA1860" s="154"/>
      <c r="AB1860" s="242" t="str">
        <f t="shared" si="2"/>
        <v>#ERROR!</v>
      </c>
      <c r="AC1860" s="154" t="s">
        <v>391</v>
      </c>
      <c r="AD1860" s="242" t="b">
        <f t="shared" si="3"/>
        <v>0</v>
      </c>
      <c r="AE1860" s="154"/>
      <c r="AF1860" s="242" t="str">
        <f t="shared" si="4"/>
        <v>#ERROR!</v>
      </c>
      <c r="AG1860" s="154"/>
      <c r="AH1860" s="242" t="str">
        <f>IF(AG1860="","N/A",INDIRECT("MTR!"&amp;ADDRESS(MATCH(LEFT(AG1860,9),[1]MTR!C:C,0),COLUMN(J1860)),TRUE) &amp; "")</f>
        <v>#ERROR!</v>
      </c>
      <c r="AI1860" s="157" t="str">
        <f t="shared" si="5"/>
        <v>#ERROR!</v>
      </c>
    </row>
    <row r="1861" ht="12.75" customHeight="1">
      <c r="A1861" s="244" t="s">
        <v>5158</v>
      </c>
      <c r="B1861" s="244" t="s">
        <v>231</v>
      </c>
      <c r="C1861" s="244" t="s">
        <v>11337</v>
      </c>
      <c r="D1861" s="154" t="s">
        <v>546</v>
      </c>
      <c r="E1861" s="154"/>
      <c r="F1861" s="154" t="str">
        <f t="array" ref="F1861">XLOOKUP(Cover!$D$12,$R$1:$Z$1,$R1861:$Z1861)</f>
        <v>Information</v>
      </c>
      <c r="G1861" s="154" t="s">
        <v>11338</v>
      </c>
      <c r="H1861" s="154" t="s">
        <v>9002</v>
      </c>
      <c r="I1861" s="154" t="s">
        <v>11336</v>
      </c>
      <c r="J1861" s="154" t="s">
        <v>8149</v>
      </c>
      <c r="K1861" s="154" t="s">
        <v>11079</v>
      </c>
      <c r="L1861" s="154" t="s">
        <v>6942</v>
      </c>
      <c r="M1861" s="154"/>
      <c r="N1861" s="154" t="s">
        <v>759</v>
      </c>
      <c r="O1861" s="247" t="s">
        <v>516</v>
      </c>
      <c r="P1861" s="247" t="s">
        <v>6776</v>
      </c>
      <c r="Q1861" s="154" t="str">
        <f t="shared" si="1"/>
        <v>#ERROR!</v>
      </c>
      <c r="R1861" s="154" t="s">
        <v>66</v>
      </c>
      <c r="S1861" s="154" t="s">
        <v>66</v>
      </c>
      <c r="T1861" s="154" t="s">
        <v>66</v>
      </c>
      <c r="U1861" s="154" t="s">
        <v>66</v>
      </c>
      <c r="V1861" s="154" t="s">
        <v>66</v>
      </c>
      <c r="W1861" s="154" t="s">
        <v>66</v>
      </c>
      <c r="X1861" s="154" t="s">
        <v>66</v>
      </c>
      <c r="Y1861" s="154" t="s">
        <v>66</v>
      </c>
      <c r="Z1861" s="154" t="s">
        <v>66</v>
      </c>
      <c r="AA1861" s="154"/>
      <c r="AB1861" s="242" t="str">
        <f t="shared" si="2"/>
        <v>#ERROR!</v>
      </c>
      <c r="AC1861" s="154" t="s">
        <v>391</v>
      </c>
      <c r="AD1861" s="242" t="b">
        <f t="shared" si="3"/>
        <v>0</v>
      </c>
      <c r="AE1861" s="154"/>
      <c r="AF1861" s="242" t="str">
        <f t="shared" si="4"/>
        <v>#ERROR!</v>
      </c>
      <c r="AG1861" s="154"/>
      <c r="AH1861" s="242" t="str">
        <f>IF(AG1861="","N/A",INDIRECT("MTR!"&amp;ADDRESS(MATCH(LEFT(AG1861,9),[1]MTR!C:C,0),COLUMN(J1861)),TRUE) &amp; "")</f>
        <v>#ERROR!</v>
      </c>
      <c r="AI1861" s="157" t="str">
        <f t="shared" si="5"/>
        <v>#ERROR!</v>
      </c>
    </row>
    <row r="1862" ht="12.75" customHeight="1">
      <c r="A1862" s="244" t="s">
        <v>5158</v>
      </c>
      <c r="B1862" s="244" t="s">
        <v>231</v>
      </c>
      <c r="C1862" s="244" t="s">
        <v>11339</v>
      </c>
      <c r="D1862" s="154" t="s">
        <v>546</v>
      </c>
      <c r="E1862" s="154"/>
      <c r="F1862" s="154" t="str">
        <f t="array" ref="F1862">XLOOKUP(Cover!$D$12,$R$1:$Z$1,$R1862:$Z1862)</f>
        <v>Information</v>
      </c>
      <c r="G1862" s="154" t="s">
        <v>11340</v>
      </c>
      <c r="H1862" s="154" t="s">
        <v>7838</v>
      </c>
      <c r="I1862" s="154" t="s">
        <v>11336</v>
      </c>
      <c r="J1862" s="154" t="s">
        <v>8149</v>
      </c>
      <c r="K1862" s="154" t="s">
        <v>11079</v>
      </c>
      <c r="L1862" s="154" t="s">
        <v>6942</v>
      </c>
      <c r="M1862" s="154"/>
      <c r="N1862" s="154" t="s">
        <v>759</v>
      </c>
      <c r="O1862" s="247" t="s">
        <v>516</v>
      </c>
      <c r="P1862" s="247" t="s">
        <v>6776</v>
      </c>
      <c r="Q1862" s="154" t="str">
        <f t="shared" si="1"/>
        <v>#ERROR!</v>
      </c>
      <c r="R1862" s="154" t="s">
        <v>66</v>
      </c>
      <c r="S1862" s="154" t="s">
        <v>66</v>
      </c>
      <c r="T1862" s="154" t="s">
        <v>66</v>
      </c>
      <c r="U1862" s="154" t="s">
        <v>66</v>
      </c>
      <c r="V1862" s="154" t="s">
        <v>66</v>
      </c>
      <c r="W1862" s="154" t="s">
        <v>66</v>
      </c>
      <c r="X1862" s="154" t="s">
        <v>66</v>
      </c>
      <c r="Y1862" s="154" t="s">
        <v>66</v>
      </c>
      <c r="Z1862" s="154" t="s">
        <v>66</v>
      </c>
      <c r="AA1862" s="154"/>
      <c r="AB1862" s="242" t="str">
        <f t="shared" si="2"/>
        <v>#ERROR!</v>
      </c>
      <c r="AC1862" s="154" t="s">
        <v>391</v>
      </c>
      <c r="AD1862" s="242" t="b">
        <f t="shared" si="3"/>
        <v>0</v>
      </c>
      <c r="AE1862" s="154"/>
      <c r="AF1862" s="242" t="str">
        <f t="shared" si="4"/>
        <v>#ERROR!</v>
      </c>
      <c r="AG1862" s="154"/>
      <c r="AH1862" s="242" t="str">
        <f>IF(AG1862="","N/A",INDIRECT("MTR!"&amp;ADDRESS(MATCH(LEFT(AG1862,9),[1]MTR!C:C,0),COLUMN(J1862)),TRUE) &amp; "")</f>
        <v>#ERROR!</v>
      </c>
      <c r="AI1862" s="157" t="str">
        <f t="shared" si="5"/>
        <v>#ERROR!</v>
      </c>
    </row>
    <row r="1863" ht="12.75" customHeight="1">
      <c r="A1863" s="244" t="s">
        <v>5158</v>
      </c>
      <c r="B1863" s="244" t="s">
        <v>231</v>
      </c>
      <c r="C1863" s="244" t="s">
        <v>11341</v>
      </c>
      <c r="D1863" s="154" t="s">
        <v>546</v>
      </c>
      <c r="E1863" s="154"/>
      <c r="F1863" s="154" t="str">
        <f t="array" ref="F1863">XLOOKUP(Cover!$D$12,$R$1:$Z$1,$R1863:$Z1863)</f>
        <v>Information</v>
      </c>
      <c r="G1863" s="154" t="s">
        <v>11342</v>
      </c>
      <c r="H1863" s="154" t="s">
        <v>9006</v>
      </c>
      <c r="I1863" s="154" t="s">
        <v>11336</v>
      </c>
      <c r="J1863" s="154" t="s">
        <v>8149</v>
      </c>
      <c r="K1863" s="154" t="s">
        <v>11079</v>
      </c>
      <c r="L1863" s="154" t="s">
        <v>6942</v>
      </c>
      <c r="M1863" s="154"/>
      <c r="N1863" s="154" t="s">
        <v>759</v>
      </c>
      <c r="O1863" s="247" t="s">
        <v>516</v>
      </c>
      <c r="P1863" s="247" t="s">
        <v>6776</v>
      </c>
      <c r="Q1863" s="154" t="str">
        <f t="shared" si="1"/>
        <v>#ERROR!</v>
      </c>
      <c r="R1863" s="154" t="s">
        <v>66</v>
      </c>
      <c r="S1863" s="154" t="s">
        <v>66</v>
      </c>
      <c r="T1863" s="154" t="s">
        <v>66</v>
      </c>
      <c r="U1863" s="154" t="s">
        <v>66</v>
      </c>
      <c r="V1863" s="154" t="s">
        <v>66</v>
      </c>
      <c r="W1863" s="154" t="s">
        <v>66</v>
      </c>
      <c r="X1863" s="154" t="s">
        <v>66</v>
      </c>
      <c r="Y1863" s="154" t="s">
        <v>66</v>
      </c>
      <c r="Z1863" s="154" t="s">
        <v>66</v>
      </c>
      <c r="AA1863" s="154"/>
      <c r="AB1863" s="242" t="str">
        <f t="shared" si="2"/>
        <v>#ERROR!</v>
      </c>
      <c r="AC1863" s="154" t="s">
        <v>391</v>
      </c>
      <c r="AD1863" s="242" t="b">
        <f t="shared" si="3"/>
        <v>0</v>
      </c>
      <c r="AE1863" s="154"/>
      <c r="AF1863" s="242" t="str">
        <f t="shared" si="4"/>
        <v>#ERROR!</v>
      </c>
      <c r="AG1863" s="154"/>
      <c r="AH1863" s="242" t="str">
        <f>IF(AG1863="","N/A",INDIRECT("MTR!"&amp;ADDRESS(MATCH(LEFT(AG1863,9),[1]MTR!C:C,0),COLUMN(J1863)),TRUE) &amp; "")</f>
        <v>#ERROR!</v>
      </c>
      <c r="AI1863" s="157" t="str">
        <f t="shared" si="5"/>
        <v>#ERROR!</v>
      </c>
    </row>
    <row r="1864" ht="12.75" customHeight="1">
      <c r="A1864" s="244" t="s">
        <v>5158</v>
      </c>
      <c r="B1864" s="244" t="s">
        <v>231</v>
      </c>
      <c r="C1864" s="244" t="s">
        <v>11343</v>
      </c>
      <c r="D1864" s="154" t="s">
        <v>546</v>
      </c>
      <c r="E1864" s="154"/>
      <c r="F1864" s="154" t="str">
        <f t="array" ref="F1864">XLOOKUP(Cover!$D$12,$R$1:$Z$1,$R1864:$Z1864)</f>
        <v>Information</v>
      </c>
      <c r="G1864" s="154" t="s">
        <v>11344</v>
      </c>
      <c r="H1864" s="154" t="s">
        <v>7892</v>
      </c>
      <c r="I1864" s="154" t="s">
        <v>11336</v>
      </c>
      <c r="J1864" s="154" t="s">
        <v>8149</v>
      </c>
      <c r="K1864" s="154" t="s">
        <v>11079</v>
      </c>
      <c r="L1864" s="154" t="s">
        <v>6942</v>
      </c>
      <c r="M1864" s="154"/>
      <c r="N1864" s="154" t="s">
        <v>759</v>
      </c>
      <c r="O1864" s="247" t="s">
        <v>516</v>
      </c>
      <c r="P1864" s="247" t="s">
        <v>6776</v>
      </c>
      <c r="Q1864" s="154" t="str">
        <f t="shared" si="1"/>
        <v>#ERROR!</v>
      </c>
      <c r="R1864" s="154" t="s">
        <v>66</v>
      </c>
      <c r="S1864" s="154" t="s">
        <v>66</v>
      </c>
      <c r="T1864" s="154" t="s">
        <v>66</v>
      </c>
      <c r="U1864" s="154" t="s">
        <v>66</v>
      </c>
      <c r="V1864" s="154" t="s">
        <v>66</v>
      </c>
      <c r="W1864" s="154" t="s">
        <v>66</v>
      </c>
      <c r="X1864" s="154" t="s">
        <v>66</v>
      </c>
      <c r="Y1864" s="154" t="s">
        <v>66</v>
      </c>
      <c r="Z1864" s="154" t="s">
        <v>66</v>
      </c>
      <c r="AA1864" s="154"/>
      <c r="AB1864" s="242" t="str">
        <f t="shared" si="2"/>
        <v>#ERROR!</v>
      </c>
      <c r="AC1864" s="154" t="s">
        <v>391</v>
      </c>
      <c r="AD1864" s="242" t="b">
        <f t="shared" si="3"/>
        <v>0</v>
      </c>
      <c r="AE1864" s="154"/>
      <c r="AF1864" s="242" t="str">
        <f t="shared" si="4"/>
        <v>#ERROR!</v>
      </c>
      <c r="AG1864" s="154"/>
      <c r="AH1864" s="242" t="str">
        <f>IF(AG1864="","N/A",INDIRECT("MTR!"&amp;ADDRESS(MATCH(LEFT(AG1864,9),[1]MTR!C:C,0),COLUMN(J1864)),TRUE) &amp; "")</f>
        <v>#ERROR!</v>
      </c>
      <c r="AI1864" s="157" t="str">
        <f t="shared" si="5"/>
        <v>#ERROR!</v>
      </c>
    </row>
    <row r="1865" ht="12.75" customHeight="1">
      <c r="A1865" s="244" t="s">
        <v>5158</v>
      </c>
      <c r="B1865" s="244" t="s">
        <v>231</v>
      </c>
      <c r="C1865" s="244" t="s">
        <v>11345</v>
      </c>
      <c r="D1865" s="154" t="s">
        <v>546</v>
      </c>
      <c r="E1865" s="154"/>
      <c r="F1865" s="154" t="str">
        <f t="array" ref="F1865">XLOOKUP(Cover!$D$12,$R$1:$Z$1,$R1865:$Z1865)</f>
        <v>Information</v>
      </c>
      <c r="G1865" s="154" t="s">
        <v>11346</v>
      </c>
      <c r="H1865" s="154" t="s">
        <v>9053</v>
      </c>
      <c r="I1865" s="154" t="s">
        <v>11336</v>
      </c>
      <c r="J1865" s="154" t="s">
        <v>8149</v>
      </c>
      <c r="K1865" s="154" t="s">
        <v>11079</v>
      </c>
      <c r="L1865" s="154" t="s">
        <v>6942</v>
      </c>
      <c r="M1865" s="154"/>
      <c r="N1865" s="154" t="s">
        <v>759</v>
      </c>
      <c r="O1865" s="247" t="s">
        <v>516</v>
      </c>
      <c r="P1865" s="247" t="s">
        <v>6776</v>
      </c>
      <c r="Q1865" s="154" t="str">
        <f t="shared" si="1"/>
        <v>#ERROR!</v>
      </c>
      <c r="R1865" s="154" t="s">
        <v>66</v>
      </c>
      <c r="S1865" s="154" t="s">
        <v>66</v>
      </c>
      <c r="T1865" s="154" t="s">
        <v>66</v>
      </c>
      <c r="U1865" s="154" t="s">
        <v>66</v>
      </c>
      <c r="V1865" s="154" t="s">
        <v>66</v>
      </c>
      <c r="W1865" s="154" t="s">
        <v>66</v>
      </c>
      <c r="X1865" s="154" t="s">
        <v>66</v>
      </c>
      <c r="Y1865" s="154" t="s">
        <v>66</v>
      </c>
      <c r="Z1865" s="154" t="s">
        <v>66</v>
      </c>
      <c r="AA1865" s="154"/>
      <c r="AB1865" s="242" t="str">
        <f t="shared" si="2"/>
        <v>#ERROR!</v>
      </c>
      <c r="AC1865" s="154" t="s">
        <v>391</v>
      </c>
      <c r="AD1865" s="242" t="b">
        <f t="shared" si="3"/>
        <v>0</v>
      </c>
      <c r="AE1865" s="154"/>
      <c r="AF1865" s="242" t="str">
        <f t="shared" si="4"/>
        <v>#ERROR!</v>
      </c>
      <c r="AG1865" s="154"/>
      <c r="AH1865" s="242" t="str">
        <f>IF(AG1865="","N/A",INDIRECT("MTR!"&amp;ADDRESS(MATCH(LEFT(AG1865,9),[1]MTR!C:C,0),COLUMN(J1865)),TRUE) &amp; "")</f>
        <v>#ERROR!</v>
      </c>
      <c r="AI1865" s="157" t="str">
        <f t="shared" si="5"/>
        <v>#ERROR!</v>
      </c>
    </row>
    <row r="1866" ht="12.75" customHeight="1">
      <c r="A1866" s="244" t="s">
        <v>5158</v>
      </c>
      <c r="B1866" s="244" t="s">
        <v>231</v>
      </c>
      <c r="C1866" s="244" t="s">
        <v>11347</v>
      </c>
      <c r="D1866" s="154" t="s">
        <v>546</v>
      </c>
      <c r="E1866" s="154"/>
      <c r="F1866" s="154" t="str">
        <f t="array" ref="F1866">XLOOKUP(Cover!$D$12,$R$1:$Z$1,$R1866:$Z1866)</f>
        <v>Information</v>
      </c>
      <c r="G1866" s="154" t="s">
        <v>11348</v>
      </c>
      <c r="H1866" s="154" t="s">
        <v>7853</v>
      </c>
      <c r="I1866" s="154" t="s">
        <v>11336</v>
      </c>
      <c r="J1866" s="154" t="s">
        <v>8149</v>
      </c>
      <c r="K1866" s="154" t="s">
        <v>11079</v>
      </c>
      <c r="L1866" s="154" t="s">
        <v>6942</v>
      </c>
      <c r="M1866" s="154"/>
      <c r="N1866" s="154" t="s">
        <v>759</v>
      </c>
      <c r="O1866" s="247" t="s">
        <v>516</v>
      </c>
      <c r="P1866" s="247" t="s">
        <v>6776</v>
      </c>
      <c r="Q1866" s="154" t="str">
        <f t="shared" si="1"/>
        <v>#ERROR!</v>
      </c>
      <c r="R1866" s="154" t="s">
        <v>66</v>
      </c>
      <c r="S1866" s="154" t="s">
        <v>66</v>
      </c>
      <c r="T1866" s="154" t="s">
        <v>66</v>
      </c>
      <c r="U1866" s="154" t="s">
        <v>66</v>
      </c>
      <c r="V1866" s="154" t="s">
        <v>66</v>
      </c>
      <c r="W1866" s="154" t="s">
        <v>66</v>
      </c>
      <c r="X1866" s="154" t="s">
        <v>66</v>
      </c>
      <c r="Y1866" s="154" t="s">
        <v>66</v>
      </c>
      <c r="Z1866" s="154" t="s">
        <v>66</v>
      </c>
      <c r="AA1866" s="154"/>
      <c r="AB1866" s="242" t="str">
        <f t="shared" si="2"/>
        <v>#ERROR!</v>
      </c>
      <c r="AC1866" s="154" t="s">
        <v>391</v>
      </c>
      <c r="AD1866" s="242" t="b">
        <f t="shared" si="3"/>
        <v>0</v>
      </c>
      <c r="AE1866" s="154"/>
      <c r="AF1866" s="242" t="str">
        <f t="shared" si="4"/>
        <v>#ERROR!</v>
      </c>
      <c r="AG1866" s="154"/>
      <c r="AH1866" s="242" t="str">
        <f>IF(AG1866="","N/A",INDIRECT("MTR!"&amp;ADDRESS(MATCH(LEFT(AG1866,9),[1]MTR!C:C,0),COLUMN(J1866)),TRUE) &amp; "")</f>
        <v>#ERROR!</v>
      </c>
      <c r="AI1866" s="157" t="str">
        <f t="shared" si="5"/>
        <v>#ERROR!</v>
      </c>
    </row>
    <row r="1867" ht="12.75" customHeight="1">
      <c r="A1867" s="244" t="s">
        <v>5158</v>
      </c>
      <c r="B1867" s="244" t="s">
        <v>231</v>
      </c>
      <c r="C1867" s="244" t="s">
        <v>11349</v>
      </c>
      <c r="D1867" s="154" t="s">
        <v>546</v>
      </c>
      <c r="E1867" s="154"/>
      <c r="F1867" s="154" t="str">
        <f t="array" ref="F1867">XLOOKUP(Cover!$D$12,$R$1:$Z$1,$R1867:$Z1867)</f>
        <v>Information</v>
      </c>
      <c r="G1867" s="154" t="s">
        <v>11350</v>
      </c>
      <c r="H1867" s="154" t="s">
        <v>1541</v>
      </c>
      <c r="I1867" s="154" t="s">
        <v>11336</v>
      </c>
      <c r="J1867" s="154" t="s">
        <v>8149</v>
      </c>
      <c r="K1867" s="154" t="s">
        <v>11079</v>
      </c>
      <c r="L1867" s="154" t="s">
        <v>6942</v>
      </c>
      <c r="M1867" s="154"/>
      <c r="N1867" s="154" t="s">
        <v>759</v>
      </c>
      <c r="O1867" s="247" t="s">
        <v>516</v>
      </c>
      <c r="P1867" s="247" t="s">
        <v>6776</v>
      </c>
      <c r="Q1867" s="154" t="str">
        <f t="shared" si="1"/>
        <v>#ERROR!</v>
      </c>
      <c r="R1867" s="154" t="s">
        <v>66</v>
      </c>
      <c r="S1867" s="154" t="s">
        <v>66</v>
      </c>
      <c r="T1867" s="154" t="s">
        <v>66</v>
      </c>
      <c r="U1867" s="154" t="s">
        <v>66</v>
      </c>
      <c r="V1867" s="154" t="s">
        <v>66</v>
      </c>
      <c r="W1867" s="154" t="s">
        <v>66</v>
      </c>
      <c r="X1867" s="154" t="s">
        <v>66</v>
      </c>
      <c r="Y1867" s="154" t="s">
        <v>66</v>
      </c>
      <c r="Z1867" s="154" t="s">
        <v>66</v>
      </c>
      <c r="AA1867" s="154"/>
      <c r="AB1867" s="242" t="str">
        <f t="shared" si="2"/>
        <v>#ERROR!</v>
      </c>
      <c r="AC1867" s="154" t="s">
        <v>391</v>
      </c>
      <c r="AD1867" s="242" t="b">
        <f t="shared" si="3"/>
        <v>0</v>
      </c>
      <c r="AE1867" s="154"/>
      <c r="AF1867" s="242" t="str">
        <f t="shared" si="4"/>
        <v>#ERROR!</v>
      </c>
      <c r="AG1867" s="154"/>
      <c r="AH1867" s="242" t="str">
        <f>IF(AG1867="","N/A",INDIRECT("MTR!"&amp;ADDRESS(MATCH(LEFT(AG1867,9),[1]MTR!C:C,0),COLUMN(J1867)),TRUE) &amp; "")</f>
        <v>#ERROR!</v>
      </c>
      <c r="AI1867" s="157" t="str">
        <f t="shared" si="5"/>
        <v>#ERROR!</v>
      </c>
    </row>
    <row r="1868" ht="12.75" customHeight="1">
      <c r="A1868" s="244" t="s">
        <v>5158</v>
      </c>
      <c r="B1868" s="244" t="s">
        <v>231</v>
      </c>
      <c r="C1868" s="244" t="s">
        <v>11351</v>
      </c>
      <c r="D1868" s="154" t="s">
        <v>546</v>
      </c>
      <c r="E1868" s="154"/>
      <c r="F1868" s="154" t="str">
        <f t="array" ref="F1868">XLOOKUP(Cover!$D$12,$R$1:$Z$1,$R1868:$Z1868)</f>
        <v>Information</v>
      </c>
      <c r="G1868" s="154" t="s">
        <v>11352</v>
      </c>
      <c r="H1868" s="154" t="s">
        <v>7834</v>
      </c>
      <c r="I1868" s="154" t="s">
        <v>11353</v>
      </c>
      <c r="J1868" s="154" t="s">
        <v>7656</v>
      </c>
      <c r="K1868" s="154" t="s">
        <v>11079</v>
      </c>
      <c r="L1868" s="154" t="s">
        <v>6529</v>
      </c>
      <c r="M1868" s="154"/>
      <c r="N1868" s="154" t="s">
        <v>759</v>
      </c>
      <c r="O1868" s="247" t="s">
        <v>516</v>
      </c>
      <c r="P1868" s="247" t="s">
        <v>6776</v>
      </c>
      <c r="Q1868" s="154" t="str">
        <f t="shared" si="1"/>
        <v>#ERROR!</v>
      </c>
      <c r="R1868" s="154" t="s">
        <v>66</v>
      </c>
      <c r="S1868" s="154" t="s">
        <v>66</v>
      </c>
      <c r="T1868" s="154" t="s">
        <v>66</v>
      </c>
      <c r="U1868" s="154" t="s">
        <v>66</v>
      </c>
      <c r="V1868" s="154" t="s">
        <v>66</v>
      </c>
      <c r="W1868" s="154" t="s">
        <v>66</v>
      </c>
      <c r="X1868" s="154" t="s">
        <v>66</v>
      </c>
      <c r="Y1868" s="154" t="s">
        <v>66</v>
      </c>
      <c r="Z1868" s="154" t="s">
        <v>66</v>
      </c>
      <c r="AA1868" s="154"/>
      <c r="AB1868" s="242" t="str">
        <f t="shared" si="2"/>
        <v>#ERROR!</v>
      </c>
      <c r="AC1868" s="154" t="s">
        <v>391</v>
      </c>
      <c r="AD1868" s="242" t="b">
        <f t="shared" si="3"/>
        <v>0</v>
      </c>
      <c r="AE1868" s="154"/>
      <c r="AF1868" s="242" t="str">
        <f t="shared" si="4"/>
        <v>#ERROR!</v>
      </c>
      <c r="AG1868" s="154"/>
      <c r="AH1868" s="242" t="str">
        <f>IF(AG1868="","N/A",INDIRECT("MTR!"&amp;ADDRESS(MATCH(LEFT(AG1868,9),[1]MTR!C:C,0),COLUMN(J1868)),TRUE) &amp; "")</f>
        <v>#ERROR!</v>
      </c>
      <c r="AI1868" s="157" t="str">
        <f t="shared" si="5"/>
        <v>#ERROR!</v>
      </c>
    </row>
    <row r="1869" ht="12.75" customHeight="1">
      <c r="A1869" s="244" t="s">
        <v>5158</v>
      </c>
      <c r="B1869" s="244" t="s">
        <v>231</v>
      </c>
      <c r="C1869" s="244" t="s">
        <v>11354</v>
      </c>
      <c r="D1869" s="154" t="s">
        <v>546</v>
      </c>
      <c r="E1869" s="154"/>
      <c r="F1869" s="154" t="str">
        <f t="array" ref="F1869">XLOOKUP(Cover!$D$12,$R$1:$Z$1,$R1869:$Z1869)</f>
        <v>Information</v>
      </c>
      <c r="G1869" s="154" t="s">
        <v>11355</v>
      </c>
      <c r="H1869" s="154" t="s">
        <v>9002</v>
      </c>
      <c r="I1869" s="154" t="s">
        <v>11353</v>
      </c>
      <c r="J1869" s="154" t="s">
        <v>7656</v>
      </c>
      <c r="K1869" s="154" t="s">
        <v>11079</v>
      </c>
      <c r="L1869" s="154" t="s">
        <v>6529</v>
      </c>
      <c r="M1869" s="154"/>
      <c r="N1869" s="154" t="s">
        <v>759</v>
      </c>
      <c r="O1869" s="247" t="s">
        <v>516</v>
      </c>
      <c r="P1869" s="247" t="s">
        <v>6776</v>
      </c>
      <c r="Q1869" s="154" t="str">
        <f t="shared" si="1"/>
        <v>#ERROR!</v>
      </c>
      <c r="R1869" s="154" t="s">
        <v>66</v>
      </c>
      <c r="S1869" s="154" t="s">
        <v>66</v>
      </c>
      <c r="T1869" s="154" t="s">
        <v>66</v>
      </c>
      <c r="U1869" s="154" t="s">
        <v>66</v>
      </c>
      <c r="V1869" s="154" t="s">
        <v>66</v>
      </c>
      <c r="W1869" s="154" t="s">
        <v>66</v>
      </c>
      <c r="X1869" s="154" t="s">
        <v>66</v>
      </c>
      <c r="Y1869" s="154" t="s">
        <v>66</v>
      </c>
      <c r="Z1869" s="154" t="s">
        <v>66</v>
      </c>
      <c r="AA1869" s="154"/>
      <c r="AB1869" s="242" t="str">
        <f t="shared" si="2"/>
        <v>#ERROR!</v>
      </c>
      <c r="AC1869" s="154" t="s">
        <v>391</v>
      </c>
      <c r="AD1869" s="242" t="b">
        <f t="shared" si="3"/>
        <v>0</v>
      </c>
      <c r="AE1869" s="154"/>
      <c r="AF1869" s="242" t="str">
        <f t="shared" si="4"/>
        <v>#ERROR!</v>
      </c>
      <c r="AG1869" s="154"/>
      <c r="AH1869" s="242" t="str">
        <f>IF(AG1869="","N/A",INDIRECT("MTR!"&amp;ADDRESS(MATCH(LEFT(AG1869,9),[1]MTR!C:C,0),COLUMN(J1869)),TRUE) &amp; "")</f>
        <v>#ERROR!</v>
      </c>
      <c r="AI1869" s="157" t="str">
        <f t="shared" si="5"/>
        <v>#ERROR!</v>
      </c>
    </row>
    <row r="1870" ht="12.75" customHeight="1">
      <c r="A1870" s="244" t="s">
        <v>5158</v>
      </c>
      <c r="B1870" s="244" t="s">
        <v>231</v>
      </c>
      <c r="C1870" s="244" t="s">
        <v>11356</v>
      </c>
      <c r="D1870" s="154" t="s">
        <v>546</v>
      </c>
      <c r="E1870" s="154"/>
      <c r="F1870" s="154" t="str">
        <f t="array" ref="F1870">XLOOKUP(Cover!$D$12,$R$1:$Z$1,$R1870:$Z1870)</f>
        <v>Information</v>
      </c>
      <c r="G1870" s="154" t="s">
        <v>11357</v>
      </c>
      <c r="H1870" s="154" t="s">
        <v>7838</v>
      </c>
      <c r="I1870" s="154" t="s">
        <v>11353</v>
      </c>
      <c r="J1870" s="154" t="s">
        <v>7656</v>
      </c>
      <c r="K1870" s="154" t="s">
        <v>11079</v>
      </c>
      <c r="L1870" s="154" t="s">
        <v>6529</v>
      </c>
      <c r="M1870" s="154"/>
      <c r="N1870" s="154" t="s">
        <v>759</v>
      </c>
      <c r="O1870" s="247" t="s">
        <v>516</v>
      </c>
      <c r="P1870" s="247" t="s">
        <v>6776</v>
      </c>
      <c r="Q1870" s="154" t="str">
        <f t="shared" si="1"/>
        <v>#ERROR!</v>
      </c>
      <c r="R1870" s="154" t="s">
        <v>66</v>
      </c>
      <c r="S1870" s="154" t="s">
        <v>66</v>
      </c>
      <c r="T1870" s="154" t="s">
        <v>66</v>
      </c>
      <c r="U1870" s="154" t="s">
        <v>66</v>
      </c>
      <c r="V1870" s="154" t="s">
        <v>66</v>
      </c>
      <c r="W1870" s="154" t="s">
        <v>66</v>
      </c>
      <c r="X1870" s="154" t="s">
        <v>66</v>
      </c>
      <c r="Y1870" s="154" t="s">
        <v>66</v>
      </c>
      <c r="Z1870" s="154" t="s">
        <v>66</v>
      </c>
      <c r="AA1870" s="154"/>
      <c r="AB1870" s="242" t="str">
        <f t="shared" si="2"/>
        <v>#ERROR!</v>
      </c>
      <c r="AC1870" s="154" t="s">
        <v>391</v>
      </c>
      <c r="AD1870" s="242" t="b">
        <f t="shared" si="3"/>
        <v>0</v>
      </c>
      <c r="AE1870" s="154"/>
      <c r="AF1870" s="242" t="str">
        <f t="shared" si="4"/>
        <v>#ERROR!</v>
      </c>
      <c r="AG1870" s="154"/>
      <c r="AH1870" s="242" t="str">
        <f>IF(AG1870="","N/A",INDIRECT("MTR!"&amp;ADDRESS(MATCH(LEFT(AG1870,9),[1]MTR!C:C,0),COLUMN(J1870)),TRUE) &amp; "")</f>
        <v>#ERROR!</v>
      </c>
      <c r="AI1870" s="157" t="str">
        <f t="shared" si="5"/>
        <v>#ERROR!</v>
      </c>
    </row>
    <row r="1871" ht="12.75" customHeight="1">
      <c r="A1871" s="244" t="s">
        <v>5158</v>
      </c>
      <c r="B1871" s="244" t="s">
        <v>231</v>
      </c>
      <c r="C1871" s="244" t="s">
        <v>11358</v>
      </c>
      <c r="D1871" s="154" t="s">
        <v>546</v>
      </c>
      <c r="E1871" s="154"/>
      <c r="F1871" s="154" t="str">
        <f t="array" ref="F1871">XLOOKUP(Cover!$D$12,$R$1:$Z$1,$R1871:$Z1871)</f>
        <v>Information</v>
      </c>
      <c r="G1871" s="154" t="s">
        <v>11359</v>
      </c>
      <c r="H1871" s="154" t="s">
        <v>9006</v>
      </c>
      <c r="I1871" s="154" t="s">
        <v>11353</v>
      </c>
      <c r="J1871" s="154" t="s">
        <v>7656</v>
      </c>
      <c r="K1871" s="154" t="s">
        <v>11079</v>
      </c>
      <c r="L1871" s="154" t="s">
        <v>6529</v>
      </c>
      <c r="M1871" s="154"/>
      <c r="N1871" s="154" t="s">
        <v>759</v>
      </c>
      <c r="O1871" s="247" t="s">
        <v>516</v>
      </c>
      <c r="P1871" s="247" t="s">
        <v>6776</v>
      </c>
      <c r="Q1871" s="154" t="str">
        <f t="shared" si="1"/>
        <v>#ERROR!</v>
      </c>
      <c r="R1871" s="154" t="s">
        <v>66</v>
      </c>
      <c r="S1871" s="154" t="s">
        <v>66</v>
      </c>
      <c r="T1871" s="154" t="s">
        <v>66</v>
      </c>
      <c r="U1871" s="154" t="s">
        <v>66</v>
      </c>
      <c r="V1871" s="154" t="s">
        <v>66</v>
      </c>
      <c r="W1871" s="154" t="s">
        <v>66</v>
      </c>
      <c r="X1871" s="154" t="s">
        <v>66</v>
      </c>
      <c r="Y1871" s="154" t="s">
        <v>66</v>
      </c>
      <c r="Z1871" s="154" t="s">
        <v>66</v>
      </c>
      <c r="AA1871" s="154"/>
      <c r="AB1871" s="242" t="str">
        <f t="shared" si="2"/>
        <v>#ERROR!</v>
      </c>
      <c r="AC1871" s="154" t="s">
        <v>391</v>
      </c>
      <c r="AD1871" s="242" t="b">
        <f t="shared" si="3"/>
        <v>0</v>
      </c>
      <c r="AE1871" s="154"/>
      <c r="AF1871" s="242" t="str">
        <f t="shared" si="4"/>
        <v>#ERROR!</v>
      </c>
      <c r="AG1871" s="154"/>
      <c r="AH1871" s="242" t="str">
        <f>IF(AG1871="","N/A",INDIRECT("MTR!"&amp;ADDRESS(MATCH(LEFT(AG1871,9),[1]MTR!C:C,0),COLUMN(J1871)),TRUE) &amp; "")</f>
        <v>#ERROR!</v>
      </c>
      <c r="AI1871" s="157" t="str">
        <f t="shared" si="5"/>
        <v>#ERROR!</v>
      </c>
    </row>
    <row r="1872" ht="12.75" customHeight="1">
      <c r="A1872" s="244" t="s">
        <v>5158</v>
      </c>
      <c r="B1872" s="244" t="s">
        <v>231</v>
      </c>
      <c r="C1872" s="244" t="s">
        <v>11360</v>
      </c>
      <c r="D1872" s="154" t="s">
        <v>546</v>
      </c>
      <c r="E1872" s="154"/>
      <c r="F1872" s="154" t="str">
        <f t="array" ref="F1872">XLOOKUP(Cover!$D$12,$R$1:$Z$1,$R1872:$Z1872)</f>
        <v>Information</v>
      </c>
      <c r="G1872" s="154" t="s">
        <v>11361</v>
      </c>
      <c r="H1872" s="154" t="s">
        <v>7844</v>
      </c>
      <c r="I1872" s="154" t="s">
        <v>11353</v>
      </c>
      <c r="J1872" s="154" t="s">
        <v>7656</v>
      </c>
      <c r="K1872" s="154" t="s">
        <v>11079</v>
      </c>
      <c r="L1872" s="154" t="s">
        <v>6529</v>
      </c>
      <c r="M1872" s="154"/>
      <c r="N1872" s="154" t="s">
        <v>759</v>
      </c>
      <c r="O1872" s="247" t="s">
        <v>516</v>
      </c>
      <c r="P1872" s="247" t="s">
        <v>6776</v>
      </c>
      <c r="Q1872" s="154" t="str">
        <f t="shared" si="1"/>
        <v>#ERROR!</v>
      </c>
      <c r="R1872" s="154" t="s">
        <v>66</v>
      </c>
      <c r="S1872" s="154" t="s">
        <v>66</v>
      </c>
      <c r="T1872" s="154" t="s">
        <v>66</v>
      </c>
      <c r="U1872" s="154" t="s">
        <v>66</v>
      </c>
      <c r="V1872" s="154" t="s">
        <v>66</v>
      </c>
      <c r="W1872" s="154" t="s">
        <v>66</v>
      </c>
      <c r="X1872" s="154" t="s">
        <v>66</v>
      </c>
      <c r="Y1872" s="154" t="s">
        <v>66</v>
      </c>
      <c r="Z1872" s="154" t="s">
        <v>66</v>
      </c>
      <c r="AA1872" s="154"/>
      <c r="AB1872" s="242" t="str">
        <f t="shared" si="2"/>
        <v>#ERROR!</v>
      </c>
      <c r="AC1872" s="154" t="s">
        <v>391</v>
      </c>
      <c r="AD1872" s="242" t="b">
        <f t="shared" si="3"/>
        <v>0</v>
      </c>
      <c r="AE1872" s="154"/>
      <c r="AF1872" s="242" t="str">
        <f t="shared" si="4"/>
        <v>#ERROR!</v>
      </c>
      <c r="AG1872" s="154"/>
      <c r="AH1872" s="242" t="str">
        <f>IF(AG1872="","N/A",INDIRECT("MTR!"&amp;ADDRESS(MATCH(LEFT(AG1872,9),[1]MTR!C:C,0),COLUMN(J1872)),TRUE) &amp; "")</f>
        <v>#ERROR!</v>
      </c>
      <c r="AI1872" s="157" t="str">
        <f t="shared" si="5"/>
        <v>#ERROR!</v>
      </c>
    </row>
    <row r="1873" ht="12.75" customHeight="1">
      <c r="A1873" s="244" t="s">
        <v>5158</v>
      </c>
      <c r="B1873" s="244" t="s">
        <v>231</v>
      </c>
      <c r="C1873" s="244" t="s">
        <v>11362</v>
      </c>
      <c r="D1873" s="154" t="s">
        <v>546</v>
      </c>
      <c r="E1873" s="154"/>
      <c r="F1873" s="154" t="str">
        <f t="array" ref="F1873">XLOOKUP(Cover!$D$12,$R$1:$Z$1,$R1873:$Z1873)</f>
        <v>Information</v>
      </c>
      <c r="G1873" s="154" t="s">
        <v>11363</v>
      </c>
      <c r="H1873" s="154" t="s">
        <v>9009</v>
      </c>
      <c r="I1873" s="154" t="s">
        <v>11353</v>
      </c>
      <c r="J1873" s="154" t="s">
        <v>7656</v>
      </c>
      <c r="K1873" s="154" t="s">
        <v>11079</v>
      </c>
      <c r="L1873" s="154" t="s">
        <v>6529</v>
      </c>
      <c r="M1873" s="154"/>
      <c r="N1873" s="154" t="s">
        <v>759</v>
      </c>
      <c r="O1873" s="247" t="s">
        <v>516</v>
      </c>
      <c r="P1873" s="247" t="s">
        <v>6776</v>
      </c>
      <c r="Q1873" s="154" t="str">
        <f t="shared" si="1"/>
        <v>#ERROR!</v>
      </c>
      <c r="R1873" s="154" t="s">
        <v>66</v>
      </c>
      <c r="S1873" s="154" t="s">
        <v>66</v>
      </c>
      <c r="T1873" s="154" t="s">
        <v>66</v>
      </c>
      <c r="U1873" s="154" t="s">
        <v>66</v>
      </c>
      <c r="V1873" s="154" t="s">
        <v>66</v>
      </c>
      <c r="W1873" s="154" t="s">
        <v>66</v>
      </c>
      <c r="X1873" s="154" t="s">
        <v>66</v>
      </c>
      <c r="Y1873" s="154" t="s">
        <v>66</v>
      </c>
      <c r="Z1873" s="154" t="s">
        <v>66</v>
      </c>
      <c r="AA1873" s="154"/>
      <c r="AB1873" s="242" t="str">
        <f t="shared" si="2"/>
        <v>#ERROR!</v>
      </c>
      <c r="AC1873" s="154" t="s">
        <v>391</v>
      </c>
      <c r="AD1873" s="242" t="b">
        <f t="shared" si="3"/>
        <v>0</v>
      </c>
      <c r="AE1873" s="154"/>
      <c r="AF1873" s="242" t="str">
        <f t="shared" si="4"/>
        <v>#ERROR!</v>
      </c>
      <c r="AG1873" s="154"/>
      <c r="AH1873" s="242" t="str">
        <f>IF(AG1873="","N/A",INDIRECT("MTR!"&amp;ADDRESS(MATCH(LEFT(AG1873,9),[1]MTR!C:C,0),COLUMN(J1873)),TRUE) &amp; "")</f>
        <v>#ERROR!</v>
      </c>
      <c r="AI1873" s="157" t="str">
        <f t="shared" si="5"/>
        <v>#ERROR!</v>
      </c>
    </row>
    <row r="1874" ht="12.75" customHeight="1">
      <c r="A1874" s="244" t="s">
        <v>5158</v>
      </c>
      <c r="B1874" s="244" t="s">
        <v>231</v>
      </c>
      <c r="C1874" s="244" t="s">
        <v>11364</v>
      </c>
      <c r="D1874" s="154" t="s">
        <v>546</v>
      </c>
      <c r="E1874" s="154"/>
      <c r="F1874" s="154" t="str">
        <f t="array" ref="F1874">XLOOKUP(Cover!$D$12,$R$1:$Z$1,$R1874:$Z1874)</f>
        <v>Information</v>
      </c>
      <c r="G1874" s="154" t="s">
        <v>11365</v>
      </c>
      <c r="H1874" s="154" t="s">
        <v>7853</v>
      </c>
      <c r="I1874" s="154" t="s">
        <v>11353</v>
      </c>
      <c r="J1874" s="154" t="s">
        <v>7656</v>
      </c>
      <c r="K1874" s="154" t="s">
        <v>11079</v>
      </c>
      <c r="L1874" s="154" t="s">
        <v>6529</v>
      </c>
      <c r="M1874" s="154"/>
      <c r="N1874" s="154" t="s">
        <v>759</v>
      </c>
      <c r="O1874" s="247" t="s">
        <v>516</v>
      </c>
      <c r="P1874" s="247" t="s">
        <v>6776</v>
      </c>
      <c r="Q1874" s="154" t="str">
        <f t="shared" si="1"/>
        <v>#ERROR!</v>
      </c>
      <c r="R1874" s="154" t="s">
        <v>66</v>
      </c>
      <c r="S1874" s="154" t="s">
        <v>66</v>
      </c>
      <c r="T1874" s="154" t="s">
        <v>66</v>
      </c>
      <c r="U1874" s="154" t="s">
        <v>66</v>
      </c>
      <c r="V1874" s="154" t="s">
        <v>66</v>
      </c>
      <c r="W1874" s="154" t="s">
        <v>66</v>
      </c>
      <c r="X1874" s="154" t="s">
        <v>66</v>
      </c>
      <c r="Y1874" s="154" t="s">
        <v>66</v>
      </c>
      <c r="Z1874" s="154" t="s">
        <v>66</v>
      </c>
      <c r="AA1874" s="154"/>
      <c r="AB1874" s="242" t="str">
        <f t="shared" si="2"/>
        <v>#ERROR!</v>
      </c>
      <c r="AC1874" s="154" t="s">
        <v>391</v>
      </c>
      <c r="AD1874" s="242" t="b">
        <f t="shared" si="3"/>
        <v>0</v>
      </c>
      <c r="AE1874" s="154"/>
      <c r="AF1874" s="242" t="str">
        <f t="shared" si="4"/>
        <v>#ERROR!</v>
      </c>
      <c r="AG1874" s="154"/>
      <c r="AH1874" s="242" t="str">
        <f>IF(AG1874="","N/A",INDIRECT("MTR!"&amp;ADDRESS(MATCH(LEFT(AG1874,9),[1]MTR!C:C,0),COLUMN(J1874)),TRUE) &amp; "")</f>
        <v>#ERROR!</v>
      </c>
      <c r="AI1874" s="157" t="str">
        <f t="shared" si="5"/>
        <v>#ERROR!</v>
      </c>
    </row>
    <row r="1875" ht="12.75" customHeight="1">
      <c r="A1875" s="244" t="s">
        <v>5158</v>
      </c>
      <c r="B1875" s="244" t="s">
        <v>231</v>
      </c>
      <c r="C1875" s="244" t="s">
        <v>11366</v>
      </c>
      <c r="D1875" s="154" t="s">
        <v>546</v>
      </c>
      <c r="E1875" s="154"/>
      <c r="F1875" s="154" t="str">
        <f t="array" ref="F1875">XLOOKUP(Cover!$D$12,$R$1:$Z$1,$R1875:$Z1875)</f>
        <v>Information</v>
      </c>
      <c r="G1875" s="154" t="s">
        <v>11367</v>
      </c>
      <c r="H1875" s="154" t="s">
        <v>1541</v>
      </c>
      <c r="I1875" s="154" t="s">
        <v>11353</v>
      </c>
      <c r="J1875" s="154" t="s">
        <v>7656</v>
      </c>
      <c r="K1875" s="154" t="s">
        <v>11079</v>
      </c>
      <c r="L1875" s="154" t="s">
        <v>6529</v>
      </c>
      <c r="M1875" s="154"/>
      <c r="N1875" s="154" t="s">
        <v>759</v>
      </c>
      <c r="O1875" s="247" t="s">
        <v>516</v>
      </c>
      <c r="P1875" s="247" t="s">
        <v>6776</v>
      </c>
      <c r="Q1875" s="154" t="str">
        <f t="shared" si="1"/>
        <v>#ERROR!</v>
      </c>
      <c r="R1875" s="154" t="s">
        <v>66</v>
      </c>
      <c r="S1875" s="154" t="s">
        <v>66</v>
      </c>
      <c r="T1875" s="154" t="s">
        <v>66</v>
      </c>
      <c r="U1875" s="154" t="s">
        <v>66</v>
      </c>
      <c r="V1875" s="154" t="s">
        <v>66</v>
      </c>
      <c r="W1875" s="154" t="s">
        <v>66</v>
      </c>
      <c r="X1875" s="154" t="s">
        <v>66</v>
      </c>
      <c r="Y1875" s="154" t="s">
        <v>66</v>
      </c>
      <c r="Z1875" s="154" t="s">
        <v>66</v>
      </c>
      <c r="AA1875" s="154"/>
      <c r="AB1875" s="242" t="str">
        <f t="shared" si="2"/>
        <v>#ERROR!</v>
      </c>
      <c r="AC1875" s="154" t="s">
        <v>391</v>
      </c>
      <c r="AD1875" s="242" t="b">
        <f t="shared" si="3"/>
        <v>0</v>
      </c>
      <c r="AE1875" s="154"/>
      <c r="AF1875" s="242" t="str">
        <f t="shared" si="4"/>
        <v>#ERROR!</v>
      </c>
      <c r="AG1875" s="154"/>
      <c r="AH1875" s="242" t="str">
        <f>IF(AG1875="","N/A",INDIRECT("MTR!"&amp;ADDRESS(MATCH(LEFT(AG1875,9),[1]MTR!C:C,0),COLUMN(J1875)),TRUE) &amp; "")</f>
        <v>#ERROR!</v>
      </c>
      <c r="AI1875" s="157" t="str">
        <f t="shared" si="5"/>
        <v>#ERROR!</v>
      </c>
    </row>
    <row r="1876" ht="12.75" customHeight="1">
      <c r="A1876" s="244" t="s">
        <v>5158</v>
      </c>
      <c r="B1876" s="244" t="s">
        <v>231</v>
      </c>
      <c r="C1876" s="244" t="s">
        <v>11368</v>
      </c>
      <c r="D1876" s="154" t="s">
        <v>546</v>
      </c>
      <c r="E1876" s="154"/>
      <c r="F1876" s="154" t="str">
        <f t="array" ref="F1876">XLOOKUP(Cover!$D$12,$R$1:$Z$1,$R1876:$Z1876)</f>
        <v>Information</v>
      </c>
      <c r="G1876" s="154" t="s">
        <v>11369</v>
      </c>
      <c r="H1876" s="154" t="s">
        <v>7838</v>
      </c>
      <c r="I1876" s="154" t="s">
        <v>11370</v>
      </c>
      <c r="J1876" s="154" t="s">
        <v>7174</v>
      </c>
      <c r="K1876" s="154" t="s">
        <v>11079</v>
      </c>
      <c r="L1876" s="154" t="s">
        <v>6529</v>
      </c>
      <c r="M1876" s="154"/>
      <c r="N1876" s="154" t="s">
        <v>759</v>
      </c>
      <c r="O1876" s="247" t="s">
        <v>516</v>
      </c>
      <c r="P1876" s="247" t="s">
        <v>6776</v>
      </c>
      <c r="Q1876" s="154" t="str">
        <f t="shared" si="1"/>
        <v>#ERROR!</v>
      </c>
      <c r="R1876" s="154" t="s">
        <v>66</v>
      </c>
      <c r="S1876" s="154" t="s">
        <v>66</v>
      </c>
      <c r="T1876" s="154" t="s">
        <v>66</v>
      </c>
      <c r="U1876" s="154" t="s">
        <v>66</v>
      </c>
      <c r="V1876" s="154" t="s">
        <v>66</v>
      </c>
      <c r="W1876" s="154" t="s">
        <v>66</v>
      </c>
      <c r="X1876" s="154" t="s">
        <v>66</v>
      </c>
      <c r="Y1876" s="154" t="s">
        <v>66</v>
      </c>
      <c r="Z1876" s="154" t="s">
        <v>66</v>
      </c>
      <c r="AA1876" s="154"/>
      <c r="AB1876" s="242" t="str">
        <f t="shared" si="2"/>
        <v>#ERROR!</v>
      </c>
      <c r="AC1876" s="154" t="s">
        <v>391</v>
      </c>
      <c r="AD1876" s="242" t="b">
        <f t="shared" si="3"/>
        <v>0</v>
      </c>
      <c r="AE1876" s="154"/>
      <c r="AF1876" s="242" t="str">
        <f t="shared" si="4"/>
        <v>#ERROR!</v>
      </c>
      <c r="AG1876" s="154"/>
      <c r="AH1876" s="242" t="str">
        <f>IF(AG1876="","N/A",INDIRECT("MTR!"&amp;ADDRESS(MATCH(LEFT(AG1876,9),[1]MTR!C:C,0),COLUMN(J1876)),TRUE) &amp; "")</f>
        <v>#ERROR!</v>
      </c>
      <c r="AI1876" s="157" t="str">
        <f t="shared" si="5"/>
        <v>#ERROR!</v>
      </c>
    </row>
    <row r="1877" ht="12.75" customHeight="1">
      <c r="A1877" s="244" t="s">
        <v>5158</v>
      </c>
      <c r="B1877" s="244" t="s">
        <v>231</v>
      </c>
      <c r="C1877" s="244" t="s">
        <v>11371</v>
      </c>
      <c r="D1877" s="154" t="s">
        <v>546</v>
      </c>
      <c r="E1877" s="154"/>
      <c r="F1877" s="154" t="str">
        <f t="array" ref="F1877">XLOOKUP(Cover!$D$12,$R$1:$Z$1,$R1877:$Z1877)</f>
        <v>Information</v>
      </c>
      <c r="G1877" s="154" t="s">
        <v>11372</v>
      </c>
      <c r="H1877" s="154" t="s">
        <v>9006</v>
      </c>
      <c r="I1877" s="154" t="s">
        <v>11370</v>
      </c>
      <c r="J1877" s="154" t="s">
        <v>7174</v>
      </c>
      <c r="K1877" s="154" t="s">
        <v>11079</v>
      </c>
      <c r="L1877" s="154" t="s">
        <v>6529</v>
      </c>
      <c r="M1877" s="154"/>
      <c r="N1877" s="154" t="s">
        <v>759</v>
      </c>
      <c r="O1877" s="247" t="s">
        <v>516</v>
      </c>
      <c r="P1877" s="247" t="s">
        <v>6776</v>
      </c>
      <c r="Q1877" s="154" t="str">
        <f t="shared" si="1"/>
        <v>#ERROR!</v>
      </c>
      <c r="R1877" s="154" t="s">
        <v>66</v>
      </c>
      <c r="S1877" s="154" t="s">
        <v>66</v>
      </c>
      <c r="T1877" s="154" t="s">
        <v>66</v>
      </c>
      <c r="U1877" s="154" t="s">
        <v>66</v>
      </c>
      <c r="V1877" s="154" t="s">
        <v>66</v>
      </c>
      <c r="W1877" s="154" t="s">
        <v>66</v>
      </c>
      <c r="X1877" s="154" t="s">
        <v>66</v>
      </c>
      <c r="Y1877" s="154" t="s">
        <v>66</v>
      </c>
      <c r="Z1877" s="154" t="s">
        <v>66</v>
      </c>
      <c r="AA1877" s="154"/>
      <c r="AB1877" s="242" t="str">
        <f t="shared" si="2"/>
        <v>#ERROR!</v>
      </c>
      <c r="AC1877" s="154" t="s">
        <v>391</v>
      </c>
      <c r="AD1877" s="242" t="b">
        <f t="shared" si="3"/>
        <v>0</v>
      </c>
      <c r="AE1877" s="154"/>
      <c r="AF1877" s="242" t="str">
        <f t="shared" si="4"/>
        <v>#ERROR!</v>
      </c>
      <c r="AG1877" s="154"/>
      <c r="AH1877" s="242" t="str">
        <f>IF(AG1877="","N/A",INDIRECT("MTR!"&amp;ADDRESS(MATCH(LEFT(AG1877,9),[1]MTR!C:C,0),COLUMN(J1877)),TRUE) &amp; "")</f>
        <v>#ERROR!</v>
      </c>
      <c r="AI1877" s="157" t="str">
        <f t="shared" si="5"/>
        <v>#ERROR!</v>
      </c>
    </row>
    <row r="1878" ht="12.75" customHeight="1">
      <c r="A1878" s="244" t="s">
        <v>5158</v>
      </c>
      <c r="B1878" s="244" t="s">
        <v>231</v>
      </c>
      <c r="C1878" s="244" t="s">
        <v>11373</v>
      </c>
      <c r="D1878" s="154" t="s">
        <v>546</v>
      </c>
      <c r="E1878" s="154"/>
      <c r="F1878" s="154" t="str">
        <f t="array" ref="F1878">XLOOKUP(Cover!$D$12,$R$1:$Z$1,$R1878:$Z1878)</f>
        <v>Information</v>
      </c>
      <c r="G1878" s="154" t="s">
        <v>11374</v>
      </c>
      <c r="H1878" s="154" t="s">
        <v>7892</v>
      </c>
      <c r="I1878" s="154" t="s">
        <v>11370</v>
      </c>
      <c r="J1878" s="154" t="s">
        <v>7174</v>
      </c>
      <c r="K1878" s="154" t="s">
        <v>11079</v>
      </c>
      <c r="L1878" s="154" t="s">
        <v>6529</v>
      </c>
      <c r="M1878" s="154"/>
      <c r="N1878" s="154" t="s">
        <v>759</v>
      </c>
      <c r="O1878" s="247" t="s">
        <v>516</v>
      </c>
      <c r="P1878" s="247" t="s">
        <v>6776</v>
      </c>
      <c r="Q1878" s="154" t="str">
        <f t="shared" si="1"/>
        <v>#ERROR!</v>
      </c>
      <c r="R1878" s="154" t="s">
        <v>66</v>
      </c>
      <c r="S1878" s="154" t="s">
        <v>66</v>
      </c>
      <c r="T1878" s="154" t="s">
        <v>66</v>
      </c>
      <c r="U1878" s="154" t="s">
        <v>66</v>
      </c>
      <c r="V1878" s="154" t="s">
        <v>66</v>
      </c>
      <c r="W1878" s="154" t="s">
        <v>66</v>
      </c>
      <c r="X1878" s="154" t="s">
        <v>66</v>
      </c>
      <c r="Y1878" s="154" t="s">
        <v>66</v>
      </c>
      <c r="Z1878" s="154" t="s">
        <v>66</v>
      </c>
      <c r="AA1878" s="154"/>
      <c r="AB1878" s="242" t="str">
        <f t="shared" si="2"/>
        <v>#ERROR!</v>
      </c>
      <c r="AC1878" s="154" t="s">
        <v>391</v>
      </c>
      <c r="AD1878" s="242" t="b">
        <f t="shared" si="3"/>
        <v>0</v>
      </c>
      <c r="AE1878" s="154"/>
      <c r="AF1878" s="242" t="str">
        <f t="shared" si="4"/>
        <v>#ERROR!</v>
      </c>
      <c r="AG1878" s="154"/>
      <c r="AH1878" s="242" t="str">
        <f>IF(AG1878="","N/A",INDIRECT("MTR!"&amp;ADDRESS(MATCH(LEFT(AG1878,9),[1]MTR!C:C,0),COLUMN(J1878)),TRUE) &amp; "")</f>
        <v>#ERROR!</v>
      </c>
      <c r="AI1878" s="157" t="str">
        <f t="shared" si="5"/>
        <v>#ERROR!</v>
      </c>
    </row>
    <row r="1879" ht="12.75" customHeight="1">
      <c r="A1879" s="244" t="s">
        <v>5158</v>
      </c>
      <c r="B1879" s="244" t="s">
        <v>231</v>
      </c>
      <c r="C1879" s="244" t="s">
        <v>11375</v>
      </c>
      <c r="D1879" s="154" t="s">
        <v>546</v>
      </c>
      <c r="E1879" s="154"/>
      <c r="F1879" s="154" t="str">
        <f t="array" ref="F1879">XLOOKUP(Cover!$D$12,$R$1:$Z$1,$R1879:$Z1879)</f>
        <v>Information</v>
      </c>
      <c r="G1879" s="154" t="s">
        <v>11376</v>
      </c>
      <c r="H1879" s="154" t="s">
        <v>9053</v>
      </c>
      <c r="I1879" s="154" t="s">
        <v>11370</v>
      </c>
      <c r="J1879" s="154" t="s">
        <v>7174</v>
      </c>
      <c r="K1879" s="154" t="s">
        <v>11079</v>
      </c>
      <c r="L1879" s="154" t="s">
        <v>6529</v>
      </c>
      <c r="M1879" s="154"/>
      <c r="N1879" s="154" t="s">
        <v>759</v>
      </c>
      <c r="O1879" s="247" t="s">
        <v>516</v>
      </c>
      <c r="P1879" s="247" t="s">
        <v>6776</v>
      </c>
      <c r="Q1879" s="154" t="str">
        <f t="shared" si="1"/>
        <v>#ERROR!</v>
      </c>
      <c r="R1879" s="154" t="s">
        <v>66</v>
      </c>
      <c r="S1879" s="154" t="s">
        <v>66</v>
      </c>
      <c r="T1879" s="154" t="s">
        <v>66</v>
      </c>
      <c r="U1879" s="154" t="s">
        <v>66</v>
      </c>
      <c r="V1879" s="154" t="s">
        <v>66</v>
      </c>
      <c r="W1879" s="154" t="s">
        <v>66</v>
      </c>
      <c r="X1879" s="154" t="s">
        <v>66</v>
      </c>
      <c r="Y1879" s="154" t="s">
        <v>66</v>
      </c>
      <c r="Z1879" s="154" t="s">
        <v>66</v>
      </c>
      <c r="AA1879" s="154"/>
      <c r="AB1879" s="242" t="str">
        <f t="shared" si="2"/>
        <v>#ERROR!</v>
      </c>
      <c r="AC1879" s="154" t="s">
        <v>391</v>
      </c>
      <c r="AD1879" s="242" t="b">
        <f t="shared" si="3"/>
        <v>0</v>
      </c>
      <c r="AE1879" s="154"/>
      <c r="AF1879" s="242" t="str">
        <f t="shared" si="4"/>
        <v>#ERROR!</v>
      </c>
      <c r="AG1879" s="154"/>
      <c r="AH1879" s="242" t="str">
        <f>IF(AG1879="","N/A",INDIRECT("MTR!"&amp;ADDRESS(MATCH(LEFT(AG1879,9),[1]MTR!C:C,0),COLUMN(J1879)),TRUE) &amp; "")</f>
        <v>#ERROR!</v>
      </c>
      <c r="AI1879" s="157" t="str">
        <f t="shared" si="5"/>
        <v>#ERROR!</v>
      </c>
    </row>
    <row r="1880" ht="12.75" customHeight="1">
      <c r="A1880" s="244" t="s">
        <v>5158</v>
      </c>
      <c r="B1880" s="244" t="s">
        <v>231</v>
      </c>
      <c r="C1880" s="244" t="s">
        <v>11377</v>
      </c>
      <c r="D1880" s="154" t="s">
        <v>546</v>
      </c>
      <c r="E1880" s="154"/>
      <c r="F1880" s="154" t="str">
        <f t="array" ref="F1880">XLOOKUP(Cover!$D$12,$R$1:$Z$1,$R1880:$Z1880)</f>
        <v>Information</v>
      </c>
      <c r="G1880" s="154" t="s">
        <v>11378</v>
      </c>
      <c r="H1880" s="154" t="s">
        <v>7844</v>
      </c>
      <c r="I1880" s="154" t="s">
        <v>11370</v>
      </c>
      <c r="J1880" s="154" t="s">
        <v>7174</v>
      </c>
      <c r="K1880" s="154" t="s">
        <v>11079</v>
      </c>
      <c r="L1880" s="154" t="s">
        <v>6529</v>
      </c>
      <c r="M1880" s="154"/>
      <c r="N1880" s="154" t="s">
        <v>759</v>
      </c>
      <c r="O1880" s="247" t="s">
        <v>516</v>
      </c>
      <c r="P1880" s="247" t="s">
        <v>6776</v>
      </c>
      <c r="Q1880" s="154" t="str">
        <f t="shared" si="1"/>
        <v>#ERROR!</v>
      </c>
      <c r="R1880" s="154" t="s">
        <v>66</v>
      </c>
      <c r="S1880" s="154" t="s">
        <v>66</v>
      </c>
      <c r="T1880" s="154" t="s">
        <v>66</v>
      </c>
      <c r="U1880" s="154" t="s">
        <v>66</v>
      </c>
      <c r="V1880" s="154" t="s">
        <v>66</v>
      </c>
      <c r="W1880" s="154" t="s">
        <v>66</v>
      </c>
      <c r="X1880" s="154" t="s">
        <v>66</v>
      </c>
      <c r="Y1880" s="154" t="s">
        <v>66</v>
      </c>
      <c r="Z1880" s="154" t="s">
        <v>66</v>
      </c>
      <c r="AA1880" s="154"/>
      <c r="AB1880" s="242" t="str">
        <f t="shared" si="2"/>
        <v>#ERROR!</v>
      </c>
      <c r="AC1880" s="154" t="s">
        <v>391</v>
      </c>
      <c r="AD1880" s="242" t="b">
        <f t="shared" si="3"/>
        <v>0</v>
      </c>
      <c r="AE1880" s="154"/>
      <c r="AF1880" s="242" t="str">
        <f t="shared" si="4"/>
        <v>#ERROR!</v>
      </c>
      <c r="AG1880" s="154"/>
      <c r="AH1880" s="242" t="str">
        <f>IF(AG1880="","N/A",INDIRECT("MTR!"&amp;ADDRESS(MATCH(LEFT(AG1880,9),[1]MTR!C:C,0),COLUMN(J1880)),TRUE) &amp; "")</f>
        <v>#ERROR!</v>
      </c>
      <c r="AI1880" s="157" t="str">
        <f t="shared" si="5"/>
        <v>#ERROR!</v>
      </c>
    </row>
    <row r="1881" ht="12.75" customHeight="1">
      <c r="A1881" s="244" t="s">
        <v>5158</v>
      </c>
      <c r="B1881" s="244" t="s">
        <v>231</v>
      </c>
      <c r="C1881" s="244" t="s">
        <v>11379</v>
      </c>
      <c r="D1881" s="154" t="s">
        <v>546</v>
      </c>
      <c r="E1881" s="154"/>
      <c r="F1881" s="154" t="str">
        <f t="array" ref="F1881">XLOOKUP(Cover!$D$12,$R$1:$Z$1,$R1881:$Z1881)</f>
        <v>Information</v>
      </c>
      <c r="G1881" s="154" t="s">
        <v>11380</v>
      </c>
      <c r="H1881" s="154" t="s">
        <v>9009</v>
      </c>
      <c r="I1881" s="154" t="s">
        <v>11370</v>
      </c>
      <c r="J1881" s="154" t="s">
        <v>7174</v>
      </c>
      <c r="K1881" s="154" t="s">
        <v>11079</v>
      </c>
      <c r="L1881" s="154" t="s">
        <v>6529</v>
      </c>
      <c r="M1881" s="154"/>
      <c r="N1881" s="154" t="s">
        <v>759</v>
      </c>
      <c r="O1881" s="247" t="s">
        <v>516</v>
      </c>
      <c r="P1881" s="247" t="s">
        <v>6776</v>
      </c>
      <c r="Q1881" s="154" t="str">
        <f t="shared" si="1"/>
        <v>#ERROR!</v>
      </c>
      <c r="R1881" s="154" t="s">
        <v>66</v>
      </c>
      <c r="S1881" s="154" t="s">
        <v>66</v>
      </c>
      <c r="T1881" s="154" t="s">
        <v>66</v>
      </c>
      <c r="U1881" s="154" t="s">
        <v>66</v>
      </c>
      <c r="V1881" s="154" t="s">
        <v>66</v>
      </c>
      <c r="W1881" s="154" t="s">
        <v>66</v>
      </c>
      <c r="X1881" s="154" t="s">
        <v>66</v>
      </c>
      <c r="Y1881" s="154" t="s">
        <v>66</v>
      </c>
      <c r="Z1881" s="154" t="s">
        <v>66</v>
      </c>
      <c r="AA1881" s="154"/>
      <c r="AB1881" s="242" t="str">
        <f t="shared" si="2"/>
        <v>#ERROR!</v>
      </c>
      <c r="AC1881" s="154" t="s">
        <v>391</v>
      </c>
      <c r="AD1881" s="242" t="b">
        <f t="shared" si="3"/>
        <v>0</v>
      </c>
      <c r="AE1881" s="154"/>
      <c r="AF1881" s="242" t="str">
        <f t="shared" si="4"/>
        <v>#ERROR!</v>
      </c>
      <c r="AG1881" s="154"/>
      <c r="AH1881" s="242" t="str">
        <f>IF(AG1881="","N/A",INDIRECT("MTR!"&amp;ADDRESS(MATCH(LEFT(AG1881,9),[1]MTR!C:C,0),COLUMN(J1881)),TRUE) &amp; "")</f>
        <v>#ERROR!</v>
      </c>
      <c r="AI1881" s="157" t="str">
        <f t="shared" si="5"/>
        <v>#ERROR!</v>
      </c>
    </row>
    <row r="1882" ht="12.75" customHeight="1">
      <c r="A1882" s="244" t="s">
        <v>5158</v>
      </c>
      <c r="B1882" s="244" t="s">
        <v>231</v>
      </c>
      <c r="C1882" s="244" t="s">
        <v>11381</v>
      </c>
      <c r="D1882" s="154" t="s">
        <v>546</v>
      </c>
      <c r="E1882" s="154"/>
      <c r="F1882" s="154" t="str">
        <f t="array" ref="F1882">XLOOKUP(Cover!$D$12,$R$1:$Z$1,$R1882:$Z1882)</f>
        <v>Information</v>
      </c>
      <c r="G1882" s="154" t="s">
        <v>11382</v>
      </c>
      <c r="H1882" s="154" t="s">
        <v>7853</v>
      </c>
      <c r="I1882" s="154" t="s">
        <v>11370</v>
      </c>
      <c r="J1882" s="154" t="s">
        <v>7174</v>
      </c>
      <c r="K1882" s="154" t="s">
        <v>11079</v>
      </c>
      <c r="L1882" s="154" t="s">
        <v>6529</v>
      </c>
      <c r="M1882" s="154"/>
      <c r="N1882" s="154" t="s">
        <v>759</v>
      </c>
      <c r="O1882" s="247" t="s">
        <v>516</v>
      </c>
      <c r="P1882" s="247" t="s">
        <v>6776</v>
      </c>
      <c r="Q1882" s="154" t="str">
        <f t="shared" si="1"/>
        <v>#ERROR!</v>
      </c>
      <c r="R1882" s="154" t="s">
        <v>66</v>
      </c>
      <c r="S1882" s="154" t="s">
        <v>66</v>
      </c>
      <c r="T1882" s="154" t="s">
        <v>66</v>
      </c>
      <c r="U1882" s="154" t="s">
        <v>66</v>
      </c>
      <c r="V1882" s="154" t="s">
        <v>66</v>
      </c>
      <c r="W1882" s="154" t="s">
        <v>66</v>
      </c>
      <c r="X1882" s="154" t="s">
        <v>66</v>
      </c>
      <c r="Y1882" s="154" t="s">
        <v>66</v>
      </c>
      <c r="Z1882" s="154" t="s">
        <v>66</v>
      </c>
      <c r="AA1882" s="154"/>
      <c r="AB1882" s="242" t="str">
        <f t="shared" si="2"/>
        <v>#ERROR!</v>
      </c>
      <c r="AC1882" s="154" t="s">
        <v>391</v>
      </c>
      <c r="AD1882" s="242" t="b">
        <f t="shared" si="3"/>
        <v>0</v>
      </c>
      <c r="AE1882" s="154"/>
      <c r="AF1882" s="242" t="str">
        <f t="shared" si="4"/>
        <v>#ERROR!</v>
      </c>
      <c r="AG1882" s="154"/>
      <c r="AH1882" s="242" t="str">
        <f>IF(AG1882="","N/A",INDIRECT("MTR!"&amp;ADDRESS(MATCH(LEFT(AG1882,9),[1]MTR!C:C,0),COLUMN(J1882)),TRUE) &amp; "")</f>
        <v>#ERROR!</v>
      </c>
      <c r="AI1882" s="157" t="str">
        <f t="shared" si="5"/>
        <v>#ERROR!</v>
      </c>
    </row>
    <row r="1883" ht="12.75" customHeight="1">
      <c r="A1883" s="244" t="s">
        <v>5158</v>
      </c>
      <c r="B1883" s="244" t="s">
        <v>231</v>
      </c>
      <c r="C1883" s="244" t="s">
        <v>11383</v>
      </c>
      <c r="D1883" s="154" t="s">
        <v>546</v>
      </c>
      <c r="E1883" s="154"/>
      <c r="F1883" s="154" t="str">
        <f t="array" ref="F1883">XLOOKUP(Cover!$D$12,$R$1:$Z$1,$R1883:$Z1883)</f>
        <v>Information</v>
      </c>
      <c r="G1883" s="154" t="s">
        <v>11384</v>
      </c>
      <c r="H1883" s="154" t="s">
        <v>1541</v>
      </c>
      <c r="I1883" s="154" t="s">
        <v>11370</v>
      </c>
      <c r="J1883" s="154" t="s">
        <v>7174</v>
      </c>
      <c r="K1883" s="154" t="s">
        <v>11079</v>
      </c>
      <c r="L1883" s="154" t="s">
        <v>6529</v>
      </c>
      <c r="M1883" s="154"/>
      <c r="N1883" s="154" t="s">
        <v>759</v>
      </c>
      <c r="O1883" s="247" t="s">
        <v>516</v>
      </c>
      <c r="P1883" s="247" t="s">
        <v>6776</v>
      </c>
      <c r="Q1883" s="154" t="str">
        <f t="shared" si="1"/>
        <v>#ERROR!</v>
      </c>
      <c r="R1883" s="154" t="s">
        <v>66</v>
      </c>
      <c r="S1883" s="154" t="s">
        <v>66</v>
      </c>
      <c r="T1883" s="154" t="s">
        <v>66</v>
      </c>
      <c r="U1883" s="154" t="s">
        <v>66</v>
      </c>
      <c r="V1883" s="154" t="s">
        <v>66</v>
      </c>
      <c r="W1883" s="154" t="s">
        <v>66</v>
      </c>
      <c r="X1883" s="154" t="s">
        <v>66</v>
      </c>
      <c r="Y1883" s="154" t="s">
        <v>66</v>
      </c>
      <c r="Z1883" s="154" t="s">
        <v>66</v>
      </c>
      <c r="AA1883" s="154"/>
      <c r="AB1883" s="242" t="str">
        <f t="shared" si="2"/>
        <v>#ERROR!</v>
      </c>
      <c r="AC1883" s="154" t="s">
        <v>391</v>
      </c>
      <c r="AD1883" s="242" t="b">
        <f t="shared" si="3"/>
        <v>0</v>
      </c>
      <c r="AE1883" s="154"/>
      <c r="AF1883" s="242" t="str">
        <f t="shared" si="4"/>
        <v>#ERROR!</v>
      </c>
      <c r="AG1883" s="154"/>
      <c r="AH1883" s="242" t="str">
        <f>IF(AG1883="","N/A",INDIRECT("MTR!"&amp;ADDRESS(MATCH(LEFT(AG1883,9),[1]MTR!C:C,0),COLUMN(J1883)),TRUE) &amp; "")</f>
        <v>#ERROR!</v>
      </c>
      <c r="AI1883" s="157" t="str">
        <f t="shared" si="5"/>
        <v>#ERROR!</v>
      </c>
    </row>
    <row r="1884" ht="12.75" customHeight="1">
      <c r="A1884" s="244" t="s">
        <v>5158</v>
      </c>
      <c r="B1884" s="244" t="s">
        <v>231</v>
      </c>
      <c r="C1884" s="244" t="s">
        <v>11385</v>
      </c>
      <c r="D1884" s="154" t="s">
        <v>546</v>
      </c>
      <c r="E1884" s="154"/>
      <c r="F1884" s="154" t="str">
        <f t="array" ref="F1884">XLOOKUP(Cover!$D$12,$R$1:$Z$1,$R1884:$Z1884)</f>
        <v>Information</v>
      </c>
      <c r="G1884" s="154" t="s">
        <v>11386</v>
      </c>
      <c r="H1884" s="154" t="s">
        <v>7834</v>
      </c>
      <c r="I1884" s="154" t="s">
        <v>11387</v>
      </c>
      <c r="J1884" s="154" t="s">
        <v>8263</v>
      </c>
      <c r="K1884" s="154" t="s">
        <v>11079</v>
      </c>
      <c r="L1884" s="154" t="s">
        <v>6529</v>
      </c>
      <c r="M1884" s="154"/>
      <c r="N1884" s="154" t="s">
        <v>759</v>
      </c>
      <c r="O1884" s="247" t="s">
        <v>516</v>
      </c>
      <c r="P1884" s="247" t="s">
        <v>6776</v>
      </c>
      <c r="Q1884" s="154" t="str">
        <f t="shared" si="1"/>
        <v>#ERROR!</v>
      </c>
      <c r="R1884" s="154" t="s">
        <v>66</v>
      </c>
      <c r="S1884" s="154" t="s">
        <v>66</v>
      </c>
      <c r="T1884" s="154" t="s">
        <v>66</v>
      </c>
      <c r="U1884" s="154" t="s">
        <v>66</v>
      </c>
      <c r="V1884" s="154" t="s">
        <v>66</v>
      </c>
      <c r="W1884" s="154" t="s">
        <v>66</v>
      </c>
      <c r="X1884" s="154" t="s">
        <v>66</v>
      </c>
      <c r="Y1884" s="154" t="s">
        <v>66</v>
      </c>
      <c r="Z1884" s="154" t="s">
        <v>66</v>
      </c>
      <c r="AA1884" s="154"/>
      <c r="AB1884" s="242" t="str">
        <f t="shared" si="2"/>
        <v>#ERROR!</v>
      </c>
      <c r="AC1884" s="154" t="s">
        <v>391</v>
      </c>
      <c r="AD1884" s="242" t="b">
        <f t="shared" si="3"/>
        <v>0</v>
      </c>
      <c r="AE1884" s="154"/>
      <c r="AF1884" s="242" t="str">
        <f t="shared" si="4"/>
        <v>#ERROR!</v>
      </c>
      <c r="AG1884" s="154"/>
      <c r="AH1884" s="242" t="str">
        <f>IF(AG1884="","N/A",INDIRECT("MTR!"&amp;ADDRESS(MATCH(LEFT(AG1884,9),[1]MTR!C:C,0),COLUMN(J1884)),TRUE) &amp; "")</f>
        <v>#ERROR!</v>
      </c>
      <c r="AI1884" s="157" t="str">
        <f t="shared" si="5"/>
        <v>#ERROR!</v>
      </c>
    </row>
    <row r="1885" ht="12.75" customHeight="1">
      <c r="A1885" s="244" t="s">
        <v>5158</v>
      </c>
      <c r="B1885" s="244" t="s">
        <v>231</v>
      </c>
      <c r="C1885" s="244" t="s">
        <v>11388</v>
      </c>
      <c r="D1885" s="154" t="s">
        <v>546</v>
      </c>
      <c r="E1885" s="154"/>
      <c r="F1885" s="154" t="str">
        <f t="array" ref="F1885">XLOOKUP(Cover!$D$12,$R$1:$Z$1,$R1885:$Z1885)</f>
        <v>Information</v>
      </c>
      <c r="G1885" s="154" t="s">
        <v>11389</v>
      </c>
      <c r="H1885" s="154" t="s">
        <v>9002</v>
      </c>
      <c r="I1885" s="154" t="s">
        <v>11387</v>
      </c>
      <c r="J1885" s="154" t="s">
        <v>8263</v>
      </c>
      <c r="K1885" s="154" t="s">
        <v>11079</v>
      </c>
      <c r="L1885" s="154" t="s">
        <v>6529</v>
      </c>
      <c r="M1885" s="154"/>
      <c r="N1885" s="154" t="s">
        <v>759</v>
      </c>
      <c r="O1885" s="247" t="s">
        <v>516</v>
      </c>
      <c r="P1885" s="247" t="s">
        <v>6776</v>
      </c>
      <c r="Q1885" s="154" t="str">
        <f t="shared" si="1"/>
        <v>#ERROR!</v>
      </c>
      <c r="R1885" s="154" t="s">
        <v>66</v>
      </c>
      <c r="S1885" s="154" t="s">
        <v>66</v>
      </c>
      <c r="T1885" s="154" t="s">
        <v>66</v>
      </c>
      <c r="U1885" s="154" t="s">
        <v>66</v>
      </c>
      <c r="V1885" s="154" t="s">
        <v>66</v>
      </c>
      <c r="W1885" s="154" t="s">
        <v>66</v>
      </c>
      <c r="X1885" s="154" t="s">
        <v>66</v>
      </c>
      <c r="Y1885" s="154" t="s">
        <v>66</v>
      </c>
      <c r="Z1885" s="154" t="s">
        <v>66</v>
      </c>
      <c r="AA1885" s="154"/>
      <c r="AB1885" s="242" t="str">
        <f t="shared" si="2"/>
        <v>#ERROR!</v>
      </c>
      <c r="AC1885" s="154" t="s">
        <v>391</v>
      </c>
      <c r="AD1885" s="242" t="b">
        <f t="shared" si="3"/>
        <v>0</v>
      </c>
      <c r="AE1885" s="154"/>
      <c r="AF1885" s="242" t="str">
        <f t="shared" si="4"/>
        <v>#ERROR!</v>
      </c>
      <c r="AG1885" s="154"/>
      <c r="AH1885" s="242" t="str">
        <f>IF(AG1885="","N/A",INDIRECT("MTR!"&amp;ADDRESS(MATCH(LEFT(AG1885,9),[1]MTR!C:C,0),COLUMN(J1885)),TRUE) &amp; "")</f>
        <v>#ERROR!</v>
      </c>
      <c r="AI1885" s="157" t="str">
        <f t="shared" si="5"/>
        <v>#ERROR!</v>
      </c>
    </row>
    <row r="1886" ht="12.75" customHeight="1">
      <c r="A1886" s="244" t="s">
        <v>5158</v>
      </c>
      <c r="B1886" s="244" t="s">
        <v>231</v>
      </c>
      <c r="C1886" s="244" t="s">
        <v>11390</v>
      </c>
      <c r="D1886" s="154" t="s">
        <v>546</v>
      </c>
      <c r="E1886" s="154"/>
      <c r="F1886" s="154" t="str">
        <f t="array" ref="F1886">XLOOKUP(Cover!$D$12,$R$1:$Z$1,$R1886:$Z1886)</f>
        <v>Information</v>
      </c>
      <c r="G1886" s="154" t="s">
        <v>11391</v>
      </c>
      <c r="H1886" s="154" t="s">
        <v>7838</v>
      </c>
      <c r="I1886" s="154" t="s">
        <v>11387</v>
      </c>
      <c r="J1886" s="154" t="s">
        <v>8263</v>
      </c>
      <c r="K1886" s="154" t="s">
        <v>11079</v>
      </c>
      <c r="L1886" s="154" t="s">
        <v>6529</v>
      </c>
      <c r="M1886" s="154"/>
      <c r="N1886" s="154" t="s">
        <v>759</v>
      </c>
      <c r="O1886" s="247" t="s">
        <v>516</v>
      </c>
      <c r="P1886" s="247" t="s">
        <v>6776</v>
      </c>
      <c r="Q1886" s="154" t="str">
        <f t="shared" si="1"/>
        <v>#ERROR!</v>
      </c>
      <c r="R1886" s="154" t="s">
        <v>66</v>
      </c>
      <c r="S1886" s="154" t="s">
        <v>66</v>
      </c>
      <c r="T1886" s="154" t="s">
        <v>66</v>
      </c>
      <c r="U1886" s="154" t="s">
        <v>66</v>
      </c>
      <c r="V1886" s="154" t="s">
        <v>66</v>
      </c>
      <c r="W1886" s="154" t="s">
        <v>66</v>
      </c>
      <c r="X1886" s="154" t="s">
        <v>66</v>
      </c>
      <c r="Y1886" s="154" t="s">
        <v>66</v>
      </c>
      <c r="Z1886" s="154" t="s">
        <v>66</v>
      </c>
      <c r="AA1886" s="154"/>
      <c r="AB1886" s="242" t="str">
        <f t="shared" si="2"/>
        <v>#ERROR!</v>
      </c>
      <c r="AC1886" s="154" t="s">
        <v>391</v>
      </c>
      <c r="AD1886" s="242" t="b">
        <f t="shared" si="3"/>
        <v>0</v>
      </c>
      <c r="AE1886" s="154"/>
      <c r="AF1886" s="242" t="str">
        <f t="shared" si="4"/>
        <v>#ERROR!</v>
      </c>
      <c r="AG1886" s="154"/>
      <c r="AH1886" s="242" t="str">
        <f>IF(AG1886="","N/A",INDIRECT("MTR!"&amp;ADDRESS(MATCH(LEFT(AG1886,9),[1]MTR!C:C,0),COLUMN(J1886)),TRUE) &amp; "")</f>
        <v>#ERROR!</v>
      </c>
      <c r="AI1886" s="157" t="str">
        <f t="shared" si="5"/>
        <v>#ERROR!</v>
      </c>
    </row>
    <row r="1887" ht="12.75" customHeight="1">
      <c r="A1887" s="244" t="s">
        <v>5158</v>
      </c>
      <c r="B1887" s="244" t="s">
        <v>231</v>
      </c>
      <c r="C1887" s="244" t="s">
        <v>11392</v>
      </c>
      <c r="D1887" s="154" t="s">
        <v>546</v>
      </c>
      <c r="E1887" s="154"/>
      <c r="F1887" s="154" t="str">
        <f t="array" ref="F1887">XLOOKUP(Cover!$D$12,$R$1:$Z$1,$R1887:$Z1887)</f>
        <v>Information</v>
      </c>
      <c r="G1887" s="154" t="s">
        <v>11393</v>
      </c>
      <c r="H1887" s="154" t="s">
        <v>9006</v>
      </c>
      <c r="I1887" s="154" t="s">
        <v>11387</v>
      </c>
      <c r="J1887" s="154" t="s">
        <v>8263</v>
      </c>
      <c r="K1887" s="154" t="s">
        <v>11079</v>
      </c>
      <c r="L1887" s="154" t="s">
        <v>6529</v>
      </c>
      <c r="M1887" s="154"/>
      <c r="N1887" s="154" t="s">
        <v>759</v>
      </c>
      <c r="O1887" s="247" t="s">
        <v>516</v>
      </c>
      <c r="P1887" s="247" t="s">
        <v>6776</v>
      </c>
      <c r="Q1887" s="154" t="str">
        <f t="shared" si="1"/>
        <v>#ERROR!</v>
      </c>
      <c r="R1887" s="154" t="s">
        <v>66</v>
      </c>
      <c r="S1887" s="154" t="s">
        <v>66</v>
      </c>
      <c r="T1887" s="154" t="s">
        <v>66</v>
      </c>
      <c r="U1887" s="154" t="s">
        <v>66</v>
      </c>
      <c r="V1887" s="154" t="s">
        <v>66</v>
      </c>
      <c r="W1887" s="154" t="s">
        <v>66</v>
      </c>
      <c r="X1887" s="154" t="s">
        <v>66</v>
      </c>
      <c r="Y1887" s="154" t="s">
        <v>66</v>
      </c>
      <c r="Z1887" s="154" t="s">
        <v>66</v>
      </c>
      <c r="AA1887" s="154"/>
      <c r="AB1887" s="242" t="str">
        <f t="shared" si="2"/>
        <v>#ERROR!</v>
      </c>
      <c r="AC1887" s="154" t="s">
        <v>391</v>
      </c>
      <c r="AD1887" s="242" t="b">
        <f t="shared" si="3"/>
        <v>0</v>
      </c>
      <c r="AE1887" s="154"/>
      <c r="AF1887" s="242" t="str">
        <f t="shared" si="4"/>
        <v>#ERROR!</v>
      </c>
      <c r="AG1887" s="154"/>
      <c r="AH1887" s="242" t="str">
        <f>IF(AG1887="","N/A",INDIRECT("MTR!"&amp;ADDRESS(MATCH(LEFT(AG1887,9),[1]MTR!C:C,0),COLUMN(J1887)),TRUE) &amp; "")</f>
        <v>#ERROR!</v>
      </c>
      <c r="AI1887" s="157" t="str">
        <f t="shared" si="5"/>
        <v>#ERROR!</v>
      </c>
    </row>
    <row r="1888" ht="12.75" customHeight="1">
      <c r="A1888" s="244" t="s">
        <v>5158</v>
      </c>
      <c r="B1888" s="244" t="s">
        <v>231</v>
      </c>
      <c r="C1888" s="244" t="s">
        <v>11394</v>
      </c>
      <c r="D1888" s="154" t="s">
        <v>546</v>
      </c>
      <c r="E1888" s="154"/>
      <c r="F1888" s="154" t="str">
        <f t="array" ref="F1888">XLOOKUP(Cover!$D$12,$R$1:$Z$1,$R1888:$Z1888)</f>
        <v>Information</v>
      </c>
      <c r="G1888" s="154" t="s">
        <v>11395</v>
      </c>
      <c r="H1888" s="154" t="s">
        <v>7892</v>
      </c>
      <c r="I1888" s="154" t="s">
        <v>11387</v>
      </c>
      <c r="J1888" s="154" t="s">
        <v>8263</v>
      </c>
      <c r="K1888" s="154" t="s">
        <v>11079</v>
      </c>
      <c r="L1888" s="154" t="s">
        <v>6529</v>
      </c>
      <c r="M1888" s="154"/>
      <c r="N1888" s="154" t="s">
        <v>759</v>
      </c>
      <c r="O1888" s="247" t="s">
        <v>516</v>
      </c>
      <c r="P1888" s="247" t="s">
        <v>6776</v>
      </c>
      <c r="Q1888" s="154" t="str">
        <f t="shared" si="1"/>
        <v>#ERROR!</v>
      </c>
      <c r="R1888" s="154" t="s">
        <v>66</v>
      </c>
      <c r="S1888" s="154" t="s">
        <v>66</v>
      </c>
      <c r="T1888" s="154" t="s">
        <v>66</v>
      </c>
      <c r="U1888" s="154" t="s">
        <v>66</v>
      </c>
      <c r="V1888" s="154" t="s">
        <v>66</v>
      </c>
      <c r="W1888" s="154" t="s">
        <v>66</v>
      </c>
      <c r="X1888" s="154" t="s">
        <v>66</v>
      </c>
      <c r="Y1888" s="154" t="s">
        <v>66</v>
      </c>
      <c r="Z1888" s="154" t="s">
        <v>66</v>
      </c>
      <c r="AA1888" s="154"/>
      <c r="AB1888" s="242" t="str">
        <f t="shared" si="2"/>
        <v>#ERROR!</v>
      </c>
      <c r="AC1888" s="154" t="s">
        <v>391</v>
      </c>
      <c r="AD1888" s="242" t="b">
        <f t="shared" si="3"/>
        <v>0</v>
      </c>
      <c r="AE1888" s="154"/>
      <c r="AF1888" s="242" t="str">
        <f t="shared" si="4"/>
        <v>#ERROR!</v>
      </c>
      <c r="AG1888" s="154"/>
      <c r="AH1888" s="242" t="str">
        <f>IF(AG1888="","N/A",INDIRECT("MTR!"&amp;ADDRESS(MATCH(LEFT(AG1888,9),[1]MTR!C:C,0),COLUMN(J1888)),TRUE) &amp; "")</f>
        <v>#ERROR!</v>
      </c>
      <c r="AI1888" s="157" t="str">
        <f t="shared" si="5"/>
        <v>#ERROR!</v>
      </c>
    </row>
    <row r="1889" ht="12.75" customHeight="1">
      <c r="A1889" s="244" t="s">
        <v>5158</v>
      </c>
      <c r="B1889" s="244" t="s">
        <v>231</v>
      </c>
      <c r="C1889" s="244" t="s">
        <v>11396</v>
      </c>
      <c r="D1889" s="154" t="s">
        <v>546</v>
      </c>
      <c r="E1889" s="154"/>
      <c r="F1889" s="154" t="str">
        <f t="array" ref="F1889">XLOOKUP(Cover!$D$12,$R$1:$Z$1,$R1889:$Z1889)</f>
        <v>Information</v>
      </c>
      <c r="G1889" s="154" t="s">
        <v>11397</v>
      </c>
      <c r="H1889" s="154" t="s">
        <v>9053</v>
      </c>
      <c r="I1889" s="154" t="s">
        <v>11387</v>
      </c>
      <c r="J1889" s="154" t="s">
        <v>8263</v>
      </c>
      <c r="K1889" s="154" t="s">
        <v>11079</v>
      </c>
      <c r="L1889" s="154" t="s">
        <v>6529</v>
      </c>
      <c r="M1889" s="154"/>
      <c r="N1889" s="154" t="s">
        <v>759</v>
      </c>
      <c r="O1889" s="247" t="s">
        <v>516</v>
      </c>
      <c r="P1889" s="247" t="s">
        <v>6776</v>
      </c>
      <c r="Q1889" s="154" t="str">
        <f t="shared" si="1"/>
        <v>#ERROR!</v>
      </c>
      <c r="R1889" s="154" t="s">
        <v>66</v>
      </c>
      <c r="S1889" s="154" t="s">
        <v>66</v>
      </c>
      <c r="T1889" s="154" t="s">
        <v>66</v>
      </c>
      <c r="U1889" s="154" t="s">
        <v>66</v>
      </c>
      <c r="V1889" s="154" t="s">
        <v>66</v>
      </c>
      <c r="W1889" s="154" t="s">
        <v>66</v>
      </c>
      <c r="X1889" s="154" t="s">
        <v>66</v>
      </c>
      <c r="Y1889" s="154" t="s">
        <v>66</v>
      </c>
      <c r="Z1889" s="154" t="s">
        <v>66</v>
      </c>
      <c r="AA1889" s="154"/>
      <c r="AB1889" s="242" t="str">
        <f t="shared" si="2"/>
        <v>#ERROR!</v>
      </c>
      <c r="AC1889" s="154" t="s">
        <v>391</v>
      </c>
      <c r="AD1889" s="242" t="b">
        <f t="shared" si="3"/>
        <v>0</v>
      </c>
      <c r="AE1889" s="154"/>
      <c r="AF1889" s="242" t="str">
        <f t="shared" si="4"/>
        <v>#ERROR!</v>
      </c>
      <c r="AG1889" s="154"/>
      <c r="AH1889" s="242" t="str">
        <f>IF(AG1889="","N/A",INDIRECT("MTR!"&amp;ADDRESS(MATCH(LEFT(AG1889,9),[1]MTR!C:C,0),COLUMN(J1889)),TRUE) &amp; "")</f>
        <v>#ERROR!</v>
      </c>
      <c r="AI1889" s="157" t="str">
        <f t="shared" si="5"/>
        <v>#ERROR!</v>
      </c>
    </row>
    <row r="1890" ht="12.75" customHeight="1">
      <c r="A1890" s="244" t="s">
        <v>5158</v>
      </c>
      <c r="B1890" s="244" t="s">
        <v>231</v>
      </c>
      <c r="C1890" s="244" t="s">
        <v>11398</v>
      </c>
      <c r="D1890" s="154" t="s">
        <v>546</v>
      </c>
      <c r="E1890" s="154"/>
      <c r="F1890" s="154" t="str">
        <f t="array" ref="F1890">XLOOKUP(Cover!$D$12,$R$1:$Z$1,$R1890:$Z1890)</f>
        <v>Information</v>
      </c>
      <c r="G1890" s="154" t="s">
        <v>11399</v>
      </c>
      <c r="H1890" s="154" t="s">
        <v>7844</v>
      </c>
      <c r="I1890" s="154" t="s">
        <v>11387</v>
      </c>
      <c r="J1890" s="154" t="s">
        <v>8263</v>
      </c>
      <c r="K1890" s="154" t="s">
        <v>11079</v>
      </c>
      <c r="L1890" s="154" t="s">
        <v>6529</v>
      </c>
      <c r="M1890" s="154"/>
      <c r="N1890" s="154" t="s">
        <v>759</v>
      </c>
      <c r="O1890" s="247" t="s">
        <v>516</v>
      </c>
      <c r="P1890" s="247" t="s">
        <v>6776</v>
      </c>
      <c r="Q1890" s="154" t="str">
        <f t="shared" si="1"/>
        <v>#ERROR!</v>
      </c>
      <c r="R1890" s="154" t="s">
        <v>66</v>
      </c>
      <c r="S1890" s="154" t="s">
        <v>66</v>
      </c>
      <c r="T1890" s="154" t="s">
        <v>66</v>
      </c>
      <c r="U1890" s="154" t="s">
        <v>66</v>
      </c>
      <c r="V1890" s="154" t="s">
        <v>66</v>
      </c>
      <c r="W1890" s="154" t="s">
        <v>66</v>
      </c>
      <c r="X1890" s="154" t="s">
        <v>66</v>
      </c>
      <c r="Y1890" s="154" t="s">
        <v>66</v>
      </c>
      <c r="Z1890" s="154" t="s">
        <v>66</v>
      </c>
      <c r="AA1890" s="154"/>
      <c r="AB1890" s="242" t="str">
        <f t="shared" si="2"/>
        <v>#ERROR!</v>
      </c>
      <c r="AC1890" s="154" t="s">
        <v>391</v>
      </c>
      <c r="AD1890" s="242" t="b">
        <f t="shared" si="3"/>
        <v>0</v>
      </c>
      <c r="AE1890" s="154"/>
      <c r="AF1890" s="242" t="str">
        <f t="shared" si="4"/>
        <v>#ERROR!</v>
      </c>
      <c r="AG1890" s="154"/>
      <c r="AH1890" s="242" t="str">
        <f>IF(AG1890="","N/A",INDIRECT("MTR!"&amp;ADDRESS(MATCH(LEFT(AG1890,9),[1]MTR!C:C,0),COLUMN(J1890)),TRUE) &amp; "")</f>
        <v>#ERROR!</v>
      </c>
      <c r="AI1890" s="157" t="str">
        <f t="shared" si="5"/>
        <v>#ERROR!</v>
      </c>
    </row>
    <row r="1891" ht="12.75" customHeight="1">
      <c r="A1891" s="244" t="s">
        <v>5158</v>
      </c>
      <c r="B1891" s="244" t="s">
        <v>231</v>
      </c>
      <c r="C1891" s="244" t="s">
        <v>11400</v>
      </c>
      <c r="D1891" s="154" t="s">
        <v>546</v>
      </c>
      <c r="E1891" s="154"/>
      <c r="F1891" s="154" t="str">
        <f t="array" ref="F1891">XLOOKUP(Cover!$D$12,$R$1:$Z$1,$R1891:$Z1891)</f>
        <v>Information</v>
      </c>
      <c r="G1891" s="154" t="s">
        <v>11401</v>
      </c>
      <c r="H1891" s="154" t="s">
        <v>9009</v>
      </c>
      <c r="I1891" s="154" t="s">
        <v>11387</v>
      </c>
      <c r="J1891" s="154" t="s">
        <v>8263</v>
      </c>
      <c r="K1891" s="154" t="s">
        <v>11079</v>
      </c>
      <c r="L1891" s="154" t="s">
        <v>6529</v>
      </c>
      <c r="M1891" s="154"/>
      <c r="N1891" s="154" t="s">
        <v>759</v>
      </c>
      <c r="O1891" s="247" t="s">
        <v>516</v>
      </c>
      <c r="P1891" s="247" t="s">
        <v>6776</v>
      </c>
      <c r="Q1891" s="154" t="str">
        <f t="shared" si="1"/>
        <v>#ERROR!</v>
      </c>
      <c r="R1891" s="154" t="s">
        <v>66</v>
      </c>
      <c r="S1891" s="154" t="s">
        <v>66</v>
      </c>
      <c r="T1891" s="154" t="s">
        <v>66</v>
      </c>
      <c r="U1891" s="154" t="s">
        <v>66</v>
      </c>
      <c r="V1891" s="154" t="s">
        <v>66</v>
      </c>
      <c r="W1891" s="154" t="s">
        <v>66</v>
      </c>
      <c r="X1891" s="154" t="s">
        <v>66</v>
      </c>
      <c r="Y1891" s="154" t="s">
        <v>66</v>
      </c>
      <c r="Z1891" s="154" t="s">
        <v>66</v>
      </c>
      <c r="AA1891" s="154"/>
      <c r="AB1891" s="242" t="str">
        <f t="shared" si="2"/>
        <v>#ERROR!</v>
      </c>
      <c r="AC1891" s="154" t="s">
        <v>391</v>
      </c>
      <c r="AD1891" s="242" t="b">
        <f t="shared" si="3"/>
        <v>0</v>
      </c>
      <c r="AE1891" s="154"/>
      <c r="AF1891" s="242" t="str">
        <f t="shared" si="4"/>
        <v>#ERROR!</v>
      </c>
      <c r="AG1891" s="154"/>
      <c r="AH1891" s="242" t="str">
        <f>IF(AG1891="","N/A",INDIRECT("MTR!"&amp;ADDRESS(MATCH(LEFT(AG1891,9),[1]MTR!C:C,0),COLUMN(J1891)),TRUE) &amp; "")</f>
        <v>#ERROR!</v>
      </c>
      <c r="AI1891" s="157" t="str">
        <f t="shared" si="5"/>
        <v>#ERROR!</v>
      </c>
    </row>
    <row r="1892" ht="12.75" customHeight="1">
      <c r="A1892" s="244" t="s">
        <v>5158</v>
      </c>
      <c r="B1892" s="244" t="s">
        <v>231</v>
      </c>
      <c r="C1892" s="244" t="s">
        <v>11402</v>
      </c>
      <c r="D1892" s="154" t="s">
        <v>546</v>
      </c>
      <c r="E1892" s="154"/>
      <c r="F1892" s="154" t="str">
        <f t="array" ref="F1892">XLOOKUP(Cover!$D$12,$R$1:$Z$1,$R1892:$Z1892)</f>
        <v>Information</v>
      </c>
      <c r="G1892" s="154" t="s">
        <v>11403</v>
      </c>
      <c r="H1892" s="154" t="s">
        <v>7853</v>
      </c>
      <c r="I1892" s="154" t="s">
        <v>11387</v>
      </c>
      <c r="J1892" s="154" t="s">
        <v>8263</v>
      </c>
      <c r="K1892" s="154" t="s">
        <v>11079</v>
      </c>
      <c r="L1892" s="154" t="s">
        <v>6529</v>
      </c>
      <c r="M1892" s="154"/>
      <c r="N1892" s="154" t="s">
        <v>759</v>
      </c>
      <c r="O1892" s="247" t="s">
        <v>516</v>
      </c>
      <c r="P1892" s="247" t="s">
        <v>6776</v>
      </c>
      <c r="Q1892" s="154" t="str">
        <f t="shared" si="1"/>
        <v>#ERROR!</v>
      </c>
      <c r="R1892" s="154" t="s">
        <v>66</v>
      </c>
      <c r="S1892" s="154" t="s">
        <v>66</v>
      </c>
      <c r="T1892" s="154" t="s">
        <v>66</v>
      </c>
      <c r="U1892" s="154" t="s">
        <v>66</v>
      </c>
      <c r="V1892" s="154" t="s">
        <v>66</v>
      </c>
      <c r="W1892" s="154" t="s">
        <v>66</v>
      </c>
      <c r="X1892" s="154" t="s">
        <v>66</v>
      </c>
      <c r="Y1892" s="154" t="s">
        <v>66</v>
      </c>
      <c r="Z1892" s="154" t="s">
        <v>66</v>
      </c>
      <c r="AA1892" s="154"/>
      <c r="AB1892" s="242" t="str">
        <f t="shared" si="2"/>
        <v>#ERROR!</v>
      </c>
      <c r="AC1892" s="154" t="s">
        <v>391</v>
      </c>
      <c r="AD1892" s="242" t="b">
        <f t="shared" si="3"/>
        <v>0</v>
      </c>
      <c r="AE1892" s="154"/>
      <c r="AF1892" s="242" t="str">
        <f t="shared" si="4"/>
        <v>#ERROR!</v>
      </c>
      <c r="AG1892" s="154"/>
      <c r="AH1892" s="242" t="str">
        <f>IF(AG1892="","N/A",INDIRECT("MTR!"&amp;ADDRESS(MATCH(LEFT(AG1892,9),[1]MTR!C:C,0),COLUMN(J1892)),TRUE) &amp; "")</f>
        <v>#ERROR!</v>
      </c>
      <c r="AI1892" s="157" t="str">
        <f t="shared" si="5"/>
        <v>#ERROR!</v>
      </c>
    </row>
    <row r="1893" ht="12.75" customHeight="1">
      <c r="A1893" s="244" t="s">
        <v>5158</v>
      </c>
      <c r="B1893" s="244" t="s">
        <v>231</v>
      </c>
      <c r="C1893" s="244" t="s">
        <v>11404</v>
      </c>
      <c r="D1893" s="154" t="s">
        <v>546</v>
      </c>
      <c r="E1893" s="154"/>
      <c r="F1893" s="154" t="str">
        <f t="array" ref="F1893">XLOOKUP(Cover!$D$12,$R$1:$Z$1,$R1893:$Z1893)</f>
        <v>Information</v>
      </c>
      <c r="G1893" s="154" t="s">
        <v>11405</v>
      </c>
      <c r="H1893" s="154" t="s">
        <v>1541</v>
      </c>
      <c r="I1893" s="154" t="s">
        <v>11387</v>
      </c>
      <c r="J1893" s="154" t="s">
        <v>8263</v>
      </c>
      <c r="K1893" s="154" t="s">
        <v>11079</v>
      </c>
      <c r="L1893" s="154" t="s">
        <v>6529</v>
      </c>
      <c r="M1893" s="154"/>
      <c r="N1893" s="154" t="s">
        <v>759</v>
      </c>
      <c r="O1893" s="247" t="s">
        <v>516</v>
      </c>
      <c r="P1893" s="247" t="s">
        <v>6776</v>
      </c>
      <c r="Q1893" s="154" t="str">
        <f t="shared" si="1"/>
        <v>#ERROR!</v>
      </c>
      <c r="R1893" s="154" t="s">
        <v>66</v>
      </c>
      <c r="S1893" s="154" t="s">
        <v>66</v>
      </c>
      <c r="T1893" s="154" t="s">
        <v>66</v>
      </c>
      <c r="U1893" s="154" t="s">
        <v>66</v>
      </c>
      <c r="V1893" s="154" t="s">
        <v>66</v>
      </c>
      <c r="W1893" s="154" t="s">
        <v>66</v>
      </c>
      <c r="X1893" s="154" t="s">
        <v>66</v>
      </c>
      <c r="Y1893" s="154" t="s">
        <v>66</v>
      </c>
      <c r="Z1893" s="154" t="s">
        <v>66</v>
      </c>
      <c r="AA1893" s="154"/>
      <c r="AB1893" s="242" t="str">
        <f t="shared" si="2"/>
        <v>#ERROR!</v>
      </c>
      <c r="AC1893" s="154" t="s">
        <v>391</v>
      </c>
      <c r="AD1893" s="242" t="b">
        <f t="shared" si="3"/>
        <v>0</v>
      </c>
      <c r="AE1893" s="154"/>
      <c r="AF1893" s="242" t="str">
        <f t="shared" si="4"/>
        <v>#ERROR!</v>
      </c>
      <c r="AG1893" s="154"/>
      <c r="AH1893" s="242" t="str">
        <f>IF(AG1893="","N/A",INDIRECT("MTR!"&amp;ADDRESS(MATCH(LEFT(AG1893,9),[1]MTR!C:C,0),COLUMN(J1893)),TRUE) &amp; "")</f>
        <v>#ERROR!</v>
      </c>
      <c r="AI1893" s="157" t="str">
        <f t="shared" si="5"/>
        <v>#ERROR!</v>
      </c>
    </row>
    <row r="1894" ht="12.75" customHeight="1">
      <c r="A1894" s="238" t="s">
        <v>5158</v>
      </c>
      <c r="B1894" s="238" t="s">
        <v>231</v>
      </c>
      <c r="C1894" s="238" t="s">
        <v>11406</v>
      </c>
      <c r="D1894" s="240"/>
      <c r="E1894" s="240" t="s">
        <v>92</v>
      </c>
      <c r="F1894" s="240" t="str">
        <f t="array" ref="F1894">XLOOKUP(Cover!$D$12,$R$1:$Z$1,$R1894:$Z1894)</f>
        <v>Heading</v>
      </c>
      <c r="G1894" s="239" t="s">
        <v>11407</v>
      </c>
      <c r="H1894" s="240"/>
      <c r="I1894" s="240"/>
      <c r="J1894" s="240"/>
      <c r="K1894" s="240"/>
      <c r="L1894" s="240"/>
      <c r="M1894" s="240"/>
      <c r="N1894" s="240" t="s">
        <v>759</v>
      </c>
      <c r="O1894" s="240"/>
      <c r="P1894" s="240"/>
      <c r="Q1894" s="240" t="str">
        <f t="shared" si="1"/>
        <v/>
      </c>
      <c r="R1894" s="240" t="s">
        <v>390</v>
      </c>
      <c r="S1894" s="240" t="s">
        <v>390</v>
      </c>
      <c r="T1894" s="240" t="s">
        <v>390</v>
      </c>
      <c r="U1894" s="240" t="s">
        <v>390</v>
      </c>
      <c r="V1894" s="240" t="s">
        <v>390</v>
      </c>
      <c r="W1894" s="240" t="s">
        <v>390</v>
      </c>
      <c r="X1894" s="240" t="s">
        <v>390</v>
      </c>
      <c r="Y1894" s="240" t="s">
        <v>390</v>
      </c>
      <c r="Z1894" s="240" t="s">
        <v>390</v>
      </c>
      <c r="AA1894" s="240"/>
      <c r="AB1894" s="242" t="str">
        <f t="shared" si="2"/>
        <v>#ERROR!</v>
      </c>
      <c r="AC1894" s="240" t="s">
        <v>391</v>
      </c>
      <c r="AD1894" s="242" t="b">
        <f t="shared" si="3"/>
        <v>0</v>
      </c>
      <c r="AE1894" s="240"/>
      <c r="AF1894" s="242" t="str">
        <f t="shared" si="4"/>
        <v>#ERROR!</v>
      </c>
      <c r="AG1894" s="240"/>
      <c r="AH1894" s="242" t="str">
        <f>IF(AG1894="","N/A",INDIRECT("MTR!"&amp;ADDRESS(MATCH(LEFT(AG1894,9),[1]MTR!C:C,0),COLUMN(J1894)),TRUE) &amp; "")</f>
        <v>#ERROR!</v>
      </c>
      <c r="AI1894" s="157" t="str">
        <f t="shared" si="5"/>
        <v/>
      </c>
    </row>
    <row r="1895" ht="12.75" customHeight="1">
      <c r="A1895" s="244" t="s">
        <v>5158</v>
      </c>
      <c r="B1895" s="244" t="s">
        <v>231</v>
      </c>
      <c r="C1895" s="244" t="s">
        <v>11408</v>
      </c>
      <c r="D1895" s="154" t="s">
        <v>542</v>
      </c>
      <c r="E1895" s="154"/>
      <c r="F1895" s="154" t="str">
        <f t="array" ref="F1895">XLOOKUP(Cover!$D$12,$R$1:$Z$1,$R1895:$Z1895)</f>
        <v>Information</v>
      </c>
      <c r="G1895" s="154" t="s">
        <v>11409</v>
      </c>
      <c r="H1895" s="154" t="s">
        <v>8305</v>
      </c>
      <c r="I1895" s="154" t="s">
        <v>11410</v>
      </c>
      <c r="J1895" s="154" t="s">
        <v>5897</v>
      </c>
      <c r="K1895" s="154" t="s">
        <v>11411</v>
      </c>
      <c r="L1895" s="154" t="s">
        <v>6064</v>
      </c>
      <c r="M1895" s="154"/>
      <c r="N1895" s="154" t="s">
        <v>759</v>
      </c>
      <c r="O1895" s="247" t="s">
        <v>516</v>
      </c>
      <c r="P1895" s="247" t="s">
        <v>6776</v>
      </c>
      <c r="Q1895" s="154" t="str">
        <f t="shared" si="1"/>
        <v>#ERROR!</v>
      </c>
      <c r="R1895" s="154" t="s">
        <v>66</v>
      </c>
      <c r="S1895" s="154" t="s">
        <v>66</v>
      </c>
      <c r="T1895" s="154" t="s">
        <v>66</v>
      </c>
      <c r="U1895" s="154" t="s">
        <v>66</v>
      </c>
      <c r="V1895" s="154" t="s">
        <v>66</v>
      </c>
      <c r="W1895" s="154" t="s">
        <v>66</v>
      </c>
      <c r="X1895" s="154" t="s">
        <v>66</v>
      </c>
      <c r="Y1895" s="154" t="s">
        <v>66</v>
      </c>
      <c r="Z1895" s="154" t="s">
        <v>66</v>
      </c>
      <c r="AA1895" s="154"/>
      <c r="AB1895" s="242" t="str">
        <f t="shared" si="2"/>
        <v>#ERROR!</v>
      </c>
      <c r="AC1895" s="154" t="s">
        <v>391</v>
      </c>
      <c r="AD1895" s="242" t="b">
        <f t="shared" si="3"/>
        <v>0</v>
      </c>
      <c r="AE1895" s="154"/>
      <c r="AF1895" s="242" t="str">
        <f t="shared" si="4"/>
        <v>#ERROR!</v>
      </c>
      <c r="AG1895" s="154"/>
      <c r="AH1895" s="242" t="str">
        <f>IF(AG1895="","N/A",INDIRECT("MTR!"&amp;ADDRESS(MATCH(LEFT(AG1895,9),[1]MTR!C:C,0),COLUMN(J1895)),TRUE) &amp; "")</f>
        <v>#ERROR!</v>
      </c>
      <c r="AI1895" s="157" t="str">
        <f t="shared" si="5"/>
        <v>#ERROR!</v>
      </c>
    </row>
    <row r="1896" ht="12.75" customHeight="1">
      <c r="A1896" s="238" t="s">
        <v>5158</v>
      </c>
      <c r="B1896" s="238" t="s">
        <v>231</v>
      </c>
      <c r="C1896" s="238" t="s">
        <v>11412</v>
      </c>
      <c r="D1896" s="240"/>
      <c r="E1896" s="240" t="s">
        <v>92</v>
      </c>
      <c r="F1896" s="240" t="str">
        <f t="array" ref="F1896">XLOOKUP(Cover!$D$12,$R$1:$Z$1,$R1896:$Z1896)</f>
        <v>Heading</v>
      </c>
      <c r="G1896" s="239" t="s">
        <v>11413</v>
      </c>
      <c r="H1896" s="240"/>
      <c r="I1896" s="240"/>
      <c r="J1896" s="240"/>
      <c r="K1896" s="240"/>
      <c r="L1896" s="240"/>
      <c r="M1896" s="240"/>
      <c r="N1896" s="240" t="s">
        <v>759</v>
      </c>
      <c r="O1896" s="240"/>
      <c r="P1896" s="240"/>
      <c r="Q1896" s="240" t="str">
        <f t="shared" si="1"/>
        <v/>
      </c>
      <c r="R1896" s="240" t="s">
        <v>390</v>
      </c>
      <c r="S1896" s="240" t="s">
        <v>390</v>
      </c>
      <c r="T1896" s="240" t="s">
        <v>390</v>
      </c>
      <c r="U1896" s="240" t="s">
        <v>390</v>
      </c>
      <c r="V1896" s="240" t="s">
        <v>390</v>
      </c>
      <c r="W1896" s="240" t="s">
        <v>390</v>
      </c>
      <c r="X1896" s="240" t="s">
        <v>390</v>
      </c>
      <c r="Y1896" s="240" t="s">
        <v>390</v>
      </c>
      <c r="Z1896" s="240" t="s">
        <v>390</v>
      </c>
      <c r="AA1896" s="240"/>
      <c r="AB1896" s="242" t="str">
        <f t="shared" si="2"/>
        <v>#ERROR!</v>
      </c>
      <c r="AC1896" s="240" t="s">
        <v>391</v>
      </c>
      <c r="AD1896" s="242" t="b">
        <f t="shared" si="3"/>
        <v>0</v>
      </c>
      <c r="AE1896" s="240"/>
      <c r="AF1896" s="242" t="str">
        <f t="shared" si="4"/>
        <v>#ERROR!</v>
      </c>
      <c r="AG1896" s="240"/>
      <c r="AH1896" s="242" t="str">
        <f>IF(AG1896="","N/A",INDIRECT("MTR!"&amp;ADDRESS(MATCH(LEFT(AG1896,9),[1]MTR!C:C,0),COLUMN(J1896)),TRUE) &amp; "")</f>
        <v>#ERROR!</v>
      </c>
      <c r="AI1896" s="157" t="str">
        <f t="shared" si="5"/>
        <v/>
      </c>
    </row>
    <row r="1897" ht="12.75" customHeight="1">
      <c r="A1897" s="244" t="s">
        <v>5158</v>
      </c>
      <c r="B1897" s="244" t="s">
        <v>231</v>
      </c>
      <c r="C1897" s="244" t="s">
        <v>11414</v>
      </c>
      <c r="D1897" s="154" t="s">
        <v>781</v>
      </c>
      <c r="E1897" s="154"/>
      <c r="F1897" s="154" t="str">
        <f t="array" ref="F1897">XLOOKUP(Cover!$D$12,$R$1:$Z$1,$R1897:$Z1897)</f>
        <v>Information</v>
      </c>
      <c r="G1897" s="154" t="s">
        <v>11415</v>
      </c>
      <c r="H1897" s="154" t="s">
        <v>8295</v>
      </c>
      <c r="I1897" s="154" t="s">
        <v>11416</v>
      </c>
      <c r="J1897" s="154" t="s">
        <v>5730</v>
      </c>
      <c r="K1897" s="154" t="s">
        <v>11417</v>
      </c>
      <c r="L1897" s="154" t="s">
        <v>6942</v>
      </c>
      <c r="M1897" s="154"/>
      <c r="N1897" s="154" t="s">
        <v>759</v>
      </c>
      <c r="O1897" s="247" t="s">
        <v>445</v>
      </c>
      <c r="P1897" s="247" t="s">
        <v>6772</v>
      </c>
      <c r="Q1897" s="154" t="str">
        <f t="shared" si="1"/>
        <v>#ERROR!</v>
      </c>
      <c r="R1897" s="154" t="s">
        <v>66</v>
      </c>
      <c r="S1897" s="154" t="s">
        <v>66</v>
      </c>
      <c r="T1897" s="154" t="s">
        <v>66</v>
      </c>
      <c r="U1897" s="154" t="s">
        <v>66</v>
      </c>
      <c r="V1897" s="154" t="s">
        <v>66</v>
      </c>
      <c r="W1897" s="154" t="s">
        <v>66</v>
      </c>
      <c r="X1897" s="154" t="s">
        <v>66</v>
      </c>
      <c r="Y1897" s="154" t="s">
        <v>66</v>
      </c>
      <c r="Z1897" s="154" t="s">
        <v>66</v>
      </c>
      <c r="AA1897" s="154"/>
      <c r="AB1897" s="242" t="str">
        <f t="shared" si="2"/>
        <v>#ERROR!</v>
      </c>
      <c r="AC1897" s="154" t="s">
        <v>391</v>
      </c>
      <c r="AD1897" s="242" t="b">
        <f t="shared" si="3"/>
        <v>0</v>
      </c>
      <c r="AE1897" s="154"/>
      <c r="AF1897" s="242" t="str">
        <f t="shared" si="4"/>
        <v>#ERROR!</v>
      </c>
      <c r="AG1897" s="154"/>
      <c r="AH1897" s="242" t="str">
        <f>IF(AG1897="","N/A",INDIRECT("MTR!"&amp;ADDRESS(MATCH(LEFT(AG1897,9),[1]MTR!C:C,0),COLUMN(J1897)),TRUE) &amp; "")</f>
        <v>#ERROR!</v>
      </c>
      <c r="AI1897" s="157" t="str">
        <f t="shared" si="5"/>
        <v>#ERROR!</v>
      </c>
    </row>
    <row r="1898" ht="12.75" customHeight="1">
      <c r="A1898" s="244" t="s">
        <v>5158</v>
      </c>
      <c r="B1898" s="244" t="s">
        <v>231</v>
      </c>
      <c r="C1898" s="244" t="s">
        <v>11418</v>
      </c>
      <c r="D1898" s="154" t="s">
        <v>781</v>
      </c>
      <c r="E1898" s="154"/>
      <c r="F1898" s="154" t="str">
        <f t="array" ref="F1898">XLOOKUP(Cover!$D$12,$R$1:$Z$1,$R1898:$Z1898)</f>
        <v>Information</v>
      </c>
      <c r="G1898" s="154" t="s">
        <v>11419</v>
      </c>
      <c r="H1898" s="154" t="s">
        <v>9002</v>
      </c>
      <c r="I1898" s="154" t="s">
        <v>11416</v>
      </c>
      <c r="J1898" s="154" t="s">
        <v>5730</v>
      </c>
      <c r="K1898" s="154" t="s">
        <v>11417</v>
      </c>
      <c r="L1898" s="154" t="s">
        <v>6942</v>
      </c>
      <c r="M1898" s="154"/>
      <c r="N1898" s="154" t="s">
        <v>759</v>
      </c>
      <c r="O1898" s="247" t="s">
        <v>445</v>
      </c>
      <c r="P1898" s="247" t="s">
        <v>6772</v>
      </c>
      <c r="Q1898" s="154" t="str">
        <f t="shared" si="1"/>
        <v>#ERROR!</v>
      </c>
      <c r="R1898" s="154" t="s">
        <v>66</v>
      </c>
      <c r="S1898" s="154" t="s">
        <v>66</v>
      </c>
      <c r="T1898" s="154" t="s">
        <v>66</v>
      </c>
      <c r="U1898" s="154" t="s">
        <v>66</v>
      </c>
      <c r="V1898" s="154" t="s">
        <v>66</v>
      </c>
      <c r="W1898" s="154" t="s">
        <v>66</v>
      </c>
      <c r="X1898" s="154" t="s">
        <v>66</v>
      </c>
      <c r="Y1898" s="154" t="s">
        <v>66</v>
      </c>
      <c r="Z1898" s="154" t="s">
        <v>66</v>
      </c>
      <c r="AA1898" s="154"/>
      <c r="AB1898" s="242" t="str">
        <f t="shared" si="2"/>
        <v>#ERROR!</v>
      </c>
      <c r="AC1898" s="154" t="s">
        <v>391</v>
      </c>
      <c r="AD1898" s="242" t="b">
        <f t="shared" si="3"/>
        <v>0</v>
      </c>
      <c r="AE1898" s="154"/>
      <c r="AF1898" s="242" t="str">
        <f t="shared" si="4"/>
        <v>#ERROR!</v>
      </c>
      <c r="AG1898" s="154"/>
      <c r="AH1898" s="242" t="str">
        <f>IF(AG1898="","N/A",INDIRECT("MTR!"&amp;ADDRESS(MATCH(LEFT(AG1898,9),[1]MTR!C:C,0),COLUMN(J1898)),TRUE) &amp; "")</f>
        <v>#ERROR!</v>
      </c>
      <c r="AI1898" s="157" t="str">
        <f t="shared" si="5"/>
        <v>#ERROR!</v>
      </c>
    </row>
    <row r="1899" ht="12.75" customHeight="1">
      <c r="A1899" s="244" t="s">
        <v>5158</v>
      </c>
      <c r="B1899" s="244" t="s">
        <v>231</v>
      </c>
      <c r="C1899" s="244" t="s">
        <v>11420</v>
      </c>
      <c r="D1899" s="154" t="s">
        <v>546</v>
      </c>
      <c r="E1899" s="154"/>
      <c r="F1899" s="154" t="str">
        <f t="array" ref="F1899">XLOOKUP(Cover!$D$12,$R$1:$Z$1,$R1899:$Z1899)</f>
        <v>Information</v>
      </c>
      <c r="G1899" s="154" t="s">
        <v>11421</v>
      </c>
      <c r="H1899" s="154" t="s">
        <v>8299</v>
      </c>
      <c r="I1899" s="154" t="s">
        <v>11422</v>
      </c>
      <c r="J1899" s="154" t="s">
        <v>5782</v>
      </c>
      <c r="K1899" s="154" t="s">
        <v>11417</v>
      </c>
      <c r="L1899" s="154" t="s">
        <v>6529</v>
      </c>
      <c r="M1899" s="154"/>
      <c r="N1899" s="154" t="s">
        <v>759</v>
      </c>
      <c r="O1899" s="247" t="s">
        <v>445</v>
      </c>
      <c r="P1899" s="247" t="s">
        <v>6772</v>
      </c>
      <c r="Q1899" s="154" t="str">
        <f t="shared" si="1"/>
        <v>#ERROR!</v>
      </c>
      <c r="R1899" s="154" t="s">
        <v>66</v>
      </c>
      <c r="S1899" s="154" t="s">
        <v>66</v>
      </c>
      <c r="T1899" s="154" t="s">
        <v>66</v>
      </c>
      <c r="U1899" s="154" t="s">
        <v>66</v>
      </c>
      <c r="V1899" s="154" t="s">
        <v>66</v>
      </c>
      <c r="W1899" s="154" t="s">
        <v>66</v>
      </c>
      <c r="X1899" s="154" t="s">
        <v>66</v>
      </c>
      <c r="Y1899" s="154" t="s">
        <v>66</v>
      </c>
      <c r="Z1899" s="154" t="s">
        <v>66</v>
      </c>
      <c r="AA1899" s="154"/>
      <c r="AB1899" s="242" t="str">
        <f t="shared" si="2"/>
        <v>#ERROR!</v>
      </c>
      <c r="AC1899" s="154" t="s">
        <v>391</v>
      </c>
      <c r="AD1899" s="242" t="b">
        <f t="shared" si="3"/>
        <v>0</v>
      </c>
      <c r="AE1899" s="154"/>
      <c r="AF1899" s="242" t="str">
        <f t="shared" si="4"/>
        <v>#ERROR!</v>
      </c>
      <c r="AG1899" s="154"/>
      <c r="AH1899" s="242" t="str">
        <f>IF(AG1899="","N/A",INDIRECT("MTR!"&amp;ADDRESS(MATCH(LEFT(AG1899,9),[1]MTR!C:C,0),COLUMN(J1899)),TRUE) &amp; "")</f>
        <v>#ERROR!</v>
      </c>
      <c r="AI1899" s="157" t="str">
        <f t="shared" si="5"/>
        <v>#ERROR!</v>
      </c>
    </row>
    <row r="1900" ht="12.75" customHeight="1">
      <c r="A1900" s="244" t="s">
        <v>5158</v>
      </c>
      <c r="B1900" s="244" t="s">
        <v>231</v>
      </c>
      <c r="C1900" s="244" t="s">
        <v>11423</v>
      </c>
      <c r="D1900" s="154" t="s">
        <v>546</v>
      </c>
      <c r="E1900" s="154"/>
      <c r="F1900" s="154" t="str">
        <f t="array" ref="F1900">XLOOKUP(Cover!$D$12,$R$1:$Z$1,$R1900:$Z1900)</f>
        <v>Information</v>
      </c>
      <c r="G1900" s="154" t="s">
        <v>11424</v>
      </c>
      <c r="H1900" s="154" t="s">
        <v>9006</v>
      </c>
      <c r="I1900" s="154" t="s">
        <v>11422</v>
      </c>
      <c r="J1900" s="154" t="s">
        <v>5782</v>
      </c>
      <c r="K1900" s="154" t="s">
        <v>11417</v>
      </c>
      <c r="L1900" s="154" t="s">
        <v>6529</v>
      </c>
      <c r="M1900" s="154"/>
      <c r="N1900" s="154" t="s">
        <v>759</v>
      </c>
      <c r="O1900" s="247" t="s">
        <v>445</v>
      </c>
      <c r="P1900" s="247" t="s">
        <v>6772</v>
      </c>
      <c r="Q1900" s="154" t="str">
        <f t="shared" si="1"/>
        <v>#ERROR!</v>
      </c>
      <c r="R1900" s="154" t="s">
        <v>66</v>
      </c>
      <c r="S1900" s="154" t="s">
        <v>66</v>
      </c>
      <c r="T1900" s="154" t="s">
        <v>66</v>
      </c>
      <c r="U1900" s="154" t="s">
        <v>66</v>
      </c>
      <c r="V1900" s="154" t="s">
        <v>66</v>
      </c>
      <c r="W1900" s="154" t="s">
        <v>66</v>
      </c>
      <c r="X1900" s="154" t="s">
        <v>66</v>
      </c>
      <c r="Y1900" s="154" t="s">
        <v>66</v>
      </c>
      <c r="Z1900" s="154" t="s">
        <v>66</v>
      </c>
      <c r="AA1900" s="154"/>
      <c r="AB1900" s="242" t="str">
        <f t="shared" si="2"/>
        <v>#ERROR!</v>
      </c>
      <c r="AC1900" s="154" t="s">
        <v>391</v>
      </c>
      <c r="AD1900" s="242" t="b">
        <f t="shared" si="3"/>
        <v>0</v>
      </c>
      <c r="AE1900" s="154"/>
      <c r="AF1900" s="242" t="str">
        <f t="shared" si="4"/>
        <v>#ERROR!</v>
      </c>
      <c r="AG1900" s="154"/>
      <c r="AH1900" s="242" t="str">
        <f>IF(AG1900="","N/A",INDIRECT("MTR!"&amp;ADDRESS(MATCH(LEFT(AG1900,9),[1]MTR!C:C,0),COLUMN(J1900)),TRUE) &amp; "")</f>
        <v>#ERROR!</v>
      </c>
      <c r="AI1900" s="157" t="str">
        <f t="shared" si="5"/>
        <v>#ERROR!</v>
      </c>
    </row>
    <row r="1901" ht="12.75" customHeight="1">
      <c r="A1901" s="244" t="s">
        <v>5158</v>
      </c>
      <c r="B1901" s="244" t="s">
        <v>231</v>
      </c>
      <c r="C1901" s="244" t="s">
        <v>11425</v>
      </c>
      <c r="D1901" s="154" t="s">
        <v>546</v>
      </c>
      <c r="E1901" s="154"/>
      <c r="F1901" s="154" t="str">
        <f t="array" ref="F1901">XLOOKUP(Cover!$D$12,$R$1:$Z$1,$R1901:$Z1901)</f>
        <v>Information</v>
      </c>
      <c r="G1901" s="154" t="s">
        <v>11426</v>
      </c>
      <c r="H1901" s="154" t="s">
        <v>8302</v>
      </c>
      <c r="I1901" s="154" t="s">
        <v>11427</v>
      </c>
      <c r="J1901" s="154" t="s">
        <v>5830</v>
      </c>
      <c r="K1901" s="154" t="s">
        <v>11417</v>
      </c>
      <c r="L1901" s="154" t="s">
        <v>6529</v>
      </c>
      <c r="M1901" s="154"/>
      <c r="N1901" s="154" t="s">
        <v>759</v>
      </c>
      <c r="O1901" s="247" t="s">
        <v>445</v>
      </c>
      <c r="P1901" s="247" t="s">
        <v>6772</v>
      </c>
      <c r="Q1901" s="154" t="str">
        <f t="shared" si="1"/>
        <v>#ERROR!</v>
      </c>
      <c r="R1901" s="154" t="s">
        <v>66</v>
      </c>
      <c r="S1901" s="154" t="s">
        <v>66</v>
      </c>
      <c r="T1901" s="154" t="s">
        <v>66</v>
      </c>
      <c r="U1901" s="154" t="s">
        <v>66</v>
      </c>
      <c r="V1901" s="154" t="s">
        <v>66</v>
      </c>
      <c r="W1901" s="154" t="s">
        <v>66</v>
      </c>
      <c r="X1901" s="154" t="s">
        <v>66</v>
      </c>
      <c r="Y1901" s="154" t="s">
        <v>66</v>
      </c>
      <c r="Z1901" s="154" t="s">
        <v>66</v>
      </c>
      <c r="AA1901" s="154"/>
      <c r="AB1901" s="242" t="str">
        <f t="shared" si="2"/>
        <v>#ERROR!</v>
      </c>
      <c r="AC1901" s="154" t="s">
        <v>391</v>
      </c>
      <c r="AD1901" s="242" t="b">
        <f t="shared" si="3"/>
        <v>0</v>
      </c>
      <c r="AE1901" s="154"/>
      <c r="AF1901" s="242" t="str">
        <f t="shared" si="4"/>
        <v>#ERROR!</v>
      </c>
      <c r="AG1901" s="154"/>
      <c r="AH1901" s="242" t="str">
        <f>IF(AG1901="","N/A",INDIRECT("MTR!"&amp;ADDRESS(MATCH(LEFT(AG1901,9),[1]MTR!C:C,0),COLUMN(J1901)),TRUE) &amp; "")</f>
        <v>#ERROR!</v>
      </c>
      <c r="AI1901" s="157" t="str">
        <f t="shared" si="5"/>
        <v>#ERROR!</v>
      </c>
    </row>
    <row r="1902" ht="12.75" customHeight="1">
      <c r="A1902" s="244" t="s">
        <v>5158</v>
      </c>
      <c r="B1902" s="244" t="s">
        <v>231</v>
      </c>
      <c r="C1902" s="244" t="s">
        <v>11428</v>
      </c>
      <c r="D1902" s="154" t="s">
        <v>546</v>
      </c>
      <c r="E1902" s="154"/>
      <c r="F1902" s="154" t="str">
        <f t="array" ref="F1902">XLOOKUP(Cover!$D$12,$R$1:$Z$1,$R1902:$Z1902)</f>
        <v>Information</v>
      </c>
      <c r="G1902" s="154" t="s">
        <v>11429</v>
      </c>
      <c r="H1902" s="154" t="s">
        <v>9009</v>
      </c>
      <c r="I1902" s="154" t="s">
        <v>11427</v>
      </c>
      <c r="J1902" s="154" t="s">
        <v>5830</v>
      </c>
      <c r="K1902" s="154" t="s">
        <v>11417</v>
      </c>
      <c r="L1902" s="154" t="s">
        <v>6529</v>
      </c>
      <c r="M1902" s="154"/>
      <c r="N1902" s="154" t="s">
        <v>759</v>
      </c>
      <c r="O1902" s="247" t="s">
        <v>445</v>
      </c>
      <c r="P1902" s="247" t="s">
        <v>6772</v>
      </c>
      <c r="Q1902" s="154" t="str">
        <f t="shared" si="1"/>
        <v>#ERROR!</v>
      </c>
      <c r="R1902" s="154" t="s">
        <v>66</v>
      </c>
      <c r="S1902" s="154" t="s">
        <v>66</v>
      </c>
      <c r="T1902" s="154" t="s">
        <v>66</v>
      </c>
      <c r="U1902" s="154" t="s">
        <v>66</v>
      </c>
      <c r="V1902" s="154" t="s">
        <v>66</v>
      </c>
      <c r="W1902" s="154" t="s">
        <v>66</v>
      </c>
      <c r="X1902" s="154" t="s">
        <v>66</v>
      </c>
      <c r="Y1902" s="154" t="s">
        <v>66</v>
      </c>
      <c r="Z1902" s="154" t="s">
        <v>66</v>
      </c>
      <c r="AA1902" s="154"/>
      <c r="AB1902" s="242" t="str">
        <f t="shared" si="2"/>
        <v>#ERROR!</v>
      </c>
      <c r="AC1902" s="154" t="s">
        <v>391</v>
      </c>
      <c r="AD1902" s="242" t="b">
        <f t="shared" si="3"/>
        <v>0</v>
      </c>
      <c r="AE1902" s="154"/>
      <c r="AF1902" s="242" t="str">
        <f t="shared" si="4"/>
        <v>#ERROR!</v>
      </c>
      <c r="AG1902" s="154"/>
      <c r="AH1902" s="242" t="str">
        <f>IF(AG1902="","N/A",INDIRECT("MTR!"&amp;ADDRESS(MATCH(LEFT(AG1902,9),[1]MTR!C:C,0),COLUMN(J1902)),TRUE) &amp; "")</f>
        <v>#ERROR!</v>
      </c>
      <c r="AI1902" s="157" t="str">
        <f t="shared" si="5"/>
        <v>#ERROR!</v>
      </c>
    </row>
    <row r="1903" ht="12.75" customHeight="1">
      <c r="A1903" s="244" t="s">
        <v>5158</v>
      </c>
      <c r="B1903" s="244" t="s">
        <v>231</v>
      </c>
      <c r="C1903" s="244" t="s">
        <v>11430</v>
      </c>
      <c r="D1903" s="154" t="s">
        <v>1315</v>
      </c>
      <c r="E1903" s="154"/>
      <c r="F1903" s="154" t="str">
        <f t="array" ref="F1903">XLOOKUP(Cover!$D$12,$R$1:$Z$1,$R1903:$Z1903)</f>
        <v>Information</v>
      </c>
      <c r="G1903" s="154" t="s">
        <v>11431</v>
      </c>
      <c r="H1903" s="154" t="s">
        <v>9015</v>
      </c>
      <c r="I1903" s="154" t="s">
        <v>11432</v>
      </c>
      <c r="J1903" s="154" t="s">
        <v>5897</v>
      </c>
      <c r="K1903" s="154" t="s">
        <v>11417</v>
      </c>
      <c r="L1903" s="154" t="s">
        <v>6905</v>
      </c>
      <c r="M1903" s="154"/>
      <c r="N1903" s="154" t="s">
        <v>759</v>
      </c>
      <c r="O1903" s="247" t="s">
        <v>516</v>
      </c>
      <c r="P1903" s="247" t="s">
        <v>6776</v>
      </c>
      <c r="Q1903" s="154" t="str">
        <f t="shared" si="1"/>
        <v>#ERROR!</v>
      </c>
      <c r="R1903" s="154" t="s">
        <v>66</v>
      </c>
      <c r="S1903" s="154" t="s">
        <v>66</v>
      </c>
      <c r="T1903" s="154" t="s">
        <v>66</v>
      </c>
      <c r="U1903" s="154" t="s">
        <v>66</v>
      </c>
      <c r="V1903" s="154" t="s">
        <v>66</v>
      </c>
      <c r="W1903" s="154" t="s">
        <v>66</v>
      </c>
      <c r="X1903" s="154" t="s">
        <v>66</v>
      </c>
      <c r="Y1903" s="154" t="s">
        <v>66</v>
      </c>
      <c r="Z1903" s="154" t="s">
        <v>66</v>
      </c>
      <c r="AA1903" s="154"/>
      <c r="AB1903" s="242" t="str">
        <f t="shared" si="2"/>
        <v>#ERROR!</v>
      </c>
      <c r="AC1903" s="154" t="s">
        <v>391</v>
      </c>
      <c r="AD1903" s="242" t="b">
        <f t="shared" si="3"/>
        <v>0</v>
      </c>
      <c r="AE1903" s="154"/>
      <c r="AF1903" s="242" t="str">
        <f t="shared" si="4"/>
        <v>#ERROR!</v>
      </c>
      <c r="AG1903" s="154"/>
      <c r="AH1903" s="242" t="str">
        <f>IF(AG1903="","N/A",INDIRECT("MTR!"&amp;ADDRESS(MATCH(LEFT(AG1903,9),[1]MTR!C:C,0),COLUMN(J1903)),TRUE) &amp; "")</f>
        <v>#ERROR!</v>
      </c>
      <c r="AI1903" s="157" t="str">
        <f t="shared" si="5"/>
        <v>#ERROR!</v>
      </c>
    </row>
    <row r="1904" ht="12.75" customHeight="1">
      <c r="A1904" s="244" t="s">
        <v>5158</v>
      </c>
      <c r="B1904" s="244" t="s">
        <v>231</v>
      </c>
      <c r="C1904" s="244" t="s">
        <v>11433</v>
      </c>
      <c r="D1904" s="154" t="s">
        <v>1315</v>
      </c>
      <c r="E1904" s="154"/>
      <c r="F1904" s="154" t="str">
        <f t="array" ref="F1904">XLOOKUP(Cover!$D$12,$R$1:$Z$1,$R1904:$Z1904)</f>
        <v>Information</v>
      </c>
      <c r="G1904" s="154" t="s">
        <v>11434</v>
      </c>
      <c r="H1904" s="154" t="s">
        <v>8305</v>
      </c>
      <c r="I1904" s="154" t="s">
        <v>11432</v>
      </c>
      <c r="J1904" s="154" t="s">
        <v>5897</v>
      </c>
      <c r="K1904" s="154" t="s">
        <v>11417</v>
      </c>
      <c r="L1904" s="154" t="s">
        <v>6905</v>
      </c>
      <c r="M1904" s="154"/>
      <c r="N1904" s="154" t="s">
        <v>759</v>
      </c>
      <c r="O1904" s="247" t="s">
        <v>516</v>
      </c>
      <c r="P1904" s="247" t="s">
        <v>6776</v>
      </c>
      <c r="Q1904" s="154" t="str">
        <f t="shared" si="1"/>
        <v>#ERROR!</v>
      </c>
      <c r="R1904" s="154" t="s">
        <v>66</v>
      </c>
      <c r="S1904" s="154" t="s">
        <v>66</v>
      </c>
      <c r="T1904" s="154" t="s">
        <v>66</v>
      </c>
      <c r="U1904" s="154" t="s">
        <v>66</v>
      </c>
      <c r="V1904" s="154" t="s">
        <v>66</v>
      </c>
      <c r="W1904" s="154" t="s">
        <v>66</v>
      </c>
      <c r="X1904" s="154" t="s">
        <v>66</v>
      </c>
      <c r="Y1904" s="154" t="s">
        <v>66</v>
      </c>
      <c r="Z1904" s="154" t="s">
        <v>66</v>
      </c>
      <c r="AA1904" s="154"/>
      <c r="AB1904" s="242" t="str">
        <f t="shared" si="2"/>
        <v>#ERROR!</v>
      </c>
      <c r="AC1904" s="154" t="s">
        <v>391</v>
      </c>
      <c r="AD1904" s="242" t="b">
        <f t="shared" si="3"/>
        <v>0</v>
      </c>
      <c r="AE1904" s="154"/>
      <c r="AF1904" s="242" t="str">
        <f t="shared" si="4"/>
        <v>#ERROR!</v>
      </c>
      <c r="AG1904" s="154"/>
      <c r="AH1904" s="242" t="str">
        <f>IF(AG1904="","N/A",INDIRECT("MTR!"&amp;ADDRESS(MATCH(LEFT(AG1904,9),[1]MTR!C:C,0),COLUMN(J1904)),TRUE) &amp; "")</f>
        <v>#ERROR!</v>
      </c>
      <c r="AI1904" s="157" t="str">
        <f t="shared" si="5"/>
        <v>#ERROR!</v>
      </c>
    </row>
    <row r="1905" ht="12.75" customHeight="1">
      <c r="A1905" s="244" t="s">
        <v>5158</v>
      </c>
      <c r="B1905" s="244" t="s">
        <v>231</v>
      </c>
      <c r="C1905" s="244" t="s">
        <v>11435</v>
      </c>
      <c r="D1905" s="154" t="s">
        <v>542</v>
      </c>
      <c r="E1905" s="154"/>
      <c r="F1905" s="154" t="str">
        <f t="array" ref="F1905">XLOOKUP(Cover!$D$12,$R$1:$Z$1,$R1905:$Z1905)</f>
        <v>Information</v>
      </c>
      <c r="G1905" s="154" t="s">
        <v>11436</v>
      </c>
      <c r="H1905" s="154" t="s">
        <v>8308</v>
      </c>
      <c r="I1905" s="154" t="s">
        <v>11437</v>
      </c>
      <c r="J1905" s="154" t="s">
        <v>5903</v>
      </c>
      <c r="K1905" s="154" t="s">
        <v>11417</v>
      </c>
      <c r="L1905" s="154" t="s">
        <v>6525</v>
      </c>
      <c r="M1905" s="154"/>
      <c r="N1905" s="154" t="s">
        <v>759</v>
      </c>
      <c r="O1905" s="247" t="s">
        <v>516</v>
      </c>
      <c r="P1905" s="247" t="s">
        <v>6776</v>
      </c>
      <c r="Q1905" s="154" t="str">
        <f t="shared" si="1"/>
        <v>#ERROR!</v>
      </c>
      <c r="R1905" s="154" t="s">
        <v>66</v>
      </c>
      <c r="S1905" s="154" t="s">
        <v>66</v>
      </c>
      <c r="T1905" s="154" t="s">
        <v>66</v>
      </c>
      <c r="U1905" s="154" t="s">
        <v>66</v>
      </c>
      <c r="V1905" s="154" t="s">
        <v>66</v>
      </c>
      <c r="W1905" s="154" t="s">
        <v>66</v>
      </c>
      <c r="X1905" s="154" t="s">
        <v>66</v>
      </c>
      <c r="Y1905" s="154" t="s">
        <v>66</v>
      </c>
      <c r="Z1905" s="154" t="s">
        <v>66</v>
      </c>
      <c r="AA1905" s="154"/>
      <c r="AB1905" s="242" t="str">
        <f t="shared" si="2"/>
        <v>#ERROR!</v>
      </c>
      <c r="AC1905" s="154" t="s">
        <v>391</v>
      </c>
      <c r="AD1905" s="242" t="b">
        <f t="shared" si="3"/>
        <v>0</v>
      </c>
      <c r="AE1905" s="154"/>
      <c r="AF1905" s="242" t="str">
        <f t="shared" si="4"/>
        <v>#ERROR!</v>
      </c>
      <c r="AG1905" s="154"/>
      <c r="AH1905" s="242" t="str">
        <f>IF(AG1905="","N/A",INDIRECT("MTR!"&amp;ADDRESS(MATCH(LEFT(AG1905,9),[1]MTR!C:C,0),COLUMN(J1905)),TRUE) &amp; "")</f>
        <v>#ERROR!</v>
      </c>
      <c r="AI1905" s="157" t="str">
        <f t="shared" si="5"/>
        <v>#ERROR!</v>
      </c>
    </row>
    <row r="1906" ht="12.75" customHeight="1">
      <c r="A1906" s="244" t="s">
        <v>5158</v>
      </c>
      <c r="B1906" s="244" t="s">
        <v>231</v>
      </c>
      <c r="C1906" s="244" t="s">
        <v>11438</v>
      </c>
      <c r="D1906" s="154" t="s">
        <v>542</v>
      </c>
      <c r="E1906" s="154"/>
      <c r="F1906" s="154" t="str">
        <f t="array" ref="F1906">XLOOKUP(Cover!$D$12,$R$1:$Z$1,$R1906:$Z1906)</f>
        <v>Information</v>
      </c>
      <c r="G1906" s="154" t="s">
        <v>11439</v>
      </c>
      <c r="H1906" s="154" t="s">
        <v>1541</v>
      </c>
      <c r="I1906" s="154" t="s">
        <v>11437</v>
      </c>
      <c r="J1906" s="154" t="s">
        <v>5903</v>
      </c>
      <c r="K1906" s="154" t="s">
        <v>11417</v>
      </c>
      <c r="L1906" s="154" t="s">
        <v>6525</v>
      </c>
      <c r="M1906" s="154"/>
      <c r="N1906" s="154" t="s">
        <v>759</v>
      </c>
      <c r="O1906" s="247" t="s">
        <v>516</v>
      </c>
      <c r="P1906" s="247" t="s">
        <v>6776</v>
      </c>
      <c r="Q1906" s="154" t="str">
        <f t="shared" si="1"/>
        <v>#ERROR!</v>
      </c>
      <c r="R1906" s="154" t="s">
        <v>66</v>
      </c>
      <c r="S1906" s="154" t="s">
        <v>66</v>
      </c>
      <c r="T1906" s="154" t="s">
        <v>66</v>
      </c>
      <c r="U1906" s="154" t="s">
        <v>66</v>
      </c>
      <c r="V1906" s="154" t="s">
        <v>66</v>
      </c>
      <c r="W1906" s="154" t="s">
        <v>66</v>
      </c>
      <c r="X1906" s="154" t="s">
        <v>66</v>
      </c>
      <c r="Y1906" s="154" t="s">
        <v>66</v>
      </c>
      <c r="Z1906" s="154" t="s">
        <v>66</v>
      </c>
      <c r="AA1906" s="154"/>
      <c r="AB1906" s="242" t="str">
        <f t="shared" si="2"/>
        <v>#ERROR!</v>
      </c>
      <c r="AC1906" s="154" t="s">
        <v>391</v>
      </c>
      <c r="AD1906" s="242" t="b">
        <f t="shared" si="3"/>
        <v>0</v>
      </c>
      <c r="AE1906" s="154"/>
      <c r="AF1906" s="242" t="str">
        <f t="shared" si="4"/>
        <v>#ERROR!</v>
      </c>
      <c r="AG1906" s="154"/>
      <c r="AH1906" s="242" t="str">
        <f>IF(AG1906="","N/A",INDIRECT("MTR!"&amp;ADDRESS(MATCH(LEFT(AG1906,9),[1]MTR!C:C,0),COLUMN(J1906)),TRUE) &amp; "")</f>
        <v>#ERROR!</v>
      </c>
      <c r="AI1906" s="157" t="str">
        <f t="shared" si="5"/>
        <v>#ERROR!</v>
      </c>
    </row>
    <row r="1907" ht="12.75" customHeight="1">
      <c r="A1907" s="244" t="s">
        <v>5158</v>
      </c>
      <c r="B1907" s="244" t="s">
        <v>231</v>
      </c>
      <c r="C1907" s="244" t="s">
        <v>11440</v>
      </c>
      <c r="D1907" s="154" t="s">
        <v>1315</v>
      </c>
      <c r="E1907" s="154"/>
      <c r="F1907" s="154" t="str">
        <f t="array" ref="F1907">XLOOKUP(Cover!$D$12,$R$1:$Z$1,$R1907:$Z1907)</f>
        <v>Information</v>
      </c>
      <c r="G1907" s="154" t="s">
        <v>11441</v>
      </c>
      <c r="H1907" s="154" t="s">
        <v>8295</v>
      </c>
      <c r="I1907" s="154" t="s">
        <v>11442</v>
      </c>
      <c r="J1907" s="154" t="s">
        <v>6791</v>
      </c>
      <c r="K1907" s="154" t="s">
        <v>11417</v>
      </c>
      <c r="L1907" s="154" t="s">
        <v>6905</v>
      </c>
      <c r="M1907" s="154"/>
      <c r="N1907" s="154" t="s">
        <v>759</v>
      </c>
      <c r="O1907" s="247" t="s">
        <v>516</v>
      </c>
      <c r="P1907" s="247" t="s">
        <v>6776</v>
      </c>
      <c r="Q1907" s="154" t="str">
        <f t="shared" si="1"/>
        <v>#ERROR!</v>
      </c>
      <c r="R1907" s="154" t="s">
        <v>66</v>
      </c>
      <c r="S1907" s="154" t="s">
        <v>66</v>
      </c>
      <c r="T1907" s="154" t="s">
        <v>66</v>
      </c>
      <c r="U1907" s="154" t="s">
        <v>66</v>
      </c>
      <c r="V1907" s="154" t="s">
        <v>66</v>
      </c>
      <c r="W1907" s="154" t="s">
        <v>66</v>
      </c>
      <c r="X1907" s="154" t="s">
        <v>66</v>
      </c>
      <c r="Y1907" s="154" t="s">
        <v>66</v>
      </c>
      <c r="Z1907" s="154" t="s">
        <v>66</v>
      </c>
      <c r="AA1907" s="154"/>
      <c r="AB1907" s="242" t="str">
        <f t="shared" si="2"/>
        <v>#ERROR!</v>
      </c>
      <c r="AC1907" s="154" t="s">
        <v>391</v>
      </c>
      <c r="AD1907" s="242" t="b">
        <f t="shared" si="3"/>
        <v>0</v>
      </c>
      <c r="AE1907" s="154"/>
      <c r="AF1907" s="242" t="str">
        <f t="shared" si="4"/>
        <v>#ERROR!</v>
      </c>
      <c r="AG1907" s="154"/>
      <c r="AH1907" s="242" t="str">
        <f>IF(AG1907="","N/A",INDIRECT("MTR!"&amp;ADDRESS(MATCH(LEFT(AG1907,9),[1]MTR!C:C,0),COLUMN(J1907)),TRUE) &amp; "")</f>
        <v>#ERROR!</v>
      </c>
      <c r="AI1907" s="157" t="str">
        <f t="shared" si="5"/>
        <v>#ERROR!</v>
      </c>
    </row>
    <row r="1908" ht="12.75" customHeight="1">
      <c r="A1908" s="244" t="s">
        <v>5158</v>
      </c>
      <c r="B1908" s="244" t="s">
        <v>231</v>
      </c>
      <c r="C1908" s="244" t="s">
        <v>11443</v>
      </c>
      <c r="D1908" s="154" t="s">
        <v>1315</v>
      </c>
      <c r="E1908" s="154"/>
      <c r="F1908" s="154" t="str">
        <f t="array" ref="F1908">XLOOKUP(Cover!$D$12,$R$1:$Z$1,$R1908:$Z1908)</f>
        <v>Information</v>
      </c>
      <c r="G1908" s="154" t="s">
        <v>11444</v>
      </c>
      <c r="H1908" s="154" t="s">
        <v>9002</v>
      </c>
      <c r="I1908" s="154" t="s">
        <v>11442</v>
      </c>
      <c r="J1908" s="154" t="s">
        <v>6791</v>
      </c>
      <c r="K1908" s="154" t="s">
        <v>11417</v>
      </c>
      <c r="L1908" s="154" t="s">
        <v>6905</v>
      </c>
      <c r="M1908" s="154"/>
      <c r="N1908" s="154" t="s">
        <v>759</v>
      </c>
      <c r="O1908" s="247" t="s">
        <v>516</v>
      </c>
      <c r="P1908" s="247" t="s">
        <v>6776</v>
      </c>
      <c r="Q1908" s="154" t="str">
        <f t="shared" si="1"/>
        <v>#ERROR!</v>
      </c>
      <c r="R1908" s="154" t="s">
        <v>66</v>
      </c>
      <c r="S1908" s="154" t="s">
        <v>66</v>
      </c>
      <c r="T1908" s="154" t="s">
        <v>66</v>
      </c>
      <c r="U1908" s="154" t="s">
        <v>66</v>
      </c>
      <c r="V1908" s="154" t="s">
        <v>66</v>
      </c>
      <c r="W1908" s="154" t="s">
        <v>66</v>
      </c>
      <c r="X1908" s="154" t="s">
        <v>66</v>
      </c>
      <c r="Y1908" s="154" t="s">
        <v>66</v>
      </c>
      <c r="Z1908" s="154" t="s">
        <v>66</v>
      </c>
      <c r="AA1908" s="154"/>
      <c r="AB1908" s="242" t="str">
        <f t="shared" si="2"/>
        <v>#ERROR!</v>
      </c>
      <c r="AC1908" s="154" t="s">
        <v>391</v>
      </c>
      <c r="AD1908" s="242" t="b">
        <f t="shared" si="3"/>
        <v>0</v>
      </c>
      <c r="AE1908" s="154"/>
      <c r="AF1908" s="242" t="str">
        <f t="shared" si="4"/>
        <v>#ERROR!</v>
      </c>
      <c r="AG1908" s="154"/>
      <c r="AH1908" s="242" t="str">
        <f>IF(AG1908="","N/A",INDIRECT("MTR!"&amp;ADDRESS(MATCH(LEFT(AG1908,9),[1]MTR!C:C,0),COLUMN(J1908)),TRUE) &amp; "")</f>
        <v>#ERROR!</v>
      </c>
      <c r="AI1908" s="157" t="str">
        <f t="shared" si="5"/>
        <v>#ERROR!</v>
      </c>
    </row>
    <row r="1909" ht="12.75" customHeight="1">
      <c r="A1909" s="244" t="s">
        <v>5158</v>
      </c>
      <c r="B1909" s="244" t="s">
        <v>231</v>
      </c>
      <c r="C1909" s="244" t="s">
        <v>11445</v>
      </c>
      <c r="D1909" s="154" t="s">
        <v>1315</v>
      </c>
      <c r="E1909" s="154"/>
      <c r="F1909" s="154" t="str">
        <f t="array" ref="F1909">XLOOKUP(Cover!$D$12,$R$1:$Z$1,$R1909:$Z1909)</f>
        <v>Information</v>
      </c>
      <c r="G1909" s="154" t="s">
        <v>11446</v>
      </c>
      <c r="H1909" s="154" t="s">
        <v>8299</v>
      </c>
      <c r="I1909" s="154" t="s">
        <v>11442</v>
      </c>
      <c r="J1909" s="154" t="s">
        <v>6791</v>
      </c>
      <c r="K1909" s="154" t="s">
        <v>11417</v>
      </c>
      <c r="L1909" s="154" t="s">
        <v>6905</v>
      </c>
      <c r="M1909" s="154"/>
      <c r="N1909" s="154" t="s">
        <v>759</v>
      </c>
      <c r="O1909" s="247" t="s">
        <v>516</v>
      </c>
      <c r="P1909" s="247" t="s">
        <v>6776</v>
      </c>
      <c r="Q1909" s="154" t="str">
        <f t="shared" si="1"/>
        <v>#ERROR!</v>
      </c>
      <c r="R1909" s="154" t="s">
        <v>66</v>
      </c>
      <c r="S1909" s="154" t="s">
        <v>66</v>
      </c>
      <c r="T1909" s="154" t="s">
        <v>66</v>
      </c>
      <c r="U1909" s="154" t="s">
        <v>66</v>
      </c>
      <c r="V1909" s="154" t="s">
        <v>66</v>
      </c>
      <c r="W1909" s="154" t="s">
        <v>66</v>
      </c>
      <c r="X1909" s="154" t="s">
        <v>66</v>
      </c>
      <c r="Y1909" s="154" t="s">
        <v>66</v>
      </c>
      <c r="Z1909" s="154" t="s">
        <v>66</v>
      </c>
      <c r="AA1909" s="154"/>
      <c r="AB1909" s="242" t="str">
        <f t="shared" si="2"/>
        <v>#ERROR!</v>
      </c>
      <c r="AC1909" s="154" t="s">
        <v>391</v>
      </c>
      <c r="AD1909" s="242" t="b">
        <f t="shared" si="3"/>
        <v>0</v>
      </c>
      <c r="AE1909" s="154"/>
      <c r="AF1909" s="242" t="str">
        <f t="shared" si="4"/>
        <v>#ERROR!</v>
      </c>
      <c r="AG1909" s="154"/>
      <c r="AH1909" s="242" t="str">
        <f>IF(AG1909="","N/A",INDIRECT("MTR!"&amp;ADDRESS(MATCH(LEFT(AG1909,9),[1]MTR!C:C,0),COLUMN(J1909)),TRUE) &amp; "")</f>
        <v>#ERROR!</v>
      </c>
      <c r="AI1909" s="157" t="str">
        <f t="shared" si="5"/>
        <v>#ERROR!</v>
      </c>
    </row>
    <row r="1910" ht="12.75" customHeight="1">
      <c r="A1910" s="244" t="s">
        <v>5158</v>
      </c>
      <c r="B1910" s="244" t="s">
        <v>231</v>
      </c>
      <c r="C1910" s="244" t="s">
        <v>11447</v>
      </c>
      <c r="D1910" s="154" t="s">
        <v>1315</v>
      </c>
      <c r="E1910" s="154"/>
      <c r="F1910" s="154" t="str">
        <f t="array" ref="F1910">XLOOKUP(Cover!$D$12,$R$1:$Z$1,$R1910:$Z1910)</f>
        <v>Information</v>
      </c>
      <c r="G1910" s="154" t="s">
        <v>11448</v>
      </c>
      <c r="H1910" s="154" t="s">
        <v>9006</v>
      </c>
      <c r="I1910" s="154" t="s">
        <v>11442</v>
      </c>
      <c r="J1910" s="154" t="s">
        <v>6791</v>
      </c>
      <c r="K1910" s="154" t="s">
        <v>11417</v>
      </c>
      <c r="L1910" s="154" t="s">
        <v>6905</v>
      </c>
      <c r="M1910" s="154"/>
      <c r="N1910" s="154" t="s">
        <v>759</v>
      </c>
      <c r="O1910" s="247" t="s">
        <v>516</v>
      </c>
      <c r="P1910" s="247" t="s">
        <v>6776</v>
      </c>
      <c r="Q1910" s="154" t="str">
        <f t="shared" si="1"/>
        <v>#ERROR!</v>
      </c>
      <c r="R1910" s="154" t="s">
        <v>66</v>
      </c>
      <c r="S1910" s="154" t="s">
        <v>66</v>
      </c>
      <c r="T1910" s="154" t="s">
        <v>66</v>
      </c>
      <c r="U1910" s="154" t="s">
        <v>66</v>
      </c>
      <c r="V1910" s="154" t="s">
        <v>66</v>
      </c>
      <c r="W1910" s="154" t="s">
        <v>66</v>
      </c>
      <c r="X1910" s="154" t="s">
        <v>66</v>
      </c>
      <c r="Y1910" s="154" t="s">
        <v>66</v>
      </c>
      <c r="Z1910" s="154" t="s">
        <v>66</v>
      </c>
      <c r="AA1910" s="154"/>
      <c r="AB1910" s="242" t="str">
        <f t="shared" si="2"/>
        <v>#ERROR!</v>
      </c>
      <c r="AC1910" s="154" t="s">
        <v>391</v>
      </c>
      <c r="AD1910" s="242" t="b">
        <f t="shared" si="3"/>
        <v>0</v>
      </c>
      <c r="AE1910" s="154"/>
      <c r="AF1910" s="242" t="str">
        <f t="shared" si="4"/>
        <v>#ERROR!</v>
      </c>
      <c r="AG1910" s="154"/>
      <c r="AH1910" s="242" t="str">
        <f>IF(AG1910="","N/A",INDIRECT("MTR!"&amp;ADDRESS(MATCH(LEFT(AG1910,9),[1]MTR!C:C,0),COLUMN(J1910)),TRUE) &amp; "")</f>
        <v>#ERROR!</v>
      </c>
      <c r="AI1910" s="157" t="str">
        <f t="shared" si="5"/>
        <v>#ERROR!</v>
      </c>
    </row>
    <row r="1911" ht="12.75" customHeight="1">
      <c r="A1911" s="244" t="s">
        <v>5158</v>
      </c>
      <c r="B1911" s="244" t="s">
        <v>231</v>
      </c>
      <c r="C1911" s="244" t="s">
        <v>11449</v>
      </c>
      <c r="D1911" s="154" t="s">
        <v>1315</v>
      </c>
      <c r="E1911" s="154"/>
      <c r="F1911" s="154" t="str">
        <f t="array" ref="F1911">XLOOKUP(Cover!$D$12,$R$1:$Z$1,$R1911:$Z1911)</f>
        <v>Information</v>
      </c>
      <c r="G1911" s="154" t="s">
        <v>11450</v>
      </c>
      <c r="H1911" s="154" t="s">
        <v>8295</v>
      </c>
      <c r="I1911" s="154" t="s">
        <v>11451</v>
      </c>
      <c r="J1911" s="154" t="s">
        <v>6797</v>
      </c>
      <c r="K1911" s="154" t="s">
        <v>11417</v>
      </c>
      <c r="L1911" s="154" t="s">
        <v>6905</v>
      </c>
      <c r="M1911" s="154"/>
      <c r="N1911" s="154" t="s">
        <v>759</v>
      </c>
      <c r="O1911" s="247" t="s">
        <v>516</v>
      </c>
      <c r="P1911" s="247" t="s">
        <v>6776</v>
      </c>
      <c r="Q1911" s="154" t="str">
        <f t="shared" si="1"/>
        <v>#ERROR!</v>
      </c>
      <c r="R1911" s="154" t="s">
        <v>66</v>
      </c>
      <c r="S1911" s="154" t="s">
        <v>66</v>
      </c>
      <c r="T1911" s="154" t="s">
        <v>66</v>
      </c>
      <c r="U1911" s="154" t="s">
        <v>66</v>
      </c>
      <c r="V1911" s="154" t="s">
        <v>66</v>
      </c>
      <c r="W1911" s="154" t="s">
        <v>66</v>
      </c>
      <c r="X1911" s="154" t="s">
        <v>66</v>
      </c>
      <c r="Y1911" s="154" t="s">
        <v>66</v>
      </c>
      <c r="Z1911" s="154" t="s">
        <v>66</v>
      </c>
      <c r="AA1911" s="154"/>
      <c r="AB1911" s="242" t="str">
        <f t="shared" si="2"/>
        <v>#ERROR!</v>
      </c>
      <c r="AC1911" s="154" t="s">
        <v>391</v>
      </c>
      <c r="AD1911" s="242" t="b">
        <f t="shared" si="3"/>
        <v>0</v>
      </c>
      <c r="AE1911" s="154"/>
      <c r="AF1911" s="242" t="str">
        <f t="shared" si="4"/>
        <v>#ERROR!</v>
      </c>
      <c r="AG1911" s="154"/>
      <c r="AH1911" s="242" t="str">
        <f>IF(AG1911="","N/A",INDIRECT("MTR!"&amp;ADDRESS(MATCH(LEFT(AG1911,9),[1]MTR!C:C,0),COLUMN(J1911)),TRUE) &amp; "")</f>
        <v>#ERROR!</v>
      </c>
      <c r="AI1911" s="157" t="str">
        <f t="shared" si="5"/>
        <v>#ERROR!</v>
      </c>
    </row>
    <row r="1912" ht="12.75" customHeight="1">
      <c r="A1912" s="244" t="s">
        <v>5158</v>
      </c>
      <c r="B1912" s="244" t="s">
        <v>231</v>
      </c>
      <c r="C1912" s="244" t="s">
        <v>11452</v>
      </c>
      <c r="D1912" s="154" t="s">
        <v>1315</v>
      </c>
      <c r="E1912" s="154"/>
      <c r="F1912" s="154" t="str">
        <f t="array" ref="F1912">XLOOKUP(Cover!$D$12,$R$1:$Z$1,$R1912:$Z1912)</f>
        <v>Information</v>
      </c>
      <c r="G1912" s="154" t="s">
        <v>11453</v>
      </c>
      <c r="H1912" s="154" t="s">
        <v>9002</v>
      </c>
      <c r="I1912" s="154" t="s">
        <v>11451</v>
      </c>
      <c r="J1912" s="154" t="s">
        <v>6797</v>
      </c>
      <c r="K1912" s="154" t="s">
        <v>11417</v>
      </c>
      <c r="L1912" s="154" t="s">
        <v>6905</v>
      </c>
      <c r="M1912" s="154"/>
      <c r="N1912" s="154" t="s">
        <v>759</v>
      </c>
      <c r="O1912" s="247" t="s">
        <v>516</v>
      </c>
      <c r="P1912" s="247" t="s">
        <v>6776</v>
      </c>
      <c r="Q1912" s="154" t="str">
        <f t="shared" si="1"/>
        <v>#ERROR!</v>
      </c>
      <c r="R1912" s="154" t="s">
        <v>66</v>
      </c>
      <c r="S1912" s="154" t="s">
        <v>66</v>
      </c>
      <c r="T1912" s="154" t="s">
        <v>66</v>
      </c>
      <c r="U1912" s="154" t="s">
        <v>66</v>
      </c>
      <c r="V1912" s="154" t="s">
        <v>66</v>
      </c>
      <c r="W1912" s="154" t="s">
        <v>66</v>
      </c>
      <c r="X1912" s="154" t="s">
        <v>66</v>
      </c>
      <c r="Y1912" s="154" t="s">
        <v>66</v>
      </c>
      <c r="Z1912" s="154" t="s">
        <v>66</v>
      </c>
      <c r="AA1912" s="154"/>
      <c r="AB1912" s="242" t="str">
        <f t="shared" si="2"/>
        <v>#ERROR!</v>
      </c>
      <c r="AC1912" s="154" t="s">
        <v>391</v>
      </c>
      <c r="AD1912" s="242" t="b">
        <f t="shared" si="3"/>
        <v>0</v>
      </c>
      <c r="AE1912" s="154"/>
      <c r="AF1912" s="242" t="str">
        <f t="shared" si="4"/>
        <v>#ERROR!</v>
      </c>
      <c r="AG1912" s="154"/>
      <c r="AH1912" s="242" t="str">
        <f>IF(AG1912="","N/A",INDIRECT("MTR!"&amp;ADDRESS(MATCH(LEFT(AG1912,9),[1]MTR!C:C,0),COLUMN(J1912)),TRUE) &amp; "")</f>
        <v>#ERROR!</v>
      </c>
      <c r="AI1912" s="157" t="str">
        <f t="shared" si="5"/>
        <v>#ERROR!</v>
      </c>
    </row>
    <row r="1913" ht="12.75" customHeight="1">
      <c r="A1913" s="244" t="s">
        <v>5158</v>
      </c>
      <c r="B1913" s="244" t="s">
        <v>231</v>
      </c>
      <c r="C1913" s="244" t="s">
        <v>11454</v>
      </c>
      <c r="D1913" s="154" t="s">
        <v>1315</v>
      </c>
      <c r="E1913" s="154"/>
      <c r="F1913" s="154" t="str">
        <f t="array" ref="F1913">XLOOKUP(Cover!$D$12,$R$1:$Z$1,$R1913:$Z1913)</f>
        <v>Information</v>
      </c>
      <c r="G1913" s="154" t="s">
        <v>11455</v>
      </c>
      <c r="H1913" s="154" t="s">
        <v>8302</v>
      </c>
      <c r="I1913" s="154" t="s">
        <v>11451</v>
      </c>
      <c r="J1913" s="154" t="s">
        <v>6797</v>
      </c>
      <c r="K1913" s="154" t="s">
        <v>11417</v>
      </c>
      <c r="L1913" s="154" t="s">
        <v>6905</v>
      </c>
      <c r="M1913" s="154"/>
      <c r="N1913" s="154" t="s">
        <v>759</v>
      </c>
      <c r="O1913" s="247" t="s">
        <v>516</v>
      </c>
      <c r="P1913" s="247" t="s">
        <v>6776</v>
      </c>
      <c r="Q1913" s="154" t="str">
        <f t="shared" si="1"/>
        <v>#ERROR!</v>
      </c>
      <c r="R1913" s="154" t="s">
        <v>66</v>
      </c>
      <c r="S1913" s="154" t="s">
        <v>66</v>
      </c>
      <c r="T1913" s="154" t="s">
        <v>66</v>
      </c>
      <c r="U1913" s="154" t="s">
        <v>66</v>
      </c>
      <c r="V1913" s="154" t="s">
        <v>66</v>
      </c>
      <c r="W1913" s="154" t="s">
        <v>66</v>
      </c>
      <c r="X1913" s="154" t="s">
        <v>66</v>
      </c>
      <c r="Y1913" s="154" t="s">
        <v>66</v>
      </c>
      <c r="Z1913" s="154" t="s">
        <v>66</v>
      </c>
      <c r="AA1913" s="154"/>
      <c r="AB1913" s="242" t="str">
        <f t="shared" si="2"/>
        <v>#ERROR!</v>
      </c>
      <c r="AC1913" s="154" t="s">
        <v>391</v>
      </c>
      <c r="AD1913" s="242" t="b">
        <f t="shared" si="3"/>
        <v>0</v>
      </c>
      <c r="AE1913" s="154"/>
      <c r="AF1913" s="242" t="str">
        <f t="shared" si="4"/>
        <v>#ERROR!</v>
      </c>
      <c r="AG1913" s="154"/>
      <c r="AH1913" s="242" t="str">
        <f>IF(AG1913="","N/A",INDIRECT("MTR!"&amp;ADDRESS(MATCH(LEFT(AG1913,9),[1]MTR!C:C,0),COLUMN(J1913)),TRUE) &amp; "")</f>
        <v>#ERROR!</v>
      </c>
      <c r="AI1913" s="157" t="str">
        <f t="shared" si="5"/>
        <v>#ERROR!</v>
      </c>
    </row>
    <row r="1914" ht="12.75" customHeight="1">
      <c r="A1914" s="244" t="s">
        <v>5158</v>
      </c>
      <c r="B1914" s="244" t="s">
        <v>231</v>
      </c>
      <c r="C1914" s="244" t="s">
        <v>11456</v>
      </c>
      <c r="D1914" s="154" t="s">
        <v>1315</v>
      </c>
      <c r="E1914" s="154"/>
      <c r="F1914" s="154" t="str">
        <f t="array" ref="F1914">XLOOKUP(Cover!$D$12,$R$1:$Z$1,$R1914:$Z1914)</f>
        <v>Information</v>
      </c>
      <c r="G1914" s="154" t="s">
        <v>11457</v>
      </c>
      <c r="H1914" s="154" t="s">
        <v>9009</v>
      </c>
      <c r="I1914" s="154" t="s">
        <v>11451</v>
      </c>
      <c r="J1914" s="154" t="s">
        <v>6797</v>
      </c>
      <c r="K1914" s="154" t="s">
        <v>11417</v>
      </c>
      <c r="L1914" s="154" t="s">
        <v>6905</v>
      </c>
      <c r="M1914" s="154"/>
      <c r="N1914" s="154" t="s">
        <v>759</v>
      </c>
      <c r="O1914" s="247" t="s">
        <v>516</v>
      </c>
      <c r="P1914" s="247" t="s">
        <v>6776</v>
      </c>
      <c r="Q1914" s="154" t="str">
        <f t="shared" si="1"/>
        <v>#ERROR!</v>
      </c>
      <c r="R1914" s="154" t="s">
        <v>66</v>
      </c>
      <c r="S1914" s="154" t="s">
        <v>66</v>
      </c>
      <c r="T1914" s="154" t="s">
        <v>66</v>
      </c>
      <c r="U1914" s="154" t="s">
        <v>66</v>
      </c>
      <c r="V1914" s="154" t="s">
        <v>66</v>
      </c>
      <c r="W1914" s="154" t="s">
        <v>66</v>
      </c>
      <c r="X1914" s="154" t="s">
        <v>66</v>
      </c>
      <c r="Y1914" s="154" t="s">
        <v>66</v>
      </c>
      <c r="Z1914" s="154" t="s">
        <v>66</v>
      </c>
      <c r="AA1914" s="154"/>
      <c r="AB1914" s="242" t="str">
        <f t="shared" si="2"/>
        <v>#ERROR!</v>
      </c>
      <c r="AC1914" s="154" t="s">
        <v>391</v>
      </c>
      <c r="AD1914" s="242" t="b">
        <f t="shared" si="3"/>
        <v>0</v>
      </c>
      <c r="AE1914" s="154"/>
      <c r="AF1914" s="242" t="str">
        <f t="shared" si="4"/>
        <v>#ERROR!</v>
      </c>
      <c r="AG1914" s="154"/>
      <c r="AH1914" s="242" t="str">
        <f>IF(AG1914="","N/A",INDIRECT("MTR!"&amp;ADDRESS(MATCH(LEFT(AG1914,9),[1]MTR!C:C,0),COLUMN(J1914)),TRUE) &amp; "")</f>
        <v>#ERROR!</v>
      </c>
      <c r="AI1914" s="157" t="str">
        <f t="shared" si="5"/>
        <v>#ERROR!</v>
      </c>
    </row>
    <row r="1915" ht="12.75" customHeight="1">
      <c r="A1915" s="244" t="s">
        <v>5158</v>
      </c>
      <c r="B1915" s="244" t="s">
        <v>231</v>
      </c>
      <c r="C1915" s="244" t="s">
        <v>11458</v>
      </c>
      <c r="D1915" s="154" t="s">
        <v>1315</v>
      </c>
      <c r="E1915" s="154"/>
      <c r="F1915" s="154" t="str">
        <f t="array" ref="F1915">XLOOKUP(Cover!$D$12,$R$1:$Z$1,$R1915:$Z1915)</f>
        <v>Information</v>
      </c>
      <c r="G1915" s="154" t="s">
        <v>11459</v>
      </c>
      <c r="H1915" s="154" t="s">
        <v>8295</v>
      </c>
      <c r="I1915" s="154" t="s">
        <v>11460</v>
      </c>
      <c r="J1915" s="154" t="s">
        <v>6803</v>
      </c>
      <c r="K1915" s="154" t="s">
        <v>11417</v>
      </c>
      <c r="L1915" s="154" t="s">
        <v>6905</v>
      </c>
      <c r="M1915" s="154"/>
      <c r="N1915" s="154" t="s">
        <v>759</v>
      </c>
      <c r="O1915" s="247" t="s">
        <v>516</v>
      </c>
      <c r="P1915" s="247" t="s">
        <v>6776</v>
      </c>
      <c r="Q1915" s="154" t="str">
        <f t="shared" si="1"/>
        <v>#ERROR!</v>
      </c>
      <c r="R1915" s="154" t="s">
        <v>66</v>
      </c>
      <c r="S1915" s="154" t="s">
        <v>66</v>
      </c>
      <c r="T1915" s="154" t="s">
        <v>66</v>
      </c>
      <c r="U1915" s="154" t="s">
        <v>66</v>
      </c>
      <c r="V1915" s="154" t="s">
        <v>66</v>
      </c>
      <c r="W1915" s="154" t="s">
        <v>66</v>
      </c>
      <c r="X1915" s="154" t="s">
        <v>66</v>
      </c>
      <c r="Y1915" s="154" t="s">
        <v>66</v>
      </c>
      <c r="Z1915" s="154" t="s">
        <v>66</v>
      </c>
      <c r="AA1915" s="154"/>
      <c r="AB1915" s="242" t="str">
        <f t="shared" si="2"/>
        <v>#ERROR!</v>
      </c>
      <c r="AC1915" s="154" t="s">
        <v>391</v>
      </c>
      <c r="AD1915" s="242" t="b">
        <f t="shared" si="3"/>
        <v>0</v>
      </c>
      <c r="AE1915" s="154"/>
      <c r="AF1915" s="242" t="str">
        <f t="shared" si="4"/>
        <v>#ERROR!</v>
      </c>
      <c r="AG1915" s="154"/>
      <c r="AH1915" s="242" t="str">
        <f>IF(AG1915="","N/A",INDIRECT("MTR!"&amp;ADDRESS(MATCH(LEFT(AG1915,9),[1]MTR!C:C,0),COLUMN(J1915)),TRUE) &amp; "")</f>
        <v>#ERROR!</v>
      </c>
      <c r="AI1915" s="157" t="str">
        <f t="shared" si="5"/>
        <v>#ERROR!</v>
      </c>
    </row>
    <row r="1916" ht="12.75" customHeight="1">
      <c r="A1916" s="244" t="s">
        <v>5158</v>
      </c>
      <c r="B1916" s="244" t="s">
        <v>231</v>
      </c>
      <c r="C1916" s="244" t="s">
        <v>11461</v>
      </c>
      <c r="D1916" s="154" t="s">
        <v>1315</v>
      </c>
      <c r="E1916" s="154"/>
      <c r="F1916" s="154" t="str">
        <f t="array" ref="F1916">XLOOKUP(Cover!$D$12,$R$1:$Z$1,$R1916:$Z1916)</f>
        <v>Information</v>
      </c>
      <c r="G1916" s="154" t="s">
        <v>11462</v>
      </c>
      <c r="H1916" s="154" t="s">
        <v>9002</v>
      </c>
      <c r="I1916" s="154" t="s">
        <v>11460</v>
      </c>
      <c r="J1916" s="154" t="s">
        <v>6803</v>
      </c>
      <c r="K1916" s="154" t="s">
        <v>11417</v>
      </c>
      <c r="L1916" s="154" t="s">
        <v>6905</v>
      </c>
      <c r="M1916" s="154"/>
      <c r="N1916" s="154" t="s">
        <v>759</v>
      </c>
      <c r="O1916" s="247" t="s">
        <v>516</v>
      </c>
      <c r="P1916" s="247" t="s">
        <v>6776</v>
      </c>
      <c r="Q1916" s="154" t="str">
        <f t="shared" si="1"/>
        <v>#ERROR!</v>
      </c>
      <c r="R1916" s="154" t="s">
        <v>66</v>
      </c>
      <c r="S1916" s="154" t="s">
        <v>66</v>
      </c>
      <c r="T1916" s="154" t="s">
        <v>66</v>
      </c>
      <c r="U1916" s="154" t="s">
        <v>66</v>
      </c>
      <c r="V1916" s="154" t="s">
        <v>66</v>
      </c>
      <c r="W1916" s="154" t="s">
        <v>66</v>
      </c>
      <c r="X1916" s="154" t="s">
        <v>66</v>
      </c>
      <c r="Y1916" s="154" t="s">
        <v>66</v>
      </c>
      <c r="Z1916" s="154" t="s">
        <v>66</v>
      </c>
      <c r="AA1916" s="154"/>
      <c r="AB1916" s="242" t="str">
        <f t="shared" si="2"/>
        <v>#ERROR!</v>
      </c>
      <c r="AC1916" s="154" t="s">
        <v>391</v>
      </c>
      <c r="AD1916" s="242" t="b">
        <f t="shared" si="3"/>
        <v>0</v>
      </c>
      <c r="AE1916" s="154"/>
      <c r="AF1916" s="242" t="str">
        <f t="shared" si="4"/>
        <v>#ERROR!</v>
      </c>
      <c r="AG1916" s="154"/>
      <c r="AH1916" s="242" t="str">
        <f>IF(AG1916="","N/A",INDIRECT("MTR!"&amp;ADDRESS(MATCH(LEFT(AG1916,9),[1]MTR!C:C,0),COLUMN(J1916)),TRUE) &amp; "")</f>
        <v>#ERROR!</v>
      </c>
      <c r="AI1916" s="157" t="str">
        <f t="shared" si="5"/>
        <v>#ERROR!</v>
      </c>
    </row>
    <row r="1917" ht="12.75" customHeight="1">
      <c r="A1917" s="244" t="s">
        <v>5158</v>
      </c>
      <c r="B1917" s="244" t="s">
        <v>231</v>
      </c>
      <c r="C1917" s="244" t="s">
        <v>11463</v>
      </c>
      <c r="D1917" s="154" t="s">
        <v>1315</v>
      </c>
      <c r="E1917" s="154"/>
      <c r="F1917" s="154" t="str">
        <f t="array" ref="F1917">XLOOKUP(Cover!$D$12,$R$1:$Z$1,$R1917:$Z1917)</f>
        <v>Information</v>
      </c>
      <c r="G1917" s="154" t="s">
        <v>11464</v>
      </c>
      <c r="H1917" s="154" t="s">
        <v>8305</v>
      </c>
      <c r="I1917" s="154" t="s">
        <v>11460</v>
      </c>
      <c r="J1917" s="154" t="s">
        <v>6803</v>
      </c>
      <c r="K1917" s="154" t="s">
        <v>11417</v>
      </c>
      <c r="L1917" s="154" t="s">
        <v>6905</v>
      </c>
      <c r="M1917" s="154"/>
      <c r="N1917" s="154" t="s">
        <v>759</v>
      </c>
      <c r="O1917" s="247" t="s">
        <v>516</v>
      </c>
      <c r="P1917" s="247" t="s">
        <v>6776</v>
      </c>
      <c r="Q1917" s="154" t="str">
        <f t="shared" si="1"/>
        <v>#ERROR!</v>
      </c>
      <c r="R1917" s="154" t="s">
        <v>66</v>
      </c>
      <c r="S1917" s="154" t="s">
        <v>66</v>
      </c>
      <c r="T1917" s="154" t="s">
        <v>66</v>
      </c>
      <c r="U1917" s="154" t="s">
        <v>66</v>
      </c>
      <c r="V1917" s="154" t="s">
        <v>66</v>
      </c>
      <c r="W1917" s="154" t="s">
        <v>66</v>
      </c>
      <c r="X1917" s="154" t="s">
        <v>66</v>
      </c>
      <c r="Y1917" s="154" t="s">
        <v>66</v>
      </c>
      <c r="Z1917" s="154" t="s">
        <v>66</v>
      </c>
      <c r="AA1917" s="154"/>
      <c r="AB1917" s="242" t="str">
        <f t="shared" si="2"/>
        <v>#ERROR!</v>
      </c>
      <c r="AC1917" s="154" t="s">
        <v>391</v>
      </c>
      <c r="AD1917" s="242" t="b">
        <f t="shared" si="3"/>
        <v>0</v>
      </c>
      <c r="AE1917" s="154"/>
      <c r="AF1917" s="242" t="str">
        <f t="shared" si="4"/>
        <v>#ERROR!</v>
      </c>
      <c r="AG1917" s="154"/>
      <c r="AH1917" s="242" t="str">
        <f>IF(AG1917="","N/A",INDIRECT("MTR!"&amp;ADDRESS(MATCH(LEFT(AG1917,9),[1]MTR!C:C,0),COLUMN(J1917)),TRUE) &amp; "")</f>
        <v>#ERROR!</v>
      </c>
      <c r="AI1917" s="157" t="str">
        <f t="shared" si="5"/>
        <v>#ERROR!</v>
      </c>
    </row>
    <row r="1918" ht="12.75" customHeight="1">
      <c r="A1918" s="244" t="s">
        <v>5158</v>
      </c>
      <c r="B1918" s="244" t="s">
        <v>231</v>
      </c>
      <c r="C1918" s="244" t="s">
        <v>11465</v>
      </c>
      <c r="D1918" s="154" t="s">
        <v>1315</v>
      </c>
      <c r="E1918" s="154"/>
      <c r="F1918" s="154" t="str">
        <f t="array" ref="F1918">XLOOKUP(Cover!$D$12,$R$1:$Z$1,$R1918:$Z1918)</f>
        <v>Information</v>
      </c>
      <c r="G1918" s="154" t="s">
        <v>11466</v>
      </c>
      <c r="H1918" s="154" t="s">
        <v>9015</v>
      </c>
      <c r="I1918" s="154" t="s">
        <v>11460</v>
      </c>
      <c r="J1918" s="154" t="s">
        <v>6803</v>
      </c>
      <c r="K1918" s="154" t="s">
        <v>11417</v>
      </c>
      <c r="L1918" s="154" t="s">
        <v>6905</v>
      </c>
      <c r="M1918" s="154"/>
      <c r="N1918" s="154" t="s">
        <v>759</v>
      </c>
      <c r="O1918" s="247" t="s">
        <v>516</v>
      </c>
      <c r="P1918" s="247" t="s">
        <v>6776</v>
      </c>
      <c r="Q1918" s="154" t="str">
        <f t="shared" si="1"/>
        <v>#ERROR!</v>
      </c>
      <c r="R1918" s="154" t="s">
        <v>66</v>
      </c>
      <c r="S1918" s="154" t="s">
        <v>66</v>
      </c>
      <c r="T1918" s="154" t="s">
        <v>66</v>
      </c>
      <c r="U1918" s="154" t="s">
        <v>66</v>
      </c>
      <c r="V1918" s="154" t="s">
        <v>66</v>
      </c>
      <c r="W1918" s="154" t="s">
        <v>66</v>
      </c>
      <c r="X1918" s="154" t="s">
        <v>66</v>
      </c>
      <c r="Y1918" s="154" t="s">
        <v>66</v>
      </c>
      <c r="Z1918" s="154" t="s">
        <v>66</v>
      </c>
      <c r="AA1918" s="154"/>
      <c r="AB1918" s="242" t="str">
        <f t="shared" si="2"/>
        <v>#ERROR!</v>
      </c>
      <c r="AC1918" s="154" t="s">
        <v>391</v>
      </c>
      <c r="AD1918" s="242" t="b">
        <f t="shared" si="3"/>
        <v>0</v>
      </c>
      <c r="AE1918" s="154"/>
      <c r="AF1918" s="242" t="str">
        <f t="shared" si="4"/>
        <v>#ERROR!</v>
      </c>
      <c r="AG1918" s="154"/>
      <c r="AH1918" s="242" t="str">
        <f>IF(AG1918="","N/A",INDIRECT("MTR!"&amp;ADDRESS(MATCH(LEFT(AG1918,9),[1]MTR!C:C,0),COLUMN(J1918)),TRUE) &amp; "")</f>
        <v>#ERROR!</v>
      </c>
      <c r="AI1918" s="157" t="str">
        <f t="shared" si="5"/>
        <v>#ERROR!</v>
      </c>
    </row>
    <row r="1919" ht="12.75" customHeight="1">
      <c r="A1919" s="244" t="s">
        <v>5158</v>
      </c>
      <c r="B1919" s="244" t="s">
        <v>231</v>
      </c>
      <c r="C1919" s="244" t="s">
        <v>11467</v>
      </c>
      <c r="D1919" s="154" t="s">
        <v>1315</v>
      </c>
      <c r="E1919" s="154"/>
      <c r="F1919" s="154" t="str">
        <f t="array" ref="F1919">XLOOKUP(Cover!$D$12,$R$1:$Z$1,$R1919:$Z1919)</f>
        <v>Information</v>
      </c>
      <c r="G1919" s="154" t="s">
        <v>11468</v>
      </c>
      <c r="H1919" s="154" t="s">
        <v>8299</v>
      </c>
      <c r="I1919" s="154" t="s">
        <v>11469</v>
      </c>
      <c r="J1919" s="154" t="s">
        <v>6815</v>
      </c>
      <c r="K1919" s="154" t="s">
        <v>11417</v>
      </c>
      <c r="L1919" s="154" t="s">
        <v>6905</v>
      </c>
      <c r="M1919" s="154"/>
      <c r="N1919" s="154" t="s">
        <v>759</v>
      </c>
      <c r="O1919" s="247" t="s">
        <v>445</v>
      </c>
      <c r="P1919" s="247" t="s">
        <v>6772</v>
      </c>
      <c r="Q1919" s="154" t="str">
        <f t="shared" si="1"/>
        <v>#ERROR!</v>
      </c>
      <c r="R1919" s="154" t="s">
        <v>66</v>
      </c>
      <c r="S1919" s="154" t="s">
        <v>66</v>
      </c>
      <c r="T1919" s="154" t="s">
        <v>66</v>
      </c>
      <c r="U1919" s="154" t="s">
        <v>66</v>
      </c>
      <c r="V1919" s="154" t="s">
        <v>66</v>
      </c>
      <c r="W1919" s="154" t="s">
        <v>66</v>
      </c>
      <c r="X1919" s="154" t="s">
        <v>66</v>
      </c>
      <c r="Y1919" s="154" t="s">
        <v>66</v>
      </c>
      <c r="Z1919" s="154" t="s">
        <v>66</v>
      </c>
      <c r="AA1919" s="154"/>
      <c r="AB1919" s="242" t="str">
        <f t="shared" si="2"/>
        <v>#ERROR!</v>
      </c>
      <c r="AC1919" s="154" t="s">
        <v>391</v>
      </c>
      <c r="AD1919" s="242" t="b">
        <f t="shared" si="3"/>
        <v>0</v>
      </c>
      <c r="AE1919" s="154"/>
      <c r="AF1919" s="242" t="str">
        <f t="shared" si="4"/>
        <v>#ERROR!</v>
      </c>
      <c r="AG1919" s="154"/>
      <c r="AH1919" s="242" t="str">
        <f>IF(AG1919="","N/A",INDIRECT("MTR!"&amp;ADDRESS(MATCH(LEFT(AG1919,9),[1]MTR!C:C,0),COLUMN(J1919)),TRUE) &amp; "")</f>
        <v>#ERROR!</v>
      </c>
      <c r="AI1919" s="157" t="str">
        <f t="shared" si="5"/>
        <v>#ERROR!</v>
      </c>
    </row>
    <row r="1920" ht="12.75" customHeight="1">
      <c r="A1920" s="244" t="s">
        <v>5158</v>
      </c>
      <c r="B1920" s="244" t="s">
        <v>231</v>
      </c>
      <c r="C1920" s="244" t="s">
        <v>11470</v>
      </c>
      <c r="D1920" s="154" t="s">
        <v>1315</v>
      </c>
      <c r="E1920" s="154"/>
      <c r="F1920" s="154" t="str">
        <f t="array" ref="F1920">XLOOKUP(Cover!$D$12,$R$1:$Z$1,$R1920:$Z1920)</f>
        <v>Information</v>
      </c>
      <c r="G1920" s="154" t="s">
        <v>11471</v>
      </c>
      <c r="H1920" s="154" t="s">
        <v>9006</v>
      </c>
      <c r="I1920" s="154" t="s">
        <v>11469</v>
      </c>
      <c r="J1920" s="154" t="s">
        <v>6815</v>
      </c>
      <c r="K1920" s="154" t="s">
        <v>11417</v>
      </c>
      <c r="L1920" s="154" t="s">
        <v>6905</v>
      </c>
      <c r="M1920" s="154"/>
      <c r="N1920" s="154" t="s">
        <v>759</v>
      </c>
      <c r="O1920" s="247" t="s">
        <v>445</v>
      </c>
      <c r="P1920" s="247" t="s">
        <v>6772</v>
      </c>
      <c r="Q1920" s="154" t="str">
        <f t="shared" si="1"/>
        <v>#ERROR!</v>
      </c>
      <c r="R1920" s="154" t="s">
        <v>66</v>
      </c>
      <c r="S1920" s="154" t="s">
        <v>66</v>
      </c>
      <c r="T1920" s="154" t="s">
        <v>66</v>
      </c>
      <c r="U1920" s="154" t="s">
        <v>66</v>
      </c>
      <c r="V1920" s="154" t="s">
        <v>66</v>
      </c>
      <c r="W1920" s="154" t="s">
        <v>66</v>
      </c>
      <c r="X1920" s="154" t="s">
        <v>66</v>
      </c>
      <c r="Y1920" s="154" t="s">
        <v>66</v>
      </c>
      <c r="Z1920" s="154" t="s">
        <v>66</v>
      </c>
      <c r="AA1920" s="154"/>
      <c r="AB1920" s="242" t="str">
        <f t="shared" si="2"/>
        <v>#ERROR!</v>
      </c>
      <c r="AC1920" s="154" t="s">
        <v>391</v>
      </c>
      <c r="AD1920" s="242" t="b">
        <f t="shared" si="3"/>
        <v>0</v>
      </c>
      <c r="AE1920" s="154"/>
      <c r="AF1920" s="242" t="str">
        <f t="shared" si="4"/>
        <v>#ERROR!</v>
      </c>
      <c r="AG1920" s="154"/>
      <c r="AH1920" s="242" t="str">
        <f>IF(AG1920="","N/A",INDIRECT("MTR!"&amp;ADDRESS(MATCH(LEFT(AG1920,9),[1]MTR!C:C,0),COLUMN(J1920)),TRUE) &amp; "")</f>
        <v>#ERROR!</v>
      </c>
      <c r="AI1920" s="157" t="str">
        <f t="shared" si="5"/>
        <v>#ERROR!</v>
      </c>
    </row>
    <row r="1921" ht="12.75" customHeight="1">
      <c r="A1921" s="244" t="s">
        <v>5158</v>
      </c>
      <c r="B1921" s="244" t="s">
        <v>231</v>
      </c>
      <c r="C1921" s="244" t="s">
        <v>11472</v>
      </c>
      <c r="D1921" s="154" t="s">
        <v>1315</v>
      </c>
      <c r="E1921" s="154"/>
      <c r="F1921" s="154" t="str">
        <f t="array" ref="F1921">XLOOKUP(Cover!$D$12,$R$1:$Z$1,$R1921:$Z1921)</f>
        <v>Information</v>
      </c>
      <c r="G1921" s="154" t="s">
        <v>11473</v>
      </c>
      <c r="H1921" s="154" t="s">
        <v>8299</v>
      </c>
      <c r="I1921" s="154" t="s">
        <v>11474</v>
      </c>
      <c r="J1921" s="154" t="s">
        <v>6819</v>
      </c>
      <c r="K1921" s="154" t="s">
        <v>11417</v>
      </c>
      <c r="L1921" s="154" t="s">
        <v>6905</v>
      </c>
      <c r="M1921" s="154"/>
      <c r="N1921" s="154" t="s">
        <v>759</v>
      </c>
      <c r="O1921" s="247" t="s">
        <v>516</v>
      </c>
      <c r="P1921" s="247" t="s">
        <v>6776</v>
      </c>
      <c r="Q1921" s="154" t="str">
        <f t="shared" si="1"/>
        <v>#ERROR!</v>
      </c>
      <c r="R1921" s="154" t="s">
        <v>66</v>
      </c>
      <c r="S1921" s="154" t="s">
        <v>66</v>
      </c>
      <c r="T1921" s="154" t="s">
        <v>66</v>
      </c>
      <c r="U1921" s="154" t="s">
        <v>66</v>
      </c>
      <c r="V1921" s="154" t="s">
        <v>66</v>
      </c>
      <c r="W1921" s="154" t="s">
        <v>66</v>
      </c>
      <c r="X1921" s="154" t="s">
        <v>66</v>
      </c>
      <c r="Y1921" s="154" t="s">
        <v>66</v>
      </c>
      <c r="Z1921" s="154" t="s">
        <v>66</v>
      </c>
      <c r="AA1921" s="154"/>
      <c r="AB1921" s="242" t="str">
        <f t="shared" si="2"/>
        <v>#ERROR!</v>
      </c>
      <c r="AC1921" s="154" t="s">
        <v>391</v>
      </c>
      <c r="AD1921" s="242" t="b">
        <f t="shared" si="3"/>
        <v>0</v>
      </c>
      <c r="AE1921" s="154"/>
      <c r="AF1921" s="242" t="str">
        <f t="shared" si="4"/>
        <v>#ERROR!</v>
      </c>
      <c r="AG1921" s="154"/>
      <c r="AH1921" s="242" t="str">
        <f>IF(AG1921="","N/A",INDIRECT("MTR!"&amp;ADDRESS(MATCH(LEFT(AG1921,9),[1]MTR!C:C,0),COLUMN(J1921)),TRUE) &amp; "")</f>
        <v>#ERROR!</v>
      </c>
      <c r="AI1921" s="157" t="str">
        <f t="shared" si="5"/>
        <v>#ERROR!</v>
      </c>
    </row>
    <row r="1922" ht="12.75" customHeight="1">
      <c r="A1922" s="244" t="s">
        <v>5158</v>
      </c>
      <c r="B1922" s="244" t="s">
        <v>231</v>
      </c>
      <c r="C1922" s="244" t="s">
        <v>11475</v>
      </c>
      <c r="D1922" s="154" t="s">
        <v>1315</v>
      </c>
      <c r="E1922" s="154"/>
      <c r="F1922" s="154" t="str">
        <f t="array" ref="F1922">XLOOKUP(Cover!$D$12,$R$1:$Z$1,$R1922:$Z1922)</f>
        <v>Information</v>
      </c>
      <c r="G1922" s="154" t="s">
        <v>11476</v>
      </c>
      <c r="H1922" s="154" t="s">
        <v>9006</v>
      </c>
      <c r="I1922" s="154" t="s">
        <v>11474</v>
      </c>
      <c r="J1922" s="154" t="s">
        <v>6819</v>
      </c>
      <c r="K1922" s="154" t="s">
        <v>11417</v>
      </c>
      <c r="L1922" s="154" t="s">
        <v>6905</v>
      </c>
      <c r="M1922" s="154"/>
      <c r="N1922" s="154" t="s">
        <v>759</v>
      </c>
      <c r="O1922" s="247" t="s">
        <v>516</v>
      </c>
      <c r="P1922" s="247" t="s">
        <v>6776</v>
      </c>
      <c r="Q1922" s="154" t="str">
        <f t="shared" si="1"/>
        <v>#ERROR!</v>
      </c>
      <c r="R1922" s="154" t="s">
        <v>66</v>
      </c>
      <c r="S1922" s="154" t="s">
        <v>66</v>
      </c>
      <c r="T1922" s="154" t="s">
        <v>66</v>
      </c>
      <c r="U1922" s="154" t="s">
        <v>66</v>
      </c>
      <c r="V1922" s="154" t="s">
        <v>66</v>
      </c>
      <c r="W1922" s="154" t="s">
        <v>66</v>
      </c>
      <c r="X1922" s="154" t="s">
        <v>66</v>
      </c>
      <c r="Y1922" s="154" t="s">
        <v>66</v>
      </c>
      <c r="Z1922" s="154" t="s">
        <v>66</v>
      </c>
      <c r="AA1922" s="154"/>
      <c r="AB1922" s="242" t="str">
        <f t="shared" si="2"/>
        <v>#ERROR!</v>
      </c>
      <c r="AC1922" s="154" t="s">
        <v>391</v>
      </c>
      <c r="AD1922" s="242" t="b">
        <f t="shared" si="3"/>
        <v>0</v>
      </c>
      <c r="AE1922" s="154"/>
      <c r="AF1922" s="242" t="str">
        <f t="shared" si="4"/>
        <v>#ERROR!</v>
      </c>
      <c r="AG1922" s="154"/>
      <c r="AH1922" s="242" t="str">
        <f>IF(AG1922="","N/A",INDIRECT("MTR!"&amp;ADDRESS(MATCH(LEFT(AG1922,9),[1]MTR!C:C,0),COLUMN(J1922)),TRUE) &amp; "")</f>
        <v>#ERROR!</v>
      </c>
      <c r="AI1922" s="157" t="str">
        <f t="shared" si="5"/>
        <v>#ERROR!</v>
      </c>
    </row>
    <row r="1923" ht="12.75" customHeight="1">
      <c r="A1923" s="244" t="s">
        <v>5158</v>
      </c>
      <c r="B1923" s="244" t="s">
        <v>231</v>
      </c>
      <c r="C1923" s="244" t="s">
        <v>11477</v>
      </c>
      <c r="D1923" s="154" t="s">
        <v>1315</v>
      </c>
      <c r="E1923" s="154"/>
      <c r="F1923" s="154" t="str">
        <f t="array" ref="F1923">XLOOKUP(Cover!$D$12,$R$1:$Z$1,$R1923:$Z1923)</f>
        <v>Information</v>
      </c>
      <c r="G1923" s="154" t="s">
        <v>11478</v>
      </c>
      <c r="H1923" s="154" t="s">
        <v>8302</v>
      </c>
      <c r="I1923" s="154" t="s">
        <v>11474</v>
      </c>
      <c r="J1923" s="154" t="s">
        <v>6819</v>
      </c>
      <c r="K1923" s="154" t="s">
        <v>11417</v>
      </c>
      <c r="L1923" s="154" t="s">
        <v>6905</v>
      </c>
      <c r="M1923" s="154"/>
      <c r="N1923" s="154" t="s">
        <v>759</v>
      </c>
      <c r="O1923" s="247" t="s">
        <v>516</v>
      </c>
      <c r="P1923" s="247" t="s">
        <v>6776</v>
      </c>
      <c r="Q1923" s="154" t="str">
        <f t="shared" si="1"/>
        <v>#ERROR!</v>
      </c>
      <c r="R1923" s="154" t="s">
        <v>66</v>
      </c>
      <c r="S1923" s="154" t="s">
        <v>66</v>
      </c>
      <c r="T1923" s="154" t="s">
        <v>66</v>
      </c>
      <c r="U1923" s="154" t="s">
        <v>66</v>
      </c>
      <c r="V1923" s="154" t="s">
        <v>66</v>
      </c>
      <c r="W1923" s="154" t="s">
        <v>66</v>
      </c>
      <c r="X1923" s="154" t="s">
        <v>66</v>
      </c>
      <c r="Y1923" s="154" t="s">
        <v>66</v>
      </c>
      <c r="Z1923" s="154" t="s">
        <v>66</v>
      </c>
      <c r="AA1923" s="154"/>
      <c r="AB1923" s="242" t="str">
        <f t="shared" si="2"/>
        <v>#ERROR!</v>
      </c>
      <c r="AC1923" s="154" t="s">
        <v>391</v>
      </c>
      <c r="AD1923" s="242" t="b">
        <f t="shared" si="3"/>
        <v>0</v>
      </c>
      <c r="AE1923" s="154"/>
      <c r="AF1923" s="242" t="str">
        <f t="shared" si="4"/>
        <v>#ERROR!</v>
      </c>
      <c r="AG1923" s="154"/>
      <c r="AH1923" s="242" t="str">
        <f>IF(AG1923="","N/A",INDIRECT("MTR!"&amp;ADDRESS(MATCH(LEFT(AG1923,9),[1]MTR!C:C,0),COLUMN(J1923)),TRUE) &amp; "")</f>
        <v>#ERROR!</v>
      </c>
      <c r="AI1923" s="157" t="str">
        <f t="shared" si="5"/>
        <v>#ERROR!</v>
      </c>
    </row>
    <row r="1924" ht="12.75" customHeight="1">
      <c r="A1924" s="244" t="s">
        <v>5158</v>
      </c>
      <c r="B1924" s="244" t="s">
        <v>231</v>
      </c>
      <c r="C1924" s="244" t="s">
        <v>11479</v>
      </c>
      <c r="D1924" s="154" t="s">
        <v>1315</v>
      </c>
      <c r="E1924" s="154"/>
      <c r="F1924" s="154" t="str">
        <f t="array" ref="F1924">XLOOKUP(Cover!$D$12,$R$1:$Z$1,$R1924:$Z1924)</f>
        <v>Information</v>
      </c>
      <c r="G1924" s="154" t="s">
        <v>11480</v>
      </c>
      <c r="H1924" s="154" t="s">
        <v>9009</v>
      </c>
      <c r="I1924" s="154" t="s">
        <v>11474</v>
      </c>
      <c r="J1924" s="154" t="s">
        <v>6819</v>
      </c>
      <c r="K1924" s="154" t="s">
        <v>11417</v>
      </c>
      <c r="L1924" s="154" t="s">
        <v>6905</v>
      </c>
      <c r="M1924" s="154"/>
      <c r="N1924" s="154" t="s">
        <v>759</v>
      </c>
      <c r="O1924" s="247" t="s">
        <v>516</v>
      </c>
      <c r="P1924" s="247" t="s">
        <v>6776</v>
      </c>
      <c r="Q1924" s="154" t="str">
        <f t="shared" si="1"/>
        <v>#ERROR!</v>
      </c>
      <c r="R1924" s="154" t="s">
        <v>66</v>
      </c>
      <c r="S1924" s="154" t="s">
        <v>66</v>
      </c>
      <c r="T1924" s="154" t="s">
        <v>66</v>
      </c>
      <c r="U1924" s="154" t="s">
        <v>66</v>
      </c>
      <c r="V1924" s="154" t="s">
        <v>66</v>
      </c>
      <c r="W1924" s="154" t="s">
        <v>66</v>
      </c>
      <c r="X1924" s="154" t="s">
        <v>66</v>
      </c>
      <c r="Y1924" s="154" t="s">
        <v>66</v>
      </c>
      <c r="Z1924" s="154" t="s">
        <v>66</v>
      </c>
      <c r="AA1924" s="154"/>
      <c r="AB1924" s="242" t="str">
        <f t="shared" si="2"/>
        <v>#ERROR!</v>
      </c>
      <c r="AC1924" s="154" t="s">
        <v>391</v>
      </c>
      <c r="AD1924" s="242" t="b">
        <f t="shared" si="3"/>
        <v>0</v>
      </c>
      <c r="AE1924" s="154"/>
      <c r="AF1924" s="242" t="str">
        <f t="shared" si="4"/>
        <v>#ERROR!</v>
      </c>
      <c r="AG1924" s="154"/>
      <c r="AH1924" s="242" t="str">
        <f>IF(AG1924="","N/A",INDIRECT("MTR!"&amp;ADDRESS(MATCH(LEFT(AG1924,9),[1]MTR!C:C,0),COLUMN(J1924)),TRUE) &amp; "")</f>
        <v>#ERROR!</v>
      </c>
      <c r="AI1924" s="157" t="str">
        <f t="shared" si="5"/>
        <v>#ERROR!</v>
      </c>
    </row>
    <row r="1925" ht="12.75" customHeight="1">
      <c r="A1925" s="244" t="s">
        <v>5158</v>
      </c>
      <c r="B1925" s="244" t="s">
        <v>231</v>
      </c>
      <c r="C1925" s="244" t="s">
        <v>11481</v>
      </c>
      <c r="D1925" s="154" t="s">
        <v>1315</v>
      </c>
      <c r="E1925" s="154"/>
      <c r="F1925" s="154" t="str">
        <f t="array" ref="F1925">XLOOKUP(Cover!$D$12,$R$1:$Z$1,$R1925:$Z1925)</f>
        <v>Information</v>
      </c>
      <c r="G1925" s="154" t="s">
        <v>11482</v>
      </c>
      <c r="H1925" s="154" t="s">
        <v>8299</v>
      </c>
      <c r="I1925" s="154" t="s">
        <v>11483</v>
      </c>
      <c r="J1925" s="154" t="s">
        <v>6832</v>
      </c>
      <c r="K1925" s="154" t="s">
        <v>11417</v>
      </c>
      <c r="L1925" s="154" t="s">
        <v>6905</v>
      </c>
      <c r="M1925" s="154"/>
      <c r="N1925" s="154" t="s">
        <v>759</v>
      </c>
      <c r="O1925" s="247" t="s">
        <v>516</v>
      </c>
      <c r="P1925" s="247" t="s">
        <v>6776</v>
      </c>
      <c r="Q1925" s="154" t="str">
        <f t="shared" si="1"/>
        <v>#ERROR!</v>
      </c>
      <c r="R1925" s="154" t="s">
        <v>66</v>
      </c>
      <c r="S1925" s="154" t="s">
        <v>66</v>
      </c>
      <c r="T1925" s="154" t="s">
        <v>66</v>
      </c>
      <c r="U1925" s="154" t="s">
        <v>66</v>
      </c>
      <c r="V1925" s="154" t="s">
        <v>66</v>
      </c>
      <c r="W1925" s="154" t="s">
        <v>66</v>
      </c>
      <c r="X1925" s="154" t="s">
        <v>66</v>
      </c>
      <c r="Y1925" s="154" t="s">
        <v>66</v>
      </c>
      <c r="Z1925" s="154" t="s">
        <v>66</v>
      </c>
      <c r="AA1925" s="154"/>
      <c r="AB1925" s="242" t="str">
        <f t="shared" si="2"/>
        <v>#ERROR!</v>
      </c>
      <c r="AC1925" s="154" t="s">
        <v>391</v>
      </c>
      <c r="AD1925" s="242" t="b">
        <f t="shared" si="3"/>
        <v>0</v>
      </c>
      <c r="AE1925" s="154"/>
      <c r="AF1925" s="242" t="str">
        <f t="shared" si="4"/>
        <v>#ERROR!</v>
      </c>
      <c r="AG1925" s="154"/>
      <c r="AH1925" s="242" t="str">
        <f>IF(AG1925="","N/A",INDIRECT("MTR!"&amp;ADDRESS(MATCH(LEFT(AG1925,9),[1]MTR!C:C,0),COLUMN(J1925)),TRUE) &amp; "")</f>
        <v>#ERROR!</v>
      </c>
      <c r="AI1925" s="157" t="str">
        <f t="shared" si="5"/>
        <v>#ERROR!</v>
      </c>
    </row>
    <row r="1926" ht="12.75" customHeight="1">
      <c r="A1926" s="244" t="s">
        <v>5158</v>
      </c>
      <c r="B1926" s="244" t="s">
        <v>231</v>
      </c>
      <c r="C1926" s="244" t="s">
        <v>11484</v>
      </c>
      <c r="D1926" s="154" t="s">
        <v>1315</v>
      </c>
      <c r="E1926" s="154"/>
      <c r="F1926" s="154" t="str">
        <f t="array" ref="F1926">XLOOKUP(Cover!$D$12,$R$1:$Z$1,$R1926:$Z1926)</f>
        <v>Information</v>
      </c>
      <c r="G1926" s="154" t="s">
        <v>11485</v>
      </c>
      <c r="H1926" s="154" t="s">
        <v>9006</v>
      </c>
      <c r="I1926" s="154" t="s">
        <v>11483</v>
      </c>
      <c r="J1926" s="154" t="s">
        <v>6832</v>
      </c>
      <c r="K1926" s="154" t="s">
        <v>11417</v>
      </c>
      <c r="L1926" s="154" t="s">
        <v>6905</v>
      </c>
      <c r="M1926" s="154"/>
      <c r="N1926" s="154" t="s">
        <v>759</v>
      </c>
      <c r="O1926" s="247" t="s">
        <v>516</v>
      </c>
      <c r="P1926" s="247" t="s">
        <v>6776</v>
      </c>
      <c r="Q1926" s="154" t="str">
        <f t="shared" si="1"/>
        <v>#ERROR!</v>
      </c>
      <c r="R1926" s="154" t="s">
        <v>66</v>
      </c>
      <c r="S1926" s="154" t="s">
        <v>66</v>
      </c>
      <c r="T1926" s="154" t="s">
        <v>66</v>
      </c>
      <c r="U1926" s="154" t="s">
        <v>66</v>
      </c>
      <c r="V1926" s="154" t="s">
        <v>66</v>
      </c>
      <c r="W1926" s="154" t="s">
        <v>66</v>
      </c>
      <c r="X1926" s="154" t="s">
        <v>66</v>
      </c>
      <c r="Y1926" s="154" t="s">
        <v>66</v>
      </c>
      <c r="Z1926" s="154" t="s">
        <v>66</v>
      </c>
      <c r="AA1926" s="154"/>
      <c r="AB1926" s="242" t="str">
        <f t="shared" si="2"/>
        <v>#ERROR!</v>
      </c>
      <c r="AC1926" s="154" t="s">
        <v>391</v>
      </c>
      <c r="AD1926" s="242" t="b">
        <f t="shared" si="3"/>
        <v>0</v>
      </c>
      <c r="AE1926" s="154"/>
      <c r="AF1926" s="242" t="str">
        <f t="shared" si="4"/>
        <v>#ERROR!</v>
      </c>
      <c r="AG1926" s="154"/>
      <c r="AH1926" s="242" t="str">
        <f>IF(AG1926="","N/A",INDIRECT("MTR!"&amp;ADDRESS(MATCH(LEFT(AG1926,9),[1]MTR!C:C,0),COLUMN(J1926)),TRUE) &amp; "")</f>
        <v>#ERROR!</v>
      </c>
      <c r="AI1926" s="157" t="str">
        <f t="shared" si="5"/>
        <v>#ERROR!</v>
      </c>
    </row>
    <row r="1927" ht="12.75" customHeight="1">
      <c r="A1927" s="244" t="s">
        <v>5158</v>
      </c>
      <c r="B1927" s="244" t="s">
        <v>231</v>
      </c>
      <c r="C1927" s="244" t="s">
        <v>11486</v>
      </c>
      <c r="D1927" s="154" t="s">
        <v>1315</v>
      </c>
      <c r="E1927" s="154"/>
      <c r="F1927" s="154" t="str">
        <f t="array" ref="F1927">XLOOKUP(Cover!$D$12,$R$1:$Z$1,$R1927:$Z1927)</f>
        <v>Information</v>
      </c>
      <c r="G1927" s="154" t="s">
        <v>11487</v>
      </c>
      <c r="H1927" s="154" t="s">
        <v>8305</v>
      </c>
      <c r="I1927" s="154" t="s">
        <v>11483</v>
      </c>
      <c r="J1927" s="154" t="s">
        <v>6832</v>
      </c>
      <c r="K1927" s="154" t="s">
        <v>11417</v>
      </c>
      <c r="L1927" s="154" t="s">
        <v>6905</v>
      </c>
      <c r="M1927" s="154"/>
      <c r="N1927" s="154" t="s">
        <v>759</v>
      </c>
      <c r="O1927" s="247" t="s">
        <v>516</v>
      </c>
      <c r="P1927" s="247" t="s">
        <v>6776</v>
      </c>
      <c r="Q1927" s="154" t="str">
        <f t="shared" si="1"/>
        <v>#ERROR!</v>
      </c>
      <c r="R1927" s="154" t="s">
        <v>66</v>
      </c>
      <c r="S1927" s="154" t="s">
        <v>66</v>
      </c>
      <c r="T1927" s="154" t="s">
        <v>66</v>
      </c>
      <c r="U1927" s="154" t="s">
        <v>66</v>
      </c>
      <c r="V1927" s="154" t="s">
        <v>66</v>
      </c>
      <c r="W1927" s="154" t="s">
        <v>66</v>
      </c>
      <c r="X1927" s="154" t="s">
        <v>66</v>
      </c>
      <c r="Y1927" s="154" t="s">
        <v>66</v>
      </c>
      <c r="Z1927" s="154" t="s">
        <v>66</v>
      </c>
      <c r="AA1927" s="154"/>
      <c r="AB1927" s="242" t="str">
        <f t="shared" si="2"/>
        <v>#ERROR!</v>
      </c>
      <c r="AC1927" s="154" t="s">
        <v>391</v>
      </c>
      <c r="AD1927" s="242" t="b">
        <f t="shared" si="3"/>
        <v>0</v>
      </c>
      <c r="AE1927" s="154"/>
      <c r="AF1927" s="242" t="str">
        <f t="shared" si="4"/>
        <v>#ERROR!</v>
      </c>
      <c r="AG1927" s="154"/>
      <c r="AH1927" s="242" t="str">
        <f>IF(AG1927="","N/A",INDIRECT("MTR!"&amp;ADDRESS(MATCH(LEFT(AG1927,9),[1]MTR!C:C,0),COLUMN(J1927)),TRUE) &amp; "")</f>
        <v>#ERROR!</v>
      </c>
      <c r="AI1927" s="157" t="str">
        <f t="shared" si="5"/>
        <v>#ERROR!</v>
      </c>
    </row>
    <row r="1928" ht="12.75" customHeight="1">
      <c r="A1928" s="244" t="s">
        <v>5158</v>
      </c>
      <c r="B1928" s="244" t="s">
        <v>231</v>
      </c>
      <c r="C1928" s="244" t="s">
        <v>11488</v>
      </c>
      <c r="D1928" s="154" t="s">
        <v>1315</v>
      </c>
      <c r="E1928" s="154"/>
      <c r="F1928" s="154" t="str">
        <f t="array" ref="F1928">XLOOKUP(Cover!$D$12,$R$1:$Z$1,$R1928:$Z1928)</f>
        <v>Information</v>
      </c>
      <c r="G1928" s="154" t="s">
        <v>11489</v>
      </c>
      <c r="H1928" s="154" t="s">
        <v>9015</v>
      </c>
      <c r="I1928" s="154" t="s">
        <v>11483</v>
      </c>
      <c r="J1928" s="154" t="s">
        <v>6832</v>
      </c>
      <c r="K1928" s="154" t="s">
        <v>11417</v>
      </c>
      <c r="L1928" s="154" t="s">
        <v>6905</v>
      </c>
      <c r="M1928" s="154"/>
      <c r="N1928" s="154" t="s">
        <v>759</v>
      </c>
      <c r="O1928" s="247" t="s">
        <v>516</v>
      </c>
      <c r="P1928" s="247" t="s">
        <v>6776</v>
      </c>
      <c r="Q1928" s="154" t="str">
        <f t="shared" si="1"/>
        <v>#ERROR!</v>
      </c>
      <c r="R1928" s="154" t="s">
        <v>66</v>
      </c>
      <c r="S1928" s="154" t="s">
        <v>66</v>
      </c>
      <c r="T1928" s="154" t="s">
        <v>66</v>
      </c>
      <c r="U1928" s="154" t="s">
        <v>66</v>
      </c>
      <c r="V1928" s="154" t="s">
        <v>66</v>
      </c>
      <c r="W1928" s="154" t="s">
        <v>66</v>
      </c>
      <c r="X1928" s="154" t="s">
        <v>66</v>
      </c>
      <c r="Y1928" s="154" t="s">
        <v>66</v>
      </c>
      <c r="Z1928" s="154" t="s">
        <v>66</v>
      </c>
      <c r="AA1928" s="154"/>
      <c r="AB1928" s="242" t="str">
        <f t="shared" si="2"/>
        <v>#ERROR!</v>
      </c>
      <c r="AC1928" s="154" t="s">
        <v>391</v>
      </c>
      <c r="AD1928" s="242" t="b">
        <f t="shared" si="3"/>
        <v>0</v>
      </c>
      <c r="AE1928" s="154"/>
      <c r="AF1928" s="242" t="str">
        <f t="shared" si="4"/>
        <v>#ERROR!</v>
      </c>
      <c r="AG1928" s="154"/>
      <c r="AH1928" s="242" t="str">
        <f>IF(AG1928="","N/A",INDIRECT("MTR!"&amp;ADDRESS(MATCH(LEFT(AG1928,9),[1]MTR!C:C,0),COLUMN(J1928)),TRUE) &amp; "")</f>
        <v>#ERROR!</v>
      </c>
      <c r="AI1928" s="157" t="str">
        <f t="shared" si="5"/>
        <v>#ERROR!</v>
      </c>
    </row>
    <row r="1929" ht="12.75" customHeight="1">
      <c r="A1929" s="244" t="s">
        <v>5158</v>
      </c>
      <c r="B1929" s="244" t="s">
        <v>231</v>
      </c>
      <c r="C1929" s="244" t="s">
        <v>11490</v>
      </c>
      <c r="D1929" s="154" t="s">
        <v>1315</v>
      </c>
      <c r="E1929" s="154"/>
      <c r="F1929" s="154" t="str">
        <f t="array" ref="F1929">XLOOKUP(Cover!$D$12,$R$1:$Z$1,$R1929:$Z1929)</f>
        <v>Information</v>
      </c>
      <c r="G1929" s="154" t="s">
        <v>11491</v>
      </c>
      <c r="H1929" s="154" t="s">
        <v>8302</v>
      </c>
      <c r="I1929" s="154" t="s">
        <v>11492</v>
      </c>
      <c r="J1929" s="154" t="s">
        <v>6854</v>
      </c>
      <c r="K1929" s="154" t="s">
        <v>11417</v>
      </c>
      <c r="L1929" s="154" t="s">
        <v>6905</v>
      </c>
      <c r="M1929" s="154"/>
      <c r="N1929" s="154" t="s">
        <v>759</v>
      </c>
      <c r="O1929" s="247" t="s">
        <v>516</v>
      </c>
      <c r="P1929" s="247" t="s">
        <v>5876</v>
      </c>
      <c r="Q1929" s="154" t="str">
        <f t="shared" si="1"/>
        <v>#ERROR!</v>
      </c>
      <c r="R1929" s="154" t="s">
        <v>66</v>
      </c>
      <c r="S1929" s="154" t="s">
        <v>66</v>
      </c>
      <c r="T1929" s="154" t="s">
        <v>66</v>
      </c>
      <c r="U1929" s="154" t="s">
        <v>66</v>
      </c>
      <c r="V1929" s="154" t="s">
        <v>66</v>
      </c>
      <c r="W1929" s="154" t="s">
        <v>66</v>
      </c>
      <c r="X1929" s="154" t="s">
        <v>66</v>
      </c>
      <c r="Y1929" s="154" t="s">
        <v>66</v>
      </c>
      <c r="Z1929" s="154" t="s">
        <v>66</v>
      </c>
      <c r="AA1929" s="154"/>
      <c r="AB1929" s="242" t="str">
        <f t="shared" si="2"/>
        <v>#ERROR!</v>
      </c>
      <c r="AC1929" s="154" t="s">
        <v>391</v>
      </c>
      <c r="AD1929" s="242" t="b">
        <f t="shared" si="3"/>
        <v>0</v>
      </c>
      <c r="AE1929" s="154"/>
      <c r="AF1929" s="242" t="str">
        <f t="shared" si="4"/>
        <v>#ERROR!</v>
      </c>
      <c r="AG1929" s="154"/>
      <c r="AH1929" s="242" t="str">
        <f>IF(AG1929="","N/A",INDIRECT("MTR!"&amp;ADDRESS(MATCH(LEFT(AG1929,9),[1]MTR!C:C,0),COLUMN(J1929)),TRUE) &amp; "")</f>
        <v>#ERROR!</v>
      </c>
      <c r="AI1929" s="157" t="str">
        <f t="shared" si="5"/>
        <v>#ERROR!</v>
      </c>
    </row>
    <row r="1930" ht="12.75" customHeight="1">
      <c r="A1930" s="244" t="s">
        <v>5158</v>
      </c>
      <c r="B1930" s="244" t="s">
        <v>231</v>
      </c>
      <c r="C1930" s="244" t="s">
        <v>11493</v>
      </c>
      <c r="D1930" s="154" t="s">
        <v>1315</v>
      </c>
      <c r="E1930" s="154"/>
      <c r="F1930" s="154" t="str">
        <f t="array" ref="F1930">XLOOKUP(Cover!$D$12,$R$1:$Z$1,$R1930:$Z1930)</f>
        <v>Information</v>
      </c>
      <c r="G1930" s="154" t="s">
        <v>11494</v>
      </c>
      <c r="H1930" s="154" t="s">
        <v>9009</v>
      </c>
      <c r="I1930" s="154" t="s">
        <v>11492</v>
      </c>
      <c r="J1930" s="154" t="s">
        <v>6854</v>
      </c>
      <c r="K1930" s="154" t="s">
        <v>11417</v>
      </c>
      <c r="L1930" s="154" t="s">
        <v>6905</v>
      </c>
      <c r="M1930" s="154"/>
      <c r="N1930" s="154" t="s">
        <v>759</v>
      </c>
      <c r="O1930" s="247" t="s">
        <v>516</v>
      </c>
      <c r="P1930" s="247" t="s">
        <v>5876</v>
      </c>
      <c r="Q1930" s="154" t="str">
        <f t="shared" si="1"/>
        <v>#ERROR!</v>
      </c>
      <c r="R1930" s="154" t="s">
        <v>66</v>
      </c>
      <c r="S1930" s="154" t="s">
        <v>66</v>
      </c>
      <c r="T1930" s="154" t="s">
        <v>66</v>
      </c>
      <c r="U1930" s="154" t="s">
        <v>66</v>
      </c>
      <c r="V1930" s="154" t="s">
        <v>66</v>
      </c>
      <c r="W1930" s="154" t="s">
        <v>66</v>
      </c>
      <c r="X1930" s="154" t="s">
        <v>66</v>
      </c>
      <c r="Y1930" s="154" t="s">
        <v>66</v>
      </c>
      <c r="Z1930" s="154" t="s">
        <v>66</v>
      </c>
      <c r="AA1930" s="154"/>
      <c r="AB1930" s="242" t="str">
        <f t="shared" si="2"/>
        <v>#ERROR!</v>
      </c>
      <c r="AC1930" s="154" t="s">
        <v>391</v>
      </c>
      <c r="AD1930" s="242" t="b">
        <f t="shared" si="3"/>
        <v>0</v>
      </c>
      <c r="AE1930" s="154"/>
      <c r="AF1930" s="242" t="str">
        <f t="shared" si="4"/>
        <v>#ERROR!</v>
      </c>
      <c r="AG1930" s="154"/>
      <c r="AH1930" s="242" t="str">
        <f>IF(AG1930="","N/A",INDIRECT("MTR!"&amp;ADDRESS(MATCH(LEFT(AG1930,9),[1]MTR!C:C,0),COLUMN(J1930)),TRUE) &amp; "")</f>
        <v>#ERROR!</v>
      </c>
      <c r="AI1930" s="157" t="str">
        <f t="shared" si="5"/>
        <v>#ERROR!</v>
      </c>
    </row>
    <row r="1931" ht="12.75" customHeight="1">
      <c r="A1931" s="244" t="s">
        <v>5158</v>
      </c>
      <c r="B1931" s="244" t="s">
        <v>231</v>
      </c>
      <c r="C1931" s="244" t="s">
        <v>11495</v>
      </c>
      <c r="D1931" s="154" t="s">
        <v>1315</v>
      </c>
      <c r="E1931" s="154"/>
      <c r="F1931" s="154" t="str">
        <f t="array" ref="F1931">XLOOKUP(Cover!$D$12,$R$1:$Z$1,$R1931:$Z1931)</f>
        <v>Information</v>
      </c>
      <c r="G1931" s="154" t="s">
        <v>11496</v>
      </c>
      <c r="H1931" s="154" t="s">
        <v>8302</v>
      </c>
      <c r="I1931" s="154" t="s">
        <v>11497</v>
      </c>
      <c r="J1931" s="154" t="s">
        <v>6865</v>
      </c>
      <c r="K1931" s="154" t="s">
        <v>11417</v>
      </c>
      <c r="L1931" s="154" t="s">
        <v>6905</v>
      </c>
      <c r="M1931" s="154"/>
      <c r="N1931" s="154" t="s">
        <v>759</v>
      </c>
      <c r="O1931" s="247" t="s">
        <v>516</v>
      </c>
      <c r="P1931" s="247" t="s">
        <v>6776</v>
      </c>
      <c r="Q1931" s="154" t="str">
        <f t="shared" si="1"/>
        <v>#ERROR!</v>
      </c>
      <c r="R1931" s="154" t="s">
        <v>66</v>
      </c>
      <c r="S1931" s="154" t="s">
        <v>66</v>
      </c>
      <c r="T1931" s="154" t="s">
        <v>66</v>
      </c>
      <c r="U1931" s="154" t="s">
        <v>66</v>
      </c>
      <c r="V1931" s="154" t="s">
        <v>66</v>
      </c>
      <c r="W1931" s="154" t="s">
        <v>66</v>
      </c>
      <c r="X1931" s="154" t="s">
        <v>66</v>
      </c>
      <c r="Y1931" s="154" t="s">
        <v>66</v>
      </c>
      <c r="Z1931" s="154" t="s">
        <v>66</v>
      </c>
      <c r="AA1931" s="154"/>
      <c r="AB1931" s="242" t="str">
        <f t="shared" si="2"/>
        <v>#ERROR!</v>
      </c>
      <c r="AC1931" s="154" t="s">
        <v>391</v>
      </c>
      <c r="AD1931" s="242" t="b">
        <f t="shared" si="3"/>
        <v>0</v>
      </c>
      <c r="AE1931" s="154"/>
      <c r="AF1931" s="242" t="str">
        <f t="shared" si="4"/>
        <v>#ERROR!</v>
      </c>
      <c r="AG1931" s="154"/>
      <c r="AH1931" s="242" t="str">
        <f>IF(AG1931="","N/A",INDIRECT("MTR!"&amp;ADDRESS(MATCH(LEFT(AG1931,9),[1]MTR!C:C,0),COLUMN(J1931)),TRUE) &amp; "")</f>
        <v>#ERROR!</v>
      </c>
      <c r="AI1931" s="157" t="str">
        <f t="shared" si="5"/>
        <v>#ERROR!</v>
      </c>
    </row>
    <row r="1932" ht="12.75" customHeight="1">
      <c r="A1932" s="244" t="s">
        <v>5158</v>
      </c>
      <c r="B1932" s="244" t="s">
        <v>231</v>
      </c>
      <c r="C1932" s="244" t="s">
        <v>11498</v>
      </c>
      <c r="D1932" s="154" t="s">
        <v>1315</v>
      </c>
      <c r="E1932" s="154"/>
      <c r="F1932" s="154" t="str">
        <f t="array" ref="F1932">XLOOKUP(Cover!$D$12,$R$1:$Z$1,$R1932:$Z1932)</f>
        <v>Information</v>
      </c>
      <c r="G1932" s="154" t="s">
        <v>11499</v>
      </c>
      <c r="H1932" s="154" t="s">
        <v>9009</v>
      </c>
      <c r="I1932" s="154" t="s">
        <v>11497</v>
      </c>
      <c r="J1932" s="154" t="s">
        <v>6865</v>
      </c>
      <c r="K1932" s="154" t="s">
        <v>11417</v>
      </c>
      <c r="L1932" s="154" t="s">
        <v>6905</v>
      </c>
      <c r="M1932" s="154"/>
      <c r="N1932" s="154" t="s">
        <v>759</v>
      </c>
      <c r="O1932" s="247" t="s">
        <v>516</v>
      </c>
      <c r="P1932" s="247" t="s">
        <v>6776</v>
      </c>
      <c r="Q1932" s="154" t="str">
        <f t="shared" si="1"/>
        <v>#ERROR!</v>
      </c>
      <c r="R1932" s="154" t="s">
        <v>66</v>
      </c>
      <c r="S1932" s="154" t="s">
        <v>66</v>
      </c>
      <c r="T1932" s="154" t="s">
        <v>66</v>
      </c>
      <c r="U1932" s="154" t="s">
        <v>66</v>
      </c>
      <c r="V1932" s="154" t="s">
        <v>66</v>
      </c>
      <c r="W1932" s="154" t="s">
        <v>66</v>
      </c>
      <c r="X1932" s="154" t="s">
        <v>66</v>
      </c>
      <c r="Y1932" s="154" t="s">
        <v>66</v>
      </c>
      <c r="Z1932" s="154" t="s">
        <v>66</v>
      </c>
      <c r="AA1932" s="154"/>
      <c r="AB1932" s="242" t="str">
        <f t="shared" si="2"/>
        <v>#ERROR!</v>
      </c>
      <c r="AC1932" s="154" t="s">
        <v>391</v>
      </c>
      <c r="AD1932" s="242" t="b">
        <f t="shared" si="3"/>
        <v>0</v>
      </c>
      <c r="AE1932" s="154"/>
      <c r="AF1932" s="242" t="str">
        <f t="shared" si="4"/>
        <v>#ERROR!</v>
      </c>
      <c r="AG1932" s="154"/>
      <c r="AH1932" s="242" t="str">
        <f>IF(AG1932="","N/A",INDIRECT("MTR!"&amp;ADDRESS(MATCH(LEFT(AG1932,9),[1]MTR!C:C,0),COLUMN(J1932)),TRUE) &amp; "")</f>
        <v>#ERROR!</v>
      </c>
      <c r="AI1932" s="157" t="str">
        <f t="shared" si="5"/>
        <v>#ERROR!</v>
      </c>
    </row>
    <row r="1933" ht="12.75" customHeight="1">
      <c r="A1933" s="244" t="s">
        <v>5158</v>
      </c>
      <c r="B1933" s="244" t="s">
        <v>231</v>
      </c>
      <c r="C1933" s="244" t="s">
        <v>11500</v>
      </c>
      <c r="D1933" s="154" t="s">
        <v>1315</v>
      </c>
      <c r="E1933" s="154"/>
      <c r="F1933" s="154" t="str">
        <f t="array" ref="F1933">XLOOKUP(Cover!$D$12,$R$1:$Z$1,$R1933:$Z1933)</f>
        <v>Information</v>
      </c>
      <c r="G1933" s="154" t="s">
        <v>11501</v>
      </c>
      <c r="H1933" s="154" t="s">
        <v>8305</v>
      </c>
      <c r="I1933" s="154" t="s">
        <v>11497</v>
      </c>
      <c r="J1933" s="154" t="s">
        <v>6865</v>
      </c>
      <c r="K1933" s="154" t="s">
        <v>11417</v>
      </c>
      <c r="L1933" s="154" t="s">
        <v>6905</v>
      </c>
      <c r="M1933" s="154"/>
      <c r="N1933" s="154" t="s">
        <v>759</v>
      </c>
      <c r="O1933" s="247" t="s">
        <v>516</v>
      </c>
      <c r="P1933" s="247" t="s">
        <v>6776</v>
      </c>
      <c r="Q1933" s="154" t="str">
        <f t="shared" si="1"/>
        <v>#ERROR!</v>
      </c>
      <c r="R1933" s="154" t="s">
        <v>66</v>
      </c>
      <c r="S1933" s="154" t="s">
        <v>66</v>
      </c>
      <c r="T1933" s="154" t="s">
        <v>66</v>
      </c>
      <c r="U1933" s="154" t="s">
        <v>66</v>
      </c>
      <c r="V1933" s="154" t="s">
        <v>66</v>
      </c>
      <c r="W1933" s="154" t="s">
        <v>66</v>
      </c>
      <c r="X1933" s="154" t="s">
        <v>66</v>
      </c>
      <c r="Y1933" s="154" t="s">
        <v>66</v>
      </c>
      <c r="Z1933" s="154" t="s">
        <v>66</v>
      </c>
      <c r="AA1933" s="154"/>
      <c r="AB1933" s="242" t="str">
        <f t="shared" si="2"/>
        <v>#ERROR!</v>
      </c>
      <c r="AC1933" s="154" t="s">
        <v>391</v>
      </c>
      <c r="AD1933" s="242" t="b">
        <f t="shared" si="3"/>
        <v>0</v>
      </c>
      <c r="AE1933" s="154"/>
      <c r="AF1933" s="242" t="str">
        <f t="shared" si="4"/>
        <v>#ERROR!</v>
      </c>
      <c r="AG1933" s="154"/>
      <c r="AH1933" s="242" t="str">
        <f>IF(AG1933="","N/A",INDIRECT("MTR!"&amp;ADDRESS(MATCH(LEFT(AG1933,9),[1]MTR!C:C,0),COLUMN(J1933)),TRUE) &amp; "")</f>
        <v>#ERROR!</v>
      </c>
      <c r="AI1933" s="157" t="str">
        <f t="shared" si="5"/>
        <v>#ERROR!</v>
      </c>
    </row>
    <row r="1934" ht="12.75" customHeight="1">
      <c r="A1934" s="244" t="s">
        <v>5158</v>
      </c>
      <c r="B1934" s="244" t="s">
        <v>231</v>
      </c>
      <c r="C1934" s="244" t="s">
        <v>11502</v>
      </c>
      <c r="D1934" s="154" t="s">
        <v>1315</v>
      </c>
      <c r="E1934" s="154"/>
      <c r="F1934" s="154" t="str">
        <f t="array" ref="F1934">XLOOKUP(Cover!$D$12,$R$1:$Z$1,$R1934:$Z1934)</f>
        <v>Information</v>
      </c>
      <c r="G1934" s="154" t="s">
        <v>11503</v>
      </c>
      <c r="H1934" s="154" t="s">
        <v>9015</v>
      </c>
      <c r="I1934" s="154" t="s">
        <v>11497</v>
      </c>
      <c r="J1934" s="154" t="s">
        <v>6865</v>
      </c>
      <c r="K1934" s="154" t="s">
        <v>11417</v>
      </c>
      <c r="L1934" s="154" t="s">
        <v>6905</v>
      </c>
      <c r="M1934" s="154"/>
      <c r="N1934" s="154" t="s">
        <v>759</v>
      </c>
      <c r="O1934" s="247" t="s">
        <v>516</v>
      </c>
      <c r="P1934" s="247" t="s">
        <v>6776</v>
      </c>
      <c r="Q1934" s="154" t="str">
        <f t="shared" si="1"/>
        <v>#ERROR!</v>
      </c>
      <c r="R1934" s="154" t="s">
        <v>66</v>
      </c>
      <c r="S1934" s="154" t="s">
        <v>66</v>
      </c>
      <c r="T1934" s="154" t="s">
        <v>66</v>
      </c>
      <c r="U1934" s="154" t="s">
        <v>66</v>
      </c>
      <c r="V1934" s="154" t="s">
        <v>66</v>
      </c>
      <c r="W1934" s="154" t="s">
        <v>66</v>
      </c>
      <c r="X1934" s="154" t="s">
        <v>66</v>
      </c>
      <c r="Y1934" s="154" t="s">
        <v>66</v>
      </c>
      <c r="Z1934" s="154" t="s">
        <v>66</v>
      </c>
      <c r="AA1934" s="154"/>
      <c r="AB1934" s="242" t="str">
        <f t="shared" si="2"/>
        <v>#ERROR!</v>
      </c>
      <c r="AC1934" s="154" t="s">
        <v>391</v>
      </c>
      <c r="AD1934" s="242" t="b">
        <f t="shared" si="3"/>
        <v>0</v>
      </c>
      <c r="AE1934" s="154"/>
      <c r="AF1934" s="242" t="str">
        <f t="shared" si="4"/>
        <v>#ERROR!</v>
      </c>
      <c r="AG1934" s="154"/>
      <c r="AH1934" s="242" t="str">
        <f>IF(AG1934="","N/A",INDIRECT("MTR!"&amp;ADDRESS(MATCH(LEFT(AG1934,9),[1]MTR!C:C,0),COLUMN(J1934)),TRUE) &amp; "")</f>
        <v>#ERROR!</v>
      </c>
      <c r="AI1934" s="157" t="str">
        <f t="shared" si="5"/>
        <v>#ERROR!</v>
      </c>
    </row>
    <row r="1935" ht="12.75" customHeight="1">
      <c r="A1935" s="244" t="s">
        <v>5158</v>
      </c>
      <c r="B1935" s="244" t="s">
        <v>231</v>
      </c>
      <c r="C1935" s="244" t="s">
        <v>11504</v>
      </c>
      <c r="D1935" s="154" t="s">
        <v>1315</v>
      </c>
      <c r="E1935" s="154"/>
      <c r="F1935" s="154" t="str">
        <f t="array" ref="F1935">XLOOKUP(Cover!$D$12,$R$1:$Z$1,$R1935:$Z1935)</f>
        <v>Information</v>
      </c>
      <c r="G1935" s="154" t="s">
        <v>11505</v>
      </c>
      <c r="H1935" s="154" t="s">
        <v>8295</v>
      </c>
      <c r="I1935" s="154" t="s">
        <v>11506</v>
      </c>
      <c r="J1935" s="154" t="s">
        <v>6911</v>
      </c>
      <c r="K1935" s="154" t="s">
        <v>11417</v>
      </c>
      <c r="L1935" s="154" t="s">
        <v>6905</v>
      </c>
      <c r="M1935" s="154"/>
      <c r="N1935" s="154" t="s">
        <v>759</v>
      </c>
      <c r="O1935" s="247" t="s">
        <v>516</v>
      </c>
      <c r="P1935" s="247" t="s">
        <v>6776</v>
      </c>
      <c r="Q1935" s="154" t="str">
        <f t="shared" si="1"/>
        <v>#ERROR!</v>
      </c>
      <c r="R1935" s="154" t="s">
        <v>66</v>
      </c>
      <c r="S1935" s="154" t="s">
        <v>66</v>
      </c>
      <c r="T1935" s="154" t="s">
        <v>66</v>
      </c>
      <c r="U1935" s="154" t="s">
        <v>66</v>
      </c>
      <c r="V1935" s="154" t="s">
        <v>66</v>
      </c>
      <c r="W1935" s="154" t="s">
        <v>66</v>
      </c>
      <c r="X1935" s="154" t="s">
        <v>66</v>
      </c>
      <c r="Y1935" s="154" t="s">
        <v>66</v>
      </c>
      <c r="Z1935" s="154" t="s">
        <v>66</v>
      </c>
      <c r="AA1935" s="154"/>
      <c r="AB1935" s="242" t="str">
        <f t="shared" si="2"/>
        <v>#ERROR!</v>
      </c>
      <c r="AC1935" s="154" t="s">
        <v>391</v>
      </c>
      <c r="AD1935" s="242" t="b">
        <f t="shared" si="3"/>
        <v>0</v>
      </c>
      <c r="AE1935" s="154"/>
      <c r="AF1935" s="242" t="str">
        <f t="shared" si="4"/>
        <v>#ERROR!</v>
      </c>
      <c r="AG1935" s="154"/>
      <c r="AH1935" s="242" t="str">
        <f>IF(AG1935="","N/A",INDIRECT("MTR!"&amp;ADDRESS(MATCH(LEFT(AG1935,9),[1]MTR!C:C,0),COLUMN(J1935)),TRUE) &amp; "")</f>
        <v>#ERROR!</v>
      </c>
      <c r="AI1935" s="157" t="str">
        <f t="shared" si="5"/>
        <v>#ERROR!</v>
      </c>
    </row>
    <row r="1936" ht="12.75" customHeight="1">
      <c r="A1936" s="244" t="s">
        <v>5158</v>
      </c>
      <c r="B1936" s="244" t="s">
        <v>231</v>
      </c>
      <c r="C1936" s="244" t="s">
        <v>11507</v>
      </c>
      <c r="D1936" s="154" t="s">
        <v>1315</v>
      </c>
      <c r="E1936" s="154"/>
      <c r="F1936" s="154" t="str">
        <f t="array" ref="F1936">XLOOKUP(Cover!$D$12,$R$1:$Z$1,$R1936:$Z1936)</f>
        <v>Information</v>
      </c>
      <c r="G1936" s="154" t="s">
        <v>11508</v>
      </c>
      <c r="H1936" s="154" t="s">
        <v>9002</v>
      </c>
      <c r="I1936" s="154" t="s">
        <v>11506</v>
      </c>
      <c r="J1936" s="154" t="s">
        <v>6911</v>
      </c>
      <c r="K1936" s="154" t="s">
        <v>11417</v>
      </c>
      <c r="L1936" s="154" t="s">
        <v>6905</v>
      </c>
      <c r="M1936" s="154"/>
      <c r="N1936" s="154" t="s">
        <v>759</v>
      </c>
      <c r="O1936" s="247" t="s">
        <v>516</v>
      </c>
      <c r="P1936" s="247" t="s">
        <v>6776</v>
      </c>
      <c r="Q1936" s="154" t="str">
        <f t="shared" si="1"/>
        <v>#ERROR!</v>
      </c>
      <c r="R1936" s="154" t="s">
        <v>66</v>
      </c>
      <c r="S1936" s="154" t="s">
        <v>66</v>
      </c>
      <c r="T1936" s="154" t="s">
        <v>66</v>
      </c>
      <c r="U1936" s="154" t="s">
        <v>66</v>
      </c>
      <c r="V1936" s="154" t="s">
        <v>66</v>
      </c>
      <c r="W1936" s="154" t="s">
        <v>66</v>
      </c>
      <c r="X1936" s="154" t="s">
        <v>66</v>
      </c>
      <c r="Y1936" s="154" t="s">
        <v>66</v>
      </c>
      <c r="Z1936" s="154" t="s">
        <v>66</v>
      </c>
      <c r="AA1936" s="154"/>
      <c r="AB1936" s="242" t="str">
        <f t="shared" si="2"/>
        <v>#ERROR!</v>
      </c>
      <c r="AC1936" s="154" t="s">
        <v>391</v>
      </c>
      <c r="AD1936" s="242" t="b">
        <f t="shared" si="3"/>
        <v>0</v>
      </c>
      <c r="AE1936" s="154"/>
      <c r="AF1936" s="242" t="str">
        <f t="shared" si="4"/>
        <v>#ERROR!</v>
      </c>
      <c r="AG1936" s="154"/>
      <c r="AH1936" s="242" t="str">
        <f>IF(AG1936="","N/A",INDIRECT("MTR!"&amp;ADDRESS(MATCH(LEFT(AG1936,9),[1]MTR!C:C,0),COLUMN(J1936)),TRUE) &amp; "")</f>
        <v>#ERROR!</v>
      </c>
      <c r="AI1936" s="157" t="str">
        <f t="shared" si="5"/>
        <v>#ERROR!</v>
      </c>
    </row>
    <row r="1937" ht="12.75" customHeight="1">
      <c r="A1937" s="244" t="s">
        <v>5158</v>
      </c>
      <c r="B1937" s="244" t="s">
        <v>231</v>
      </c>
      <c r="C1937" s="244" t="s">
        <v>11509</v>
      </c>
      <c r="D1937" s="154" t="s">
        <v>1315</v>
      </c>
      <c r="E1937" s="154"/>
      <c r="F1937" s="154" t="str">
        <f t="array" ref="F1937">XLOOKUP(Cover!$D$12,$R$1:$Z$1,$R1937:$Z1937)</f>
        <v>Information</v>
      </c>
      <c r="G1937" s="154" t="s">
        <v>11510</v>
      </c>
      <c r="H1937" s="154" t="s">
        <v>8299</v>
      </c>
      <c r="I1937" s="154" t="s">
        <v>11506</v>
      </c>
      <c r="J1937" s="154" t="s">
        <v>6911</v>
      </c>
      <c r="K1937" s="154" t="s">
        <v>11417</v>
      </c>
      <c r="L1937" s="154" t="s">
        <v>6905</v>
      </c>
      <c r="M1937" s="154"/>
      <c r="N1937" s="154" t="s">
        <v>759</v>
      </c>
      <c r="O1937" s="247" t="s">
        <v>516</v>
      </c>
      <c r="P1937" s="247" t="s">
        <v>6776</v>
      </c>
      <c r="Q1937" s="154" t="str">
        <f t="shared" si="1"/>
        <v>#ERROR!</v>
      </c>
      <c r="R1937" s="154" t="s">
        <v>66</v>
      </c>
      <c r="S1937" s="154" t="s">
        <v>66</v>
      </c>
      <c r="T1937" s="154" t="s">
        <v>66</v>
      </c>
      <c r="U1937" s="154" t="s">
        <v>66</v>
      </c>
      <c r="V1937" s="154" t="s">
        <v>66</v>
      </c>
      <c r="W1937" s="154" t="s">
        <v>66</v>
      </c>
      <c r="X1937" s="154" t="s">
        <v>66</v>
      </c>
      <c r="Y1937" s="154" t="s">
        <v>66</v>
      </c>
      <c r="Z1937" s="154" t="s">
        <v>66</v>
      </c>
      <c r="AA1937" s="154"/>
      <c r="AB1937" s="242" t="str">
        <f t="shared" si="2"/>
        <v>#ERROR!</v>
      </c>
      <c r="AC1937" s="154" t="s">
        <v>391</v>
      </c>
      <c r="AD1937" s="242" t="b">
        <f t="shared" si="3"/>
        <v>0</v>
      </c>
      <c r="AE1937" s="154"/>
      <c r="AF1937" s="242" t="str">
        <f t="shared" si="4"/>
        <v>#ERROR!</v>
      </c>
      <c r="AG1937" s="154"/>
      <c r="AH1937" s="242" t="str">
        <f>IF(AG1937="","N/A",INDIRECT("MTR!"&amp;ADDRESS(MATCH(LEFT(AG1937,9),[1]MTR!C:C,0),COLUMN(J1937)),TRUE) &amp; "")</f>
        <v>#ERROR!</v>
      </c>
      <c r="AI1937" s="157" t="str">
        <f t="shared" si="5"/>
        <v>#ERROR!</v>
      </c>
    </row>
    <row r="1938" ht="12.75" customHeight="1">
      <c r="A1938" s="244" t="s">
        <v>5158</v>
      </c>
      <c r="B1938" s="244" t="s">
        <v>231</v>
      </c>
      <c r="C1938" s="244" t="s">
        <v>11511</v>
      </c>
      <c r="D1938" s="154" t="s">
        <v>1315</v>
      </c>
      <c r="E1938" s="154"/>
      <c r="F1938" s="154" t="str">
        <f t="array" ref="F1938">XLOOKUP(Cover!$D$12,$R$1:$Z$1,$R1938:$Z1938)</f>
        <v>Information</v>
      </c>
      <c r="G1938" s="154" t="s">
        <v>11512</v>
      </c>
      <c r="H1938" s="154" t="s">
        <v>9006</v>
      </c>
      <c r="I1938" s="154" t="s">
        <v>11506</v>
      </c>
      <c r="J1938" s="154" t="s">
        <v>6911</v>
      </c>
      <c r="K1938" s="154" t="s">
        <v>11417</v>
      </c>
      <c r="L1938" s="154" t="s">
        <v>6905</v>
      </c>
      <c r="M1938" s="154"/>
      <c r="N1938" s="154" t="s">
        <v>759</v>
      </c>
      <c r="O1938" s="247" t="s">
        <v>516</v>
      </c>
      <c r="P1938" s="247" t="s">
        <v>6776</v>
      </c>
      <c r="Q1938" s="154" t="str">
        <f t="shared" si="1"/>
        <v>#ERROR!</v>
      </c>
      <c r="R1938" s="154" t="s">
        <v>66</v>
      </c>
      <c r="S1938" s="154" t="s">
        <v>66</v>
      </c>
      <c r="T1938" s="154" t="s">
        <v>66</v>
      </c>
      <c r="U1938" s="154" t="s">
        <v>66</v>
      </c>
      <c r="V1938" s="154" t="s">
        <v>66</v>
      </c>
      <c r="W1938" s="154" t="s">
        <v>66</v>
      </c>
      <c r="X1938" s="154" t="s">
        <v>66</v>
      </c>
      <c r="Y1938" s="154" t="s">
        <v>66</v>
      </c>
      <c r="Z1938" s="154" t="s">
        <v>66</v>
      </c>
      <c r="AA1938" s="154"/>
      <c r="AB1938" s="242" t="str">
        <f t="shared" si="2"/>
        <v>#ERROR!</v>
      </c>
      <c r="AC1938" s="154" t="s">
        <v>391</v>
      </c>
      <c r="AD1938" s="242" t="b">
        <f t="shared" si="3"/>
        <v>0</v>
      </c>
      <c r="AE1938" s="154"/>
      <c r="AF1938" s="242" t="str">
        <f t="shared" si="4"/>
        <v>#ERROR!</v>
      </c>
      <c r="AG1938" s="154"/>
      <c r="AH1938" s="242" t="str">
        <f>IF(AG1938="","N/A",INDIRECT("MTR!"&amp;ADDRESS(MATCH(LEFT(AG1938,9),[1]MTR!C:C,0),COLUMN(J1938)),TRUE) &amp; "")</f>
        <v>#ERROR!</v>
      </c>
      <c r="AI1938" s="157" t="str">
        <f t="shared" si="5"/>
        <v>#ERROR!</v>
      </c>
    </row>
    <row r="1939" ht="12.75" customHeight="1">
      <c r="A1939" s="244" t="s">
        <v>5158</v>
      </c>
      <c r="B1939" s="244" t="s">
        <v>231</v>
      </c>
      <c r="C1939" s="244" t="s">
        <v>11513</v>
      </c>
      <c r="D1939" s="154" t="s">
        <v>1315</v>
      </c>
      <c r="E1939" s="154"/>
      <c r="F1939" s="154" t="str">
        <f t="array" ref="F1939">XLOOKUP(Cover!$D$12,$R$1:$Z$1,$R1939:$Z1939)</f>
        <v>Information</v>
      </c>
      <c r="G1939" s="154" t="s">
        <v>11514</v>
      </c>
      <c r="H1939" s="154" t="s">
        <v>8302</v>
      </c>
      <c r="I1939" s="154" t="s">
        <v>11506</v>
      </c>
      <c r="J1939" s="154" t="s">
        <v>6911</v>
      </c>
      <c r="K1939" s="154" t="s">
        <v>11417</v>
      </c>
      <c r="L1939" s="154" t="s">
        <v>6905</v>
      </c>
      <c r="M1939" s="154"/>
      <c r="N1939" s="154" t="s">
        <v>759</v>
      </c>
      <c r="O1939" s="247" t="s">
        <v>516</v>
      </c>
      <c r="P1939" s="247" t="s">
        <v>6776</v>
      </c>
      <c r="Q1939" s="154" t="str">
        <f t="shared" si="1"/>
        <v>#ERROR!</v>
      </c>
      <c r="R1939" s="154" t="s">
        <v>66</v>
      </c>
      <c r="S1939" s="154" t="s">
        <v>66</v>
      </c>
      <c r="T1939" s="154" t="s">
        <v>66</v>
      </c>
      <c r="U1939" s="154" t="s">
        <v>66</v>
      </c>
      <c r="V1939" s="154" t="s">
        <v>66</v>
      </c>
      <c r="W1939" s="154" t="s">
        <v>66</v>
      </c>
      <c r="X1939" s="154" t="s">
        <v>66</v>
      </c>
      <c r="Y1939" s="154" t="s">
        <v>66</v>
      </c>
      <c r="Z1939" s="154" t="s">
        <v>66</v>
      </c>
      <c r="AA1939" s="154"/>
      <c r="AB1939" s="242" t="str">
        <f t="shared" si="2"/>
        <v>#ERROR!</v>
      </c>
      <c r="AC1939" s="154" t="s">
        <v>391</v>
      </c>
      <c r="AD1939" s="242" t="b">
        <f t="shared" si="3"/>
        <v>0</v>
      </c>
      <c r="AE1939" s="154"/>
      <c r="AF1939" s="242" t="str">
        <f t="shared" si="4"/>
        <v>#ERROR!</v>
      </c>
      <c r="AG1939" s="154"/>
      <c r="AH1939" s="242" t="str">
        <f>IF(AG1939="","N/A",INDIRECT("MTR!"&amp;ADDRESS(MATCH(LEFT(AG1939,9),[1]MTR!C:C,0),COLUMN(J1939)),TRUE) &amp; "")</f>
        <v>#ERROR!</v>
      </c>
      <c r="AI1939" s="157" t="str">
        <f t="shared" si="5"/>
        <v>#ERROR!</v>
      </c>
    </row>
    <row r="1940" ht="12.75" customHeight="1">
      <c r="A1940" s="244" t="s">
        <v>5158</v>
      </c>
      <c r="B1940" s="244" t="s">
        <v>231</v>
      </c>
      <c r="C1940" s="244" t="s">
        <v>11515</v>
      </c>
      <c r="D1940" s="154" t="s">
        <v>1315</v>
      </c>
      <c r="E1940" s="154"/>
      <c r="F1940" s="154" t="str">
        <f t="array" ref="F1940">XLOOKUP(Cover!$D$12,$R$1:$Z$1,$R1940:$Z1940)</f>
        <v>Information</v>
      </c>
      <c r="G1940" s="154" t="s">
        <v>11516</v>
      </c>
      <c r="H1940" s="154" t="s">
        <v>9009</v>
      </c>
      <c r="I1940" s="154" t="s">
        <v>11506</v>
      </c>
      <c r="J1940" s="154" t="s">
        <v>6911</v>
      </c>
      <c r="K1940" s="154" t="s">
        <v>11417</v>
      </c>
      <c r="L1940" s="154" t="s">
        <v>6905</v>
      </c>
      <c r="M1940" s="154"/>
      <c r="N1940" s="154" t="s">
        <v>759</v>
      </c>
      <c r="O1940" s="247" t="s">
        <v>516</v>
      </c>
      <c r="P1940" s="247" t="s">
        <v>6776</v>
      </c>
      <c r="Q1940" s="154" t="str">
        <f t="shared" si="1"/>
        <v>#ERROR!</v>
      </c>
      <c r="R1940" s="154" t="s">
        <v>66</v>
      </c>
      <c r="S1940" s="154" t="s">
        <v>66</v>
      </c>
      <c r="T1940" s="154" t="s">
        <v>66</v>
      </c>
      <c r="U1940" s="154" t="s">
        <v>66</v>
      </c>
      <c r="V1940" s="154" t="s">
        <v>66</v>
      </c>
      <c r="W1940" s="154" t="s">
        <v>66</v>
      </c>
      <c r="X1940" s="154" t="s">
        <v>66</v>
      </c>
      <c r="Y1940" s="154" t="s">
        <v>66</v>
      </c>
      <c r="Z1940" s="154" t="s">
        <v>66</v>
      </c>
      <c r="AA1940" s="154"/>
      <c r="AB1940" s="242" t="str">
        <f t="shared" si="2"/>
        <v>#ERROR!</v>
      </c>
      <c r="AC1940" s="154" t="s">
        <v>391</v>
      </c>
      <c r="AD1940" s="242" t="b">
        <f t="shared" si="3"/>
        <v>0</v>
      </c>
      <c r="AE1940" s="154"/>
      <c r="AF1940" s="242" t="str">
        <f t="shared" si="4"/>
        <v>#ERROR!</v>
      </c>
      <c r="AG1940" s="154"/>
      <c r="AH1940" s="242" t="str">
        <f>IF(AG1940="","N/A",INDIRECT("MTR!"&amp;ADDRESS(MATCH(LEFT(AG1940,9),[1]MTR!C:C,0),COLUMN(J1940)),TRUE) &amp; "")</f>
        <v>#ERROR!</v>
      </c>
      <c r="AI1940" s="157" t="str">
        <f t="shared" si="5"/>
        <v>#ERROR!</v>
      </c>
    </row>
    <row r="1941" ht="12.75" customHeight="1">
      <c r="A1941" s="244" t="s">
        <v>5158</v>
      </c>
      <c r="B1941" s="244" t="s">
        <v>231</v>
      </c>
      <c r="C1941" s="244" t="s">
        <v>11517</v>
      </c>
      <c r="D1941" s="154" t="s">
        <v>1315</v>
      </c>
      <c r="E1941" s="154"/>
      <c r="F1941" s="154" t="str">
        <f t="array" ref="F1941">XLOOKUP(Cover!$D$12,$R$1:$Z$1,$R1941:$Z1941)</f>
        <v>Information</v>
      </c>
      <c r="G1941" s="154" t="s">
        <v>11518</v>
      </c>
      <c r="H1941" s="154" t="s">
        <v>8295</v>
      </c>
      <c r="I1941" s="154" t="s">
        <v>11519</v>
      </c>
      <c r="J1941" s="154" t="s">
        <v>6919</v>
      </c>
      <c r="K1941" s="154" t="s">
        <v>11417</v>
      </c>
      <c r="L1941" s="154" t="s">
        <v>6905</v>
      </c>
      <c r="M1941" s="154"/>
      <c r="N1941" s="154" t="s">
        <v>759</v>
      </c>
      <c r="O1941" s="247" t="s">
        <v>516</v>
      </c>
      <c r="P1941" s="247" t="s">
        <v>6776</v>
      </c>
      <c r="Q1941" s="154" t="str">
        <f t="shared" si="1"/>
        <v>#ERROR!</v>
      </c>
      <c r="R1941" s="154" t="s">
        <v>66</v>
      </c>
      <c r="S1941" s="154" t="s">
        <v>66</v>
      </c>
      <c r="T1941" s="154" t="s">
        <v>66</v>
      </c>
      <c r="U1941" s="154" t="s">
        <v>66</v>
      </c>
      <c r="V1941" s="154" t="s">
        <v>66</v>
      </c>
      <c r="W1941" s="154" t="s">
        <v>66</v>
      </c>
      <c r="X1941" s="154" t="s">
        <v>66</v>
      </c>
      <c r="Y1941" s="154" t="s">
        <v>66</v>
      </c>
      <c r="Z1941" s="154" t="s">
        <v>66</v>
      </c>
      <c r="AA1941" s="154"/>
      <c r="AB1941" s="242" t="str">
        <f t="shared" si="2"/>
        <v>#ERROR!</v>
      </c>
      <c r="AC1941" s="154" t="s">
        <v>391</v>
      </c>
      <c r="AD1941" s="242" t="b">
        <f t="shared" si="3"/>
        <v>0</v>
      </c>
      <c r="AE1941" s="154"/>
      <c r="AF1941" s="242" t="str">
        <f t="shared" si="4"/>
        <v>#ERROR!</v>
      </c>
      <c r="AG1941" s="154"/>
      <c r="AH1941" s="242" t="str">
        <f>IF(AG1941="","N/A",INDIRECT("MTR!"&amp;ADDRESS(MATCH(LEFT(AG1941,9),[1]MTR!C:C,0),COLUMN(J1941)),TRUE) &amp; "")</f>
        <v>#ERROR!</v>
      </c>
      <c r="AI1941" s="157" t="str">
        <f t="shared" si="5"/>
        <v>#ERROR!</v>
      </c>
    </row>
    <row r="1942" ht="12.75" customHeight="1">
      <c r="A1942" s="244" t="s">
        <v>5158</v>
      </c>
      <c r="B1942" s="244" t="s">
        <v>231</v>
      </c>
      <c r="C1942" s="244" t="s">
        <v>11520</v>
      </c>
      <c r="D1942" s="154" t="s">
        <v>1315</v>
      </c>
      <c r="E1942" s="154"/>
      <c r="F1942" s="154" t="str">
        <f t="array" ref="F1942">XLOOKUP(Cover!$D$12,$R$1:$Z$1,$R1942:$Z1942)</f>
        <v>Information</v>
      </c>
      <c r="G1942" s="154" t="s">
        <v>11521</v>
      </c>
      <c r="H1942" s="154" t="s">
        <v>9002</v>
      </c>
      <c r="I1942" s="154" t="s">
        <v>11519</v>
      </c>
      <c r="J1942" s="154" t="s">
        <v>6919</v>
      </c>
      <c r="K1942" s="154" t="s">
        <v>11417</v>
      </c>
      <c r="L1942" s="154" t="s">
        <v>6905</v>
      </c>
      <c r="M1942" s="154"/>
      <c r="N1942" s="154" t="s">
        <v>759</v>
      </c>
      <c r="O1942" s="247" t="s">
        <v>516</v>
      </c>
      <c r="P1942" s="247" t="s">
        <v>6776</v>
      </c>
      <c r="Q1942" s="154" t="str">
        <f t="shared" si="1"/>
        <v>#ERROR!</v>
      </c>
      <c r="R1942" s="154" t="s">
        <v>66</v>
      </c>
      <c r="S1942" s="154" t="s">
        <v>66</v>
      </c>
      <c r="T1942" s="154" t="s">
        <v>66</v>
      </c>
      <c r="U1942" s="154" t="s">
        <v>66</v>
      </c>
      <c r="V1942" s="154" t="s">
        <v>66</v>
      </c>
      <c r="W1942" s="154" t="s">
        <v>66</v>
      </c>
      <c r="X1942" s="154" t="s">
        <v>66</v>
      </c>
      <c r="Y1942" s="154" t="s">
        <v>66</v>
      </c>
      <c r="Z1942" s="154" t="s">
        <v>66</v>
      </c>
      <c r="AA1942" s="154"/>
      <c r="AB1942" s="242" t="str">
        <f t="shared" si="2"/>
        <v>#ERROR!</v>
      </c>
      <c r="AC1942" s="154" t="s">
        <v>391</v>
      </c>
      <c r="AD1942" s="242" t="b">
        <f t="shared" si="3"/>
        <v>0</v>
      </c>
      <c r="AE1942" s="154"/>
      <c r="AF1942" s="242" t="str">
        <f t="shared" si="4"/>
        <v>#ERROR!</v>
      </c>
      <c r="AG1942" s="154"/>
      <c r="AH1942" s="242" t="str">
        <f>IF(AG1942="","N/A",INDIRECT("MTR!"&amp;ADDRESS(MATCH(LEFT(AG1942,9),[1]MTR!C:C,0),COLUMN(J1942)),TRUE) &amp; "")</f>
        <v>#ERROR!</v>
      </c>
      <c r="AI1942" s="157" t="str">
        <f t="shared" si="5"/>
        <v>#ERROR!</v>
      </c>
    </row>
    <row r="1943" ht="12.75" customHeight="1">
      <c r="A1943" s="244" t="s">
        <v>5158</v>
      </c>
      <c r="B1943" s="244" t="s">
        <v>231</v>
      </c>
      <c r="C1943" s="244" t="s">
        <v>11522</v>
      </c>
      <c r="D1943" s="154" t="s">
        <v>1315</v>
      </c>
      <c r="E1943" s="154"/>
      <c r="F1943" s="154" t="str">
        <f t="array" ref="F1943">XLOOKUP(Cover!$D$12,$R$1:$Z$1,$R1943:$Z1943)</f>
        <v>Information</v>
      </c>
      <c r="G1943" s="154" t="s">
        <v>11523</v>
      </c>
      <c r="H1943" s="154" t="s">
        <v>8299</v>
      </c>
      <c r="I1943" s="154" t="s">
        <v>11519</v>
      </c>
      <c r="J1943" s="154" t="s">
        <v>6919</v>
      </c>
      <c r="K1943" s="154" t="s">
        <v>11417</v>
      </c>
      <c r="L1943" s="154" t="s">
        <v>6905</v>
      </c>
      <c r="M1943" s="154"/>
      <c r="N1943" s="154" t="s">
        <v>759</v>
      </c>
      <c r="O1943" s="247" t="s">
        <v>516</v>
      </c>
      <c r="P1943" s="247" t="s">
        <v>6776</v>
      </c>
      <c r="Q1943" s="154" t="str">
        <f t="shared" si="1"/>
        <v>#ERROR!</v>
      </c>
      <c r="R1943" s="154" t="s">
        <v>66</v>
      </c>
      <c r="S1943" s="154" t="s">
        <v>66</v>
      </c>
      <c r="T1943" s="154" t="s">
        <v>66</v>
      </c>
      <c r="U1943" s="154" t="s">
        <v>66</v>
      </c>
      <c r="V1943" s="154" t="s">
        <v>66</v>
      </c>
      <c r="W1943" s="154" t="s">
        <v>66</v>
      </c>
      <c r="X1943" s="154" t="s">
        <v>66</v>
      </c>
      <c r="Y1943" s="154" t="s">
        <v>66</v>
      </c>
      <c r="Z1943" s="154" t="s">
        <v>66</v>
      </c>
      <c r="AA1943" s="154"/>
      <c r="AB1943" s="242" t="str">
        <f t="shared" si="2"/>
        <v>#ERROR!</v>
      </c>
      <c r="AC1943" s="154" t="s">
        <v>391</v>
      </c>
      <c r="AD1943" s="242" t="b">
        <f t="shared" si="3"/>
        <v>0</v>
      </c>
      <c r="AE1943" s="154"/>
      <c r="AF1943" s="242" t="str">
        <f t="shared" si="4"/>
        <v>#ERROR!</v>
      </c>
      <c r="AG1943" s="154"/>
      <c r="AH1943" s="242" t="str">
        <f>IF(AG1943="","N/A",INDIRECT("MTR!"&amp;ADDRESS(MATCH(LEFT(AG1943,9),[1]MTR!C:C,0),COLUMN(J1943)),TRUE) &amp; "")</f>
        <v>#ERROR!</v>
      </c>
      <c r="AI1943" s="157" t="str">
        <f t="shared" si="5"/>
        <v>#ERROR!</v>
      </c>
    </row>
    <row r="1944" ht="12.75" customHeight="1">
      <c r="A1944" s="244" t="s">
        <v>5158</v>
      </c>
      <c r="B1944" s="244" t="s">
        <v>231</v>
      </c>
      <c r="C1944" s="244" t="s">
        <v>11524</v>
      </c>
      <c r="D1944" s="154" t="s">
        <v>1315</v>
      </c>
      <c r="E1944" s="154"/>
      <c r="F1944" s="154" t="str">
        <f t="array" ref="F1944">XLOOKUP(Cover!$D$12,$R$1:$Z$1,$R1944:$Z1944)</f>
        <v>Information</v>
      </c>
      <c r="G1944" s="154" t="s">
        <v>11525</v>
      </c>
      <c r="H1944" s="154" t="s">
        <v>9006</v>
      </c>
      <c r="I1944" s="154" t="s">
        <v>11519</v>
      </c>
      <c r="J1944" s="154" t="s">
        <v>6919</v>
      </c>
      <c r="K1944" s="154" t="s">
        <v>11417</v>
      </c>
      <c r="L1944" s="154" t="s">
        <v>6905</v>
      </c>
      <c r="M1944" s="154"/>
      <c r="N1944" s="154" t="s">
        <v>759</v>
      </c>
      <c r="O1944" s="247" t="s">
        <v>516</v>
      </c>
      <c r="P1944" s="247" t="s">
        <v>6776</v>
      </c>
      <c r="Q1944" s="154" t="str">
        <f t="shared" si="1"/>
        <v>#ERROR!</v>
      </c>
      <c r="R1944" s="154" t="s">
        <v>66</v>
      </c>
      <c r="S1944" s="154" t="s">
        <v>66</v>
      </c>
      <c r="T1944" s="154" t="s">
        <v>66</v>
      </c>
      <c r="U1944" s="154" t="s">
        <v>66</v>
      </c>
      <c r="V1944" s="154" t="s">
        <v>66</v>
      </c>
      <c r="W1944" s="154" t="s">
        <v>66</v>
      </c>
      <c r="X1944" s="154" t="s">
        <v>66</v>
      </c>
      <c r="Y1944" s="154" t="s">
        <v>66</v>
      </c>
      <c r="Z1944" s="154" t="s">
        <v>66</v>
      </c>
      <c r="AA1944" s="154"/>
      <c r="AB1944" s="242" t="str">
        <f t="shared" si="2"/>
        <v>#ERROR!</v>
      </c>
      <c r="AC1944" s="154" t="s">
        <v>391</v>
      </c>
      <c r="AD1944" s="242" t="b">
        <f t="shared" si="3"/>
        <v>0</v>
      </c>
      <c r="AE1944" s="154"/>
      <c r="AF1944" s="242" t="str">
        <f t="shared" si="4"/>
        <v>#ERROR!</v>
      </c>
      <c r="AG1944" s="154"/>
      <c r="AH1944" s="242" t="str">
        <f>IF(AG1944="","N/A",INDIRECT("MTR!"&amp;ADDRESS(MATCH(LEFT(AG1944,9),[1]MTR!C:C,0),COLUMN(J1944)),TRUE) &amp; "")</f>
        <v>#ERROR!</v>
      </c>
      <c r="AI1944" s="157" t="str">
        <f t="shared" si="5"/>
        <v>#ERROR!</v>
      </c>
    </row>
    <row r="1945" ht="12.75" customHeight="1">
      <c r="A1945" s="244" t="s">
        <v>5158</v>
      </c>
      <c r="B1945" s="244" t="s">
        <v>231</v>
      </c>
      <c r="C1945" s="244" t="s">
        <v>11526</v>
      </c>
      <c r="D1945" s="154" t="s">
        <v>1315</v>
      </c>
      <c r="E1945" s="154"/>
      <c r="F1945" s="154" t="str">
        <f t="array" ref="F1945">XLOOKUP(Cover!$D$12,$R$1:$Z$1,$R1945:$Z1945)</f>
        <v>Information</v>
      </c>
      <c r="G1945" s="154" t="s">
        <v>11527</v>
      </c>
      <c r="H1945" s="154" t="s">
        <v>8305</v>
      </c>
      <c r="I1945" s="154" t="s">
        <v>11519</v>
      </c>
      <c r="J1945" s="154" t="s">
        <v>6919</v>
      </c>
      <c r="K1945" s="154" t="s">
        <v>11417</v>
      </c>
      <c r="L1945" s="154" t="s">
        <v>6905</v>
      </c>
      <c r="M1945" s="154"/>
      <c r="N1945" s="154" t="s">
        <v>759</v>
      </c>
      <c r="O1945" s="247" t="s">
        <v>516</v>
      </c>
      <c r="P1945" s="247" t="s">
        <v>6776</v>
      </c>
      <c r="Q1945" s="154" t="str">
        <f t="shared" si="1"/>
        <v>#ERROR!</v>
      </c>
      <c r="R1945" s="154" t="s">
        <v>66</v>
      </c>
      <c r="S1945" s="154" t="s">
        <v>66</v>
      </c>
      <c r="T1945" s="154" t="s">
        <v>66</v>
      </c>
      <c r="U1945" s="154" t="s">
        <v>66</v>
      </c>
      <c r="V1945" s="154" t="s">
        <v>66</v>
      </c>
      <c r="W1945" s="154" t="s">
        <v>66</v>
      </c>
      <c r="X1945" s="154" t="s">
        <v>66</v>
      </c>
      <c r="Y1945" s="154" t="s">
        <v>66</v>
      </c>
      <c r="Z1945" s="154" t="s">
        <v>66</v>
      </c>
      <c r="AA1945" s="154"/>
      <c r="AB1945" s="242" t="str">
        <f t="shared" si="2"/>
        <v>#ERROR!</v>
      </c>
      <c r="AC1945" s="154" t="s">
        <v>391</v>
      </c>
      <c r="AD1945" s="242" t="b">
        <f t="shared" si="3"/>
        <v>0</v>
      </c>
      <c r="AE1945" s="154"/>
      <c r="AF1945" s="242" t="str">
        <f t="shared" si="4"/>
        <v>#ERROR!</v>
      </c>
      <c r="AG1945" s="154"/>
      <c r="AH1945" s="242" t="str">
        <f>IF(AG1945="","N/A",INDIRECT("MTR!"&amp;ADDRESS(MATCH(LEFT(AG1945,9),[1]MTR!C:C,0),COLUMN(J1945)),TRUE) &amp; "")</f>
        <v>#ERROR!</v>
      </c>
      <c r="AI1945" s="157" t="str">
        <f t="shared" si="5"/>
        <v>#ERROR!</v>
      </c>
    </row>
    <row r="1946" ht="12.75" customHeight="1">
      <c r="A1946" s="244" t="s">
        <v>5158</v>
      </c>
      <c r="B1946" s="244" t="s">
        <v>231</v>
      </c>
      <c r="C1946" s="244" t="s">
        <v>11528</v>
      </c>
      <c r="D1946" s="154" t="s">
        <v>1315</v>
      </c>
      <c r="E1946" s="154"/>
      <c r="F1946" s="154" t="str">
        <f t="array" ref="F1946">XLOOKUP(Cover!$D$12,$R$1:$Z$1,$R1946:$Z1946)</f>
        <v>Information</v>
      </c>
      <c r="G1946" s="154" t="s">
        <v>11529</v>
      </c>
      <c r="H1946" s="154" t="s">
        <v>9015</v>
      </c>
      <c r="I1946" s="154" t="s">
        <v>11519</v>
      </c>
      <c r="J1946" s="154" t="s">
        <v>6919</v>
      </c>
      <c r="K1946" s="154" t="s">
        <v>11417</v>
      </c>
      <c r="L1946" s="154" t="s">
        <v>6905</v>
      </c>
      <c r="M1946" s="154"/>
      <c r="N1946" s="154" t="s">
        <v>759</v>
      </c>
      <c r="O1946" s="247" t="s">
        <v>516</v>
      </c>
      <c r="P1946" s="247" t="s">
        <v>6776</v>
      </c>
      <c r="Q1946" s="154" t="str">
        <f t="shared" si="1"/>
        <v>#ERROR!</v>
      </c>
      <c r="R1946" s="154" t="s">
        <v>66</v>
      </c>
      <c r="S1946" s="154" t="s">
        <v>66</v>
      </c>
      <c r="T1946" s="154" t="s">
        <v>66</v>
      </c>
      <c r="U1946" s="154" t="s">
        <v>66</v>
      </c>
      <c r="V1946" s="154" t="s">
        <v>66</v>
      </c>
      <c r="W1946" s="154" t="s">
        <v>66</v>
      </c>
      <c r="X1946" s="154" t="s">
        <v>66</v>
      </c>
      <c r="Y1946" s="154" t="s">
        <v>66</v>
      </c>
      <c r="Z1946" s="154" t="s">
        <v>66</v>
      </c>
      <c r="AA1946" s="154"/>
      <c r="AB1946" s="242" t="str">
        <f t="shared" si="2"/>
        <v>#ERROR!</v>
      </c>
      <c r="AC1946" s="154" t="s">
        <v>391</v>
      </c>
      <c r="AD1946" s="242" t="b">
        <f t="shared" si="3"/>
        <v>0</v>
      </c>
      <c r="AE1946" s="154"/>
      <c r="AF1946" s="242" t="str">
        <f t="shared" si="4"/>
        <v>#ERROR!</v>
      </c>
      <c r="AG1946" s="154"/>
      <c r="AH1946" s="242" t="str">
        <f>IF(AG1946="","N/A",INDIRECT("MTR!"&amp;ADDRESS(MATCH(LEFT(AG1946,9),[1]MTR!C:C,0),COLUMN(J1946)),TRUE) &amp; "")</f>
        <v>#ERROR!</v>
      </c>
      <c r="AI1946" s="157" t="str">
        <f t="shared" si="5"/>
        <v>#ERROR!</v>
      </c>
    </row>
    <row r="1947" ht="12.75" customHeight="1">
      <c r="A1947" s="244" t="s">
        <v>5158</v>
      </c>
      <c r="B1947" s="244" t="s">
        <v>231</v>
      </c>
      <c r="C1947" s="244" t="s">
        <v>11530</v>
      </c>
      <c r="D1947" s="154" t="s">
        <v>1315</v>
      </c>
      <c r="E1947" s="154"/>
      <c r="F1947" s="154" t="str">
        <f t="array" ref="F1947">XLOOKUP(Cover!$D$12,$R$1:$Z$1,$R1947:$Z1947)</f>
        <v>Information</v>
      </c>
      <c r="G1947" s="154" t="s">
        <v>11531</v>
      </c>
      <c r="H1947" s="154" t="s">
        <v>8295</v>
      </c>
      <c r="I1947" s="154" t="s">
        <v>11532</v>
      </c>
      <c r="J1947" s="154" t="s">
        <v>7502</v>
      </c>
      <c r="K1947" s="154" t="s">
        <v>11417</v>
      </c>
      <c r="L1947" s="154" t="s">
        <v>6905</v>
      </c>
      <c r="M1947" s="154"/>
      <c r="N1947" s="154" t="s">
        <v>759</v>
      </c>
      <c r="O1947" s="247" t="s">
        <v>516</v>
      </c>
      <c r="P1947" s="247" t="s">
        <v>6776</v>
      </c>
      <c r="Q1947" s="154" t="str">
        <f t="shared" si="1"/>
        <v>#ERROR!</v>
      </c>
      <c r="R1947" s="154" t="s">
        <v>66</v>
      </c>
      <c r="S1947" s="154" t="s">
        <v>66</v>
      </c>
      <c r="T1947" s="154" t="s">
        <v>66</v>
      </c>
      <c r="U1947" s="154" t="s">
        <v>66</v>
      </c>
      <c r="V1947" s="154" t="s">
        <v>66</v>
      </c>
      <c r="W1947" s="154" t="s">
        <v>66</v>
      </c>
      <c r="X1947" s="154" t="s">
        <v>66</v>
      </c>
      <c r="Y1947" s="154" t="s">
        <v>66</v>
      </c>
      <c r="Z1947" s="154" t="s">
        <v>66</v>
      </c>
      <c r="AA1947" s="154"/>
      <c r="AB1947" s="242" t="str">
        <f t="shared" si="2"/>
        <v>#ERROR!</v>
      </c>
      <c r="AC1947" s="154" t="s">
        <v>391</v>
      </c>
      <c r="AD1947" s="242" t="b">
        <f t="shared" si="3"/>
        <v>0</v>
      </c>
      <c r="AE1947" s="154"/>
      <c r="AF1947" s="242" t="str">
        <f t="shared" si="4"/>
        <v>#ERROR!</v>
      </c>
      <c r="AG1947" s="154"/>
      <c r="AH1947" s="242" t="str">
        <f>IF(AG1947="","N/A",INDIRECT("MTR!"&amp;ADDRESS(MATCH(LEFT(AG1947,9),[1]MTR!C:C,0),COLUMN(J1947)),TRUE) &amp; "")</f>
        <v>#ERROR!</v>
      </c>
      <c r="AI1947" s="157" t="str">
        <f t="shared" si="5"/>
        <v>#ERROR!</v>
      </c>
    </row>
    <row r="1948" ht="12.75" customHeight="1">
      <c r="A1948" s="244" t="s">
        <v>5158</v>
      </c>
      <c r="B1948" s="244" t="s">
        <v>231</v>
      </c>
      <c r="C1948" s="244" t="s">
        <v>11533</v>
      </c>
      <c r="D1948" s="154" t="s">
        <v>1315</v>
      </c>
      <c r="E1948" s="154"/>
      <c r="F1948" s="154" t="str">
        <f t="array" ref="F1948">XLOOKUP(Cover!$D$12,$R$1:$Z$1,$R1948:$Z1948)</f>
        <v>Information</v>
      </c>
      <c r="G1948" s="154" t="s">
        <v>11534</v>
      </c>
      <c r="H1948" s="154" t="s">
        <v>9002</v>
      </c>
      <c r="I1948" s="154" t="s">
        <v>11532</v>
      </c>
      <c r="J1948" s="154" t="s">
        <v>7502</v>
      </c>
      <c r="K1948" s="154" t="s">
        <v>11417</v>
      </c>
      <c r="L1948" s="154" t="s">
        <v>6905</v>
      </c>
      <c r="M1948" s="154"/>
      <c r="N1948" s="154" t="s">
        <v>759</v>
      </c>
      <c r="O1948" s="247" t="s">
        <v>516</v>
      </c>
      <c r="P1948" s="247" t="s">
        <v>6776</v>
      </c>
      <c r="Q1948" s="154" t="str">
        <f t="shared" si="1"/>
        <v>#ERROR!</v>
      </c>
      <c r="R1948" s="154" t="s">
        <v>66</v>
      </c>
      <c r="S1948" s="154" t="s">
        <v>66</v>
      </c>
      <c r="T1948" s="154" t="s">
        <v>66</v>
      </c>
      <c r="U1948" s="154" t="s">
        <v>66</v>
      </c>
      <c r="V1948" s="154" t="s">
        <v>66</v>
      </c>
      <c r="W1948" s="154" t="s">
        <v>66</v>
      </c>
      <c r="X1948" s="154" t="s">
        <v>66</v>
      </c>
      <c r="Y1948" s="154" t="s">
        <v>66</v>
      </c>
      <c r="Z1948" s="154" t="s">
        <v>66</v>
      </c>
      <c r="AA1948" s="154"/>
      <c r="AB1948" s="242" t="str">
        <f t="shared" si="2"/>
        <v>#ERROR!</v>
      </c>
      <c r="AC1948" s="154" t="s">
        <v>391</v>
      </c>
      <c r="AD1948" s="242" t="b">
        <f t="shared" si="3"/>
        <v>0</v>
      </c>
      <c r="AE1948" s="154"/>
      <c r="AF1948" s="242" t="str">
        <f t="shared" si="4"/>
        <v>#ERROR!</v>
      </c>
      <c r="AG1948" s="154"/>
      <c r="AH1948" s="242" t="str">
        <f>IF(AG1948="","N/A",INDIRECT("MTR!"&amp;ADDRESS(MATCH(LEFT(AG1948,9),[1]MTR!C:C,0),COLUMN(J1948)),TRUE) &amp; "")</f>
        <v>#ERROR!</v>
      </c>
      <c r="AI1948" s="157" t="str">
        <f t="shared" si="5"/>
        <v>#ERROR!</v>
      </c>
    </row>
    <row r="1949" ht="12.75" customHeight="1">
      <c r="A1949" s="244" t="s">
        <v>5158</v>
      </c>
      <c r="B1949" s="244" t="s">
        <v>231</v>
      </c>
      <c r="C1949" s="244" t="s">
        <v>11535</v>
      </c>
      <c r="D1949" s="154" t="s">
        <v>1315</v>
      </c>
      <c r="E1949" s="154"/>
      <c r="F1949" s="154" t="str">
        <f t="array" ref="F1949">XLOOKUP(Cover!$D$12,$R$1:$Z$1,$R1949:$Z1949)</f>
        <v>Information</v>
      </c>
      <c r="G1949" s="154" t="s">
        <v>11536</v>
      </c>
      <c r="H1949" s="154" t="s">
        <v>8302</v>
      </c>
      <c r="I1949" s="154" t="s">
        <v>11532</v>
      </c>
      <c r="J1949" s="154" t="s">
        <v>7502</v>
      </c>
      <c r="K1949" s="154" t="s">
        <v>11417</v>
      </c>
      <c r="L1949" s="154" t="s">
        <v>6905</v>
      </c>
      <c r="M1949" s="154"/>
      <c r="N1949" s="154" t="s">
        <v>759</v>
      </c>
      <c r="O1949" s="247" t="s">
        <v>516</v>
      </c>
      <c r="P1949" s="247" t="s">
        <v>6776</v>
      </c>
      <c r="Q1949" s="154" t="str">
        <f t="shared" si="1"/>
        <v>#ERROR!</v>
      </c>
      <c r="R1949" s="154" t="s">
        <v>66</v>
      </c>
      <c r="S1949" s="154" t="s">
        <v>66</v>
      </c>
      <c r="T1949" s="154" t="s">
        <v>66</v>
      </c>
      <c r="U1949" s="154" t="s">
        <v>66</v>
      </c>
      <c r="V1949" s="154" t="s">
        <v>66</v>
      </c>
      <c r="W1949" s="154" t="s">
        <v>66</v>
      </c>
      <c r="X1949" s="154" t="s">
        <v>66</v>
      </c>
      <c r="Y1949" s="154" t="s">
        <v>66</v>
      </c>
      <c r="Z1949" s="154" t="s">
        <v>66</v>
      </c>
      <c r="AA1949" s="154"/>
      <c r="AB1949" s="242" t="str">
        <f t="shared" si="2"/>
        <v>#ERROR!</v>
      </c>
      <c r="AC1949" s="154" t="s">
        <v>391</v>
      </c>
      <c r="AD1949" s="242" t="b">
        <f t="shared" si="3"/>
        <v>0</v>
      </c>
      <c r="AE1949" s="154"/>
      <c r="AF1949" s="242" t="str">
        <f t="shared" si="4"/>
        <v>#ERROR!</v>
      </c>
      <c r="AG1949" s="154"/>
      <c r="AH1949" s="242" t="str">
        <f>IF(AG1949="","N/A",INDIRECT("MTR!"&amp;ADDRESS(MATCH(LEFT(AG1949,9),[1]MTR!C:C,0),COLUMN(J1949)),TRUE) &amp; "")</f>
        <v>#ERROR!</v>
      </c>
      <c r="AI1949" s="157" t="str">
        <f t="shared" si="5"/>
        <v>#ERROR!</v>
      </c>
    </row>
    <row r="1950" ht="12.75" customHeight="1">
      <c r="A1950" s="244" t="s">
        <v>5158</v>
      </c>
      <c r="B1950" s="244" t="s">
        <v>231</v>
      </c>
      <c r="C1950" s="244" t="s">
        <v>11537</v>
      </c>
      <c r="D1950" s="154" t="s">
        <v>1315</v>
      </c>
      <c r="E1950" s="154"/>
      <c r="F1950" s="154" t="str">
        <f t="array" ref="F1950">XLOOKUP(Cover!$D$12,$R$1:$Z$1,$R1950:$Z1950)</f>
        <v>Information</v>
      </c>
      <c r="G1950" s="154" t="s">
        <v>11538</v>
      </c>
      <c r="H1950" s="154" t="s">
        <v>9009</v>
      </c>
      <c r="I1950" s="154" t="s">
        <v>11532</v>
      </c>
      <c r="J1950" s="154" t="s">
        <v>7502</v>
      </c>
      <c r="K1950" s="154" t="s">
        <v>11417</v>
      </c>
      <c r="L1950" s="154" t="s">
        <v>6905</v>
      </c>
      <c r="M1950" s="154"/>
      <c r="N1950" s="154" t="s">
        <v>759</v>
      </c>
      <c r="O1950" s="247" t="s">
        <v>516</v>
      </c>
      <c r="P1950" s="247" t="s">
        <v>6776</v>
      </c>
      <c r="Q1950" s="154" t="str">
        <f t="shared" si="1"/>
        <v>#ERROR!</v>
      </c>
      <c r="R1950" s="154" t="s">
        <v>66</v>
      </c>
      <c r="S1950" s="154" t="s">
        <v>66</v>
      </c>
      <c r="T1950" s="154" t="s">
        <v>66</v>
      </c>
      <c r="U1950" s="154" t="s">
        <v>66</v>
      </c>
      <c r="V1950" s="154" t="s">
        <v>66</v>
      </c>
      <c r="W1950" s="154" t="s">
        <v>66</v>
      </c>
      <c r="X1950" s="154" t="s">
        <v>66</v>
      </c>
      <c r="Y1950" s="154" t="s">
        <v>66</v>
      </c>
      <c r="Z1950" s="154" t="s">
        <v>66</v>
      </c>
      <c r="AA1950" s="154"/>
      <c r="AB1950" s="242" t="str">
        <f t="shared" si="2"/>
        <v>#ERROR!</v>
      </c>
      <c r="AC1950" s="154" t="s">
        <v>391</v>
      </c>
      <c r="AD1950" s="242" t="b">
        <f t="shared" si="3"/>
        <v>0</v>
      </c>
      <c r="AE1950" s="154"/>
      <c r="AF1950" s="242" t="str">
        <f t="shared" si="4"/>
        <v>#ERROR!</v>
      </c>
      <c r="AG1950" s="154"/>
      <c r="AH1950" s="242" t="str">
        <f>IF(AG1950="","N/A",INDIRECT("MTR!"&amp;ADDRESS(MATCH(LEFT(AG1950,9),[1]MTR!C:C,0),COLUMN(J1950)),TRUE) &amp; "")</f>
        <v>#ERROR!</v>
      </c>
      <c r="AI1950" s="157" t="str">
        <f t="shared" si="5"/>
        <v>#ERROR!</v>
      </c>
    </row>
    <row r="1951" ht="12.75" customHeight="1">
      <c r="A1951" s="244" t="s">
        <v>5158</v>
      </c>
      <c r="B1951" s="244" t="s">
        <v>231</v>
      </c>
      <c r="C1951" s="244" t="s">
        <v>11539</v>
      </c>
      <c r="D1951" s="154" t="s">
        <v>1315</v>
      </c>
      <c r="E1951" s="154"/>
      <c r="F1951" s="154" t="str">
        <f t="array" ref="F1951">XLOOKUP(Cover!$D$12,$R$1:$Z$1,$R1951:$Z1951)</f>
        <v>Information</v>
      </c>
      <c r="G1951" s="154" t="s">
        <v>11540</v>
      </c>
      <c r="H1951" s="154" t="s">
        <v>8305</v>
      </c>
      <c r="I1951" s="154" t="s">
        <v>11532</v>
      </c>
      <c r="J1951" s="154" t="s">
        <v>7502</v>
      </c>
      <c r="K1951" s="154" t="s">
        <v>11417</v>
      </c>
      <c r="L1951" s="154" t="s">
        <v>6905</v>
      </c>
      <c r="M1951" s="154"/>
      <c r="N1951" s="154" t="s">
        <v>759</v>
      </c>
      <c r="O1951" s="247" t="s">
        <v>516</v>
      </c>
      <c r="P1951" s="247" t="s">
        <v>6776</v>
      </c>
      <c r="Q1951" s="154" t="str">
        <f t="shared" si="1"/>
        <v>#ERROR!</v>
      </c>
      <c r="R1951" s="154" t="s">
        <v>66</v>
      </c>
      <c r="S1951" s="154" t="s">
        <v>66</v>
      </c>
      <c r="T1951" s="154" t="s">
        <v>66</v>
      </c>
      <c r="U1951" s="154" t="s">
        <v>66</v>
      </c>
      <c r="V1951" s="154" t="s">
        <v>66</v>
      </c>
      <c r="W1951" s="154" t="s">
        <v>66</v>
      </c>
      <c r="X1951" s="154" t="s">
        <v>66</v>
      </c>
      <c r="Y1951" s="154" t="s">
        <v>66</v>
      </c>
      <c r="Z1951" s="154" t="s">
        <v>66</v>
      </c>
      <c r="AA1951" s="154"/>
      <c r="AB1951" s="242" t="str">
        <f t="shared" si="2"/>
        <v>#ERROR!</v>
      </c>
      <c r="AC1951" s="154" t="s">
        <v>391</v>
      </c>
      <c r="AD1951" s="242" t="b">
        <f t="shared" si="3"/>
        <v>0</v>
      </c>
      <c r="AE1951" s="154"/>
      <c r="AF1951" s="242" t="str">
        <f t="shared" si="4"/>
        <v>#ERROR!</v>
      </c>
      <c r="AG1951" s="154"/>
      <c r="AH1951" s="242" t="str">
        <f>IF(AG1951="","N/A",INDIRECT("MTR!"&amp;ADDRESS(MATCH(LEFT(AG1951,9),[1]MTR!C:C,0),COLUMN(J1951)),TRUE) &amp; "")</f>
        <v>#ERROR!</v>
      </c>
      <c r="AI1951" s="157" t="str">
        <f t="shared" si="5"/>
        <v>#ERROR!</v>
      </c>
    </row>
    <row r="1952" ht="12.75" customHeight="1">
      <c r="A1952" s="244" t="s">
        <v>5158</v>
      </c>
      <c r="B1952" s="244" t="s">
        <v>231</v>
      </c>
      <c r="C1952" s="244" t="s">
        <v>11541</v>
      </c>
      <c r="D1952" s="154" t="s">
        <v>1315</v>
      </c>
      <c r="E1952" s="154"/>
      <c r="F1952" s="154" t="str">
        <f t="array" ref="F1952">XLOOKUP(Cover!$D$12,$R$1:$Z$1,$R1952:$Z1952)</f>
        <v>Information</v>
      </c>
      <c r="G1952" s="154" t="s">
        <v>11542</v>
      </c>
      <c r="H1952" s="154" t="s">
        <v>9015</v>
      </c>
      <c r="I1952" s="154" t="s">
        <v>11532</v>
      </c>
      <c r="J1952" s="154" t="s">
        <v>7502</v>
      </c>
      <c r="K1952" s="154" t="s">
        <v>11417</v>
      </c>
      <c r="L1952" s="154" t="s">
        <v>6905</v>
      </c>
      <c r="M1952" s="154"/>
      <c r="N1952" s="154" t="s">
        <v>759</v>
      </c>
      <c r="O1952" s="247" t="s">
        <v>516</v>
      </c>
      <c r="P1952" s="247" t="s">
        <v>6776</v>
      </c>
      <c r="Q1952" s="154" t="str">
        <f t="shared" si="1"/>
        <v>#ERROR!</v>
      </c>
      <c r="R1952" s="154" t="s">
        <v>66</v>
      </c>
      <c r="S1952" s="154" t="s">
        <v>66</v>
      </c>
      <c r="T1952" s="154" t="s">
        <v>66</v>
      </c>
      <c r="U1952" s="154" t="s">
        <v>66</v>
      </c>
      <c r="V1952" s="154" t="s">
        <v>66</v>
      </c>
      <c r="W1952" s="154" t="s">
        <v>66</v>
      </c>
      <c r="X1952" s="154" t="s">
        <v>66</v>
      </c>
      <c r="Y1952" s="154" t="s">
        <v>66</v>
      </c>
      <c r="Z1952" s="154" t="s">
        <v>66</v>
      </c>
      <c r="AA1952" s="154"/>
      <c r="AB1952" s="242" t="str">
        <f t="shared" si="2"/>
        <v>#ERROR!</v>
      </c>
      <c r="AC1952" s="154" t="s">
        <v>391</v>
      </c>
      <c r="AD1952" s="242" t="b">
        <f t="shared" si="3"/>
        <v>0</v>
      </c>
      <c r="AE1952" s="154"/>
      <c r="AF1952" s="242" t="str">
        <f t="shared" si="4"/>
        <v>#ERROR!</v>
      </c>
      <c r="AG1952" s="154"/>
      <c r="AH1952" s="242" t="str">
        <f>IF(AG1952="","N/A",INDIRECT("MTR!"&amp;ADDRESS(MATCH(LEFT(AG1952,9),[1]MTR!C:C,0),COLUMN(J1952)),TRUE) &amp; "")</f>
        <v>#ERROR!</v>
      </c>
      <c r="AI1952" s="157" t="str">
        <f t="shared" si="5"/>
        <v>#ERROR!</v>
      </c>
    </row>
    <row r="1953" ht="12.75" customHeight="1">
      <c r="A1953" s="244" t="s">
        <v>5158</v>
      </c>
      <c r="B1953" s="244" t="s">
        <v>231</v>
      </c>
      <c r="C1953" s="244" t="s">
        <v>11543</v>
      </c>
      <c r="D1953" s="154" t="s">
        <v>1315</v>
      </c>
      <c r="E1953" s="154"/>
      <c r="F1953" s="154" t="str">
        <f t="array" ref="F1953">XLOOKUP(Cover!$D$12,$R$1:$Z$1,$R1953:$Z1953)</f>
        <v>Information</v>
      </c>
      <c r="G1953" s="154" t="s">
        <v>11544</v>
      </c>
      <c r="H1953" s="154" t="s">
        <v>8299</v>
      </c>
      <c r="I1953" s="154" t="s">
        <v>11545</v>
      </c>
      <c r="J1953" s="154" t="s">
        <v>6935</v>
      </c>
      <c r="K1953" s="154" t="s">
        <v>11417</v>
      </c>
      <c r="L1953" s="154" t="s">
        <v>6905</v>
      </c>
      <c r="M1953" s="154"/>
      <c r="N1953" s="154" t="s">
        <v>759</v>
      </c>
      <c r="O1953" s="247" t="s">
        <v>516</v>
      </c>
      <c r="P1953" s="247" t="s">
        <v>6776</v>
      </c>
      <c r="Q1953" s="154" t="str">
        <f t="shared" si="1"/>
        <v>#ERROR!</v>
      </c>
      <c r="R1953" s="154" t="s">
        <v>66</v>
      </c>
      <c r="S1953" s="154" t="s">
        <v>66</v>
      </c>
      <c r="T1953" s="154" t="s">
        <v>66</v>
      </c>
      <c r="U1953" s="154" t="s">
        <v>66</v>
      </c>
      <c r="V1953" s="154" t="s">
        <v>66</v>
      </c>
      <c r="W1953" s="154" t="s">
        <v>66</v>
      </c>
      <c r="X1953" s="154" t="s">
        <v>66</v>
      </c>
      <c r="Y1953" s="154" t="s">
        <v>66</v>
      </c>
      <c r="Z1953" s="154" t="s">
        <v>66</v>
      </c>
      <c r="AA1953" s="154"/>
      <c r="AB1953" s="242" t="str">
        <f t="shared" si="2"/>
        <v>#ERROR!</v>
      </c>
      <c r="AC1953" s="154" t="s">
        <v>391</v>
      </c>
      <c r="AD1953" s="242" t="b">
        <f t="shared" si="3"/>
        <v>0</v>
      </c>
      <c r="AE1953" s="154"/>
      <c r="AF1953" s="242" t="str">
        <f t="shared" si="4"/>
        <v>#ERROR!</v>
      </c>
      <c r="AG1953" s="154"/>
      <c r="AH1953" s="242" t="str">
        <f>IF(AG1953="","N/A",INDIRECT("MTR!"&amp;ADDRESS(MATCH(LEFT(AG1953,9),[1]MTR!C:C,0),COLUMN(J1953)),TRUE) &amp; "")</f>
        <v>#ERROR!</v>
      </c>
      <c r="AI1953" s="157" t="str">
        <f t="shared" si="5"/>
        <v>#ERROR!</v>
      </c>
    </row>
    <row r="1954" ht="12.75" customHeight="1">
      <c r="A1954" s="244" t="s">
        <v>5158</v>
      </c>
      <c r="B1954" s="244" t="s">
        <v>231</v>
      </c>
      <c r="C1954" s="244" t="s">
        <v>11546</v>
      </c>
      <c r="D1954" s="154" t="s">
        <v>1315</v>
      </c>
      <c r="E1954" s="154"/>
      <c r="F1954" s="154" t="str">
        <f t="array" ref="F1954">XLOOKUP(Cover!$D$12,$R$1:$Z$1,$R1954:$Z1954)</f>
        <v>Information</v>
      </c>
      <c r="G1954" s="154" t="s">
        <v>11547</v>
      </c>
      <c r="H1954" s="154" t="s">
        <v>9006</v>
      </c>
      <c r="I1954" s="154" t="s">
        <v>11545</v>
      </c>
      <c r="J1954" s="154" t="s">
        <v>6935</v>
      </c>
      <c r="K1954" s="154" t="s">
        <v>11417</v>
      </c>
      <c r="L1954" s="154" t="s">
        <v>6905</v>
      </c>
      <c r="M1954" s="154"/>
      <c r="N1954" s="154" t="s">
        <v>759</v>
      </c>
      <c r="O1954" s="247" t="s">
        <v>516</v>
      </c>
      <c r="P1954" s="247" t="s">
        <v>6776</v>
      </c>
      <c r="Q1954" s="154" t="str">
        <f t="shared" si="1"/>
        <v>#ERROR!</v>
      </c>
      <c r="R1954" s="154" t="s">
        <v>66</v>
      </c>
      <c r="S1954" s="154" t="s">
        <v>66</v>
      </c>
      <c r="T1954" s="154" t="s">
        <v>66</v>
      </c>
      <c r="U1954" s="154" t="s">
        <v>66</v>
      </c>
      <c r="V1954" s="154" t="s">
        <v>66</v>
      </c>
      <c r="W1954" s="154" t="s">
        <v>66</v>
      </c>
      <c r="X1954" s="154" t="s">
        <v>66</v>
      </c>
      <c r="Y1954" s="154" t="s">
        <v>66</v>
      </c>
      <c r="Z1954" s="154" t="s">
        <v>66</v>
      </c>
      <c r="AA1954" s="154"/>
      <c r="AB1954" s="242" t="str">
        <f t="shared" si="2"/>
        <v>#ERROR!</v>
      </c>
      <c r="AC1954" s="154" t="s">
        <v>391</v>
      </c>
      <c r="AD1954" s="242" t="b">
        <f t="shared" si="3"/>
        <v>0</v>
      </c>
      <c r="AE1954" s="154"/>
      <c r="AF1954" s="242" t="str">
        <f t="shared" si="4"/>
        <v>#ERROR!</v>
      </c>
      <c r="AG1954" s="154"/>
      <c r="AH1954" s="242" t="str">
        <f>IF(AG1954="","N/A",INDIRECT("MTR!"&amp;ADDRESS(MATCH(LEFT(AG1954,9),[1]MTR!C:C,0),COLUMN(J1954)),TRUE) &amp; "")</f>
        <v>#ERROR!</v>
      </c>
      <c r="AI1954" s="157" t="str">
        <f t="shared" si="5"/>
        <v>#ERROR!</v>
      </c>
    </row>
    <row r="1955" ht="12.75" customHeight="1">
      <c r="A1955" s="244" t="s">
        <v>5158</v>
      </c>
      <c r="B1955" s="244" t="s">
        <v>231</v>
      </c>
      <c r="C1955" s="244" t="s">
        <v>11548</v>
      </c>
      <c r="D1955" s="154" t="s">
        <v>1315</v>
      </c>
      <c r="E1955" s="154"/>
      <c r="F1955" s="154" t="str">
        <f t="array" ref="F1955">XLOOKUP(Cover!$D$12,$R$1:$Z$1,$R1955:$Z1955)</f>
        <v>Information</v>
      </c>
      <c r="G1955" s="154" t="s">
        <v>11549</v>
      </c>
      <c r="H1955" s="154" t="s">
        <v>8302</v>
      </c>
      <c r="I1955" s="154" t="s">
        <v>11545</v>
      </c>
      <c r="J1955" s="154" t="s">
        <v>6935</v>
      </c>
      <c r="K1955" s="154" t="s">
        <v>11417</v>
      </c>
      <c r="L1955" s="154" t="s">
        <v>6905</v>
      </c>
      <c r="M1955" s="154"/>
      <c r="N1955" s="154" t="s">
        <v>759</v>
      </c>
      <c r="O1955" s="247" t="s">
        <v>516</v>
      </c>
      <c r="P1955" s="247" t="s">
        <v>6776</v>
      </c>
      <c r="Q1955" s="154" t="str">
        <f t="shared" si="1"/>
        <v>#ERROR!</v>
      </c>
      <c r="R1955" s="154" t="s">
        <v>66</v>
      </c>
      <c r="S1955" s="154" t="s">
        <v>66</v>
      </c>
      <c r="T1955" s="154" t="s">
        <v>66</v>
      </c>
      <c r="U1955" s="154" t="s">
        <v>66</v>
      </c>
      <c r="V1955" s="154" t="s">
        <v>66</v>
      </c>
      <c r="W1955" s="154" t="s">
        <v>66</v>
      </c>
      <c r="X1955" s="154" t="s">
        <v>66</v>
      </c>
      <c r="Y1955" s="154" t="s">
        <v>66</v>
      </c>
      <c r="Z1955" s="154" t="s">
        <v>66</v>
      </c>
      <c r="AA1955" s="154"/>
      <c r="AB1955" s="242" t="str">
        <f t="shared" si="2"/>
        <v>#ERROR!</v>
      </c>
      <c r="AC1955" s="154" t="s">
        <v>391</v>
      </c>
      <c r="AD1955" s="242" t="b">
        <f t="shared" si="3"/>
        <v>0</v>
      </c>
      <c r="AE1955" s="154"/>
      <c r="AF1955" s="242" t="str">
        <f t="shared" si="4"/>
        <v>#ERROR!</v>
      </c>
      <c r="AG1955" s="154"/>
      <c r="AH1955" s="242" t="str">
        <f>IF(AG1955="","N/A",INDIRECT("MTR!"&amp;ADDRESS(MATCH(LEFT(AG1955,9),[1]MTR!C:C,0),COLUMN(J1955)),TRUE) &amp; "")</f>
        <v>#ERROR!</v>
      </c>
      <c r="AI1955" s="157" t="str">
        <f t="shared" si="5"/>
        <v>#ERROR!</v>
      </c>
    </row>
    <row r="1956" ht="12.75" customHeight="1">
      <c r="A1956" s="244" t="s">
        <v>5158</v>
      </c>
      <c r="B1956" s="244" t="s">
        <v>231</v>
      </c>
      <c r="C1956" s="244" t="s">
        <v>11550</v>
      </c>
      <c r="D1956" s="154" t="s">
        <v>1315</v>
      </c>
      <c r="E1956" s="154"/>
      <c r="F1956" s="154" t="str">
        <f t="array" ref="F1956">XLOOKUP(Cover!$D$12,$R$1:$Z$1,$R1956:$Z1956)</f>
        <v>Information</v>
      </c>
      <c r="G1956" s="154" t="s">
        <v>11551</v>
      </c>
      <c r="H1956" s="154" t="s">
        <v>9009</v>
      </c>
      <c r="I1956" s="154" t="s">
        <v>11545</v>
      </c>
      <c r="J1956" s="154" t="s">
        <v>6935</v>
      </c>
      <c r="K1956" s="154" t="s">
        <v>11417</v>
      </c>
      <c r="L1956" s="154" t="s">
        <v>6905</v>
      </c>
      <c r="M1956" s="154"/>
      <c r="N1956" s="154" t="s">
        <v>759</v>
      </c>
      <c r="O1956" s="247" t="s">
        <v>516</v>
      </c>
      <c r="P1956" s="247" t="s">
        <v>6776</v>
      </c>
      <c r="Q1956" s="154" t="str">
        <f t="shared" si="1"/>
        <v>#ERROR!</v>
      </c>
      <c r="R1956" s="154" t="s">
        <v>66</v>
      </c>
      <c r="S1956" s="154" t="s">
        <v>66</v>
      </c>
      <c r="T1956" s="154" t="s">
        <v>66</v>
      </c>
      <c r="U1956" s="154" t="s">
        <v>66</v>
      </c>
      <c r="V1956" s="154" t="s">
        <v>66</v>
      </c>
      <c r="W1956" s="154" t="s">
        <v>66</v>
      </c>
      <c r="X1956" s="154" t="s">
        <v>66</v>
      </c>
      <c r="Y1956" s="154" t="s">
        <v>66</v>
      </c>
      <c r="Z1956" s="154" t="s">
        <v>66</v>
      </c>
      <c r="AA1956" s="154"/>
      <c r="AB1956" s="242" t="str">
        <f t="shared" si="2"/>
        <v>#ERROR!</v>
      </c>
      <c r="AC1956" s="154" t="s">
        <v>391</v>
      </c>
      <c r="AD1956" s="242" t="b">
        <f t="shared" si="3"/>
        <v>0</v>
      </c>
      <c r="AE1956" s="154"/>
      <c r="AF1956" s="242" t="str">
        <f t="shared" si="4"/>
        <v>#ERROR!</v>
      </c>
      <c r="AG1956" s="154"/>
      <c r="AH1956" s="242" t="str">
        <f>IF(AG1956="","N/A",INDIRECT("MTR!"&amp;ADDRESS(MATCH(LEFT(AG1956,9),[1]MTR!C:C,0),COLUMN(J1956)),TRUE) &amp; "")</f>
        <v>#ERROR!</v>
      </c>
      <c r="AI1956" s="157" t="str">
        <f t="shared" si="5"/>
        <v>#ERROR!</v>
      </c>
    </row>
    <row r="1957" ht="12.75" customHeight="1">
      <c r="A1957" s="244" t="s">
        <v>5158</v>
      </c>
      <c r="B1957" s="244" t="s">
        <v>231</v>
      </c>
      <c r="C1957" s="244" t="s">
        <v>11552</v>
      </c>
      <c r="D1957" s="154" t="s">
        <v>1315</v>
      </c>
      <c r="E1957" s="154"/>
      <c r="F1957" s="154" t="str">
        <f t="array" ref="F1957">XLOOKUP(Cover!$D$12,$R$1:$Z$1,$R1957:$Z1957)</f>
        <v>Information</v>
      </c>
      <c r="G1957" s="154" t="s">
        <v>11553</v>
      </c>
      <c r="H1957" s="154" t="s">
        <v>8299</v>
      </c>
      <c r="I1957" s="154" t="s">
        <v>11554</v>
      </c>
      <c r="J1957" s="154" t="s">
        <v>6992</v>
      </c>
      <c r="K1957" s="154" t="s">
        <v>11417</v>
      </c>
      <c r="L1957" s="154" t="s">
        <v>6905</v>
      </c>
      <c r="M1957" s="154"/>
      <c r="N1957" s="154" t="s">
        <v>759</v>
      </c>
      <c r="O1957" s="247" t="s">
        <v>516</v>
      </c>
      <c r="P1957" s="247" t="s">
        <v>6776</v>
      </c>
      <c r="Q1957" s="154" t="str">
        <f t="shared" si="1"/>
        <v>#ERROR!</v>
      </c>
      <c r="R1957" s="154" t="s">
        <v>66</v>
      </c>
      <c r="S1957" s="154" t="s">
        <v>66</v>
      </c>
      <c r="T1957" s="154" t="s">
        <v>66</v>
      </c>
      <c r="U1957" s="154" t="s">
        <v>66</v>
      </c>
      <c r="V1957" s="154" t="s">
        <v>66</v>
      </c>
      <c r="W1957" s="154" t="s">
        <v>66</v>
      </c>
      <c r="X1957" s="154" t="s">
        <v>66</v>
      </c>
      <c r="Y1957" s="154" t="s">
        <v>66</v>
      </c>
      <c r="Z1957" s="154" t="s">
        <v>66</v>
      </c>
      <c r="AA1957" s="154"/>
      <c r="AB1957" s="242" t="str">
        <f t="shared" si="2"/>
        <v>#ERROR!</v>
      </c>
      <c r="AC1957" s="154" t="s">
        <v>391</v>
      </c>
      <c r="AD1957" s="242" t="b">
        <f t="shared" si="3"/>
        <v>0</v>
      </c>
      <c r="AE1957" s="154"/>
      <c r="AF1957" s="242" t="str">
        <f t="shared" si="4"/>
        <v>#ERROR!</v>
      </c>
      <c r="AG1957" s="154"/>
      <c r="AH1957" s="242" t="str">
        <f>IF(AG1957="","N/A",INDIRECT("MTR!"&amp;ADDRESS(MATCH(LEFT(AG1957,9),[1]MTR!C:C,0),COLUMN(J1957)),TRUE) &amp; "")</f>
        <v>#ERROR!</v>
      </c>
      <c r="AI1957" s="157" t="str">
        <f t="shared" si="5"/>
        <v>#ERROR!</v>
      </c>
    </row>
    <row r="1958" ht="12.75" customHeight="1">
      <c r="A1958" s="244" t="s">
        <v>5158</v>
      </c>
      <c r="B1958" s="244" t="s">
        <v>231</v>
      </c>
      <c r="C1958" s="244" t="s">
        <v>11555</v>
      </c>
      <c r="D1958" s="154" t="s">
        <v>1315</v>
      </c>
      <c r="E1958" s="154"/>
      <c r="F1958" s="154" t="str">
        <f t="array" ref="F1958">XLOOKUP(Cover!$D$12,$R$1:$Z$1,$R1958:$Z1958)</f>
        <v>Information</v>
      </c>
      <c r="G1958" s="154" t="s">
        <v>11556</v>
      </c>
      <c r="H1958" s="154" t="s">
        <v>9006</v>
      </c>
      <c r="I1958" s="154" t="s">
        <v>11554</v>
      </c>
      <c r="J1958" s="154" t="s">
        <v>6992</v>
      </c>
      <c r="K1958" s="154" t="s">
        <v>11417</v>
      </c>
      <c r="L1958" s="154" t="s">
        <v>6905</v>
      </c>
      <c r="M1958" s="154"/>
      <c r="N1958" s="154" t="s">
        <v>759</v>
      </c>
      <c r="O1958" s="247" t="s">
        <v>516</v>
      </c>
      <c r="P1958" s="247" t="s">
        <v>6776</v>
      </c>
      <c r="Q1958" s="154" t="str">
        <f t="shared" si="1"/>
        <v>#ERROR!</v>
      </c>
      <c r="R1958" s="154" t="s">
        <v>66</v>
      </c>
      <c r="S1958" s="154" t="s">
        <v>66</v>
      </c>
      <c r="T1958" s="154" t="s">
        <v>66</v>
      </c>
      <c r="U1958" s="154" t="s">
        <v>66</v>
      </c>
      <c r="V1958" s="154" t="s">
        <v>66</v>
      </c>
      <c r="W1958" s="154" t="s">
        <v>66</v>
      </c>
      <c r="X1958" s="154" t="s">
        <v>66</v>
      </c>
      <c r="Y1958" s="154" t="s">
        <v>66</v>
      </c>
      <c r="Z1958" s="154" t="s">
        <v>66</v>
      </c>
      <c r="AA1958" s="154"/>
      <c r="AB1958" s="242" t="str">
        <f t="shared" si="2"/>
        <v>#ERROR!</v>
      </c>
      <c r="AC1958" s="154" t="s">
        <v>391</v>
      </c>
      <c r="AD1958" s="242" t="b">
        <f t="shared" si="3"/>
        <v>0</v>
      </c>
      <c r="AE1958" s="154"/>
      <c r="AF1958" s="242" t="str">
        <f t="shared" si="4"/>
        <v>#ERROR!</v>
      </c>
      <c r="AG1958" s="154"/>
      <c r="AH1958" s="242" t="str">
        <f>IF(AG1958="","N/A",INDIRECT("MTR!"&amp;ADDRESS(MATCH(LEFT(AG1958,9),[1]MTR!C:C,0),COLUMN(J1958)),TRUE) &amp; "")</f>
        <v>#ERROR!</v>
      </c>
      <c r="AI1958" s="157" t="str">
        <f t="shared" si="5"/>
        <v>#ERROR!</v>
      </c>
    </row>
    <row r="1959" ht="12.75" customHeight="1">
      <c r="A1959" s="244" t="s">
        <v>5158</v>
      </c>
      <c r="B1959" s="244" t="s">
        <v>231</v>
      </c>
      <c r="C1959" s="244" t="s">
        <v>11557</v>
      </c>
      <c r="D1959" s="154" t="s">
        <v>1315</v>
      </c>
      <c r="E1959" s="154"/>
      <c r="F1959" s="154" t="str">
        <f t="array" ref="F1959">XLOOKUP(Cover!$D$12,$R$1:$Z$1,$R1959:$Z1959)</f>
        <v>Information</v>
      </c>
      <c r="G1959" s="154" t="s">
        <v>11558</v>
      </c>
      <c r="H1959" s="154" t="s">
        <v>8302</v>
      </c>
      <c r="I1959" s="154" t="s">
        <v>11554</v>
      </c>
      <c r="J1959" s="154" t="s">
        <v>6992</v>
      </c>
      <c r="K1959" s="154" t="s">
        <v>11417</v>
      </c>
      <c r="L1959" s="154" t="s">
        <v>6905</v>
      </c>
      <c r="M1959" s="154"/>
      <c r="N1959" s="154" t="s">
        <v>759</v>
      </c>
      <c r="O1959" s="247" t="s">
        <v>516</v>
      </c>
      <c r="P1959" s="247" t="s">
        <v>6776</v>
      </c>
      <c r="Q1959" s="154" t="str">
        <f t="shared" si="1"/>
        <v>#ERROR!</v>
      </c>
      <c r="R1959" s="154" t="s">
        <v>66</v>
      </c>
      <c r="S1959" s="154" t="s">
        <v>66</v>
      </c>
      <c r="T1959" s="154" t="s">
        <v>66</v>
      </c>
      <c r="U1959" s="154" t="s">
        <v>66</v>
      </c>
      <c r="V1959" s="154" t="s">
        <v>66</v>
      </c>
      <c r="W1959" s="154" t="s">
        <v>66</v>
      </c>
      <c r="X1959" s="154" t="s">
        <v>66</v>
      </c>
      <c r="Y1959" s="154" t="s">
        <v>66</v>
      </c>
      <c r="Z1959" s="154" t="s">
        <v>66</v>
      </c>
      <c r="AA1959" s="154"/>
      <c r="AB1959" s="242" t="str">
        <f t="shared" si="2"/>
        <v>#ERROR!</v>
      </c>
      <c r="AC1959" s="154" t="s">
        <v>391</v>
      </c>
      <c r="AD1959" s="242" t="b">
        <f t="shared" si="3"/>
        <v>0</v>
      </c>
      <c r="AE1959" s="154"/>
      <c r="AF1959" s="242" t="str">
        <f t="shared" si="4"/>
        <v>#ERROR!</v>
      </c>
      <c r="AG1959" s="154"/>
      <c r="AH1959" s="242" t="str">
        <f>IF(AG1959="","N/A",INDIRECT("MTR!"&amp;ADDRESS(MATCH(LEFT(AG1959,9),[1]MTR!C:C,0),COLUMN(J1959)),TRUE) &amp; "")</f>
        <v>#ERROR!</v>
      </c>
      <c r="AI1959" s="157" t="str">
        <f t="shared" si="5"/>
        <v>#ERROR!</v>
      </c>
    </row>
    <row r="1960" ht="12.75" customHeight="1">
      <c r="A1960" s="244" t="s">
        <v>5158</v>
      </c>
      <c r="B1960" s="244" t="s">
        <v>231</v>
      </c>
      <c r="C1960" s="244" t="s">
        <v>11559</v>
      </c>
      <c r="D1960" s="154" t="s">
        <v>1315</v>
      </c>
      <c r="E1960" s="154"/>
      <c r="F1960" s="154" t="str">
        <f t="array" ref="F1960">XLOOKUP(Cover!$D$12,$R$1:$Z$1,$R1960:$Z1960)</f>
        <v>Information</v>
      </c>
      <c r="G1960" s="154" t="s">
        <v>11560</v>
      </c>
      <c r="H1960" s="154" t="s">
        <v>9009</v>
      </c>
      <c r="I1960" s="154" t="s">
        <v>11554</v>
      </c>
      <c r="J1960" s="154" t="s">
        <v>6992</v>
      </c>
      <c r="K1960" s="154" t="s">
        <v>11417</v>
      </c>
      <c r="L1960" s="154" t="s">
        <v>6905</v>
      </c>
      <c r="M1960" s="154"/>
      <c r="N1960" s="154" t="s">
        <v>759</v>
      </c>
      <c r="O1960" s="247" t="s">
        <v>516</v>
      </c>
      <c r="P1960" s="247" t="s">
        <v>6776</v>
      </c>
      <c r="Q1960" s="154" t="str">
        <f t="shared" si="1"/>
        <v>#ERROR!</v>
      </c>
      <c r="R1960" s="154" t="s">
        <v>66</v>
      </c>
      <c r="S1960" s="154" t="s">
        <v>66</v>
      </c>
      <c r="T1960" s="154" t="s">
        <v>66</v>
      </c>
      <c r="U1960" s="154" t="s">
        <v>66</v>
      </c>
      <c r="V1960" s="154" t="s">
        <v>66</v>
      </c>
      <c r="W1960" s="154" t="s">
        <v>66</v>
      </c>
      <c r="X1960" s="154" t="s">
        <v>66</v>
      </c>
      <c r="Y1960" s="154" t="s">
        <v>66</v>
      </c>
      <c r="Z1960" s="154" t="s">
        <v>66</v>
      </c>
      <c r="AA1960" s="154"/>
      <c r="AB1960" s="242" t="str">
        <f t="shared" si="2"/>
        <v>#ERROR!</v>
      </c>
      <c r="AC1960" s="154" t="s">
        <v>391</v>
      </c>
      <c r="AD1960" s="242" t="b">
        <f t="shared" si="3"/>
        <v>0</v>
      </c>
      <c r="AE1960" s="154"/>
      <c r="AF1960" s="242" t="str">
        <f t="shared" si="4"/>
        <v>#ERROR!</v>
      </c>
      <c r="AG1960" s="154"/>
      <c r="AH1960" s="242" t="str">
        <f>IF(AG1960="","N/A",INDIRECT("MTR!"&amp;ADDRESS(MATCH(LEFT(AG1960,9),[1]MTR!C:C,0),COLUMN(J1960)),TRUE) &amp; "")</f>
        <v>#ERROR!</v>
      </c>
      <c r="AI1960" s="157" t="str">
        <f t="shared" si="5"/>
        <v>#ERROR!</v>
      </c>
    </row>
    <row r="1961" ht="12.75" customHeight="1">
      <c r="A1961" s="244" t="s">
        <v>5158</v>
      </c>
      <c r="B1961" s="244" t="s">
        <v>231</v>
      </c>
      <c r="C1961" s="244" t="s">
        <v>11561</v>
      </c>
      <c r="D1961" s="154" t="s">
        <v>1315</v>
      </c>
      <c r="E1961" s="154"/>
      <c r="F1961" s="154" t="str">
        <f t="array" ref="F1961">XLOOKUP(Cover!$D$12,$R$1:$Z$1,$R1961:$Z1961)</f>
        <v>Information</v>
      </c>
      <c r="G1961" s="154" t="s">
        <v>11562</v>
      </c>
      <c r="H1961" s="154" t="s">
        <v>8299</v>
      </c>
      <c r="I1961" s="154" t="s">
        <v>11563</v>
      </c>
      <c r="J1961" s="154" t="s">
        <v>7006</v>
      </c>
      <c r="K1961" s="154" t="s">
        <v>11417</v>
      </c>
      <c r="L1961" s="154" t="s">
        <v>6905</v>
      </c>
      <c r="M1961" s="154"/>
      <c r="N1961" s="154" t="s">
        <v>759</v>
      </c>
      <c r="O1961" s="247" t="s">
        <v>516</v>
      </c>
      <c r="P1961" s="247" t="s">
        <v>6776</v>
      </c>
      <c r="Q1961" s="154" t="str">
        <f t="shared" si="1"/>
        <v>#ERROR!</v>
      </c>
      <c r="R1961" s="154" t="s">
        <v>66</v>
      </c>
      <c r="S1961" s="154" t="s">
        <v>66</v>
      </c>
      <c r="T1961" s="154" t="s">
        <v>66</v>
      </c>
      <c r="U1961" s="154" t="s">
        <v>66</v>
      </c>
      <c r="V1961" s="154" t="s">
        <v>66</v>
      </c>
      <c r="W1961" s="154" t="s">
        <v>66</v>
      </c>
      <c r="X1961" s="154" t="s">
        <v>66</v>
      </c>
      <c r="Y1961" s="154" t="s">
        <v>66</v>
      </c>
      <c r="Z1961" s="154" t="s">
        <v>66</v>
      </c>
      <c r="AA1961" s="154"/>
      <c r="AB1961" s="242" t="str">
        <f t="shared" si="2"/>
        <v>#ERROR!</v>
      </c>
      <c r="AC1961" s="154" t="s">
        <v>391</v>
      </c>
      <c r="AD1961" s="242" t="b">
        <f t="shared" si="3"/>
        <v>0</v>
      </c>
      <c r="AE1961" s="154"/>
      <c r="AF1961" s="242" t="str">
        <f t="shared" si="4"/>
        <v>#ERROR!</v>
      </c>
      <c r="AG1961" s="154"/>
      <c r="AH1961" s="242" t="str">
        <f>IF(AG1961="","N/A",INDIRECT("MTR!"&amp;ADDRESS(MATCH(LEFT(AG1961,9),[1]MTR!C:C,0),COLUMN(J1961)),TRUE) &amp; "")</f>
        <v>#ERROR!</v>
      </c>
      <c r="AI1961" s="157" t="str">
        <f t="shared" si="5"/>
        <v>#ERROR!</v>
      </c>
    </row>
    <row r="1962" ht="12.75" customHeight="1">
      <c r="A1962" s="244" t="s">
        <v>5158</v>
      </c>
      <c r="B1962" s="244" t="s">
        <v>231</v>
      </c>
      <c r="C1962" s="244" t="s">
        <v>11564</v>
      </c>
      <c r="D1962" s="154" t="s">
        <v>1315</v>
      </c>
      <c r="E1962" s="154"/>
      <c r="F1962" s="154" t="str">
        <f t="array" ref="F1962">XLOOKUP(Cover!$D$12,$R$1:$Z$1,$R1962:$Z1962)</f>
        <v>Information</v>
      </c>
      <c r="G1962" s="154" t="s">
        <v>11565</v>
      </c>
      <c r="H1962" s="154" t="s">
        <v>9006</v>
      </c>
      <c r="I1962" s="154" t="s">
        <v>11563</v>
      </c>
      <c r="J1962" s="154" t="s">
        <v>7006</v>
      </c>
      <c r="K1962" s="154" t="s">
        <v>11417</v>
      </c>
      <c r="L1962" s="154" t="s">
        <v>6905</v>
      </c>
      <c r="M1962" s="154"/>
      <c r="N1962" s="154" t="s">
        <v>759</v>
      </c>
      <c r="O1962" s="247" t="s">
        <v>516</v>
      </c>
      <c r="P1962" s="247" t="s">
        <v>6776</v>
      </c>
      <c r="Q1962" s="154" t="str">
        <f t="shared" si="1"/>
        <v>#ERROR!</v>
      </c>
      <c r="R1962" s="154" t="s">
        <v>66</v>
      </c>
      <c r="S1962" s="154" t="s">
        <v>66</v>
      </c>
      <c r="T1962" s="154" t="s">
        <v>66</v>
      </c>
      <c r="U1962" s="154" t="s">
        <v>66</v>
      </c>
      <c r="V1962" s="154" t="s">
        <v>66</v>
      </c>
      <c r="W1962" s="154" t="s">
        <v>66</v>
      </c>
      <c r="X1962" s="154" t="s">
        <v>66</v>
      </c>
      <c r="Y1962" s="154" t="s">
        <v>66</v>
      </c>
      <c r="Z1962" s="154" t="s">
        <v>66</v>
      </c>
      <c r="AA1962" s="154"/>
      <c r="AB1962" s="242" t="str">
        <f t="shared" si="2"/>
        <v>#ERROR!</v>
      </c>
      <c r="AC1962" s="154" t="s">
        <v>391</v>
      </c>
      <c r="AD1962" s="242" t="b">
        <f t="shared" si="3"/>
        <v>0</v>
      </c>
      <c r="AE1962" s="154"/>
      <c r="AF1962" s="242" t="str">
        <f t="shared" si="4"/>
        <v>#ERROR!</v>
      </c>
      <c r="AG1962" s="154"/>
      <c r="AH1962" s="242" t="str">
        <f>IF(AG1962="","N/A",INDIRECT("MTR!"&amp;ADDRESS(MATCH(LEFT(AG1962,9),[1]MTR!C:C,0),COLUMN(J1962)),TRUE) &amp; "")</f>
        <v>#ERROR!</v>
      </c>
      <c r="AI1962" s="157" t="str">
        <f t="shared" si="5"/>
        <v>#ERROR!</v>
      </c>
    </row>
    <row r="1963" ht="12.75" customHeight="1">
      <c r="A1963" s="244" t="s">
        <v>5158</v>
      </c>
      <c r="B1963" s="244" t="s">
        <v>231</v>
      </c>
      <c r="C1963" s="244" t="s">
        <v>11566</v>
      </c>
      <c r="D1963" s="154" t="s">
        <v>1315</v>
      </c>
      <c r="E1963" s="154"/>
      <c r="F1963" s="154" t="str">
        <f t="array" ref="F1963">XLOOKUP(Cover!$D$12,$R$1:$Z$1,$R1963:$Z1963)</f>
        <v>Information</v>
      </c>
      <c r="G1963" s="154" t="s">
        <v>11567</v>
      </c>
      <c r="H1963" s="154" t="s">
        <v>8302</v>
      </c>
      <c r="I1963" s="154" t="s">
        <v>11563</v>
      </c>
      <c r="J1963" s="154" t="s">
        <v>7006</v>
      </c>
      <c r="K1963" s="154" t="s">
        <v>11417</v>
      </c>
      <c r="L1963" s="154" t="s">
        <v>6905</v>
      </c>
      <c r="M1963" s="154"/>
      <c r="N1963" s="154" t="s">
        <v>759</v>
      </c>
      <c r="O1963" s="247" t="s">
        <v>516</v>
      </c>
      <c r="P1963" s="247" t="s">
        <v>6776</v>
      </c>
      <c r="Q1963" s="154" t="str">
        <f t="shared" si="1"/>
        <v>#ERROR!</v>
      </c>
      <c r="R1963" s="154" t="s">
        <v>66</v>
      </c>
      <c r="S1963" s="154" t="s">
        <v>66</v>
      </c>
      <c r="T1963" s="154" t="s">
        <v>66</v>
      </c>
      <c r="U1963" s="154" t="s">
        <v>66</v>
      </c>
      <c r="V1963" s="154" t="s">
        <v>66</v>
      </c>
      <c r="W1963" s="154" t="s">
        <v>66</v>
      </c>
      <c r="X1963" s="154" t="s">
        <v>66</v>
      </c>
      <c r="Y1963" s="154" t="s">
        <v>66</v>
      </c>
      <c r="Z1963" s="154" t="s">
        <v>66</v>
      </c>
      <c r="AA1963" s="154"/>
      <c r="AB1963" s="242" t="str">
        <f t="shared" si="2"/>
        <v>#ERROR!</v>
      </c>
      <c r="AC1963" s="154" t="s">
        <v>391</v>
      </c>
      <c r="AD1963" s="242" t="b">
        <f t="shared" si="3"/>
        <v>0</v>
      </c>
      <c r="AE1963" s="154"/>
      <c r="AF1963" s="242" t="str">
        <f t="shared" si="4"/>
        <v>#ERROR!</v>
      </c>
      <c r="AG1963" s="154"/>
      <c r="AH1963" s="242" t="str">
        <f>IF(AG1963="","N/A",INDIRECT("MTR!"&amp;ADDRESS(MATCH(LEFT(AG1963,9),[1]MTR!C:C,0),COLUMN(J1963)),TRUE) &amp; "")</f>
        <v>#ERROR!</v>
      </c>
      <c r="AI1963" s="157" t="str">
        <f t="shared" si="5"/>
        <v>#ERROR!</v>
      </c>
    </row>
    <row r="1964" ht="12.75" customHeight="1">
      <c r="A1964" s="244" t="s">
        <v>5158</v>
      </c>
      <c r="B1964" s="244" t="s">
        <v>231</v>
      </c>
      <c r="C1964" s="244" t="s">
        <v>11568</v>
      </c>
      <c r="D1964" s="154" t="s">
        <v>1315</v>
      </c>
      <c r="E1964" s="154"/>
      <c r="F1964" s="154" t="str">
        <f t="array" ref="F1964">XLOOKUP(Cover!$D$12,$R$1:$Z$1,$R1964:$Z1964)</f>
        <v>Information</v>
      </c>
      <c r="G1964" s="154" t="s">
        <v>11569</v>
      </c>
      <c r="H1964" s="154" t="s">
        <v>9009</v>
      </c>
      <c r="I1964" s="154" t="s">
        <v>11563</v>
      </c>
      <c r="J1964" s="154" t="s">
        <v>7006</v>
      </c>
      <c r="K1964" s="154" t="s">
        <v>11417</v>
      </c>
      <c r="L1964" s="154" t="s">
        <v>6905</v>
      </c>
      <c r="M1964" s="154"/>
      <c r="N1964" s="154" t="s">
        <v>759</v>
      </c>
      <c r="O1964" s="247" t="s">
        <v>516</v>
      </c>
      <c r="P1964" s="247" t="s">
        <v>6776</v>
      </c>
      <c r="Q1964" s="154" t="str">
        <f t="shared" si="1"/>
        <v>#ERROR!</v>
      </c>
      <c r="R1964" s="154" t="s">
        <v>66</v>
      </c>
      <c r="S1964" s="154" t="s">
        <v>66</v>
      </c>
      <c r="T1964" s="154" t="s">
        <v>66</v>
      </c>
      <c r="U1964" s="154" t="s">
        <v>66</v>
      </c>
      <c r="V1964" s="154" t="s">
        <v>66</v>
      </c>
      <c r="W1964" s="154" t="s">
        <v>66</v>
      </c>
      <c r="X1964" s="154" t="s">
        <v>66</v>
      </c>
      <c r="Y1964" s="154" t="s">
        <v>66</v>
      </c>
      <c r="Z1964" s="154" t="s">
        <v>66</v>
      </c>
      <c r="AA1964" s="154"/>
      <c r="AB1964" s="242" t="str">
        <f t="shared" si="2"/>
        <v>#ERROR!</v>
      </c>
      <c r="AC1964" s="154" t="s">
        <v>391</v>
      </c>
      <c r="AD1964" s="242" t="b">
        <f t="shared" si="3"/>
        <v>0</v>
      </c>
      <c r="AE1964" s="154"/>
      <c r="AF1964" s="242" t="str">
        <f t="shared" si="4"/>
        <v>#ERROR!</v>
      </c>
      <c r="AG1964" s="154"/>
      <c r="AH1964" s="242" t="str">
        <f>IF(AG1964="","N/A",INDIRECT("MTR!"&amp;ADDRESS(MATCH(LEFT(AG1964,9),[1]MTR!C:C,0),COLUMN(J1964)),TRUE) &amp; "")</f>
        <v>#ERROR!</v>
      </c>
      <c r="AI1964" s="157" t="str">
        <f t="shared" si="5"/>
        <v>#ERROR!</v>
      </c>
    </row>
    <row r="1965" ht="12.75" customHeight="1">
      <c r="A1965" s="244" t="s">
        <v>5158</v>
      </c>
      <c r="B1965" s="244" t="s">
        <v>231</v>
      </c>
      <c r="C1965" s="244" t="s">
        <v>11570</v>
      </c>
      <c r="D1965" s="154" t="s">
        <v>1315</v>
      </c>
      <c r="E1965" s="154"/>
      <c r="F1965" s="154" t="str">
        <f t="array" ref="F1965">XLOOKUP(Cover!$D$12,$R$1:$Z$1,$R1965:$Z1965)</f>
        <v>Information</v>
      </c>
      <c r="G1965" s="154" t="s">
        <v>11571</v>
      </c>
      <c r="H1965" s="154" t="s">
        <v>8305</v>
      </c>
      <c r="I1965" s="154" t="s">
        <v>11563</v>
      </c>
      <c r="J1965" s="154" t="s">
        <v>7006</v>
      </c>
      <c r="K1965" s="154" t="s">
        <v>11417</v>
      </c>
      <c r="L1965" s="154" t="s">
        <v>6905</v>
      </c>
      <c r="M1965" s="154"/>
      <c r="N1965" s="154" t="s">
        <v>759</v>
      </c>
      <c r="O1965" s="247" t="s">
        <v>516</v>
      </c>
      <c r="P1965" s="247" t="s">
        <v>6776</v>
      </c>
      <c r="Q1965" s="154" t="str">
        <f t="shared" si="1"/>
        <v>#ERROR!</v>
      </c>
      <c r="R1965" s="154" t="s">
        <v>66</v>
      </c>
      <c r="S1965" s="154" t="s">
        <v>66</v>
      </c>
      <c r="T1965" s="154" t="s">
        <v>66</v>
      </c>
      <c r="U1965" s="154" t="s">
        <v>66</v>
      </c>
      <c r="V1965" s="154" t="s">
        <v>66</v>
      </c>
      <c r="W1965" s="154" t="s">
        <v>66</v>
      </c>
      <c r="X1965" s="154" t="s">
        <v>66</v>
      </c>
      <c r="Y1965" s="154" t="s">
        <v>66</v>
      </c>
      <c r="Z1965" s="154" t="s">
        <v>66</v>
      </c>
      <c r="AA1965" s="154"/>
      <c r="AB1965" s="242" t="str">
        <f t="shared" si="2"/>
        <v>#ERROR!</v>
      </c>
      <c r="AC1965" s="154" t="s">
        <v>391</v>
      </c>
      <c r="AD1965" s="242" t="b">
        <f t="shared" si="3"/>
        <v>0</v>
      </c>
      <c r="AE1965" s="154"/>
      <c r="AF1965" s="242" t="str">
        <f t="shared" si="4"/>
        <v>#ERROR!</v>
      </c>
      <c r="AG1965" s="154"/>
      <c r="AH1965" s="242" t="str">
        <f>IF(AG1965="","N/A",INDIRECT("MTR!"&amp;ADDRESS(MATCH(LEFT(AG1965,9),[1]MTR!C:C,0),COLUMN(J1965)),TRUE) &amp; "")</f>
        <v>#ERROR!</v>
      </c>
      <c r="AI1965" s="157" t="str">
        <f t="shared" si="5"/>
        <v>#ERROR!</v>
      </c>
    </row>
    <row r="1966" ht="12.75" customHeight="1">
      <c r="A1966" s="244" t="s">
        <v>5158</v>
      </c>
      <c r="B1966" s="244" t="s">
        <v>231</v>
      </c>
      <c r="C1966" s="244" t="s">
        <v>11572</v>
      </c>
      <c r="D1966" s="154" t="s">
        <v>1315</v>
      </c>
      <c r="E1966" s="154"/>
      <c r="F1966" s="154" t="str">
        <f t="array" ref="F1966">XLOOKUP(Cover!$D$12,$R$1:$Z$1,$R1966:$Z1966)</f>
        <v>Information</v>
      </c>
      <c r="G1966" s="154" t="s">
        <v>11573</v>
      </c>
      <c r="H1966" s="154" t="s">
        <v>9015</v>
      </c>
      <c r="I1966" s="154" t="s">
        <v>11563</v>
      </c>
      <c r="J1966" s="154" t="s">
        <v>7006</v>
      </c>
      <c r="K1966" s="154" t="s">
        <v>11417</v>
      </c>
      <c r="L1966" s="154" t="s">
        <v>6905</v>
      </c>
      <c r="M1966" s="154"/>
      <c r="N1966" s="154" t="s">
        <v>759</v>
      </c>
      <c r="O1966" s="247" t="s">
        <v>516</v>
      </c>
      <c r="P1966" s="247" t="s">
        <v>6776</v>
      </c>
      <c r="Q1966" s="154" t="str">
        <f t="shared" si="1"/>
        <v>#ERROR!</v>
      </c>
      <c r="R1966" s="154" t="s">
        <v>66</v>
      </c>
      <c r="S1966" s="154" t="s">
        <v>66</v>
      </c>
      <c r="T1966" s="154" t="s">
        <v>66</v>
      </c>
      <c r="U1966" s="154" t="s">
        <v>66</v>
      </c>
      <c r="V1966" s="154" t="s">
        <v>66</v>
      </c>
      <c r="W1966" s="154" t="s">
        <v>66</v>
      </c>
      <c r="X1966" s="154" t="s">
        <v>66</v>
      </c>
      <c r="Y1966" s="154" t="s">
        <v>66</v>
      </c>
      <c r="Z1966" s="154" t="s">
        <v>66</v>
      </c>
      <c r="AA1966" s="154"/>
      <c r="AB1966" s="242" t="str">
        <f t="shared" si="2"/>
        <v>#ERROR!</v>
      </c>
      <c r="AC1966" s="154" t="s">
        <v>391</v>
      </c>
      <c r="AD1966" s="242" t="b">
        <f t="shared" si="3"/>
        <v>0</v>
      </c>
      <c r="AE1966" s="154"/>
      <c r="AF1966" s="242" t="str">
        <f t="shared" si="4"/>
        <v>#ERROR!</v>
      </c>
      <c r="AG1966" s="154"/>
      <c r="AH1966" s="242" t="str">
        <f>IF(AG1966="","N/A",INDIRECT("MTR!"&amp;ADDRESS(MATCH(LEFT(AG1966,9),[1]MTR!C:C,0),COLUMN(J1966)),TRUE) &amp; "")</f>
        <v>#ERROR!</v>
      </c>
      <c r="AI1966" s="157" t="str">
        <f t="shared" si="5"/>
        <v>#ERROR!</v>
      </c>
    </row>
    <row r="1967" ht="12.75" customHeight="1">
      <c r="A1967" s="244" t="s">
        <v>5158</v>
      </c>
      <c r="B1967" s="244" t="s">
        <v>231</v>
      </c>
      <c r="C1967" s="244" t="s">
        <v>11574</v>
      </c>
      <c r="D1967" s="154" t="s">
        <v>1315</v>
      </c>
      <c r="E1967" s="154"/>
      <c r="F1967" s="154" t="str">
        <f t="array" ref="F1967">XLOOKUP(Cover!$D$12,$R$1:$Z$1,$R1967:$Z1967)</f>
        <v>Information</v>
      </c>
      <c r="G1967" s="154" t="s">
        <v>11575</v>
      </c>
      <c r="H1967" s="154" t="s">
        <v>8295</v>
      </c>
      <c r="I1967" s="154" t="s">
        <v>11576</v>
      </c>
      <c r="J1967" s="154" t="s">
        <v>8416</v>
      </c>
      <c r="K1967" s="154" t="s">
        <v>11417</v>
      </c>
      <c r="L1967" s="154" t="s">
        <v>6905</v>
      </c>
      <c r="M1967" s="154"/>
      <c r="N1967" s="154" t="s">
        <v>759</v>
      </c>
      <c r="O1967" s="247" t="s">
        <v>516</v>
      </c>
      <c r="P1967" s="247" t="s">
        <v>6776</v>
      </c>
      <c r="Q1967" s="154" t="str">
        <f t="shared" si="1"/>
        <v>#ERROR!</v>
      </c>
      <c r="R1967" s="154" t="s">
        <v>66</v>
      </c>
      <c r="S1967" s="154" t="s">
        <v>66</v>
      </c>
      <c r="T1967" s="154" t="s">
        <v>66</v>
      </c>
      <c r="U1967" s="154" t="s">
        <v>66</v>
      </c>
      <c r="V1967" s="154" t="s">
        <v>66</v>
      </c>
      <c r="W1967" s="154" t="s">
        <v>66</v>
      </c>
      <c r="X1967" s="154" t="s">
        <v>66</v>
      </c>
      <c r="Y1967" s="154" t="s">
        <v>66</v>
      </c>
      <c r="Z1967" s="154" t="s">
        <v>66</v>
      </c>
      <c r="AA1967" s="154"/>
      <c r="AB1967" s="242" t="str">
        <f t="shared" si="2"/>
        <v>#ERROR!</v>
      </c>
      <c r="AC1967" s="154" t="s">
        <v>391</v>
      </c>
      <c r="AD1967" s="242" t="b">
        <f t="shared" si="3"/>
        <v>0</v>
      </c>
      <c r="AE1967" s="154"/>
      <c r="AF1967" s="242" t="str">
        <f t="shared" si="4"/>
        <v>#ERROR!</v>
      </c>
      <c r="AG1967" s="154"/>
      <c r="AH1967" s="242" t="str">
        <f>IF(AG1967="","N/A",INDIRECT("MTR!"&amp;ADDRESS(MATCH(LEFT(AG1967,9),[1]MTR!C:C,0),COLUMN(J1967)),TRUE) &amp; "")</f>
        <v>#ERROR!</v>
      </c>
      <c r="AI1967" s="157" t="str">
        <f t="shared" si="5"/>
        <v>#ERROR!</v>
      </c>
    </row>
    <row r="1968" ht="12.75" customHeight="1">
      <c r="A1968" s="244" t="s">
        <v>5158</v>
      </c>
      <c r="B1968" s="244" t="s">
        <v>231</v>
      </c>
      <c r="C1968" s="244" t="s">
        <v>11577</v>
      </c>
      <c r="D1968" s="154" t="s">
        <v>1315</v>
      </c>
      <c r="E1968" s="154"/>
      <c r="F1968" s="154" t="str">
        <f t="array" ref="F1968">XLOOKUP(Cover!$D$12,$R$1:$Z$1,$R1968:$Z1968)</f>
        <v>Information</v>
      </c>
      <c r="G1968" s="154" t="s">
        <v>11578</v>
      </c>
      <c r="H1968" s="154" t="s">
        <v>9002</v>
      </c>
      <c r="I1968" s="154" t="s">
        <v>11576</v>
      </c>
      <c r="J1968" s="154" t="s">
        <v>8416</v>
      </c>
      <c r="K1968" s="154" t="s">
        <v>11417</v>
      </c>
      <c r="L1968" s="154" t="s">
        <v>6905</v>
      </c>
      <c r="M1968" s="154"/>
      <c r="N1968" s="154" t="s">
        <v>759</v>
      </c>
      <c r="O1968" s="247" t="s">
        <v>516</v>
      </c>
      <c r="P1968" s="247" t="s">
        <v>6776</v>
      </c>
      <c r="Q1968" s="154" t="str">
        <f t="shared" si="1"/>
        <v>#ERROR!</v>
      </c>
      <c r="R1968" s="154" t="s">
        <v>66</v>
      </c>
      <c r="S1968" s="154" t="s">
        <v>66</v>
      </c>
      <c r="T1968" s="154" t="s">
        <v>66</v>
      </c>
      <c r="U1968" s="154" t="s">
        <v>66</v>
      </c>
      <c r="V1968" s="154" t="s">
        <v>66</v>
      </c>
      <c r="W1968" s="154" t="s">
        <v>66</v>
      </c>
      <c r="X1968" s="154" t="s">
        <v>66</v>
      </c>
      <c r="Y1968" s="154" t="s">
        <v>66</v>
      </c>
      <c r="Z1968" s="154" t="s">
        <v>66</v>
      </c>
      <c r="AA1968" s="154"/>
      <c r="AB1968" s="242" t="str">
        <f t="shared" si="2"/>
        <v>#ERROR!</v>
      </c>
      <c r="AC1968" s="154" t="s">
        <v>391</v>
      </c>
      <c r="AD1968" s="242" t="b">
        <f t="shared" si="3"/>
        <v>0</v>
      </c>
      <c r="AE1968" s="154"/>
      <c r="AF1968" s="242" t="str">
        <f t="shared" si="4"/>
        <v>#ERROR!</v>
      </c>
      <c r="AG1968" s="154"/>
      <c r="AH1968" s="242" t="str">
        <f>IF(AG1968="","N/A",INDIRECT("MTR!"&amp;ADDRESS(MATCH(LEFT(AG1968,9),[1]MTR!C:C,0),COLUMN(J1968)),TRUE) &amp; "")</f>
        <v>#ERROR!</v>
      </c>
      <c r="AI1968" s="157" t="str">
        <f t="shared" si="5"/>
        <v>#ERROR!</v>
      </c>
    </row>
    <row r="1969" ht="12.75" customHeight="1">
      <c r="A1969" s="244" t="s">
        <v>5158</v>
      </c>
      <c r="B1969" s="244" t="s">
        <v>231</v>
      </c>
      <c r="C1969" s="244" t="s">
        <v>11579</v>
      </c>
      <c r="D1969" s="154" t="s">
        <v>1315</v>
      </c>
      <c r="E1969" s="154"/>
      <c r="F1969" s="154" t="str">
        <f t="array" ref="F1969">XLOOKUP(Cover!$D$12,$R$1:$Z$1,$R1969:$Z1969)</f>
        <v>Information</v>
      </c>
      <c r="G1969" s="154" t="s">
        <v>11580</v>
      </c>
      <c r="H1969" s="154" t="s">
        <v>8299</v>
      </c>
      <c r="I1969" s="154" t="s">
        <v>11576</v>
      </c>
      <c r="J1969" s="154" t="s">
        <v>8416</v>
      </c>
      <c r="K1969" s="154" t="s">
        <v>11417</v>
      </c>
      <c r="L1969" s="154" t="s">
        <v>6905</v>
      </c>
      <c r="M1969" s="154"/>
      <c r="N1969" s="154" t="s">
        <v>759</v>
      </c>
      <c r="O1969" s="247" t="s">
        <v>516</v>
      </c>
      <c r="P1969" s="247" t="s">
        <v>6776</v>
      </c>
      <c r="Q1969" s="154" t="str">
        <f t="shared" si="1"/>
        <v>#ERROR!</v>
      </c>
      <c r="R1969" s="154" t="s">
        <v>66</v>
      </c>
      <c r="S1969" s="154" t="s">
        <v>66</v>
      </c>
      <c r="T1969" s="154" t="s">
        <v>66</v>
      </c>
      <c r="U1969" s="154" t="s">
        <v>66</v>
      </c>
      <c r="V1969" s="154" t="s">
        <v>66</v>
      </c>
      <c r="W1969" s="154" t="s">
        <v>66</v>
      </c>
      <c r="X1969" s="154" t="s">
        <v>66</v>
      </c>
      <c r="Y1969" s="154" t="s">
        <v>66</v>
      </c>
      <c r="Z1969" s="154" t="s">
        <v>66</v>
      </c>
      <c r="AA1969" s="154"/>
      <c r="AB1969" s="242" t="str">
        <f t="shared" si="2"/>
        <v>#ERROR!</v>
      </c>
      <c r="AC1969" s="154" t="s">
        <v>391</v>
      </c>
      <c r="AD1969" s="242" t="b">
        <f t="shared" si="3"/>
        <v>0</v>
      </c>
      <c r="AE1969" s="154"/>
      <c r="AF1969" s="242" t="str">
        <f t="shared" si="4"/>
        <v>#ERROR!</v>
      </c>
      <c r="AG1969" s="154"/>
      <c r="AH1969" s="242" t="str">
        <f>IF(AG1969="","N/A",INDIRECT("MTR!"&amp;ADDRESS(MATCH(LEFT(AG1969,9),[1]MTR!C:C,0),COLUMN(J1969)),TRUE) &amp; "")</f>
        <v>#ERROR!</v>
      </c>
      <c r="AI1969" s="157" t="str">
        <f t="shared" si="5"/>
        <v>#ERROR!</v>
      </c>
    </row>
    <row r="1970" ht="12.75" customHeight="1">
      <c r="A1970" s="244" t="s">
        <v>5158</v>
      </c>
      <c r="B1970" s="244" t="s">
        <v>231</v>
      </c>
      <c r="C1970" s="244" t="s">
        <v>11581</v>
      </c>
      <c r="D1970" s="154" t="s">
        <v>1315</v>
      </c>
      <c r="E1970" s="154"/>
      <c r="F1970" s="154" t="str">
        <f t="array" ref="F1970">XLOOKUP(Cover!$D$12,$R$1:$Z$1,$R1970:$Z1970)</f>
        <v>Information</v>
      </c>
      <c r="G1970" s="154" t="s">
        <v>11582</v>
      </c>
      <c r="H1970" s="154" t="s">
        <v>9006</v>
      </c>
      <c r="I1970" s="154" t="s">
        <v>11576</v>
      </c>
      <c r="J1970" s="154" t="s">
        <v>8416</v>
      </c>
      <c r="K1970" s="154" t="s">
        <v>11417</v>
      </c>
      <c r="L1970" s="154" t="s">
        <v>6905</v>
      </c>
      <c r="M1970" s="154"/>
      <c r="N1970" s="154" t="s">
        <v>759</v>
      </c>
      <c r="O1970" s="247" t="s">
        <v>516</v>
      </c>
      <c r="P1970" s="247" t="s">
        <v>6776</v>
      </c>
      <c r="Q1970" s="154" t="str">
        <f t="shared" si="1"/>
        <v>#ERROR!</v>
      </c>
      <c r="R1970" s="154" t="s">
        <v>66</v>
      </c>
      <c r="S1970" s="154" t="s">
        <v>66</v>
      </c>
      <c r="T1970" s="154" t="s">
        <v>66</v>
      </c>
      <c r="U1970" s="154" t="s">
        <v>66</v>
      </c>
      <c r="V1970" s="154" t="s">
        <v>66</v>
      </c>
      <c r="W1970" s="154" t="s">
        <v>66</v>
      </c>
      <c r="X1970" s="154" t="s">
        <v>66</v>
      </c>
      <c r="Y1970" s="154" t="s">
        <v>66</v>
      </c>
      <c r="Z1970" s="154" t="s">
        <v>66</v>
      </c>
      <c r="AA1970" s="154"/>
      <c r="AB1970" s="242" t="str">
        <f t="shared" si="2"/>
        <v>#ERROR!</v>
      </c>
      <c r="AC1970" s="154" t="s">
        <v>391</v>
      </c>
      <c r="AD1970" s="242" t="b">
        <f t="shared" si="3"/>
        <v>0</v>
      </c>
      <c r="AE1970" s="154"/>
      <c r="AF1970" s="242" t="str">
        <f t="shared" si="4"/>
        <v>#ERROR!</v>
      </c>
      <c r="AG1970" s="154"/>
      <c r="AH1970" s="242" t="str">
        <f>IF(AG1970="","N/A",INDIRECT("MTR!"&amp;ADDRESS(MATCH(LEFT(AG1970,9),[1]MTR!C:C,0),COLUMN(J1970)),TRUE) &amp; "")</f>
        <v>#ERROR!</v>
      </c>
      <c r="AI1970" s="157" t="str">
        <f t="shared" si="5"/>
        <v>#ERROR!</v>
      </c>
    </row>
    <row r="1971" ht="12.75" customHeight="1">
      <c r="A1971" s="244" t="s">
        <v>5158</v>
      </c>
      <c r="B1971" s="244" t="s">
        <v>231</v>
      </c>
      <c r="C1971" s="244" t="s">
        <v>11583</v>
      </c>
      <c r="D1971" s="154" t="s">
        <v>1315</v>
      </c>
      <c r="E1971" s="154"/>
      <c r="F1971" s="154" t="str">
        <f t="array" ref="F1971">XLOOKUP(Cover!$D$12,$R$1:$Z$1,$R1971:$Z1971)</f>
        <v>Information</v>
      </c>
      <c r="G1971" s="154" t="s">
        <v>11584</v>
      </c>
      <c r="H1971" s="154" t="s">
        <v>8302</v>
      </c>
      <c r="I1971" s="154" t="s">
        <v>11576</v>
      </c>
      <c r="J1971" s="154" t="s">
        <v>8416</v>
      </c>
      <c r="K1971" s="154" t="s">
        <v>11417</v>
      </c>
      <c r="L1971" s="154" t="s">
        <v>6905</v>
      </c>
      <c r="M1971" s="154"/>
      <c r="N1971" s="154" t="s">
        <v>759</v>
      </c>
      <c r="O1971" s="247" t="s">
        <v>516</v>
      </c>
      <c r="P1971" s="247" t="s">
        <v>6776</v>
      </c>
      <c r="Q1971" s="154" t="str">
        <f t="shared" si="1"/>
        <v>#ERROR!</v>
      </c>
      <c r="R1971" s="154" t="s">
        <v>66</v>
      </c>
      <c r="S1971" s="154" t="s">
        <v>66</v>
      </c>
      <c r="T1971" s="154" t="s">
        <v>66</v>
      </c>
      <c r="U1971" s="154" t="s">
        <v>66</v>
      </c>
      <c r="V1971" s="154" t="s">
        <v>66</v>
      </c>
      <c r="W1971" s="154" t="s">
        <v>66</v>
      </c>
      <c r="X1971" s="154" t="s">
        <v>66</v>
      </c>
      <c r="Y1971" s="154" t="s">
        <v>66</v>
      </c>
      <c r="Z1971" s="154" t="s">
        <v>66</v>
      </c>
      <c r="AA1971" s="154"/>
      <c r="AB1971" s="242" t="str">
        <f t="shared" si="2"/>
        <v>#ERROR!</v>
      </c>
      <c r="AC1971" s="154" t="s">
        <v>391</v>
      </c>
      <c r="AD1971" s="242" t="b">
        <f t="shared" si="3"/>
        <v>0</v>
      </c>
      <c r="AE1971" s="154"/>
      <c r="AF1971" s="242" t="str">
        <f t="shared" si="4"/>
        <v>#ERROR!</v>
      </c>
      <c r="AG1971" s="154"/>
      <c r="AH1971" s="242" t="str">
        <f>IF(AG1971="","N/A",INDIRECT("MTR!"&amp;ADDRESS(MATCH(LEFT(AG1971,9),[1]MTR!C:C,0),COLUMN(J1971)),TRUE) &amp; "")</f>
        <v>#ERROR!</v>
      </c>
      <c r="AI1971" s="157" t="str">
        <f t="shared" si="5"/>
        <v>#ERROR!</v>
      </c>
    </row>
    <row r="1972" ht="12.75" customHeight="1">
      <c r="A1972" s="244" t="s">
        <v>5158</v>
      </c>
      <c r="B1972" s="244" t="s">
        <v>231</v>
      </c>
      <c r="C1972" s="244" t="s">
        <v>11585</v>
      </c>
      <c r="D1972" s="154" t="s">
        <v>1315</v>
      </c>
      <c r="E1972" s="154"/>
      <c r="F1972" s="154" t="str">
        <f t="array" ref="F1972">XLOOKUP(Cover!$D$12,$R$1:$Z$1,$R1972:$Z1972)</f>
        <v>Information</v>
      </c>
      <c r="G1972" s="154" t="s">
        <v>11586</v>
      </c>
      <c r="H1972" s="154" t="s">
        <v>9009</v>
      </c>
      <c r="I1972" s="154" t="s">
        <v>11576</v>
      </c>
      <c r="J1972" s="154" t="s">
        <v>8416</v>
      </c>
      <c r="K1972" s="154" t="s">
        <v>11417</v>
      </c>
      <c r="L1972" s="154" t="s">
        <v>6905</v>
      </c>
      <c r="M1972" s="154"/>
      <c r="N1972" s="154" t="s">
        <v>759</v>
      </c>
      <c r="O1972" s="247" t="s">
        <v>516</v>
      </c>
      <c r="P1972" s="247" t="s">
        <v>6776</v>
      </c>
      <c r="Q1972" s="154" t="str">
        <f t="shared" si="1"/>
        <v>#ERROR!</v>
      </c>
      <c r="R1972" s="154" t="s">
        <v>66</v>
      </c>
      <c r="S1972" s="154" t="s">
        <v>66</v>
      </c>
      <c r="T1972" s="154" t="s">
        <v>66</v>
      </c>
      <c r="U1972" s="154" t="s">
        <v>66</v>
      </c>
      <c r="V1972" s="154" t="s">
        <v>66</v>
      </c>
      <c r="W1972" s="154" t="s">
        <v>66</v>
      </c>
      <c r="X1972" s="154" t="s">
        <v>66</v>
      </c>
      <c r="Y1972" s="154" t="s">
        <v>66</v>
      </c>
      <c r="Z1972" s="154" t="s">
        <v>66</v>
      </c>
      <c r="AA1972" s="154"/>
      <c r="AB1972" s="242" t="str">
        <f t="shared" si="2"/>
        <v>#ERROR!</v>
      </c>
      <c r="AC1972" s="154" t="s">
        <v>391</v>
      </c>
      <c r="AD1972" s="242" t="b">
        <f t="shared" si="3"/>
        <v>0</v>
      </c>
      <c r="AE1972" s="154"/>
      <c r="AF1972" s="242" t="str">
        <f t="shared" si="4"/>
        <v>#ERROR!</v>
      </c>
      <c r="AG1972" s="154"/>
      <c r="AH1972" s="242" t="str">
        <f>IF(AG1972="","N/A",INDIRECT("MTR!"&amp;ADDRESS(MATCH(LEFT(AG1972,9),[1]MTR!C:C,0),COLUMN(J1972)),TRUE) &amp; "")</f>
        <v>#ERROR!</v>
      </c>
      <c r="AI1972" s="157" t="str">
        <f t="shared" si="5"/>
        <v>#ERROR!</v>
      </c>
    </row>
    <row r="1973" ht="12.75" customHeight="1">
      <c r="A1973" s="244" t="s">
        <v>5158</v>
      </c>
      <c r="B1973" s="244" t="s">
        <v>231</v>
      </c>
      <c r="C1973" s="244" t="s">
        <v>11587</v>
      </c>
      <c r="D1973" s="154" t="s">
        <v>1315</v>
      </c>
      <c r="E1973" s="154"/>
      <c r="F1973" s="154" t="str">
        <f t="array" ref="F1973">XLOOKUP(Cover!$D$12,$R$1:$Z$1,$R1973:$Z1973)</f>
        <v>Information</v>
      </c>
      <c r="G1973" s="154" t="s">
        <v>11588</v>
      </c>
      <c r="H1973" s="154" t="s">
        <v>8305</v>
      </c>
      <c r="I1973" s="154" t="s">
        <v>11576</v>
      </c>
      <c r="J1973" s="154" t="s">
        <v>8416</v>
      </c>
      <c r="K1973" s="154" t="s">
        <v>11417</v>
      </c>
      <c r="L1973" s="154" t="s">
        <v>6905</v>
      </c>
      <c r="M1973" s="154"/>
      <c r="N1973" s="154" t="s">
        <v>759</v>
      </c>
      <c r="O1973" s="247" t="s">
        <v>516</v>
      </c>
      <c r="P1973" s="247" t="s">
        <v>6776</v>
      </c>
      <c r="Q1973" s="154" t="str">
        <f t="shared" si="1"/>
        <v>#ERROR!</v>
      </c>
      <c r="R1973" s="154" t="s">
        <v>66</v>
      </c>
      <c r="S1973" s="154" t="s">
        <v>66</v>
      </c>
      <c r="T1973" s="154" t="s">
        <v>66</v>
      </c>
      <c r="U1973" s="154" t="s">
        <v>66</v>
      </c>
      <c r="V1973" s="154" t="s">
        <v>66</v>
      </c>
      <c r="W1973" s="154" t="s">
        <v>66</v>
      </c>
      <c r="X1973" s="154" t="s">
        <v>66</v>
      </c>
      <c r="Y1973" s="154" t="s">
        <v>66</v>
      </c>
      <c r="Z1973" s="154" t="s">
        <v>66</v>
      </c>
      <c r="AA1973" s="154"/>
      <c r="AB1973" s="242" t="str">
        <f t="shared" si="2"/>
        <v>#ERROR!</v>
      </c>
      <c r="AC1973" s="154" t="s">
        <v>391</v>
      </c>
      <c r="AD1973" s="242" t="b">
        <f t="shared" si="3"/>
        <v>0</v>
      </c>
      <c r="AE1973" s="154"/>
      <c r="AF1973" s="242" t="str">
        <f t="shared" si="4"/>
        <v>#ERROR!</v>
      </c>
      <c r="AG1973" s="154"/>
      <c r="AH1973" s="242" t="str">
        <f>IF(AG1973="","N/A",INDIRECT("MTR!"&amp;ADDRESS(MATCH(LEFT(AG1973,9),[1]MTR!C:C,0),COLUMN(J1973)),TRUE) &amp; "")</f>
        <v>#ERROR!</v>
      </c>
      <c r="AI1973" s="157" t="str">
        <f t="shared" si="5"/>
        <v>#ERROR!</v>
      </c>
    </row>
    <row r="1974" ht="12.75" customHeight="1">
      <c r="A1974" s="244" t="s">
        <v>5158</v>
      </c>
      <c r="B1974" s="244" t="s">
        <v>231</v>
      </c>
      <c r="C1974" s="244" t="s">
        <v>11589</v>
      </c>
      <c r="D1974" s="154" t="s">
        <v>1315</v>
      </c>
      <c r="E1974" s="154"/>
      <c r="F1974" s="154" t="str">
        <f t="array" ref="F1974">XLOOKUP(Cover!$D$12,$R$1:$Z$1,$R1974:$Z1974)</f>
        <v>Information</v>
      </c>
      <c r="G1974" s="154" t="s">
        <v>11590</v>
      </c>
      <c r="H1974" s="154" t="s">
        <v>9015</v>
      </c>
      <c r="I1974" s="154" t="s">
        <v>11576</v>
      </c>
      <c r="J1974" s="154" t="s">
        <v>8416</v>
      </c>
      <c r="K1974" s="154" t="s">
        <v>11417</v>
      </c>
      <c r="L1974" s="154" t="s">
        <v>6905</v>
      </c>
      <c r="M1974" s="154"/>
      <c r="N1974" s="154" t="s">
        <v>759</v>
      </c>
      <c r="O1974" s="247" t="s">
        <v>516</v>
      </c>
      <c r="P1974" s="247" t="s">
        <v>6776</v>
      </c>
      <c r="Q1974" s="154" t="str">
        <f t="shared" si="1"/>
        <v>#ERROR!</v>
      </c>
      <c r="R1974" s="154" t="s">
        <v>66</v>
      </c>
      <c r="S1974" s="154" t="s">
        <v>66</v>
      </c>
      <c r="T1974" s="154" t="s">
        <v>66</v>
      </c>
      <c r="U1974" s="154" t="s">
        <v>66</v>
      </c>
      <c r="V1974" s="154" t="s">
        <v>66</v>
      </c>
      <c r="W1974" s="154" t="s">
        <v>66</v>
      </c>
      <c r="X1974" s="154" t="s">
        <v>66</v>
      </c>
      <c r="Y1974" s="154" t="s">
        <v>66</v>
      </c>
      <c r="Z1974" s="154" t="s">
        <v>66</v>
      </c>
      <c r="AA1974" s="154"/>
      <c r="AB1974" s="242" t="str">
        <f t="shared" si="2"/>
        <v>#ERROR!</v>
      </c>
      <c r="AC1974" s="154" t="s">
        <v>391</v>
      </c>
      <c r="AD1974" s="242" t="b">
        <f t="shared" si="3"/>
        <v>0</v>
      </c>
      <c r="AE1974" s="154"/>
      <c r="AF1974" s="242" t="str">
        <f t="shared" si="4"/>
        <v>#ERROR!</v>
      </c>
      <c r="AG1974" s="154"/>
      <c r="AH1974" s="242" t="str">
        <f>IF(AG1974="","N/A",INDIRECT("MTR!"&amp;ADDRESS(MATCH(LEFT(AG1974,9),[1]MTR!C:C,0),COLUMN(J1974)),TRUE) &amp; "")</f>
        <v>#ERROR!</v>
      </c>
      <c r="AI1974" s="157" t="str">
        <f t="shared" si="5"/>
        <v>#ERROR!</v>
      </c>
    </row>
    <row r="1975" ht="12.75" customHeight="1">
      <c r="A1975" s="244" t="s">
        <v>5158</v>
      </c>
      <c r="B1975" s="244" t="s">
        <v>231</v>
      </c>
      <c r="C1975" s="244" t="s">
        <v>11591</v>
      </c>
      <c r="D1975" s="154" t="s">
        <v>1315</v>
      </c>
      <c r="E1975" s="154"/>
      <c r="F1975" s="154" t="str">
        <f t="array" ref="F1975">XLOOKUP(Cover!$D$12,$R$1:$Z$1,$R1975:$Z1975)</f>
        <v>Information</v>
      </c>
      <c r="G1975" s="154" t="s">
        <v>11592</v>
      </c>
      <c r="H1975" s="154" t="s">
        <v>8299</v>
      </c>
      <c r="I1975" s="154" t="s">
        <v>11593</v>
      </c>
      <c r="J1975" s="154" t="s">
        <v>7130</v>
      </c>
      <c r="K1975" s="154" t="s">
        <v>11417</v>
      </c>
      <c r="L1975" s="154" t="s">
        <v>6905</v>
      </c>
      <c r="M1975" s="154"/>
      <c r="N1975" s="154" t="s">
        <v>759</v>
      </c>
      <c r="O1975" s="247" t="s">
        <v>516</v>
      </c>
      <c r="P1975" s="247" t="s">
        <v>6776</v>
      </c>
      <c r="Q1975" s="154" t="str">
        <f t="shared" si="1"/>
        <v>#ERROR!</v>
      </c>
      <c r="R1975" s="154" t="s">
        <v>66</v>
      </c>
      <c r="S1975" s="154" t="s">
        <v>66</v>
      </c>
      <c r="T1975" s="154" t="s">
        <v>66</v>
      </c>
      <c r="U1975" s="154" t="s">
        <v>66</v>
      </c>
      <c r="V1975" s="154" t="s">
        <v>66</v>
      </c>
      <c r="W1975" s="154" t="s">
        <v>66</v>
      </c>
      <c r="X1975" s="154" t="s">
        <v>66</v>
      </c>
      <c r="Y1975" s="154" t="s">
        <v>66</v>
      </c>
      <c r="Z1975" s="154" t="s">
        <v>66</v>
      </c>
      <c r="AA1975" s="154"/>
      <c r="AB1975" s="242" t="str">
        <f t="shared" si="2"/>
        <v>#ERROR!</v>
      </c>
      <c r="AC1975" s="154" t="s">
        <v>391</v>
      </c>
      <c r="AD1975" s="242" t="b">
        <f t="shared" si="3"/>
        <v>0</v>
      </c>
      <c r="AE1975" s="154"/>
      <c r="AF1975" s="242" t="str">
        <f t="shared" si="4"/>
        <v>#ERROR!</v>
      </c>
      <c r="AG1975" s="154"/>
      <c r="AH1975" s="242" t="str">
        <f>IF(AG1975="","N/A",INDIRECT("MTR!"&amp;ADDRESS(MATCH(LEFT(AG1975,9),[1]MTR!C:C,0),COLUMN(J1975)),TRUE) &amp; "")</f>
        <v>#ERROR!</v>
      </c>
      <c r="AI1975" s="157" t="str">
        <f t="shared" si="5"/>
        <v>#ERROR!</v>
      </c>
    </row>
    <row r="1976" ht="12.75" customHeight="1">
      <c r="A1976" s="244" t="s">
        <v>5158</v>
      </c>
      <c r="B1976" s="244" t="s">
        <v>231</v>
      </c>
      <c r="C1976" s="244" t="s">
        <v>11594</v>
      </c>
      <c r="D1976" s="154" t="s">
        <v>1315</v>
      </c>
      <c r="E1976" s="154"/>
      <c r="F1976" s="154" t="str">
        <f t="array" ref="F1976">XLOOKUP(Cover!$D$12,$R$1:$Z$1,$R1976:$Z1976)</f>
        <v>Information</v>
      </c>
      <c r="G1976" s="154" t="s">
        <v>11595</v>
      </c>
      <c r="H1976" s="154" t="s">
        <v>9006</v>
      </c>
      <c r="I1976" s="154" t="s">
        <v>11593</v>
      </c>
      <c r="J1976" s="154" t="s">
        <v>7130</v>
      </c>
      <c r="K1976" s="154" t="s">
        <v>11417</v>
      </c>
      <c r="L1976" s="154" t="s">
        <v>6905</v>
      </c>
      <c r="M1976" s="154"/>
      <c r="N1976" s="154" t="s">
        <v>759</v>
      </c>
      <c r="O1976" s="247" t="s">
        <v>516</v>
      </c>
      <c r="P1976" s="247" t="s">
        <v>6776</v>
      </c>
      <c r="Q1976" s="154" t="str">
        <f t="shared" si="1"/>
        <v>#ERROR!</v>
      </c>
      <c r="R1976" s="154" t="s">
        <v>66</v>
      </c>
      <c r="S1976" s="154" t="s">
        <v>66</v>
      </c>
      <c r="T1976" s="154" t="s">
        <v>66</v>
      </c>
      <c r="U1976" s="154" t="s">
        <v>66</v>
      </c>
      <c r="V1976" s="154" t="s">
        <v>66</v>
      </c>
      <c r="W1976" s="154" t="s">
        <v>66</v>
      </c>
      <c r="X1976" s="154" t="s">
        <v>66</v>
      </c>
      <c r="Y1976" s="154" t="s">
        <v>66</v>
      </c>
      <c r="Z1976" s="154" t="s">
        <v>66</v>
      </c>
      <c r="AA1976" s="154"/>
      <c r="AB1976" s="242" t="str">
        <f t="shared" si="2"/>
        <v>#ERROR!</v>
      </c>
      <c r="AC1976" s="154" t="s">
        <v>391</v>
      </c>
      <c r="AD1976" s="242" t="b">
        <f t="shared" si="3"/>
        <v>0</v>
      </c>
      <c r="AE1976" s="154"/>
      <c r="AF1976" s="242" t="str">
        <f t="shared" si="4"/>
        <v>#ERROR!</v>
      </c>
      <c r="AG1976" s="154"/>
      <c r="AH1976" s="242" t="str">
        <f>IF(AG1976="","N/A",INDIRECT("MTR!"&amp;ADDRESS(MATCH(LEFT(AG1976,9),[1]MTR!C:C,0),COLUMN(J1976)),TRUE) &amp; "")</f>
        <v>#ERROR!</v>
      </c>
      <c r="AI1976" s="157" t="str">
        <f t="shared" si="5"/>
        <v>#ERROR!</v>
      </c>
    </row>
    <row r="1977" ht="12.75" customHeight="1">
      <c r="A1977" s="244" t="s">
        <v>5158</v>
      </c>
      <c r="B1977" s="244" t="s">
        <v>231</v>
      </c>
      <c r="C1977" s="244" t="s">
        <v>11596</v>
      </c>
      <c r="D1977" s="154" t="s">
        <v>1315</v>
      </c>
      <c r="E1977" s="154"/>
      <c r="F1977" s="154" t="str">
        <f t="array" ref="F1977">XLOOKUP(Cover!$D$12,$R$1:$Z$1,$R1977:$Z1977)</f>
        <v>Information</v>
      </c>
      <c r="G1977" s="154" t="s">
        <v>11597</v>
      </c>
      <c r="H1977" s="154" t="s">
        <v>8302</v>
      </c>
      <c r="I1977" s="154" t="s">
        <v>11593</v>
      </c>
      <c r="J1977" s="154" t="s">
        <v>7130</v>
      </c>
      <c r="K1977" s="154" t="s">
        <v>11417</v>
      </c>
      <c r="L1977" s="154" t="s">
        <v>6905</v>
      </c>
      <c r="M1977" s="154"/>
      <c r="N1977" s="154" t="s">
        <v>759</v>
      </c>
      <c r="O1977" s="247" t="s">
        <v>516</v>
      </c>
      <c r="P1977" s="247" t="s">
        <v>6776</v>
      </c>
      <c r="Q1977" s="154" t="str">
        <f t="shared" si="1"/>
        <v>#ERROR!</v>
      </c>
      <c r="R1977" s="154" t="s">
        <v>66</v>
      </c>
      <c r="S1977" s="154" t="s">
        <v>66</v>
      </c>
      <c r="T1977" s="154" t="s">
        <v>66</v>
      </c>
      <c r="U1977" s="154" t="s">
        <v>66</v>
      </c>
      <c r="V1977" s="154" t="s">
        <v>66</v>
      </c>
      <c r="W1977" s="154" t="s">
        <v>66</v>
      </c>
      <c r="X1977" s="154" t="s">
        <v>66</v>
      </c>
      <c r="Y1977" s="154" t="s">
        <v>66</v>
      </c>
      <c r="Z1977" s="154" t="s">
        <v>66</v>
      </c>
      <c r="AA1977" s="154"/>
      <c r="AB1977" s="242" t="str">
        <f t="shared" si="2"/>
        <v>#ERROR!</v>
      </c>
      <c r="AC1977" s="154" t="s">
        <v>391</v>
      </c>
      <c r="AD1977" s="242" t="b">
        <f t="shared" si="3"/>
        <v>0</v>
      </c>
      <c r="AE1977" s="154"/>
      <c r="AF1977" s="242" t="str">
        <f t="shared" si="4"/>
        <v>#ERROR!</v>
      </c>
      <c r="AG1977" s="154"/>
      <c r="AH1977" s="242" t="str">
        <f>IF(AG1977="","N/A",INDIRECT("MTR!"&amp;ADDRESS(MATCH(LEFT(AG1977,9),[1]MTR!C:C,0),COLUMN(J1977)),TRUE) &amp; "")</f>
        <v>#ERROR!</v>
      </c>
      <c r="AI1977" s="157" t="str">
        <f t="shared" si="5"/>
        <v>#ERROR!</v>
      </c>
    </row>
    <row r="1978" ht="12.75" customHeight="1">
      <c r="A1978" s="244" t="s">
        <v>5158</v>
      </c>
      <c r="B1978" s="244" t="s">
        <v>231</v>
      </c>
      <c r="C1978" s="244" t="s">
        <v>11598</v>
      </c>
      <c r="D1978" s="154" t="s">
        <v>1315</v>
      </c>
      <c r="E1978" s="154"/>
      <c r="F1978" s="154" t="str">
        <f t="array" ref="F1978">XLOOKUP(Cover!$D$12,$R$1:$Z$1,$R1978:$Z1978)</f>
        <v>Information</v>
      </c>
      <c r="G1978" s="154" t="s">
        <v>11599</v>
      </c>
      <c r="H1978" s="154" t="s">
        <v>9009</v>
      </c>
      <c r="I1978" s="154" t="s">
        <v>11593</v>
      </c>
      <c r="J1978" s="154" t="s">
        <v>7130</v>
      </c>
      <c r="K1978" s="154" t="s">
        <v>11417</v>
      </c>
      <c r="L1978" s="154" t="s">
        <v>6905</v>
      </c>
      <c r="M1978" s="154"/>
      <c r="N1978" s="154" t="s">
        <v>759</v>
      </c>
      <c r="O1978" s="247" t="s">
        <v>516</v>
      </c>
      <c r="P1978" s="247" t="s">
        <v>6776</v>
      </c>
      <c r="Q1978" s="154" t="str">
        <f t="shared" si="1"/>
        <v>#ERROR!</v>
      </c>
      <c r="R1978" s="154" t="s">
        <v>66</v>
      </c>
      <c r="S1978" s="154" t="s">
        <v>66</v>
      </c>
      <c r="T1978" s="154" t="s">
        <v>66</v>
      </c>
      <c r="U1978" s="154" t="s">
        <v>66</v>
      </c>
      <c r="V1978" s="154" t="s">
        <v>66</v>
      </c>
      <c r="W1978" s="154" t="s">
        <v>66</v>
      </c>
      <c r="X1978" s="154" t="s">
        <v>66</v>
      </c>
      <c r="Y1978" s="154" t="s">
        <v>66</v>
      </c>
      <c r="Z1978" s="154" t="s">
        <v>66</v>
      </c>
      <c r="AA1978" s="154"/>
      <c r="AB1978" s="242" t="str">
        <f t="shared" si="2"/>
        <v>#ERROR!</v>
      </c>
      <c r="AC1978" s="154" t="s">
        <v>391</v>
      </c>
      <c r="AD1978" s="242" t="b">
        <f t="shared" si="3"/>
        <v>0</v>
      </c>
      <c r="AE1978" s="154"/>
      <c r="AF1978" s="242" t="str">
        <f t="shared" si="4"/>
        <v>#ERROR!</v>
      </c>
      <c r="AG1978" s="154"/>
      <c r="AH1978" s="242" t="str">
        <f>IF(AG1978="","N/A",INDIRECT("MTR!"&amp;ADDRESS(MATCH(LEFT(AG1978,9),[1]MTR!C:C,0),COLUMN(J1978)),TRUE) &amp; "")</f>
        <v>#ERROR!</v>
      </c>
      <c r="AI1978" s="157" t="str">
        <f t="shared" si="5"/>
        <v>#ERROR!</v>
      </c>
    </row>
    <row r="1979" ht="12.75" customHeight="1">
      <c r="A1979" s="238" t="s">
        <v>5158</v>
      </c>
      <c r="B1979" s="238" t="s">
        <v>231</v>
      </c>
      <c r="C1979" s="238" t="s">
        <v>11600</v>
      </c>
      <c r="D1979" s="240"/>
      <c r="E1979" s="240" t="s">
        <v>92</v>
      </c>
      <c r="F1979" s="240" t="str">
        <f t="array" ref="F1979">XLOOKUP(Cover!$D$12,$R$1:$Z$1,$R1979:$Z1979)</f>
        <v>Heading</v>
      </c>
      <c r="G1979" s="239" t="s">
        <v>11601</v>
      </c>
      <c r="H1979" s="240"/>
      <c r="I1979" s="240"/>
      <c r="J1979" s="240"/>
      <c r="K1979" s="240"/>
      <c r="L1979" s="240"/>
      <c r="M1979" s="240"/>
      <c r="N1979" s="240" t="s">
        <v>759</v>
      </c>
      <c r="O1979" s="240"/>
      <c r="P1979" s="240"/>
      <c r="Q1979" s="240" t="str">
        <f t="shared" si="1"/>
        <v/>
      </c>
      <c r="R1979" s="240" t="s">
        <v>390</v>
      </c>
      <c r="S1979" s="240" t="s">
        <v>390</v>
      </c>
      <c r="T1979" s="240" t="s">
        <v>390</v>
      </c>
      <c r="U1979" s="240" t="s">
        <v>390</v>
      </c>
      <c r="V1979" s="240" t="s">
        <v>390</v>
      </c>
      <c r="W1979" s="240" t="s">
        <v>390</v>
      </c>
      <c r="X1979" s="240" t="s">
        <v>390</v>
      </c>
      <c r="Y1979" s="240" t="s">
        <v>390</v>
      </c>
      <c r="Z1979" s="240" t="s">
        <v>390</v>
      </c>
      <c r="AA1979" s="240"/>
      <c r="AB1979" s="242" t="str">
        <f t="shared" si="2"/>
        <v>#ERROR!</v>
      </c>
      <c r="AC1979" s="240" t="s">
        <v>391</v>
      </c>
      <c r="AD1979" s="242" t="b">
        <f t="shared" si="3"/>
        <v>0</v>
      </c>
      <c r="AE1979" s="240"/>
      <c r="AF1979" s="242" t="str">
        <f t="shared" si="4"/>
        <v>#ERROR!</v>
      </c>
      <c r="AG1979" s="240"/>
      <c r="AH1979" s="242" t="str">
        <f>IF(AG1979="","N/A",INDIRECT("MTR!"&amp;ADDRESS(MATCH(LEFT(AG1979,9),[1]MTR!C:C,0),COLUMN(J1979)),TRUE) &amp; "")</f>
        <v>#ERROR!</v>
      </c>
      <c r="AI1979" s="157" t="str">
        <f t="shared" si="5"/>
        <v/>
      </c>
    </row>
    <row r="1980" ht="12.75" customHeight="1">
      <c r="A1980" s="244" t="s">
        <v>5158</v>
      </c>
      <c r="B1980" s="244" t="s">
        <v>231</v>
      </c>
      <c r="C1980" s="244" t="s">
        <v>11602</v>
      </c>
      <c r="D1980" s="154" t="s">
        <v>546</v>
      </c>
      <c r="E1980" s="154"/>
      <c r="F1980" s="154" t="str">
        <f t="array" ref="F1980">XLOOKUP(Cover!$D$12,$R$1:$Z$1,$R1980:$Z1980)</f>
        <v>Information</v>
      </c>
      <c r="G1980" s="154" t="s">
        <v>11603</v>
      </c>
      <c r="H1980" s="154" t="s">
        <v>8445</v>
      </c>
      <c r="I1980" s="154" t="s">
        <v>11604</v>
      </c>
      <c r="J1980" s="154" t="s">
        <v>5782</v>
      </c>
      <c r="K1980" s="154" t="s">
        <v>11605</v>
      </c>
      <c r="L1980" s="154" t="s">
        <v>6525</v>
      </c>
      <c r="M1980" s="154"/>
      <c r="N1980" s="154" t="s">
        <v>759</v>
      </c>
      <c r="O1980" s="247" t="s">
        <v>445</v>
      </c>
      <c r="P1980" s="247" t="s">
        <v>6772</v>
      </c>
      <c r="Q1980" s="154" t="str">
        <f t="shared" si="1"/>
        <v>#ERROR!</v>
      </c>
      <c r="R1980" s="154" t="s">
        <v>66</v>
      </c>
      <c r="S1980" s="154" t="s">
        <v>66</v>
      </c>
      <c r="T1980" s="154" t="s">
        <v>66</v>
      </c>
      <c r="U1980" s="154" t="s">
        <v>66</v>
      </c>
      <c r="V1980" s="154" t="s">
        <v>66</v>
      </c>
      <c r="W1980" s="154" t="s">
        <v>66</v>
      </c>
      <c r="X1980" s="154" t="s">
        <v>66</v>
      </c>
      <c r="Y1980" s="154" t="s">
        <v>66</v>
      </c>
      <c r="Z1980" s="154" t="s">
        <v>66</v>
      </c>
      <c r="AA1980" s="154"/>
      <c r="AB1980" s="242" t="str">
        <f t="shared" si="2"/>
        <v>#ERROR!</v>
      </c>
      <c r="AC1980" s="154" t="s">
        <v>391</v>
      </c>
      <c r="AD1980" s="242" t="b">
        <f t="shared" si="3"/>
        <v>0</v>
      </c>
      <c r="AE1980" s="154"/>
      <c r="AF1980" s="242" t="str">
        <f t="shared" si="4"/>
        <v>#ERROR!</v>
      </c>
      <c r="AG1980" s="154"/>
      <c r="AH1980" s="242" t="str">
        <f>IF(AG1980="","N/A",INDIRECT("MTR!"&amp;ADDRESS(MATCH(LEFT(AG1980,9),[1]MTR!C:C,0),COLUMN(J1980)),TRUE) &amp; "")</f>
        <v>#ERROR!</v>
      </c>
      <c r="AI1980" s="157" t="str">
        <f t="shared" si="5"/>
        <v>#ERROR!</v>
      </c>
    </row>
    <row r="1981" ht="12.75" customHeight="1">
      <c r="A1981" s="244" t="s">
        <v>5158</v>
      </c>
      <c r="B1981" s="244" t="s">
        <v>231</v>
      </c>
      <c r="C1981" s="244" t="s">
        <v>11606</v>
      </c>
      <c r="D1981" s="154" t="s">
        <v>546</v>
      </c>
      <c r="E1981" s="154"/>
      <c r="F1981" s="154" t="str">
        <f t="array" ref="F1981">XLOOKUP(Cover!$D$12,$R$1:$Z$1,$R1981:$Z1981)</f>
        <v>Information</v>
      </c>
      <c r="G1981" s="154" t="s">
        <v>11607</v>
      </c>
      <c r="H1981" s="154" t="s">
        <v>9006</v>
      </c>
      <c r="I1981" s="154" t="s">
        <v>11604</v>
      </c>
      <c r="J1981" s="154" t="s">
        <v>5782</v>
      </c>
      <c r="K1981" s="154" t="s">
        <v>11605</v>
      </c>
      <c r="L1981" s="154" t="s">
        <v>6525</v>
      </c>
      <c r="M1981" s="154"/>
      <c r="N1981" s="154" t="s">
        <v>759</v>
      </c>
      <c r="O1981" s="247" t="s">
        <v>445</v>
      </c>
      <c r="P1981" s="247" t="s">
        <v>6772</v>
      </c>
      <c r="Q1981" s="154" t="str">
        <f t="shared" si="1"/>
        <v>#ERROR!</v>
      </c>
      <c r="R1981" s="154" t="s">
        <v>66</v>
      </c>
      <c r="S1981" s="154" t="s">
        <v>66</v>
      </c>
      <c r="T1981" s="154" t="s">
        <v>66</v>
      </c>
      <c r="U1981" s="154" t="s">
        <v>66</v>
      </c>
      <c r="V1981" s="154" t="s">
        <v>66</v>
      </c>
      <c r="W1981" s="154" t="s">
        <v>66</v>
      </c>
      <c r="X1981" s="154" t="s">
        <v>66</v>
      </c>
      <c r="Y1981" s="154" t="s">
        <v>66</v>
      </c>
      <c r="Z1981" s="154" t="s">
        <v>66</v>
      </c>
      <c r="AA1981" s="154"/>
      <c r="AB1981" s="242" t="str">
        <f t="shared" si="2"/>
        <v>#ERROR!</v>
      </c>
      <c r="AC1981" s="154" t="s">
        <v>391</v>
      </c>
      <c r="AD1981" s="242" t="b">
        <f t="shared" si="3"/>
        <v>0</v>
      </c>
      <c r="AE1981" s="154"/>
      <c r="AF1981" s="242" t="str">
        <f t="shared" si="4"/>
        <v>#ERROR!</v>
      </c>
      <c r="AG1981" s="154"/>
      <c r="AH1981" s="242" t="str">
        <f>IF(AG1981="","N/A",INDIRECT("MTR!"&amp;ADDRESS(MATCH(LEFT(AG1981,9),[1]MTR!C:C,0),COLUMN(J1981)),TRUE) &amp; "")</f>
        <v>#ERROR!</v>
      </c>
      <c r="AI1981" s="157" t="str">
        <f t="shared" si="5"/>
        <v>#ERROR!</v>
      </c>
    </row>
    <row r="1982" ht="12.75" customHeight="1">
      <c r="A1982" s="238" t="s">
        <v>5158</v>
      </c>
      <c r="B1982" s="238" t="s">
        <v>231</v>
      </c>
      <c r="C1982" s="238" t="s">
        <v>11608</v>
      </c>
      <c r="D1982" s="240"/>
      <c r="E1982" s="240" t="s">
        <v>92</v>
      </c>
      <c r="F1982" s="240" t="str">
        <f t="array" ref="F1982">XLOOKUP(Cover!$D$12,$R$1:$Z$1,$R1982:$Z1982)</f>
        <v>Heading</v>
      </c>
      <c r="G1982" s="239" t="s">
        <v>11609</v>
      </c>
      <c r="H1982" s="240"/>
      <c r="I1982" s="240"/>
      <c r="J1982" s="240"/>
      <c r="K1982" s="240"/>
      <c r="L1982" s="240"/>
      <c r="M1982" s="240"/>
      <c r="N1982" s="240" t="s">
        <v>759</v>
      </c>
      <c r="O1982" s="240"/>
      <c r="P1982" s="240"/>
      <c r="Q1982" s="240" t="str">
        <f t="shared" si="1"/>
        <v/>
      </c>
      <c r="R1982" s="240" t="s">
        <v>390</v>
      </c>
      <c r="S1982" s="240" t="s">
        <v>390</v>
      </c>
      <c r="T1982" s="240" t="s">
        <v>390</v>
      </c>
      <c r="U1982" s="240" t="s">
        <v>390</v>
      </c>
      <c r="V1982" s="240" t="s">
        <v>390</v>
      </c>
      <c r="W1982" s="240" t="s">
        <v>390</v>
      </c>
      <c r="X1982" s="240" t="s">
        <v>390</v>
      </c>
      <c r="Y1982" s="240" t="s">
        <v>390</v>
      </c>
      <c r="Z1982" s="240" t="s">
        <v>390</v>
      </c>
      <c r="AA1982" s="240"/>
      <c r="AB1982" s="242" t="str">
        <f t="shared" si="2"/>
        <v>#ERROR!</v>
      </c>
      <c r="AC1982" s="240" t="s">
        <v>391</v>
      </c>
      <c r="AD1982" s="242" t="b">
        <f t="shared" si="3"/>
        <v>0</v>
      </c>
      <c r="AE1982" s="240"/>
      <c r="AF1982" s="242" t="str">
        <f t="shared" si="4"/>
        <v>#ERROR!</v>
      </c>
      <c r="AG1982" s="240"/>
      <c r="AH1982" s="242" t="str">
        <f>IF(AG1982="","N/A",INDIRECT("MTR!"&amp;ADDRESS(MATCH(LEFT(AG1982,9),[1]MTR!C:C,0),COLUMN(J1982)),TRUE) &amp; "")</f>
        <v>#ERROR!</v>
      </c>
      <c r="AI1982" s="157" t="str">
        <f t="shared" si="5"/>
        <v/>
      </c>
    </row>
    <row r="1983" ht="12.75" customHeight="1">
      <c r="A1983" s="244" t="s">
        <v>5158</v>
      </c>
      <c r="B1983" s="244" t="s">
        <v>231</v>
      </c>
      <c r="C1983" s="244" t="s">
        <v>11610</v>
      </c>
      <c r="D1983" s="154" t="s">
        <v>1773</v>
      </c>
      <c r="E1983" s="154"/>
      <c r="F1983" s="154" t="str">
        <f t="array" ref="F1983">XLOOKUP(Cover!$D$12,$R$1:$Z$1,$R1983:$Z1983)</f>
        <v>Mandatory</v>
      </c>
      <c r="G1983" s="154" t="s">
        <v>11611</v>
      </c>
      <c r="H1983" s="154" t="s">
        <v>8507</v>
      </c>
      <c r="I1983" s="154" t="s">
        <v>11612</v>
      </c>
      <c r="J1983" s="154" t="s">
        <v>5730</v>
      </c>
      <c r="K1983" s="154" t="s">
        <v>11613</v>
      </c>
      <c r="L1983" s="154" t="s">
        <v>7175</v>
      </c>
      <c r="M1983" s="154" t="s">
        <v>1018</v>
      </c>
      <c r="N1983" s="154" t="s">
        <v>759</v>
      </c>
      <c r="O1983" s="247" t="s">
        <v>445</v>
      </c>
      <c r="P1983" s="247" t="s">
        <v>89</v>
      </c>
      <c r="Q1983" s="154" t="str">
        <f t="shared" si="1"/>
        <v>#ERROR!</v>
      </c>
      <c r="R1983" s="154" t="s">
        <v>66</v>
      </c>
      <c r="S1983" s="154" t="s">
        <v>66</v>
      </c>
      <c r="T1983" s="155" t="s">
        <v>64</v>
      </c>
      <c r="U1983" s="155" t="s">
        <v>64</v>
      </c>
      <c r="V1983" s="154" t="s">
        <v>60</v>
      </c>
      <c r="W1983" s="154" t="s">
        <v>60</v>
      </c>
      <c r="X1983" s="154" t="s">
        <v>66</v>
      </c>
      <c r="Y1983" s="155" t="s">
        <v>64</v>
      </c>
      <c r="Z1983" s="154" t="s">
        <v>60</v>
      </c>
      <c r="AA1983" s="154"/>
      <c r="AB1983" s="242" t="str">
        <f t="shared" si="2"/>
        <v>#ERROR!</v>
      </c>
      <c r="AC1983" s="154" t="s">
        <v>391</v>
      </c>
      <c r="AD1983" s="242" t="b">
        <f t="shared" si="3"/>
        <v>0</v>
      </c>
      <c r="AE1983" s="154"/>
      <c r="AF1983" s="242" t="str">
        <f t="shared" si="4"/>
        <v>#ERROR!</v>
      </c>
      <c r="AG1983" s="154"/>
      <c r="AH1983" s="242" t="str">
        <f>IF(AG1983="","N/A",INDIRECT("MTR!"&amp;ADDRESS(MATCH(LEFT(AG1983,9),[1]MTR!C:C,0),COLUMN(J1983)),TRUE) &amp; "")</f>
        <v>#ERROR!</v>
      </c>
      <c r="AI1983" s="157" t="str">
        <f t="shared" si="5"/>
        <v>#ERROR!</v>
      </c>
    </row>
    <row r="1984" ht="12.75" customHeight="1">
      <c r="A1984" s="244" t="s">
        <v>5158</v>
      </c>
      <c r="B1984" s="244" t="s">
        <v>231</v>
      </c>
      <c r="C1984" s="244" t="s">
        <v>11614</v>
      </c>
      <c r="D1984" s="154" t="s">
        <v>1773</v>
      </c>
      <c r="E1984" s="154"/>
      <c r="F1984" s="154" t="str">
        <f t="array" ref="F1984">XLOOKUP(Cover!$D$12,$R$1:$Z$1,$R1984:$Z1984)</f>
        <v>Mandatory</v>
      </c>
      <c r="G1984" s="154" t="s">
        <v>11615</v>
      </c>
      <c r="H1984" s="154" t="s">
        <v>1489</v>
      </c>
      <c r="I1984" s="154" t="s">
        <v>11616</v>
      </c>
      <c r="J1984" s="154" t="s">
        <v>5782</v>
      </c>
      <c r="K1984" s="154" t="s">
        <v>11613</v>
      </c>
      <c r="L1984" s="154" t="s">
        <v>7175</v>
      </c>
      <c r="M1984" s="154" t="s">
        <v>1018</v>
      </c>
      <c r="N1984" s="154" t="s">
        <v>759</v>
      </c>
      <c r="O1984" s="247" t="s">
        <v>445</v>
      </c>
      <c r="P1984" s="247" t="s">
        <v>89</v>
      </c>
      <c r="Q1984" s="154" t="str">
        <f t="shared" si="1"/>
        <v>#ERROR!</v>
      </c>
      <c r="R1984" s="154" t="s">
        <v>66</v>
      </c>
      <c r="S1984" s="154" t="s">
        <v>66</v>
      </c>
      <c r="T1984" s="155" t="s">
        <v>64</v>
      </c>
      <c r="U1984" s="155" t="s">
        <v>64</v>
      </c>
      <c r="V1984" s="154" t="s">
        <v>60</v>
      </c>
      <c r="W1984" s="154" t="s">
        <v>60</v>
      </c>
      <c r="X1984" s="154" t="s">
        <v>66</v>
      </c>
      <c r="Y1984" s="155" t="s">
        <v>64</v>
      </c>
      <c r="Z1984" s="154" t="s">
        <v>60</v>
      </c>
      <c r="AA1984" s="154"/>
      <c r="AB1984" s="242" t="str">
        <f t="shared" si="2"/>
        <v>#ERROR!</v>
      </c>
      <c r="AC1984" s="154" t="s">
        <v>391</v>
      </c>
      <c r="AD1984" s="242" t="b">
        <f t="shared" si="3"/>
        <v>0</v>
      </c>
      <c r="AE1984" s="154"/>
      <c r="AF1984" s="242" t="str">
        <f t="shared" si="4"/>
        <v>#ERROR!</v>
      </c>
      <c r="AG1984" s="154"/>
      <c r="AH1984" s="242" t="str">
        <f>IF(AG1984="","N/A",INDIRECT("MTR!"&amp;ADDRESS(MATCH(LEFT(AG1984,9),[1]MTR!C:C,0),COLUMN(J1984)),TRUE) &amp; "")</f>
        <v>#ERROR!</v>
      </c>
      <c r="AI1984" s="157" t="str">
        <f t="shared" si="5"/>
        <v>#ERROR!</v>
      </c>
    </row>
    <row r="1985" ht="12.75" customHeight="1">
      <c r="A1985" s="244" t="s">
        <v>5158</v>
      </c>
      <c r="B1985" s="244" t="s">
        <v>231</v>
      </c>
      <c r="C1985" s="244" t="s">
        <v>11617</v>
      </c>
      <c r="D1985" s="154" t="s">
        <v>542</v>
      </c>
      <c r="E1985" s="154"/>
      <c r="F1985" s="154" t="str">
        <f t="array" ref="F1985">XLOOKUP(Cover!$D$12,$R$1:$Z$1,$R1985:$Z1985)</f>
        <v>Mandatory</v>
      </c>
      <c r="G1985" s="154" t="s">
        <v>11618</v>
      </c>
      <c r="H1985" s="154" t="s">
        <v>8519</v>
      </c>
      <c r="I1985" s="154" t="s">
        <v>11619</v>
      </c>
      <c r="J1985" s="154" t="s">
        <v>5897</v>
      </c>
      <c r="K1985" s="154" t="s">
        <v>11613</v>
      </c>
      <c r="L1985" s="154" t="s">
        <v>6064</v>
      </c>
      <c r="M1985" s="154" t="s">
        <v>1018</v>
      </c>
      <c r="N1985" s="154" t="s">
        <v>759</v>
      </c>
      <c r="O1985" s="247" t="s">
        <v>516</v>
      </c>
      <c r="P1985" s="247" t="s">
        <v>6776</v>
      </c>
      <c r="Q1985" s="154" t="str">
        <f t="shared" si="1"/>
        <v>#ERROR!</v>
      </c>
      <c r="R1985" s="154" t="s">
        <v>66</v>
      </c>
      <c r="S1985" s="154" t="s">
        <v>66</v>
      </c>
      <c r="T1985" s="155" t="s">
        <v>64</v>
      </c>
      <c r="U1985" s="155" t="s">
        <v>64</v>
      </c>
      <c r="V1985" s="154" t="s">
        <v>60</v>
      </c>
      <c r="W1985" s="154" t="s">
        <v>60</v>
      </c>
      <c r="X1985" s="154" t="s">
        <v>66</v>
      </c>
      <c r="Y1985" s="155" t="s">
        <v>64</v>
      </c>
      <c r="Z1985" s="154" t="s">
        <v>60</v>
      </c>
      <c r="AA1985" s="154"/>
      <c r="AB1985" s="242" t="str">
        <f t="shared" si="2"/>
        <v>#ERROR!</v>
      </c>
      <c r="AC1985" s="154" t="s">
        <v>391</v>
      </c>
      <c r="AD1985" s="242" t="b">
        <f t="shared" si="3"/>
        <v>0</v>
      </c>
      <c r="AE1985" s="154"/>
      <c r="AF1985" s="242" t="str">
        <f t="shared" si="4"/>
        <v>#ERROR!</v>
      </c>
      <c r="AG1985" s="154"/>
      <c r="AH1985" s="242" t="str">
        <f>IF(AG1985="","N/A",INDIRECT("MTR!"&amp;ADDRESS(MATCH(LEFT(AG1985,9),[1]MTR!C:C,0),COLUMN(J1985)),TRUE) &amp; "")</f>
        <v>#ERROR!</v>
      </c>
      <c r="AI1985" s="157" t="str">
        <f t="shared" si="5"/>
        <v>#ERROR!</v>
      </c>
    </row>
    <row r="1986" ht="12.75" customHeight="1">
      <c r="A1986" s="244" t="s">
        <v>5158</v>
      </c>
      <c r="B1986" s="244" t="s">
        <v>231</v>
      </c>
      <c r="C1986" s="244" t="s">
        <v>11620</v>
      </c>
      <c r="D1986" s="154" t="s">
        <v>1773</v>
      </c>
      <c r="E1986" s="154"/>
      <c r="F1986" s="154" t="str">
        <f t="array" ref="F1986">XLOOKUP(Cover!$D$12,$R$1:$Z$1,$R1986:$Z1986)</f>
        <v>Mandatory</v>
      </c>
      <c r="G1986" s="154" t="s">
        <v>11621</v>
      </c>
      <c r="H1986" s="154" t="s">
        <v>8507</v>
      </c>
      <c r="I1986" s="154" t="s">
        <v>11622</v>
      </c>
      <c r="J1986" s="154" t="s">
        <v>6791</v>
      </c>
      <c r="K1986" s="154" t="s">
        <v>11613</v>
      </c>
      <c r="L1986" s="154" t="s">
        <v>7175</v>
      </c>
      <c r="M1986" s="154" t="s">
        <v>1018</v>
      </c>
      <c r="N1986" s="154" t="s">
        <v>759</v>
      </c>
      <c r="O1986" s="247" t="s">
        <v>516</v>
      </c>
      <c r="P1986" s="247" t="s">
        <v>6776</v>
      </c>
      <c r="Q1986" s="154" t="str">
        <f t="shared" si="1"/>
        <v>#ERROR!</v>
      </c>
      <c r="R1986" s="154" t="s">
        <v>66</v>
      </c>
      <c r="S1986" s="154" t="s">
        <v>66</v>
      </c>
      <c r="T1986" s="155" t="s">
        <v>64</v>
      </c>
      <c r="U1986" s="155" t="s">
        <v>64</v>
      </c>
      <c r="V1986" s="154" t="s">
        <v>60</v>
      </c>
      <c r="W1986" s="154" t="s">
        <v>60</v>
      </c>
      <c r="X1986" s="154" t="s">
        <v>66</v>
      </c>
      <c r="Y1986" s="155" t="s">
        <v>64</v>
      </c>
      <c r="Z1986" s="154" t="s">
        <v>60</v>
      </c>
      <c r="AA1986" s="154"/>
      <c r="AB1986" s="242" t="str">
        <f t="shared" si="2"/>
        <v>#ERROR!</v>
      </c>
      <c r="AC1986" s="154" t="s">
        <v>391</v>
      </c>
      <c r="AD1986" s="242" t="b">
        <f t="shared" si="3"/>
        <v>0</v>
      </c>
      <c r="AE1986" s="154"/>
      <c r="AF1986" s="242" t="str">
        <f t="shared" si="4"/>
        <v>#ERROR!</v>
      </c>
      <c r="AG1986" s="154"/>
      <c r="AH1986" s="242" t="str">
        <f>IF(AG1986="","N/A",INDIRECT("MTR!"&amp;ADDRESS(MATCH(LEFT(AG1986,9),[1]MTR!C:C,0),COLUMN(J1986)),TRUE) &amp; "")</f>
        <v>#ERROR!</v>
      </c>
      <c r="AI1986" s="157" t="str">
        <f t="shared" si="5"/>
        <v>#ERROR!</v>
      </c>
    </row>
    <row r="1987" ht="12.75" customHeight="1">
      <c r="A1987" s="244" t="s">
        <v>5158</v>
      </c>
      <c r="B1987" s="244" t="s">
        <v>231</v>
      </c>
      <c r="C1987" s="244" t="s">
        <v>11623</v>
      </c>
      <c r="D1987" s="154" t="s">
        <v>1773</v>
      </c>
      <c r="E1987" s="154"/>
      <c r="F1987" s="154" t="str">
        <f t="array" ref="F1987">XLOOKUP(Cover!$D$12,$R$1:$Z$1,$R1987:$Z1987)</f>
        <v>Mandatory</v>
      </c>
      <c r="G1987" s="154" t="s">
        <v>11624</v>
      </c>
      <c r="H1987" s="154" t="s">
        <v>1489</v>
      </c>
      <c r="I1987" s="154" t="s">
        <v>11622</v>
      </c>
      <c r="J1987" s="154" t="s">
        <v>6791</v>
      </c>
      <c r="K1987" s="154" t="s">
        <v>11613</v>
      </c>
      <c r="L1987" s="154" t="s">
        <v>7175</v>
      </c>
      <c r="M1987" s="154" t="s">
        <v>1018</v>
      </c>
      <c r="N1987" s="154" t="s">
        <v>759</v>
      </c>
      <c r="O1987" s="247" t="s">
        <v>516</v>
      </c>
      <c r="P1987" s="247" t="s">
        <v>6776</v>
      </c>
      <c r="Q1987" s="154" t="str">
        <f t="shared" si="1"/>
        <v>#ERROR!</v>
      </c>
      <c r="R1987" s="154" t="s">
        <v>66</v>
      </c>
      <c r="S1987" s="154" t="s">
        <v>66</v>
      </c>
      <c r="T1987" s="155" t="s">
        <v>64</v>
      </c>
      <c r="U1987" s="155" t="s">
        <v>64</v>
      </c>
      <c r="V1987" s="154" t="s">
        <v>60</v>
      </c>
      <c r="W1987" s="154" t="s">
        <v>60</v>
      </c>
      <c r="X1987" s="154" t="s">
        <v>66</v>
      </c>
      <c r="Y1987" s="155" t="s">
        <v>64</v>
      </c>
      <c r="Z1987" s="154" t="s">
        <v>60</v>
      </c>
      <c r="AA1987" s="154"/>
      <c r="AB1987" s="242" t="str">
        <f t="shared" si="2"/>
        <v>#ERROR!</v>
      </c>
      <c r="AC1987" s="154" t="s">
        <v>391</v>
      </c>
      <c r="AD1987" s="242" t="b">
        <f t="shared" si="3"/>
        <v>0</v>
      </c>
      <c r="AE1987" s="154"/>
      <c r="AF1987" s="242" t="str">
        <f t="shared" si="4"/>
        <v>#ERROR!</v>
      </c>
      <c r="AG1987" s="154"/>
      <c r="AH1987" s="242" t="str">
        <f>IF(AG1987="","N/A",INDIRECT("MTR!"&amp;ADDRESS(MATCH(LEFT(AG1987,9),[1]MTR!C:C,0),COLUMN(J1987)),TRUE) &amp; "")</f>
        <v>#ERROR!</v>
      </c>
      <c r="AI1987" s="157" t="str">
        <f t="shared" si="5"/>
        <v>#ERROR!</v>
      </c>
    </row>
    <row r="1988" ht="12.75" customHeight="1">
      <c r="A1988" s="244" t="s">
        <v>5158</v>
      </c>
      <c r="B1988" s="244" t="s">
        <v>231</v>
      </c>
      <c r="C1988" s="244" t="s">
        <v>11625</v>
      </c>
      <c r="D1988" s="154" t="s">
        <v>1773</v>
      </c>
      <c r="E1988" s="154"/>
      <c r="F1988" s="154" t="str">
        <f t="array" ref="F1988">XLOOKUP(Cover!$D$12,$R$1:$Z$1,$R1988:$Z1988)</f>
        <v>Mandatory</v>
      </c>
      <c r="G1988" s="154" t="s">
        <v>11626</v>
      </c>
      <c r="H1988" s="154" t="s">
        <v>8507</v>
      </c>
      <c r="I1988" s="154" t="s">
        <v>11627</v>
      </c>
      <c r="J1988" s="154" t="s">
        <v>6803</v>
      </c>
      <c r="K1988" s="154" t="s">
        <v>11613</v>
      </c>
      <c r="L1988" s="154" t="s">
        <v>7175</v>
      </c>
      <c r="M1988" s="154" t="s">
        <v>1018</v>
      </c>
      <c r="N1988" s="154" t="s">
        <v>759</v>
      </c>
      <c r="O1988" s="247" t="s">
        <v>516</v>
      </c>
      <c r="P1988" s="247" t="s">
        <v>6776</v>
      </c>
      <c r="Q1988" s="154" t="str">
        <f t="shared" si="1"/>
        <v>#ERROR!</v>
      </c>
      <c r="R1988" s="154" t="s">
        <v>66</v>
      </c>
      <c r="S1988" s="154" t="s">
        <v>66</v>
      </c>
      <c r="T1988" s="155" t="s">
        <v>64</v>
      </c>
      <c r="U1988" s="155" t="s">
        <v>64</v>
      </c>
      <c r="V1988" s="154" t="s">
        <v>60</v>
      </c>
      <c r="W1988" s="154" t="s">
        <v>60</v>
      </c>
      <c r="X1988" s="154" t="s">
        <v>66</v>
      </c>
      <c r="Y1988" s="155" t="s">
        <v>64</v>
      </c>
      <c r="Z1988" s="154" t="s">
        <v>60</v>
      </c>
      <c r="AA1988" s="154"/>
      <c r="AB1988" s="242" t="str">
        <f t="shared" si="2"/>
        <v>#ERROR!</v>
      </c>
      <c r="AC1988" s="154" t="s">
        <v>391</v>
      </c>
      <c r="AD1988" s="242" t="b">
        <f t="shared" si="3"/>
        <v>0</v>
      </c>
      <c r="AE1988" s="154"/>
      <c r="AF1988" s="242" t="str">
        <f t="shared" si="4"/>
        <v>#ERROR!</v>
      </c>
      <c r="AG1988" s="154"/>
      <c r="AH1988" s="242" t="str">
        <f>IF(AG1988="","N/A",INDIRECT("MTR!"&amp;ADDRESS(MATCH(LEFT(AG1988,9),[1]MTR!C:C,0),COLUMN(J1988)),TRUE) &amp; "")</f>
        <v>#ERROR!</v>
      </c>
      <c r="AI1988" s="157" t="str">
        <f t="shared" si="5"/>
        <v>#ERROR!</v>
      </c>
    </row>
    <row r="1989" ht="12.75" customHeight="1">
      <c r="A1989" s="244" t="s">
        <v>5158</v>
      </c>
      <c r="B1989" s="244" t="s">
        <v>231</v>
      </c>
      <c r="C1989" s="244" t="s">
        <v>11628</v>
      </c>
      <c r="D1989" s="154" t="s">
        <v>1773</v>
      </c>
      <c r="E1989" s="154"/>
      <c r="F1989" s="154" t="str">
        <f t="array" ref="F1989">XLOOKUP(Cover!$D$12,$R$1:$Z$1,$R1989:$Z1989)</f>
        <v>Mandatory</v>
      </c>
      <c r="G1989" s="154" t="s">
        <v>11629</v>
      </c>
      <c r="H1989" s="154" t="s">
        <v>8519</v>
      </c>
      <c r="I1989" s="154" t="s">
        <v>11627</v>
      </c>
      <c r="J1989" s="154" t="s">
        <v>6803</v>
      </c>
      <c r="K1989" s="154" t="s">
        <v>11613</v>
      </c>
      <c r="L1989" s="154" t="s">
        <v>7175</v>
      </c>
      <c r="M1989" s="154" t="s">
        <v>1018</v>
      </c>
      <c r="N1989" s="154" t="s">
        <v>759</v>
      </c>
      <c r="O1989" s="247" t="s">
        <v>516</v>
      </c>
      <c r="P1989" s="247" t="s">
        <v>6776</v>
      </c>
      <c r="Q1989" s="154" t="str">
        <f t="shared" si="1"/>
        <v>#ERROR!</v>
      </c>
      <c r="R1989" s="154" t="s">
        <v>66</v>
      </c>
      <c r="S1989" s="154" t="s">
        <v>66</v>
      </c>
      <c r="T1989" s="155" t="s">
        <v>64</v>
      </c>
      <c r="U1989" s="155" t="s">
        <v>64</v>
      </c>
      <c r="V1989" s="154" t="s">
        <v>60</v>
      </c>
      <c r="W1989" s="154" t="s">
        <v>60</v>
      </c>
      <c r="X1989" s="154" t="s">
        <v>66</v>
      </c>
      <c r="Y1989" s="155" t="s">
        <v>64</v>
      </c>
      <c r="Z1989" s="154" t="s">
        <v>60</v>
      </c>
      <c r="AA1989" s="154"/>
      <c r="AB1989" s="242" t="str">
        <f t="shared" si="2"/>
        <v>#ERROR!</v>
      </c>
      <c r="AC1989" s="154" t="s">
        <v>391</v>
      </c>
      <c r="AD1989" s="242" t="b">
        <f t="shared" si="3"/>
        <v>0</v>
      </c>
      <c r="AE1989" s="154"/>
      <c r="AF1989" s="242" t="str">
        <f t="shared" si="4"/>
        <v>#ERROR!</v>
      </c>
      <c r="AG1989" s="154"/>
      <c r="AH1989" s="242" t="str">
        <f>IF(AG1989="","N/A",INDIRECT("MTR!"&amp;ADDRESS(MATCH(LEFT(AG1989,9),[1]MTR!C:C,0),COLUMN(J1989)),TRUE) &amp; "")</f>
        <v>#ERROR!</v>
      </c>
      <c r="AI1989" s="157" t="str">
        <f t="shared" si="5"/>
        <v>#ERROR!</v>
      </c>
    </row>
    <row r="1990" ht="12.75" customHeight="1">
      <c r="A1990" s="244" t="s">
        <v>5158</v>
      </c>
      <c r="B1990" s="244" t="s">
        <v>231</v>
      </c>
      <c r="C1990" s="244" t="s">
        <v>11630</v>
      </c>
      <c r="D1990" s="154" t="s">
        <v>1773</v>
      </c>
      <c r="E1990" s="154"/>
      <c r="F1990" s="154" t="str">
        <f t="array" ref="F1990">XLOOKUP(Cover!$D$12,$R$1:$Z$1,$R1990:$Z1990)</f>
        <v>Mandatory</v>
      </c>
      <c r="G1990" s="154" t="s">
        <v>11631</v>
      </c>
      <c r="H1990" s="154" t="s">
        <v>1489</v>
      </c>
      <c r="I1990" s="154" t="s">
        <v>11632</v>
      </c>
      <c r="J1990" s="154" t="s">
        <v>6809</v>
      </c>
      <c r="K1990" s="154" t="s">
        <v>11613</v>
      </c>
      <c r="L1990" s="154" t="s">
        <v>7175</v>
      </c>
      <c r="M1990" s="154" t="s">
        <v>1018</v>
      </c>
      <c r="N1990" s="154" t="s">
        <v>759</v>
      </c>
      <c r="O1990" s="247" t="s">
        <v>445</v>
      </c>
      <c r="P1990" s="247" t="s">
        <v>89</v>
      </c>
      <c r="Q1990" s="154" t="str">
        <f t="shared" si="1"/>
        <v>#ERROR!</v>
      </c>
      <c r="R1990" s="154" t="s">
        <v>66</v>
      </c>
      <c r="S1990" s="154" t="s">
        <v>66</v>
      </c>
      <c r="T1990" s="155" t="s">
        <v>64</v>
      </c>
      <c r="U1990" s="155" t="s">
        <v>64</v>
      </c>
      <c r="V1990" s="154" t="s">
        <v>60</v>
      </c>
      <c r="W1990" s="154" t="s">
        <v>60</v>
      </c>
      <c r="X1990" s="154" t="s">
        <v>66</v>
      </c>
      <c r="Y1990" s="155" t="s">
        <v>64</v>
      </c>
      <c r="Z1990" s="154" t="s">
        <v>60</v>
      </c>
      <c r="AA1990" s="154"/>
      <c r="AB1990" s="242" t="str">
        <f t="shared" si="2"/>
        <v>#ERROR!</v>
      </c>
      <c r="AC1990" s="154" t="s">
        <v>391</v>
      </c>
      <c r="AD1990" s="242" t="b">
        <f t="shared" si="3"/>
        <v>0</v>
      </c>
      <c r="AE1990" s="154"/>
      <c r="AF1990" s="242" t="str">
        <f t="shared" si="4"/>
        <v>#ERROR!</v>
      </c>
      <c r="AG1990" s="154"/>
      <c r="AH1990" s="242" t="str">
        <f>IF(AG1990="","N/A",INDIRECT("MTR!"&amp;ADDRESS(MATCH(LEFT(AG1990,9),[1]MTR!C:C,0),COLUMN(J1990)),TRUE) &amp; "")</f>
        <v>#ERROR!</v>
      </c>
      <c r="AI1990" s="157" t="str">
        <f t="shared" si="5"/>
        <v>#ERROR!</v>
      </c>
    </row>
    <row r="1991" ht="12.75" customHeight="1">
      <c r="A1991" s="244" t="s">
        <v>5158</v>
      </c>
      <c r="B1991" s="244" t="s">
        <v>231</v>
      </c>
      <c r="C1991" s="244" t="s">
        <v>11633</v>
      </c>
      <c r="D1991" s="154" t="s">
        <v>1773</v>
      </c>
      <c r="E1991" s="154"/>
      <c r="F1991" s="154" t="str">
        <f t="array" ref="F1991">XLOOKUP(Cover!$D$12,$R$1:$Z$1,$R1991:$Z1991)</f>
        <v>Mandatory</v>
      </c>
      <c r="G1991" s="154" t="s">
        <v>11634</v>
      </c>
      <c r="H1991" s="154" t="s">
        <v>8550</v>
      </c>
      <c r="I1991" s="154" t="s">
        <v>11632</v>
      </c>
      <c r="J1991" s="154" t="s">
        <v>6809</v>
      </c>
      <c r="K1991" s="154" t="s">
        <v>11613</v>
      </c>
      <c r="L1991" s="154" t="s">
        <v>7175</v>
      </c>
      <c r="M1991" s="154" t="s">
        <v>1018</v>
      </c>
      <c r="N1991" s="154" t="s">
        <v>759</v>
      </c>
      <c r="O1991" s="247" t="s">
        <v>516</v>
      </c>
      <c r="P1991" s="247" t="s">
        <v>1575</v>
      </c>
      <c r="Q1991" s="154" t="str">
        <f t="shared" si="1"/>
        <v>#ERROR!</v>
      </c>
      <c r="R1991" s="154" t="s">
        <v>66</v>
      </c>
      <c r="S1991" s="154" t="s">
        <v>66</v>
      </c>
      <c r="T1991" s="155" t="s">
        <v>64</v>
      </c>
      <c r="U1991" s="155" t="s">
        <v>64</v>
      </c>
      <c r="V1991" s="154" t="s">
        <v>60</v>
      </c>
      <c r="W1991" s="154" t="s">
        <v>60</v>
      </c>
      <c r="X1991" s="154" t="s">
        <v>66</v>
      </c>
      <c r="Y1991" s="155" t="s">
        <v>64</v>
      </c>
      <c r="Z1991" s="154" t="s">
        <v>60</v>
      </c>
      <c r="AA1991" s="154"/>
      <c r="AB1991" s="242" t="str">
        <f t="shared" si="2"/>
        <v>#ERROR!</v>
      </c>
      <c r="AC1991" s="154" t="s">
        <v>391</v>
      </c>
      <c r="AD1991" s="242" t="b">
        <f t="shared" si="3"/>
        <v>0</v>
      </c>
      <c r="AE1991" s="154"/>
      <c r="AF1991" s="242" t="str">
        <f t="shared" si="4"/>
        <v>#ERROR!</v>
      </c>
      <c r="AG1991" s="154"/>
      <c r="AH1991" s="242" t="str">
        <f>IF(AG1991="","N/A",INDIRECT("MTR!"&amp;ADDRESS(MATCH(LEFT(AG1991,9),[1]MTR!C:C,0),COLUMN(J1991)),TRUE) &amp; "")</f>
        <v>#ERROR!</v>
      </c>
      <c r="AI1991" s="157" t="str">
        <f t="shared" si="5"/>
        <v>#ERROR!</v>
      </c>
    </row>
    <row r="1992" ht="12.75" customHeight="1">
      <c r="A1992" s="244" t="s">
        <v>5158</v>
      </c>
      <c r="B1992" s="244" t="s">
        <v>231</v>
      </c>
      <c r="C1992" s="244" t="s">
        <v>11635</v>
      </c>
      <c r="D1992" s="154" t="s">
        <v>1773</v>
      </c>
      <c r="E1992" s="154"/>
      <c r="F1992" s="154" t="str">
        <f t="array" ref="F1992">XLOOKUP(Cover!$D$12,$R$1:$Z$1,$R1992:$Z1992)</f>
        <v>Mandatory</v>
      </c>
      <c r="G1992" s="154" t="s">
        <v>11636</v>
      </c>
      <c r="H1992" s="154" t="s">
        <v>1489</v>
      </c>
      <c r="I1992" s="154" t="s">
        <v>11637</v>
      </c>
      <c r="J1992" s="154" t="s">
        <v>6832</v>
      </c>
      <c r="K1992" s="154" t="s">
        <v>11613</v>
      </c>
      <c r="L1992" s="154" t="s">
        <v>7175</v>
      </c>
      <c r="M1992" s="154" t="s">
        <v>1018</v>
      </c>
      <c r="N1992" s="154" t="s">
        <v>759</v>
      </c>
      <c r="O1992" s="247" t="s">
        <v>516</v>
      </c>
      <c r="P1992" s="247" t="s">
        <v>6776</v>
      </c>
      <c r="Q1992" s="154" t="str">
        <f t="shared" si="1"/>
        <v>#ERROR!</v>
      </c>
      <c r="R1992" s="154" t="s">
        <v>66</v>
      </c>
      <c r="S1992" s="154" t="s">
        <v>66</v>
      </c>
      <c r="T1992" s="155" t="s">
        <v>64</v>
      </c>
      <c r="U1992" s="155" t="s">
        <v>64</v>
      </c>
      <c r="V1992" s="154" t="s">
        <v>60</v>
      </c>
      <c r="W1992" s="154" t="s">
        <v>60</v>
      </c>
      <c r="X1992" s="154" t="s">
        <v>66</v>
      </c>
      <c r="Y1992" s="155" t="s">
        <v>64</v>
      </c>
      <c r="Z1992" s="154" t="s">
        <v>60</v>
      </c>
      <c r="AA1992" s="154"/>
      <c r="AB1992" s="242" t="str">
        <f t="shared" si="2"/>
        <v>#ERROR!</v>
      </c>
      <c r="AC1992" s="154" t="s">
        <v>391</v>
      </c>
      <c r="AD1992" s="242" t="b">
        <f t="shared" si="3"/>
        <v>0</v>
      </c>
      <c r="AE1992" s="154"/>
      <c r="AF1992" s="242" t="str">
        <f t="shared" si="4"/>
        <v>#ERROR!</v>
      </c>
      <c r="AG1992" s="154"/>
      <c r="AH1992" s="242" t="str">
        <f>IF(AG1992="","N/A",INDIRECT("MTR!"&amp;ADDRESS(MATCH(LEFT(AG1992,9),[1]MTR!C:C,0),COLUMN(J1992)),TRUE) &amp; "")</f>
        <v>#ERROR!</v>
      </c>
      <c r="AI1992" s="157" t="str">
        <f t="shared" si="5"/>
        <v>#ERROR!</v>
      </c>
    </row>
    <row r="1993" ht="12.75" customHeight="1">
      <c r="A1993" s="244" t="s">
        <v>5158</v>
      </c>
      <c r="B1993" s="244" t="s">
        <v>231</v>
      </c>
      <c r="C1993" s="244" t="s">
        <v>11638</v>
      </c>
      <c r="D1993" s="154" t="s">
        <v>1773</v>
      </c>
      <c r="E1993" s="154"/>
      <c r="F1993" s="154" t="str">
        <f t="array" ref="F1993">XLOOKUP(Cover!$D$12,$R$1:$Z$1,$R1993:$Z1993)</f>
        <v>Mandatory</v>
      </c>
      <c r="G1993" s="154" t="s">
        <v>11639</v>
      </c>
      <c r="H1993" s="154" t="s">
        <v>8519</v>
      </c>
      <c r="I1993" s="154" t="s">
        <v>11637</v>
      </c>
      <c r="J1993" s="154" t="s">
        <v>6832</v>
      </c>
      <c r="K1993" s="154" t="s">
        <v>11613</v>
      </c>
      <c r="L1993" s="154" t="s">
        <v>7175</v>
      </c>
      <c r="M1993" s="154" t="s">
        <v>1018</v>
      </c>
      <c r="N1993" s="154" t="s">
        <v>759</v>
      </c>
      <c r="O1993" s="247" t="s">
        <v>516</v>
      </c>
      <c r="P1993" s="247" t="s">
        <v>6776</v>
      </c>
      <c r="Q1993" s="154" t="str">
        <f t="shared" si="1"/>
        <v>#ERROR!</v>
      </c>
      <c r="R1993" s="154" t="s">
        <v>66</v>
      </c>
      <c r="S1993" s="154" t="s">
        <v>66</v>
      </c>
      <c r="T1993" s="155" t="s">
        <v>64</v>
      </c>
      <c r="U1993" s="155" t="s">
        <v>64</v>
      </c>
      <c r="V1993" s="154" t="s">
        <v>60</v>
      </c>
      <c r="W1993" s="154" t="s">
        <v>60</v>
      </c>
      <c r="X1993" s="154" t="s">
        <v>66</v>
      </c>
      <c r="Y1993" s="155" t="s">
        <v>64</v>
      </c>
      <c r="Z1993" s="154" t="s">
        <v>60</v>
      </c>
      <c r="AA1993" s="154"/>
      <c r="AB1993" s="242" t="str">
        <f t="shared" si="2"/>
        <v>#ERROR!</v>
      </c>
      <c r="AC1993" s="154" t="s">
        <v>391</v>
      </c>
      <c r="AD1993" s="242" t="b">
        <f t="shared" si="3"/>
        <v>0</v>
      </c>
      <c r="AE1993" s="154"/>
      <c r="AF1993" s="242" t="str">
        <f t="shared" si="4"/>
        <v>#ERROR!</v>
      </c>
      <c r="AG1993" s="154"/>
      <c r="AH1993" s="242" t="str">
        <f>IF(AG1993="","N/A",INDIRECT("MTR!"&amp;ADDRESS(MATCH(LEFT(AG1993,9),[1]MTR!C:C,0),COLUMN(J1993)),TRUE) &amp; "")</f>
        <v>#ERROR!</v>
      </c>
      <c r="AI1993" s="157" t="str">
        <f t="shared" si="5"/>
        <v>#ERROR!</v>
      </c>
    </row>
    <row r="1994" ht="12.75" customHeight="1">
      <c r="A1994" s="244" t="s">
        <v>5158</v>
      </c>
      <c r="B1994" s="244" t="s">
        <v>231</v>
      </c>
      <c r="C1994" s="244" t="s">
        <v>11640</v>
      </c>
      <c r="D1994" s="154" t="s">
        <v>1773</v>
      </c>
      <c r="E1994" s="154"/>
      <c r="F1994" s="154" t="str">
        <f t="array" ref="F1994">XLOOKUP(Cover!$D$12,$R$1:$Z$1,$R1994:$Z1994)</f>
        <v>Mandatory</v>
      </c>
      <c r="G1994" s="154" t="s">
        <v>11641</v>
      </c>
      <c r="H1994" s="154" t="s">
        <v>8507</v>
      </c>
      <c r="I1994" s="154" t="s">
        <v>11642</v>
      </c>
      <c r="J1994" s="154" t="s">
        <v>7963</v>
      </c>
      <c r="K1994" s="154" t="s">
        <v>11613</v>
      </c>
      <c r="L1994" s="154" t="s">
        <v>7175</v>
      </c>
      <c r="M1994" s="154" t="s">
        <v>175</v>
      </c>
      <c r="N1994" s="154" t="s">
        <v>759</v>
      </c>
      <c r="O1994" s="247" t="s">
        <v>516</v>
      </c>
      <c r="P1994" s="247" t="s">
        <v>6776</v>
      </c>
      <c r="Q1994" s="154" t="str">
        <f t="shared" si="1"/>
        <v>#ERROR!</v>
      </c>
      <c r="R1994" s="154" t="s">
        <v>66</v>
      </c>
      <c r="S1994" s="154" t="s">
        <v>66</v>
      </c>
      <c r="T1994" s="155" t="s">
        <v>64</v>
      </c>
      <c r="U1994" s="155" t="s">
        <v>64</v>
      </c>
      <c r="V1994" s="154" t="s">
        <v>60</v>
      </c>
      <c r="W1994" s="154" t="s">
        <v>60</v>
      </c>
      <c r="X1994" s="154" t="s">
        <v>66</v>
      </c>
      <c r="Y1994" s="155" t="s">
        <v>64</v>
      </c>
      <c r="Z1994" s="154" t="s">
        <v>60</v>
      </c>
      <c r="AA1994" s="154"/>
      <c r="AB1994" s="242" t="str">
        <f t="shared" si="2"/>
        <v>#ERROR!</v>
      </c>
      <c r="AC1994" s="154" t="s">
        <v>391</v>
      </c>
      <c r="AD1994" s="242" t="b">
        <f t="shared" si="3"/>
        <v>0</v>
      </c>
      <c r="AE1994" s="154"/>
      <c r="AF1994" s="242" t="str">
        <f t="shared" si="4"/>
        <v>#ERROR!</v>
      </c>
      <c r="AG1994" s="154"/>
      <c r="AH1994" s="242" t="str">
        <f>IF(AG1994="","N/A",INDIRECT("MTR!"&amp;ADDRESS(MATCH(LEFT(AG1994,9),[1]MTR!C:C,0),COLUMN(J1994)),TRUE) &amp; "")</f>
        <v>#ERROR!</v>
      </c>
      <c r="AI1994" s="157" t="str">
        <f t="shared" si="5"/>
        <v>#ERROR!</v>
      </c>
    </row>
    <row r="1995" ht="12.75" customHeight="1">
      <c r="A1995" s="244" t="s">
        <v>5158</v>
      </c>
      <c r="B1995" s="244" t="s">
        <v>231</v>
      </c>
      <c r="C1995" s="244" t="s">
        <v>11643</v>
      </c>
      <c r="D1995" s="154" t="s">
        <v>1773</v>
      </c>
      <c r="E1995" s="154"/>
      <c r="F1995" s="154" t="str">
        <f t="array" ref="F1995">XLOOKUP(Cover!$D$12,$R$1:$Z$1,$R1995:$Z1995)</f>
        <v>Mandatory</v>
      </c>
      <c r="G1995" s="154" t="s">
        <v>11644</v>
      </c>
      <c r="H1995" s="154" t="s">
        <v>1489</v>
      </c>
      <c r="I1995" s="154" t="s">
        <v>11642</v>
      </c>
      <c r="J1995" s="154" t="s">
        <v>7963</v>
      </c>
      <c r="K1995" s="154" t="s">
        <v>11613</v>
      </c>
      <c r="L1995" s="154" t="s">
        <v>7175</v>
      </c>
      <c r="M1995" s="154" t="s">
        <v>175</v>
      </c>
      <c r="N1995" s="154" t="s">
        <v>759</v>
      </c>
      <c r="O1995" s="247" t="s">
        <v>516</v>
      </c>
      <c r="P1995" s="247" t="s">
        <v>6776</v>
      </c>
      <c r="Q1995" s="154" t="str">
        <f t="shared" si="1"/>
        <v>#ERROR!</v>
      </c>
      <c r="R1995" s="154" t="s">
        <v>66</v>
      </c>
      <c r="S1995" s="154" t="s">
        <v>66</v>
      </c>
      <c r="T1995" s="155" t="s">
        <v>64</v>
      </c>
      <c r="U1995" s="155" t="s">
        <v>64</v>
      </c>
      <c r="V1995" s="154" t="s">
        <v>60</v>
      </c>
      <c r="W1995" s="154" t="s">
        <v>60</v>
      </c>
      <c r="X1995" s="154" t="s">
        <v>66</v>
      </c>
      <c r="Y1995" s="155" t="s">
        <v>64</v>
      </c>
      <c r="Z1995" s="154" t="s">
        <v>60</v>
      </c>
      <c r="AA1995" s="154"/>
      <c r="AB1995" s="242" t="str">
        <f t="shared" si="2"/>
        <v>#ERROR!</v>
      </c>
      <c r="AC1995" s="154" t="s">
        <v>391</v>
      </c>
      <c r="AD1995" s="242" t="b">
        <f t="shared" si="3"/>
        <v>0</v>
      </c>
      <c r="AE1995" s="154"/>
      <c r="AF1995" s="242" t="str">
        <f t="shared" si="4"/>
        <v>#ERROR!</v>
      </c>
      <c r="AG1995" s="154"/>
      <c r="AH1995" s="242" t="str">
        <f>IF(AG1995="","N/A",INDIRECT("MTR!"&amp;ADDRESS(MATCH(LEFT(AG1995,9),[1]MTR!C:C,0),COLUMN(J1995)),TRUE) &amp; "")</f>
        <v>#ERROR!</v>
      </c>
      <c r="AI1995" s="157" t="str">
        <f t="shared" si="5"/>
        <v>#ERROR!</v>
      </c>
    </row>
    <row r="1996" ht="12.75" customHeight="1">
      <c r="A1996" s="244" t="s">
        <v>5158</v>
      </c>
      <c r="B1996" s="244" t="s">
        <v>231</v>
      </c>
      <c r="C1996" s="244" t="s">
        <v>11645</v>
      </c>
      <c r="D1996" s="154" t="s">
        <v>1773</v>
      </c>
      <c r="E1996" s="154"/>
      <c r="F1996" s="154" t="str">
        <f t="array" ref="F1996">XLOOKUP(Cover!$D$12,$R$1:$Z$1,$R1996:$Z1996)</f>
        <v>Mandatory</v>
      </c>
      <c r="G1996" s="154" t="s">
        <v>11646</v>
      </c>
      <c r="H1996" s="154" t="s">
        <v>8550</v>
      </c>
      <c r="I1996" s="154" t="s">
        <v>11642</v>
      </c>
      <c r="J1996" s="154" t="s">
        <v>7963</v>
      </c>
      <c r="K1996" s="154" t="s">
        <v>11613</v>
      </c>
      <c r="L1996" s="154" t="s">
        <v>7175</v>
      </c>
      <c r="M1996" s="154" t="s">
        <v>175</v>
      </c>
      <c r="N1996" s="154" t="s">
        <v>759</v>
      </c>
      <c r="O1996" s="247" t="s">
        <v>516</v>
      </c>
      <c r="P1996" s="247" t="s">
        <v>6776</v>
      </c>
      <c r="Q1996" s="154" t="str">
        <f t="shared" si="1"/>
        <v>#ERROR!</v>
      </c>
      <c r="R1996" s="154" t="s">
        <v>66</v>
      </c>
      <c r="S1996" s="154" t="s">
        <v>66</v>
      </c>
      <c r="T1996" s="155" t="s">
        <v>64</v>
      </c>
      <c r="U1996" s="155" t="s">
        <v>64</v>
      </c>
      <c r="V1996" s="154" t="s">
        <v>60</v>
      </c>
      <c r="W1996" s="154" t="s">
        <v>60</v>
      </c>
      <c r="X1996" s="154" t="s">
        <v>66</v>
      </c>
      <c r="Y1996" s="155" t="s">
        <v>64</v>
      </c>
      <c r="Z1996" s="154" t="s">
        <v>60</v>
      </c>
      <c r="AA1996" s="154"/>
      <c r="AB1996" s="242" t="str">
        <f t="shared" si="2"/>
        <v>#ERROR!</v>
      </c>
      <c r="AC1996" s="154" t="s">
        <v>391</v>
      </c>
      <c r="AD1996" s="242" t="b">
        <f t="shared" si="3"/>
        <v>0</v>
      </c>
      <c r="AE1996" s="154"/>
      <c r="AF1996" s="242" t="str">
        <f t="shared" si="4"/>
        <v>#ERROR!</v>
      </c>
      <c r="AG1996" s="154"/>
      <c r="AH1996" s="242" t="str">
        <f>IF(AG1996="","N/A",INDIRECT("MTR!"&amp;ADDRESS(MATCH(LEFT(AG1996,9),[1]MTR!C:C,0),COLUMN(J1996)),TRUE) &amp; "")</f>
        <v>#ERROR!</v>
      </c>
      <c r="AI1996" s="157" t="str">
        <f t="shared" si="5"/>
        <v>#ERROR!</v>
      </c>
    </row>
    <row r="1997" ht="12.75" customHeight="1">
      <c r="A1997" s="244" t="s">
        <v>5158</v>
      </c>
      <c r="B1997" s="244" t="s">
        <v>231</v>
      </c>
      <c r="C1997" s="244" t="s">
        <v>11647</v>
      </c>
      <c r="D1997" s="154" t="s">
        <v>1773</v>
      </c>
      <c r="E1997" s="154"/>
      <c r="F1997" s="154" t="str">
        <f t="array" ref="F1997">XLOOKUP(Cover!$D$12,$R$1:$Z$1,$R1997:$Z1997)</f>
        <v>Mandatory</v>
      </c>
      <c r="G1997" s="154" t="s">
        <v>11648</v>
      </c>
      <c r="H1997" s="154" t="s">
        <v>8507</v>
      </c>
      <c r="I1997" s="154" t="s">
        <v>11649</v>
      </c>
      <c r="J1997" s="154" t="s">
        <v>6919</v>
      </c>
      <c r="K1997" s="154" t="s">
        <v>11613</v>
      </c>
      <c r="L1997" s="154" t="s">
        <v>7175</v>
      </c>
      <c r="M1997" s="154" t="s">
        <v>175</v>
      </c>
      <c r="N1997" s="154" t="s">
        <v>759</v>
      </c>
      <c r="O1997" s="247" t="s">
        <v>516</v>
      </c>
      <c r="P1997" s="247" t="s">
        <v>6776</v>
      </c>
      <c r="Q1997" s="154" t="str">
        <f t="shared" si="1"/>
        <v>#ERROR!</v>
      </c>
      <c r="R1997" s="154" t="s">
        <v>66</v>
      </c>
      <c r="S1997" s="154" t="s">
        <v>66</v>
      </c>
      <c r="T1997" s="155" t="s">
        <v>64</v>
      </c>
      <c r="U1997" s="155" t="s">
        <v>64</v>
      </c>
      <c r="V1997" s="154" t="s">
        <v>60</v>
      </c>
      <c r="W1997" s="154" t="s">
        <v>60</v>
      </c>
      <c r="X1997" s="154" t="s">
        <v>66</v>
      </c>
      <c r="Y1997" s="155" t="s">
        <v>64</v>
      </c>
      <c r="Z1997" s="154" t="s">
        <v>60</v>
      </c>
      <c r="AA1997" s="154"/>
      <c r="AB1997" s="242" t="str">
        <f t="shared" si="2"/>
        <v>#ERROR!</v>
      </c>
      <c r="AC1997" s="154" t="s">
        <v>391</v>
      </c>
      <c r="AD1997" s="242" t="b">
        <f t="shared" si="3"/>
        <v>0</v>
      </c>
      <c r="AE1997" s="154"/>
      <c r="AF1997" s="242" t="str">
        <f t="shared" si="4"/>
        <v>#ERROR!</v>
      </c>
      <c r="AG1997" s="154"/>
      <c r="AH1997" s="242" t="str">
        <f>IF(AG1997="","N/A",INDIRECT("MTR!"&amp;ADDRESS(MATCH(LEFT(AG1997,9),[1]MTR!C:C,0),COLUMN(J1997)),TRUE) &amp; "")</f>
        <v>#ERROR!</v>
      </c>
      <c r="AI1997" s="157" t="str">
        <f t="shared" si="5"/>
        <v>#ERROR!</v>
      </c>
    </row>
    <row r="1998" ht="12.75" customHeight="1">
      <c r="A1998" s="244" t="s">
        <v>5158</v>
      </c>
      <c r="B1998" s="244" t="s">
        <v>231</v>
      </c>
      <c r="C1998" s="244" t="s">
        <v>11650</v>
      </c>
      <c r="D1998" s="154" t="s">
        <v>1773</v>
      </c>
      <c r="E1998" s="154"/>
      <c r="F1998" s="154" t="str">
        <f t="array" ref="F1998">XLOOKUP(Cover!$D$12,$R$1:$Z$1,$R1998:$Z1998)</f>
        <v>Mandatory</v>
      </c>
      <c r="G1998" s="154" t="s">
        <v>11651</v>
      </c>
      <c r="H1998" s="154" t="s">
        <v>1489</v>
      </c>
      <c r="I1998" s="154" t="s">
        <v>11649</v>
      </c>
      <c r="J1998" s="154" t="s">
        <v>6919</v>
      </c>
      <c r="K1998" s="154" t="s">
        <v>11613</v>
      </c>
      <c r="L1998" s="154" t="s">
        <v>7175</v>
      </c>
      <c r="M1998" s="154" t="s">
        <v>175</v>
      </c>
      <c r="N1998" s="154" t="s">
        <v>759</v>
      </c>
      <c r="O1998" s="247" t="s">
        <v>516</v>
      </c>
      <c r="P1998" s="247" t="s">
        <v>6776</v>
      </c>
      <c r="Q1998" s="154" t="str">
        <f t="shared" si="1"/>
        <v>#ERROR!</v>
      </c>
      <c r="R1998" s="154" t="s">
        <v>66</v>
      </c>
      <c r="S1998" s="154" t="s">
        <v>66</v>
      </c>
      <c r="T1998" s="155" t="s">
        <v>64</v>
      </c>
      <c r="U1998" s="155" t="s">
        <v>64</v>
      </c>
      <c r="V1998" s="154" t="s">
        <v>60</v>
      </c>
      <c r="W1998" s="154" t="s">
        <v>60</v>
      </c>
      <c r="X1998" s="154" t="s">
        <v>66</v>
      </c>
      <c r="Y1998" s="155" t="s">
        <v>64</v>
      </c>
      <c r="Z1998" s="154" t="s">
        <v>60</v>
      </c>
      <c r="AA1998" s="154"/>
      <c r="AB1998" s="242" t="str">
        <f t="shared" si="2"/>
        <v>#ERROR!</v>
      </c>
      <c r="AC1998" s="154" t="s">
        <v>391</v>
      </c>
      <c r="AD1998" s="242" t="b">
        <f t="shared" si="3"/>
        <v>0</v>
      </c>
      <c r="AE1998" s="154"/>
      <c r="AF1998" s="242" t="str">
        <f t="shared" si="4"/>
        <v>#ERROR!</v>
      </c>
      <c r="AG1998" s="154"/>
      <c r="AH1998" s="242" t="str">
        <f>IF(AG1998="","N/A",INDIRECT("MTR!"&amp;ADDRESS(MATCH(LEFT(AG1998,9),[1]MTR!C:C,0),COLUMN(J1998)),TRUE) &amp; "")</f>
        <v>#ERROR!</v>
      </c>
      <c r="AI1998" s="157" t="str">
        <f t="shared" si="5"/>
        <v>#ERROR!</v>
      </c>
    </row>
    <row r="1999" ht="12.75" customHeight="1">
      <c r="A1999" s="244" t="s">
        <v>5158</v>
      </c>
      <c r="B1999" s="244" t="s">
        <v>231</v>
      </c>
      <c r="C1999" s="244" t="s">
        <v>11652</v>
      </c>
      <c r="D1999" s="154" t="s">
        <v>1773</v>
      </c>
      <c r="E1999" s="154"/>
      <c r="F1999" s="154" t="str">
        <f t="array" ref="F1999">XLOOKUP(Cover!$D$12,$R$1:$Z$1,$R1999:$Z1999)</f>
        <v>Mandatory</v>
      </c>
      <c r="G1999" s="154" t="s">
        <v>11653</v>
      </c>
      <c r="H1999" s="154" t="s">
        <v>8519</v>
      </c>
      <c r="I1999" s="154" t="s">
        <v>11649</v>
      </c>
      <c r="J1999" s="154" t="s">
        <v>6919</v>
      </c>
      <c r="K1999" s="154" t="s">
        <v>11613</v>
      </c>
      <c r="L1999" s="154" t="s">
        <v>7175</v>
      </c>
      <c r="M1999" s="154" t="s">
        <v>175</v>
      </c>
      <c r="N1999" s="154" t="s">
        <v>759</v>
      </c>
      <c r="O1999" s="247" t="s">
        <v>516</v>
      </c>
      <c r="P1999" s="247" t="s">
        <v>6776</v>
      </c>
      <c r="Q1999" s="154" t="str">
        <f t="shared" si="1"/>
        <v>#ERROR!</v>
      </c>
      <c r="R1999" s="154" t="s">
        <v>66</v>
      </c>
      <c r="S1999" s="154" t="s">
        <v>66</v>
      </c>
      <c r="T1999" s="155" t="s">
        <v>64</v>
      </c>
      <c r="U1999" s="155" t="s">
        <v>64</v>
      </c>
      <c r="V1999" s="154" t="s">
        <v>60</v>
      </c>
      <c r="W1999" s="154" t="s">
        <v>60</v>
      </c>
      <c r="X1999" s="154" t="s">
        <v>66</v>
      </c>
      <c r="Y1999" s="155" t="s">
        <v>64</v>
      </c>
      <c r="Z1999" s="154" t="s">
        <v>60</v>
      </c>
      <c r="AA1999" s="154"/>
      <c r="AB1999" s="242" t="str">
        <f t="shared" si="2"/>
        <v>#ERROR!</v>
      </c>
      <c r="AC1999" s="154" t="s">
        <v>391</v>
      </c>
      <c r="AD1999" s="242" t="b">
        <f t="shared" si="3"/>
        <v>0</v>
      </c>
      <c r="AE1999" s="154"/>
      <c r="AF1999" s="242" t="str">
        <f t="shared" si="4"/>
        <v>#ERROR!</v>
      </c>
      <c r="AG1999" s="154"/>
      <c r="AH1999" s="242" t="str">
        <f>IF(AG1999="","N/A",INDIRECT("MTR!"&amp;ADDRESS(MATCH(LEFT(AG1999,9),[1]MTR!C:C,0),COLUMN(J1999)),TRUE) &amp; "")</f>
        <v>#ERROR!</v>
      </c>
      <c r="AI1999" s="157" t="str">
        <f t="shared" si="5"/>
        <v>#ERROR!</v>
      </c>
    </row>
    <row r="2000" ht="12.75" customHeight="1">
      <c r="A2000" s="244" t="s">
        <v>5158</v>
      </c>
      <c r="B2000" s="244" t="s">
        <v>231</v>
      </c>
      <c r="C2000" s="244" t="s">
        <v>11654</v>
      </c>
      <c r="D2000" s="154" t="s">
        <v>1773</v>
      </c>
      <c r="E2000" s="154"/>
      <c r="F2000" s="154" t="str">
        <f t="array" ref="F2000">XLOOKUP(Cover!$D$12,$R$1:$Z$1,$R2000:$Z2000)</f>
        <v>Mandatory</v>
      </c>
      <c r="G2000" s="154" t="s">
        <v>11655</v>
      </c>
      <c r="H2000" s="154" t="s">
        <v>8519</v>
      </c>
      <c r="I2000" s="154" t="s">
        <v>11656</v>
      </c>
      <c r="J2000" s="154" t="s">
        <v>6956</v>
      </c>
      <c r="K2000" s="154" t="s">
        <v>11613</v>
      </c>
      <c r="L2000" s="154" t="s">
        <v>7175</v>
      </c>
      <c r="M2000" s="154" t="s">
        <v>175</v>
      </c>
      <c r="N2000" s="154" t="s">
        <v>759</v>
      </c>
      <c r="O2000" s="247" t="s">
        <v>516</v>
      </c>
      <c r="P2000" s="247" t="s">
        <v>6776</v>
      </c>
      <c r="Q2000" s="154" t="str">
        <f t="shared" si="1"/>
        <v>#ERROR!</v>
      </c>
      <c r="R2000" s="154" t="s">
        <v>66</v>
      </c>
      <c r="S2000" s="154" t="s">
        <v>66</v>
      </c>
      <c r="T2000" s="155" t="s">
        <v>64</v>
      </c>
      <c r="U2000" s="155" t="s">
        <v>64</v>
      </c>
      <c r="V2000" s="154" t="s">
        <v>60</v>
      </c>
      <c r="W2000" s="154" t="s">
        <v>60</v>
      </c>
      <c r="X2000" s="154" t="s">
        <v>66</v>
      </c>
      <c r="Y2000" s="155" t="s">
        <v>64</v>
      </c>
      <c r="Z2000" s="154" t="s">
        <v>60</v>
      </c>
      <c r="AA2000" s="154"/>
      <c r="AB2000" s="242" t="str">
        <f t="shared" si="2"/>
        <v>#ERROR!</v>
      </c>
      <c r="AC2000" s="154" t="s">
        <v>391</v>
      </c>
      <c r="AD2000" s="242" t="b">
        <f t="shared" si="3"/>
        <v>0</v>
      </c>
      <c r="AE2000" s="154"/>
      <c r="AF2000" s="242" t="str">
        <f t="shared" si="4"/>
        <v>#ERROR!</v>
      </c>
      <c r="AG2000" s="154"/>
      <c r="AH2000" s="242" t="str">
        <f>IF(AG2000="","N/A",INDIRECT("MTR!"&amp;ADDRESS(MATCH(LEFT(AG2000,9),[1]MTR!C:C,0),COLUMN(J2000)),TRUE) &amp; "")</f>
        <v>#ERROR!</v>
      </c>
      <c r="AI2000" s="157" t="str">
        <f t="shared" si="5"/>
        <v>#ERROR!</v>
      </c>
    </row>
    <row r="2001" ht="12.75" customHeight="1">
      <c r="A2001" s="244" t="s">
        <v>5158</v>
      </c>
      <c r="B2001" s="244" t="s">
        <v>231</v>
      </c>
      <c r="C2001" s="244" t="s">
        <v>11657</v>
      </c>
      <c r="D2001" s="154" t="s">
        <v>1773</v>
      </c>
      <c r="E2001" s="154"/>
      <c r="F2001" s="154" t="str">
        <f t="array" ref="F2001">XLOOKUP(Cover!$D$12,$R$1:$Z$1,$R2001:$Z2001)</f>
        <v>Mandatory</v>
      </c>
      <c r="G2001" s="154" t="s">
        <v>11658</v>
      </c>
      <c r="H2001" s="154" t="s">
        <v>1489</v>
      </c>
      <c r="I2001" s="154" t="s">
        <v>11656</v>
      </c>
      <c r="J2001" s="154" t="s">
        <v>6956</v>
      </c>
      <c r="K2001" s="154" t="s">
        <v>11613</v>
      </c>
      <c r="L2001" s="154" t="s">
        <v>7175</v>
      </c>
      <c r="M2001" s="154" t="s">
        <v>175</v>
      </c>
      <c r="N2001" s="154" t="s">
        <v>759</v>
      </c>
      <c r="O2001" s="247" t="s">
        <v>516</v>
      </c>
      <c r="P2001" s="247" t="s">
        <v>6776</v>
      </c>
      <c r="Q2001" s="154" t="str">
        <f t="shared" si="1"/>
        <v>#ERROR!</v>
      </c>
      <c r="R2001" s="154" t="s">
        <v>66</v>
      </c>
      <c r="S2001" s="154" t="s">
        <v>66</v>
      </c>
      <c r="T2001" s="155" t="s">
        <v>64</v>
      </c>
      <c r="U2001" s="155" t="s">
        <v>64</v>
      </c>
      <c r="V2001" s="154" t="s">
        <v>60</v>
      </c>
      <c r="W2001" s="154" t="s">
        <v>60</v>
      </c>
      <c r="X2001" s="154" t="s">
        <v>66</v>
      </c>
      <c r="Y2001" s="155" t="s">
        <v>64</v>
      </c>
      <c r="Z2001" s="154" t="s">
        <v>60</v>
      </c>
      <c r="AA2001" s="154"/>
      <c r="AB2001" s="242" t="str">
        <f t="shared" si="2"/>
        <v>#ERROR!</v>
      </c>
      <c r="AC2001" s="154" t="s">
        <v>391</v>
      </c>
      <c r="AD2001" s="242" t="b">
        <f t="shared" si="3"/>
        <v>0</v>
      </c>
      <c r="AE2001" s="154"/>
      <c r="AF2001" s="242" t="str">
        <f t="shared" si="4"/>
        <v>#ERROR!</v>
      </c>
      <c r="AG2001" s="154"/>
      <c r="AH2001" s="242" t="str">
        <f>IF(AG2001="","N/A",INDIRECT("MTR!"&amp;ADDRESS(MATCH(LEFT(AG2001,9),[1]MTR!C:C,0),COLUMN(J2001)),TRUE) &amp; "")</f>
        <v>#ERROR!</v>
      </c>
      <c r="AI2001" s="157" t="str">
        <f t="shared" si="5"/>
        <v>#ERROR!</v>
      </c>
    </row>
    <row r="2002" ht="12.75" customHeight="1">
      <c r="A2002" s="244" t="s">
        <v>5158</v>
      </c>
      <c r="B2002" s="244" t="s">
        <v>231</v>
      </c>
      <c r="C2002" s="244" t="s">
        <v>11659</v>
      </c>
      <c r="D2002" s="154" t="s">
        <v>1773</v>
      </c>
      <c r="E2002" s="154"/>
      <c r="F2002" s="154" t="str">
        <f t="array" ref="F2002">XLOOKUP(Cover!$D$12,$R$1:$Z$1,$R2002:$Z2002)</f>
        <v>Mandatory</v>
      </c>
      <c r="G2002" s="154" t="s">
        <v>11660</v>
      </c>
      <c r="H2002" s="154" t="s">
        <v>8550</v>
      </c>
      <c r="I2002" s="154" t="s">
        <v>11656</v>
      </c>
      <c r="J2002" s="154" t="s">
        <v>6956</v>
      </c>
      <c r="K2002" s="154" t="s">
        <v>11613</v>
      </c>
      <c r="L2002" s="154" t="s">
        <v>7175</v>
      </c>
      <c r="M2002" s="154" t="s">
        <v>175</v>
      </c>
      <c r="N2002" s="154" t="s">
        <v>759</v>
      </c>
      <c r="O2002" s="247" t="s">
        <v>516</v>
      </c>
      <c r="P2002" s="247" t="s">
        <v>6776</v>
      </c>
      <c r="Q2002" s="154" t="str">
        <f t="shared" si="1"/>
        <v>#ERROR!</v>
      </c>
      <c r="R2002" s="154" t="s">
        <v>66</v>
      </c>
      <c r="S2002" s="154" t="s">
        <v>66</v>
      </c>
      <c r="T2002" s="155" t="s">
        <v>64</v>
      </c>
      <c r="U2002" s="155" t="s">
        <v>64</v>
      </c>
      <c r="V2002" s="154" t="s">
        <v>60</v>
      </c>
      <c r="W2002" s="154" t="s">
        <v>60</v>
      </c>
      <c r="X2002" s="154" t="s">
        <v>66</v>
      </c>
      <c r="Y2002" s="155" t="s">
        <v>64</v>
      </c>
      <c r="Z2002" s="154" t="s">
        <v>60</v>
      </c>
      <c r="AA2002" s="154"/>
      <c r="AB2002" s="242" t="str">
        <f t="shared" si="2"/>
        <v>#ERROR!</v>
      </c>
      <c r="AC2002" s="154" t="s">
        <v>391</v>
      </c>
      <c r="AD2002" s="242" t="b">
        <f t="shared" si="3"/>
        <v>0</v>
      </c>
      <c r="AE2002" s="154"/>
      <c r="AF2002" s="242" t="str">
        <f t="shared" si="4"/>
        <v>#ERROR!</v>
      </c>
      <c r="AG2002" s="154"/>
      <c r="AH2002" s="242" t="str">
        <f>IF(AG2002="","N/A",INDIRECT("MTR!"&amp;ADDRESS(MATCH(LEFT(AG2002,9),[1]MTR!C:C,0),COLUMN(J2002)),TRUE) &amp; "")</f>
        <v>#ERROR!</v>
      </c>
      <c r="AI2002" s="157" t="str">
        <f t="shared" si="5"/>
        <v>#ERROR!</v>
      </c>
    </row>
    <row r="2003" ht="12.75" customHeight="1">
      <c r="A2003" s="244" t="s">
        <v>5158</v>
      </c>
      <c r="B2003" s="244" t="s">
        <v>231</v>
      </c>
      <c r="C2003" s="244" t="s">
        <v>11661</v>
      </c>
      <c r="D2003" s="154" t="s">
        <v>1773</v>
      </c>
      <c r="E2003" s="154"/>
      <c r="F2003" s="154" t="str">
        <f t="array" ref="F2003">XLOOKUP(Cover!$D$12,$R$1:$Z$1,$R2003:$Z2003)</f>
        <v>Mandatory</v>
      </c>
      <c r="G2003" s="154" t="s">
        <v>11662</v>
      </c>
      <c r="H2003" s="154" t="s">
        <v>8507</v>
      </c>
      <c r="I2003" s="154" t="s">
        <v>11663</v>
      </c>
      <c r="J2003" s="154" t="s">
        <v>8808</v>
      </c>
      <c r="K2003" s="154" t="s">
        <v>11613</v>
      </c>
      <c r="L2003" s="154" t="s">
        <v>7175</v>
      </c>
      <c r="M2003" s="154" t="s">
        <v>175</v>
      </c>
      <c r="N2003" s="154" t="s">
        <v>759</v>
      </c>
      <c r="O2003" s="247" t="s">
        <v>516</v>
      </c>
      <c r="P2003" s="247" t="s">
        <v>6776</v>
      </c>
      <c r="Q2003" s="154" t="str">
        <f t="shared" si="1"/>
        <v>#ERROR!</v>
      </c>
      <c r="R2003" s="154" t="s">
        <v>66</v>
      </c>
      <c r="S2003" s="154" t="s">
        <v>66</v>
      </c>
      <c r="T2003" s="155" t="s">
        <v>64</v>
      </c>
      <c r="U2003" s="155" t="s">
        <v>64</v>
      </c>
      <c r="V2003" s="154" t="s">
        <v>60</v>
      </c>
      <c r="W2003" s="154" t="s">
        <v>60</v>
      </c>
      <c r="X2003" s="154" t="s">
        <v>66</v>
      </c>
      <c r="Y2003" s="155" t="s">
        <v>64</v>
      </c>
      <c r="Z2003" s="154" t="s">
        <v>60</v>
      </c>
      <c r="AA2003" s="154"/>
      <c r="AB2003" s="242" t="str">
        <f t="shared" si="2"/>
        <v>#ERROR!</v>
      </c>
      <c r="AC2003" s="154" t="s">
        <v>391</v>
      </c>
      <c r="AD2003" s="242" t="b">
        <f t="shared" si="3"/>
        <v>0</v>
      </c>
      <c r="AE2003" s="154"/>
      <c r="AF2003" s="242" t="str">
        <f t="shared" si="4"/>
        <v>#ERROR!</v>
      </c>
      <c r="AG2003" s="154"/>
      <c r="AH2003" s="242" t="str">
        <f>IF(AG2003="","N/A",INDIRECT("MTR!"&amp;ADDRESS(MATCH(LEFT(AG2003,9),[1]MTR!C:C,0),COLUMN(J2003)),TRUE) &amp; "")</f>
        <v>#ERROR!</v>
      </c>
      <c r="AI2003" s="157" t="str">
        <f t="shared" si="5"/>
        <v>#ERROR!</v>
      </c>
    </row>
    <row r="2004" ht="12.75" customHeight="1">
      <c r="A2004" s="244" t="s">
        <v>5158</v>
      </c>
      <c r="B2004" s="244" t="s">
        <v>231</v>
      </c>
      <c r="C2004" s="244" t="s">
        <v>11664</v>
      </c>
      <c r="D2004" s="154" t="s">
        <v>1773</v>
      </c>
      <c r="E2004" s="154"/>
      <c r="F2004" s="154" t="str">
        <f t="array" ref="F2004">XLOOKUP(Cover!$D$12,$R$1:$Z$1,$R2004:$Z2004)</f>
        <v>Mandatory</v>
      </c>
      <c r="G2004" s="154" t="s">
        <v>11665</v>
      </c>
      <c r="H2004" s="154" t="s">
        <v>1489</v>
      </c>
      <c r="I2004" s="154" t="s">
        <v>11663</v>
      </c>
      <c r="J2004" s="154" t="s">
        <v>8808</v>
      </c>
      <c r="K2004" s="154" t="s">
        <v>11613</v>
      </c>
      <c r="L2004" s="154" t="s">
        <v>7175</v>
      </c>
      <c r="M2004" s="154" t="s">
        <v>175</v>
      </c>
      <c r="N2004" s="154" t="s">
        <v>759</v>
      </c>
      <c r="O2004" s="247" t="s">
        <v>516</v>
      </c>
      <c r="P2004" s="247" t="s">
        <v>6776</v>
      </c>
      <c r="Q2004" s="154" t="str">
        <f t="shared" si="1"/>
        <v>#ERROR!</v>
      </c>
      <c r="R2004" s="154" t="s">
        <v>66</v>
      </c>
      <c r="S2004" s="154" t="s">
        <v>66</v>
      </c>
      <c r="T2004" s="155" t="s">
        <v>64</v>
      </c>
      <c r="U2004" s="155" t="s">
        <v>64</v>
      </c>
      <c r="V2004" s="154" t="s">
        <v>60</v>
      </c>
      <c r="W2004" s="154" t="s">
        <v>60</v>
      </c>
      <c r="X2004" s="154" t="s">
        <v>66</v>
      </c>
      <c r="Y2004" s="155" t="s">
        <v>64</v>
      </c>
      <c r="Z2004" s="154" t="s">
        <v>60</v>
      </c>
      <c r="AA2004" s="154"/>
      <c r="AB2004" s="242" t="str">
        <f t="shared" si="2"/>
        <v>#ERROR!</v>
      </c>
      <c r="AC2004" s="154" t="s">
        <v>391</v>
      </c>
      <c r="AD2004" s="242" t="b">
        <f t="shared" si="3"/>
        <v>0</v>
      </c>
      <c r="AE2004" s="154"/>
      <c r="AF2004" s="242" t="str">
        <f t="shared" si="4"/>
        <v>#ERROR!</v>
      </c>
      <c r="AG2004" s="154"/>
      <c r="AH2004" s="242" t="str">
        <f>IF(AG2004="","N/A",INDIRECT("MTR!"&amp;ADDRESS(MATCH(LEFT(AG2004,9),[1]MTR!C:C,0),COLUMN(J2004)),TRUE) &amp; "")</f>
        <v>#ERROR!</v>
      </c>
      <c r="AI2004" s="157" t="str">
        <f t="shared" si="5"/>
        <v>#ERROR!</v>
      </c>
    </row>
    <row r="2005" ht="12.75" customHeight="1">
      <c r="A2005" s="244" t="s">
        <v>5158</v>
      </c>
      <c r="B2005" s="244" t="s">
        <v>231</v>
      </c>
      <c r="C2005" s="244" t="s">
        <v>11666</v>
      </c>
      <c r="D2005" s="154" t="s">
        <v>1773</v>
      </c>
      <c r="E2005" s="154"/>
      <c r="F2005" s="154" t="str">
        <f t="array" ref="F2005">XLOOKUP(Cover!$D$12,$R$1:$Z$1,$R2005:$Z2005)</f>
        <v>Mandatory</v>
      </c>
      <c r="G2005" s="154" t="s">
        <v>11667</v>
      </c>
      <c r="H2005" s="154" t="s">
        <v>8550</v>
      </c>
      <c r="I2005" s="154" t="s">
        <v>11663</v>
      </c>
      <c r="J2005" s="154" t="s">
        <v>8808</v>
      </c>
      <c r="K2005" s="154" t="s">
        <v>11613</v>
      </c>
      <c r="L2005" s="154" t="s">
        <v>7175</v>
      </c>
      <c r="M2005" s="154" t="s">
        <v>175</v>
      </c>
      <c r="N2005" s="154" t="s">
        <v>759</v>
      </c>
      <c r="O2005" s="247" t="s">
        <v>516</v>
      </c>
      <c r="P2005" s="247" t="s">
        <v>6776</v>
      </c>
      <c r="Q2005" s="154" t="str">
        <f t="shared" si="1"/>
        <v>#ERROR!</v>
      </c>
      <c r="R2005" s="154" t="s">
        <v>66</v>
      </c>
      <c r="S2005" s="154" t="s">
        <v>66</v>
      </c>
      <c r="T2005" s="155" t="s">
        <v>64</v>
      </c>
      <c r="U2005" s="155" t="s">
        <v>64</v>
      </c>
      <c r="V2005" s="154" t="s">
        <v>60</v>
      </c>
      <c r="W2005" s="154" t="s">
        <v>60</v>
      </c>
      <c r="X2005" s="154" t="s">
        <v>66</v>
      </c>
      <c r="Y2005" s="155" t="s">
        <v>64</v>
      </c>
      <c r="Z2005" s="154" t="s">
        <v>60</v>
      </c>
      <c r="AA2005" s="154"/>
      <c r="AB2005" s="242" t="str">
        <f t="shared" si="2"/>
        <v>#ERROR!</v>
      </c>
      <c r="AC2005" s="154" t="s">
        <v>391</v>
      </c>
      <c r="AD2005" s="242" t="b">
        <f t="shared" si="3"/>
        <v>0</v>
      </c>
      <c r="AE2005" s="154"/>
      <c r="AF2005" s="242" t="str">
        <f t="shared" si="4"/>
        <v>#ERROR!</v>
      </c>
      <c r="AG2005" s="154"/>
      <c r="AH2005" s="242" t="str">
        <f>IF(AG2005="","N/A",INDIRECT("MTR!"&amp;ADDRESS(MATCH(LEFT(AG2005,9),[1]MTR!C:C,0),COLUMN(J2005)),TRUE) &amp; "")</f>
        <v>#ERROR!</v>
      </c>
      <c r="AI2005" s="157" t="str">
        <f t="shared" si="5"/>
        <v>#ERROR!</v>
      </c>
    </row>
    <row r="2006" ht="12.75" customHeight="1">
      <c r="A2006" s="244" t="s">
        <v>5158</v>
      </c>
      <c r="B2006" s="244" t="s">
        <v>231</v>
      </c>
      <c r="C2006" s="244" t="s">
        <v>11668</v>
      </c>
      <c r="D2006" s="154" t="s">
        <v>1773</v>
      </c>
      <c r="E2006" s="154"/>
      <c r="F2006" s="154" t="str">
        <f t="array" ref="F2006">XLOOKUP(Cover!$D$12,$R$1:$Z$1,$R2006:$Z2006)</f>
        <v>Mandatory</v>
      </c>
      <c r="G2006" s="154" t="s">
        <v>11669</v>
      </c>
      <c r="H2006" s="154" t="s">
        <v>8519</v>
      </c>
      <c r="I2006" s="154" t="s">
        <v>11663</v>
      </c>
      <c r="J2006" s="154" t="s">
        <v>8808</v>
      </c>
      <c r="K2006" s="154" t="s">
        <v>11613</v>
      </c>
      <c r="L2006" s="154" t="s">
        <v>7175</v>
      </c>
      <c r="M2006" s="154" t="s">
        <v>175</v>
      </c>
      <c r="N2006" s="154" t="s">
        <v>759</v>
      </c>
      <c r="O2006" s="247" t="s">
        <v>516</v>
      </c>
      <c r="P2006" s="247" t="s">
        <v>6776</v>
      </c>
      <c r="Q2006" s="154" t="str">
        <f t="shared" si="1"/>
        <v>#ERROR!</v>
      </c>
      <c r="R2006" s="154" t="s">
        <v>66</v>
      </c>
      <c r="S2006" s="154" t="s">
        <v>66</v>
      </c>
      <c r="T2006" s="155" t="s">
        <v>64</v>
      </c>
      <c r="U2006" s="155" t="s">
        <v>64</v>
      </c>
      <c r="V2006" s="154" t="s">
        <v>60</v>
      </c>
      <c r="W2006" s="154" t="s">
        <v>60</v>
      </c>
      <c r="X2006" s="154" t="s">
        <v>66</v>
      </c>
      <c r="Y2006" s="155" t="s">
        <v>64</v>
      </c>
      <c r="Z2006" s="154" t="s">
        <v>60</v>
      </c>
      <c r="AA2006" s="154"/>
      <c r="AB2006" s="242" t="str">
        <f t="shared" si="2"/>
        <v>#ERROR!</v>
      </c>
      <c r="AC2006" s="154" t="s">
        <v>391</v>
      </c>
      <c r="AD2006" s="242" t="b">
        <f t="shared" si="3"/>
        <v>0</v>
      </c>
      <c r="AE2006" s="154"/>
      <c r="AF2006" s="242" t="str">
        <f t="shared" si="4"/>
        <v>#ERROR!</v>
      </c>
      <c r="AG2006" s="154"/>
      <c r="AH2006" s="242" t="str">
        <f>IF(AG2006="","N/A",INDIRECT("MTR!"&amp;ADDRESS(MATCH(LEFT(AG2006,9),[1]MTR!C:C,0),COLUMN(J2006)),TRUE) &amp; "")</f>
        <v>#ERROR!</v>
      </c>
      <c r="AI2006" s="157" t="str">
        <f t="shared" si="5"/>
        <v>#ERROR!</v>
      </c>
    </row>
    <row r="2007" ht="12.75" customHeight="1">
      <c r="A2007" s="238" t="s">
        <v>5158</v>
      </c>
      <c r="B2007" s="238" t="s">
        <v>231</v>
      </c>
      <c r="C2007" s="238" t="s">
        <v>11670</v>
      </c>
      <c r="D2007" s="240"/>
      <c r="E2007" s="240" t="s">
        <v>92</v>
      </c>
      <c r="F2007" s="240" t="str">
        <f t="array" ref="F2007">XLOOKUP(Cover!$D$12,$R$1:$Z$1,$R2007:$Z2007)</f>
        <v>Heading</v>
      </c>
      <c r="G2007" s="239" t="s">
        <v>11671</v>
      </c>
      <c r="H2007" s="240"/>
      <c r="I2007" s="240"/>
      <c r="J2007" s="240"/>
      <c r="K2007" s="240"/>
      <c r="L2007" s="240"/>
      <c r="M2007" s="240"/>
      <c r="N2007" s="240" t="s">
        <v>759</v>
      </c>
      <c r="O2007" s="240"/>
      <c r="P2007" s="240"/>
      <c r="Q2007" s="240" t="str">
        <f t="shared" si="1"/>
        <v/>
      </c>
      <c r="R2007" s="240" t="s">
        <v>390</v>
      </c>
      <c r="S2007" s="240" t="s">
        <v>390</v>
      </c>
      <c r="T2007" s="240" t="s">
        <v>390</v>
      </c>
      <c r="U2007" s="240" t="s">
        <v>390</v>
      </c>
      <c r="V2007" s="240" t="s">
        <v>390</v>
      </c>
      <c r="W2007" s="240" t="s">
        <v>390</v>
      </c>
      <c r="X2007" s="240" t="s">
        <v>390</v>
      </c>
      <c r="Y2007" s="240" t="s">
        <v>390</v>
      </c>
      <c r="Z2007" s="240" t="s">
        <v>390</v>
      </c>
      <c r="AA2007" s="240"/>
      <c r="AB2007" s="242" t="str">
        <f t="shared" si="2"/>
        <v>#ERROR!</v>
      </c>
      <c r="AC2007" s="240" t="s">
        <v>391</v>
      </c>
      <c r="AD2007" s="242" t="b">
        <f t="shared" si="3"/>
        <v>0</v>
      </c>
      <c r="AE2007" s="240"/>
      <c r="AF2007" s="242" t="str">
        <f t="shared" si="4"/>
        <v>#ERROR!</v>
      </c>
      <c r="AG2007" s="240"/>
      <c r="AH2007" s="242" t="str">
        <f>IF(AG2007="","N/A",INDIRECT("MTR!"&amp;ADDRESS(MATCH(LEFT(AG2007,9),[1]MTR!C:C,0),COLUMN(J2007)),TRUE) &amp; "")</f>
        <v>#ERROR!</v>
      </c>
      <c r="AI2007" s="157" t="str">
        <f t="shared" si="5"/>
        <v/>
      </c>
    </row>
    <row r="2008" ht="12.75" customHeight="1">
      <c r="A2008" s="244" t="s">
        <v>5158</v>
      </c>
      <c r="B2008" s="244" t="s">
        <v>231</v>
      </c>
      <c r="C2008" s="244" t="s">
        <v>11672</v>
      </c>
      <c r="D2008" s="154" t="s">
        <v>542</v>
      </c>
      <c r="E2008" s="154"/>
      <c r="F2008" s="154" t="str">
        <f t="array" ref="F2008">XLOOKUP(Cover!$D$12,$R$1:$Z$1,$R2008:$Z2008)</f>
        <v>Mandatory</v>
      </c>
      <c r="G2008" s="154" t="s">
        <v>11673</v>
      </c>
      <c r="H2008" s="154" t="s">
        <v>8507</v>
      </c>
      <c r="I2008" s="154" t="s">
        <v>11674</v>
      </c>
      <c r="J2008" s="154" t="s">
        <v>5730</v>
      </c>
      <c r="K2008" s="154" t="s">
        <v>11675</v>
      </c>
      <c r="L2008" s="154" t="s">
        <v>5909</v>
      </c>
      <c r="M2008" s="154" t="s">
        <v>1018</v>
      </c>
      <c r="N2008" s="154" t="s">
        <v>759</v>
      </c>
      <c r="O2008" s="247" t="s">
        <v>445</v>
      </c>
      <c r="P2008" s="247" t="s">
        <v>6772</v>
      </c>
      <c r="Q2008" s="154" t="str">
        <f t="shared" si="1"/>
        <v>#ERROR!</v>
      </c>
      <c r="R2008" s="154" t="s">
        <v>66</v>
      </c>
      <c r="S2008" s="154" t="s">
        <v>66</v>
      </c>
      <c r="T2008" s="155" t="s">
        <v>64</v>
      </c>
      <c r="U2008" s="155" t="s">
        <v>64</v>
      </c>
      <c r="V2008" s="154" t="s">
        <v>60</v>
      </c>
      <c r="W2008" s="154" t="s">
        <v>60</v>
      </c>
      <c r="X2008" s="154" t="s">
        <v>66</v>
      </c>
      <c r="Y2008" s="155" t="s">
        <v>64</v>
      </c>
      <c r="Z2008" s="154" t="s">
        <v>60</v>
      </c>
      <c r="AA2008" s="154"/>
      <c r="AB2008" s="242" t="str">
        <f t="shared" si="2"/>
        <v>#ERROR!</v>
      </c>
      <c r="AC2008" s="154" t="s">
        <v>391</v>
      </c>
      <c r="AD2008" s="242" t="b">
        <f t="shared" si="3"/>
        <v>0</v>
      </c>
      <c r="AE2008" s="154"/>
      <c r="AF2008" s="242" t="str">
        <f t="shared" si="4"/>
        <v>#ERROR!</v>
      </c>
      <c r="AG2008" s="154"/>
      <c r="AH2008" s="242" t="str">
        <f>IF(AG2008="","N/A",INDIRECT("MTR!"&amp;ADDRESS(MATCH(LEFT(AG2008,9),[1]MTR!C:C,0),COLUMN(J2008)),TRUE) &amp; "")</f>
        <v>#ERROR!</v>
      </c>
      <c r="AI2008" s="157" t="str">
        <f t="shared" si="5"/>
        <v>#ERROR!</v>
      </c>
    </row>
    <row r="2009" ht="12.75" customHeight="1">
      <c r="A2009" s="244" t="s">
        <v>5158</v>
      </c>
      <c r="B2009" s="244" t="s">
        <v>231</v>
      </c>
      <c r="C2009" s="244" t="s">
        <v>11676</v>
      </c>
      <c r="D2009" s="154" t="s">
        <v>542</v>
      </c>
      <c r="E2009" s="154"/>
      <c r="F2009" s="154" t="str">
        <f t="array" ref="F2009">XLOOKUP(Cover!$D$12,$R$1:$Z$1,$R2009:$Z2009)</f>
        <v>Mandatory</v>
      </c>
      <c r="G2009" s="154" t="s">
        <v>11677</v>
      </c>
      <c r="H2009" s="154" t="s">
        <v>9002</v>
      </c>
      <c r="I2009" s="154" t="s">
        <v>11674</v>
      </c>
      <c r="J2009" s="154" t="s">
        <v>5730</v>
      </c>
      <c r="K2009" s="154" t="s">
        <v>11675</v>
      </c>
      <c r="L2009" s="154" t="s">
        <v>6064</v>
      </c>
      <c r="M2009" s="154" t="s">
        <v>1018</v>
      </c>
      <c r="N2009" s="154" t="s">
        <v>759</v>
      </c>
      <c r="O2009" s="247" t="s">
        <v>445</v>
      </c>
      <c r="P2009" s="247" t="s">
        <v>6772</v>
      </c>
      <c r="Q2009" s="154" t="str">
        <f t="shared" si="1"/>
        <v>#ERROR!</v>
      </c>
      <c r="R2009" s="154" t="s">
        <v>66</v>
      </c>
      <c r="S2009" s="154" t="s">
        <v>66</v>
      </c>
      <c r="T2009" s="155" t="s">
        <v>64</v>
      </c>
      <c r="U2009" s="155" t="s">
        <v>64</v>
      </c>
      <c r="V2009" s="154" t="s">
        <v>60</v>
      </c>
      <c r="W2009" s="154" t="s">
        <v>60</v>
      </c>
      <c r="X2009" s="154" t="s">
        <v>66</v>
      </c>
      <c r="Y2009" s="155" t="s">
        <v>64</v>
      </c>
      <c r="Z2009" s="154" t="s">
        <v>60</v>
      </c>
      <c r="AA2009" s="154"/>
      <c r="AB2009" s="242" t="str">
        <f t="shared" si="2"/>
        <v>#ERROR!</v>
      </c>
      <c r="AC2009" s="154" t="s">
        <v>391</v>
      </c>
      <c r="AD2009" s="242" t="b">
        <f t="shared" si="3"/>
        <v>0</v>
      </c>
      <c r="AE2009" s="154"/>
      <c r="AF2009" s="242" t="str">
        <f t="shared" si="4"/>
        <v>#ERROR!</v>
      </c>
      <c r="AG2009" s="154"/>
      <c r="AH2009" s="242" t="str">
        <f>IF(AG2009="","N/A",INDIRECT("MTR!"&amp;ADDRESS(MATCH(LEFT(AG2009,9),[1]MTR!C:C,0),COLUMN(J2009)),TRUE) &amp; "")</f>
        <v>#ERROR!</v>
      </c>
      <c r="AI2009" s="157" t="str">
        <f t="shared" si="5"/>
        <v>#ERROR!</v>
      </c>
    </row>
    <row r="2010" ht="12.75" customHeight="1">
      <c r="A2010" s="244" t="s">
        <v>5158</v>
      </c>
      <c r="B2010" s="244" t="s">
        <v>231</v>
      </c>
      <c r="C2010" s="244" t="s">
        <v>11678</v>
      </c>
      <c r="D2010" s="154" t="s">
        <v>542</v>
      </c>
      <c r="E2010" s="154"/>
      <c r="F2010" s="154" t="str">
        <f t="array" ref="F2010">XLOOKUP(Cover!$D$12,$R$1:$Z$1,$R2010:$Z2010)</f>
        <v>Mandatory</v>
      </c>
      <c r="G2010" s="154" t="s">
        <v>11679</v>
      </c>
      <c r="H2010" s="154" t="s">
        <v>1489</v>
      </c>
      <c r="I2010" s="154" t="s">
        <v>11680</v>
      </c>
      <c r="J2010" s="154" t="s">
        <v>5782</v>
      </c>
      <c r="K2010" s="154" t="s">
        <v>11675</v>
      </c>
      <c r="L2010" s="154" t="s">
        <v>5909</v>
      </c>
      <c r="M2010" s="154" t="s">
        <v>1018</v>
      </c>
      <c r="N2010" s="154" t="s">
        <v>759</v>
      </c>
      <c r="O2010" s="247" t="s">
        <v>445</v>
      </c>
      <c r="P2010" s="247" t="s">
        <v>6772</v>
      </c>
      <c r="Q2010" s="154" t="str">
        <f t="shared" si="1"/>
        <v>#ERROR!</v>
      </c>
      <c r="R2010" s="154" t="s">
        <v>66</v>
      </c>
      <c r="S2010" s="154" t="s">
        <v>66</v>
      </c>
      <c r="T2010" s="155" t="s">
        <v>64</v>
      </c>
      <c r="U2010" s="155" t="s">
        <v>64</v>
      </c>
      <c r="V2010" s="154" t="s">
        <v>60</v>
      </c>
      <c r="W2010" s="154" t="s">
        <v>60</v>
      </c>
      <c r="X2010" s="154" t="s">
        <v>66</v>
      </c>
      <c r="Y2010" s="155" t="s">
        <v>64</v>
      </c>
      <c r="Z2010" s="154" t="s">
        <v>60</v>
      </c>
      <c r="AA2010" s="154"/>
      <c r="AB2010" s="242" t="str">
        <f t="shared" si="2"/>
        <v>#ERROR!</v>
      </c>
      <c r="AC2010" s="154" t="s">
        <v>391</v>
      </c>
      <c r="AD2010" s="242" t="b">
        <f t="shared" si="3"/>
        <v>0</v>
      </c>
      <c r="AE2010" s="154"/>
      <c r="AF2010" s="242" t="str">
        <f t="shared" si="4"/>
        <v>#ERROR!</v>
      </c>
      <c r="AG2010" s="154"/>
      <c r="AH2010" s="242" t="str">
        <f>IF(AG2010="","N/A",INDIRECT("MTR!"&amp;ADDRESS(MATCH(LEFT(AG2010,9),[1]MTR!C:C,0),COLUMN(J2010)),TRUE) &amp; "")</f>
        <v>#ERROR!</v>
      </c>
      <c r="AI2010" s="157" t="str">
        <f t="shared" si="5"/>
        <v>#ERROR!</v>
      </c>
    </row>
    <row r="2011" ht="12.75" customHeight="1">
      <c r="A2011" s="244" t="s">
        <v>5158</v>
      </c>
      <c r="B2011" s="244" t="s">
        <v>231</v>
      </c>
      <c r="C2011" s="244" t="s">
        <v>11681</v>
      </c>
      <c r="D2011" s="154" t="s">
        <v>542</v>
      </c>
      <c r="E2011" s="154"/>
      <c r="F2011" s="154" t="str">
        <f t="array" ref="F2011">XLOOKUP(Cover!$D$12,$R$1:$Z$1,$R2011:$Z2011)</f>
        <v>Mandatory</v>
      </c>
      <c r="G2011" s="154" t="s">
        <v>11682</v>
      </c>
      <c r="H2011" s="154" t="s">
        <v>9006</v>
      </c>
      <c r="I2011" s="154" t="s">
        <v>11680</v>
      </c>
      <c r="J2011" s="154" t="s">
        <v>5782</v>
      </c>
      <c r="K2011" s="154" t="s">
        <v>11675</v>
      </c>
      <c r="L2011" s="154" t="s">
        <v>6064</v>
      </c>
      <c r="M2011" s="154" t="s">
        <v>1018</v>
      </c>
      <c r="N2011" s="154" t="s">
        <v>759</v>
      </c>
      <c r="O2011" s="247" t="s">
        <v>445</v>
      </c>
      <c r="P2011" s="247" t="s">
        <v>6772</v>
      </c>
      <c r="Q2011" s="154" t="str">
        <f t="shared" si="1"/>
        <v>#ERROR!</v>
      </c>
      <c r="R2011" s="154" t="s">
        <v>66</v>
      </c>
      <c r="S2011" s="154" t="s">
        <v>66</v>
      </c>
      <c r="T2011" s="155" t="s">
        <v>64</v>
      </c>
      <c r="U2011" s="155" t="s">
        <v>64</v>
      </c>
      <c r="V2011" s="154" t="s">
        <v>60</v>
      </c>
      <c r="W2011" s="154" t="s">
        <v>60</v>
      </c>
      <c r="X2011" s="154" t="s">
        <v>66</v>
      </c>
      <c r="Y2011" s="155" t="s">
        <v>64</v>
      </c>
      <c r="Z2011" s="154" t="s">
        <v>60</v>
      </c>
      <c r="AA2011" s="154"/>
      <c r="AB2011" s="242" t="str">
        <f t="shared" si="2"/>
        <v>#ERROR!</v>
      </c>
      <c r="AC2011" s="154" t="s">
        <v>391</v>
      </c>
      <c r="AD2011" s="242" t="b">
        <f t="shared" si="3"/>
        <v>0</v>
      </c>
      <c r="AE2011" s="154"/>
      <c r="AF2011" s="242" t="str">
        <f t="shared" si="4"/>
        <v>#ERROR!</v>
      </c>
      <c r="AG2011" s="154"/>
      <c r="AH2011" s="242" t="str">
        <f>IF(AG2011="","N/A",INDIRECT("MTR!"&amp;ADDRESS(MATCH(LEFT(AG2011,9),[1]MTR!C:C,0),COLUMN(J2011)),TRUE) &amp; "")</f>
        <v>#ERROR!</v>
      </c>
      <c r="AI2011" s="157" t="str">
        <f t="shared" si="5"/>
        <v>#ERROR!</v>
      </c>
    </row>
    <row r="2012" ht="12.75" customHeight="1">
      <c r="A2012" s="244" t="s">
        <v>5158</v>
      </c>
      <c r="B2012" s="244" t="s">
        <v>231</v>
      </c>
      <c r="C2012" s="244" t="s">
        <v>11683</v>
      </c>
      <c r="D2012" s="154" t="s">
        <v>542</v>
      </c>
      <c r="E2012" s="154"/>
      <c r="F2012" s="154" t="str">
        <f t="array" ref="F2012">XLOOKUP(Cover!$D$12,$R$1:$Z$1,$R2012:$Z2012)</f>
        <v>Recommended</v>
      </c>
      <c r="G2012" s="154" t="s">
        <v>11684</v>
      </c>
      <c r="H2012" s="154" t="s">
        <v>8513</v>
      </c>
      <c r="I2012" s="154" t="s">
        <v>11685</v>
      </c>
      <c r="J2012" s="154" t="s">
        <v>5830</v>
      </c>
      <c r="K2012" s="154" t="s">
        <v>11675</v>
      </c>
      <c r="L2012" s="154" t="s">
        <v>5909</v>
      </c>
      <c r="M2012" s="154"/>
      <c r="N2012" s="154" t="s">
        <v>759</v>
      </c>
      <c r="O2012" s="247" t="s">
        <v>445</v>
      </c>
      <c r="P2012" s="247" t="s">
        <v>6772</v>
      </c>
      <c r="Q2012" s="154" t="str">
        <f t="shared" si="1"/>
        <v>#ERROR!</v>
      </c>
      <c r="R2012" s="154" t="s">
        <v>66</v>
      </c>
      <c r="S2012" s="154" t="s">
        <v>66</v>
      </c>
      <c r="T2012" s="154" t="s">
        <v>64</v>
      </c>
      <c r="U2012" s="154" t="s">
        <v>64</v>
      </c>
      <c r="V2012" s="154" t="s">
        <v>64</v>
      </c>
      <c r="W2012" s="154" t="s">
        <v>64</v>
      </c>
      <c r="X2012" s="154" t="s">
        <v>66</v>
      </c>
      <c r="Y2012" s="154" t="s">
        <v>64</v>
      </c>
      <c r="Z2012" s="154" t="s">
        <v>64</v>
      </c>
      <c r="AA2012" s="154"/>
      <c r="AB2012" s="242" t="str">
        <f t="shared" si="2"/>
        <v>#ERROR!</v>
      </c>
      <c r="AC2012" s="154" t="s">
        <v>391</v>
      </c>
      <c r="AD2012" s="242" t="b">
        <f t="shared" si="3"/>
        <v>0</v>
      </c>
      <c r="AE2012" s="154"/>
      <c r="AF2012" s="242" t="str">
        <f t="shared" si="4"/>
        <v>#ERROR!</v>
      </c>
      <c r="AG2012" s="154"/>
      <c r="AH2012" s="242" t="str">
        <f>IF(AG2012="","N/A",INDIRECT("MTR!"&amp;ADDRESS(MATCH(LEFT(AG2012,9),[1]MTR!C:C,0),COLUMN(J2012)),TRUE) &amp; "")</f>
        <v>#ERROR!</v>
      </c>
      <c r="AI2012" s="157" t="str">
        <f t="shared" si="5"/>
        <v>#ERROR!</v>
      </c>
    </row>
    <row r="2013" ht="12.75" customHeight="1">
      <c r="A2013" s="244" t="s">
        <v>5158</v>
      </c>
      <c r="B2013" s="244" t="s">
        <v>231</v>
      </c>
      <c r="C2013" s="244" t="s">
        <v>11686</v>
      </c>
      <c r="D2013" s="154" t="s">
        <v>542</v>
      </c>
      <c r="E2013" s="154"/>
      <c r="F2013" s="154" t="str">
        <f t="array" ref="F2013">XLOOKUP(Cover!$D$12,$R$1:$Z$1,$R2013:$Z2013)</f>
        <v>Recommended</v>
      </c>
      <c r="G2013" s="154" t="s">
        <v>11687</v>
      </c>
      <c r="H2013" s="154" t="s">
        <v>9009</v>
      </c>
      <c r="I2013" s="154" t="s">
        <v>11685</v>
      </c>
      <c r="J2013" s="154" t="s">
        <v>5830</v>
      </c>
      <c r="K2013" s="154" t="s">
        <v>11675</v>
      </c>
      <c r="L2013" s="154" t="s">
        <v>6064</v>
      </c>
      <c r="M2013" s="154"/>
      <c r="N2013" s="154" t="s">
        <v>759</v>
      </c>
      <c r="O2013" s="247" t="s">
        <v>445</v>
      </c>
      <c r="P2013" s="247" t="s">
        <v>6772</v>
      </c>
      <c r="Q2013" s="154" t="str">
        <f t="shared" si="1"/>
        <v>#ERROR!</v>
      </c>
      <c r="R2013" s="154" t="s">
        <v>66</v>
      </c>
      <c r="S2013" s="154" t="s">
        <v>66</v>
      </c>
      <c r="T2013" s="154" t="s">
        <v>64</v>
      </c>
      <c r="U2013" s="154" t="s">
        <v>64</v>
      </c>
      <c r="V2013" s="154" t="s">
        <v>64</v>
      </c>
      <c r="W2013" s="154" t="s">
        <v>64</v>
      </c>
      <c r="X2013" s="154" t="s">
        <v>66</v>
      </c>
      <c r="Y2013" s="154" t="s">
        <v>64</v>
      </c>
      <c r="Z2013" s="154" t="s">
        <v>64</v>
      </c>
      <c r="AA2013" s="154"/>
      <c r="AB2013" s="242" t="str">
        <f t="shared" si="2"/>
        <v>#ERROR!</v>
      </c>
      <c r="AC2013" s="154" t="s">
        <v>391</v>
      </c>
      <c r="AD2013" s="242" t="b">
        <f t="shared" si="3"/>
        <v>0</v>
      </c>
      <c r="AE2013" s="154"/>
      <c r="AF2013" s="242" t="str">
        <f t="shared" si="4"/>
        <v>#ERROR!</v>
      </c>
      <c r="AG2013" s="154"/>
      <c r="AH2013" s="242" t="str">
        <f>IF(AG2013="","N/A",INDIRECT("MTR!"&amp;ADDRESS(MATCH(LEFT(AG2013,9),[1]MTR!C:C,0),COLUMN(J2013)),TRUE) &amp; "")</f>
        <v>#ERROR!</v>
      </c>
      <c r="AI2013" s="157" t="str">
        <f t="shared" si="5"/>
        <v>#ERROR!</v>
      </c>
    </row>
    <row r="2014" ht="12.75" customHeight="1">
      <c r="A2014" s="244" t="s">
        <v>5158</v>
      </c>
      <c r="B2014" s="244" t="s">
        <v>231</v>
      </c>
      <c r="C2014" s="244" t="s">
        <v>11688</v>
      </c>
      <c r="D2014" s="154" t="s">
        <v>1315</v>
      </c>
      <c r="E2014" s="154"/>
      <c r="F2014" s="154" t="str">
        <f t="array" ref="F2014">XLOOKUP(Cover!$D$12,$R$1:$Z$1,$R2014:$Z2014)</f>
        <v>Information</v>
      </c>
      <c r="G2014" s="154" t="s">
        <v>11689</v>
      </c>
      <c r="H2014" s="154" t="s">
        <v>8516</v>
      </c>
      <c r="I2014" s="154" t="s">
        <v>11690</v>
      </c>
      <c r="J2014" s="154" t="s">
        <v>5888</v>
      </c>
      <c r="K2014" s="154" t="s">
        <v>11675</v>
      </c>
      <c r="L2014" s="154" t="s">
        <v>6022</v>
      </c>
      <c r="M2014" s="154"/>
      <c r="N2014" s="154" t="s">
        <v>759</v>
      </c>
      <c r="O2014" s="247" t="s">
        <v>516</v>
      </c>
      <c r="P2014" s="247" t="s">
        <v>6776</v>
      </c>
      <c r="Q2014" s="154" t="str">
        <f t="shared" si="1"/>
        <v>#ERROR!</v>
      </c>
      <c r="R2014" s="154" t="s">
        <v>66</v>
      </c>
      <c r="S2014" s="154" t="s">
        <v>66</v>
      </c>
      <c r="T2014" s="154" t="s">
        <v>66</v>
      </c>
      <c r="U2014" s="154" t="s">
        <v>66</v>
      </c>
      <c r="V2014" s="154" t="s">
        <v>66</v>
      </c>
      <c r="W2014" s="154" t="s">
        <v>66</v>
      </c>
      <c r="X2014" s="154" t="s">
        <v>66</v>
      </c>
      <c r="Y2014" s="154" t="s">
        <v>66</v>
      </c>
      <c r="Z2014" s="154" t="s">
        <v>66</v>
      </c>
      <c r="AA2014" s="154"/>
      <c r="AB2014" s="242" t="str">
        <f t="shared" si="2"/>
        <v>#ERROR!</v>
      </c>
      <c r="AC2014" s="154" t="s">
        <v>391</v>
      </c>
      <c r="AD2014" s="242" t="b">
        <f t="shared" si="3"/>
        <v>0</v>
      </c>
      <c r="AE2014" s="154"/>
      <c r="AF2014" s="242" t="str">
        <f t="shared" si="4"/>
        <v>#ERROR!</v>
      </c>
      <c r="AG2014" s="154"/>
      <c r="AH2014" s="242" t="str">
        <f>IF(AG2014="","N/A",INDIRECT("MTR!"&amp;ADDRESS(MATCH(LEFT(AG2014,9),[1]MTR!C:C,0),COLUMN(J2014)),TRUE) &amp; "")</f>
        <v>#ERROR!</v>
      </c>
      <c r="AI2014" s="157" t="str">
        <f t="shared" si="5"/>
        <v>#ERROR!</v>
      </c>
    </row>
    <row r="2015" ht="12.75" customHeight="1">
      <c r="A2015" s="244" t="s">
        <v>5158</v>
      </c>
      <c r="B2015" s="244" t="s">
        <v>231</v>
      </c>
      <c r="C2015" s="244" t="s">
        <v>11691</v>
      </c>
      <c r="D2015" s="154" t="s">
        <v>1315</v>
      </c>
      <c r="E2015" s="154"/>
      <c r="F2015" s="154" t="str">
        <f t="array" ref="F2015">XLOOKUP(Cover!$D$12,$R$1:$Z$1,$R2015:$Z2015)</f>
        <v>Information</v>
      </c>
      <c r="G2015" s="154" t="s">
        <v>11692</v>
      </c>
      <c r="H2015" s="154" t="s">
        <v>9012</v>
      </c>
      <c r="I2015" s="154" t="s">
        <v>11690</v>
      </c>
      <c r="J2015" s="154" t="s">
        <v>5888</v>
      </c>
      <c r="K2015" s="154" t="s">
        <v>11675</v>
      </c>
      <c r="L2015" s="154" t="s">
        <v>6022</v>
      </c>
      <c r="M2015" s="154"/>
      <c r="N2015" s="154" t="s">
        <v>759</v>
      </c>
      <c r="O2015" s="247" t="s">
        <v>516</v>
      </c>
      <c r="P2015" s="247" t="s">
        <v>6776</v>
      </c>
      <c r="Q2015" s="154" t="str">
        <f t="shared" si="1"/>
        <v>#ERROR!</v>
      </c>
      <c r="R2015" s="154" t="s">
        <v>66</v>
      </c>
      <c r="S2015" s="154" t="s">
        <v>66</v>
      </c>
      <c r="T2015" s="154" t="s">
        <v>66</v>
      </c>
      <c r="U2015" s="154" t="s">
        <v>66</v>
      </c>
      <c r="V2015" s="154" t="s">
        <v>66</v>
      </c>
      <c r="W2015" s="154" t="s">
        <v>66</v>
      </c>
      <c r="X2015" s="154" t="s">
        <v>66</v>
      </c>
      <c r="Y2015" s="154" t="s">
        <v>66</v>
      </c>
      <c r="Z2015" s="154" t="s">
        <v>66</v>
      </c>
      <c r="AA2015" s="154"/>
      <c r="AB2015" s="242" t="str">
        <f t="shared" si="2"/>
        <v>#ERROR!</v>
      </c>
      <c r="AC2015" s="154" t="s">
        <v>391</v>
      </c>
      <c r="AD2015" s="242" t="b">
        <f t="shared" si="3"/>
        <v>0</v>
      </c>
      <c r="AE2015" s="154"/>
      <c r="AF2015" s="242" t="str">
        <f t="shared" si="4"/>
        <v>#ERROR!</v>
      </c>
      <c r="AG2015" s="154"/>
      <c r="AH2015" s="242" t="str">
        <f>IF(AG2015="","N/A",INDIRECT("MTR!"&amp;ADDRESS(MATCH(LEFT(AG2015,9),[1]MTR!C:C,0),COLUMN(J2015)),TRUE) &amp; "")</f>
        <v>#ERROR!</v>
      </c>
      <c r="AI2015" s="157" t="str">
        <f t="shared" si="5"/>
        <v>#ERROR!</v>
      </c>
    </row>
    <row r="2016" ht="12.75" customHeight="1">
      <c r="A2016" s="244" t="s">
        <v>5158</v>
      </c>
      <c r="B2016" s="244" t="s">
        <v>231</v>
      </c>
      <c r="C2016" s="244" t="s">
        <v>11693</v>
      </c>
      <c r="D2016" s="154" t="s">
        <v>542</v>
      </c>
      <c r="E2016" s="154"/>
      <c r="F2016" s="154" t="str">
        <f t="array" ref="F2016">XLOOKUP(Cover!$D$12,$R$1:$Z$1,$R2016:$Z2016)</f>
        <v>Mandatory</v>
      </c>
      <c r="G2016" s="154" t="s">
        <v>11694</v>
      </c>
      <c r="H2016" s="154" t="s">
        <v>8519</v>
      </c>
      <c r="I2016" s="154" t="s">
        <v>11695</v>
      </c>
      <c r="J2016" s="154" t="s">
        <v>5897</v>
      </c>
      <c r="K2016" s="154" t="s">
        <v>11675</v>
      </c>
      <c r="L2016" s="154" t="s">
        <v>6064</v>
      </c>
      <c r="M2016" s="154" t="s">
        <v>1018</v>
      </c>
      <c r="N2016" s="154" t="s">
        <v>759</v>
      </c>
      <c r="O2016" s="247" t="s">
        <v>445</v>
      </c>
      <c r="P2016" s="247" t="s">
        <v>6772</v>
      </c>
      <c r="Q2016" s="154" t="str">
        <f t="shared" si="1"/>
        <v>#ERROR!</v>
      </c>
      <c r="R2016" s="154" t="s">
        <v>66</v>
      </c>
      <c r="S2016" s="154" t="s">
        <v>66</v>
      </c>
      <c r="T2016" s="155" t="s">
        <v>64</v>
      </c>
      <c r="U2016" s="155" t="s">
        <v>64</v>
      </c>
      <c r="V2016" s="154" t="s">
        <v>60</v>
      </c>
      <c r="W2016" s="154" t="s">
        <v>60</v>
      </c>
      <c r="X2016" s="154" t="s">
        <v>66</v>
      </c>
      <c r="Y2016" s="155" t="s">
        <v>64</v>
      </c>
      <c r="Z2016" s="154" t="s">
        <v>60</v>
      </c>
      <c r="AA2016" s="154"/>
      <c r="AB2016" s="242" t="str">
        <f t="shared" si="2"/>
        <v>#ERROR!</v>
      </c>
      <c r="AC2016" s="154" t="s">
        <v>391</v>
      </c>
      <c r="AD2016" s="242" t="b">
        <f t="shared" si="3"/>
        <v>0</v>
      </c>
      <c r="AE2016" s="154"/>
      <c r="AF2016" s="242" t="str">
        <f t="shared" si="4"/>
        <v>#ERROR!</v>
      </c>
      <c r="AG2016" s="154"/>
      <c r="AH2016" s="242" t="str">
        <f>IF(AG2016="","N/A",INDIRECT("MTR!"&amp;ADDRESS(MATCH(LEFT(AG2016,9),[1]MTR!C:C,0),COLUMN(J2016)),TRUE) &amp; "")</f>
        <v>#ERROR!</v>
      </c>
      <c r="AI2016" s="157" t="str">
        <f t="shared" si="5"/>
        <v>#ERROR!</v>
      </c>
    </row>
    <row r="2017" ht="12.75" customHeight="1">
      <c r="A2017" s="244" t="s">
        <v>5158</v>
      </c>
      <c r="B2017" s="244" t="s">
        <v>231</v>
      </c>
      <c r="C2017" s="244" t="s">
        <v>11696</v>
      </c>
      <c r="D2017" s="154" t="s">
        <v>542</v>
      </c>
      <c r="E2017" s="154"/>
      <c r="F2017" s="154" t="str">
        <f t="array" ref="F2017">XLOOKUP(Cover!$D$12,$R$1:$Z$1,$R2017:$Z2017)</f>
        <v>Mandatory</v>
      </c>
      <c r="G2017" s="154" t="s">
        <v>11697</v>
      </c>
      <c r="H2017" s="154" t="s">
        <v>9015</v>
      </c>
      <c r="I2017" s="154" t="s">
        <v>11695</v>
      </c>
      <c r="J2017" s="154" t="s">
        <v>5897</v>
      </c>
      <c r="K2017" s="154" t="s">
        <v>11675</v>
      </c>
      <c r="L2017" s="154" t="s">
        <v>6064</v>
      </c>
      <c r="M2017" s="154" t="s">
        <v>1018</v>
      </c>
      <c r="N2017" s="154" t="s">
        <v>759</v>
      </c>
      <c r="O2017" s="247" t="s">
        <v>445</v>
      </c>
      <c r="P2017" s="247" t="s">
        <v>6772</v>
      </c>
      <c r="Q2017" s="154" t="str">
        <f t="shared" si="1"/>
        <v>#ERROR!</v>
      </c>
      <c r="R2017" s="154" t="s">
        <v>66</v>
      </c>
      <c r="S2017" s="154" t="s">
        <v>66</v>
      </c>
      <c r="T2017" s="155" t="s">
        <v>64</v>
      </c>
      <c r="U2017" s="155" t="s">
        <v>64</v>
      </c>
      <c r="V2017" s="154" t="s">
        <v>60</v>
      </c>
      <c r="W2017" s="154" t="s">
        <v>60</v>
      </c>
      <c r="X2017" s="154" t="s">
        <v>66</v>
      </c>
      <c r="Y2017" s="155" t="s">
        <v>64</v>
      </c>
      <c r="Z2017" s="154" t="s">
        <v>60</v>
      </c>
      <c r="AA2017" s="154"/>
      <c r="AB2017" s="242" t="str">
        <f t="shared" si="2"/>
        <v>#ERROR!</v>
      </c>
      <c r="AC2017" s="154" t="s">
        <v>391</v>
      </c>
      <c r="AD2017" s="242" t="b">
        <f t="shared" si="3"/>
        <v>0</v>
      </c>
      <c r="AE2017" s="154"/>
      <c r="AF2017" s="242" t="str">
        <f t="shared" si="4"/>
        <v>#ERROR!</v>
      </c>
      <c r="AG2017" s="154"/>
      <c r="AH2017" s="242" t="str">
        <f>IF(AG2017="","N/A",INDIRECT("MTR!"&amp;ADDRESS(MATCH(LEFT(AG2017,9),[1]MTR!C:C,0),COLUMN(J2017)),TRUE) &amp; "")</f>
        <v>#ERROR!</v>
      </c>
      <c r="AI2017" s="157" t="str">
        <f t="shared" si="5"/>
        <v>#ERROR!</v>
      </c>
    </row>
    <row r="2018" ht="12.75" customHeight="1">
      <c r="A2018" s="244" t="s">
        <v>5158</v>
      </c>
      <c r="B2018" s="244" t="s">
        <v>231</v>
      </c>
      <c r="C2018" s="244" t="s">
        <v>11698</v>
      </c>
      <c r="D2018" s="154" t="s">
        <v>542</v>
      </c>
      <c r="E2018" s="154"/>
      <c r="F2018" s="154" t="str">
        <f t="array" ref="F2018">XLOOKUP(Cover!$D$12,$R$1:$Z$1,$R2018:$Z2018)</f>
        <v>Mandatory</v>
      </c>
      <c r="G2018" s="154" t="s">
        <v>11699</v>
      </c>
      <c r="H2018" s="154" t="s">
        <v>8507</v>
      </c>
      <c r="I2018" s="154" t="s">
        <v>11700</v>
      </c>
      <c r="J2018" s="154" t="s">
        <v>6791</v>
      </c>
      <c r="K2018" s="154" t="s">
        <v>11675</v>
      </c>
      <c r="L2018" s="154" t="s">
        <v>6064</v>
      </c>
      <c r="M2018" s="154" t="s">
        <v>175</v>
      </c>
      <c r="N2018" s="154" t="s">
        <v>759</v>
      </c>
      <c r="O2018" s="247" t="s">
        <v>516</v>
      </c>
      <c r="P2018" s="247" t="s">
        <v>6776</v>
      </c>
      <c r="Q2018" s="154" t="str">
        <f t="shared" si="1"/>
        <v>#ERROR!</v>
      </c>
      <c r="R2018" s="154" t="s">
        <v>66</v>
      </c>
      <c r="S2018" s="154" t="s">
        <v>66</v>
      </c>
      <c r="T2018" s="155" t="s">
        <v>64</v>
      </c>
      <c r="U2018" s="155" t="s">
        <v>64</v>
      </c>
      <c r="V2018" s="154" t="s">
        <v>60</v>
      </c>
      <c r="W2018" s="154" t="s">
        <v>60</v>
      </c>
      <c r="X2018" s="154" t="s">
        <v>66</v>
      </c>
      <c r="Y2018" s="155" t="s">
        <v>64</v>
      </c>
      <c r="Z2018" s="154" t="s">
        <v>60</v>
      </c>
      <c r="AA2018" s="154"/>
      <c r="AB2018" s="242" t="str">
        <f t="shared" si="2"/>
        <v>#ERROR!</v>
      </c>
      <c r="AC2018" s="154" t="s">
        <v>391</v>
      </c>
      <c r="AD2018" s="242" t="b">
        <f t="shared" si="3"/>
        <v>0</v>
      </c>
      <c r="AE2018" s="154"/>
      <c r="AF2018" s="242" t="str">
        <f t="shared" si="4"/>
        <v>#ERROR!</v>
      </c>
      <c r="AG2018" s="154"/>
      <c r="AH2018" s="242" t="str">
        <f>IF(AG2018="","N/A",INDIRECT("MTR!"&amp;ADDRESS(MATCH(LEFT(AG2018,9),[1]MTR!C:C,0),COLUMN(J2018)),TRUE) &amp; "")</f>
        <v>#ERROR!</v>
      </c>
      <c r="AI2018" s="157" t="str">
        <f t="shared" si="5"/>
        <v>#ERROR!</v>
      </c>
    </row>
    <row r="2019" ht="12.75" customHeight="1">
      <c r="A2019" s="244" t="s">
        <v>5158</v>
      </c>
      <c r="B2019" s="244" t="s">
        <v>231</v>
      </c>
      <c r="C2019" s="244" t="s">
        <v>11701</v>
      </c>
      <c r="D2019" s="154" t="s">
        <v>542</v>
      </c>
      <c r="E2019" s="154"/>
      <c r="F2019" s="154" t="str">
        <f t="array" ref="F2019">XLOOKUP(Cover!$D$12,$R$1:$Z$1,$R2019:$Z2019)</f>
        <v>Mandatory</v>
      </c>
      <c r="G2019" s="154" t="s">
        <v>11702</v>
      </c>
      <c r="H2019" s="154" t="s">
        <v>9002</v>
      </c>
      <c r="I2019" s="154" t="s">
        <v>11700</v>
      </c>
      <c r="J2019" s="154" t="s">
        <v>6791</v>
      </c>
      <c r="K2019" s="154" t="s">
        <v>11675</v>
      </c>
      <c r="L2019" s="154" t="s">
        <v>6064</v>
      </c>
      <c r="M2019" s="154" t="s">
        <v>175</v>
      </c>
      <c r="N2019" s="154" t="s">
        <v>759</v>
      </c>
      <c r="O2019" s="247" t="s">
        <v>516</v>
      </c>
      <c r="P2019" s="247" t="s">
        <v>6776</v>
      </c>
      <c r="Q2019" s="154" t="str">
        <f t="shared" si="1"/>
        <v>#ERROR!</v>
      </c>
      <c r="R2019" s="154" t="s">
        <v>66</v>
      </c>
      <c r="S2019" s="154" t="s">
        <v>66</v>
      </c>
      <c r="T2019" s="155" t="s">
        <v>64</v>
      </c>
      <c r="U2019" s="155" t="s">
        <v>64</v>
      </c>
      <c r="V2019" s="154" t="s">
        <v>60</v>
      </c>
      <c r="W2019" s="154" t="s">
        <v>60</v>
      </c>
      <c r="X2019" s="154" t="s">
        <v>66</v>
      </c>
      <c r="Y2019" s="155" t="s">
        <v>64</v>
      </c>
      <c r="Z2019" s="154" t="s">
        <v>60</v>
      </c>
      <c r="AA2019" s="154"/>
      <c r="AB2019" s="242" t="str">
        <f t="shared" si="2"/>
        <v>#ERROR!</v>
      </c>
      <c r="AC2019" s="154" t="s">
        <v>391</v>
      </c>
      <c r="AD2019" s="242" t="b">
        <f t="shared" si="3"/>
        <v>0</v>
      </c>
      <c r="AE2019" s="154"/>
      <c r="AF2019" s="242" t="str">
        <f t="shared" si="4"/>
        <v>#ERROR!</v>
      </c>
      <c r="AG2019" s="154"/>
      <c r="AH2019" s="242" t="str">
        <f>IF(AG2019="","N/A",INDIRECT("MTR!"&amp;ADDRESS(MATCH(LEFT(AG2019,9),[1]MTR!C:C,0),COLUMN(J2019)),TRUE) &amp; "")</f>
        <v>#ERROR!</v>
      </c>
      <c r="AI2019" s="157" t="str">
        <f t="shared" si="5"/>
        <v>#ERROR!</v>
      </c>
    </row>
    <row r="2020" ht="12.75" customHeight="1">
      <c r="A2020" s="244" t="s">
        <v>5158</v>
      </c>
      <c r="B2020" s="244" t="s">
        <v>231</v>
      </c>
      <c r="C2020" s="244" t="s">
        <v>11703</v>
      </c>
      <c r="D2020" s="154" t="s">
        <v>542</v>
      </c>
      <c r="E2020" s="154"/>
      <c r="F2020" s="154" t="str">
        <f t="array" ref="F2020">XLOOKUP(Cover!$D$12,$R$1:$Z$1,$R2020:$Z2020)</f>
        <v>Mandatory</v>
      </c>
      <c r="G2020" s="154" t="s">
        <v>11704</v>
      </c>
      <c r="H2020" s="154" t="s">
        <v>1489</v>
      </c>
      <c r="I2020" s="154" t="s">
        <v>11700</v>
      </c>
      <c r="J2020" s="154" t="s">
        <v>6791</v>
      </c>
      <c r="K2020" s="154" t="s">
        <v>11675</v>
      </c>
      <c r="L2020" s="154" t="s">
        <v>6064</v>
      </c>
      <c r="M2020" s="154" t="s">
        <v>175</v>
      </c>
      <c r="N2020" s="154" t="s">
        <v>759</v>
      </c>
      <c r="O2020" s="247" t="s">
        <v>516</v>
      </c>
      <c r="P2020" s="247" t="s">
        <v>6776</v>
      </c>
      <c r="Q2020" s="154" t="str">
        <f t="shared" si="1"/>
        <v>#ERROR!</v>
      </c>
      <c r="R2020" s="154" t="s">
        <v>66</v>
      </c>
      <c r="S2020" s="154" t="s">
        <v>66</v>
      </c>
      <c r="T2020" s="155" t="s">
        <v>64</v>
      </c>
      <c r="U2020" s="155" t="s">
        <v>64</v>
      </c>
      <c r="V2020" s="154" t="s">
        <v>60</v>
      </c>
      <c r="W2020" s="154" t="s">
        <v>60</v>
      </c>
      <c r="X2020" s="154" t="s">
        <v>66</v>
      </c>
      <c r="Y2020" s="155" t="s">
        <v>64</v>
      </c>
      <c r="Z2020" s="154" t="s">
        <v>60</v>
      </c>
      <c r="AA2020" s="154"/>
      <c r="AB2020" s="242" t="str">
        <f t="shared" si="2"/>
        <v>#ERROR!</v>
      </c>
      <c r="AC2020" s="154" t="s">
        <v>391</v>
      </c>
      <c r="AD2020" s="242" t="b">
        <f t="shared" si="3"/>
        <v>0</v>
      </c>
      <c r="AE2020" s="154"/>
      <c r="AF2020" s="242" t="str">
        <f t="shared" si="4"/>
        <v>#ERROR!</v>
      </c>
      <c r="AG2020" s="154"/>
      <c r="AH2020" s="242" t="str">
        <f>IF(AG2020="","N/A",INDIRECT("MTR!"&amp;ADDRESS(MATCH(LEFT(AG2020,9),[1]MTR!C:C,0),COLUMN(J2020)),TRUE) &amp; "")</f>
        <v>#ERROR!</v>
      </c>
      <c r="AI2020" s="157" t="str">
        <f t="shared" si="5"/>
        <v>#ERROR!</v>
      </c>
    </row>
    <row r="2021" ht="12.75" customHeight="1">
      <c r="A2021" s="244" t="s">
        <v>5158</v>
      </c>
      <c r="B2021" s="244" t="s">
        <v>231</v>
      </c>
      <c r="C2021" s="244" t="s">
        <v>11705</v>
      </c>
      <c r="D2021" s="154" t="s">
        <v>542</v>
      </c>
      <c r="E2021" s="154"/>
      <c r="F2021" s="154" t="str">
        <f t="array" ref="F2021">XLOOKUP(Cover!$D$12,$R$1:$Z$1,$R2021:$Z2021)</f>
        <v>Mandatory</v>
      </c>
      <c r="G2021" s="154" t="s">
        <v>11706</v>
      </c>
      <c r="H2021" s="154" t="s">
        <v>9006</v>
      </c>
      <c r="I2021" s="154" t="s">
        <v>11700</v>
      </c>
      <c r="J2021" s="154" t="s">
        <v>6791</v>
      </c>
      <c r="K2021" s="154" t="s">
        <v>11675</v>
      </c>
      <c r="L2021" s="154" t="s">
        <v>6064</v>
      </c>
      <c r="M2021" s="154" t="s">
        <v>175</v>
      </c>
      <c r="N2021" s="154" t="s">
        <v>759</v>
      </c>
      <c r="O2021" s="247" t="s">
        <v>516</v>
      </c>
      <c r="P2021" s="247" t="s">
        <v>6776</v>
      </c>
      <c r="Q2021" s="154" t="str">
        <f t="shared" si="1"/>
        <v>#ERROR!</v>
      </c>
      <c r="R2021" s="154" t="s">
        <v>66</v>
      </c>
      <c r="S2021" s="154" t="s">
        <v>66</v>
      </c>
      <c r="T2021" s="155" t="s">
        <v>64</v>
      </c>
      <c r="U2021" s="155" t="s">
        <v>64</v>
      </c>
      <c r="V2021" s="154" t="s">
        <v>60</v>
      </c>
      <c r="W2021" s="154" t="s">
        <v>60</v>
      </c>
      <c r="X2021" s="154" t="s">
        <v>66</v>
      </c>
      <c r="Y2021" s="155" t="s">
        <v>64</v>
      </c>
      <c r="Z2021" s="154" t="s">
        <v>60</v>
      </c>
      <c r="AA2021" s="154"/>
      <c r="AB2021" s="242" t="str">
        <f t="shared" si="2"/>
        <v>#ERROR!</v>
      </c>
      <c r="AC2021" s="154" t="s">
        <v>391</v>
      </c>
      <c r="AD2021" s="242" t="b">
        <f t="shared" si="3"/>
        <v>0</v>
      </c>
      <c r="AE2021" s="154"/>
      <c r="AF2021" s="242" t="str">
        <f t="shared" si="4"/>
        <v>#ERROR!</v>
      </c>
      <c r="AG2021" s="154"/>
      <c r="AH2021" s="242" t="str">
        <f>IF(AG2021="","N/A",INDIRECT("MTR!"&amp;ADDRESS(MATCH(LEFT(AG2021,9),[1]MTR!C:C,0),COLUMN(J2021)),TRUE) &amp; "")</f>
        <v>#ERROR!</v>
      </c>
      <c r="AI2021" s="157" t="str">
        <f t="shared" si="5"/>
        <v>#ERROR!</v>
      </c>
    </row>
    <row r="2022" ht="12.75" customHeight="1">
      <c r="A2022" s="244" t="s">
        <v>5158</v>
      </c>
      <c r="B2022" s="244" t="s">
        <v>231</v>
      </c>
      <c r="C2022" s="244" t="s">
        <v>11707</v>
      </c>
      <c r="D2022" s="154" t="s">
        <v>542</v>
      </c>
      <c r="E2022" s="154"/>
      <c r="F2022" s="154" t="str">
        <f t="array" ref="F2022">XLOOKUP(Cover!$D$12,$R$1:$Z$1,$R2022:$Z2022)</f>
        <v>Mandatory</v>
      </c>
      <c r="G2022" s="154" t="s">
        <v>11708</v>
      </c>
      <c r="H2022" s="154" t="s">
        <v>8507</v>
      </c>
      <c r="I2022" s="154" t="s">
        <v>11709</v>
      </c>
      <c r="J2022" s="154" t="s">
        <v>6797</v>
      </c>
      <c r="K2022" s="154" t="s">
        <v>11675</v>
      </c>
      <c r="L2022" s="154" t="s">
        <v>6064</v>
      </c>
      <c r="M2022" s="154" t="s">
        <v>175</v>
      </c>
      <c r="N2022" s="154" t="s">
        <v>759</v>
      </c>
      <c r="O2022" s="247" t="s">
        <v>516</v>
      </c>
      <c r="P2022" s="247" t="s">
        <v>6776</v>
      </c>
      <c r="Q2022" s="154" t="str">
        <f t="shared" si="1"/>
        <v>#ERROR!</v>
      </c>
      <c r="R2022" s="154" t="s">
        <v>66</v>
      </c>
      <c r="S2022" s="154" t="s">
        <v>66</v>
      </c>
      <c r="T2022" s="155" t="s">
        <v>64</v>
      </c>
      <c r="U2022" s="155" t="s">
        <v>64</v>
      </c>
      <c r="V2022" s="154" t="s">
        <v>60</v>
      </c>
      <c r="W2022" s="154" t="s">
        <v>60</v>
      </c>
      <c r="X2022" s="154" t="s">
        <v>66</v>
      </c>
      <c r="Y2022" s="155" t="s">
        <v>64</v>
      </c>
      <c r="Z2022" s="154" t="s">
        <v>60</v>
      </c>
      <c r="AA2022" s="154"/>
      <c r="AB2022" s="242" t="str">
        <f t="shared" si="2"/>
        <v>#ERROR!</v>
      </c>
      <c r="AC2022" s="154" t="s">
        <v>391</v>
      </c>
      <c r="AD2022" s="242" t="b">
        <f t="shared" si="3"/>
        <v>0</v>
      </c>
      <c r="AE2022" s="154"/>
      <c r="AF2022" s="242" t="str">
        <f t="shared" si="4"/>
        <v>#ERROR!</v>
      </c>
      <c r="AG2022" s="154"/>
      <c r="AH2022" s="242" t="str">
        <f>IF(AG2022="","N/A",INDIRECT("MTR!"&amp;ADDRESS(MATCH(LEFT(AG2022,9),[1]MTR!C:C,0),COLUMN(J2022)),TRUE) &amp; "")</f>
        <v>#ERROR!</v>
      </c>
      <c r="AI2022" s="157" t="str">
        <f t="shared" si="5"/>
        <v>#ERROR!</v>
      </c>
    </row>
    <row r="2023" ht="12.75" customHeight="1">
      <c r="A2023" s="244" t="s">
        <v>5158</v>
      </c>
      <c r="B2023" s="244" t="s">
        <v>231</v>
      </c>
      <c r="C2023" s="244" t="s">
        <v>11710</v>
      </c>
      <c r="D2023" s="154" t="s">
        <v>542</v>
      </c>
      <c r="E2023" s="154"/>
      <c r="F2023" s="154" t="str">
        <f t="array" ref="F2023">XLOOKUP(Cover!$D$12,$R$1:$Z$1,$R2023:$Z2023)</f>
        <v>Mandatory</v>
      </c>
      <c r="G2023" s="154" t="s">
        <v>11711</v>
      </c>
      <c r="H2023" s="154" t="s">
        <v>9002</v>
      </c>
      <c r="I2023" s="154" t="s">
        <v>11709</v>
      </c>
      <c r="J2023" s="154" t="s">
        <v>6797</v>
      </c>
      <c r="K2023" s="154" t="s">
        <v>11675</v>
      </c>
      <c r="L2023" s="154" t="s">
        <v>6064</v>
      </c>
      <c r="M2023" s="154" t="s">
        <v>175</v>
      </c>
      <c r="N2023" s="154" t="s">
        <v>759</v>
      </c>
      <c r="O2023" s="247" t="s">
        <v>516</v>
      </c>
      <c r="P2023" s="247" t="s">
        <v>6776</v>
      </c>
      <c r="Q2023" s="154" t="str">
        <f t="shared" si="1"/>
        <v>#ERROR!</v>
      </c>
      <c r="R2023" s="154" t="s">
        <v>66</v>
      </c>
      <c r="S2023" s="154" t="s">
        <v>66</v>
      </c>
      <c r="T2023" s="155" t="s">
        <v>64</v>
      </c>
      <c r="U2023" s="155" t="s">
        <v>64</v>
      </c>
      <c r="V2023" s="154" t="s">
        <v>60</v>
      </c>
      <c r="W2023" s="154" t="s">
        <v>60</v>
      </c>
      <c r="X2023" s="154" t="s">
        <v>66</v>
      </c>
      <c r="Y2023" s="155" t="s">
        <v>64</v>
      </c>
      <c r="Z2023" s="154" t="s">
        <v>60</v>
      </c>
      <c r="AA2023" s="154"/>
      <c r="AB2023" s="242" t="str">
        <f t="shared" si="2"/>
        <v>#ERROR!</v>
      </c>
      <c r="AC2023" s="154" t="s">
        <v>391</v>
      </c>
      <c r="AD2023" s="242" t="b">
        <f t="shared" si="3"/>
        <v>0</v>
      </c>
      <c r="AE2023" s="154"/>
      <c r="AF2023" s="242" t="str">
        <f t="shared" si="4"/>
        <v>#ERROR!</v>
      </c>
      <c r="AG2023" s="154"/>
      <c r="AH2023" s="242" t="str">
        <f>IF(AG2023="","N/A",INDIRECT("MTR!"&amp;ADDRESS(MATCH(LEFT(AG2023,9),[1]MTR!C:C,0),COLUMN(J2023)),TRUE) &amp; "")</f>
        <v>#ERROR!</v>
      </c>
      <c r="AI2023" s="157" t="str">
        <f t="shared" si="5"/>
        <v>#ERROR!</v>
      </c>
    </row>
    <row r="2024" ht="12.75" customHeight="1">
      <c r="A2024" s="244" t="s">
        <v>5158</v>
      </c>
      <c r="B2024" s="244" t="s">
        <v>231</v>
      </c>
      <c r="C2024" s="244" t="s">
        <v>11712</v>
      </c>
      <c r="D2024" s="154" t="s">
        <v>542</v>
      </c>
      <c r="E2024" s="154"/>
      <c r="F2024" s="154" t="str">
        <f t="array" ref="F2024">XLOOKUP(Cover!$D$12,$R$1:$Z$1,$R2024:$Z2024)</f>
        <v>Recommended</v>
      </c>
      <c r="G2024" s="154" t="s">
        <v>11713</v>
      </c>
      <c r="H2024" s="154" t="s">
        <v>8513</v>
      </c>
      <c r="I2024" s="154" t="s">
        <v>11709</v>
      </c>
      <c r="J2024" s="154" t="s">
        <v>6797</v>
      </c>
      <c r="K2024" s="154" t="s">
        <v>11675</v>
      </c>
      <c r="L2024" s="154" t="s">
        <v>6064</v>
      </c>
      <c r="M2024" s="154"/>
      <c r="N2024" s="154" t="s">
        <v>759</v>
      </c>
      <c r="O2024" s="247" t="s">
        <v>516</v>
      </c>
      <c r="P2024" s="247" t="s">
        <v>6776</v>
      </c>
      <c r="Q2024" s="154" t="str">
        <f t="shared" si="1"/>
        <v>#ERROR!</v>
      </c>
      <c r="R2024" s="154" t="s">
        <v>66</v>
      </c>
      <c r="S2024" s="154" t="s">
        <v>66</v>
      </c>
      <c r="T2024" s="154" t="s">
        <v>64</v>
      </c>
      <c r="U2024" s="154" t="s">
        <v>64</v>
      </c>
      <c r="V2024" s="154" t="s">
        <v>64</v>
      </c>
      <c r="W2024" s="154" t="s">
        <v>64</v>
      </c>
      <c r="X2024" s="154" t="s">
        <v>66</v>
      </c>
      <c r="Y2024" s="154" t="s">
        <v>64</v>
      </c>
      <c r="Z2024" s="154" t="s">
        <v>64</v>
      </c>
      <c r="AA2024" s="154"/>
      <c r="AB2024" s="242" t="str">
        <f t="shared" si="2"/>
        <v>#ERROR!</v>
      </c>
      <c r="AC2024" s="154" t="s">
        <v>391</v>
      </c>
      <c r="AD2024" s="242" t="b">
        <f t="shared" si="3"/>
        <v>0</v>
      </c>
      <c r="AE2024" s="154"/>
      <c r="AF2024" s="242" t="str">
        <f t="shared" si="4"/>
        <v>#ERROR!</v>
      </c>
      <c r="AG2024" s="154"/>
      <c r="AH2024" s="242" t="str">
        <f>IF(AG2024="","N/A",INDIRECT("MTR!"&amp;ADDRESS(MATCH(LEFT(AG2024,9),[1]MTR!C:C,0),COLUMN(J2024)),TRUE) &amp; "")</f>
        <v>#ERROR!</v>
      </c>
      <c r="AI2024" s="157" t="str">
        <f t="shared" si="5"/>
        <v>#ERROR!</v>
      </c>
    </row>
    <row r="2025" ht="12.75" customHeight="1">
      <c r="A2025" s="244" t="s">
        <v>5158</v>
      </c>
      <c r="B2025" s="244" t="s">
        <v>231</v>
      </c>
      <c r="C2025" s="244" t="s">
        <v>11714</v>
      </c>
      <c r="D2025" s="154" t="s">
        <v>542</v>
      </c>
      <c r="E2025" s="154"/>
      <c r="F2025" s="154" t="str">
        <f t="array" ref="F2025">XLOOKUP(Cover!$D$12,$R$1:$Z$1,$R2025:$Z2025)</f>
        <v>Recommended</v>
      </c>
      <c r="G2025" s="154" t="s">
        <v>11715</v>
      </c>
      <c r="H2025" s="154" t="s">
        <v>9009</v>
      </c>
      <c r="I2025" s="154" t="s">
        <v>11709</v>
      </c>
      <c r="J2025" s="154" t="s">
        <v>6797</v>
      </c>
      <c r="K2025" s="154" t="s">
        <v>11675</v>
      </c>
      <c r="L2025" s="154" t="s">
        <v>6064</v>
      </c>
      <c r="M2025" s="154"/>
      <c r="N2025" s="154" t="s">
        <v>759</v>
      </c>
      <c r="O2025" s="247" t="s">
        <v>516</v>
      </c>
      <c r="P2025" s="247" t="s">
        <v>6776</v>
      </c>
      <c r="Q2025" s="154" t="str">
        <f t="shared" si="1"/>
        <v>#ERROR!</v>
      </c>
      <c r="R2025" s="154" t="s">
        <v>66</v>
      </c>
      <c r="S2025" s="154" t="s">
        <v>66</v>
      </c>
      <c r="T2025" s="154" t="s">
        <v>64</v>
      </c>
      <c r="U2025" s="154" t="s">
        <v>64</v>
      </c>
      <c r="V2025" s="154" t="s">
        <v>64</v>
      </c>
      <c r="W2025" s="154" t="s">
        <v>64</v>
      </c>
      <c r="X2025" s="154" t="s">
        <v>66</v>
      </c>
      <c r="Y2025" s="154" t="s">
        <v>64</v>
      </c>
      <c r="Z2025" s="154" t="s">
        <v>64</v>
      </c>
      <c r="AA2025" s="154"/>
      <c r="AB2025" s="242" t="str">
        <f t="shared" si="2"/>
        <v>#ERROR!</v>
      </c>
      <c r="AC2025" s="154" t="s">
        <v>391</v>
      </c>
      <c r="AD2025" s="242" t="b">
        <f t="shared" si="3"/>
        <v>0</v>
      </c>
      <c r="AE2025" s="154"/>
      <c r="AF2025" s="242" t="str">
        <f t="shared" si="4"/>
        <v>#ERROR!</v>
      </c>
      <c r="AG2025" s="154"/>
      <c r="AH2025" s="242" t="str">
        <f>IF(AG2025="","N/A",INDIRECT("MTR!"&amp;ADDRESS(MATCH(LEFT(AG2025,9),[1]MTR!C:C,0),COLUMN(J2025)),TRUE) &amp; "")</f>
        <v>#ERROR!</v>
      </c>
      <c r="AI2025" s="157" t="str">
        <f t="shared" si="5"/>
        <v>#ERROR!</v>
      </c>
    </row>
    <row r="2026" ht="12.75" customHeight="1">
      <c r="A2026" s="244" t="s">
        <v>5158</v>
      </c>
      <c r="B2026" s="244" t="s">
        <v>231</v>
      </c>
      <c r="C2026" s="244" t="s">
        <v>11716</v>
      </c>
      <c r="D2026" s="154" t="s">
        <v>1315</v>
      </c>
      <c r="E2026" s="154"/>
      <c r="F2026" s="154" t="str">
        <f t="array" ref="F2026">XLOOKUP(Cover!$D$12,$R$1:$Z$1,$R2026:$Z2026)</f>
        <v>Recommended</v>
      </c>
      <c r="G2026" s="154" t="s">
        <v>11717</v>
      </c>
      <c r="H2026" s="154" t="s">
        <v>8507</v>
      </c>
      <c r="I2026" s="154" t="s">
        <v>11718</v>
      </c>
      <c r="J2026" s="154" t="s">
        <v>7349</v>
      </c>
      <c r="K2026" s="154" t="s">
        <v>11675</v>
      </c>
      <c r="L2026" s="154" t="s">
        <v>6022</v>
      </c>
      <c r="M2026" s="154"/>
      <c r="N2026" s="154" t="s">
        <v>759</v>
      </c>
      <c r="O2026" s="247" t="s">
        <v>516</v>
      </c>
      <c r="P2026" s="247" t="s">
        <v>6776</v>
      </c>
      <c r="Q2026" s="154" t="str">
        <f t="shared" si="1"/>
        <v>#ERROR!</v>
      </c>
      <c r="R2026" s="154" t="s">
        <v>66</v>
      </c>
      <c r="S2026" s="154" t="s">
        <v>66</v>
      </c>
      <c r="T2026" s="154" t="s">
        <v>64</v>
      </c>
      <c r="U2026" s="154" t="s">
        <v>64</v>
      </c>
      <c r="V2026" s="154" t="s">
        <v>64</v>
      </c>
      <c r="W2026" s="154" t="s">
        <v>64</v>
      </c>
      <c r="X2026" s="154" t="s">
        <v>66</v>
      </c>
      <c r="Y2026" s="154" t="s">
        <v>64</v>
      </c>
      <c r="Z2026" s="154" t="s">
        <v>64</v>
      </c>
      <c r="AA2026" s="154"/>
      <c r="AB2026" s="242" t="str">
        <f t="shared" si="2"/>
        <v>#ERROR!</v>
      </c>
      <c r="AC2026" s="154" t="s">
        <v>391</v>
      </c>
      <c r="AD2026" s="242" t="b">
        <f t="shared" si="3"/>
        <v>0</v>
      </c>
      <c r="AE2026" s="154"/>
      <c r="AF2026" s="242" t="str">
        <f t="shared" si="4"/>
        <v>#ERROR!</v>
      </c>
      <c r="AG2026" s="154"/>
      <c r="AH2026" s="242" t="str">
        <f>IF(AG2026="","N/A",INDIRECT("MTR!"&amp;ADDRESS(MATCH(LEFT(AG2026,9),[1]MTR!C:C,0),COLUMN(J2026)),TRUE) &amp; "")</f>
        <v>#ERROR!</v>
      </c>
      <c r="AI2026" s="157" t="str">
        <f t="shared" si="5"/>
        <v>#ERROR!</v>
      </c>
    </row>
    <row r="2027" ht="12.75" customHeight="1">
      <c r="A2027" s="244" t="s">
        <v>5158</v>
      </c>
      <c r="B2027" s="244" t="s">
        <v>231</v>
      </c>
      <c r="C2027" s="244" t="s">
        <v>11719</v>
      </c>
      <c r="D2027" s="154" t="s">
        <v>1315</v>
      </c>
      <c r="E2027" s="154"/>
      <c r="F2027" s="154" t="str">
        <f t="array" ref="F2027">XLOOKUP(Cover!$D$12,$R$1:$Z$1,$R2027:$Z2027)</f>
        <v>Recommended</v>
      </c>
      <c r="G2027" s="154" t="s">
        <v>11720</v>
      </c>
      <c r="H2027" s="154" t="s">
        <v>9002</v>
      </c>
      <c r="I2027" s="154" t="s">
        <v>11718</v>
      </c>
      <c r="J2027" s="154" t="s">
        <v>7349</v>
      </c>
      <c r="K2027" s="154" t="s">
        <v>11675</v>
      </c>
      <c r="L2027" s="154" t="s">
        <v>6022</v>
      </c>
      <c r="M2027" s="154"/>
      <c r="N2027" s="154" t="s">
        <v>759</v>
      </c>
      <c r="O2027" s="247" t="s">
        <v>516</v>
      </c>
      <c r="P2027" s="247" t="s">
        <v>6776</v>
      </c>
      <c r="Q2027" s="154" t="str">
        <f t="shared" si="1"/>
        <v>#ERROR!</v>
      </c>
      <c r="R2027" s="154" t="s">
        <v>66</v>
      </c>
      <c r="S2027" s="154" t="s">
        <v>66</v>
      </c>
      <c r="T2027" s="154" t="s">
        <v>64</v>
      </c>
      <c r="U2027" s="154" t="s">
        <v>64</v>
      </c>
      <c r="V2027" s="154" t="s">
        <v>64</v>
      </c>
      <c r="W2027" s="154" t="s">
        <v>64</v>
      </c>
      <c r="X2027" s="154" t="s">
        <v>66</v>
      </c>
      <c r="Y2027" s="154" t="s">
        <v>64</v>
      </c>
      <c r="Z2027" s="154" t="s">
        <v>64</v>
      </c>
      <c r="AA2027" s="154"/>
      <c r="AB2027" s="242" t="str">
        <f t="shared" si="2"/>
        <v>#ERROR!</v>
      </c>
      <c r="AC2027" s="154" t="s">
        <v>391</v>
      </c>
      <c r="AD2027" s="242" t="b">
        <f t="shared" si="3"/>
        <v>0</v>
      </c>
      <c r="AE2027" s="154"/>
      <c r="AF2027" s="242" t="str">
        <f t="shared" si="4"/>
        <v>#ERROR!</v>
      </c>
      <c r="AG2027" s="154"/>
      <c r="AH2027" s="242" t="str">
        <f>IF(AG2027="","N/A",INDIRECT("MTR!"&amp;ADDRESS(MATCH(LEFT(AG2027,9),[1]MTR!C:C,0),COLUMN(J2027)),TRUE) &amp; "")</f>
        <v>#ERROR!</v>
      </c>
      <c r="AI2027" s="157" t="str">
        <f t="shared" si="5"/>
        <v>#ERROR!</v>
      </c>
    </row>
    <row r="2028" ht="12.75" customHeight="1">
      <c r="A2028" s="244" t="s">
        <v>5158</v>
      </c>
      <c r="B2028" s="244" t="s">
        <v>231</v>
      </c>
      <c r="C2028" s="244" t="s">
        <v>11721</v>
      </c>
      <c r="D2028" s="154" t="s">
        <v>1315</v>
      </c>
      <c r="E2028" s="154"/>
      <c r="F2028" s="154" t="str">
        <f t="array" ref="F2028">XLOOKUP(Cover!$D$12,$R$1:$Z$1,$R2028:$Z2028)</f>
        <v>Information</v>
      </c>
      <c r="G2028" s="154" t="s">
        <v>11722</v>
      </c>
      <c r="H2028" s="154" t="s">
        <v>8516</v>
      </c>
      <c r="I2028" s="154" t="s">
        <v>11718</v>
      </c>
      <c r="J2028" s="154" t="s">
        <v>7349</v>
      </c>
      <c r="K2028" s="154" t="s">
        <v>11675</v>
      </c>
      <c r="L2028" s="154" t="s">
        <v>6022</v>
      </c>
      <c r="M2028" s="154"/>
      <c r="N2028" s="154" t="s">
        <v>759</v>
      </c>
      <c r="O2028" s="247" t="s">
        <v>516</v>
      </c>
      <c r="P2028" s="247" t="s">
        <v>6776</v>
      </c>
      <c r="Q2028" s="154" t="str">
        <f t="shared" si="1"/>
        <v>#ERROR!</v>
      </c>
      <c r="R2028" s="154" t="s">
        <v>66</v>
      </c>
      <c r="S2028" s="154" t="s">
        <v>66</v>
      </c>
      <c r="T2028" s="154" t="s">
        <v>66</v>
      </c>
      <c r="U2028" s="154" t="s">
        <v>66</v>
      </c>
      <c r="V2028" s="154" t="s">
        <v>66</v>
      </c>
      <c r="W2028" s="154" t="s">
        <v>66</v>
      </c>
      <c r="X2028" s="154" t="s">
        <v>66</v>
      </c>
      <c r="Y2028" s="154" t="s">
        <v>66</v>
      </c>
      <c r="Z2028" s="154" t="s">
        <v>66</v>
      </c>
      <c r="AA2028" s="154"/>
      <c r="AB2028" s="242" t="str">
        <f t="shared" si="2"/>
        <v>#ERROR!</v>
      </c>
      <c r="AC2028" s="154" t="s">
        <v>391</v>
      </c>
      <c r="AD2028" s="242" t="b">
        <f t="shared" si="3"/>
        <v>0</v>
      </c>
      <c r="AE2028" s="154"/>
      <c r="AF2028" s="242" t="str">
        <f t="shared" si="4"/>
        <v>#ERROR!</v>
      </c>
      <c r="AG2028" s="154"/>
      <c r="AH2028" s="242" t="str">
        <f>IF(AG2028="","N/A",INDIRECT("MTR!"&amp;ADDRESS(MATCH(LEFT(AG2028,9),[1]MTR!C:C,0),COLUMN(J2028)),TRUE) &amp; "")</f>
        <v>#ERROR!</v>
      </c>
      <c r="AI2028" s="157" t="str">
        <f t="shared" si="5"/>
        <v>#ERROR!</v>
      </c>
    </row>
    <row r="2029" ht="12.75" customHeight="1">
      <c r="A2029" s="244" t="s">
        <v>5158</v>
      </c>
      <c r="B2029" s="244" t="s">
        <v>231</v>
      </c>
      <c r="C2029" s="244" t="s">
        <v>11723</v>
      </c>
      <c r="D2029" s="154" t="s">
        <v>1315</v>
      </c>
      <c r="E2029" s="154"/>
      <c r="F2029" s="154" t="str">
        <f t="array" ref="F2029">XLOOKUP(Cover!$D$12,$R$1:$Z$1,$R2029:$Z2029)</f>
        <v>Information</v>
      </c>
      <c r="G2029" s="154" t="s">
        <v>11724</v>
      </c>
      <c r="H2029" s="154" t="s">
        <v>9012</v>
      </c>
      <c r="I2029" s="154" t="s">
        <v>11718</v>
      </c>
      <c r="J2029" s="154" t="s">
        <v>7349</v>
      </c>
      <c r="K2029" s="154" t="s">
        <v>11675</v>
      </c>
      <c r="L2029" s="154" t="s">
        <v>6022</v>
      </c>
      <c r="M2029" s="154"/>
      <c r="N2029" s="154" t="s">
        <v>759</v>
      </c>
      <c r="O2029" s="247" t="s">
        <v>516</v>
      </c>
      <c r="P2029" s="247" t="s">
        <v>6776</v>
      </c>
      <c r="Q2029" s="154" t="str">
        <f t="shared" si="1"/>
        <v>#ERROR!</v>
      </c>
      <c r="R2029" s="154" t="s">
        <v>66</v>
      </c>
      <c r="S2029" s="154" t="s">
        <v>66</v>
      </c>
      <c r="T2029" s="154" t="s">
        <v>66</v>
      </c>
      <c r="U2029" s="154" t="s">
        <v>66</v>
      </c>
      <c r="V2029" s="154" t="s">
        <v>66</v>
      </c>
      <c r="W2029" s="154" t="s">
        <v>66</v>
      </c>
      <c r="X2029" s="154" t="s">
        <v>66</v>
      </c>
      <c r="Y2029" s="154" t="s">
        <v>66</v>
      </c>
      <c r="Z2029" s="154" t="s">
        <v>66</v>
      </c>
      <c r="AA2029" s="154"/>
      <c r="AB2029" s="242" t="str">
        <f t="shared" si="2"/>
        <v>#ERROR!</v>
      </c>
      <c r="AC2029" s="154" t="s">
        <v>391</v>
      </c>
      <c r="AD2029" s="242" t="b">
        <f t="shared" si="3"/>
        <v>0</v>
      </c>
      <c r="AE2029" s="154"/>
      <c r="AF2029" s="242" t="str">
        <f t="shared" si="4"/>
        <v>#ERROR!</v>
      </c>
      <c r="AG2029" s="154"/>
      <c r="AH2029" s="242" t="str">
        <f>IF(AG2029="","N/A",INDIRECT("MTR!"&amp;ADDRESS(MATCH(LEFT(AG2029,9),[1]MTR!C:C,0),COLUMN(J2029)),TRUE) &amp; "")</f>
        <v>#ERROR!</v>
      </c>
      <c r="AI2029" s="157" t="str">
        <f t="shared" si="5"/>
        <v>#ERROR!</v>
      </c>
    </row>
    <row r="2030" ht="12.75" customHeight="1">
      <c r="A2030" s="244" t="s">
        <v>5158</v>
      </c>
      <c r="B2030" s="244" t="s">
        <v>231</v>
      </c>
      <c r="C2030" s="244" t="s">
        <v>11725</v>
      </c>
      <c r="D2030" s="154" t="s">
        <v>542</v>
      </c>
      <c r="E2030" s="154"/>
      <c r="F2030" s="154" t="str">
        <f t="array" ref="F2030">XLOOKUP(Cover!$D$12,$R$1:$Z$1,$R2030:$Z2030)</f>
        <v>Mandatory</v>
      </c>
      <c r="G2030" s="154" t="s">
        <v>11726</v>
      </c>
      <c r="H2030" s="154" t="s">
        <v>8507</v>
      </c>
      <c r="I2030" s="154" t="s">
        <v>11727</v>
      </c>
      <c r="J2030" s="154" t="s">
        <v>6803</v>
      </c>
      <c r="K2030" s="154" t="s">
        <v>11675</v>
      </c>
      <c r="L2030" s="154" t="s">
        <v>6064</v>
      </c>
      <c r="M2030" s="154" t="s">
        <v>175</v>
      </c>
      <c r="N2030" s="154" t="s">
        <v>759</v>
      </c>
      <c r="O2030" s="247" t="s">
        <v>516</v>
      </c>
      <c r="P2030" s="247" t="s">
        <v>6776</v>
      </c>
      <c r="Q2030" s="154" t="str">
        <f t="shared" si="1"/>
        <v>#ERROR!</v>
      </c>
      <c r="R2030" s="154" t="s">
        <v>66</v>
      </c>
      <c r="S2030" s="154" t="s">
        <v>66</v>
      </c>
      <c r="T2030" s="155" t="s">
        <v>64</v>
      </c>
      <c r="U2030" s="155" t="s">
        <v>64</v>
      </c>
      <c r="V2030" s="154" t="s">
        <v>60</v>
      </c>
      <c r="W2030" s="154" t="s">
        <v>60</v>
      </c>
      <c r="X2030" s="154" t="s">
        <v>66</v>
      </c>
      <c r="Y2030" s="155" t="s">
        <v>64</v>
      </c>
      <c r="Z2030" s="154" t="s">
        <v>60</v>
      </c>
      <c r="AA2030" s="154"/>
      <c r="AB2030" s="242" t="str">
        <f t="shared" si="2"/>
        <v>#ERROR!</v>
      </c>
      <c r="AC2030" s="154" t="s">
        <v>391</v>
      </c>
      <c r="AD2030" s="242" t="b">
        <f t="shared" si="3"/>
        <v>0</v>
      </c>
      <c r="AE2030" s="154"/>
      <c r="AF2030" s="242" t="str">
        <f t="shared" si="4"/>
        <v>#ERROR!</v>
      </c>
      <c r="AG2030" s="154"/>
      <c r="AH2030" s="242" t="str">
        <f>IF(AG2030="","N/A",INDIRECT("MTR!"&amp;ADDRESS(MATCH(LEFT(AG2030,9),[1]MTR!C:C,0),COLUMN(J2030)),TRUE) &amp; "")</f>
        <v>#ERROR!</v>
      </c>
      <c r="AI2030" s="157" t="str">
        <f t="shared" si="5"/>
        <v>#ERROR!</v>
      </c>
    </row>
    <row r="2031" ht="12.75" customHeight="1">
      <c r="A2031" s="244" t="s">
        <v>5158</v>
      </c>
      <c r="B2031" s="244" t="s">
        <v>231</v>
      </c>
      <c r="C2031" s="244" t="s">
        <v>11728</v>
      </c>
      <c r="D2031" s="154" t="s">
        <v>542</v>
      </c>
      <c r="E2031" s="154"/>
      <c r="F2031" s="154" t="str">
        <f t="array" ref="F2031">XLOOKUP(Cover!$D$12,$R$1:$Z$1,$R2031:$Z2031)</f>
        <v>Mandatory</v>
      </c>
      <c r="G2031" s="154" t="s">
        <v>11729</v>
      </c>
      <c r="H2031" s="154" t="s">
        <v>9002</v>
      </c>
      <c r="I2031" s="154" t="s">
        <v>11727</v>
      </c>
      <c r="J2031" s="154" t="s">
        <v>6803</v>
      </c>
      <c r="K2031" s="154" t="s">
        <v>11675</v>
      </c>
      <c r="L2031" s="154" t="s">
        <v>6064</v>
      </c>
      <c r="M2031" s="154" t="s">
        <v>175</v>
      </c>
      <c r="N2031" s="154" t="s">
        <v>759</v>
      </c>
      <c r="O2031" s="247" t="s">
        <v>516</v>
      </c>
      <c r="P2031" s="247" t="s">
        <v>6776</v>
      </c>
      <c r="Q2031" s="154" t="str">
        <f t="shared" si="1"/>
        <v>#ERROR!</v>
      </c>
      <c r="R2031" s="154" t="s">
        <v>66</v>
      </c>
      <c r="S2031" s="154" t="s">
        <v>66</v>
      </c>
      <c r="T2031" s="155" t="s">
        <v>64</v>
      </c>
      <c r="U2031" s="155" t="s">
        <v>64</v>
      </c>
      <c r="V2031" s="154" t="s">
        <v>60</v>
      </c>
      <c r="W2031" s="154" t="s">
        <v>60</v>
      </c>
      <c r="X2031" s="154" t="s">
        <v>66</v>
      </c>
      <c r="Y2031" s="155" t="s">
        <v>64</v>
      </c>
      <c r="Z2031" s="154" t="s">
        <v>60</v>
      </c>
      <c r="AA2031" s="154"/>
      <c r="AB2031" s="242" t="str">
        <f t="shared" si="2"/>
        <v>#ERROR!</v>
      </c>
      <c r="AC2031" s="154" t="s">
        <v>391</v>
      </c>
      <c r="AD2031" s="242" t="b">
        <f t="shared" si="3"/>
        <v>0</v>
      </c>
      <c r="AE2031" s="154"/>
      <c r="AF2031" s="242" t="str">
        <f t="shared" si="4"/>
        <v>#ERROR!</v>
      </c>
      <c r="AG2031" s="154"/>
      <c r="AH2031" s="242" t="str">
        <f>IF(AG2031="","N/A",INDIRECT("MTR!"&amp;ADDRESS(MATCH(LEFT(AG2031,9),[1]MTR!C:C,0),COLUMN(J2031)),TRUE) &amp; "")</f>
        <v>#ERROR!</v>
      </c>
      <c r="AI2031" s="157" t="str">
        <f t="shared" si="5"/>
        <v>#ERROR!</v>
      </c>
    </row>
    <row r="2032" ht="12.75" customHeight="1">
      <c r="A2032" s="244" t="s">
        <v>5158</v>
      </c>
      <c r="B2032" s="244" t="s">
        <v>231</v>
      </c>
      <c r="C2032" s="244" t="s">
        <v>11730</v>
      </c>
      <c r="D2032" s="154" t="s">
        <v>542</v>
      </c>
      <c r="E2032" s="154"/>
      <c r="F2032" s="154" t="str">
        <f t="array" ref="F2032">XLOOKUP(Cover!$D$12,$R$1:$Z$1,$R2032:$Z2032)</f>
        <v>Mandatory</v>
      </c>
      <c r="G2032" s="154" t="s">
        <v>11731</v>
      </c>
      <c r="H2032" s="154" t="s">
        <v>8519</v>
      </c>
      <c r="I2032" s="154" t="s">
        <v>11727</v>
      </c>
      <c r="J2032" s="154" t="s">
        <v>6803</v>
      </c>
      <c r="K2032" s="154" t="s">
        <v>11675</v>
      </c>
      <c r="L2032" s="154" t="s">
        <v>6064</v>
      </c>
      <c r="M2032" s="154" t="s">
        <v>175</v>
      </c>
      <c r="N2032" s="154" t="s">
        <v>759</v>
      </c>
      <c r="O2032" s="247" t="s">
        <v>516</v>
      </c>
      <c r="P2032" s="247" t="s">
        <v>6776</v>
      </c>
      <c r="Q2032" s="154" t="str">
        <f t="shared" si="1"/>
        <v>#ERROR!</v>
      </c>
      <c r="R2032" s="154" t="s">
        <v>66</v>
      </c>
      <c r="S2032" s="154" t="s">
        <v>66</v>
      </c>
      <c r="T2032" s="155" t="s">
        <v>64</v>
      </c>
      <c r="U2032" s="155" t="s">
        <v>64</v>
      </c>
      <c r="V2032" s="154" t="s">
        <v>60</v>
      </c>
      <c r="W2032" s="154" t="s">
        <v>60</v>
      </c>
      <c r="X2032" s="154" t="s">
        <v>66</v>
      </c>
      <c r="Y2032" s="155" t="s">
        <v>64</v>
      </c>
      <c r="Z2032" s="154" t="s">
        <v>60</v>
      </c>
      <c r="AA2032" s="154"/>
      <c r="AB2032" s="242" t="str">
        <f t="shared" si="2"/>
        <v>#ERROR!</v>
      </c>
      <c r="AC2032" s="154" t="s">
        <v>391</v>
      </c>
      <c r="AD2032" s="242" t="b">
        <f t="shared" si="3"/>
        <v>0</v>
      </c>
      <c r="AE2032" s="154"/>
      <c r="AF2032" s="242" t="str">
        <f t="shared" si="4"/>
        <v>#ERROR!</v>
      </c>
      <c r="AG2032" s="154"/>
      <c r="AH2032" s="242" t="str">
        <f>IF(AG2032="","N/A",INDIRECT("MTR!"&amp;ADDRESS(MATCH(LEFT(AG2032,9),[1]MTR!C:C,0),COLUMN(J2032)),TRUE) &amp; "")</f>
        <v>#ERROR!</v>
      </c>
      <c r="AI2032" s="157" t="str">
        <f t="shared" si="5"/>
        <v>#ERROR!</v>
      </c>
    </row>
    <row r="2033" ht="12.75" customHeight="1">
      <c r="A2033" s="244" t="s">
        <v>5158</v>
      </c>
      <c r="B2033" s="244" t="s">
        <v>231</v>
      </c>
      <c r="C2033" s="244" t="s">
        <v>11732</v>
      </c>
      <c r="D2033" s="154" t="s">
        <v>542</v>
      </c>
      <c r="E2033" s="154"/>
      <c r="F2033" s="154" t="str">
        <f t="array" ref="F2033">XLOOKUP(Cover!$D$12,$R$1:$Z$1,$R2033:$Z2033)</f>
        <v>Mandatory</v>
      </c>
      <c r="G2033" s="154" t="s">
        <v>11733</v>
      </c>
      <c r="H2033" s="154" t="s">
        <v>9015</v>
      </c>
      <c r="I2033" s="154" t="s">
        <v>11727</v>
      </c>
      <c r="J2033" s="154" t="s">
        <v>6803</v>
      </c>
      <c r="K2033" s="154" t="s">
        <v>11675</v>
      </c>
      <c r="L2033" s="154" t="s">
        <v>6064</v>
      </c>
      <c r="M2033" s="154" t="s">
        <v>175</v>
      </c>
      <c r="N2033" s="154" t="s">
        <v>759</v>
      </c>
      <c r="O2033" s="247" t="s">
        <v>516</v>
      </c>
      <c r="P2033" s="247" t="s">
        <v>6776</v>
      </c>
      <c r="Q2033" s="154" t="str">
        <f t="shared" si="1"/>
        <v>#ERROR!</v>
      </c>
      <c r="R2033" s="154" t="s">
        <v>66</v>
      </c>
      <c r="S2033" s="154" t="s">
        <v>66</v>
      </c>
      <c r="T2033" s="155" t="s">
        <v>64</v>
      </c>
      <c r="U2033" s="155" t="s">
        <v>64</v>
      </c>
      <c r="V2033" s="154" t="s">
        <v>60</v>
      </c>
      <c r="W2033" s="154" t="s">
        <v>60</v>
      </c>
      <c r="X2033" s="154" t="s">
        <v>66</v>
      </c>
      <c r="Y2033" s="155" t="s">
        <v>64</v>
      </c>
      <c r="Z2033" s="154" t="s">
        <v>60</v>
      </c>
      <c r="AA2033" s="154"/>
      <c r="AB2033" s="242" t="str">
        <f t="shared" si="2"/>
        <v>#ERROR!</v>
      </c>
      <c r="AC2033" s="154" t="s">
        <v>391</v>
      </c>
      <c r="AD2033" s="242" t="b">
        <f t="shared" si="3"/>
        <v>0</v>
      </c>
      <c r="AE2033" s="154"/>
      <c r="AF2033" s="242" t="str">
        <f t="shared" si="4"/>
        <v>#ERROR!</v>
      </c>
      <c r="AG2033" s="154"/>
      <c r="AH2033" s="242" t="str">
        <f>IF(AG2033="","N/A",INDIRECT("MTR!"&amp;ADDRESS(MATCH(LEFT(AG2033,9),[1]MTR!C:C,0),COLUMN(J2033)),TRUE) &amp; "")</f>
        <v>#ERROR!</v>
      </c>
      <c r="AI2033" s="157" t="str">
        <f t="shared" si="5"/>
        <v>#ERROR!</v>
      </c>
    </row>
    <row r="2034" ht="12.75" customHeight="1">
      <c r="A2034" s="244" t="s">
        <v>5158</v>
      </c>
      <c r="B2034" s="244" t="s">
        <v>231</v>
      </c>
      <c r="C2034" s="244" t="s">
        <v>11734</v>
      </c>
      <c r="D2034" s="154" t="s">
        <v>542</v>
      </c>
      <c r="E2034" s="154"/>
      <c r="F2034" s="154" t="str">
        <f t="array" ref="F2034">XLOOKUP(Cover!$D$12,$R$1:$Z$1,$R2034:$Z2034)</f>
        <v>Mandatory</v>
      </c>
      <c r="G2034" s="154" t="s">
        <v>11735</v>
      </c>
      <c r="H2034" s="154" t="s">
        <v>1489</v>
      </c>
      <c r="I2034" s="154" t="s">
        <v>11736</v>
      </c>
      <c r="J2034" s="154" t="s">
        <v>6809</v>
      </c>
      <c r="K2034" s="154" t="s">
        <v>11675</v>
      </c>
      <c r="L2034" s="154" t="s">
        <v>6525</v>
      </c>
      <c r="M2034" s="154" t="s">
        <v>175</v>
      </c>
      <c r="N2034" s="154" t="s">
        <v>759</v>
      </c>
      <c r="O2034" s="247" t="s">
        <v>445</v>
      </c>
      <c r="P2034" s="247" t="s">
        <v>6772</v>
      </c>
      <c r="Q2034" s="154" t="str">
        <f t="shared" si="1"/>
        <v>#ERROR!</v>
      </c>
      <c r="R2034" s="154" t="s">
        <v>66</v>
      </c>
      <c r="S2034" s="154" t="s">
        <v>66</v>
      </c>
      <c r="T2034" s="155" t="s">
        <v>64</v>
      </c>
      <c r="U2034" s="155" t="s">
        <v>64</v>
      </c>
      <c r="V2034" s="154" t="s">
        <v>60</v>
      </c>
      <c r="W2034" s="154" t="s">
        <v>60</v>
      </c>
      <c r="X2034" s="154" t="s">
        <v>66</v>
      </c>
      <c r="Y2034" s="155" t="s">
        <v>64</v>
      </c>
      <c r="Z2034" s="154" t="s">
        <v>60</v>
      </c>
      <c r="AA2034" s="154"/>
      <c r="AB2034" s="242" t="str">
        <f t="shared" si="2"/>
        <v>#ERROR!</v>
      </c>
      <c r="AC2034" s="154" t="s">
        <v>391</v>
      </c>
      <c r="AD2034" s="242" t="b">
        <f t="shared" si="3"/>
        <v>0</v>
      </c>
      <c r="AE2034" s="154"/>
      <c r="AF2034" s="242" t="str">
        <f t="shared" si="4"/>
        <v>#ERROR!</v>
      </c>
      <c r="AG2034" s="154"/>
      <c r="AH2034" s="242" t="str">
        <f>IF(AG2034="","N/A",INDIRECT("MTR!"&amp;ADDRESS(MATCH(LEFT(AG2034,9),[1]MTR!C:C,0),COLUMN(J2034)),TRUE) &amp; "")</f>
        <v>#ERROR!</v>
      </c>
      <c r="AI2034" s="157" t="str">
        <f t="shared" si="5"/>
        <v>#ERROR!</v>
      </c>
    </row>
    <row r="2035" ht="12.75" customHeight="1">
      <c r="A2035" s="244" t="s">
        <v>5158</v>
      </c>
      <c r="B2035" s="244" t="s">
        <v>231</v>
      </c>
      <c r="C2035" s="244" t="s">
        <v>11737</v>
      </c>
      <c r="D2035" s="154" t="s">
        <v>781</v>
      </c>
      <c r="E2035" s="154"/>
      <c r="F2035" s="154" t="str">
        <f t="array" ref="F2035">XLOOKUP(Cover!$D$12,$R$1:$Z$1,$R2035:$Z2035)</f>
        <v>Mandatory</v>
      </c>
      <c r="G2035" s="154" t="s">
        <v>11738</v>
      </c>
      <c r="H2035" s="154" t="s">
        <v>9006</v>
      </c>
      <c r="I2035" s="154" t="s">
        <v>11736</v>
      </c>
      <c r="J2035" s="154" t="s">
        <v>6809</v>
      </c>
      <c r="K2035" s="154" t="s">
        <v>11675</v>
      </c>
      <c r="L2035" s="154" t="s">
        <v>6525</v>
      </c>
      <c r="M2035" s="154" t="s">
        <v>175</v>
      </c>
      <c r="N2035" s="154" t="s">
        <v>759</v>
      </c>
      <c r="O2035" s="247" t="s">
        <v>445</v>
      </c>
      <c r="P2035" s="247" t="s">
        <v>6772</v>
      </c>
      <c r="Q2035" s="154" t="str">
        <f t="shared" si="1"/>
        <v>#ERROR!</v>
      </c>
      <c r="R2035" s="154" t="s">
        <v>66</v>
      </c>
      <c r="S2035" s="154" t="s">
        <v>66</v>
      </c>
      <c r="T2035" s="155" t="s">
        <v>64</v>
      </c>
      <c r="U2035" s="155" t="s">
        <v>64</v>
      </c>
      <c r="V2035" s="154" t="s">
        <v>60</v>
      </c>
      <c r="W2035" s="154" t="s">
        <v>60</v>
      </c>
      <c r="X2035" s="154" t="s">
        <v>66</v>
      </c>
      <c r="Y2035" s="155" t="s">
        <v>64</v>
      </c>
      <c r="Z2035" s="154" t="s">
        <v>60</v>
      </c>
      <c r="AA2035" s="154"/>
      <c r="AB2035" s="242" t="str">
        <f t="shared" si="2"/>
        <v>#ERROR!</v>
      </c>
      <c r="AC2035" s="154" t="s">
        <v>391</v>
      </c>
      <c r="AD2035" s="242" t="b">
        <f t="shared" si="3"/>
        <v>0</v>
      </c>
      <c r="AE2035" s="154"/>
      <c r="AF2035" s="242" t="str">
        <f t="shared" si="4"/>
        <v>#ERROR!</v>
      </c>
      <c r="AG2035" s="154"/>
      <c r="AH2035" s="242" t="str">
        <f>IF(AG2035="","N/A",INDIRECT("MTR!"&amp;ADDRESS(MATCH(LEFT(AG2035,9),[1]MTR!C:C,0),COLUMN(J2035)),TRUE) &amp; "")</f>
        <v>#ERROR!</v>
      </c>
      <c r="AI2035" s="157" t="str">
        <f t="shared" si="5"/>
        <v>#ERROR!</v>
      </c>
    </row>
    <row r="2036" ht="12.75" customHeight="1">
      <c r="A2036" s="244" t="s">
        <v>5158</v>
      </c>
      <c r="B2036" s="244" t="s">
        <v>231</v>
      </c>
      <c r="C2036" s="244" t="s">
        <v>11739</v>
      </c>
      <c r="D2036" s="154" t="s">
        <v>542</v>
      </c>
      <c r="E2036" s="154"/>
      <c r="F2036" s="154" t="str">
        <f t="array" ref="F2036">XLOOKUP(Cover!$D$12,$R$1:$Z$1,$R2036:$Z2036)</f>
        <v>Mandatory</v>
      </c>
      <c r="G2036" s="154" t="s">
        <v>11740</v>
      </c>
      <c r="H2036" s="154" t="s">
        <v>8550</v>
      </c>
      <c r="I2036" s="154" t="s">
        <v>11736</v>
      </c>
      <c r="J2036" s="154" t="s">
        <v>6809</v>
      </c>
      <c r="K2036" s="154" t="s">
        <v>11675</v>
      </c>
      <c r="L2036" s="154" t="s">
        <v>6525</v>
      </c>
      <c r="M2036" s="154" t="s">
        <v>175</v>
      </c>
      <c r="N2036" s="154" t="s">
        <v>759</v>
      </c>
      <c r="O2036" s="247" t="s">
        <v>516</v>
      </c>
      <c r="P2036" s="247" t="s">
        <v>1575</v>
      </c>
      <c r="Q2036" s="154" t="str">
        <f t="shared" si="1"/>
        <v>#ERROR!</v>
      </c>
      <c r="R2036" s="154" t="s">
        <v>66</v>
      </c>
      <c r="S2036" s="154" t="s">
        <v>66</v>
      </c>
      <c r="T2036" s="155" t="s">
        <v>64</v>
      </c>
      <c r="U2036" s="155" t="s">
        <v>64</v>
      </c>
      <c r="V2036" s="154" t="s">
        <v>60</v>
      </c>
      <c r="W2036" s="154" t="s">
        <v>60</v>
      </c>
      <c r="X2036" s="154" t="s">
        <v>66</v>
      </c>
      <c r="Y2036" s="155" t="s">
        <v>64</v>
      </c>
      <c r="Z2036" s="154" t="s">
        <v>60</v>
      </c>
      <c r="AA2036" s="154"/>
      <c r="AB2036" s="242" t="str">
        <f t="shared" si="2"/>
        <v>#ERROR!</v>
      </c>
      <c r="AC2036" s="154" t="s">
        <v>391</v>
      </c>
      <c r="AD2036" s="242" t="b">
        <f t="shared" si="3"/>
        <v>0</v>
      </c>
      <c r="AE2036" s="154"/>
      <c r="AF2036" s="242" t="str">
        <f t="shared" si="4"/>
        <v>#ERROR!</v>
      </c>
      <c r="AG2036" s="154"/>
      <c r="AH2036" s="242" t="str">
        <f>IF(AG2036="","N/A",INDIRECT("MTR!"&amp;ADDRESS(MATCH(LEFT(AG2036,9),[1]MTR!C:C,0),COLUMN(J2036)),TRUE) &amp; "")</f>
        <v>#ERROR!</v>
      </c>
      <c r="AI2036" s="157" t="str">
        <f t="shared" si="5"/>
        <v>#ERROR!</v>
      </c>
    </row>
    <row r="2037" ht="12.75" customHeight="1">
      <c r="A2037" s="244" t="s">
        <v>5158</v>
      </c>
      <c r="B2037" s="244" t="s">
        <v>231</v>
      </c>
      <c r="C2037" s="244" t="s">
        <v>11741</v>
      </c>
      <c r="D2037" s="154" t="s">
        <v>1315</v>
      </c>
      <c r="E2037" s="154"/>
      <c r="F2037" s="154" t="str">
        <f t="array" ref="F2037">XLOOKUP(Cover!$D$12,$R$1:$Z$1,$R2037:$Z2037)</f>
        <v>Mandatory</v>
      </c>
      <c r="G2037" s="154" t="s">
        <v>11742</v>
      </c>
      <c r="H2037" s="154" t="s">
        <v>9053</v>
      </c>
      <c r="I2037" s="154" t="s">
        <v>11736</v>
      </c>
      <c r="J2037" s="154" t="s">
        <v>6809</v>
      </c>
      <c r="K2037" s="154" t="s">
        <v>11675</v>
      </c>
      <c r="L2037" s="154" t="s">
        <v>6905</v>
      </c>
      <c r="M2037" s="154" t="s">
        <v>175</v>
      </c>
      <c r="N2037" s="154" t="s">
        <v>759</v>
      </c>
      <c r="O2037" s="247" t="s">
        <v>516</v>
      </c>
      <c r="P2037" s="247" t="s">
        <v>1575</v>
      </c>
      <c r="Q2037" s="154" t="str">
        <f t="shared" si="1"/>
        <v>#ERROR!</v>
      </c>
      <c r="R2037" s="154" t="s">
        <v>66</v>
      </c>
      <c r="S2037" s="154" t="s">
        <v>66</v>
      </c>
      <c r="T2037" s="155" t="s">
        <v>64</v>
      </c>
      <c r="U2037" s="155" t="s">
        <v>64</v>
      </c>
      <c r="V2037" s="154" t="s">
        <v>60</v>
      </c>
      <c r="W2037" s="154" t="s">
        <v>60</v>
      </c>
      <c r="X2037" s="154" t="s">
        <v>66</v>
      </c>
      <c r="Y2037" s="155" t="s">
        <v>64</v>
      </c>
      <c r="Z2037" s="154" t="s">
        <v>60</v>
      </c>
      <c r="AA2037" s="154"/>
      <c r="AB2037" s="242" t="str">
        <f t="shared" si="2"/>
        <v>#ERROR!</v>
      </c>
      <c r="AC2037" s="154" t="s">
        <v>391</v>
      </c>
      <c r="AD2037" s="242" t="b">
        <f t="shared" si="3"/>
        <v>0</v>
      </c>
      <c r="AE2037" s="154"/>
      <c r="AF2037" s="242" t="str">
        <f t="shared" si="4"/>
        <v>#ERROR!</v>
      </c>
      <c r="AG2037" s="154"/>
      <c r="AH2037" s="242" t="str">
        <f>IF(AG2037="","N/A",INDIRECT("MTR!"&amp;ADDRESS(MATCH(LEFT(AG2037,9),[1]MTR!C:C,0),COLUMN(J2037)),TRUE) &amp; "")</f>
        <v>#ERROR!</v>
      </c>
      <c r="AI2037" s="157" t="str">
        <f t="shared" si="5"/>
        <v>#ERROR!</v>
      </c>
    </row>
    <row r="2038" ht="12.75" customHeight="1">
      <c r="A2038" s="244" t="s">
        <v>5158</v>
      </c>
      <c r="B2038" s="244" t="s">
        <v>231</v>
      </c>
      <c r="C2038" s="244" t="s">
        <v>11743</v>
      </c>
      <c r="D2038" s="154" t="s">
        <v>542</v>
      </c>
      <c r="E2038" s="154"/>
      <c r="F2038" s="154" t="str">
        <f t="array" ref="F2038">XLOOKUP(Cover!$D$12,$R$1:$Z$1,$R2038:$Z2038)</f>
        <v>Mandatory</v>
      </c>
      <c r="G2038" s="154" t="s">
        <v>11744</v>
      </c>
      <c r="H2038" s="154" t="s">
        <v>1489</v>
      </c>
      <c r="I2038" s="154" t="s">
        <v>11745</v>
      </c>
      <c r="J2038" s="154" t="s">
        <v>6819</v>
      </c>
      <c r="K2038" s="154" t="s">
        <v>11675</v>
      </c>
      <c r="L2038" s="154" t="s">
        <v>6064</v>
      </c>
      <c r="M2038" s="154" t="s">
        <v>175</v>
      </c>
      <c r="N2038" s="154" t="s">
        <v>759</v>
      </c>
      <c r="O2038" s="247" t="s">
        <v>516</v>
      </c>
      <c r="P2038" s="247" t="s">
        <v>6776</v>
      </c>
      <c r="Q2038" s="154" t="str">
        <f t="shared" si="1"/>
        <v>#ERROR!</v>
      </c>
      <c r="R2038" s="154" t="s">
        <v>66</v>
      </c>
      <c r="S2038" s="154" t="s">
        <v>66</v>
      </c>
      <c r="T2038" s="155" t="s">
        <v>64</v>
      </c>
      <c r="U2038" s="155" t="s">
        <v>64</v>
      </c>
      <c r="V2038" s="154" t="s">
        <v>60</v>
      </c>
      <c r="W2038" s="154" t="s">
        <v>60</v>
      </c>
      <c r="X2038" s="154" t="s">
        <v>66</v>
      </c>
      <c r="Y2038" s="155" t="s">
        <v>64</v>
      </c>
      <c r="Z2038" s="154" t="s">
        <v>60</v>
      </c>
      <c r="AA2038" s="154"/>
      <c r="AB2038" s="242" t="str">
        <f t="shared" si="2"/>
        <v>#ERROR!</v>
      </c>
      <c r="AC2038" s="154" t="s">
        <v>391</v>
      </c>
      <c r="AD2038" s="242" t="b">
        <f t="shared" si="3"/>
        <v>0</v>
      </c>
      <c r="AE2038" s="154"/>
      <c r="AF2038" s="242" t="str">
        <f t="shared" si="4"/>
        <v>#ERROR!</v>
      </c>
      <c r="AG2038" s="154"/>
      <c r="AH2038" s="242" t="str">
        <f>IF(AG2038="","N/A",INDIRECT("MTR!"&amp;ADDRESS(MATCH(LEFT(AG2038,9),[1]MTR!C:C,0),COLUMN(J2038)),TRUE) &amp; "")</f>
        <v>#ERROR!</v>
      </c>
      <c r="AI2038" s="157" t="str">
        <f t="shared" si="5"/>
        <v>#ERROR!</v>
      </c>
    </row>
    <row r="2039" ht="12.75" customHeight="1">
      <c r="A2039" s="244" t="s">
        <v>5158</v>
      </c>
      <c r="B2039" s="244" t="s">
        <v>231</v>
      </c>
      <c r="C2039" s="244" t="s">
        <v>11746</v>
      </c>
      <c r="D2039" s="154" t="s">
        <v>542</v>
      </c>
      <c r="E2039" s="154"/>
      <c r="F2039" s="154" t="str">
        <f t="array" ref="F2039">XLOOKUP(Cover!$D$12,$R$1:$Z$1,$R2039:$Z2039)</f>
        <v>Mandatory</v>
      </c>
      <c r="G2039" s="154" t="s">
        <v>11747</v>
      </c>
      <c r="H2039" s="154" t="s">
        <v>9006</v>
      </c>
      <c r="I2039" s="154" t="s">
        <v>11745</v>
      </c>
      <c r="J2039" s="154" t="s">
        <v>6819</v>
      </c>
      <c r="K2039" s="154" t="s">
        <v>11675</v>
      </c>
      <c r="L2039" s="154" t="s">
        <v>6064</v>
      </c>
      <c r="M2039" s="154" t="s">
        <v>175</v>
      </c>
      <c r="N2039" s="154" t="s">
        <v>759</v>
      </c>
      <c r="O2039" s="247" t="s">
        <v>516</v>
      </c>
      <c r="P2039" s="247" t="s">
        <v>6776</v>
      </c>
      <c r="Q2039" s="154" t="str">
        <f t="shared" si="1"/>
        <v>#ERROR!</v>
      </c>
      <c r="R2039" s="154" t="s">
        <v>66</v>
      </c>
      <c r="S2039" s="154" t="s">
        <v>66</v>
      </c>
      <c r="T2039" s="155" t="s">
        <v>64</v>
      </c>
      <c r="U2039" s="155" t="s">
        <v>64</v>
      </c>
      <c r="V2039" s="154" t="s">
        <v>60</v>
      </c>
      <c r="W2039" s="154" t="s">
        <v>60</v>
      </c>
      <c r="X2039" s="154" t="s">
        <v>66</v>
      </c>
      <c r="Y2039" s="155" t="s">
        <v>64</v>
      </c>
      <c r="Z2039" s="154" t="s">
        <v>60</v>
      </c>
      <c r="AA2039" s="154"/>
      <c r="AB2039" s="242" t="str">
        <f t="shared" si="2"/>
        <v>#ERROR!</v>
      </c>
      <c r="AC2039" s="154" t="s">
        <v>391</v>
      </c>
      <c r="AD2039" s="242" t="b">
        <f t="shared" si="3"/>
        <v>0</v>
      </c>
      <c r="AE2039" s="154"/>
      <c r="AF2039" s="242" t="str">
        <f t="shared" si="4"/>
        <v>#ERROR!</v>
      </c>
      <c r="AG2039" s="154"/>
      <c r="AH2039" s="242" t="str">
        <f>IF(AG2039="","N/A",INDIRECT("MTR!"&amp;ADDRESS(MATCH(LEFT(AG2039,9),[1]MTR!C:C,0),COLUMN(J2039)),TRUE) &amp; "")</f>
        <v>#ERROR!</v>
      </c>
      <c r="AI2039" s="157" t="str">
        <f t="shared" si="5"/>
        <v>#ERROR!</v>
      </c>
    </row>
    <row r="2040" ht="12.75" customHeight="1">
      <c r="A2040" s="244" t="s">
        <v>5158</v>
      </c>
      <c r="B2040" s="244" t="s">
        <v>231</v>
      </c>
      <c r="C2040" s="244" t="s">
        <v>11748</v>
      </c>
      <c r="D2040" s="154" t="s">
        <v>542</v>
      </c>
      <c r="E2040" s="154"/>
      <c r="F2040" s="154" t="str">
        <f t="array" ref="F2040">XLOOKUP(Cover!$D$12,$R$1:$Z$1,$R2040:$Z2040)</f>
        <v>Recommended</v>
      </c>
      <c r="G2040" s="154" t="s">
        <v>11749</v>
      </c>
      <c r="H2040" s="154" t="s">
        <v>8513</v>
      </c>
      <c r="I2040" s="154" t="s">
        <v>11745</v>
      </c>
      <c r="J2040" s="154" t="s">
        <v>6819</v>
      </c>
      <c r="K2040" s="154" t="s">
        <v>11675</v>
      </c>
      <c r="L2040" s="154" t="s">
        <v>6064</v>
      </c>
      <c r="M2040" s="154"/>
      <c r="N2040" s="154" t="s">
        <v>759</v>
      </c>
      <c r="O2040" s="247" t="s">
        <v>516</v>
      </c>
      <c r="P2040" s="247" t="s">
        <v>6776</v>
      </c>
      <c r="Q2040" s="154" t="str">
        <f t="shared" si="1"/>
        <v>#ERROR!</v>
      </c>
      <c r="R2040" s="154" t="s">
        <v>66</v>
      </c>
      <c r="S2040" s="154" t="s">
        <v>66</v>
      </c>
      <c r="T2040" s="154" t="s">
        <v>64</v>
      </c>
      <c r="U2040" s="154" t="s">
        <v>64</v>
      </c>
      <c r="V2040" s="154" t="s">
        <v>64</v>
      </c>
      <c r="W2040" s="154" t="s">
        <v>64</v>
      </c>
      <c r="X2040" s="154" t="s">
        <v>66</v>
      </c>
      <c r="Y2040" s="154" t="s">
        <v>64</v>
      </c>
      <c r="Z2040" s="154" t="s">
        <v>64</v>
      </c>
      <c r="AA2040" s="154"/>
      <c r="AB2040" s="242" t="str">
        <f t="shared" si="2"/>
        <v>#ERROR!</v>
      </c>
      <c r="AC2040" s="154" t="s">
        <v>391</v>
      </c>
      <c r="AD2040" s="242" t="b">
        <f t="shared" si="3"/>
        <v>0</v>
      </c>
      <c r="AE2040" s="154"/>
      <c r="AF2040" s="242" t="str">
        <f t="shared" si="4"/>
        <v>#ERROR!</v>
      </c>
      <c r="AG2040" s="154"/>
      <c r="AH2040" s="242" t="str">
        <f>IF(AG2040="","N/A",INDIRECT("MTR!"&amp;ADDRESS(MATCH(LEFT(AG2040,9),[1]MTR!C:C,0),COLUMN(J2040)),TRUE) &amp; "")</f>
        <v>#ERROR!</v>
      </c>
      <c r="AI2040" s="157" t="str">
        <f t="shared" si="5"/>
        <v>#ERROR!</v>
      </c>
    </row>
    <row r="2041" ht="12.75" customHeight="1">
      <c r="A2041" s="244" t="s">
        <v>5158</v>
      </c>
      <c r="B2041" s="244" t="s">
        <v>231</v>
      </c>
      <c r="C2041" s="244" t="s">
        <v>11750</v>
      </c>
      <c r="D2041" s="154" t="s">
        <v>542</v>
      </c>
      <c r="E2041" s="154"/>
      <c r="F2041" s="154" t="str">
        <f t="array" ref="F2041">XLOOKUP(Cover!$D$12,$R$1:$Z$1,$R2041:$Z2041)</f>
        <v>Recommended</v>
      </c>
      <c r="G2041" s="154" t="s">
        <v>11751</v>
      </c>
      <c r="H2041" s="154" t="s">
        <v>9009</v>
      </c>
      <c r="I2041" s="154" t="s">
        <v>11745</v>
      </c>
      <c r="J2041" s="154" t="s">
        <v>6819</v>
      </c>
      <c r="K2041" s="154" t="s">
        <v>11675</v>
      </c>
      <c r="L2041" s="154" t="s">
        <v>6064</v>
      </c>
      <c r="M2041" s="154"/>
      <c r="N2041" s="154" t="s">
        <v>759</v>
      </c>
      <c r="O2041" s="247" t="s">
        <v>516</v>
      </c>
      <c r="P2041" s="247" t="s">
        <v>6776</v>
      </c>
      <c r="Q2041" s="154" t="str">
        <f t="shared" si="1"/>
        <v>#ERROR!</v>
      </c>
      <c r="R2041" s="154" t="s">
        <v>66</v>
      </c>
      <c r="S2041" s="154" t="s">
        <v>66</v>
      </c>
      <c r="T2041" s="154" t="s">
        <v>64</v>
      </c>
      <c r="U2041" s="154" t="s">
        <v>64</v>
      </c>
      <c r="V2041" s="154" t="s">
        <v>64</v>
      </c>
      <c r="W2041" s="154" t="s">
        <v>64</v>
      </c>
      <c r="X2041" s="154" t="s">
        <v>66</v>
      </c>
      <c r="Y2041" s="154" t="s">
        <v>64</v>
      </c>
      <c r="Z2041" s="154" t="s">
        <v>64</v>
      </c>
      <c r="AA2041" s="154"/>
      <c r="AB2041" s="242" t="str">
        <f t="shared" si="2"/>
        <v>#ERROR!</v>
      </c>
      <c r="AC2041" s="154" t="s">
        <v>391</v>
      </c>
      <c r="AD2041" s="242" t="b">
        <f t="shared" si="3"/>
        <v>0</v>
      </c>
      <c r="AE2041" s="154"/>
      <c r="AF2041" s="242" t="str">
        <f t="shared" si="4"/>
        <v>#ERROR!</v>
      </c>
      <c r="AG2041" s="154"/>
      <c r="AH2041" s="242" t="str">
        <f>IF(AG2041="","N/A",INDIRECT("MTR!"&amp;ADDRESS(MATCH(LEFT(AG2041,9),[1]MTR!C:C,0),COLUMN(J2041)),TRUE) &amp; "")</f>
        <v>#ERROR!</v>
      </c>
      <c r="AI2041" s="157" t="str">
        <f t="shared" si="5"/>
        <v>#ERROR!</v>
      </c>
    </row>
    <row r="2042" ht="12.75" customHeight="1">
      <c r="A2042" s="244" t="s">
        <v>5158</v>
      </c>
      <c r="B2042" s="244" t="s">
        <v>231</v>
      </c>
      <c r="C2042" s="244" t="s">
        <v>11752</v>
      </c>
      <c r="D2042" s="154" t="s">
        <v>1315</v>
      </c>
      <c r="E2042" s="154"/>
      <c r="F2042" s="154" t="str">
        <f t="array" ref="F2042">XLOOKUP(Cover!$D$12,$R$1:$Z$1,$R2042:$Z2042)</f>
        <v>Recommended</v>
      </c>
      <c r="G2042" s="154" t="s">
        <v>11753</v>
      </c>
      <c r="H2042" s="154" t="s">
        <v>1489</v>
      </c>
      <c r="I2042" s="154" t="s">
        <v>11754</v>
      </c>
      <c r="J2042" s="154" t="s">
        <v>6826</v>
      </c>
      <c r="K2042" s="154" t="s">
        <v>11675</v>
      </c>
      <c r="L2042" s="154" t="s">
        <v>6022</v>
      </c>
      <c r="M2042" s="154"/>
      <c r="N2042" s="154" t="s">
        <v>759</v>
      </c>
      <c r="O2042" s="247" t="s">
        <v>516</v>
      </c>
      <c r="P2042" s="247" t="s">
        <v>6776</v>
      </c>
      <c r="Q2042" s="154" t="str">
        <f t="shared" si="1"/>
        <v>#ERROR!</v>
      </c>
      <c r="R2042" s="154" t="s">
        <v>66</v>
      </c>
      <c r="S2042" s="154" t="s">
        <v>66</v>
      </c>
      <c r="T2042" s="154" t="s">
        <v>64</v>
      </c>
      <c r="U2042" s="154" t="s">
        <v>64</v>
      </c>
      <c r="V2042" s="154" t="s">
        <v>64</v>
      </c>
      <c r="W2042" s="154" t="s">
        <v>64</v>
      </c>
      <c r="X2042" s="154" t="s">
        <v>66</v>
      </c>
      <c r="Y2042" s="154" t="s">
        <v>64</v>
      </c>
      <c r="Z2042" s="154" t="s">
        <v>64</v>
      </c>
      <c r="AA2042" s="154"/>
      <c r="AB2042" s="242" t="str">
        <f t="shared" si="2"/>
        <v>#ERROR!</v>
      </c>
      <c r="AC2042" s="154" t="s">
        <v>391</v>
      </c>
      <c r="AD2042" s="242" t="b">
        <f t="shared" si="3"/>
        <v>0</v>
      </c>
      <c r="AE2042" s="154"/>
      <c r="AF2042" s="242" t="str">
        <f t="shared" si="4"/>
        <v>#ERROR!</v>
      </c>
      <c r="AG2042" s="154"/>
      <c r="AH2042" s="242" t="str">
        <f>IF(AG2042="","N/A",INDIRECT("MTR!"&amp;ADDRESS(MATCH(LEFT(AG2042,9),[1]MTR!C:C,0),COLUMN(J2042)),TRUE) &amp; "")</f>
        <v>#ERROR!</v>
      </c>
      <c r="AI2042" s="157" t="str">
        <f t="shared" si="5"/>
        <v>#ERROR!</v>
      </c>
    </row>
    <row r="2043" ht="12.75" customHeight="1">
      <c r="A2043" s="244" t="s">
        <v>5158</v>
      </c>
      <c r="B2043" s="244" t="s">
        <v>231</v>
      </c>
      <c r="C2043" s="244" t="s">
        <v>11755</v>
      </c>
      <c r="D2043" s="154" t="s">
        <v>1315</v>
      </c>
      <c r="E2043" s="154"/>
      <c r="F2043" s="154" t="str">
        <f t="array" ref="F2043">XLOOKUP(Cover!$D$12,$R$1:$Z$1,$R2043:$Z2043)</f>
        <v>Recommended</v>
      </c>
      <c r="G2043" s="154" t="s">
        <v>11756</v>
      </c>
      <c r="H2043" s="154" t="s">
        <v>9006</v>
      </c>
      <c r="I2043" s="154" t="s">
        <v>11754</v>
      </c>
      <c r="J2043" s="154" t="s">
        <v>6826</v>
      </c>
      <c r="K2043" s="154" t="s">
        <v>11675</v>
      </c>
      <c r="L2043" s="154" t="s">
        <v>6022</v>
      </c>
      <c r="M2043" s="154"/>
      <c r="N2043" s="154" t="s">
        <v>759</v>
      </c>
      <c r="O2043" s="247" t="s">
        <v>516</v>
      </c>
      <c r="P2043" s="247" t="s">
        <v>6776</v>
      </c>
      <c r="Q2043" s="154" t="str">
        <f t="shared" si="1"/>
        <v>#ERROR!</v>
      </c>
      <c r="R2043" s="154" t="s">
        <v>66</v>
      </c>
      <c r="S2043" s="154" t="s">
        <v>66</v>
      </c>
      <c r="T2043" s="154" t="s">
        <v>64</v>
      </c>
      <c r="U2043" s="154" t="s">
        <v>64</v>
      </c>
      <c r="V2043" s="154" t="s">
        <v>64</v>
      </c>
      <c r="W2043" s="154" t="s">
        <v>64</v>
      </c>
      <c r="X2043" s="154" t="s">
        <v>66</v>
      </c>
      <c r="Y2043" s="154" t="s">
        <v>64</v>
      </c>
      <c r="Z2043" s="154" t="s">
        <v>64</v>
      </c>
      <c r="AA2043" s="154"/>
      <c r="AB2043" s="242" t="str">
        <f t="shared" si="2"/>
        <v>#ERROR!</v>
      </c>
      <c r="AC2043" s="154" t="s">
        <v>391</v>
      </c>
      <c r="AD2043" s="242" t="b">
        <f t="shared" si="3"/>
        <v>0</v>
      </c>
      <c r="AE2043" s="154"/>
      <c r="AF2043" s="242" t="str">
        <f t="shared" si="4"/>
        <v>#ERROR!</v>
      </c>
      <c r="AG2043" s="154"/>
      <c r="AH2043" s="242" t="str">
        <f>IF(AG2043="","N/A",INDIRECT("MTR!"&amp;ADDRESS(MATCH(LEFT(AG2043,9),[1]MTR!C:C,0),COLUMN(J2043)),TRUE) &amp; "")</f>
        <v>#ERROR!</v>
      </c>
      <c r="AI2043" s="157" t="str">
        <f t="shared" si="5"/>
        <v>#ERROR!</v>
      </c>
    </row>
    <row r="2044" ht="12.75" customHeight="1">
      <c r="A2044" s="244" t="s">
        <v>5158</v>
      </c>
      <c r="B2044" s="244" t="s">
        <v>231</v>
      </c>
      <c r="C2044" s="244" t="s">
        <v>11757</v>
      </c>
      <c r="D2044" s="154" t="s">
        <v>1315</v>
      </c>
      <c r="E2044" s="154"/>
      <c r="F2044" s="154" t="str">
        <f t="array" ref="F2044">XLOOKUP(Cover!$D$12,$R$1:$Z$1,$R2044:$Z2044)</f>
        <v>Information</v>
      </c>
      <c r="G2044" s="154" t="s">
        <v>11758</v>
      </c>
      <c r="H2044" s="154" t="s">
        <v>8516</v>
      </c>
      <c r="I2044" s="154" t="s">
        <v>11754</v>
      </c>
      <c r="J2044" s="154" t="s">
        <v>6826</v>
      </c>
      <c r="K2044" s="154" t="s">
        <v>11675</v>
      </c>
      <c r="L2044" s="154" t="s">
        <v>6022</v>
      </c>
      <c r="M2044" s="154"/>
      <c r="N2044" s="154" t="s">
        <v>759</v>
      </c>
      <c r="O2044" s="247" t="s">
        <v>516</v>
      </c>
      <c r="P2044" s="247" t="s">
        <v>6776</v>
      </c>
      <c r="Q2044" s="154" t="str">
        <f t="shared" si="1"/>
        <v>#ERROR!</v>
      </c>
      <c r="R2044" s="154" t="s">
        <v>66</v>
      </c>
      <c r="S2044" s="154" t="s">
        <v>66</v>
      </c>
      <c r="T2044" s="154" t="s">
        <v>66</v>
      </c>
      <c r="U2044" s="154" t="s">
        <v>66</v>
      </c>
      <c r="V2044" s="154" t="s">
        <v>66</v>
      </c>
      <c r="W2044" s="154" t="s">
        <v>66</v>
      </c>
      <c r="X2044" s="154" t="s">
        <v>66</v>
      </c>
      <c r="Y2044" s="154" t="s">
        <v>66</v>
      </c>
      <c r="Z2044" s="154" t="s">
        <v>66</v>
      </c>
      <c r="AA2044" s="154"/>
      <c r="AB2044" s="242" t="str">
        <f t="shared" si="2"/>
        <v>#ERROR!</v>
      </c>
      <c r="AC2044" s="154" t="s">
        <v>391</v>
      </c>
      <c r="AD2044" s="242" t="b">
        <f t="shared" si="3"/>
        <v>0</v>
      </c>
      <c r="AE2044" s="154"/>
      <c r="AF2044" s="242" t="str">
        <f t="shared" si="4"/>
        <v>#ERROR!</v>
      </c>
      <c r="AG2044" s="154"/>
      <c r="AH2044" s="242" t="str">
        <f>IF(AG2044="","N/A",INDIRECT("MTR!"&amp;ADDRESS(MATCH(LEFT(AG2044,9),[1]MTR!C:C,0),COLUMN(J2044)),TRUE) &amp; "")</f>
        <v>#ERROR!</v>
      </c>
      <c r="AI2044" s="157" t="str">
        <f t="shared" si="5"/>
        <v>#ERROR!</v>
      </c>
    </row>
    <row r="2045" ht="12.75" customHeight="1">
      <c r="A2045" s="244" t="s">
        <v>5158</v>
      </c>
      <c r="B2045" s="244" t="s">
        <v>231</v>
      </c>
      <c r="C2045" s="244" t="s">
        <v>11759</v>
      </c>
      <c r="D2045" s="154" t="s">
        <v>542</v>
      </c>
      <c r="E2045" s="154"/>
      <c r="F2045" s="154" t="str">
        <f t="array" ref="F2045">XLOOKUP(Cover!$D$12,$R$1:$Z$1,$R2045:$Z2045)</f>
        <v>Mandatory</v>
      </c>
      <c r="G2045" s="154" t="s">
        <v>11760</v>
      </c>
      <c r="H2045" s="154" t="s">
        <v>1489</v>
      </c>
      <c r="I2045" s="154" t="s">
        <v>11761</v>
      </c>
      <c r="J2045" s="154" t="s">
        <v>6832</v>
      </c>
      <c r="K2045" s="154" t="s">
        <v>11675</v>
      </c>
      <c r="L2045" s="154" t="s">
        <v>6064</v>
      </c>
      <c r="M2045" s="154" t="s">
        <v>175</v>
      </c>
      <c r="N2045" s="154" t="s">
        <v>759</v>
      </c>
      <c r="O2045" s="247" t="s">
        <v>516</v>
      </c>
      <c r="P2045" s="247" t="s">
        <v>6776</v>
      </c>
      <c r="Q2045" s="154" t="str">
        <f t="shared" si="1"/>
        <v>#ERROR!</v>
      </c>
      <c r="R2045" s="154" t="s">
        <v>66</v>
      </c>
      <c r="S2045" s="154" t="s">
        <v>66</v>
      </c>
      <c r="T2045" s="155" t="s">
        <v>64</v>
      </c>
      <c r="U2045" s="155" t="s">
        <v>64</v>
      </c>
      <c r="V2045" s="154" t="s">
        <v>60</v>
      </c>
      <c r="W2045" s="154" t="s">
        <v>60</v>
      </c>
      <c r="X2045" s="154" t="s">
        <v>66</v>
      </c>
      <c r="Y2045" s="155" t="s">
        <v>64</v>
      </c>
      <c r="Z2045" s="154" t="s">
        <v>60</v>
      </c>
      <c r="AA2045" s="154"/>
      <c r="AB2045" s="242" t="str">
        <f t="shared" si="2"/>
        <v>#ERROR!</v>
      </c>
      <c r="AC2045" s="154" t="s">
        <v>391</v>
      </c>
      <c r="AD2045" s="242" t="b">
        <f t="shared" si="3"/>
        <v>0</v>
      </c>
      <c r="AE2045" s="154"/>
      <c r="AF2045" s="242" t="str">
        <f t="shared" si="4"/>
        <v>#ERROR!</v>
      </c>
      <c r="AG2045" s="154"/>
      <c r="AH2045" s="242" t="str">
        <f>IF(AG2045="","N/A",INDIRECT("MTR!"&amp;ADDRESS(MATCH(LEFT(AG2045,9),[1]MTR!C:C,0),COLUMN(J2045)),TRUE) &amp; "")</f>
        <v>#ERROR!</v>
      </c>
      <c r="AI2045" s="157" t="str">
        <f t="shared" si="5"/>
        <v>#ERROR!</v>
      </c>
    </row>
    <row r="2046" ht="12.75" customHeight="1">
      <c r="A2046" s="244" t="s">
        <v>5158</v>
      </c>
      <c r="B2046" s="244" t="s">
        <v>231</v>
      </c>
      <c r="C2046" s="244" t="s">
        <v>11762</v>
      </c>
      <c r="D2046" s="154" t="s">
        <v>542</v>
      </c>
      <c r="E2046" s="154"/>
      <c r="F2046" s="154" t="str">
        <f t="array" ref="F2046">XLOOKUP(Cover!$D$12,$R$1:$Z$1,$R2046:$Z2046)</f>
        <v>Mandatory</v>
      </c>
      <c r="G2046" s="154" t="s">
        <v>11763</v>
      </c>
      <c r="H2046" s="154" t="s">
        <v>9006</v>
      </c>
      <c r="I2046" s="154" t="s">
        <v>11761</v>
      </c>
      <c r="J2046" s="154" t="s">
        <v>6832</v>
      </c>
      <c r="K2046" s="154" t="s">
        <v>11675</v>
      </c>
      <c r="L2046" s="154" t="s">
        <v>6064</v>
      </c>
      <c r="M2046" s="154" t="s">
        <v>175</v>
      </c>
      <c r="N2046" s="154" t="s">
        <v>759</v>
      </c>
      <c r="O2046" s="247" t="s">
        <v>516</v>
      </c>
      <c r="P2046" s="247" t="s">
        <v>6776</v>
      </c>
      <c r="Q2046" s="154" t="str">
        <f t="shared" si="1"/>
        <v>#ERROR!</v>
      </c>
      <c r="R2046" s="154" t="s">
        <v>66</v>
      </c>
      <c r="S2046" s="154" t="s">
        <v>66</v>
      </c>
      <c r="T2046" s="155" t="s">
        <v>64</v>
      </c>
      <c r="U2046" s="155" t="s">
        <v>64</v>
      </c>
      <c r="V2046" s="154" t="s">
        <v>60</v>
      </c>
      <c r="W2046" s="154" t="s">
        <v>60</v>
      </c>
      <c r="X2046" s="154" t="s">
        <v>66</v>
      </c>
      <c r="Y2046" s="155" t="s">
        <v>64</v>
      </c>
      <c r="Z2046" s="154" t="s">
        <v>60</v>
      </c>
      <c r="AA2046" s="154"/>
      <c r="AB2046" s="242" t="str">
        <f t="shared" si="2"/>
        <v>#ERROR!</v>
      </c>
      <c r="AC2046" s="154" t="s">
        <v>391</v>
      </c>
      <c r="AD2046" s="242" t="b">
        <f t="shared" si="3"/>
        <v>0</v>
      </c>
      <c r="AE2046" s="154"/>
      <c r="AF2046" s="242" t="str">
        <f t="shared" si="4"/>
        <v>#ERROR!</v>
      </c>
      <c r="AG2046" s="154"/>
      <c r="AH2046" s="242" t="str">
        <f>IF(AG2046="","N/A",INDIRECT("MTR!"&amp;ADDRESS(MATCH(LEFT(AG2046,9),[1]MTR!C:C,0),COLUMN(J2046)),TRUE) &amp; "")</f>
        <v>#ERROR!</v>
      </c>
      <c r="AI2046" s="157" t="str">
        <f t="shared" si="5"/>
        <v>#ERROR!</v>
      </c>
    </row>
    <row r="2047" ht="12.75" customHeight="1">
      <c r="A2047" s="244" t="s">
        <v>5158</v>
      </c>
      <c r="B2047" s="244" t="s">
        <v>231</v>
      </c>
      <c r="C2047" s="244" t="s">
        <v>11764</v>
      </c>
      <c r="D2047" s="154" t="s">
        <v>542</v>
      </c>
      <c r="E2047" s="154"/>
      <c r="F2047" s="154" t="str">
        <f t="array" ref="F2047">XLOOKUP(Cover!$D$12,$R$1:$Z$1,$R2047:$Z2047)</f>
        <v>Mandatory</v>
      </c>
      <c r="G2047" s="154" t="s">
        <v>11765</v>
      </c>
      <c r="H2047" s="154" t="s">
        <v>8519</v>
      </c>
      <c r="I2047" s="154" t="s">
        <v>11761</v>
      </c>
      <c r="J2047" s="154" t="s">
        <v>6832</v>
      </c>
      <c r="K2047" s="154" t="s">
        <v>11675</v>
      </c>
      <c r="L2047" s="154" t="s">
        <v>6064</v>
      </c>
      <c r="M2047" s="154" t="s">
        <v>175</v>
      </c>
      <c r="N2047" s="154" t="s">
        <v>759</v>
      </c>
      <c r="O2047" s="247" t="s">
        <v>516</v>
      </c>
      <c r="P2047" s="247" t="s">
        <v>6776</v>
      </c>
      <c r="Q2047" s="154" t="str">
        <f t="shared" si="1"/>
        <v>#ERROR!</v>
      </c>
      <c r="R2047" s="154" t="s">
        <v>66</v>
      </c>
      <c r="S2047" s="154" t="s">
        <v>66</v>
      </c>
      <c r="T2047" s="155" t="s">
        <v>64</v>
      </c>
      <c r="U2047" s="155" t="s">
        <v>64</v>
      </c>
      <c r="V2047" s="154" t="s">
        <v>60</v>
      </c>
      <c r="W2047" s="154" t="s">
        <v>60</v>
      </c>
      <c r="X2047" s="154" t="s">
        <v>66</v>
      </c>
      <c r="Y2047" s="155" t="s">
        <v>64</v>
      </c>
      <c r="Z2047" s="154" t="s">
        <v>60</v>
      </c>
      <c r="AA2047" s="154"/>
      <c r="AB2047" s="242" t="str">
        <f t="shared" si="2"/>
        <v>#ERROR!</v>
      </c>
      <c r="AC2047" s="154" t="s">
        <v>391</v>
      </c>
      <c r="AD2047" s="242" t="b">
        <f t="shared" si="3"/>
        <v>0</v>
      </c>
      <c r="AE2047" s="154"/>
      <c r="AF2047" s="242" t="str">
        <f t="shared" si="4"/>
        <v>#ERROR!</v>
      </c>
      <c r="AG2047" s="154"/>
      <c r="AH2047" s="242" t="str">
        <f>IF(AG2047="","N/A",INDIRECT("MTR!"&amp;ADDRESS(MATCH(LEFT(AG2047,9),[1]MTR!C:C,0),COLUMN(J2047)),TRUE) &amp; "")</f>
        <v>#ERROR!</v>
      </c>
      <c r="AI2047" s="157" t="str">
        <f t="shared" si="5"/>
        <v>#ERROR!</v>
      </c>
    </row>
    <row r="2048" ht="12.75" customHeight="1">
      <c r="A2048" s="244" t="s">
        <v>5158</v>
      </c>
      <c r="B2048" s="244" t="s">
        <v>231</v>
      </c>
      <c r="C2048" s="244" t="s">
        <v>11766</v>
      </c>
      <c r="D2048" s="154" t="s">
        <v>542</v>
      </c>
      <c r="E2048" s="154"/>
      <c r="F2048" s="154" t="str">
        <f t="array" ref="F2048">XLOOKUP(Cover!$D$12,$R$1:$Z$1,$R2048:$Z2048)</f>
        <v>Mandatory</v>
      </c>
      <c r="G2048" s="154" t="s">
        <v>11767</v>
      </c>
      <c r="H2048" s="154" t="s">
        <v>9015</v>
      </c>
      <c r="I2048" s="154" t="s">
        <v>11761</v>
      </c>
      <c r="J2048" s="154" t="s">
        <v>6832</v>
      </c>
      <c r="K2048" s="154" t="s">
        <v>11675</v>
      </c>
      <c r="L2048" s="154" t="s">
        <v>6064</v>
      </c>
      <c r="M2048" s="154" t="s">
        <v>175</v>
      </c>
      <c r="N2048" s="154" t="s">
        <v>759</v>
      </c>
      <c r="O2048" s="247" t="s">
        <v>516</v>
      </c>
      <c r="P2048" s="247" t="s">
        <v>6776</v>
      </c>
      <c r="Q2048" s="154" t="str">
        <f t="shared" si="1"/>
        <v>#ERROR!</v>
      </c>
      <c r="R2048" s="154" t="s">
        <v>66</v>
      </c>
      <c r="S2048" s="154" t="s">
        <v>66</v>
      </c>
      <c r="T2048" s="155" t="s">
        <v>64</v>
      </c>
      <c r="U2048" s="155" t="s">
        <v>64</v>
      </c>
      <c r="V2048" s="154" t="s">
        <v>60</v>
      </c>
      <c r="W2048" s="154" t="s">
        <v>60</v>
      </c>
      <c r="X2048" s="154" t="s">
        <v>66</v>
      </c>
      <c r="Y2048" s="155" t="s">
        <v>64</v>
      </c>
      <c r="Z2048" s="154" t="s">
        <v>60</v>
      </c>
      <c r="AA2048" s="154"/>
      <c r="AB2048" s="242" t="str">
        <f t="shared" si="2"/>
        <v>#ERROR!</v>
      </c>
      <c r="AC2048" s="154" t="s">
        <v>391</v>
      </c>
      <c r="AD2048" s="242" t="b">
        <f t="shared" si="3"/>
        <v>0</v>
      </c>
      <c r="AE2048" s="154"/>
      <c r="AF2048" s="242" t="str">
        <f t="shared" si="4"/>
        <v>#ERROR!</v>
      </c>
      <c r="AG2048" s="154"/>
      <c r="AH2048" s="242" t="str">
        <f>IF(AG2048="","N/A",INDIRECT("MTR!"&amp;ADDRESS(MATCH(LEFT(AG2048,9),[1]MTR!C:C,0),COLUMN(J2048)),TRUE) &amp; "")</f>
        <v>#ERROR!</v>
      </c>
      <c r="AI2048" s="157" t="str">
        <f t="shared" si="5"/>
        <v>#ERROR!</v>
      </c>
    </row>
    <row r="2049" ht="12.75" customHeight="1">
      <c r="A2049" s="244" t="s">
        <v>5158</v>
      </c>
      <c r="B2049" s="244" t="s">
        <v>231</v>
      </c>
      <c r="C2049" s="244" t="s">
        <v>11768</v>
      </c>
      <c r="D2049" s="154" t="s">
        <v>542</v>
      </c>
      <c r="E2049" s="154"/>
      <c r="F2049" s="154" t="str">
        <f t="array" ref="F2049">XLOOKUP(Cover!$D$12,$R$1:$Z$1,$R2049:$Z2049)</f>
        <v>Recommended</v>
      </c>
      <c r="G2049" s="154" t="s">
        <v>11769</v>
      </c>
      <c r="H2049" s="154" t="s">
        <v>8513</v>
      </c>
      <c r="I2049" s="154" t="s">
        <v>11770</v>
      </c>
      <c r="J2049" s="154" t="s">
        <v>6848</v>
      </c>
      <c r="K2049" s="154" t="s">
        <v>11675</v>
      </c>
      <c r="L2049" s="154" t="s">
        <v>6525</v>
      </c>
      <c r="M2049" s="154"/>
      <c r="N2049" s="154" t="s">
        <v>759</v>
      </c>
      <c r="O2049" s="247" t="s">
        <v>445</v>
      </c>
      <c r="P2049" s="247" t="s">
        <v>6772</v>
      </c>
      <c r="Q2049" s="154" t="str">
        <f t="shared" si="1"/>
        <v>#ERROR!</v>
      </c>
      <c r="R2049" s="154" t="s">
        <v>66</v>
      </c>
      <c r="S2049" s="154" t="s">
        <v>66</v>
      </c>
      <c r="T2049" s="154" t="s">
        <v>64</v>
      </c>
      <c r="U2049" s="154" t="s">
        <v>64</v>
      </c>
      <c r="V2049" s="154" t="s">
        <v>64</v>
      </c>
      <c r="W2049" s="154" t="s">
        <v>64</v>
      </c>
      <c r="X2049" s="154" t="s">
        <v>66</v>
      </c>
      <c r="Y2049" s="154" t="s">
        <v>64</v>
      </c>
      <c r="Z2049" s="154" t="s">
        <v>64</v>
      </c>
      <c r="AA2049" s="154"/>
      <c r="AB2049" s="242" t="str">
        <f t="shared" si="2"/>
        <v>#ERROR!</v>
      </c>
      <c r="AC2049" s="154" t="s">
        <v>391</v>
      </c>
      <c r="AD2049" s="242" t="b">
        <f t="shared" si="3"/>
        <v>0</v>
      </c>
      <c r="AE2049" s="154"/>
      <c r="AF2049" s="242" t="str">
        <f t="shared" si="4"/>
        <v>#ERROR!</v>
      </c>
      <c r="AG2049" s="154"/>
      <c r="AH2049" s="242" t="str">
        <f>IF(AG2049="","N/A",INDIRECT("MTR!"&amp;ADDRESS(MATCH(LEFT(AG2049,9),[1]MTR!C:C,0),COLUMN(J2049)),TRUE) &amp; "")</f>
        <v>#ERROR!</v>
      </c>
      <c r="AI2049" s="157" t="str">
        <f t="shared" si="5"/>
        <v>#ERROR!</v>
      </c>
    </row>
    <row r="2050" ht="12.75" customHeight="1">
      <c r="A2050" s="244" t="s">
        <v>5158</v>
      </c>
      <c r="B2050" s="244" t="s">
        <v>231</v>
      </c>
      <c r="C2050" s="244" t="s">
        <v>11771</v>
      </c>
      <c r="D2050" s="154" t="s">
        <v>781</v>
      </c>
      <c r="E2050" s="154"/>
      <c r="F2050" s="154" t="str">
        <f t="array" ref="F2050">XLOOKUP(Cover!$D$12,$R$1:$Z$1,$R2050:$Z2050)</f>
        <v>Recommended</v>
      </c>
      <c r="G2050" s="154" t="s">
        <v>11772</v>
      </c>
      <c r="H2050" s="154" t="s">
        <v>9009</v>
      </c>
      <c r="I2050" s="154" t="s">
        <v>11770</v>
      </c>
      <c r="J2050" s="154" t="s">
        <v>6848</v>
      </c>
      <c r="K2050" s="154" t="s">
        <v>11675</v>
      </c>
      <c r="L2050" s="154" t="s">
        <v>6525</v>
      </c>
      <c r="M2050" s="154"/>
      <c r="N2050" s="154" t="s">
        <v>759</v>
      </c>
      <c r="O2050" s="247" t="s">
        <v>445</v>
      </c>
      <c r="P2050" s="247" t="s">
        <v>6772</v>
      </c>
      <c r="Q2050" s="154" t="str">
        <f t="shared" si="1"/>
        <v>#ERROR!</v>
      </c>
      <c r="R2050" s="154" t="s">
        <v>66</v>
      </c>
      <c r="S2050" s="154" t="s">
        <v>66</v>
      </c>
      <c r="T2050" s="154" t="s">
        <v>64</v>
      </c>
      <c r="U2050" s="154" t="s">
        <v>64</v>
      </c>
      <c r="V2050" s="154" t="s">
        <v>64</v>
      </c>
      <c r="W2050" s="154" t="s">
        <v>64</v>
      </c>
      <c r="X2050" s="154" t="s">
        <v>66</v>
      </c>
      <c r="Y2050" s="154" t="s">
        <v>64</v>
      </c>
      <c r="Z2050" s="154" t="s">
        <v>64</v>
      </c>
      <c r="AA2050" s="154"/>
      <c r="AB2050" s="242" t="str">
        <f t="shared" si="2"/>
        <v>#ERROR!</v>
      </c>
      <c r="AC2050" s="154" t="s">
        <v>391</v>
      </c>
      <c r="AD2050" s="242" t="b">
        <f t="shared" si="3"/>
        <v>0</v>
      </c>
      <c r="AE2050" s="154"/>
      <c r="AF2050" s="242" t="str">
        <f t="shared" si="4"/>
        <v>#ERROR!</v>
      </c>
      <c r="AG2050" s="154"/>
      <c r="AH2050" s="242" t="str">
        <f>IF(AG2050="","N/A",INDIRECT("MTR!"&amp;ADDRESS(MATCH(LEFT(AG2050,9),[1]MTR!C:C,0),COLUMN(J2050)),TRUE) &amp; "")</f>
        <v>#ERROR!</v>
      </c>
      <c r="AI2050" s="157" t="str">
        <f t="shared" si="5"/>
        <v>#ERROR!</v>
      </c>
    </row>
    <row r="2051" ht="12.75" customHeight="1">
      <c r="A2051" s="244" t="s">
        <v>5158</v>
      </c>
      <c r="B2051" s="244" t="s">
        <v>231</v>
      </c>
      <c r="C2051" s="244" t="s">
        <v>11773</v>
      </c>
      <c r="D2051" s="154" t="s">
        <v>542</v>
      </c>
      <c r="E2051" s="154"/>
      <c r="F2051" s="154" t="str">
        <f t="array" ref="F2051">XLOOKUP(Cover!$D$12,$R$1:$Z$1,$R2051:$Z2051)</f>
        <v>Recommended</v>
      </c>
      <c r="G2051" s="154" t="s">
        <v>11774</v>
      </c>
      <c r="H2051" s="154" t="s">
        <v>8573</v>
      </c>
      <c r="I2051" s="154" t="s">
        <v>11770</v>
      </c>
      <c r="J2051" s="154" t="s">
        <v>6848</v>
      </c>
      <c r="K2051" s="154" t="s">
        <v>11675</v>
      </c>
      <c r="L2051" s="154" t="s">
        <v>6525</v>
      </c>
      <c r="M2051" s="154"/>
      <c r="N2051" s="154" t="s">
        <v>759</v>
      </c>
      <c r="O2051" s="247" t="s">
        <v>516</v>
      </c>
      <c r="P2051" s="247" t="s">
        <v>1575</v>
      </c>
      <c r="Q2051" s="154" t="str">
        <f t="shared" si="1"/>
        <v>#ERROR!</v>
      </c>
      <c r="R2051" s="154" t="s">
        <v>66</v>
      </c>
      <c r="S2051" s="154" t="s">
        <v>66</v>
      </c>
      <c r="T2051" s="154" t="s">
        <v>64</v>
      </c>
      <c r="U2051" s="154" t="s">
        <v>64</v>
      </c>
      <c r="V2051" s="154" t="s">
        <v>64</v>
      </c>
      <c r="W2051" s="154" t="s">
        <v>64</v>
      </c>
      <c r="X2051" s="154" t="s">
        <v>66</v>
      </c>
      <c r="Y2051" s="154" t="s">
        <v>64</v>
      </c>
      <c r="Z2051" s="154" t="s">
        <v>64</v>
      </c>
      <c r="AA2051" s="154"/>
      <c r="AB2051" s="242" t="str">
        <f t="shared" si="2"/>
        <v>#ERROR!</v>
      </c>
      <c r="AC2051" s="154" t="s">
        <v>391</v>
      </c>
      <c r="AD2051" s="242" t="b">
        <f t="shared" si="3"/>
        <v>0</v>
      </c>
      <c r="AE2051" s="154"/>
      <c r="AF2051" s="242" t="str">
        <f t="shared" si="4"/>
        <v>#ERROR!</v>
      </c>
      <c r="AG2051" s="154"/>
      <c r="AH2051" s="242" t="str">
        <f>IF(AG2051="","N/A",INDIRECT("MTR!"&amp;ADDRESS(MATCH(LEFT(AG2051,9),[1]MTR!C:C,0),COLUMN(J2051)),TRUE) &amp; "")</f>
        <v>#ERROR!</v>
      </c>
      <c r="AI2051" s="157" t="str">
        <f t="shared" si="5"/>
        <v>#ERROR!</v>
      </c>
    </row>
    <row r="2052" ht="12.75" customHeight="1">
      <c r="A2052" s="244" t="s">
        <v>5158</v>
      </c>
      <c r="B2052" s="244" t="s">
        <v>231</v>
      </c>
      <c r="C2052" s="244" t="s">
        <v>11775</v>
      </c>
      <c r="D2052" s="154" t="s">
        <v>781</v>
      </c>
      <c r="E2052" s="154"/>
      <c r="F2052" s="154" t="str">
        <f t="array" ref="F2052">XLOOKUP(Cover!$D$12,$R$1:$Z$1,$R2052:$Z2052)</f>
        <v>Recommended</v>
      </c>
      <c r="G2052" s="154" t="s">
        <v>11776</v>
      </c>
      <c r="H2052" s="154" t="s">
        <v>9084</v>
      </c>
      <c r="I2052" s="154" t="s">
        <v>11770</v>
      </c>
      <c r="J2052" s="154" t="s">
        <v>6848</v>
      </c>
      <c r="K2052" s="154" t="s">
        <v>11675</v>
      </c>
      <c r="L2052" s="154" t="s">
        <v>6525</v>
      </c>
      <c r="M2052" s="154"/>
      <c r="N2052" s="154" t="s">
        <v>759</v>
      </c>
      <c r="O2052" s="247" t="s">
        <v>516</v>
      </c>
      <c r="P2052" s="247" t="s">
        <v>1575</v>
      </c>
      <c r="Q2052" s="154" t="str">
        <f t="shared" si="1"/>
        <v>#ERROR!</v>
      </c>
      <c r="R2052" s="154" t="s">
        <v>66</v>
      </c>
      <c r="S2052" s="154" t="s">
        <v>66</v>
      </c>
      <c r="T2052" s="154" t="s">
        <v>64</v>
      </c>
      <c r="U2052" s="154" t="s">
        <v>64</v>
      </c>
      <c r="V2052" s="154" t="s">
        <v>64</v>
      </c>
      <c r="W2052" s="154" t="s">
        <v>64</v>
      </c>
      <c r="X2052" s="154" t="s">
        <v>66</v>
      </c>
      <c r="Y2052" s="154" t="s">
        <v>64</v>
      </c>
      <c r="Z2052" s="154" t="s">
        <v>64</v>
      </c>
      <c r="AA2052" s="154"/>
      <c r="AB2052" s="242" t="str">
        <f t="shared" si="2"/>
        <v>#ERROR!</v>
      </c>
      <c r="AC2052" s="154" t="s">
        <v>391</v>
      </c>
      <c r="AD2052" s="242" t="b">
        <f t="shared" si="3"/>
        <v>0</v>
      </c>
      <c r="AE2052" s="154"/>
      <c r="AF2052" s="242" t="str">
        <f t="shared" si="4"/>
        <v>#ERROR!</v>
      </c>
      <c r="AG2052" s="154"/>
      <c r="AH2052" s="242" t="str">
        <f>IF(AG2052="","N/A",INDIRECT("MTR!"&amp;ADDRESS(MATCH(LEFT(AG2052,9),[1]MTR!C:C,0),COLUMN(J2052)),TRUE) &amp; "")</f>
        <v>#ERROR!</v>
      </c>
      <c r="AI2052" s="157" t="str">
        <f t="shared" si="5"/>
        <v>#ERROR!</v>
      </c>
    </row>
    <row r="2053" ht="12.75" customHeight="1">
      <c r="A2053" s="244" t="s">
        <v>5158</v>
      </c>
      <c r="B2053" s="244" t="s">
        <v>231</v>
      </c>
      <c r="C2053" s="244" t="s">
        <v>11777</v>
      </c>
      <c r="D2053" s="154" t="s">
        <v>1315</v>
      </c>
      <c r="E2053" s="154"/>
      <c r="F2053" s="154" t="str">
        <f t="array" ref="F2053">XLOOKUP(Cover!$D$12,$R$1:$Z$1,$R2053:$Z2053)</f>
        <v>Information</v>
      </c>
      <c r="G2053" s="154" t="s">
        <v>11778</v>
      </c>
      <c r="H2053" s="154" t="s">
        <v>8513</v>
      </c>
      <c r="I2053" s="154" t="s">
        <v>11779</v>
      </c>
      <c r="J2053" s="154" t="s">
        <v>6858</v>
      </c>
      <c r="K2053" s="154" t="s">
        <v>11675</v>
      </c>
      <c r="L2053" s="154" t="s">
        <v>6022</v>
      </c>
      <c r="M2053" s="154"/>
      <c r="N2053" s="154" t="s">
        <v>759</v>
      </c>
      <c r="O2053" s="247" t="s">
        <v>516</v>
      </c>
      <c r="P2053" s="247" t="s">
        <v>6776</v>
      </c>
      <c r="Q2053" s="154" t="str">
        <f t="shared" si="1"/>
        <v>#ERROR!</v>
      </c>
      <c r="R2053" s="154" t="s">
        <v>66</v>
      </c>
      <c r="S2053" s="154" t="s">
        <v>66</v>
      </c>
      <c r="T2053" s="154" t="s">
        <v>66</v>
      </c>
      <c r="U2053" s="154" t="s">
        <v>66</v>
      </c>
      <c r="V2053" s="154" t="s">
        <v>66</v>
      </c>
      <c r="W2053" s="154" t="s">
        <v>66</v>
      </c>
      <c r="X2053" s="154" t="s">
        <v>66</v>
      </c>
      <c r="Y2053" s="154" t="s">
        <v>66</v>
      </c>
      <c r="Z2053" s="154" t="s">
        <v>66</v>
      </c>
      <c r="AA2053" s="154"/>
      <c r="AB2053" s="242" t="str">
        <f t="shared" si="2"/>
        <v>#ERROR!</v>
      </c>
      <c r="AC2053" s="154" t="s">
        <v>391</v>
      </c>
      <c r="AD2053" s="242" t="b">
        <f t="shared" si="3"/>
        <v>0</v>
      </c>
      <c r="AE2053" s="154"/>
      <c r="AF2053" s="242" t="str">
        <f t="shared" si="4"/>
        <v>#ERROR!</v>
      </c>
      <c r="AG2053" s="154"/>
      <c r="AH2053" s="242" t="str">
        <f>IF(AG2053="","N/A",INDIRECT("MTR!"&amp;ADDRESS(MATCH(LEFT(AG2053,9),[1]MTR!C:C,0),COLUMN(J2053)),TRUE) &amp; "")</f>
        <v>#ERROR!</v>
      </c>
      <c r="AI2053" s="157" t="str">
        <f t="shared" si="5"/>
        <v>#ERROR!</v>
      </c>
    </row>
    <row r="2054" ht="12.75" customHeight="1">
      <c r="A2054" s="244" t="s">
        <v>5158</v>
      </c>
      <c r="B2054" s="244" t="s">
        <v>231</v>
      </c>
      <c r="C2054" s="244" t="s">
        <v>11780</v>
      </c>
      <c r="D2054" s="154" t="s">
        <v>1315</v>
      </c>
      <c r="E2054" s="154"/>
      <c r="F2054" s="154" t="str">
        <f t="array" ref="F2054">XLOOKUP(Cover!$D$12,$R$1:$Z$1,$R2054:$Z2054)</f>
        <v>Information</v>
      </c>
      <c r="G2054" s="154" t="s">
        <v>11781</v>
      </c>
      <c r="H2054" s="154" t="s">
        <v>9009</v>
      </c>
      <c r="I2054" s="154" t="s">
        <v>11779</v>
      </c>
      <c r="J2054" s="154" t="s">
        <v>6858</v>
      </c>
      <c r="K2054" s="154" t="s">
        <v>11675</v>
      </c>
      <c r="L2054" s="154" t="s">
        <v>6022</v>
      </c>
      <c r="M2054" s="154"/>
      <c r="N2054" s="154" t="s">
        <v>759</v>
      </c>
      <c r="O2054" s="247" t="s">
        <v>516</v>
      </c>
      <c r="P2054" s="247" t="s">
        <v>6776</v>
      </c>
      <c r="Q2054" s="154" t="str">
        <f t="shared" si="1"/>
        <v>#ERROR!</v>
      </c>
      <c r="R2054" s="154" t="s">
        <v>66</v>
      </c>
      <c r="S2054" s="154" t="s">
        <v>66</v>
      </c>
      <c r="T2054" s="154" t="s">
        <v>66</v>
      </c>
      <c r="U2054" s="154" t="s">
        <v>66</v>
      </c>
      <c r="V2054" s="154" t="s">
        <v>66</v>
      </c>
      <c r="W2054" s="154" t="s">
        <v>66</v>
      </c>
      <c r="X2054" s="154" t="s">
        <v>66</v>
      </c>
      <c r="Y2054" s="154" t="s">
        <v>66</v>
      </c>
      <c r="Z2054" s="154" t="s">
        <v>66</v>
      </c>
      <c r="AA2054" s="154"/>
      <c r="AB2054" s="242" t="str">
        <f t="shared" si="2"/>
        <v>#ERROR!</v>
      </c>
      <c r="AC2054" s="154" t="s">
        <v>391</v>
      </c>
      <c r="AD2054" s="242" t="b">
        <f t="shared" si="3"/>
        <v>0</v>
      </c>
      <c r="AE2054" s="154"/>
      <c r="AF2054" s="242" t="str">
        <f t="shared" si="4"/>
        <v>#ERROR!</v>
      </c>
      <c r="AG2054" s="154"/>
      <c r="AH2054" s="242" t="str">
        <f>IF(AG2054="","N/A",INDIRECT("MTR!"&amp;ADDRESS(MATCH(LEFT(AG2054,9),[1]MTR!C:C,0),COLUMN(J2054)),TRUE) &amp; "")</f>
        <v>#ERROR!</v>
      </c>
      <c r="AI2054" s="157" t="str">
        <f t="shared" si="5"/>
        <v>#ERROR!</v>
      </c>
    </row>
    <row r="2055" ht="12.75" customHeight="1">
      <c r="A2055" s="244" t="s">
        <v>5158</v>
      </c>
      <c r="B2055" s="244" t="s">
        <v>231</v>
      </c>
      <c r="C2055" s="244" t="s">
        <v>11782</v>
      </c>
      <c r="D2055" s="154" t="s">
        <v>1315</v>
      </c>
      <c r="E2055" s="154"/>
      <c r="F2055" s="154" t="str">
        <f t="array" ref="F2055">XLOOKUP(Cover!$D$12,$R$1:$Z$1,$R2055:$Z2055)</f>
        <v>Information</v>
      </c>
      <c r="G2055" s="154" t="s">
        <v>11783</v>
      </c>
      <c r="H2055" s="154" t="s">
        <v>8516</v>
      </c>
      <c r="I2055" s="154" t="s">
        <v>11779</v>
      </c>
      <c r="J2055" s="154" t="s">
        <v>6858</v>
      </c>
      <c r="K2055" s="154" t="s">
        <v>11675</v>
      </c>
      <c r="L2055" s="154" t="s">
        <v>6022</v>
      </c>
      <c r="M2055" s="154"/>
      <c r="N2055" s="154" t="s">
        <v>759</v>
      </c>
      <c r="O2055" s="247" t="s">
        <v>516</v>
      </c>
      <c r="P2055" s="247" t="s">
        <v>6776</v>
      </c>
      <c r="Q2055" s="154" t="str">
        <f t="shared" si="1"/>
        <v>#ERROR!</v>
      </c>
      <c r="R2055" s="154" t="s">
        <v>66</v>
      </c>
      <c r="S2055" s="154" t="s">
        <v>66</v>
      </c>
      <c r="T2055" s="154" t="s">
        <v>66</v>
      </c>
      <c r="U2055" s="154" t="s">
        <v>66</v>
      </c>
      <c r="V2055" s="154" t="s">
        <v>66</v>
      </c>
      <c r="W2055" s="154" t="s">
        <v>66</v>
      </c>
      <c r="X2055" s="154" t="s">
        <v>66</v>
      </c>
      <c r="Y2055" s="154" t="s">
        <v>66</v>
      </c>
      <c r="Z2055" s="154" t="s">
        <v>66</v>
      </c>
      <c r="AA2055" s="154"/>
      <c r="AB2055" s="242" t="str">
        <f t="shared" si="2"/>
        <v>#ERROR!</v>
      </c>
      <c r="AC2055" s="154" t="s">
        <v>391</v>
      </c>
      <c r="AD2055" s="242" t="b">
        <f t="shared" si="3"/>
        <v>0</v>
      </c>
      <c r="AE2055" s="154"/>
      <c r="AF2055" s="242" t="str">
        <f t="shared" si="4"/>
        <v>#ERROR!</v>
      </c>
      <c r="AG2055" s="154"/>
      <c r="AH2055" s="242" t="str">
        <f>IF(AG2055="","N/A",INDIRECT("MTR!"&amp;ADDRESS(MATCH(LEFT(AG2055,9),[1]MTR!C:C,0),COLUMN(J2055)),TRUE) &amp; "")</f>
        <v>#ERROR!</v>
      </c>
      <c r="AI2055" s="157" t="str">
        <f t="shared" si="5"/>
        <v>#ERROR!</v>
      </c>
    </row>
    <row r="2056" ht="12.75" customHeight="1">
      <c r="A2056" s="244" t="s">
        <v>5158</v>
      </c>
      <c r="B2056" s="244" t="s">
        <v>231</v>
      </c>
      <c r="C2056" s="244" t="s">
        <v>11784</v>
      </c>
      <c r="D2056" s="154" t="s">
        <v>1315</v>
      </c>
      <c r="E2056" s="154"/>
      <c r="F2056" s="154" t="str">
        <f t="array" ref="F2056">XLOOKUP(Cover!$D$12,$R$1:$Z$1,$R2056:$Z2056)</f>
        <v>Information</v>
      </c>
      <c r="G2056" s="154" t="s">
        <v>11785</v>
      </c>
      <c r="H2056" s="154" t="s">
        <v>9012</v>
      </c>
      <c r="I2056" s="154" t="s">
        <v>11779</v>
      </c>
      <c r="J2056" s="154" t="s">
        <v>6858</v>
      </c>
      <c r="K2056" s="154" t="s">
        <v>11675</v>
      </c>
      <c r="L2056" s="154" t="s">
        <v>6022</v>
      </c>
      <c r="M2056" s="154"/>
      <c r="N2056" s="154" t="s">
        <v>759</v>
      </c>
      <c r="O2056" s="247" t="s">
        <v>516</v>
      </c>
      <c r="P2056" s="247" t="s">
        <v>6776</v>
      </c>
      <c r="Q2056" s="154" t="str">
        <f t="shared" si="1"/>
        <v>#ERROR!</v>
      </c>
      <c r="R2056" s="154" t="s">
        <v>66</v>
      </c>
      <c r="S2056" s="154" t="s">
        <v>66</v>
      </c>
      <c r="T2056" s="154" t="s">
        <v>66</v>
      </c>
      <c r="U2056" s="154" t="s">
        <v>66</v>
      </c>
      <c r="V2056" s="154" t="s">
        <v>66</v>
      </c>
      <c r="W2056" s="154" t="s">
        <v>66</v>
      </c>
      <c r="X2056" s="154" t="s">
        <v>66</v>
      </c>
      <c r="Y2056" s="154" t="s">
        <v>66</v>
      </c>
      <c r="Z2056" s="154" t="s">
        <v>66</v>
      </c>
      <c r="AA2056" s="154"/>
      <c r="AB2056" s="242" t="str">
        <f t="shared" si="2"/>
        <v>#ERROR!</v>
      </c>
      <c r="AC2056" s="154" t="s">
        <v>391</v>
      </c>
      <c r="AD2056" s="242" t="b">
        <f t="shared" si="3"/>
        <v>0</v>
      </c>
      <c r="AE2056" s="154"/>
      <c r="AF2056" s="242" t="str">
        <f t="shared" si="4"/>
        <v>#ERROR!</v>
      </c>
      <c r="AG2056" s="154"/>
      <c r="AH2056" s="242" t="str">
        <f>IF(AG2056="","N/A",INDIRECT("MTR!"&amp;ADDRESS(MATCH(LEFT(AG2056,9),[1]MTR!C:C,0),COLUMN(J2056)),TRUE) &amp; "")</f>
        <v>#ERROR!</v>
      </c>
      <c r="AI2056" s="157" t="str">
        <f t="shared" si="5"/>
        <v>#ERROR!</v>
      </c>
    </row>
    <row r="2057" ht="12.75" customHeight="1">
      <c r="A2057" s="244" t="s">
        <v>5158</v>
      </c>
      <c r="B2057" s="244" t="s">
        <v>231</v>
      </c>
      <c r="C2057" s="244" t="s">
        <v>11786</v>
      </c>
      <c r="D2057" s="154" t="s">
        <v>542</v>
      </c>
      <c r="E2057" s="154"/>
      <c r="F2057" s="154" t="str">
        <f t="array" ref="F2057">XLOOKUP(Cover!$D$12,$R$1:$Z$1,$R2057:$Z2057)</f>
        <v>Recommended</v>
      </c>
      <c r="G2057" s="154" t="s">
        <v>11787</v>
      </c>
      <c r="H2057" s="154" t="s">
        <v>8513</v>
      </c>
      <c r="I2057" s="154" t="s">
        <v>11788</v>
      </c>
      <c r="J2057" s="154" t="s">
        <v>6865</v>
      </c>
      <c r="K2057" s="154" t="s">
        <v>11675</v>
      </c>
      <c r="L2057" s="154" t="s">
        <v>6064</v>
      </c>
      <c r="M2057" s="154"/>
      <c r="N2057" s="154" t="s">
        <v>759</v>
      </c>
      <c r="O2057" s="247" t="s">
        <v>516</v>
      </c>
      <c r="P2057" s="247" t="s">
        <v>6776</v>
      </c>
      <c r="Q2057" s="154" t="str">
        <f t="shared" si="1"/>
        <v>#ERROR!</v>
      </c>
      <c r="R2057" s="154" t="s">
        <v>66</v>
      </c>
      <c r="S2057" s="154" t="s">
        <v>66</v>
      </c>
      <c r="T2057" s="154" t="s">
        <v>64</v>
      </c>
      <c r="U2057" s="154" t="s">
        <v>64</v>
      </c>
      <c r="V2057" s="154" t="s">
        <v>64</v>
      </c>
      <c r="W2057" s="154" t="s">
        <v>64</v>
      </c>
      <c r="X2057" s="154" t="s">
        <v>66</v>
      </c>
      <c r="Y2057" s="154" t="s">
        <v>64</v>
      </c>
      <c r="Z2057" s="154" t="s">
        <v>64</v>
      </c>
      <c r="AA2057" s="154"/>
      <c r="AB2057" s="242" t="str">
        <f t="shared" si="2"/>
        <v>#ERROR!</v>
      </c>
      <c r="AC2057" s="154" t="s">
        <v>391</v>
      </c>
      <c r="AD2057" s="242" t="b">
        <f t="shared" si="3"/>
        <v>0</v>
      </c>
      <c r="AE2057" s="154"/>
      <c r="AF2057" s="242" t="str">
        <f t="shared" si="4"/>
        <v>#ERROR!</v>
      </c>
      <c r="AG2057" s="154"/>
      <c r="AH2057" s="242" t="str">
        <f>IF(AG2057="","N/A",INDIRECT("MTR!"&amp;ADDRESS(MATCH(LEFT(AG2057,9),[1]MTR!C:C,0),COLUMN(J2057)),TRUE) &amp; "")</f>
        <v>#ERROR!</v>
      </c>
      <c r="AI2057" s="157" t="str">
        <f t="shared" si="5"/>
        <v>#ERROR!</v>
      </c>
    </row>
    <row r="2058" ht="12.75" customHeight="1">
      <c r="A2058" s="244" t="s">
        <v>5158</v>
      </c>
      <c r="B2058" s="244" t="s">
        <v>231</v>
      </c>
      <c r="C2058" s="244" t="s">
        <v>11789</v>
      </c>
      <c r="D2058" s="154" t="s">
        <v>542</v>
      </c>
      <c r="E2058" s="154"/>
      <c r="F2058" s="154" t="str">
        <f t="array" ref="F2058">XLOOKUP(Cover!$D$12,$R$1:$Z$1,$R2058:$Z2058)</f>
        <v>Recommended</v>
      </c>
      <c r="G2058" s="154" t="s">
        <v>11790</v>
      </c>
      <c r="H2058" s="154" t="s">
        <v>9009</v>
      </c>
      <c r="I2058" s="154" t="s">
        <v>11788</v>
      </c>
      <c r="J2058" s="154" t="s">
        <v>6865</v>
      </c>
      <c r="K2058" s="154" t="s">
        <v>11675</v>
      </c>
      <c r="L2058" s="154" t="s">
        <v>6064</v>
      </c>
      <c r="M2058" s="154"/>
      <c r="N2058" s="154" t="s">
        <v>759</v>
      </c>
      <c r="O2058" s="247" t="s">
        <v>516</v>
      </c>
      <c r="P2058" s="247" t="s">
        <v>6776</v>
      </c>
      <c r="Q2058" s="154" t="str">
        <f t="shared" si="1"/>
        <v>#ERROR!</v>
      </c>
      <c r="R2058" s="154" t="s">
        <v>66</v>
      </c>
      <c r="S2058" s="154" t="s">
        <v>66</v>
      </c>
      <c r="T2058" s="154" t="s">
        <v>64</v>
      </c>
      <c r="U2058" s="154" t="s">
        <v>64</v>
      </c>
      <c r="V2058" s="154" t="s">
        <v>64</v>
      </c>
      <c r="W2058" s="154" t="s">
        <v>64</v>
      </c>
      <c r="X2058" s="154" t="s">
        <v>66</v>
      </c>
      <c r="Y2058" s="154" t="s">
        <v>64</v>
      </c>
      <c r="Z2058" s="154" t="s">
        <v>64</v>
      </c>
      <c r="AA2058" s="154"/>
      <c r="AB2058" s="242" t="str">
        <f t="shared" si="2"/>
        <v>#ERROR!</v>
      </c>
      <c r="AC2058" s="154" t="s">
        <v>391</v>
      </c>
      <c r="AD2058" s="242" t="b">
        <f t="shared" si="3"/>
        <v>0</v>
      </c>
      <c r="AE2058" s="154"/>
      <c r="AF2058" s="242" t="str">
        <f t="shared" si="4"/>
        <v>#ERROR!</v>
      </c>
      <c r="AG2058" s="154"/>
      <c r="AH2058" s="242" t="str">
        <f>IF(AG2058="","N/A",INDIRECT("MTR!"&amp;ADDRESS(MATCH(LEFT(AG2058,9),[1]MTR!C:C,0),COLUMN(J2058)),TRUE) &amp; "")</f>
        <v>#ERROR!</v>
      </c>
      <c r="AI2058" s="157" t="str">
        <f t="shared" si="5"/>
        <v>#ERROR!</v>
      </c>
    </row>
    <row r="2059" ht="12.75" customHeight="1">
      <c r="A2059" s="244" t="s">
        <v>5158</v>
      </c>
      <c r="B2059" s="244" t="s">
        <v>231</v>
      </c>
      <c r="C2059" s="244" t="s">
        <v>11791</v>
      </c>
      <c r="D2059" s="154" t="s">
        <v>542</v>
      </c>
      <c r="E2059" s="154"/>
      <c r="F2059" s="154" t="str">
        <f t="array" ref="F2059">XLOOKUP(Cover!$D$12,$R$1:$Z$1,$R2059:$Z2059)</f>
        <v>Mandatory</v>
      </c>
      <c r="G2059" s="154" t="s">
        <v>11792</v>
      </c>
      <c r="H2059" s="154" t="s">
        <v>8519</v>
      </c>
      <c r="I2059" s="154" t="s">
        <v>11788</v>
      </c>
      <c r="J2059" s="154" t="s">
        <v>6865</v>
      </c>
      <c r="K2059" s="154" t="s">
        <v>11675</v>
      </c>
      <c r="L2059" s="154" t="s">
        <v>6064</v>
      </c>
      <c r="M2059" s="154" t="s">
        <v>175</v>
      </c>
      <c r="N2059" s="154" t="s">
        <v>759</v>
      </c>
      <c r="O2059" s="247" t="s">
        <v>516</v>
      </c>
      <c r="P2059" s="247" t="s">
        <v>6776</v>
      </c>
      <c r="Q2059" s="154" t="str">
        <f t="shared" si="1"/>
        <v>#ERROR!</v>
      </c>
      <c r="R2059" s="154" t="s">
        <v>66</v>
      </c>
      <c r="S2059" s="154" t="s">
        <v>66</v>
      </c>
      <c r="T2059" s="155" t="s">
        <v>64</v>
      </c>
      <c r="U2059" s="155" t="s">
        <v>64</v>
      </c>
      <c r="V2059" s="154" t="s">
        <v>60</v>
      </c>
      <c r="W2059" s="154" t="s">
        <v>60</v>
      </c>
      <c r="X2059" s="154" t="s">
        <v>66</v>
      </c>
      <c r="Y2059" s="155" t="s">
        <v>64</v>
      </c>
      <c r="Z2059" s="154" t="s">
        <v>60</v>
      </c>
      <c r="AA2059" s="154"/>
      <c r="AB2059" s="242" t="str">
        <f t="shared" si="2"/>
        <v>#ERROR!</v>
      </c>
      <c r="AC2059" s="154" t="s">
        <v>391</v>
      </c>
      <c r="AD2059" s="242" t="b">
        <f t="shared" si="3"/>
        <v>0</v>
      </c>
      <c r="AE2059" s="154"/>
      <c r="AF2059" s="242" t="str">
        <f t="shared" si="4"/>
        <v>#ERROR!</v>
      </c>
      <c r="AG2059" s="154"/>
      <c r="AH2059" s="242" t="str">
        <f>IF(AG2059="","N/A",INDIRECT("MTR!"&amp;ADDRESS(MATCH(LEFT(AG2059,9),[1]MTR!C:C,0),COLUMN(J2059)),TRUE) &amp; "")</f>
        <v>#ERROR!</v>
      </c>
      <c r="AI2059" s="157" t="str">
        <f t="shared" si="5"/>
        <v>#ERROR!</v>
      </c>
    </row>
    <row r="2060" ht="12.75" customHeight="1">
      <c r="A2060" s="244" t="s">
        <v>5158</v>
      </c>
      <c r="B2060" s="244" t="s">
        <v>231</v>
      </c>
      <c r="C2060" s="244" t="s">
        <v>11793</v>
      </c>
      <c r="D2060" s="154" t="s">
        <v>542</v>
      </c>
      <c r="E2060" s="154"/>
      <c r="F2060" s="154" t="str">
        <f t="array" ref="F2060">XLOOKUP(Cover!$D$12,$R$1:$Z$1,$R2060:$Z2060)</f>
        <v>Mandatory</v>
      </c>
      <c r="G2060" s="154" t="s">
        <v>11794</v>
      </c>
      <c r="H2060" s="154" t="s">
        <v>9015</v>
      </c>
      <c r="I2060" s="154" t="s">
        <v>11788</v>
      </c>
      <c r="J2060" s="154" t="s">
        <v>6865</v>
      </c>
      <c r="K2060" s="154" t="s">
        <v>11675</v>
      </c>
      <c r="L2060" s="154" t="s">
        <v>6064</v>
      </c>
      <c r="M2060" s="154" t="s">
        <v>175</v>
      </c>
      <c r="N2060" s="154" t="s">
        <v>759</v>
      </c>
      <c r="O2060" s="247" t="s">
        <v>516</v>
      </c>
      <c r="P2060" s="247" t="s">
        <v>6776</v>
      </c>
      <c r="Q2060" s="154" t="str">
        <f t="shared" si="1"/>
        <v>#ERROR!</v>
      </c>
      <c r="R2060" s="154" t="s">
        <v>66</v>
      </c>
      <c r="S2060" s="154" t="s">
        <v>66</v>
      </c>
      <c r="T2060" s="155" t="s">
        <v>64</v>
      </c>
      <c r="U2060" s="155" t="s">
        <v>64</v>
      </c>
      <c r="V2060" s="154" t="s">
        <v>60</v>
      </c>
      <c r="W2060" s="154" t="s">
        <v>60</v>
      </c>
      <c r="X2060" s="154" t="s">
        <v>66</v>
      </c>
      <c r="Y2060" s="155" t="s">
        <v>64</v>
      </c>
      <c r="Z2060" s="154" t="s">
        <v>60</v>
      </c>
      <c r="AA2060" s="154"/>
      <c r="AB2060" s="242" t="str">
        <f t="shared" si="2"/>
        <v>#ERROR!</v>
      </c>
      <c r="AC2060" s="154" t="s">
        <v>391</v>
      </c>
      <c r="AD2060" s="242" t="b">
        <f t="shared" si="3"/>
        <v>0</v>
      </c>
      <c r="AE2060" s="154"/>
      <c r="AF2060" s="242" t="str">
        <f t="shared" si="4"/>
        <v>#ERROR!</v>
      </c>
      <c r="AG2060" s="154"/>
      <c r="AH2060" s="242" t="str">
        <f>IF(AG2060="","N/A",INDIRECT("MTR!"&amp;ADDRESS(MATCH(LEFT(AG2060,9),[1]MTR!C:C,0),COLUMN(J2060)),TRUE) &amp; "")</f>
        <v>#ERROR!</v>
      </c>
      <c r="AI2060" s="157" t="str">
        <f t="shared" si="5"/>
        <v>#ERROR!</v>
      </c>
    </row>
    <row r="2061" ht="12.75" customHeight="1">
      <c r="A2061" s="244" t="s">
        <v>5158</v>
      </c>
      <c r="B2061" s="244" t="s">
        <v>231</v>
      </c>
      <c r="C2061" s="244" t="s">
        <v>11795</v>
      </c>
      <c r="D2061" s="154" t="s">
        <v>542</v>
      </c>
      <c r="E2061" s="154"/>
      <c r="F2061" s="154" t="str">
        <f t="array" ref="F2061">XLOOKUP(Cover!$D$12,$R$1:$Z$1,$R2061:$Z2061)</f>
        <v>Mandatory</v>
      </c>
      <c r="G2061" s="154" t="s">
        <v>11796</v>
      </c>
      <c r="H2061" s="154" t="s">
        <v>8507</v>
      </c>
      <c r="I2061" s="154" t="s">
        <v>11797</v>
      </c>
      <c r="J2061" s="154" t="s">
        <v>7963</v>
      </c>
      <c r="K2061" s="154" t="s">
        <v>11675</v>
      </c>
      <c r="L2061" s="154" t="s">
        <v>6525</v>
      </c>
      <c r="M2061" s="154" t="s">
        <v>175</v>
      </c>
      <c r="N2061" s="154" t="s">
        <v>759</v>
      </c>
      <c r="O2061" s="247" t="s">
        <v>516</v>
      </c>
      <c r="P2061" s="247" t="s">
        <v>6776</v>
      </c>
      <c r="Q2061" s="154" t="str">
        <f t="shared" si="1"/>
        <v>#ERROR!</v>
      </c>
      <c r="R2061" s="154" t="s">
        <v>66</v>
      </c>
      <c r="S2061" s="154" t="s">
        <v>66</v>
      </c>
      <c r="T2061" s="155" t="s">
        <v>64</v>
      </c>
      <c r="U2061" s="155" t="s">
        <v>64</v>
      </c>
      <c r="V2061" s="154" t="s">
        <v>60</v>
      </c>
      <c r="W2061" s="154" t="s">
        <v>60</v>
      </c>
      <c r="X2061" s="154" t="s">
        <v>66</v>
      </c>
      <c r="Y2061" s="155" t="s">
        <v>64</v>
      </c>
      <c r="Z2061" s="154" t="s">
        <v>60</v>
      </c>
      <c r="AA2061" s="154"/>
      <c r="AB2061" s="242" t="str">
        <f t="shared" si="2"/>
        <v>#ERROR!</v>
      </c>
      <c r="AC2061" s="154" t="s">
        <v>391</v>
      </c>
      <c r="AD2061" s="242" t="b">
        <f t="shared" si="3"/>
        <v>0</v>
      </c>
      <c r="AE2061" s="154"/>
      <c r="AF2061" s="242" t="str">
        <f t="shared" si="4"/>
        <v>#ERROR!</v>
      </c>
      <c r="AG2061" s="154"/>
      <c r="AH2061" s="242" t="str">
        <f>IF(AG2061="","N/A",INDIRECT("MTR!"&amp;ADDRESS(MATCH(LEFT(AG2061,9),[1]MTR!C:C,0),COLUMN(J2061)),TRUE) &amp; "")</f>
        <v>#ERROR!</v>
      </c>
      <c r="AI2061" s="157" t="str">
        <f t="shared" si="5"/>
        <v>#ERROR!</v>
      </c>
    </row>
    <row r="2062" ht="12.75" customHeight="1">
      <c r="A2062" s="244" t="s">
        <v>5158</v>
      </c>
      <c r="B2062" s="244" t="s">
        <v>231</v>
      </c>
      <c r="C2062" s="244" t="s">
        <v>11798</v>
      </c>
      <c r="D2062" s="154" t="s">
        <v>542</v>
      </c>
      <c r="E2062" s="154"/>
      <c r="F2062" s="154" t="str">
        <f t="array" ref="F2062">XLOOKUP(Cover!$D$12,$R$1:$Z$1,$R2062:$Z2062)</f>
        <v>Mandatory</v>
      </c>
      <c r="G2062" s="154" t="s">
        <v>11799</v>
      </c>
      <c r="H2062" s="154" t="s">
        <v>9002</v>
      </c>
      <c r="I2062" s="154" t="s">
        <v>11797</v>
      </c>
      <c r="J2062" s="154" t="s">
        <v>7963</v>
      </c>
      <c r="K2062" s="154" t="s">
        <v>11675</v>
      </c>
      <c r="L2062" s="154" t="s">
        <v>6525</v>
      </c>
      <c r="M2062" s="154" t="s">
        <v>175</v>
      </c>
      <c r="N2062" s="154" t="s">
        <v>759</v>
      </c>
      <c r="O2062" s="247" t="s">
        <v>516</v>
      </c>
      <c r="P2062" s="247" t="s">
        <v>6776</v>
      </c>
      <c r="Q2062" s="154" t="str">
        <f t="shared" si="1"/>
        <v>#ERROR!</v>
      </c>
      <c r="R2062" s="154" t="s">
        <v>66</v>
      </c>
      <c r="S2062" s="154" t="s">
        <v>66</v>
      </c>
      <c r="T2062" s="155" t="s">
        <v>64</v>
      </c>
      <c r="U2062" s="155" t="s">
        <v>64</v>
      </c>
      <c r="V2062" s="154" t="s">
        <v>60</v>
      </c>
      <c r="W2062" s="154" t="s">
        <v>60</v>
      </c>
      <c r="X2062" s="154" t="s">
        <v>66</v>
      </c>
      <c r="Y2062" s="155" t="s">
        <v>64</v>
      </c>
      <c r="Z2062" s="154" t="s">
        <v>60</v>
      </c>
      <c r="AA2062" s="154"/>
      <c r="AB2062" s="242" t="str">
        <f t="shared" si="2"/>
        <v>#ERROR!</v>
      </c>
      <c r="AC2062" s="154" t="s">
        <v>391</v>
      </c>
      <c r="AD2062" s="242" t="b">
        <f t="shared" si="3"/>
        <v>0</v>
      </c>
      <c r="AE2062" s="154"/>
      <c r="AF2062" s="242" t="str">
        <f t="shared" si="4"/>
        <v>#ERROR!</v>
      </c>
      <c r="AG2062" s="154"/>
      <c r="AH2062" s="242" t="str">
        <f>IF(AG2062="","N/A",INDIRECT("MTR!"&amp;ADDRESS(MATCH(LEFT(AG2062,9),[1]MTR!C:C,0),COLUMN(J2062)),TRUE) &amp; "")</f>
        <v>#ERROR!</v>
      </c>
      <c r="AI2062" s="157" t="str">
        <f t="shared" si="5"/>
        <v>#ERROR!</v>
      </c>
    </row>
    <row r="2063" ht="12.75" customHeight="1">
      <c r="A2063" s="244" t="s">
        <v>5158</v>
      </c>
      <c r="B2063" s="244" t="s">
        <v>231</v>
      </c>
      <c r="C2063" s="244" t="s">
        <v>11800</v>
      </c>
      <c r="D2063" s="154" t="s">
        <v>542</v>
      </c>
      <c r="E2063" s="154"/>
      <c r="F2063" s="154" t="str">
        <f t="array" ref="F2063">XLOOKUP(Cover!$D$12,$R$1:$Z$1,$R2063:$Z2063)</f>
        <v>Mandatory</v>
      </c>
      <c r="G2063" s="154" t="s">
        <v>11801</v>
      </c>
      <c r="H2063" s="154" t="s">
        <v>1489</v>
      </c>
      <c r="I2063" s="154" t="s">
        <v>11797</v>
      </c>
      <c r="J2063" s="154" t="s">
        <v>7963</v>
      </c>
      <c r="K2063" s="154" t="s">
        <v>11675</v>
      </c>
      <c r="L2063" s="154" t="s">
        <v>6525</v>
      </c>
      <c r="M2063" s="154" t="s">
        <v>175</v>
      </c>
      <c r="N2063" s="154" t="s">
        <v>759</v>
      </c>
      <c r="O2063" s="247" t="s">
        <v>516</v>
      </c>
      <c r="P2063" s="247" t="s">
        <v>6776</v>
      </c>
      <c r="Q2063" s="154" t="str">
        <f t="shared" si="1"/>
        <v>#ERROR!</v>
      </c>
      <c r="R2063" s="154" t="s">
        <v>66</v>
      </c>
      <c r="S2063" s="154" t="s">
        <v>66</v>
      </c>
      <c r="T2063" s="155" t="s">
        <v>64</v>
      </c>
      <c r="U2063" s="155" t="s">
        <v>64</v>
      </c>
      <c r="V2063" s="154" t="s">
        <v>60</v>
      </c>
      <c r="W2063" s="154" t="s">
        <v>60</v>
      </c>
      <c r="X2063" s="154" t="s">
        <v>66</v>
      </c>
      <c r="Y2063" s="155" t="s">
        <v>64</v>
      </c>
      <c r="Z2063" s="154" t="s">
        <v>60</v>
      </c>
      <c r="AA2063" s="154"/>
      <c r="AB2063" s="242" t="str">
        <f t="shared" si="2"/>
        <v>#ERROR!</v>
      </c>
      <c r="AC2063" s="154" t="s">
        <v>391</v>
      </c>
      <c r="AD2063" s="242" t="b">
        <f t="shared" si="3"/>
        <v>0</v>
      </c>
      <c r="AE2063" s="154"/>
      <c r="AF2063" s="242" t="str">
        <f t="shared" si="4"/>
        <v>#ERROR!</v>
      </c>
      <c r="AG2063" s="154"/>
      <c r="AH2063" s="242" t="str">
        <f>IF(AG2063="","N/A",INDIRECT("MTR!"&amp;ADDRESS(MATCH(LEFT(AG2063,9),[1]MTR!C:C,0),COLUMN(J2063)),TRUE) &amp; "")</f>
        <v>#ERROR!</v>
      </c>
      <c r="AI2063" s="157" t="str">
        <f t="shared" si="5"/>
        <v>#ERROR!</v>
      </c>
    </row>
    <row r="2064" ht="12.75" customHeight="1">
      <c r="A2064" s="244" t="s">
        <v>5158</v>
      </c>
      <c r="B2064" s="244" t="s">
        <v>231</v>
      </c>
      <c r="C2064" s="244" t="s">
        <v>11802</v>
      </c>
      <c r="D2064" s="154" t="s">
        <v>542</v>
      </c>
      <c r="E2064" s="154"/>
      <c r="F2064" s="154" t="str">
        <f t="array" ref="F2064">XLOOKUP(Cover!$D$12,$R$1:$Z$1,$R2064:$Z2064)</f>
        <v>Mandatory</v>
      </c>
      <c r="G2064" s="154" t="s">
        <v>11803</v>
      </c>
      <c r="H2064" s="154" t="s">
        <v>9006</v>
      </c>
      <c r="I2064" s="154" t="s">
        <v>11797</v>
      </c>
      <c r="J2064" s="154" t="s">
        <v>7963</v>
      </c>
      <c r="K2064" s="154" t="s">
        <v>11675</v>
      </c>
      <c r="L2064" s="154" t="s">
        <v>6525</v>
      </c>
      <c r="M2064" s="154" t="s">
        <v>175</v>
      </c>
      <c r="N2064" s="154" t="s">
        <v>759</v>
      </c>
      <c r="O2064" s="247" t="s">
        <v>516</v>
      </c>
      <c r="P2064" s="247" t="s">
        <v>6776</v>
      </c>
      <c r="Q2064" s="154" t="str">
        <f t="shared" si="1"/>
        <v>#ERROR!</v>
      </c>
      <c r="R2064" s="154" t="s">
        <v>66</v>
      </c>
      <c r="S2064" s="154" t="s">
        <v>66</v>
      </c>
      <c r="T2064" s="155" t="s">
        <v>64</v>
      </c>
      <c r="U2064" s="155" t="s">
        <v>64</v>
      </c>
      <c r="V2064" s="154" t="s">
        <v>60</v>
      </c>
      <c r="W2064" s="154" t="s">
        <v>60</v>
      </c>
      <c r="X2064" s="154" t="s">
        <v>66</v>
      </c>
      <c r="Y2064" s="155" t="s">
        <v>64</v>
      </c>
      <c r="Z2064" s="154" t="s">
        <v>60</v>
      </c>
      <c r="AA2064" s="154"/>
      <c r="AB2064" s="242" t="str">
        <f t="shared" si="2"/>
        <v>#ERROR!</v>
      </c>
      <c r="AC2064" s="154" t="s">
        <v>391</v>
      </c>
      <c r="AD2064" s="242" t="b">
        <f t="shared" si="3"/>
        <v>0</v>
      </c>
      <c r="AE2064" s="154"/>
      <c r="AF2064" s="242" t="str">
        <f t="shared" si="4"/>
        <v>#ERROR!</v>
      </c>
      <c r="AG2064" s="154"/>
      <c r="AH2064" s="242" t="str">
        <f>IF(AG2064="","N/A",INDIRECT("MTR!"&amp;ADDRESS(MATCH(LEFT(AG2064,9),[1]MTR!C:C,0),COLUMN(J2064)),TRUE) &amp; "")</f>
        <v>#ERROR!</v>
      </c>
      <c r="AI2064" s="157" t="str">
        <f t="shared" si="5"/>
        <v>#ERROR!</v>
      </c>
    </row>
    <row r="2065" ht="12.75" customHeight="1">
      <c r="A2065" s="244" t="s">
        <v>5158</v>
      </c>
      <c r="B2065" s="244" t="s">
        <v>231</v>
      </c>
      <c r="C2065" s="244" t="s">
        <v>11804</v>
      </c>
      <c r="D2065" s="154" t="s">
        <v>542</v>
      </c>
      <c r="E2065" s="154"/>
      <c r="F2065" s="154" t="str">
        <f t="array" ref="F2065">XLOOKUP(Cover!$D$12,$R$1:$Z$1,$R2065:$Z2065)</f>
        <v>Mandatory</v>
      </c>
      <c r="G2065" s="154" t="s">
        <v>11805</v>
      </c>
      <c r="H2065" s="154" t="s">
        <v>8550</v>
      </c>
      <c r="I2065" s="154" t="s">
        <v>11797</v>
      </c>
      <c r="J2065" s="154" t="s">
        <v>7963</v>
      </c>
      <c r="K2065" s="154" t="s">
        <v>11675</v>
      </c>
      <c r="L2065" s="154" t="s">
        <v>6525</v>
      </c>
      <c r="M2065" s="154" t="s">
        <v>175</v>
      </c>
      <c r="N2065" s="154" t="s">
        <v>759</v>
      </c>
      <c r="O2065" s="247" t="s">
        <v>516</v>
      </c>
      <c r="P2065" s="247" t="s">
        <v>6776</v>
      </c>
      <c r="Q2065" s="154" t="str">
        <f t="shared" si="1"/>
        <v>#ERROR!</v>
      </c>
      <c r="R2065" s="154" t="s">
        <v>66</v>
      </c>
      <c r="S2065" s="154" t="s">
        <v>66</v>
      </c>
      <c r="T2065" s="155" t="s">
        <v>64</v>
      </c>
      <c r="U2065" s="155" t="s">
        <v>64</v>
      </c>
      <c r="V2065" s="154" t="s">
        <v>60</v>
      </c>
      <c r="W2065" s="154" t="s">
        <v>60</v>
      </c>
      <c r="X2065" s="154" t="s">
        <v>66</v>
      </c>
      <c r="Y2065" s="155" t="s">
        <v>64</v>
      </c>
      <c r="Z2065" s="154" t="s">
        <v>60</v>
      </c>
      <c r="AA2065" s="154"/>
      <c r="AB2065" s="242" t="str">
        <f t="shared" si="2"/>
        <v>#ERROR!</v>
      </c>
      <c r="AC2065" s="154" t="s">
        <v>391</v>
      </c>
      <c r="AD2065" s="242" t="b">
        <f t="shared" si="3"/>
        <v>0</v>
      </c>
      <c r="AE2065" s="154"/>
      <c r="AF2065" s="242" t="str">
        <f t="shared" si="4"/>
        <v>#ERROR!</v>
      </c>
      <c r="AG2065" s="154"/>
      <c r="AH2065" s="242" t="str">
        <f>IF(AG2065="","N/A",INDIRECT("MTR!"&amp;ADDRESS(MATCH(LEFT(AG2065,9),[1]MTR!C:C,0),COLUMN(J2065)),TRUE) &amp; "")</f>
        <v>#ERROR!</v>
      </c>
      <c r="AI2065" s="157" t="str">
        <f t="shared" si="5"/>
        <v>#ERROR!</v>
      </c>
    </row>
    <row r="2066" ht="12.75" customHeight="1">
      <c r="A2066" s="244" t="s">
        <v>5158</v>
      </c>
      <c r="B2066" s="244" t="s">
        <v>231</v>
      </c>
      <c r="C2066" s="244" t="s">
        <v>11806</v>
      </c>
      <c r="D2066" s="154" t="s">
        <v>1069</v>
      </c>
      <c r="E2066" s="154"/>
      <c r="F2066" s="154" t="str">
        <f t="array" ref="F2066">XLOOKUP(Cover!$D$12,$R$1:$Z$1,$R2066:$Z2066)</f>
        <v>Mandatory</v>
      </c>
      <c r="G2066" s="154" t="s">
        <v>11807</v>
      </c>
      <c r="H2066" s="154" t="s">
        <v>9053</v>
      </c>
      <c r="I2066" s="154" t="s">
        <v>11797</v>
      </c>
      <c r="J2066" s="154" t="s">
        <v>7963</v>
      </c>
      <c r="K2066" s="154" t="s">
        <v>11675</v>
      </c>
      <c r="L2066" s="154" t="s">
        <v>5927</v>
      </c>
      <c r="M2066" s="154" t="s">
        <v>175</v>
      </c>
      <c r="N2066" s="154" t="s">
        <v>759</v>
      </c>
      <c r="O2066" s="247" t="s">
        <v>516</v>
      </c>
      <c r="P2066" s="247" t="s">
        <v>6776</v>
      </c>
      <c r="Q2066" s="154" t="str">
        <f t="shared" si="1"/>
        <v>#ERROR!</v>
      </c>
      <c r="R2066" s="154" t="s">
        <v>66</v>
      </c>
      <c r="S2066" s="154" t="s">
        <v>66</v>
      </c>
      <c r="T2066" s="155" t="s">
        <v>64</v>
      </c>
      <c r="U2066" s="155" t="s">
        <v>64</v>
      </c>
      <c r="V2066" s="154" t="s">
        <v>60</v>
      </c>
      <c r="W2066" s="154" t="s">
        <v>60</v>
      </c>
      <c r="X2066" s="154" t="s">
        <v>66</v>
      </c>
      <c r="Y2066" s="155" t="s">
        <v>64</v>
      </c>
      <c r="Z2066" s="154" t="s">
        <v>60</v>
      </c>
      <c r="AA2066" s="154"/>
      <c r="AB2066" s="242" t="str">
        <f t="shared" si="2"/>
        <v>#ERROR!</v>
      </c>
      <c r="AC2066" s="154" t="s">
        <v>391</v>
      </c>
      <c r="AD2066" s="242" t="b">
        <f t="shared" si="3"/>
        <v>0</v>
      </c>
      <c r="AE2066" s="154"/>
      <c r="AF2066" s="242" t="str">
        <f t="shared" si="4"/>
        <v>#ERROR!</v>
      </c>
      <c r="AG2066" s="154"/>
      <c r="AH2066" s="242" t="str">
        <f>IF(AG2066="","N/A",INDIRECT("MTR!"&amp;ADDRESS(MATCH(LEFT(AG2066,9),[1]MTR!C:C,0),COLUMN(J2066)),TRUE) &amp; "")</f>
        <v>#ERROR!</v>
      </c>
      <c r="AI2066" s="157" t="str">
        <f t="shared" si="5"/>
        <v>#ERROR!</v>
      </c>
    </row>
    <row r="2067" ht="12.75" customHeight="1">
      <c r="A2067" s="244" t="s">
        <v>5158</v>
      </c>
      <c r="B2067" s="244" t="s">
        <v>231</v>
      </c>
      <c r="C2067" s="244" t="s">
        <v>11808</v>
      </c>
      <c r="D2067" s="154" t="s">
        <v>542</v>
      </c>
      <c r="E2067" s="154"/>
      <c r="F2067" s="154" t="str">
        <f t="array" ref="F2067">XLOOKUP(Cover!$D$12,$R$1:$Z$1,$R2067:$Z2067)</f>
        <v>Mandatory</v>
      </c>
      <c r="G2067" s="154" t="s">
        <v>11809</v>
      </c>
      <c r="H2067" s="154" t="s">
        <v>8507</v>
      </c>
      <c r="I2067" s="154" t="s">
        <v>11810</v>
      </c>
      <c r="J2067" s="154" t="s">
        <v>6911</v>
      </c>
      <c r="K2067" s="154" t="s">
        <v>11675</v>
      </c>
      <c r="L2067" s="154" t="s">
        <v>6140</v>
      </c>
      <c r="M2067" s="154" t="s">
        <v>175</v>
      </c>
      <c r="N2067" s="154" t="s">
        <v>759</v>
      </c>
      <c r="O2067" s="247" t="s">
        <v>516</v>
      </c>
      <c r="P2067" s="247" t="s">
        <v>6776</v>
      </c>
      <c r="Q2067" s="154" t="str">
        <f t="shared" si="1"/>
        <v>#ERROR!</v>
      </c>
      <c r="R2067" s="154" t="s">
        <v>66</v>
      </c>
      <c r="S2067" s="154" t="s">
        <v>66</v>
      </c>
      <c r="T2067" s="155" t="s">
        <v>64</v>
      </c>
      <c r="U2067" s="155" t="s">
        <v>64</v>
      </c>
      <c r="V2067" s="154" t="s">
        <v>60</v>
      </c>
      <c r="W2067" s="154" t="s">
        <v>60</v>
      </c>
      <c r="X2067" s="154" t="s">
        <v>66</v>
      </c>
      <c r="Y2067" s="155" t="s">
        <v>64</v>
      </c>
      <c r="Z2067" s="154" t="s">
        <v>60</v>
      </c>
      <c r="AA2067" s="154"/>
      <c r="AB2067" s="242" t="str">
        <f t="shared" si="2"/>
        <v>#ERROR!</v>
      </c>
      <c r="AC2067" s="154" t="s">
        <v>391</v>
      </c>
      <c r="AD2067" s="242" t="b">
        <f t="shared" si="3"/>
        <v>0</v>
      </c>
      <c r="AE2067" s="154"/>
      <c r="AF2067" s="242" t="str">
        <f t="shared" si="4"/>
        <v>#ERROR!</v>
      </c>
      <c r="AG2067" s="154"/>
      <c r="AH2067" s="242" t="str">
        <f>IF(AG2067="","N/A",INDIRECT("MTR!"&amp;ADDRESS(MATCH(LEFT(AG2067,9),[1]MTR!C:C,0),COLUMN(J2067)),TRUE) &amp; "")</f>
        <v>#ERROR!</v>
      </c>
      <c r="AI2067" s="157" t="str">
        <f t="shared" si="5"/>
        <v>#ERROR!</v>
      </c>
    </row>
    <row r="2068" ht="12.75" customHeight="1">
      <c r="A2068" s="244" t="s">
        <v>5158</v>
      </c>
      <c r="B2068" s="244" t="s">
        <v>231</v>
      </c>
      <c r="C2068" s="244" t="s">
        <v>11811</v>
      </c>
      <c r="D2068" s="154" t="s">
        <v>542</v>
      </c>
      <c r="E2068" s="154"/>
      <c r="F2068" s="154" t="str">
        <f t="array" ref="F2068">XLOOKUP(Cover!$D$12,$R$1:$Z$1,$R2068:$Z2068)</f>
        <v>Mandatory</v>
      </c>
      <c r="G2068" s="154" t="s">
        <v>11812</v>
      </c>
      <c r="H2068" s="154" t="s">
        <v>9002</v>
      </c>
      <c r="I2068" s="154" t="s">
        <v>11810</v>
      </c>
      <c r="J2068" s="154" t="s">
        <v>6911</v>
      </c>
      <c r="K2068" s="154" t="s">
        <v>11675</v>
      </c>
      <c r="L2068" s="154" t="s">
        <v>6140</v>
      </c>
      <c r="M2068" s="154" t="s">
        <v>175</v>
      </c>
      <c r="N2068" s="154" t="s">
        <v>759</v>
      </c>
      <c r="O2068" s="247" t="s">
        <v>516</v>
      </c>
      <c r="P2068" s="247" t="s">
        <v>6776</v>
      </c>
      <c r="Q2068" s="154" t="str">
        <f t="shared" si="1"/>
        <v>#ERROR!</v>
      </c>
      <c r="R2068" s="154" t="s">
        <v>66</v>
      </c>
      <c r="S2068" s="154" t="s">
        <v>66</v>
      </c>
      <c r="T2068" s="155" t="s">
        <v>64</v>
      </c>
      <c r="U2068" s="155" t="s">
        <v>64</v>
      </c>
      <c r="V2068" s="154" t="s">
        <v>60</v>
      </c>
      <c r="W2068" s="154" t="s">
        <v>60</v>
      </c>
      <c r="X2068" s="154" t="s">
        <v>66</v>
      </c>
      <c r="Y2068" s="155" t="s">
        <v>64</v>
      </c>
      <c r="Z2068" s="154" t="s">
        <v>60</v>
      </c>
      <c r="AA2068" s="154"/>
      <c r="AB2068" s="242" t="str">
        <f t="shared" si="2"/>
        <v>#ERROR!</v>
      </c>
      <c r="AC2068" s="154" t="s">
        <v>391</v>
      </c>
      <c r="AD2068" s="242" t="b">
        <f t="shared" si="3"/>
        <v>0</v>
      </c>
      <c r="AE2068" s="154"/>
      <c r="AF2068" s="242" t="str">
        <f t="shared" si="4"/>
        <v>#ERROR!</v>
      </c>
      <c r="AG2068" s="154"/>
      <c r="AH2068" s="242" t="str">
        <f>IF(AG2068="","N/A",INDIRECT("MTR!"&amp;ADDRESS(MATCH(LEFT(AG2068,9),[1]MTR!C:C,0),COLUMN(J2068)),TRUE) &amp; "")</f>
        <v>#ERROR!</v>
      </c>
      <c r="AI2068" s="157" t="str">
        <f t="shared" si="5"/>
        <v>#ERROR!</v>
      </c>
    </row>
    <row r="2069" ht="12.75" customHeight="1">
      <c r="A2069" s="244" t="s">
        <v>5158</v>
      </c>
      <c r="B2069" s="244" t="s">
        <v>231</v>
      </c>
      <c r="C2069" s="244" t="s">
        <v>11813</v>
      </c>
      <c r="D2069" s="154" t="s">
        <v>542</v>
      </c>
      <c r="E2069" s="154"/>
      <c r="F2069" s="154" t="str">
        <f t="array" ref="F2069">XLOOKUP(Cover!$D$12,$R$1:$Z$1,$R2069:$Z2069)</f>
        <v>Mandatory</v>
      </c>
      <c r="G2069" s="154" t="s">
        <v>11814</v>
      </c>
      <c r="H2069" s="154" t="s">
        <v>1489</v>
      </c>
      <c r="I2069" s="154" t="s">
        <v>11810</v>
      </c>
      <c r="J2069" s="154" t="s">
        <v>6911</v>
      </c>
      <c r="K2069" s="154" t="s">
        <v>11675</v>
      </c>
      <c r="L2069" s="154" t="s">
        <v>6140</v>
      </c>
      <c r="M2069" s="154" t="s">
        <v>175</v>
      </c>
      <c r="N2069" s="154" t="s">
        <v>759</v>
      </c>
      <c r="O2069" s="247" t="s">
        <v>516</v>
      </c>
      <c r="P2069" s="247" t="s">
        <v>6776</v>
      </c>
      <c r="Q2069" s="154" t="str">
        <f t="shared" si="1"/>
        <v>#ERROR!</v>
      </c>
      <c r="R2069" s="154" t="s">
        <v>66</v>
      </c>
      <c r="S2069" s="154" t="s">
        <v>66</v>
      </c>
      <c r="T2069" s="155" t="s">
        <v>64</v>
      </c>
      <c r="U2069" s="155" t="s">
        <v>64</v>
      </c>
      <c r="V2069" s="154" t="s">
        <v>60</v>
      </c>
      <c r="W2069" s="154" t="s">
        <v>60</v>
      </c>
      <c r="X2069" s="154" t="s">
        <v>66</v>
      </c>
      <c r="Y2069" s="155" t="s">
        <v>64</v>
      </c>
      <c r="Z2069" s="154" t="s">
        <v>60</v>
      </c>
      <c r="AA2069" s="154"/>
      <c r="AB2069" s="242" t="str">
        <f t="shared" si="2"/>
        <v>#ERROR!</v>
      </c>
      <c r="AC2069" s="154" t="s">
        <v>391</v>
      </c>
      <c r="AD2069" s="242" t="b">
        <f t="shared" si="3"/>
        <v>0</v>
      </c>
      <c r="AE2069" s="154"/>
      <c r="AF2069" s="242" t="str">
        <f t="shared" si="4"/>
        <v>#ERROR!</v>
      </c>
      <c r="AG2069" s="154"/>
      <c r="AH2069" s="242" t="str">
        <f>IF(AG2069="","N/A",INDIRECT("MTR!"&amp;ADDRESS(MATCH(LEFT(AG2069,9),[1]MTR!C:C,0),COLUMN(J2069)),TRUE) &amp; "")</f>
        <v>#ERROR!</v>
      </c>
      <c r="AI2069" s="157" t="str">
        <f t="shared" si="5"/>
        <v>#ERROR!</v>
      </c>
    </row>
    <row r="2070" ht="12.75" customHeight="1">
      <c r="A2070" s="244" t="s">
        <v>5158</v>
      </c>
      <c r="B2070" s="244" t="s">
        <v>231</v>
      </c>
      <c r="C2070" s="244" t="s">
        <v>11815</v>
      </c>
      <c r="D2070" s="154" t="s">
        <v>542</v>
      </c>
      <c r="E2070" s="154"/>
      <c r="F2070" s="154" t="str">
        <f t="array" ref="F2070">XLOOKUP(Cover!$D$12,$R$1:$Z$1,$R2070:$Z2070)</f>
        <v>Mandatory</v>
      </c>
      <c r="G2070" s="154" t="s">
        <v>11816</v>
      </c>
      <c r="H2070" s="154" t="s">
        <v>9006</v>
      </c>
      <c r="I2070" s="154" t="s">
        <v>11810</v>
      </c>
      <c r="J2070" s="154" t="s">
        <v>6911</v>
      </c>
      <c r="K2070" s="154" t="s">
        <v>11675</v>
      </c>
      <c r="L2070" s="154" t="s">
        <v>6140</v>
      </c>
      <c r="M2070" s="154" t="s">
        <v>175</v>
      </c>
      <c r="N2070" s="154" t="s">
        <v>759</v>
      </c>
      <c r="O2070" s="247" t="s">
        <v>516</v>
      </c>
      <c r="P2070" s="247" t="s">
        <v>6776</v>
      </c>
      <c r="Q2070" s="154" t="str">
        <f t="shared" si="1"/>
        <v>#ERROR!</v>
      </c>
      <c r="R2070" s="154" t="s">
        <v>66</v>
      </c>
      <c r="S2070" s="154" t="s">
        <v>66</v>
      </c>
      <c r="T2070" s="155" t="s">
        <v>64</v>
      </c>
      <c r="U2070" s="155" t="s">
        <v>64</v>
      </c>
      <c r="V2070" s="154" t="s">
        <v>60</v>
      </c>
      <c r="W2070" s="154" t="s">
        <v>60</v>
      </c>
      <c r="X2070" s="154" t="s">
        <v>66</v>
      </c>
      <c r="Y2070" s="155" t="s">
        <v>64</v>
      </c>
      <c r="Z2070" s="154" t="s">
        <v>60</v>
      </c>
      <c r="AA2070" s="154"/>
      <c r="AB2070" s="242" t="str">
        <f t="shared" si="2"/>
        <v>#ERROR!</v>
      </c>
      <c r="AC2070" s="154" t="s">
        <v>391</v>
      </c>
      <c r="AD2070" s="242" t="b">
        <f t="shared" si="3"/>
        <v>0</v>
      </c>
      <c r="AE2070" s="154"/>
      <c r="AF2070" s="242" t="str">
        <f t="shared" si="4"/>
        <v>#ERROR!</v>
      </c>
      <c r="AG2070" s="154"/>
      <c r="AH2070" s="242" t="str">
        <f>IF(AG2070="","N/A",INDIRECT("MTR!"&amp;ADDRESS(MATCH(LEFT(AG2070,9),[1]MTR!C:C,0),COLUMN(J2070)),TRUE) &amp; "")</f>
        <v>#ERROR!</v>
      </c>
      <c r="AI2070" s="157" t="str">
        <f t="shared" si="5"/>
        <v>#ERROR!</v>
      </c>
    </row>
    <row r="2071" ht="12.75" customHeight="1">
      <c r="A2071" s="244" t="s">
        <v>5158</v>
      </c>
      <c r="B2071" s="244" t="s">
        <v>231</v>
      </c>
      <c r="C2071" s="244" t="s">
        <v>11817</v>
      </c>
      <c r="D2071" s="154" t="s">
        <v>542</v>
      </c>
      <c r="E2071" s="154"/>
      <c r="F2071" s="154" t="str">
        <f t="array" ref="F2071">XLOOKUP(Cover!$D$12,$R$1:$Z$1,$R2071:$Z2071)</f>
        <v>Recommended</v>
      </c>
      <c r="G2071" s="154" t="s">
        <v>11818</v>
      </c>
      <c r="H2071" s="154" t="s">
        <v>8513</v>
      </c>
      <c r="I2071" s="154" t="s">
        <v>11810</v>
      </c>
      <c r="J2071" s="154" t="s">
        <v>6911</v>
      </c>
      <c r="K2071" s="154" t="s">
        <v>11675</v>
      </c>
      <c r="L2071" s="154" t="s">
        <v>6140</v>
      </c>
      <c r="M2071" s="154"/>
      <c r="N2071" s="154" t="s">
        <v>759</v>
      </c>
      <c r="O2071" s="247" t="s">
        <v>516</v>
      </c>
      <c r="P2071" s="247" t="s">
        <v>6776</v>
      </c>
      <c r="Q2071" s="154" t="str">
        <f t="shared" si="1"/>
        <v>#ERROR!</v>
      </c>
      <c r="R2071" s="154" t="s">
        <v>66</v>
      </c>
      <c r="S2071" s="154" t="s">
        <v>66</v>
      </c>
      <c r="T2071" s="154" t="s">
        <v>64</v>
      </c>
      <c r="U2071" s="154" t="s">
        <v>64</v>
      </c>
      <c r="V2071" s="154" t="s">
        <v>64</v>
      </c>
      <c r="W2071" s="154" t="s">
        <v>64</v>
      </c>
      <c r="X2071" s="154" t="s">
        <v>66</v>
      </c>
      <c r="Y2071" s="154" t="s">
        <v>64</v>
      </c>
      <c r="Z2071" s="154" t="s">
        <v>64</v>
      </c>
      <c r="AA2071" s="154"/>
      <c r="AB2071" s="242" t="str">
        <f t="shared" si="2"/>
        <v>#ERROR!</v>
      </c>
      <c r="AC2071" s="154" t="s">
        <v>391</v>
      </c>
      <c r="AD2071" s="242" t="b">
        <f t="shared" si="3"/>
        <v>0</v>
      </c>
      <c r="AE2071" s="154"/>
      <c r="AF2071" s="242" t="str">
        <f t="shared" si="4"/>
        <v>#ERROR!</v>
      </c>
      <c r="AG2071" s="154"/>
      <c r="AH2071" s="242" t="str">
        <f>IF(AG2071="","N/A",INDIRECT("MTR!"&amp;ADDRESS(MATCH(LEFT(AG2071,9),[1]MTR!C:C,0),COLUMN(J2071)),TRUE) &amp; "")</f>
        <v>#ERROR!</v>
      </c>
      <c r="AI2071" s="157" t="str">
        <f t="shared" si="5"/>
        <v>#ERROR!</v>
      </c>
    </row>
    <row r="2072" ht="12.75" customHeight="1">
      <c r="A2072" s="244" t="s">
        <v>5158</v>
      </c>
      <c r="B2072" s="244" t="s">
        <v>231</v>
      </c>
      <c r="C2072" s="244" t="s">
        <v>11819</v>
      </c>
      <c r="D2072" s="154" t="s">
        <v>542</v>
      </c>
      <c r="E2072" s="154"/>
      <c r="F2072" s="154" t="str">
        <f t="array" ref="F2072">XLOOKUP(Cover!$D$12,$R$1:$Z$1,$R2072:$Z2072)</f>
        <v>Recommended</v>
      </c>
      <c r="G2072" s="154" t="s">
        <v>11820</v>
      </c>
      <c r="H2072" s="154" t="s">
        <v>9009</v>
      </c>
      <c r="I2072" s="154" t="s">
        <v>11810</v>
      </c>
      <c r="J2072" s="154" t="s">
        <v>6911</v>
      </c>
      <c r="K2072" s="154" t="s">
        <v>11675</v>
      </c>
      <c r="L2072" s="154" t="s">
        <v>6140</v>
      </c>
      <c r="M2072" s="154"/>
      <c r="N2072" s="154" t="s">
        <v>759</v>
      </c>
      <c r="O2072" s="247" t="s">
        <v>516</v>
      </c>
      <c r="P2072" s="247" t="s">
        <v>6776</v>
      </c>
      <c r="Q2072" s="154" t="str">
        <f t="shared" si="1"/>
        <v>#ERROR!</v>
      </c>
      <c r="R2072" s="154" t="s">
        <v>66</v>
      </c>
      <c r="S2072" s="154" t="s">
        <v>66</v>
      </c>
      <c r="T2072" s="154" t="s">
        <v>64</v>
      </c>
      <c r="U2072" s="154" t="s">
        <v>64</v>
      </c>
      <c r="V2072" s="154" t="s">
        <v>64</v>
      </c>
      <c r="W2072" s="154" t="s">
        <v>64</v>
      </c>
      <c r="X2072" s="154" t="s">
        <v>66</v>
      </c>
      <c r="Y2072" s="154" t="s">
        <v>64</v>
      </c>
      <c r="Z2072" s="154" t="s">
        <v>64</v>
      </c>
      <c r="AA2072" s="154"/>
      <c r="AB2072" s="242" t="str">
        <f t="shared" si="2"/>
        <v>#ERROR!</v>
      </c>
      <c r="AC2072" s="154" t="s">
        <v>391</v>
      </c>
      <c r="AD2072" s="242" t="b">
        <f t="shared" si="3"/>
        <v>0</v>
      </c>
      <c r="AE2072" s="154"/>
      <c r="AF2072" s="242" t="str">
        <f t="shared" si="4"/>
        <v>#ERROR!</v>
      </c>
      <c r="AG2072" s="154"/>
      <c r="AH2072" s="242" t="str">
        <f>IF(AG2072="","N/A",INDIRECT("MTR!"&amp;ADDRESS(MATCH(LEFT(AG2072,9),[1]MTR!C:C,0),COLUMN(J2072)),TRUE) &amp; "")</f>
        <v>#ERROR!</v>
      </c>
      <c r="AI2072" s="157" t="str">
        <f t="shared" si="5"/>
        <v>#ERROR!</v>
      </c>
    </row>
    <row r="2073" ht="12.75" customHeight="1">
      <c r="A2073" s="244" t="s">
        <v>5158</v>
      </c>
      <c r="B2073" s="244" t="s">
        <v>231</v>
      </c>
      <c r="C2073" s="244" t="s">
        <v>11821</v>
      </c>
      <c r="D2073" s="154" t="s">
        <v>1315</v>
      </c>
      <c r="E2073" s="154"/>
      <c r="F2073" s="154" t="str">
        <f t="array" ref="F2073">XLOOKUP(Cover!$D$12,$R$1:$Z$1,$R2073:$Z2073)</f>
        <v>Recommended</v>
      </c>
      <c r="G2073" s="154" t="s">
        <v>11822</v>
      </c>
      <c r="H2073" s="154" t="s">
        <v>8507</v>
      </c>
      <c r="I2073" s="154" t="s">
        <v>11823</v>
      </c>
      <c r="J2073" s="154" t="s">
        <v>7463</v>
      </c>
      <c r="K2073" s="154" t="s">
        <v>11675</v>
      </c>
      <c r="L2073" s="154" t="s">
        <v>6022</v>
      </c>
      <c r="M2073" s="154"/>
      <c r="N2073" s="154" t="s">
        <v>759</v>
      </c>
      <c r="O2073" s="247" t="s">
        <v>516</v>
      </c>
      <c r="P2073" s="247" t="s">
        <v>6776</v>
      </c>
      <c r="Q2073" s="154" t="str">
        <f t="shared" si="1"/>
        <v>#ERROR!</v>
      </c>
      <c r="R2073" s="154" t="s">
        <v>66</v>
      </c>
      <c r="S2073" s="154" t="s">
        <v>66</v>
      </c>
      <c r="T2073" s="154" t="s">
        <v>64</v>
      </c>
      <c r="U2073" s="154" t="s">
        <v>64</v>
      </c>
      <c r="V2073" s="154" t="s">
        <v>64</v>
      </c>
      <c r="W2073" s="154" t="s">
        <v>64</v>
      </c>
      <c r="X2073" s="154" t="s">
        <v>66</v>
      </c>
      <c r="Y2073" s="154" t="s">
        <v>64</v>
      </c>
      <c r="Z2073" s="154" t="s">
        <v>64</v>
      </c>
      <c r="AA2073" s="154"/>
      <c r="AB2073" s="242" t="str">
        <f t="shared" si="2"/>
        <v>#ERROR!</v>
      </c>
      <c r="AC2073" s="154" t="s">
        <v>391</v>
      </c>
      <c r="AD2073" s="242" t="b">
        <f t="shared" si="3"/>
        <v>0</v>
      </c>
      <c r="AE2073" s="154"/>
      <c r="AF2073" s="242" t="str">
        <f t="shared" si="4"/>
        <v>#ERROR!</v>
      </c>
      <c r="AG2073" s="154"/>
      <c r="AH2073" s="242" t="str">
        <f>IF(AG2073="","N/A",INDIRECT("MTR!"&amp;ADDRESS(MATCH(LEFT(AG2073,9),[1]MTR!C:C,0),COLUMN(J2073)),TRUE) &amp; "")</f>
        <v>#ERROR!</v>
      </c>
      <c r="AI2073" s="157" t="str">
        <f t="shared" si="5"/>
        <v>#ERROR!</v>
      </c>
    </row>
    <row r="2074" ht="12.75" customHeight="1">
      <c r="A2074" s="244" t="s">
        <v>5158</v>
      </c>
      <c r="B2074" s="244" t="s">
        <v>231</v>
      </c>
      <c r="C2074" s="244" t="s">
        <v>11824</v>
      </c>
      <c r="D2074" s="154" t="s">
        <v>1315</v>
      </c>
      <c r="E2074" s="154"/>
      <c r="F2074" s="154" t="str">
        <f t="array" ref="F2074">XLOOKUP(Cover!$D$12,$R$1:$Z$1,$R2074:$Z2074)</f>
        <v>Recommended</v>
      </c>
      <c r="G2074" s="154" t="s">
        <v>11825</v>
      </c>
      <c r="H2074" s="154" t="s">
        <v>9002</v>
      </c>
      <c r="I2074" s="154" t="s">
        <v>11823</v>
      </c>
      <c r="J2074" s="154" t="s">
        <v>7463</v>
      </c>
      <c r="K2074" s="154" t="s">
        <v>11675</v>
      </c>
      <c r="L2074" s="154" t="s">
        <v>6022</v>
      </c>
      <c r="M2074" s="154"/>
      <c r="N2074" s="154" t="s">
        <v>759</v>
      </c>
      <c r="O2074" s="247" t="s">
        <v>516</v>
      </c>
      <c r="P2074" s="247" t="s">
        <v>6776</v>
      </c>
      <c r="Q2074" s="154" t="str">
        <f t="shared" si="1"/>
        <v>#ERROR!</v>
      </c>
      <c r="R2074" s="154" t="s">
        <v>66</v>
      </c>
      <c r="S2074" s="154" t="s">
        <v>66</v>
      </c>
      <c r="T2074" s="154" t="s">
        <v>64</v>
      </c>
      <c r="U2074" s="154" t="s">
        <v>64</v>
      </c>
      <c r="V2074" s="154" t="s">
        <v>64</v>
      </c>
      <c r="W2074" s="154" t="s">
        <v>64</v>
      </c>
      <c r="X2074" s="154" t="s">
        <v>66</v>
      </c>
      <c r="Y2074" s="154" t="s">
        <v>64</v>
      </c>
      <c r="Z2074" s="154" t="s">
        <v>64</v>
      </c>
      <c r="AA2074" s="154"/>
      <c r="AB2074" s="242" t="str">
        <f t="shared" si="2"/>
        <v>#ERROR!</v>
      </c>
      <c r="AC2074" s="154" t="s">
        <v>391</v>
      </c>
      <c r="AD2074" s="242" t="b">
        <f t="shared" si="3"/>
        <v>0</v>
      </c>
      <c r="AE2074" s="154"/>
      <c r="AF2074" s="242" t="str">
        <f t="shared" si="4"/>
        <v>#ERROR!</v>
      </c>
      <c r="AG2074" s="154"/>
      <c r="AH2074" s="242" t="str">
        <f>IF(AG2074="","N/A",INDIRECT("MTR!"&amp;ADDRESS(MATCH(LEFT(AG2074,9),[1]MTR!C:C,0),COLUMN(J2074)),TRUE) &amp; "")</f>
        <v>#ERROR!</v>
      </c>
      <c r="AI2074" s="157" t="str">
        <f t="shared" si="5"/>
        <v>#ERROR!</v>
      </c>
    </row>
    <row r="2075" ht="12.75" customHeight="1">
      <c r="A2075" s="244" t="s">
        <v>5158</v>
      </c>
      <c r="B2075" s="244" t="s">
        <v>231</v>
      </c>
      <c r="C2075" s="244" t="s">
        <v>11826</v>
      </c>
      <c r="D2075" s="154" t="s">
        <v>1315</v>
      </c>
      <c r="E2075" s="154"/>
      <c r="F2075" s="154" t="str">
        <f t="array" ref="F2075">XLOOKUP(Cover!$D$12,$R$1:$Z$1,$R2075:$Z2075)</f>
        <v>Recommended</v>
      </c>
      <c r="G2075" s="154" t="s">
        <v>11827</v>
      </c>
      <c r="H2075" s="154" t="s">
        <v>1489</v>
      </c>
      <c r="I2075" s="154" t="s">
        <v>11823</v>
      </c>
      <c r="J2075" s="154" t="s">
        <v>7463</v>
      </c>
      <c r="K2075" s="154" t="s">
        <v>11675</v>
      </c>
      <c r="L2075" s="154" t="s">
        <v>6022</v>
      </c>
      <c r="M2075" s="154"/>
      <c r="N2075" s="154" t="s">
        <v>759</v>
      </c>
      <c r="O2075" s="247" t="s">
        <v>516</v>
      </c>
      <c r="P2075" s="247" t="s">
        <v>6776</v>
      </c>
      <c r="Q2075" s="154" t="str">
        <f t="shared" si="1"/>
        <v>#ERROR!</v>
      </c>
      <c r="R2075" s="154" t="s">
        <v>66</v>
      </c>
      <c r="S2075" s="154" t="s">
        <v>66</v>
      </c>
      <c r="T2075" s="154" t="s">
        <v>64</v>
      </c>
      <c r="U2075" s="154" t="s">
        <v>64</v>
      </c>
      <c r="V2075" s="154" t="s">
        <v>64</v>
      </c>
      <c r="W2075" s="154" t="s">
        <v>64</v>
      </c>
      <c r="X2075" s="154" t="s">
        <v>66</v>
      </c>
      <c r="Y2075" s="154" t="s">
        <v>64</v>
      </c>
      <c r="Z2075" s="154" t="s">
        <v>64</v>
      </c>
      <c r="AA2075" s="154"/>
      <c r="AB2075" s="242" t="str">
        <f t="shared" si="2"/>
        <v>#ERROR!</v>
      </c>
      <c r="AC2075" s="154" t="s">
        <v>391</v>
      </c>
      <c r="AD2075" s="242" t="b">
        <f t="shared" si="3"/>
        <v>0</v>
      </c>
      <c r="AE2075" s="154"/>
      <c r="AF2075" s="242" t="str">
        <f t="shared" si="4"/>
        <v>#ERROR!</v>
      </c>
      <c r="AG2075" s="154"/>
      <c r="AH2075" s="242" t="str">
        <f>IF(AG2075="","N/A",INDIRECT("MTR!"&amp;ADDRESS(MATCH(LEFT(AG2075,9),[1]MTR!C:C,0),COLUMN(J2075)),TRUE) &amp; "")</f>
        <v>#ERROR!</v>
      </c>
      <c r="AI2075" s="157" t="str">
        <f t="shared" si="5"/>
        <v>#ERROR!</v>
      </c>
    </row>
    <row r="2076" ht="12.75" customHeight="1">
      <c r="A2076" s="244" t="s">
        <v>5158</v>
      </c>
      <c r="B2076" s="244" t="s">
        <v>231</v>
      </c>
      <c r="C2076" s="244" t="s">
        <v>11828</v>
      </c>
      <c r="D2076" s="154" t="s">
        <v>1315</v>
      </c>
      <c r="E2076" s="154"/>
      <c r="F2076" s="154" t="str">
        <f t="array" ref="F2076">XLOOKUP(Cover!$D$12,$R$1:$Z$1,$R2076:$Z2076)</f>
        <v>Recommended</v>
      </c>
      <c r="G2076" s="154" t="s">
        <v>11829</v>
      </c>
      <c r="H2076" s="154" t="s">
        <v>9006</v>
      </c>
      <c r="I2076" s="154" t="s">
        <v>11823</v>
      </c>
      <c r="J2076" s="154" t="s">
        <v>7463</v>
      </c>
      <c r="K2076" s="154" t="s">
        <v>11675</v>
      </c>
      <c r="L2076" s="154" t="s">
        <v>6022</v>
      </c>
      <c r="M2076" s="154"/>
      <c r="N2076" s="154" t="s">
        <v>759</v>
      </c>
      <c r="O2076" s="247" t="s">
        <v>516</v>
      </c>
      <c r="P2076" s="247" t="s">
        <v>6776</v>
      </c>
      <c r="Q2076" s="154" t="str">
        <f t="shared" si="1"/>
        <v>#ERROR!</v>
      </c>
      <c r="R2076" s="154" t="s">
        <v>66</v>
      </c>
      <c r="S2076" s="154" t="s">
        <v>66</v>
      </c>
      <c r="T2076" s="154" t="s">
        <v>64</v>
      </c>
      <c r="U2076" s="154" t="s">
        <v>64</v>
      </c>
      <c r="V2076" s="154" t="s">
        <v>64</v>
      </c>
      <c r="W2076" s="154" t="s">
        <v>64</v>
      </c>
      <c r="X2076" s="154" t="s">
        <v>66</v>
      </c>
      <c r="Y2076" s="154" t="s">
        <v>64</v>
      </c>
      <c r="Z2076" s="154" t="s">
        <v>64</v>
      </c>
      <c r="AA2076" s="154"/>
      <c r="AB2076" s="242" t="str">
        <f t="shared" si="2"/>
        <v>#ERROR!</v>
      </c>
      <c r="AC2076" s="154" t="s">
        <v>391</v>
      </c>
      <c r="AD2076" s="242" t="b">
        <f t="shared" si="3"/>
        <v>0</v>
      </c>
      <c r="AE2076" s="154"/>
      <c r="AF2076" s="242" t="str">
        <f t="shared" si="4"/>
        <v>#ERROR!</v>
      </c>
      <c r="AG2076" s="154"/>
      <c r="AH2076" s="242" t="str">
        <f>IF(AG2076="","N/A",INDIRECT("MTR!"&amp;ADDRESS(MATCH(LEFT(AG2076,9),[1]MTR!C:C,0),COLUMN(J2076)),TRUE) &amp; "")</f>
        <v>#ERROR!</v>
      </c>
      <c r="AI2076" s="157" t="str">
        <f t="shared" si="5"/>
        <v>#ERROR!</v>
      </c>
    </row>
    <row r="2077" ht="12.75" customHeight="1">
      <c r="A2077" s="244" t="s">
        <v>5158</v>
      </c>
      <c r="B2077" s="244" t="s">
        <v>231</v>
      </c>
      <c r="C2077" s="244" t="s">
        <v>11830</v>
      </c>
      <c r="D2077" s="154" t="s">
        <v>1315</v>
      </c>
      <c r="E2077" s="154"/>
      <c r="F2077" s="154" t="str">
        <f t="array" ref="F2077">XLOOKUP(Cover!$D$12,$R$1:$Z$1,$R2077:$Z2077)</f>
        <v>Information</v>
      </c>
      <c r="G2077" s="154" t="s">
        <v>11831</v>
      </c>
      <c r="H2077" s="154" t="s">
        <v>8516</v>
      </c>
      <c r="I2077" s="154" t="s">
        <v>11823</v>
      </c>
      <c r="J2077" s="154" t="s">
        <v>7463</v>
      </c>
      <c r="K2077" s="154" t="s">
        <v>11675</v>
      </c>
      <c r="L2077" s="154" t="s">
        <v>6022</v>
      </c>
      <c r="M2077" s="154"/>
      <c r="N2077" s="154" t="s">
        <v>759</v>
      </c>
      <c r="O2077" s="247" t="s">
        <v>516</v>
      </c>
      <c r="P2077" s="247" t="s">
        <v>6776</v>
      </c>
      <c r="Q2077" s="154" t="str">
        <f t="shared" si="1"/>
        <v>#ERROR!</v>
      </c>
      <c r="R2077" s="154" t="s">
        <v>66</v>
      </c>
      <c r="S2077" s="154" t="s">
        <v>66</v>
      </c>
      <c r="T2077" s="154" t="s">
        <v>66</v>
      </c>
      <c r="U2077" s="154" t="s">
        <v>66</v>
      </c>
      <c r="V2077" s="154" t="s">
        <v>66</v>
      </c>
      <c r="W2077" s="154" t="s">
        <v>66</v>
      </c>
      <c r="X2077" s="154" t="s">
        <v>66</v>
      </c>
      <c r="Y2077" s="154" t="s">
        <v>66</v>
      </c>
      <c r="Z2077" s="154" t="s">
        <v>66</v>
      </c>
      <c r="AA2077" s="154"/>
      <c r="AB2077" s="242" t="str">
        <f t="shared" si="2"/>
        <v>#ERROR!</v>
      </c>
      <c r="AC2077" s="154" t="s">
        <v>391</v>
      </c>
      <c r="AD2077" s="242" t="b">
        <f t="shared" si="3"/>
        <v>0</v>
      </c>
      <c r="AE2077" s="154"/>
      <c r="AF2077" s="242" t="str">
        <f t="shared" si="4"/>
        <v>#ERROR!</v>
      </c>
      <c r="AG2077" s="154"/>
      <c r="AH2077" s="242" t="str">
        <f>IF(AG2077="","N/A",INDIRECT("MTR!"&amp;ADDRESS(MATCH(LEFT(AG2077,9),[1]MTR!C:C,0),COLUMN(J2077)),TRUE) &amp; "")</f>
        <v>#ERROR!</v>
      </c>
      <c r="AI2077" s="157" t="str">
        <f t="shared" si="5"/>
        <v>#ERROR!</v>
      </c>
    </row>
    <row r="2078" ht="12.75" customHeight="1">
      <c r="A2078" s="244" t="s">
        <v>5158</v>
      </c>
      <c r="B2078" s="244" t="s">
        <v>231</v>
      </c>
      <c r="C2078" s="244" t="s">
        <v>11832</v>
      </c>
      <c r="D2078" s="154" t="s">
        <v>1315</v>
      </c>
      <c r="E2078" s="154"/>
      <c r="F2078" s="154" t="str">
        <f t="array" ref="F2078">XLOOKUP(Cover!$D$12,$R$1:$Z$1,$R2078:$Z2078)</f>
        <v>Information</v>
      </c>
      <c r="G2078" s="154" t="s">
        <v>11833</v>
      </c>
      <c r="H2078" s="154" t="s">
        <v>9012</v>
      </c>
      <c r="I2078" s="154" t="s">
        <v>11823</v>
      </c>
      <c r="J2078" s="154" t="s">
        <v>7463</v>
      </c>
      <c r="K2078" s="154" t="s">
        <v>11675</v>
      </c>
      <c r="L2078" s="154" t="s">
        <v>6022</v>
      </c>
      <c r="M2078" s="154"/>
      <c r="N2078" s="154" t="s">
        <v>759</v>
      </c>
      <c r="O2078" s="247" t="s">
        <v>516</v>
      </c>
      <c r="P2078" s="247" t="s">
        <v>6776</v>
      </c>
      <c r="Q2078" s="154" t="str">
        <f t="shared" si="1"/>
        <v>#ERROR!</v>
      </c>
      <c r="R2078" s="154" t="s">
        <v>66</v>
      </c>
      <c r="S2078" s="154" t="s">
        <v>66</v>
      </c>
      <c r="T2078" s="154" t="s">
        <v>66</v>
      </c>
      <c r="U2078" s="154" t="s">
        <v>66</v>
      </c>
      <c r="V2078" s="154" t="s">
        <v>66</v>
      </c>
      <c r="W2078" s="154" t="s">
        <v>66</v>
      </c>
      <c r="X2078" s="154" t="s">
        <v>66</v>
      </c>
      <c r="Y2078" s="154" t="s">
        <v>66</v>
      </c>
      <c r="Z2078" s="154" t="s">
        <v>66</v>
      </c>
      <c r="AA2078" s="154"/>
      <c r="AB2078" s="242" t="str">
        <f t="shared" si="2"/>
        <v>#ERROR!</v>
      </c>
      <c r="AC2078" s="154" t="s">
        <v>391</v>
      </c>
      <c r="AD2078" s="242" t="b">
        <f t="shared" si="3"/>
        <v>0</v>
      </c>
      <c r="AE2078" s="154"/>
      <c r="AF2078" s="242" t="str">
        <f t="shared" si="4"/>
        <v>#ERROR!</v>
      </c>
      <c r="AG2078" s="154"/>
      <c r="AH2078" s="242" t="str">
        <f>IF(AG2078="","N/A",INDIRECT("MTR!"&amp;ADDRESS(MATCH(LEFT(AG2078,9),[1]MTR!C:C,0),COLUMN(J2078)),TRUE) &amp; "")</f>
        <v>#ERROR!</v>
      </c>
      <c r="AI2078" s="157" t="str">
        <f t="shared" si="5"/>
        <v>#ERROR!</v>
      </c>
    </row>
    <row r="2079" ht="12.75" customHeight="1">
      <c r="A2079" s="244" t="s">
        <v>5158</v>
      </c>
      <c r="B2079" s="244" t="s">
        <v>231</v>
      </c>
      <c r="C2079" s="244" t="s">
        <v>11834</v>
      </c>
      <c r="D2079" s="154" t="s">
        <v>542</v>
      </c>
      <c r="E2079" s="154"/>
      <c r="F2079" s="154" t="str">
        <f t="array" ref="F2079">XLOOKUP(Cover!$D$12,$R$1:$Z$1,$R2079:$Z2079)</f>
        <v>Mandatory</v>
      </c>
      <c r="G2079" s="154" t="s">
        <v>11835</v>
      </c>
      <c r="H2079" s="154" t="s">
        <v>8507</v>
      </c>
      <c r="I2079" s="154" t="s">
        <v>11836</v>
      </c>
      <c r="J2079" s="154" t="s">
        <v>6919</v>
      </c>
      <c r="K2079" s="154" t="s">
        <v>11675</v>
      </c>
      <c r="L2079" s="154" t="s">
        <v>6140</v>
      </c>
      <c r="M2079" s="154" t="s">
        <v>175</v>
      </c>
      <c r="N2079" s="154" t="s">
        <v>759</v>
      </c>
      <c r="O2079" s="247" t="s">
        <v>516</v>
      </c>
      <c r="P2079" s="247" t="s">
        <v>6776</v>
      </c>
      <c r="Q2079" s="154" t="str">
        <f t="shared" si="1"/>
        <v>#ERROR!</v>
      </c>
      <c r="R2079" s="154" t="s">
        <v>66</v>
      </c>
      <c r="S2079" s="154" t="s">
        <v>66</v>
      </c>
      <c r="T2079" s="155" t="s">
        <v>64</v>
      </c>
      <c r="U2079" s="155" t="s">
        <v>64</v>
      </c>
      <c r="V2079" s="154" t="s">
        <v>60</v>
      </c>
      <c r="W2079" s="154" t="s">
        <v>60</v>
      </c>
      <c r="X2079" s="154" t="s">
        <v>66</v>
      </c>
      <c r="Y2079" s="155" t="s">
        <v>64</v>
      </c>
      <c r="Z2079" s="154" t="s">
        <v>60</v>
      </c>
      <c r="AA2079" s="154"/>
      <c r="AB2079" s="242" t="str">
        <f t="shared" si="2"/>
        <v>#ERROR!</v>
      </c>
      <c r="AC2079" s="154" t="s">
        <v>391</v>
      </c>
      <c r="AD2079" s="242" t="b">
        <f t="shared" si="3"/>
        <v>0</v>
      </c>
      <c r="AE2079" s="154"/>
      <c r="AF2079" s="242" t="str">
        <f t="shared" si="4"/>
        <v>#ERROR!</v>
      </c>
      <c r="AG2079" s="154"/>
      <c r="AH2079" s="242" t="str">
        <f>IF(AG2079="","N/A",INDIRECT("MTR!"&amp;ADDRESS(MATCH(LEFT(AG2079,9),[1]MTR!C:C,0),COLUMN(J2079)),TRUE) &amp; "")</f>
        <v>#ERROR!</v>
      </c>
      <c r="AI2079" s="157" t="str">
        <f t="shared" si="5"/>
        <v>#ERROR!</v>
      </c>
    </row>
    <row r="2080" ht="12.75" customHeight="1">
      <c r="A2080" s="244" t="s">
        <v>5158</v>
      </c>
      <c r="B2080" s="244" t="s">
        <v>231</v>
      </c>
      <c r="C2080" s="244" t="s">
        <v>11837</v>
      </c>
      <c r="D2080" s="154" t="s">
        <v>542</v>
      </c>
      <c r="E2080" s="154"/>
      <c r="F2080" s="154" t="str">
        <f t="array" ref="F2080">XLOOKUP(Cover!$D$12,$R$1:$Z$1,$R2080:$Z2080)</f>
        <v>Mandatory</v>
      </c>
      <c r="G2080" s="154" t="s">
        <v>11838</v>
      </c>
      <c r="H2080" s="154" t="s">
        <v>9002</v>
      </c>
      <c r="I2080" s="154" t="s">
        <v>11836</v>
      </c>
      <c r="J2080" s="154" t="s">
        <v>6919</v>
      </c>
      <c r="K2080" s="154" t="s">
        <v>11675</v>
      </c>
      <c r="L2080" s="154" t="s">
        <v>6140</v>
      </c>
      <c r="M2080" s="154" t="s">
        <v>175</v>
      </c>
      <c r="N2080" s="154" t="s">
        <v>759</v>
      </c>
      <c r="O2080" s="247" t="s">
        <v>516</v>
      </c>
      <c r="P2080" s="247" t="s">
        <v>6776</v>
      </c>
      <c r="Q2080" s="154" t="str">
        <f t="shared" si="1"/>
        <v>#ERROR!</v>
      </c>
      <c r="R2080" s="154" t="s">
        <v>66</v>
      </c>
      <c r="S2080" s="154" t="s">
        <v>66</v>
      </c>
      <c r="T2080" s="155" t="s">
        <v>64</v>
      </c>
      <c r="U2080" s="155" t="s">
        <v>64</v>
      </c>
      <c r="V2080" s="154" t="s">
        <v>60</v>
      </c>
      <c r="W2080" s="154" t="s">
        <v>60</v>
      </c>
      <c r="X2080" s="154" t="s">
        <v>66</v>
      </c>
      <c r="Y2080" s="155" t="s">
        <v>64</v>
      </c>
      <c r="Z2080" s="154" t="s">
        <v>60</v>
      </c>
      <c r="AA2080" s="154"/>
      <c r="AB2080" s="242" t="str">
        <f t="shared" si="2"/>
        <v>#ERROR!</v>
      </c>
      <c r="AC2080" s="154" t="s">
        <v>391</v>
      </c>
      <c r="AD2080" s="242" t="b">
        <f t="shared" si="3"/>
        <v>0</v>
      </c>
      <c r="AE2080" s="154"/>
      <c r="AF2080" s="242" t="str">
        <f t="shared" si="4"/>
        <v>#ERROR!</v>
      </c>
      <c r="AG2080" s="154"/>
      <c r="AH2080" s="242" t="str">
        <f>IF(AG2080="","N/A",INDIRECT("MTR!"&amp;ADDRESS(MATCH(LEFT(AG2080,9),[1]MTR!C:C,0),COLUMN(J2080)),TRUE) &amp; "")</f>
        <v>#ERROR!</v>
      </c>
      <c r="AI2080" s="157" t="str">
        <f t="shared" si="5"/>
        <v>#ERROR!</v>
      </c>
    </row>
    <row r="2081" ht="12.75" customHeight="1">
      <c r="A2081" s="244" t="s">
        <v>5158</v>
      </c>
      <c r="B2081" s="244" t="s">
        <v>231</v>
      </c>
      <c r="C2081" s="244" t="s">
        <v>11839</v>
      </c>
      <c r="D2081" s="154" t="s">
        <v>542</v>
      </c>
      <c r="E2081" s="154"/>
      <c r="F2081" s="154" t="str">
        <f t="array" ref="F2081">XLOOKUP(Cover!$D$12,$R$1:$Z$1,$R2081:$Z2081)</f>
        <v>Mandatory</v>
      </c>
      <c r="G2081" s="154" t="s">
        <v>11840</v>
      </c>
      <c r="H2081" s="154" t="s">
        <v>1489</v>
      </c>
      <c r="I2081" s="154" t="s">
        <v>11836</v>
      </c>
      <c r="J2081" s="154" t="s">
        <v>6919</v>
      </c>
      <c r="K2081" s="154" t="s">
        <v>11675</v>
      </c>
      <c r="L2081" s="154" t="s">
        <v>6140</v>
      </c>
      <c r="M2081" s="154" t="s">
        <v>175</v>
      </c>
      <c r="N2081" s="154" t="s">
        <v>759</v>
      </c>
      <c r="O2081" s="247" t="s">
        <v>516</v>
      </c>
      <c r="P2081" s="247" t="s">
        <v>6776</v>
      </c>
      <c r="Q2081" s="154" t="str">
        <f t="shared" si="1"/>
        <v>#ERROR!</v>
      </c>
      <c r="R2081" s="154" t="s">
        <v>66</v>
      </c>
      <c r="S2081" s="154" t="s">
        <v>66</v>
      </c>
      <c r="T2081" s="155" t="s">
        <v>64</v>
      </c>
      <c r="U2081" s="155" t="s">
        <v>64</v>
      </c>
      <c r="V2081" s="154" t="s">
        <v>60</v>
      </c>
      <c r="W2081" s="154" t="s">
        <v>60</v>
      </c>
      <c r="X2081" s="154" t="s">
        <v>66</v>
      </c>
      <c r="Y2081" s="155" t="s">
        <v>64</v>
      </c>
      <c r="Z2081" s="154" t="s">
        <v>60</v>
      </c>
      <c r="AA2081" s="154"/>
      <c r="AB2081" s="242" t="str">
        <f t="shared" si="2"/>
        <v>#ERROR!</v>
      </c>
      <c r="AC2081" s="154" t="s">
        <v>391</v>
      </c>
      <c r="AD2081" s="242" t="b">
        <f t="shared" si="3"/>
        <v>0</v>
      </c>
      <c r="AE2081" s="154"/>
      <c r="AF2081" s="242" t="str">
        <f t="shared" si="4"/>
        <v>#ERROR!</v>
      </c>
      <c r="AG2081" s="154"/>
      <c r="AH2081" s="242" t="str">
        <f>IF(AG2081="","N/A",INDIRECT("MTR!"&amp;ADDRESS(MATCH(LEFT(AG2081,9),[1]MTR!C:C,0),COLUMN(J2081)),TRUE) &amp; "")</f>
        <v>#ERROR!</v>
      </c>
      <c r="AI2081" s="157" t="str">
        <f t="shared" si="5"/>
        <v>#ERROR!</v>
      </c>
    </row>
    <row r="2082" ht="12.75" customHeight="1">
      <c r="A2082" s="244" t="s">
        <v>5158</v>
      </c>
      <c r="B2082" s="244" t="s">
        <v>231</v>
      </c>
      <c r="C2082" s="244" t="s">
        <v>11841</v>
      </c>
      <c r="D2082" s="154" t="s">
        <v>542</v>
      </c>
      <c r="E2082" s="154"/>
      <c r="F2082" s="154" t="str">
        <f t="array" ref="F2082">XLOOKUP(Cover!$D$12,$R$1:$Z$1,$R2082:$Z2082)</f>
        <v>Mandatory</v>
      </c>
      <c r="G2082" s="154" t="s">
        <v>11842</v>
      </c>
      <c r="H2082" s="154" t="s">
        <v>9006</v>
      </c>
      <c r="I2082" s="154" t="s">
        <v>11836</v>
      </c>
      <c r="J2082" s="154" t="s">
        <v>6919</v>
      </c>
      <c r="K2082" s="154" t="s">
        <v>11675</v>
      </c>
      <c r="L2082" s="154" t="s">
        <v>6140</v>
      </c>
      <c r="M2082" s="154" t="s">
        <v>175</v>
      </c>
      <c r="N2082" s="154" t="s">
        <v>759</v>
      </c>
      <c r="O2082" s="247" t="s">
        <v>516</v>
      </c>
      <c r="P2082" s="247" t="s">
        <v>6776</v>
      </c>
      <c r="Q2082" s="154" t="str">
        <f t="shared" si="1"/>
        <v>#ERROR!</v>
      </c>
      <c r="R2082" s="154" t="s">
        <v>66</v>
      </c>
      <c r="S2082" s="154" t="s">
        <v>66</v>
      </c>
      <c r="T2082" s="155" t="s">
        <v>64</v>
      </c>
      <c r="U2082" s="155" t="s">
        <v>64</v>
      </c>
      <c r="V2082" s="154" t="s">
        <v>60</v>
      </c>
      <c r="W2082" s="154" t="s">
        <v>60</v>
      </c>
      <c r="X2082" s="154" t="s">
        <v>66</v>
      </c>
      <c r="Y2082" s="155" t="s">
        <v>64</v>
      </c>
      <c r="Z2082" s="154" t="s">
        <v>60</v>
      </c>
      <c r="AA2082" s="154"/>
      <c r="AB2082" s="242" t="str">
        <f t="shared" si="2"/>
        <v>#ERROR!</v>
      </c>
      <c r="AC2082" s="154" t="s">
        <v>391</v>
      </c>
      <c r="AD2082" s="242" t="b">
        <f t="shared" si="3"/>
        <v>0</v>
      </c>
      <c r="AE2082" s="154"/>
      <c r="AF2082" s="242" t="str">
        <f t="shared" si="4"/>
        <v>#ERROR!</v>
      </c>
      <c r="AG2082" s="154"/>
      <c r="AH2082" s="242" t="str">
        <f>IF(AG2082="","N/A",INDIRECT("MTR!"&amp;ADDRESS(MATCH(LEFT(AG2082,9),[1]MTR!C:C,0),COLUMN(J2082)),TRUE) &amp; "")</f>
        <v>#ERROR!</v>
      </c>
      <c r="AI2082" s="157" t="str">
        <f t="shared" si="5"/>
        <v>#ERROR!</v>
      </c>
    </row>
    <row r="2083" ht="12.75" customHeight="1">
      <c r="A2083" s="244" t="s">
        <v>5158</v>
      </c>
      <c r="B2083" s="244" t="s">
        <v>231</v>
      </c>
      <c r="C2083" s="244" t="s">
        <v>11843</v>
      </c>
      <c r="D2083" s="154" t="s">
        <v>542</v>
      </c>
      <c r="E2083" s="154"/>
      <c r="F2083" s="154" t="str">
        <f t="array" ref="F2083">XLOOKUP(Cover!$D$12,$R$1:$Z$1,$R2083:$Z2083)</f>
        <v>Mandatory</v>
      </c>
      <c r="G2083" s="154" t="s">
        <v>11844</v>
      </c>
      <c r="H2083" s="154" t="s">
        <v>8519</v>
      </c>
      <c r="I2083" s="154" t="s">
        <v>11836</v>
      </c>
      <c r="J2083" s="154" t="s">
        <v>6919</v>
      </c>
      <c r="K2083" s="154" t="s">
        <v>11675</v>
      </c>
      <c r="L2083" s="154" t="s">
        <v>6140</v>
      </c>
      <c r="M2083" s="154" t="s">
        <v>175</v>
      </c>
      <c r="N2083" s="154" t="s">
        <v>759</v>
      </c>
      <c r="O2083" s="247" t="s">
        <v>516</v>
      </c>
      <c r="P2083" s="247" t="s">
        <v>6776</v>
      </c>
      <c r="Q2083" s="154" t="str">
        <f t="shared" si="1"/>
        <v>#ERROR!</v>
      </c>
      <c r="R2083" s="154" t="s">
        <v>66</v>
      </c>
      <c r="S2083" s="154" t="s">
        <v>66</v>
      </c>
      <c r="T2083" s="155" t="s">
        <v>64</v>
      </c>
      <c r="U2083" s="155" t="s">
        <v>64</v>
      </c>
      <c r="V2083" s="154" t="s">
        <v>60</v>
      </c>
      <c r="W2083" s="154" t="s">
        <v>60</v>
      </c>
      <c r="X2083" s="154" t="s">
        <v>66</v>
      </c>
      <c r="Y2083" s="155" t="s">
        <v>64</v>
      </c>
      <c r="Z2083" s="154" t="s">
        <v>60</v>
      </c>
      <c r="AA2083" s="154"/>
      <c r="AB2083" s="242" t="str">
        <f t="shared" si="2"/>
        <v>#ERROR!</v>
      </c>
      <c r="AC2083" s="154" t="s">
        <v>391</v>
      </c>
      <c r="AD2083" s="242" t="b">
        <f t="shared" si="3"/>
        <v>0</v>
      </c>
      <c r="AE2083" s="154"/>
      <c r="AF2083" s="242" t="str">
        <f t="shared" si="4"/>
        <v>#ERROR!</v>
      </c>
      <c r="AG2083" s="154"/>
      <c r="AH2083" s="242" t="str">
        <f>IF(AG2083="","N/A",INDIRECT("MTR!"&amp;ADDRESS(MATCH(LEFT(AG2083,9),[1]MTR!C:C,0),COLUMN(J2083)),TRUE) &amp; "")</f>
        <v>#ERROR!</v>
      </c>
      <c r="AI2083" s="157" t="str">
        <f t="shared" si="5"/>
        <v>#ERROR!</v>
      </c>
    </row>
    <row r="2084" ht="12.75" customHeight="1">
      <c r="A2084" s="244" t="s">
        <v>5158</v>
      </c>
      <c r="B2084" s="244" t="s">
        <v>231</v>
      </c>
      <c r="C2084" s="244" t="s">
        <v>11845</v>
      </c>
      <c r="D2084" s="154" t="s">
        <v>542</v>
      </c>
      <c r="E2084" s="154"/>
      <c r="F2084" s="154" t="str">
        <f t="array" ref="F2084">XLOOKUP(Cover!$D$12,$R$1:$Z$1,$R2084:$Z2084)</f>
        <v>Mandatory</v>
      </c>
      <c r="G2084" s="154" t="s">
        <v>11846</v>
      </c>
      <c r="H2084" s="154" t="s">
        <v>9015</v>
      </c>
      <c r="I2084" s="154" t="s">
        <v>11836</v>
      </c>
      <c r="J2084" s="154" t="s">
        <v>6919</v>
      </c>
      <c r="K2084" s="154" t="s">
        <v>11675</v>
      </c>
      <c r="L2084" s="154" t="s">
        <v>6140</v>
      </c>
      <c r="M2084" s="154" t="s">
        <v>175</v>
      </c>
      <c r="N2084" s="154" t="s">
        <v>759</v>
      </c>
      <c r="O2084" s="247" t="s">
        <v>516</v>
      </c>
      <c r="P2084" s="247" t="s">
        <v>6776</v>
      </c>
      <c r="Q2084" s="154" t="str">
        <f t="shared" si="1"/>
        <v>#ERROR!</v>
      </c>
      <c r="R2084" s="154" t="s">
        <v>66</v>
      </c>
      <c r="S2084" s="154" t="s">
        <v>66</v>
      </c>
      <c r="T2084" s="155" t="s">
        <v>64</v>
      </c>
      <c r="U2084" s="155" t="s">
        <v>64</v>
      </c>
      <c r="V2084" s="154" t="s">
        <v>60</v>
      </c>
      <c r="W2084" s="154" t="s">
        <v>60</v>
      </c>
      <c r="X2084" s="154" t="s">
        <v>66</v>
      </c>
      <c r="Y2084" s="155" t="s">
        <v>64</v>
      </c>
      <c r="Z2084" s="154" t="s">
        <v>60</v>
      </c>
      <c r="AA2084" s="154"/>
      <c r="AB2084" s="242" t="str">
        <f t="shared" si="2"/>
        <v>#ERROR!</v>
      </c>
      <c r="AC2084" s="154" t="s">
        <v>391</v>
      </c>
      <c r="AD2084" s="242" t="b">
        <f t="shared" si="3"/>
        <v>0</v>
      </c>
      <c r="AE2084" s="154"/>
      <c r="AF2084" s="242" t="str">
        <f t="shared" si="4"/>
        <v>#ERROR!</v>
      </c>
      <c r="AG2084" s="154"/>
      <c r="AH2084" s="242" t="str">
        <f>IF(AG2084="","N/A",INDIRECT("MTR!"&amp;ADDRESS(MATCH(LEFT(AG2084,9),[1]MTR!C:C,0),COLUMN(J2084)),TRUE) &amp; "")</f>
        <v>#ERROR!</v>
      </c>
      <c r="AI2084" s="157" t="str">
        <f t="shared" si="5"/>
        <v>#ERROR!</v>
      </c>
    </row>
    <row r="2085" ht="12.75" customHeight="1">
      <c r="A2085" s="244" t="s">
        <v>5158</v>
      </c>
      <c r="B2085" s="244" t="s">
        <v>231</v>
      </c>
      <c r="C2085" s="244" t="s">
        <v>11847</v>
      </c>
      <c r="D2085" s="154" t="s">
        <v>542</v>
      </c>
      <c r="E2085" s="154"/>
      <c r="F2085" s="154" t="str">
        <f t="array" ref="F2085">XLOOKUP(Cover!$D$12,$R$1:$Z$1,$R2085:$Z2085)</f>
        <v>Mandatory</v>
      </c>
      <c r="G2085" s="154" t="s">
        <v>11848</v>
      </c>
      <c r="H2085" s="154" t="s">
        <v>8507</v>
      </c>
      <c r="I2085" s="154" t="s">
        <v>11849</v>
      </c>
      <c r="J2085" s="154" t="s">
        <v>7486</v>
      </c>
      <c r="K2085" s="154" t="s">
        <v>11675</v>
      </c>
      <c r="L2085" s="154" t="s">
        <v>6525</v>
      </c>
      <c r="M2085" s="154" t="s">
        <v>175</v>
      </c>
      <c r="N2085" s="154" t="s">
        <v>759</v>
      </c>
      <c r="O2085" s="247" t="s">
        <v>516</v>
      </c>
      <c r="P2085" s="247" t="s">
        <v>6776</v>
      </c>
      <c r="Q2085" s="154" t="str">
        <f t="shared" si="1"/>
        <v>#ERROR!</v>
      </c>
      <c r="R2085" s="154" t="s">
        <v>66</v>
      </c>
      <c r="S2085" s="154" t="s">
        <v>66</v>
      </c>
      <c r="T2085" s="155" t="s">
        <v>64</v>
      </c>
      <c r="U2085" s="155" t="s">
        <v>64</v>
      </c>
      <c r="V2085" s="154" t="s">
        <v>60</v>
      </c>
      <c r="W2085" s="154" t="s">
        <v>60</v>
      </c>
      <c r="X2085" s="154" t="s">
        <v>66</v>
      </c>
      <c r="Y2085" s="155" t="s">
        <v>64</v>
      </c>
      <c r="Z2085" s="154" t="s">
        <v>60</v>
      </c>
      <c r="AA2085" s="154"/>
      <c r="AB2085" s="242" t="str">
        <f t="shared" si="2"/>
        <v>#ERROR!</v>
      </c>
      <c r="AC2085" s="154" t="s">
        <v>391</v>
      </c>
      <c r="AD2085" s="242" t="b">
        <f t="shared" si="3"/>
        <v>0</v>
      </c>
      <c r="AE2085" s="154"/>
      <c r="AF2085" s="242" t="str">
        <f t="shared" si="4"/>
        <v>#ERROR!</v>
      </c>
      <c r="AG2085" s="154"/>
      <c r="AH2085" s="242" t="str">
        <f>IF(AG2085="","N/A",INDIRECT("MTR!"&amp;ADDRESS(MATCH(LEFT(AG2085,9),[1]MTR!C:C,0),COLUMN(J2085)),TRUE) &amp; "")</f>
        <v>#ERROR!</v>
      </c>
      <c r="AI2085" s="157" t="str">
        <f t="shared" si="5"/>
        <v>#ERROR!</v>
      </c>
    </row>
    <row r="2086" ht="12.75" customHeight="1">
      <c r="A2086" s="244" t="s">
        <v>5158</v>
      </c>
      <c r="B2086" s="244" t="s">
        <v>231</v>
      </c>
      <c r="C2086" s="244" t="s">
        <v>11850</v>
      </c>
      <c r="D2086" s="154" t="s">
        <v>542</v>
      </c>
      <c r="E2086" s="154"/>
      <c r="F2086" s="154" t="str">
        <f t="array" ref="F2086">XLOOKUP(Cover!$D$12,$R$1:$Z$1,$R2086:$Z2086)</f>
        <v>Mandatory</v>
      </c>
      <c r="G2086" s="154" t="s">
        <v>11851</v>
      </c>
      <c r="H2086" s="154" t="s">
        <v>9002</v>
      </c>
      <c r="I2086" s="154" t="s">
        <v>11849</v>
      </c>
      <c r="J2086" s="154" t="s">
        <v>7486</v>
      </c>
      <c r="K2086" s="154" t="s">
        <v>11675</v>
      </c>
      <c r="L2086" s="154" t="s">
        <v>6525</v>
      </c>
      <c r="M2086" s="154" t="s">
        <v>175</v>
      </c>
      <c r="N2086" s="154" t="s">
        <v>759</v>
      </c>
      <c r="O2086" s="247" t="s">
        <v>516</v>
      </c>
      <c r="P2086" s="247" t="s">
        <v>6776</v>
      </c>
      <c r="Q2086" s="154" t="str">
        <f t="shared" si="1"/>
        <v>#ERROR!</v>
      </c>
      <c r="R2086" s="154" t="s">
        <v>66</v>
      </c>
      <c r="S2086" s="154" t="s">
        <v>66</v>
      </c>
      <c r="T2086" s="155" t="s">
        <v>64</v>
      </c>
      <c r="U2086" s="155" t="s">
        <v>64</v>
      </c>
      <c r="V2086" s="154" t="s">
        <v>60</v>
      </c>
      <c r="W2086" s="154" t="s">
        <v>60</v>
      </c>
      <c r="X2086" s="154" t="s">
        <v>66</v>
      </c>
      <c r="Y2086" s="155" t="s">
        <v>64</v>
      </c>
      <c r="Z2086" s="154" t="s">
        <v>60</v>
      </c>
      <c r="AA2086" s="154"/>
      <c r="AB2086" s="242" t="str">
        <f t="shared" si="2"/>
        <v>#ERROR!</v>
      </c>
      <c r="AC2086" s="154" t="s">
        <v>391</v>
      </c>
      <c r="AD2086" s="242" t="b">
        <f t="shared" si="3"/>
        <v>0</v>
      </c>
      <c r="AE2086" s="154"/>
      <c r="AF2086" s="242" t="str">
        <f t="shared" si="4"/>
        <v>#ERROR!</v>
      </c>
      <c r="AG2086" s="154"/>
      <c r="AH2086" s="242" t="str">
        <f>IF(AG2086="","N/A",INDIRECT("MTR!"&amp;ADDRESS(MATCH(LEFT(AG2086,9),[1]MTR!C:C,0),COLUMN(J2086)),TRUE) &amp; "")</f>
        <v>#ERROR!</v>
      </c>
      <c r="AI2086" s="157" t="str">
        <f t="shared" si="5"/>
        <v>#ERROR!</v>
      </c>
    </row>
    <row r="2087" ht="12.75" customHeight="1">
      <c r="A2087" s="244" t="s">
        <v>5158</v>
      </c>
      <c r="B2087" s="244" t="s">
        <v>231</v>
      </c>
      <c r="C2087" s="244" t="s">
        <v>11852</v>
      </c>
      <c r="D2087" s="154" t="s">
        <v>542</v>
      </c>
      <c r="E2087" s="154"/>
      <c r="F2087" s="154" t="str">
        <f t="array" ref="F2087">XLOOKUP(Cover!$D$12,$R$1:$Z$1,$R2087:$Z2087)</f>
        <v>Recommended</v>
      </c>
      <c r="G2087" s="154" t="s">
        <v>11853</v>
      </c>
      <c r="H2087" s="154" t="s">
        <v>8513</v>
      </c>
      <c r="I2087" s="154" t="s">
        <v>11849</v>
      </c>
      <c r="J2087" s="154" t="s">
        <v>7486</v>
      </c>
      <c r="K2087" s="154" t="s">
        <v>11675</v>
      </c>
      <c r="L2087" s="154" t="s">
        <v>6525</v>
      </c>
      <c r="M2087" s="154"/>
      <c r="N2087" s="154" t="s">
        <v>759</v>
      </c>
      <c r="O2087" s="247" t="s">
        <v>516</v>
      </c>
      <c r="P2087" s="247" t="s">
        <v>6776</v>
      </c>
      <c r="Q2087" s="154" t="str">
        <f t="shared" si="1"/>
        <v>#ERROR!</v>
      </c>
      <c r="R2087" s="154" t="s">
        <v>66</v>
      </c>
      <c r="S2087" s="154" t="s">
        <v>66</v>
      </c>
      <c r="T2087" s="154" t="s">
        <v>64</v>
      </c>
      <c r="U2087" s="154" t="s">
        <v>64</v>
      </c>
      <c r="V2087" s="154" t="s">
        <v>64</v>
      </c>
      <c r="W2087" s="154" t="s">
        <v>64</v>
      </c>
      <c r="X2087" s="154" t="s">
        <v>66</v>
      </c>
      <c r="Y2087" s="154" t="s">
        <v>64</v>
      </c>
      <c r="Z2087" s="154" t="s">
        <v>64</v>
      </c>
      <c r="AA2087" s="154"/>
      <c r="AB2087" s="242" t="str">
        <f t="shared" si="2"/>
        <v>#ERROR!</v>
      </c>
      <c r="AC2087" s="154" t="s">
        <v>391</v>
      </c>
      <c r="AD2087" s="242" t="b">
        <f t="shared" si="3"/>
        <v>0</v>
      </c>
      <c r="AE2087" s="154"/>
      <c r="AF2087" s="242" t="str">
        <f t="shared" si="4"/>
        <v>#ERROR!</v>
      </c>
      <c r="AG2087" s="154"/>
      <c r="AH2087" s="242" t="str">
        <f>IF(AG2087="","N/A",INDIRECT("MTR!"&amp;ADDRESS(MATCH(LEFT(AG2087,9),[1]MTR!C:C,0),COLUMN(J2087)),TRUE) &amp; "")</f>
        <v>#ERROR!</v>
      </c>
      <c r="AI2087" s="157" t="str">
        <f t="shared" si="5"/>
        <v>#ERROR!</v>
      </c>
    </row>
    <row r="2088" ht="12.75" customHeight="1">
      <c r="A2088" s="244" t="s">
        <v>5158</v>
      </c>
      <c r="B2088" s="244" t="s">
        <v>231</v>
      </c>
      <c r="C2088" s="244" t="s">
        <v>11854</v>
      </c>
      <c r="D2088" s="154" t="s">
        <v>542</v>
      </c>
      <c r="E2088" s="154"/>
      <c r="F2088" s="154" t="str">
        <f t="array" ref="F2088">XLOOKUP(Cover!$D$12,$R$1:$Z$1,$R2088:$Z2088)</f>
        <v>Recommended</v>
      </c>
      <c r="G2088" s="154" t="s">
        <v>11855</v>
      </c>
      <c r="H2088" s="154" t="s">
        <v>9009</v>
      </c>
      <c r="I2088" s="154" t="s">
        <v>11849</v>
      </c>
      <c r="J2088" s="154" t="s">
        <v>7486</v>
      </c>
      <c r="K2088" s="154" t="s">
        <v>11675</v>
      </c>
      <c r="L2088" s="154" t="s">
        <v>6525</v>
      </c>
      <c r="M2088" s="154"/>
      <c r="N2088" s="154" t="s">
        <v>759</v>
      </c>
      <c r="O2088" s="247" t="s">
        <v>516</v>
      </c>
      <c r="P2088" s="247" t="s">
        <v>6776</v>
      </c>
      <c r="Q2088" s="154" t="str">
        <f t="shared" si="1"/>
        <v>#ERROR!</v>
      </c>
      <c r="R2088" s="154" t="s">
        <v>66</v>
      </c>
      <c r="S2088" s="154" t="s">
        <v>66</v>
      </c>
      <c r="T2088" s="154" t="s">
        <v>64</v>
      </c>
      <c r="U2088" s="154" t="s">
        <v>64</v>
      </c>
      <c r="V2088" s="154" t="s">
        <v>64</v>
      </c>
      <c r="W2088" s="154" t="s">
        <v>64</v>
      </c>
      <c r="X2088" s="154" t="s">
        <v>66</v>
      </c>
      <c r="Y2088" s="154" t="s">
        <v>64</v>
      </c>
      <c r="Z2088" s="154" t="s">
        <v>64</v>
      </c>
      <c r="AA2088" s="154"/>
      <c r="AB2088" s="242" t="str">
        <f t="shared" si="2"/>
        <v>#ERROR!</v>
      </c>
      <c r="AC2088" s="154" t="s">
        <v>391</v>
      </c>
      <c r="AD2088" s="242" t="b">
        <f t="shared" si="3"/>
        <v>0</v>
      </c>
      <c r="AE2088" s="154"/>
      <c r="AF2088" s="242" t="str">
        <f t="shared" si="4"/>
        <v>#ERROR!</v>
      </c>
      <c r="AG2088" s="154"/>
      <c r="AH2088" s="242" t="str">
        <f>IF(AG2088="","N/A",INDIRECT("MTR!"&amp;ADDRESS(MATCH(LEFT(AG2088,9),[1]MTR!C:C,0),COLUMN(J2088)),TRUE) &amp; "")</f>
        <v>#ERROR!</v>
      </c>
      <c r="AI2088" s="157" t="str">
        <f t="shared" si="5"/>
        <v>#ERROR!</v>
      </c>
    </row>
    <row r="2089" ht="12.75" customHeight="1">
      <c r="A2089" s="244" t="s">
        <v>5158</v>
      </c>
      <c r="B2089" s="244" t="s">
        <v>231</v>
      </c>
      <c r="C2089" s="244" t="s">
        <v>11856</v>
      </c>
      <c r="D2089" s="154" t="s">
        <v>542</v>
      </c>
      <c r="E2089" s="154"/>
      <c r="F2089" s="154" t="str">
        <f t="array" ref="F2089">XLOOKUP(Cover!$D$12,$R$1:$Z$1,$R2089:$Z2089)</f>
        <v>Recommended</v>
      </c>
      <c r="G2089" s="154" t="s">
        <v>11857</v>
      </c>
      <c r="H2089" s="154" t="s">
        <v>8573</v>
      </c>
      <c r="I2089" s="154" t="s">
        <v>11849</v>
      </c>
      <c r="J2089" s="154" t="s">
        <v>7486</v>
      </c>
      <c r="K2089" s="154" t="s">
        <v>11675</v>
      </c>
      <c r="L2089" s="154" t="s">
        <v>6525</v>
      </c>
      <c r="M2089" s="154"/>
      <c r="N2089" s="154" t="s">
        <v>759</v>
      </c>
      <c r="O2089" s="247" t="s">
        <v>516</v>
      </c>
      <c r="P2089" s="247" t="s">
        <v>6776</v>
      </c>
      <c r="Q2089" s="154" t="str">
        <f t="shared" si="1"/>
        <v>#ERROR!</v>
      </c>
      <c r="R2089" s="154" t="s">
        <v>66</v>
      </c>
      <c r="S2089" s="154" t="s">
        <v>66</v>
      </c>
      <c r="T2089" s="154" t="s">
        <v>64</v>
      </c>
      <c r="U2089" s="154" t="s">
        <v>64</v>
      </c>
      <c r="V2089" s="154" t="s">
        <v>64</v>
      </c>
      <c r="W2089" s="154" t="s">
        <v>64</v>
      </c>
      <c r="X2089" s="154" t="s">
        <v>66</v>
      </c>
      <c r="Y2089" s="154" t="s">
        <v>64</v>
      </c>
      <c r="Z2089" s="154" t="s">
        <v>64</v>
      </c>
      <c r="AA2089" s="154"/>
      <c r="AB2089" s="242" t="str">
        <f t="shared" si="2"/>
        <v>#ERROR!</v>
      </c>
      <c r="AC2089" s="154" t="s">
        <v>391</v>
      </c>
      <c r="AD2089" s="242" t="b">
        <f t="shared" si="3"/>
        <v>0</v>
      </c>
      <c r="AE2089" s="154"/>
      <c r="AF2089" s="242" t="str">
        <f t="shared" si="4"/>
        <v>#ERROR!</v>
      </c>
      <c r="AG2089" s="154"/>
      <c r="AH2089" s="242" t="str">
        <f>IF(AG2089="","N/A",INDIRECT("MTR!"&amp;ADDRESS(MATCH(LEFT(AG2089,9),[1]MTR!C:C,0),COLUMN(J2089)),TRUE) &amp; "")</f>
        <v>#ERROR!</v>
      </c>
      <c r="AI2089" s="157" t="str">
        <f t="shared" si="5"/>
        <v>#ERROR!</v>
      </c>
    </row>
    <row r="2090" ht="12.75" customHeight="1">
      <c r="A2090" s="244" t="s">
        <v>5158</v>
      </c>
      <c r="B2090" s="244" t="s">
        <v>231</v>
      </c>
      <c r="C2090" s="244" t="s">
        <v>11858</v>
      </c>
      <c r="D2090" s="154" t="s">
        <v>542</v>
      </c>
      <c r="E2090" s="154"/>
      <c r="F2090" s="154" t="str">
        <f t="array" ref="F2090">XLOOKUP(Cover!$D$12,$R$1:$Z$1,$R2090:$Z2090)</f>
        <v>Recommended</v>
      </c>
      <c r="G2090" s="154" t="s">
        <v>11859</v>
      </c>
      <c r="H2090" s="154" t="s">
        <v>9084</v>
      </c>
      <c r="I2090" s="154" t="s">
        <v>11849</v>
      </c>
      <c r="J2090" s="154" t="s">
        <v>7486</v>
      </c>
      <c r="K2090" s="154" t="s">
        <v>11675</v>
      </c>
      <c r="L2090" s="154" t="s">
        <v>6525</v>
      </c>
      <c r="M2090" s="154"/>
      <c r="N2090" s="154" t="s">
        <v>759</v>
      </c>
      <c r="O2090" s="247" t="s">
        <v>516</v>
      </c>
      <c r="P2090" s="247" t="s">
        <v>6776</v>
      </c>
      <c r="Q2090" s="154" t="str">
        <f t="shared" si="1"/>
        <v>#ERROR!</v>
      </c>
      <c r="R2090" s="154" t="s">
        <v>66</v>
      </c>
      <c r="S2090" s="154" t="s">
        <v>66</v>
      </c>
      <c r="T2090" s="154" t="s">
        <v>64</v>
      </c>
      <c r="U2090" s="154" t="s">
        <v>64</v>
      </c>
      <c r="V2090" s="154" t="s">
        <v>64</v>
      </c>
      <c r="W2090" s="154" t="s">
        <v>64</v>
      </c>
      <c r="X2090" s="154" t="s">
        <v>66</v>
      </c>
      <c r="Y2090" s="154" t="s">
        <v>64</v>
      </c>
      <c r="Z2090" s="154" t="s">
        <v>64</v>
      </c>
      <c r="AA2090" s="154"/>
      <c r="AB2090" s="242" t="str">
        <f t="shared" si="2"/>
        <v>#ERROR!</v>
      </c>
      <c r="AC2090" s="154" t="s">
        <v>391</v>
      </c>
      <c r="AD2090" s="242" t="b">
        <f t="shared" si="3"/>
        <v>0</v>
      </c>
      <c r="AE2090" s="154"/>
      <c r="AF2090" s="242" t="str">
        <f t="shared" si="4"/>
        <v>#ERROR!</v>
      </c>
      <c r="AG2090" s="154"/>
      <c r="AH2090" s="242" t="str">
        <f>IF(AG2090="","N/A",INDIRECT("MTR!"&amp;ADDRESS(MATCH(LEFT(AG2090,9),[1]MTR!C:C,0),COLUMN(J2090)),TRUE) &amp; "")</f>
        <v>#ERROR!</v>
      </c>
      <c r="AI2090" s="157" t="str">
        <f t="shared" si="5"/>
        <v>#ERROR!</v>
      </c>
    </row>
    <row r="2091" ht="12.75" customHeight="1">
      <c r="A2091" s="244" t="s">
        <v>5158</v>
      </c>
      <c r="B2091" s="244" t="s">
        <v>231</v>
      </c>
      <c r="C2091" s="244" t="s">
        <v>11860</v>
      </c>
      <c r="D2091" s="154" t="s">
        <v>1315</v>
      </c>
      <c r="E2091" s="154"/>
      <c r="F2091" s="154" t="str">
        <f t="array" ref="F2091">XLOOKUP(Cover!$D$12,$R$1:$Z$1,$R2091:$Z2091)</f>
        <v>Recommended</v>
      </c>
      <c r="G2091" s="154" t="s">
        <v>11861</v>
      </c>
      <c r="H2091" s="154" t="s">
        <v>8507</v>
      </c>
      <c r="I2091" s="154" t="s">
        <v>11862</v>
      </c>
      <c r="J2091" s="154" t="s">
        <v>7494</v>
      </c>
      <c r="K2091" s="154" t="s">
        <v>11675</v>
      </c>
      <c r="L2091" s="154" t="s">
        <v>6022</v>
      </c>
      <c r="M2091" s="154"/>
      <c r="N2091" s="154" t="s">
        <v>759</v>
      </c>
      <c r="O2091" s="247" t="s">
        <v>516</v>
      </c>
      <c r="P2091" s="247" t="s">
        <v>6776</v>
      </c>
      <c r="Q2091" s="154" t="str">
        <f t="shared" si="1"/>
        <v>#ERROR!</v>
      </c>
      <c r="R2091" s="154" t="s">
        <v>66</v>
      </c>
      <c r="S2091" s="154" t="s">
        <v>66</v>
      </c>
      <c r="T2091" s="154" t="s">
        <v>64</v>
      </c>
      <c r="U2091" s="154" t="s">
        <v>64</v>
      </c>
      <c r="V2091" s="154" t="s">
        <v>64</v>
      </c>
      <c r="W2091" s="154" t="s">
        <v>64</v>
      </c>
      <c r="X2091" s="154" t="s">
        <v>66</v>
      </c>
      <c r="Y2091" s="154" t="s">
        <v>64</v>
      </c>
      <c r="Z2091" s="154" t="s">
        <v>64</v>
      </c>
      <c r="AA2091" s="154"/>
      <c r="AB2091" s="242" t="str">
        <f t="shared" si="2"/>
        <v>#ERROR!</v>
      </c>
      <c r="AC2091" s="154" t="s">
        <v>391</v>
      </c>
      <c r="AD2091" s="242" t="b">
        <f t="shared" si="3"/>
        <v>0</v>
      </c>
      <c r="AE2091" s="154"/>
      <c r="AF2091" s="242" t="str">
        <f t="shared" si="4"/>
        <v>#ERROR!</v>
      </c>
      <c r="AG2091" s="154"/>
      <c r="AH2091" s="242" t="str">
        <f>IF(AG2091="","N/A",INDIRECT("MTR!"&amp;ADDRESS(MATCH(LEFT(AG2091,9),[1]MTR!C:C,0),COLUMN(J2091)),TRUE) &amp; "")</f>
        <v>#ERROR!</v>
      </c>
      <c r="AI2091" s="157" t="str">
        <f t="shared" si="5"/>
        <v>#ERROR!</v>
      </c>
    </row>
    <row r="2092" ht="12.75" customHeight="1">
      <c r="A2092" s="244" t="s">
        <v>5158</v>
      </c>
      <c r="B2092" s="244" t="s">
        <v>231</v>
      </c>
      <c r="C2092" s="244" t="s">
        <v>11863</v>
      </c>
      <c r="D2092" s="154" t="s">
        <v>1315</v>
      </c>
      <c r="E2092" s="154"/>
      <c r="F2092" s="154" t="str">
        <f t="array" ref="F2092">XLOOKUP(Cover!$D$12,$R$1:$Z$1,$R2092:$Z2092)</f>
        <v>Recommended</v>
      </c>
      <c r="G2092" s="154" t="s">
        <v>11864</v>
      </c>
      <c r="H2092" s="154" t="s">
        <v>9002</v>
      </c>
      <c r="I2092" s="154" t="s">
        <v>11862</v>
      </c>
      <c r="J2092" s="154" t="s">
        <v>7494</v>
      </c>
      <c r="K2092" s="154" t="s">
        <v>11675</v>
      </c>
      <c r="L2092" s="154" t="s">
        <v>6022</v>
      </c>
      <c r="M2092" s="154"/>
      <c r="N2092" s="154" t="s">
        <v>759</v>
      </c>
      <c r="O2092" s="247" t="s">
        <v>516</v>
      </c>
      <c r="P2092" s="247" t="s">
        <v>6776</v>
      </c>
      <c r="Q2092" s="154" t="str">
        <f t="shared" si="1"/>
        <v>#ERROR!</v>
      </c>
      <c r="R2092" s="154" t="s">
        <v>66</v>
      </c>
      <c r="S2092" s="154" t="s">
        <v>66</v>
      </c>
      <c r="T2092" s="154" t="s">
        <v>64</v>
      </c>
      <c r="U2092" s="154" t="s">
        <v>64</v>
      </c>
      <c r="V2092" s="154" t="s">
        <v>64</v>
      </c>
      <c r="W2092" s="154" t="s">
        <v>64</v>
      </c>
      <c r="X2092" s="154" t="s">
        <v>66</v>
      </c>
      <c r="Y2092" s="154" t="s">
        <v>64</v>
      </c>
      <c r="Z2092" s="154" t="s">
        <v>64</v>
      </c>
      <c r="AA2092" s="154"/>
      <c r="AB2092" s="242" t="str">
        <f t="shared" si="2"/>
        <v>#ERROR!</v>
      </c>
      <c r="AC2092" s="154" t="s">
        <v>391</v>
      </c>
      <c r="AD2092" s="242" t="b">
        <f t="shared" si="3"/>
        <v>0</v>
      </c>
      <c r="AE2092" s="154"/>
      <c r="AF2092" s="242" t="str">
        <f t="shared" si="4"/>
        <v>#ERROR!</v>
      </c>
      <c r="AG2092" s="154"/>
      <c r="AH2092" s="242" t="str">
        <f>IF(AG2092="","N/A",INDIRECT("MTR!"&amp;ADDRESS(MATCH(LEFT(AG2092,9),[1]MTR!C:C,0),COLUMN(J2092)),TRUE) &amp; "")</f>
        <v>#ERROR!</v>
      </c>
      <c r="AI2092" s="157" t="str">
        <f t="shared" si="5"/>
        <v>#ERROR!</v>
      </c>
    </row>
    <row r="2093" ht="12.75" customHeight="1">
      <c r="A2093" s="244" t="s">
        <v>5158</v>
      </c>
      <c r="B2093" s="244" t="s">
        <v>231</v>
      </c>
      <c r="C2093" s="244" t="s">
        <v>11865</v>
      </c>
      <c r="D2093" s="154" t="s">
        <v>1315</v>
      </c>
      <c r="E2093" s="154"/>
      <c r="F2093" s="154" t="str">
        <f t="array" ref="F2093">XLOOKUP(Cover!$D$12,$R$1:$Z$1,$R2093:$Z2093)</f>
        <v>Information</v>
      </c>
      <c r="G2093" s="154" t="s">
        <v>11866</v>
      </c>
      <c r="H2093" s="154" t="s">
        <v>8513</v>
      </c>
      <c r="I2093" s="154" t="s">
        <v>11862</v>
      </c>
      <c r="J2093" s="154" t="s">
        <v>7494</v>
      </c>
      <c r="K2093" s="154" t="s">
        <v>11675</v>
      </c>
      <c r="L2093" s="154" t="s">
        <v>6022</v>
      </c>
      <c r="M2093" s="154"/>
      <c r="N2093" s="154" t="s">
        <v>759</v>
      </c>
      <c r="O2093" s="247" t="s">
        <v>516</v>
      </c>
      <c r="P2093" s="247" t="s">
        <v>6776</v>
      </c>
      <c r="Q2093" s="154" t="str">
        <f t="shared" si="1"/>
        <v>#ERROR!</v>
      </c>
      <c r="R2093" s="154" t="s">
        <v>66</v>
      </c>
      <c r="S2093" s="154" t="s">
        <v>66</v>
      </c>
      <c r="T2093" s="154" t="s">
        <v>66</v>
      </c>
      <c r="U2093" s="154" t="s">
        <v>66</v>
      </c>
      <c r="V2093" s="154" t="s">
        <v>66</v>
      </c>
      <c r="W2093" s="154" t="s">
        <v>66</v>
      </c>
      <c r="X2093" s="154" t="s">
        <v>66</v>
      </c>
      <c r="Y2093" s="154" t="s">
        <v>66</v>
      </c>
      <c r="Z2093" s="154" t="s">
        <v>66</v>
      </c>
      <c r="AA2093" s="154"/>
      <c r="AB2093" s="242" t="str">
        <f t="shared" si="2"/>
        <v>#ERROR!</v>
      </c>
      <c r="AC2093" s="154" t="s">
        <v>391</v>
      </c>
      <c r="AD2093" s="242" t="b">
        <f t="shared" si="3"/>
        <v>0</v>
      </c>
      <c r="AE2093" s="154"/>
      <c r="AF2093" s="242" t="str">
        <f t="shared" si="4"/>
        <v>#ERROR!</v>
      </c>
      <c r="AG2093" s="154"/>
      <c r="AH2093" s="242" t="str">
        <f>IF(AG2093="","N/A",INDIRECT("MTR!"&amp;ADDRESS(MATCH(LEFT(AG2093,9),[1]MTR!C:C,0),COLUMN(J2093)),TRUE) &amp; "")</f>
        <v>#ERROR!</v>
      </c>
      <c r="AI2093" s="157" t="str">
        <f t="shared" si="5"/>
        <v>#ERROR!</v>
      </c>
    </row>
    <row r="2094" ht="12.75" customHeight="1">
      <c r="A2094" s="244" t="s">
        <v>5158</v>
      </c>
      <c r="B2094" s="244" t="s">
        <v>231</v>
      </c>
      <c r="C2094" s="244" t="s">
        <v>11867</v>
      </c>
      <c r="D2094" s="154" t="s">
        <v>1315</v>
      </c>
      <c r="E2094" s="154"/>
      <c r="F2094" s="154" t="str">
        <f t="array" ref="F2094">XLOOKUP(Cover!$D$12,$R$1:$Z$1,$R2094:$Z2094)</f>
        <v>Information</v>
      </c>
      <c r="G2094" s="154" t="s">
        <v>11868</v>
      </c>
      <c r="H2094" s="154" t="s">
        <v>9009</v>
      </c>
      <c r="I2094" s="154" t="s">
        <v>11862</v>
      </c>
      <c r="J2094" s="154" t="s">
        <v>7494</v>
      </c>
      <c r="K2094" s="154" t="s">
        <v>11675</v>
      </c>
      <c r="L2094" s="154" t="s">
        <v>6022</v>
      </c>
      <c r="M2094" s="154"/>
      <c r="N2094" s="154" t="s">
        <v>759</v>
      </c>
      <c r="O2094" s="247" t="s">
        <v>516</v>
      </c>
      <c r="P2094" s="247" t="s">
        <v>6776</v>
      </c>
      <c r="Q2094" s="154" t="str">
        <f t="shared" si="1"/>
        <v>#ERROR!</v>
      </c>
      <c r="R2094" s="154" t="s">
        <v>66</v>
      </c>
      <c r="S2094" s="154" t="s">
        <v>66</v>
      </c>
      <c r="T2094" s="154" t="s">
        <v>66</v>
      </c>
      <c r="U2094" s="154" t="s">
        <v>66</v>
      </c>
      <c r="V2094" s="154" t="s">
        <v>66</v>
      </c>
      <c r="W2094" s="154" t="s">
        <v>66</v>
      </c>
      <c r="X2094" s="154" t="s">
        <v>66</v>
      </c>
      <c r="Y2094" s="154" t="s">
        <v>66</v>
      </c>
      <c r="Z2094" s="154" t="s">
        <v>66</v>
      </c>
      <c r="AA2094" s="154"/>
      <c r="AB2094" s="242" t="str">
        <f t="shared" si="2"/>
        <v>#ERROR!</v>
      </c>
      <c r="AC2094" s="154" t="s">
        <v>391</v>
      </c>
      <c r="AD2094" s="242" t="b">
        <f t="shared" si="3"/>
        <v>0</v>
      </c>
      <c r="AE2094" s="154"/>
      <c r="AF2094" s="242" t="str">
        <f t="shared" si="4"/>
        <v>#ERROR!</v>
      </c>
      <c r="AG2094" s="154"/>
      <c r="AH2094" s="242" t="str">
        <f>IF(AG2094="","N/A",INDIRECT("MTR!"&amp;ADDRESS(MATCH(LEFT(AG2094,9),[1]MTR!C:C,0),COLUMN(J2094)),TRUE) &amp; "")</f>
        <v>#ERROR!</v>
      </c>
      <c r="AI2094" s="157" t="str">
        <f t="shared" si="5"/>
        <v>#ERROR!</v>
      </c>
    </row>
    <row r="2095" ht="12.75" customHeight="1">
      <c r="A2095" s="244" t="s">
        <v>5158</v>
      </c>
      <c r="B2095" s="244" t="s">
        <v>231</v>
      </c>
      <c r="C2095" s="244" t="s">
        <v>11869</v>
      </c>
      <c r="D2095" s="154" t="s">
        <v>1315</v>
      </c>
      <c r="E2095" s="154"/>
      <c r="F2095" s="154" t="str">
        <f t="array" ref="F2095">XLOOKUP(Cover!$D$12,$R$1:$Z$1,$R2095:$Z2095)</f>
        <v>Information</v>
      </c>
      <c r="G2095" s="154" t="s">
        <v>11870</v>
      </c>
      <c r="H2095" s="154" t="s">
        <v>8516</v>
      </c>
      <c r="I2095" s="154" t="s">
        <v>11862</v>
      </c>
      <c r="J2095" s="154" t="s">
        <v>7494</v>
      </c>
      <c r="K2095" s="154" t="s">
        <v>11675</v>
      </c>
      <c r="L2095" s="154" t="s">
        <v>6022</v>
      </c>
      <c r="M2095" s="154"/>
      <c r="N2095" s="154" t="s">
        <v>759</v>
      </c>
      <c r="O2095" s="247" t="s">
        <v>516</v>
      </c>
      <c r="P2095" s="247" t="s">
        <v>6776</v>
      </c>
      <c r="Q2095" s="154" t="str">
        <f t="shared" si="1"/>
        <v>#ERROR!</v>
      </c>
      <c r="R2095" s="154" t="s">
        <v>66</v>
      </c>
      <c r="S2095" s="154" t="s">
        <v>66</v>
      </c>
      <c r="T2095" s="154" t="s">
        <v>66</v>
      </c>
      <c r="U2095" s="154" t="s">
        <v>66</v>
      </c>
      <c r="V2095" s="154" t="s">
        <v>66</v>
      </c>
      <c r="W2095" s="154" t="s">
        <v>66</v>
      </c>
      <c r="X2095" s="154" t="s">
        <v>66</v>
      </c>
      <c r="Y2095" s="154" t="s">
        <v>66</v>
      </c>
      <c r="Z2095" s="154" t="s">
        <v>66</v>
      </c>
      <c r="AA2095" s="154"/>
      <c r="AB2095" s="242" t="str">
        <f t="shared" si="2"/>
        <v>#ERROR!</v>
      </c>
      <c r="AC2095" s="154" t="s">
        <v>391</v>
      </c>
      <c r="AD2095" s="242" t="b">
        <f t="shared" si="3"/>
        <v>0</v>
      </c>
      <c r="AE2095" s="154"/>
      <c r="AF2095" s="242" t="str">
        <f t="shared" si="4"/>
        <v>#ERROR!</v>
      </c>
      <c r="AG2095" s="154"/>
      <c r="AH2095" s="242" t="str">
        <f>IF(AG2095="","N/A",INDIRECT("MTR!"&amp;ADDRESS(MATCH(LEFT(AG2095,9),[1]MTR!C:C,0),COLUMN(J2095)),TRUE) &amp; "")</f>
        <v>#ERROR!</v>
      </c>
      <c r="AI2095" s="157" t="str">
        <f t="shared" si="5"/>
        <v>#ERROR!</v>
      </c>
    </row>
    <row r="2096" ht="12.75" customHeight="1">
      <c r="A2096" s="244" t="s">
        <v>5158</v>
      </c>
      <c r="B2096" s="244" t="s">
        <v>231</v>
      </c>
      <c r="C2096" s="244" t="s">
        <v>11871</v>
      </c>
      <c r="D2096" s="154" t="s">
        <v>1315</v>
      </c>
      <c r="E2096" s="154"/>
      <c r="F2096" s="154" t="str">
        <f t="array" ref="F2096">XLOOKUP(Cover!$D$12,$R$1:$Z$1,$R2096:$Z2096)</f>
        <v>Information</v>
      </c>
      <c r="G2096" s="154" t="s">
        <v>11872</v>
      </c>
      <c r="H2096" s="154" t="s">
        <v>9012</v>
      </c>
      <c r="I2096" s="154" t="s">
        <v>11862</v>
      </c>
      <c r="J2096" s="154" t="s">
        <v>7494</v>
      </c>
      <c r="K2096" s="154" t="s">
        <v>11675</v>
      </c>
      <c r="L2096" s="154" t="s">
        <v>6022</v>
      </c>
      <c r="M2096" s="154"/>
      <c r="N2096" s="154" t="s">
        <v>759</v>
      </c>
      <c r="O2096" s="247" t="s">
        <v>516</v>
      </c>
      <c r="P2096" s="247" t="s">
        <v>6776</v>
      </c>
      <c r="Q2096" s="154" t="str">
        <f t="shared" si="1"/>
        <v>#ERROR!</v>
      </c>
      <c r="R2096" s="154" t="s">
        <v>66</v>
      </c>
      <c r="S2096" s="154" t="s">
        <v>66</v>
      </c>
      <c r="T2096" s="154" t="s">
        <v>66</v>
      </c>
      <c r="U2096" s="154" t="s">
        <v>66</v>
      </c>
      <c r="V2096" s="154" t="s">
        <v>66</v>
      </c>
      <c r="W2096" s="154" t="s">
        <v>66</v>
      </c>
      <c r="X2096" s="154" t="s">
        <v>66</v>
      </c>
      <c r="Y2096" s="154" t="s">
        <v>66</v>
      </c>
      <c r="Z2096" s="154" t="s">
        <v>66</v>
      </c>
      <c r="AA2096" s="154"/>
      <c r="AB2096" s="242" t="str">
        <f t="shared" si="2"/>
        <v>#ERROR!</v>
      </c>
      <c r="AC2096" s="154" t="s">
        <v>391</v>
      </c>
      <c r="AD2096" s="242" t="b">
        <f t="shared" si="3"/>
        <v>0</v>
      </c>
      <c r="AE2096" s="154"/>
      <c r="AF2096" s="242" t="str">
        <f t="shared" si="4"/>
        <v>#ERROR!</v>
      </c>
      <c r="AG2096" s="154"/>
      <c r="AH2096" s="242" t="str">
        <f>IF(AG2096="","N/A",INDIRECT("MTR!"&amp;ADDRESS(MATCH(LEFT(AG2096,9),[1]MTR!C:C,0),COLUMN(J2096)),TRUE) &amp; "")</f>
        <v>#ERROR!</v>
      </c>
      <c r="AI2096" s="157" t="str">
        <f t="shared" si="5"/>
        <v>#ERROR!</v>
      </c>
    </row>
    <row r="2097" ht="12.75" customHeight="1">
      <c r="A2097" s="244" t="s">
        <v>5158</v>
      </c>
      <c r="B2097" s="244" t="s">
        <v>231</v>
      </c>
      <c r="C2097" s="244" t="s">
        <v>11873</v>
      </c>
      <c r="D2097" s="154" t="s">
        <v>542</v>
      </c>
      <c r="E2097" s="154"/>
      <c r="F2097" s="154" t="str">
        <f t="array" ref="F2097">XLOOKUP(Cover!$D$12,$R$1:$Z$1,$R2097:$Z2097)</f>
        <v>Mandatory</v>
      </c>
      <c r="G2097" s="154" t="s">
        <v>11874</v>
      </c>
      <c r="H2097" s="154" t="s">
        <v>8507</v>
      </c>
      <c r="I2097" s="154" t="s">
        <v>11875</v>
      </c>
      <c r="J2097" s="154" t="s">
        <v>7502</v>
      </c>
      <c r="K2097" s="154" t="s">
        <v>11675</v>
      </c>
      <c r="L2097" s="154" t="s">
        <v>6140</v>
      </c>
      <c r="M2097" s="154" t="s">
        <v>175</v>
      </c>
      <c r="N2097" s="154" t="s">
        <v>759</v>
      </c>
      <c r="O2097" s="247" t="s">
        <v>516</v>
      </c>
      <c r="P2097" s="247" t="s">
        <v>6776</v>
      </c>
      <c r="Q2097" s="154" t="str">
        <f t="shared" si="1"/>
        <v>#ERROR!</v>
      </c>
      <c r="R2097" s="154" t="s">
        <v>66</v>
      </c>
      <c r="S2097" s="154" t="s">
        <v>66</v>
      </c>
      <c r="T2097" s="155" t="s">
        <v>64</v>
      </c>
      <c r="U2097" s="155" t="s">
        <v>64</v>
      </c>
      <c r="V2097" s="154" t="s">
        <v>60</v>
      </c>
      <c r="W2097" s="154" t="s">
        <v>60</v>
      </c>
      <c r="X2097" s="154" t="s">
        <v>66</v>
      </c>
      <c r="Y2097" s="155" t="s">
        <v>64</v>
      </c>
      <c r="Z2097" s="154" t="s">
        <v>60</v>
      </c>
      <c r="AA2097" s="154"/>
      <c r="AB2097" s="242" t="str">
        <f t="shared" si="2"/>
        <v>#ERROR!</v>
      </c>
      <c r="AC2097" s="154" t="s">
        <v>391</v>
      </c>
      <c r="AD2097" s="242" t="b">
        <f t="shared" si="3"/>
        <v>0</v>
      </c>
      <c r="AE2097" s="154"/>
      <c r="AF2097" s="242" t="str">
        <f t="shared" si="4"/>
        <v>#ERROR!</v>
      </c>
      <c r="AG2097" s="154"/>
      <c r="AH2097" s="242" t="str">
        <f>IF(AG2097="","N/A",INDIRECT("MTR!"&amp;ADDRESS(MATCH(LEFT(AG2097,9),[1]MTR!C:C,0),COLUMN(J2097)),TRUE) &amp; "")</f>
        <v>#ERROR!</v>
      </c>
      <c r="AI2097" s="157" t="str">
        <f t="shared" si="5"/>
        <v>#ERROR!</v>
      </c>
    </row>
    <row r="2098" ht="12.75" customHeight="1">
      <c r="A2098" s="244" t="s">
        <v>5158</v>
      </c>
      <c r="B2098" s="244" t="s">
        <v>231</v>
      </c>
      <c r="C2098" s="244" t="s">
        <v>11876</v>
      </c>
      <c r="D2098" s="154" t="s">
        <v>542</v>
      </c>
      <c r="E2098" s="154"/>
      <c r="F2098" s="154" t="str">
        <f t="array" ref="F2098">XLOOKUP(Cover!$D$12,$R$1:$Z$1,$R2098:$Z2098)</f>
        <v>Mandatory</v>
      </c>
      <c r="G2098" s="154" t="s">
        <v>11877</v>
      </c>
      <c r="H2098" s="154" t="s">
        <v>9002</v>
      </c>
      <c r="I2098" s="154" t="s">
        <v>11875</v>
      </c>
      <c r="J2098" s="154" t="s">
        <v>7502</v>
      </c>
      <c r="K2098" s="154" t="s">
        <v>11675</v>
      </c>
      <c r="L2098" s="154" t="s">
        <v>6140</v>
      </c>
      <c r="M2098" s="154" t="s">
        <v>175</v>
      </c>
      <c r="N2098" s="154" t="s">
        <v>759</v>
      </c>
      <c r="O2098" s="247" t="s">
        <v>516</v>
      </c>
      <c r="P2098" s="247" t="s">
        <v>6776</v>
      </c>
      <c r="Q2098" s="154" t="str">
        <f t="shared" si="1"/>
        <v>#ERROR!</v>
      </c>
      <c r="R2098" s="154" t="s">
        <v>66</v>
      </c>
      <c r="S2098" s="154" t="s">
        <v>66</v>
      </c>
      <c r="T2098" s="155" t="s">
        <v>64</v>
      </c>
      <c r="U2098" s="155" t="s">
        <v>64</v>
      </c>
      <c r="V2098" s="154" t="s">
        <v>60</v>
      </c>
      <c r="W2098" s="154" t="s">
        <v>60</v>
      </c>
      <c r="X2098" s="154" t="s">
        <v>66</v>
      </c>
      <c r="Y2098" s="155" t="s">
        <v>64</v>
      </c>
      <c r="Z2098" s="154" t="s">
        <v>60</v>
      </c>
      <c r="AA2098" s="154"/>
      <c r="AB2098" s="242" t="str">
        <f t="shared" si="2"/>
        <v>#ERROR!</v>
      </c>
      <c r="AC2098" s="154" t="s">
        <v>391</v>
      </c>
      <c r="AD2098" s="242" t="b">
        <f t="shared" si="3"/>
        <v>0</v>
      </c>
      <c r="AE2098" s="154"/>
      <c r="AF2098" s="242" t="str">
        <f t="shared" si="4"/>
        <v>#ERROR!</v>
      </c>
      <c r="AG2098" s="154"/>
      <c r="AH2098" s="242" t="str">
        <f>IF(AG2098="","N/A",INDIRECT("MTR!"&amp;ADDRESS(MATCH(LEFT(AG2098,9),[1]MTR!C:C,0),COLUMN(J2098)),TRUE) &amp; "")</f>
        <v>#ERROR!</v>
      </c>
      <c r="AI2098" s="157" t="str">
        <f t="shared" si="5"/>
        <v>#ERROR!</v>
      </c>
    </row>
    <row r="2099" ht="12.75" customHeight="1">
      <c r="A2099" s="244" t="s">
        <v>5158</v>
      </c>
      <c r="B2099" s="244" t="s">
        <v>231</v>
      </c>
      <c r="C2099" s="244" t="s">
        <v>11878</v>
      </c>
      <c r="D2099" s="154" t="s">
        <v>542</v>
      </c>
      <c r="E2099" s="154"/>
      <c r="F2099" s="154" t="str">
        <f t="array" ref="F2099">XLOOKUP(Cover!$D$12,$R$1:$Z$1,$R2099:$Z2099)</f>
        <v>Recommended</v>
      </c>
      <c r="G2099" s="154" t="s">
        <v>11879</v>
      </c>
      <c r="H2099" s="154" t="s">
        <v>8513</v>
      </c>
      <c r="I2099" s="154" t="s">
        <v>11875</v>
      </c>
      <c r="J2099" s="154" t="s">
        <v>7502</v>
      </c>
      <c r="K2099" s="154" t="s">
        <v>11675</v>
      </c>
      <c r="L2099" s="154" t="s">
        <v>6140</v>
      </c>
      <c r="M2099" s="154"/>
      <c r="N2099" s="154" t="s">
        <v>759</v>
      </c>
      <c r="O2099" s="247" t="s">
        <v>516</v>
      </c>
      <c r="P2099" s="247" t="s">
        <v>6776</v>
      </c>
      <c r="Q2099" s="154" t="str">
        <f t="shared" si="1"/>
        <v>#ERROR!</v>
      </c>
      <c r="R2099" s="154" t="s">
        <v>66</v>
      </c>
      <c r="S2099" s="154" t="s">
        <v>66</v>
      </c>
      <c r="T2099" s="154" t="s">
        <v>64</v>
      </c>
      <c r="U2099" s="154" t="s">
        <v>64</v>
      </c>
      <c r="V2099" s="154" t="s">
        <v>64</v>
      </c>
      <c r="W2099" s="154" t="s">
        <v>64</v>
      </c>
      <c r="X2099" s="154" t="s">
        <v>66</v>
      </c>
      <c r="Y2099" s="154" t="s">
        <v>64</v>
      </c>
      <c r="Z2099" s="154" t="s">
        <v>64</v>
      </c>
      <c r="AA2099" s="154"/>
      <c r="AB2099" s="242" t="str">
        <f t="shared" si="2"/>
        <v>#ERROR!</v>
      </c>
      <c r="AC2099" s="154" t="s">
        <v>391</v>
      </c>
      <c r="AD2099" s="242" t="b">
        <f t="shared" si="3"/>
        <v>0</v>
      </c>
      <c r="AE2099" s="154"/>
      <c r="AF2099" s="242" t="str">
        <f t="shared" si="4"/>
        <v>#ERROR!</v>
      </c>
      <c r="AG2099" s="154"/>
      <c r="AH2099" s="242" t="str">
        <f>IF(AG2099="","N/A",INDIRECT("MTR!"&amp;ADDRESS(MATCH(LEFT(AG2099,9),[1]MTR!C:C,0),COLUMN(J2099)),TRUE) &amp; "")</f>
        <v>#ERROR!</v>
      </c>
      <c r="AI2099" s="157" t="str">
        <f t="shared" si="5"/>
        <v>#ERROR!</v>
      </c>
    </row>
    <row r="2100" ht="12.75" customHeight="1">
      <c r="A2100" s="244" t="s">
        <v>5158</v>
      </c>
      <c r="B2100" s="244" t="s">
        <v>231</v>
      </c>
      <c r="C2100" s="244" t="s">
        <v>11880</v>
      </c>
      <c r="D2100" s="154" t="s">
        <v>542</v>
      </c>
      <c r="E2100" s="154"/>
      <c r="F2100" s="154" t="str">
        <f t="array" ref="F2100">XLOOKUP(Cover!$D$12,$R$1:$Z$1,$R2100:$Z2100)</f>
        <v>Recommended</v>
      </c>
      <c r="G2100" s="154" t="s">
        <v>11881</v>
      </c>
      <c r="H2100" s="154" t="s">
        <v>9009</v>
      </c>
      <c r="I2100" s="154" t="s">
        <v>11875</v>
      </c>
      <c r="J2100" s="154" t="s">
        <v>7502</v>
      </c>
      <c r="K2100" s="154" t="s">
        <v>11675</v>
      </c>
      <c r="L2100" s="154" t="s">
        <v>6140</v>
      </c>
      <c r="M2100" s="154"/>
      <c r="N2100" s="154" t="s">
        <v>759</v>
      </c>
      <c r="O2100" s="247" t="s">
        <v>516</v>
      </c>
      <c r="P2100" s="247" t="s">
        <v>6776</v>
      </c>
      <c r="Q2100" s="154" t="str">
        <f t="shared" si="1"/>
        <v>#ERROR!</v>
      </c>
      <c r="R2100" s="154" t="s">
        <v>66</v>
      </c>
      <c r="S2100" s="154" t="s">
        <v>66</v>
      </c>
      <c r="T2100" s="154" t="s">
        <v>64</v>
      </c>
      <c r="U2100" s="154" t="s">
        <v>64</v>
      </c>
      <c r="V2100" s="154" t="s">
        <v>64</v>
      </c>
      <c r="W2100" s="154" t="s">
        <v>64</v>
      </c>
      <c r="X2100" s="154" t="s">
        <v>66</v>
      </c>
      <c r="Y2100" s="154" t="s">
        <v>64</v>
      </c>
      <c r="Z2100" s="154" t="s">
        <v>64</v>
      </c>
      <c r="AA2100" s="154"/>
      <c r="AB2100" s="242" t="str">
        <f t="shared" si="2"/>
        <v>#ERROR!</v>
      </c>
      <c r="AC2100" s="154" t="s">
        <v>391</v>
      </c>
      <c r="AD2100" s="242" t="b">
        <f t="shared" si="3"/>
        <v>0</v>
      </c>
      <c r="AE2100" s="154"/>
      <c r="AF2100" s="242" t="str">
        <f t="shared" si="4"/>
        <v>#ERROR!</v>
      </c>
      <c r="AG2100" s="154"/>
      <c r="AH2100" s="242" t="str">
        <f>IF(AG2100="","N/A",INDIRECT("MTR!"&amp;ADDRESS(MATCH(LEFT(AG2100,9),[1]MTR!C:C,0),COLUMN(J2100)),TRUE) &amp; "")</f>
        <v>#ERROR!</v>
      </c>
      <c r="AI2100" s="157" t="str">
        <f t="shared" si="5"/>
        <v>#ERROR!</v>
      </c>
    </row>
    <row r="2101" ht="12.75" customHeight="1">
      <c r="A2101" s="244" t="s">
        <v>5158</v>
      </c>
      <c r="B2101" s="244" t="s">
        <v>231</v>
      </c>
      <c r="C2101" s="244" t="s">
        <v>11882</v>
      </c>
      <c r="D2101" s="154" t="s">
        <v>542</v>
      </c>
      <c r="E2101" s="154"/>
      <c r="F2101" s="154" t="str">
        <f t="array" ref="F2101">XLOOKUP(Cover!$D$12,$R$1:$Z$1,$R2101:$Z2101)</f>
        <v>Mandatory</v>
      </c>
      <c r="G2101" s="154" t="s">
        <v>11883</v>
      </c>
      <c r="H2101" s="154" t="s">
        <v>8519</v>
      </c>
      <c r="I2101" s="154" t="s">
        <v>11875</v>
      </c>
      <c r="J2101" s="154" t="s">
        <v>7502</v>
      </c>
      <c r="K2101" s="154" t="s">
        <v>11675</v>
      </c>
      <c r="L2101" s="154" t="s">
        <v>6140</v>
      </c>
      <c r="M2101" s="154" t="s">
        <v>175</v>
      </c>
      <c r="N2101" s="154" t="s">
        <v>759</v>
      </c>
      <c r="O2101" s="247" t="s">
        <v>516</v>
      </c>
      <c r="P2101" s="247" t="s">
        <v>6776</v>
      </c>
      <c r="Q2101" s="154" t="str">
        <f t="shared" si="1"/>
        <v>#ERROR!</v>
      </c>
      <c r="R2101" s="154" t="s">
        <v>66</v>
      </c>
      <c r="S2101" s="154" t="s">
        <v>66</v>
      </c>
      <c r="T2101" s="155" t="s">
        <v>64</v>
      </c>
      <c r="U2101" s="155" t="s">
        <v>64</v>
      </c>
      <c r="V2101" s="154" t="s">
        <v>60</v>
      </c>
      <c r="W2101" s="154" t="s">
        <v>60</v>
      </c>
      <c r="X2101" s="154" t="s">
        <v>66</v>
      </c>
      <c r="Y2101" s="155" t="s">
        <v>64</v>
      </c>
      <c r="Z2101" s="154" t="s">
        <v>60</v>
      </c>
      <c r="AA2101" s="154"/>
      <c r="AB2101" s="242" t="str">
        <f t="shared" si="2"/>
        <v>#ERROR!</v>
      </c>
      <c r="AC2101" s="154" t="s">
        <v>391</v>
      </c>
      <c r="AD2101" s="242" t="b">
        <f t="shared" si="3"/>
        <v>0</v>
      </c>
      <c r="AE2101" s="154"/>
      <c r="AF2101" s="242" t="str">
        <f t="shared" si="4"/>
        <v>#ERROR!</v>
      </c>
      <c r="AG2101" s="154"/>
      <c r="AH2101" s="242" t="str">
        <f>IF(AG2101="","N/A",INDIRECT("MTR!"&amp;ADDRESS(MATCH(LEFT(AG2101,9),[1]MTR!C:C,0),COLUMN(J2101)),TRUE) &amp; "")</f>
        <v>#ERROR!</v>
      </c>
      <c r="AI2101" s="157" t="str">
        <f t="shared" si="5"/>
        <v>#ERROR!</v>
      </c>
    </row>
    <row r="2102" ht="12.75" customHeight="1">
      <c r="A2102" s="244" t="s">
        <v>5158</v>
      </c>
      <c r="B2102" s="244" t="s">
        <v>231</v>
      </c>
      <c r="C2102" s="244" t="s">
        <v>11884</v>
      </c>
      <c r="D2102" s="154" t="s">
        <v>542</v>
      </c>
      <c r="E2102" s="154"/>
      <c r="F2102" s="154" t="str">
        <f t="array" ref="F2102">XLOOKUP(Cover!$D$12,$R$1:$Z$1,$R2102:$Z2102)</f>
        <v>Mandatory</v>
      </c>
      <c r="G2102" s="154" t="s">
        <v>11885</v>
      </c>
      <c r="H2102" s="154" t="s">
        <v>9015</v>
      </c>
      <c r="I2102" s="154" t="s">
        <v>11875</v>
      </c>
      <c r="J2102" s="154" t="s">
        <v>7502</v>
      </c>
      <c r="K2102" s="154" t="s">
        <v>11675</v>
      </c>
      <c r="L2102" s="154" t="s">
        <v>6140</v>
      </c>
      <c r="M2102" s="154" t="s">
        <v>175</v>
      </c>
      <c r="N2102" s="154" t="s">
        <v>759</v>
      </c>
      <c r="O2102" s="247" t="s">
        <v>516</v>
      </c>
      <c r="P2102" s="247" t="s">
        <v>6776</v>
      </c>
      <c r="Q2102" s="154" t="str">
        <f t="shared" si="1"/>
        <v>#ERROR!</v>
      </c>
      <c r="R2102" s="154" t="s">
        <v>66</v>
      </c>
      <c r="S2102" s="154" t="s">
        <v>66</v>
      </c>
      <c r="T2102" s="155" t="s">
        <v>64</v>
      </c>
      <c r="U2102" s="155" t="s">
        <v>64</v>
      </c>
      <c r="V2102" s="154" t="s">
        <v>60</v>
      </c>
      <c r="W2102" s="154" t="s">
        <v>60</v>
      </c>
      <c r="X2102" s="154" t="s">
        <v>66</v>
      </c>
      <c r="Y2102" s="155" t="s">
        <v>64</v>
      </c>
      <c r="Z2102" s="154" t="s">
        <v>60</v>
      </c>
      <c r="AA2102" s="154"/>
      <c r="AB2102" s="242" t="str">
        <f t="shared" si="2"/>
        <v>#ERROR!</v>
      </c>
      <c r="AC2102" s="154" t="s">
        <v>391</v>
      </c>
      <c r="AD2102" s="242" t="b">
        <f t="shared" si="3"/>
        <v>0</v>
      </c>
      <c r="AE2102" s="154"/>
      <c r="AF2102" s="242" t="str">
        <f t="shared" si="4"/>
        <v>#ERROR!</v>
      </c>
      <c r="AG2102" s="154"/>
      <c r="AH2102" s="242" t="str">
        <f>IF(AG2102="","N/A",INDIRECT("MTR!"&amp;ADDRESS(MATCH(LEFT(AG2102,9),[1]MTR!C:C,0),COLUMN(J2102)),TRUE) &amp; "")</f>
        <v>#ERROR!</v>
      </c>
      <c r="AI2102" s="157" t="str">
        <f t="shared" si="5"/>
        <v>#ERROR!</v>
      </c>
    </row>
    <row r="2103" ht="12.75" customHeight="1">
      <c r="A2103" s="244" t="s">
        <v>5158</v>
      </c>
      <c r="B2103" s="244" t="s">
        <v>231</v>
      </c>
      <c r="C2103" s="244" t="s">
        <v>11886</v>
      </c>
      <c r="D2103" s="154" t="s">
        <v>542</v>
      </c>
      <c r="E2103" s="154"/>
      <c r="F2103" s="154" t="str">
        <f t="array" ref="F2103">XLOOKUP(Cover!$D$12,$R$1:$Z$1,$R2103:$Z2103)</f>
        <v>Mandatory</v>
      </c>
      <c r="G2103" s="154" t="s">
        <v>11887</v>
      </c>
      <c r="H2103" s="154" t="s">
        <v>1489</v>
      </c>
      <c r="I2103" s="154" t="s">
        <v>11888</v>
      </c>
      <c r="J2103" s="154" t="s">
        <v>6927</v>
      </c>
      <c r="K2103" s="154" t="s">
        <v>11675</v>
      </c>
      <c r="L2103" s="154" t="s">
        <v>6525</v>
      </c>
      <c r="M2103" s="154" t="s">
        <v>175</v>
      </c>
      <c r="N2103" s="154" t="s">
        <v>759</v>
      </c>
      <c r="O2103" s="247" t="s">
        <v>516</v>
      </c>
      <c r="P2103" s="247" t="s">
        <v>6776</v>
      </c>
      <c r="Q2103" s="154" t="str">
        <f t="shared" si="1"/>
        <v>#ERROR!</v>
      </c>
      <c r="R2103" s="154" t="s">
        <v>66</v>
      </c>
      <c r="S2103" s="154" t="s">
        <v>66</v>
      </c>
      <c r="T2103" s="155" t="s">
        <v>64</v>
      </c>
      <c r="U2103" s="155" t="s">
        <v>64</v>
      </c>
      <c r="V2103" s="154" t="s">
        <v>60</v>
      </c>
      <c r="W2103" s="154" t="s">
        <v>60</v>
      </c>
      <c r="X2103" s="154" t="s">
        <v>66</v>
      </c>
      <c r="Y2103" s="155" t="s">
        <v>64</v>
      </c>
      <c r="Z2103" s="154" t="s">
        <v>60</v>
      </c>
      <c r="AA2103" s="154"/>
      <c r="AB2103" s="242" t="str">
        <f t="shared" si="2"/>
        <v>#ERROR!</v>
      </c>
      <c r="AC2103" s="154" t="s">
        <v>391</v>
      </c>
      <c r="AD2103" s="242" t="b">
        <f t="shared" si="3"/>
        <v>0</v>
      </c>
      <c r="AE2103" s="154"/>
      <c r="AF2103" s="242" t="str">
        <f t="shared" si="4"/>
        <v>#ERROR!</v>
      </c>
      <c r="AG2103" s="154"/>
      <c r="AH2103" s="242" t="str">
        <f>IF(AG2103="","N/A",INDIRECT("MTR!"&amp;ADDRESS(MATCH(LEFT(AG2103,9),[1]MTR!C:C,0),COLUMN(J2103)),TRUE) &amp; "")</f>
        <v>#ERROR!</v>
      </c>
      <c r="AI2103" s="157" t="str">
        <f t="shared" si="5"/>
        <v>#ERROR!</v>
      </c>
    </row>
    <row r="2104" ht="12.75" customHeight="1">
      <c r="A2104" s="244" t="s">
        <v>5158</v>
      </c>
      <c r="B2104" s="244" t="s">
        <v>231</v>
      </c>
      <c r="C2104" s="244" t="s">
        <v>11889</v>
      </c>
      <c r="D2104" s="154" t="s">
        <v>542</v>
      </c>
      <c r="E2104" s="154"/>
      <c r="F2104" s="154" t="str">
        <f t="array" ref="F2104">XLOOKUP(Cover!$D$12,$R$1:$Z$1,$R2104:$Z2104)</f>
        <v>Mandatory</v>
      </c>
      <c r="G2104" s="154" t="s">
        <v>11890</v>
      </c>
      <c r="H2104" s="154" t="s">
        <v>9006</v>
      </c>
      <c r="I2104" s="154" t="s">
        <v>11888</v>
      </c>
      <c r="J2104" s="154" t="s">
        <v>6927</v>
      </c>
      <c r="K2104" s="154" t="s">
        <v>11675</v>
      </c>
      <c r="L2104" s="154" t="s">
        <v>6525</v>
      </c>
      <c r="M2104" s="154" t="s">
        <v>175</v>
      </c>
      <c r="N2104" s="154" t="s">
        <v>759</v>
      </c>
      <c r="O2104" s="247" t="s">
        <v>516</v>
      </c>
      <c r="P2104" s="247" t="s">
        <v>6776</v>
      </c>
      <c r="Q2104" s="154" t="str">
        <f t="shared" si="1"/>
        <v>#ERROR!</v>
      </c>
      <c r="R2104" s="154" t="s">
        <v>66</v>
      </c>
      <c r="S2104" s="154" t="s">
        <v>66</v>
      </c>
      <c r="T2104" s="155" t="s">
        <v>64</v>
      </c>
      <c r="U2104" s="155" t="s">
        <v>64</v>
      </c>
      <c r="V2104" s="154" t="s">
        <v>60</v>
      </c>
      <c r="W2104" s="154" t="s">
        <v>60</v>
      </c>
      <c r="X2104" s="154" t="s">
        <v>66</v>
      </c>
      <c r="Y2104" s="155" t="s">
        <v>64</v>
      </c>
      <c r="Z2104" s="154" t="s">
        <v>60</v>
      </c>
      <c r="AA2104" s="154"/>
      <c r="AB2104" s="242" t="str">
        <f t="shared" si="2"/>
        <v>#ERROR!</v>
      </c>
      <c r="AC2104" s="154" t="s">
        <v>391</v>
      </c>
      <c r="AD2104" s="242" t="b">
        <f t="shared" si="3"/>
        <v>0</v>
      </c>
      <c r="AE2104" s="154"/>
      <c r="AF2104" s="242" t="str">
        <f t="shared" si="4"/>
        <v>#ERROR!</v>
      </c>
      <c r="AG2104" s="154"/>
      <c r="AH2104" s="242" t="str">
        <f>IF(AG2104="","N/A",INDIRECT("MTR!"&amp;ADDRESS(MATCH(LEFT(AG2104,9),[1]MTR!C:C,0),COLUMN(J2104)),TRUE) &amp; "")</f>
        <v>#ERROR!</v>
      </c>
      <c r="AI2104" s="157" t="str">
        <f t="shared" si="5"/>
        <v>#ERROR!</v>
      </c>
    </row>
    <row r="2105" ht="12.75" customHeight="1">
      <c r="A2105" s="244" t="s">
        <v>5158</v>
      </c>
      <c r="B2105" s="244" t="s">
        <v>231</v>
      </c>
      <c r="C2105" s="244" t="s">
        <v>11891</v>
      </c>
      <c r="D2105" s="154" t="s">
        <v>542</v>
      </c>
      <c r="E2105" s="154"/>
      <c r="F2105" s="154" t="str">
        <f t="array" ref="F2105">XLOOKUP(Cover!$D$12,$R$1:$Z$1,$R2105:$Z2105)</f>
        <v>Recommended</v>
      </c>
      <c r="G2105" s="154" t="s">
        <v>11892</v>
      </c>
      <c r="H2105" s="154" t="s">
        <v>8513</v>
      </c>
      <c r="I2105" s="154" t="s">
        <v>11888</v>
      </c>
      <c r="J2105" s="154" t="s">
        <v>6927</v>
      </c>
      <c r="K2105" s="154" t="s">
        <v>11675</v>
      </c>
      <c r="L2105" s="154" t="s">
        <v>6525</v>
      </c>
      <c r="M2105" s="154"/>
      <c r="N2105" s="154" t="s">
        <v>759</v>
      </c>
      <c r="O2105" s="247" t="s">
        <v>516</v>
      </c>
      <c r="P2105" s="247" t="s">
        <v>6776</v>
      </c>
      <c r="Q2105" s="154" t="str">
        <f t="shared" si="1"/>
        <v>#ERROR!</v>
      </c>
      <c r="R2105" s="154" t="s">
        <v>66</v>
      </c>
      <c r="S2105" s="154" t="s">
        <v>66</v>
      </c>
      <c r="T2105" s="154" t="s">
        <v>64</v>
      </c>
      <c r="U2105" s="154" t="s">
        <v>64</v>
      </c>
      <c r="V2105" s="154" t="s">
        <v>64</v>
      </c>
      <c r="W2105" s="154" t="s">
        <v>64</v>
      </c>
      <c r="X2105" s="154" t="s">
        <v>66</v>
      </c>
      <c r="Y2105" s="154" t="s">
        <v>64</v>
      </c>
      <c r="Z2105" s="154" t="s">
        <v>64</v>
      </c>
      <c r="AA2105" s="154"/>
      <c r="AB2105" s="242" t="str">
        <f t="shared" si="2"/>
        <v>#ERROR!</v>
      </c>
      <c r="AC2105" s="154" t="s">
        <v>391</v>
      </c>
      <c r="AD2105" s="242" t="b">
        <f t="shared" si="3"/>
        <v>0</v>
      </c>
      <c r="AE2105" s="154"/>
      <c r="AF2105" s="242" t="str">
        <f t="shared" si="4"/>
        <v>#ERROR!</v>
      </c>
      <c r="AG2105" s="154"/>
      <c r="AH2105" s="242" t="str">
        <f>IF(AG2105="","N/A",INDIRECT("MTR!"&amp;ADDRESS(MATCH(LEFT(AG2105,9),[1]MTR!C:C,0),COLUMN(J2105)),TRUE) &amp; "")</f>
        <v>#ERROR!</v>
      </c>
      <c r="AI2105" s="157" t="str">
        <f t="shared" si="5"/>
        <v>#ERROR!</v>
      </c>
    </row>
    <row r="2106" ht="12.75" customHeight="1">
      <c r="A2106" s="244" t="s">
        <v>5158</v>
      </c>
      <c r="B2106" s="244" t="s">
        <v>231</v>
      </c>
      <c r="C2106" s="244" t="s">
        <v>11893</v>
      </c>
      <c r="D2106" s="154" t="s">
        <v>542</v>
      </c>
      <c r="E2106" s="154"/>
      <c r="F2106" s="154" t="str">
        <f t="array" ref="F2106">XLOOKUP(Cover!$D$12,$R$1:$Z$1,$R2106:$Z2106)</f>
        <v>Recommended</v>
      </c>
      <c r="G2106" s="154" t="s">
        <v>11894</v>
      </c>
      <c r="H2106" s="154" t="s">
        <v>9009</v>
      </c>
      <c r="I2106" s="154" t="s">
        <v>11888</v>
      </c>
      <c r="J2106" s="154" t="s">
        <v>6927</v>
      </c>
      <c r="K2106" s="154" t="s">
        <v>11675</v>
      </c>
      <c r="L2106" s="154" t="s">
        <v>6525</v>
      </c>
      <c r="M2106" s="154"/>
      <c r="N2106" s="154" t="s">
        <v>759</v>
      </c>
      <c r="O2106" s="247" t="s">
        <v>516</v>
      </c>
      <c r="P2106" s="247" t="s">
        <v>6776</v>
      </c>
      <c r="Q2106" s="154" t="str">
        <f t="shared" si="1"/>
        <v>#ERROR!</v>
      </c>
      <c r="R2106" s="154" t="s">
        <v>66</v>
      </c>
      <c r="S2106" s="154" t="s">
        <v>66</v>
      </c>
      <c r="T2106" s="154" t="s">
        <v>64</v>
      </c>
      <c r="U2106" s="154" t="s">
        <v>64</v>
      </c>
      <c r="V2106" s="154" t="s">
        <v>64</v>
      </c>
      <c r="W2106" s="154" t="s">
        <v>64</v>
      </c>
      <c r="X2106" s="154" t="s">
        <v>66</v>
      </c>
      <c r="Y2106" s="154" t="s">
        <v>64</v>
      </c>
      <c r="Z2106" s="154" t="s">
        <v>64</v>
      </c>
      <c r="AA2106" s="154"/>
      <c r="AB2106" s="242" t="str">
        <f t="shared" si="2"/>
        <v>#ERROR!</v>
      </c>
      <c r="AC2106" s="154" t="s">
        <v>391</v>
      </c>
      <c r="AD2106" s="242" t="b">
        <f t="shared" si="3"/>
        <v>0</v>
      </c>
      <c r="AE2106" s="154"/>
      <c r="AF2106" s="242" t="str">
        <f t="shared" si="4"/>
        <v>#ERROR!</v>
      </c>
      <c r="AG2106" s="154"/>
      <c r="AH2106" s="242" t="str">
        <f>IF(AG2106="","N/A",INDIRECT("MTR!"&amp;ADDRESS(MATCH(LEFT(AG2106,9),[1]MTR!C:C,0),COLUMN(J2106)),TRUE) &amp; "")</f>
        <v>#ERROR!</v>
      </c>
      <c r="AI2106" s="157" t="str">
        <f t="shared" si="5"/>
        <v>#ERROR!</v>
      </c>
    </row>
    <row r="2107" ht="12.75" customHeight="1">
      <c r="A2107" s="244" t="s">
        <v>5158</v>
      </c>
      <c r="B2107" s="244" t="s">
        <v>231</v>
      </c>
      <c r="C2107" s="244" t="s">
        <v>11895</v>
      </c>
      <c r="D2107" s="154" t="s">
        <v>542</v>
      </c>
      <c r="E2107" s="154"/>
      <c r="F2107" s="154" t="str">
        <f t="array" ref="F2107">XLOOKUP(Cover!$D$12,$R$1:$Z$1,$R2107:$Z2107)</f>
        <v>Mandatory</v>
      </c>
      <c r="G2107" s="154" t="s">
        <v>11896</v>
      </c>
      <c r="H2107" s="154" t="s">
        <v>8550</v>
      </c>
      <c r="I2107" s="154" t="s">
        <v>11888</v>
      </c>
      <c r="J2107" s="154" t="s">
        <v>6927</v>
      </c>
      <c r="K2107" s="154" t="s">
        <v>11675</v>
      </c>
      <c r="L2107" s="154" t="s">
        <v>6525</v>
      </c>
      <c r="M2107" s="154" t="s">
        <v>175</v>
      </c>
      <c r="N2107" s="154" t="s">
        <v>759</v>
      </c>
      <c r="O2107" s="247" t="s">
        <v>516</v>
      </c>
      <c r="P2107" s="247" t="s">
        <v>6776</v>
      </c>
      <c r="Q2107" s="154" t="str">
        <f t="shared" si="1"/>
        <v>#ERROR!</v>
      </c>
      <c r="R2107" s="154" t="s">
        <v>66</v>
      </c>
      <c r="S2107" s="154" t="s">
        <v>66</v>
      </c>
      <c r="T2107" s="155" t="s">
        <v>64</v>
      </c>
      <c r="U2107" s="155" t="s">
        <v>64</v>
      </c>
      <c r="V2107" s="154" t="s">
        <v>60</v>
      </c>
      <c r="W2107" s="154" t="s">
        <v>60</v>
      </c>
      <c r="X2107" s="154" t="s">
        <v>66</v>
      </c>
      <c r="Y2107" s="155" t="s">
        <v>64</v>
      </c>
      <c r="Z2107" s="154" t="s">
        <v>60</v>
      </c>
      <c r="AA2107" s="154"/>
      <c r="AB2107" s="242" t="str">
        <f t="shared" si="2"/>
        <v>#ERROR!</v>
      </c>
      <c r="AC2107" s="154" t="s">
        <v>391</v>
      </c>
      <c r="AD2107" s="242" t="b">
        <f t="shared" si="3"/>
        <v>0</v>
      </c>
      <c r="AE2107" s="154"/>
      <c r="AF2107" s="242" t="str">
        <f t="shared" si="4"/>
        <v>#ERROR!</v>
      </c>
      <c r="AG2107" s="154"/>
      <c r="AH2107" s="242" t="str">
        <f>IF(AG2107="","N/A",INDIRECT("MTR!"&amp;ADDRESS(MATCH(LEFT(AG2107,9),[1]MTR!C:C,0),COLUMN(J2107)),TRUE) &amp; "")</f>
        <v>#ERROR!</v>
      </c>
      <c r="AI2107" s="157" t="str">
        <f t="shared" si="5"/>
        <v>#ERROR!</v>
      </c>
    </row>
    <row r="2108" ht="12.75" customHeight="1">
      <c r="A2108" s="244" t="s">
        <v>5158</v>
      </c>
      <c r="B2108" s="244" t="s">
        <v>231</v>
      </c>
      <c r="C2108" s="244" t="s">
        <v>11897</v>
      </c>
      <c r="D2108" s="154" t="s">
        <v>1069</v>
      </c>
      <c r="E2108" s="154"/>
      <c r="F2108" s="154" t="str">
        <f t="array" ref="F2108">XLOOKUP(Cover!$D$12,$R$1:$Z$1,$R2108:$Z2108)</f>
        <v>Mandatory</v>
      </c>
      <c r="G2108" s="154" t="s">
        <v>11898</v>
      </c>
      <c r="H2108" s="154" t="s">
        <v>9053</v>
      </c>
      <c r="I2108" s="154" t="s">
        <v>11888</v>
      </c>
      <c r="J2108" s="154" t="s">
        <v>6927</v>
      </c>
      <c r="K2108" s="154" t="s">
        <v>11675</v>
      </c>
      <c r="L2108" s="154" t="s">
        <v>5927</v>
      </c>
      <c r="M2108" s="154" t="s">
        <v>175</v>
      </c>
      <c r="N2108" s="154" t="s">
        <v>759</v>
      </c>
      <c r="O2108" s="247" t="s">
        <v>516</v>
      </c>
      <c r="P2108" s="247" t="s">
        <v>6776</v>
      </c>
      <c r="Q2108" s="154" t="str">
        <f t="shared" si="1"/>
        <v>#ERROR!</v>
      </c>
      <c r="R2108" s="154" t="s">
        <v>66</v>
      </c>
      <c r="S2108" s="154" t="s">
        <v>66</v>
      </c>
      <c r="T2108" s="155" t="s">
        <v>64</v>
      </c>
      <c r="U2108" s="155" t="s">
        <v>64</v>
      </c>
      <c r="V2108" s="154" t="s">
        <v>60</v>
      </c>
      <c r="W2108" s="154" t="s">
        <v>60</v>
      </c>
      <c r="X2108" s="154" t="s">
        <v>66</v>
      </c>
      <c r="Y2108" s="155" t="s">
        <v>64</v>
      </c>
      <c r="Z2108" s="154" t="s">
        <v>60</v>
      </c>
      <c r="AA2108" s="154"/>
      <c r="AB2108" s="242" t="str">
        <f t="shared" si="2"/>
        <v>#ERROR!</v>
      </c>
      <c r="AC2108" s="154" t="s">
        <v>391</v>
      </c>
      <c r="AD2108" s="242" t="b">
        <f t="shared" si="3"/>
        <v>0</v>
      </c>
      <c r="AE2108" s="154"/>
      <c r="AF2108" s="242" t="str">
        <f t="shared" si="4"/>
        <v>#ERROR!</v>
      </c>
      <c r="AG2108" s="154"/>
      <c r="AH2108" s="242" t="str">
        <f>IF(AG2108="","N/A",INDIRECT("MTR!"&amp;ADDRESS(MATCH(LEFT(AG2108,9),[1]MTR!C:C,0),COLUMN(J2108)),TRUE) &amp; "")</f>
        <v>#ERROR!</v>
      </c>
      <c r="AI2108" s="157" t="str">
        <f t="shared" si="5"/>
        <v>#ERROR!</v>
      </c>
    </row>
    <row r="2109" ht="12.75" customHeight="1">
      <c r="A2109" s="244" t="s">
        <v>5158</v>
      </c>
      <c r="B2109" s="244" t="s">
        <v>231</v>
      </c>
      <c r="C2109" s="244" t="s">
        <v>11899</v>
      </c>
      <c r="D2109" s="154" t="s">
        <v>546</v>
      </c>
      <c r="E2109" s="154"/>
      <c r="F2109" s="154" t="str">
        <f t="array" ref="F2109">XLOOKUP(Cover!$D$12,$R$1:$Z$1,$R2109:$Z2109)</f>
        <v>Mandatory</v>
      </c>
      <c r="G2109" s="154" t="s">
        <v>11900</v>
      </c>
      <c r="H2109" s="154" t="s">
        <v>1489</v>
      </c>
      <c r="I2109" s="154" t="s">
        <v>11901</v>
      </c>
      <c r="J2109" s="154" t="s">
        <v>6956</v>
      </c>
      <c r="K2109" s="154" t="s">
        <v>11675</v>
      </c>
      <c r="L2109" s="154" t="s">
        <v>6942</v>
      </c>
      <c r="M2109" s="154" t="s">
        <v>175</v>
      </c>
      <c r="N2109" s="154" t="s">
        <v>759</v>
      </c>
      <c r="O2109" s="247" t="s">
        <v>516</v>
      </c>
      <c r="P2109" s="247" t="s">
        <v>6776</v>
      </c>
      <c r="Q2109" s="154" t="str">
        <f t="shared" si="1"/>
        <v>#ERROR!</v>
      </c>
      <c r="R2109" s="154" t="s">
        <v>66</v>
      </c>
      <c r="S2109" s="154" t="s">
        <v>66</v>
      </c>
      <c r="T2109" s="155" t="s">
        <v>64</v>
      </c>
      <c r="U2109" s="155" t="s">
        <v>64</v>
      </c>
      <c r="V2109" s="154" t="s">
        <v>60</v>
      </c>
      <c r="W2109" s="154" t="s">
        <v>60</v>
      </c>
      <c r="X2109" s="154" t="s">
        <v>66</v>
      </c>
      <c r="Y2109" s="155" t="s">
        <v>64</v>
      </c>
      <c r="Z2109" s="154" t="s">
        <v>60</v>
      </c>
      <c r="AA2109" s="154"/>
      <c r="AB2109" s="242" t="str">
        <f t="shared" si="2"/>
        <v>#ERROR!</v>
      </c>
      <c r="AC2109" s="154" t="s">
        <v>391</v>
      </c>
      <c r="AD2109" s="242" t="b">
        <f t="shared" si="3"/>
        <v>0</v>
      </c>
      <c r="AE2109" s="154"/>
      <c r="AF2109" s="242" t="str">
        <f t="shared" si="4"/>
        <v>#ERROR!</v>
      </c>
      <c r="AG2109" s="154"/>
      <c r="AH2109" s="242" t="str">
        <f>IF(AG2109="","N/A",INDIRECT("MTR!"&amp;ADDRESS(MATCH(LEFT(AG2109,9),[1]MTR!C:C,0),COLUMN(J2109)),TRUE) &amp; "")</f>
        <v>#ERROR!</v>
      </c>
      <c r="AI2109" s="157" t="str">
        <f t="shared" si="5"/>
        <v>#ERROR!</v>
      </c>
    </row>
    <row r="2110" ht="12.75" customHeight="1">
      <c r="A2110" s="244" t="s">
        <v>5158</v>
      </c>
      <c r="B2110" s="244" t="s">
        <v>231</v>
      </c>
      <c r="C2110" s="244" t="s">
        <v>11902</v>
      </c>
      <c r="D2110" s="154" t="s">
        <v>546</v>
      </c>
      <c r="E2110" s="154"/>
      <c r="F2110" s="154" t="str">
        <f t="array" ref="F2110">XLOOKUP(Cover!$D$12,$R$1:$Z$1,$R2110:$Z2110)</f>
        <v>Mandatory</v>
      </c>
      <c r="G2110" s="154" t="s">
        <v>11903</v>
      </c>
      <c r="H2110" s="154" t="s">
        <v>9006</v>
      </c>
      <c r="I2110" s="154" t="s">
        <v>11901</v>
      </c>
      <c r="J2110" s="154" t="s">
        <v>6956</v>
      </c>
      <c r="K2110" s="154" t="s">
        <v>11675</v>
      </c>
      <c r="L2110" s="154" t="s">
        <v>6942</v>
      </c>
      <c r="M2110" s="154" t="s">
        <v>175</v>
      </c>
      <c r="N2110" s="154" t="s">
        <v>759</v>
      </c>
      <c r="O2110" s="247" t="s">
        <v>516</v>
      </c>
      <c r="P2110" s="247" t="s">
        <v>6776</v>
      </c>
      <c r="Q2110" s="154" t="str">
        <f t="shared" si="1"/>
        <v>#ERROR!</v>
      </c>
      <c r="R2110" s="154" t="s">
        <v>66</v>
      </c>
      <c r="S2110" s="154" t="s">
        <v>66</v>
      </c>
      <c r="T2110" s="155" t="s">
        <v>64</v>
      </c>
      <c r="U2110" s="155" t="s">
        <v>64</v>
      </c>
      <c r="V2110" s="154" t="s">
        <v>60</v>
      </c>
      <c r="W2110" s="154" t="s">
        <v>60</v>
      </c>
      <c r="X2110" s="154" t="s">
        <v>66</v>
      </c>
      <c r="Y2110" s="155" t="s">
        <v>64</v>
      </c>
      <c r="Z2110" s="154" t="s">
        <v>60</v>
      </c>
      <c r="AA2110" s="154"/>
      <c r="AB2110" s="242" t="str">
        <f t="shared" si="2"/>
        <v>#ERROR!</v>
      </c>
      <c r="AC2110" s="154" t="s">
        <v>391</v>
      </c>
      <c r="AD2110" s="242" t="b">
        <f t="shared" si="3"/>
        <v>0</v>
      </c>
      <c r="AE2110" s="154"/>
      <c r="AF2110" s="242" t="str">
        <f t="shared" si="4"/>
        <v>#ERROR!</v>
      </c>
      <c r="AG2110" s="154"/>
      <c r="AH2110" s="242" t="str">
        <f>IF(AG2110="","N/A",INDIRECT("MTR!"&amp;ADDRESS(MATCH(LEFT(AG2110,9),[1]MTR!C:C,0),COLUMN(J2110)),TRUE) &amp; "")</f>
        <v>#ERROR!</v>
      </c>
      <c r="AI2110" s="157" t="str">
        <f t="shared" si="5"/>
        <v>#ERROR!</v>
      </c>
    </row>
    <row r="2111" ht="12.75" customHeight="1">
      <c r="A2111" s="244" t="s">
        <v>5158</v>
      </c>
      <c r="B2111" s="244" t="s">
        <v>231</v>
      </c>
      <c r="C2111" s="244" t="s">
        <v>11904</v>
      </c>
      <c r="D2111" s="154" t="s">
        <v>45</v>
      </c>
      <c r="E2111" s="154"/>
      <c r="F2111" s="154" t="str">
        <f t="array" ref="F2111">XLOOKUP(Cover!$D$12,$R$1:$Z$1,$R2111:$Z2111)</f>
        <v>Mandatory</v>
      </c>
      <c r="G2111" s="154" t="s">
        <v>11905</v>
      </c>
      <c r="H2111" s="154" t="s">
        <v>8550</v>
      </c>
      <c r="I2111" s="154" t="s">
        <v>11901</v>
      </c>
      <c r="J2111" s="154" t="s">
        <v>6956</v>
      </c>
      <c r="K2111" s="154" t="s">
        <v>11675</v>
      </c>
      <c r="L2111" s="154" t="s">
        <v>5927</v>
      </c>
      <c r="M2111" s="154" t="s">
        <v>175</v>
      </c>
      <c r="N2111" s="154" t="s">
        <v>759</v>
      </c>
      <c r="O2111" s="247" t="s">
        <v>516</v>
      </c>
      <c r="P2111" s="247" t="s">
        <v>6776</v>
      </c>
      <c r="Q2111" s="154" t="str">
        <f t="shared" si="1"/>
        <v>#ERROR!</v>
      </c>
      <c r="R2111" s="154" t="s">
        <v>66</v>
      </c>
      <c r="S2111" s="154" t="s">
        <v>66</v>
      </c>
      <c r="T2111" s="155" t="s">
        <v>64</v>
      </c>
      <c r="U2111" s="155" t="s">
        <v>64</v>
      </c>
      <c r="V2111" s="154" t="s">
        <v>60</v>
      </c>
      <c r="W2111" s="154" t="s">
        <v>60</v>
      </c>
      <c r="X2111" s="154" t="s">
        <v>66</v>
      </c>
      <c r="Y2111" s="155" t="s">
        <v>64</v>
      </c>
      <c r="Z2111" s="154" t="s">
        <v>60</v>
      </c>
      <c r="AA2111" s="154"/>
      <c r="AB2111" s="242" t="str">
        <f t="shared" si="2"/>
        <v>#ERROR!</v>
      </c>
      <c r="AC2111" s="154" t="s">
        <v>391</v>
      </c>
      <c r="AD2111" s="242" t="b">
        <f t="shared" si="3"/>
        <v>0</v>
      </c>
      <c r="AE2111" s="154"/>
      <c r="AF2111" s="242" t="str">
        <f t="shared" si="4"/>
        <v>#ERROR!</v>
      </c>
      <c r="AG2111" s="154"/>
      <c r="AH2111" s="242" t="str">
        <f>IF(AG2111="","N/A",INDIRECT("MTR!"&amp;ADDRESS(MATCH(LEFT(AG2111,9),[1]MTR!C:C,0),COLUMN(J2111)),TRUE) &amp; "")</f>
        <v>#ERROR!</v>
      </c>
      <c r="AI2111" s="157" t="str">
        <f t="shared" si="5"/>
        <v>#ERROR!</v>
      </c>
    </row>
    <row r="2112" ht="12.75" customHeight="1">
      <c r="A2112" s="244" t="s">
        <v>5158</v>
      </c>
      <c r="B2112" s="244" t="s">
        <v>231</v>
      </c>
      <c r="C2112" s="244" t="s">
        <v>11906</v>
      </c>
      <c r="D2112" s="154" t="s">
        <v>1069</v>
      </c>
      <c r="E2112" s="154"/>
      <c r="F2112" s="154" t="str">
        <f t="array" ref="F2112">XLOOKUP(Cover!$D$12,$R$1:$Z$1,$R2112:$Z2112)</f>
        <v>Mandatory</v>
      </c>
      <c r="G2112" s="154" t="s">
        <v>11907</v>
      </c>
      <c r="H2112" s="154" t="s">
        <v>9053</v>
      </c>
      <c r="I2112" s="154" t="s">
        <v>11901</v>
      </c>
      <c r="J2112" s="154" t="s">
        <v>6956</v>
      </c>
      <c r="K2112" s="154" t="s">
        <v>11675</v>
      </c>
      <c r="L2112" s="154" t="s">
        <v>5927</v>
      </c>
      <c r="M2112" s="154" t="s">
        <v>175</v>
      </c>
      <c r="N2112" s="154" t="s">
        <v>759</v>
      </c>
      <c r="O2112" s="247" t="s">
        <v>516</v>
      </c>
      <c r="P2112" s="247" t="s">
        <v>6776</v>
      </c>
      <c r="Q2112" s="154" t="str">
        <f t="shared" si="1"/>
        <v>#ERROR!</v>
      </c>
      <c r="R2112" s="154" t="s">
        <v>66</v>
      </c>
      <c r="S2112" s="154" t="s">
        <v>66</v>
      </c>
      <c r="T2112" s="155" t="s">
        <v>64</v>
      </c>
      <c r="U2112" s="155" t="s">
        <v>64</v>
      </c>
      <c r="V2112" s="154" t="s">
        <v>60</v>
      </c>
      <c r="W2112" s="154" t="s">
        <v>60</v>
      </c>
      <c r="X2112" s="154" t="s">
        <v>66</v>
      </c>
      <c r="Y2112" s="155" t="s">
        <v>64</v>
      </c>
      <c r="Z2112" s="154" t="s">
        <v>60</v>
      </c>
      <c r="AA2112" s="154"/>
      <c r="AB2112" s="242" t="str">
        <f t="shared" si="2"/>
        <v>#ERROR!</v>
      </c>
      <c r="AC2112" s="154" t="s">
        <v>391</v>
      </c>
      <c r="AD2112" s="242" t="b">
        <f t="shared" si="3"/>
        <v>0</v>
      </c>
      <c r="AE2112" s="154"/>
      <c r="AF2112" s="242" t="str">
        <f t="shared" si="4"/>
        <v>#ERROR!</v>
      </c>
      <c r="AG2112" s="154"/>
      <c r="AH2112" s="242" t="str">
        <f>IF(AG2112="","N/A",INDIRECT("MTR!"&amp;ADDRESS(MATCH(LEFT(AG2112,9),[1]MTR!C:C,0),COLUMN(J2112)),TRUE) &amp; "")</f>
        <v>#ERROR!</v>
      </c>
      <c r="AI2112" s="157" t="str">
        <f t="shared" si="5"/>
        <v>#ERROR!</v>
      </c>
    </row>
    <row r="2113" ht="12.75" customHeight="1">
      <c r="A2113" s="244" t="s">
        <v>5158</v>
      </c>
      <c r="B2113" s="244" t="s">
        <v>231</v>
      </c>
      <c r="C2113" s="244" t="s">
        <v>11908</v>
      </c>
      <c r="D2113" s="154" t="s">
        <v>546</v>
      </c>
      <c r="E2113" s="154"/>
      <c r="F2113" s="154" t="str">
        <f t="array" ref="F2113">XLOOKUP(Cover!$D$12,$R$1:$Z$1,$R2113:$Z2113)</f>
        <v>Mandatory</v>
      </c>
      <c r="G2113" s="154" t="s">
        <v>11909</v>
      </c>
      <c r="H2113" s="154" t="s">
        <v>8519</v>
      </c>
      <c r="I2113" s="154" t="s">
        <v>11901</v>
      </c>
      <c r="J2113" s="154" t="s">
        <v>6956</v>
      </c>
      <c r="K2113" s="154" t="s">
        <v>11675</v>
      </c>
      <c r="L2113" s="154" t="s">
        <v>6942</v>
      </c>
      <c r="M2113" s="154" t="s">
        <v>175</v>
      </c>
      <c r="N2113" s="154" t="s">
        <v>759</v>
      </c>
      <c r="O2113" s="247" t="s">
        <v>516</v>
      </c>
      <c r="P2113" s="247" t="s">
        <v>6776</v>
      </c>
      <c r="Q2113" s="154" t="str">
        <f t="shared" si="1"/>
        <v>#ERROR!</v>
      </c>
      <c r="R2113" s="154" t="s">
        <v>66</v>
      </c>
      <c r="S2113" s="154" t="s">
        <v>66</v>
      </c>
      <c r="T2113" s="155" t="s">
        <v>64</v>
      </c>
      <c r="U2113" s="155" t="s">
        <v>64</v>
      </c>
      <c r="V2113" s="154" t="s">
        <v>60</v>
      </c>
      <c r="W2113" s="154" t="s">
        <v>60</v>
      </c>
      <c r="X2113" s="154" t="s">
        <v>66</v>
      </c>
      <c r="Y2113" s="155" t="s">
        <v>64</v>
      </c>
      <c r="Z2113" s="154" t="s">
        <v>60</v>
      </c>
      <c r="AA2113" s="154"/>
      <c r="AB2113" s="242" t="str">
        <f t="shared" si="2"/>
        <v>#ERROR!</v>
      </c>
      <c r="AC2113" s="154" t="s">
        <v>391</v>
      </c>
      <c r="AD2113" s="242" t="b">
        <f t="shared" si="3"/>
        <v>0</v>
      </c>
      <c r="AE2113" s="154"/>
      <c r="AF2113" s="242" t="str">
        <f t="shared" si="4"/>
        <v>#ERROR!</v>
      </c>
      <c r="AG2113" s="154"/>
      <c r="AH2113" s="242" t="str">
        <f>IF(AG2113="","N/A",INDIRECT("MTR!"&amp;ADDRESS(MATCH(LEFT(AG2113,9),[1]MTR!C:C,0),COLUMN(J2113)),TRUE) &amp; "")</f>
        <v>#ERROR!</v>
      </c>
      <c r="AI2113" s="157" t="str">
        <f t="shared" si="5"/>
        <v>#ERROR!</v>
      </c>
    </row>
    <row r="2114" ht="12.75" customHeight="1">
      <c r="A2114" s="244" t="s">
        <v>5158</v>
      </c>
      <c r="B2114" s="244" t="s">
        <v>231</v>
      </c>
      <c r="C2114" s="244" t="s">
        <v>11910</v>
      </c>
      <c r="D2114" s="154" t="s">
        <v>546</v>
      </c>
      <c r="E2114" s="154"/>
      <c r="F2114" s="154" t="str">
        <f t="array" ref="F2114">XLOOKUP(Cover!$D$12,$R$1:$Z$1,$R2114:$Z2114)</f>
        <v>Mandatory</v>
      </c>
      <c r="G2114" s="154" t="s">
        <v>11911</v>
      </c>
      <c r="H2114" s="154" t="s">
        <v>9015</v>
      </c>
      <c r="I2114" s="154" t="s">
        <v>11901</v>
      </c>
      <c r="J2114" s="154" t="s">
        <v>6956</v>
      </c>
      <c r="K2114" s="154" t="s">
        <v>11675</v>
      </c>
      <c r="L2114" s="154" t="s">
        <v>6942</v>
      </c>
      <c r="M2114" s="154" t="s">
        <v>175</v>
      </c>
      <c r="N2114" s="154" t="s">
        <v>759</v>
      </c>
      <c r="O2114" s="247" t="s">
        <v>516</v>
      </c>
      <c r="P2114" s="247" t="s">
        <v>6776</v>
      </c>
      <c r="Q2114" s="154" t="str">
        <f t="shared" si="1"/>
        <v>#ERROR!</v>
      </c>
      <c r="R2114" s="154" t="s">
        <v>66</v>
      </c>
      <c r="S2114" s="154" t="s">
        <v>66</v>
      </c>
      <c r="T2114" s="155" t="s">
        <v>64</v>
      </c>
      <c r="U2114" s="155" t="s">
        <v>64</v>
      </c>
      <c r="V2114" s="154" t="s">
        <v>60</v>
      </c>
      <c r="W2114" s="154" t="s">
        <v>60</v>
      </c>
      <c r="X2114" s="154" t="s">
        <v>66</v>
      </c>
      <c r="Y2114" s="155" t="s">
        <v>64</v>
      </c>
      <c r="Z2114" s="154" t="s">
        <v>60</v>
      </c>
      <c r="AA2114" s="154"/>
      <c r="AB2114" s="242" t="str">
        <f t="shared" si="2"/>
        <v>#ERROR!</v>
      </c>
      <c r="AC2114" s="154" t="s">
        <v>391</v>
      </c>
      <c r="AD2114" s="242" t="b">
        <f t="shared" si="3"/>
        <v>0</v>
      </c>
      <c r="AE2114" s="154"/>
      <c r="AF2114" s="242" t="str">
        <f t="shared" si="4"/>
        <v>#ERROR!</v>
      </c>
      <c r="AG2114" s="154"/>
      <c r="AH2114" s="242" t="str">
        <f>IF(AG2114="","N/A",INDIRECT("MTR!"&amp;ADDRESS(MATCH(LEFT(AG2114,9),[1]MTR!C:C,0),COLUMN(J2114)),TRUE) &amp; "")</f>
        <v>#ERROR!</v>
      </c>
      <c r="AI2114" s="157" t="str">
        <f t="shared" si="5"/>
        <v>#ERROR!</v>
      </c>
    </row>
    <row r="2115" ht="12.75" customHeight="1">
      <c r="A2115" s="244" t="s">
        <v>5158</v>
      </c>
      <c r="B2115" s="244" t="s">
        <v>231</v>
      </c>
      <c r="C2115" s="244" t="s">
        <v>11912</v>
      </c>
      <c r="D2115" s="154" t="s">
        <v>542</v>
      </c>
      <c r="E2115" s="154"/>
      <c r="F2115" s="154" t="str">
        <f t="array" ref="F2115">XLOOKUP(Cover!$D$12,$R$1:$Z$1,$R2115:$Z2115)</f>
        <v>Mandatory</v>
      </c>
      <c r="G2115" s="154" t="s">
        <v>11913</v>
      </c>
      <c r="H2115" s="154" t="s">
        <v>1489</v>
      </c>
      <c r="I2115" s="154" t="s">
        <v>11914</v>
      </c>
      <c r="J2115" s="154" t="s">
        <v>6984</v>
      </c>
      <c r="K2115" s="154" t="s">
        <v>11675</v>
      </c>
      <c r="L2115" s="154" t="s">
        <v>6525</v>
      </c>
      <c r="M2115" s="154" t="s">
        <v>175</v>
      </c>
      <c r="N2115" s="154" t="s">
        <v>759</v>
      </c>
      <c r="O2115" s="247" t="s">
        <v>516</v>
      </c>
      <c r="P2115" s="247" t="s">
        <v>6776</v>
      </c>
      <c r="Q2115" s="154" t="str">
        <f t="shared" si="1"/>
        <v>#ERROR!</v>
      </c>
      <c r="R2115" s="154" t="s">
        <v>66</v>
      </c>
      <c r="S2115" s="154" t="s">
        <v>66</v>
      </c>
      <c r="T2115" s="155" t="s">
        <v>64</v>
      </c>
      <c r="U2115" s="155" t="s">
        <v>64</v>
      </c>
      <c r="V2115" s="154" t="s">
        <v>60</v>
      </c>
      <c r="W2115" s="154" t="s">
        <v>60</v>
      </c>
      <c r="X2115" s="154" t="s">
        <v>66</v>
      </c>
      <c r="Y2115" s="155" t="s">
        <v>64</v>
      </c>
      <c r="Z2115" s="154" t="s">
        <v>60</v>
      </c>
      <c r="AA2115" s="154"/>
      <c r="AB2115" s="242" t="str">
        <f t="shared" si="2"/>
        <v>#ERROR!</v>
      </c>
      <c r="AC2115" s="154" t="s">
        <v>391</v>
      </c>
      <c r="AD2115" s="242" t="b">
        <f t="shared" si="3"/>
        <v>0</v>
      </c>
      <c r="AE2115" s="154"/>
      <c r="AF2115" s="242" t="str">
        <f t="shared" si="4"/>
        <v>#ERROR!</v>
      </c>
      <c r="AG2115" s="154"/>
      <c r="AH2115" s="242" t="str">
        <f>IF(AG2115="","N/A",INDIRECT("MTR!"&amp;ADDRESS(MATCH(LEFT(AG2115,9),[1]MTR!C:C,0),COLUMN(J2115)),TRUE) &amp; "")</f>
        <v>#ERROR!</v>
      </c>
      <c r="AI2115" s="157" t="str">
        <f t="shared" si="5"/>
        <v>#ERROR!</v>
      </c>
    </row>
    <row r="2116" ht="12.75" customHeight="1">
      <c r="A2116" s="244" t="s">
        <v>5158</v>
      </c>
      <c r="B2116" s="244" t="s">
        <v>231</v>
      </c>
      <c r="C2116" s="244" t="s">
        <v>11915</v>
      </c>
      <c r="D2116" s="154" t="s">
        <v>542</v>
      </c>
      <c r="E2116" s="154"/>
      <c r="F2116" s="154" t="str">
        <f t="array" ref="F2116">XLOOKUP(Cover!$D$12,$R$1:$Z$1,$R2116:$Z2116)</f>
        <v>Mandatory</v>
      </c>
      <c r="G2116" s="154" t="s">
        <v>11916</v>
      </c>
      <c r="H2116" s="154" t="s">
        <v>9006</v>
      </c>
      <c r="I2116" s="154" t="s">
        <v>11914</v>
      </c>
      <c r="J2116" s="154" t="s">
        <v>6984</v>
      </c>
      <c r="K2116" s="154" t="s">
        <v>11675</v>
      </c>
      <c r="L2116" s="154" t="s">
        <v>6525</v>
      </c>
      <c r="M2116" s="154" t="s">
        <v>175</v>
      </c>
      <c r="N2116" s="154" t="s">
        <v>759</v>
      </c>
      <c r="O2116" s="247" t="s">
        <v>516</v>
      </c>
      <c r="P2116" s="247" t="s">
        <v>6776</v>
      </c>
      <c r="Q2116" s="154" t="str">
        <f t="shared" si="1"/>
        <v>#ERROR!</v>
      </c>
      <c r="R2116" s="154" t="s">
        <v>66</v>
      </c>
      <c r="S2116" s="154" t="s">
        <v>66</v>
      </c>
      <c r="T2116" s="155" t="s">
        <v>64</v>
      </c>
      <c r="U2116" s="155" t="s">
        <v>64</v>
      </c>
      <c r="V2116" s="154" t="s">
        <v>60</v>
      </c>
      <c r="W2116" s="154" t="s">
        <v>60</v>
      </c>
      <c r="X2116" s="154" t="s">
        <v>66</v>
      </c>
      <c r="Y2116" s="155" t="s">
        <v>64</v>
      </c>
      <c r="Z2116" s="154" t="s">
        <v>60</v>
      </c>
      <c r="AA2116" s="154"/>
      <c r="AB2116" s="242" t="str">
        <f t="shared" si="2"/>
        <v>#ERROR!</v>
      </c>
      <c r="AC2116" s="154" t="s">
        <v>391</v>
      </c>
      <c r="AD2116" s="242" t="b">
        <f t="shared" si="3"/>
        <v>0</v>
      </c>
      <c r="AE2116" s="154"/>
      <c r="AF2116" s="242" t="str">
        <f t="shared" si="4"/>
        <v>#ERROR!</v>
      </c>
      <c r="AG2116" s="154"/>
      <c r="AH2116" s="242" t="str">
        <f>IF(AG2116="","N/A",INDIRECT("MTR!"&amp;ADDRESS(MATCH(LEFT(AG2116,9),[1]MTR!C:C,0),COLUMN(J2116)),TRUE) &amp; "")</f>
        <v>#ERROR!</v>
      </c>
      <c r="AI2116" s="157" t="str">
        <f t="shared" si="5"/>
        <v>#ERROR!</v>
      </c>
    </row>
    <row r="2117" ht="12.75" customHeight="1">
      <c r="A2117" s="244" t="s">
        <v>5158</v>
      </c>
      <c r="B2117" s="244" t="s">
        <v>231</v>
      </c>
      <c r="C2117" s="244" t="s">
        <v>11917</v>
      </c>
      <c r="D2117" s="154" t="s">
        <v>542</v>
      </c>
      <c r="E2117" s="154"/>
      <c r="F2117" s="154" t="str">
        <f t="array" ref="F2117">XLOOKUP(Cover!$D$12,$R$1:$Z$1,$R2117:$Z2117)</f>
        <v>Recommended</v>
      </c>
      <c r="G2117" s="154" t="s">
        <v>11918</v>
      </c>
      <c r="H2117" s="154" t="s">
        <v>8513</v>
      </c>
      <c r="I2117" s="154" t="s">
        <v>11914</v>
      </c>
      <c r="J2117" s="154" t="s">
        <v>6984</v>
      </c>
      <c r="K2117" s="154" t="s">
        <v>11675</v>
      </c>
      <c r="L2117" s="154" t="s">
        <v>6525</v>
      </c>
      <c r="M2117" s="154"/>
      <c r="N2117" s="154" t="s">
        <v>759</v>
      </c>
      <c r="O2117" s="247" t="s">
        <v>516</v>
      </c>
      <c r="P2117" s="247" t="s">
        <v>6776</v>
      </c>
      <c r="Q2117" s="154" t="str">
        <f t="shared" si="1"/>
        <v>#ERROR!</v>
      </c>
      <c r="R2117" s="154" t="s">
        <v>66</v>
      </c>
      <c r="S2117" s="154" t="s">
        <v>66</v>
      </c>
      <c r="T2117" s="154" t="s">
        <v>64</v>
      </c>
      <c r="U2117" s="154" t="s">
        <v>64</v>
      </c>
      <c r="V2117" s="154" t="s">
        <v>64</v>
      </c>
      <c r="W2117" s="154" t="s">
        <v>64</v>
      </c>
      <c r="X2117" s="154" t="s">
        <v>66</v>
      </c>
      <c r="Y2117" s="154" t="s">
        <v>64</v>
      </c>
      <c r="Z2117" s="154" t="s">
        <v>64</v>
      </c>
      <c r="AA2117" s="154"/>
      <c r="AB2117" s="242" t="str">
        <f t="shared" si="2"/>
        <v>#ERROR!</v>
      </c>
      <c r="AC2117" s="154" t="s">
        <v>391</v>
      </c>
      <c r="AD2117" s="242" t="b">
        <f t="shared" si="3"/>
        <v>0</v>
      </c>
      <c r="AE2117" s="154"/>
      <c r="AF2117" s="242" t="str">
        <f t="shared" si="4"/>
        <v>#ERROR!</v>
      </c>
      <c r="AG2117" s="154"/>
      <c r="AH2117" s="242" t="str">
        <f>IF(AG2117="","N/A",INDIRECT("MTR!"&amp;ADDRESS(MATCH(LEFT(AG2117,9),[1]MTR!C:C,0),COLUMN(J2117)),TRUE) &amp; "")</f>
        <v>#ERROR!</v>
      </c>
      <c r="AI2117" s="157" t="str">
        <f t="shared" si="5"/>
        <v>#ERROR!</v>
      </c>
    </row>
    <row r="2118" ht="12.75" customHeight="1">
      <c r="A2118" s="244" t="s">
        <v>5158</v>
      </c>
      <c r="B2118" s="244" t="s">
        <v>231</v>
      </c>
      <c r="C2118" s="244" t="s">
        <v>11919</v>
      </c>
      <c r="D2118" s="154" t="s">
        <v>542</v>
      </c>
      <c r="E2118" s="154"/>
      <c r="F2118" s="154" t="str">
        <f t="array" ref="F2118">XLOOKUP(Cover!$D$12,$R$1:$Z$1,$R2118:$Z2118)</f>
        <v>Recommended</v>
      </c>
      <c r="G2118" s="154" t="s">
        <v>11920</v>
      </c>
      <c r="H2118" s="154" t="s">
        <v>9009</v>
      </c>
      <c r="I2118" s="154" t="s">
        <v>11914</v>
      </c>
      <c r="J2118" s="154" t="s">
        <v>6984</v>
      </c>
      <c r="K2118" s="154" t="s">
        <v>11675</v>
      </c>
      <c r="L2118" s="154" t="s">
        <v>6525</v>
      </c>
      <c r="M2118" s="154"/>
      <c r="N2118" s="154" t="s">
        <v>759</v>
      </c>
      <c r="O2118" s="247" t="s">
        <v>516</v>
      </c>
      <c r="P2118" s="247" t="s">
        <v>6776</v>
      </c>
      <c r="Q2118" s="154" t="str">
        <f t="shared" si="1"/>
        <v>#ERROR!</v>
      </c>
      <c r="R2118" s="154" t="s">
        <v>66</v>
      </c>
      <c r="S2118" s="154" t="s">
        <v>66</v>
      </c>
      <c r="T2118" s="154" t="s">
        <v>64</v>
      </c>
      <c r="U2118" s="154" t="s">
        <v>64</v>
      </c>
      <c r="V2118" s="154" t="s">
        <v>64</v>
      </c>
      <c r="W2118" s="154" t="s">
        <v>64</v>
      </c>
      <c r="X2118" s="154" t="s">
        <v>66</v>
      </c>
      <c r="Y2118" s="154" t="s">
        <v>64</v>
      </c>
      <c r="Z2118" s="154" t="s">
        <v>64</v>
      </c>
      <c r="AA2118" s="154"/>
      <c r="AB2118" s="242" t="str">
        <f t="shared" si="2"/>
        <v>#ERROR!</v>
      </c>
      <c r="AC2118" s="154" t="s">
        <v>391</v>
      </c>
      <c r="AD2118" s="242" t="b">
        <f t="shared" si="3"/>
        <v>0</v>
      </c>
      <c r="AE2118" s="154"/>
      <c r="AF2118" s="242" t="str">
        <f t="shared" si="4"/>
        <v>#ERROR!</v>
      </c>
      <c r="AG2118" s="154"/>
      <c r="AH2118" s="242" t="str">
        <f>IF(AG2118="","N/A",INDIRECT("MTR!"&amp;ADDRESS(MATCH(LEFT(AG2118,9),[1]MTR!C:C,0),COLUMN(J2118)),TRUE) &amp; "")</f>
        <v>#ERROR!</v>
      </c>
      <c r="AI2118" s="157" t="str">
        <f t="shared" si="5"/>
        <v>#ERROR!</v>
      </c>
    </row>
    <row r="2119" ht="12.75" customHeight="1">
      <c r="A2119" s="244" t="s">
        <v>5158</v>
      </c>
      <c r="B2119" s="244" t="s">
        <v>231</v>
      </c>
      <c r="C2119" s="244" t="s">
        <v>11921</v>
      </c>
      <c r="D2119" s="154" t="s">
        <v>542</v>
      </c>
      <c r="E2119" s="154"/>
      <c r="F2119" s="154" t="str">
        <f t="array" ref="F2119">XLOOKUP(Cover!$D$12,$R$1:$Z$1,$R2119:$Z2119)</f>
        <v>Recommended</v>
      </c>
      <c r="G2119" s="154" t="s">
        <v>11922</v>
      </c>
      <c r="H2119" s="154" t="s">
        <v>8573</v>
      </c>
      <c r="I2119" s="154" t="s">
        <v>11914</v>
      </c>
      <c r="J2119" s="154" t="s">
        <v>6984</v>
      </c>
      <c r="K2119" s="154" t="s">
        <v>11675</v>
      </c>
      <c r="L2119" s="154" t="s">
        <v>6525</v>
      </c>
      <c r="M2119" s="154"/>
      <c r="N2119" s="154" t="s">
        <v>759</v>
      </c>
      <c r="O2119" s="247" t="s">
        <v>516</v>
      </c>
      <c r="P2119" s="247" t="s">
        <v>6776</v>
      </c>
      <c r="Q2119" s="154" t="str">
        <f t="shared" si="1"/>
        <v>#ERROR!</v>
      </c>
      <c r="R2119" s="154" t="s">
        <v>66</v>
      </c>
      <c r="S2119" s="154" t="s">
        <v>66</v>
      </c>
      <c r="T2119" s="154" t="s">
        <v>64</v>
      </c>
      <c r="U2119" s="154" t="s">
        <v>64</v>
      </c>
      <c r="V2119" s="154" t="s">
        <v>64</v>
      </c>
      <c r="W2119" s="154" t="s">
        <v>64</v>
      </c>
      <c r="X2119" s="154" t="s">
        <v>66</v>
      </c>
      <c r="Y2119" s="154" t="s">
        <v>64</v>
      </c>
      <c r="Z2119" s="154" t="s">
        <v>64</v>
      </c>
      <c r="AA2119" s="154"/>
      <c r="AB2119" s="242" t="str">
        <f t="shared" si="2"/>
        <v>#ERROR!</v>
      </c>
      <c r="AC2119" s="154" t="s">
        <v>391</v>
      </c>
      <c r="AD2119" s="242" t="b">
        <f t="shared" si="3"/>
        <v>0</v>
      </c>
      <c r="AE2119" s="154"/>
      <c r="AF2119" s="242" t="str">
        <f t="shared" si="4"/>
        <v>#ERROR!</v>
      </c>
      <c r="AG2119" s="154"/>
      <c r="AH2119" s="242" t="str">
        <f>IF(AG2119="","N/A",INDIRECT("MTR!"&amp;ADDRESS(MATCH(LEFT(AG2119,9),[1]MTR!C:C,0),COLUMN(J2119)),TRUE) &amp; "")</f>
        <v>#ERROR!</v>
      </c>
      <c r="AI2119" s="157" t="str">
        <f t="shared" si="5"/>
        <v>#ERROR!</v>
      </c>
    </row>
    <row r="2120" ht="12.75" customHeight="1">
      <c r="A2120" s="244" t="s">
        <v>5158</v>
      </c>
      <c r="B2120" s="244" t="s">
        <v>231</v>
      </c>
      <c r="C2120" s="244" t="s">
        <v>11923</v>
      </c>
      <c r="D2120" s="154" t="s">
        <v>542</v>
      </c>
      <c r="E2120" s="154"/>
      <c r="F2120" s="154" t="str">
        <f t="array" ref="F2120">XLOOKUP(Cover!$D$12,$R$1:$Z$1,$R2120:$Z2120)</f>
        <v>Recommended</v>
      </c>
      <c r="G2120" s="154" t="s">
        <v>11924</v>
      </c>
      <c r="H2120" s="154" t="s">
        <v>9084</v>
      </c>
      <c r="I2120" s="154" t="s">
        <v>11914</v>
      </c>
      <c r="J2120" s="154" t="s">
        <v>6984</v>
      </c>
      <c r="K2120" s="154" t="s">
        <v>11675</v>
      </c>
      <c r="L2120" s="154" t="s">
        <v>6525</v>
      </c>
      <c r="M2120" s="154"/>
      <c r="N2120" s="154" t="s">
        <v>759</v>
      </c>
      <c r="O2120" s="247" t="s">
        <v>516</v>
      </c>
      <c r="P2120" s="247" t="s">
        <v>6776</v>
      </c>
      <c r="Q2120" s="154" t="str">
        <f t="shared" si="1"/>
        <v>#ERROR!</v>
      </c>
      <c r="R2120" s="154" t="s">
        <v>66</v>
      </c>
      <c r="S2120" s="154" t="s">
        <v>66</v>
      </c>
      <c r="T2120" s="154" t="s">
        <v>64</v>
      </c>
      <c r="U2120" s="154" t="s">
        <v>64</v>
      </c>
      <c r="V2120" s="154" t="s">
        <v>64</v>
      </c>
      <c r="W2120" s="154" t="s">
        <v>64</v>
      </c>
      <c r="X2120" s="154" t="s">
        <v>66</v>
      </c>
      <c r="Y2120" s="154" t="s">
        <v>64</v>
      </c>
      <c r="Z2120" s="154" t="s">
        <v>64</v>
      </c>
      <c r="AA2120" s="154"/>
      <c r="AB2120" s="242" t="str">
        <f t="shared" si="2"/>
        <v>#ERROR!</v>
      </c>
      <c r="AC2120" s="154" t="s">
        <v>391</v>
      </c>
      <c r="AD2120" s="242" t="b">
        <f t="shared" si="3"/>
        <v>0</v>
      </c>
      <c r="AE2120" s="154"/>
      <c r="AF2120" s="242" t="str">
        <f t="shared" si="4"/>
        <v>#ERROR!</v>
      </c>
      <c r="AG2120" s="154"/>
      <c r="AH2120" s="242" t="str">
        <f>IF(AG2120="","N/A",INDIRECT("MTR!"&amp;ADDRESS(MATCH(LEFT(AG2120,9),[1]MTR!C:C,0),COLUMN(J2120)),TRUE) &amp; "")</f>
        <v>#ERROR!</v>
      </c>
      <c r="AI2120" s="157" t="str">
        <f t="shared" si="5"/>
        <v>#ERROR!</v>
      </c>
    </row>
    <row r="2121" ht="12.75" customHeight="1">
      <c r="A2121" s="244" t="s">
        <v>5158</v>
      </c>
      <c r="B2121" s="244" t="s">
        <v>231</v>
      </c>
      <c r="C2121" s="244" t="s">
        <v>11925</v>
      </c>
      <c r="D2121" s="154" t="s">
        <v>1315</v>
      </c>
      <c r="E2121" s="154"/>
      <c r="F2121" s="154" t="str">
        <f t="array" ref="F2121">XLOOKUP(Cover!$D$12,$R$1:$Z$1,$R2121:$Z2121)</f>
        <v>Recommended</v>
      </c>
      <c r="G2121" s="154" t="s">
        <v>11926</v>
      </c>
      <c r="H2121" s="154" t="s">
        <v>1489</v>
      </c>
      <c r="I2121" s="154" t="s">
        <v>11927</v>
      </c>
      <c r="J2121" s="154" t="s">
        <v>6998</v>
      </c>
      <c r="K2121" s="154" t="s">
        <v>11675</v>
      </c>
      <c r="L2121" s="154" t="s">
        <v>6022</v>
      </c>
      <c r="M2121" s="154"/>
      <c r="N2121" s="154" t="s">
        <v>759</v>
      </c>
      <c r="O2121" s="247" t="s">
        <v>516</v>
      </c>
      <c r="P2121" s="247" t="s">
        <v>6776</v>
      </c>
      <c r="Q2121" s="154" t="str">
        <f t="shared" si="1"/>
        <v>#ERROR!</v>
      </c>
      <c r="R2121" s="154" t="s">
        <v>66</v>
      </c>
      <c r="S2121" s="154" t="s">
        <v>66</v>
      </c>
      <c r="T2121" s="154" t="s">
        <v>64</v>
      </c>
      <c r="U2121" s="154" t="s">
        <v>64</v>
      </c>
      <c r="V2121" s="154" t="s">
        <v>64</v>
      </c>
      <c r="W2121" s="154" t="s">
        <v>64</v>
      </c>
      <c r="X2121" s="154" t="s">
        <v>66</v>
      </c>
      <c r="Y2121" s="154" t="s">
        <v>64</v>
      </c>
      <c r="Z2121" s="154" t="s">
        <v>64</v>
      </c>
      <c r="AA2121" s="154"/>
      <c r="AB2121" s="242" t="str">
        <f t="shared" si="2"/>
        <v>#ERROR!</v>
      </c>
      <c r="AC2121" s="154" t="s">
        <v>391</v>
      </c>
      <c r="AD2121" s="242" t="b">
        <f t="shared" si="3"/>
        <v>0</v>
      </c>
      <c r="AE2121" s="154"/>
      <c r="AF2121" s="242" t="str">
        <f t="shared" si="4"/>
        <v>#ERROR!</v>
      </c>
      <c r="AG2121" s="154"/>
      <c r="AH2121" s="242" t="str">
        <f>IF(AG2121="","N/A",INDIRECT("MTR!"&amp;ADDRESS(MATCH(LEFT(AG2121,9),[1]MTR!C:C,0),COLUMN(J2121)),TRUE) &amp; "")</f>
        <v>#ERROR!</v>
      </c>
      <c r="AI2121" s="157" t="str">
        <f t="shared" si="5"/>
        <v>#ERROR!</v>
      </c>
    </row>
    <row r="2122" ht="12.75" customHeight="1">
      <c r="A2122" s="244" t="s">
        <v>5158</v>
      </c>
      <c r="B2122" s="244" t="s">
        <v>231</v>
      </c>
      <c r="C2122" s="244" t="s">
        <v>11928</v>
      </c>
      <c r="D2122" s="154" t="s">
        <v>1315</v>
      </c>
      <c r="E2122" s="154"/>
      <c r="F2122" s="154" t="str">
        <f t="array" ref="F2122">XLOOKUP(Cover!$D$12,$R$1:$Z$1,$R2122:$Z2122)</f>
        <v>Recommended</v>
      </c>
      <c r="G2122" s="154" t="s">
        <v>11929</v>
      </c>
      <c r="H2122" s="154" t="s">
        <v>9006</v>
      </c>
      <c r="I2122" s="154" t="s">
        <v>11927</v>
      </c>
      <c r="J2122" s="154" t="s">
        <v>6998</v>
      </c>
      <c r="K2122" s="154" t="s">
        <v>11675</v>
      </c>
      <c r="L2122" s="154" t="s">
        <v>6022</v>
      </c>
      <c r="M2122" s="154"/>
      <c r="N2122" s="154" t="s">
        <v>759</v>
      </c>
      <c r="O2122" s="247" t="s">
        <v>516</v>
      </c>
      <c r="P2122" s="247" t="s">
        <v>6776</v>
      </c>
      <c r="Q2122" s="154" t="str">
        <f t="shared" si="1"/>
        <v>#ERROR!</v>
      </c>
      <c r="R2122" s="154" t="s">
        <v>66</v>
      </c>
      <c r="S2122" s="154" t="s">
        <v>66</v>
      </c>
      <c r="T2122" s="154" t="s">
        <v>64</v>
      </c>
      <c r="U2122" s="154" t="s">
        <v>64</v>
      </c>
      <c r="V2122" s="154" t="s">
        <v>64</v>
      </c>
      <c r="W2122" s="154" t="s">
        <v>64</v>
      </c>
      <c r="X2122" s="154" t="s">
        <v>66</v>
      </c>
      <c r="Y2122" s="154" t="s">
        <v>64</v>
      </c>
      <c r="Z2122" s="154" t="s">
        <v>64</v>
      </c>
      <c r="AA2122" s="154"/>
      <c r="AB2122" s="242" t="str">
        <f t="shared" si="2"/>
        <v>#ERROR!</v>
      </c>
      <c r="AC2122" s="154" t="s">
        <v>391</v>
      </c>
      <c r="AD2122" s="242" t="b">
        <f t="shared" si="3"/>
        <v>0</v>
      </c>
      <c r="AE2122" s="154"/>
      <c r="AF2122" s="242" t="str">
        <f t="shared" si="4"/>
        <v>#ERROR!</v>
      </c>
      <c r="AG2122" s="154"/>
      <c r="AH2122" s="242" t="str">
        <f>IF(AG2122="","N/A",INDIRECT("MTR!"&amp;ADDRESS(MATCH(LEFT(AG2122,9),[1]MTR!C:C,0),COLUMN(J2122)),TRUE) &amp; "")</f>
        <v>#ERROR!</v>
      </c>
      <c r="AI2122" s="157" t="str">
        <f t="shared" si="5"/>
        <v>#ERROR!</v>
      </c>
    </row>
    <row r="2123" ht="12.75" customHeight="1">
      <c r="A2123" s="244" t="s">
        <v>5158</v>
      </c>
      <c r="B2123" s="244" t="s">
        <v>231</v>
      </c>
      <c r="C2123" s="244" t="s">
        <v>11930</v>
      </c>
      <c r="D2123" s="154" t="s">
        <v>1315</v>
      </c>
      <c r="E2123" s="154"/>
      <c r="F2123" s="154" t="str">
        <f t="array" ref="F2123">XLOOKUP(Cover!$D$12,$R$1:$Z$1,$R2123:$Z2123)</f>
        <v>Information</v>
      </c>
      <c r="G2123" s="154" t="s">
        <v>11931</v>
      </c>
      <c r="H2123" s="154" t="s">
        <v>8513</v>
      </c>
      <c r="I2123" s="154" t="s">
        <v>11927</v>
      </c>
      <c r="J2123" s="154" t="s">
        <v>6998</v>
      </c>
      <c r="K2123" s="154" t="s">
        <v>11675</v>
      </c>
      <c r="L2123" s="154" t="s">
        <v>6022</v>
      </c>
      <c r="M2123" s="154"/>
      <c r="N2123" s="154" t="s">
        <v>759</v>
      </c>
      <c r="O2123" s="247" t="s">
        <v>516</v>
      </c>
      <c r="P2123" s="247" t="s">
        <v>6776</v>
      </c>
      <c r="Q2123" s="154" t="str">
        <f t="shared" si="1"/>
        <v>#ERROR!</v>
      </c>
      <c r="R2123" s="154" t="s">
        <v>66</v>
      </c>
      <c r="S2123" s="154" t="s">
        <v>66</v>
      </c>
      <c r="T2123" s="154" t="s">
        <v>66</v>
      </c>
      <c r="U2123" s="154" t="s">
        <v>66</v>
      </c>
      <c r="V2123" s="154" t="s">
        <v>66</v>
      </c>
      <c r="W2123" s="154" t="s">
        <v>66</v>
      </c>
      <c r="X2123" s="154" t="s">
        <v>66</v>
      </c>
      <c r="Y2123" s="154" t="s">
        <v>66</v>
      </c>
      <c r="Z2123" s="154" t="s">
        <v>66</v>
      </c>
      <c r="AA2123" s="154"/>
      <c r="AB2123" s="242" t="str">
        <f t="shared" si="2"/>
        <v>#ERROR!</v>
      </c>
      <c r="AC2123" s="154" t="s">
        <v>391</v>
      </c>
      <c r="AD2123" s="242" t="b">
        <f t="shared" si="3"/>
        <v>0</v>
      </c>
      <c r="AE2123" s="154"/>
      <c r="AF2123" s="242" t="str">
        <f t="shared" si="4"/>
        <v>#ERROR!</v>
      </c>
      <c r="AG2123" s="154"/>
      <c r="AH2123" s="242" t="str">
        <f>IF(AG2123="","N/A",INDIRECT("MTR!"&amp;ADDRESS(MATCH(LEFT(AG2123,9),[1]MTR!C:C,0),COLUMN(J2123)),TRUE) &amp; "")</f>
        <v>#ERROR!</v>
      </c>
      <c r="AI2123" s="157" t="str">
        <f t="shared" si="5"/>
        <v>#ERROR!</v>
      </c>
    </row>
    <row r="2124" ht="12.75" customHeight="1">
      <c r="A2124" s="244" t="s">
        <v>5158</v>
      </c>
      <c r="B2124" s="244" t="s">
        <v>231</v>
      </c>
      <c r="C2124" s="244" t="s">
        <v>11932</v>
      </c>
      <c r="D2124" s="154" t="s">
        <v>1315</v>
      </c>
      <c r="E2124" s="154"/>
      <c r="F2124" s="154" t="str">
        <f t="array" ref="F2124">XLOOKUP(Cover!$D$12,$R$1:$Z$1,$R2124:$Z2124)</f>
        <v>Information</v>
      </c>
      <c r="G2124" s="154" t="s">
        <v>11933</v>
      </c>
      <c r="H2124" s="154" t="s">
        <v>9009</v>
      </c>
      <c r="I2124" s="154" t="s">
        <v>11927</v>
      </c>
      <c r="J2124" s="154" t="s">
        <v>6998</v>
      </c>
      <c r="K2124" s="154" t="s">
        <v>11675</v>
      </c>
      <c r="L2124" s="154" t="s">
        <v>6022</v>
      </c>
      <c r="M2124" s="154"/>
      <c r="N2124" s="154" t="s">
        <v>759</v>
      </c>
      <c r="O2124" s="247" t="s">
        <v>516</v>
      </c>
      <c r="P2124" s="247" t="s">
        <v>6776</v>
      </c>
      <c r="Q2124" s="154" t="str">
        <f t="shared" si="1"/>
        <v>#ERROR!</v>
      </c>
      <c r="R2124" s="154" t="s">
        <v>66</v>
      </c>
      <c r="S2124" s="154" t="s">
        <v>66</v>
      </c>
      <c r="T2124" s="154" t="s">
        <v>66</v>
      </c>
      <c r="U2124" s="154" t="s">
        <v>66</v>
      </c>
      <c r="V2124" s="154" t="s">
        <v>66</v>
      </c>
      <c r="W2124" s="154" t="s">
        <v>66</v>
      </c>
      <c r="X2124" s="154" t="s">
        <v>66</v>
      </c>
      <c r="Y2124" s="154" t="s">
        <v>66</v>
      </c>
      <c r="Z2124" s="154" t="s">
        <v>66</v>
      </c>
      <c r="AA2124" s="154"/>
      <c r="AB2124" s="242" t="str">
        <f t="shared" si="2"/>
        <v>#ERROR!</v>
      </c>
      <c r="AC2124" s="154" t="s">
        <v>391</v>
      </c>
      <c r="AD2124" s="242" t="b">
        <f t="shared" si="3"/>
        <v>0</v>
      </c>
      <c r="AE2124" s="154"/>
      <c r="AF2124" s="242" t="str">
        <f t="shared" si="4"/>
        <v>#ERROR!</v>
      </c>
      <c r="AG2124" s="154"/>
      <c r="AH2124" s="242" t="str">
        <f>IF(AG2124="","N/A",INDIRECT("MTR!"&amp;ADDRESS(MATCH(LEFT(AG2124,9),[1]MTR!C:C,0),COLUMN(J2124)),TRUE) &amp; "")</f>
        <v>#ERROR!</v>
      </c>
      <c r="AI2124" s="157" t="str">
        <f t="shared" si="5"/>
        <v>#ERROR!</v>
      </c>
    </row>
    <row r="2125" ht="12.75" customHeight="1">
      <c r="A2125" s="244" t="s">
        <v>5158</v>
      </c>
      <c r="B2125" s="244" t="s">
        <v>231</v>
      </c>
      <c r="C2125" s="244" t="s">
        <v>11934</v>
      </c>
      <c r="D2125" s="154" t="s">
        <v>1315</v>
      </c>
      <c r="E2125" s="154"/>
      <c r="F2125" s="154" t="str">
        <f t="array" ref="F2125">XLOOKUP(Cover!$D$12,$R$1:$Z$1,$R2125:$Z2125)</f>
        <v>Information</v>
      </c>
      <c r="G2125" s="154" t="s">
        <v>11935</v>
      </c>
      <c r="H2125" s="154" t="s">
        <v>8516</v>
      </c>
      <c r="I2125" s="154" t="s">
        <v>11927</v>
      </c>
      <c r="J2125" s="154" t="s">
        <v>6998</v>
      </c>
      <c r="K2125" s="154" t="s">
        <v>11675</v>
      </c>
      <c r="L2125" s="154" t="s">
        <v>6022</v>
      </c>
      <c r="M2125" s="154"/>
      <c r="N2125" s="154" t="s">
        <v>759</v>
      </c>
      <c r="O2125" s="247" t="s">
        <v>516</v>
      </c>
      <c r="P2125" s="247" t="s">
        <v>6776</v>
      </c>
      <c r="Q2125" s="154" t="str">
        <f t="shared" si="1"/>
        <v>#ERROR!</v>
      </c>
      <c r="R2125" s="154" t="s">
        <v>66</v>
      </c>
      <c r="S2125" s="154" t="s">
        <v>66</v>
      </c>
      <c r="T2125" s="154" t="s">
        <v>66</v>
      </c>
      <c r="U2125" s="154" t="s">
        <v>66</v>
      </c>
      <c r="V2125" s="154" t="s">
        <v>66</v>
      </c>
      <c r="W2125" s="154" t="s">
        <v>66</v>
      </c>
      <c r="X2125" s="154" t="s">
        <v>66</v>
      </c>
      <c r="Y2125" s="154" t="s">
        <v>66</v>
      </c>
      <c r="Z2125" s="154" t="s">
        <v>66</v>
      </c>
      <c r="AA2125" s="154"/>
      <c r="AB2125" s="242" t="str">
        <f t="shared" si="2"/>
        <v>#ERROR!</v>
      </c>
      <c r="AC2125" s="154" t="s">
        <v>391</v>
      </c>
      <c r="AD2125" s="242" t="b">
        <f t="shared" si="3"/>
        <v>0</v>
      </c>
      <c r="AE2125" s="154"/>
      <c r="AF2125" s="242" t="str">
        <f t="shared" si="4"/>
        <v>#ERROR!</v>
      </c>
      <c r="AG2125" s="154"/>
      <c r="AH2125" s="242" t="str">
        <f>IF(AG2125="","N/A",INDIRECT("MTR!"&amp;ADDRESS(MATCH(LEFT(AG2125,9),[1]MTR!C:C,0),COLUMN(J2125)),TRUE) &amp; "")</f>
        <v>#ERROR!</v>
      </c>
      <c r="AI2125" s="157" t="str">
        <f t="shared" si="5"/>
        <v>#ERROR!</v>
      </c>
    </row>
    <row r="2126" ht="12.75" customHeight="1">
      <c r="A2126" s="244" t="s">
        <v>5158</v>
      </c>
      <c r="B2126" s="244" t="s">
        <v>231</v>
      </c>
      <c r="C2126" s="244" t="s">
        <v>11936</v>
      </c>
      <c r="D2126" s="154" t="s">
        <v>1315</v>
      </c>
      <c r="E2126" s="154"/>
      <c r="F2126" s="154" t="str">
        <f t="array" ref="F2126">XLOOKUP(Cover!$D$12,$R$1:$Z$1,$R2126:$Z2126)</f>
        <v>Information</v>
      </c>
      <c r="G2126" s="154" t="s">
        <v>11937</v>
      </c>
      <c r="H2126" s="154" t="s">
        <v>9012</v>
      </c>
      <c r="I2126" s="154" t="s">
        <v>11927</v>
      </c>
      <c r="J2126" s="154" t="s">
        <v>6998</v>
      </c>
      <c r="K2126" s="154" t="s">
        <v>11675</v>
      </c>
      <c r="L2126" s="154" t="s">
        <v>6022</v>
      </c>
      <c r="M2126" s="154"/>
      <c r="N2126" s="154" t="s">
        <v>759</v>
      </c>
      <c r="O2126" s="247" t="s">
        <v>516</v>
      </c>
      <c r="P2126" s="247" t="s">
        <v>6776</v>
      </c>
      <c r="Q2126" s="154" t="str">
        <f t="shared" si="1"/>
        <v>#ERROR!</v>
      </c>
      <c r="R2126" s="154" t="s">
        <v>66</v>
      </c>
      <c r="S2126" s="154" t="s">
        <v>66</v>
      </c>
      <c r="T2126" s="154" t="s">
        <v>66</v>
      </c>
      <c r="U2126" s="154" t="s">
        <v>66</v>
      </c>
      <c r="V2126" s="154" t="s">
        <v>66</v>
      </c>
      <c r="W2126" s="154" t="s">
        <v>66</v>
      </c>
      <c r="X2126" s="154" t="s">
        <v>66</v>
      </c>
      <c r="Y2126" s="154" t="s">
        <v>66</v>
      </c>
      <c r="Z2126" s="154" t="s">
        <v>66</v>
      </c>
      <c r="AA2126" s="154"/>
      <c r="AB2126" s="242" t="str">
        <f t="shared" si="2"/>
        <v>#ERROR!</v>
      </c>
      <c r="AC2126" s="154" t="s">
        <v>391</v>
      </c>
      <c r="AD2126" s="242" t="b">
        <f t="shared" si="3"/>
        <v>0</v>
      </c>
      <c r="AE2126" s="154"/>
      <c r="AF2126" s="242" t="str">
        <f t="shared" si="4"/>
        <v>#ERROR!</v>
      </c>
      <c r="AG2126" s="154"/>
      <c r="AH2126" s="242" t="str">
        <f>IF(AG2126="","N/A",INDIRECT("MTR!"&amp;ADDRESS(MATCH(LEFT(AG2126,9),[1]MTR!C:C,0),COLUMN(J2126)),TRUE) &amp; "")</f>
        <v>#ERROR!</v>
      </c>
      <c r="AI2126" s="157" t="str">
        <f t="shared" si="5"/>
        <v>#ERROR!</v>
      </c>
    </row>
    <row r="2127" ht="12.75" customHeight="1">
      <c r="A2127" s="244" t="s">
        <v>5158</v>
      </c>
      <c r="B2127" s="244" t="s">
        <v>231</v>
      </c>
      <c r="C2127" s="244" t="s">
        <v>11938</v>
      </c>
      <c r="D2127" s="154" t="s">
        <v>542</v>
      </c>
      <c r="E2127" s="154"/>
      <c r="F2127" s="154" t="str">
        <f t="array" ref="F2127">XLOOKUP(Cover!$D$12,$R$1:$Z$1,$R2127:$Z2127)</f>
        <v>Mandatory</v>
      </c>
      <c r="G2127" s="154" t="s">
        <v>11939</v>
      </c>
      <c r="H2127" s="154" t="s">
        <v>1489</v>
      </c>
      <c r="I2127" s="154" t="s">
        <v>11940</v>
      </c>
      <c r="J2127" s="154" t="s">
        <v>7006</v>
      </c>
      <c r="K2127" s="154" t="s">
        <v>11675</v>
      </c>
      <c r="L2127" s="154" t="s">
        <v>6140</v>
      </c>
      <c r="M2127" s="154" t="s">
        <v>175</v>
      </c>
      <c r="N2127" s="154" t="s">
        <v>759</v>
      </c>
      <c r="O2127" s="247" t="s">
        <v>516</v>
      </c>
      <c r="P2127" s="247" t="s">
        <v>6776</v>
      </c>
      <c r="Q2127" s="154" t="str">
        <f t="shared" si="1"/>
        <v>#ERROR!</v>
      </c>
      <c r="R2127" s="154" t="s">
        <v>66</v>
      </c>
      <c r="S2127" s="154" t="s">
        <v>66</v>
      </c>
      <c r="T2127" s="155" t="s">
        <v>64</v>
      </c>
      <c r="U2127" s="155" t="s">
        <v>64</v>
      </c>
      <c r="V2127" s="154" t="s">
        <v>60</v>
      </c>
      <c r="W2127" s="154" t="s">
        <v>60</v>
      </c>
      <c r="X2127" s="154" t="s">
        <v>66</v>
      </c>
      <c r="Y2127" s="155" t="s">
        <v>64</v>
      </c>
      <c r="Z2127" s="154" t="s">
        <v>60</v>
      </c>
      <c r="AA2127" s="154"/>
      <c r="AB2127" s="242" t="str">
        <f t="shared" si="2"/>
        <v>#ERROR!</v>
      </c>
      <c r="AC2127" s="154" t="s">
        <v>391</v>
      </c>
      <c r="AD2127" s="242" t="b">
        <f t="shared" si="3"/>
        <v>0</v>
      </c>
      <c r="AE2127" s="154"/>
      <c r="AF2127" s="242" t="str">
        <f t="shared" si="4"/>
        <v>#ERROR!</v>
      </c>
      <c r="AG2127" s="154"/>
      <c r="AH2127" s="242" t="str">
        <f>IF(AG2127="","N/A",INDIRECT("MTR!"&amp;ADDRESS(MATCH(LEFT(AG2127,9),[1]MTR!C:C,0),COLUMN(J2127)),TRUE) &amp; "")</f>
        <v>#ERROR!</v>
      </c>
      <c r="AI2127" s="157" t="str">
        <f t="shared" si="5"/>
        <v>#ERROR!</v>
      </c>
    </row>
    <row r="2128" ht="12.75" customHeight="1">
      <c r="A2128" s="244" t="s">
        <v>5158</v>
      </c>
      <c r="B2128" s="244" t="s">
        <v>231</v>
      </c>
      <c r="C2128" s="244" t="s">
        <v>11941</v>
      </c>
      <c r="D2128" s="154" t="s">
        <v>542</v>
      </c>
      <c r="E2128" s="154"/>
      <c r="F2128" s="154" t="str">
        <f t="array" ref="F2128">XLOOKUP(Cover!$D$12,$R$1:$Z$1,$R2128:$Z2128)</f>
        <v>Mandatory</v>
      </c>
      <c r="G2128" s="154" t="s">
        <v>11942</v>
      </c>
      <c r="H2128" s="154" t="s">
        <v>9006</v>
      </c>
      <c r="I2128" s="154" t="s">
        <v>11940</v>
      </c>
      <c r="J2128" s="154" t="s">
        <v>7006</v>
      </c>
      <c r="K2128" s="154" t="s">
        <v>11675</v>
      </c>
      <c r="L2128" s="154" t="s">
        <v>6140</v>
      </c>
      <c r="M2128" s="154" t="s">
        <v>175</v>
      </c>
      <c r="N2128" s="154" t="s">
        <v>759</v>
      </c>
      <c r="O2128" s="247" t="s">
        <v>516</v>
      </c>
      <c r="P2128" s="247" t="s">
        <v>6776</v>
      </c>
      <c r="Q2128" s="154" t="str">
        <f t="shared" si="1"/>
        <v>#ERROR!</v>
      </c>
      <c r="R2128" s="154" t="s">
        <v>66</v>
      </c>
      <c r="S2128" s="154" t="s">
        <v>66</v>
      </c>
      <c r="T2128" s="155" t="s">
        <v>64</v>
      </c>
      <c r="U2128" s="155" t="s">
        <v>64</v>
      </c>
      <c r="V2128" s="154" t="s">
        <v>60</v>
      </c>
      <c r="W2128" s="154" t="s">
        <v>60</v>
      </c>
      <c r="X2128" s="154" t="s">
        <v>66</v>
      </c>
      <c r="Y2128" s="155" t="s">
        <v>64</v>
      </c>
      <c r="Z2128" s="154" t="s">
        <v>60</v>
      </c>
      <c r="AA2128" s="154"/>
      <c r="AB2128" s="242" t="str">
        <f t="shared" si="2"/>
        <v>#ERROR!</v>
      </c>
      <c r="AC2128" s="154" t="s">
        <v>391</v>
      </c>
      <c r="AD2128" s="242" t="b">
        <f t="shared" si="3"/>
        <v>0</v>
      </c>
      <c r="AE2128" s="154"/>
      <c r="AF2128" s="242" t="str">
        <f t="shared" si="4"/>
        <v>#ERROR!</v>
      </c>
      <c r="AG2128" s="154"/>
      <c r="AH2128" s="242" t="str">
        <f>IF(AG2128="","N/A",INDIRECT("MTR!"&amp;ADDRESS(MATCH(LEFT(AG2128,9),[1]MTR!C:C,0),COLUMN(J2128)),TRUE) &amp; "")</f>
        <v>#ERROR!</v>
      </c>
      <c r="AI2128" s="157" t="str">
        <f t="shared" si="5"/>
        <v>#ERROR!</v>
      </c>
    </row>
    <row r="2129" ht="12.75" customHeight="1">
      <c r="A2129" s="244" t="s">
        <v>5158</v>
      </c>
      <c r="B2129" s="244" t="s">
        <v>231</v>
      </c>
      <c r="C2129" s="244" t="s">
        <v>11943</v>
      </c>
      <c r="D2129" s="154" t="s">
        <v>542</v>
      </c>
      <c r="E2129" s="154"/>
      <c r="F2129" s="154" t="str">
        <f t="array" ref="F2129">XLOOKUP(Cover!$D$12,$R$1:$Z$1,$R2129:$Z2129)</f>
        <v>Recommended</v>
      </c>
      <c r="G2129" s="154" t="s">
        <v>11944</v>
      </c>
      <c r="H2129" s="154" t="s">
        <v>8513</v>
      </c>
      <c r="I2129" s="154" t="s">
        <v>11940</v>
      </c>
      <c r="J2129" s="154" t="s">
        <v>7006</v>
      </c>
      <c r="K2129" s="154" t="s">
        <v>11675</v>
      </c>
      <c r="L2129" s="154" t="s">
        <v>6140</v>
      </c>
      <c r="M2129" s="154"/>
      <c r="N2129" s="154" t="s">
        <v>759</v>
      </c>
      <c r="O2129" s="247" t="s">
        <v>516</v>
      </c>
      <c r="P2129" s="247" t="s">
        <v>6776</v>
      </c>
      <c r="Q2129" s="154" t="str">
        <f t="shared" si="1"/>
        <v>#ERROR!</v>
      </c>
      <c r="R2129" s="154" t="s">
        <v>66</v>
      </c>
      <c r="S2129" s="154" t="s">
        <v>66</v>
      </c>
      <c r="T2129" s="154" t="s">
        <v>64</v>
      </c>
      <c r="U2129" s="154" t="s">
        <v>64</v>
      </c>
      <c r="V2129" s="154" t="s">
        <v>64</v>
      </c>
      <c r="W2129" s="154" t="s">
        <v>64</v>
      </c>
      <c r="X2129" s="154" t="s">
        <v>66</v>
      </c>
      <c r="Y2129" s="154" t="s">
        <v>64</v>
      </c>
      <c r="Z2129" s="154" t="s">
        <v>64</v>
      </c>
      <c r="AA2129" s="154"/>
      <c r="AB2129" s="242" t="str">
        <f t="shared" si="2"/>
        <v>#ERROR!</v>
      </c>
      <c r="AC2129" s="154" t="s">
        <v>391</v>
      </c>
      <c r="AD2129" s="242" t="b">
        <f t="shared" si="3"/>
        <v>0</v>
      </c>
      <c r="AE2129" s="154"/>
      <c r="AF2129" s="242" t="str">
        <f t="shared" si="4"/>
        <v>#ERROR!</v>
      </c>
      <c r="AG2129" s="154"/>
      <c r="AH2129" s="242" t="str">
        <f>IF(AG2129="","N/A",INDIRECT("MTR!"&amp;ADDRESS(MATCH(LEFT(AG2129,9),[1]MTR!C:C,0),COLUMN(J2129)),TRUE) &amp; "")</f>
        <v>#ERROR!</v>
      </c>
      <c r="AI2129" s="157" t="str">
        <f t="shared" si="5"/>
        <v>#ERROR!</v>
      </c>
    </row>
    <row r="2130" ht="12.75" customHeight="1">
      <c r="A2130" s="244" t="s">
        <v>5158</v>
      </c>
      <c r="B2130" s="244" t="s">
        <v>231</v>
      </c>
      <c r="C2130" s="244" t="s">
        <v>11945</v>
      </c>
      <c r="D2130" s="154" t="s">
        <v>542</v>
      </c>
      <c r="E2130" s="154"/>
      <c r="F2130" s="154" t="str">
        <f t="array" ref="F2130">XLOOKUP(Cover!$D$12,$R$1:$Z$1,$R2130:$Z2130)</f>
        <v>Recommended</v>
      </c>
      <c r="G2130" s="154" t="s">
        <v>11946</v>
      </c>
      <c r="H2130" s="154" t="s">
        <v>9009</v>
      </c>
      <c r="I2130" s="154" t="s">
        <v>11940</v>
      </c>
      <c r="J2130" s="154" t="s">
        <v>7006</v>
      </c>
      <c r="K2130" s="154" t="s">
        <v>11675</v>
      </c>
      <c r="L2130" s="154" t="s">
        <v>6140</v>
      </c>
      <c r="M2130" s="154"/>
      <c r="N2130" s="154" t="s">
        <v>759</v>
      </c>
      <c r="O2130" s="247" t="s">
        <v>516</v>
      </c>
      <c r="P2130" s="247" t="s">
        <v>6776</v>
      </c>
      <c r="Q2130" s="154" t="str">
        <f t="shared" si="1"/>
        <v>#ERROR!</v>
      </c>
      <c r="R2130" s="154" t="s">
        <v>66</v>
      </c>
      <c r="S2130" s="154" t="s">
        <v>66</v>
      </c>
      <c r="T2130" s="154" t="s">
        <v>64</v>
      </c>
      <c r="U2130" s="154" t="s">
        <v>64</v>
      </c>
      <c r="V2130" s="154" t="s">
        <v>64</v>
      </c>
      <c r="W2130" s="154" t="s">
        <v>64</v>
      </c>
      <c r="X2130" s="154" t="s">
        <v>66</v>
      </c>
      <c r="Y2130" s="154" t="s">
        <v>64</v>
      </c>
      <c r="Z2130" s="154" t="s">
        <v>64</v>
      </c>
      <c r="AA2130" s="154"/>
      <c r="AB2130" s="242" t="str">
        <f t="shared" si="2"/>
        <v>#ERROR!</v>
      </c>
      <c r="AC2130" s="154" t="s">
        <v>391</v>
      </c>
      <c r="AD2130" s="242" t="b">
        <f t="shared" si="3"/>
        <v>0</v>
      </c>
      <c r="AE2130" s="154"/>
      <c r="AF2130" s="242" t="str">
        <f t="shared" si="4"/>
        <v>#ERROR!</v>
      </c>
      <c r="AG2130" s="154"/>
      <c r="AH2130" s="242" t="str">
        <f>IF(AG2130="","N/A",INDIRECT("MTR!"&amp;ADDRESS(MATCH(LEFT(AG2130,9),[1]MTR!C:C,0),COLUMN(J2130)),TRUE) &amp; "")</f>
        <v>#ERROR!</v>
      </c>
      <c r="AI2130" s="157" t="str">
        <f t="shared" si="5"/>
        <v>#ERROR!</v>
      </c>
    </row>
    <row r="2131" ht="12.75" customHeight="1">
      <c r="A2131" s="244" t="s">
        <v>5158</v>
      </c>
      <c r="B2131" s="244" t="s">
        <v>231</v>
      </c>
      <c r="C2131" s="244" t="s">
        <v>11947</v>
      </c>
      <c r="D2131" s="154" t="s">
        <v>542</v>
      </c>
      <c r="E2131" s="154"/>
      <c r="F2131" s="154" t="str">
        <f t="array" ref="F2131">XLOOKUP(Cover!$D$12,$R$1:$Z$1,$R2131:$Z2131)</f>
        <v>Mandatory</v>
      </c>
      <c r="G2131" s="154" t="s">
        <v>11948</v>
      </c>
      <c r="H2131" s="154" t="s">
        <v>8519</v>
      </c>
      <c r="I2131" s="154" t="s">
        <v>11940</v>
      </c>
      <c r="J2131" s="154" t="s">
        <v>7006</v>
      </c>
      <c r="K2131" s="154" t="s">
        <v>11675</v>
      </c>
      <c r="L2131" s="154" t="s">
        <v>6140</v>
      </c>
      <c r="M2131" s="154" t="s">
        <v>175</v>
      </c>
      <c r="N2131" s="154" t="s">
        <v>759</v>
      </c>
      <c r="O2131" s="247" t="s">
        <v>516</v>
      </c>
      <c r="P2131" s="247" t="s">
        <v>6776</v>
      </c>
      <c r="Q2131" s="154" t="str">
        <f t="shared" si="1"/>
        <v>#ERROR!</v>
      </c>
      <c r="R2131" s="154" t="s">
        <v>66</v>
      </c>
      <c r="S2131" s="154" t="s">
        <v>66</v>
      </c>
      <c r="T2131" s="155" t="s">
        <v>64</v>
      </c>
      <c r="U2131" s="155" t="s">
        <v>64</v>
      </c>
      <c r="V2131" s="154" t="s">
        <v>60</v>
      </c>
      <c r="W2131" s="154" t="s">
        <v>60</v>
      </c>
      <c r="X2131" s="154" t="s">
        <v>66</v>
      </c>
      <c r="Y2131" s="155" t="s">
        <v>64</v>
      </c>
      <c r="Z2131" s="154" t="s">
        <v>60</v>
      </c>
      <c r="AA2131" s="154"/>
      <c r="AB2131" s="242" t="str">
        <f t="shared" si="2"/>
        <v>#ERROR!</v>
      </c>
      <c r="AC2131" s="154" t="s">
        <v>391</v>
      </c>
      <c r="AD2131" s="242" t="b">
        <f t="shared" si="3"/>
        <v>0</v>
      </c>
      <c r="AE2131" s="154"/>
      <c r="AF2131" s="242" t="str">
        <f t="shared" si="4"/>
        <v>#ERROR!</v>
      </c>
      <c r="AG2131" s="154"/>
      <c r="AH2131" s="242" t="str">
        <f>IF(AG2131="","N/A",INDIRECT("MTR!"&amp;ADDRESS(MATCH(LEFT(AG2131,9),[1]MTR!C:C,0),COLUMN(J2131)),TRUE) &amp; "")</f>
        <v>#ERROR!</v>
      </c>
      <c r="AI2131" s="157" t="str">
        <f t="shared" si="5"/>
        <v>#ERROR!</v>
      </c>
    </row>
    <row r="2132" ht="12.75" customHeight="1">
      <c r="A2132" s="244" t="s">
        <v>5158</v>
      </c>
      <c r="B2132" s="244" t="s">
        <v>231</v>
      </c>
      <c r="C2132" s="244" t="s">
        <v>11949</v>
      </c>
      <c r="D2132" s="154" t="s">
        <v>542</v>
      </c>
      <c r="E2132" s="154"/>
      <c r="F2132" s="154" t="str">
        <f t="array" ref="F2132">XLOOKUP(Cover!$D$12,$R$1:$Z$1,$R2132:$Z2132)</f>
        <v>Mandatory</v>
      </c>
      <c r="G2132" s="154" t="s">
        <v>11950</v>
      </c>
      <c r="H2132" s="154" t="s">
        <v>9015</v>
      </c>
      <c r="I2132" s="154" t="s">
        <v>11940</v>
      </c>
      <c r="J2132" s="154" t="s">
        <v>7006</v>
      </c>
      <c r="K2132" s="154" t="s">
        <v>11675</v>
      </c>
      <c r="L2132" s="154" t="s">
        <v>6140</v>
      </c>
      <c r="M2132" s="154" t="s">
        <v>175</v>
      </c>
      <c r="N2132" s="154" t="s">
        <v>759</v>
      </c>
      <c r="O2132" s="247" t="s">
        <v>516</v>
      </c>
      <c r="P2132" s="247" t="s">
        <v>6776</v>
      </c>
      <c r="Q2132" s="154" t="str">
        <f t="shared" si="1"/>
        <v>#ERROR!</v>
      </c>
      <c r="R2132" s="154" t="s">
        <v>66</v>
      </c>
      <c r="S2132" s="154" t="s">
        <v>66</v>
      </c>
      <c r="T2132" s="155" t="s">
        <v>64</v>
      </c>
      <c r="U2132" s="155" t="s">
        <v>64</v>
      </c>
      <c r="V2132" s="154" t="s">
        <v>60</v>
      </c>
      <c r="W2132" s="154" t="s">
        <v>60</v>
      </c>
      <c r="X2132" s="154" t="s">
        <v>66</v>
      </c>
      <c r="Y2132" s="155" t="s">
        <v>64</v>
      </c>
      <c r="Z2132" s="154" t="s">
        <v>60</v>
      </c>
      <c r="AA2132" s="154"/>
      <c r="AB2132" s="242" t="str">
        <f t="shared" si="2"/>
        <v>#ERROR!</v>
      </c>
      <c r="AC2132" s="154" t="s">
        <v>391</v>
      </c>
      <c r="AD2132" s="242" t="b">
        <f t="shared" si="3"/>
        <v>0</v>
      </c>
      <c r="AE2132" s="154"/>
      <c r="AF2132" s="242" t="str">
        <f t="shared" si="4"/>
        <v>#ERROR!</v>
      </c>
      <c r="AG2132" s="154"/>
      <c r="AH2132" s="242" t="str">
        <f>IF(AG2132="","N/A",INDIRECT("MTR!"&amp;ADDRESS(MATCH(LEFT(AG2132,9),[1]MTR!C:C,0),COLUMN(J2132)),TRUE) &amp; "")</f>
        <v>#ERROR!</v>
      </c>
      <c r="AI2132" s="157" t="str">
        <f t="shared" si="5"/>
        <v>#ERROR!</v>
      </c>
    </row>
    <row r="2133" ht="12.75" customHeight="1">
      <c r="A2133" s="244" t="s">
        <v>5158</v>
      </c>
      <c r="B2133" s="244" t="s">
        <v>231</v>
      </c>
      <c r="C2133" s="244" t="s">
        <v>11951</v>
      </c>
      <c r="D2133" s="154" t="s">
        <v>1315</v>
      </c>
      <c r="E2133" s="154"/>
      <c r="F2133" s="154" t="str">
        <f t="array" ref="F2133">XLOOKUP(Cover!$D$12,$R$1:$Z$1,$R2133:$Z2133)</f>
        <v>Information</v>
      </c>
      <c r="G2133" s="154" t="s">
        <v>11952</v>
      </c>
      <c r="H2133" s="154" t="s">
        <v>9012</v>
      </c>
      <c r="I2133" s="154" t="s">
        <v>11754</v>
      </c>
      <c r="J2133" s="154" t="s">
        <v>6826</v>
      </c>
      <c r="K2133" s="154" t="s">
        <v>11675</v>
      </c>
      <c r="L2133" s="154" t="s">
        <v>6022</v>
      </c>
      <c r="M2133" s="154"/>
      <c r="N2133" s="154" t="s">
        <v>759</v>
      </c>
      <c r="O2133" s="247" t="s">
        <v>516</v>
      </c>
      <c r="P2133" s="247" t="s">
        <v>6776</v>
      </c>
      <c r="Q2133" s="154" t="str">
        <f t="shared" si="1"/>
        <v>#ERROR!</v>
      </c>
      <c r="R2133" s="154" t="s">
        <v>66</v>
      </c>
      <c r="S2133" s="154" t="s">
        <v>66</v>
      </c>
      <c r="T2133" s="154" t="s">
        <v>66</v>
      </c>
      <c r="U2133" s="154" t="s">
        <v>66</v>
      </c>
      <c r="V2133" s="154" t="s">
        <v>66</v>
      </c>
      <c r="W2133" s="154" t="s">
        <v>66</v>
      </c>
      <c r="X2133" s="154" t="s">
        <v>66</v>
      </c>
      <c r="Y2133" s="154" t="s">
        <v>66</v>
      </c>
      <c r="Z2133" s="154" t="s">
        <v>66</v>
      </c>
      <c r="AA2133" s="154"/>
      <c r="AB2133" s="242" t="str">
        <f t="shared" si="2"/>
        <v>#ERROR!</v>
      </c>
      <c r="AC2133" s="154" t="s">
        <v>391</v>
      </c>
      <c r="AD2133" s="242" t="b">
        <f t="shared" si="3"/>
        <v>0</v>
      </c>
      <c r="AE2133" s="154"/>
      <c r="AF2133" s="242" t="str">
        <f t="shared" si="4"/>
        <v>#ERROR!</v>
      </c>
      <c r="AG2133" s="154"/>
      <c r="AH2133" s="242" t="str">
        <f>IF(AG2133="","N/A",INDIRECT("MTR!"&amp;ADDRESS(MATCH(LEFT(AG2133,9),[1]MTR!C:C,0),COLUMN(J2133)),TRUE) &amp; "")</f>
        <v>#ERROR!</v>
      </c>
      <c r="AI2133" s="157" t="str">
        <f t="shared" si="5"/>
        <v>#ERROR!</v>
      </c>
    </row>
    <row r="2134" ht="12.75" customHeight="1">
      <c r="A2134" s="244" t="s">
        <v>5158</v>
      </c>
      <c r="B2134" s="244" t="s">
        <v>231</v>
      </c>
      <c r="C2134" s="244" t="s">
        <v>11953</v>
      </c>
      <c r="D2134" s="154" t="s">
        <v>542</v>
      </c>
      <c r="E2134" s="154"/>
      <c r="F2134" s="154" t="str">
        <f t="array" ref="F2134">XLOOKUP(Cover!$D$12,$R$1:$Z$1,$R2134:$Z2134)</f>
        <v>Mandatory</v>
      </c>
      <c r="G2134" s="154" t="s">
        <v>11954</v>
      </c>
      <c r="H2134" s="154" t="s">
        <v>8507</v>
      </c>
      <c r="I2134" s="154" t="s">
        <v>11955</v>
      </c>
      <c r="J2134" s="154" t="s">
        <v>8128</v>
      </c>
      <c r="K2134" s="154" t="s">
        <v>11675</v>
      </c>
      <c r="L2134" s="154" t="s">
        <v>6140</v>
      </c>
      <c r="M2134" s="154" t="s">
        <v>175</v>
      </c>
      <c r="N2134" s="154" t="s">
        <v>759</v>
      </c>
      <c r="O2134" s="247" t="s">
        <v>516</v>
      </c>
      <c r="P2134" s="247" t="s">
        <v>6776</v>
      </c>
      <c r="Q2134" s="154" t="str">
        <f t="shared" si="1"/>
        <v>#ERROR!</v>
      </c>
      <c r="R2134" s="154" t="s">
        <v>66</v>
      </c>
      <c r="S2134" s="154" t="s">
        <v>66</v>
      </c>
      <c r="T2134" s="155" t="s">
        <v>64</v>
      </c>
      <c r="U2134" s="155" t="s">
        <v>64</v>
      </c>
      <c r="V2134" s="154" t="s">
        <v>60</v>
      </c>
      <c r="W2134" s="154" t="s">
        <v>60</v>
      </c>
      <c r="X2134" s="154" t="s">
        <v>66</v>
      </c>
      <c r="Y2134" s="155" t="s">
        <v>64</v>
      </c>
      <c r="Z2134" s="154" t="s">
        <v>60</v>
      </c>
      <c r="AA2134" s="154"/>
      <c r="AB2134" s="242" t="str">
        <f t="shared" si="2"/>
        <v>#ERROR!</v>
      </c>
      <c r="AC2134" s="154" t="s">
        <v>391</v>
      </c>
      <c r="AD2134" s="242" t="b">
        <f t="shared" si="3"/>
        <v>0</v>
      </c>
      <c r="AE2134" s="154"/>
      <c r="AF2134" s="242" t="str">
        <f t="shared" si="4"/>
        <v>#ERROR!</v>
      </c>
      <c r="AG2134" s="154"/>
      <c r="AH2134" s="242" t="str">
        <f>IF(AG2134="","N/A",INDIRECT("MTR!"&amp;ADDRESS(MATCH(LEFT(AG2134,9),[1]MTR!C:C,0),COLUMN(J2134)),TRUE) &amp; "")</f>
        <v>#ERROR!</v>
      </c>
      <c r="AI2134" s="157" t="str">
        <f t="shared" si="5"/>
        <v>#ERROR!</v>
      </c>
    </row>
    <row r="2135" ht="12.75" customHeight="1">
      <c r="A2135" s="244" t="s">
        <v>5158</v>
      </c>
      <c r="B2135" s="244" t="s">
        <v>231</v>
      </c>
      <c r="C2135" s="244" t="s">
        <v>11956</v>
      </c>
      <c r="D2135" s="154" t="s">
        <v>542</v>
      </c>
      <c r="E2135" s="154"/>
      <c r="F2135" s="154" t="str">
        <f t="array" ref="F2135">XLOOKUP(Cover!$D$12,$R$1:$Z$1,$R2135:$Z2135)</f>
        <v>Mandatory</v>
      </c>
      <c r="G2135" s="154" t="s">
        <v>11957</v>
      </c>
      <c r="H2135" s="154" t="s">
        <v>9002</v>
      </c>
      <c r="I2135" s="154" t="s">
        <v>11955</v>
      </c>
      <c r="J2135" s="154" t="s">
        <v>8128</v>
      </c>
      <c r="K2135" s="154" t="s">
        <v>11675</v>
      </c>
      <c r="L2135" s="154" t="s">
        <v>6140</v>
      </c>
      <c r="M2135" s="154" t="s">
        <v>175</v>
      </c>
      <c r="N2135" s="154" t="s">
        <v>759</v>
      </c>
      <c r="O2135" s="247" t="s">
        <v>516</v>
      </c>
      <c r="P2135" s="247" t="s">
        <v>6776</v>
      </c>
      <c r="Q2135" s="154" t="str">
        <f t="shared" si="1"/>
        <v>#ERROR!</v>
      </c>
      <c r="R2135" s="154" t="s">
        <v>66</v>
      </c>
      <c r="S2135" s="154" t="s">
        <v>66</v>
      </c>
      <c r="T2135" s="155" t="s">
        <v>64</v>
      </c>
      <c r="U2135" s="155" t="s">
        <v>64</v>
      </c>
      <c r="V2135" s="154" t="s">
        <v>60</v>
      </c>
      <c r="W2135" s="154" t="s">
        <v>60</v>
      </c>
      <c r="X2135" s="154" t="s">
        <v>66</v>
      </c>
      <c r="Y2135" s="155" t="s">
        <v>64</v>
      </c>
      <c r="Z2135" s="154" t="s">
        <v>60</v>
      </c>
      <c r="AA2135" s="154"/>
      <c r="AB2135" s="242" t="str">
        <f t="shared" si="2"/>
        <v>#ERROR!</v>
      </c>
      <c r="AC2135" s="154" t="s">
        <v>391</v>
      </c>
      <c r="AD2135" s="242" t="b">
        <f t="shared" si="3"/>
        <v>0</v>
      </c>
      <c r="AE2135" s="154"/>
      <c r="AF2135" s="242" t="str">
        <f t="shared" si="4"/>
        <v>#ERROR!</v>
      </c>
      <c r="AG2135" s="154"/>
      <c r="AH2135" s="242" t="str">
        <f>IF(AG2135="","N/A",INDIRECT("MTR!"&amp;ADDRESS(MATCH(LEFT(AG2135,9),[1]MTR!C:C,0),COLUMN(J2135)),TRUE) &amp; "")</f>
        <v>#ERROR!</v>
      </c>
      <c r="AI2135" s="157" t="str">
        <f t="shared" si="5"/>
        <v>#ERROR!</v>
      </c>
    </row>
    <row r="2136" ht="12.75" customHeight="1">
      <c r="A2136" s="244" t="s">
        <v>5158</v>
      </c>
      <c r="B2136" s="244" t="s">
        <v>231</v>
      </c>
      <c r="C2136" s="244" t="s">
        <v>11958</v>
      </c>
      <c r="D2136" s="154" t="s">
        <v>542</v>
      </c>
      <c r="E2136" s="154"/>
      <c r="F2136" s="154" t="str">
        <f t="array" ref="F2136">XLOOKUP(Cover!$D$12,$R$1:$Z$1,$R2136:$Z2136)</f>
        <v>Mandatory</v>
      </c>
      <c r="G2136" s="154" t="s">
        <v>11959</v>
      </c>
      <c r="H2136" s="154" t="s">
        <v>1489</v>
      </c>
      <c r="I2136" s="154" t="s">
        <v>11955</v>
      </c>
      <c r="J2136" s="154" t="s">
        <v>8128</v>
      </c>
      <c r="K2136" s="154" t="s">
        <v>11675</v>
      </c>
      <c r="L2136" s="154" t="s">
        <v>6140</v>
      </c>
      <c r="M2136" s="154" t="s">
        <v>175</v>
      </c>
      <c r="N2136" s="154" t="s">
        <v>759</v>
      </c>
      <c r="O2136" s="247" t="s">
        <v>516</v>
      </c>
      <c r="P2136" s="247" t="s">
        <v>6776</v>
      </c>
      <c r="Q2136" s="154" t="str">
        <f t="shared" si="1"/>
        <v>#ERROR!</v>
      </c>
      <c r="R2136" s="154" t="s">
        <v>66</v>
      </c>
      <c r="S2136" s="154" t="s">
        <v>66</v>
      </c>
      <c r="T2136" s="155" t="s">
        <v>64</v>
      </c>
      <c r="U2136" s="155" t="s">
        <v>64</v>
      </c>
      <c r="V2136" s="154" t="s">
        <v>60</v>
      </c>
      <c r="W2136" s="154" t="s">
        <v>60</v>
      </c>
      <c r="X2136" s="154" t="s">
        <v>66</v>
      </c>
      <c r="Y2136" s="155" t="s">
        <v>64</v>
      </c>
      <c r="Z2136" s="154" t="s">
        <v>60</v>
      </c>
      <c r="AA2136" s="154"/>
      <c r="AB2136" s="242" t="str">
        <f t="shared" si="2"/>
        <v>#ERROR!</v>
      </c>
      <c r="AC2136" s="154" t="s">
        <v>391</v>
      </c>
      <c r="AD2136" s="242" t="b">
        <f t="shared" si="3"/>
        <v>0</v>
      </c>
      <c r="AE2136" s="154"/>
      <c r="AF2136" s="242" t="str">
        <f t="shared" si="4"/>
        <v>#ERROR!</v>
      </c>
      <c r="AG2136" s="154"/>
      <c r="AH2136" s="242" t="str">
        <f>IF(AG2136="","N/A",INDIRECT("MTR!"&amp;ADDRESS(MATCH(LEFT(AG2136,9),[1]MTR!C:C,0),COLUMN(J2136)),TRUE) &amp; "")</f>
        <v>#ERROR!</v>
      </c>
      <c r="AI2136" s="157" t="str">
        <f t="shared" si="5"/>
        <v>#ERROR!</v>
      </c>
    </row>
    <row r="2137" ht="12.75" customHeight="1">
      <c r="A2137" s="244" t="s">
        <v>5158</v>
      </c>
      <c r="B2137" s="244" t="s">
        <v>231</v>
      </c>
      <c r="C2137" s="244" t="s">
        <v>11960</v>
      </c>
      <c r="D2137" s="154" t="s">
        <v>542</v>
      </c>
      <c r="E2137" s="154"/>
      <c r="F2137" s="154" t="str">
        <f t="array" ref="F2137">XLOOKUP(Cover!$D$12,$R$1:$Z$1,$R2137:$Z2137)</f>
        <v>Mandatory</v>
      </c>
      <c r="G2137" s="154" t="s">
        <v>11961</v>
      </c>
      <c r="H2137" s="154" t="s">
        <v>9006</v>
      </c>
      <c r="I2137" s="154" t="s">
        <v>11955</v>
      </c>
      <c r="J2137" s="154" t="s">
        <v>8128</v>
      </c>
      <c r="K2137" s="154" t="s">
        <v>11675</v>
      </c>
      <c r="L2137" s="154" t="s">
        <v>6140</v>
      </c>
      <c r="M2137" s="154" t="s">
        <v>175</v>
      </c>
      <c r="N2137" s="154" t="s">
        <v>759</v>
      </c>
      <c r="O2137" s="247" t="s">
        <v>516</v>
      </c>
      <c r="P2137" s="247" t="s">
        <v>6776</v>
      </c>
      <c r="Q2137" s="154" t="str">
        <f t="shared" si="1"/>
        <v>#ERROR!</v>
      </c>
      <c r="R2137" s="154" t="s">
        <v>66</v>
      </c>
      <c r="S2137" s="154" t="s">
        <v>66</v>
      </c>
      <c r="T2137" s="155" t="s">
        <v>64</v>
      </c>
      <c r="U2137" s="155" t="s">
        <v>64</v>
      </c>
      <c r="V2137" s="154" t="s">
        <v>60</v>
      </c>
      <c r="W2137" s="154" t="s">
        <v>60</v>
      </c>
      <c r="X2137" s="154" t="s">
        <v>66</v>
      </c>
      <c r="Y2137" s="155" t="s">
        <v>64</v>
      </c>
      <c r="Z2137" s="154" t="s">
        <v>60</v>
      </c>
      <c r="AA2137" s="154"/>
      <c r="AB2137" s="242" t="str">
        <f t="shared" si="2"/>
        <v>#ERROR!</v>
      </c>
      <c r="AC2137" s="154" t="s">
        <v>391</v>
      </c>
      <c r="AD2137" s="242" t="b">
        <f t="shared" si="3"/>
        <v>0</v>
      </c>
      <c r="AE2137" s="154"/>
      <c r="AF2137" s="242" t="str">
        <f t="shared" si="4"/>
        <v>#ERROR!</v>
      </c>
      <c r="AG2137" s="154"/>
      <c r="AH2137" s="242" t="str">
        <f>IF(AG2137="","N/A",INDIRECT("MTR!"&amp;ADDRESS(MATCH(LEFT(AG2137,9),[1]MTR!C:C,0),COLUMN(J2137)),TRUE) &amp; "")</f>
        <v>#ERROR!</v>
      </c>
      <c r="AI2137" s="157" t="str">
        <f t="shared" si="5"/>
        <v>#ERROR!</v>
      </c>
    </row>
    <row r="2138" ht="12.75" customHeight="1">
      <c r="A2138" s="244" t="s">
        <v>5158</v>
      </c>
      <c r="B2138" s="244" t="s">
        <v>231</v>
      </c>
      <c r="C2138" s="244" t="s">
        <v>11962</v>
      </c>
      <c r="D2138" s="154" t="s">
        <v>542</v>
      </c>
      <c r="E2138" s="154"/>
      <c r="F2138" s="154" t="str">
        <f t="array" ref="F2138">XLOOKUP(Cover!$D$12,$R$1:$Z$1,$R2138:$Z2138)</f>
        <v>Recommended</v>
      </c>
      <c r="G2138" s="154" t="s">
        <v>11963</v>
      </c>
      <c r="H2138" s="154" t="s">
        <v>8513</v>
      </c>
      <c r="I2138" s="154" t="s">
        <v>11955</v>
      </c>
      <c r="J2138" s="154" t="s">
        <v>8128</v>
      </c>
      <c r="K2138" s="154" t="s">
        <v>11675</v>
      </c>
      <c r="L2138" s="154" t="s">
        <v>6140</v>
      </c>
      <c r="M2138" s="154"/>
      <c r="N2138" s="154" t="s">
        <v>759</v>
      </c>
      <c r="O2138" s="247" t="s">
        <v>516</v>
      </c>
      <c r="P2138" s="247" t="s">
        <v>6776</v>
      </c>
      <c r="Q2138" s="154" t="str">
        <f t="shared" si="1"/>
        <v>#ERROR!</v>
      </c>
      <c r="R2138" s="154" t="s">
        <v>66</v>
      </c>
      <c r="S2138" s="154" t="s">
        <v>66</v>
      </c>
      <c r="T2138" s="154" t="s">
        <v>64</v>
      </c>
      <c r="U2138" s="154" t="s">
        <v>64</v>
      </c>
      <c r="V2138" s="154" t="s">
        <v>64</v>
      </c>
      <c r="W2138" s="154" t="s">
        <v>64</v>
      </c>
      <c r="X2138" s="154" t="s">
        <v>66</v>
      </c>
      <c r="Y2138" s="154" t="s">
        <v>64</v>
      </c>
      <c r="Z2138" s="154" t="s">
        <v>64</v>
      </c>
      <c r="AA2138" s="154"/>
      <c r="AB2138" s="242" t="str">
        <f t="shared" si="2"/>
        <v>#ERROR!</v>
      </c>
      <c r="AC2138" s="154" t="s">
        <v>391</v>
      </c>
      <c r="AD2138" s="242" t="b">
        <f t="shared" si="3"/>
        <v>0</v>
      </c>
      <c r="AE2138" s="154"/>
      <c r="AF2138" s="242" t="str">
        <f t="shared" si="4"/>
        <v>#ERROR!</v>
      </c>
      <c r="AG2138" s="154"/>
      <c r="AH2138" s="242" t="str">
        <f>IF(AG2138="","N/A",INDIRECT("MTR!"&amp;ADDRESS(MATCH(LEFT(AG2138,9),[1]MTR!C:C,0),COLUMN(J2138)),TRUE) &amp; "")</f>
        <v>#ERROR!</v>
      </c>
      <c r="AI2138" s="157" t="str">
        <f t="shared" si="5"/>
        <v>#ERROR!</v>
      </c>
    </row>
    <row r="2139" ht="12.75" customHeight="1">
      <c r="A2139" s="244" t="s">
        <v>5158</v>
      </c>
      <c r="B2139" s="244" t="s">
        <v>231</v>
      </c>
      <c r="C2139" s="244" t="s">
        <v>11964</v>
      </c>
      <c r="D2139" s="154" t="s">
        <v>542</v>
      </c>
      <c r="E2139" s="154"/>
      <c r="F2139" s="154" t="str">
        <f t="array" ref="F2139">XLOOKUP(Cover!$D$12,$R$1:$Z$1,$R2139:$Z2139)</f>
        <v>Recommended</v>
      </c>
      <c r="G2139" s="154" t="s">
        <v>11965</v>
      </c>
      <c r="H2139" s="154" t="s">
        <v>9009</v>
      </c>
      <c r="I2139" s="154" t="s">
        <v>11955</v>
      </c>
      <c r="J2139" s="154" t="s">
        <v>8128</v>
      </c>
      <c r="K2139" s="154" t="s">
        <v>11675</v>
      </c>
      <c r="L2139" s="154" t="s">
        <v>6140</v>
      </c>
      <c r="M2139" s="154"/>
      <c r="N2139" s="154" t="s">
        <v>759</v>
      </c>
      <c r="O2139" s="247" t="s">
        <v>516</v>
      </c>
      <c r="P2139" s="247" t="s">
        <v>6776</v>
      </c>
      <c r="Q2139" s="154" t="str">
        <f t="shared" si="1"/>
        <v>#ERROR!</v>
      </c>
      <c r="R2139" s="154" t="s">
        <v>66</v>
      </c>
      <c r="S2139" s="154" t="s">
        <v>66</v>
      </c>
      <c r="T2139" s="154" t="s">
        <v>64</v>
      </c>
      <c r="U2139" s="154" t="s">
        <v>64</v>
      </c>
      <c r="V2139" s="154" t="s">
        <v>64</v>
      </c>
      <c r="W2139" s="154" t="s">
        <v>64</v>
      </c>
      <c r="X2139" s="154" t="s">
        <v>66</v>
      </c>
      <c r="Y2139" s="154" t="s">
        <v>64</v>
      </c>
      <c r="Z2139" s="154" t="s">
        <v>64</v>
      </c>
      <c r="AA2139" s="154"/>
      <c r="AB2139" s="242" t="str">
        <f t="shared" si="2"/>
        <v>#ERROR!</v>
      </c>
      <c r="AC2139" s="154" t="s">
        <v>391</v>
      </c>
      <c r="AD2139" s="242" t="b">
        <f t="shared" si="3"/>
        <v>0</v>
      </c>
      <c r="AE2139" s="154"/>
      <c r="AF2139" s="242" t="str">
        <f t="shared" si="4"/>
        <v>#ERROR!</v>
      </c>
      <c r="AG2139" s="154"/>
      <c r="AH2139" s="242" t="str">
        <f>IF(AG2139="","N/A",INDIRECT("MTR!"&amp;ADDRESS(MATCH(LEFT(AG2139,9),[1]MTR!C:C,0),COLUMN(J2139)),TRUE) &amp; "")</f>
        <v>#ERROR!</v>
      </c>
      <c r="AI2139" s="157" t="str">
        <f t="shared" si="5"/>
        <v>#ERROR!</v>
      </c>
    </row>
    <row r="2140" ht="12.75" customHeight="1">
      <c r="A2140" s="244" t="s">
        <v>5158</v>
      </c>
      <c r="B2140" s="244" t="s">
        <v>231</v>
      </c>
      <c r="C2140" s="244" t="s">
        <v>11966</v>
      </c>
      <c r="D2140" s="154" t="s">
        <v>542</v>
      </c>
      <c r="E2140" s="154"/>
      <c r="F2140" s="154" t="str">
        <f t="array" ref="F2140">XLOOKUP(Cover!$D$12,$R$1:$Z$1,$R2140:$Z2140)</f>
        <v>Mandatory</v>
      </c>
      <c r="G2140" s="154" t="s">
        <v>11967</v>
      </c>
      <c r="H2140" s="154" t="s">
        <v>8550</v>
      </c>
      <c r="I2140" s="154" t="s">
        <v>11955</v>
      </c>
      <c r="J2140" s="154" t="s">
        <v>8128</v>
      </c>
      <c r="K2140" s="154" t="s">
        <v>11675</v>
      </c>
      <c r="L2140" s="154" t="s">
        <v>6140</v>
      </c>
      <c r="M2140" s="154" t="s">
        <v>175</v>
      </c>
      <c r="N2140" s="154" t="s">
        <v>759</v>
      </c>
      <c r="O2140" s="247" t="s">
        <v>516</v>
      </c>
      <c r="P2140" s="247" t="s">
        <v>6776</v>
      </c>
      <c r="Q2140" s="154" t="str">
        <f t="shared" si="1"/>
        <v>#ERROR!</v>
      </c>
      <c r="R2140" s="154" t="s">
        <v>66</v>
      </c>
      <c r="S2140" s="154" t="s">
        <v>66</v>
      </c>
      <c r="T2140" s="155" t="s">
        <v>64</v>
      </c>
      <c r="U2140" s="155" t="s">
        <v>64</v>
      </c>
      <c r="V2140" s="154" t="s">
        <v>60</v>
      </c>
      <c r="W2140" s="154" t="s">
        <v>60</v>
      </c>
      <c r="X2140" s="154" t="s">
        <v>66</v>
      </c>
      <c r="Y2140" s="155" t="s">
        <v>64</v>
      </c>
      <c r="Z2140" s="154" t="s">
        <v>60</v>
      </c>
      <c r="AA2140" s="154"/>
      <c r="AB2140" s="242" t="str">
        <f t="shared" si="2"/>
        <v>#ERROR!</v>
      </c>
      <c r="AC2140" s="154" t="s">
        <v>391</v>
      </c>
      <c r="AD2140" s="242" t="b">
        <f t="shared" si="3"/>
        <v>0</v>
      </c>
      <c r="AE2140" s="154"/>
      <c r="AF2140" s="242" t="str">
        <f t="shared" si="4"/>
        <v>#ERROR!</v>
      </c>
      <c r="AG2140" s="154"/>
      <c r="AH2140" s="242" t="str">
        <f>IF(AG2140="","N/A",INDIRECT("MTR!"&amp;ADDRESS(MATCH(LEFT(AG2140,9),[1]MTR!C:C,0),COLUMN(J2140)),TRUE) &amp; "")</f>
        <v>#ERROR!</v>
      </c>
      <c r="AI2140" s="157" t="str">
        <f t="shared" si="5"/>
        <v>#ERROR!</v>
      </c>
    </row>
    <row r="2141" ht="12.75" customHeight="1">
      <c r="A2141" s="244" t="s">
        <v>5158</v>
      </c>
      <c r="B2141" s="244" t="s">
        <v>231</v>
      </c>
      <c r="C2141" s="244" t="s">
        <v>11968</v>
      </c>
      <c r="D2141" s="154" t="s">
        <v>1069</v>
      </c>
      <c r="E2141" s="154"/>
      <c r="F2141" s="154" t="str">
        <f t="array" ref="F2141">XLOOKUP(Cover!$D$12,$R$1:$Z$1,$R2141:$Z2141)</f>
        <v>Mandatory</v>
      </c>
      <c r="G2141" s="154" t="s">
        <v>11969</v>
      </c>
      <c r="H2141" s="154" t="s">
        <v>9053</v>
      </c>
      <c r="I2141" s="154" t="s">
        <v>11955</v>
      </c>
      <c r="J2141" s="154" t="s">
        <v>8128</v>
      </c>
      <c r="K2141" s="154" t="s">
        <v>11675</v>
      </c>
      <c r="L2141" s="154" t="s">
        <v>5927</v>
      </c>
      <c r="M2141" s="154" t="s">
        <v>175</v>
      </c>
      <c r="N2141" s="154" t="s">
        <v>759</v>
      </c>
      <c r="O2141" s="247" t="s">
        <v>516</v>
      </c>
      <c r="P2141" s="247" t="s">
        <v>6776</v>
      </c>
      <c r="Q2141" s="154" t="str">
        <f t="shared" si="1"/>
        <v>#ERROR!</v>
      </c>
      <c r="R2141" s="154" t="s">
        <v>66</v>
      </c>
      <c r="S2141" s="154" t="s">
        <v>66</v>
      </c>
      <c r="T2141" s="155" t="s">
        <v>64</v>
      </c>
      <c r="U2141" s="155" t="s">
        <v>64</v>
      </c>
      <c r="V2141" s="154" t="s">
        <v>60</v>
      </c>
      <c r="W2141" s="154" t="s">
        <v>60</v>
      </c>
      <c r="X2141" s="154" t="s">
        <v>66</v>
      </c>
      <c r="Y2141" s="155" t="s">
        <v>64</v>
      </c>
      <c r="Z2141" s="154" t="s">
        <v>60</v>
      </c>
      <c r="AA2141" s="154"/>
      <c r="AB2141" s="242" t="str">
        <f t="shared" si="2"/>
        <v>#ERROR!</v>
      </c>
      <c r="AC2141" s="154" t="s">
        <v>391</v>
      </c>
      <c r="AD2141" s="242" t="b">
        <f t="shared" si="3"/>
        <v>0</v>
      </c>
      <c r="AE2141" s="154"/>
      <c r="AF2141" s="242" t="str">
        <f t="shared" si="4"/>
        <v>#ERROR!</v>
      </c>
      <c r="AG2141" s="154"/>
      <c r="AH2141" s="242" t="str">
        <f>IF(AG2141="","N/A",INDIRECT("MTR!"&amp;ADDRESS(MATCH(LEFT(AG2141,9),[1]MTR!C:C,0),COLUMN(J2141)),TRUE) &amp; "")</f>
        <v>#ERROR!</v>
      </c>
      <c r="AI2141" s="157" t="str">
        <f t="shared" si="5"/>
        <v>#ERROR!</v>
      </c>
    </row>
    <row r="2142" ht="12.75" customHeight="1">
      <c r="A2142" s="244" t="s">
        <v>5158</v>
      </c>
      <c r="B2142" s="244" t="s">
        <v>231</v>
      </c>
      <c r="C2142" s="244" t="s">
        <v>11970</v>
      </c>
      <c r="D2142" s="154" t="s">
        <v>542</v>
      </c>
      <c r="E2142" s="154"/>
      <c r="F2142" s="154" t="str">
        <f t="array" ref="F2142">XLOOKUP(Cover!$D$12,$R$1:$Z$1,$R2142:$Z2142)</f>
        <v>Mandatory</v>
      </c>
      <c r="G2142" s="154" t="s">
        <v>11971</v>
      </c>
      <c r="H2142" s="154" t="s">
        <v>8507</v>
      </c>
      <c r="I2142" s="154" t="s">
        <v>11972</v>
      </c>
      <c r="J2142" s="154" t="s">
        <v>7648</v>
      </c>
      <c r="K2142" s="154" t="s">
        <v>11675</v>
      </c>
      <c r="L2142" s="154" t="s">
        <v>6140</v>
      </c>
      <c r="M2142" s="154" t="s">
        <v>175</v>
      </c>
      <c r="N2142" s="154" t="s">
        <v>759</v>
      </c>
      <c r="O2142" s="247" t="s">
        <v>516</v>
      </c>
      <c r="P2142" s="247" t="s">
        <v>6776</v>
      </c>
      <c r="Q2142" s="154" t="str">
        <f t="shared" si="1"/>
        <v>#ERROR!</v>
      </c>
      <c r="R2142" s="154" t="s">
        <v>66</v>
      </c>
      <c r="S2142" s="154" t="s">
        <v>66</v>
      </c>
      <c r="T2142" s="155" t="s">
        <v>64</v>
      </c>
      <c r="U2142" s="155" t="s">
        <v>64</v>
      </c>
      <c r="V2142" s="154" t="s">
        <v>60</v>
      </c>
      <c r="W2142" s="154" t="s">
        <v>60</v>
      </c>
      <c r="X2142" s="154" t="s">
        <v>66</v>
      </c>
      <c r="Y2142" s="155" t="s">
        <v>64</v>
      </c>
      <c r="Z2142" s="154" t="s">
        <v>60</v>
      </c>
      <c r="AA2142" s="154"/>
      <c r="AB2142" s="242" t="str">
        <f t="shared" si="2"/>
        <v>#ERROR!</v>
      </c>
      <c r="AC2142" s="154" t="s">
        <v>391</v>
      </c>
      <c r="AD2142" s="242" t="b">
        <f t="shared" si="3"/>
        <v>0</v>
      </c>
      <c r="AE2142" s="154"/>
      <c r="AF2142" s="242" t="str">
        <f t="shared" si="4"/>
        <v>#ERROR!</v>
      </c>
      <c r="AG2142" s="154"/>
      <c r="AH2142" s="242" t="str">
        <f>IF(AG2142="","N/A",INDIRECT("MTR!"&amp;ADDRESS(MATCH(LEFT(AG2142,9),[1]MTR!C:C,0),COLUMN(J2142)),TRUE) &amp; "")</f>
        <v>#ERROR!</v>
      </c>
      <c r="AI2142" s="157" t="str">
        <f t="shared" si="5"/>
        <v>#ERROR!</v>
      </c>
    </row>
    <row r="2143" ht="12.75" customHeight="1">
      <c r="A2143" s="244" t="s">
        <v>5158</v>
      </c>
      <c r="B2143" s="244" t="s">
        <v>231</v>
      </c>
      <c r="C2143" s="244" t="s">
        <v>11973</v>
      </c>
      <c r="D2143" s="154" t="s">
        <v>542</v>
      </c>
      <c r="E2143" s="154"/>
      <c r="F2143" s="154" t="str">
        <f t="array" ref="F2143">XLOOKUP(Cover!$D$12,$R$1:$Z$1,$R2143:$Z2143)</f>
        <v>Mandatory</v>
      </c>
      <c r="G2143" s="154" t="s">
        <v>11974</v>
      </c>
      <c r="H2143" s="154" t="s">
        <v>9002</v>
      </c>
      <c r="I2143" s="154" t="s">
        <v>11972</v>
      </c>
      <c r="J2143" s="154" t="s">
        <v>7648</v>
      </c>
      <c r="K2143" s="154" t="s">
        <v>11675</v>
      </c>
      <c r="L2143" s="154" t="s">
        <v>6140</v>
      </c>
      <c r="M2143" s="154" t="s">
        <v>175</v>
      </c>
      <c r="N2143" s="154" t="s">
        <v>759</v>
      </c>
      <c r="O2143" s="247" t="s">
        <v>516</v>
      </c>
      <c r="P2143" s="247" t="s">
        <v>6776</v>
      </c>
      <c r="Q2143" s="154" t="str">
        <f t="shared" si="1"/>
        <v>#ERROR!</v>
      </c>
      <c r="R2143" s="154" t="s">
        <v>66</v>
      </c>
      <c r="S2143" s="154" t="s">
        <v>66</v>
      </c>
      <c r="T2143" s="155" t="s">
        <v>64</v>
      </c>
      <c r="U2143" s="155" t="s">
        <v>64</v>
      </c>
      <c r="V2143" s="154" t="s">
        <v>60</v>
      </c>
      <c r="W2143" s="154" t="s">
        <v>60</v>
      </c>
      <c r="X2143" s="154" t="s">
        <v>66</v>
      </c>
      <c r="Y2143" s="155" t="s">
        <v>64</v>
      </c>
      <c r="Z2143" s="154" t="s">
        <v>60</v>
      </c>
      <c r="AA2143" s="154"/>
      <c r="AB2143" s="242" t="str">
        <f t="shared" si="2"/>
        <v>#ERROR!</v>
      </c>
      <c r="AC2143" s="154" t="s">
        <v>391</v>
      </c>
      <c r="AD2143" s="242" t="b">
        <f t="shared" si="3"/>
        <v>0</v>
      </c>
      <c r="AE2143" s="154"/>
      <c r="AF2143" s="242" t="str">
        <f t="shared" si="4"/>
        <v>#ERROR!</v>
      </c>
      <c r="AG2143" s="154"/>
      <c r="AH2143" s="242" t="str">
        <f>IF(AG2143="","N/A",INDIRECT("MTR!"&amp;ADDRESS(MATCH(LEFT(AG2143,9),[1]MTR!C:C,0),COLUMN(J2143)),TRUE) &amp; "")</f>
        <v>#ERROR!</v>
      </c>
      <c r="AI2143" s="157" t="str">
        <f t="shared" si="5"/>
        <v>#ERROR!</v>
      </c>
    </row>
    <row r="2144" ht="12.75" customHeight="1">
      <c r="A2144" s="244" t="s">
        <v>5158</v>
      </c>
      <c r="B2144" s="244" t="s">
        <v>231</v>
      </c>
      <c r="C2144" s="244" t="s">
        <v>11975</v>
      </c>
      <c r="D2144" s="154" t="s">
        <v>542</v>
      </c>
      <c r="E2144" s="154"/>
      <c r="F2144" s="154" t="str">
        <f t="array" ref="F2144">XLOOKUP(Cover!$D$12,$R$1:$Z$1,$R2144:$Z2144)</f>
        <v>Mandatory</v>
      </c>
      <c r="G2144" s="154" t="s">
        <v>11976</v>
      </c>
      <c r="H2144" s="154" t="s">
        <v>1489</v>
      </c>
      <c r="I2144" s="154" t="s">
        <v>11972</v>
      </c>
      <c r="J2144" s="154" t="s">
        <v>7648</v>
      </c>
      <c r="K2144" s="154" t="s">
        <v>11675</v>
      </c>
      <c r="L2144" s="154" t="s">
        <v>6140</v>
      </c>
      <c r="M2144" s="154" t="s">
        <v>175</v>
      </c>
      <c r="N2144" s="154" t="s">
        <v>759</v>
      </c>
      <c r="O2144" s="247" t="s">
        <v>516</v>
      </c>
      <c r="P2144" s="247" t="s">
        <v>6776</v>
      </c>
      <c r="Q2144" s="154" t="str">
        <f t="shared" si="1"/>
        <v>#ERROR!</v>
      </c>
      <c r="R2144" s="154" t="s">
        <v>66</v>
      </c>
      <c r="S2144" s="154" t="s">
        <v>66</v>
      </c>
      <c r="T2144" s="155" t="s">
        <v>64</v>
      </c>
      <c r="U2144" s="155" t="s">
        <v>64</v>
      </c>
      <c r="V2144" s="154" t="s">
        <v>60</v>
      </c>
      <c r="W2144" s="154" t="s">
        <v>60</v>
      </c>
      <c r="X2144" s="154" t="s">
        <v>66</v>
      </c>
      <c r="Y2144" s="155" t="s">
        <v>64</v>
      </c>
      <c r="Z2144" s="154" t="s">
        <v>60</v>
      </c>
      <c r="AA2144" s="154"/>
      <c r="AB2144" s="242" t="str">
        <f t="shared" si="2"/>
        <v>#ERROR!</v>
      </c>
      <c r="AC2144" s="154" t="s">
        <v>391</v>
      </c>
      <c r="AD2144" s="242" t="b">
        <f t="shared" si="3"/>
        <v>0</v>
      </c>
      <c r="AE2144" s="154"/>
      <c r="AF2144" s="242" t="str">
        <f t="shared" si="4"/>
        <v>#ERROR!</v>
      </c>
      <c r="AG2144" s="154"/>
      <c r="AH2144" s="242" t="str">
        <f>IF(AG2144="","N/A",INDIRECT("MTR!"&amp;ADDRESS(MATCH(LEFT(AG2144,9),[1]MTR!C:C,0),COLUMN(J2144)),TRUE) &amp; "")</f>
        <v>#ERROR!</v>
      </c>
      <c r="AI2144" s="157" t="str">
        <f t="shared" si="5"/>
        <v>#ERROR!</v>
      </c>
    </row>
    <row r="2145" ht="12.75" customHeight="1">
      <c r="A2145" s="244" t="s">
        <v>5158</v>
      </c>
      <c r="B2145" s="244" t="s">
        <v>231</v>
      </c>
      <c r="C2145" s="244" t="s">
        <v>11977</v>
      </c>
      <c r="D2145" s="154" t="s">
        <v>542</v>
      </c>
      <c r="E2145" s="154"/>
      <c r="F2145" s="154" t="str">
        <f t="array" ref="F2145">XLOOKUP(Cover!$D$12,$R$1:$Z$1,$R2145:$Z2145)</f>
        <v>Mandatory</v>
      </c>
      <c r="G2145" s="154" t="s">
        <v>11978</v>
      </c>
      <c r="H2145" s="154" t="s">
        <v>9006</v>
      </c>
      <c r="I2145" s="154" t="s">
        <v>11972</v>
      </c>
      <c r="J2145" s="154" t="s">
        <v>7648</v>
      </c>
      <c r="K2145" s="154" t="s">
        <v>11675</v>
      </c>
      <c r="L2145" s="154" t="s">
        <v>6140</v>
      </c>
      <c r="M2145" s="154" t="s">
        <v>175</v>
      </c>
      <c r="N2145" s="154" t="s">
        <v>759</v>
      </c>
      <c r="O2145" s="247" t="s">
        <v>516</v>
      </c>
      <c r="P2145" s="247" t="s">
        <v>6776</v>
      </c>
      <c r="Q2145" s="154" t="str">
        <f t="shared" si="1"/>
        <v>#ERROR!</v>
      </c>
      <c r="R2145" s="154" t="s">
        <v>66</v>
      </c>
      <c r="S2145" s="154" t="s">
        <v>66</v>
      </c>
      <c r="T2145" s="155" t="s">
        <v>64</v>
      </c>
      <c r="U2145" s="155" t="s">
        <v>64</v>
      </c>
      <c r="V2145" s="154" t="s">
        <v>60</v>
      </c>
      <c r="W2145" s="154" t="s">
        <v>60</v>
      </c>
      <c r="X2145" s="154" t="s">
        <v>66</v>
      </c>
      <c r="Y2145" s="155" t="s">
        <v>64</v>
      </c>
      <c r="Z2145" s="154" t="s">
        <v>60</v>
      </c>
      <c r="AA2145" s="154"/>
      <c r="AB2145" s="242" t="str">
        <f t="shared" si="2"/>
        <v>#ERROR!</v>
      </c>
      <c r="AC2145" s="154" t="s">
        <v>391</v>
      </c>
      <c r="AD2145" s="242" t="b">
        <f t="shared" si="3"/>
        <v>0</v>
      </c>
      <c r="AE2145" s="154"/>
      <c r="AF2145" s="242" t="str">
        <f t="shared" si="4"/>
        <v>#ERROR!</v>
      </c>
      <c r="AG2145" s="154"/>
      <c r="AH2145" s="242" t="str">
        <f>IF(AG2145="","N/A",INDIRECT("MTR!"&amp;ADDRESS(MATCH(LEFT(AG2145,9),[1]MTR!C:C,0),COLUMN(J2145)),TRUE) &amp; "")</f>
        <v>#ERROR!</v>
      </c>
      <c r="AI2145" s="157" t="str">
        <f t="shared" si="5"/>
        <v>#ERROR!</v>
      </c>
    </row>
    <row r="2146" ht="12.75" customHeight="1">
      <c r="A2146" s="244" t="s">
        <v>5158</v>
      </c>
      <c r="B2146" s="244" t="s">
        <v>231</v>
      </c>
      <c r="C2146" s="244" t="s">
        <v>11979</v>
      </c>
      <c r="D2146" s="154" t="s">
        <v>542</v>
      </c>
      <c r="E2146" s="154"/>
      <c r="F2146" s="154" t="str">
        <f t="array" ref="F2146">XLOOKUP(Cover!$D$12,$R$1:$Z$1,$R2146:$Z2146)</f>
        <v>Recommended</v>
      </c>
      <c r="G2146" s="154" t="s">
        <v>11980</v>
      </c>
      <c r="H2146" s="154" t="s">
        <v>8513</v>
      </c>
      <c r="I2146" s="154" t="s">
        <v>11972</v>
      </c>
      <c r="J2146" s="154" t="s">
        <v>7648</v>
      </c>
      <c r="K2146" s="154" t="s">
        <v>11675</v>
      </c>
      <c r="L2146" s="154" t="s">
        <v>6140</v>
      </c>
      <c r="M2146" s="154"/>
      <c r="N2146" s="154" t="s">
        <v>759</v>
      </c>
      <c r="O2146" s="247" t="s">
        <v>516</v>
      </c>
      <c r="P2146" s="247" t="s">
        <v>6776</v>
      </c>
      <c r="Q2146" s="154" t="str">
        <f t="shared" si="1"/>
        <v>#ERROR!</v>
      </c>
      <c r="R2146" s="154" t="s">
        <v>66</v>
      </c>
      <c r="S2146" s="154" t="s">
        <v>66</v>
      </c>
      <c r="T2146" s="154" t="s">
        <v>64</v>
      </c>
      <c r="U2146" s="154" t="s">
        <v>64</v>
      </c>
      <c r="V2146" s="154" t="s">
        <v>64</v>
      </c>
      <c r="W2146" s="154" t="s">
        <v>64</v>
      </c>
      <c r="X2146" s="154" t="s">
        <v>66</v>
      </c>
      <c r="Y2146" s="154" t="s">
        <v>64</v>
      </c>
      <c r="Z2146" s="154" t="s">
        <v>64</v>
      </c>
      <c r="AA2146" s="154"/>
      <c r="AB2146" s="242" t="str">
        <f t="shared" si="2"/>
        <v>#ERROR!</v>
      </c>
      <c r="AC2146" s="154" t="s">
        <v>391</v>
      </c>
      <c r="AD2146" s="242" t="b">
        <f t="shared" si="3"/>
        <v>0</v>
      </c>
      <c r="AE2146" s="154"/>
      <c r="AF2146" s="242" t="str">
        <f t="shared" si="4"/>
        <v>#ERROR!</v>
      </c>
      <c r="AG2146" s="154"/>
      <c r="AH2146" s="242" t="str">
        <f>IF(AG2146="","N/A",INDIRECT("MTR!"&amp;ADDRESS(MATCH(LEFT(AG2146,9),[1]MTR!C:C,0),COLUMN(J2146)),TRUE) &amp; "")</f>
        <v>#ERROR!</v>
      </c>
      <c r="AI2146" s="157" t="str">
        <f t="shared" si="5"/>
        <v>#ERROR!</v>
      </c>
    </row>
    <row r="2147" ht="12.75" customHeight="1">
      <c r="A2147" s="244" t="s">
        <v>5158</v>
      </c>
      <c r="B2147" s="244" t="s">
        <v>231</v>
      </c>
      <c r="C2147" s="244" t="s">
        <v>11981</v>
      </c>
      <c r="D2147" s="154" t="s">
        <v>542</v>
      </c>
      <c r="E2147" s="154"/>
      <c r="F2147" s="154" t="str">
        <f t="array" ref="F2147">XLOOKUP(Cover!$D$12,$R$1:$Z$1,$R2147:$Z2147)</f>
        <v>Recommended</v>
      </c>
      <c r="G2147" s="154" t="s">
        <v>11982</v>
      </c>
      <c r="H2147" s="154" t="s">
        <v>9009</v>
      </c>
      <c r="I2147" s="154" t="s">
        <v>11972</v>
      </c>
      <c r="J2147" s="154" t="s">
        <v>7648</v>
      </c>
      <c r="K2147" s="154" t="s">
        <v>11675</v>
      </c>
      <c r="L2147" s="154" t="s">
        <v>6140</v>
      </c>
      <c r="M2147" s="154"/>
      <c r="N2147" s="154" t="s">
        <v>759</v>
      </c>
      <c r="O2147" s="247" t="s">
        <v>516</v>
      </c>
      <c r="P2147" s="247" t="s">
        <v>6776</v>
      </c>
      <c r="Q2147" s="154" t="str">
        <f t="shared" si="1"/>
        <v>#ERROR!</v>
      </c>
      <c r="R2147" s="154" t="s">
        <v>66</v>
      </c>
      <c r="S2147" s="154" t="s">
        <v>66</v>
      </c>
      <c r="T2147" s="154" t="s">
        <v>64</v>
      </c>
      <c r="U2147" s="154" t="s">
        <v>64</v>
      </c>
      <c r="V2147" s="154" t="s">
        <v>64</v>
      </c>
      <c r="W2147" s="154" t="s">
        <v>64</v>
      </c>
      <c r="X2147" s="154" t="s">
        <v>66</v>
      </c>
      <c r="Y2147" s="154" t="s">
        <v>64</v>
      </c>
      <c r="Z2147" s="154" t="s">
        <v>64</v>
      </c>
      <c r="AA2147" s="154"/>
      <c r="AB2147" s="242" t="str">
        <f t="shared" si="2"/>
        <v>#ERROR!</v>
      </c>
      <c r="AC2147" s="154" t="s">
        <v>391</v>
      </c>
      <c r="AD2147" s="242" t="b">
        <f t="shared" si="3"/>
        <v>0</v>
      </c>
      <c r="AE2147" s="154"/>
      <c r="AF2147" s="242" t="str">
        <f t="shared" si="4"/>
        <v>#ERROR!</v>
      </c>
      <c r="AG2147" s="154"/>
      <c r="AH2147" s="242" t="str">
        <f>IF(AG2147="","N/A",INDIRECT("MTR!"&amp;ADDRESS(MATCH(LEFT(AG2147,9),[1]MTR!C:C,0),COLUMN(J2147)),TRUE) &amp; "")</f>
        <v>#ERROR!</v>
      </c>
      <c r="AI2147" s="157" t="str">
        <f t="shared" si="5"/>
        <v>#ERROR!</v>
      </c>
    </row>
    <row r="2148" ht="12.75" customHeight="1">
      <c r="A2148" s="244" t="s">
        <v>5158</v>
      </c>
      <c r="B2148" s="244" t="s">
        <v>231</v>
      </c>
      <c r="C2148" s="244" t="s">
        <v>11983</v>
      </c>
      <c r="D2148" s="154" t="s">
        <v>542</v>
      </c>
      <c r="E2148" s="154"/>
      <c r="F2148" s="154" t="str">
        <f t="array" ref="F2148">XLOOKUP(Cover!$D$12,$R$1:$Z$1,$R2148:$Z2148)</f>
        <v>Recommended</v>
      </c>
      <c r="G2148" s="154" t="s">
        <v>11984</v>
      </c>
      <c r="H2148" s="154" t="s">
        <v>8573</v>
      </c>
      <c r="I2148" s="154" t="s">
        <v>11972</v>
      </c>
      <c r="J2148" s="154" t="s">
        <v>7648</v>
      </c>
      <c r="K2148" s="154" t="s">
        <v>11675</v>
      </c>
      <c r="L2148" s="154" t="s">
        <v>6140</v>
      </c>
      <c r="M2148" s="154"/>
      <c r="N2148" s="154" t="s">
        <v>759</v>
      </c>
      <c r="O2148" s="247" t="s">
        <v>516</v>
      </c>
      <c r="P2148" s="247" t="s">
        <v>6776</v>
      </c>
      <c r="Q2148" s="154" t="str">
        <f t="shared" si="1"/>
        <v>#ERROR!</v>
      </c>
      <c r="R2148" s="154" t="s">
        <v>66</v>
      </c>
      <c r="S2148" s="154" t="s">
        <v>66</v>
      </c>
      <c r="T2148" s="154" t="s">
        <v>64</v>
      </c>
      <c r="U2148" s="154" t="s">
        <v>64</v>
      </c>
      <c r="V2148" s="154" t="s">
        <v>64</v>
      </c>
      <c r="W2148" s="154" t="s">
        <v>64</v>
      </c>
      <c r="X2148" s="154" t="s">
        <v>66</v>
      </c>
      <c r="Y2148" s="154" t="s">
        <v>64</v>
      </c>
      <c r="Z2148" s="154" t="s">
        <v>64</v>
      </c>
      <c r="AA2148" s="154"/>
      <c r="AB2148" s="242" t="str">
        <f t="shared" si="2"/>
        <v>#ERROR!</v>
      </c>
      <c r="AC2148" s="154" t="s">
        <v>391</v>
      </c>
      <c r="AD2148" s="242" t="b">
        <f t="shared" si="3"/>
        <v>0</v>
      </c>
      <c r="AE2148" s="154"/>
      <c r="AF2148" s="242" t="str">
        <f t="shared" si="4"/>
        <v>#ERROR!</v>
      </c>
      <c r="AG2148" s="154"/>
      <c r="AH2148" s="242" t="str">
        <f>IF(AG2148="","N/A",INDIRECT("MTR!"&amp;ADDRESS(MATCH(LEFT(AG2148,9),[1]MTR!C:C,0),COLUMN(J2148)),TRUE) &amp; "")</f>
        <v>#ERROR!</v>
      </c>
      <c r="AI2148" s="157" t="str">
        <f t="shared" si="5"/>
        <v>#ERROR!</v>
      </c>
    </row>
    <row r="2149" ht="12.75" customHeight="1">
      <c r="A2149" s="244" t="s">
        <v>5158</v>
      </c>
      <c r="B2149" s="244" t="s">
        <v>231</v>
      </c>
      <c r="C2149" s="244" t="s">
        <v>11985</v>
      </c>
      <c r="D2149" s="154" t="s">
        <v>542</v>
      </c>
      <c r="E2149" s="154"/>
      <c r="F2149" s="154" t="str">
        <f t="array" ref="F2149">XLOOKUP(Cover!$D$12,$R$1:$Z$1,$R2149:$Z2149)</f>
        <v>Recommended</v>
      </c>
      <c r="G2149" s="154" t="s">
        <v>11986</v>
      </c>
      <c r="H2149" s="154" t="s">
        <v>9084</v>
      </c>
      <c r="I2149" s="154" t="s">
        <v>11972</v>
      </c>
      <c r="J2149" s="154" t="s">
        <v>7648</v>
      </c>
      <c r="K2149" s="154" t="s">
        <v>11675</v>
      </c>
      <c r="L2149" s="154" t="s">
        <v>6140</v>
      </c>
      <c r="M2149" s="154"/>
      <c r="N2149" s="154" t="s">
        <v>759</v>
      </c>
      <c r="O2149" s="247" t="s">
        <v>516</v>
      </c>
      <c r="P2149" s="247" t="s">
        <v>6776</v>
      </c>
      <c r="Q2149" s="154" t="str">
        <f t="shared" si="1"/>
        <v>#ERROR!</v>
      </c>
      <c r="R2149" s="154" t="s">
        <v>66</v>
      </c>
      <c r="S2149" s="154" t="s">
        <v>66</v>
      </c>
      <c r="T2149" s="154" t="s">
        <v>64</v>
      </c>
      <c r="U2149" s="154" t="s">
        <v>64</v>
      </c>
      <c r="V2149" s="154" t="s">
        <v>64</v>
      </c>
      <c r="W2149" s="154" t="s">
        <v>64</v>
      </c>
      <c r="X2149" s="154" t="s">
        <v>66</v>
      </c>
      <c r="Y2149" s="154" t="s">
        <v>64</v>
      </c>
      <c r="Z2149" s="154" t="s">
        <v>64</v>
      </c>
      <c r="AA2149" s="154"/>
      <c r="AB2149" s="242" t="str">
        <f t="shared" si="2"/>
        <v>#ERROR!</v>
      </c>
      <c r="AC2149" s="154" t="s">
        <v>391</v>
      </c>
      <c r="AD2149" s="242" t="b">
        <f t="shared" si="3"/>
        <v>0</v>
      </c>
      <c r="AE2149" s="154"/>
      <c r="AF2149" s="242" t="str">
        <f t="shared" si="4"/>
        <v>#ERROR!</v>
      </c>
      <c r="AG2149" s="154"/>
      <c r="AH2149" s="242" t="str">
        <f>IF(AG2149="","N/A",INDIRECT("MTR!"&amp;ADDRESS(MATCH(LEFT(AG2149,9),[1]MTR!C:C,0),COLUMN(J2149)),TRUE) &amp; "")</f>
        <v>#ERROR!</v>
      </c>
      <c r="AI2149" s="157" t="str">
        <f t="shared" si="5"/>
        <v>#ERROR!</v>
      </c>
    </row>
    <row r="2150" ht="12.75" customHeight="1">
      <c r="A2150" s="244" t="s">
        <v>5158</v>
      </c>
      <c r="B2150" s="244" t="s">
        <v>231</v>
      </c>
      <c r="C2150" s="244" t="s">
        <v>11987</v>
      </c>
      <c r="D2150" s="154" t="s">
        <v>1315</v>
      </c>
      <c r="E2150" s="154"/>
      <c r="F2150" s="154" t="str">
        <f t="array" ref="F2150">XLOOKUP(Cover!$D$12,$R$1:$Z$1,$R2150:$Z2150)</f>
        <v>Recommended</v>
      </c>
      <c r="G2150" s="154" t="s">
        <v>11988</v>
      </c>
      <c r="H2150" s="154" t="s">
        <v>8507</v>
      </c>
      <c r="I2150" s="154" t="s">
        <v>11989</v>
      </c>
      <c r="J2150" s="154" t="s">
        <v>8159</v>
      </c>
      <c r="K2150" s="154" t="s">
        <v>11675</v>
      </c>
      <c r="L2150" s="154" t="s">
        <v>6022</v>
      </c>
      <c r="M2150" s="154"/>
      <c r="N2150" s="154" t="s">
        <v>759</v>
      </c>
      <c r="O2150" s="247" t="s">
        <v>516</v>
      </c>
      <c r="P2150" s="247" t="s">
        <v>6776</v>
      </c>
      <c r="Q2150" s="154" t="str">
        <f t="shared" si="1"/>
        <v>#ERROR!</v>
      </c>
      <c r="R2150" s="154" t="s">
        <v>66</v>
      </c>
      <c r="S2150" s="154" t="s">
        <v>66</v>
      </c>
      <c r="T2150" s="154" t="s">
        <v>64</v>
      </c>
      <c r="U2150" s="154" t="s">
        <v>64</v>
      </c>
      <c r="V2150" s="154" t="s">
        <v>64</v>
      </c>
      <c r="W2150" s="154" t="s">
        <v>64</v>
      </c>
      <c r="X2150" s="154" t="s">
        <v>66</v>
      </c>
      <c r="Y2150" s="154" t="s">
        <v>64</v>
      </c>
      <c r="Z2150" s="154" t="s">
        <v>64</v>
      </c>
      <c r="AA2150" s="154"/>
      <c r="AB2150" s="242" t="str">
        <f t="shared" si="2"/>
        <v>#ERROR!</v>
      </c>
      <c r="AC2150" s="154" t="s">
        <v>391</v>
      </c>
      <c r="AD2150" s="242" t="b">
        <f t="shared" si="3"/>
        <v>0</v>
      </c>
      <c r="AE2150" s="154"/>
      <c r="AF2150" s="242" t="str">
        <f t="shared" si="4"/>
        <v>#ERROR!</v>
      </c>
      <c r="AG2150" s="154"/>
      <c r="AH2150" s="242" t="str">
        <f>IF(AG2150="","N/A",INDIRECT("MTR!"&amp;ADDRESS(MATCH(LEFT(AG2150,9),[1]MTR!C:C,0),COLUMN(J2150)),TRUE) &amp; "")</f>
        <v>#ERROR!</v>
      </c>
      <c r="AI2150" s="157" t="str">
        <f t="shared" si="5"/>
        <v>#ERROR!</v>
      </c>
    </row>
    <row r="2151" ht="12.75" customHeight="1">
      <c r="A2151" s="244" t="s">
        <v>5158</v>
      </c>
      <c r="B2151" s="244" t="s">
        <v>231</v>
      </c>
      <c r="C2151" s="244" t="s">
        <v>11990</v>
      </c>
      <c r="D2151" s="154" t="s">
        <v>1315</v>
      </c>
      <c r="E2151" s="154"/>
      <c r="F2151" s="154" t="str">
        <f t="array" ref="F2151">XLOOKUP(Cover!$D$12,$R$1:$Z$1,$R2151:$Z2151)</f>
        <v>Recommended</v>
      </c>
      <c r="G2151" s="154" t="s">
        <v>11991</v>
      </c>
      <c r="H2151" s="154" t="s">
        <v>9002</v>
      </c>
      <c r="I2151" s="154" t="s">
        <v>11989</v>
      </c>
      <c r="J2151" s="154" t="s">
        <v>8159</v>
      </c>
      <c r="K2151" s="154" t="s">
        <v>11675</v>
      </c>
      <c r="L2151" s="154" t="s">
        <v>6022</v>
      </c>
      <c r="M2151" s="154"/>
      <c r="N2151" s="154" t="s">
        <v>759</v>
      </c>
      <c r="O2151" s="247" t="s">
        <v>516</v>
      </c>
      <c r="P2151" s="247" t="s">
        <v>6776</v>
      </c>
      <c r="Q2151" s="154" t="str">
        <f t="shared" si="1"/>
        <v>#ERROR!</v>
      </c>
      <c r="R2151" s="154" t="s">
        <v>66</v>
      </c>
      <c r="S2151" s="154" t="s">
        <v>66</v>
      </c>
      <c r="T2151" s="154" t="s">
        <v>64</v>
      </c>
      <c r="U2151" s="154" t="s">
        <v>64</v>
      </c>
      <c r="V2151" s="154" t="s">
        <v>64</v>
      </c>
      <c r="W2151" s="154" t="s">
        <v>64</v>
      </c>
      <c r="X2151" s="154" t="s">
        <v>66</v>
      </c>
      <c r="Y2151" s="154" t="s">
        <v>64</v>
      </c>
      <c r="Z2151" s="154" t="s">
        <v>64</v>
      </c>
      <c r="AA2151" s="154"/>
      <c r="AB2151" s="242" t="str">
        <f t="shared" si="2"/>
        <v>#ERROR!</v>
      </c>
      <c r="AC2151" s="154" t="s">
        <v>391</v>
      </c>
      <c r="AD2151" s="242" t="b">
        <f t="shared" si="3"/>
        <v>0</v>
      </c>
      <c r="AE2151" s="154"/>
      <c r="AF2151" s="242" t="str">
        <f t="shared" si="4"/>
        <v>#ERROR!</v>
      </c>
      <c r="AG2151" s="154"/>
      <c r="AH2151" s="242" t="str">
        <f>IF(AG2151="","N/A",INDIRECT("MTR!"&amp;ADDRESS(MATCH(LEFT(AG2151,9),[1]MTR!C:C,0),COLUMN(J2151)),TRUE) &amp; "")</f>
        <v>#ERROR!</v>
      </c>
      <c r="AI2151" s="157" t="str">
        <f t="shared" si="5"/>
        <v>#ERROR!</v>
      </c>
    </row>
    <row r="2152" ht="12.75" customHeight="1">
      <c r="A2152" s="244" t="s">
        <v>5158</v>
      </c>
      <c r="B2152" s="244" t="s">
        <v>231</v>
      </c>
      <c r="C2152" s="244" t="s">
        <v>11992</v>
      </c>
      <c r="D2152" s="154" t="s">
        <v>1315</v>
      </c>
      <c r="E2152" s="154"/>
      <c r="F2152" s="154" t="str">
        <f t="array" ref="F2152">XLOOKUP(Cover!$D$12,$R$1:$Z$1,$R2152:$Z2152)</f>
        <v>Recommended</v>
      </c>
      <c r="G2152" s="154" t="s">
        <v>11993</v>
      </c>
      <c r="H2152" s="154" t="s">
        <v>1489</v>
      </c>
      <c r="I2152" s="154" t="s">
        <v>11989</v>
      </c>
      <c r="J2152" s="154" t="s">
        <v>8159</v>
      </c>
      <c r="K2152" s="154" t="s">
        <v>11675</v>
      </c>
      <c r="L2152" s="154" t="s">
        <v>6022</v>
      </c>
      <c r="M2152" s="154"/>
      <c r="N2152" s="154" t="s">
        <v>759</v>
      </c>
      <c r="O2152" s="247" t="s">
        <v>516</v>
      </c>
      <c r="P2152" s="247" t="s">
        <v>6776</v>
      </c>
      <c r="Q2152" s="154" t="str">
        <f t="shared" si="1"/>
        <v>#ERROR!</v>
      </c>
      <c r="R2152" s="154" t="s">
        <v>66</v>
      </c>
      <c r="S2152" s="154" t="s">
        <v>66</v>
      </c>
      <c r="T2152" s="154" t="s">
        <v>64</v>
      </c>
      <c r="U2152" s="154" t="s">
        <v>64</v>
      </c>
      <c r="V2152" s="154" t="s">
        <v>64</v>
      </c>
      <c r="W2152" s="154" t="s">
        <v>64</v>
      </c>
      <c r="X2152" s="154" t="s">
        <v>66</v>
      </c>
      <c r="Y2152" s="154" t="s">
        <v>64</v>
      </c>
      <c r="Z2152" s="154" t="s">
        <v>64</v>
      </c>
      <c r="AA2152" s="154"/>
      <c r="AB2152" s="242" t="str">
        <f t="shared" si="2"/>
        <v>#ERROR!</v>
      </c>
      <c r="AC2152" s="154" t="s">
        <v>391</v>
      </c>
      <c r="AD2152" s="242" t="b">
        <f t="shared" si="3"/>
        <v>0</v>
      </c>
      <c r="AE2152" s="154"/>
      <c r="AF2152" s="242" t="str">
        <f t="shared" si="4"/>
        <v>#ERROR!</v>
      </c>
      <c r="AG2152" s="154"/>
      <c r="AH2152" s="242" t="str">
        <f>IF(AG2152="","N/A",INDIRECT("MTR!"&amp;ADDRESS(MATCH(LEFT(AG2152,9),[1]MTR!C:C,0),COLUMN(J2152)),TRUE) &amp; "")</f>
        <v>#ERROR!</v>
      </c>
      <c r="AI2152" s="157" t="str">
        <f t="shared" si="5"/>
        <v>#ERROR!</v>
      </c>
    </row>
    <row r="2153" ht="12.75" customHeight="1">
      <c r="A2153" s="244" t="s">
        <v>5158</v>
      </c>
      <c r="B2153" s="244" t="s">
        <v>231</v>
      </c>
      <c r="C2153" s="244" t="s">
        <v>11994</v>
      </c>
      <c r="D2153" s="154" t="s">
        <v>1315</v>
      </c>
      <c r="E2153" s="154"/>
      <c r="F2153" s="154" t="str">
        <f t="array" ref="F2153">XLOOKUP(Cover!$D$12,$R$1:$Z$1,$R2153:$Z2153)</f>
        <v>Recommended</v>
      </c>
      <c r="G2153" s="154" t="s">
        <v>11995</v>
      </c>
      <c r="H2153" s="154" t="s">
        <v>9006</v>
      </c>
      <c r="I2153" s="154" t="s">
        <v>11989</v>
      </c>
      <c r="J2153" s="154" t="s">
        <v>8159</v>
      </c>
      <c r="K2153" s="154" t="s">
        <v>11675</v>
      </c>
      <c r="L2153" s="154" t="s">
        <v>6022</v>
      </c>
      <c r="M2153" s="154"/>
      <c r="N2153" s="154" t="s">
        <v>759</v>
      </c>
      <c r="O2153" s="247" t="s">
        <v>516</v>
      </c>
      <c r="P2153" s="247" t="s">
        <v>6776</v>
      </c>
      <c r="Q2153" s="154" t="str">
        <f t="shared" si="1"/>
        <v>#ERROR!</v>
      </c>
      <c r="R2153" s="154" t="s">
        <v>66</v>
      </c>
      <c r="S2153" s="154" t="s">
        <v>66</v>
      </c>
      <c r="T2153" s="154" t="s">
        <v>64</v>
      </c>
      <c r="U2153" s="154" t="s">
        <v>64</v>
      </c>
      <c r="V2153" s="154" t="s">
        <v>64</v>
      </c>
      <c r="W2153" s="154" t="s">
        <v>64</v>
      </c>
      <c r="X2153" s="154" t="s">
        <v>66</v>
      </c>
      <c r="Y2153" s="154" t="s">
        <v>64</v>
      </c>
      <c r="Z2153" s="154" t="s">
        <v>64</v>
      </c>
      <c r="AA2153" s="154"/>
      <c r="AB2153" s="242" t="str">
        <f t="shared" si="2"/>
        <v>#ERROR!</v>
      </c>
      <c r="AC2153" s="154" t="s">
        <v>391</v>
      </c>
      <c r="AD2153" s="242" t="b">
        <f t="shared" si="3"/>
        <v>0</v>
      </c>
      <c r="AE2153" s="154"/>
      <c r="AF2153" s="242" t="str">
        <f t="shared" si="4"/>
        <v>#ERROR!</v>
      </c>
      <c r="AG2153" s="154"/>
      <c r="AH2153" s="242" t="str">
        <f>IF(AG2153="","N/A",INDIRECT("MTR!"&amp;ADDRESS(MATCH(LEFT(AG2153,9),[1]MTR!C:C,0),COLUMN(J2153)),TRUE) &amp; "")</f>
        <v>#ERROR!</v>
      </c>
      <c r="AI2153" s="157" t="str">
        <f t="shared" si="5"/>
        <v>#ERROR!</v>
      </c>
    </row>
    <row r="2154" ht="12.75" customHeight="1">
      <c r="A2154" s="244" t="s">
        <v>5158</v>
      </c>
      <c r="B2154" s="244" t="s">
        <v>231</v>
      </c>
      <c r="C2154" s="244" t="s">
        <v>11996</v>
      </c>
      <c r="D2154" s="154" t="s">
        <v>1315</v>
      </c>
      <c r="E2154" s="154"/>
      <c r="F2154" s="154" t="str">
        <f t="array" ref="F2154">XLOOKUP(Cover!$D$12,$R$1:$Z$1,$R2154:$Z2154)</f>
        <v>Information</v>
      </c>
      <c r="G2154" s="154" t="s">
        <v>11997</v>
      </c>
      <c r="H2154" s="154" t="s">
        <v>8513</v>
      </c>
      <c r="I2154" s="154" t="s">
        <v>11989</v>
      </c>
      <c r="J2154" s="154" t="s">
        <v>8159</v>
      </c>
      <c r="K2154" s="154" t="s">
        <v>11675</v>
      </c>
      <c r="L2154" s="154" t="s">
        <v>6022</v>
      </c>
      <c r="M2154" s="154"/>
      <c r="N2154" s="154" t="s">
        <v>759</v>
      </c>
      <c r="O2154" s="247" t="s">
        <v>516</v>
      </c>
      <c r="P2154" s="247" t="s">
        <v>6776</v>
      </c>
      <c r="Q2154" s="154" t="str">
        <f t="shared" si="1"/>
        <v>#ERROR!</v>
      </c>
      <c r="R2154" s="154" t="s">
        <v>66</v>
      </c>
      <c r="S2154" s="154" t="s">
        <v>66</v>
      </c>
      <c r="T2154" s="154" t="s">
        <v>66</v>
      </c>
      <c r="U2154" s="154" t="s">
        <v>66</v>
      </c>
      <c r="V2154" s="154" t="s">
        <v>66</v>
      </c>
      <c r="W2154" s="154" t="s">
        <v>66</v>
      </c>
      <c r="X2154" s="154" t="s">
        <v>66</v>
      </c>
      <c r="Y2154" s="154" t="s">
        <v>66</v>
      </c>
      <c r="Z2154" s="154" t="s">
        <v>66</v>
      </c>
      <c r="AA2154" s="154"/>
      <c r="AB2154" s="242" t="str">
        <f t="shared" si="2"/>
        <v>#ERROR!</v>
      </c>
      <c r="AC2154" s="154" t="s">
        <v>391</v>
      </c>
      <c r="AD2154" s="242" t="b">
        <f t="shared" si="3"/>
        <v>0</v>
      </c>
      <c r="AE2154" s="154"/>
      <c r="AF2154" s="242" t="str">
        <f t="shared" si="4"/>
        <v>#ERROR!</v>
      </c>
      <c r="AG2154" s="154"/>
      <c r="AH2154" s="242" t="str">
        <f>IF(AG2154="","N/A",INDIRECT("MTR!"&amp;ADDRESS(MATCH(LEFT(AG2154,9),[1]MTR!C:C,0),COLUMN(J2154)),TRUE) &amp; "")</f>
        <v>#ERROR!</v>
      </c>
      <c r="AI2154" s="157" t="str">
        <f t="shared" si="5"/>
        <v>#ERROR!</v>
      </c>
    </row>
    <row r="2155" ht="12.75" customHeight="1">
      <c r="A2155" s="244" t="s">
        <v>5158</v>
      </c>
      <c r="B2155" s="244" t="s">
        <v>231</v>
      </c>
      <c r="C2155" s="244" t="s">
        <v>11998</v>
      </c>
      <c r="D2155" s="154" t="s">
        <v>1315</v>
      </c>
      <c r="E2155" s="154"/>
      <c r="F2155" s="154" t="str">
        <f t="array" ref="F2155">XLOOKUP(Cover!$D$12,$R$1:$Z$1,$R2155:$Z2155)</f>
        <v>Information</v>
      </c>
      <c r="G2155" s="154" t="s">
        <v>11999</v>
      </c>
      <c r="H2155" s="154" t="s">
        <v>9009</v>
      </c>
      <c r="I2155" s="154" t="s">
        <v>11989</v>
      </c>
      <c r="J2155" s="154" t="s">
        <v>8159</v>
      </c>
      <c r="K2155" s="154" t="s">
        <v>11675</v>
      </c>
      <c r="L2155" s="154" t="s">
        <v>6022</v>
      </c>
      <c r="M2155" s="154"/>
      <c r="N2155" s="154" t="s">
        <v>759</v>
      </c>
      <c r="O2155" s="247" t="s">
        <v>516</v>
      </c>
      <c r="P2155" s="247" t="s">
        <v>6776</v>
      </c>
      <c r="Q2155" s="154" t="str">
        <f t="shared" si="1"/>
        <v>#ERROR!</v>
      </c>
      <c r="R2155" s="154" t="s">
        <v>66</v>
      </c>
      <c r="S2155" s="154" t="s">
        <v>66</v>
      </c>
      <c r="T2155" s="154" t="s">
        <v>66</v>
      </c>
      <c r="U2155" s="154" t="s">
        <v>66</v>
      </c>
      <c r="V2155" s="154" t="s">
        <v>66</v>
      </c>
      <c r="W2155" s="154" t="s">
        <v>66</v>
      </c>
      <c r="X2155" s="154" t="s">
        <v>66</v>
      </c>
      <c r="Y2155" s="154" t="s">
        <v>66</v>
      </c>
      <c r="Z2155" s="154" t="s">
        <v>66</v>
      </c>
      <c r="AA2155" s="154"/>
      <c r="AB2155" s="242" t="str">
        <f t="shared" si="2"/>
        <v>#ERROR!</v>
      </c>
      <c r="AC2155" s="154" t="s">
        <v>391</v>
      </c>
      <c r="AD2155" s="242" t="b">
        <f t="shared" si="3"/>
        <v>0</v>
      </c>
      <c r="AE2155" s="154"/>
      <c r="AF2155" s="242" t="str">
        <f t="shared" si="4"/>
        <v>#ERROR!</v>
      </c>
      <c r="AG2155" s="154"/>
      <c r="AH2155" s="242" t="str">
        <f>IF(AG2155="","N/A",INDIRECT("MTR!"&amp;ADDRESS(MATCH(LEFT(AG2155,9),[1]MTR!C:C,0),COLUMN(J2155)),TRUE) &amp; "")</f>
        <v>#ERROR!</v>
      </c>
      <c r="AI2155" s="157" t="str">
        <f t="shared" si="5"/>
        <v>#ERROR!</v>
      </c>
    </row>
    <row r="2156" ht="12.75" customHeight="1">
      <c r="A2156" s="244" t="s">
        <v>5158</v>
      </c>
      <c r="B2156" s="244" t="s">
        <v>231</v>
      </c>
      <c r="C2156" s="244" t="s">
        <v>12000</v>
      </c>
      <c r="D2156" s="154" t="s">
        <v>1315</v>
      </c>
      <c r="E2156" s="154"/>
      <c r="F2156" s="154" t="str">
        <f t="array" ref="F2156">XLOOKUP(Cover!$D$12,$R$1:$Z$1,$R2156:$Z2156)</f>
        <v>Information</v>
      </c>
      <c r="G2156" s="154" t="s">
        <v>12001</v>
      </c>
      <c r="H2156" s="154" t="s">
        <v>8516</v>
      </c>
      <c r="I2156" s="154" t="s">
        <v>11989</v>
      </c>
      <c r="J2156" s="154" t="s">
        <v>8159</v>
      </c>
      <c r="K2156" s="154" t="s">
        <v>11675</v>
      </c>
      <c r="L2156" s="154" t="s">
        <v>6022</v>
      </c>
      <c r="M2156" s="154"/>
      <c r="N2156" s="154" t="s">
        <v>759</v>
      </c>
      <c r="O2156" s="247" t="s">
        <v>516</v>
      </c>
      <c r="P2156" s="247" t="s">
        <v>6776</v>
      </c>
      <c r="Q2156" s="154" t="str">
        <f t="shared" si="1"/>
        <v>#ERROR!</v>
      </c>
      <c r="R2156" s="154" t="s">
        <v>66</v>
      </c>
      <c r="S2156" s="154" t="s">
        <v>66</v>
      </c>
      <c r="T2156" s="154" t="s">
        <v>66</v>
      </c>
      <c r="U2156" s="154" t="s">
        <v>66</v>
      </c>
      <c r="V2156" s="154" t="s">
        <v>66</v>
      </c>
      <c r="W2156" s="154" t="s">
        <v>66</v>
      </c>
      <c r="X2156" s="154" t="s">
        <v>66</v>
      </c>
      <c r="Y2156" s="154" t="s">
        <v>66</v>
      </c>
      <c r="Z2156" s="154" t="s">
        <v>66</v>
      </c>
      <c r="AA2156" s="154"/>
      <c r="AB2156" s="242" t="str">
        <f t="shared" si="2"/>
        <v>#ERROR!</v>
      </c>
      <c r="AC2156" s="154" t="s">
        <v>391</v>
      </c>
      <c r="AD2156" s="242" t="b">
        <f t="shared" si="3"/>
        <v>0</v>
      </c>
      <c r="AE2156" s="154"/>
      <c r="AF2156" s="242" t="str">
        <f t="shared" si="4"/>
        <v>#ERROR!</v>
      </c>
      <c r="AG2156" s="154"/>
      <c r="AH2156" s="242" t="str">
        <f>IF(AG2156="","N/A",INDIRECT("MTR!"&amp;ADDRESS(MATCH(LEFT(AG2156,9),[1]MTR!C:C,0),COLUMN(J2156)),TRUE) &amp; "")</f>
        <v>#ERROR!</v>
      </c>
      <c r="AI2156" s="157" t="str">
        <f t="shared" si="5"/>
        <v>#ERROR!</v>
      </c>
    </row>
    <row r="2157" ht="12.75" customHeight="1">
      <c r="A2157" s="244" t="s">
        <v>5158</v>
      </c>
      <c r="B2157" s="244" t="s">
        <v>231</v>
      </c>
      <c r="C2157" s="244" t="s">
        <v>12002</v>
      </c>
      <c r="D2157" s="154" t="s">
        <v>1315</v>
      </c>
      <c r="E2157" s="154"/>
      <c r="F2157" s="154" t="str">
        <f t="array" ref="F2157">XLOOKUP(Cover!$D$12,$R$1:$Z$1,$R2157:$Z2157)</f>
        <v>Information</v>
      </c>
      <c r="G2157" s="154" t="s">
        <v>12003</v>
      </c>
      <c r="H2157" s="154" t="s">
        <v>9012</v>
      </c>
      <c r="I2157" s="154" t="s">
        <v>11989</v>
      </c>
      <c r="J2157" s="154" t="s">
        <v>8159</v>
      </c>
      <c r="K2157" s="154" t="s">
        <v>11675</v>
      </c>
      <c r="L2157" s="154" t="s">
        <v>6022</v>
      </c>
      <c r="M2157" s="154"/>
      <c r="N2157" s="154" t="s">
        <v>759</v>
      </c>
      <c r="O2157" s="247" t="s">
        <v>516</v>
      </c>
      <c r="P2157" s="247" t="s">
        <v>6776</v>
      </c>
      <c r="Q2157" s="154" t="str">
        <f t="shared" si="1"/>
        <v>#ERROR!</v>
      </c>
      <c r="R2157" s="154" t="s">
        <v>66</v>
      </c>
      <c r="S2157" s="154" t="s">
        <v>66</v>
      </c>
      <c r="T2157" s="154" t="s">
        <v>66</v>
      </c>
      <c r="U2157" s="154" t="s">
        <v>66</v>
      </c>
      <c r="V2157" s="154" t="s">
        <v>66</v>
      </c>
      <c r="W2157" s="154" t="s">
        <v>66</v>
      </c>
      <c r="X2157" s="154" t="s">
        <v>66</v>
      </c>
      <c r="Y2157" s="154" t="s">
        <v>66</v>
      </c>
      <c r="Z2157" s="154" t="s">
        <v>66</v>
      </c>
      <c r="AA2157" s="154"/>
      <c r="AB2157" s="242" t="str">
        <f t="shared" si="2"/>
        <v>#ERROR!</v>
      </c>
      <c r="AC2157" s="154" t="s">
        <v>391</v>
      </c>
      <c r="AD2157" s="242" t="b">
        <f t="shared" si="3"/>
        <v>0</v>
      </c>
      <c r="AE2157" s="154"/>
      <c r="AF2157" s="242" t="str">
        <f t="shared" si="4"/>
        <v>#ERROR!</v>
      </c>
      <c r="AG2157" s="154"/>
      <c r="AH2157" s="242" t="str">
        <f>IF(AG2157="","N/A",INDIRECT("MTR!"&amp;ADDRESS(MATCH(LEFT(AG2157,9),[1]MTR!C:C,0),COLUMN(J2157)),TRUE) &amp; "")</f>
        <v>#ERROR!</v>
      </c>
      <c r="AI2157" s="157" t="str">
        <f t="shared" si="5"/>
        <v>#ERROR!</v>
      </c>
    </row>
    <row r="2158" ht="12.75" customHeight="1">
      <c r="A2158" s="244" t="s">
        <v>5158</v>
      </c>
      <c r="B2158" s="244" t="s">
        <v>231</v>
      </c>
      <c r="C2158" s="244" t="s">
        <v>12004</v>
      </c>
      <c r="D2158" s="154" t="s">
        <v>542</v>
      </c>
      <c r="E2158" s="154"/>
      <c r="F2158" s="154" t="str">
        <f t="array" ref="F2158">XLOOKUP(Cover!$D$12,$R$1:$Z$1,$R2158:$Z2158)</f>
        <v>Recommended</v>
      </c>
      <c r="G2158" s="154" t="s">
        <v>12005</v>
      </c>
      <c r="H2158" s="154" t="s">
        <v>8507</v>
      </c>
      <c r="I2158" s="154" t="s">
        <v>12006</v>
      </c>
      <c r="J2158" s="154" t="s">
        <v>8416</v>
      </c>
      <c r="K2158" s="154" t="s">
        <v>11675</v>
      </c>
      <c r="L2158" s="154" t="s">
        <v>6140</v>
      </c>
      <c r="M2158" s="154"/>
      <c r="N2158" s="154" t="s">
        <v>759</v>
      </c>
      <c r="O2158" s="247" t="s">
        <v>516</v>
      </c>
      <c r="P2158" s="247" t="s">
        <v>6776</v>
      </c>
      <c r="Q2158" s="154" t="str">
        <f t="shared" si="1"/>
        <v>#ERROR!</v>
      </c>
      <c r="R2158" s="154" t="s">
        <v>66</v>
      </c>
      <c r="S2158" s="154" t="s">
        <v>66</v>
      </c>
      <c r="T2158" s="154" t="s">
        <v>64</v>
      </c>
      <c r="U2158" s="154" t="s">
        <v>64</v>
      </c>
      <c r="V2158" s="154" t="s">
        <v>64</v>
      </c>
      <c r="W2158" s="154" t="s">
        <v>64</v>
      </c>
      <c r="X2158" s="154" t="s">
        <v>66</v>
      </c>
      <c r="Y2158" s="154" t="s">
        <v>64</v>
      </c>
      <c r="Z2158" s="154" t="s">
        <v>64</v>
      </c>
      <c r="AA2158" s="154"/>
      <c r="AB2158" s="242" t="str">
        <f t="shared" si="2"/>
        <v>#ERROR!</v>
      </c>
      <c r="AC2158" s="154" t="s">
        <v>391</v>
      </c>
      <c r="AD2158" s="242" t="b">
        <f t="shared" si="3"/>
        <v>0</v>
      </c>
      <c r="AE2158" s="154"/>
      <c r="AF2158" s="242" t="str">
        <f t="shared" si="4"/>
        <v>#ERROR!</v>
      </c>
      <c r="AG2158" s="154"/>
      <c r="AH2158" s="242" t="str">
        <f>IF(AG2158="","N/A",INDIRECT("MTR!"&amp;ADDRESS(MATCH(LEFT(AG2158,9),[1]MTR!C:C,0),COLUMN(J2158)),TRUE) &amp; "")</f>
        <v>#ERROR!</v>
      </c>
      <c r="AI2158" s="157" t="str">
        <f t="shared" si="5"/>
        <v>#ERROR!</v>
      </c>
    </row>
    <row r="2159" ht="12.75" customHeight="1">
      <c r="A2159" s="244" t="s">
        <v>5158</v>
      </c>
      <c r="B2159" s="244" t="s">
        <v>231</v>
      </c>
      <c r="C2159" s="244" t="s">
        <v>12007</v>
      </c>
      <c r="D2159" s="154" t="s">
        <v>542</v>
      </c>
      <c r="E2159" s="154"/>
      <c r="F2159" s="154" t="str">
        <f t="array" ref="F2159">XLOOKUP(Cover!$D$12,$R$1:$Z$1,$R2159:$Z2159)</f>
        <v>Recommended</v>
      </c>
      <c r="G2159" s="154" t="s">
        <v>12008</v>
      </c>
      <c r="H2159" s="154" t="s">
        <v>9002</v>
      </c>
      <c r="I2159" s="154" t="s">
        <v>12006</v>
      </c>
      <c r="J2159" s="154" t="s">
        <v>8416</v>
      </c>
      <c r="K2159" s="154" t="s">
        <v>11675</v>
      </c>
      <c r="L2159" s="154" t="s">
        <v>6140</v>
      </c>
      <c r="M2159" s="154"/>
      <c r="N2159" s="154" t="s">
        <v>759</v>
      </c>
      <c r="O2159" s="247" t="s">
        <v>516</v>
      </c>
      <c r="P2159" s="247" t="s">
        <v>6776</v>
      </c>
      <c r="Q2159" s="154" t="str">
        <f t="shared" si="1"/>
        <v>#ERROR!</v>
      </c>
      <c r="R2159" s="154" t="s">
        <v>66</v>
      </c>
      <c r="S2159" s="154" t="s">
        <v>66</v>
      </c>
      <c r="T2159" s="154" t="s">
        <v>64</v>
      </c>
      <c r="U2159" s="154" t="s">
        <v>64</v>
      </c>
      <c r="V2159" s="154" t="s">
        <v>64</v>
      </c>
      <c r="W2159" s="154" t="s">
        <v>64</v>
      </c>
      <c r="X2159" s="154" t="s">
        <v>66</v>
      </c>
      <c r="Y2159" s="154" t="s">
        <v>64</v>
      </c>
      <c r="Z2159" s="154" t="s">
        <v>64</v>
      </c>
      <c r="AA2159" s="154"/>
      <c r="AB2159" s="242" t="str">
        <f t="shared" si="2"/>
        <v>#ERROR!</v>
      </c>
      <c r="AC2159" s="154" t="s">
        <v>391</v>
      </c>
      <c r="AD2159" s="242" t="b">
        <f t="shared" si="3"/>
        <v>0</v>
      </c>
      <c r="AE2159" s="154"/>
      <c r="AF2159" s="242" t="str">
        <f t="shared" si="4"/>
        <v>#ERROR!</v>
      </c>
      <c r="AG2159" s="154"/>
      <c r="AH2159" s="242" t="str">
        <f>IF(AG2159="","N/A",INDIRECT("MTR!"&amp;ADDRESS(MATCH(LEFT(AG2159,9),[1]MTR!C:C,0),COLUMN(J2159)),TRUE) &amp; "")</f>
        <v>#ERROR!</v>
      </c>
      <c r="AI2159" s="157" t="str">
        <f t="shared" si="5"/>
        <v>#ERROR!</v>
      </c>
    </row>
    <row r="2160" ht="12.75" customHeight="1">
      <c r="A2160" s="244" t="s">
        <v>5158</v>
      </c>
      <c r="B2160" s="244" t="s">
        <v>231</v>
      </c>
      <c r="C2160" s="244" t="s">
        <v>12009</v>
      </c>
      <c r="D2160" s="154" t="s">
        <v>542</v>
      </c>
      <c r="E2160" s="154"/>
      <c r="F2160" s="154" t="str">
        <f t="array" ref="F2160">XLOOKUP(Cover!$D$12,$R$1:$Z$1,$R2160:$Z2160)</f>
        <v>Recommended</v>
      </c>
      <c r="G2160" s="154" t="s">
        <v>12010</v>
      </c>
      <c r="H2160" s="154" t="s">
        <v>1489</v>
      </c>
      <c r="I2160" s="154" t="s">
        <v>12006</v>
      </c>
      <c r="J2160" s="154" t="s">
        <v>8416</v>
      </c>
      <c r="K2160" s="154" t="s">
        <v>11675</v>
      </c>
      <c r="L2160" s="154" t="s">
        <v>6140</v>
      </c>
      <c r="M2160" s="154"/>
      <c r="N2160" s="154" t="s">
        <v>759</v>
      </c>
      <c r="O2160" s="247" t="s">
        <v>516</v>
      </c>
      <c r="P2160" s="247" t="s">
        <v>6776</v>
      </c>
      <c r="Q2160" s="154" t="str">
        <f t="shared" si="1"/>
        <v>#ERROR!</v>
      </c>
      <c r="R2160" s="154" t="s">
        <v>66</v>
      </c>
      <c r="S2160" s="154" t="s">
        <v>66</v>
      </c>
      <c r="T2160" s="154" t="s">
        <v>64</v>
      </c>
      <c r="U2160" s="154" t="s">
        <v>64</v>
      </c>
      <c r="V2160" s="154" t="s">
        <v>64</v>
      </c>
      <c r="W2160" s="154" t="s">
        <v>64</v>
      </c>
      <c r="X2160" s="154" t="s">
        <v>66</v>
      </c>
      <c r="Y2160" s="154" t="s">
        <v>64</v>
      </c>
      <c r="Z2160" s="154" t="s">
        <v>64</v>
      </c>
      <c r="AA2160" s="154"/>
      <c r="AB2160" s="242" t="str">
        <f t="shared" si="2"/>
        <v>#ERROR!</v>
      </c>
      <c r="AC2160" s="154" t="s">
        <v>391</v>
      </c>
      <c r="AD2160" s="242" t="b">
        <f t="shared" si="3"/>
        <v>0</v>
      </c>
      <c r="AE2160" s="154"/>
      <c r="AF2160" s="242" t="str">
        <f t="shared" si="4"/>
        <v>#ERROR!</v>
      </c>
      <c r="AG2160" s="154"/>
      <c r="AH2160" s="242" t="str">
        <f>IF(AG2160="","N/A",INDIRECT("MTR!"&amp;ADDRESS(MATCH(LEFT(AG2160,9),[1]MTR!C:C,0),COLUMN(J2160)),TRUE) &amp; "")</f>
        <v>#ERROR!</v>
      </c>
      <c r="AI2160" s="157" t="str">
        <f t="shared" si="5"/>
        <v>#ERROR!</v>
      </c>
    </row>
    <row r="2161" ht="12.75" customHeight="1">
      <c r="A2161" s="244" t="s">
        <v>5158</v>
      </c>
      <c r="B2161" s="244" t="s">
        <v>231</v>
      </c>
      <c r="C2161" s="244" t="s">
        <v>12011</v>
      </c>
      <c r="D2161" s="154" t="s">
        <v>542</v>
      </c>
      <c r="E2161" s="154"/>
      <c r="F2161" s="154" t="str">
        <f t="array" ref="F2161">XLOOKUP(Cover!$D$12,$R$1:$Z$1,$R2161:$Z2161)</f>
        <v>Recommended</v>
      </c>
      <c r="G2161" s="154" t="s">
        <v>12012</v>
      </c>
      <c r="H2161" s="154" t="s">
        <v>9006</v>
      </c>
      <c r="I2161" s="154" t="s">
        <v>12006</v>
      </c>
      <c r="J2161" s="154" t="s">
        <v>8416</v>
      </c>
      <c r="K2161" s="154" t="s">
        <v>11675</v>
      </c>
      <c r="L2161" s="154" t="s">
        <v>6140</v>
      </c>
      <c r="M2161" s="154"/>
      <c r="N2161" s="154" t="s">
        <v>759</v>
      </c>
      <c r="O2161" s="247" t="s">
        <v>516</v>
      </c>
      <c r="P2161" s="247" t="s">
        <v>6776</v>
      </c>
      <c r="Q2161" s="154" t="str">
        <f t="shared" si="1"/>
        <v>#ERROR!</v>
      </c>
      <c r="R2161" s="154" t="s">
        <v>66</v>
      </c>
      <c r="S2161" s="154" t="s">
        <v>66</v>
      </c>
      <c r="T2161" s="154" t="s">
        <v>64</v>
      </c>
      <c r="U2161" s="154" t="s">
        <v>64</v>
      </c>
      <c r="V2161" s="154" t="s">
        <v>64</v>
      </c>
      <c r="W2161" s="154" t="s">
        <v>64</v>
      </c>
      <c r="X2161" s="154" t="s">
        <v>66</v>
      </c>
      <c r="Y2161" s="154" t="s">
        <v>64</v>
      </c>
      <c r="Z2161" s="154" t="s">
        <v>64</v>
      </c>
      <c r="AA2161" s="154"/>
      <c r="AB2161" s="242" t="str">
        <f t="shared" si="2"/>
        <v>#ERROR!</v>
      </c>
      <c r="AC2161" s="154" t="s">
        <v>391</v>
      </c>
      <c r="AD2161" s="242" t="b">
        <f t="shared" si="3"/>
        <v>0</v>
      </c>
      <c r="AE2161" s="154"/>
      <c r="AF2161" s="242" t="str">
        <f t="shared" si="4"/>
        <v>#ERROR!</v>
      </c>
      <c r="AG2161" s="154"/>
      <c r="AH2161" s="242" t="str">
        <f>IF(AG2161="","N/A",INDIRECT("MTR!"&amp;ADDRESS(MATCH(LEFT(AG2161,9),[1]MTR!C:C,0),COLUMN(J2161)),TRUE) &amp; "")</f>
        <v>#ERROR!</v>
      </c>
      <c r="AI2161" s="157" t="str">
        <f t="shared" si="5"/>
        <v>#ERROR!</v>
      </c>
    </row>
    <row r="2162" ht="12.75" customHeight="1">
      <c r="A2162" s="244" t="s">
        <v>5158</v>
      </c>
      <c r="B2162" s="244" t="s">
        <v>231</v>
      </c>
      <c r="C2162" s="244" t="s">
        <v>12013</v>
      </c>
      <c r="D2162" s="154" t="s">
        <v>542</v>
      </c>
      <c r="E2162" s="154"/>
      <c r="F2162" s="154" t="str">
        <f t="array" ref="F2162">XLOOKUP(Cover!$D$12,$R$1:$Z$1,$R2162:$Z2162)</f>
        <v>Recommended</v>
      </c>
      <c r="G2162" s="154" t="s">
        <v>12014</v>
      </c>
      <c r="H2162" s="154" t="s">
        <v>8513</v>
      </c>
      <c r="I2162" s="154" t="s">
        <v>12006</v>
      </c>
      <c r="J2162" s="154" t="s">
        <v>8416</v>
      </c>
      <c r="K2162" s="154" t="s">
        <v>11675</v>
      </c>
      <c r="L2162" s="154" t="s">
        <v>6140</v>
      </c>
      <c r="M2162" s="154"/>
      <c r="N2162" s="154" t="s">
        <v>759</v>
      </c>
      <c r="O2162" s="247" t="s">
        <v>516</v>
      </c>
      <c r="P2162" s="247" t="s">
        <v>6776</v>
      </c>
      <c r="Q2162" s="154" t="str">
        <f t="shared" si="1"/>
        <v>#ERROR!</v>
      </c>
      <c r="R2162" s="154" t="s">
        <v>66</v>
      </c>
      <c r="S2162" s="154" t="s">
        <v>66</v>
      </c>
      <c r="T2162" s="154" t="s">
        <v>64</v>
      </c>
      <c r="U2162" s="154" t="s">
        <v>64</v>
      </c>
      <c r="V2162" s="154" t="s">
        <v>64</v>
      </c>
      <c r="W2162" s="154" t="s">
        <v>64</v>
      </c>
      <c r="X2162" s="154" t="s">
        <v>66</v>
      </c>
      <c r="Y2162" s="154" t="s">
        <v>64</v>
      </c>
      <c r="Z2162" s="154" t="s">
        <v>64</v>
      </c>
      <c r="AA2162" s="154"/>
      <c r="AB2162" s="242" t="str">
        <f t="shared" si="2"/>
        <v>#ERROR!</v>
      </c>
      <c r="AC2162" s="154" t="s">
        <v>391</v>
      </c>
      <c r="AD2162" s="242" t="b">
        <f t="shared" si="3"/>
        <v>0</v>
      </c>
      <c r="AE2162" s="154"/>
      <c r="AF2162" s="242" t="str">
        <f t="shared" si="4"/>
        <v>#ERROR!</v>
      </c>
      <c r="AG2162" s="154"/>
      <c r="AH2162" s="242" t="str">
        <f>IF(AG2162="","N/A",INDIRECT("MTR!"&amp;ADDRESS(MATCH(LEFT(AG2162,9),[1]MTR!C:C,0),COLUMN(J2162)),TRUE) &amp; "")</f>
        <v>#ERROR!</v>
      </c>
      <c r="AI2162" s="157" t="str">
        <f t="shared" si="5"/>
        <v>#ERROR!</v>
      </c>
    </row>
    <row r="2163" ht="12.75" customHeight="1">
      <c r="A2163" s="244" t="s">
        <v>5158</v>
      </c>
      <c r="B2163" s="244" t="s">
        <v>231</v>
      </c>
      <c r="C2163" s="244" t="s">
        <v>12015</v>
      </c>
      <c r="D2163" s="154" t="s">
        <v>542</v>
      </c>
      <c r="E2163" s="154"/>
      <c r="F2163" s="154" t="str">
        <f t="array" ref="F2163">XLOOKUP(Cover!$D$12,$R$1:$Z$1,$R2163:$Z2163)</f>
        <v>Recommended</v>
      </c>
      <c r="G2163" s="154" t="s">
        <v>12016</v>
      </c>
      <c r="H2163" s="154" t="s">
        <v>9009</v>
      </c>
      <c r="I2163" s="154" t="s">
        <v>12006</v>
      </c>
      <c r="J2163" s="154" t="s">
        <v>8416</v>
      </c>
      <c r="K2163" s="154" t="s">
        <v>11675</v>
      </c>
      <c r="L2163" s="154" t="s">
        <v>6140</v>
      </c>
      <c r="M2163" s="154"/>
      <c r="N2163" s="154" t="s">
        <v>759</v>
      </c>
      <c r="O2163" s="247" t="s">
        <v>516</v>
      </c>
      <c r="P2163" s="247" t="s">
        <v>6776</v>
      </c>
      <c r="Q2163" s="154" t="str">
        <f t="shared" si="1"/>
        <v>#ERROR!</v>
      </c>
      <c r="R2163" s="154" t="s">
        <v>66</v>
      </c>
      <c r="S2163" s="154" t="s">
        <v>66</v>
      </c>
      <c r="T2163" s="154" t="s">
        <v>64</v>
      </c>
      <c r="U2163" s="154" t="s">
        <v>64</v>
      </c>
      <c r="V2163" s="154" t="s">
        <v>64</v>
      </c>
      <c r="W2163" s="154" t="s">
        <v>64</v>
      </c>
      <c r="X2163" s="154" t="s">
        <v>66</v>
      </c>
      <c r="Y2163" s="154" t="s">
        <v>64</v>
      </c>
      <c r="Z2163" s="154" t="s">
        <v>64</v>
      </c>
      <c r="AA2163" s="154"/>
      <c r="AB2163" s="242" t="str">
        <f t="shared" si="2"/>
        <v>#ERROR!</v>
      </c>
      <c r="AC2163" s="154" t="s">
        <v>391</v>
      </c>
      <c r="AD2163" s="242" t="b">
        <f t="shared" si="3"/>
        <v>0</v>
      </c>
      <c r="AE2163" s="154"/>
      <c r="AF2163" s="242" t="str">
        <f t="shared" si="4"/>
        <v>#ERROR!</v>
      </c>
      <c r="AG2163" s="154"/>
      <c r="AH2163" s="242" t="str">
        <f>IF(AG2163="","N/A",INDIRECT("MTR!"&amp;ADDRESS(MATCH(LEFT(AG2163,9),[1]MTR!C:C,0),COLUMN(J2163)),TRUE) &amp; "")</f>
        <v>#ERROR!</v>
      </c>
      <c r="AI2163" s="157" t="str">
        <f t="shared" si="5"/>
        <v>#ERROR!</v>
      </c>
    </row>
    <row r="2164" ht="12.75" customHeight="1">
      <c r="A2164" s="244" t="s">
        <v>5158</v>
      </c>
      <c r="B2164" s="244" t="s">
        <v>231</v>
      </c>
      <c r="C2164" s="244" t="s">
        <v>12017</v>
      </c>
      <c r="D2164" s="154" t="s">
        <v>542</v>
      </c>
      <c r="E2164" s="154"/>
      <c r="F2164" s="154" t="str">
        <f t="array" ref="F2164">XLOOKUP(Cover!$D$12,$R$1:$Z$1,$R2164:$Z2164)</f>
        <v>Recommended</v>
      </c>
      <c r="G2164" s="154" t="s">
        <v>12018</v>
      </c>
      <c r="H2164" s="154" t="s">
        <v>8519</v>
      </c>
      <c r="I2164" s="154" t="s">
        <v>12006</v>
      </c>
      <c r="J2164" s="154" t="s">
        <v>8416</v>
      </c>
      <c r="K2164" s="154" t="s">
        <v>11675</v>
      </c>
      <c r="L2164" s="154" t="s">
        <v>6140</v>
      </c>
      <c r="M2164" s="154"/>
      <c r="N2164" s="154" t="s">
        <v>759</v>
      </c>
      <c r="O2164" s="247" t="s">
        <v>516</v>
      </c>
      <c r="P2164" s="247" t="s">
        <v>6776</v>
      </c>
      <c r="Q2164" s="154" t="str">
        <f t="shared" si="1"/>
        <v>#ERROR!</v>
      </c>
      <c r="R2164" s="154" t="s">
        <v>66</v>
      </c>
      <c r="S2164" s="154" t="s">
        <v>66</v>
      </c>
      <c r="T2164" s="154" t="s">
        <v>64</v>
      </c>
      <c r="U2164" s="154" t="s">
        <v>64</v>
      </c>
      <c r="V2164" s="154" t="s">
        <v>64</v>
      </c>
      <c r="W2164" s="154" t="s">
        <v>64</v>
      </c>
      <c r="X2164" s="154" t="s">
        <v>66</v>
      </c>
      <c r="Y2164" s="154" t="s">
        <v>64</v>
      </c>
      <c r="Z2164" s="154" t="s">
        <v>64</v>
      </c>
      <c r="AA2164" s="154"/>
      <c r="AB2164" s="242" t="str">
        <f t="shared" si="2"/>
        <v>#ERROR!</v>
      </c>
      <c r="AC2164" s="154" t="s">
        <v>391</v>
      </c>
      <c r="AD2164" s="242" t="b">
        <f t="shared" si="3"/>
        <v>0</v>
      </c>
      <c r="AE2164" s="154"/>
      <c r="AF2164" s="242" t="str">
        <f t="shared" si="4"/>
        <v>#ERROR!</v>
      </c>
      <c r="AG2164" s="154"/>
      <c r="AH2164" s="242" t="str">
        <f>IF(AG2164="","N/A",INDIRECT("MTR!"&amp;ADDRESS(MATCH(LEFT(AG2164,9),[1]MTR!C:C,0),COLUMN(J2164)),TRUE) &amp; "")</f>
        <v>#ERROR!</v>
      </c>
      <c r="AI2164" s="157" t="str">
        <f t="shared" si="5"/>
        <v>#ERROR!</v>
      </c>
    </row>
    <row r="2165" ht="12.75" customHeight="1">
      <c r="A2165" s="244" t="s">
        <v>5158</v>
      </c>
      <c r="B2165" s="244" t="s">
        <v>231</v>
      </c>
      <c r="C2165" s="244" t="s">
        <v>12019</v>
      </c>
      <c r="D2165" s="154" t="s">
        <v>542</v>
      </c>
      <c r="E2165" s="154"/>
      <c r="F2165" s="154" t="str">
        <f t="array" ref="F2165">XLOOKUP(Cover!$D$12,$R$1:$Z$1,$R2165:$Z2165)</f>
        <v>Recommended</v>
      </c>
      <c r="G2165" s="154" t="s">
        <v>12020</v>
      </c>
      <c r="H2165" s="154" t="s">
        <v>9015</v>
      </c>
      <c r="I2165" s="154" t="s">
        <v>12006</v>
      </c>
      <c r="J2165" s="154" t="s">
        <v>8416</v>
      </c>
      <c r="K2165" s="154" t="s">
        <v>11675</v>
      </c>
      <c r="L2165" s="154" t="s">
        <v>6140</v>
      </c>
      <c r="M2165" s="154"/>
      <c r="N2165" s="154" t="s">
        <v>759</v>
      </c>
      <c r="O2165" s="247" t="s">
        <v>516</v>
      </c>
      <c r="P2165" s="247" t="s">
        <v>6776</v>
      </c>
      <c r="Q2165" s="154" t="str">
        <f t="shared" si="1"/>
        <v>#ERROR!</v>
      </c>
      <c r="R2165" s="154" t="s">
        <v>66</v>
      </c>
      <c r="S2165" s="154" t="s">
        <v>66</v>
      </c>
      <c r="T2165" s="154" t="s">
        <v>64</v>
      </c>
      <c r="U2165" s="154" t="s">
        <v>64</v>
      </c>
      <c r="V2165" s="154" t="s">
        <v>64</v>
      </c>
      <c r="W2165" s="154" t="s">
        <v>64</v>
      </c>
      <c r="X2165" s="154" t="s">
        <v>66</v>
      </c>
      <c r="Y2165" s="154" t="s">
        <v>64</v>
      </c>
      <c r="Z2165" s="154" t="s">
        <v>64</v>
      </c>
      <c r="AA2165" s="154"/>
      <c r="AB2165" s="242" t="str">
        <f t="shared" si="2"/>
        <v>#ERROR!</v>
      </c>
      <c r="AC2165" s="154" t="s">
        <v>391</v>
      </c>
      <c r="AD2165" s="242" t="b">
        <f t="shared" si="3"/>
        <v>0</v>
      </c>
      <c r="AE2165" s="154"/>
      <c r="AF2165" s="242" t="str">
        <f t="shared" si="4"/>
        <v>#ERROR!</v>
      </c>
      <c r="AG2165" s="154"/>
      <c r="AH2165" s="242" t="str">
        <f>IF(AG2165="","N/A",INDIRECT("MTR!"&amp;ADDRESS(MATCH(LEFT(AG2165,9),[1]MTR!C:C,0),COLUMN(J2165)),TRUE) &amp; "")</f>
        <v>#ERROR!</v>
      </c>
      <c r="AI2165" s="157" t="str">
        <f t="shared" si="5"/>
        <v>#ERROR!</v>
      </c>
    </row>
    <row r="2166" ht="12.75" customHeight="1">
      <c r="A2166" s="244" t="s">
        <v>5158</v>
      </c>
      <c r="B2166" s="244" t="s">
        <v>231</v>
      </c>
      <c r="C2166" s="244" t="s">
        <v>12021</v>
      </c>
      <c r="D2166" s="154" t="s">
        <v>542</v>
      </c>
      <c r="E2166" s="154"/>
      <c r="F2166" s="154" t="str">
        <f t="array" ref="F2166">XLOOKUP(Cover!$D$12,$R$1:$Z$1,$R2166:$Z2166)</f>
        <v>Mandatory</v>
      </c>
      <c r="G2166" s="154" t="s">
        <v>12022</v>
      </c>
      <c r="H2166" s="154" t="s">
        <v>1489</v>
      </c>
      <c r="I2166" s="154" t="s">
        <v>12023</v>
      </c>
      <c r="J2166" s="154" t="s">
        <v>7136</v>
      </c>
      <c r="K2166" s="154" t="s">
        <v>11675</v>
      </c>
      <c r="L2166" s="154" t="s">
        <v>6525</v>
      </c>
      <c r="M2166" s="154" t="s">
        <v>175</v>
      </c>
      <c r="N2166" s="154" t="s">
        <v>759</v>
      </c>
      <c r="O2166" s="247" t="s">
        <v>516</v>
      </c>
      <c r="P2166" s="247" t="s">
        <v>6776</v>
      </c>
      <c r="Q2166" s="154" t="str">
        <f t="shared" si="1"/>
        <v>#ERROR!</v>
      </c>
      <c r="R2166" s="154" t="s">
        <v>66</v>
      </c>
      <c r="S2166" s="154" t="s">
        <v>66</v>
      </c>
      <c r="T2166" s="155" t="s">
        <v>64</v>
      </c>
      <c r="U2166" s="155" t="s">
        <v>64</v>
      </c>
      <c r="V2166" s="154" t="s">
        <v>60</v>
      </c>
      <c r="W2166" s="154" t="s">
        <v>60</v>
      </c>
      <c r="X2166" s="154" t="s">
        <v>66</v>
      </c>
      <c r="Y2166" s="155" t="s">
        <v>64</v>
      </c>
      <c r="Z2166" s="154" t="s">
        <v>60</v>
      </c>
      <c r="AA2166" s="154"/>
      <c r="AB2166" s="242" t="str">
        <f t="shared" si="2"/>
        <v>#ERROR!</v>
      </c>
      <c r="AC2166" s="154" t="s">
        <v>391</v>
      </c>
      <c r="AD2166" s="242" t="b">
        <f t="shared" si="3"/>
        <v>0</v>
      </c>
      <c r="AE2166" s="154"/>
      <c r="AF2166" s="242" t="str">
        <f t="shared" si="4"/>
        <v>#ERROR!</v>
      </c>
      <c r="AG2166" s="154"/>
      <c r="AH2166" s="242" t="str">
        <f>IF(AG2166="","N/A",INDIRECT("MTR!"&amp;ADDRESS(MATCH(LEFT(AG2166,9),[1]MTR!C:C,0),COLUMN(J2166)),TRUE) &amp; "")</f>
        <v>#ERROR!</v>
      </c>
      <c r="AI2166" s="157" t="str">
        <f t="shared" si="5"/>
        <v>#ERROR!</v>
      </c>
    </row>
    <row r="2167" ht="12.75" customHeight="1">
      <c r="A2167" s="244" t="s">
        <v>5158</v>
      </c>
      <c r="B2167" s="244" t="s">
        <v>231</v>
      </c>
      <c r="C2167" s="244" t="s">
        <v>12024</v>
      </c>
      <c r="D2167" s="154" t="s">
        <v>542</v>
      </c>
      <c r="E2167" s="154"/>
      <c r="F2167" s="154" t="str">
        <f t="array" ref="F2167">XLOOKUP(Cover!$D$12,$R$1:$Z$1,$R2167:$Z2167)</f>
        <v>Mandatory</v>
      </c>
      <c r="G2167" s="154" t="s">
        <v>12025</v>
      </c>
      <c r="H2167" s="154" t="s">
        <v>9006</v>
      </c>
      <c r="I2167" s="154" t="s">
        <v>12023</v>
      </c>
      <c r="J2167" s="154" t="s">
        <v>7136</v>
      </c>
      <c r="K2167" s="154" t="s">
        <v>11675</v>
      </c>
      <c r="L2167" s="154" t="s">
        <v>6525</v>
      </c>
      <c r="M2167" s="154" t="s">
        <v>175</v>
      </c>
      <c r="N2167" s="154" t="s">
        <v>759</v>
      </c>
      <c r="O2167" s="247" t="s">
        <v>516</v>
      </c>
      <c r="P2167" s="247" t="s">
        <v>6776</v>
      </c>
      <c r="Q2167" s="154" t="str">
        <f t="shared" si="1"/>
        <v>#ERROR!</v>
      </c>
      <c r="R2167" s="154" t="s">
        <v>66</v>
      </c>
      <c r="S2167" s="154" t="s">
        <v>66</v>
      </c>
      <c r="T2167" s="155" t="s">
        <v>64</v>
      </c>
      <c r="U2167" s="155" t="s">
        <v>64</v>
      </c>
      <c r="V2167" s="154" t="s">
        <v>60</v>
      </c>
      <c r="W2167" s="154" t="s">
        <v>60</v>
      </c>
      <c r="X2167" s="154" t="s">
        <v>66</v>
      </c>
      <c r="Y2167" s="155" t="s">
        <v>64</v>
      </c>
      <c r="Z2167" s="154" t="s">
        <v>60</v>
      </c>
      <c r="AA2167" s="154"/>
      <c r="AB2167" s="242" t="str">
        <f t="shared" si="2"/>
        <v>#ERROR!</v>
      </c>
      <c r="AC2167" s="154" t="s">
        <v>391</v>
      </c>
      <c r="AD2167" s="242" t="b">
        <f t="shared" si="3"/>
        <v>0</v>
      </c>
      <c r="AE2167" s="154"/>
      <c r="AF2167" s="242" t="str">
        <f t="shared" si="4"/>
        <v>#ERROR!</v>
      </c>
      <c r="AG2167" s="154"/>
      <c r="AH2167" s="242" t="str">
        <f>IF(AG2167="","N/A",INDIRECT("MTR!"&amp;ADDRESS(MATCH(LEFT(AG2167,9),[1]MTR!C:C,0),COLUMN(J2167)),TRUE) &amp; "")</f>
        <v>#ERROR!</v>
      </c>
      <c r="AI2167" s="157" t="str">
        <f t="shared" si="5"/>
        <v>#ERROR!</v>
      </c>
    </row>
    <row r="2168" ht="12.75" customHeight="1">
      <c r="A2168" s="244" t="s">
        <v>5158</v>
      </c>
      <c r="B2168" s="244" t="s">
        <v>231</v>
      </c>
      <c r="C2168" s="244" t="s">
        <v>12026</v>
      </c>
      <c r="D2168" s="154" t="s">
        <v>542</v>
      </c>
      <c r="E2168" s="154"/>
      <c r="F2168" s="154" t="str">
        <f t="array" ref="F2168">XLOOKUP(Cover!$D$12,$R$1:$Z$1,$R2168:$Z2168)</f>
        <v>Recommended</v>
      </c>
      <c r="G2168" s="154" t="s">
        <v>12027</v>
      </c>
      <c r="H2168" s="154" t="s">
        <v>8513</v>
      </c>
      <c r="I2168" s="154" t="s">
        <v>12023</v>
      </c>
      <c r="J2168" s="154" t="s">
        <v>7136</v>
      </c>
      <c r="K2168" s="154" t="s">
        <v>11675</v>
      </c>
      <c r="L2168" s="154" t="s">
        <v>6525</v>
      </c>
      <c r="M2168" s="154"/>
      <c r="N2168" s="154" t="s">
        <v>759</v>
      </c>
      <c r="O2168" s="247" t="s">
        <v>516</v>
      </c>
      <c r="P2168" s="247" t="s">
        <v>6776</v>
      </c>
      <c r="Q2168" s="154" t="str">
        <f t="shared" si="1"/>
        <v>#ERROR!</v>
      </c>
      <c r="R2168" s="154" t="s">
        <v>66</v>
      </c>
      <c r="S2168" s="154" t="s">
        <v>66</v>
      </c>
      <c r="T2168" s="154" t="s">
        <v>64</v>
      </c>
      <c r="U2168" s="154" t="s">
        <v>64</v>
      </c>
      <c r="V2168" s="154" t="s">
        <v>64</v>
      </c>
      <c r="W2168" s="154" t="s">
        <v>64</v>
      </c>
      <c r="X2168" s="154" t="s">
        <v>66</v>
      </c>
      <c r="Y2168" s="154" t="s">
        <v>64</v>
      </c>
      <c r="Z2168" s="154" t="s">
        <v>64</v>
      </c>
      <c r="AA2168" s="154"/>
      <c r="AB2168" s="242" t="str">
        <f t="shared" si="2"/>
        <v>#ERROR!</v>
      </c>
      <c r="AC2168" s="154" t="s">
        <v>391</v>
      </c>
      <c r="AD2168" s="242" t="b">
        <f t="shared" si="3"/>
        <v>0</v>
      </c>
      <c r="AE2168" s="154"/>
      <c r="AF2168" s="242" t="str">
        <f t="shared" si="4"/>
        <v>#ERROR!</v>
      </c>
      <c r="AG2168" s="154"/>
      <c r="AH2168" s="242" t="str">
        <f>IF(AG2168="","N/A",INDIRECT("MTR!"&amp;ADDRESS(MATCH(LEFT(AG2168,9),[1]MTR!C:C,0),COLUMN(J2168)),TRUE) &amp; "")</f>
        <v>#ERROR!</v>
      </c>
      <c r="AI2168" s="157" t="str">
        <f t="shared" si="5"/>
        <v>#ERROR!</v>
      </c>
    </row>
    <row r="2169" ht="12.75" customHeight="1">
      <c r="A2169" s="244" t="s">
        <v>5158</v>
      </c>
      <c r="B2169" s="244" t="s">
        <v>231</v>
      </c>
      <c r="C2169" s="244" t="s">
        <v>12028</v>
      </c>
      <c r="D2169" s="154" t="s">
        <v>542</v>
      </c>
      <c r="E2169" s="154"/>
      <c r="F2169" s="154" t="str">
        <f t="array" ref="F2169">XLOOKUP(Cover!$D$12,$R$1:$Z$1,$R2169:$Z2169)</f>
        <v>Recommended</v>
      </c>
      <c r="G2169" s="154" t="s">
        <v>12029</v>
      </c>
      <c r="H2169" s="154" t="s">
        <v>9009</v>
      </c>
      <c r="I2169" s="154" t="s">
        <v>12023</v>
      </c>
      <c r="J2169" s="154" t="s">
        <v>7136</v>
      </c>
      <c r="K2169" s="154" t="s">
        <v>11675</v>
      </c>
      <c r="L2169" s="154" t="s">
        <v>6525</v>
      </c>
      <c r="M2169" s="154"/>
      <c r="N2169" s="154" t="s">
        <v>759</v>
      </c>
      <c r="O2169" s="247" t="s">
        <v>516</v>
      </c>
      <c r="P2169" s="247" t="s">
        <v>6776</v>
      </c>
      <c r="Q2169" s="154" t="str">
        <f t="shared" si="1"/>
        <v>#ERROR!</v>
      </c>
      <c r="R2169" s="154" t="s">
        <v>66</v>
      </c>
      <c r="S2169" s="154" t="s">
        <v>66</v>
      </c>
      <c r="T2169" s="154" t="s">
        <v>64</v>
      </c>
      <c r="U2169" s="154" t="s">
        <v>64</v>
      </c>
      <c r="V2169" s="154" t="s">
        <v>64</v>
      </c>
      <c r="W2169" s="154" t="s">
        <v>64</v>
      </c>
      <c r="X2169" s="154" t="s">
        <v>66</v>
      </c>
      <c r="Y2169" s="154" t="s">
        <v>64</v>
      </c>
      <c r="Z2169" s="154" t="s">
        <v>64</v>
      </c>
      <c r="AA2169" s="154"/>
      <c r="AB2169" s="242" t="str">
        <f t="shared" si="2"/>
        <v>#ERROR!</v>
      </c>
      <c r="AC2169" s="154" t="s">
        <v>391</v>
      </c>
      <c r="AD2169" s="242" t="b">
        <f t="shared" si="3"/>
        <v>0</v>
      </c>
      <c r="AE2169" s="154"/>
      <c r="AF2169" s="242" t="str">
        <f t="shared" si="4"/>
        <v>#ERROR!</v>
      </c>
      <c r="AG2169" s="154"/>
      <c r="AH2169" s="242" t="str">
        <f>IF(AG2169="","N/A",INDIRECT("MTR!"&amp;ADDRESS(MATCH(LEFT(AG2169,9),[1]MTR!C:C,0),COLUMN(J2169)),TRUE) &amp; "")</f>
        <v>#ERROR!</v>
      </c>
      <c r="AI2169" s="157" t="str">
        <f t="shared" si="5"/>
        <v>#ERROR!</v>
      </c>
    </row>
    <row r="2170" ht="12.75" customHeight="1">
      <c r="A2170" s="244" t="s">
        <v>5158</v>
      </c>
      <c r="B2170" s="244" t="s">
        <v>231</v>
      </c>
      <c r="C2170" s="244" t="s">
        <v>12030</v>
      </c>
      <c r="D2170" s="154" t="s">
        <v>542</v>
      </c>
      <c r="E2170" s="154"/>
      <c r="F2170" s="154" t="str">
        <f t="array" ref="F2170">XLOOKUP(Cover!$D$12,$R$1:$Z$1,$R2170:$Z2170)</f>
        <v>Mandatory</v>
      </c>
      <c r="G2170" s="154" t="s">
        <v>12031</v>
      </c>
      <c r="H2170" s="154" t="s">
        <v>8550</v>
      </c>
      <c r="I2170" s="154" t="s">
        <v>12023</v>
      </c>
      <c r="J2170" s="154" t="s">
        <v>7136</v>
      </c>
      <c r="K2170" s="154" t="s">
        <v>11675</v>
      </c>
      <c r="L2170" s="154" t="s">
        <v>6525</v>
      </c>
      <c r="M2170" s="154" t="s">
        <v>175</v>
      </c>
      <c r="N2170" s="154" t="s">
        <v>759</v>
      </c>
      <c r="O2170" s="247" t="s">
        <v>516</v>
      </c>
      <c r="P2170" s="247" t="s">
        <v>6776</v>
      </c>
      <c r="Q2170" s="154" t="str">
        <f t="shared" si="1"/>
        <v>#ERROR!</v>
      </c>
      <c r="R2170" s="154" t="s">
        <v>66</v>
      </c>
      <c r="S2170" s="154" t="s">
        <v>66</v>
      </c>
      <c r="T2170" s="155" t="s">
        <v>64</v>
      </c>
      <c r="U2170" s="155" t="s">
        <v>64</v>
      </c>
      <c r="V2170" s="154" t="s">
        <v>60</v>
      </c>
      <c r="W2170" s="154" t="s">
        <v>60</v>
      </c>
      <c r="X2170" s="154" t="s">
        <v>66</v>
      </c>
      <c r="Y2170" s="155" t="s">
        <v>64</v>
      </c>
      <c r="Z2170" s="154" t="s">
        <v>60</v>
      </c>
      <c r="AA2170" s="154"/>
      <c r="AB2170" s="242" t="str">
        <f t="shared" si="2"/>
        <v>#ERROR!</v>
      </c>
      <c r="AC2170" s="154" t="s">
        <v>391</v>
      </c>
      <c r="AD2170" s="242" t="b">
        <f t="shared" si="3"/>
        <v>0</v>
      </c>
      <c r="AE2170" s="154"/>
      <c r="AF2170" s="242" t="str">
        <f t="shared" si="4"/>
        <v>#ERROR!</v>
      </c>
      <c r="AG2170" s="154"/>
      <c r="AH2170" s="242" t="str">
        <f>IF(AG2170="","N/A",INDIRECT("MTR!"&amp;ADDRESS(MATCH(LEFT(AG2170,9),[1]MTR!C:C,0),COLUMN(J2170)),TRUE) &amp; "")</f>
        <v>#ERROR!</v>
      </c>
      <c r="AI2170" s="157" t="str">
        <f t="shared" si="5"/>
        <v>#ERROR!</v>
      </c>
    </row>
    <row r="2171" ht="12.75" customHeight="1">
      <c r="A2171" s="244" t="s">
        <v>5158</v>
      </c>
      <c r="B2171" s="244" t="s">
        <v>231</v>
      </c>
      <c r="C2171" s="244" t="s">
        <v>12032</v>
      </c>
      <c r="D2171" s="154" t="s">
        <v>1069</v>
      </c>
      <c r="E2171" s="154"/>
      <c r="F2171" s="154" t="str">
        <f t="array" ref="F2171">XLOOKUP(Cover!$D$12,$R$1:$Z$1,$R2171:$Z2171)</f>
        <v>Mandatory</v>
      </c>
      <c r="G2171" s="154" t="s">
        <v>12033</v>
      </c>
      <c r="H2171" s="154" t="s">
        <v>9053</v>
      </c>
      <c r="I2171" s="154" t="s">
        <v>12023</v>
      </c>
      <c r="J2171" s="154" t="s">
        <v>7136</v>
      </c>
      <c r="K2171" s="154" t="s">
        <v>11675</v>
      </c>
      <c r="L2171" s="154" t="s">
        <v>5927</v>
      </c>
      <c r="M2171" s="154" t="s">
        <v>175</v>
      </c>
      <c r="N2171" s="154" t="s">
        <v>759</v>
      </c>
      <c r="O2171" s="247" t="s">
        <v>516</v>
      </c>
      <c r="P2171" s="247" t="s">
        <v>6776</v>
      </c>
      <c r="Q2171" s="154" t="str">
        <f t="shared" si="1"/>
        <v>#ERROR!</v>
      </c>
      <c r="R2171" s="154" t="s">
        <v>66</v>
      </c>
      <c r="S2171" s="154" t="s">
        <v>66</v>
      </c>
      <c r="T2171" s="155" t="s">
        <v>64</v>
      </c>
      <c r="U2171" s="155" t="s">
        <v>64</v>
      </c>
      <c r="V2171" s="154" t="s">
        <v>60</v>
      </c>
      <c r="W2171" s="154" t="s">
        <v>60</v>
      </c>
      <c r="X2171" s="154" t="s">
        <v>66</v>
      </c>
      <c r="Y2171" s="155" t="s">
        <v>64</v>
      </c>
      <c r="Z2171" s="154" t="s">
        <v>60</v>
      </c>
      <c r="AA2171" s="154"/>
      <c r="AB2171" s="242" t="str">
        <f t="shared" si="2"/>
        <v>#ERROR!</v>
      </c>
      <c r="AC2171" s="154" t="s">
        <v>391</v>
      </c>
      <c r="AD2171" s="242" t="b">
        <f t="shared" si="3"/>
        <v>0</v>
      </c>
      <c r="AE2171" s="154"/>
      <c r="AF2171" s="242" t="str">
        <f t="shared" si="4"/>
        <v>#ERROR!</v>
      </c>
      <c r="AG2171" s="154"/>
      <c r="AH2171" s="242" t="str">
        <f>IF(AG2171="","N/A",INDIRECT("MTR!"&amp;ADDRESS(MATCH(LEFT(AG2171,9),[1]MTR!C:C,0),COLUMN(J2171)),TRUE) &amp; "")</f>
        <v>#ERROR!</v>
      </c>
      <c r="AI2171" s="157" t="str">
        <f t="shared" si="5"/>
        <v>#ERROR!</v>
      </c>
    </row>
    <row r="2172" ht="12.75" customHeight="1">
      <c r="A2172" s="244" t="s">
        <v>5158</v>
      </c>
      <c r="B2172" s="244" t="s">
        <v>231</v>
      </c>
      <c r="C2172" s="244" t="s">
        <v>12034</v>
      </c>
      <c r="D2172" s="154" t="s">
        <v>542</v>
      </c>
      <c r="E2172" s="154"/>
      <c r="F2172" s="154" t="str">
        <f t="array" ref="F2172">XLOOKUP(Cover!$D$12,$R$1:$Z$1,$R2172:$Z2172)</f>
        <v>Recommended</v>
      </c>
      <c r="G2172" s="154" t="s">
        <v>12035</v>
      </c>
      <c r="H2172" s="154" t="s">
        <v>8573</v>
      </c>
      <c r="I2172" s="154" t="s">
        <v>12023</v>
      </c>
      <c r="J2172" s="154" t="s">
        <v>7136</v>
      </c>
      <c r="K2172" s="154" t="s">
        <v>11675</v>
      </c>
      <c r="L2172" s="154" t="s">
        <v>6525</v>
      </c>
      <c r="M2172" s="154"/>
      <c r="N2172" s="154" t="s">
        <v>759</v>
      </c>
      <c r="O2172" s="247" t="s">
        <v>516</v>
      </c>
      <c r="P2172" s="247" t="s">
        <v>6776</v>
      </c>
      <c r="Q2172" s="154" t="str">
        <f t="shared" si="1"/>
        <v>#ERROR!</v>
      </c>
      <c r="R2172" s="154" t="s">
        <v>66</v>
      </c>
      <c r="S2172" s="154" t="s">
        <v>66</v>
      </c>
      <c r="T2172" s="154" t="s">
        <v>64</v>
      </c>
      <c r="U2172" s="154" t="s">
        <v>64</v>
      </c>
      <c r="V2172" s="154" t="s">
        <v>64</v>
      </c>
      <c r="W2172" s="154" t="s">
        <v>64</v>
      </c>
      <c r="X2172" s="154" t="s">
        <v>66</v>
      </c>
      <c r="Y2172" s="154" t="s">
        <v>64</v>
      </c>
      <c r="Z2172" s="154" t="s">
        <v>64</v>
      </c>
      <c r="AA2172" s="154"/>
      <c r="AB2172" s="242" t="str">
        <f t="shared" si="2"/>
        <v>#ERROR!</v>
      </c>
      <c r="AC2172" s="154" t="s">
        <v>391</v>
      </c>
      <c r="AD2172" s="242" t="b">
        <f t="shared" si="3"/>
        <v>0</v>
      </c>
      <c r="AE2172" s="154"/>
      <c r="AF2172" s="242" t="str">
        <f t="shared" si="4"/>
        <v>#ERROR!</v>
      </c>
      <c r="AG2172" s="154"/>
      <c r="AH2172" s="242" t="str">
        <f>IF(AG2172="","N/A",INDIRECT("MTR!"&amp;ADDRESS(MATCH(LEFT(AG2172,9),[1]MTR!C:C,0),COLUMN(J2172)),TRUE) &amp; "")</f>
        <v>#ERROR!</v>
      </c>
      <c r="AI2172" s="157" t="str">
        <f t="shared" si="5"/>
        <v>#ERROR!</v>
      </c>
    </row>
    <row r="2173" ht="12.75" customHeight="1">
      <c r="A2173" s="244" t="s">
        <v>5158</v>
      </c>
      <c r="B2173" s="244" t="s">
        <v>231</v>
      </c>
      <c r="C2173" s="244" t="s">
        <v>12036</v>
      </c>
      <c r="D2173" s="154" t="s">
        <v>542</v>
      </c>
      <c r="E2173" s="154"/>
      <c r="F2173" s="154" t="str">
        <f t="array" ref="F2173">XLOOKUP(Cover!$D$12,$R$1:$Z$1,$R2173:$Z2173)</f>
        <v>Recommended</v>
      </c>
      <c r="G2173" s="154" t="s">
        <v>12037</v>
      </c>
      <c r="H2173" s="154" t="s">
        <v>9084</v>
      </c>
      <c r="I2173" s="154" t="s">
        <v>12023</v>
      </c>
      <c r="J2173" s="154" t="s">
        <v>7136</v>
      </c>
      <c r="K2173" s="154" t="s">
        <v>11675</v>
      </c>
      <c r="L2173" s="154" t="s">
        <v>6525</v>
      </c>
      <c r="M2173" s="154"/>
      <c r="N2173" s="154" t="s">
        <v>759</v>
      </c>
      <c r="O2173" s="247" t="s">
        <v>516</v>
      </c>
      <c r="P2173" s="247" t="s">
        <v>6776</v>
      </c>
      <c r="Q2173" s="154" t="str">
        <f t="shared" si="1"/>
        <v>#ERROR!</v>
      </c>
      <c r="R2173" s="154" t="s">
        <v>66</v>
      </c>
      <c r="S2173" s="154" t="s">
        <v>66</v>
      </c>
      <c r="T2173" s="154" t="s">
        <v>64</v>
      </c>
      <c r="U2173" s="154" t="s">
        <v>64</v>
      </c>
      <c r="V2173" s="154" t="s">
        <v>64</v>
      </c>
      <c r="W2173" s="154" t="s">
        <v>64</v>
      </c>
      <c r="X2173" s="154" t="s">
        <v>66</v>
      </c>
      <c r="Y2173" s="154" t="s">
        <v>64</v>
      </c>
      <c r="Z2173" s="154" t="s">
        <v>64</v>
      </c>
      <c r="AA2173" s="154"/>
      <c r="AB2173" s="242" t="str">
        <f t="shared" si="2"/>
        <v>#ERROR!</v>
      </c>
      <c r="AC2173" s="154" t="s">
        <v>391</v>
      </c>
      <c r="AD2173" s="242" t="b">
        <f t="shared" si="3"/>
        <v>0</v>
      </c>
      <c r="AE2173" s="154"/>
      <c r="AF2173" s="242" t="str">
        <f t="shared" si="4"/>
        <v>#ERROR!</v>
      </c>
      <c r="AG2173" s="154"/>
      <c r="AH2173" s="242" t="str">
        <f>IF(AG2173="","N/A",INDIRECT("MTR!"&amp;ADDRESS(MATCH(LEFT(AG2173,9),[1]MTR!C:C,0),COLUMN(J2173)),TRUE) &amp; "")</f>
        <v>#ERROR!</v>
      </c>
      <c r="AI2173" s="157" t="str">
        <f t="shared" si="5"/>
        <v>#ERROR!</v>
      </c>
    </row>
    <row r="2174" ht="12.75" customHeight="1">
      <c r="A2174" s="244" t="s">
        <v>5158</v>
      </c>
      <c r="B2174" s="244" t="s">
        <v>231</v>
      </c>
      <c r="C2174" s="244" t="s">
        <v>12038</v>
      </c>
      <c r="D2174" s="154" t="s">
        <v>1315</v>
      </c>
      <c r="E2174" s="154"/>
      <c r="F2174" s="154" t="str">
        <f t="array" ref="F2174">XLOOKUP(Cover!$D$12,$R$1:$Z$1,$R2174:$Z2174)</f>
        <v>Mandatory</v>
      </c>
      <c r="G2174" s="154" t="s">
        <v>12039</v>
      </c>
      <c r="H2174" s="154" t="s">
        <v>1489</v>
      </c>
      <c r="I2174" s="154" t="s">
        <v>12040</v>
      </c>
      <c r="J2174" s="154" t="s">
        <v>7164</v>
      </c>
      <c r="K2174" s="154" t="s">
        <v>11675</v>
      </c>
      <c r="L2174" s="154" t="s">
        <v>6022</v>
      </c>
      <c r="M2174" s="154" t="s">
        <v>175</v>
      </c>
      <c r="N2174" s="154" t="s">
        <v>759</v>
      </c>
      <c r="O2174" s="247" t="s">
        <v>516</v>
      </c>
      <c r="P2174" s="247" t="s">
        <v>6776</v>
      </c>
      <c r="Q2174" s="154" t="str">
        <f t="shared" si="1"/>
        <v>#ERROR!</v>
      </c>
      <c r="R2174" s="154" t="s">
        <v>66</v>
      </c>
      <c r="S2174" s="154" t="s">
        <v>66</v>
      </c>
      <c r="T2174" s="155" t="s">
        <v>64</v>
      </c>
      <c r="U2174" s="155" t="s">
        <v>64</v>
      </c>
      <c r="V2174" s="154" t="s">
        <v>60</v>
      </c>
      <c r="W2174" s="154" t="s">
        <v>60</v>
      </c>
      <c r="X2174" s="154" t="s">
        <v>66</v>
      </c>
      <c r="Y2174" s="155" t="s">
        <v>64</v>
      </c>
      <c r="Z2174" s="154" t="s">
        <v>60</v>
      </c>
      <c r="AA2174" s="154"/>
      <c r="AB2174" s="242" t="str">
        <f t="shared" si="2"/>
        <v>#ERROR!</v>
      </c>
      <c r="AC2174" s="154" t="s">
        <v>391</v>
      </c>
      <c r="AD2174" s="242" t="b">
        <f t="shared" si="3"/>
        <v>0</v>
      </c>
      <c r="AE2174" s="154"/>
      <c r="AF2174" s="242" t="str">
        <f t="shared" si="4"/>
        <v>#ERROR!</v>
      </c>
      <c r="AG2174" s="154"/>
      <c r="AH2174" s="242" t="str">
        <f>IF(AG2174="","N/A",INDIRECT("MTR!"&amp;ADDRESS(MATCH(LEFT(AG2174,9),[1]MTR!C:C,0),COLUMN(J2174)),TRUE) &amp; "")</f>
        <v>#ERROR!</v>
      </c>
      <c r="AI2174" s="157" t="str">
        <f t="shared" si="5"/>
        <v>#ERROR!</v>
      </c>
    </row>
    <row r="2175" ht="12.75" customHeight="1">
      <c r="A2175" s="244" t="s">
        <v>5158</v>
      </c>
      <c r="B2175" s="244" t="s">
        <v>231</v>
      </c>
      <c r="C2175" s="244" t="s">
        <v>12041</v>
      </c>
      <c r="D2175" s="154" t="s">
        <v>1315</v>
      </c>
      <c r="E2175" s="154"/>
      <c r="F2175" s="154" t="str">
        <f t="array" ref="F2175">XLOOKUP(Cover!$D$12,$R$1:$Z$1,$R2175:$Z2175)</f>
        <v>Mandatory</v>
      </c>
      <c r="G2175" s="154" t="s">
        <v>12042</v>
      </c>
      <c r="H2175" s="154" t="s">
        <v>9006</v>
      </c>
      <c r="I2175" s="154" t="s">
        <v>12040</v>
      </c>
      <c r="J2175" s="154" t="s">
        <v>7164</v>
      </c>
      <c r="K2175" s="154" t="s">
        <v>11675</v>
      </c>
      <c r="L2175" s="154" t="s">
        <v>6022</v>
      </c>
      <c r="M2175" s="154" t="s">
        <v>175</v>
      </c>
      <c r="N2175" s="154" t="s">
        <v>759</v>
      </c>
      <c r="O2175" s="247" t="s">
        <v>516</v>
      </c>
      <c r="P2175" s="247" t="s">
        <v>6776</v>
      </c>
      <c r="Q2175" s="154" t="str">
        <f t="shared" si="1"/>
        <v>#ERROR!</v>
      </c>
      <c r="R2175" s="154" t="s">
        <v>66</v>
      </c>
      <c r="S2175" s="154" t="s">
        <v>66</v>
      </c>
      <c r="T2175" s="155" t="s">
        <v>64</v>
      </c>
      <c r="U2175" s="155" t="s">
        <v>64</v>
      </c>
      <c r="V2175" s="154" t="s">
        <v>60</v>
      </c>
      <c r="W2175" s="154" t="s">
        <v>60</v>
      </c>
      <c r="X2175" s="154" t="s">
        <v>66</v>
      </c>
      <c r="Y2175" s="155" t="s">
        <v>64</v>
      </c>
      <c r="Z2175" s="154" t="s">
        <v>60</v>
      </c>
      <c r="AA2175" s="154"/>
      <c r="AB2175" s="242" t="str">
        <f t="shared" si="2"/>
        <v>#ERROR!</v>
      </c>
      <c r="AC2175" s="154" t="s">
        <v>391</v>
      </c>
      <c r="AD2175" s="242" t="b">
        <f t="shared" si="3"/>
        <v>0</v>
      </c>
      <c r="AE2175" s="154"/>
      <c r="AF2175" s="242" t="str">
        <f t="shared" si="4"/>
        <v>#ERROR!</v>
      </c>
      <c r="AG2175" s="154"/>
      <c r="AH2175" s="242" t="str">
        <f>IF(AG2175="","N/A",INDIRECT("MTR!"&amp;ADDRESS(MATCH(LEFT(AG2175,9),[1]MTR!C:C,0),COLUMN(J2175)),TRUE) &amp; "")</f>
        <v>#ERROR!</v>
      </c>
      <c r="AI2175" s="157" t="str">
        <f t="shared" si="5"/>
        <v>#ERROR!</v>
      </c>
    </row>
    <row r="2176" ht="12.75" customHeight="1">
      <c r="A2176" s="244" t="s">
        <v>5158</v>
      </c>
      <c r="B2176" s="244" t="s">
        <v>231</v>
      </c>
      <c r="C2176" s="244" t="s">
        <v>12043</v>
      </c>
      <c r="D2176" s="154" t="s">
        <v>1315</v>
      </c>
      <c r="E2176" s="154"/>
      <c r="F2176" s="154" t="str">
        <f t="array" ref="F2176">XLOOKUP(Cover!$D$12,$R$1:$Z$1,$R2176:$Z2176)</f>
        <v>Mandatory</v>
      </c>
      <c r="G2176" s="154" t="s">
        <v>12044</v>
      </c>
      <c r="H2176" s="154" t="s">
        <v>8550</v>
      </c>
      <c r="I2176" s="154" t="s">
        <v>12040</v>
      </c>
      <c r="J2176" s="154" t="s">
        <v>7164</v>
      </c>
      <c r="K2176" s="154" t="s">
        <v>11675</v>
      </c>
      <c r="L2176" s="154" t="s">
        <v>6022</v>
      </c>
      <c r="M2176" s="154" t="s">
        <v>175</v>
      </c>
      <c r="N2176" s="154" t="s">
        <v>759</v>
      </c>
      <c r="O2176" s="247" t="s">
        <v>516</v>
      </c>
      <c r="P2176" s="247" t="s">
        <v>6776</v>
      </c>
      <c r="Q2176" s="154" t="str">
        <f t="shared" si="1"/>
        <v>#ERROR!</v>
      </c>
      <c r="R2176" s="154" t="s">
        <v>66</v>
      </c>
      <c r="S2176" s="154" t="s">
        <v>66</v>
      </c>
      <c r="T2176" s="155" t="s">
        <v>64</v>
      </c>
      <c r="U2176" s="155" t="s">
        <v>64</v>
      </c>
      <c r="V2176" s="154" t="s">
        <v>60</v>
      </c>
      <c r="W2176" s="154" t="s">
        <v>60</v>
      </c>
      <c r="X2176" s="154" t="s">
        <v>66</v>
      </c>
      <c r="Y2176" s="155" t="s">
        <v>64</v>
      </c>
      <c r="Z2176" s="154" t="s">
        <v>60</v>
      </c>
      <c r="AA2176" s="154"/>
      <c r="AB2176" s="242" t="str">
        <f t="shared" si="2"/>
        <v>#ERROR!</v>
      </c>
      <c r="AC2176" s="154" t="s">
        <v>391</v>
      </c>
      <c r="AD2176" s="242" t="b">
        <f t="shared" si="3"/>
        <v>0</v>
      </c>
      <c r="AE2176" s="154"/>
      <c r="AF2176" s="242" t="str">
        <f t="shared" si="4"/>
        <v>#ERROR!</v>
      </c>
      <c r="AG2176" s="154"/>
      <c r="AH2176" s="242" t="str">
        <f>IF(AG2176="","N/A",INDIRECT("MTR!"&amp;ADDRESS(MATCH(LEFT(AG2176,9),[1]MTR!C:C,0),COLUMN(J2176)),TRUE) &amp; "")</f>
        <v>#ERROR!</v>
      </c>
      <c r="AI2176" s="157" t="str">
        <f t="shared" si="5"/>
        <v>#ERROR!</v>
      </c>
    </row>
    <row r="2177" ht="12.75" customHeight="1">
      <c r="A2177" s="244" t="s">
        <v>5158</v>
      </c>
      <c r="B2177" s="244" t="s">
        <v>231</v>
      </c>
      <c r="C2177" s="244" t="s">
        <v>12045</v>
      </c>
      <c r="D2177" s="154" t="s">
        <v>1315</v>
      </c>
      <c r="E2177" s="154"/>
      <c r="F2177" s="154" t="str">
        <f t="array" ref="F2177">XLOOKUP(Cover!$D$12,$R$1:$Z$1,$R2177:$Z2177)</f>
        <v>Mandatory</v>
      </c>
      <c r="G2177" s="154" t="s">
        <v>12046</v>
      </c>
      <c r="H2177" s="154" t="s">
        <v>9053</v>
      </c>
      <c r="I2177" s="154" t="s">
        <v>12040</v>
      </c>
      <c r="J2177" s="154" t="s">
        <v>7164</v>
      </c>
      <c r="K2177" s="154" t="s">
        <v>11675</v>
      </c>
      <c r="L2177" s="154" t="s">
        <v>6022</v>
      </c>
      <c r="M2177" s="154" t="s">
        <v>175</v>
      </c>
      <c r="N2177" s="154" t="s">
        <v>759</v>
      </c>
      <c r="O2177" s="247" t="s">
        <v>516</v>
      </c>
      <c r="P2177" s="247" t="s">
        <v>6776</v>
      </c>
      <c r="Q2177" s="154" t="str">
        <f t="shared" si="1"/>
        <v>#ERROR!</v>
      </c>
      <c r="R2177" s="154" t="s">
        <v>66</v>
      </c>
      <c r="S2177" s="154" t="s">
        <v>66</v>
      </c>
      <c r="T2177" s="155" t="s">
        <v>64</v>
      </c>
      <c r="U2177" s="155" t="s">
        <v>64</v>
      </c>
      <c r="V2177" s="154" t="s">
        <v>60</v>
      </c>
      <c r="W2177" s="154" t="s">
        <v>60</v>
      </c>
      <c r="X2177" s="154" t="s">
        <v>66</v>
      </c>
      <c r="Y2177" s="155" t="s">
        <v>64</v>
      </c>
      <c r="Z2177" s="154" t="s">
        <v>60</v>
      </c>
      <c r="AA2177" s="154"/>
      <c r="AB2177" s="242" t="str">
        <f t="shared" si="2"/>
        <v>#ERROR!</v>
      </c>
      <c r="AC2177" s="154" t="s">
        <v>391</v>
      </c>
      <c r="AD2177" s="242" t="b">
        <f t="shared" si="3"/>
        <v>0</v>
      </c>
      <c r="AE2177" s="154"/>
      <c r="AF2177" s="242" t="str">
        <f t="shared" si="4"/>
        <v>#ERROR!</v>
      </c>
      <c r="AG2177" s="154"/>
      <c r="AH2177" s="242" t="str">
        <f>IF(AG2177="","N/A",INDIRECT("MTR!"&amp;ADDRESS(MATCH(LEFT(AG2177,9),[1]MTR!C:C,0),COLUMN(J2177)),TRUE) &amp; "")</f>
        <v>#ERROR!</v>
      </c>
      <c r="AI2177" s="157" t="str">
        <f t="shared" si="5"/>
        <v>#ERROR!</v>
      </c>
    </row>
    <row r="2178" ht="12.75" customHeight="1">
      <c r="A2178" s="244" t="s">
        <v>5158</v>
      </c>
      <c r="B2178" s="244" t="s">
        <v>231</v>
      </c>
      <c r="C2178" s="244" t="s">
        <v>12047</v>
      </c>
      <c r="D2178" s="154" t="s">
        <v>1315</v>
      </c>
      <c r="E2178" s="154"/>
      <c r="F2178" s="154" t="str">
        <f t="array" ref="F2178">XLOOKUP(Cover!$D$12,$R$1:$Z$1,$R2178:$Z2178)</f>
        <v>Recommended</v>
      </c>
      <c r="G2178" s="154" t="s">
        <v>12048</v>
      </c>
      <c r="H2178" s="154" t="s">
        <v>8513</v>
      </c>
      <c r="I2178" s="154" t="s">
        <v>12040</v>
      </c>
      <c r="J2178" s="154" t="s">
        <v>7164</v>
      </c>
      <c r="K2178" s="154" t="s">
        <v>11675</v>
      </c>
      <c r="L2178" s="154" t="s">
        <v>6022</v>
      </c>
      <c r="M2178" s="154"/>
      <c r="N2178" s="154" t="s">
        <v>759</v>
      </c>
      <c r="O2178" s="247" t="s">
        <v>516</v>
      </c>
      <c r="P2178" s="247" t="s">
        <v>6776</v>
      </c>
      <c r="Q2178" s="154" t="str">
        <f t="shared" si="1"/>
        <v>#ERROR!</v>
      </c>
      <c r="R2178" s="154" t="s">
        <v>66</v>
      </c>
      <c r="S2178" s="154" t="s">
        <v>66</v>
      </c>
      <c r="T2178" s="154" t="s">
        <v>64</v>
      </c>
      <c r="U2178" s="154" t="s">
        <v>64</v>
      </c>
      <c r="V2178" s="154" t="s">
        <v>64</v>
      </c>
      <c r="W2178" s="154" t="s">
        <v>64</v>
      </c>
      <c r="X2178" s="154" t="s">
        <v>66</v>
      </c>
      <c r="Y2178" s="154" t="s">
        <v>64</v>
      </c>
      <c r="Z2178" s="154" t="s">
        <v>64</v>
      </c>
      <c r="AA2178" s="154"/>
      <c r="AB2178" s="242" t="str">
        <f t="shared" si="2"/>
        <v>#ERROR!</v>
      </c>
      <c r="AC2178" s="154" t="s">
        <v>391</v>
      </c>
      <c r="AD2178" s="242" t="b">
        <f t="shared" si="3"/>
        <v>0</v>
      </c>
      <c r="AE2178" s="154"/>
      <c r="AF2178" s="242" t="str">
        <f t="shared" si="4"/>
        <v>#ERROR!</v>
      </c>
      <c r="AG2178" s="154"/>
      <c r="AH2178" s="242" t="str">
        <f>IF(AG2178="","N/A",INDIRECT("MTR!"&amp;ADDRESS(MATCH(LEFT(AG2178,9),[1]MTR!C:C,0),COLUMN(J2178)),TRUE) &amp; "")</f>
        <v>#ERROR!</v>
      </c>
      <c r="AI2178" s="157" t="str">
        <f t="shared" si="5"/>
        <v>#ERROR!</v>
      </c>
    </row>
    <row r="2179" ht="12.75" customHeight="1">
      <c r="A2179" s="244" t="s">
        <v>5158</v>
      </c>
      <c r="B2179" s="244" t="s">
        <v>231</v>
      </c>
      <c r="C2179" s="244" t="s">
        <v>12049</v>
      </c>
      <c r="D2179" s="154" t="s">
        <v>1315</v>
      </c>
      <c r="E2179" s="154"/>
      <c r="F2179" s="154" t="str">
        <f t="array" ref="F2179">XLOOKUP(Cover!$D$12,$R$1:$Z$1,$R2179:$Z2179)</f>
        <v>Recommended</v>
      </c>
      <c r="G2179" s="154" t="s">
        <v>12050</v>
      </c>
      <c r="H2179" s="154" t="s">
        <v>9009</v>
      </c>
      <c r="I2179" s="154" t="s">
        <v>12040</v>
      </c>
      <c r="J2179" s="154" t="s">
        <v>7164</v>
      </c>
      <c r="K2179" s="154" t="s">
        <v>11675</v>
      </c>
      <c r="L2179" s="154" t="s">
        <v>6022</v>
      </c>
      <c r="M2179" s="154"/>
      <c r="N2179" s="154" t="s">
        <v>759</v>
      </c>
      <c r="O2179" s="247" t="s">
        <v>516</v>
      </c>
      <c r="P2179" s="247" t="s">
        <v>6776</v>
      </c>
      <c r="Q2179" s="154" t="str">
        <f t="shared" si="1"/>
        <v>#ERROR!</v>
      </c>
      <c r="R2179" s="154" t="s">
        <v>66</v>
      </c>
      <c r="S2179" s="154" t="s">
        <v>66</v>
      </c>
      <c r="T2179" s="154" t="s">
        <v>64</v>
      </c>
      <c r="U2179" s="154" t="s">
        <v>64</v>
      </c>
      <c r="V2179" s="154" t="s">
        <v>64</v>
      </c>
      <c r="W2179" s="154" t="s">
        <v>64</v>
      </c>
      <c r="X2179" s="154" t="s">
        <v>66</v>
      </c>
      <c r="Y2179" s="154" t="s">
        <v>64</v>
      </c>
      <c r="Z2179" s="154" t="s">
        <v>64</v>
      </c>
      <c r="AA2179" s="154"/>
      <c r="AB2179" s="242" t="str">
        <f t="shared" si="2"/>
        <v>#ERROR!</v>
      </c>
      <c r="AC2179" s="154" t="s">
        <v>391</v>
      </c>
      <c r="AD2179" s="242" t="b">
        <f t="shared" si="3"/>
        <v>0</v>
      </c>
      <c r="AE2179" s="154"/>
      <c r="AF2179" s="242" t="str">
        <f t="shared" si="4"/>
        <v>#ERROR!</v>
      </c>
      <c r="AG2179" s="154"/>
      <c r="AH2179" s="242" t="str">
        <f>IF(AG2179="","N/A",INDIRECT("MTR!"&amp;ADDRESS(MATCH(LEFT(AG2179,9),[1]MTR!C:C,0),COLUMN(J2179)),TRUE) &amp; "")</f>
        <v>#ERROR!</v>
      </c>
      <c r="AI2179" s="157" t="str">
        <f t="shared" si="5"/>
        <v>#ERROR!</v>
      </c>
    </row>
    <row r="2180" ht="12.75" customHeight="1">
      <c r="A2180" s="244" t="s">
        <v>5158</v>
      </c>
      <c r="B2180" s="244" t="s">
        <v>231</v>
      </c>
      <c r="C2180" s="244" t="s">
        <v>12051</v>
      </c>
      <c r="D2180" s="154" t="s">
        <v>1315</v>
      </c>
      <c r="E2180" s="154"/>
      <c r="F2180" s="154" t="str">
        <f t="array" ref="F2180">XLOOKUP(Cover!$D$12,$R$1:$Z$1,$R2180:$Z2180)</f>
        <v>Mandatory</v>
      </c>
      <c r="G2180" s="154" t="s">
        <v>12052</v>
      </c>
      <c r="H2180" s="154" t="s">
        <v>8519</v>
      </c>
      <c r="I2180" s="154" t="s">
        <v>12040</v>
      </c>
      <c r="J2180" s="154" t="s">
        <v>7164</v>
      </c>
      <c r="K2180" s="154" t="s">
        <v>11675</v>
      </c>
      <c r="L2180" s="154" t="s">
        <v>6022</v>
      </c>
      <c r="M2180" s="154" t="s">
        <v>175</v>
      </c>
      <c r="N2180" s="154" t="s">
        <v>759</v>
      </c>
      <c r="O2180" s="247" t="s">
        <v>516</v>
      </c>
      <c r="P2180" s="247" t="s">
        <v>6776</v>
      </c>
      <c r="Q2180" s="154" t="str">
        <f t="shared" si="1"/>
        <v>#ERROR!</v>
      </c>
      <c r="R2180" s="154" t="s">
        <v>66</v>
      </c>
      <c r="S2180" s="154" t="s">
        <v>66</v>
      </c>
      <c r="T2180" s="155" t="s">
        <v>64</v>
      </c>
      <c r="U2180" s="155" t="s">
        <v>64</v>
      </c>
      <c r="V2180" s="154" t="s">
        <v>60</v>
      </c>
      <c r="W2180" s="154" t="s">
        <v>60</v>
      </c>
      <c r="X2180" s="154" t="s">
        <v>66</v>
      </c>
      <c r="Y2180" s="155" t="s">
        <v>64</v>
      </c>
      <c r="Z2180" s="154" t="s">
        <v>60</v>
      </c>
      <c r="AA2180" s="154"/>
      <c r="AB2180" s="242" t="str">
        <f t="shared" si="2"/>
        <v>#ERROR!</v>
      </c>
      <c r="AC2180" s="154" t="s">
        <v>391</v>
      </c>
      <c r="AD2180" s="242" t="b">
        <f t="shared" si="3"/>
        <v>0</v>
      </c>
      <c r="AE2180" s="154"/>
      <c r="AF2180" s="242" t="str">
        <f t="shared" si="4"/>
        <v>#ERROR!</v>
      </c>
      <c r="AG2180" s="154"/>
      <c r="AH2180" s="242" t="str">
        <f>IF(AG2180="","N/A",INDIRECT("MTR!"&amp;ADDRESS(MATCH(LEFT(AG2180,9),[1]MTR!C:C,0),COLUMN(J2180)),TRUE) &amp; "")</f>
        <v>#ERROR!</v>
      </c>
      <c r="AI2180" s="157" t="str">
        <f t="shared" si="5"/>
        <v>#ERROR!</v>
      </c>
    </row>
    <row r="2181" ht="12.75" customHeight="1">
      <c r="A2181" s="244" t="s">
        <v>5158</v>
      </c>
      <c r="B2181" s="244" t="s">
        <v>231</v>
      </c>
      <c r="C2181" s="244" t="s">
        <v>12053</v>
      </c>
      <c r="D2181" s="154" t="s">
        <v>1315</v>
      </c>
      <c r="E2181" s="154"/>
      <c r="F2181" s="154" t="str">
        <f t="array" ref="F2181">XLOOKUP(Cover!$D$12,$R$1:$Z$1,$R2181:$Z2181)</f>
        <v>Mandatory</v>
      </c>
      <c r="G2181" s="154" t="s">
        <v>12054</v>
      </c>
      <c r="H2181" s="154" t="s">
        <v>9015</v>
      </c>
      <c r="I2181" s="154" t="s">
        <v>12040</v>
      </c>
      <c r="J2181" s="154" t="s">
        <v>7164</v>
      </c>
      <c r="K2181" s="154" t="s">
        <v>11675</v>
      </c>
      <c r="L2181" s="154" t="s">
        <v>6022</v>
      </c>
      <c r="M2181" s="154" t="s">
        <v>175</v>
      </c>
      <c r="N2181" s="154" t="s">
        <v>759</v>
      </c>
      <c r="O2181" s="247" t="s">
        <v>516</v>
      </c>
      <c r="P2181" s="247" t="s">
        <v>6776</v>
      </c>
      <c r="Q2181" s="154" t="str">
        <f t="shared" si="1"/>
        <v>#ERROR!</v>
      </c>
      <c r="R2181" s="154" t="s">
        <v>66</v>
      </c>
      <c r="S2181" s="154" t="s">
        <v>66</v>
      </c>
      <c r="T2181" s="155" t="s">
        <v>64</v>
      </c>
      <c r="U2181" s="155" t="s">
        <v>64</v>
      </c>
      <c r="V2181" s="154" t="s">
        <v>60</v>
      </c>
      <c r="W2181" s="154" t="s">
        <v>60</v>
      </c>
      <c r="X2181" s="154" t="s">
        <v>66</v>
      </c>
      <c r="Y2181" s="155" t="s">
        <v>64</v>
      </c>
      <c r="Z2181" s="154" t="s">
        <v>60</v>
      </c>
      <c r="AA2181" s="154"/>
      <c r="AB2181" s="242" t="str">
        <f t="shared" si="2"/>
        <v>#ERROR!</v>
      </c>
      <c r="AC2181" s="154" t="s">
        <v>391</v>
      </c>
      <c r="AD2181" s="242" t="b">
        <f t="shared" si="3"/>
        <v>0</v>
      </c>
      <c r="AE2181" s="154"/>
      <c r="AF2181" s="242" t="str">
        <f t="shared" si="4"/>
        <v>#ERROR!</v>
      </c>
      <c r="AG2181" s="154"/>
      <c r="AH2181" s="242" t="str">
        <f>IF(AG2181="","N/A",INDIRECT("MTR!"&amp;ADDRESS(MATCH(LEFT(AG2181,9),[1]MTR!C:C,0),COLUMN(J2181)),TRUE) &amp; "")</f>
        <v>#ERROR!</v>
      </c>
      <c r="AI2181" s="157" t="str">
        <f t="shared" si="5"/>
        <v>#ERROR!</v>
      </c>
    </row>
    <row r="2182" ht="12.75" customHeight="1">
      <c r="A2182" s="244" t="s">
        <v>5158</v>
      </c>
      <c r="B2182" s="244" t="s">
        <v>231</v>
      </c>
      <c r="C2182" s="244" t="s">
        <v>12055</v>
      </c>
      <c r="D2182" s="154" t="s">
        <v>542</v>
      </c>
      <c r="E2182" s="154"/>
      <c r="F2182" s="154" t="str">
        <f t="array" ref="F2182">XLOOKUP(Cover!$D$12,$R$1:$Z$1,$R2182:$Z2182)</f>
        <v>Recommended</v>
      </c>
      <c r="G2182" s="154" t="s">
        <v>12056</v>
      </c>
      <c r="H2182" s="154" t="s">
        <v>8507</v>
      </c>
      <c r="I2182" s="154" t="s">
        <v>12057</v>
      </c>
      <c r="J2182" s="154" t="s">
        <v>8967</v>
      </c>
      <c r="K2182" s="154" t="s">
        <v>11675</v>
      </c>
      <c r="L2182" s="154" t="s">
        <v>6140</v>
      </c>
      <c r="M2182" s="154"/>
      <c r="N2182" s="154" t="s">
        <v>759</v>
      </c>
      <c r="O2182" s="247" t="s">
        <v>516</v>
      </c>
      <c r="P2182" s="247" t="s">
        <v>6776</v>
      </c>
      <c r="Q2182" s="154" t="str">
        <f t="shared" si="1"/>
        <v>#ERROR!</v>
      </c>
      <c r="R2182" s="154" t="s">
        <v>66</v>
      </c>
      <c r="S2182" s="154" t="s">
        <v>66</v>
      </c>
      <c r="T2182" s="154" t="s">
        <v>64</v>
      </c>
      <c r="U2182" s="154" t="s">
        <v>64</v>
      </c>
      <c r="V2182" s="154" t="s">
        <v>64</v>
      </c>
      <c r="W2182" s="154" t="s">
        <v>64</v>
      </c>
      <c r="X2182" s="154" t="s">
        <v>66</v>
      </c>
      <c r="Y2182" s="154" t="s">
        <v>64</v>
      </c>
      <c r="Z2182" s="154" t="s">
        <v>64</v>
      </c>
      <c r="AA2182" s="154"/>
      <c r="AB2182" s="242" t="str">
        <f t="shared" si="2"/>
        <v>#ERROR!</v>
      </c>
      <c r="AC2182" s="154" t="s">
        <v>391</v>
      </c>
      <c r="AD2182" s="242" t="b">
        <f t="shared" si="3"/>
        <v>0</v>
      </c>
      <c r="AE2182" s="154"/>
      <c r="AF2182" s="242" t="str">
        <f t="shared" si="4"/>
        <v>#ERROR!</v>
      </c>
      <c r="AG2182" s="154"/>
      <c r="AH2182" s="242" t="str">
        <f>IF(AG2182="","N/A",INDIRECT("MTR!"&amp;ADDRESS(MATCH(LEFT(AG2182,9),[1]MTR!C:C,0),COLUMN(J2182)),TRUE) &amp; "")</f>
        <v>#ERROR!</v>
      </c>
      <c r="AI2182" s="157" t="str">
        <f t="shared" si="5"/>
        <v>#ERROR!</v>
      </c>
    </row>
    <row r="2183" ht="12.75" customHeight="1">
      <c r="A2183" s="244" t="s">
        <v>5158</v>
      </c>
      <c r="B2183" s="244" t="s">
        <v>231</v>
      </c>
      <c r="C2183" s="244" t="s">
        <v>12058</v>
      </c>
      <c r="D2183" s="154" t="s">
        <v>542</v>
      </c>
      <c r="E2183" s="154"/>
      <c r="F2183" s="154" t="str">
        <f t="array" ref="F2183">XLOOKUP(Cover!$D$12,$R$1:$Z$1,$R2183:$Z2183)</f>
        <v>Recommended</v>
      </c>
      <c r="G2183" s="154" t="s">
        <v>12059</v>
      </c>
      <c r="H2183" s="154" t="s">
        <v>9002</v>
      </c>
      <c r="I2183" s="154" t="s">
        <v>12057</v>
      </c>
      <c r="J2183" s="154" t="s">
        <v>8967</v>
      </c>
      <c r="K2183" s="154" t="s">
        <v>11675</v>
      </c>
      <c r="L2183" s="154" t="s">
        <v>6140</v>
      </c>
      <c r="M2183" s="154"/>
      <c r="N2183" s="154" t="s">
        <v>759</v>
      </c>
      <c r="O2183" s="247" t="s">
        <v>516</v>
      </c>
      <c r="P2183" s="247" t="s">
        <v>6776</v>
      </c>
      <c r="Q2183" s="154" t="str">
        <f t="shared" si="1"/>
        <v>#ERROR!</v>
      </c>
      <c r="R2183" s="154" t="s">
        <v>66</v>
      </c>
      <c r="S2183" s="154" t="s">
        <v>66</v>
      </c>
      <c r="T2183" s="154" t="s">
        <v>64</v>
      </c>
      <c r="U2183" s="154" t="s">
        <v>64</v>
      </c>
      <c r="V2183" s="154" t="s">
        <v>64</v>
      </c>
      <c r="W2183" s="154" t="s">
        <v>64</v>
      </c>
      <c r="X2183" s="154" t="s">
        <v>66</v>
      </c>
      <c r="Y2183" s="154" t="s">
        <v>64</v>
      </c>
      <c r="Z2183" s="154" t="s">
        <v>64</v>
      </c>
      <c r="AA2183" s="154"/>
      <c r="AB2183" s="242" t="str">
        <f t="shared" si="2"/>
        <v>#ERROR!</v>
      </c>
      <c r="AC2183" s="154" t="s">
        <v>391</v>
      </c>
      <c r="AD2183" s="242" t="b">
        <f t="shared" si="3"/>
        <v>0</v>
      </c>
      <c r="AE2183" s="154"/>
      <c r="AF2183" s="242" t="str">
        <f t="shared" si="4"/>
        <v>#ERROR!</v>
      </c>
      <c r="AG2183" s="154"/>
      <c r="AH2183" s="242" t="str">
        <f>IF(AG2183="","N/A",INDIRECT("MTR!"&amp;ADDRESS(MATCH(LEFT(AG2183,9),[1]MTR!C:C,0),COLUMN(J2183)),TRUE) &amp; "")</f>
        <v>#ERROR!</v>
      </c>
      <c r="AI2183" s="157" t="str">
        <f t="shared" si="5"/>
        <v>#ERROR!</v>
      </c>
    </row>
    <row r="2184" ht="12.75" customHeight="1">
      <c r="A2184" s="244" t="s">
        <v>5158</v>
      </c>
      <c r="B2184" s="244" t="s">
        <v>231</v>
      </c>
      <c r="C2184" s="244" t="s">
        <v>12060</v>
      </c>
      <c r="D2184" s="154" t="s">
        <v>542</v>
      </c>
      <c r="E2184" s="154"/>
      <c r="F2184" s="154" t="str">
        <f t="array" ref="F2184">XLOOKUP(Cover!$D$12,$R$1:$Z$1,$R2184:$Z2184)</f>
        <v>Recommended</v>
      </c>
      <c r="G2184" s="154" t="s">
        <v>12061</v>
      </c>
      <c r="H2184" s="154" t="s">
        <v>1489</v>
      </c>
      <c r="I2184" s="154" t="s">
        <v>12057</v>
      </c>
      <c r="J2184" s="154" t="s">
        <v>8967</v>
      </c>
      <c r="K2184" s="154" t="s">
        <v>11675</v>
      </c>
      <c r="L2184" s="154" t="s">
        <v>6140</v>
      </c>
      <c r="M2184" s="154"/>
      <c r="N2184" s="154" t="s">
        <v>759</v>
      </c>
      <c r="O2184" s="247" t="s">
        <v>516</v>
      </c>
      <c r="P2184" s="247" t="s">
        <v>6776</v>
      </c>
      <c r="Q2184" s="154" t="str">
        <f t="shared" si="1"/>
        <v>#ERROR!</v>
      </c>
      <c r="R2184" s="154" t="s">
        <v>66</v>
      </c>
      <c r="S2184" s="154" t="s">
        <v>66</v>
      </c>
      <c r="T2184" s="154" t="s">
        <v>64</v>
      </c>
      <c r="U2184" s="154" t="s">
        <v>64</v>
      </c>
      <c r="V2184" s="154" t="s">
        <v>64</v>
      </c>
      <c r="W2184" s="154" t="s">
        <v>64</v>
      </c>
      <c r="X2184" s="154" t="s">
        <v>66</v>
      </c>
      <c r="Y2184" s="154" t="s">
        <v>64</v>
      </c>
      <c r="Z2184" s="154" t="s">
        <v>64</v>
      </c>
      <c r="AA2184" s="154"/>
      <c r="AB2184" s="242" t="str">
        <f t="shared" si="2"/>
        <v>#ERROR!</v>
      </c>
      <c r="AC2184" s="154" t="s">
        <v>391</v>
      </c>
      <c r="AD2184" s="242" t="b">
        <f t="shared" si="3"/>
        <v>0</v>
      </c>
      <c r="AE2184" s="154"/>
      <c r="AF2184" s="242" t="str">
        <f t="shared" si="4"/>
        <v>#ERROR!</v>
      </c>
      <c r="AG2184" s="154"/>
      <c r="AH2184" s="242" t="str">
        <f>IF(AG2184="","N/A",INDIRECT("MTR!"&amp;ADDRESS(MATCH(LEFT(AG2184,9),[1]MTR!C:C,0),COLUMN(J2184)),TRUE) &amp; "")</f>
        <v>#ERROR!</v>
      </c>
      <c r="AI2184" s="157" t="str">
        <f t="shared" si="5"/>
        <v>#ERROR!</v>
      </c>
    </row>
    <row r="2185" ht="12.75" customHeight="1">
      <c r="A2185" s="244" t="s">
        <v>5158</v>
      </c>
      <c r="B2185" s="244" t="s">
        <v>231</v>
      </c>
      <c r="C2185" s="244" t="s">
        <v>12062</v>
      </c>
      <c r="D2185" s="154" t="s">
        <v>542</v>
      </c>
      <c r="E2185" s="154"/>
      <c r="F2185" s="154" t="str">
        <f t="array" ref="F2185">XLOOKUP(Cover!$D$12,$R$1:$Z$1,$R2185:$Z2185)</f>
        <v>Recommended</v>
      </c>
      <c r="G2185" s="154" t="s">
        <v>12063</v>
      </c>
      <c r="H2185" s="154" t="s">
        <v>9006</v>
      </c>
      <c r="I2185" s="154" t="s">
        <v>12057</v>
      </c>
      <c r="J2185" s="154" t="s">
        <v>8967</v>
      </c>
      <c r="K2185" s="154" t="s">
        <v>11675</v>
      </c>
      <c r="L2185" s="154" t="s">
        <v>6140</v>
      </c>
      <c r="M2185" s="154"/>
      <c r="N2185" s="154" t="s">
        <v>759</v>
      </c>
      <c r="O2185" s="247" t="s">
        <v>516</v>
      </c>
      <c r="P2185" s="247" t="s">
        <v>6776</v>
      </c>
      <c r="Q2185" s="154" t="str">
        <f t="shared" si="1"/>
        <v>#ERROR!</v>
      </c>
      <c r="R2185" s="154" t="s">
        <v>66</v>
      </c>
      <c r="S2185" s="154" t="s">
        <v>66</v>
      </c>
      <c r="T2185" s="154" t="s">
        <v>64</v>
      </c>
      <c r="U2185" s="154" t="s">
        <v>64</v>
      </c>
      <c r="V2185" s="154" t="s">
        <v>64</v>
      </c>
      <c r="W2185" s="154" t="s">
        <v>64</v>
      </c>
      <c r="X2185" s="154" t="s">
        <v>66</v>
      </c>
      <c r="Y2185" s="154" t="s">
        <v>64</v>
      </c>
      <c r="Z2185" s="154" t="s">
        <v>64</v>
      </c>
      <c r="AA2185" s="154"/>
      <c r="AB2185" s="242" t="str">
        <f t="shared" si="2"/>
        <v>#ERROR!</v>
      </c>
      <c r="AC2185" s="154" t="s">
        <v>391</v>
      </c>
      <c r="AD2185" s="242" t="b">
        <f t="shared" si="3"/>
        <v>0</v>
      </c>
      <c r="AE2185" s="154"/>
      <c r="AF2185" s="242" t="str">
        <f t="shared" si="4"/>
        <v>#ERROR!</v>
      </c>
      <c r="AG2185" s="154"/>
      <c r="AH2185" s="242" t="str">
        <f>IF(AG2185="","N/A",INDIRECT("MTR!"&amp;ADDRESS(MATCH(LEFT(AG2185,9),[1]MTR!C:C,0),COLUMN(J2185)),TRUE) &amp; "")</f>
        <v>#ERROR!</v>
      </c>
      <c r="AI2185" s="157" t="str">
        <f t="shared" si="5"/>
        <v>#ERROR!</v>
      </c>
    </row>
    <row r="2186" ht="12.75" customHeight="1">
      <c r="A2186" s="244" t="s">
        <v>5158</v>
      </c>
      <c r="B2186" s="244" t="s">
        <v>231</v>
      </c>
      <c r="C2186" s="244" t="s">
        <v>12064</v>
      </c>
      <c r="D2186" s="154" t="s">
        <v>542</v>
      </c>
      <c r="E2186" s="154"/>
      <c r="F2186" s="154" t="str">
        <f t="array" ref="F2186">XLOOKUP(Cover!$D$12,$R$1:$Z$1,$R2186:$Z2186)</f>
        <v>Recommended</v>
      </c>
      <c r="G2186" s="154" t="s">
        <v>12065</v>
      </c>
      <c r="H2186" s="154" t="s">
        <v>8513</v>
      </c>
      <c r="I2186" s="154" t="s">
        <v>12057</v>
      </c>
      <c r="J2186" s="154" t="s">
        <v>8967</v>
      </c>
      <c r="K2186" s="154" t="s">
        <v>11675</v>
      </c>
      <c r="L2186" s="154" t="s">
        <v>6140</v>
      </c>
      <c r="M2186" s="154"/>
      <c r="N2186" s="154" t="s">
        <v>759</v>
      </c>
      <c r="O2186" s="247" t="s">
        <v>516</v>
      </c>
      <c r="P2186" s="247" t="s">
        <v>6776</v>
      </c>
      <c r="Q2186" s="154" t="str">
        <f t="shared" si="1"/>
        <v>#ERROR!</v>
      </c>
      <c r="R2186" s="154" t="s">
        <v>66</v>
      </c>
      <c r="S2186" s="154" t="s">
        <v>66</v>
      </c>
      <c r="T2186" s="154" t="s">
        <v>64</v>
      </c>
      <c r="U2186" s="154" t="s">
        <v>64</v>
      </c>
      <c r="V2186" s="154" t="s">
        <v>64</v>
      </c>
      <c r="W2186" s="154" t="s">
        <v>64</v>
      </c>
      <c r="X2186" s="154" t="s">
        <v>66</v>
      </c>
      <c r="Y2186" s="154" t="s">
        <v>64</v>
      </c>
      <c r="Z2186" s="154" t="s">
        <v>64</v>
      </c>
      <c r="AA2186" s="154"/>
      <c r="AB2186" s="242" t="str">
        <f t="shared" si="2"/>
        <v>#ERROR!</v>
      </c>
      <c r="AC2186" s="154" t="s">
        <v>391</v>
      </c>
      <c r="AD2186" s="242" t="b">
        <f t="shared" si="3"/>
        <v>0</v>
      </c>
      <c r="AE2186" s="154"/>
      <c r="AF2186" s="242" t="str">
        <f t="shared" si="4"/>
        <v>#ERROR!</v>
      </c>
      <c r="AG2186" s="154"/>
      <c r="AH2186" s="242" t="str">
        <f>IF(AG2186="","N/A",INDIRECT("MTR!"&amp;ADDRESS(MATCH(LEFT(AG2186,9),[1]MTR!C:C,0),COLUMN(J2186)),TRUE) &amp; "")</f>
        <v>#ERROR!</v>
      </c>
      <c r="AI2186" s="157" t="str">
        <f t="shared" si="5"/>
        <v>#ERROR!</v>
      </c>
    </row>
    <row r="2187" ht="12.75" customHeight="1">
      <c r="A2187" s="244" t="s">
        <v>5158</v>
      </c>
      <c r="B2187" s="244" t="s">
        <v>231</v>
      </c>
      <c r="C2187" s="244" t="s">
        <v>12066</v>
      </c>
      <c r="D2187" s="154" t="s">
        <v>542</v>
      </c>
      <c r="E2187" s="154"/>
      <c r="F2187" s="154" t="str">
        <f t="array" ref="F2187">XLOOKUP(Cover!$D$12,$R$1:$Z$1,$R2187:$Z2187)</f>
        <v>Recommended</v>
      </c>
      <c r="G2187" s="154" t="s">
        <v>12067</v>
      </c>
      <c r="H2187" s="154" t="s">
        <v>9009</v>
      </c>
      <c r="I2187" s="154" t="s">
        <v>12057</v>
      </c>
      <c r="J2187" s="154" t="s">
        <v>8967</v>
      </c>
      <c r="K2187" s="154" t="s">
        <v>11675</v>
      </c>
      <c r="L2187" s="154" t="s">
        <v>6140</v>
      </c>
      <c r="M2187" s="154"/>
      <c r="N2187" s="154" t="s">
        <v>759</v>
      </c>
      <c r="O2187" s="247" t="s">
        <v>516</v>
      </c>
      <c r="P2187" s="247" t="s">
        <v>6776</v>
      </c>
      <c r="Q2187" s="154" t="str">
        <f t="shared" si="1"/>
        <v>#ERROR!</v>
      </c>
      <c r="R2187" s="154" t="s">
        <v>66</v>
      </c>
      <c r="S2187" s="154" t="s">
        <v>66</v>
      </c>
      <c r="T2187" s="154" t="s">
        <v>64</v>
      </c>
      <c r="U2187" s="154" t="s">
        <v>64</v>
      </c>
      <c r="V2187" s="154" t="s">
        <v>64</v>
      </c>
      <c r="W2187" s="154" t="s">
        <v>64</v>
      </c>
      <c r="X2187" s="154" t="s">
        <v>66</v>
      </c>
      <c r="Y2187" s="154" t="s">
        <v>64</v>
      </c>
      <c r="Z2187" s="154" t="s">
        <v>64</v>
      </c>
      <c r="AA2187" s="154"/>
      <c r="AB2187" s="242" t="str">
        <f t="shared" si="2"/>
        <v>#ERROR!</v>
      </c>
      <c r="AC2187" s="154" t="s">
        <v>391</v>
      </c>
      <c r="AD2187" s="242" t="b">
        <f t="shared" si="3"/>
        <v>0</v>
      </c>
      <c r="AE2187" s="154"/>
      <c r="AF2187" s="242" t="str">
        <f t="shared" si="4"/>
        <v>#ERROR!</v>
      </c>
      <c r="AG2187" s="154"/>
      <c r="AH2187" s="242" t="str">
        <f>IF(AG2187="","N/A",INDIRECT("MTR!"&amp;ADDRESS(MATCH(LEFT(AG2187,9),[1]MTR!C:C,0),COLUMN(J2187)),TRUE) &amp; "")</f>
        <v>#ERROR!</v>
      </c>
      <c r="AI2187" s="157" t="str">
        <f t="shared" si="5"/>
        <v>#ERROR!</v>
      </c>
    </row>
    <row r="2188" ht="12.75" customHeight="1">
      <c r="A2188" s="244" t="s">
        <v>5158</v>
      </c>
      <c r="B2188" s="244" t="s">
        <v>231</v>
      </c>
      <c r="C2188" s="244" t="s">
        <v>12068</v>
      </c>
      <c r="D2188" s="154" t="s">
        <v>542</v>
      </c>
      <c r="E2188" s="154"/>
      <c r="F2188" s="154" t="str">
        <f t="array" ref="F2188">XLOOKUP(Cover!$D$12,$R$1:$Z$1,$R2188:$Z2188)</f>
        <v>Recommended</v>
      </c>
      <c r="G2188" s="154" t="s">
        <v>12069</v>
      </c>
      <c r="H2188" s="154" t="s">
        <v>8550</v>
      </c>
      <c r="I2188" s="154" t="s">
        <v>12057</v>
      </c>
      <c r="J2188" s="154" t="s">
        <v>8967</v>
      </c>
      <c r="K2188" s="154" t="s">
        <v>11675</v>
      </c>
      <c r="L2188" s="154" t="s">
        <v>6140</v>
      </c>
      <c r="M2188" s="154"/>
      <c r="N2188" s="154" t="s">
        <v>759</v>
      </c>
      <c r="O2188" s="247" t="s">
        <v>516</v>
      </c>
      <c r="P2188" s="247" t="s">
        <v>6776</v>
      </c>
      <c r="Q2188" s="154" t="str">
        <f t="shared" si="1"/>
        <v>#ERROR!</v>
      </c>
      <c r="R2188" s="154" t="s">
        <v>66</v>
      </c>
      <c r="S2188" s="154" t="s">
        <v>66</v>
      </c>
      <c r="T2188" s="154" t="s">
        <v>64</v>
      </c>
      <c r="U2188" s="154" t="s">
        <v>64</v>
      </c>
      <c r="V2188" s="154" t="s">
        <v>64</v>
      </c>
      <c r="W2188" s="154" t="s">
        <v>64</v>
      </c>
      <c r="X2188" s="154" t="s">
        <v>66</v>
      </c>
      <c r="Y2188" s="154" t="s">
        <v>64</v>
      </c>
      <c r="Z2188" s="154" t="s">
        <v>64</v>
      </c>
      <c r="AA2188" s="154"/>
      <c r="AB2188" s="242" t="str">
        <f t="shared" si="2"/>
        <v>#ERROR!</v>
      </c>
      <c r="AC2188" s="154" t="s">
        <v>391</v>
      </c>
      <c r="AD2188" s="242" t="b">
        <f t="shared" si="3"/>
        <v>0</v>
      </c>
      <c r="AE2188" s="154"/>
      <c r="AF2188" s="242" t="str">
        <f t="shared" si="4"/>
        <v>#ERROR!</v>
      </c>
      <c r="AG2188" s="154"/>
      <c r="AH2188" s="242" t="str">
        <f>IF(AG2188="","N/A",INDIRECT("MTR!"&amp;ADDRESS(MATCH(LEFT(AG2188,9),[1]MTR!C:C,0),COLUMN(J2188)),TRUE) &amp; "")</f>
        <v>#ERROR!</v>
      </c>
      <c r="AI2188" s="157" t="str">
        <f t="shared" si="5"/>
        <v>#ERROR!</v>
      </c>
    </row>
    <row r="2189" ht="12.75" customHeight="1">
      <c r="A2189" s="244" t="s">
        <v>5158</v>
      </c>
      <c r="B2189" s="244" t="s">
        <v>231</v>
      </c>
      <c r="C2189" s="244" t="s">
        <v>12070</v>
      </c>
      <c r="D2189" s="154" t="s">
        <v>1069</v>
      </c>
      <c r="E2189" s="154"/>
      <c r="F2189" s="154" t="str">
        <f t="array" ref="F2189">XLOOKUP(Cover!$D$12,$R$1:$Z$1,$R2189:$Z2189)</f>
        <v>Recommended</v>
      </c>
      <c r="G2189" s="154" t="s">
        <v>12071</v>
      </c>
      <c r="H2189" s="154" t="s">
        <v>9053</v>
      </c>
      <c r="I2189" s="154" t="s">
        <v>12057</v>
      </c>
      <c r="J2189" s="154" t="s">
        <v>8967</v>
      </c>
      <c r="K2189" s="154" t="s">
        <v>11675</v>
      </c>
      <c r="L2189" s="154" t="s">
        <v>5927</v>
      </c>
      <c r="M2189" s="154"/>
      <c r="N2189" s="154" t="s">
        <v>759</v>
      </c>
      <c r="O2189" s="247" t="s">
        <v>516</v>
      </c>
      <c r="P2189" s="247" t="s">
        <v>6776</v>
      </c>
      <c r="Q2189" s="154" t="str">
        <f t="shared" si="1"/>
        <v>#ERROR!</v>
      </c>
      <c r="R2189" s="154" t="s">
        <v>66</v>
      </c>
      <c r="S2189" s="154" t="s">
        <v>66</v>
      </c>
      <c r="T2189" s="154" t="s">
        <v>64</v>
      </c>
      <c r="U2189" s="154" t="s">
        <v>64</v>
      </c>
      <c r="V2189" s="154" t="s">
        <v>64</v>
      </c>
      <c r="W2189" s="154" t="s">
        <v>64</v>
      </c>
      <c r="X2189" s="154" t="s">
        <v>66</v>
      </c>
      <c r="Y2189" s="154" t="s">
        <v>64</v>
      </c>
      <c r="Z2189" s="154" t="s">
        <v>64</v>
      </c>
      <c r="AA2189" s="154"/>
      <c r="AB2189" s="242" t="str">
        <f t="shared" si="2"/>
        <v>#ERROR!</v>
      </c>
      <c r="AC2189" s="154" t="s">
        <v>391</v>
      </c>
      <c r="AD2189" s="242" t="b">
        <f t="shared" si="3"/>
        <v>0</v>
      </c>
      <c r="AE2189" s="154"/>
      <c r="AF2189" s="242" t="str">
        <f t="shared" si="4"/>
        <v>#ERROR!</v>
      </c>
      <c r="AG2189" s="154"/>
      <c r="AH2189" s="242" t="str">
        <f>IF(AG2189="","N/A",INDIRECT("MTR!"&amp;ADDRESS(MATCH(LEFT(AG2189,9),[1]MTR!C:C,0),COLUMN(J2189)),TRUE) &amp; "")</f>
        <v>#ERROR!</v>
      </c>
      <c r="AI2189" s="157" t="str">
        <f t="shared" si="5"/>
        <v>#ERROR!</v>
      </c>
    </row>
    <row r="2190" ht="12.75" customHeight="1">
      <c r="A2190" s="244" t="s">
        <v>5158</v>
      </c>
      <c r="B2190" s="244" t="s">
        <v>231</v>
      </c>
      <c r="C2190" s="244" t="s">
        <v>12072</v>
      </c>
      <c r="D2190" s="154" t="s">
        <v>542</v>
      </c>
      <c r="E2190" s="154"/>
      <c r="F2190" s="154" t="str">
        <f t="array" ref="F2190">XLOOKUP(Cover!$D$12,$R$1:$Z$1,$R2190:$Z2190)</f>
        <v>Recommended</v>
      </c>
      <c r="G2190" s="154" t="s">
        <v>12073</v>
      </c>
      <c r="H2190" s="154" t="s">
        <v>8573</v>
      </c>
      <c r="I2190" s="154" t="s">
        <v>12057</v>
      </c>
      <c r="J2190" s="154" t="s">
        <v>8967</v>
      </c>
      <c r="K2190" s="154" t="s">
        <v>11675</v>
      </c>
      <c r="L2190" s="154" t="s">
        <v>6140</v>
      </c>
      <c r="M2190" s="154"/>
      <c r="N2190" s="154" t="s">
        <v>759</v>
      </c>
      <c r="O2190" s="247" t="s">
        <v>516</v>
      </c>
      <c r="P2190" s="247" t="s">
        <v>6776</v>
      </c>
      <c r="Q2190" s="154" t="str">
        <f t="shared" si="1"/>
        <v>#ERROR!</v>
      </c>
      <c r="R2190" s="154" t="s">
        <v>66</v>
      </c>
      <c r="S2190" s="154" t="s">
        <v>66</v>
      </c>
      <c r="T2190" s="154" t="s">
        <v>64</v>
      </c>
      <c r="U2190" s="154" t="s">
        <v>64</v>
      </c>
      <c r="V2190" s="154" t="s">
        <v>64</v>
      </c>
      <c r="W2190" s="154" t="s">
        <v>64</v>
      </c>
      <c r="X2190" s="154" t="s">
        <v>66</v>
      </c>
      <c r="Y2190" s="154" t="s">
        <v>64</v>
      </c>
      <c r="Z2190" s="154" t="s">
        <v>64</v>
      </c>
      <c r="AA2190" s="154"/>
      <c r="AB2190" s="242" t="str">
        <f t="shared" si="2"/>
        <v>#ERROR!</v>
      </c>
      <c r="AC2190" s="154" t="s">
        <v>391</v>
      </c>
      <c r="AD2190" s="242" t="b">
        <f t="shared" si="3"/>
        <v>0</v>
      </c>
      <c r="AE2190" s="154"/>
      <c r="AF2190" s="242" t="str">
        <f t="shared" si="4"/>
        <v>#ERROR!</v>
      </c>
      <c r="AG2190" s="154"/>
      <c r="AH2190" s="242" t="str">
        <f>IF(AG2190="","N/A",INDIRECT("MTR!"&amp;ADDRESS(MATCH(LEFT(AG2190,9),[1]MTR!C:C,0),COLUMN(J2190)),TRUE) &amp; "")</f>
        <v>#ERROR!</v>
      </c>
      <c r="AI2190" s="157" t="str">
        <f t="shared" si="5"/>
        <v>#ERROR!</v>
      </c>
    </row>
    <row r="2191" ht="12.75" customHeight="1">
      <c r="A2191" s="244" t="s">
        <v>5158</v>
      </c>
      <c r="B2191" s="244" t="s">
        <v>231</v>
      </c>
      <c r="C2191" s="244" t="s">
        <v>12074</v>
      </c>
      <c r="D2191" s="154" t="s">
        <v>542</v>
      </c>
      <c r="E2191" s="154"/>
      <c r="F2191" s="154" t="str">
        <f t="array" ref="F2191">XLOOKUP(Cover!$D$12,$R$1:$Z$1,$R2191:$Z2191)</f>
        <v>Recommended</v>
      </c>
      <c r="G2191" s="154" t="s">
        <v>12075</v>
      </c>
      <c r="H2191" s="154" t="s">
        <v>9084</v>
      </c>
      <c r="I2191" s="154" t="s">
        <v>12057</v>
      </c>
      <c r="J2191" s="154" t="s">
        <v>8967</v>
      </c>
      <c r="K2191" s="154" t="s">
        <v>11675</v>
      </c>
      <c r="L2191" s="154" t="s">
        <v>6140</v>
      </c>
      <c r="M2191" s="154"/>
      <c r="N2191" s="154" t="s">
        <v>759</v>
      </c>
      <c r="O2191" s="247" t="s">
        <v>516</v>
      </c>
      <c r="P2191" s="247" t="s">
        <v>6776</v>
      </c>
      <c r="Q2191" s="154" t="str">
        <f t="shared" si="1"/>
        <v>#ERROR!</v>
      </c>
      <c r="R2191" s="154" t="s">
        <v>66</v>
      </c>
      <c r="S2191" s="154" t="s">
        <v>66</v>
      </c>
      <c r="T2191" s="154" t="s">
        <v>64</v>
      </c>
      <c r="U2191" s="154" t="s">
        <v>64</v>
      </c>
      <c r="V2191" s="154" t="s">
        <v>64</v>
      </c>
      <c r="W2191" s="154" t="s">
        <v>64</v>
      </c>
      <c r="X2191" s="154" t="s">
        <v>66</v>
      </c>
      <c r="Y2191" s="154" t="s">
        <v>64</v>
      </c>
      <c r="Z2191" s="154" t="s">
        <v>64</v>
      </c>
      <c r="AA2191" s="154"/>
      <c r="AB2191" s="242" t="str">
        <f t="shared" si="2"/>
        <v>#ERROR!</v>
      </c>
      <c r="AC2191" s="154" t="s">
        <v>391</v>
      </c>
      <c r="AD2191" s="242" t="b">
        <f t="shared" si="3"/>
        <v>0</v>
      </c>
      <c r="AE2191" s="154"/>
      <c r="AF2191" s="242" t="str">
        <f t="shared" si="4"/>
        <v>#ERROR!</v>
      </c>
      <c r="AG2191" s="154"/>
      <c r="AH2191" s="242" t="str">
        <f>IF(AG2191="","N/A",INDIRECT("MTR!"&amp;ADDRESS(MATCH(LEFT(AG2191,9),[1]MTR!C:C,0),COLUMN(J2191)),TRUE) &amp; "")</f>
        <v>#ERROR!</v>
      </c>
      <c r="AI2191" s="157" t="str">
        <f t="shared" si="5"/>
        <v>#ERROR!</v>
      </c>
    </row>
    <row r="2192" ht="12.75" customHeight="1">
      <c r="A2192" s="238" t="s">
        <v>5158</v>
      </c>
      <c r="B2192" s="238" t="s">
        <v>231</v>
      </c>
      <c r="C2192" s="238" t="s">
        <v>12076</v>
      </c>
      <c r="D2192" s="240"/>
      <c r="E2192" s="240" t="s">
        <v>92</v>
      </c>
      <c r="F2192" s="240" t="str">
        <f t="array" ref="F2192">XLOOKUP(Cover!$D$12,$R$1:$Z$1,$R2192:$Z2192)</f>
        <v>Heading</v>
      </c>
      <c r="G2192" s="239" t="s">
        <v>12077</v>
      </c>
      <c r="H2192" s="240"/>
      <c r="I2192" s="240"/>
      <c r="J2192" s="240"/>
      <c r="K2192" s="240"/>
      <c r="L2192" s="240"/>
      <c r="M2192" s="240"/>
      <c r="N2192" s="240" t="s">
        <v>759</v>
      </c>
      <c r="O2192" s="240"/>
      <c r="P2192" s="240"/>
      <c r="Q2192" s="240" t="str">
        <f t="shared" si="1"/>
        <v/>
      </c>
      <c r="R2192" s="240" t="s">
        <v>390</v>
      </c>
      <c r="S2192" s="240" t="s">
        <v>390</v>
      </c>
      <c r="T2192" s="240" t="s">
        <v>390</v>
      </c>
      <c r="U2192" s="240" t="s">
        <v>390</v>
      </c>
      <c r="V2192" s="240" t="s">
        <v>390</v>
      </c>
      <c r="W2192" s="240" t="s">
        <v>390</v>
      </c>
      <c r="X2192" s="240" t="s">
        <v>390</v>
      </c>
      <c r="Y2192" s="240" t="s">
        <v>390</v>
      </c>
      <c r="Z2192" s="240" t="s">
        <v>390</v>
      </c>
      <c r="AA2192" s="240"/>
      <c r="AB2192" s="242" t="str">
        <f t="shared" si="2"/>
        <v>#ERROR!</v>
      </c>
      <c r="AC2192" s="240" t="s">
        <v>391</v>
      </c>
      <c r="AD2192" s="242" t="b">
        <f t="shared" si="3"/>
        <v>0</v>
      </c>
      <c r="AE2192" s="240"/>
      <c r="AF2192" s="242" t="str">
        <f t="shared" si="4"/>
        <v>#ERROR!</v>
      </c>
      <c r="AG2192" s="240"/>
      <c r="AH2192" s="242" t="str">
        <f>IF(AG2192="","N/A",INDIRECT("MTR!"&amp;ADDRESS(MATCH(LEFT(AG2192,9),[1]MTR!C:C,0),COLUMN(J2192)),TRUE) &amp; "")</f>
        <v>#ERROR!</v>
      </c>
      <c r="AI2192" s="157" t="str">
        <f t="shared" si="5"/>
        <v/>
      </c>
    </row>
    <row r="2193" ht="12.75" customHeight="1">
      <c r="A2193" s="244" t="s">
        <v>5158</v>
      </c>
      <c r="B2193" s="244" t="s">
        <v>231</v>
      </c>
      <c r="C2193" s="244" t="s">
        <v>12078</v>
      </c>
      <c r="D2193" s="154" t="s">
        <v>861</v>
      </c>
      <c r="E2193" s="154"/>
      <c r="F2193" s="154" t="str">
        <f t="array" ref="F2193">XLOOKUP(Cover!$D$12,$R$1:$Z$1,$R2193:$Z2193)</f>
        <v>Mandatory</v>
      </c>
      <c r="G2193" s="154" t="s">
        <v>12079</v>
      </c>
      <c r="H2193" s="154" t="s">
        <v>9002</v>
      </c>
      <c r="I2193" s="154" t="s">
        <v>12080</v>
      </c>
      <c r="J2193" s="154" t="s">
        <v>5730</v>
      </c>
      <c r="K2193" s="154" t="s">
        <v>12081</v>
      </c>
      <c r="L2193" s="154" t="s">
        <v>6428</v>
      </c>
      <c r="M2193" s="154" t="s">
        <v>1018</v>
      </c>
      <c r="N2193" s="154" t="s">
        <v>759</v>
      </c>
      <c r="O2193" s="247" t="s">
        <v>445</v>
      </c>
      <c r="P2193" s="247" t="s">
        <v>89</v>
      </c>
      <c r="Q2193" s="154" t="str">
        <f t="shared" si="1"/>
        <v>#ERROR!</v>
      </c>
      <c r="R2193" s="154" t="s">
        <v>66</v>
      </c>
      <c r="S2193" s="154" t="s">
        <v>66</v>
      </c>
      <c r="T2193" s="155" t="s">
        <v>64</v>
      </c>
      <c r="U2193" s="155" t="s">
        <v>64</v>
      </c>
      <c r="V2193" s="154" t="s">
        <v>60</v>
      </c>
      <c r="W2193" s="154" t="s">
        <v>60</v>
      </c>
      <c r="X2193" s="154" t="s">
        <v>66</v>
      </c>
      <c r="Y2193" s="155" t="s">
        <v>64</v>
      </c>
      <c r="Z2193" s="154" t="s">
        <v>60</v>
      </c>
      <c r="AA2193" s="154"/>
      <c r="AB2193" s="242" t="str">
        <f t="shared" si="2"/>
        <v>#ERROR!</v>
      </c>
      <c r="AC2193" s="154" t="s">
        <v>391</v>
      </c>
      <c r="AD2193" s="242" t="b">
        <f t="shared" si="3"/>
        <v>0</v>
      </c>
      <c r="AE2193" s="154"/>
      <c r="AF2193" s="242" t="str">
        <f t="shared" si="4"/>
        <v>#ERROR!</v>
      </c>
      <c r="AG2193" s="154"/>
      <c r="AH2193" s="242" t="str">
        <f>IF(AG2193="","N/A",INDIRECT("MTR!"&amp;ADDRESS(MATCH(LEFT(AG2193,9),[1]MTR!C:C,0),COLUMN(J2193)),TRUE) &amp; "")</f>
        <v>#ERROR!</v>
      </c>
      <c r="AI2193" s="157" t="str">
        <f t="shared" si="5"/>
        <v>#ERROR!</v>
      </c>
    </row>
    <row r="2194" ht="12.75" customHeight="1">
      <c r="A2194" s="244" t="s">
        <v>5158</v>
      </c>
      <c r="B2194" s="244" t="s">
        <v>231</v>
      </c>
      <c r="C2194" s="244" t="s">
        <v>12082</v>
      </c>
      <c r="D2194" s="154" t="s">
        <v>861</v>
      </c>
      <c r="E2194" s="154"/>
      <c r="F2194" s="154" t="str">
        <f t="array" ref="F2194">XLOOKUP(Cover!$D$12,$R$1:$Z$1,$R2194:$Z2194)</f>
        <v>Mandatory</v>
      </c>
      <c r="G2194" s="154" t="s">
        <v>12083</v>
      </c>
      <c r="H2194" s="154" t="s">
        <v>9006</v>
      </c>
      <c r="I2194" s="154" t="s">
        <v>12084</v>
      </c>
      <c r="J2194" s="154" t="s">
        <v>5782</v>
      </c>
      <c r="K2194" s="154" t="s">
        <v>12081</v>
      </c>
      <c r="L2194" s="154" t="s">
        <v>6428</v>
      </c>
      <c r="M2194" s="154" t="s">
        <v>1018</v>
      </c>
      <c r="N2194" s="154" t="s">
        <v>759</v>
      </c>
      <c r="O2194" s="247" t="s">
        <v>445</v>
      </c>
      <c r="P2194" s="247" t="s">
        <v>89</v>
      </c>
      <c r="Q2194" s="154" t="str">
        <f t="shared" si="1"/>
        <v>#ERROR!</v>
      </c>
      <c r="R2194" s="154" t="s">
        <v>66</v>
      </c>
      <c r="S2194" s="154" t="s">
        <v>66</v>
      </c>
      <c r="T2194" s="155" t="s">
        <v>64</v>
      </c>
      <c r="U2194" s="155" t="s">
        <v>64</v>
      </c>
      <c r="V2194" s="154" t="s">
        <v>60</v>
      </c>
      <c r="W2194" s="154" t="s">
        <v>60</v>
      </c>
      <c r="X2194" s="154" t="s">
        <v>66</v>
      </c>
      <c r="Y2194" s="155" t="s">
        <v>64</v>
      </c>
      <c r="Z2194" s="154" t="s">
        <v>60</v>
      </c>
      <c r="AA2194" s="154"/>
      <c r="AB2194" s="242" t="str">
        <f t="shared" si="2"/>
        <v>#ERROR!</v>
      </c>
      <c r="AC2194" s="154" t="s">
        <v>391</v>
      </c>
      <c r="AD2194" s="242" t="b">
        <f t="shared" si="3"/>
        <v>0</v>
      </c>
      <c r="AE2194" s="154"/>
      <c r="AF2194" s="242" t="str">
        <f t="shared" si="4"/>
        <v>#ERROR!</v>
      </c>
      <c r="AG2194" s="154"/>
      <c r="AH2194" s="242" t="str">
        <f>IF(AG2194="","N/A",INDIRECT("MTR!"&amp;ADDRESS(MATCH(LEFT(AG2194,9),[1]MTR!C:C,0),COLUMN(J2194)),TRUE) &amp; "")</f>
        <v>#ERROR!</v>
      </c>
      <c r="AI2194" s="157" t="str">
        <f t="shared" si="5"/>
        <v>#ERROR!</v>
      </c>
    </row>
    <row r="2195" ht="12.75" customHeight="1">
      <c r="A2195" s="244" t="s">
        <v>5158</v>
      </c>
      <c r="B2195" s="244" t="s">
        <v>231</v>
      </c>
      <c r="C2195" s="244" t="s">
        <v>12085</v>
      </c>
      <c r="D2195" s="154" t="s">
        <v>45</v>
      </c>
      <c r="E2195" s="154"/>
      <c r="F2195" s="154" t="str">
        <f t="array" ref="F2195">XLOOKUP(Cover!$D$12,$R$1:$Z$1,$R2195:$Z2195)</f>
        <v>Recommended</v>
      </c>
      <c r="G2195" s="154" t="s">
        <v>12086</v>
      </c>
      <c r="H2195" s="154" t="s">
        <v>9009</v>
      </c>
      <c r="I2195" s="154" t="s">
        <v>12087</v>
      </c>
      <c r="J2195" s="154" t="s">
        <v>5830</v>
      </c>
      <c r="K2195" s="154" t="s">
        <v>12081</v>
      </c>
      <c r="L2195" s="154" t="s">
        <v>6655</v>
      </c>
      <c r="M2195" s="154"/>
      <c r="N2195" s="154" t="s">
        <v>759</v>
      </c>
      <c r="O2195" s="247" t="s">
        <v>516</v>
      </c>
      <c r="P2195" s="247" t="s">
        <v>5876</v>
      </c>
      <c r="Q2195" s="154" t="str">
        <f t="shared" si="1"/>
        <v>#ERROR!</v>
      </c>
      <c r="R2195" s="154" t="s">
        <v>66</v>
      </c>
      <c r="S2195" s="154" t="s">
        <v>66</v>
      </c>
      <c r="T2195" s="154" t="s">
        <v>64</v>
      </c>
      <c r="U2195" s="154" t="s">
        <v>64</v>
      </c>
      <c r="V2195" s="154" t="s">
        <v>64</v>
      </c>
      <c r="W2195" s="154" t="s">
        <v>64</v>
      </c>
      <c r="X2195" s="154" t="s">
        <v>66</v>
      </c>
      <c r="Y2195" s="154" t="s">
        <v>64</v>
      </c>
      <c r="Z2195" s="154" t="s">
        <v>64</v>
      </c>
      <c r="AA2195" s="154"/>
      <c r="AB2195" s="242" t="str">
        <f t="shared" si="2"/>
        <v>#ERROR!</v>
      </c>
      <c r="AC2195" s="154" t="s">
        <v>391</v>
      </c>
      <c r="AD2195" s="242" t="b">
        <f t="shared" si="3"/>
        <v>0</v>
      </c>
      <c r="AE2195" s="154"/>
      <c r="AF2195" s="242" t="str">
        <f t="shared" si="4"/>
        <v>#ERROR!</v>
      </c>
      <c r="AG2195" s="154"/>
      <c r="AH2195" s="242" t="str">
        <f>IF(AG2195="","N/A",INDIRECT("MTR!"&amp;ADDRESS(MATCH(LEFT(AG2195,9),[1]MTR!C:C,0),COLUMN(J2195)),TRUE) &amp; "")</f>
        <v>#ERROR!</v>
      </c>
      <c r="AI2195" s="157" t="str">
        <f t="shared" si="5"/>
        <v>#ERROR!</v>
      </c>
    </row>
    <row r="2196" ht="12.75" customHeight="1">
      <c r="A2196" s="244" t="s">
        <v>5158</v>
      </c>
      <c r="B2196" s="244" t="s">
        <v>231</v>
      </c>
      <c r="C2196" s="244" t="s">
        <v>12088</v>
      </c>
      <c r="D2196" s="154" t="s">
        <v>542</v>
      </c>
      <c r="E2196" s="154"/>
      <c r="F2196" s="154" t="str">
        <f t="array" ref="F2196">XLOOKUP(Cover!$D$12,$R$1:$Z$1,$R2196:$Z2196)</f>
        <v>Mandatory</v>
      </c>
      <c r="G2196" s="154" t="s">
        <v>12089</v>
      </c>
      <c r="H2196" s="154" t="s">
        <v>9015</v>
      </c>
      <c r="I2196" s="154" t="s">
        <v>12090</v>
      </c>
      <c r="J2196" s="154" t="s">
        <v>5897</v>
      </c>
      <c r="K2196" s="154" t="s">
        <v>12081</v>
      </c>
      <c r="L2196" s="154" t="s">
        <v>6064</v>
      </c>
      <c r="M2196" s="154" t="s">
        <v>1018</v>
      </c>
      <c r="N2196" s="154" t="s">
        <v>759</v>
      </c>
      <c r="O2196" s="247" t="s">
        <v>445</v>
      </c>
      <c r="P2196" s="247" t="s">
        <v>89</v>
      </c>
      <c r="Q2196" s="154" t="str">
        <f t="shared" si="1"/>
        <v>#ERROR!</v>
      </c>
      <c r="R2196" s="154" t="s">
        <v>66</v>
      </c>
      <c r="S2196" s="154" t="s">
        <v>66</v>
      </c>
      <c r="T2196" s="155" t="s">
        <v>64</v>
      </c>
      <c r="U2196" s="155" t="s">
        <v>64</v>
      </c>
      <c r="V2196" s="154" t="s">
        <v>60</v>
      </c>
      <c r="W2196" s="154" t="s">
        <v>60</v>
      </c>
      <c r="X2196" s="154" t="s">
        <v>66</v>
      </c>
      <c r="Y2196" s="155" t="s">
        <v>64</v>
      </c>
      <c r="Z2196" s="154" t="s">
        <v>60</v>
      </c>
      <c r="AA2196" s="154"/>
      <c r="AB2196" s="242" t="str">
        <f t="shared" si="2"/>
        <v>#ERROR!</v>
      </c>
      <c r="AC2196" s="154" t="s">
        <v>391</v>
      </c>
      <c r="AD2196" s="242" t="b">
        <f t="shared" si="3"/>
        <v>0</v>
      </c>
      <c r="AE2196" s="154"/>
      <c r="AF2196" s="242" t="str">
        <f t="shared" si="4"/>
        <v>#ERROR!</v>
      </c>
      <c r="AG2196" s="154"/>
      <c r="AH2196" s="242" t="str">
        <f>IF(AG2196="","N/A",INDIRECT("MTR!"&amp;ADDRESS(MATCH(LEFT(AG2196,9),[1]MTR!C:C,0),COLUMN(J2196)),TRUE) &amp; "")</f>
        <v>#ERROR!</v>
      </c>
      <c r="AI2196" s="157" t="str">
        <f t="shared" si="5"/>
        <v>#ERROR!</v>
      </c>
    </row>
    <row r="2197" ht="12.75" customHeight="1">
      <c r="A2197" s="244" t="s">
        <v>5158</v>
      </c>
      <c r="B2197" s="244" t="s">
        <v>231</v>
      </c>
      <c r="C2197" s="244" t="s">
        <v>12091</v>
      </c>
      <c r="D2197" s="154" t="s">
        <v>503</v>
      </c>
      <c r="E2197" s="154"/>
      <c r="F2197" s="154" t="str">
        <f t="array" ref="F2197">XLOOKUP(Cover!$D$12,$R$1:$Z$1,$R2197:$Z2197)</f>
        <v>Mandatory</v>
      </c>
      <c r="G2197" s="154" t="s">
        <v>12092</v>
      </c>
      <c r="H2197" s="154" t="s">
        <v>9002</v>
      </c>
      <c r="I2197" s="154" t="s">
        <v>12093</v>
      </c>
      <c r="J2197" s="154" t="s">
        <v>6791</v>
      </c>
      <c r="K2197" s="154" t="s">
        <v>12081</v>
      </c>
      <c r="L2197" s="154" t="s">
        <v>6463</v>
      </c>
      <c r="M2197" s="154" t="s">
        <v>175</v>
      </c>
      <c r="N2197" s="154" t="s">
        <v>759</v>
      </c>
      <c r="O2197" s="247" t="s">
        <v>516</v>
      </c>
      <c r="P2197" s="247" t="s">
        <v>6776</v>
      </c>
      <c r="Q2197" s="154" t="str">
        <f t="shared" si="1"/>
        <v>#ERROR!</v>
      </c>
      <c r="R2197" s="154" t="s">
        <v>66</v>
      </c>
      <c r="S2197" s="154" t="s">
        <v>66</v>
      </c>
      <c r="T2197" s="155" t="s">
        <v>64</v>
      </c>
      <c r="U2197" s="155" t="s">
        <v>64</v>
      </c>
      <c r="V2197" s="154" t="s">
        <v>60</v>
      </c>
      <c r="W2197" s="154" t="s">
        <v>60</v>
      </c>
      <c r="X2197" s="154" t="s">
        <v>66</v>
      </c>
      <c r="Y2197" s="155" t="s">
        <v>64</v>
      </c>
      <c r="Z2197" s="154" t="s">
        <v>60</v>
      </c>
      <c r="AA2197" s="154"/>
      <c r="AB2197" s="242" t="str">
        <f t="shared" si="2"/>
        <v>#ERROR!</v>
      </c>
      <c r="AC2197" s="154" t="s">
        <v>391</v>
      </c>
      <c r="AD2197" s="242" t="b">
        <f t="shared" si="3"/>
        <v>0</v>
      </c>
      <c r="AE2197" s="154"/>
      <c r="AF2197" s="242" t="str">
        <f t="shared" si="4"/>
        <v>#ERROR!</v>
      </c>
      <c r="AG2197" s="154"/>
      <c r="AH2197" s="242" t="str">
        <f>IF(AG2197="","N/A",INDIRECT("MTR!"&amp;ADDRESS(MATCH(LEFT(AG2197,9),[1]MTR!C:C,0),COLUMN(J2197)),TRUE) &amp; "")</f>
        <v>#ERROR!</v>
      </c>
      <c r="AI2197" s="157" t="str">
        <f t="shared" si="5"/>
        <v>#ERROR!</v>
      </c>
    </row>
    <row r="2198" ht="12.75" customHeight="1">
      <c r="A2198" s="244" t="s">
        <v>5158</v>
      </c>
      <c r="B2198" s="244" t="s">
        <v>231</v>
      </c>
      <c r="C2198" s="244" t="s">
        <v>12094</v>
      </c>
      <c r="D2198" s="154" t="s">
        <v>503</v>
      </c>
      <c r="E2198" s="154"/>
      <c r="F2198" s="154" t="str">
        <f t="array" ref="F2198">XLOOKUP(Cover!$D$12,$R$1:$Z$1,$R2198:$Z2198)</f>
        <v>Mandatory</v>
      </c>
      <c r="G2198" s="154" t="s">
        <v>12095</v>
      </c>
      <c r="H2198" s="154" t="s">
        <v>9006</v>
      </c>
      <c r="I2198" s="154" t="s">
        <v>12093</v>
      </c>
      <c r="J2198" s="154" t="s">
        <v>6791</v>
      </c>
      <c r="K2198" s="154" t="s">
        <v>12081</v>
      </c>
      <c r="L2198" s="154" t="s">
        <v>6463</v>
      </c>
      <c r="M2198" s="154" t="s">
        <v>175</v>
      </c>
      <c r="N2198" s="154" t="s">
        <v>759</v>
      </c>
      <c r="O2198" s="247" t="s">
        <v>516</v>
      </c>
      <c r="P2198" s="247" t="s">
        <v>6776</v>
      </c>
      <c r="Q2198" s="154" t="str">
        <f t="shared" si="1"/>
        <v>#ERROR!</v>
      </c>
      <c r="R2198" s="154" t="s">
        <v>66</v>
      </c>
      <c r="S2198" s="154" t="s">
        <v>66</v>
      </c>
      <c r="T2198" s="155" t="s">
        <v>64</v>
      </c>
      <c r="U2198" s="155" t="s">
        <v>64</v>
      </c>
      <c r="V2198" s="154" t="s">
        <v>60</v>
      </c>
      <c r="W2198" s="154" t="s">
        <v>60</v>
      </c>
      <c r="X2198" s="154" t="s">
        <v>66</v>
      </c>
      <c r="Y2198" s="155" t="s">
        <v>64</v>
      </c>
      <c r="Z2198" s="154" t="s">
        <v>60</v>
      </c>
      <c r="AA2198" s="154"/>
      <c r="AB2198" s="242" t="str">
        <f t="shared" si="2"/>
        <v>#ERROR!</v>
      </c>
      <c r="AC2198" s="154" t="s">
        <v>391</v>
      </c>
      <c r="AD2198" s="242" t="b">
        <f t="shared" si="3"/>
        <v>0</v>
      </c>
      <c r="AE2198" s="154"/>
      <c r="AF2198" s="242" t="str">
        <f t="shared" si="4"/>
        <v>#ERROR!</v>
      </c>
      <c r="AG2198" s="154"/>
      <c r="AH2198" s="242" t="str">
        <f>IF(AG2198="","N/A",INDIRECT("MTR!"&amp;ADDRESS(MATCH(LEFT(AG2198,9),[1]MTR!C:C,0),COLUMN(J2198)),TRUE) &amp; "")</f>
        <v>#ERROR!</v>
      </c>
      <c r="AI2198" s="157" t="str">
        <f t="shared" si="5"/>
        <v>#ERROR!</v>
      </c>
    </row>
    <row r="2199" ht="12.75" customHeight="1">
      <c r="A2199" s="244" t="s">
        <v>5158</v>
      </c>
      <c r="B2199" s="244" t="s">
        <v>231</v>
      </c>
      <c r="C2199" s="244" t="s">
        <v>12096</v>
      </c>
      <c r="D2199" s="154" t="s">
        <v>503</v>
      </c>
      <c r="E2199" s="154"/>
      <c r="F2199" s="154" t="str">
        <f t="array" ref="F2199">XLOOKUP(Cover!$D$12,$R$1:$Z$1,$R2199:$Z2199)</f>
        <v>Mandatory</v>
      </c>
      <c r="G2199" s="154" t="s">
        <v>12097</v>
      </c>
      <c r="H2199" s="154" t="s">
        <v>9002</v>
      </c>
      <c r="I2199" s="154" t="s">
        <v>12098</v>
      </c>
      <c r="J2199" s="154" t="s">
        <v>6797</v>
      </c>
      <c r="K2199" s="154" t="s">
        <v>12081</v>
      </c>
      <c r="L2199" s="154" t="s">
        <v>6463</v>
      </c>
      <c r="M2199" s="154" t="s">
        <v>175</v>
      </c>
      <c r="N2199" s="154" t="s">
        <v>759</v>
      </c>
      <c r="O2199" s="247" t="s">
        <v>516</v>
      </c>
      <c r="P2199" s="247" t="s">
        <v>6776</v>
      </c>
      <c r="Q2199" s="154" t="str">
        <f t="shared" si="1"/>
        <v>#ERROR!</v>
      </c>
      <c r="R2199" s="154" t="s">
        <v>66</v>
      </c>
      <c r="S2199" s="154" t="s">
        <v>66</v>
      </c>
      <c r="T2199" s="155" t="s">
        <v>64</v>
      </c>
      <c r="U2199" s="155" t="s">
        <v>64</v>
      </c>
      <c r="V2199" s="154" t="s">
        <v>60</v>
      </c>
      <c r="W2199" s="154" t="s">
        <v>60</v>
      </c>
      <c r="X2199" s="154" t="s">
        <v>66</v>
      </c>
      <c r="Y2199" s="155" t="s">
        <v>64</v>
      </c>
      <c r="Z2199" s="154" t="s">
        <v>60</v>
      </c>
      <c r="AA2199" s="154"/>
      <c r="AB2199" s="242" t="str">
        <f t="shared" si="2"/>
        <v>#ERROR!</v>
      </c>
      <c r="AC2199" s="154" t="s">
        <v>391</v>
      </c>
      <c r="AD2199" s="242" t="b">
        <f t="shared" si="3"/>
        <v>0</v>
      </c>
      <c r="AE2199" s="154"/>
      <c r="AF2199" s="242" t="str">
        <f t="shared" si="4"/>
        <v>#ERROR!</v>
      </c>
      <c r="AG2199" s="154"/>
      <c r="AH2199" s="242" t="str">
        <f>IF(AG2199="","N/A",INDIRECT("MTR!"&amp;ADDRESS(MATCH(LEFT(AG2199,9),[1]MTR!C:C,0),COLUMN(J2199)),TRUE) &amp; "")</f>
        <v>#ERROR!</v>
      </c>
      <c r="AI2199" s="157" t="str">
        <f t="shared" si="5"/>
        <v>#ERROR!</v>
      </c>
    </row>
    <row r="2200" ht="12.75" customHeight="1">
      <c r="A2200" s="244" t="s">
        <v>5158</v>
      </c>
      <c r="B2200" s="244" t="s">
        <v>231</v>
      </c>
      <c r="C2200" s="244" t="s">
        <v>12099</v>
      </c>
      <c r="D2200" s="154" t="s">
        <v>503</v>
      </c>
      <c r="E2200" s="154"/>
      <c r="F2200" s="154" t="str">
        <f t="array" ref="F2200">XLOOKUP(Cover!$D$12,$R$1:$Z$1,$R2200:$Z2200)</f>
        <v>Recommended</v>
      </c>
      <c r="G2200" s="154" t="s">
        <v>12100</v>
      </c>
      <c r="H2200" s="154" t="s">
        <v>9009</v>
      </c>
      <c r="I2200" s="154" t="s">
        <v>12098</v>
      </c>
      <c r="J2200" s="154" t="s">
        <v>6797</v>
      </c>
      <c r="K2200" s="154" t="s">
        <v>12081</v>
      </c>
      <c r="L2200" s="154" t="s">
        <v>6463</v>
      </c>
      <c r="M2200" s="154"/>
      <c r="N2200" s="154" t="s">
        <v>759</v>
      </c>
      <c r="O2200" s="247" t="s">
        <v>516</v>
      </c>
      <c r="P2200" s="247" t="s">
        <v>6776</v>
      </c>
      <c r="Q2200" s="154" t="str">
        <f t="shared" si="1"/>
        <v>#ERROR!</v>
      </c>
      <c r="R2200" s="154" t="s">
        <v>66</v>
      </c>
      <c r="S2200" s="154" t="s">
        <v>66</v>
      </c>
      <c r="T2200" s="154" t="s">
        <v>64</v>
      </c>
      <c r="U2200" s="154" t="s">
        <v>64</v>
      </c>
      <c r="V2200" s="154" t="s">
        <v>64</v>
      </c>
      <c r="W2200" s="154" t="s">
        <v>64</v>
      </c>
      <c r="X2200" s="154" t="s">
        <v>66</v>
      </c>
      <c r="Y2200" s="154" t="s">
        <v>64</v>
      </c>
      <c r="Z2200" s="154" t="s">
        <v>64</v>
      </c>
      <c r="AA2200" s="154"/>
      <c r="AB2200" s="242" t="str">
        <f t="shared" si="2"/>
        <v>#ERROR!</v>
      </c>
      <c r="AC2200" s="154" t="s">
        <v>391</v>
      </c>
      <c r="AD2200" s="242" t="b">
        <f t="shared" si="3"/>
        <v>0</v>
      </c>
      <c r="AE2200" s="154"/>
      <c r="AF2200" s="242" t="str">
        <f t="shared" si="4"/>
        <v>#ERROR!</v>
      </c>
      <c r="AG2200" s="154"/>
      <c r="AH2200" s="242" t="str">
        <f>IF(AG2200="","N/A",INDIRECT("MTR!"&amp;ADDRESS(MATCH(LEFT(AG2200,9),[1]MTR!C:C,0),COLUMN(J2200)),TRUE) &amp; "")</f>
        <v>#ERROR!</v>
      </c>
      <c r="AI2200" s="157" t="str">
        <f t="shared" si="5"/>
        <v>#ERROR!</v>
      </c>
    </row>
    <row r="2201" ht="12.75" customHeight="1">
      <c r="A2201" s="244" t="s">
        <v>5158</v>
      </c>
      <c r="B2201" s="244" t="s">
        <v>231</v>
      </c>
      <c r="C2201" s="255" t="s">
        <v>12101</v>
      </c>
      <c r="D2201" s="256" t="s">
        <v>42</v>
      </c>
      <c r="E2201" s="256" t="s">
        <v>489</v>
      </c>
      <c r="F2201" s="154" t="str">
        <f t="array" ref="F2201">XLOOKUP(Cover!$D$12,$R$1:$Z$1,$R2201:$Z2201)</f>
        <v>Mandatory</v>
      </c>
      <c r="G2201" s="154" t="s">
        <v>12102</v>
      </c>
      <c r="H2201" s="154" t="s">
        <v>9006</v>
      </c>
      <c r="I2201" s="154" t="s">
        <v>12103</v>
      </c>
      <c r="J2201" s="154" t="s">
        <v>6809</v>
      </c>
      <c r="K2201" s="154" t="s">
        <v>12081</v>
      </c>
      <c r="L2201" s="154" t="s">
        <v>5931</v>
      </c>
      <c r="M2201" s="154" t="s">
        <v>175</v>
      </c>
      <c r="N2201" s="154" t="s">
        <v>759</v>
      </c>
      <c r="O2201" s="247" t="s">
        <v>516</v>
      </c>
      <c r="P2201" s="247" t="s">
        <v>6776</v>
      </c>
      <c r="Q2201" s="154" t="str">
        <f t="shared" si="1"/>
        <v>#ERROR!</v>
      </c>
      <c r="R2201" s="154" t="s">
        <v>66</v>
      </c>
      <c r="S2201" s="154" t="s">
        <v>66</v>
      </c>
      <c r="T2201" s="155" t="s">
        <v>64</v>
      </c>
      <c r="U2201" s="155" t="s">
        <v>64</v>
      </c>
      <c r="V2201" s="154" t="s">
        <v>60</v>
      </c>
      <c r="W2201" s="154" t="s">
        <v>60</v>
      </c>
      <c r="X2201" s="154" t="s">
        <v>66</v>
      </c>
      <c r="Y2201" s="155" t="s">
        <v>64</v>
      </c>
      <c r="Z2201" s="154" t="s">
        <v>60</v>
      </c>
      <c r="AA2201" s="154"/>
      <c r="AB2201" s="242" t="str">
        <f t="shared" si="2"/>
        <v>#ERROR!</v>
      </c>
      <c r="AC2201" s="154" t="s">
        <v>391</v>
      </c>
      <c r="AD2201" s="242" t="b">
        <f t="shared" si="3"/>
        <v>0</v>
      </c>
      <c r="AE2201" s="154"/>
      <c r="AF2201" s="242" t="str">
        <f t="shared" si="4"/>
        <v>#ERROR!</v>
      </c>
      <c r="AG2201" s="154"/>
      <c r="AH2201" s="242" t="str">
        <f>IF(AG2201="","N/A",INDIRECT("MTR!"&amp;ADDRESS(MATCH(LEFT(AG2201,9),[1]MTR!C:C,0),COLUMN(J2201)),TRUE) &amp; "")</f>
        <v>#ERROR!</v>
      </c>
      <c r="AI2201" s="157" t="str">
        <f t="shared" si="5"/>
        <v>#ERROR!</v>
      </c>
    </row>
    <row r="2202" ht="12.75" customHeight="1">
      <c r="A2202" s="244" t="s">
        <v>5158</v>
      </c>
      <c r="B2202" s="244" t="s">
        <v>231</v>
      </c>
      <c r="C2202" s="255" t="s">
        <v>12104</v>
      </c>
      <c r="D2202" s="256" t="s">
        <v>42</v>
      </c>
      <c r="E2202" s="256" t="s">
        <v>489</v>
      </c>
      <c r="F2202" s="154" t="str">
        <f t="array" ref="F2202">XLOOKUP(Cover!$D$12,$R$1:$Z$1,$R2202:$Z2202)</f>
        <v>Mandatory</v>
      </c>
      <c r="G2202" s="154" t="s">
        <v>12105</v>
      </c>
      <c r="H2202" s="154" t="s">
        <v>9053</v>
      </c>
      <c r="I2202" s="154" t="s">
        <v>12103</v>
      </c>
      <c r="J2202" s="154" t="s">
        <v>6809</v>
      </c>
      <c r="K2202" s="154" t="s">
        <v>12081</v>
      </c>
      <c r="L2202" s="154" t="s">
        <v>5931</v>
      </c>
      <c r="M2202" s="154" t="s">
        <v>175</v>
      </c>
      <c r="N2202" s="154" t="s">
        <v>759</v>
      </c>
      <c r="O2202" s="247" t="s">
        <v>516</v>
      </c>
      <c r="P2202" s="247" t="s">
        <v>6776</v>
      </c>
      <c r="Q2202" s="154" t="str">
        <f t="shared" si="1"/>
        <v>#ERROR!</v>
      </c>
      <c r="R2202" s="154" t="s">
        <v>66</v>
      </c>
      <c r="S2202" s="154" t="s">
        <v>66</v>
      </c>
      <c r="T2202" s="155" t="s">
        <v>64</v>
      </c>
      <c r="U2202" s="155" t="s">
        <v>64</v>
      </c>
      <c r="V2202" s="154" t="s">
        <v>60</v>
      </c>
      <c r="W2202" s="154" t="s">
        <v>60</v>
      </c>
      <c r="X2202" s="154" t="s">
        <v>66</v>
      </c>
      <c r="Y2202" s="155" t="s">
        <v>64</v>
      </c>
      <c r="Z2202" s="154" t="s">
        <v>60</v>
      </c>
      <c r="AA2202" s="154"/>
      <c r="AB2202" s="242" t="str">
        <f t="shared" si="2"/>
        <v>#ERROR!</v>
      </c>
      <c r="AC2202" s="154" t="s">
        <v>391</v>
      </c>
      <c r="AD2202" s="242" t="b">
        <f t="shared" si="3"/>
        <v>0</v>
      </c>
      <c r="AE2202" s="154"/>
      <c r="AF2202" s="242" t="str">
        <f t="shared" si="4"/>
        <v>#ERROR!</v>
      </c>
      <c r="AG2202" s="154"/>
      <c r="AH2202" s="242" t="str">
        <f>IF(AG2202="","N/A",INDIRECT("MTR!"&amp;ADDRESS(MATCH(LEFT(AG2202,9),[1]MTR!C:C,0),COLUMN(J2202)),TRUE) &amp; "")</f>
        <v>#ERROR!</v>
      </c>
      <c r="AI2202" s="157" t="str">
        <f t="shared" si="5"/>
        <v>#ERROR!</v>
      </c>
    </row>
    <row r="2203" ht="12.75" customHeight="1">
      <c r="A2203" s="244" t="s">
        <v>5158</v>
      </c>
      <c r="B2203" s="244" t="s">
        <v>231</v>
      </c>
      <c r="C2203" s="244" t="s">
        <v>12106</v>
      </c>
      <c r="D2203" s="154" t="s">
        <v>503</v>
      </c>
      <c r="E2203" s="154"/>
      <c r="F2203" s="154" t="str">
        <f t="array" ref="F2203">XLOOKUP(Cover!$D$12,$R$1:$Z$1,$R2203:$Z2203)</f>
        <v>Mandatory</v>
      </c>
      <c r="G2203" s="154" t="s">
        <v>12107</v>
      </c>
      <c r="H2203" s="154" t="s">
        <v>9006</v>
      </c>
      <c r="I2203" s="154" t="s">
        <v>12108</v>
      </c>
      <c r="J2203" s="154" t="s">
        <v>6819</v>
      </c>
      <c r="K2203" s="154" t="s">
        <v>12081</v>
      </c>
      <c r="L2203" s="154" t="s">
        <v>6463</v>
      </c>
      <c r="M2203" s="154" t="s">
        <v>175</v>
      </c>
      <c r="N2203" s="154" t="s">
        <v>759</v>
      </c>
      <c r="O2203" s="247" t="s">
        <v>516</v>
      </c>
      <c r="P2203" s="247" t="s">
        <v>6776</v>
      </c>
      <c r="Q2203" s="154" t="str">
        <f t="shared" si="1"/>
        <v>#ERROR!</v>
      </c>
      <c r="R2203" s="154" t="s">
        <v>66</v>
      </c>
      <c r="S2203" s="154" t="s">
        <v>66</v>
      </c>
      <c r="T2203" s="155" t="s">
        <v>64</v>
      </c>
      <c r="U2203" s="155" t="s">
        <v>64</v>
      </c>
      <c r="V2203" s="154" t="s">
        <v>60</v>
      </c>
      <c r="W2203" s="154" t="s">
        <v>60</v>
      </c>
      <c r="X2203" s="154" t="s">
        <v>66</v>
      </c>
      <c r="Y2203" s="155" t="s">
        <v>64</v>
      </c>
      <c r="Z2203" s="154" t="s">
        <v>60</v>
      </c>
      <c r="AA2203" s="154"/>
      <c r="AB2203" s="242" t="str">
        <f t="shared" si="2"/>
        <v>#ERROR!</v>
      </c>
      <c r="AC2203" s="154" t="s">
        <v>391</v>
      </c>
      <c r="AD2203" s="242" t="b">
        <f t="shared" si="3"/>
        <v>0</v>
      </c>
      <c r="AE2203" s="154"/>
      <c r="AF2203" s="242" t="str">
        <f t="shared" si="4"/>
        <v>#ERROR!</v>
      </c>
      <c r="AG2203" s="154"/>
      <c r="AH2203" s="242" t="str">
        <f>IF(AG2203="","N/A",INDIRECT("MTR!"&amp;ADDRESS(MATCH(LEFT(AG2203,9),[1]MTR!C:C,0),COLUMN(J2203)),TRUE) &amp; "")</f>
        <v>#ERROR!</v>
      </c>
      <c r="AI2203" s="157" t="str">
        <f t="shared" si="5"/>
        <v>#ERROR!</v>
      </c>
    </row>
    <row r="2204" ht="12.75" customHeight="1">
      <c r="A2204" s="244" t="s">
        <v>5158</v>
      </c>
      <c r="B2204" s="244" t="s">
        <v>231</v>
      </c>
      <c r="C2204" s="244" t="s">
        <v>12109</v>
      </c>
      <c r="D2204" s="154" t="s">
        <v>503</v>
      </c>
      <c r="E2204" s="154"/>
      <c r="F2204" s="154" t="str">
        <f t="array" ref="F2204">XLOOKUP(Cover!$D$12,$R$1:$Z$1,$R2204:$Z2204)</f>
        <v>Recommended</v>
      </c>
      <c r="G2204" s="154" t="s">
        <v>12110</v>
      </c>
      <c r="H2204" s="154" t="s">
        <v>9009</v>
      </c>
      <c r="I2204" s="154" t="s">
        <v>12108</v>
      </c>
      <c r="J2204" s="154" t="s">
        <v>6819</v>
      </c>
      <c r="K2204" s="154" t="s">
        <v>12081</v>
      </c>
      <c r="L2204" s="154" t="s">
        <v>6463</v>
      </c>
      <c r="M2204" s="154"/>
      <c r="N2204" s="154" t="s">
        <v>759</v>
      </c>
      <c r="O2204" s="247" t="s">
        <v>516</v>
      </c>
      <c r="P2204" s="247" t="s">
        <v>6776</v>
      </c>
      <c r="Q2204" s="154" t="str">
        <f t="shared" si="1"/>
        <v>#ERROR!</v>
      </c>
      <c r="R2204" s="154" t="s">
        <v>66</v>
      </c>
      <c r="S2204" s="154" t="s">
        <v>66</v>
      </c>
      <c r="T2204" s="154" t="s">
        <v>64</v>
      </c>
      <c r="U2204" s="154" t="s">
        <v>64</v>
      </c>
      <c r="V2204" s="154" t="s">
        <v>64</v>
      </c>
      <c r="W2204" s="154" t="s">
        <v>64</v>
      </c>
      <c r="X2204" s="154" t="s">
        <v>66</v>
      </c>
      <c r="Y2204" s="154" t="s">
        <v>64</v>
      </c>
      <c r="Z2204" s="154" t="s">
        <v>64</v>
      </c>
      <c r="AA2204" s="154"/>
      <c r="AB2204" s="242" t="str">
        <f t="shared" si="2"/>
        <v>#ERROR!</v>
      </c>
      <c r="AC2204" s="154" t="s">
        <v>391</v>
      </c>
      <c r="AD2204" s="242" t="b">
        <f t="shared" si="3"/>
        <v>0</v>
      </c>
      <c r="AE2204" s="154"/>
      <c r="AF2204" s="242" t="str">
        <f t="shared" si="4"/>
        <v>#ERROR!</v>
      </c>
      <c r="AG2204" s="154"/>
      <c r="AH2204" s="242" t="str">
        <f>IF(AG2204="","N/A",INDIRECT("MTR!"&amp;ADDRESS(MATCH(LEFT(AG2204,9),[1]MTR!C:C,0),COLUMN(J2204)),TRUE) &amp; "")</f>
        <v>#ERROR!</v>
      </c>
      <c r="AI2204" s="157" t="str">
        <f t="shared" si="5"/>
        <v>#ERROR!</v>
      </c>
    </row>
    <row r="2205" ht="12.75" customHeight="1">
      <c r="A2205" s="244" t="s">
        <v>5158</v>
      </c>
      <c r="B2205" s="244" t="s">
        <v>231</v>
      </c>
      <c r="C2205" s="255" t="s">
        <v>12111</v>
      </c>
      <c r="D2205" s="256" t="s">
        <v>42</v>
      </c>
      <c r="E2205" s="256" t="s">
        <v>489</v>
      </c>
      <c r="F2205" s="154" t="str">
        <f t="array" ref="F2205">XLOOKUP(Cover!$D$12,$R$1:$Z$1,$R2205:$Z2205)</f>
        <v>Mandatory</v>
      </c>
      <c r="G2205" s="154" t="s">
        <v>12112</v>
      </c>
      <c r="H2205" s="154" t="s">
        <v>9002</v>
      </c>
      <c r="I2205" s="154" t="s">
        <v>12113</v>
      </c>
      <c r="J2205" s="154" t="s">
        <v>7963</v>
      </c>
      <c r="K2205" s="154" t="s">
        <v>12081</v>
      </c>
      <c r="L2205" s="154" t="s">
        <v>5931</v>
      </c>
      <c r="M2205" s="154" t="s">
        <v>175</v>
      </c>
      <c r="N2205" s="154" t="s">
        <v>759</v>
      </c>
      <c r="O2205" s="247" t="s">
        <v>516</v>
      </c>
      <c r="P2205" s="247" t="s">
        <v>6776</v>
      </c>
      <c r="Q2205" s="154" t="str">
        <f t="shared" si="1"/>
        <v>#ERROR!</v>
      </c>
      <c r="R2205" s="154" t="s">
        <v>66</v>
      </c>
      <c r="S2205" s="154" t="s">
        <v>66</v>
      </c>
      <c r="T2205" s="155" t="s">
        <v>64</v>
      </c>
      <c r="U2205" s="155" t="s">
        <v>64</v>
      </c>
      <c r="V2205" s="154" t="s">
        <v>60</v>
      </c>
      <c r="W2205" s="154" t="s">
        <v>60</v>
      </c>
      <c r="X2205" s="154" t="s">
        <v>66</v>
      </c>
      <c r="Y2205" s="155" t="s">
        <v>64</v>
      </c>
      <c r="Z2205" s="154" t="s">
        <v>60</v>
      </c>
      <c r="AA2205" s="154"/>
      <c r="AB2205" s="242" t="str">
        <f t="shared" si="2"/>
        <v>#ERROR!</v>
      </c>
      <c r="AC2205" s="154" t="s">
        <v>391</v>
      </c>
      <c r="AD2205" s="242" t="b">
        <f t="shared" si="3"/>
        <v>0</v>
      </c>
      <c r="AE2205" s="154"/>
      <c r="AF2205" s="242" t="str">
        <f t="shared" si="4"/>
        <v>#ERROR!</v>
      </c>
      <c r="AG2205" s="154"/>
      <c r="AH2205" s="242" t="str">
        <f>IF(AG2205="","N/A",INDIRECT("MTR!"&amp;ADDRESS(MATCH(LEFT(AG2205,9),[1]MTR!C:C,0),COLUMN(J2205)),TRUE) &amp; "")</f>
        <v>#ERROR!</v>
      </c>
      <c r="AI2205" s="157" t="str">
        <f t="shared" si="5"/>
        <v>#ERROR!</v>
      </c>
    </row>
    <row r="2206" ht="12.75" customHeight="1">
      <c r="A2206" s="244" t="s">
        <v>5158</v>
      </c>
      <c r="B2206" s="244" t="s">
        <v>231</v>
      </c>
      <c r="C2206" s="255" t="s">
        <v>12114</v>
      </c>
      <c r="D2206" s="256" t="s">
        <v>42</v>
      </c>
      <c r="E2206" s="256" t="s">
        <v>489</v>
      </c>
      <c r="F2206" s="154" t="str">
        <f t="array" ref="F2206">XLOOKUP(Cover!$D$12,$R$1:$Z$1,$R2206:$Z2206)</f>
        <v>Mandatory</v>
      </c>
      <c r="G2206" s="154" t="s">
        <v>12115</v>
      </c>
      <c r="H2206" s="154" t="s">
        <v>9006</v>
      </c>
      <c r="I2206" s="154" t="s">
        <v>12113</v>
      </c>
      <c r="J2206" s="154" t="s">
        <v>7963</v>
      </c>
      <c r="K2206" s="154" t="s">
        <v>12081</v>
      </c>
      <c r="L2206" s="154" t="s">
        <v>5931</v>
      </c>
      <c r="M2206" s="154" t="s">
        <v>175</v>
      </c>
      <c r="N2206" s="154" t="s">
        <v>759</v>
      </c>
      <c r="O2206" s="247" t="s">
        <v>516</v>
      </c>
      <c r="P2206" s="247" t="s">
        <v>6776</v>
      </c>
      <c r="Q2206" s="154" t="str">
        <f t="shared" si="1"/>
        <v>#ERROR!</v>
      </c>
      <c r="R2206" s="154" t="s">
        <v>66</v>
      </c>
      <c r="S2206" s="154" t="s">
        <v>66</v>
      </c>
      <c r="T2206" s="155" t="s">
        <v>64</v>
      </c>
      <c r="U2206" s="155" t="s">
        <v>64</v>
      </c>
      <c r="V2206" s="154" t="s">
        <v>60</v>
      </c>
      <c r="W2206" s="154" t="s">
        <v>60</v>
      </c>
      <c r="X2206" s="154" t="s">
        <v>66</v>
      </c>
      <c r="Y2206" s="155" t="s">
        <v>64</v>
      </c>
      <c r="Z2206" s="154" t="s">
        <v>60</v>
      </c>
      <c r="AA2206" s="154"/>
      <c r="AB2206" s="242" t="str">
        <f t="shared" si="2"/>
        <v>#ERROR!</v>
      </c>
      <c r="AC2206" s="154" t="s">
        <v>391</v>
      </c>
      <c r="AD2206" s="242" t="b">
        <f t="shared" si="3"/>
        <v>0</v>
      </c>
      <c r="AE2206" s="154"/>
      <c r="AF2206" s="242" t="str">
        <f t="shared" si="4"/>
        <v>#ERROR!</v>
      </c>
      <c r="AG2206" s="154"/>
      <c r="AH2206" s="242" t="str">
        <f>IF(AG2206="","N/A",INDIRECT("MTR!"&amp;ADDRESS(MATCH(LEFT(AG2206,9),[1]MTR!C:C,0),COLUMN(J2206)),TRUE) &amp; "")</f>
        <v>#ERROR!</v>
      </c>
      <c r="AI2206" s="157" t="str">
        <f t="shared" si="5"/>
        <v>#ERROR!</v>
      </c>
    </row>
    <row r="2207" ht="12.75" customHeight="1">
      <c r="A2207" s="244" t="s">
        <v>5158</v>
      </c>
      <c r="B2207" s="244" t="s">
        <v>231</v>
      </c>
      <c r="C2207" s="255" t="s">
        <v>12116</v>
      </c>
      <c r="D2207" s="256" t="s">
        <v>42</v>
      </c>
      <c r="E2207" s="256" t="s">
        <v>489</v>
      </c>
      <c r="F2207" s="154" t="str">
        <f t="array" ref="F2207">XLOOKUP(Cover!$D$12,$R$1:$Z$1,$R2207:$Z2207)</f>
        <v>Mandatory</v>
      </c>
      <c r="G2207" s="154" t="s">
        <v>12117</v>
      </c>
      <c r="H2207" s="154" t="s">
        <v>9053</v>
      </c>
      <c r="I2207" s="154" t="s">
        <v>12113</v>
      </c>
      <c r="J2207" s="154" t="s">
        <v>7963</v>
      </c>
      <c r="K2207" s="154" t="s">
        <v>12081</v>
      </c>
      <c r="L2207" s="154" t="s">
        <v>5931</v>
      </c>
      <c r="M2207" s="154" t="s">
        <v>175</v>
      </c>
      <c r="N2207" s="154" t="s">
        <v>759</v>
      </c>
      <c r="O2207" s="247" t="s">
        <v>516</v>
      </c>
      <c r="P2207" s="247" t="s">
        <v>6776</v>
      </c>
      <c r="Q2207" s="154" t="str">
        <f t="shared" si="1"/>
        <v>#ERROR!</v>
      </c>
      <c r="R2207" s="154" t="s">
        <v>66</v>
      </c>
      <c r="S2207" s="154" t="s">
        <v>66</v>
      </c>
      <c r="T2207" s="155" t="s">
        <v>64</v>
      </c>
      <c r="U2207" s="155" t="s">
        <v>64</v>
      </c>
      <c r="V2207" s="154" t="s">
        <v>60</v>
      </c>
      <c r="W2207" s="154" t="s">
        <v>60</v>
      </c>
      <c r="X2207" s="154" t="s">
        <v>66</v>
      </c>
      <c r="Y2207" s="155" t="s">
        <v>64</v>
      </c>
      <c r="Z2207" s="154" t="s">
        <v>60</v>
      </c>
      <c r="AA2207" s="154"/>
      <c r="AB2207" s="242" t="str">
        <f t="shared" si="2"/>
        <v>#ERROR!</v>
      </c>
      <c r="AC2207" s="154" t="s">
        <v>391</v>
      </c>
      <c r="AD2207" s="242" t="b">
        <f t="shared" si="3"/>
        <v>0</v>
      </c>
      <c r="AE2207" s="154"/>
      <c r="AF2207" s="242" t="str">
        <f t="shared" si="4"/>
        <v>#ERROR!</v>
      </c>
      <c r="AG2207" s="154"/>
      <c r="AH2207" s="242" t="str">
        <f>IF(AG2207="","N/A",INDIRECT("MTR!"&amp;ADDRESS(MATCH(LEFT(AG2207,9),[1]MTR!C:C,0),COLUMN(J2207)),TRUE) &amp; "")</f>
        <v>#ERROR!</v>
      </c>
      <c r="AI2207" s="157" t="str">
        <f t="shared" si="5"/>
        <v>#ERROR!</v>
      </c>
    </row>
    <row r="2208" ht="12.75" customHeight="1">
      <c r="A2208" s="244" t="s">
        <v>5158</v>
      </c>
      <c r="B2208" s="244" t="s">
        <v>231</v>
      </c>
      <c r="C2208" s="244" t="s">
        <v>12118</v>
      </c>
      <c r="D2208" s="154" t="s">
        <v>503</v>
      </c>
      <c r="E2208" s="154"/>
      <c r="F2208" s="154" t="str">
        <f t="array" ref="F2208">XLOOKUP(Cover!$D$12,$R$1:$Z$1,$R2208:$Z2208)</f>
        <v>Mandatory</v>
      </c>
      <c r="G2208" s="154" t="s">
        <v>12119</v>
      </c>
      <c r="H2208" s="154" t="s">
        <v>9002</v>
      </c>
      <c r="I2208" s="154" t="s">
        <v>12120</v>
      </c>
      <c r="J2208" s="154" t="s">
        <v>6911</v>
      </c>
      <c r="K2208" s="154" t="s">
        <v>12081</v>
      </c>
      <c r="L2208" s="154" t="s">
        <v>6463</v>
      </c>
      <c r="M2208" s="154" t="s">
        <v>175</v>
      </c>
      <c r="N2208" s="154" t="s">
        <v>759</v>
      </c>
      <c r="O2208" s="247" t="s">
        <v>516</v>
      </c>
      <c r="P2208" s="247" t="s">
        <v>6776</v>
      </c>
      <c r="Q2208" s="154" t="str">
        <f t="shared" si="1"/>
        <v>#ERROR!</v>
      </c>
      <c r="R2208" s="154" t="s">
        <v>66</v>
      </c>
      <c r="S2208" s="154" t="s">
        <v>66</v>
      </c>
      <c r="T2208" s="155" t="s">
        <v>64</v>
      </c>
      <c r="U2208" s="155" t="s">
        <v>64</v>
      </c>
      <c r="V2208" s="154" t="s">
        <v>60</v>
      </c>
      <c r="W2208" s="154" t="s">
        <v>60</v>
      </c>
      <c r="X2208" s="154" t="s">
        <v>66</v>
      </c>
      <c r="Y2208" s="155" t="s">
        <v>64</v>
      </c>
      <c r="Z2208" s="154" t="s">
        <v>60</v>
      </c>
      <c r="AA2208" s="154"/>
      <c r="AB2208" s="242" t="str">
        <f t="shared" si="2"/>
        <v>#ERROR!</v>
      </c>
      <c r="AC2208" s="154" t="s">
        <v>391</v>
      </c>
      <c r="AD2208" s="242" t="b">
        <f t="shared" si="3"/>
        <v>0</v>
      </c>
      <c r="AE2208" s="154"/>
      <c r="AF2208" s="242" t="str">
        <f t="shared" si="4"/>
        <v>#ERROR!</v>
      </c>
      <c r="AG2208" s="154"/>
      <c r="AH2208" s="242" t="str">
        <f>IF(AG2208="","N/A",INDIRECT("MTR!"&amp;ADDRESS(MATCH(LEFT(AG2208,9),[1]MTR!C:C,0),COLUMN(J2208)),TRUE) &amp; "")</f>
        <v>#ERROR!</v>
      </c>
      <c r="AI2208" s="157" t="str">
        <f t="shared" si="5"/>
        <v>#ERROR!</v>
      </c>
    </row>
    <row r="2209" ht="12.75" customHeight="1">
      <c r="A2209" s="244" t="s">
        <v>5158</v>
      </c>
      <c r="B2209" s="244" t="s">
        <v>231</v>
      </c>
      <c r="C2209" s="244" t="s">
        <v>12121</v>
      </c>
      <c r="D2209" s="154" t="s">
        <v>503</v>
      </c>
      <c r="E2209" s="154"/>
      <c r="F2209" s="154" t="str">
        <f t="array" ref="F2209">XLOOKUP(Cover!$D$12,$R$1:$Z$1,$R2209:$Z2209)</f>
        <v>Mandatory</v>
      </c>
      <c r="G2209" s="154" t="s">
        <v>12122</v>
      </c>
      <c r="H2209" s="154" t="s">
        <v>9006</v>
      </c>
      <c r="I2209" s="154" t="s">
        <v>12120</v>
      </c>
      <c r="J2209" s="154" t="s">
        <v>6911</v>
      </c>
      <c r="K2209" s="154" t="s">
        <v>12081</v>
      </c>
      <c r="L2209" s="154" t="s">
        <v>6463</v>
      </c>
      <c r="M2209" s="154" t="s">
        <v>175</v>
      </c>
      <c r="N2209" s="154" t="s">
        <v>759</v>
      </c>
      <c r="O2209" s="247" t="s">
        <v>516</v>
      </c>
      <c r="P2209" s="247" t="s">
        <v>6776</v>
      </c>
      <c r="Q2209" s="154" t="str">
        <f t="shared" si="1"/>
        <v>#ERROR!</v>
      </c>
      <c r="R2209" s="154" t="s">
        <v>66</v>
      </c>
      <c r="S2209" s="154" t="s">
        <v>66</v>
      </c>
      <c r="T2209" s="155" t="s">
        <v>64</v>
      </c>
      <c r="U2209" s="155" t="s">
        <v>64</v>
      </c>
      <c r="V2209" s="154" t="s">
        <v>60</v>
      </c>
      <c r="W2209" s="154" t="s">
        <v>60</v>
      </c>
      <c r="X2209" s="154" t="s">
        <v>66</v>
      </c>
      <c r="Y2209" s="155" t="s">
        <v>64</v>
      </c>
      <c r="Z2209" s="154" t="s">
        <v>60</v>
      </c>
      <c r="AA2209" s="154"/>
      <c r="AB2209" s="242" t="str">
        <f t="shared" si="2"/>
        <v>#ERROR!</v>
      </c>
      <c r="AC2209" s="154" t="s">
        <v>391</v>
      </c>
      <c r="AD2209" s="242" t="b">
        <f t="shared" si="3"/>
        <v>0</v>
      </c>
      <c r="AE2209" s="154"/>
      <c r="AF2209" s="242" t="str">
        <f t="shared" si="4"/>
        <v>#ERROR!</v>
      </c>
      <c r="AG2209" s="154"/>
      <c r="AH2209" s="242" t="str">
        <f>IF(AG2209="","N/A",INDIRECT("MTR!"&amp;ADDRESS(MATCH(LEFT(AG2209,9),[1]MTR!C:C,0),COLUMN(J2209)),TRUE) &amp; "")</f>
        <v>#ERROR!</v>
      </c>
      <c r="AI2209" s="157" t="str">
        <f t="shared" si="5"/>
        <v>#ERROR!</v>
      </c>
    </row>
    <row r="2210" ht="12.75" customHeight="1">
      <c r="A2210" s="244" t="s">
        <v>5158</v>
      </c>
      <c r="B2210" s="244" t="s">
        <v>231</v>
      </c>
      <c r="C2210" s="244" t="s">
        <v>12123</v>
      </c>
      <c r="D2210" s="154" t="s">
        <v>503</v>
      </c>
      <c r="E2210" s="154"/>
      <c r="F2210" s="154" t="str">
        <f t="array" ref="F2210">XLOOKUP(Cover!$D$12,$R$1:$Z$1,$R2210:$Z2210)</f>
        <v>Recommended</v>
      </c>
      <c r="G2210" s="154" t="s">
        <v>12124</v>
      </c>
      <c r="H2210" s="154" t="s">
        <v>9009</v>
      </c>
      <c r="I2210" s="154" t="s">
        <v>12120</v>
      </c>
      <c r="J2210" s="154" t="s">
        <v>6911</v>
      </c>
      <c r="K2210" s="154" t="s">
        <v>12081</v>
      </c>
      <c r="L2210" s="154" t="s">
        <v>6463</v>
      </c>
      <c r="M2210" s="154"/>
      <c r="N2210" s="154" t="s">
        <v>759</v>
      </c>
      <c r="O2210" s="247" t="s">
        <v>516</v>
      </c>
      <c r="P2210" s="247" t="s">
        <v>6776</v>
      </c>
      <c r="Q2210" s="154" t="str">
        <f t="shared" si="1"/>
        <v>#ERROR!</v>
      </c>
      <c r="R2210" s="154" t="s">
        <v>66</v>
      </c>
      <c r="S2210" s="154" t="s">
        <v>66</v>
      </c>
      <c r="T2210" s="154" t="s">
        <v>64</v>
      </c>
      <c r="U2210" s="154" t="s">
        <v>64</v>
      </c>
      <c r="V2210" s="154" t="s">
        <v>64</v>
      </c>
      <c r="W2210" s="154" t="s">
        <v>64</v>
      </c>
      <c r="X2210" s="154" t="s">
        <v>66</v>
      </c>
      <c r="Y2210" s="154" t="s">
        <v>64</v>
      </c>
      <c r="Z2210" s="154" t="s">
        <v>64</v>
      </c>
      <c r="AA2210" s="154"/>
      <c r="AB2210" s="242" t="str">
        <f t="shared" si="2"/>
        <v>#ERROR!</v>
      </c>
      <c r="AC2210" s="154" t="s">
        <v>391</v>
      </c>
      <c r="AD2210" s="242" t="b">
        <f t="shared" si="3"/>
        <v>0</v>
      </c>
      <c r="AE2210" s="154"/>
      <c r="AF2210" s="242" t="str">
        <f t="shared" si="4"/>
        <v>#ERROR!</v>
      </c>
      <c r="AG2210" s="154"/>
      <c r="AH2210" s="242" t="str">
        <f>IF(AG2210="","N/A",INDIRECT("MTR!"&amp;ADDRESS(MATCH(LEFT(AG2210,9),[1]MTR!C:C,0),COLUMN(J2210)),TRUE) &amp; "")</f>
        <v>#ERROR!</v>
      </c>
      <c r="AI2210" s="157" t="str">
        <f t="shared" si="5"/>
        <v>#ERROR!</v>
      </c>
    </row>
    <row r="2211" ht="12.75" customHeight="1">
      <c r="A2211" s="244" t="s">
        <v>5158</v>
      </c>
      <c r="B2211" s="244" t="s">
        <v>231</v>
      </c>
      <c r="C2211" s="255" t="s">
        <v>12125</v>
      </c>
      <c r="D2211" s="256" t="s">
        <v>42</v>
      </c>
      <c r="E2211" s="256" t="s">
        <v>489</v>
      </c>
      <c r="F2211" s="154" t="str">
        <f t="array" ref="F2211">XLOOKUP(Cover!$D$12,$R$1:$Z$1,$R2211:$Z2211)</f>
        <v>Mandatory</v>
      </c>
      <c r="G2211" s="154" t="s">
        <v>12126</v>
      </c>
      <c r="H2211" s="154" t="s">
        <v>9006</v>
      </c>
      <c r="I2211" s="154" t="s">
        <v>12127</v>
      </c>
      <c r="J2211" s="154" t="s">
        <v>6927</v>
      </c>
      <c r="K2211" s="154" t="s">
        <v>12081</v>
      </c>
      <c r="L2211" s="154" t="s">
        <v>5931</v>
      </c>
      <c r="M2211" s="154" t="s">
        <v>175</v>
      </c>
      <c r="N2211" s="154" t="s">
        <v>759</v>
      </c>
      <c r="O2211" s="247" t="s">
        <v>516</v>
      </c>
      <c r="P2211" s="247" t="s">
        <v>6776</v>
      </c>
      <c r="Q2211" s="154" t="str">
        <f t="shared" si="1"/>
        <v>#ERROR!</v>
      </c>
      <c r="R2211" s="154" t="s">
        <v>66</v>
      </c>
      <c r="S2211" s="154" t="s">
        <v>66</v>
      </c>
      <c r="T2211" s="155" t="s">
        <v>64</v>
      </c>
      <c r="U2211" s="155" t="s">
        <v>64</v>
      </c>
      <c r="V2211" s="154" t="s">
        <v>60</v>
      </c>
      <c r="W2211" s="154" t="s">
        <v>60</v>
      </c>
      <c r="X2211" s="154" t="s">
        <v>66</v>
      </c>
      <c r="Y2211" s="155" t="s">
        <v>64</v>
      </c>
      <c r="Z2211" s="154" t="s">
        <v>60</v>
      </c>
      <c r="AA2211" s="154"/>
      <c r="AB2211" s="242" t="str">
        <f t="shared" si="2"/>
        <v>#ERROR!</v>
      </c>
      <c r="AC2211" s="154" t="s">
        <v>391</v>
      </c>
      <c r="AD2211" s="242" t="b">
        <f t="shared" si="3"/>
        <v>0</v>
      </c>
      <c r="AE2211" s="154"/>
      <c r="AF2211" s="242" t="str">
        <f t="shared" si="4"/>
        <v>#ERROR!</v>
      </c>
      <c r="AG2211" s="154"/>
      <c r="AH2211" s="242" t="str">
        <f>IF(AG2211="","N/A",INDIRECT("MTR!"&amp;ADDRESS(MATCH(LEFT(AG2211,9),[1]MTR!C:C,0),COLUMN(J2211)),TRUE) &amp; "")</f>
        <v>#ERROR!</v>
      </c>
      <c r="AI2211" s="157" t="str">
        <f t="shared" si="5"/>
        <v>#ERROR!</v>
      </c>
    </row>
    <row r="2212" ht="12.75" customHeight="1">
      <c r="A2212" s="244" t="s">
        <v>5158</v>
      </c>
      <c r="B2212" s="244" t="s">
        <v>231</v>
      </c>
      <c r="C2212" s="255" t="s">
        <v>12128</v>
      </c>
      <c r="D2212" s="256" t="s">
        <v>42</v>
      </c>
      <c r="E2212" s="256" t="s">
        <v>489</v>
      </c>
      <c r="F2212" s="154" t="str">
        <f t="array" ref="F2212">XLOOKUP(Cover!$D$12,$R$1:$Z$1,$R2212:$Z2212)</f>
        <v>Mandatory</v>
      </c>
      <c r="G2212" s="154" t="s">
        <v>12129</v>
      </c>
      <c r="H2212" s="154" t="s">
        <v>9053</v>
      </c>
      <c r="I2212" s="154" t="s">
        <v>12127</v>
      </c>
      <c r="J2212" s="154" t="s">
        <v>6927</v>
      </c>
      <c r="K2212" s="154" t="s">
        <v>12081</v>
      </c>
      <c r="L2212" s="154" t="s">
        <v>5931</v>
      </c>
      <c r="M2212" s="154" t="s">
        <v>175</v>
      </c>
      <c r="N2212" s="154" t="s">
        <v>759</v>
      </c>
      <c r="O2212" s="247" t="s">
        <v>516</v>
      </c>
      <c r="P2212" s="247" t="s">
        <v>6776</v>
      </c>
      <c r="Q2212" s="154" t="str">
        <f t="shared" si="1"/>
        <v>#ERROR!</v>
      </c>
      <c r="R2212" s="154" t="s">
        <v>66</v>
      </c>
      <c r="S2212" s="154" t="s">
        <v>66</v>
      </c>
      <c r="T2212" s="155" t="s">
        <v>64</v>
      </c>
      <c r="U2212" s="155" t="s">
        <v>64</v>
      </c>
      <c r="V2212" s="154" t="s">
        <v>60</v>
      </c>
      <c r="W2212" s="154" t="s">
        <v>60</v>
      </c>
      <c r="X2212" s="154" t="s">
        <v>66</v>
      </c>
      <c r="Y2212" s="155" t="s">
        <v>64</v>
      </c>
      <c r="Z2212" s="154" t="s">
        <v>60</v>
      </c>
      <c r="AA2212" s="154"/>
      <c r="AB2212" s="242" t="str">
        <f t="shared" si="2"/>
        <v>#ERROR!</v>
      </c>
      <c r="AC2212" s="154" t="s">
        <v>391</v>
      </c>
      <c r="AD2212" s="242" t="b">
        <f t="shared" si="3"/>
        <v>0</v>
      </c>
      <c r="AE2212" s="154"/>
      <c r="AF2212" s="242" t="str">
        <f t="shared" si="4"/>
        <v>#ERROR!</v>
      </c>
      <c r="AG2212" s="154"/>
      <c r="AH2212" s="242" t="str">
        <f>IF(AG2212="","N/A",INDIRECT("MTR!"&amp;ADDRESS(MATCH(LEFT(AG2212,9),[1]MTR!C:C,0),COLUMN(J2212)),TRUE) &amp; "")</f>
        <v>#ERROR!</v>
      </c>
      <c r="AI2212" s="157" t="str">
        <f t="shared" si="5"/>
        <v>#ERROR!</v>
      </c>
    </row>
    <row r="2213" ht="12.75" customHeight="1">
      <c r="A2213" s="244" t="s">
        <v>5158</v>
      </c>
      <c r="B2213" s="244" t="s">
        <v>231</v>
      </c>
      <c r="C2213" s="255" t="s">
        <v>12130</v>
      </c>
      <c r="D2213" s="256" t="s">
        <v>42</v>
      </c>
      <c r="E2213" s="256" t="s">
        <v>489</v>
      </c>
      <c r="F2213" s="154" t="str">
        <f t="array" ref="F2213">XLOOKUP(Cover!$D$12,$R$1:$Z$1,$R2213:$Z2213)</f>
        <v>Recommended</v>
      </c>
      <c r="G2213" s="154" t="s">
        <v>12131</v>
      </c>
      <c r="H2213" s="154" t="s">
        <v>9009</v>
      </c>
      <c r="I2213" s="154" t="s">
        <v>12127</v>
      </c>
      <c r="J2213" s="154" t="s">
        <v>6927</v>
      </c>
      <c r="K2213" s="154" t="s">
        <v>12081</v>
      </c>
      <c r="L2213" s="154" t="s">
        <v>5931</v>
      </c>
      <c r="M2213" s="154"/>
      <c r="N2213" s="154" t="s">
        <v>759</v>
      </c>
      <c r="O2213" s="247" t="s">
        <v>516</v>
      </c>
      <c r="P2213" s="247" t="s">
        <v>6776</v>
      </c>
      <c r="Q2213" s="154" t="str">
        <f t="shared" si="1"/>
        <v>#ERROR!</v>
      </c>
      <c r="R2213" s="154" t="s">
        <v>66</v>
      </c>
      <c r="S2213" s="154" t="s">
        <v>66</v>
      </c>
      <c r="T2213" s="154" t="s">
        <v>64</v>
      </c>
      <c r="U2213" s="154" t="s">
        <v>64</v>
      </c>
      <c r="V2213" s="154" t="s">
        <v>64</v>
      </c>
      <c r="W2213" s="154" t="s">
        <v>64</v>
      </c>
      <c r="X2213" s="154" t="s">
        <v>66</v>
      </c>
      <c r="Y2213" s="154" t="s">
        <v>64</v>
      </c>
      <c r="Z2213" s="154" t="s">
        <v>64</v>
      </c>
      <c r="AA2213" s="154"/>
      <c r="AB2213" s="242" t="str">
        <f t="shared" si="2"/>
        <v>#ERROR!</v>
      </c>
      <c r="AC2213" s="154" t="s">
        <v>391</v>
      </c>
      <c r="AD2213" s="242" t="b">
        <f t="shared" si="3"/>
        <v>0</v>
      </c>
      <c r="AE2213" s="154"/>
      <c r="AF2213" s="242" t="str">
        <f t="shared" si="4"/>
        <v>#ERROR!</v>
      </c>
      <c r="AG2213" s="154"/>
      <c r="AH2213" s="242" t="str">
        <f>IF(AG2213="","N/A",INDIRECT("MTR!"&amp;ADDRESS(MATCH(LEFT(AG2213,9),[1]MTR!C:C,0),COLUMN(J2213)),TRUE) &amp; "")</f>
        <v>#ERROR!</v>
      </c>
      <c r="AI2213" s="157" t="str">
        <f t="shared" si="5"/>
        <v>#ERROR!</v>
      </c>
    </row>
    <row r="2214" ht="12.75" customHeight="1">
      <c r="A2214" s="244" t="s">
        <v>5158</v>
      </c>
      <c r="B2214" s="244" t="s">
        <v>231</v>
      </c>
      <c r="C2214" s="255" t="s">
        <v>12132</v>
      </c>
      <c r="D2214" s="256" t="s">
        <v>42</v>
      </c>
      <c r="E2214" s="256" t="s">
        <v>489</v>
      </c>
      <c r="F2214" s="154" t="str">
        <f t="array" ref="F2214">XLOOKUP(Cover!$D$12,$R$1:$Z$1,$R2214:$Z2214)</f>
        <v>Mandatory</v>
      </c>
      <c r="G2214" s="154" t="s">
        <v>12133</v>
      </c>
      <c r="H2214" s="154" t="s">
        <v>9002</v>
      </c>
      <c r="I2214" s="154" t="s">
        <v>12134</v>
      </c>
      <c r="J2214" s="154" t="s">
        <v>8128</v>
      </c>
      <c r="K2214" s="154" t="s">
        <v>12081</v>
      </c>
      <c r="L2214" s="154" t="s">
        <v>5931</v>
      </c>
      <c r="M2214" s="154" t="s">
        <v>175</v>
      </c>
      <c r="N2214" s="154" t="s">
        <v>759</v>
      </c>
      <c r="O2214" s="247" t="s">
        <v>516</v>
      </c>
      <c r="P2214" s="247" t="s">
        <v>6776</v>
      </c>
      <c r="Q2214" s="154" t="str">
        <f t="shared" si="1"/>
        <v>#ERROR!</v>
      </c>
      <c r="R2214" s="154" t="s">
        <v>66</v>
      </c>
      <c r="S2214" s="154" t="s">
        <v>66</v>
      </c>
      <c r="T2214" s="155" t="s">
        <v>64</v>
      </c>
      <c r="U2214" s="155" t="s">
        <v>64</v>
      </c>
      <c r="V2214" s="154" t="s">
        <v>60</v>
      </c>
      <c r="W2214" s="154" t="s">
        <v>60</v>
      </c>
      <c r="X2214" s="154" t="s">
        <v>66</v>
      </c>
      <c r="Y2214" s="155" t="s">
        <v>64</v>
      </c>
      <c r="Z2214" s="154" t="s">
        <v>60</v>
      </c>
      <c r="AA2214" s="154"/>
      <c r="AB2214" s="242" t="str">
        <f t="shared" si="2"/>
        <v>#ERROR!</v>
      </c>
      <c r="AC2214" s="154" t="s">
        <v>391</v>
      </c>
      <c r="AD2214" s="242" t="b">
        <f t="shared" si="3"/>
        <v>0</v>
      </c>
      <c r="AE2214" s="154"/>
      <c r="AF2214" s="242" t="str">
        <f t="shared" si="4"/>
        <v>#ERROR!</v>
      </c>
      <c r="AG2214" s="154"/>
      <c r="AH2214" s="242" t="str">
        <f>IF(AG2214="","N/A",INDIRECT("MTR!"&amp;ADDRESS(MATCH(LEFT(AG2214,9),[1]MTR!C:C,0),COLUMN(J2214)),TRUE) &amp; "")</f>
        <v>#ERROR!</v>
      </c>
      <c r="AI2214" s="157" t="str">
        <f t="shared" si="5"/>
        <v>#ERROR!</v>
      </c>
    </row>
    <row r="2215" ht="12.75" customHeight="1">
      <c r="A2215" s="244" t="s">
        <v>5158</v>
      </c>
      <c r="B2215" s="244" t="s">
        <v>231</v>
      </c>
      <c r="C2215" s="255" t="s">
        <v>12135</v>
      </c>
      <c r="D2215" s="256" t="s">
        <v>42</v>
      </c>
      <c r="E2215" s="256" t="s">
        <v>489</v>
      </c>
      <c r="F2215" s="154" t="str">
        <f t="array" ref="F2215">XLOOKUP(Cover!$D$12,$R$1:$Z$1,$R2215:$Z2215)</f>
        <v>Mandatory</v>
      </c>
      <c r="G2215" s="154" t="s">
        <v>12136</v>
      </c>
      <c r="H2215" s="154" t="s">
        <v>9006</v>
      </c>
      <c r="I2215" s="154" t="s">
        <v>12134</v>
      </c>
      <c r="J2215" s="154" t="s">
        <v>8128</v>
      </c>
      <c r="K2215" s="154" t="s">
        <v>12081</v>
      </c>
      <c r="L2215" s="154" t="s">
        <v>5931</v>
      </c>
      <c r="M2215" s="154" t="s">
        <v>175</v>
      </c>
      <c r="N2215" s="154" t="s">
        <v>759</v>
      </c>
      <c r="O2215" s="247" t="s">
        <v>516</v>
      </c>
      <c r="P2215" s="247" t="s">
        <v>6776</v>
      </c>
      <c r="Q2215" s="154" t="str">
        <f t="shared" si="1"/>
        <v>#ERROR!</v>
      </c>
      <c r="R2215" s="154" t="s">
        <v>66</v>
      </c>
      <c r="S2215" s="154" t="s">
        <v>66</v>
      </c>
      <c r="T2215" s="155" t="s">
        <v>64</v>
      </c>
      <c r="U2215" s="155" t="s">
        <v>64</v>
      </c>
      <c r="V2215" s="154" t="s">
        <v>60</v>
      </c>
      <c r="W2215" s="154" t="s">
        <v>60</v>
      </c>
      <c r="X2215" s="154" t="s">
        <v>66</v>
      </c>
      <c r="Y2215" s="155" t="s">
        <v>64</v>
      </c>
      <c r="Z2215" s="154" t="s">
        <v>60</v>
      </c>
      <c r="AA2215" s="154"/>
      <c r="AB2215" s="242" t="str">
        <f t="shared" si="2"/>
        <v>#ERROR!</v>
      </c>
      <c r="AC2215" s="154" t="s">
        <v>391</v>
      </c>
      <c r="AD2215" s="242" t="b">
        <f t="shared" si="3"/>
        <v>0</v>
      </c>
      <c r="AE2215" s="154"/>
      <c r="AF2215" s="242" t="str">
        <f t="shared" si="4"/>
        <v>#ERROR!</v>
      </c>
      <c r="AG2215" s="154"/>
      <c r="AH2215" s="242" t="str">
        <f>IF(AG2215="","N/A",INDIRECT("MTR!"&amp;ADDRESS(MATCH(LEFT(AG2215,9),[1]MTR!C:C,0),COLUMN(J2215)),TRUE) &amp; "")</f>
        <v>#ERROR!</v>
      </c>
      <c r="AI2215" s="157" t="str">
        <f t="shared" si="5"/>
        <v>#ERROR!</v>
      </c>
    </row>
    <row r="2216" ht="12.75" customHeight="1">
      <c r="A2216" s="244" t="s">
        <v>5158</v>
      </c>
      <c r="B2216" s="244" t="s">
        <v>231</v>
      </c>
      <c r="C2216" s="255" t="s">
        <v>12137</v>
      </c>
      <c r="D2216" s="256" t="s">
        <v>42</v>
      </c>
      <c r="E2216" s="256" t="s">
        <v>489</v>
      </c>
      <c r="F2216" s="154" t="str">
        <f t="array" ref="F2216">XLOOKUP(Cover!$D$12,$R$1:$Z$1,$R2216:$Z2216)</f>
        <v>Mandatory</v>
      </c>
      <c r="G2216" s="154" t="s">
        <v>12138</v>
      </c>
      <c r="H2216" s="154" t="s">
        <v>9053</v>
      </c>
      <c r="I2216" s="154" t="s">
        <v>12134</v>
      </c>
      <c r="J2216" s="154" t="s">
        <v>8128</v>
      </c>
      <c r="K2216" s="154" t="s">
        <v>12081</v>
      </c>
      <c r="L2216" s="154" t="s">
        <v>5931</v>
      </c>
      <c r="M2216" s="154" t="s">
        <v>175</v>
      </c>
      <c r="N2216" s="154" t="s">
        <v>759</v>
      </c>
      <c r="O2216" s="247" t="s">
        <v>516</v>
      </c>
      <c r="P2216" s="247" t="s">
        <v>6776</v>
      </c>
      <c r="Q2216" s="154" t="str">
        <f t="shared" si="1"/>
        <v>#ERROR!</v>
      </c>
      <c r="R2216" s="154" t="s">
        <v>66</v>
      </c>
      <c r="S2216" s="154" t="s">
        <v>66</v>
      </c>
      <c r="T2216" s="155" t="s">
        <v>64</v>
      </c>
      <c r="U2216" s="155" t="s">
        <v>64</v>
      </c>
      <c r="V2216" s="154" t="s">
        <v>60</v>
      </c>
      <c r="W2216" s="154" t="s">
        <v>60</v>
      </c>
      <c r="X2216" s="154" t="s">
        <v>66</v>
      </c>
      <c r="Y2216" s="155" t="s">
        <v>64</v>
      </c>
      <c r="Z2216" s="154" t="s">
        <v>60</v>
      </c>
      <c r="AA2216" s="154"/>
      <c r="AB2216" s="242" t="str">
        <f t="shared" si="2"/>
        <v>#ERROR!</v>
      </c>
      <c r="AC2216" s="154" t="s">
        <v>391</v>
      </c>
      <c r="AD2216" s="242" t="b">
        <f t="shared" si="3"/>
        <v>0</v>
      </c>
      <c r="AE2216" s="154"/>
      <c r="AF2216" s="242" t="str">
        <f t="shared" si="4"/>
        <v>#ERROR!</v>
      </c>
      <c r="AG2216" s="154"/>
      <c r="AH2216" s="242" t="str">
        <f>IF(AG2216="","N/A",INDIRECT("MTR!"&amp;ADDRESS(MATCH(LEFT(AG2216,9),[1]MTR!C:C,0),COLUMN(J2216)),TRUE) &amp; "")</f>
        <v>#ERROR!</v>
      </c>
      <c r="AI2216" s="157" t="str">
        <f t="shared" si="5"/>
        <v>#ERROR!</v>
      </c>
    </row>
    <row r="2217" ht="12.75" customHeight="1">
      <c r="A2217" s="244" t="s">
        <v>5158</v>
      </c>
      <c r="B2217" s="244" t="s">
        <v>231</v>
      </c>
      <c r="C2217" s="255" t="s">
        <v>12139</v>
      </c>
      <c r="D2217" s="256" t="s">
        <v>42</v>
      </c>
      <c r="E2217" s="256" t="s">
        <v>489</v>
      </c>
      <c r="F2217" s="154" t="str">
        <f t="array" ref="F2217">XLOOKUP(Cover!$D$12,$R$1:$Z$1,$R2217:$Z2217)</f>
        <v>Recommended</v>
      </c>
      <c r="G2217" s="154" t="s">
        <v>12140</v>
      </c>
      <c r="H2217" s="154" t="s">
        <v>9009</v>
      </c>
      <c r="I2217" s="154" t="s">
        <v>12134</v>
      </c>
      <c r="J2217" s="154" t="s">
        <v>8128</v>
      </c>
      <c r="K2217" s="154" t="s">
        <v>12081</v>
      </c>
      <c r="L2217" s="154" t="s">
        <v>5931</v>
      </c>
      <c r="M2217" s="154"/>
      <c r="N2217" s="154" t="s">
        <v>759</v>
      </c>
      <c r="O2217" s="247" t="s">
        <v>516</v>
      </c>
      <c r="P2217" s="247" t="s">
        <v>6776</v>
      </c>
      <c r="Q2217" s="154" t="str">
        <f t="shared" si="1"/>
        <v>#ERROR!</v>
      </c>
      <c r="R2217" s="154" t="s">
        <v>66</v>
      </c>
      <c r="S2217" s="154" t="s">
        <v>66</v>
      </c>
      <c r="T2217" s="154" t="s">
        <v>64</v>
      </c>
      <c r="U2217" s="154" t="s">
        <v>64</v>
      </c>
      <c r="V2217" s="154" t="s">
        <v>64</v>
      </c>
      <c r="W2217" s="154" t="s">
        <v>64</v>
      </c>
      <c r="X2217" s="154" t="s">
        <v>66</v>
      </c>
      <c r="Y2217" s="154" t="s">
        <v>64</v>
      </c>
      <c r="Z2217" s="154" t="s">
        <v>64</v>
      </c>
      <c r="AA2217" s="154"/>
      <c r="AB2217" s="242" t="str">
        <f t="shared" si="2"/>
        <v>#ERROR!</v>
      </c>
      <c r="AC2217" s="154" t="s">
        <v>391</v>
      </c>
      <c r="AD2217" s="242" t="b">
        <f t="shared" si="3"/>
        <v>0</v>
      </c>
      <c r="AE2217" s="154"/>
      <c r="AF2217" s="242" t="str">
        <f t="shared" si="4"/>
        <v>#ERROR!</v>
      </c>
      <c r="AG2217" s="154"/>
      <c r="AH2217" s="242" t="str">
        <f>IF(AG2217="","N/A",INDIRECT("MTR!"&amp;ADDRESS(MATCH(LEFT(AG2217,9),[1]MTR!C:C,0),COLUMN(J2217)),TRUE) &amp; "")</f>
        <v>#ERROR!</v>
      </c>
      <c r="AI2217" s="157" t="str">
        <f t="shared" si="5"/>
        <v>#ERROR!</v>
      </c>
    </row>
    <row r="2218" ht="12.75" customHeight="1">
      <c r="A2218" s="238" t="s">
        <v>5158</v>
      </c>
      <c r="B2218" s="238" t="s">
        <v>231</v>
      </c>
      <c r="C2218" s="238" t="s">
        <v>12141</v>
      </c>
      <c r="D2218" s="240"/>
      <c r="E2218" s="240" t="s">
        <v>92</v>
      </c>
      <c r="F2218" s="240" t="str">
        <f t="array" ref="F2218">XLOOKUP(Cover!$D$12,$R$1:$Z$1,$R2218:$Z2218)</f>
        <v>Heading</v>
      </c>
      <c r="G2218" s="239" t="s">
        <v>12142</v>
      </c>
      <c r="H2218" s="240"/>
      <c r="I2218" s="240"/>
      <c r="J2218" s="240"/>
      <c r="K2218" s="240"/>
      <c r="L2218" s="240"/>
      <c r="M2218" s="240"/>
      <c r="N2218" s="240" t="s">
        <v>759</v>
      </c>
      <c r="O2218" s="240"/>
      <c r="P2218" s="240"/>
      <c r="Q2218" s="240" t="str">
        <f t="shared" si="1"/>
        <v/>
      </c>
      <c r="R2218" s="240" t="s">
        <v>390</v>
      </c>
      <c r="S2218" s="240" t="s">
        <v>390</v>
      </c>
      <c r="T2218" s="240" t="s">
        <v>390</v>
      </c>
      <c r="U2218" s="240" t="s">
        <v>390</v>
      </c>
      <c r="V2218" s="240" t="s">
        <v>390</v>
      </c>
      <c r="W2218" s="240" t="s">
        <v>390</v>
      </c>
      <c r="X2218" s="240" t="s">
        <v>390</v>
      </c>
      <c r="Y2218" s="240" t="s">
        <v>390</v>
      </c>
      <c r="Z2218" s="240" t="s">
        <v>390</v>
      </c>
      <c r="AA2218" s="240"/>
      <c r="AB2218" s="242" t="str">
        <f t="shared" si="2"/>
        <v>#ERROR!</v>
      </c>
      <c r="AC2218" s="240" t="s">
        <v>391</v>
      </c>
      <c r="AD2218" s="242" t="b">
        <f t="shared" si="3"/>
        <v>0</v>
      </c>
      <c r="AE2218" s="240"/>
      <c r="AF2218" s="242" t="str">
        <f t="shared" si="4"/>
        <v>#ERROR!</v>
      </c>
      <c r="AG2218" s="240"/>
      <c r="AH2218" s="242" t="str">
        <f>IF(AG2218="","N/A",INDIRECT("MTR!"&amp;ADDRESS(MATCH(LEFT(AG2218,9),[1]MTR!C:C,0),COLUMN(J2218)),TRUE) &amp; "")</f>
        <v>#ERROR!</v>
      </c>
      <c r="AI2218" s="157" t="str">
        <f t="shared" si="5"/>
        <v/>
      </c>
    </row>
    <row r="2219" ht="12.75" customHeight="1">
      <c r="A2219" s="244" t="s">
        <v>5158</v>
      </c>
      <c r="B2219" s="244" t="s">
        <v>231</v>
      </c>
      <c r="C2219" s="244" t="s">
        <v>12143</v>
      </c>
      <c r="D2219" s="154" t="s">
        <v>542</v>
      </c>
      <c r="E2219" s="154"/>
      <c r="F2219" s="154" t="str">
        <f t="array" ref="F2219">XLOOKUP(Cover!$D$12,$R$1:$Z$1,$R2219:$Z2219)</f>
        <v>Mandatory</v>
      </c>
      <c r="G2219" s="154" t="s">
        <v>12144</v>
      </c>
      <c r="H2219" s="154" t="s">
        <v>9002</v>
      </c>
      <c r="I2219" s="154" t="s">
        <v>12145</v>
      </c>
      <c r="J2219" s="154" t="s">
        <v>5730</v>
      </c>
      <c r="K2219" s="154" t="s">
        <v>12146</v>
      </c>
      <c r="L2219" s="154" t="s">
        <v>6064</v>
      </c>
      <c r="M2219" s="154" t="s">
        <v>1018</v>
      </c>
      <c r="N2219" s="154" t="s">
        <v>759</v>
      </c>
      <c r="O2219" s="247" t="s">
        <v>445</v>
      </c>
      <c r="P2219" s="247" t="s">
        <v>6772</v>
      </c>
      <c r="Q2219" s="154" t="str">
        <f t="shared" si="1"/>
        <v>#ERROR!</v>
      </c>
      <c r="R2219" s="154" t="s">
        <v>66</v>
      </c>
      <c r="S2219" s="154" t="s">
        <v>66</v>
      </c>
      <c r="T2219" s="155" t="s">
        <v>64</v>
      </c>
      <c r="U2219" s="155" t="s">
        <v>64</v>
      </c>
      <c r="V2219" s="154" t="s">
        <v>60</v>
      </c>
      <c r="W2219" s="154" t="s">
        <v>60</v>
      </c>
      <c r="X2219" s="154" t="s">
        <v>66</v>
      </c>
      <c r="Y2219" s="155" t="s">
        <v>64</v>
      </c>
      <c r="Z2219" s="154" t="s">
        <v>60</v>
      </c>
      <c r="AA2219" s="154"/>
      <c r="AB2219" s="242" t="str">
        <f t="shared" si="2"/>
        <v>#ERROR!</v>
      </c>
      <c r="AC2219" s="154" t="s">
        <v>391</v>
      </c>
      <c r="AD2219" s="242" t="b">
        <f t="shared" si="3"/>
        <v>0</v>
      </c>
      <c r="AE2219" s="154"/>
      <c r="AF2219" s="242" t="str">
        <f t="shared" si="4"/>
        <v>#ERROR!</v>
      </c>
      <c r="AG2219" s="154"/>
      <c r="AH2219" s="242" t="str">
        <f>IF(AG2219="","N/A",INDIRECT("MTR!"&amp;ADDRESS(MATCH(LEFT(AG2219,9),[1]MTR!C:C,0),COLUMN(J2219)),TRUE) &amp; "")</f>
        <v>#ERROR!</v>
      </c>
      <c r="AI2219" s="157" t="str">
        <f t="shared" si="5"/>
        <v>#ERROR!</v>
      </c>
    </row>
    <row r="2220" ht="12.75" customHeight="1">
      <c r="A2220" s="244" t="s">
        <v>5158</v>
      </c>
      <c r="B2220" s="244" t="s">
        <v>231</v>
      </c>
      <c r="C2220" s="244" t="s">
        <v>12147</v>
      </c>
      <c r="D2220" s="154" t="s">
        <v>542</v>
      </c>
      <c r="E2220" s="154"/>
      <c r="F2220" s="154" t="str">
        <f t="array" ref="F2220">XLOOKUP(Cover!$D$12,$R$1:$Z$1,$R2220:$Z2220)</f>
        <v>Mandatory</v>
      </c>
      <c r="G2220" s="154" t="s">
        <v>12148</v>
      </c>
      <c r="H2220" s="154" t="s">
        <v>9006</v>
      </c>
      <c r="I2220" s="154" t="s">
        <v>12149</v>
      </c>
      <c r="J2220" s="154" t="s">
        <v>5782</v>
      </c>
      <c r="K2220" s="154" t="s">
        <v>12146</v>
      </c>
      <c r="L2220" s="154" t="s">
        <v>6064</v>
      </c>
      <c r="M2220" s="154" t="s">
        <v>1018</v>
      </c>
      <c r="N2220" s="154" t="s">
        <v>759</v>
      </c>
      <c r="O2220" s="247" t="s">
        <v>445</v>
      </c>
      <c r="P2220" s="247" t="s">
        <v>6772</v>
      </c>
      <c r="Q2220" s="154" t="str">
        <f t="shared" si="1"/>
        <v>#ERROR!</v>
      </c>
      <c r="R2220" s="154" t="s">
        <v>66</v>
      </c>
      <c r="S2220" s="154" t="s">
        <v>66</v>
      </c>
      <c r="T2220" s="155" t="s">
        <v>64</v>
      </c>
      <c r="U2220" s="155" t="s">
        <v>64</v>
      </c>
      <c r="V2220" s="154" t="s">
        <v>60</v>
      </c>
      <c r="W2220" s="154" t="s">
        <v>60</v>
      </c>
      <c r="X2220" s="154" t="s">
        <v>66</v>
      </c>
      <c r="Y2220" s="155" t="s">
        <v>64</v>
      </c>
      <c r="Z2220" s="154" t="s">
        <v>60</v>
      </c>
      <c r="AA2220" s="154"/>
      <c r="AB2220" s="242" t="str">
        <f t="shared" si="2"/>
        <v>#ERROR!</v>
      </c>
      <c r="AC2220" s="154" t="s">
        <v>391</v>
      </c>
      <c r="AD2220" s="242" t="b">
        <f t="shared" si="3"/>
        <v>0</v>
      </c>
      <c r="AE2220" s="154"/>
      <c r="AF2220" s="242" t="str">
        <f t="shared" si="4"/>
        <v>#ERROR!</v>
      </c>
      <c r="AG2220" s="154"/>
      <c r="AH2220" s="242" t="str">
        <f>IF(AG2220="","N/A",INDIRECT("MTR!"&amp;ADDRESS(MATCH(LEFT(AG2220,9),[1]MTR!C:C,0),COLUMN(J2220)),TRUE) &amp; "")</f>
        <v>#ERROR!</v>
      </c>
      <c r="AI2220" s="157" t="str">
        <f t="shared" si="5"/>
        <v>#ERROR!</v>
      </c>
    </row>
    <row r="2221" ht="12.75" customHeight="1">
      <c r="A2221" s="244" t="s">
        <v>5158</v>
      </c>
      <c r="B2221" s="244" t="s">
        <v>231</v>
      </c>
      <c r="C2221" s="244" t="s">
        <v>12150</v>
      </c>
      <c r="D2221" s="154" t="s">
        <v>861</v>
      </c>
      <c r="E2221" s="154"/>
      <c r="F2221" s="154" t="str">
        <f t="array" ref="F2221">XLOOKUP(Cover!$D$12,$R$1:$Z$1,$R2221:$Z2221)</f>
        <v>Recommended</v>
      </c>
      <c r="G2221" s="154" t="s">
        <v>12151</v>
      </c>
      <c r="H2221" s="154" t="s">
        <v>9009</v>
      </c>
      <c r="I2221" s="154" t="s">
        <v>12152</v>
      </c>
      <c r="J2221" s="154" t="s">
        <v>5830</v>
      </c>
      <c r="K2221" s="154" t="s">
        <v>12146</v>
      </c>
      <c r="L2221" s="154" t="s">
        <v>6428</v>
      </c>
      <c r="M2221" s="154"/>
      <c r="N2221" s="154" t="s">
        <v>759</v>
      </c>
      <c r="O2221" s="247" t="s">
        <v>445</v>
      </c>
      <c r="P2221" s="247" t="s">
        <v>6772</v>
      </c>
      <c r="Q2221" s="154" t="str">
        <f t="shared" si="1"/>
        <v>#ERROR!</v>
      </c>
      <c r="R2221" s="154" t="s">
        <v>66</v>
      </c>
      <c r="S2221" s="154" t="s">
        <v>66</v>
      </c>
      <c r="T2221" s="154" t="s">
        <v>64</v>
      </c>
      <c r="U2221" s="154" t="s">
        <v>64</v>
      </c>
      <c r="V2221" s="154" t="s">
        <v>64</v>
      </c>
      <c r="W2221" s="154" t="s">
        <v>64</v>
      </c>
      <c r="X2221" s="154" t="s">
        <v>66</v>
      </c>
      <c r="Y2221" s="154" t="s">
        <v>64</v>
      </c>
      <c r="Z2221" s="154" t="s">
        <v>64</v>
      </c>
      <c r="AA2221" s="154"/>
      <c r="AB2221" s="242" t="str">
        <f t="shared" si="2"/>
        <v>#ERROR!</v>
      </c>
      <c r="AC2221" s="154" t="s">
        <v>391</v>
      </c>
      <c r="AD2221" s="242" t="b">
        <f t="shared" si="3"/>
        <v>0</v>
      </c>
      <c r="AE2221" s="154"/>
      <c r="AF2221" s="242" t="str">
        <f t="shared" si="4"/>
        <v>#ERROR!</v>
      </c>
      <c r="AG2221" s="154"/>
      <c r="AH2221" s="242" t="str">
        <f>IF(AG2221="","N/A",INDIRECT("MTR!"&amp;ADDRESS(MATCH(LEFT(AG2221,9),[1]MTR!C:C,0),COLUMN(J2221)),TRUE) &amp; "")</f>
        <v>#ERROR!</v>
      </c>
      <c r="AI2221" s="157" t="str">
        <f t="shared" si="5"/>
        <v>#ERROR!</v>
      </c>
    </row>
    <row r="2222" ht="12.75" customHeight="1">
      <c r="A2222" s="244" t="s">
        <v>5158</v>
      </c>
      <c r="B2222" s="244" t="s">
        <v>231</v>
      </c>
      <c r="C2222" s="244" t="s">
        <v>12153</v>
      </c>
      <c r="D2222" s="154" t="s">
        <v>1315</v>
      </c>
      <c r="E2222" s="154"/>
      <c r="F2222" s="154" t="str">
        <f t="array" ref="F2222">XLOOKUP(Cover!$D$12,$R$1:$Z$1,$R2222:$Z2222)</f>
        <v>Mandatory</v>
      </c>
      <c r="G2222" s="154" t="s">
        <v>12154</v>
      </c>
      <c r="H2222" s="154" t="s">
        <v>9015</v>
      </c>
      <c r="I2222" s="154" t="s">
        <v>12155</v>
      </c>
      <c r="J2222" s="154" t="s">
        <v>5897</v>
      </c>
      <c r="K2222" s="154" t="s">
        <v>12146</v>
      </c>
      <c r="L2222" s="154" t="s">
        <v>6884</v>
      </c>
      <c r="M2222" s="154" t="s">
        <v>1018</v>
      </c>
      <c r="N2222" s="154" t="s">
        <v>759</v>
      </c>
      <c r="O2222" s="247" t="s">
        <v>445</v>
      </c>
      <c r="P2222" s="247" t="s">
        <v>6772</v>
      </c>
      <c r="Q2222" s="154" t="str">
        <f t="shared" si="1"/>
        <v>#ERROR!</v>
      </c>
      <c r="R2222" s="154" t="s">
        <v>66</v>
      </c>
      <c r="S2222" s="154" t="s">
        <v>66</v>
      </c>
      <c r="T2222" s="155" t="s">
        <v>64</v>
      </c>
      <c r="U2222" s="155" t="s">
        <v>64</v>
      </c>
      <c r="V2222" s="154" t="s">
        <v>60</v>
      </c>
      <c r="W2222" s="154" t="s">
        <v>60</v>
      </c>
      <c r="X2222" s="154" t="s">
        <v>66</v>
      </c>
      <c r="Y2222" s="155" t="s">
        <v>64</v>
      </c>
      <c r="Z2222" s="154" t="s">
        <v>60</v>
      </c>
      <c r="AA2222" s="154"/>
      <c r="AB2222" s="242" t="str">
        <f t="shared" si="2"/>
        <v>#ERROR!</v>
      </c>
      <c r="AC2222" s="154" t="s">
        <v>391</v>
      </c>
      <c r="AD2222" s="242" t="b">
        <f t="shared" si="3"/>
        <v>0</v>
      </c>
      <c r="AE2222" s="154"/>
      <c r="AF2222" s="242" t="str">
        <f t="shared" si="4"/>
        <v>#ERROR!</v>
      </c>
      <c r="AG2222" s="154"/>
      <c r="AH2222" s="242" t="str">
        <f>IF(AG2222="","N/A",INDIRECT("MTR!"&amp;ADDRESS(MATCH(LEFT(AG2222,9),[1]MTR!C:C,0),COLUMN(J2222)),TRUE) &amp; "")</f>
        <v>#ERROR!</v>
      </c>
      <c r="AI2222" s="157" t="str">
        <f t="shared" si="5"/>
        <v>#ERROR!</v>
      </c>
    </row>
    <row r="2223" ht="12.75" customHeight="1">
      <c r="A2223" s="244" t="s">
        <v>5158</v>
      </c>
      <c r="B2223" s="244" t="s">
        <v>231</v>
      </c>
      <c r="C2223" s="244" t="s">
        <v>12156</v>
      </c>
      <c r="D2223" s="154" t="s">
        <v>542</v>
      </c>
      <c r="E2223" s="154"/>
      <c r="F2223" s="154" t="str">
        <f t="array" ref="F2223">XLOOKUP(Cover!$D$12,$R$1:$Z$1,$R2223:$Z2223)</f>
        <v>Mandatory</v>
      </c>
      <c r="G2223" s="154" t="s">
        <v>12157</v>
      </c>
      <c r="H2223" s="154" t="s">
        <v>1541</v>
      </c>
      <c r="I2223" s="154" t="s">
        <v>12158</v>
      </c>
      <c r="J2223" s="154" t="s">
        <v>5903</v>
      </c>
      <c r="K2223" s="154" t="s">
        <v>12146</v>
      </c>
      <c r="L2223" s="154" t="s">
        <v>6064</v>
      </c>
      <c r="M2223" s="154" t="s">
        <v>1018</v>
      </c>
      <c r="N2223" s="154" t="s">
        <v>759</v>
      </c>
      <c r="O2223" s="247" t="s">
        <v>445</v>
      </c>
      <c r="P2223" s="247" t="s">
        <v>6772</v>
      </c>
      <c r="Q2223" s="154" t="str">
        <f t="shared" si="1"/>
        <v>#ERROR!</v>
      </c>
      <c r="R2223" s="154" t="s">
        <v>66</v>
      </c>
      <c r="S2223" s="154" t="s">
        <v>66</v>
      </c>
      <c r="T2223" s="155" t="s">
        <v>64</v>
      </c>
      <c r="U2223" s="155" t="s">
        <v>64</v>
      </c>
      <c r="V2223" s="154" t="s">
        <v>60</v>
      </c>
      <c r="W2223" s="154" t="s">
        <v>60</v>
      </c>
      <c r="X2223" s="154" t="s">
        <v>66</v>
      </c>
      <c r="Y2223" s="155" t="s">
        <v>64</v>
      </c>
      <c r="Z2223" s="154" t="s">
        <v>60</v>
      </c>
      <c r="AA2223" s="154"/>
      <c r="AB2223" s="242" t="str">
        <f t="shared" si="2"/>
        <v>#ERROR!</v>
      </c>
      <c r="AC2223" s="154" t="s">
        <v>391</v>
      </c>
      <c r="AD2223" s="242" t="b">
        <f t="shared" si="3"/>
        <v>0</v>
      </c>
      <c r="AE2223" s="154"/>
      <c r="AF2223" s="242" t="str">
        <f t="shared" si="4"/>
        <v>#ERROR!</v>
      </c>
      <c r="AG2223" s="154"/>
      <c r="AH2223" s="242" t="str">
        <f>IF(AG2223="","N/A",INDIRECT("MTR!"&amp;ADDRESS(MATCH(LEFT(AG2223,9),[1]MTR!C:C,0),COLUMN(J2223)),TRUE) &amp; "")</f>
        <v>#ERROR!</v>
      </c>
      <c r="AI2223" s="157" t="str">
        <f t="shared" si="5"/>
        <v>#ERROR!</v>
      </c>
    </row>
    <row r="2224" ht="12.75" customHeight="1">
      <c r="A2224" s="244" t="s">
        <v>5158</v>
      </c>
      <c r="B2224" s="244" t="s">
        <v>231</v>
      </c>
      <c r="C2224" s="244" t="s">
        <v>12159</v>
      </c>
      <c r="D2224" s="154" t="s">
        <v>542</v>
      </c>
      <c r="E2224" s="154"/>
      <c r="F2224" s="154" t="str">
        <f t="array" ref="F2224">XLOOKUP(Cover!$D$12,$R$1:$Z$1,$R2224:$Z2224)</f>
        <v>Mandatory</v>
      </c>
      <c r="G2224" s="154" t="s">
        <v>12160</v>
      </c>
      <c r="H2224" s="154" t="s">
        <v>9002</v>
      </c>
      <c r="I2224" s="154" t="s">
        <v>12161</v>
      </c>
      <c r="J2224" s="154" t="s">
        <v>6791</v>
      </c>
      <c r="K2224" s="154" t="s">
        <v>12146</v>
      </c>
      <c r="L2224" s="154" t="s">
        <v>6064</v>
      </c>
      <c r="M2224" s="154" t="s">
        <v>175</v>
      </c>
      <c r="N2224" s="154" t="s">
        <v>759</v>
      </c>
      <c r="O2224" s="247" t="s">
        <v>445</v>
      </c>
      <c r="P2224" s="247" t="s">
        <v>6772</v>
      </c>
      <c r="Q2224" s="154" t="str">
        <f t="shared" si="1"/>
        <v>#ERROR!</v>
      </c>
      <c r="R2224" s="154" t="s">
        <v>66</v>
      </c>
      <c r="S2224" s="154" t="s">
        <v>66</v>
      </c>
      <c r="T2224" s="155" t="s">
        <v>64</v>
      </c>
      <c r="U2224" s="155" t="s">
        <v>64</v>
      </c>
      <c r="V2224" s="154" t="s">
        <v>60</v>
      </c>
      <c r="W2224" s="154" t="s">
        <v>60</v>
      </c>
      <c r="X2224" s="154" t="s">
        <v>66</v>
      </c>
      <c r="Y2224" s="155" t="s">
        <v>64</v>
      </c>
      <c r="Z2224" s="154" t="s">
        <v>60</v>
      </c>
      <c r="AA2224" s="154"/>
      <c r="AB2224" s="242" t="str">
        <f t="shared" si="2"/>
        <v>#ERROR!</v>
      </c>
      <c r="AC2224" s="154" t="s">
        <v>391</v>
      </c>
      <c r="AD2224" s="242" t="b">
        <f t="shared" si="3"/>
        <v>0</v>
      </c>
      <c r="AE2224" s="154"/>
      <c r="AF2224" s="242" t="str">
        <f t="shared" si="4"/>
        <v>#ERROR!</v>
      </c>
      <c r="AG2224" s="154"/>
      <c r="AH2224" s="242" t="str">
        <f>IF(AG2224="","N/A",INDIRECT("MTR!"&amp;ADDRESS(MATCH(LEFT(AG2224,9),[1]MTR!C:C,0),COLUMN(J2224)),TRUE) &amp; "")</f>
        <v>#ERROR!</v>
      </c>
      <c r="AI2224" s="157" t="str">
        <f t="shared" si="5"/>
        <v>#ERROR!</v>
      </c>
    </row>
    <row r="2225" ht="12.75" customHeight="1">
      <c r="A2225" s="244" t="s">
        <v>5158</v>
      </c>
      <c r="B2225" s="244" t="s">
        <v>231</v>
      </c>
      <c r="C2225" s="244" t="s">
        <v>12162</v>
      </c>
      <c r="D2225" s="154" t="s">
        <v>542</v>
      </c>
      <c r="E2225" s="154"/>
      <c r="F2225" s="154" t="str">
        <f t="array" ref="F2225">XLOOKUP(Cover!$D$12,$R$1:$Z$1,$R2225:$Z2225)</f>
        <v>Mandatory</v>
      </c>
      <c r="G2225" s="154" t="s">
        <v>12163</v>
      </c>
      <c r="H2225" s="154" t="s">
        <v>9006</v>
      </c>
      <c r="I2225" s="154" t="s">
        <v>12161</v>
      </c>
      <c r="J2225" s="154" t="s">
        <v>6791</v>
      </c>
      <c r="K2225" s="154" t="s">
        <v>12146</v>
      </c>
      <c r="L2225" s="154" t="s">
        <v>6064</v>
      </c>
      <c r="M2225" s="154" t="s">
        <v>175</v>
      </c>
      <c r="N2225" s="154" t="s">
        <v>759</v>
      </c>
      <c r="O2225" s="247" t="s">
        <v>445</v>
      </c>
      <c r="P2225" s="247" t="s">
        <v>6772</v>
      </c>
      <c r="Q2225" s="154" t="str">
        <f t="shared" si="1"/>
        <v>#ERROR!</v>
      </c>
      <c r="R2225" s="154" t="s">
        <v>66</v>
      </c>
      <c r="S2225" s="154" t="s">
        <v>66</v>
      </c>
      <c r="T2225" s="155" t="s">
        <v>64</v>
      </c>
      <c r="U2225" s="155" t="s">
        <v>64</v>
      </c>
      <c r="V2225" s="154" t="s">
        <v>60</v>
      </c>
      <c r="W2225" s="154" t="s">
        <v>60</v>
      </c>
      <c r="X2225" s="154" t="s">
        <v>66</v>
      </c>
      <c r="Y2225" s="155" t="s">
        <v>64</v>
      </c>
      <c r="Z2225" s="154" t="s">
        <v>60</v>
      </c>
      <c r="AA2225" s="154"/>
      <c r="AB2225" s="242" t="str">
        <f t="shared" si="2"/>
        <v>#ERROR!</v>
      </c>
      <c r="AC2225" s="154" t="s">
        <v>391</v>
      </c>
      <c r="AD2225" s="242" t="b">
        <f t="shared" si="3"/>
        <v>0</v>
      </c>
      <c r="AE2225" s="154"/>
      <c r="AF2225" s="242" t="str">
        <f t="shared" si="4"/>
        <v>#ERROR!</v>
      </c>
      <c r="AG2225" s="154"/>
      <c r="AH2225" s="242" t="str">
        <f>IF(AG2225="","N/A",INDIRECT("MTR!"&amp;ADDRESS(MATCH(LEFT(AG2225,9),[1]MTR!C:C,0),COLUMN(J2225)),TRUE) &amp; "")</f>
        <v>#ERROR!</v>
      </c>
      <c r="AI2225" s="157" t="str">
        <f t="shared" si="5"/>
        <v>#ERROR!</v>
      </c>
    </row>
    <row r="2226" ht="12.75" customHeight="1">
      <c r="A2226" s="244" t="s">
        <v>5158</v>
      </c>
      <c r="B2226" s="244" t="s">
        <v>231</v>
      </c>
      <c r="C2226" s="244" t="s">
        <v>12164</v>
      </c>
      <c r="D2226" s="154" t="s">
        <v>861</v>
      </c>
      <c r="E2226" s="154"/>
      <c r="F2226" s="154" t="str">
        <f t="array" ref="F2226">XLOOKUP(Cover!$D$12,$R$1:$Z$1,$R2226:$Z2226)</f>
        <v>Mandatory</v>
      </c>
      <c r="G2226" s="154" t="s">
        <v>12165</v>
      </c>
      <c r="H2226" s="154" t="s">
        <v>9002</v>
      </c>
      <c r="I2226" s="154" t="s">
        <v>12166</v>
      </c>
      <c r="J2226" s="154" t="s">
        <v>6797</v>
      </c>
      <c r="K2226" s="154" t="s">
        <v>12146</v>
      </c>
      <c r="L2226" s="154" t="s">
        <v>6428</v>
      </c>
      <c r="M2226" s="154" t="s">
        <v>175</v>
      </c>
      <c r="N2226" s="154" t="s">
        <v>759</v>
      </c>
      <c r="O2226" s="247" t="s">
        <v>445</v>
      </c>
      <c r="P2226" s="247" t="s">
        <v>89</v>
      </c>
      <c r="Q2226" s="154" t="str">
        <f t="shared" si="1"/>
        <v>#ERROR!</v>
      </c>
      <c r="R2226" s="154" t="s">
        <v>66</v>
      </c>
      <c r="S2226" s="154" t="s">
        <v>66</v>
      </c>
      <c r="T2226" s="155" t="s">
        <v>64</v>
      </c>
      <c r="U2226" s="155" t="s">
        <v>64</v>
      </c>
      <c r="V2226" s="154" t="s">
        <v>60</v>
      </c>
      <c r="W2226" s="154" t="s">
        <v>60</v>
      </c>
      <c r="X2226" s="154" t="s">
        <v>66</v>
      </c>
      <c r="Y2226" s="155" t="s">
        <v>64</v>
      </c>
      <c r="Z2226" s="154" t="s">
        <v>60</v>
      </c>
      <c r="AA2226" s="154"/>
      <c r="AB2226" s="242" t="str">
        <f t="shared" si="2"/>
        <v>#ERROR!</v>
      </c>
      <c r="AC2226" s="154" t="s">
        <v>391</v>
      </c>
      <c r="AD2226" s="242" t="b">
        <f t="shared" si="3"/>
        <v>0</v>
      </c>
      <c r="AE2226" s="154"/>
      <c r="AF2226" s="242" t="str">
        <f t="shared" si="4"/>
        <v>#ERROR!</v>
      </c>
      <c r="AG2226" s="154"/>
      <c r="AH2226" s="242" t="str">
        <f>IF(AG2226="","N/A",INDIRECT("MTR!"&amp;ADDRESS(MATCH(LEFT(AG2226,9),[1]MTR!C:C,0),COLUMN(J2226)),TRUE) &amp; "")</f>
        <v>#ERROR!</v>
      </c>
      <c r="AI2226" s="157" t="str">
        <f t="shared" si="5"/>
        <v>#ERROR!</v>
      </c>
    </row>
    <row r="2227" ht="12.75" customHeight="1">
      <c r="A2227" s="244" t="s">
        <v>5158</v>
      </c>
      <c r="B2227" s="244" t="s">
        <v>231</v>
      </c>
      <c r="C2227" s="244" t="s">
        <v>12167</v>
      </c>
      <c r="D2227" s="154" t="s">
        <v>861</v>
      </c>
      <c r="E2227" s="154"/>
      <c r="F2227" s="154" t="str">
        <f t="array" ref="F2227">XLOOKUP(Cover!$D$12,$R$1:$Z$1,$R2227:$Z2227)</f>
        <v>Recommended</v>
      </c>
      <c r="G2227" s="154" t="s">
        <v>12168</v>
      </c>
      <c r="H2227" s="154" t="s">
        <v>9009</v>
      </c>
      <c r="I2227" s="154" t="s">
        <v>12166</v>
      </c>
      <c r="J2227" s="154" t="s">
        <v>6797</v>
      </c>
      <c r="K2227" s="154" t="s">
        <v>12146</v>
      </c>
      <c r="L2227" s="154" t="s">
        <v>6428</v>
      </c>
      <c r="M2227" s="154"/>
      <c r="N2227" s="154" t="s">
        <v>759</v>
      </c>
      <c r="O2227" s="247" t="s">
        <v>445</v>
      </c>
      <c r="P2227" s="247" t="s">
        <v>89</v>
      </c>
      <c r="Q2227" s="154" t="str">
        <f t="shared" si="1"/>
        <v>#ERROR!</v>
      </c>
      <c r="R2227" s="154" t="s">
        <v>66</v>
      </c>
      <c r="S2227" s="154" t="s">
        <v>66</v>
      </c>
      <c r="T2227" s="154" t="s">
        <v>64</v>
      </c>
      <c r="U2227" s="154" t="s">
        <v>64</v>
      </c>
      <c r="V2227" s="154" t="s">
        <v>64</v>
      </c>
      <c r="W2227" s="154" t="s">
        <v>64</v>
      </c>
      <c r="X2227" s="154" t="s">
        <v>66</v>
      </c>
      <c r="Y2227" s="154" t="s">
        <v>64</v>
      </c>
      <c r="Z2227" s="154" t="s">
        <v>64</v>
      </c>
      <c r="AA2227" s="154"/>
      <c r="AB2227" s="242" t="str">
        <f t="shared" si="2"/>
        <v>#ERROR!</v>
      </c>
      <c r="AC2227" s="154" t="s">
        <v>391</v>
      </c>
      <c r="AD2227" s="242" t="b">
        <f t="shared" si="3"/>
        <v>0</v>
      </c>
      <c r="AE2227" s="154"/>
      <c r="AF2227" s="242" t="str">
        <f t="shared" si="4"/>
        <v>#ERROR!</v>
      </c>
      <c r="AG2227" s="154"/>
      <c r="AH2227" s="242" t="str">
        <f>IF(AG2227="","N/A",INDIRECT("MTR!"&amp;ADDRESS(MATCH(LEFT(AG2227,9),[1]MTR!C:C,0),COLUMN(J2227)),TRUE) &amp; "")</f>
        <v>#ERROR!</v>
      </c>
      <c r="AI2227" s="157" t="str">
        <f t="shared" si="5"/>
        <v>#ERROR!</v>
      </c>
    </row>
    <row r="2228" ht="12.75" customHeight="1">
      <c r="A2228" s="244" t="s">
        <v>5158</v>
      </c>
      <c r="B2228" s="244" t="s">
        <v>231</v>
      </c>
      <c r="C2228" s="244" t="s">
        <v>12169</v>
      </c>
      <c r="D2228" s="154" t="s">
        <v>503</v>
      </c>
      <c r="E2228" s="154"/>
      <c r="F2228" s="154" t="str">
        <f t="array" ref="F2228">XLOOKUP(Cover!$D$12,$R$1:$Z$1,$R2228:$Z2228)</f>
        <v>Mandatory</v>
      </c>
      <c r="G2228" s="154" t="s">
        <v>12170</v>
      </c>
      <c r="H2228" s="154" t="s">
        <v>9002</v>
      </c>
      <c r="I2228" s="154" t="s">
        <v>12171</v>
      </c>
      <c r="J2228" s="154" t="s">
        <v>6803</v>
      </c>
      <c r="K2228" s="154" t="s">
        <v>12146</v>
      </c>
      <c r="L2228" s="154" t="s">
        <v>7431</v>
      </c>
      <c r="M2228" s="154" t="s">
        <v>175</v>
      </c>
      <c r="N2228" s="154" t="s">
        <v>759</v>
      </c>
      <c r="O2228" s="247" t="s">
        <v>516</v>
      </c>
      <c r="P2228" s="247" t="s">
        <v>6776</v>
      </c>
      <c r="Q2228" s="154" t="str">
        <f t="shared" si="1"/>
        <v>#ERROR!</v>
      </c>
      <c r="R2228" s="154" t="s">
        <v>66</v>
      </c>
      <c r="S2228" s="154" t="s">
        <v>66</v>
      </c>
      <c r="T2228" s="155" t="s">
        <v>64</v>
      </c>
      <c r="U2228" s="155" t="s">
        <v>64</v>
      </c>
      <c r="V2228" s="154" t="s">
        <v>60</v>
      </c>
      <c r="W2228" s="154" t="s">
        <v>60</v>
      </c>
      <c r="X2228" s="154" t="s">
        <v>66</v>
      </c>
      <c r="Y2228" s="155" t="s">
        <v>64</v>
      </c>
      <c r="Z2228" s="154" t="s">
        <v>60</v>
      </c>
      <c r="AA2228" s="154"/>
      <c r="AB2228" s="242" t="str">
        <f t="shared" si="2"/>
        <v>#ERROR!</v>
      </c>
      <c r="AC2228" s="154" t="s">
        <v>391</v>
      </c>
      <c r="AD2228" s="242" t="b">
        <f t="shared" si="3"/>
        <v>0</v>
      </c>
      <c r="AE2228" s="154"/>
      <c r="AF2228" s="242" t="str">
        <f t="shared" si="4"/>
        <v>#ERROR!</v>
      </c>
      <c r="AG2228" s="154"/>
      <c r="AH2228" s="242" t="str">
        <f>IF(AG2228="","N/A",INDIRECT("MTR!"&amp;ADDRESS(MATCH(LEFT(AG2228,9),[1]MTR!C:C,0),COLUMN(J2228)),TRUE) &amp; "")</f>
        <v>#ERROR!</v>
      </c>
      <c r="AI2228" s="157" t="str">
        <f t="shared" si="5"/>
        <v>#ERROR!</v>
      </c>
    </row>
    <row r="2229" ht="12.75" customHeight="1">
      <c r="A2229" s="244" t="s">
        <v>5158</v>
      </c>
      <c r="B2229" s="244" t="s">
        <v>231</v>
      </c>
      <c r="C2229" s="244" t="s">
        <v>12172</v>
      </c>
      <c r="D2229" s="154" t="s">
        <v>503</v>
      </c>
      <c r="E2229" s="154"/>
      <c r="F2229" s="154" t="str">
        <f t="array" ref="F2229">XLOOKUP(Cover!$D$12,$R$1:$Z$1,$R2229:$Z2229)</f>
        <v>Mandatory</v>
      </c>
      <c r="G2229" s="154" t="s">
        <v>12173</v>
      </c>
      <c r="H2229" s="154" t="s">
        <v>9015</v>
      </c>
      <c r="I2229" s="154" t="s">
        <v>12171</v>
      </c>
      <c r="J2229" s="154" t="s">
        <v>6803</v>
      </c>
      <c r="K2229" s="154" t="s">
        <v>12146</v>
      </c>
      <c r="L2229" s="154" t="s">
        <v>7431</v>
      </c>
      <c r="M2229" s="154" t="s">
        <v>175</v>
      </c>
      <c r="N2229" s="154" t="s">
        <v>759</v>
      </c>
      <c r="O2229" s="247" t="s">
        <v>516</v>
      </c>
      <c r="P2229" s="247" t="s">
        <v>6776</v>
      </c>
      <c r="Q2229" s="154" t="str">
        <f t="shared" si="1"/>
        <v>#ERROR!</v>
      </c>
      <c r="R2229" s="154" t="s">
        <v>66</v>
      </c>
      <c r="S2229" s="154" t="s">
        <v>66</v>
      </c>
      <c r="T2229" s="155" t="s">
        <v>64</v>
      </c>
      <c r="U2229" s="155" t="s">
        <v>64</v>
      </c>
      <c r="V2229" s="154" t="s">
        <v>60</v>
      </c>
      <c r="W2229" s="154" t="s">
        <v>60</v>
      </c>
      <c r="X2229" s="154" t="s">
        <v>66</v>
      </c>
      <c r="Y2229" s="155" t="s">
        <v>64</v>
      </c>
      <c r="Z2229" s="154" t="s">
        <v>60</v>
      </c>
      <c r="AA2229" s="154"/>
      <c r="AB2229" s="242" t="str">
        <f t="shared" si="2"/>
        <v>#ERROR!</v>
      </c>
      <c r="AC2229" s="154" t="s">
        <v>391</v>
      </c>
      <c r="AD2229" s="242" t="b">
        <f t="shared" si="3"/>
        <v>0</v>
      </c>
      <c r="AE2229" s="154"/>
      <c r="AF2229" s="242" t="str">
        <f t="shared" si="4"/>
        <v>#ERROR!</v>
      </c>
      <c r="AG2229" s="154"/>
      <c r="AH2229" s="242" t="str">
        <f>IF(AG2229="","N/A",INDIRECT("MTR!"&amp;ADDRESS(MATCH(LEFT(AG2229,9),[1]MTR!C:C,0),COLUMN(J2229)),TRUE) &amp; "")</f>
        <v>#ERROR!</v>
      </c>
      <c r="AI2229" s="157" t="str">
        <f t="shared" si="5"/>
        <v>#ERROR!</v>
      </c>
    </row>
    <row r="2230" ht="12.75" customHeight="1">
      <c r="A2230" s="244" t="s">
        <v>5158</v>
      </c>
      <c r="B2230" s="244" t="s">
        <v>231</v>
      </c>
      <c r="C2230" s="244" t="s">
        <v>12174</v>
      </c>
      <c r="D2230" s="154" t="s">
        <v>542</v>
      </c>
      <c r="E2230" s="154"/>
      <c r="F2230" s="154" t="str">
        <f t="array" ref="F2230">XLOOKUP(Cover!$D$12,$R$1:$Z$1,$R2230:$Z2230)</f>
        <v>Mandatory</v>
      </c>
      <c r="G2230" s="154" t="s">
        <v>12175</v>
      </c>
      <c r="H2230" s="154" t="s">
        <v>9002</v>
      </c>
      <c r="I2230" s="154" t="s">
        <v>12176</v>
      </c>
      <c r="J2230" s="154" t="s">
        <v>7360</v>
      </c>
      <c r="K2230" s="154" t="s">
        <v>12146</v>
      </c>
      <c r="L2230" s="154" t="s">
        <v>6525</v>
      </c>
      <c r="M2230" s="154" t="s">
        <v>175</v>
      </c>
      <c r="N2230" s="154" t="s">
        <v>759</v>
      </c>
      <c r="O2230" s="247" t="s">
        <v>445</v>
      </c>
      <c r="P2230" s="247" t="s">
        <v>6772</v>
      </c>
      <c r="Q2230" s="154" t="str">
        <f t="shared" si="1"/>
        <v>#ERROR!</v>
      </c>
      <c r="R2230" s="154" t="s">
        <v>66</v>
      </c>
      <c r="S2230" s="154" t="s">
        <v>66</v>
      </c>
      <c r="T2230" s="155" t="s">
        <v>64</v>
      </c>
      <c r="U2230" s="155" t="s">
        <v>64</v>
      </c>
      <c r="V2230" s="154" t="s">
        <v>60</v>
      </c>
      <c r="W2230" s="154" t="s">
        <v>60</v>
      </c>
      <c r="X2230" s="154" t="s">
        <v>66</v>
      </c>
      <c r="Y2230" s="155" t="s">
        <v>64</v>
      </c>
      <c r="Z2230" s="154" t="s">
        <v>60</v>
      </c>
      <c r="AA2230" s="154"/>
      <c r="AB2230" s="242" t="str">
        <f t="shared" si="2"/>
        <v>#ERROR!</v>
      </c>
      <c r="AC2230" s="154" t="s">
        <v>391</v>
      </c>
      <c r="AD2230" s="242" t="b">
        <f t="shared" si="3"/>
        <v>0</v>
      </c>
      <c r="AE2230" s="154"/>
      <c r="AF2230" s="242" t="str">
        <f t="shared" si="4"/>
        <v>#ERROR!</v>
      </c>
      <c r="AG2230" s="154"/>
      <c r="AH2230" s="242" t="str">
        <f>IF(AG2230="","N/A",INDIRECT("MTR!"&amp;ADDRESS(MATCH(LEFT(AG2230,9),[1]MTR!C:C,0),COLUMN(J2230)),TRUE) &amp; "")</f>
        <v>#ERROR!</v>
      </c>
      <c r="AI2230" s="157" t="str">
        <f t="shared" si="5"/>
        <v>#ERROR!</v>
      </c>
    </row>
    <row r="2231" ht="12.75" customHeight="1">
      <c r="A2231" s="244" t="s">
        <v>5158</v>
      </c>
      <c r="B2231" s="244" t="s">
        <v>231</v>
      </c>
      <c r="C2231" s="244" t="s">
        <v>12177</v>
      </c>
      <c r="D2231" s="154" t="s">
        <v>542</v>
      </c>
      <c r="E2231" s="154"/>
      <c r="F2231" s="154" t="str">
        <f t="array" ref="F2231">XLOOKUP(Cover!$D$12,$R$1:$Z$1,$R2231:$Z2231)</f>
        <v>Mandatory</v>
      </c>
      <c r="G2231" s="154" t="s">
        <v>12178</v>
      </c>
      <c r="H2231" s="154" t="s">
        <v>1541</v>
      </c>
      <c r="I2231" s="154" t="s">
        <v>12176</v>
      </c>
      <c r="J2231" s="154" t="s">
        <v>7360</v>
      </c>
      <c r="K2231" s="154" t="s">
        <v>12146</v>
      </c>
      <c r="L2231" s="154" t="s">
        <v>6064</v>
      </c>
      <c r="M2231" s="154" t="s">
        <v>175</v>
      </c>
      <c r="N2231" s="154" t="s">
        <v>759</v>
      </c>
      <c r="O2231" s="247" t="s">
        <v>445</v>
      </c>
      <c r="P2231" s="247" t="s">
        <v>6772</v>
      </c>
      <c r="Q2231" s="154" t="str">
        <f t="shared" si="1"/>
        <v>#ERROR!</v>
      </c>
      <c r="R2231" s="154" t="s">
        <v>66</v>
      </c>
      <c r="S2231" s="154" t="s">
        <v>66</v>
      </c>
      <c r="T2231" s="155" t="s">
        <v>64</v>
      </c>
      <c r="U2231" s="155" t="s">
        <v>64</v>
      </c>
      <c r="V2231" s="154" t="s">
        <v>60</v>
      </c>
      <c r="W2231" s="154" t="s">
        <v>60</v>
      </c>
      <c r="X2231" s="154" t="s">
        <v>66</v>
      </c>
      <c r="Y2231" s="155" t="s">
        <v>64</v>
      </c>
      <c r="Z2231" s="154" t="s">
        <v>60</v>
      </c>
      <c r="AA2231" s="154"/>
      <c r="AB2231" s="242" t="str">
        <f t="shared" si="2"/>
        <v>#ERROR!</v>
      </c>
      <c r="AC2231" s="154" t="s">
        <v>391</v>
      </c>
      <c r="AD2231" s="242" t="b">
        <f t="shared" si="3"/>
        <v>0</v>
      </c>
      <c r="AE2231" s="154"/>
      <c r="AF2231" s="242" t="str">
        <f t="shared" si="4"/>
        <v>#ERROR!</v>
      </c>
      <c r="AG2231" s="154"/>
      <c r="AH2231" s="242" t="str">
        <f>IF(AG2231="","N/A",INDIRECT("MTR!"&amp;ADDRESS(MATCH(LEFT(AG2231,9),[1]MTR!C:C,0),COLUMN(J2231)),TRUE) &amp; "")</f>
        <v>#ERROR!</v>
      </c>
      <c r="AI2231" s="157" t="str">
        <f t="shared" si="5"/>
        <v>#ERROR!</v>
      </c>
    </row>
    <row r="2232" ht="12.75" customHeight="1">
      <c r="A2232" s="244" t="s">
        <v>5158</v>
      </c>
      <c r="B2232" s="244" t="s">
        <v>231</v>
      </c>
      <c r="C2232" s="244" t="s">
        <v>12179</v>
      </c>
      <c r="D2232" s="154" t="s">
        <v>1315</v>
      </c>
      <c r="E2232" s="154"/>
      <c r="F2232" s="154" t="str">
        <f t="array" ref="F2232">XLOOKUP(Cover!$D$12,$R$1:$Z$1,$R2232:$Z2232)</f>
        <v>Information</v>
      </c>
      <c r="G2232" s="154" t="s">
        <v>12180</v>
      </c>
      <c r="H2232" s="154" t="s">
        <v>9002</v>
      </c>
      <c r="I2232" s="154" t="s">
        <v>12181</v>
      </c>
      <c r="J2232" s="154" t="s">
        <v>7366</v>
      </c>
      <c r="K2232" s="154" t="s">
        <v>12146</v>
      </c>
      <c r="L2232" s="154" t="s">
        <v>6884</v>
      </c>
      <c r="M2232" s="154"/>
      <c r="N2232" s="154" t="s">
        <v>759</v>
      </c>
      <c r="O2232" s="247" t="s">
        <v>445</v>
      </c>
      <c r="P2232" s="247" t="s">
        <v>6772</v>
      </c>
      <c r="Q2232" s="154" t="str">
        <f t="shared" si="1"/>
        <v>#ERROR!</v>
      </c>
      <c r="R2232" s="154" t="s">
        <v>66</v>
      </c>
      <c r="S2232" s="154" t="s">
        <v>66</v>
      </c>
      <c r="T2232" s="154" t="s">
        <v>66</v>
      </c>
      <c r="U2232" s="154" t="s">
        <v>66</v>
      </c>
      <c r="V2232" s="154" t="s">
        <v>66</v>
      </c>
      <c r="W2232" s="154" t="s">
        <v>66</v>
      </c>
      <c r="X2232" s="154" t="s">
        <v>66</v>
      </c>
      <c r="Y2232" s="154" t="s">
        <v>66</v>
      </c>
      <c r="Z2232" s="154" t="s">
        <v>66</v>
      </c>
      <c r="AA2232" s="154"/>
      <c r="AB2232" s="242" t="str">
        <f t="shared" si="2"/>
        <v>#ERROR!</v>
      </c>
      <c r="AC2232" s="154" t="s">
        <v>391</v>
      </c>
      <c r="AD2232" s="242" t="b">
        <f t="shared" si="3"/>
        <v>0</v>
      </c>
      <c r="AE2232" s="154"/>
      <c r="AF2232" s="242" t="str">
        <f t="shared" si="4"/>
        <v>#ERROR!</v>
      </c>
      <c r="AG2232" s="154"/>
      <c r="AH2232" s="242" t="str">
        <f>IF(AG2232="","N/A",INDIRECT("MTR!"&amp;ADDRESS(MATCH(LEFT(AG2232,9),[1]MTR!C:C,0),COLUMN(J2232)),TRUE) &amp; "")</f>
        <v>#ERROR!</v>
      </c>
      <c r="AI2232" s="157" t="str">
        <f t="shared" si="5"/>
        <v>#ERROR!</v>
      </c>
    </row>
    <row r="2233" ht="12.75" customHeight="1">
      <c r="A2233" s="244" t="s">
        <v>5158</v>
      </c>
      <c r="B2233" s="244" t="s">
        <v>231</v>
      </c>
      <c r="C2233" s="244" t="s">
        <v>12182</v>
      </c>
      <c r="D2233" s="154" t="s">
        <v>861</v>
      </c>
      <c r="E2233" s="154"/>
      <c r="F2233" s="154" t="str">
        <f t="array" ref="F2233">XLOOKUP(Cover!$D$12,$R$1:$Z$1,$R2233:$Z2233)</f>
        <v>Mandatory</v>
      </c>
      <c r="G2233" s="154" t="s">
        <v>12183</v>
      </c>
      <c r="H2233" s="154" t="s">
        <v>9006</v>
      </c>
      <c r="I2233" s="154" t="s">
        <v>12184</v>
      </c>
      <c r="J2233" s="154" t="s">
        <v>6819</v>
      </c>
      <c r="K2233" s="154" t="s">
        <v>12146</v>
      </c>
      <c r="L2233" s="154" t="s">
        <v>6428</v>
      </c>
      <c r="M2233" s="154" t="s">
        <v>175</v>
      </c>
      <c r="N2233" s="154" t="s">
        <v>759</v>
      </c>
      <c r="O2233" s="247" t="s">
        <v>445</v>
      </c>
      <c r="P2233" s="247" t="s">
        <v>89</v>
      </c>
      <c r="Q2233" s="154" t="str">
        <f t="shared" si="1"/>
        <v>#ERROR!</v>
      </c>
      <c r="R2233" s="154" t="s">
        <v>66</v>
      </c>
      <c r="S2233" s="154" t="s">
        <v>66</v>
      </c>
      <c r="T2233" s="155" t="s">
        <v>64</v>
      </c>
      <c r="U2233" s="155" t="s">
        <v>64</v>
      </c>
      <c r="V2233" s="154" t="s">
        <v>60</v>
      </c>
      <c r="W2233" s="154" t="s">
        <v>60</v>
      </c>
      <c r="X2233" s="154" t="s">
        <v>66</v>
      </c>
      <c r="Y2233" s="155" t="s">
        <v>64</v>
      </c>
      <c r="Z2233" s="154" t="s">
        <v>60</v>
      </c>
      <c r="AA2233" s="154"/>
      <c r="AB2233" s="242" t="str">
        <f t="shared" si="2"/>
        <v>#ERROR!</v>
      </c>
      <c r="AC2233" s="154" t="s">
        <v>391</v>
      </c>
      <c r="AD2233" s="242" t="b">
        <f t="shared" si="3"/>
        <v>0</v>
      </c>
      <c r="AE2233" s="154"/>
      <c r="AF2233" s="242" t="str">
        <f t="shared" si="4"/>
        <v>#ERROR!</v>
      </c>
      <c r="AG2233" s="154"/>
      <c r="AH2233" s="242" t="str">
        <f>IF(AG2233="","N/A",INDIRECT("MTR!"&amp;ADDRESS(MATCH(LEFT(AG2233,9),[1]MTR!C:C,0),COLUMN(J2233)),TRUE) &amp; "")</f>
        <v>#ERROR!</v>
      </c>
      <c r="AI2233" s="157" t="str">
        <f t="shared" si="5"/>
        <v>#ERROR!</v>
      </c>
    </row>
    <row r="2234" ht="12.75" customHeight="1">
      <c r="A2234" s="244" t="s">
        <v>5158</v>
      </c>
      <c r="B2234" s="244" t="s">
        <v>231</v>
      </c>
      <c r="C2234" s="244" t="s">
        <v>12185</v>
      </c>
      <c r="D2234" s="154" t="s">
        <v>861</v>
      </c>
      <c r="E2234" s="154"/>
      <c r="F2234" s="154" t="str">
        <f t="array" ref="F2234">XLOOKUP(Cover!$D$12,$R$1:$Z$1,$R2234:$Z2234)</f>
        <v>Recommended</v>
      </c>
      <c r="G2234" s="154" t="s">
        <v>12186</v>
      </c>
      <c r="H2234" s="154" t="s">
        <v>9009</v>
      </c>
      <c r="I2234" s="154" t="s">
        <v>12184</v>
      </c>
      <c r="J2234" s="154" t="s">
        <v>6819</v>
      </c>
      <c r="K2234" s="154" t="s">
        <v>12146</v>
      </c>
      <c r="L2234" s="154" t="s">
        <v>6428</v>
      </c>
      <c r="M2234" s="154"/>
      <c r="N2234" s="154" t="s">
        <v>759</v>
      </c>
      <c r="O2234" s="247" t="s">
        <v>445</v>
      </c>
      <c r="P2234" s="247" t="s">
        <v>89</v>
      </c>
      <c r="Q2234" s="154" t="str">
        <f t="shared" si="1"/>
        <v>#ERROR!</v>
      </c>
      <c r="R2234" s="154" t="s">
        <v>66</v>
      </c>
      <c r="S2234" s="154" t="s">
        <v>66</v>
      </c>
      <c r="T2234" s="154" t="s">
        <v>64</v>
      </c>
      <c r="U2234" s="154" t="s">
        <v>64</v>
      </c>
      <c r="V2234" s="154" t="s">
        <v>64</v>
      </c>
      <c r="W2234" s="154" t="s">
        <v>64</v>
      </c>
      <c r="X2234" s="154" t="s">
        <v>66</v>
      </c>
      <c r="Y2234" s="154" t="s">
        <v>64</v>
      </c>
      <c r="Z2234" s="154" t="s">
        <v>64</v>
      </c>
      <c r="AA2234" s="154"/>
      <c r="AB2234" s="242" t="str">
        <f t="shared" si="2"/>
        <v>#ERROR!</v>
      </c>
      <c r="AC2234" s="154" t="s">
        <v>391</v>
      </c>
      <c r="AD2234" s="242" t="b">
        <f t="shared" si="3"/>
        <v>0</v>
      </c>
      <c r="AE2234" s="154"/>
      <c r="AF2234" s="242" t="str">
        <f t="shared" si="4"/>
        <v>#ERROR!</v>
      </c>
      <c r="AG2234" s="154"/>
      <c r="AH2234" s="242" t="str">
        <f>IF(AG2234="","N/A",INDIRECT("MTR!"&amp;ADDRESS(MATCH(LEFT(AG2234,9),[1]MTR!C:C,0),COLUMN(J2234)),TRUE) &amp; "")</f>
        <v>#ERROR!</v>
      </c>
      <c r="AI2234" s="157" t="str">
        <f t="shared" si="5"/>
        <v>#ERROR!</v>
      </c>
    </row>
    <row r="2235" ht="12.75" customHeight="1">
      <c r="A2235" s="244" t="s">
        <v>5158</v>
      </c>
      <c r="B2235" s="244" t="s">
        <v>231</v>
      </c>
      <c r="C2235" s="244" t="s">
        <v>12187</v>
      </c>
      <c r="D2235" s="154" t="s">
        <v>503</v>
      </c>
      <c r="E2235" s="154"/>
      <c r="F2235" s="154" t="str">
        <f t="array" ref="F2235">XLOOKUP(Cover!$D$12,$R$1:$Z$1,$R2235:$Z2235)</f>
        <v>Mandatory</v>
      </c>
      <c r="G2235" s="154" t="s">
        <v>12188</v>
      </c>
      <c r="H2235" s="154" t="s">
        <v>9006</v>
      </c>
      <c r="I2235" s="154" t="s">
        <v>12189</v>
      </c>
      <c r="J2235" s="154" t="s">
        <v>6832</v>
      </c>
      <c r="K2235" s="154" t="s">
        <v>12146</v>
      </c>
      <c r="L2235" s="154" t="s">
        <v>7431</v>
      </c>
      <c r="M2235" s="154" t="s">
        <v>175</v>
      </c>
      <c r="N2235" s="154" t="s">
        <v>759</v>
      </c>
      <c r="O2235" s="247" t="s">
        <v>516</v>
      </c>
      <c r="P2235" s="247" t="s">
        <v>6776</v>
      </c>
      <c r="Q2235" s="154" t="str">
        <f t="shared" si="1"/>
        <v>#ERROR!</v>
      </c>
      <c r="R2235" s="154" t="s">
        <v>66</v>
      </c>
      <c r="S2235" s="154" t="s">
        <v>66</v>
      </c>
      <c r="T2235" s="155" t="s">
        <v>64</v>
      </c>
      <c r="U2235" s="155" t="s">
        <v>64</v>
      </c>
      <c r="V2235" s="154" t="s">
        <v>60</v>
      </c>
      <c r="W2235" s="154" t="s">
        <v>60</v>
      </c>
      <c r="X2235" s="154" t="s">
        <v>66</v>
      </c>
      <c r="Y2235" s="155" t="s">
        <v>64</v>
      </c>
      <c r="Z2235" s="154" t="s">
        <v>60</v>
      </c>
      <c r="AA2235" s="154"/>
      <c r="AB2235" s="242" t="str">
        <f t="shared" si="2"/>
        <v>#ERROR!</v>
      </c>
      <c r="AC2235" s="154" t="s">
        <v>391</v>
      </c>
      <c r="AD2235" s="242" t="b">
        <f t="shared" si="3"/>
        <v>0</v>
      </c>
      <c r="AE2235" s="154"/>
      <c r="AF2235" s="242" t="str">
        <f t="shared" si="4"/>
        <v>#ERROR!</v>
      </c>
      <c r="AG2235" s="154"/>
      <c r="AH2235" s="242" t="str">
        <f>IF(AG2235="","N/A",INDIRECT("MTR!"&amp;ADDRESS(MATCH(LEFT(AG2235,9),[1]MTR!C:C,0),COLUMN(J2235)),TRUE) &amp; "")</f>
        <v>#ERROR!</v>
      </c>
      <c r="AI2235" s="157" t="str">
        <f t="shared" si="5"/>
        <v>#ERROR!</v>
      </c>
    </row>
    <row r="2236" ht="12.75" customHeight="1">
      <c r="A2236" s="244" t="s">
        <v>5158</v>
      </c>
      <c r="B2236" s="244" t="s">
        <v>231</v>
      </c>
      <c r="C2236" s="244" t="s">
        <v>12190</v>
      </c>
      <c r="D2236" s="154" t="s">
        <v>503</v>
      </c>
      <c r="E2236" s="154"/>
      <c r="F2236" s="154" t="str">
        <f t="array" ref="F2236">XLOOKUP(Cover!$D$12,$R$1:$Z$1,$R2236:$Z2236)</f>
        <v>Mandatory</v>
      </c>
      <c r="G2236" s="154" t="s">
        <v>12191</v>
      </c>
      <c r="H2236" s="154" t="s">
        <v>9015</v>
      </c>
      <c r="I2236" s="154" t="s">
        <v>12189</v>
      </c>
      <c r="J2236" s="154" t="s">
        <v>6832</v>
      </c>
      <c r="K2236" s="154" t="s">
        <v>12146</v>
      </c>
      <c r="L2236" s="154" t="s">
        <v>7431</v>
      </c>
      <c r="M2236" s="154" t="s">
        <v>175</v>
      </c>
      <c r="N2236" s="154" t="s">
        <v>759</v>
      </c>
      <c r="O2236" s="247" t="s">
        <v>516</v>
      </c>
      <c r="P2236" s="247" t="s">
        <v>6776</v>
      </c>
      <c r="Q2236" s="154" t="str">
        <f t="shared" si="1"/>
        <v>#ERROR!</v>
      </c>
      <c r="R2236" s="154" t="s">
        <v>66</v>
      </c>
      <c r="S2236" s="154" t="s">
        <v>66</v>
      </c>
      <c r="T2236" s="155" t="s">
        <v>64</v>
      </c>
      <c r="U2236" s="155" t="s">
        <v>64</v>
      </c>
      <c r="V2236" s="154" t="s">
        <v>60</v>
      </c>
      <c r="W2236" s="154" t="s">
        <v>60</v>
      </c>
      <c r="X2236" s="154" t="s">
        <v>66</v>
      </c>
      <c r="Y2236" s="155" t="s">
        <v>64</v>
      </c>
      <c r="Z2236" s="154" t="s">
        <v>60</v>
      </c>
      <c r="AA2236" s="154"/>
      <c r="AB2236" s="242" t="str">
        <f t="shared" si="2"/>
        <v>#ERROR!</v>
      </c>
      <c r="AC2236" s="154" t="s">
        <v>391</v>
      </c>
      <c r="AD2236" s="242" t="b">
        <f t="shared" si="3"/>
        <v>0</v>
      </c>
      <c r="AE2236" s="154"/>
      <c r="AF2236" s="242" t="str">
        <f t="shared" si="4"/>
        <v>#ERROR!</v>
      </c>
      <c r="AG2236" s="154"/>
      <c r="AH2236" s="242" t="str">
        <f>IF(AG2236="","N/A",INDIRECT("MTR!"&amp;ADDRESS(MATCH(LEFT(AG2236,9),[1]MTR!C:C,0),COLUMN(J2236)),TRUE) &amp; "")</f>
        <v>#ERROR!</v>
      </c>
      <c r="AI2236" s="157" t="str">
        <f t="shared" si="5"/>
        <v>#ERROR!</v>
      </c>
    </row>
    <row r="2237" ht="12.75" customHeight="1">
      <c r="A2237" s="244" t="s">
        <v>5158</v>
      </c>
      <c r="B2237" s="244" t="s">
        <v>231</v>
      </c>
      <c r="C2237" s="244" t="s">
        <v>12192</v>
      </c>
      <c r="D2237" s="154" t="s">
        <v>542</v>
      </c>
      <c r="E2237" s="154"/>
      <c r="F2237" s="154" t="str">
        <f t="array" ref="F2237">XLOOKUP(Cover!$D$12,$R$1:$Z$1,$R2237:$Z2237)</f>
        <v>Mandatory</v>
      </c>
      <c r="G2237" s="154" t="s">
        <v>12193</v>
      </c>
      <c r="H2237" s="154" t="s">
        <v>9006</v>
      </c>
      <c r="I2237" s="154" t="s">
        <v>12194</v>
      </c>
      <c r="J2237" s="154" t="s">
        <v>6838</v>
      </c>
      <c r="K2237" s="154" t="s">
        <v>12146</v>
      </c>
      <c r="L2237" s="154" t="s">
        <v>6525</v>
      </c>
      <c r="M2237" s="154" t="s">
        <v>175</v>
      </c>
      <c r="N2237" s="154" t="s">
        <v>759</v>
      </c>
      <c r="O2237" s="247" t="s">
        <v>445</v>
      </c>
      <c r="P2237" s="247" t="s">
        <v>6772</v>
      </c>
      <c r="Q2237" s="154" t="str">
        <f t="shared" si="1"/>
        <v>#ERROR!</v>
      </c>
      <c r="R2237" s="154" t="s">
        <v>66</v>
      </c>
      <c r="S2237" s="154" t="s">
        <v>66</v>
      </c>
      <c r="T2237" s="155" t="s">
        <v>64</v>
      </c>
      <c r="U2237" s="155" t="s">
        <v>64</v>
      </c>
      <c r="V2237" s="154" t="s">
        <v>60</v>
      </c>
      <c r="W2237" s="154" t="s">
        <v>60</v>
      </c>
      <c r="X2237" s="154" t="s">
        <v>66</v>
      </c>
      <c r="Y2237" s="155" t="s">
        <v>64</v>
      </c>
      <c r="Z2237" s="154" t="s">
        <v>60</v>
      </c>
      <c r="AA2237" s="154"/>
      <c r="AB2237" s="242" t="str">
        <f t="shared" si="2"/>
        <v>#ERROR!</v>
      </c>
      <c r="AC2237" s="154" t="s">
        <v>391</v>
      </c>
      <c r="AD2237" s="242" t="b">
        <f t="shared" si="3"/>
        <v>0</v>
      </c>
      <c r="AE2237" s="154"/>
      <c r="AF2237" s="242" t="str">
        <f t="shared" si="4"/>
        <v>#ERROR!</v>
      </c>
      <c r="AG2237" s="154"/>
      <c r="AH2237" s="242" t="str">
        <f>IF(AG2237="","N/A",INDIRECT("MTR!"&amp;ADDRESS(MATCH(LEFT(AG2237,9),[1]MTR!C:C,0),COLUMN(J2237)),TRUE) &amp; "")</f>
        <v>#ERROR!</v>
      </c>
      <c r="AI2237" s="157" t="str">
        <f t="shared" si="5"/>
        <v>#ERROR!</v>
      </c>
    </row>
    <row r="2238" ht="12.75" customHeight="1">
      <c r="A2238" s="244" t="s">
        <v>5158</v>
      </c>
      <c r="B2238" s="244" t="s">
        <v>231</v>
      </c>
      <c r="C2238" s="244" t="s">
        <v>12195</v>
      </c>
      <c r="D2238" s="154" t="s">
        <v>542</v>
      </c>
      <c r="E2238" s="154"/>
      <c r="F2238" s="154" t="str">
        <f t="array" ref="F2238">XLOOKUP(Cover!$D$12,$R$1:$Z$1,$R2238:$Z2238)</f>
        <v>Mandatory</v>
      </c>
      <c r="G2238" s="154" t="s">
        <v>12196</v>
      </c>
      <c r="H2238" s="154" t="s">
        <v>1541</v>
      </c>
      <c r="I2238" s="154" t="s">
        <v>12194</v>
      </c>
      <c r="J2238" s="154" t="s">
        <v>6838</v>
      </c>
      <c r="K2238" s="154" t="s">
        <v>12146</v>
      </c>
      <c r="L2238" s="154" t="s">
        <v>6064</v>
      </c>
      <c r="M2238" s="154" t="s">
        <v>175</v>
      </c>
      <c r="N2238" s="154" t="s">
        <v>759</v>
      </c>
      <c r="O2238" s="247" t="s">
        <v>445</v>
      </c>
      <c r="P2238" s="247" t="s">
        <v>6772</v>
      </c>
      <c r="Q2238" s="154" t="str">
        <f t="shared" si="1"/>
        <v>#ERROR!</v>
      </c>
      <c r="R2238" s="154" t="s">
        <v>66</v>
      </c>
      <c r="S2238" s="154" t="s">
        <v>66</v>
      </c>
      <c r="T2238" s="155" t="s">
        <v>64</v>
      </c>
      <c r="U2238" s="155" t="s">
        <v>64</v>
      </c>
      <c r="V2238" s="154" t="s">
        <v>60</v>
      </c>
      <c r="W2238" s="154" t="s">
        <v>60</v>
      </c>
      <c r="X2238" s="154" t="s">
        <v>66</v>
      </c>
      <c r="Y2238" s="155" t="s">
        <v>64</v>
      </c>
      <c r="Z2238" s="154" t="s">
        <v>60</v>
      </c>
      <c r="AA2238" s="154"/>
      <c r="AB2238" s="242" t="str">
        <f t="shared" si="2"/>
        <v>#ERROR!</v>
      </c>
      <c r="AC2238" s="154" t="s">
        <v>391</v>
      </c>
      <c r="AD2238" s="242" t="b">
        <f t="shared" si="3"/>
        <v>0</v>
      </c>
      <c r="AE2238" s="154"/>
      <c r="AF2238" s="242" t="str">
        <f t="shared" si="4"/>
        <v>#ERROR!</v>
      </c>
      <c r="AG2238" s="154"/>
      <c r="AH2238" s="242" t="str">
        <f>IF(AG2238="","N/A",INDIRECT("MTR!"&amp;ADDRESS(MATCH(LEFT(AG2238,9),[1]MTR!C:C,0),COLUMN(J2238)),TRUE) &amp; "")</f>
        <v>#ERROR!</v>
      </c>
      <c r="AI2238" s="157" t="str">
        <f t="shared" si="5"/>
        <v>#ERROR!</v>
      </c>
    </row>
    <row r="2239" ht="12.75" customHeight="1">
      <c r="A2239" s="244" t="s">
        <v>5158</v>
      </c>
      <c r="B2239" s="244" t="s">
        <v>231</v>
      </c>
      <c r="C2239" s="244" t="s">
        <v>12197</v>
      </c>
      <c r="D2239" s="154" t="s">
        <v>1315</v>
      </c>
      <c r="E2239" s="154"/>
      <c r="F2239" s="154" t="str">
        <f t="array" ref="F2239">XLOOKUP(Cover!$D$12,$R$1:$Z$1,$R2239:$Z2239)</f>
        <v>Information</v>
      </c>
      <c r="G2239" s="154" t="s">
        <v>12198</v>
      </c>
      <c r="H2239" s="154" t="s">
        <v>9006</v>
      </c>
      <c r="I2239" s="154" t="s">
        <v>12199</v>
      </c>
      <c r="J2239" s="154" t="s">
        <v>6844</v>
      </c>
      <c r="K2239" s="154" t="s">
        <v>12146</v>
      </c>
      <c r="L2239" s="154" t="s">
        <v>6884</v>
      </c>
      <c r="M2239" s="154"/>
      <c r="N2239" s="154" t="s">
        <v>759</v>
      </c>
      <c r="O2239" s="247" t="s">
        <v>445</v>
      </c>
      <c r="P2239" s="247" t="s">
        <v>6772</v>
      </c>
      <c r="Q2239" s="154" t="str">
        <f t="shared" si="1"/>
        <v>#ERROR!</v>
      </c>
      <c r="R2239" s="154" t="s">
        <v>66</v>
      </c>
      <c r="S2239" s="154" t="s">
        <v>66</v>
      </c>
      <c r="T2239" s="154" t="s">
        <v>66</v>
      </c>
      <c r="U2239" s="154" t="s">
        <v>66</v>
      </c>
      <c r="V2239" s="154" t="s">
        <v>66</v>
      </c>
      <c r="W2239" s="154" t="s">
        <v>66</v>
      </c>
      <c r="X2239" s="154" t="s">
        <v>66</v>
      </c>
      <c r="Y2239" s="154" t="s">
        <v>66</v>
      </c>
      <c r="Z2239" s="154" t="s">
        <v>66</v>
      </c>
      <c r="AA2239" s="154"/>
      <c r="AB2239" s="242" t="str">
        <f t="shared" si="2"/>
        <v>#ERROR!</v>
      </c>
      <c r="AC2239" s="154" t="s">
        <v>391</v>
      </c>
      <c r="AD2239" s="242" t="b">
        <f t="shared" si="3"/>
        <v>0</v>
      </c>
      <c r="AE2239" s="154"/>
      <c r="AF2239" s="242" t="str">
        <f t="shared" si="4"/>
        <v>#ERROR!</v>
      </c>
      <c r="AG2239" s="154"/>
      <c r="AH2239" s="242" t="str">
        <f>IF(AG2239="","N/A",INDIRECT("MTR!"&amp;ADDRESS(MATCH(LEFT(AG2239,9),[1]MTR!C:C,0),COLUMN(J2239)),TRUE) &amp; "")</f>
        <v>#ERROR!</v>
      </c>
      <c r="AI2239" s="157" t="str">
        <f t="shared" si="5"/>
        <v>#ERROR!</v>
      </c>
    </row>
    <row r="2240" ht="12.75" customHeight="1">
      <c r="A2240" s="244" t="s">
        <v>5158</v>
      </c>
      <c r="B2240" s="244" t="s">
        <v>231</v>
      </c>
      <c r="C2240" s="244" t="s">
        <v>12200</v>
      </c>
      <c r="D2240" s="154" t="s">
        <v>861</v>
      </c>
      <c r="E2240" s="154"/>
      <c r="F2240" s="154" t="str">
        <f t="array" ref="F2240">XLOOKUP(Cover!$D$12,$R$1:$Z$1,$R2240:$Z2240)</f>
        <v>Information</v>
      </c>
      <c r="G2240" s="154" t="s">
        <v>12201</v>
      </c>
      <c r="H2240" s="154" t="s">
        <v>9009</v>
      </c>
      <c r="I2240" s="154" t="s">
        <v>12202</v>
      </c>
      <c r="J2240" s="154" t="s">
        <v>6854</v>
      </c>
      <c r="K2240" s="154" t="s">
        <v>12146</v>
      </c>
      <c r="L2240" s="154" t="s">
        <v>6428</v>
      </c>
      <c r="M2240" s="154"/>
      <c r="N2240" s="154" t="s">
        <v>759</v>
      </c>
      <c r="O2240" s="247" t="s">
        <v>516</v>
      </c>
      <c r="P2240" s="247" t="s">
        <v>5876</v>
      </c>
      <c r="Q2240" s="154" t="str">
        <f t="shared" si="1"/>
        <v>#ERROR!</v>
      </c>
      <c r="R2240" s="154" t="s">
        <v>66</v>
      </c>
      <c r="S2240" s="154" t="s">
        <v>66</v>
      </c>
      <c r="T2240" s="154" t="s">
        <v>66</v>
      </c>
      <c r="U2240" s="154" t="s">
        <v>66</v>
      </c>
      <c r="V2240" s="154" t="s">
        <v>66</v>
      </c>
      <c r="W2240" s="154" t="s">
        <v>66</v>
      </c>
      <c r="X2240" s="154" t="s">
        <v>66</v>
      </c>
      <c r="Y2240" s="154" t="s">
        <v>66</v>
      </c>
      <c r="Z2240" s="154" t="s">
        <v>66</v>
      </c>
      <c r="AA2240" s="154"/>
      <c r="AB2240" s="242" t="str">
        <f t="shared" si="2"/>
        <v>#ERROR!</v>
      </c>
      <c r="AC2240" s="154" t="s">
        <v>391</v>
      </c>
      <c r="AD2240" s="242" t="b">
        <f t="shared" si="3"/>
        <v>0</v>
      </c>
      <c r="AE2240" s="154"/>
      <c r="AF2240" s="242" t="str">
        <f t="shared" si="4"/>
        <v>#ERROR!</v>
      </c>
      <c r="AG2240" s="154"/>
      <c r="AH2240" s="242" t="str">
        <f>IF(AG2240="","N/A",INDIRECT("MTR!"&amp;ADDRESS(MATCH(LEFT(AG2240,9),[1]MTR!C:C,0),COLUMN(J2240)),TRUE) &amp; "")</f>
        <v>#ERROR!</v>
      </c>
      <c r="AI2240" s="157" t="str">
        <f t="shared" si="5"/>
        <v>#ERROR!</v>
      </c>
    </row>
    <row r="2241" ht="12.75" customHeight="1">
      <c r="A2241" s="244" t="s">
        <v>5158</v>
      </c>
      <c r="B2241" s="244" t="s">
        <v>231</v>
      </c>
      <c r="C2241" s="244" t="s">
        <v>12203</v>
      </c>
      <c r="D2241" s="154" t="s">
        <v>503</v>
      </c>
      <c r="E2241" s="154"/>
      <c r="F2241" s="154" t="str">
        <f t="array" ref="F2241">XLOOKUP(Cover!$D$12,$R$1:$Z$1,$R2241:$Z2241)</f>
        <v>Recommended</v>
      </c>
      <c r="G2241" s="154" t="s">
        <v>12204</v>
      </c>
      <c r="H2241" s="154" t="s">
        <v>9009</v>
      </c>
      <c r="I2241" s="154" t="s">
        <v>12205</v>
      </c>
      <c r="J2241" s="154" t="s">
        <v>6865</v>
      </c>
      <c r="K2241" s="154" t="s">
        <v>12146</v>
      </c>
      <c r="L2241" s="154" t="s">
        <v>7431</v>
      </c>
      <c r="M2241" s="154"/>
      <c r="N2241" s="154" t="s">
        <v>759</v>
      </c>
      <c r="O2241" s="247" t="s">
        <v>516</v>
      </c>
      <c r="P2241" s="247" t="s">
        <v>6776</v>
      </c>
      <c r="Q2241" s="154" t="str">
        <f t="shared" si="1"/>
        <v>#ERROR!</v>
      </c>
      <c r="R2241" s="154" t="s">
        <v>66</v>
      </c>
      <c r="S2241" s="154" t="s">
        <v>66</v>
      </c>
      <c r="T2241" s="154" t="s">
        <v>64</v>
      </c>
      <c r="U2241" s="154" t="s">
        <v>64</v>
      </c>
      <c r="V2241" s="154" t="s">
        <v>64</v>
      </c>
      <c r="W2241" s="154" t="s">
        <v>64</v>
      </c>
      <c r="X2241" s="154" t="s">
        <v>66</v>
      </c>
      <c r="Y2241" s="154" t="s">
        <v>64</v>
      </c>
      <c r="Z2241" s="154" t="s">
        <v>64</v>
      </c>
      <c r="AA2241" s="154"/>
      <c r="AB2241" s="242" t="str">
        <f t="shared" si="2"/>
        <v>#ERROR!</v>
      </c>
      <c r="AC2241" s="154" t="s">
        <v>391</v>
      </c>
      <c r="AD2241" s="242" t="b">
        <f t="shared" si="3"/>
        <v>0</v>
      </c>
      <c r="AE2241" s="154"/>
      <c r="AF2241" s="242" t="str">
        <f t="shared" si="4"/>
        <v>#ERROR!</v>
      </c>
      <c r="AG2241" s="154"/>
      <c r="AH2241" s="242" t="str">
        <f>IF(AG2241="","N/A",INDIRECT("MTR!"&amp;ADDRESS(MATCH(LEFT(AG2241,9),[1]MTR!C:C,0),COLUMN(J2241)),TRUE) &amp; "")</f>
        <v>#ERROR!</v>
      </c>
      <c r="AI2241" s="157" t="str">
        <f t="shared" si="5"/>
        <v>#ERROR!</v>
      </c>
    </row>
    <row r="2242" ht="12.75" customHeight="1">
      <c r="A2242" s="244" t="s">
        <v>5158</v>
      </c>
      <c r="B2242" s="244" t="s">
        <v>231</v>
      </c>
      <c r="C2242" s="244" t="s">
        <v>12206</v>
      </c>
      <c r="D2242" s="154" t="s">
        <v>503</v>
      </c>
      <c r="E2242" s="154"/>
      <c r="F2242" s="154" t="str">
        <f t="array" ref="F2242">XLOOKUP(Cover!$D$12,$R$1:$Z$1,$R2242:$Z2242)</f>
        <v>Mandatory</v>
      </c>
      <c r="G2242" s="154" t="s">
        <v>12207</v>
      </c>
      <c r="H2242" s="154" t="s">
        <v>9015</v>
      </c>
      <c r="I2242" s="154" t="s">
        <v>12205</v>
      </c>
      <c r="J2242" s="154" t="s">
        <v>6865</v>
      </c>
      <c r="K2242" s="154" t="s">
        <v>12146</v>
      </c>
      <c r="L2242" s="154" t="s">
        <v>7431</v>
      </c>
      <c r="M2242" s="154" t="s">
        <v>175</v>
      </c>
      <c r="N2242" s="154" t="s">
        <v>759</v>
      </c>
      <c r="O2242" s="247" t="s">
        <v>516</v>
      </c>
      <c r="P2242" s="247" t="s">
        <v>6776</v>
      </c>
      <c r="Q2242" s="154" t="str">
        <f t="shared" si="1"/>
        <v>#ERROR!</v>
      </c>
      <c r="R2242" s="154" t="s">
        <v>66</v>
      </c>
      <c r="S2242" s="154" t="s">
        <v>66</v>
      </c>
      <c r="T2242" s="155" t="s">
        <v>64</v>
      </c>
      <c r="U2242" s="155" t="s">
        <v>64</v>
      </c>
      <c r="V2242" s="154" t="s">
        <v>60</v>
      </c>
      <c r="W2242" s="154" t="s">
        <v>60</v>
      </c>
      <c r="X2242" s="154" t="s">
        <v>66</v>
      </c>
      <c r="Y2242" s="155" t="s">
        <v>64</v>
      </c>
      <c r="Z2242" s="154" t="s">
        <v>60</v>
      </c>
      <c r="AA2242" s="154"/>
      <c r="AB2242" s="242" t="str">
        <f t="shared" si="2"/>
        <v>#ERROR!</v>
      </c>
      <c r="AC2242" s="154" t="s">
        <v>391</v>
      </c>
      <c r="AD2242" s="242" t="b">
        <f t="shared" si="3"/>
        <v>0</v>
      </c>
      <c r="AE2242" s="154"/>
      <c r="AF2242" s="242" t="str">
        <f t="shared" si="4"/>
        <v>#ERROR!</v>
      </c>
      <c r="AG2242" s="154"/>
      <c r="AH2242" s="242" t="str">
        <f>IF(AG2242="","N/A",INDIRECT("MTR!"&amp;ADDRESS(MATCH(LEFT(AG2242,9),[1]MTR!C:C,0),COLUMN(J2242)),TRUE) &amp; "")</f>
        <v>#ERROR!</v>
      </c>
      <c r="AI2242" s="157" t="str">
        <f t="shared" si="5"/>
        <v>#ERROR!</v>
      </c>
    </row>
    <row r="2243" ht="12.75" customHeight="1">
      <c r="A2243" s="244" t="s">
        <v>5158</v>
      </c>
      <c r="B2243" s="244" t="s">
        <v>231</v>
      </c>
      <c r="C2243" s="244" t="s">
        <v>12208</v>
      </c>
      <c r="D2243" s="154" t="s">
        <v>1315</v>
      </c>
      <c r="E2243" s="154"/>
      <c r="F2243" s="154" t="str">
        <f t="array" ref="F2243">XLOOKUP(Cover!$D$12,$R$1:$Z$1,$R2243:$Z2243)</f>
        <v>Information</v>
      </c>
      <c r="G2243" s="154" t="s">
        <v>12209</v>
      </c>
      <c r="H2243" s="154" t="s">
        <v>9015</v>
      </c>
      <c r="I2243" s="154" t="s">
        <v>12210</v>
      </c>
      <c r="J2243" s="154" t="s">
        <v>6900</v>
      </c>
      <c r="K2243" s="154" t="s">
        <v>12146</v>
      </c>
      <c r="L2243" s="154" t="s">
        <v>6884</v>
      </c>
      <c r="M2243" s="154"/>
      <c r="N2243" s="154" t="s">
        <v>759</v>
      </c>
      <c r="O2243" s="247" t="s">
        <v>445</v>
      </c>
      <c r="P2243" s="247" t="s">
        <v>6772</v>
      </c>
      <c r="Q2243" s="154" t="str">
        <f t="shared" si="1"/>
        <v>#ERROR!</v>
      </c>
      <c r="R2243" s="154" t="s">
        <v>66</v>
      </c>
      <c r="S2243" s="154" t="s">
        <v>66</v>
      </c>
      <c r="T2243" s="154" t="s">
        <v>66</v>
      </c>
      <c r="U2243" s="154" t="s">
        <v>66</v>
      </c>
      <c r="V2243" s="154" t="s">
        <v>66</v>
      </c>
      <c r="W2243" s="154" t="s">
        <v>66</v>
      </c>
      <c r="X2243" s="154" t="s">
        <v>66</v>
      </c>
      <c r="Y2243" s="154" t="s">
        <v>66</v>
      </c>
      <c r="Z2243" s="154" t="s">
        <v>66</v>
      </c>
      <c r="AA2243" s="154"/>
      <c r="AB2243" s="242" t="str">
        <f t="shared" si="2"/>
        <v>#ERROR!</v>
      </c>
      <c r="AC2243" s="154" t="s">
        <v>391</v>
      </c>
      <c r="AD2243" s="242" t="b">
        <f t="shared" si="3"/>
        <v>0</v>
      </c>
      <c r="AE2243" s="154"/>
      <c r="AF2243" s="242" t="str">
        <f t="shared" si="4"/>
        <v>#ERROR!</v>
      </c>
      <c r="AG2243" s="154"/>
      <c r="AH2243" s="242" t="str">
        <f>IF(AG2243="","N/A",INDIRECT("MTR!"&amp;ADDRESS(MATCH(LEFT(AG2243,9),[1]MTR!C:C,0),COLUMN(J2243)),TRUE) &amp; "")</f>
        <v>#ERROR!</v>
      </c>
      <c r="AI2243" s="157" t="str">
        <f t="shared" si="5"/>
        <v>#ERROR!</v>
      </c>
    </row>
    <row r="2244" ht="12.75" customHeight="1">
      <c r="A2244" s="244" t="s">
        <v>5158</v>
      </c>
      <c r="B2244" s="244" t="s">
        <v>231</v>
      </c>
      <c r="C2244" s="244" t="s">
        <v>12211</v>
      </c>
      <c r="D2244" s="154" t="s">
        <v>861</v>
      </c>
      <c r="E2244" s="154"/>
      <c r="F2244" s="154" t="str">
        <f t="array" ref="F2244">XLOOKUP(Cover!$D$12,$R$1:$Z$1,$R2244:$Z2244)</f>
        <v>Mandatory</v>
      </c>
      <c r="G2244" s="154" t="s">
        <v>12212</v>
      </c>
      <c r="H2244" s="154" t="s">
        <v>9002</v>
      </c>
      <c r="I2244" s="154" t="s">
        <v>12213</v>
      </c>
      <c r="J2244" s="154" t="s">
        <v>6911</v>
      </c>
      <c r="K2244" s="154" t="s">
        <v>12146</v>
      </c>
      <c r="L2244" s="154" t="s">
        <v>6428</v>
      </c>
      <c r="M2244" s="154" t="s">
        <v>175</v>
      </c>
      <c r="N2244" s="154" t="s">
        <v>759</v>
      </c>
      <c r="O2244" s="247" t="s">
        <v>516</v>
      </c>
      <c r="P2244" s="247" t="s">
        <v>6776</v>
      </c>
      <c r="Q2244" s="154" t="str">
        <f t="shared" si="1"/>
        <v>#ERROR!</v>
      </c>
      <c r="R2244" s="154" t="s">
        <v>66</v>
      </c>
      <c r="S2244" s="154" t="s">
        <v>66</v>
      </c>
      <c r="T2244" s="155" t="s">
        <v>64</v>
      </c>
      <c r="U2244" s="155" t="s">
        <v>64</v>
      </c>
      <c r="V2244" s="154" t="s">
        <v>60</v>
      </c>
      <c r="W2244" s="154" t="s">
        <v>60</v>
      </c>
      <c r="X2244" s="154" t="s">
        <v>66</v>
      </c>
      <c r="Y2244" s="155" t="s">
        <v>64</v>
      </c>
      <c r="Z2244" s="154" t="s">
        <v>60</v>
      </c>
      <c r="AA2244" s="154"/>
      <c r="AB2244" s="242" t="str">
        <f t="shared" si="2"/>
        <v>#ERROR!</v>
      </c>
      <c r="AC2244" s="154" t="s">
        <v>391</v>
      </c>
      <c r="AD2244" s="242" t="b">
        <f t="shared" si="3"/>
        <v>0</v>
      </c>
      <c r="AE2244" s="154"/>
      <c r="AF2244" s="242" t="str">
        <f t="shared" si="4"/>
        <v>#ERROR!</v>
      </c>
      <c r="AG2244" s="154"/>
      <c r="AH2244" s="242" t="str">
        <f>IF(AG2244="","N/A",INDIRECT("MTR!"&amp;ADDRESS(MATCH(LEFT(AG2244,9),[1]MTR!C:C,0),COLUMN(J2244)),TRUE) &amp; "")</f>
        <v>#ERROR!</v>
      </c>
      <c r="AI2244" s="157" t="str">
        <f t="shared" si="5"/>
        <v>#ERROR!</v>
      </c>
    </row>
    <row r="2245" ht="12.75" customHeight="1">
      <c r="A2245" s="244" t="s">
        <v>5158</v>
      </c>
      <c r="B2245" s="244" t="s">
        <v>231</v>
      </c>
      <c r="C2245" s="244" t="s">
        <v>12214</v>
      </c>
      <c r="D2245" s="154" t="s">
        <v>861</v>
      </c>
      <c r="E2245" s="154"/>
      <c r="F2245" s="154" t="str">
        <f t="array" ref="F2245">XLOOKUP(Cover!$D$12,$R$1:$Z$1,$R2245:$Z2245)</f>
        <v>Mandatory</v>
      </c>
      <c r="G2245" s="154" t="s">
        <v>12215</v>
      </c>
      <c r="H2245" s="154" t="s">
        <v>9006</v>
      </c>
      <c r="I2245" s="154" t="s">
        <v>12213</v>
      </c>
      <c r="J2245" s="154" t="s">
        <v>6911</v>
      </c>
      <c r="K2245" s="154" t="s">
        <v>12146</v>
      </c>
      <c r="L2245" s="154" t="s">
        <v>6428</v>
      </c>
      <c r="M2245" s="154" t="s">
        <v>175</v>
      </c>
      <c r="N2245" s="154" t="s">
        <v>759</v>
      </c>
      <c r="O2245" s="247" t="s">
        <v>516</v>
      </c>
      <c r="P2245" s="247" t="s">
        <v>6776</v>
      </c>
      <c r="Q2245" s="154" t="str">
        <f t="shared" si="1"/>
        <v>#ERROR!</v>
      </c>
      <c r="R2245" s="154" t="s">
        <v>66</v>
      </c>
      <c r="S2245" s="154" t="s">
        <v>66</v>
      </c>
      <c r="T2245" s="155" t="s">
        <v>64</v>
      </c>
      <c r="U2245" s="155" t="s">
        <v>64</v>
      </c>
      <c r="V2245" s="154" t="s">
        <v>60</v>
      </c>
      <c r="W2245" s="154" t="s">
        <v>60</v>
      </c>
      <c r="X2245" s="154" t="s">
        <v>66</v>
      </c>
      <c r="Y2245" s="155" t="s">
        <v>64</v>
      </c>
      <c r="Z2245" s="154" t="s">
        <v>60</v>
      </c>
      <c r="AA2245" s="154"/>
      <c r="AB2245" s="242" t="str">
        <f t="shared" si="2"/>
        <v>#ERROR!</v>
      </c>
      <c r="AC2245" s="154" t="s">
        <v>391</v>
      </c>
      <c r="AD2245" s="242" t="b">
        <f t="shared" si="3"/>
        <v>0</v>
      </c>
      <c r="AE2245" s="154"/>
      <c r="AF2245" s="242" t="str">
        <f t="shared" si="4"/>
        <v>#ERROR!</v>
      </c>
      <c r="AG2245" s="154"/>
      <c r="AH2245" s="242" t="str">
        <f>IF(AG2245="","N/A",INDIRECT("MTR!"&amp;ADDRESS(MATCH(LEFT(AG2245,9),[1]MTR!C:C,0),COLUMN(J2245)),TRUE) &amp; "")</f>
        <v>#ERROR!</v>
      </c>
      <c r="AI2245" s="157" t="str">
        <f t="shared" si="5"/>
        <v>#ERROR!</v>
      </c>
    </row>
    <row r="2246" ht="12.75" customHeight="1">
      <c r="A2246" s="244" t="s">
        <v>5158</v>
      </c>
      <c r="B2246" s="244" t="s">
        <v>231</v>
      </c>
      <c r="C2246" s="244" t="s">
        <v>12216</v>
      </c>
      <c r="D2246" s="154" t="s">
        <v>861</v>
      </c>
      <c r="E2246" s="154"/>
      <c r="F2246" s="154" t="str">
        <f t="array" ref="F2246">XLOOKUP(Cover!$D$12,$R$1:$Z$1,$R2246:$Z2246)</f>
        <v>Recommended</v>
      </c>
      <c r="G2246" s="154" t="s">
        <v>12217</v>
      </c>
      <c r="H2246" s="154" t="s">
        <v>9009</v>
      </c>
      <c r="I2246" s="154" t="s">
        <v>12213</v>
      </c>
      <c r="J2246" s="154" t="s">
        <v>6911</v>
      </c>
      <c r="K2246" s="154" t="s">
        <v>12146</v>
      </c>
      <c r="L2246" s="154" t="s">
        <v>6428</v>
      </c>
      <c r="M2246" s="154"/>
      <c r="N2246" s="154" t="s">
        <v>759</v>
      </c>
      <c r="O2246" s="247" t="s">
        <v>516</v>
      </c>
      <c r="P2246" s="247" t="s">
        <v>6776</v>
      </c>
      <c r="Q2246" s="154" t="str">
        <f t="shared" si="1"/>
        <v>#ERROR!</v>
      </c>
      <c r="R2246" s="154" t="s">
        <v>66</v>
      </c>
      <c r="S2246" s="154" t="s">
        <v>66</v>
      </c>
      <c r="T2246" s="154" t="s">
        <v>64</v>
      </c>
      <c r="U2246" s="154" t="s">
        <v>64</v>
      </c>
      <c r="V2246" s="154" t="s">
        <v>64</v>
      </c>
      <c r="W2246" s="154" t="s">
        <v>64</v>
      </c>
      <c r="X2246" s="154" t="s">
        <v>66</v>
      </c>
      <c r="Y2246" s="154" t="s">
        <v>64</v>
      </c>
      <c r="Z2246" s="154" t="s">
        <v>64</v>
      </c>
      <c r="AA2246" s="154"/>
      <c r="AB2246" s="242" t="str">
        <f t="shared" si="2"/>
        <v>#ERROR!</v>
      </c>
      <c r="AC2246" s="154" t="s">
        <v>391</v>
      </c>
      <c r="AD2246" s="242" t="b">
        <f t="shared" si="3"/>
        <v>0</v>
      </c>
      <c r="AE2246" s="154"/>
      <c r="AF2246" s="242" t="str">
        <f t="shared" si="4"/>
        <v>#ERROR!</v>
      </c>
      <c r="AG2246" s="154"/>
      <c r="AH2246" s="242" t="str">
        <f>IF(AG2246="","N/A",INDIRECT("MTR!"&amp;ADDRESS(MATCH(LEFT(AG2246,9),[1]MTR!C:C,0),COLUMN(J2246)),TRUE) &amp; "")</f>
        <v>#ERROR!</v>
      </c>
      <c r="AI2246" s="157" t="str">
        <f t="shared" si="5"/>
        <v>#ERROR!</v>
      </c>
    </row>
    <row r="2247" ht="12.75" customHeight="1">
      <c r="A2247" s="244" t="s">
        <v>5158</v>
      </c>
      <c r="B2247" s="244" t="s">
        <v>231</v>
      </c>
      <c r="C2247" s="244" t="s">
        <v>12218</v>
      </c>
      <c r="D2247" s="154" t="s">
        <v>503</v>
      </c>
      <c r="E2247" s="154"/>
      <c r="F2247" s="154" t="str">
        <f t="array" ref="F2247">XLOOKUP(Cover!$D$12,$R$1:$Z$1,$R2247:$Z2247)</f>
        <v>Mandatory</v>
      </c>
      <c r="G2247" s="154" t="s">
        <v>12219</v>
      </c>
      <c r="H2247" s="154" t="s">
        <v>9002</v>
      </c>
      <c r="I2247" s="154" t="s">
        <v>12220</v>
      </c>
      <c r="J2247" s="154" t="s">
        <v>6919</v>
      </c>
      <c r="K2247" s="154" t="s">
        <v>12146</v>
      </c>
      <c r="L2247" s="154" t="s">
        <v>7431</v>
      </c>
      <c r="M2247" s="154" t="s">
        <v>175</v>
      </c>
      <c r="N2247" s="154" t="s">
        <v>759</v>
      </c>
      <c r="O2247" s="247" t="s">
        <v>516</v>
      </c>
      <c r="P2247" s="247" t="s">
        <v>6776</v>
      </c>
      <c r="Q2247" s="154" t="str">
        <f t="shared" si="1"/>
        <v>#ERROR!</v>
      </c>
      <c r="R2247" s="154" t="s">
        <v>66</v>
      </c>
      <c r="S2247" s="154" t="s">
        <v>66</v>
      </c>
      <c r="T2247" s="155" t="s">
        <v>64</v>
      </c>
      <c r="U2247" s="155" t="s">
        <v>64</v>
      </c>
      <c r="V2247" s="154" t="s">
        <v>60</v>
      </c>
      <c r="W2247" s="154" t="s">
        <v>60</v>
      </c>
      <c r="X2247" s="154" t="s">
        <v>66</v>
      </c>
      <c r="Y2247" s="155" t="s">
        <v>64</v>
      </c>
      <c r="Z2247" s="154" t="s">
        <v>60</v>
      </c>
      <c r="AA2247" s="154"/>
      <c r="AB2247" s="242" t="str">
        <f t="shared" si="2"/>
        <v>#ERROR!</v>
      </c>
      <c r="AC2247" s="154" t="s">
        <v>391</v>
      </c>
      <c r="AD2247" s="242" t="b">
        <f t="shared" si="3"/>
        <v>0</v>
      </c>
      <c r="AE2247" s="154"/>
      <c r="AF2247" s="242" t="str">
        <f t="shared" si="4"/>
        <v>#ERROR!</v>
      </c>
      <c r="AG2247" s="154"/>
      <c r="AH2247" s="242" t="str">
        <f>IF(AG2247="","N/A",INDIRECT("MTR!"&amp;ADDRESS(MATCH(LEFT(AG2247,9),[1]MTR!C:C,0),COLUMN(J2247)),TRUE) &amp; "")</f>
        <v>#ERROR!</v>
      </c>
      <c r="AI2247" s="157" t="str">
        <f t="shared" si="5"/>
        <v>#ERROR!</v>
      </c>
    </row>
    <row r="2248" ht="12.75" customHeight="1">
      <c r="A2248" s="244" t="s">
        <v>5158</v>
      </c>
      <c r="B2248" s="244" t="s">
        <v>231</v>
      </c>
      <c r="C2248" s="244" t="s">
        <v>12221</v>
      </c>
      <c r="D2248" s="154" t="s">
        <v>503</v>
      </c>
      <c r="E2248" s="154"/>
      <c r="F2248" s="154" t="str">
        <f t="array" ref="F2248">XLOOKUP(Cover!$D$12,$R$1:$Z$1,$R2248:$Z2248)</f>
        <v>Mandatory</v>
      </c>
      <c r="G2248" s="154" t="s">
        <v>12222</v>
      </c>
      <c r="H2248" s="154" t="s">
        <v>9006</v>
      </c>
      <c r="I2248" s="154" t="s">
        <v>12220</v>
      </c>
      <c r="J2248" s="154" t="s">
        <v>6919</v>
      </c>
      <c r="K2248" s="154" t="s">
        <v>12146</v>
      </c>
      <c r="L2248" s="154" t="s">
        <v>7431</v>
      </c>
      <c r="M2248" s="154" t="s">
        <v>175</v>
      </c>
      <c r="N2248" s="154" t="s">
        <v>759</v>
      </c>
      <c r="O2248" s="247" t="s">
        <v>516</v>
      </c>
      <c r="P2248" s="247" t="s">
        <v>6776</v>
      </c>
      <c r="Q2248" s="154" t="str">
        <f t="shared" si="1"/>
        <v>#ERROR!</v>
      </c>
      <c r="R2248" s="154" t="s">
        <v>66</v>
      </c>
      <c r="S2248" s="154" t="s">
        <v>66</v>
      </c>
      <c r="T2248" s="155" t="s">
        <v>64</v>
      </c>
      <c r="U2248" s="155" t="s">
        <v>64</v>
      </c>
      <c r="V2248" s="154" t="s">
        <v>60</v>
      </c>
      <c r="W2248" s="154" t="s">
        <v>60</v>
      </c>
      <c r="X2248" s="154" t="s">
        <v>66</v>
      </c>
      <c r="Y2248" s="155" t="s">
        <v>64</v>
      </c>
      <c r="Z2248" s="154" t="s">
        <v>60</v>
      </c>
      <c r="AA2248" s="154"/>
      <c r="AB2248" s="242" t="str">
        <f t="shared" si="2"/>
        <v>#ERROR!</v>
      </c>
      <c r="AC2248" s="154" t="s">
        <v>391</v>
      </c>
      <c r="AD2248" s="242" t="b">
        <f t="shared" si="3"/>
        <v>0</v>
      </c>
      <c r="AE2248" s="154"/>
      <c r="AF2248" s="242" t="str">
        <f t="shared" si="4"/>
        <v>#ERROR!</v>
      </c>
      <c r="AG2248" s="154"/>
      <c r="AH2248" s="242" t="str">
        <f>IF(AG2248="","N/A",INDIRECT("MTR!"&amp;ADDRESS(MATCH(LEFT(AG2248,9),[1]MTR!C:C,0),COLUMN(J2248)),TRUE) &amp; "")</f>
        <v>#ERROR!</v>
      </c>
      <c r="AI2248" s="157" t="str">
        <f t="shared" si="5"/>
        <v>#ERROR!</v>
      </c>
    </row>
    <row r="2249" ht="12.75" customHeight="1">
      <c r="A2249" s="244" t="s">
        <v>5158</v>
      </c>
      <c r="B2249" s="244" t="s">
        <v>231</v>
      </c>
      <c r="C2249" s="244" t="s">
        <v>12223</v>
      </c>
      <c r="D2249" s="154" t="s">
        <v>503</v>
      </c>
      <c r="E2249" s="154"/>
      <c r="F2249" s="154" t="str">
        <f t="array" ref="F2249">XLOOKUP(Cover!$D$12,$R$1:$Z$1,$R2249:$Z2249)</f>
        <v>Mandatory</v>
      </c>
      <c r="G2249" s="154" t="s">
        <v>12224</v>
      </c>
      <c r="H2249" s="154" t="s">
        <v>9015</v>
      </c>
      <c r="I2249" s="154" t="s">
        <v>12220</v>
      </c>
      <c r="J2249" s="154" t="s">
        <v>6919</v>
      </c>
      <c r="K2249" s="154" t="s">
        <v>12146</v>
      </c>
      <c r="L2249" s="154" t="s">
        <v>7431</v>
      </c>
      <c r="M2249" s="154" t="s">
        <v>175</v>
      </c>
      <c r="N2249" s="154" t="s">
        <v>759</v>
      </c>
      <c r="O2249" s="247" t="s">
        <v>516</v>
      </c>
      <c r="P2249" s="247" t="s">
        <v>6776</v>
      </c>
      <c r="Q2249" s="154" t="str">
        <f t="shared" si="1"/>
        <v>#ERROR!</v>
      </c>
      <c r="R2249" s="154" t="s">
        <v>66</v>
      </c>
      <c r="S2249" s="154" t="s">
        <v>66</v>
      </c>
      <c r="T2249" s="155" t="s">
        <v>64</v>
      </c>
      <c r="U2249" s="155" t="s">
        <v>64</v>
      </c>
      <c r="V2249" s="154" t="s">
        <v>60</v>
      </c>
      <c r="W2249" s="154" t="s">
        <v>60</v>
      </c>
      <c r="X2249" s="154" t="s">
        <v>66</v>
      </c>
      <c r="Y2249" s="155" t="s">
        <v>64</v>
      </c>
      <c r="Z2249" s="154" t="s">
        <v>60</v>
      </c>
      <c r="AA2249" s="154"/>
      <c r="AB2249" s="242" t="str">
        <f t="shared" si="2"/>
        <v>#ERROR!</v>
      </c>
      <c r="AC2249" s="154" t="s">
        <v>391</v>
      </c>
      <c r="AD2249" s="242" t="b">
        <f t="shared" si="3"/>
        <v>0</v>
      </c>
      <c r="AE2249" s="154"/>
      <c r="AF2249" s="242" t="str">
        <f t="shared" si="4"/>
        <v>#ERROR!</v>
      </c>
      <c r="AG2249" s="154"/>
      <c r="AH2249" s="242" t="str">
        <f>IF(AG2249="","N/A",INDIRECT("MTR!"&amp;ADDRESS(MATCH(LEFT(AG2249,9),[1]MTR!C:C,0),COLUMN(J2249)),TRUE) &amp; "")</f>
        <v>#ERROR!</v>
      </c>
      <c r="AI2249" s="157" t="str">
        <f t="shared" si="5"/>
        <v>#ERROR!</v>
      </c>
    </row>
    <row r="2250" ht="12.75" customHeight="1">
      <c r="A2250" s="244" t="s">
        <v>5158</v>
      </c>
      <c r="B2250" s="244" t="s">
        <v>231</v>
      </c>
      <c r="C2250" s="244" t="s">
        <v>12225</v>
      </c>
      <c r="D2250" s="154" t="s">
        <v>861</v>
      </c>
      <c r="E2250" s="154"/>
      <c r="F2250" s="154" t="str">
        <f t="array" ref="F2250">XLOOKUP(Cover!$D$12,$R$1:$Z$1,$R2250:$Z2250)</f>
        <v>Information</v>
      </c>
      <c r="G2250" s="154" t="s">
        <v>12226</v>
      </c>
      <c r="H2250" s="154" t="s">
        <v>9002</v>
      </c>
      <c r="I2250" s="154" t="s">
        <v>12227</v>
      </c>
      <c r="J2250" s="154" t="s">
        <v>8662</v>
      </c>
      <c r="K2250" s="154" t="s">
        <v>12146</v>
      </c>
      <c r="L2250" s="154" t="s">
        <v>6428</v>
      </c>
      <c r="M2250" s="154"/>
      <c r="N2250" s="154" t="s">
        <v>759</v>
      </c>
      <c r="O2250" s="247" t="s">
        <v>516</v>
      </c>
      <c r="P2250" s="247" t="s">
        <v>5876</v>
      </c>
      <c r="Q2250" s="154" t="str">
        <f t="shared" si="1"/>
        <v>#ERROR!</v>
      </c>
      <c r="R2250" s="154" t="s">
        <v>66</v>
      </c>
      <c r="S2250" s="154" t="s">
        <v>66</v>
      </c>
      <c r="T2250" s="154" t="s">
        <v>66</v>
      </c>
      <c r="U2250" s="154" t="s">
        <v>66</v>
      </c>
      <c r="V2250" s="154" t="s">
        <v>66</v>
      </c>
      <c r="W2250" s="154" t="s">
        <v>66</v>
      </c>
      <c r="X2250" s="154" t="s">
        <v>66</v>
      </c>
      <c r="Y2250" s="154" t="s">
        <v>66</v>
      </c>
      <c r="Z2250" s="154" t="s">
        <v>66</v>
      </c>
      <c r="AA2250" s="154"/>
      <c r="AB2250" s="242" t="str">
        <f t="shared" si="2"/>
        <v>#ERROR!</v>
      </c>
      <c r="AC2250" s="154" t="s">
        <v>391</v>
      </c>
      <c r="AD2250" s="242" t="b">
        <f t="shared" si="3"/>
        <v>0</v>
      </c>
      <c r="AE2250" s="154"/>
      <c r="AF2250" s="242" t="str">
        <f t="shared" si="4"/>
        <v>#ERROR!</v>
      </c>
      <c r="AG2250" s="154"/>
      <c r="AH2250" s="242" t="str">
        <f>IF(AG2250="","N/A",INDIRECT("MTR!"&amp;ADDRESS(MATCH(LEFT(AG2250,9),[1]MTR!C:C,0),COLUMN(J2250)),TRUE) &amp; "")</f>
        <v>#ERROR!</v>
      </c>
      <c r="AI2250" s="157" t="str">
        <f t="shared" si="5"/>
        <v>#ERROR!</v>
      </c>
    </row>
    <row r="2251" ht="12.75" customHeight="1">
      <c r="A2251" s="244" t="s">
        <v>5158</v>
      </c>
      <c r="B2251" s="244" t="s">
        <v>231</v>
      </c>
      <c r="C2251" s="244" t="s">
        <v>12228</v>
      </c>
      <c r="D2251" s="154" t="s">
        <v>861</v>
      </c>
      <c r="E2251" s="154"/>
      <c r="F2251" s="154" t="str">
        <f t="array" ref="F2251">XLOOKUP(Cover!$D$12,$R$1:$Z$1,$R2251:$Z2251)</f>
        <v>Information</v>
      </c>
      <c r="G2251" s="154" t="s">
        <v>12229</v>
      </c>
      <c r="H2251" s="154" t="s">
        <v>9009</v>
      </c>
      <c r="I2251" s="154" t="s">
        <v>12227</v>
      </c>
      <c r="J2251" s="154" t="s">
        <v>8662</v>
      </c>
      <c r="K2251" s="154" t="s">
        <v>12146</v>
      </c>
      <c r="L2251" s="154" t="s">
        <v>6428</v>
      </c>
      <c r="M2251" s="154"/>
      <c r="N2251" s="154" t="s">
        <v>759</v>
      </c>
      <c r="O2251" s="247" t="s">
        <v>516</v>
      </c>
      <c r="P2251" s="247" t="s">
        <v>5876</v>
      </c>
      <c r="Q2251" s="154" t="str">
        <f t="shared" si="1"/>
        <v>#ERROR!</v>
      </c>
      <c r="R2251" s="154" t="s">
        <v>66</v>
      </c>
      <c r="S2251" s="154" t="s">
        <v>66</v>
      </c>
      <c r="T2251" s="154" t="s">
        <v>66</v>
      </c>
      <c r="U2251" s="154" t="s">
        <v>66</v>
      </c>
      <c r="V2251" s="154" t="s">
        <v>66</v>
      </c>
      <c r="W2251" s="154" t="s">
        <v>66</v>
      </c>
      <c r="X2251" s="154" t="s">
        <v>66</v>
      </c>
      <c r="Y2251" s="154" t="s">
        <v>66</v>
      </c>
      <c r="Z2251" s="154" t="s">
        <v>66</v>
      </c>
      <c r="AA2251" s="154"/>
      <c r="AB2251" s="242" t="str">
        <f t="shared" si="2"/>
        <v>#ERROR!</v>
      </c>
      <c r="AC2251" s="154" t="s">
        <v>391</v>
      </c>
      <c r="AD2251" s="242" t="b">
        <f t="shared" si="3"/>
        <v>0</v>
      </c>
      <c r="AE2251" s="154"/>
      <c r="AF2251" s="242" t="str">
        <f t="shared" si="4"/>
        <v>#ERROR!</v>
      </c>
      <c r="AG2251" s="154"/>
      <c r="AH2251" s="242" t="str">
        <f>IF(AG2251="","N/A",INDIRECT("MTR!"&amp;ADDRESS(MATCH(LEFT(AG2251,9),[1]MTR!C:C,0),COLUMN(J2251)),TRUE) &amp; "")</f>
        <v>#ERROR!</v>
      </c>
      <c r="AI2251" s="157" t="str">
        <f t="shared" si="5"/>
        <v>#ERROR!</v>
      </c>
    </row>
    <row r="2252" ht="12.75" customHeight="1">
      <c r="A2252" s="244" t="s">
        <v>5158</v>
      </c>
      <c r="B2252" s="244" t="s">
        <v>231</v>
      </c>
      <c r="C2252" s="244" t="s">
        <v>12230</v>
      </c>
      <c r="D2252" s="154" t="s">
        <v>503</v>
      </c>
      <c r="E2252" s="154"/>
      <c r="F2252" s="154" t="str">
        <f t="array" ref="F2252">XLOOKUP(Cover!$D$12,$R$1:$Z$1,$R2252:$Z2252)</f>
        <v>Mandatory</v>
      </c>
      <c r="G2252" s="154" t="s">
        <v>12231</v>
      </c>
      <c r="H2252" s="154" t="s">
        <v>9002</v>
      </c>
      <c r="I2252" s="154" t="s">
        <v>12232</v>
      </c>
      <c r="J2252" s="154" t="s">
        <v>7502</v>
      </c>
      <c r="K2252" s="154" t="s">
        <v>12146</v>
      </c>
      <c r="L2252" s="154" t="s">
        <v>7431</v>
      </c>
      <c r="M2252" s="154" t="s">
        <v>175</v>
      </c>
      <c r="N2252" s="154" t="s">
        <v>759</v>
      </c>
      <c r="O2252" s="247" t="s">
        <v>516</v>
      </c>
      <c r="P2252" s="247" t="s">
        <v>6776</v>
      </c>
      <c r="Q2252" s="154" t="str">
        <f t="shared" si="1"/>
        <v>#ERROR!</v>
      </c>
      <c r="R2252" s="154" t="s">
        <v>66</v>
      </c>
      <c r="S2252" s="154" t="s">
        <v>66</v>
      </c>
      <c r="T2252" s="155" t="s">
        <v>64</v>
      </c>
      <c r="U2252" s="155" t="s">
        <v>64</v>
      </c>
      <c r="V2252" s="154" t="s">
        <v>60</v>
      </c>
      <c r="W2252" s="154" t="s">
        <v>60</v>
      </c>
      <c r="X2252" s="154" t="s">
        <v>66</v>
      </c>
      <c r="Y2252" s="155" t="s">
        <v>64</v>
      </c>
      <c r="Z2252" s="154" t="s">
        <v>60</v>
      </c>
      <c r="AA2252" s="154"/>
      <c r="AB2252" s="242" t="str">
        <f t="shared" si="2"/>
        <v>#ERROR!</v>
      </c>
      <c r="AC2252" s="154" t="s">
        <v>391</v>
      </c>
      <c r="AD2252" s="242" t="b">
        <f t="shared" si="3"/>
        <v>0</v>
      </c>
      <c r="AE2252" s="154"/>
      <c r="AF2252" s="242" t="str">
        <f t="shared" si="4"/>
        <v>#ERROR!</v>
      </c>
      <c r="AG2252" s="154"/>
      <c r="AH2252" s="242" t="str">
        <f>IF(AG2252="","N/A",INDIRECT("MTR!"&amp;ADDRESS(MATCH(LEFT(AG2252,9),[1]MTR!C:C,0),COLUMN(J2252)),TRUE) &amp; "")</f>
        <v>#ERROR!</v>
      </c>
      <c r="AI2252" s="157" t="str">
        <f t="shared" si="5"/>
        <v>#ERROR!</v>
      </c>
    </row>
    <row r="2253" ht="12.75" customHeight="1">
      <c r="A2253" s="244" t="s">
        <v>5158</v>
      </c>
      <c r="B2253" s="244" t="s">
        <v>231</v>
      </c>
      <c r="C2253" s="244" t="s">
        <v>12233</v>
      </c>
      <c r="D2253" s="154" t="s">
        <v>503</v>
      </c>
      <c r="E2253" s="154"/>
      <c r="F2253" s="154" t="str">
        <f t="array" ref="F2253">XLOOKUP(Cover!$D$12,$R$1:$Z$1,$R2253:$Z2253)</f>
        <v>Recommended</v>
      </c>
      <c r="G2253" s="154" t="s">
        <v>12234</v>
      </c>
      <c r="H2253" s="154" t="s">
        <v>9009</v>
      </c>
      <c r="I2253" s="154" t="s">
        <v>12232</v>
      </c>
      <c r="J2253" s="154" t="s">
        <v>7502</v>
      </c>
      <c r="K2253" s="154" t="s">
        <v>12146</v>
      </c>
      <c r="L2253" s="154" t="s">
        <v>7431</v>
      </c>
      <c r="M2253" s="154"/>
      <c r="N2253" s="154" t="s">
        <v>759</v>
      </c>
      <c r="O2253" s="247" t="s">
        <v>516</v>
      </c>
      <c r="P2253" s="247" t="s">
        <v>6776</v>
      </c>
      <c r="Q2253" s="154" t="str">
        <f t="shared" si="1"/>
        <v>#ERROR!</v>
      </c>
      <c r="R2253" s="154" t="s">
        <v>66</v>
      </c>
      <c r="S2253" s="154" t="s">
        <v>66</v>
      </c>
      <c r="T2253" s="154" t="s">
        <v>64</v>
      </c>
      <c r="U2253" s="154" t="s">
        <v>64</v>
      </c>
      <c r="V2253" s="154" t="s">
        <v>64</v>
      </c>
      <c r="W2253" s="154" t="s">
        <v>64</v>
      </c>
      <c r="X2253" s="154" t="s">
        <v>66</v>
      </c>
      <c r="Y2253" s="154" t="s">
        <v>64</v>
      </c>
      <c r="Z2253" s="154" t="s">
        <v>64</v>
      </c>
      <c r="AA2253" s="154"/>
      <c r="AB2253" s="242" t="str">
        <f t="shared" si="2"/>
        <v>#ERROR!</v>
      </c>
      <c r="AC2253" s="154" t="s">
        <v>391</v>
      </c>
      <c r="AD2253" s="242" t="b">
        <f t="shared" si="3"/>
        <v>0</v>
      </c>
      <c r="AE2253" s="154"/>
      <c r="AF2253" s="242" t="str">
        <f t="shared" si="4"/>
        <v>#ERROR!</v>
      </c>
      <c r="AG2253" s="154"/>
      <c r="AH2253" s="242" t="str">
        <f>IF(AG2253="","N/A",INDIRECT("MTR!"&amp;ADDRESS(MATCH(LEFT(AG2253,9),[1]MTR!C:C,0),COLUMN(J2253)),TRUE) &amp; "")</f>
        <v>#ERROR!</v>
      </c>
      <c r="AI2253" s="157" t="str">
        <f t="shared" si="5"/>
        <v>#ERROR!</v>
      </c>
    </row>
    <row r="2254" ht="12.75" customHeight="1">
      <c r="A2254" s="244" t="s">
        <v>5158</v>
      </c>
      <c r="B2254" s="244" t="s">
        <v>231</v>
      </c>
      <c r="C2254" s="244" t="s">
        <v>12235</v>
      </c>
      <c r="D2254" s="154" t="s">
        <v>503</v>
      </c>
      <c r="E2254" s="154"/>
      <c r="F2254" s="154" t="str">
        <f t="array" ref="F2254">XLOOKUP(Cover!$D$12,$R$1:$Z$1,$R2254:$Z2254)</f>
        <v>Mandatory</v>
      </c>
      <c r="G2254" s="154" t="s">
        <v>12236</v>
      </c>
      <c r="H2254" s="154" t="s">
        <v>9015</v>
      </c>
      <c r="I2254" s="154" t="s">
        <v>12232</v>
      </c>
      <c r="J2254" s="154" t="s">
        <v>7502</v>
      </c>
      <c r="K2254" s="154" t="s">
        <v>12146</v>
      </c>
      <c r="L2254" s="154" t="s">
        <v>7431</v>
      </c>
      <c r="M2254" s="154" t="s">
        <v>175</v>
      </c>
      <c r="N2254" s="154" t="s">
        <v>759</v>
      </c>
      <c r="O2254" s="247" t="s">
        <v>516</v>
      </c>
      <c r="P2254" s="247" t="s">
        <v>6776</v>
      </c>
      <c r="Q2254" s="154" t="str">
        <f t="shared" si="1"/>
        <v>#ERROR!</v>
      </c>
      <c r="R2254" s="154" t="s">
        <v>66</v>
      </c>
      <c r="S2254" s="154" t="s">
        <v>66</v>
      </c>
      <c r="T2254" s="155" t="s">
        <v>64</v>
      </c>
      <c r="U2254" s="155" t="s">
        <v>64</v>
      </c>
      <c r="V2254" s="154" t="s">
        <v>60</v>
      </c>
      <c r="W2254" s="154" t="s">
        <v>60</v>
      </c>
      <c r="X2254" s="154" t="s">
        <v>66</v>
      </c>
      <c r="Y2254" s="155" t="s">
        <v>64</v>
      </c>
      <c r="Z2254" s="154" t="s">
        <v>60</v>
      </c>
      <c r="AA2254" s="154"/>
      <c r="AB2254" s="242" t="str">
        <f t="shared" si="2"/>
        <v>#ERROR!</v>
      </c>
      <c r="AC2254" s="154" t="s">
        <v>391</v>
      </c>
      <c r="AD2254" s="242" t="b">
        <f t="shared" si="3"/>
        <v>0</v>
      </c>
      <c r="AE2254" s="154"/>
      <c r="AF2254" s="242" t="str">
        <f t="shared" si="4"/>
        <v>#ERROR!</v>
      </c>
      <c r="AG2254" s="154"/>
      <c r="AH2254" s="242" t="str">
        <f>IF(AG2254="","N/A",INDIRECT("MTR!"&amp;ADDRESS(MATCH(LEFT(AG2254,9),[1]MTR!C:C,0),COLUMN(J2254)),TRUE) &amp; "")</f>
        <v>#ERROR!</v>
      </c>
      <c r="AI2254" s="157" t="str">
        <f t="shared" si="5"/>
        <v>#ERROR!</v>
      </c>
    </row>
    <row r="2255" ht="12.75" customHeight="1">
      <c r="A2255" s="244" t="s">
        <v>5158</v>
      </c>
      <c r="B2255" s="244" t="s">
        <v>231</v>
      </c>
      <c r="C2255" s="244" t="s">
        <v>12237</v>
      </c>
      <c r="D2255" s="154" t="s">
        <v>602</v>
      </c>
      <c r="E2255" s="154"/>
      <c r="F2255" s="154" t="str">
        <f t="array" ref="F2255">XLOOKUP(Cover!$D$12,$R$1:$Z$1,$R2255:$Z2255)</f>
        <v>Mandatory</v>
      </c>
      <c r="G2255" s="154" t="s">
        <v>12238</v>
      </c>
      <c r="H2255" s="154" t="s">
        <v>9002</v>
      </c>
      <c r="I2255" s="154" t="s">
        <v>12239</v>
      </c>
      <c r="J2255" s="154" t="s">
        <v>7478</v>
      </c>
      <c r="K2255" s="154" t="s">
        <v>12146</v>
      </c>
      <c r="L2255" s="154" t="s">
        <v>6525</v>
      </c>
      <c r="M2255" s="154" t="s">
        <v>175</v>
      </c>
      <c r="N2255" s="154" t="s">
        <v>759</v>
      </c>
      <c r="O2255" s="247" t="s">
        <v>516</v>
      </c>
      <c r="P2255" s="247" t="s">
        <v>6776</v>
      </c>
      <c r="Q2255" s="154" t="str">
        <f t="shared" si="1"/>
        <v>#ERROR!</v>
      </c>
      <c r="R2255" s="154" t="s">
        <v>66</v>
      </c>
      <c r="S2255" s="154" t="s">
        <v>66</v>
      </c>
      <c r="T2255" s="155" t="s">
        <v>64</v>
      </c>
      <c r="U2255" s="155" t="s">
        <v>64</v>
      </c>
      <c r="V2255" s="154" t="s">
        <v>60</v>
      </c>
      <c r="W2255" s="154" t="s">
        <v>60</v>
      </c>
      <c r="X2255" s="154" t="s">
        <v>66</v>
      </c>
      <c r="Y2255" s="155" t="s">
        <v>64</v>
      </c>
      <c r="Z2255" s="154" t="s">
        <v>60</v>
      </c>
      <c r="AA2255" s="154"/>
      <c r="AB2255" s="242" t="str">
        <f t="shared" si="2"/>
        <v>#ERROR!</v>
      </c>
      <c r="AC2255" s="154" t="s">
        <v>391</v>
      </c>
      <c r="AD2255" s="242" t="b">
        <f t="shared" si="3"/>
        <v>0</v>
      </c>
      <c r="AE2255" s="154"/>
      <c r="AF2255" s="242" t="str">
        <f t="shared" si="4"/>
        <v>#ERROR!</v>
      </c>
      <c r="AG2255" s="154"/>
      <c r="AH2255" s="242" t="str">
        <f>IF(AG2255="","N/A",INDIRECT("MTR!"&amp;ADDRESS(MATCH(LEFT(AG2255,9),[1]MTR!C:C,0),COLUMN(J2255)),TRUE) &amp; "")</f>
        <v>#ERROR!</v>
      </c>
      <c r="AI2255" s="157" t="str">
        <f t="shared" si="5"/>
        <v>#ERROR!</v>
      </c>
    </row>
    <row r="2256" ht="12.75" customHeight="1">
      <c r="A2256" s="244" t="s">
        <v>5158</v>
      </c>
      <c r="B2256" s="244" t="s">
        <v>231</v>
      </c>
      <c r="C2256" s="244" t="s">
        <v>12240</v>
      </c>
      <c r="D2256" s="154" t="s">
        <v>602</v>
      </c>
      <c r="E2256" s="154"/>
      <c r="F2256" s="154" t="str">
        <f t="array" ref="F2256">XLOOKUP(Cover!$D$12,$R$1:$Z$1,$R2256:$Z2256)</f>
        <v>Mandatory</v>
      </c>
      <c r="G2256" s="154" t="s">
        <v>12241</v>
      </c>
      <c r="H2256" s="154" t="s">
        <v>9006</v>
      </c>
      <c r="I2256" s="154" t="s">
        <v>12239</v>
      </c>
      <c r="J2256" s="154" t="s">
        <v>7478</v>
      </c>
      <c r="K2256" s="154" t="s">
        <v>12146</v>
      </c>
      <c r="L2256" s="154" t="s">
        <v>6525</v>
      </c>
      <c r="M2256" s="154" t="s">
        <v>175</v>
      </c>
      <c r="N2256" s="154" t="s">
        <v>759</v>
      </c>
      <c r="O2256" s="247" t="s">
        <v>516</v>
      </c>
      <c r="P2256" s="247" t="s">
        <v>6776</v>
      </c>
      <c r="Q2256" s="154" t="str">
        <f t="shared" si="1"/>
        <v>#ERROR!</v>
      </c>
      <c r="R2256" s="154" t="s">
        <v>66</v>
      </c>
      <c r="S2256" s="154" t="s">
        <v>66</v>
      </c>
      <c r="T2256" s="155" t="s">
        <v>64</v>
      </c>
      <c r="U2256" s="155" t="s">
        <v>64</v>
      </c>
      <c r="V2256" s="154" t="s">
        <v>60</v>
      </c>
      <c r="W2256" s="154" t="s">
        <v>60</v>
      </c>
      <c r="X2256" s="154" t="s">
        <v>66</v>
      </c>
      <c r="Y2256" s="155" t="s">
        <v>64</v>
      </c>
      <c r="Z2256" s="154" t="s">
        <v>60</v>
      </c>
      <c r="AA2256" s="154"/>
      <c r="AB2256" s="242" t="str">
        <f t="shared" si="2"/>
        <v>#ERROR!</v>
      </c>
      <c r="AC2256" s="154" t="s">
        <v>391</v>
      </c>
      <c r="AD2256" s="242" t="b">
        <f t="shared" si="3"/>
        <v>0</v>
      </c>
      <c r="AE2256" s="154"/>
      <c r="AF2256" s="242" t="str">
        <f t="shared" si="4"/>
        <v>#ERROR!</v>
      </c>
      <c r="AG2256" s="154"/>
      <c r="AH2256" s="242" t="str">
        <f>IF(AG2256="","N/A",INDIRECT("MTR!"&amp;ADDRESS(MATCH(LEFT(AG2256,9),[1]MTR!C:C,0),COLUMN(J2256)),TRUE) &amp; "")</f>
        <v>#ERROR!</v>
      </c>
      <c r="AI2256" s="157" t="str">
        <f t="shared" si="5"/>
        <v>#ERROR!</v>
      </c>
    </row>
    <row r="2257" ht="12.75" customHeight="1">
      <c r="A2257" s="244" t="s">
        <v>5158</v>
      </c>
      <c r="B2257" s="244" t="s">
        <v>231</v>
      </c>
      <c r="C2257" s="244" t="s">
        <v>12242</v>
      </c>
      <c r="D2257" s="154" t="s">
        <v>602</v>
      </c>
      <c r="E2257" s="154"/>
      <c r="F2257" s="154" t="str">
        <f t="array" ref="F2257">XLOOKUP(Cover!$D$12,$R$1:$Z$1,$R2257:$Z2257)</f>
        <v>Mandatory</v>
      </c>
      <c r="G2257" s="154" t="s">
        <v>12243</v>
      </c>
      <c r="H2257" s="154" t="s">
        <v>1541</v>
      </c>
      <c r="I2257" s="154" t="s">
        <v>12239</v>
      </c>
      <c r="J2257" s="154" t="s">
        <v>7478</v>
      </c>
      <c r="K2257" s="154" t="s">
        <v>12146</v>
      </c>
      <c r="L2257" s="154" t="s">
        <v>6525</v>
      </c>
      <c r="M2257" s="154" t="s">
        <v>175</v>
      </c>
      <c r="N2257" s="154" t="s">
        <v>759</v>
      </c>
      <c r="O2257" s="247" t="s">
        <v>516</v>
      </c>
      <c r="P2257" s="247" t="s">
        <v>6776</v>
      </c>
      <c r="Q2257" s="154" t="str">
        <f t="shared" si="1"/>
        <v>#ERROR!</v>
      </c>
      <c r="R2257" s="154" t="s">
        <v>66</v>
      </c>
      <c r="S2257" s="154" t="s">
        <v>66</v>
      </c>
      <c r="T2257" s="155" t="s">
        <v>64</v>
      </c>
      <c r="U2257" s="155" t="s">
        <v>64</v>
      </c>
      <c r="V2257" s="154" t="s">
        <v>60</v>
      </c>
      <c r="W2257" s="154" t="s">
        <v>60</v>
      </c>
      <c r="X2257" s="154" t="s">
        <v>66</v>
      </c>
      <c r="Y2257" s="155" t="s">
        <v>64</v>
      </c>
      <c r="Z2257" s="154" t="s">
        <v>60</v>
      </c>
      <c r="AA2257" s="154"/>
      <c r="AB2257" s="242" t="str">
        <f t="shared" si="2"/>
        <v>#ERROR!</v>
      </c>
      <c r="AC2257" s="154" t="s">
        <v>391</v>
      </c>
      <c r="AD2257" s="242" t="b">
        <f t="shared" si="3"/>
        <v>0</v>
      </c>
      <c r="AE2257" s="154"/>
      <c r="AF2257" s="242" t="str">
        <f t="shared" si="4"/>
        <v>#ERROR!</v>
      </c>
      <c r="AG2257" s="154"/>
      <c r="AH2257" s="242" t="str">
        <f>IF(AG2257="","N/A",INDIRECT("MTR!"&amp;ADDRESS(MATCH(LEFT(AG2257,9),[1]MTR!C:C,0),COLUMN(J2257)),TRUE) &amp; "")</f>
        <v>#ERROR!</v>
      </c>
      <c r="AI2257" s="157" t="str">
        <f t="shared" si="5"/>
        <v>#ERROR!</v>
      </c>
    </row>
    <row r="2258" ht="12.75" customHeight="1">
      <c r="A2258" s="244" t="s">
        <v>5158</v>
      </c>
      <c r="B2258" s="244" t="s">
        <v>231</v>
      </c>
      <c r="C2258" s="244" t="s">
        <v>12244</v>
      </c>
      <c r="D2258" s="154" t="s">
        <v>1315</v>
      </c>
      <c r="E2258" s="154"/>
      <c r="F2258" s="154" t="str">
        <f t="array" ref="F2258">XLOOKUP(Cover!$D$12,$R$1:$Z$1,$R2258:$Z2258)</f>
        <v>Information</v>
      </c>
      <c r="G2258" s="154" t="s">
        <v>12245</v>
      </c>
      <c r="H2258" s="154" t="s">
        <v>9002</v>
      </c>
      <c r="I2258" s="154" t="s">
        <v>12246</v>
      </c>
      <c r="J2258" s="154" t="s">
        <v>8646</v>
      </c>
      <c r="K2258" s="154" t="s">
        <v>12146</v>
      </c>
      <c r="L2258" s="154" t="s">
        <v>6884</v>
      </c>
      <c r="M2258" s="154"/>
      <c r="N2258" s="154" t="s">
        <v>759</v>
      </c>
      <c r="O2258" s="247" t="s">
        <v>516</v>
      </c>
      <c r="P2258" s="247" t="s">
        <v>6776</v>
      </c>
      <c r="Q2258" s="154" t="str">
        <f t="shared" si="1"/>
        <v>#ERROR!</v>
      </c>
      <c r="R2258" s="154" t="s">
        <v>66</v>
      </c>
      <c r="S2258" s="154" t="s">
        <v>66</v>
      </c>
      <c r="T2258" s="154" t="s">
        <v>66</v>
      </c>
      <c r="U2258" s="154" t="s">
        <v>66</v>
      </c>
      <c r="V2258" s="154" t="s">
        <v>66</v>
      </c>
      <c r="W2258" s="154" t="s">
        <v>66</v>
      </c>
      <c r="X2258" s="154" t="s">
        <v>66</v>
      </c>
      <c r="Y2258" s="154" t="s">
        <v>66</v>
      </c>
      <c r="Z2258" s="154" t="s">
        <v>66</v>
      </c>
      <c r="AA2258" s="154"/>
      <c r="AB2258" s="242" t="str">
        <f t="shared" si="2"/>
        <v>#ERROR!</v>
      </c>
      <c r="AC2258" s="154" t="s">
        <v>391</v>
      </c>
      <c r="AD2258" s="242" t="b">
        <f t="shared" si="3"/>
        <v>0</v>
      </c>
      <c r="AE2258" s="154"/>
      <c r="AF2258" s="242" t="str">
        <f t="shared" si="4"/>
        <v>#ERROR!</v>
      </c>
      <c r="AG2258" s="154"/>
      <c r="AH2258" s="242" t="str">
        <f>IF(AG2258="","N/A",INDIRECT("MTR!"&amp;ADDRESS(MATCH(LEFT(AG2258,9),[1]MTR!C:C,0),COLUMN(J2258)),TRUE) &amp; "")</f>
        <v>#ERROR!</v>
      </c>
      <c r="AI2258" s="157" t="str">
        <f t="shared" si="5"/>
        <v>#ERROR!</v>
      </c>
    </row>
    <row r="2259" ht="12.75" customHeight="1">
      <c r="A2259" s="244" t="s">
        <v>5158</v>
      </c>
      <c r="B2259" s="244" t="s">
        <v>231</v>
      </c>
      <c r="C2259" s="244" t="s">
        <v>12247</v>
      </c>
      <c r="D2259" s="154" t="s">
        <v>1315</v>
      </c>
      <c r="E2259" s="154"/>
      <c r="F2259" s="154" t="str">
        <f t="array" ref="F2259">XLOOKUP(Cover!$D$12,$R$1:$Z$1,$R2259:$Z2259)</f>
        <v>Information</v>
      </c>
      <c r="G2259" s="154" t="s">
        <v>12248</v>
      </c>
      <c r="H2259" s="154" t="s">
        <v>9006</v>
      </c>
      <c r="I2259" s="154" t="s">
        <v>12246</v>
      </c>
      <c r="J2259" s="154" t="s">
        <v>8646</v>
      </c>
      <c r="K2259" s="154" t="s">
        <v>12146</v>
      </c>
      <c r="L2259" s="154" t="s">
        <v>6884</v>
      </c>
      <c r="M2259" s="154"/>
      <c r="N2259" s="154" t="s">
        <v>759</v>
      </c>
      <c r="O2259" s="247" t="s">
        <v>516</v>
      </c>
      <c r="P2259" s="247" t="s">
        <v>6776</v>
      </c>
      <c r="Q2259" s="154" t="str">
        <f t="shared" si="1"/>
        <v>#ERROR!</v>
      </c>
      <c r="R2259" s="154" t="s">
        <v>66</v>
      </c>
      <c r="S2259" s="154" t="s">
        <v>66</v>
      </c>
      <c r="T2259" s="154" t="s">
        <v>66</v>
      </c>
      <c r="U2259" s="154" t="s">
        <v>66</v>
      </c>
      <c r="V2259" s="154" t="s">
        <v>66</v>
      </c>
      <c r="W2259" s="154" t="s">
        <v>66</v>
      </c>
      <c r="X2259" s="154" t="s">
        <v>66</v>
      </c>
      <c r="Y2259" s="154" t="s">
        <v>66</v>
      </c>
      <c r="Z2259" s="154" t="s">
        <v>66</v>
      </c>
      <c r="AA2259" s="154"/>
      <c r="AB2259" s="242" t="str">
        <f t="shared" si="2"/>
        <v>#ERROR!</v>
      </c>
      <c r="AC2259" s="154" t="s">
        <v>391</v>
      </c>
      <c r="AD2259" s="242" t="b">
        <f t="shared" si="3"/>
        <v>0</v>
      </c>
      <c r="AE2259" s="154"/>
      <c r="AF2259" s="242" t="str">
        <f t="shared" si="4"/>
        <v>#ERROR!</v>
      </c>
      <c r="AG2259" s="154"/>
      <c r="AH2259" s="242" t="str">
        <f>IF(AG2259="","N/A",INDIRECT("MTR!"&amp;ADDRESS(MATCH(LEFT(AG2259,9),[1]MTR!C:C,0),COLUMN(J2259)),TRUE) &amp; "")</f>
        <v>#ERROR!</v>
      </c>
      <c r="AI2259" s="157" t="str">
        <f t="shared" si="5"/>
        <v>#ERROR!</v>
      </c>
    </row>
    <row r="2260" ht="12.75" customHeight="1">
      <c r="A2260" s="244" t="s">
        <v>5158</v>
      </c>
      <c r="B2260" s="244" t="s">
        <v>231</v>
      </c>
      <c r="C2260" s="244" t="s">
        <v>12249</v>
      </c>
      <c r="D2260" s="154" t="s">
        <v>861</v>
      </c>
      <c r="E2260" s="154"/>
      <c r="F2260" s="154" t="str">
        <f t="array" ref="F2260">XLOOKUP(Cover!$D$12,$R$1:$Z$1,$R2260:$Z2260)</f>
        <v>Information</v>
      </c>
      <c r="G2260" s="154" t="s">
        <v>12250</v>
      </c>
      <c r="H2260" s="154" t="s">
        <v>9006</v>
      </c>
      <c r="I2260" s="154" t="s">
        <v>12251</v>
      </c>
      <c r="J2260" s="154" t="s">
        <v>6992</v>
      </c>
      <c r="K2260" s="154" t="s">
        <v>12146</v>
      </c>
      <c r="L2260" s="154" t="s">
        <v>6428</v>
      </c>
      <c r="M2260" s="154"/>
      <c r="N2260" s="154" t="s">
        <v>759</v>
      </c>
      <c r="O2260" s="247" t="s">
        <v>516</v>
      </c>
      <c r="P2260" s="247" t="s">
        <v>5876</v>
      </c>
      <c r="Q2260" s="154" t="str">
        <f t="shared" si="1"/>
        <v>#ERROR!</v>
      </c>
      <c r="R2260" s="154" t="s">
        <v>66</v>
      </c>
      <c r="S2260" s="154" t="s">
        <v>66</v>
      </c>
      <c r="T2260" s="154" t="s">
        <v>66</v>
      </c>
      <c r="U2260" s="154" t="s">
        <v>66</v>
      </c>
      <c r="V2260" s="154" t="s">
        <v>66</v>
      </c>
      <c r="W2260" s="154" t="s">
        <v>66</v>
      </c>
      <c r="X2260" s="154" t="s">
        <v>66</v>
      </c>
      <c r="Y2260" s="154" t="s">
        <v>66</v>
      </c>
      <c r="Z2260" s="154" t="s">
        <v>66</v>
      </c>
      <c r="AA2260" s="154"/>
      <c r="AB2260" s="242" t="str">
        <f t="shared" si="2"/>
        <v>#ERROR!</v>
      </c>
      <c r="AC2260" s="154" t="s">
        <v>391</v>
      </c>
      <c r="AD2260" s="242" t="b">
        <f t="shared" si="3"/>
        <v>0</v>
      </c>
      <c r="AE2260" s="154"/>
      <c r="AF2260" s="242" t="str">
        <f t="shared" si="4"/>
        <v>#ERROR!</v>
      </c>
      <c r="AG2260" s="154"/>
      <c r="AH2260" s="242" t="str">
        <f>IF(AG2260="","N/A",INDIRECT("MTR!"&amp;ADDRESS(MATCH(LEFT(AG2260,9),[1]MTR!C:C,0),COLUMN(J2260)),TRUE) &amp; "")</f>
        <v>#ERROR!</v>
      </c>
      <c r="AI2260" s="157" t="str">
        <f t="shared" si="5"/>
        <v>#ERROR!</v>
      </c>
    </row>
    <row r="2261" ht="12.75" customHeight="1">
      <c r="A2261" s="244" t="s">
        <v>5158</v>
      </c>
      <c r="B2261" s="244" t="s">
        <v>231</v>
      </c>
      <c r="C2261" s="244" t="s">
        <v>12252</v>
      </c>
      <c r="D2261" s="154" t="s">
        <v>861</v>
      </c>
      <c r="E2261" s="154"/>
      <c r="F2261" s="154" t="str">
        <f t="array" ref="F2261">XLOOKUP(Cover!$D$12,$R$1:$Z$1,$R2261:$Z2261)</f>
        <v>Information</v>
      </c>
      <c r="G2261" s="154" t="s">
        <v>12253</v>
      </c>
      <c r="H2261" s="154" t="s">
        <v>9009</v>
      </c>
      <c r="I2261" s="154" t="s">
        <v>12251</v>
      </c>
      <c r="J2261" s="154" t="s">
        <v>6992</v>
      </c>
      <c r="K2261" s="154" t="s">
        <v>12146</v>
      </c>
      <c r="L2261" s="154" t="s">
        <v>6428</v>
      </c>
      <c r="M2261" s="154"/>
      <c r="N2261" s="154" t="s">
        <v>759</v>
      </c>
      <c r="O2261" s="247" t="s">
        <v>516</v>
      </c>
      <c r="P2261" s="247" t="s">
        <v>5876</v>
      </c>
      <c r="Q2261" s="154" t="str">
        <f t="shared" si="1"/>
        <v>#ERROR!</v>
      </c>
      <c r="R2261" s="154" t="s">
        <v>66</v>
      </c>
      <c r="S2261" s="154" t="s">
        <v>66</v>
      </c>
      <c r="T2261" s="154" t="s">
        <v>66</v>
      </c>
      <c r="U2261" s="154" t="s">
        <v>66</v>
      </c>
      <c r="V2261" s="154" t="s">
        <v>66</v>
      </c>
      <c r="W2261" s="154" t="s">
        <v>66</v>
      </c>
      <c r="X2261" s="154" t="s">
        <v>66</v>
      </c>
      <c r="Y2261" s="154" t="s">
        <v>66</v>
      </c>
      <c r="Z2261" s="154" t="s">
        <v>66</v>
      </c>
      <c r="AA2261" s="154"/>
      <c r="AB2261" s="242" t="str">
        <f t="shared" si="2"/>
        <v>#ERROR!</v>
      </c>
      <c r="AC2261" s="154" t="s">
        <v>391</v>
      </c>
      <c r="AD2261" s="242" t="b">
        <f t="shared" si="3"/>
        <v>0</v>
      </c>
      <c r="AE2261" s="154"/>
      <c r="AF2261" s="242" t="str">
        <f t="shared" si="4"/>
        <v>#ERROR!</v>
      </c>
      <c r="AG2261" s="154"/>
      <c r="AH2261" s="242" t="str">
        <f>IF(AG2261="","N/A",INDIRECT("MTR!"&amp;ADDRESS(MATCH(LEFT(AG2261,9),[1]MTR!C:C,0),COLUMN(J2261)),TRUE) &amp; "")</f>
        <v>#ERROR!</v>
      </c>
      <c r="AI2261" s="157" t="str">
        <f t="shared" si="5"/>
        <v>#ERROR!</v>
      </c>
    </row>
    <row r="2262" ht="12.75" customHeight="1">
      <c r="A2262" s="244" t="s">
        <v>5158</v>
      </c>
      <c r="B2262" s="244" t="s">
        <v>231</v>
      </c>
      <c r="C2262" s="244" t="s">
        <v>12254</v>
      </c>
      <c r="D2262" s="154" t="s">
        <v>503</v>
      </c>
      <c r="E2262" s="154"/>
      <c r="F2262" s="154" t="str">
        <f t="array" ref="F2262">XLOOKUP(Cover!$D$12,$R$1:$Z$1,$R2262:$Z2262)</f>
        <v>Mandatory</v>
      </c>
      <c r="G2262" s="154" t="s">
        <v>12255</v>
      </c>
      <c r="H2262" s="154" t="s">
        <v>9006</v>
      </c>
      <c r="I2262" s="154" t="s">
        <v>12256</v>
      </c>
      <c r="J2262" s="154" t="s">
        <v>7006</v>
      </c>
      <c r="K2262" s="154" t="s">
        <v>12146</v>
      </c>
      <c r="L2262" s="154" t="s">
        <v>7431</v>
      </c>
      <c r="M2262" s="154" t="s">
        <v>175</v>
      </c>
      <c r="N2262" s="154" t="s">
        <v>759</v>
      </c>
      <c r="O2262" s="247" t="s">
        <v>516</v>
      </c>
      <c r="P2262" s="247" t="s">
        <v>6776</v>
      </c>
      <c r="Q2262" s="154" t="str">
        <f t="shared" si="1"/>
        <v>#ERROR!</v>
      </c>
      <c r="R2262" s="154" t="s">
        <v>66</v>
      </c>
      <c r="S2262" s="154" t="s">
        <v>66</v>
      </c>
      <c r="T2262" s="155" t="s">
        <v>64</v>
      </c>
      <c r="U2262" s="155" t="s">
        <v>64</v>
      </c>
      <c r="V2262" s="154" t="s">
        <v>60</v>
      </c>
      <c r="W2262" s="154" t="s">
        <v>60</v>
      </c>
      <c r="X2262" s="154" t="s">
        <v>66</v>
      </c>
      <c r="Y2262" s="155" t="s">
        <v>64</v>
      </c>
      <c r="Z2262" s="154" t="s">
        <v>60</v>
      </c>
      <c r="AA2262" s="154"/>
      <c r="AB2262" s="242" t="str">
        <f t="shared" si="2"/>
        <v>#ERROR!</v>
      </c>
      <c r="AC2262" s="154" t="s">
        <v>391</v>
      </c>
      <c r="AD2262" s="242" t="b">
        <f t="shared" si="3"/>
        <v>0</v>
      </c>
      <c r="AE2262" s="154"/>
      <c r="AF2262" s="242" t="str">
        <f t="shared" si="4"/>
        <v>#ERROR!</v>
      </c>
      <c r="AG2262" s="154"/>
      <c r="AH2262" s="242" t="str">
        <f>IF(AG2262="","N/A",INDIRECT("MTR!"&amp;ADDRESS(MATCH(LEFT(AG2262,9),[1]MTR!C:C,0),COLUMN(J2262)),TRUE) &amp; "")</f>
        <v>#ERROR!</v>
      </c>
      <c r="AI2262" s="157" t="str">
        <f t="shared" si="5"/>
        <v>#ERROR!</v>
      </c>
    </row>
    <row r="2263" ht="12.75" customHeight="1">
      <c r="A2263" s="244" t="s">
        <v>5158</v>
      </c>
      <c r="B2263" s="244" t="s">
        <v>231</v>
      </c>
      <c r="C2263" s="244" t="s">
        <v>12257</v>
      </c>
      <c r="D2263" s="154" t="s">
        <v>503</v>
      </c>
      <c r="E2263" s="154"/>
      <c r="F2263" s="154" t="str">
        <f t="array" ref="F2263">XLOOKUP(Cover!$D$12,$R$1:$Z$1,$R2263:$Z2263)</f>
        <v>Mandatory</v>
      </c>
      <c r="G2263" s="154" t="s">
        <v>12258</v>
      </c>
      <c r="H2263" s="154" t="s">
        <v>9015</v>
      </c>
      <c r="I2263" s="154" t="s">
        <v>12256</v>
      </c>
      <c r="J2263" s="154" t="s">
        <v>7006</v>
      </c>
      <c r="K2263" s="154" t="s">
        <v>12146</v>
      </c>
      <c r="L2263" s="154" t="s">
        <v>7431</v>
      </c>
      <c r="M2263" s="154" t="s">
        <v>175</v>
      </c>
      <c r="N2263" s="154" t="s">
        <v>759</v>
      </c>
      <c r="O2263" s="247" t="s">
        <v>516</v>
      </c>
      <c r="P2263" s="247" t="s">
        <v>6776</v>
      </c>
      <c r="Q2263" s="154" t="str">
        <f t="shared" si="1"/>
        <v>#ERROR!</v>
      </c>
      <c r="R2263" s="154" t="s">
        <v>66</v>
      </c>
      <c r="S2263" s="154" t="s">
        <v>66</v>
      </c>
      <c r="T2263" s="155" t="s">
        <v>64</v>
      </c>
      <c r="U2263" s="155" t="s">
        <v>64</v>
      </c>
      <c r="V2263" s="154" t="s">
        <v>60</v>
      </c>
      <c r="W2263" s="154" t="s">
        <v>60</v>
      </c>
      <c r="X2263" s="154" t="s">
        <v>66</v>
      </c>
      <c r="Y2263" s="155" t="s">
        <v>64</v>
      </c>
      <c r="Z2263" s="154" t="s">
        <v>60</v>
      </c>
      <c r="AA2263" s="154"/>
      <c r="AB2263" s="242" t="str">
        <f t="shared" si="2"/>
        <v>#ERROR!</v>
      </c>
      <c r="AC2263" s="154" t="s">
        <v>391</v>
      </c>
      <c r="AD2263" s="242" t="b">
        <f t="shared" si="3"/>
        <v>0</v>
      </c>
      <c r="AE2263" s="154"/>
      <c r="AF2263" s="242" t="str">
        <f t="shared" si="4"/>
        <v>#ERROR!</v>
      </c>
      <c r="AG2263" s="154"/>
      <c r="AH2263" s="242" t="str">
        <f>IF(AG2263="","N/A",INDIRECT("MTR!"&amp;ADDRESS(MATCH(LEFT(AG2263,9),[1]MTR!C:C,0),COLUMN(J2263)),TRUE) &amp; "")</f>
        <v>#ERROR!</v>
      </c>
      <c r="AI2263" s="157" t="str">
        <f t="shared" si="5"/>
        <v>#ERROR!</v>
      </c>
    </row>
    <row r="2264" ht="12.75" customHeight="1">
      <c r="A2264" s="244" t="s">
        <v>5158</v>
      </c>
      <c r="B2264" s="244" t="s">
        <v>231</v>
      </c>
      <c r="C2264" s="244" t="s">
        <v>12259</v>
      </c>
      <c r="D2264" s="154" t="s">
        <v>503</v>
      </c>
      <c r="E2264" s="154"/>
      <c r="F2264" s="154" t="str">
        <f t="array" ref="F2264">XLOOKUP(Cover!$D$12,$R$1:$Z$1,$R2264:$Z2264)</f>
        <v>Recommended</v>
      </c>
      <c r="G2264" s="154" t="s">
        <v>12260</v>
      </c>
      <c r="H2264" s="154" t="s">
        <v>9009</v>
      </c>
      <c r="I2264" s="154" t="s">
        <v>12256</v>
      </c>
      <c r="J2264" s="154" t="s">
        <v>7006</v>
      </c>
      <c r="K2264" s="154" t="s">
        <v>12146</v>
      </c>
      <c r="L2264" s="154" t="s">
        <v>7431</v>
      </c>
      <c r="M2264" s="154"/>
      <c r="N2264" s="154" t="s">
        <v>759</v>
      </c>
      <c r="O2264" s="247" t="s">
        <v>516</v>
      </c>
      <c r="P2264" s="247" t="s">
        <v>6776</v>
      </c>
      <c r="Q2264" s="154" t="str">
        <f t="shared" si="1"/>
        <v>#ERROR!</v>
      </c>
      <c r="R2264" s="154" t="s">
        <v>66</v>
      </c>
      <c r="S2264" s="154" t="s">
        <v>66</v>
      </c>
      <c r="T2264" s="154" t="s">
        <v>64</v>
      </c>
      <c r="U2264" s="154" t="s">
        <v>64</v>
      </c>
      <c r="V2264" s="154" t="s">
        <v>64</v>
      </c>
      <c r="W2264" s="154" t="s">
        <v>64</v>
      </c>
      <c r="X2264" s="154" t="s">
        <v>66</v>
      </c>
      <c r="Y2264" s="154" t="s">
        <v>64</v>
      </c>
      <c r="Z2264" s="154" t="s">
        <v>64</v>
      </c>
      <c r="AA2264" s="154"/>
      <c r="AB2264" s="242" t="str">
        <f t="shared" si="2"/>
        <v>#ERROR!</v>
      </c>
      <c r="AC2264" s="154" t="s">
        <v>391</v>
      </c>
      <c r="AD2264" s="242" t="b">
        <f t="shared" si="3"/>
        <v>0</v>
      </c>
      <c r="AE2264" s="154"/>
      <c r="AF2264" s="242" t="str">
        <f t="shared" si="4"/>
        <v>#ERROR!</v>
      </c>
      <c r="AG2264" s="154"/>
      <c r="AH2264" s="242" t="str">
        <f>IF(AG2264="","N/A",INDIRECT("MTR!"&amp;ADDRESS(MATCH(LEFT(AG2264,9),[1]MTR!C:C,0),COLUMN(J2264)),TRUE) &amp; "")</f>
        <v>#ERROR!</v>
      </c>
      <c r="AI2264" s="157" t="str">
        <f t="shared" si="5"/>
        <v>#ERROR!</v>
      </c>
    </row>
    <row r="2265" ht="12.75" customHeight="1">
      <c r="A2265" s="244" t="s">
        <v>5158</v>
      </c>
      <c r="B2265" s="244" t="s">
        <v>231</v>
      </c>
      <c r="C2265" s="244" t="s">
        <v>12261</v>
      </c>
      <c r="D2265" s="154" t="s">
        <v>861</v>
      </c>
      <c r="E2265" s="154"/>
      <c r="F2265" s="154" t="str">
        <f t="array" ref="F2265">XLOOKUP(Cover!$D$12,$R$1:$Z$1,$R2265:$Z2265)</f>
        <v>Information</v>
      </c>
      <c r="G2265" s="154" t="s">
        <v>12262</v>
      </c>
      <c r="H2265" s="154" t="s">
        <v>9002</v>
      </c>
      <c r="I2265" s="154" t="s">
        <v>12263</v>
      </c>
      <c r="J2265" s="154" t="s">
        <v>8835</v>
      </c>
      <c r="K2265" s="154" t="s">
        <v>12146</v>
      </c>
      <c r="L2265" s="154" t="s">
        <v>6428</v>
      </c>
      <c r="M2265" s="154"/>
      <c r="N2265" s="154" t="s">
        <v>759</v>
      </c>
      <c r="O2265" s="247" t="s">
        <v>516</v>
      </c>
      <c r="P2265" s="247" t="s">
        <v>6776</v>
      </c>
      <c r="Q2265" s="154" t="str">
        <f t="shared" si="1"/>
        <v>#ERROR!</v>
      </c>
      <c r="R2265" s="154" t="s">
        <v>66</v>
      </c>
      <c r="S2265" s="154" t="s">
        <v>66</v>
      </c>
      <c r="T2265" s="154" t="s">
        <v>66</v>
      </c>
      <c r="U2265" s="154" t="s">
        <v>66</v>
      </c>
      <c r="V2265" s="154" t="s">
        <v>66</v>
      </c>
      <c r="W2265" s="154" t="s">
        <v>66</v>
      </c>
      <c r="X2265" s="154" t="s">
        <v>66</v>
      </c>
      <c r="Y2265" s="154" t="s">
        <v>66</v>
      </c>
      <c r="Z2265" s="154" t="s">
        <v>66</v>
      </c>
      <c r="AA2265" s="154"/>
      <c r="AB2265" s="242" t="str">
        <f t="shared" si="2"/>
        <v>#ERROR!</v>
      </c>
      <c r="AC2265" s="154" t="s">
        <v>391</v>
      </c>
      <c r="AD2265" s="242" t="b">
        <f t="shared" si="3"/>
        <v>0</v>
      </c>
      <c r="AE2265" s="154"/>
      <c r="AF2265" s="242" t="str">
        <f t="shared" si="4"/>
        <v>#ERROR!</v>
      </c>
      <c r="AG2265" s="154"/>
      <c r="AH2265" s="242" t="str">
        <f>IF(AG2265="","N/A",INDIRECT("MTR!"&amp;ADDRESS(MATCH(LEFT(AG2265,9),[1]MTR!C:C,0),COLUMN(J2265)),TRUE) &amp; "")</f>
        <v>#ERROR!</v>
      </c>
      <c r="AI2265" s="157" t="str">
        <f t="shared" si="5"/>
        <v>#ERROR!</v>
      </c>
    </row>
    <row r="2266" ht="12.75" customHeight="1">
      <c r="A2266" s="244" t="s">
        <v>5158</v>
      </c>
      <c r="B2266" s="244" t="s">
        <v>231</v>
      </c>
      <c r="C2266" s="244" t="s">
        <v>12264</v>
      </c>
      <c r="D2266" s="154" t="s">
        <v>861</v>
      </c>
      <c r="E2266" s="154"/>
      <c r="F2266" s="154" t="str">
        <f t="array" ref="F2266">XLOOKUP(Cover!$D$12,$R$1:$Z$1,$R2266:$Z2266)</f>
        <v>Information</v>
      </c>
      <c r="G2266" s="154" t="s">
        <v>12265</v>
      </c>
      <c r="H2266" s="154" t="s">
        <v>9006</v>
      </c>
      <c r="I2266" s="154" t="s">
        <v>12263</v>
      </c>
      <c r="J2266" s="154" t="s">
        <v>8835</v>
      </c>
      <c r="K2266" s="154" t="s">
        <v>12146</v>
      </c>
      <c r="L2266" s="154" t="s">
        <v>6428</v>
      </c>
      <c r="M2266" s="154"/>
      <c r="N2266" s="154" t="s">
        <v>759</v>
      </c>
      <c r="O2266" s="247" t="s">
        <v>516</v>
      </c>
      <c r="P2266" s="247" t="s">
        <v>6776</v>
      </c>
      <c r="Q2266" s="154" t="str">
        <f t="shared" si="1"/>
        <v>#ERROR!</v>
      </c>
      <c r="R2266" s="154" t="s">
        <v>66</v>
      </c>
      <c r="S2266" s="154" t="s">
        <v>66</v>
      </c>
      <c r="T2266" s="154" t="s">
        <v>66</v>
      </c>
      <c r="U2266" s="154" t="s">
        <v>66</v>
      </c>
      <c r="V2266" s="154" t="s">
        <v>66</v>
      </c>
      <c r="W2266" s="154" t="s">
        <v>66</v>
      </c>
      <c r="X2266" s="154" t="s">
        <v>66</v>
      </c>
      <c r="Y2266" s="154" t="s">
        <v>66</v>
      </c>
      <c r="Z2266" s="154" t="s">
        <v>66</v>
      </c>
      <c r="AA2266" s="154"/>
      <c r="AB2266" s="242" t="str">
        <f t="shared" si="2"/>
        <v>#ERROR!</v>
      </c>
      <c r="AC2266" s="154" t="s">
        <v>391</v>
      </c>
      <c r="AD2266" s="242" t="b">
        <f t="shared" si="3"/>
        <v>0</v>
      </c>
      <c r="AE2266" s="154"/>
      <c r="AF2266" s="242" t="str">
        <f t="shared" si="4"/>
        <v>#ERROR!</v>
      </c>
      <c r="AG2266" s="154"/>
      <c r="AH2266" s="242" t="str">
        <f>IF(AG2266="","N/A",INDIRECT("MTR!"&amp;ADDRESS(MATCH(LEFT(AG2266,9),[1]MTR!C:C,0),COLUMN(J2266)),TRUE) &amp; "")</f>
        <v>#ERROR!</v>
      </c>
      <c r="AI2266" s="157" t="str">
        <f t="shared" si="5"/>
        <v>#ERROR!</v>
      </c>
    </row>
    <row r="2267" ht="12.75" customHeight="1">
      <c r="A2267" s="244" t="s">
        <v>5158</v>
      </c>
      <c r="B2267" s="244" t="s">
        <v>231</v>
      </c>
      <c r="C2267" s="244" t="s">
        <v>12266</v>
      </c>
      <c r="D2267" s="154" t="s">
        <v>861</v>
      </c>
      <c r="E2267" s="154"/>
      <c r="F2267" s="154" t="str">
        <f t="array" ref="F2267">XLOOKUP(Cover!$D$12,$R$1:$Z$1,$R2267:$Z2267)</f>
        <v>Information</v>
      </c>
      <c r="G2267" s="154" t="s">
        <v>12267</v>
      </c>
      <c r="H2267" s="154" t="s">
        <v>9009</v>
      </c>
      <c r="I2267" s="154" t="s">
        <v>12263</v>
      </c>
      <c r="J2267" s="154" t="s">
        <v>8835</v>
      </c>
      <c r="K2267" s="154" t="s">
        <v>12146</v>
      </c>
      <c r="L2267" s="154" t="s">
        <v>6428</v>
      </c>
      <c r="M2267" s="154"/>
      <c r="N2267" s="154" t="s">
        <v>759</v>
      </c>
      <c r="O2267" s="247" t="s">
        <v>516</v>
      </c>
      <c r="P2267" s="247" t="s">
        <v>6776</v>
      </c>
      <c r="Q2267" s="154" t="str">
        <f t="shared" si="1"/>
        <v>#ERROR!</v>
      </c>
      <c r="R2267" s="154" t="s">
        <v>66</v>
      </c>
      <c r="S2267" s="154" t="s">
        <v>66</v>
      </c>
      <c r="T2267" s="154" t="s">
        <v>66</v>
      </c>
      <c r="U2267" s="154" t="s">
        <v>66</v>
      </c>
      <c r="V2267" s="154" t="s">
        <v>66</v>
      </c>
      <c r="W2267" s="154" t="s">
        <v>66</v>
      </c>
      <c r="X2267" s="154" t="s">
        <v>66</v>
      </c>
      <c r="Y2267" s="154" t="s">
        <v>66</v>
      </c>
      <c r="Z2267" s="154" t="s">
        <v>66</v>
      </c>
      <c r="AA2267" s="154"/>
      <c r="AB2267" s="242" t="str">
        <f t="shared" si="2"/>
        <v>#ERROR!</v>
      </c>
      <c r="AC2267" s="154" t="s">
        <v>391</v>
      </c>
      <c r="AD2267" s="242" t="b">
        <f t="shared" si="3"/>
        <v>0</v>
      </c>
      <c r="AE2267" s="154"/>
      <c r="AF2267" s="242" t="str">
        <f t="shared" si="4"/>
        <v>#ERROR!</v>
      </c>
      <c r="AG2267" s="154"/>
      <c r="AH2267" s="242" t="str">
        <f>IF(AG2267="","N/A",INDIRECT("MTR!"&amp;ADDRESS(MATCH(LEFT(AG2267,9),[1]MTR!C:C,0),COLUMN(J2267)),TRUE) &amp; "")</f>
        <v>#ERROR!</v>
      </c>
      <c r="AI2267" s="157" t="str">
        <f t="shared" si="5"/>
        <v>#ERROR!</v>
      </c>
    </row>
    <row r="2268" ht="12.75" customHeight="1">
      <c r="A2268" s="244" t="s">
        <v>5158</v>
      </c>
      <c r="B2268" s="244" t="s">
        <v>231</v>
      </c>
      <c r="C2268" s="245" t="s">
        <v>12268</v>
      </c>
      <c r="D2268" s="155" t="s">
        <v>503</v>
      </c>
      <c r="E2268" s="155" t="s">
        <v>92</v>
      </c>
      <c r="F2268" s="154" t="str">
        <f t="array" ref="F2268">XLOOKUP(Cover!$D$12,$R$1:$Z$1,$R2268:$Z2268)</f>
        <v>Recommended</v>
      </c>
      <c r="G2268" s="154" t="s">
        <v>12269</v>
      </c>
      <c r="H2268" s="154" t="s">
        <v>9002</v>
      </c>
      <c r="I2268" s="154" t="s">
        <v>12270</v>
      </c>
      <c r="J2268" s="154" t="s">
        <v>8416</v>
      </c>
      <c r="K2268" s="154" t="s">
        <v>12146</v>
      </c>
      <c r="L2268" s="154" t="s">
        <v>7431</v>
      </c>
      <c r="M2268" s="154"/>
      <c r="N2268" s="154" t="s">
        <v>759</v>
      </c>
      <c r="O2268" s="247" t="s">
        <v>516</v>
      </c>
      <c r="P2268" s="247" t="s">
        <v>6776</v>
      </c>
      <c r="Q2268" s="154" t="str">
        <f t="shared" si="1"/>
        <v>#ERROR!</v>
      </c>
      <c r="R2268" s="154" t="s">
        <v>66</v>
      </c>
      <c r="S2268" s="154" t="s">
        <v>66</v>
      </c>
      <c r="T2268" s="154" t="s">
        <v>64</v>
      </c>
      <c r="U2268" s="154" t="s">
        <v>64</v>
      </c>
      <c r="V2268" s="154" t="s">
        <v>64</v>
      </c>
      <c r="W2268" s="154" t="s">
        <v>64</v>
      </c>
      <c r="X2268" s="154" t="s">
        <v>66</v>
      </c>
      <c r="Y2268" s="154" t="s">
        <v>64</v>
      </c>
      <c r="Z2268" s="154" t="s">
        <v>64</v>
      </c>
      <c r="AA2268" s="154"/>
      <c r="AB2268" s="242" t="str">
        <f t="shared" si="2"/>
        <v>#ERROR!</v>
      </c>
      <c r="AC2268" s="154" t="s">
        <v>391</v>
      </c>
      <c r="AD2268" s="242" t="b">
        <f t="shared" si="3"/>
        <v>0</v>
      </c>
      <c r="AE2268" s="154"/>
      <c r="AF2268" s="242" t="str">
        <f t="shared" si="4"/>
        <v>#ERROR!</v>
      </c>
      <c r="AG2268" s="154"/>
      <c r="AH2268" s="242" t="str">
        <f>IF(AG2268="","N/A",INDIRECT("MTR!"&amp;ADDRESS(MATCH(LEFT(AG2268,9),[1]MTR!C:C,0),COLUMN(J2268)),TRUE) &amp; "")</f>
        <v>#ERROR!</v>
      </c>
      <c r="AI2268" s="157" t="str">
        <f t="shared" si="5"/>
        <v>#ERROR!</v>
      </c>
    </row>
    <row r="2269" ht="12.75" customHeight="1">
      <c r="A2269" s="244" t="s">
        <v>5158</v>
      </c>
      <c r="B2269" s="244" t="s">
        <v>231</v>
      </c>
      <c r="C2269" s="245" t="s">
        <v>12271</v>
      </c>
      <c r="D2269" s="155" t="s">
        <v>503</v>
      </c>
      <c r="E2269" s="155" t="s">
        <v>92</v>
      </c>
      <c r="F2269" s="154" t="str">
        <f t="array" ref="F2269">XLOOKUP(Cover!$D$12,$R$1:$Z$1,$R2269:$Z2269)</f>
        <v>Recommended</v>
      </c>
      <c r="G2269" s="154" t="s">
        <v>12272</v>
      </c>
      <c r="H2269" s="154" t="s">
        <v>9006</v>
      </c>
      <c r="I2269" s="154" t="s">
        <v>12270</v>
      </c>
      <c r="J2269" s="154" t="s">
        <v>8416</v>
      </c>
      <c r="K2269" s="154" t="s">
        <v>12146</v>
      </c>
      <c r="L2269" s="154" t="s">
        <v>7431</v>
      </c>
      <c r="M2269" s="154"/>
      <c r="N2269" s="154" t="s">
        <v>759</v>
      </c>
      <c r="O2269" s="247" t="s">
        <v>516</v>
      </c>
      <c r="P2269" s="247" t="s">
        <v>6776</v>
      </c>
      <c r="Q2269" s="154" t="str">
        <f t="shared" si="1"/>
        <v>#ERROR!</v>
      </c>
      <c r="R2269" s="154" t="s">
        <v>66</v>
      </c>
      <c r="S2269" s="154" t="s">
        <v>66</v>
      </c>
      <c r="T2269" s="154" t="s">
        <v>64</v>
      </c>
      <c r="U2269" s="154" t="s">
        <v>64</v>
      </c>
      <c r="V2269" s="154" t="s">
        <v>64</v>
      </c>
      <c r="W2269" s="154" t="s">
        <v>64</v>
      </c>
      <c r="X2269" s="154" t="s">
        <v>66</v>
      </c>
      <c r="Y2269" s="154" t="s">
        <v>64</v>
      </c>
      <c r="Z2269" s="154" t="s">
        <v>64</v>
      </c>
      <c r="AA2269" s="154"/>
      <c r="AB2269" s="242" t="str">
        <f t="shared" si="2"/>
        <v>#ERROR!</v>
      </c>
      <c r="AC2269" s="154" t="s">
        <v>391</v>
      </c>
      <c r="AD2269" s="242" t="b">
        <f t="shared" si="3"/>
        <v>0</v>
      </c>
      <c r="AE2269" s="154"/>
      <c r="AF2269" s="242" t="str">
        <f t="shared" si="4"/>
        <v>#ERROR!</v>
      </c>
      <c r="AG2269" s="154"/>
      <c r="AH2269" s="242" t="str">
        <f>IF(AG2269="","N/A",INDIRECT("MTR!"&amp;ADDRESS(MATCH(LEFT(AG2269,9),[1]MTR!C:C,0),COLUMN(J2269)),TRUE) &amp; "")</f>
        <v>#ERROR!</v>
      </c>
      <c r="AI2269" s="157" t="str">
        <f t="shared" si="5"/>
        <v>#ERROR!</v>
      </c>
    </row>
    <row r="2270" ht="12.75" customHeight="1">
      <c r="A2270" s="244" t="s">
        <v>5158</v>
      </c>
      <c r="B2270" s="244" t="s">
        <v>231</v>
      </c>
      <c r="C2270" s="244" t="s">
        <v>12273</v>
      </c>
      <c r="D2270" s="154" t="s">
        <v>503</v>
      </c>
      <c r="E2270" s="154"/>
      <c r="F2270" s="154" t="str">
        <f t="array" ref="F2270">XLOOKUP(Cover!$D$12,$R$1:$Z$1,$R2270:$Z2270)</f>
        <v>Recommended</v>
      </c>
      <c r="G2270" s="154" t="s">
        <v>12274</v>
      </c>
      <c r="H2270" s="154" t="s">
        <v>9009</v>
      </c>
      <c r="I2270" s="154" t="s">
        <v>12270</v>
      </c>
      <c r="J2270" s="154" t="s">
        <v>8416</v>
      </c>
      <c r="K2270" s="154" t="s">
        <v>12146</v>
      </c>
      <c r="L2270" s="154" t="s">
        <v>7431</v>
      </c>
      <c r="M2270" s="154"/>
      <c r="N2270" s="154" t="s">
        <v>759</v>
      </c>
      <c r="O2270" s="247" t="s">
        <v>516</v>
      </c>
      <c r="P2270" s="247" t="s">
        <v>6776</v>
      </c>
      <c r="Q2270" s="154" t="str">
        <f t="shared" si="1"/>
        <v>#ERROR!</v>
      </c>
      <c r="R2270" s="154" t="s">
        <v>66</v>
      </c>
      <c r="S2270" s="154" t="s">
        <v>66</v>
      </c>
      <c r="T2270" s="154" t="s">
        <v>64</v>
      </c>
      <c r="U2270" s="154" t="s">
        <v>64</v>
      </c>
      <c r="V2270" s="154" t="s">
        <v>64</v>
      </c>
      <c r="W2270" s="154" t="s">
        <v>64</v>
      </c>
      <c r="X2270" s="154" t="s">
        <v>66</v>
      </c>
      <c r="Y2270" s="154" t="s">
        <v>64</v>
      </c>
      <c r="Z2270" s="154" t="s">
        <v>64</v>
      </c>
      <c r="AA2270" s="154"/>
      <c r="AB2270" s="242" t="str">
        <f t="shared" si="2"/>
        <v>#ERROR!</v>
      </c>
      <c r="AC2270" s="154" t="s">
        <v>391</v>
      </c>
      <c r="AD2270" s="242" t="b">
        <f t="shared" si="3"/>
        <v>0</v>
      </c>
      <c r="AE2270" s="154"/>
      <c r="AF2270" s="242" t="str">
        <f t="shared" si="4"/>
        <v>#ERROR!</v>
      </c>
      <c r="AG2270" s="154"/>
      <c r="AH2270" s="242" t="str">
        <f>IF(AG2270="","N/A",INDIRECT("MTR!"&amp;ADDRESS(MATCH(LEFT(AG2270,9),[1]MTR!C:C,0),COLUMN(J2270)),TRUE) &amp; "")</f>
        <v>#ERROR!</v>
      </c>
      <c r="AI2270" s="157" t="str">
        <f t="shared" si="5"/>
        <v>#ERROR!</v>
      </c>
    </row>
    <row r="2271" ht="12.75" customHeight="1">
      <c r="A2271" s="244" t="s">
        <v>5158</v>
      </c>
      <c r="B2271" s="244" t="s">
        <v>231</v>
      </c>
      <c r="C2271" s="245" t="s">
        <v>12275</v>
      </c>
      <c r="D2271" s="155" t="s">
        <v>503</v>
      </c>
      <c r="E2271" s="155" t="s">
        <v>92</v>
      </c>
      <c r="F2271" s="154" t="str">
        <f t="array" ref="F2271">XLOOKUP(Cover!$D$12,$R$1:$Z$1,$R2271:$Z2271)</f>
        <v>Recommended</v>
      </c>
      <c r="G2271" s="154" t="s">
        <v>12276</v>
      </c>
      <c r="H2271" s="154" t="s">
        <v>9015</v>
      </c>
      <c r="I2271" s="154" t="s">
        <v>12270</v>
      </c>
      <c r="J2271" s="154" t="s">
        <v>8416</v>
      </c>
      <c r="K2271" s="154" t="s">
        <v>12146</v>
      </c>
      <c r="L2271" s="154" t="s">
        <v>7431</v>
      </c>
      <c r="M2271" s="154"/>
      <c r="N2271" s="154" t="s">
        <v>759</v>
      </c>
      <c r="O2271" s="247" t="s">
        <v>516</v>
      </c>
      <c r="P2271" s="247" t="s">
        <v>6776</v>
      </c>
      <c r="Q2271" s="154" t="str">
        <f t="shared" si="1"/>
        <v>#ERROR!</v>
      </c>
      <c r="R2271" s="154" t="s">
        <v>66</v>
      </c>
      <c r="S2271" s="154" t="s">
        <v>66</v>
      </c>
      <c r="T2271" s="154" t="s">
        <v>64</v>
      </c>
      <c r="U2271" s="154" t="s">
        <v>64</v>
      </c>
      <c r="V2271" s="154" t="s">
        <v>64</v>
      </c>
      <c r="W2271" s="154" t="s">
        <v>64</v>
      </c>
      <c r="X2271" s="154" t="s">
        <v>66</v>
      </c>
      <c r="Y2271" s="154" t="s">
        <v>64</v>
      </c>
      <c r="Z2271" s="154" t="s">
        <v>64</v>
      </c>
      <c r="AA2271" s="154"/>
      <c r="AB2271" s="242" t="str">
        <f t="shared" si="2"/>
        <v>#ERROR!</v>
      </c>
      <c r="AC2271" s="154" t="s">
        <v>391</v>
      </c>
      <c r="AD2271" s="242" t="b">
        <f t="shared" si="3"/>
        <v>0</v>
      </c>
      <c r="AE2271" s="154"/>
      <c r="AF2271" s="242" t="str">
        <f t="shared" si="4"/>
        <v>#ERROR!</v>
      </c>
      <c r="AG2271" s="154"/>
      <c r="AH2271" s="242" t="str">
        <f>IF(AG2271="","N/A",INDIRECT("MTR!"&amp;ADDRESS(MATCH(LEFT(AG2271,9),[1]MTR!C:C,0),COLUMN(J2271)),TRUE) &amp; "")</f>
        <v>#ERROR!</v>
      </c>
      <c r="AI2271" s="157" t="str">
        <f t="shared" si="5"/>
        <v>#ERROR!</v>
      </c>
    </row>
    <row r="2272" ht="12.75" customHeight="1">
      <c r="A2272" s="238" t="s">
        <v>5158</v>
      </c>
      <c r="B2272" s="238" t="s">
        <v>231</v>
      </c>
      <c r="C2272" s="238" t="s">
        <v>12277</v>
      </c>
      <c r="D2272" s="240"/>
      <c r="E2272" s="240" t="s">
        <v>92</v>
      </c>
      <c r="F2272" s="240" t="str">
        <f t="array" ref="F2272">XLOOKUP(Cover!$D$12,$R$1:$Z$1,$R2272:$Z2272)</f>
        <v>Heading</v>
      </c>
      <c r="G2272" s="239" t="s">
        <v>12278</v>
      </c>
      <c r="H2272" s="240"/>
      <c r="I2272" s="240"/>
      <c r="J2272" s="240"/>
      <c r="K2272" s="240"/>
      <c r="L2272" s="240"/>
      <c r="M2272" s="240"/>
      <c r="N2272" s="240" t="s">
        <v>759</v>
      </c>
      <c r="O2272" s="240"/>
      <c r="P2272" s="240"/>
      <c r="Q2272" s="240" t="str">
        <f t="shared" si="1"/>
        <v/>
      </c>
      <c r="R2272" s="240" t="s">
        <v>390</v>
      </c>
      <c r="S2272" s="240" t="s">
        <v>390</v>
      </c>
      <c r="T2272" s="240" t="s">
        <v>390</v>
      </c>
      <c r="U2272" s="240" t="s">
        <v>390</v>
      </c>
      <c r="V2272" s="240" t="s">
        <v>390</v>
      </c>
      <c r="W2272" s="240" t="s">
        <v>390</v>
      </c>
      <c r="X2272" s="240" t="s">
        <v>390</v>
      </c>
      <c r="Y2272" s="240" t="s">
        <v>390</v>
      </c>
      <c r="Z2272" s="240" t="s">
        <v>390</v>
      </c>
      <c r="AA2272" s="240"/>
      <c r="AB2272" s="242" t="str">
        <f t="shared" si="2"/>
        <v>#ERROR!</v>
      </c>
      <c r="AC2272" s="240" t="s">
        <v>391</v>
      </c>
      <c r="AD2272" s="242" t="b">
        <f t="shared" si="3"/>
        <v>0</v>
      </c>
      <c r="AE2272" s="240"/>
      <c r="AF2272" s="242" t="str">
        <f t="shared" si="4"/>
        <v>#ERROR!</v>
      </c>
      <c r="AG2272" s="240"/>
      <c r="AH2272" s="242" t="str">
        <f>IF(AG2272="","N/A",INDIRECT("MTR!"&amp;ADDRESS(MATCH(LEFT(AG2272,9),[1]MTR!C:C,0),COLUMN(J2272)),TRUE) &amp; "")</f>
        <v>#ERROR!</v>
      </c>
      <c r="AI2272" s="157" t="str">
        <f t="shared" si="5"/>
        <v/>
      </c>
    </row>
    <row r="2273" ht="12.75" customHeight="1">
      <c r="A2273" s="244" t="s">
        <v>5158</v>
      </c>
      <c r="B2273" s="244" t="s">
        <v>231</v>
      </c>
      <c r="C2273" s="244" t="s">
        <v>12279</v>
      </c>
      <c r="D2273" s="154" t="s">
        <v>781</v>
      </c>
      <c r="E2273" s="154"/>
      <c r="F2273" s="154" t="str">
        <f t="array" ref="F2273">XLOOKUP(Cover!$D$12,$R$1:$Z$1,$R2273:$Z2273)</f>
        <v>Mandatory</v>
      </c>
      <c r="G2273" s="154" t="s">
        <v>12280</v>
      </c>
      <c r="H2273" s="154" t="s">
        <v>9002</v>
      </c>
      <c r="I2273" s="154" t="s">
        <v>12281</v>
      </c>
      <c r="J2273" s="154" t="s">
        <v>5730</v>
      </c>
      <c r="K2273" s="154" t="s">
        <v>12282</v>
      </c>
      <c r="L2273" s="154" t="s">
        <v>6140</v>
      </c>
      <c r="M2273" s="154" t="s">
        <v>1018</v>
      </c>
      <c r="N2273" s="154" t="s">
        <v>759</v>
      </c>
      <c r="O2273" s="247" t="s">
        <v>445</v>
      </c>
      <c r="P2273" s="247" t="s">
        <v>6772</v>
      </c>
      <c r="Q2273" s="154" t="str">
        <f t="shared" si="1"/>
        <v>#ERROR!</v>
      </c>
      <c r="R2273" s="154" t="s">
        <v>66</v>
      </c>
      <c r="S2273" s="154" t="s">
        <v>66</v>
      </c>
      <c r="T2273" s="155" t="s">
        <v>64</v>
      </c>
      <c r="U2273" s="155" t="s">
        <v>64</v>
      </c>
      <c r="V2273" s="154" t="s">
        <v>60</v>
      </c>
      <c r="W2273" s="154" t="s">
        <v>60</v>
      </c>
      <c r="X2273" s="154" t="s">
        <v>66</v>
      </c>
      <c r="Y2273" s="155" t="s">
        <v>64</v>
      </c>
      <c r="Z2273" s="154" t="s">
        <v>60</v>
      </c>
      <c r="AA2273" s="154"/>
      <c r="AB2273" s="242" t="str">
        <f t="shared" si="2"/>
        <v>#ERROR!</v>
      </c>
      <c r="AC2273" s="154" t="s">
        <v>391</v>
      </c>
      <c r="AD2273" s="242" t="b">
        <f t="shared" si="3"/>
        <v>0</v>
      </c>
      <c r="AE2273" s="154"/>
      <c r="AF2273" s="242" t="str">
        <f t="shared" si="4"/>
        <v>#ERROR!</v>
      </c>
      <c r="AG2273" s="154"/>
      <c r="AH2273" s="242" t="str">
        <f>IF(AG2273="","N/A",INDIRECT("MTR!"&amp;ADDRESS(MATCH(LEFT(AG2273,9),[1]MTR!C:C,0),COLUMN(J2273)),TRUE) &amp; "")</f>
        <v>#ERROR!</v>
      </c>
      <c r="AI2273" s="157" t="str">
        <f t="shared" si="5"/>
        <v>#ERROR!</v>
      </c>
    </row>
    <row r="2274" ht="12.75" customHeight="1">
      <c r="A2274" s="244" t="s">
        <v>5158</v>
      </c>
      <c r="B2274" s="244" t="s">
        <v>231</v>
      </c>
      <c r="C2274" s="244" t="s">
        <v>12283</v>
      </c>
      <c r="D2274" s="154" t="s">
        <v>781</v>
      </c>
      <c r="E2274" s="154"/>
      <c r="F2274" s="154" t="str">
        <f t="array" ref="F2274">XLOOKUP(Cover!$D$12,$R$1:$Z$1,$R2274:$Z2274)</f>
        <v>Mandatory</v>
      </c>
      <c r="G2274" s="154" t="s">
        <v>12284</v>
      </c>
      <c r="H2274" s="154" t="s">
        <v>9006</v>
      </c>
      <c r="I2274" s="154" t="s">
        <v>12285</v>
      </c>
      <c r="J2274" s="154" t="s">
        <v>5782</v>
      </c>
      <c r="K2274" s="154" t="s">
        <v>12282</v>
      </c>
      <c r="L2274" s="154" t="s">
        <v>6140</v>
      </c>
      <c r="M2274" s="154" t="s">
        <v>1018</v>
      </c>
      <c r="N2274" s="154" t="s">
        <v>759</v>
      </c>
      <c r="O2274" s="247" t="s">
        <v>445</v>
      </c>
      <c r="P2274" s="247" t="s">
        <v>6772</v>
      </c>
      <c r="Q2274" s="154" t="str">
        <f t="shared" si="1"/>
        <v>#ERROR!</v>
      </c>
      <c r="R2274" s="154" t="s">
        <v>66</v>
      </c>
      <c r="S2274" s="154" t="s">
        <v>66</v>
      </c>
      <c r="T2274" s="155" t="s">
        <v>64</v>
      </c>
      <c r="U2274" s="155" t="s">
        <v>64</v>
      </c>
      <c r="V2274" s="154" t="s">
        <v>60</v>
      </c>
      <c r="W2274" s="154" t="s">
        <v>60</v>
      </c>
      <c r="X2274" s="154" t="s">
        <v>66</v>
      </c>
      <c r="Y2274" s="155" t="s">
        <v>64</v>
      </c>
      <c r="Z2274" s="154" t="s">
        <v>60</v>
      </c>
      <c r="AA2274" s="154"/>
      <c r="AB2274" s="242" t="str">
        <f t="shared" si="2"/>
        <v>#ERROR!</v>
      </c>
      <c r="AC2274" s="154" t="s">
        <v>391</v>
      </c>
      <c r="AD2274" s="242" t="b">
        <f t="shared" si="3"/>
        <v>0</v>
      </c>
      <c r="AE2274" s="154"/>
      <c r="AF2274" s="242" t="str">
        <f t="shared" si="4"/>
        <v>#ERROR!</v>
      </c>
      <c r="AG2274" s="154"/>
      <c r="AH2274" s="242" t="str">
        <f>IF(AG2274="","N/A",INDIRECT("MTR!"&amp;ADDRESS(MATCH(LEFT(AG2274,9),[1]MTR!C:C,0),COLUMN(J2274)),TRUE) &amp; "")</f>
        <v>#ERROR!</v>
      </c>
      <c r="AI2274" s="157" t="str">
        <f t="shared" si="5"/>
        <v>#ERROR!</v>
      </c>
    </row>
    <row r="2275" ht="12.75" customHeight="1">
      <c r="A2275" s="244" t="s">
        <v>5158</v>
      </c>
      <c r="B2275" s="244" t="s">
        <v>231</v>
      </c>
      <c r="C2275" s="244" t="s">
        <v>12286</v>
      </c>
      <c r="D2275" s="154" t="s">
        <v>781</v>
      </c>
      <c r="E2275" s="154"/>
      <c r="F2275" s="154" t="str">
        <f t="array" ref="F2275">XLOOKUP(Cover!$D$12,$R$1:$Z$1,$R2275:$Z2275)</f>
        <v>Recommended</v>
      </c>
      <c r="G2275" s="154" t="s">
        <v>12287</v>
      </c>
      <c r="H2275" s="154" t="s">
        <v>9009</v>
      </c>
      <c r="I2275" s="154" t="s">
        <v>12288</v>
      </c>
      <c r="J2275" s="154" t="s">
        <v>5830</v>
      </c>
      <c r="K2275" s="154" t="s">
        <v>12282</v>
      </c>
      <c r="L2275" s="154" t="s">
        <v>6140</v>
      </c>
      <c r="M2275" s="154"/>
      <c r="N2275" s="154" t="s">
        <v>759</v>
      </c>
      <c r="O2275" s="247" t="s">
        <v>445</v>
      </c>
      <c r="P2275" s="247" t="s">
        <v>6772</v>
      </c>
      <c r="Q2275" s="154" t="str">
        <f t="shared" si="1"/>
        <v>#ERROR!</v>
      </c>
      <c r="R2275" s="154" t="s">
        <v>66</v>
      </c>
      <c r="S2275" s="154" t="s">
        <v>66</v>
      </c>
      <c r="T2275" s="154" t="s">
        <v>64</v>
      </c>
      <c r="U2275" s="154" t="s">
        <v>64</v>
      </c>
      <c r="V2275" s="154" t="s">
        <v>64</v>
      </c>
      <c r="W2275" s="154" t="s">
        <v>64</v>
      </c>
      <c r="X2275" s="154" t="s">
        <v>66</v>
      </c>
      <c r="Y2275" s="154" t="s">
        <v>64</v>
      </c>
      <c r="Z2275" s="154" t="s">
        <v>64</v>
      </c>
      <c r="AA2275" s="154"/>
      <c r="AB2275" s="242" t="str">
        <f t="shared" si="2"/>
        <v>#ERROR!</v>
      </c>
      <c r="AC2275" s="154" t="s">
        <v>391</v>
      </c>
      <c r="AD2275" s="242" t="b">
        <f t="shared" si="3"/>
        <v>0</v>
      </c>
      <c r="AE2275" s="154"/>
      <c r="AF2275" s="242" t="str">
        <f t="shared" si="4"/>
        <v>#ERROR!</v>
      </c>
      <c r="AG2275" s="154"/>
      <c r="AH2275" s="242" t="str">
        <f>IF(AG2275="","N/A",INDIRECT("MTR!"&amp;ADDRESS(MATCH(LEFT(AG2275,9),[1]MTR!C:C,0),COLUMN(J2275)),TRUE) &amp; "")</f>
        <v>#ERROR!</v>
      </c>
      <c r="AI2275" s="157" t="str">
        <f t="shared" si="5"/>
        <v>#ERROR!</v>
      </c>
    </row>
    <row r="2276" ht="12.75" customHeight="1">
      <c r="A2276" s="244" t="s">
        <v>5158</v>
      </c>
      <c r="B2276" s="244" t="s">
        <v>231</v>
      </c>
      <c r="C2276" s="244" t="s">
        <v>12289</v>
      </c>
      <c r="D2276" s="154" t="s">
        <v>1315</v>
      </c>
      <c r="E2276" s="154"/>
      <c r="F2276" s="154" t="str">
        <f t="array" ref="F2276">XLOOKUP(Cover!$D$12,$R$1:$Z$1,$R2276:$Z2276)</f>
        <v>Mandatory</v>
      </c>
      <c r="G2276" s="154" t="s">
        <v>12290</v>
      </c>
      <c r="H2276" s="154" t="s">
        <v>9012</v>
      </c>
      <c r="I2276" s="154" t="s">
        <v>12291</v>
      </c>
      <c r="J2276" s="154" t="s">
        <v>5888</v>
      </c>
      <c r="K2276" s="154" t="s">
        <v>12282</v>
      </c>
      <c r="L2276" s="154" t="s">
        <v>6022</v>
      </c>
      <c r="M2276" s="154" t="s">
        <v>1018</v>
      </c>
      <c r="N2276" s="154" t="s">
        <v>759</v>
      </c>
      <c r="O2276" s="247" t="s">
        <v>506</v>
      </c>
      <c r="P2276" s="247" t="s">
        <v>6722</v>
      </c>
      <c r="Q2276" s="154" t="str">
        <f t="shared" si="1"/>
        <v>#ERROR!</v>
      </c>
      <c r="R2276" s="154" t="s">
        <v>66</v>
      </c>
      <c r="S2276" s="154" t="s">
        <v>66</v>
      </c>
      <c r="T2276" s="155" t="s">
        <v>64</v>
      </c>
      <c r="U2276" s="155" t="s">
        <v>64</v>
      </c>
      <c r="V2276" s="154" t="s">
        <v>60</v>
      </c>
      <c r="W2276" s="154" t="s">
        <v>60</v>
      </c>
      <c r="X2276" s="154" t="s">
        <v>66</v>
      </c>
      <c r="Y2276" s="155" t="s">
        <v>64</v>
      </c>
      <c r="Z2276" s="154" t="s">
        <v>60</v>
      </c>
      <c r="AA2276" s="154"/>
      <c r="AB2276" s="242" t="str">
        <f t="shared" si="2"/>
        <v>#ERROR!</v>
      </c>
      <c r="AC2276" s="154" t="s">
        <v>391</v>
      </c>
      <c r="AD2276" s="242" t="b">
        <f t="shared" si="3"/>
        <v>0</v>
      </c>
      <c r="AE2276" s="154"/>
      <c r="AF2276" s="242" t="str">
        <f t="shared" si="4"/>
        <v>#ERROR!</v>
      </c>
      <c r="AG2276" s="154"/>
      <c r="AH2276" s="242" t="str">
        <f>IF(AG2276="","N/A",INDIRECT("MTR!"&amp;ADDRESS(MATCH(LEFT(AG2276,9),[1]MTR!C:C,0),COLUMN(J2276)),TRUE) &amp; "")</f>
        <v>#ERROR!</v>
      </c>
      <c r="AI2276" s="157" t="str">
        <f t="shared" si="5"/>
        <v>#ERROR!</v>
      </c>
    </row>
    <row r="2277" ht="12.75" customHeight="1">
      <c r="A2277" s="244" t="s">
        <v>5158</v>
      </c>
      <c r="B2277" s="244" t="s">
        <v>231</v>
      </c>
      <c r="C2277" s="244" t="s">
        <v>12292</v>
      </c>
      <c r="D2277" s="154" t="s">
        <v>546</v>
      </c>
      <c r="E2277" s="154"/>
      <c r="F2277" s="154" t="str">
        <f t="array" ref="F2277">XLOOKUP(Cover!$D$12,$R$1:$Z$1,$R2277:$Z2277)</f>
        <v>Mandatory</v>
      </c>
      <c r="G2277" s="154" t="s">
        <v>12293</v>
      </c>
      <c r="H2277" s="154" t="s">
        <v>9015</v>
      </c>
      <c r="I2277" s="154" t="s">
        <v>12294</v>
      </c>
      <c r="J2277" s="154" t="s">
        <v>5897</v>
      </c>
      <c r="K2277" s="154" t="s">
        <v>12282</v>
      </c>
      <c r="L2277" s="154" t="s">
        <v>6529</v>
      </c>
      <c r="M2277" s="154" t="s">
        <v>1018</v>
      </c>
      <c r="N2277" s="154" t="s">
        <v>759</v>
      </c>
      <c r="O2277" s="247" t="s">
        <v>445</v>
      </c>
      <c r="P2277" s="247" t="s">
        <v>6772</v>
      </c>
      <c r="Q2277" s="154" t="str">
        <f t="shared" si="1"/>
        <v>#ERROR!</v>
      </c>
      <c r="R2277" s="154" t="s">
        <v>66</v>
      </c>
      <c r="S2277" s="154" t="s">
        <v>66</v>
      </c>
      <c r="T2277" s="155" t="s">
        <v>64</v>
      </c>
      <c r="U2277" s="155" t="s">
        <v>64</v>
      </c>
      <c r="V2277" s="154" t="s">
        <v>60</v>
      </c>
      <c r="W2277" s="154" t="s">
        <v>60</v>
      </c>
      <c r="X2277" s="154" t="s">
        <v>66</v>
      </c>
      <c r="Y2277" s="155" t="s">
        <v>64</v>
      </c>
      <c r="Z2277" s="154" t="s">
        <v>60</v>
      </c>
      <c r="AA2277" s="154"/>
      <c r="AB2277" s="242" t="str">
        <f t="shared" si="2"/>
        <v>#ERROR!</v>
      </c>
      <c r="AC2277" s="154" t="s">
        <v>391</v>
      </c>
      <c r="AD2277" s="242" t="b">
        <f t="shared" si="3"/>
        <v>0</v>
      </c>
      <c r="AE2277" s="154"/>
      <c r="AF2277" s="242" t="str">
        <f t="shared" si="4"/>
        <v>#ERROR!</v>
      </c>
      <c r="AG2277" s="154"/>
      <c r="AH2277" s="242" t="str">
        <f>IF(AG2277="","N/A",INDIRECT("MTR!"&amp;ADDRESS(MATCH(LEFT(AG2277,9),[1]MTR!C:C,0),COLUMN(J2277)),TRUE) &amp; "")</f>
        <v>#ERROR!</v>
      </c>
      <c r="AI2277" s="157" t="str">
        <f t="shared" si="5"/>
        <v>#ERROR!</v>
      </c>
    </row>
    <row r="2278" ht="12.75" customHeight="1">
      <c r="A2278" s="244" t="s">
        <v>5158</v>
      </c>
      <c r="B2278" s="244" t="s">
        <v>231</v>
      </c>
      <c r="C2278" s="244" t="s">
        <v>12295</v>
      </c>
      <c r="D2278" s="154" t="s">
        <v>546</v>
      </c>
      <c r="E2278" s="154"/>
      <c r="F2278" s="154" t="str">
        <f t="array" ref="F2278">XLOOKUP(Cover!$D$12,$R$1:$Z$1,$R2278:$Z2278)</f>
        <v>Mandatory</v>
      </c>
      <c r="G2278" s="154" t="s">
        <v>12296</v>
      </c>
      <c r="H2278" s="154" t="s">
        <v>1541</v>
      </c>
      <c r="I2278" s="154" t="s">
        <v>12297</v>
      </c>
      <c r="J2278" s="154" t="s">
        <v>5903</v>
      </c>
      <c r="K2278" s="154" t="s">
        <v>12282</v>
      </c>
      <c r="L2278" s="154" t="s">
        <v>6529</v>
      </c>
      <c r="M2278" s="154" t="s">
        <v>1018</v>
      </c>
      <c r="N2278" s="154" t="s">
        <v>759</v>
      </c>
      <c r="O2278" s="247" t="s">
        <v>445</v>
      </c>
      <c r="P2278" s="247" t="s">
        <v>6772</v>
      </c>
      <c r="Q2278" s="154" t="str">
        <f t="shared" si="1"/>
        <v>#ERROR!</v>
      </c>
      <c r="R2278" s="154" t="s">
        <v>66</v>
      </c>
      <c r="S2278" s="154" t="s">
        <v>66</v>
      </c>
      <c r="T2278" s="155" t="s">
        <v>64</v>
      </c>
      <c r="U2278" s="155" t="s">
        <v>64</v>
      </c>
      <c r="V2278" s="154" t="s">
        <v>60</v>
      </c>
      <c r="W2278" s="154" t="s">
        <v>60</v>
      </c>
      <c r="X2278" s="154" t="s">
        <v>66</v>
      </c>
      <c r="Y2278" s="155" t="s">
        <v>64</v>
      </c>
      <c r="Z2278" s="154" t="s">
        <v>60</v>
      </c>
      <c r="AA2278" s="154"/>
      <c r="AB2278" s="242" t="str">
        <f t="shared" si="2"/>
        <v>#ERROR!</v>
      </c>
      <c r="AC2278" s="154" t="s">
        <v>391</v>
      </c>
      <c r="AD2278" s="242" t="b">
        <f t="shared" si="3"/>
        <v>0</v>
      </c>
      <c r="AE2278" s="154"/>
      <c r="AF2278" s="242" t="str">
        <f t="shared" si="4"/>
        <v>#ERROR!</v>
      </c>
      <c r="AG2278" s="154"/>
      <c r="AH2278" s="242" t="str">
        <f>IF(AG2278="","N/A",INDIRECT("MTR!"&amp;ADDRESS(MATCH(LEFT(AG2278,9),[1]MTR!C:C,0),COLUMN(J2278)),TRUE) &amp; "")</f>
        <v>#ERROR!</v>
      </c>
      <c r="AI2278" s="157" t="str">
        <f t="shared" si="5"/>
        <v>#ERROR!</v>
      </c>
    </row>
    <row r="2279" ht="12.75" customHeight="1">
      <c r="A2279" s="244" t="s">
        <v>5158</v>
      </c>
      <c r="B2279" s="244" t="s">
        <v>231</v>
      </c>
      <c r="C2279" s="244" t="s">
        <v>12298</v>
      </c>
      <c r="D2279" s="154" t="s">
        <v>781</v>
      </c>
      <c r="E2279" s="154"/>
      <c r="F2279" s="154" t="str">
        <f t="array" ref="F2279">XLOOKUP(Cover!$D$12,$R$1:$Z$1,$R2279:$Z2279)</f>
        <v>Mandatory</v>
      </c>
      <c r="G2279" s="154" t="s">
        <v>12299</v>
      </c>
      <c r="H2279" s="154" t="s">
        <v>9002</v>
      </c>
      <c r="I2279" s="154" t="s">
        <v>12300</v>
      </c>
      <c r="J2279" s="154" t="s">
        <v>6791</v>
      </c>
      <c r="K2279" s="154" t="s">
        <v>12282</v>
      </c>
      <c r="L2279" s="154" t="s">
        <v>6140</v>
      </c>
      <c r="M2279" s="154" t="s">
        <v>175</v>
      </c>
      <c r="N2279" s="154" t="s">
        <v>759</v>
      </c>
      <c r="O2279" s="247" t="s">
        <v>445</v>
      </c>
      <c r="P2279" s="247" t="s">
        <v>6772</v>
      </c>
      <c r="Q2279" s="154" t="str">
        <f t="shared" si="1"/>
        <v>#ERROR!</v>
      </c>
      <c r="R2279" s="154" t="s">
        <v>66</v>
      </c>
      <c r="S2279" s="154" t="s">
        <v>66</v>
      </c>
      <c r="T2279" s="155" t="s">
        <v>64</v>
      </c>
      <c r="U2279" s="155" t="s">
        <v>64</v>
      </c>
      <c r="V2279" s="154" t="s">
        <v>60</v>
      </c>
      <c r="W2279" s="154" t="s">
        <v>60</v>
      </c>
      <c r="X2279" s="154" t="s">
        <v>66</v>
      </c>
      <c r="Y2279" s="155" t="s">
        <v>64</v>
      </c>
      <c r="Z2279" s="154" t="s">
        <v>60</v>
      </c>
      <c r="AA2279" s="154"/>
      <c r="AB2279" s="242" t="str">
        <f t="shared" si="2"/>
        <v>#ERROR!</v>
      </c>
      <c r="AC2279" s="154" t="s">
        <v>391</v>
      </c>
      <c r="AD2279" s="242" t="b">
        <f t="shared" si="3"/>
        <v>0</v>
      </c>
      <c r="AE2279" s="154"/>
      <c r="AF2279" s="242" t="str">
        <f t="shared" si="4"/>
        <v>#ERROR!</v>
      </c>
      <c r="AG2279" s="154"/>
      <c r="AH2279" s="242" t="str">
        <f>IF(AG2279="","N/A",INDIRECT("MTR!"&amp;ADDRESS(MATCH(LEFT(AG2279,9),[1]MTR!C:C,0),COLUMN(J2279)),TRUE) &amp; "")</f>
        <v>#ERROR!</v>
      </c>
      <c r="AI2279" s="157" t="str">
        <f t="shared" si="5"/>
        <v>#ERROR!</v>
      </c>
    </row>
    <row r="2280" ht="12.75" customHeight="1">
      <c r="A2280" s="244" t="s">
        <v>5158</v>
      </c>
      <c r="B2280" s="244" t="s">
        <v>231</v>
      </c>
      <c r="C2280" s="244" t="s">
        <v>12301</v>
      </c>
      <c r="D2280" s="154" t="s">
        <v>781</v>
      </c>
      <c r="E2280" s="154"/>
      <c r="F2280" s="154" t="str">
        <f t="array" ref="F2280">XLOOKUP(Cover!$D$12,$R$1:$Z$1,$R2280:$Z2280)</f>
        <v>Mandatory</v>
      </c>
      <c r="G2280" s="154" t="s">
        <v>12302</v>
      </c>
      <c r="H2280" s="154" t="s">
        <v>9006</v>
      </c>
      <c r="I2280" s="154" t="s">
        <v>12300</v>
      </c>
      <c r="J2280" s="154" t="s">
        <v>6791</v>
      </c>
      <c r="K2280" s="154" t="s">
        <v>12282</v>
      </c>
      <c r="L2280" s="154" t="s">
        <v>6140</v>
      </c>
      <c r="M2280" s="154" t="s">
        <v>175</v>
      </c>
      <c r="N2280" s="154" t="s">
        <v>759</v>
      </c>
      <c r="O2280" s="247" t="s">
        <v>445</v>
      </c>
      <c r="P2280" s="247" t="s">
        <v>6772</v>
      </c>
      <c r="Q2280" s="154" t="str">
        <f t="shared" si="1"/>
        <v>#ERROR!</v>
      </c>
      <c r="R2280" s="154" t="s">
        <v>66</v>
      </c>
      <c r="S2280" s="154" t="s">
        <v>66</v>
      </c>
      <c r="T2280" s="155" t="s">
        <v>64</v>
      </c>
      <c r="U2280" s="155" t="s">
        <v>64</v>
      </c>
      <c r="V2280" s="154" t="s">
        <v>60</v>
      </c>
      <c r="W2280" s="154" t="s">
        <v>60</v>
      </c>
      <c r="X2280" s="154" t="s">
        <v>66</v>
      </c>
      <c r="Y2280" s="155" t="s">
        <v>64</v>
      </c>
      <c r="Z2280" s="154" t="s">
        <v>60</v>
      </c>
      <c r="AA2280" s="154"/>
      <c r="AB2280" s="242" t="str">
        <f t="shared" si="2"/>
        <v>#ERROR!</v>
      </c>
      <c r="AC2280" s="154" t="s">
        <v>391</v>
      </c>
      <c r="AD2280" s="242" t="b">
        <f t="shared" si="3"/>
        <v>0</v>
      </c>
      <c r="AE2280" s="154"/>
      <c r="AF2280" s="242" t="str">
        <f t="shared" si="4"/>
        <v>#ERROR!</v>
      </c>
      <c r="AG2280" s="154"/>
      <c r="AH2280" s="242" t="str">
        <f>IF(AG2280="","N/A",INDIRECT("MTR!"&amp;ADDRESS(MATCH(LEFT(AG2280,9),[1]MTR!C:C,0),COLUMN(J2280)),TRUE) &amp; "")</f>
        <v>#ERROR!</v>
      </c>
      <c r="AI2280" s="157" t="str">
        <f t="shared" si="5"/>
        <v>#ERROR!</v>
      </c>
    </row>
    <row r="2281" ht="12.75" customHeight="1">
      <c r="A2281" s="244" t="s">
        <v>5158</v>
      </c>
      <c r="B2281" s="244" t="s">
        <v>231</v>
      </c>
      <c r="C2281" s="244" t="s">
        <v>12303</v>
      </c>
      <c r="D2281" s="154" t="s">
        <v>781</v>
      </c>
      <c r="E2281" s="154"/>
      <c r="F2281" s="154" t="str">
        <f t="array" ref="F2281">XLOOKUP(Cover!$D$12,$R$1:$Z$1,$R2281:$Z2281)</f>
        <v>Mandatory</v>
      </c>
      <c r="G2281" s="154" t="s">
        <v>12304</v>
      </c>
      <c r="H2281" s="154" t="s">
        <v>9002</v>
      </c>
      <c r="I2281" s="154" t="s">
        <v>12305</v>
      </c>
      <c r="J2281" s="154" t="s">
        <v>6797</v>
      </c>
      <c r="K2281" s="154" t="s">
        <v>12282</v>
      </c>
      <c r="L2281" s="154" t="s">
        <v>6140</v>
      </c>
      <c r="M2281" s="154" t="s">
        <v>175</v>
      </c>
      <c r="N2281" s="154" t="s">
        <v>759</v>
      </c>
      <c r="O2281" s="247" t="s">
        <v>445</v>
      </c>
      <c r="P2281" s="154"/>
      <c r="Q2281" s="154" t="str">
        <f t="shared" si="1"/>
        <v>#ERROR!</v>
      </c>
      <c r="R2281" s="154" t="s">
        <v>66</v>
      </c>
      <c r="S2281" s="154" t="s">
        <v>66</v>
      </c>
      <c r="T2281" s="155" t="s">
        <v>64</v>
      </c>
      <c r="U2281" s="155" t="s">
        <v>64</v>
      </c>
      <c r="V2281" s="154" t="s">
        <v>60</v>
      </c>
      <c r="W2281" s="154" t="s">
        <v>60</v>
      </c>
      <c r="X2281" s="154" t="s">
        <v>66</v>
      </c>
      <c r="Y2281" s="155" t="s">
        <v>64</v>
      </c>
      <c r="Z2281" s="154" t="s">
        <v>60</v>
      </c>
      <c r="AA2281" s="154"/>
      <c r="AB2281" s="242" t="str">
        <f t="shared" si="2"/>
        <v>#ERROR!</v>
      </c>
      <c r="AC2281" s="154" t="s">
        <v>391</v>
      </c>
      <c r="AD2281" s="242" t="b">
        <f t="shared" si="3"/>
        <v>0</v>
      </c>
      <c r="AE2281" s="154"/>
      <c r="AF2281" s="242" t="str">
        <f t="shared" si="4"/>
        <v>#ERROR!</v>
      </c>
      <c r="AG2281" s="154"/>
      <c r="AH2281" s="242" t="str">
        <f>IF(AG2281="","N/A",INDIRECT("MTR!"&amp;ADDRESS(MATCH(LEFT(AG2281,9),[1]MTR!C:C,0),COLUMN(J2281)),TRUE) &amp; "")</f>
        <v>#ERROR!</v>
      </c>
      <c r="AI2281" s="157" t="str">
        <f t="shared" si="5"/>
        <v>#ERROR!</v>
      </c>
    </row>
    <row r="2282" ht="12.75" customHeight="1">
      <c r="A2282" s="244" t="s">
        <v>5158</v>
      </c>
      <c r="B2282" s="244" t="s">
        <v>231</v>
      </c>
      <c r="C2282" s="244" t="s">
        <v>12306</v>
      </c>
      <c r="D2282" s="154" t="s">
        <v>781</v>
      </c>
      <c r="E2282" s="154"/>
      <c r="F2282" s="154" t="str">
        <f t="array" ref="F2282">XLOOKUP(Cover!$D$12,$R$1:$Z$1,$R2282:$Z2282)</f>
        <v>Recommended</v>
      </c>
      <c r="G2282" s="154" t="s">
        <v>12307</v>
      </c>
      <c r="H2282" s="154" t="s">
        <v>9009</v>
      </c>
      <c r="I2282" s="154" t="s">
        <v>12305</v>
      </c>
      <c r="J2282" s="154" t="s">
        <v>6797</v>
      </c>
      <c r="K2282" s="154" t="s">
        <v>12282</v>
      </c>
      <c r="L2282" s="154" t="s">
        <v>6140</v>
      </c>
      <c r="M2282" s="154"/>
      <c r="N2282" s="154" t="s">
        <v>759</v>
      </c>
      <c r="O2282" s="247" t="s">
        <v>445</v>
      </c>
      <c r="P2282" s="154"/>
      <c r="Q2282" s="154" t="str">
        <f t="shared" si="1"/>
        <v>#ERROR!</v>
      </c>
      <c r="R2282" s="154" t="s">
        <v>66</v>
      </c>
      <c r="S2282" s="154" t="s">
        <v>66</v>
      </c>
      <c r="T2282" s="154" t="s">
        <v>64</v>
      </c>
      <c r="U2282" s="154" t="s">
        <v>64</v>
      </c>
      <c r="V2282" s="154" t="s">
        <v>64</v>
      </c>
      <c r="W2282" s="154" t="s">
        <v>64</v>
      </c>
      <c r="X2282" s="154" t="s">
        <v>66</v>
      </c>
      <c r="Y2282" s="154" t="s">
        <v>64</v>
      </c>
      <c r="Z2282" s="154" t="s">
        <v>64</v>
      </c>
      <c r="AA2282" s="154"/>
      <c r="AB2282" s="242" t="str">
        <f t="shared" si="2"/>
        <v>#ERROR!</v>
      </c>
      <c r="AC2282" s="154" t="s">
        <v>391</v>
      </c>
      <c r="AD2282" s="242" t="b">
        <f t="shared" si="3"/>
        <v>0</v>
      </c>
      <c r="AE2282" s="154"/>
      <c r="AF2282" s="242" t="str">
        <f t="shared" si="4"/>
        <v>#ERROR!</v>
      </c>
      <c r="AG2282" s="154"/>
      <c r="AH2282" s="242" t="str">
        <f>IF(AG2282="","N/A",INDIRECT("MTR!"&amp;ADDRESS(MATCH(LEFT(AG2282,9),[1]MTR!C:C,0),COLUMN(J2282)),TRUE) &amp; "")</f>
        <v>#ERROR!</v>
      </c>
      <c r="AI2282" s="157" t="str">
        <f t="shared" si="5"/>
        <v>#ERROR!</v>
      </c>
    </row>
    <row r="2283" ht="12.75" customHeight="1">
      <c r="A2283" s="244" t="s">
        <v>5158</v>
      </c>
      <c r="B2283" s="244" t="s">
        <v>231</v>
      </c>
      <c r="C2283" s="244" t="s">
        <v>12308</v>
      </c>
      <c r="D2283" s="154" t="s">
        <v>1315</v>
      </c>
      <c r="E2283" s="154"/>
      <c r="F2283" s="154" t="str">
        <f t="array" ref="F2283">XLOOKUP(Cover!$D$12,$R$1:$Z$1,$R2283:$Z2283)</f>
        <v>Mandatory</v>
      </c>
      <c r="G2283" s="154" t="s">
        <v>12309</v>
      </c>
      <c r="H2283" s="154" t="s">
        <v>9002</v>
      </c>
      <c r="I2283" s="154" t="s">
        <v>12310</v>
      </c>
      <c r="J2283" s="154" t="s">
        <v>7349</v>
      </c>
      <c r="K2283" s="154" t="s">
        <v>12282</v>
      </c>
      <c r="L2283" s="154" t="s">
        <v>6022</v>
      </c>
      <c r="M2283" s="154" t="s">
        <v>175</v>
      </c>
      <c r="N2283" s="154" t="s">
        <v>759</v>
      </c>
      <c r="O2283" s="247" t="s">
        <v>506</v>
      </c>
      <c r="P2283" s="247" t="s">
        <v>6722</v>
      </c>
      <c r="Q2283" s="154" t="str">
        <f t="shared" si="1"/>
        <v>#ERROR!</v>
      </c>
      <c r="R2283" s="154" t="s">
        <v>66</v>
      </c>
      <c r="S2283" s="154" t="s">
        <v>66</v>
      </c>
      <c r="T2283" s="155" t="s">
        <v>64</v>
      </c>
      <c r="U2283" s="155" t="s">
        <v>64</v>
      </c>
      <c r="V2283" s="154" t="s">
        <v>60</v>
      </c>
      <c r="W2283" s="154" t="s">
        <v>60</v>
      </c>
      <c r="X2283" s="154" t="s">
        <v>66</v>
      </c>
      <c r="Y2283" s="155" t="s">
        <v>64</v>
      </c>
      <c r="Z2283" s="154" t="s">
        <v>60</v>
      </c>
      <c r="AA2283" s="154"/>
      <c r="AB2283" s="242" t="str">
        <f t="shared" si="2"/>
        <v>#ERROR!</v>
      </c>
      <c r="AC2283" s="154" t="s">
        <v>391</v>
      </c>
      <c r="AD2283" s="242" t="b">
        <f t="shared" si="3"/>
        <v>0</v>
      </c>
      <c r="AE2283" s="154"/>
      <c r="AF2283" s="242" t="str">
        <f t="shared" si="4"/>
        <v>#ERROR!</v>
      </c>
      <c r="AG2283" s="154"/>
      <c r="AH2283" s="242" t="str">
        <f>IF(AG2283="","N/A",INDIRECT("MTR!"&amp;ADDRESS(MATCH(LEFT(AG2283,9),[1]MTR!C:C,0),COLUMN(J2283)),TRUE) &amp; "")</f>
        <v>#ERROR!</v>
      </c>
      <c r="AI2283" s="157" t="str">
        <f t="shared" si="5"/>
        <v>#ERROR!</v>
      </c>
    </row>
    <row r="2284" ht="12.75" customHeight="1">
      <c r="A2284" s="244" t="s">
        <v>5158</v>
      </c>
      <c r="B2284" s="244" t="s">
        <v>231</v>
      </c>
      <c r="C2284" s="244" t="s">
        <v>12311</v>
      </c>
      <c r="D2284" s="154" t="s">
        <v>1315</v>
      </c>
      <c r="E2284" s="154"/>
      <c r="F2284" s="154" t="str">
        <f t="array" ref="F2284">XLOOKUP(Cover!$D$12,$R$1:$Z$1,$R2284:$Z2284)</f>
        <v>Mandatory</v>
      </c>
      <c r="G2284" s="154" t="s">
        <v>12312</v>
      </c>
      <c r="H2284" s="154" t="s">
        <v>9012</v>
      </c>
      <c r="I2284" s="154" t="s">
        <v>12310</v>
      </c>
      <c r="J2284" s="154" t="s">
        <v>7349</v>
      </c>
      <c r="K2284" s="154" t="s">
        <v>12282</v>
      </c>
      <c r="L2284" s="154" t="s">
        <v>6022</v>
      </c>
      <c r="M2284" s="154" t="s">
        <v>175</v>
      </c>
      <c r="N2284" s="154" t="s">
        <v>759</v>
      </c>
      <c r="O2284" s="247" t="s">
        <v>506</v>
      </c>
      <c r="P2284" s="247" t="s">
        <v>6722</v>
      </c>
      <c r="Q2284" s="154" t="str">
        <f t="shared" si="1"/>
        <v>#ERROR!</v>
      </c>
      <c r="R2284" s="154" t="s">
        <v>66</v>
      </c>
      <c r="S2284" s="154" t="s">
        <v>66</v>
      </c>
      <c r="T2284" s="155" t="s">
        <v>64</v>
      </c>
      <c r="U2284" s="155" t="s">
        <v>64</v>
      </c>
      <c r="V2284" s="154" t="s">
        <v>60</v>
      </c>
      <c r="W2284" s="154" t="s">
        <v>60</v>
      </c>
      <c r="X2284" s="154" t="s">
        <v>66</v>
      </c>
      <c r="Y2284" s="155" t="s">
        <v>64</v>
      </c>
      <c r="Z2284" s="154" t="s">
        <v>60</v>
      </c>
      <c r="AA2284" s="154"/>
      <c r="AB2284" s="242" t="str">
        <f t="shared" si="2"/>
        <v>#ERROR!</v>
      </c>
      <c r="AC2284" s="154" t="s">
        <v>391</v>
      </c>
      <c r="AD2284" s="242" t="b">
        <f t="shared" si="3"/>
        <v>0</v>
      </c>
      <c r="AE2284" s="154"/>
      <c r="AF2284" s="242" t="str">
        <f t="shared" si="4"/>
        <v>#ERROR!</v>
      </c>
      <c r="AG2284" s="154"/>
      <c r="AH2284" s="242" t="str">
        <f>IF(AG2284="","N/A",INDIRECT("MTR!"&amp;ADDRESS(MATCH(LEFT(AG2284,9),[1]MTR!C:C,0),COLUMN(J2284)),TRUE) &amp; "")</f>
        <v>#ERROR!</v>
      </c>
      <c r="AI2284" s="157" t="str">
        <f t="shared" si="5"/>
        <v>#ERROR!</v>
      </c>
    </row>
    <row r="2285" ht="12.75" customHeight="1">
      <c r="A2285" s="244" t="s">
        <v>5158</v>
      </c>
      <c r="B2285" s="244" t="s">
        <v>231</v>
      </c>
      <c r="C2285" s="244" t="s">
        <v>12313</v>
      </c>
      <c r="D2285" s="154" t="s">
        <v>1069</v>
      </c>
      <c r="E2285" s="154"/>
      <c r="F2285" s="154" t="str">
        <f t="array" ref="F2285">XLOOKUP(Cover!$D$12,$R$1:$Z$1,$R2285:$Z2285)</f>
        <v>Mandatory</v>
      </c>
      <c r="G2285" s="154" t="s">
        <v>12314</v>
      </c>
      <c r="H2285" s="154" t="s">
        <v>9002</v>
      </c>
      <c r="I2285" s="154" t="s">
        <v>12315</v>
      </c>
      <c r="J2285" s="154" t="s">
        <v>6803</v>
      </c>
      <c r="K2285" s="154" t="s">
        <v>12282</v>
      </c>
      <c r="L2285" s="154" t="s">
        <v>5927</v>
      </c>
      <c r="M2285" s="154" t="s">
        <v>175</v>
      </c>
      <c r="N2285" s="154" t="s">
        <v>759</v>
      </c>
      <c r="O2285" s="247" t="s">
        <v>445</v>
      </c>
      <c r="P2285" s="247" t="s">
        <v>6772</v>
      </c>
      <c r="Q2285" s="154" t="str">
        <f t="shared" si="1"/>
        <v>#ERROR!</v>
      </c>
      <c r="R2285" s="154" t="s">
        <v>66</v>
      </c>
      <c r="S2285" s="154" t="s">
        <v>66</v>
      </c>
      <c r="T2285" s="155" t="s">
        <v>64</v>
      </c>
      <c r="U2285" s="155" t="s">
        <v>64</v>
      </c>
      <c r="V2285" s="154" t="s">
        <v>60</v>
      </c>
      <c r="W2285" s="154" t="s">
        <v>60</v>
      </c>
      <c r="X2285" s="154" t="s">
        <v>66</v>
      </c>
      <c r="Y2285" s="155" t="s">
        <v>64</v>
      </c>
      <c r="Z2285" s="154" t="s">
        <v>60</v>
      </c>
      <c r="AA2285" s="154"/>
      <c r="AB2285" s="242" t="str">
        <f t="shared" si="2"/>
        <v>#ERROR!</v>
      </c>
      <c r="AC2285" s="154" t="s">
        <v>391</v>
      </c>
      <c r="AD2285" s="242" t="b">
        <f t="shared" si="3"/>
        <v>0</v>
      </c>
      <c r="AE2285" s="154"/>
      <c r="AF2285" s="242" t="str">
        <f t="shared" si="4"/>
        <v>#ERROR!</v>
      </c>
      <c r="AG2285" s="154"/>
      <c r="AH2285" s="242" t="str">
        <f>IF(AG2285="","N/A",INDIRECT("MTR!"&amp;ADDRESS(MATCH(LEFT(AG2285,9),[1]MTR!C:C,0),COLUMN(J2285)),TRUE) &amp; "")</f>
        <v>#ERROR!</v>
      </c>
      <c r="AI2285" s="157" t="str">
        <f t="shared" si="5"/>
        <v>#ERROR!</v>
      </c>
    </row>
    <row r="2286" ht="12.75" customHeight="1">
      <c r="A2286" s="244" t="s">
        <v>5158</v>
      </c>
      <c r="B2286" s="244" t="s">
        <v>231</v>
      </c>
      <c r="C2286" s="244" t="s">
        <v>12316</v>
      </c>
      <c r="D2286" s="154" t="s">
        <v>1069</v>
      </c>
      <c r="E2286" s="154"/>
      <c r="F2286" s="154" t="str">
        <f t="array" ref="F2286">XLOOKUP(Cover!$D$12,$R$1:$Z$1,$R2286:$Z2286)</f>
        <v>Mandatory</v>
      </c>
      <c r="G2286" s="154" t="s">
        <v>12317</v>
      </c>
      <c r="H2286" s="154" t="s">
        <v>9015</v>
      </c>
      <c r="I2286" s="154" t="s">
        <v>12315</v>
      </c>
      <c r="J2286" s="154" t="s">
        <v>6803</v>
      </c>
      <c r="K2286" s="154" t="s">
        <v>12282</v>
      </c>
      <c r="L2286" s="154" t="s">
        <v>5927</v>
      </c>
      <c r="M2286" s="154" t="s">
        <v>175</v>
      </c>
      <c r="N2286" s="154" t="s">
        <v>759</v>
      </c>
      <c r="O2286" s="247" t="s">
        <v>445</v>
      </c>
      <c r="P2286" s="247" t="s">
        <v>6772</v>
      </c>
      <c r="Q2286" s="154" t="str">
        <f t="shared" si="1"/>
        <v>#ERROR!</v>
      </c>
      <c r="R2286" s="154" t="s">
        <v>66</v>
      </c>
      <c r="S2286" s="154" t="s">
        <v>66</v>
      </c>
      <c r="T2286" s="155" t="s">
        <v>64</v>
      </c>
      <c r="U2286" s="155" t="s">
        <v>64</v>
      </c>
      <c r="V2286" s="154" t="s">
        <v>60</v>
      </c>
      <c r="W2286" s="154" t="s">
        <v>60</v>
      </c>
      <c r="X2286" s="154" t="s">
        <v>66</v>
      </c>
      <c r="Y2286" s="155" t="s">
        <v>64</v>
      </c>
      <c r="Z2286" s="154" t="s">
        <v>60</v>
      </c>
      <c r="AA2286" s="154"/>
      <c r="AB2286" s="242" t="str">
        <f t="shared" si="2"/>
        <v>#ERROR!</v>
      </c>
      <c r="AC2286" s="154" t="s">
        <v>391</v>
      </c>
      <c r="AD2286" s="242" t="b">
        <f t="shared" si="3"/>
        <v>0</v>
      </c>
      <c r="AE2286" s="154"/>
      <c r="AF2286" s="242" t="str">
        <f t="shared" si="4"/>
        <v>#ERROR!</v>
      </c>
      <c r="AG2286" s="154"/>
      <c r="AH2286" s="242" t="str">
        <f>IF(AG2286="","N/A",INDIRECT("MTR!"&amp;ADDRESS(MATCH(LEFT(AG2286,9),[1]MTR!C:C,0),COLUMN(J2286)),TRUE) &amp; "")</f>
        <v>#ERROR!</v>
      </c>
      <c r="AI2286" s="157" t="str">
        <f t="shared" si="5"/>
        <v>#ERROR!</v>
      </c>
    </row>
    <row r="2287" ht="12.75" customHeight="1">
      <c r="A2287" s="244" t="s">
        <v>5158</v>
      </c>
      <c r="B2287" s="244" t="s">
        <v>231</v>
      </c>
      <c r="C2287" s="244" t="s">
        <v>12318</v>
      </c>
      <c r="D2287" s="154" t="s">
        <v>503</v>
      </c>
      <c r="E2287" s="154"/>
      <c r="F2287" s="154" t="str">
        <f t="array" ref="F2287">XLOOKUP(Cover!$D$12,$R$1:$Z$1,$R2287:$Z2287)</f>
        <v>Mandatory</v>
      </c>
      <c r="G2287" s="154" t="s">
        <v>12319</v>
      </c>
      <c r="H2287" s="154" t="s">
        <v>9002</v>
      </c>
      <c r="I2287" s="154" t="s">
        <v>12320</v>
      </c>
      <c r="J2287" s="154" t="s">
        <v>7360</v>
      </c>
      <c r="K2287" s="154" t="s">
        <v>12282</v>
      </c>
      <c r="L2287" s="154" t="s">
        <v>7431</v>
      </c>
      <c r="M2287" s="154" t="s">
        <v>175</v>
      </c>
      <c r="N2287" s="154" t="s">
        <v>759</v>
      </c>
      <c r="O2287" s="247" t="s">
        <v>516</v>
      </c>
      <c r="P2287" s="247" t="s">
        <v>5876</v>
      </c>
      <c r="Q2287" s="154" t="str">
        <f t="shared" si="1"/>
        <v>#ERROR!</v>
      </c>
      <c r="R2287" s="154" t="s">
        <v>66</v>
      </c>
      <c r="S2287" s="154" t="s">
        <v>66</v>
      </c>
      <c r="T2287" s="155" t="s">
        <v>64</v>
      </c>
      <c r="U2287" s="155" t="s">
        <v>64</v>
      </c>
      <c r="V2287" s="154" t="s">
        <v>60</v>
      </c>
      <c r="W2287" s="154" t="s">
        <v>60</v>
      </c>
      <c r="X2287" s="154" t="s">
        <v>66</v>
      </c>
      <c r="Y2287" s="155" t="s">
        <v>64</v>
      </c>
      <c r="Z2287" s="154" t="s">
        <v>60</v>
      </c>
      <c r="AA2287" s="154"/>
      <c r="AB2287" s="242" t="str">
        <f t="shared" si="2"/>
        <v>#ERROR!</v>
      </c>
      <c r="AC2287" s="154" t="s">
        <v>391</v>
      </c>
      <c r="AD2287" s="242" t="b">
        <f t="shared" si="3"/>
        <v>0</v>
      </c>
      <c r="AE2287" s="154"/>
      <c r="AF2287" s="242" t="str">
        <f t="shared" si="4"/>
        <v>#ERROR!</v>
      </c>
      <c r="AG2287" s="154"/>
      <c r="AH2287" s="242" t="str">
        <f>IF(AG2287="","N/A",INDIRECT("MTR!"&amp;ADDRESS(MATCH(LEFT(AG2287,9),[1]MTR!C:C,0),COLUMN(J2287)),TRUE) &amp; "")</f>
        <v>#ERROR!</v>
      </c>
      <c r="AI2287" s="157" t="str">
        <f t="shared" si="5"/>
        <v>#ERROR!</v>
      </c>
    </row>
    <row r="2288" ht="12.75" customHeight="1">
      <c r="A2288" s="244" t="s">
        <v>5158</v>
      </c>
      <c r="B2288" s="244" t="s">
        <v>231</v>
      </c>
      <c r="C2288" s="244" t="s">
        <v>12321</v>
      </c>
      <c r="D2288" s="154" t="s">
        <v>503</v>
      </c>
      <c r="E2288" s="154"/>
      <c r="F2288" s="154" t="str">
        <f t="array" ref="F2288">XLOOKUP(Cover!$D$12,$R$1:$Z$1,$R2288:$Z2288)</f>
        <v>Mandatory</v>
      </c>
      <c r="G2288" s="154" t="s">
        <v>12322</v>
      </c>
      <c r="H2288" s="154" t="s">
        <v>1541</v>
      </c>
      <c r="I2288" s="154" t="s">
        <v>12320</v>
      </c>
      <c r="J2288" s="154" t="s">
        <v>7360</v>
      </c>
      <c r="K2288" s="154" t="s">
        <v>12282</v>
      </c>
      <c r="L2288" s="154" t="s">
        <v>7431</v>
      </c>
      <c r="M2288" s="154" t="s">
        <v>175</v>
      </c>
      <c r="N2288" s="154" t="s">
        <v>759</v>
      </c>
      <c r="O2288" s="247" t="s">
        <v>516</v>
      </c>
      <c r="P2288" s="247" t="s">
        <v>5876</v>
      </c>
      <c r="Q2288" s="154" t="str">
        <f t="shared" si="1"/>
        <v>#ERROR!</v>
      </c>
      <c r="R2288" s="154" t="s">
        <v>66</v>
      </c>
      <c r="S2288" s="154" t="s">
        <v>66</v>
      </c>
      <c r="T2288" s="155" t="s">
        <v>64</v>
      </c>
      <c r="U2288" s="155" t="s">
        <v>64</v>
      </c>
      <c r="V2288" s="154" t="s">
        <v>60</v>
      </c>
      <c r="W2288" s="154" t="s">
        <v>60</v>
      </c>
      <c r="X2288" s="154" t="s">
        <v>66</v>
      </c>
      <c r="Y2288" s="155" t="s">
        <v>64</v>
      </c>
      <c r="Z2288" s="154" t="s">
        <v>60</v>
      </c>
      <c r="AA2288" s="154"/>
      <c r="AB2288" s="242" t="str">
        <f t="shared" si="2"/>
        <v>#ERROR!</v>
      </c>
      <c r="AC2288" s="154" t="s">
        <v>391</v>
      </c>
      <c r="AD2288" s="242" t="b">
        <f t="shared" si="3"/>
        <v>0</v>
      </c>
      <c r="AE2288" s="154"/>
      <c r="AF2288" s="242" t="str">
        <f t="shared" si="4"/>
        <v>#ERROR!</v>
      </c>
      <c r="AG2288" s="154"/>
      <c r="AH2288" s="242" t="str">
        <f>IF(AG2288="","N/A",INDIRECT("MTR!"&amp;ADDRESS(MATCH(LEFT(AG2288,9),[1]MTR!C:C,0),COLUMN(J2288)),TRUE) &amp; "")</f>
        <v>#ERROR!</v>
      </c>
      <c r="AI2288" s="157" t="str">
        <f t="shared" si="5"/>
        <v>#ERROR!</v>
      </c>
    </row>
    <row r="2289" ht="12.75" customHeight="1">
      <c r="A2289" s="244" t="s">
        <v>5158</v>
      </c>
      <c r="B2289" s="244" t="s">
        <v>231</v>
      </c>
      <c r="C2289" s="244" t="s">
        <v>12323</v>
      </c>
      <c r="D2289" s="154" t="s">
        <v>503</v>
      </c>
      <c r="E2289" s="154"/>
      <c r="F2289" s="154" t="str">
        <f t="array" ref="F2289">XLOOKUP(Cover!$D$12,$R$1:$Z$1,$R2289:$Z2289)</f>
        <v>Mandatory</v>
      </c>
      <c r="G2289" s="154" t="s">
        <v>12319</v>
      </c>
      <c r="H2289" s="154" t="s">
        <v>9002</v>
      </c>
      <c r="I2289" s="154" t="s">
        <v>12320</v>
      </c>
      <c r="J2289" s="154" t="s">
        <v>7360</v>
      </c>
      <c r="K2289" s="154" t="s">
        <v>12282</v>
      </c>
      <c r="L2289" s="154" t="s">
        <v>7431</v>
      </c>
      <c r="M2289" s="154" t="s">
        <v>175</v>
      </c>
      <c r="N2289" s="154" t="s">
        <v>759</v>
      </c>
      <c r="O2289" s="247" t="s">
        <v>516</v>
      </c>
      <c r="P2289" s="247" t="s">
        <v>5876</v>
      </c>
      <c r="Q2289" s="154" t="str">
        <f t="shared" si="1"/>
        <v>#ERROR!</v>
      </c>
      <c r="R2289" s="154" t="s">
        <v>66</v>
      </c>
      <c r="S2289" s="154" t="s">
        <v>66</v>
      </c>
      <c r="T2289" s="155" t="s">
        <v>64</v>
      </c>
      <c r="U2289" s="155" t="s">
        <v>64</v>
      </c>
      <c r="V2289" s="154" t="s">
        <v>60</v>
      </c>
      <c r="W2289" s="154" t="s">
        <v>60</v>
      </c>
      <c r="X2289" s="154" t="s">
        <v>66</v>
      </c>
      <c r="Y2289" s="155" t="s">
        <v>64</v>
      </c>
      <c r="Z2289" s="154" t="s">
        <v>60</v>
      </c>
      <c r="AA2289" s="154"/>
      <c r="AB2289" s="242" t="str">
        <f t="shared" si="2"/>
        <v>#ERROR!</v>
      </c>
      <c r="AC2289" s="154" t="s">
        <v>391</v>
      </c>
      <c r="AD2289" s="242" t="b">
        <f t="shared" si="3"/>
        <v>0</v>
      </c>
      <c r="AE2289" s="154"/>
      <c r="AF2289" s="242" t="str">
        <f t="shared" si="4"/>
        <v>#ERROR!</v>
      </c>
      <c r="AG2289" s="154"/>
      <c r="AH2289" s="242" t="str">
        <f>IF(AG2289="","N/A",INDIRECT("MTR!"&amp;ADDRESS(MATCH(LEFT(AG2289,9),[1]MTR!C:C,0),COLUMN(J2289)),TRUE) &amp; "")</f>
        <v>#ERROR!</v>
      </c>
      <c r="AI2289" s="157" t="str">
        <f t="shared" si="5"/>
        <v>#ERROR!</v>
      </c>
    </row>
    <row r="2290" ht="12.75" customHeight="1">
      <c r="A2290" s="244" t="s">
        <v>5158</v>
      </c>
      <c r="B2290" s="244" t="s">
        <v>231</v>
      </c>
      <c r="C2290" s="244" t="s">
        <v>12324</v>
      </c>
      <c r="D2290" s="154" t="s">
        <v>503</v>
      </c>
      <c r="E2290" s="154"/>
      <c r="F2290" s="154" t="str">
        <f t="array" ref="F2290">XLOOKUP(Cover!$D$12,$R$1:$Z$1,$R2290:$Z2290)</f>
        <v>Mandatory</v>
      </c>
      <c r="G2290" s="154" t="s">
        <v>12322</v>
      </c>
      <c r="H2290" s="154" t="s">
        <v>1541</v>
      </c>
      <c r="I2290" s="154" t="s">
        <v>12320</v>
      </c>
      <c r="J2290" s="154" t="s">
        <v>7360</v>
      </c>
      <c r="K2290" s="154" t="s">
        <v>12282</v>
      </c>
      <c r="L2290" s="154" t="s">
        <v>7431</v>
      </c>
      <c r="M2290" s="154" t="s">
        <v>175</v>
      </c>
      <c r="N2290" s="154" t="s">
        <v>759</v>
      </c>
      <c r="O2290" s="247" t="s">
        <v>516</v>
      </c>
      <c r="P2290" s="247" t="s">
        <v>5876</v>
      </c>
      <c r="Q2290" s="154" t="str">
        <f t="shared" si="1"/>
        <v>#ERROR!</v>
      </c>
      <c r="R2290" s="154" t="s">
        <v>66</v>
      </c>
      <c r="S2290" s="154" t="s">
        <v>66</v>
      </c>
      <c r="T2290" s="155" t="s">
        <v>64</v>
      </c>
      <c r="U2290" s="155" t="s">
        <v>64</v>
      </c>
      <c r="V2290" s="154" t="s">
        <v>60</v>
      </c>
      <c r="W2290" s="154" t="s">
        <v>60</v>
      </c>
      <c r="X2290" s="154" t="s">
        <v>66</v>
      </c>
      <c r="Y2290" s="155" t="s">
        <v>64</v>
      </c>
      <c r="Z2290" s="154" t="s">
        <v>60</v>
      </c>
      <c r="AA2290" s="154"/>
      <c r="AB2290" s="242" t="str">
        <f t="shared" si="2"/>
        <v>#ERROR!</v>
      </c>
      <c r="AC2290" s="154" t="s">
        <v>391</v>
      </c>
      <c r="AD2290" s="242" t="b">
        <f t="shared" si="3"/>
        <v>0</v>
      </c>
      <c r="AE2290" s="154"/>
      <c r="AF2290" s="242" t="str">
        <f t="shared" si="4"/>
        <v>#ERROR!</v>
      </c>
      <c r="AG2290" s="154"/>
      <c r="AH2290" s="242" t="str">
        <f>IF(AG2290="","N/A",INDIRECT("MTR!"&amp;ADDRESS(MATCH(LEFT(AG2290,9),[1]MTR!C:C,0),COLUMN(J2290)),TRUE) &amp; "")</f>
        <v>#ERROR!</v>
      </c>
      <c r="AI2290" s="157" t="str">
        <f t="shared" si="5"/>
        <v>#ERROR!</v>
      </c>
    </row>
    <row r="2291" ht="12.75" customHeight="1">
      <c r="A2291" s="244" t="s">
        <v>5158</v>
      </c>
      <c r="B2291" s="244" t="s">
        <v>231</v>
      </c>
      <c r="C2291" s="244" t="s">
        <v>12325</v>
      </c>
      <c r="D2291" s="154" t="s">
        <v>546</v>
      </c>
      <c r="E2291" s="154"/>
      <c r="F2291" s="154" t="str">
        <f t="array" ref="F2291">XLOOKUP(Cover!$D$12,$R$1:$Z$1,$R2291:$Z2291)</f>
        <v>Information</v>
      </c>
      <c r="G2291" s="154" t="s">
        <v>12326</v>
      </c>
      <c r="H2291" s="154" t="s">
        <v>9002</v>
      </c>
      <c r="I2291" s="154" t="s">
        <v>12327</v>
      </c>
      <c r="J2291" s="154" t="s">
        <v>7366</v>
      </c>
      <c r="K2291" s="154" t="s">
        <v>12282</v>
      </c>
      <c r="L2291" s="154" t="s">
        <v>6529</v>
      </c>
      <c r="M2291" s="154"/>
      <c r="N2291" s="154" t="s">
        <v>759</v>
      </c>
      <c r="O2291" s="247" t="s">
        <v>445</v>
      </c>
      <c r="P2291" s="247" t="s">
        <v>6772</v>
      </c>
      <c r="Q2291" s="154" t="str">
        <f t="shared" si="1"/>
        <v>#ERROR!</v>
      </c>
      <c r="R2291" s="154" t="s">
        <v>66</v>
      </c>
      <c r="S2291" s="154" t="s">
        <v>66</v>
      </c>
      <c r="T2291" s="154" t="s">
        <v>66</v>
      </c>
      <c r="U2291" s="154" t="s">
        <v>66</v>
      </c>
      <c r="V2291" s="154" t="s">
        <v>66</v>
      </c>
      <c r="W2291" s="154" t="s">
        <v>66</v>
      </c>
      <c r="X2291" s="154" t="s">
        <v>66</v>
      </c>
      <c r="Y2291" s="154" t="s">
        <v>66</v>
      </c>
      <c r="Z2291" s="154" t="s">
        <v>66</v>
      </c>
      <c r="AA2291" s="154"/>
      <c r="AB2291" s="242" t="str">
        <f t="shared" si="2"/>
        <v>#ERROR!</v>
      </c>
      <c r="AC2291" s="154" t="s">
        <v>391</v>
      </c>
      <c r="AD2291" s="242" t="b">
        <f t="shared" si="3"/>
        <v>0</v>
      </c>
      <c r="AE2291" s="154"/>
      <c r="AF2291" s="242" t="str">
        <f t="shared" si="4"/>
        <v>#ERROR!</v>
      </c>
      <c r="AG2291" s="154"/>
      <c r="AH2291" s="242" t="str">
        <f>IF(AG2291="","N/A",INDIRECT("MTR!"&amp;ADDRESS(MATCH(LEFT(AG2291,9),[1]MTR!C:C,0),COLUMN(J2291)),TRUE) &amp; "")</f>
        <v>#ERROR!</v>
      </c>
      <c r="AI2291" s="157" t="str">
        <f t="shared" si="5"/>
        <v>#ERROR!</v>
      </c>
    </row>
    <row r="2292" ht="12.75" customHeight="1">
      <c r="A2292" s="244" t="s">
        <v>5158</v>
      </c>
      <c r="B2292" s="244" t="s">
        <v>231</v>
      </c>
      <c r="C2292" s="244" t="s">
        <v>12328</v>
      </c>
      <c r="D2292" s="154" t="s">
        <v>781</v>
      </c>
      <c r="E2292" s="154"/>
      <c r="F2292" s="154" t="str">
        <f t="array" ref="F2292">XLOOKUP(Cover!$D$12,$R$1:$Z$1,$R2292:$Z2292)</f>
        <v>Mandatory</v>
      </c>
      <c r="G2292" s="154" t="s">
        <v>12329</v>
      </c>
      <c r="H2292" s="154" t="s">
        <v>9006</v>
      </c>
      <c r="I2292" s="154" t="s">
        <v>12330</v>
      </c>
      <c r="J2292" s="154" t="s">
        <v>6809</v>
      </c>
      <c r="K2292" s="154" t="s">
        <v>12282</v>
      </c>
      <c r="L2292" s="154" t="s">
        <v>6140</v>
      </c>
      <c r="M2292" s="154" t="s">
        <v>175</v>
      </c>
      <c r="N2292" s="154" t="s">
        <v>759</v>
      </c>
      <c r="O2292" s="247" t="s">
        <v>445</v>
      </c>
      <c r="P2292" s="247" t="s">
        <v>6772</v>
      </c>
      <c r="Q2292" s="154" t="str">
        <f t="shared" si="1"/>
        <v>#ERROR!</v>
      </c>
      <c r="R2292" s="154" t="s">
        <v>66</v>
      </c>
      <c r="S2292" s="154" t="s">
        <v>66</v>
      </c>
      <c r="T2292" s="155" t="s">
        <v>64</v>
      </c>
      <c r="U2292" s="155" t="s">
        <v>64</v>
      </c>
      <c r="V2292" s="154" t="s">
        <v>60</v>
      </c>
      <c r="W2292" s="154" t="s">
        <v>60</v>
      </c>
      <c r="X2292" s="154" t="s">
        <v>66</v>
      </c>
      <c r="Y2292" s="155" t="s">
        <v>64</v>
      </c>
      <c r="Z2292" s="154" t="s">
        <v>60</v>
      </c>
      <c r="AA2292" s="154"/>
      <c r="AB2292" s="242" t="str">
        <f t="shared" si="2"/>
        <v>#ERROR!</v>
      </c>
      <c r="AC2292" s="154" t="s">
        <v>391</v>
      </c>
      <c r="AD2292" s="242" t="b">
        <f t="shared" si="3"/>
        <v>0</v>
      </c>
      <c r="AE2292" s="154"/>
      <c r="AF2292" s="242" t="str">
        <f t="shared" si="4"/>
        <v>#ERROR!</v>
      </c>
      <c r="AG2292" s="154"/>
      <c r="AH2292" s="242" t="str">
        <f>IF(AG2292="","N/A",INDIRECT("MTR!"&amp;ADDRESS(MATCH(LEFT(AG2292,9),[1]MTR!C:C,0),COLUMN(J2292)),TRUE) &amp; "")</f>
        <v>#ERROR!</v>
      </c>
      <c r="AI2292" s="157" t="str">
        <f t="shared" si="5"/>
        <v>#ERROR!</v>
      </c>
    </row>
    <row r="2293" ht="12.75" customHeight="1">
      <c r="A2293" s="244" t="s">
        <v>5158</v>
      </c>
      <c r="B2293" s="244" t="s">
        <v>231</v>
      </c>
      <c r="C2293" s="244" t="s">
        <v>12331</v>
      </c>
      <c r="D2293" s="154" t="s">
        <v>1069</v>
      </c>
      <c r="E2293" s="154"/>
      <c r="F2293" s="154" t="str">
        <f t="array" ref="F2293">XLOOKUP(Cover!$D$12,$R$1:$Z$1,$R2293:$Z2293)</f>
        <v>Mandatory</v>
      </c>
      <c r="G2293" s="154" t="s">
        <v>12332</v>
      </c>
      <c r="H2293" s="154" t="s">
        <v>9053</v>
      </c>
      <c r="I2293" s="154" t="s">
        <v>12330</v>
      </c>
      <c r="J2293" s="154" t="s">
        <v>6809</v>
      </c>
      <c r="K2293" s="154" t="s">
        <v>12282</v>
      </c>
      <c r="L2293" s="154" t="s">
        <v>5927</v>
      </c>
      <c r="M2293" s="154" t="s">
        <v>175</v>
      </c>
      <c r="N2293" s="154" t="s">
        <v>759</v>
      </c>
      <c r="O2293" s="247" t="s">
        <v>516</v>
      </c>
      <c r="P2293" s="247" t="s">
        <v>6776</v>
      </c>
      <c r="Q2293" s="154" t="str">
        <f t="shared" si="1"/>
        <v>#ERROR!</v>
      </c>
      <c r="R2293" s="154" t="s">
        <v>66</v>
      </c>
      <c r="S2293" s="154" t="s">
        <v>66</v>
      </c>
      <c r="T2293" s="155" t="s">
        <v>64</v>
      </c>
      <c r="U2293" s="155" t="s">
        <v>64</v>
      </c>
      <c r="V2293" s="154" t="s">
        <v>60</v>
      </c>
      <c r="W2293" s="154" t="s">
        <v>60</v>
      </c>
      <c r="X2293" s="154" t="s">
        <v>66</v>
      </c>
      <c r="Y2293" s="155" t="s">
        <v>64</v>
      </c>
      <c r="Z2293" s="154" t="s">
        <v>60</v>
      </c>
      <c r="AA2293" s="154"/>
      <c r="AB2293" s="242" t="str">
        <f t="shared" si="2"/>
        <v>#ERROR!</v>
      </c>
      <c r="AC2293" s="154" t="s">
        <v>391</v>
      </c>
      <c r="AD2293" s="242" t="b">
        <f t="shared" si="3"/>
        <v>0</v>
      </c>
      <c r="AE2293" s="154"/>
      <c r="AF2293" s="242" t="str">
        <f t="shared" si="4"/>
        <v>#ERROR!</v>
      </c>
      <c r="AG2293" s="154"/>
      <c r="AH2293" s="242" t="str">
        <f>IF(AG2293="","N/A",INDIRECT("MTR!"&amp;ADDRESS(MATCH(LEFT(AG2293,9),[1]MTR!C:C,0),COLUMN(J2293)),TRUE) &amp; "")</f>
        <v>#ERROR!</v>
      </c>
      <c r="AI2293" s="157" t="str">
        <f t="shared" si="5"/>
        <v>#ERROR!</v>
      </c>
    </row>
    <row r="2294" ht="12.75" customHeight="1">
      <c r="A2294" s="244" t="s">
        <v>5158</v>
      </c>
      <c r="B2294" s="244" t="s">
        <v>231</v>
      </c>
      <c r="C2294" s="244" t="s">
        <v>12333</v>
      </c>
      <c r="D2294" s="154" t="s">
        <v>781</v>
      </c>
      <c r="E2294" s="154"/>
      <c r="F2294" s="154" t="str">
        <f t="array" ref="F2294">XLOOKUP(Cover!$D$12,$R$1:$Z$1,$R2294:$Z2294)</f>
        <v>Mandatory</v>
      </c>
      <c r="G2294" s="154" t="s">
        <v>12334</v>
      </c>
      <c r="H2294" s="154" t="s">
        <v>9006</v>
      </c>
      <c r="I2294" s="154" t="s">
        <v>12335</v>
      </c>
      <c r="J2294" s="154" t="s">
        <v>6819</v>
      </c>
      <c r="K2294" s="154" t="s">
        <v>12282</v>
      </c>
      <c r="L2294" s="154" t="s">
        <v>6140</v>
      </c>
      <c r="M2294" s="154" t="s">
        <v>175</v>
      </c>
      <c r="N2294" s="154" t="s">
        <v>759</v>
      </c>
      <c r="O2294" s="247" t="s">
        <v>445</v>
      </c>
      <c r="P2294" s="154"/>
      <c r="Q2294" s="154" t="str">
        <f t="shared" si="1"/>
        <v>#ERROR!</v>
      </c>
      <c r="R2294" s="154" t="s">
        <v>66</v>
      </c>
      <c r="S2294" s="154" t="s">
        <v>66</v>
      </c>
      <c r="T2294" s="155" t="s">
        <v>64</v>
      </c>
      <c r="U2294" s="155" t="s">
        <v>64</v>
      </c>
      <c r="V2294" s="154" t="s">
        <v>60</v>
      </c>
      <c r="W2294" s="154" t="s">
        <v>60</v>
      </c>
      <c r="X2294" s="154" t="s">
        <v>66</v>
      </c>
      <c r="Y2294" s="155" t="s">
        <v>64</v>
      </c>
      <c r="Z2294" s="154" t="s">
        <v>60</v>
      </c>
      <c r="AA2294" s="154"/>
      <c r="AB2294" s="242" t="str">
        <f t="shared" si="2"/>
        <v>#ERROR!</v>
      </c>
      <c r="AC2294" s="154" t="s">
        <v>391</v>
      </c>
      <c r="AD2294" s="242" t="b">
        <f t="shared" si="3"/>
        <v>0</v>
      </c>
      <c r="AE2294" s="154"/>
      <c r="AF2294" s="242" t="str">
        <f t="shared" si="4"/>
        <v>#ERROR!</v>
      </c>
      <c r="AG2294" s="154"/>
      <c r="AH2294" s="242" t="str">
        <f>IF(AG2294="","N/A",INDIRECT("MTR!"&amp;ADDRESS(MATCH(LEFT(AG2294,9),[1]MTR!C:C,0),COLUMN(J2294)),TRUE) &amp; "")</f>
        <v>#ERROR!</v>
      </c>
      <c r="AI2294" s="157" t="str">
        <f t="shared" si="5"/>
        <v>#ERROR!</v>
      </c>
    </row>
    <row r="2295" ht="12.75" customHeight="1">
      <c r="A2295" s="244" t="s">
        <v>5158</v>
      </c>
      <c r="B2295" s="244" t="s">
        <v>231</v>
      </c>
      <c r="C2295" s="244" t="s">
        <v>12336</v>
      </c>
      <c r="D2295" s="154" t="s">
        <v>781</v>
      </c>
      <c r="E2295" s="154"/>
      <c r="F2295" s="154" t="str">
        <f t="array" ref="F2295">XLOOKUP(Cover!$D$12,$R$1:$Z$1,$R2295:$Z2295)</f>
        <v>Recommended</v>
      </c>
      <c r="G2295" s="154" t="s">
        <v>12337</v>
      </c>
      <c r="H2295" s="154" t="s">
        <v>9009</v>
      </c>
      <c r="I2295" s="154" t="s">
        <v>12335</v>
      </c>
      <c r="J2295" s="154" t="s">
        <v>6819</v>
      </c>
      <c r="K2295" s="154" t="s">
        <v>12282</v>
      </c>
      <c r="L2295" s="154" t="s">
        <v>6140</v>
      </c>
      <c r="M2295" s="154"/>
      <c r="N2295" s="154" t="s">
        <v>759</v>
      </c>
      <c r="O2295" s="247" t="s">
        <v>445</v>
      </c>
      <c r="P2295" s="154"/>
      <c r="Q2295" s="154" t="str">
        <f t="shared" si="1"/>
        <v>#ERROR!</v>
      </c>
      <c r="R2295" s="154" t="s">
        <v>66</v>
      </c>
      <c r="S2295" s="154" t="s">
        <v>66</v>
      </c>
      <c r="T2295" s="154" t="s">
        <v>64</v>
      </c>
      <c r="U2295" s="154" t="s">
        <v>64</v>
      </c>
      <c r="V2295" s="154" t="s">
        <v>64</v>
      </c>
      <c r="W2295" s="154" t="s">
        <v>64</v>
      </c>
      <c r="X2295" s="154" t="s">
        <v>66</v>
      </c>
      <c r="Y2295" s="154" t="s">
        <v>64</v>
      </c>
      <c r="Z2295" s="154" t="s">
        <v>64</v>
      </c>
      <c r="AA2295" s="154"/>
      <c r="AB2295" s="242" t="str">
        <f t="shared" si="2"/>
        <v>#ERROR!</v>
      </c>
      <c r="AC2295" s="154" t="s">
        <v>391</v>
      </c>
      <c r="AD2295" s="242" t="b">
        <f t="shared" si="3"/>
        <v>0</v>
      </c>
      <c r="AE2295" s="154"/>
      <c r="AF2295" s="242" t="str">
        <f t="shared" si="4"/>
        <v>#ERROR!</v>
      </c>
      <c r="AG2295" s="154"/>
      <c r="AH2295" s="242" t="str">
        <f>IF(AG2295="","N/A",INDIRECT("MTR!"&amp;ADDRESS(MATCH(LEFT(AG2295,9),[1]MTR!C:C,0),COLUMN(J2295)),TRUE) &amp; "")</f>
        <v>#ERROR!</v>
      </c>
      <c r="AI2295" s="157" t="str">
        <f t="shared" si="5"/>
        <v>#ERROR!</v>
      </c>
    </row>
    <row r="2296" ht="12.75" customHeight="1">
      <c r="A2296" s="244" t="s">
        <v>5158</v>
      </c>
      <c r="B2296" s="244" t="s">
        <v>231</v>
      </c>
      <c r="C2296" s="244" t="s">
        <v>12338</v>
      </c>
      <c r="D2296" s="154" t="s">
        <v>1315</v>
      </c>
      <c r="E2296" s="154"/>
      <c r="F2296" s="154" t="str">
        <f t="array" ref="F2296">XLOOKUP(Cover!$D$12,$R$1:$Z$1,$R2296:$Z2296)</f>
        <v>Mandatory</v>
      </c>
      <c r="G2296" s="154" t="s">
        <v>12339</v>
      </c>
      <c r="H2296" s="154" t="s">
        <v>9006</v>
      </c>
      <c r="I2296" s="154" t="s">
        <v>12340</v>
      </c>
      <c r="J2296" s="154" t="s">
        <v>6826</v>
      </c>
      <c r="K2296" s="154" t="s">
        <v>12282</v>
      </c>
      <c r="L2296" s="154" t="s">
        <v>6022</v>
      </c>
      <c r="M2296" s="154" t="s">
        <v>175</v>
      </c>
      <c r="N2296" s="154" t="s">
        <v>759</v>
      </c>
      <c r="O2296" s="247" t="s">
        <v>506</v>
      </c>
      <c r="P2296" s="247" t="s">
        <v>6722</v>
      </c>
      <c r="Q2296" s="154" t="str">
        <f t="shared" si="1"/>
        <v>#ERROR!</v>
      </c>
      <c r="R2296" s="154" t="s">
        <v>66</v>
      </c>
      <c r="S2296" s="154" t="s">
        <v>66</v>
      </c>
      <c r="T2296" s="155" t="s">
        <v>64</v>
      </c>
      <c r="U2296" s="155" t="s">
        <v>64</v>
      </c>
      <c r="V2296" s="154" t="s">
        <v>60</v>
      </c>
      <c r="W2296" s="154" t="s">
        <v>60</v>
      </c>
      <c r="X2296" s="154" t="s">
        <v>66</v>
      </c>
      <c r="Y2296" s="155" t="s">
        <v>64</v>
      </c>
      <c r="Z2296" s="154" t="s">
        <v>60</v>
      </c>
      <c r="AA2296" s="154"/>
      <c r="AB2296" s="242" t="str">
        <f t="shared" si="2"/>
        <v>#ERROR!</v>
      </c>
      <c r="AC2296" s="154" t="s">
        <v>391</v>
      </c>
      <c r="AD2296" s="242" t="b">
        <f t="shared" si="3"/>
        <v>0</v>
      </c>
      <c r="AE2296" s="154"/>
      <c r="AF2296" s="242" t="str">
        <f t="shared" si="4"/>
        <v>#ERROR!</v>
      </c>
      <c r="AG2296" s="154"/>
      <c r="AH2296" s="242" t="str">
        <f>IF(AG2296="","N/A",INDIRECT("MTR!"&amp;ADDRESS(MATCH(LEFT(AG2296,9),[1]MTR!C:C,0),COLUMN(J2296)),TRUE) &amp; "")</f>
        <v>#ERROR!</v>
      </c>
      <c r="AI2296" s="157" t="str">
        <f t="shared" si="5"/>
        <v>#ERROR!</v>
      </c>
    </row>
    <row r="2297" ht="12.75" customHeight="1">
      <c r="A2297" s="244" t="s">
        <v>5158</v>
      </c>
      <c r="B2297" s="244" t="s">
        <v>231</v>
      </c>
      <c r="C2297" s="244" t="s">
        <v>12341</v>
      </c>
      <c r="D2297" s="154" t="s">
        <v>1315</v>
      </c>
      <c r="E2297" s="154"/>
      <c r="F2297" s="154" t="str">
        <f t="array" ref="F2297">XLOOKUP(Cover!$D$12,$R$1:$Z$1,$R2297:$Z2297)</f>
        <v>Mandatory</v>
      </c>
      <c r="G2297" s="154" t="s">
        <v>12342</v>
      </c>
      <c r="H2297" s="154" t="s">
        <v>9012</v>
      </c>
      <c r="I2297" s="154" t="s">
        <v>12340</v>
      </c>
      <c r="J2297" s="154" t="s">
        <v>6826</v>
      </c>
      <c r="K2297" s="154" t="s">
        <v>12282</v>
      </c>
      <c r="L2297" s="154" t="s">
        <v>6022</v>
      </c>
      <c r="M2297" s="154" t="s">
        <v>175</v>
      </c>
      <c r="N2297" s="154" t="s">
        <v>759</v>
      </c>
      <c r="O2297" s="247" t="s">
        <v>506</v>
      </c>
      <c r="P2297" s="247" t="s">
        <v>6722</v>
      </c>
      <c r="Q2297" s="154" t="str">
        <f t="shared" si="1"/>
        <v>#ERROR!</v>
      </c>
      <c r="R2297" s="154" t="s">
        <v>66</v>
      </c>
      <c r="S2297" s="154" t="s">
        <v>66</v>
      </c>
      <c r="T2297" s="155" t="s">
        <v>64</v>
      </c>
      <c r="U2297" s="155" t="s">
        <v>64</v>
      </c>
      <c r="V2297" s="154" t="s">
        <v>60</v>
      </c>
      <c r="W2297" s="154" t="s">
        <v>60</v>
      </c>
      <c r="X2297" s="154" t="s">
        <v>66</v>
      </c>
      <c r="Y2297" s="155" t="s">
        <v>64</v>
      </c>
      <c r="Z2297" s="154" t="s">
        <v>60</v>
      </c>
      <c r="AA2297" s="154"/>
      <c r="AB2297" s="242" t="str">
        <f t="shared" si="2"/>
        <v>#ERROR!</v>
      </c>
      <c r="AC2297" s="154" t="s">
        <v>391</v>
      </c>
      <c r="AD2297" s="242" t="b">
        <f t="shared" si="3"/>
        <v>0</v>
      </c>
      <c r="AE2297" s="154"/>
      <c r="AF2297" s="242" t="str">
        <f t="shared" si="4"/>
        <v>#ERROR!</v>
      </c>
      <c r="AG2297" s="154"/>
      <c r="AH2297" s="242" t="str">
        <f>IF(AG2297="","N/A",INDIRECT("MTR!"&amp;ADDRESS(MATCH(LEFT(AG2297,9),[1]MTR!C:C,0),COLUMN(J2297)),TRUE) &amp; "")</f>
        <v>#ERROR!</v>
      </c>
      <c r="AI2297" s="157" t="str">
        <f t="shared" si="5"/>
        <v>#ERROR!</v>
      </c>
    </row>
    <row r="2298" ht="12.75" customHeight="1">
      <c r="A2298" s="244" t="s">
        <v>5158</v>
      </c>
      <c r="B2298" s="244" t="s">
        <v>231</v>
      </c>
      <c r="C2298" s="244" t="s">
        <v>12343</v>
      </c>
      <c r="D2298" s="154" t="s">
        <v>1315</v>
      </c>
      <c r="E2298" s="154"/>
      <c r="F2298" s="154" t="str">
        <f t="array" ref="F2298">XLOOKUP(Cover!$D$12,$R$1:$Z$1,$R2298:$Z2298)</f>
        <v>Mandatory</v>
      </c>
      <c r="G2298" s="154" t="s">
        <v>12344</v>
      </c>
      <c r="H2298" s="154" t="s">
        <v>9006</v>
      </c>
      <c r="I2298" s="154" t="s">
        <v>12345</v>
      </c>
      <c r="J2298" s="154" t="s">
        <v>6832</v>
      </c>
      <c r="K2298" s="154" t="s">
        <v>12282</v>
      </c>
      <c r="L2298" s="154" t="s">
        <v>6884</v>
      </c>
      <c r="M2298" s="154" t="s">
        <v>175</v>
      </c>
      <c r="N2298" s="154" t="s">
        <v>759</v>
      </c>
      <c r="O2298" s="247" t="s">
        <v>445</v>
      </c>
      <c r="P2298" s="247" t="s">
        <v>6772</v>
      </c>
      <c r="Q2298" s="154" t="str">
        <f t="shared" si="1"/>
        <v>#ERROR!</v>
      </c>
      <c r="R2298" s="154" t="s">
        <v>66</v>
      </c>
      <c r="S2298" s="154" t="s">
        <v>66</v>
      </c>
      <c r="T2298" s="155" t="s">
        <v>64</v>
      </c>
      <c r="U2298" s="155" t="s">
        <v>64</v>
      </c>
      <c r="V2298" s="154" t="s">
        <v>60</v>
      </c>
      <c r="W2298" s="154" t="s">
        <v>60</v>
      </c>
      <c r="X2298" s="154" t="s">
        <v>66</v>
      </c>
      <c r="Y2298" s="155" t="s">
        <v>64</v>
      </c>
      <c r="Z2298" s="154" t="s">
        <v>60</v>
      </c>
      <c r="AA2298" s="154"/>
      <c r="AB2298" s="242" t="str">
        <f t="shared" si="2"/>
        <v>#ERROR!</v>
      </c>
      <c r="AC2298" s="154" t="s">
        <v>391</v>
      </c>
      <c r="AD2298" s="242" t="b">
        <f t="shared" si="3"/>
        <v>0</v>
      </c>
      <c r="AE2298" s="154"/>
      <c r="AF2298" s="242" t="str">
        <f t="shared" si="4"/>
        <v>#ERROR!</v>
      </c>
      <c r="AG2298" s="154"/>
      <c r="AH2298" s="242" t="str">
        <f>IF(AG2298="","N/A",INDIRECT("MTR!"&amp;ADDRESS(MATCH(LEFT(AG2298,9),[1]MTR!C:C,0),COLUMN(J2298)),TRUE) &amp; "")</f>
        <v>#ERROR!</v>
      </c>
      <c r="AI2298" s="157" t="str">
        <f t="shared" si="5"/>
        <v>#ERROR!</v>
      </c>
    </row>
    <row r="2299" ht="12.75" customHeight="1">
      <c r="A2299" s="244" t="s">
        <v>5158</v>
      </c>
      <c r="B2299" s="244" t="s">
        <v>231</v>
      </c>
      <c r="C2299" s="244" t="s">
        <v>12346</v>
      </c>
      <c r="D2299" s="154" t="s">
        <v>1315</v>
      </c>
      <c r="E2299" s="154"/>
      <c r="F2299" s="154" t="str">
        <f t="array" ref="F2299">XLOOKUP(Cover!$D$12,$R$1:$Z$1,$R2299:$Z2299)</f>
        <v>Mandatory</v>
      </c>
      <c r="G2299" s="154" t="s">
        <v>12347</v>
      </c>
      <c r="H2299" s="154" t="s">
        <v>9015</v>
      </c>
      <c r="I2299" s="154" t="s">
        <v>12345</v>
      </c>
      <c r="J2299" s="154" t="s">
        <v>6832</v>
      </c>
      <c r="K2299" s="154" t="s">
        <v>12282</v>
      </c>
      <c r="L2299" s="154" t="s">
        <v>6884</v>
      </c>
      <c r="M2299" s="154" t="s">
        <v>175</v>
      </c>
      <c r="N2299" s="154" t="s">
        <v>759</v>
      </c>
      <c r="O2299" s="247" t="s">
        <v>445</v>
      </c>
      <c r="P2299" s="247" t="s">
        <v>6772</v>
      </c>
      <c r="Q2299" s="154" t="str">
        <f t="shared" si="1"/>
        <v>#ERROR!</v>
      </c>
      <c r="R2299" s="154" t="s">
        <v>66</v>
      </c>
      <c r="S2299" s="154" t="s">
        <v>66</v>
      </c>
      <c r="T2299" s="155" t="s">
        <v>64</v>
      </c>
      <c r="U2299" s="155" t="s">
        <v>64</v>
      </c>
      <c r="V2299" s="154" t="s">
        <v>60</v>
      </c>
      <c r="W2299" s="154" t="s">
        <v>60</v>
      </c>
      <c r="X2299" s="154" t="s">
        <v>66</v>
      </c>
      <c r="Y2299" s="155" t="s">
        <v>64</v>
      </c>
      <c r="Z2299" s="154" t="s">
        <v>60</v>
      </c>
      <c r="AA2299" s="154"/>
      <c r="AB2299" s="242" t="str">
        <f t="shared" si="2"/>
        <v>#ERROR!</v>
      </c>
      <c r="AC2299" s="154" t="s">
        <v>391</v>
      </c>
      <c r="AD2299" s="242" t="b">
        <f t="shared" si="3"/>
        <v>0</v>
      </c>
      <c r="AE2299" s="154"/>
      <c r="AF2299" s="242" t="str">
        <f t="shared" si="4"/>
        <v>#ERROR!</v>
      </c>
      <c r="AG2299" s="154"/>
      <c r="AH2299" s="242" t="str">
        <f>IF(AG2299="","N/A",INDIRECT("MTR!"&amp;ADDRESS(MATCH(LEFT(AG2299,9),[1]MTR!C:C,0),COLUMN(J2299)),TRUE) &amp; "")</f>
        <v>#ERROR!</v>
      </c>
      <c r="AI2299" s="157" t="str">
        <f t="shared" si="5"/>
        <v>#ERROR!</v>
      </c>
    </row>
    <row r="2300" ht="12.75" customHeight="1">
      <c r="A2300" s="244" t="s">
        <v>5158</v>
      </c>
      <c r="B2300" s="244" t="s">
        <v>231</v>
      </c>
      <c r="C2300" s="244" t="s">
        <v>12348</v>
      </c>
      <c r="D2300" s="154" t="s">
        <v>503</v>
      </c>
      <c r="E2300" s="154"/>
      <c r="F2300" s="154" t="str">
        <f t="array" ref="F2300">XLOOKUP(Cover!$D$12,$R$1:$Z$1,$R2300:$Z2300)</f>
        <v>Mandatory</v>
      </c>
      <c r="G2300" s="154" t="s">
        <v>12349</v>
      </c>
      <c r="H2300" s="154" t="s">
        <v>9006</v>
      </c>
      <c r="I2300" s="154" t="s">
        <v>12350</v>
      </c>
      <c r="J2300" s="154" t="s">
        <v>6838</v>
      </c>
      <c r="K2300" s="154" t="s">
        <v>12282</v>
      </c>
      <c r="L2300" s="154" t="s">
        <v>7431</v>
      </c>
      <c r="M2300" s="154" t="s">
        <v>175</v>
      </c>
      <c r="N2300" s="154" t="s">
        <v>759</v>
      </c>
      <c r="O2300" s="247" t="s">
        <v>516</v>
      </c>
      <c r="P2300" s="247" t="s">
        <v>5876</v>
      </c>
      <c r="Q2300" s="154" t="str">
        <f t="shared" si="1"/>
        <v>#ERROR!</v>
      </c>
      <c r="R2300" s="154" t="s">
        <v>66</v>
      </c>
      <c r="S2300" s="154" t="s">
        <v>66</v>
      </c>
      <c r="T2300" s="155" t="s">
        <v>64</v>
      </c>
      <c r="U2300" s="155" t="s">
        <v>64</v>
      </c>
      <c r="V2300" s="154" t="s">
        <v>60</v>
      </c>
      <c r="W2300" s="154" t="s">
        <v>60</v>
      </c>
      <c r="X2300" s="154" t="s">
        <v>66</v>
      </c>
      <c r="Y2300" s="155" t="s">
        <v>64</v>
      </c>
      <c r="Z2300" s="154" t="s">
        <v>60</v>
      </c>
      <c r="AA2300" s="154"/>
      <c r="AB2300" s="242" t="str">
        <f t="shared" si="2"/>
        <v>#ERROR!</v>
      </c>
      <c r="AC2300" s="154" t="s">
        <v>391</v>
      </c>
      <c r="AD2300" s="242" t="b">
        <f t="shared" si="3"/>
        <v>0</v>
      </c>
      <c r="AE2300" s="154"/>
      <c r="AF2300" s="242" t="str">
        <f t="shared" si="4"/>
        <v>#ERROR!</v>
      </c>
      <c r="AG2300" s="154"/>
      <c r="AH2300" s="242" t="str">
        <f>IF(AG2300="","N/A",INDIRECT("MTR!"&amp;ADDRESS(MATCH(LEFT(AG2300,9),[1]MTR!C:C,0),COLUMN(J2300)),TRUE) &amp; "")</f>
        <v>#ERROR!</v>
      </c>
      <c r="AI2300" s="157" t="str">
        <f t="shared" si="5"/>
        <v>#ERROR!</v>
      </c>
    </row>
    <row r="2301" ht="12.75" customHeight="1">
      <c r="A2301" s="244" t="s">
        <v>5158</v>
      </c>
      <c r="B2301" s="244" t="s">
        <v>231</v>
      </c>
      <c r="C2301" s="244" t="s">
        <v>12351</v>
      </c>
      <c r="D2301" s="154" t="s">
        <v>503</v>
      </c>
      <c r="E2301" s="154"/>
      <c r="F2301" s="154" t="str">
        <f t="array" ref="F2301">XLOOKUP(Cover!$D$12,$R$1:$Z$1,$R2301:$Z2301)</f>
        <v>Mandatory</v>
      </c>
      <c r="G2301" s="154" t="s">
        <v>12352</v>
      </c>
      <c r="H2301" s="154" t="s">
        <v>1541</v>
      </c>
      <c r="I2301" s="154" t="s">
        <v>12350</v>
      </c>
      <c r="J2301" s="154" t="s">
        <v>6838</v>
      </c>
      <c r="K2301" s="154" t="s">
        <v>12282</v>
      </c>
      <c r="L2301" s="154" t="s">
        <v>7431</v>
      </c>
      <c r="M2301" s="154" t="s">
        <v>175</v>
      </c>
      <c r="N2301" s="154" t="s">
        <v>759</v>
      </c>
      <c r="O2301" s="247" t="s">
        <v>516</v>
      </c>
      <c r="P2301" s="247" t="s">
        <v>5876</v>
      </c>
      <c r="Q2301" s="154" t="str">
        <f t="shared" si="1"/>
        <v>#ERROR!</v>
      </c>
      <c r="R2301" s="154" t="s">
        <v>66</v>
      </c>
      <c r="S2301" s="154" t="s">
        <v>66</v>
      </c>
      <c r="T2301" s="155" t="s">
        <v>64</v>
      </c>
      <c r="U2301" s="155" t="s">
        <v>64</v>
      </c>
      <c r="V2301" s="154" t="s">
        <v>60</v>
      </c>
      <c r="W2301" s="154" t="s">
        <v>60</v>
      </c>
      <c r="X2301" s="154" t="s">
        <v>66</v>
      </c>
      <c r="Y2301" s="155" t="s">
        <v>64</v>
      </c>
      <c r="Z2301" s="154" t="s">
        <v>60</v>
      </c>
      <c r="AA2301" s="154"/>
      <c r="AB2301" s="242" t="str">
        <f t="shared" si="2"/>
        <v>#ERROR!</v>
      </c>
      <c r="AC2301" s="154" t="s">
        <v>391</v>
      </c>
      <c r="AD2301" s="242" t="b">
        <f t="shared" si="3"/>
        <v>0</v>
      </c>
      <c r="AE2301" s="154"/>
      <c r="AF2301" s="242" t="str">
        <f t="shared" si="4"/>
        <v>#ERROR!</v>
      </c>
      <c r="AG2301" s="154"/>
      <c r="AH2301" s="242" t="str">
        <f>IF(AG2301="","N/A",INDIRECT("MTR!"&amp;ADDRESS(MATCH(LEFT(AG2301,9),[1]MTR!C:C,0),COLUMN(J2301)),TRUE) &amp; "")</f>
        <v>#ERROR!</v>
      </c>
      <c r="AI2301" s="157" t="str">
        <f t="shared" si="5"/>
        <v>#ERROR!</v>
      </c>
    </row>
    <row r="2302" ht="12.75" customHeight="1">
      <c r="A2302" s="244" t="s">
        <v>5158</v>
      </c>
      <c r="B2302" s="244" t="s">
        <v>231</v>
      </c>
      <c r="C2302" s="244" t="s">
        <v>12353</v>
      </c>
      <c r="D2302" s="154" t="s">
        <v>546</v>
      </c>
      <c r="E2302" s="154"/>
      <c r="F2302" s="154" t="str">
        <f t="array" ref="F2302">XLOOKUP(Cover!$D$12,$R$1:$Z$1,$R2302:$Z2302)</f>
        <v>Information</v>
      </c>
      <c r="G2302" s="154" t="s">
        <v>12354</v>
      </c>
      <c r="H2302" s="154" t="s">
        <v>9006</v>
      </c>
      <c r="I2302" s="154" t="s">
        <v>12355</v>
      </c>
      <c r="J2302" s="154" t="s">
        <v>6844</v>
      </c>
      <c r="K2302" s="154" t="s">
        <v>12282</v>
      </c>
      <c r="L2302" s="154" t="s">
        <v>6529</v>
      </c>
      <c r="M2302" s="154"/>
      <c r="N2302" s="154" t="s">
        <v>759</v>
      </c>
      <c r="O2302" s="247" t="s">
        <v>445</v>
      </c>
      <c r="P2302" s="247" t="s">
        <v>6772</v>
      </c>
      <c r="Q2302" s="154" t="str">
        <f t="shared" si="1"/>
        <v>#ERROR!</v>
      </c>
      <c r="R2302" s="154" t="s">
        <v>66</v>
      </c>
      <c r="S2302" s="154" t="s">
        <v>66</v>
      </c>
      <c r="T2302" s="154" t="s">
        <v>66</v>
      </c>
      <c r="U2302" s="154" t="s">
        <v>66</v>
      </c>
      <c r="V2302" s="154" t="s">
        <v>66</v>
      </c>
      <c r="W2302" s="154" t="s">
        <v>66</v>
      </c>
      <c r="X2302" s="154" t="s">
        <v>66</v>
      </c>
      <c r="Y2302" s="154" t="s">
        <v>66</v>
      </c>
      <c r="Z2302" s="154" t="s">
        <v>66</v>
      </c>
      <c r="AA2302" s="154"/>
      <c r="AB2302" s="242" t="str">
        <f t="shared" si="2"/>
        <v>#ERROR!</v>
      </c>
      <c r="AC2302" s="154" t="s">
        <v>391</v>
      </c>
      <c r="AD2302" s="242" t="b">
        <f t="shared" si="3"/>
        <v>0</v>
      </c>
      <c r="AE2302" s="154"/>
      <c r="AF2302" s="242" t="str">
        <f t="shared" si="4"/>
        <v>#ERROR!</v>
      </c>
      <c r="AG2302" s="154"/>
      <c r="AH2302" s="242" t="str">
        <f>IF(AG2302="","N/A",INDIRECT("MTR!"&amp;ADDRESS(MATCH(LEFT(AG2302,9),[1]MTR!C:C,0),COLUMN(J2302)),TRUE) &amp; "")</f>
        <v>#ERROR!</v>
      </c>
      <c r="AI2302" s="157" t="str">
        <f t="shared" si="5"/>
        <v>#ERROR!</v>
      </c>
    </row>
    <row r="2303" ht="12.75" customHeight="1">
      <c r="A2303" s="244" t="s">
        <v>5158</v>
      </c>
      <c r="B2303" s="244" t="s">
        <v>231</v>
      </c>
      <c r="C2303" s="244" t="s">
        <v>12356</v>
      </c>
      <c r="D2303" s="154" t="s">
        <v>546</v>
      </c>
      <c r="E2303" s="154"/>
      <c r="F2303" s="154" t="str">
        <f t="array" ref="F2303">XLOOKUP(Cover!$D$12,$R$1:$Z$1,$R2303:$Z2303)</f>
        <v>Information</v>
      </c>
      <c r="G2303" s="154" t="s">
        <v>12357</v>
      </c>
      <c r="H2303" s="154" t="s">
        <v>9009</v>
      </c>
      <c r="I2303" s="154" t="s">
        <v>12358</v>
      </c>
      <c r="J2303" s="154" t="s">
        <v>6854</v>
      </c>
      <c r="K2303" s="154" t="s">
        <v>12282</v>
      </c>
      <c r="L2303" s="154" t="s">
        <v>6529</v>
      </c>
      <c r="M2303" s="154"/>
      <c r="N2303" s="154" t="s">
        <v>759</v>
      </c>
      <c r="O2303" s="247" t="s">
        <v>506</v>
      </c>
      <c r="P2303" s="247" t="s">
        <v>6722</v>
      </c>
      <c r="Q2303" s="154" t="str">
        <f t="shared" si="1"/>
        <v>#ERROR!</v>
      </c>
      <c r="R2303" s="154" t="s">
        <v>66</v>
      </c>
      <c r="S2303" s="154" t="s">
        <v>66</v>
      </c>
      <c r="T2303" s="154" t="s">
        <v>66</v>
      </c>
      <c r="U2303" s="154" t="s">
        <v>66</v>
      </c>
      <c r="V2303" s="154" t="s">
        <v>66</v>
      </c>
      <c r="W2303" s="154" t="s">
        <v>66</v>
      </c>
      <c r="X2303" s="154" t="s">
        <v>66</v>
      </c>
      <c r="Y2303" s="154" t="s">
        <v>66</v>
      </c>
      <c r="Z2303" s="154" t="s">
        <v>66</v>
      </c>
      <c r="AA2303" s="154"/>
      <c r="AB2303" s="242" t="str">
        <f t="shared" si="2"/>
        <v>#ERROR!</v>
      </c>
      <c r="AC2303" s="154" t="s">
        <v>391</v>
      </c>
      <c r="AD2303" s="242" t="b">
        <f t="shared" si="3"/>
        <v>0</v>
      </c>
      <c r="AE2303" s="154"/>
      <c r="AF2303" s="242" t="str">
        <f t="shared" si="4"/>
        <v>#ERROR!</v>
      </c>
      <c r="AG2303" s="154"/>
      <c r="AH2303" s="242" t="str">
        <f>IF(AG2303="","N/A",INDIRECT("MTR!"&amp;ADDRESS(MATCH(LEFT(AG2303,9),[1]MTR!C:C,0),COLUMN(J2303)),TRUE) &amp; "")</f>
        <v>#ERROR!</v>
      </c>
      <c r="AI2303" s="157" t="str">
        <f t="shared" si="5"/>
        <v>#ERROR!</v>
      </c>
    </row>
    <row r="2304" ht="12.75" customHeight="1">
      <c r="A2304" s="244" t="s">
        <v>5158</v>
      </c>
      <c r="B2304" s="244" t="s">
        <v>231</v>
      </c>
      <c r="C2304" s="244" t="s">
        <v>12359</v>
      </c>
      <c r="D2304" s="154" t="s">
        <v>781</v>
      </c>
      <c r="E2304" s="154"/>
      <c r="F2304" s="154" t="str">
        <f t="array" ref="F2304">XLOOKUP(Cover!$D$12,$R$1:$Z$1,$R2304:$Z2304)</f>
        <v>Recommended</v>
      </c>
      <c r="G2304" s="154" t="s">
        <v>12360</v>
      </c>
      <c r="H2304" s="154" t="s">
        <v>9009</v>
      </c>
      <c r="I2304" s="154" t="s">
        <v>12361</v>
      </c>
      <c r="J2304" s="154" t="s">
        <v>6848</v>
      </c>
      <c r="K2304" s="154" t="s">
        <v>12282</v>
      </c>
      <c r="L2304" s="154" t="s">
        <v>6140</v>
      </c>
      <c r="M2304" s="154"/>
      <c r="N2304" s="154" t="s">
        <v>759</v>
      </c>
      <c r="O2304" s="247" t="s">
        <v>445</v>
      </c>
      <c r="P2304" s="247" t="s">
        <v>6772</v>
      </c>
      <c r="Q2304" s="154" t="str">
        <f t="shared" si="1"/>
        <v>#ERROR!</v>
      </c>
      <c r="R2304" s="154" t="s">
        <v>66</v>
      </c>
      <c r="S2304" s="154" t="s">
        <v>66</v>
      </c>
      <c r="T2304" s="154" t="s">
        <v>64</v>
      </c>
      <c r="U2304" s="154" t="s">
        <v>64</v>
      </c>
      <c r="V2304" s="154" t="s">
        <v>64</v>
      </c>
      <c r="W2304" s="154" t="s">
        <v>64</v>
      </c>
      <c r="X2304" s="154" t="s">
        <v>66</v>
      </c>
      <c r="Y2304" s="154" t="s">
        <v>64</v>
      </c>
      <c r="Z2304" s="154" t="s">
        <v>64</v>
      </c>
      <c r="AA2304" s="154"/>
      <c r="AB2304" s="242" t="str">
        <f t="shared" si="2"/>
        <v>#ERROR!</v>
      </c>
      <c r="AC2304" s="154" t="s">
        <v>391</v>
      </c>
      <c r="AD2304" s="242" t="b">
        <f t="shared" si="3"/>
        <v>0</v>
      </c>
      <c r="AE2304" s="154"/>
      <c r="AF2304" s="242" t="str">
        <f t="shared" si="4"/>
        <v>#ERROR!</v>
      </c>
      <c r="AG2304" s="154"/>
      <c r="AH2304" s="242" t="str">
        <f>IF(AG2304="","N/A",INDIRECT("MTR!"&amp;ADDRESS(MATCH(LEFT(AG2304,9),[1]MTR!C:C,0),COLUMN(J2304)),TRUE) &amp; "")</f>
        <v>#ERROR!</v>
      </c>
      <c r="AI2304" s="157" t="str">
        <f t="shared" si="5"/>
        <v>#ERROR!</v>
      </c>
    </row>
    <row r="2305" ht="12.75" customHeight="1">
      <c r="A2305" s="244" t="s">
        <v>5158</v>
      </c>
      <c r="B2305" s="244" t="s">
        <v>231</v>
      </c>
      <c r="C2305" s="244" t="s">
        <v>12362</v>
      </c>
      <c r="D2305" s="154" t="s">
        <v>781</v>
      </c>
      <c r="E2305" s="154"/>
      <c r="F2305" s="154" t="str">
        <f t="array" ref="F2305">XLOOKUP(Cover!$D$12,$R$1:$Z$1,$R2305:$Z2305)</f>
        <v>Recommended</v>
      </c>
      <c r="G2305" s="154" t="s">
        <v>12363</v>
      </c>
      <c r="H2305" s="154" t="s">
        <v>9084</v>
      </c>
      <c r="I2305" s="154" t="s">
        <v>12361</v>
      </c>
      <c r="J2305" s="154" t="s">
        <v>6848</v>
      </c>
      <c r="K2305" s="154" t="s">
        <v>12282</v>
      </c>
      <c r="L2305" s="154" t="s">
        <v>6140</v>
      </c>
      <c r="M2305" s="154"/>
      <c r="N2305" s="154" t="s">
        <v>759</v>
      </c>
      <c r="O2305" s="247" t="s">
        <v>516</v>
      </c>
      <c r="P2305" s="247" t="s">
        <v>6776</v>
      </c>
      <c r="Q2305" s="154" t="str">
        <f t="shared" si="1"/>
        <v>#ERROR!</v>
      </c>
      <c r="R2305" s="154" t="s">
        <v>66</v>
      </c>
      <c r="S2305" s="154" t="s">
        <v>66</v>
      </c>
      <c r="T2305" s="154" t="s">
        <v>64</v>
      </c>
      <c r="U2305" s="154" t="s">
        <v>64</v>
      </c>
      <c r="V2305" s="154" t="s">
        <v>64</v>
      </c>
      <c r="W2305" s="154" t="s">
        <v>64</v>
      </c>
      <c r="X2305" s="154" t="s">
        <v>66</v>
      </c>
      <c r="Y2305" s="154" t="s">
        <v>64</v>
      </c>
      <c r="Z2305" s="154" t="s">
        <v>64</v>
      </c>
      <c r="AA2305" s="154"/>
      <c r="AB2305" s="242" t="str">
        <f t="shared" si="2"/>
        <v>#ERROR!</v>
      </c>
      <c r="AC2305" s="154" t="s">
        <v>391</v>
      </c>
      <c r="AD2305" s="242" t="b">
        <f t="shared" si="3"/>
        <v>0</v>
      </c>
      <c r="AE2305" s="154"/>
      <c r="AF2305" s="242" t="str">
        <f t="shared" si="4"/>
        <v>#ERROR!</v>
      </c>
      <c r="AG2305" s="154"/>
      <c r="AH2305" s="242" t="str">
        <f>IF(AG2305="","N/A",INDIRECT("MTR!"&amp;ADDRESS(MATCH(LEFT(AG2305,9),[1]MTR!C:C,0),COLUMN(J2305)),TRUE) &amp; "")</f>
        <v>#ERROR!</v>
      </c>
      <c r="AI2305" s="157" t="str">
        <f t="shared" si="5"/>
        <v>#ERROR!</v>
      </c>
    </row>
    <row r="2306" ht="12.75" customHeight="1">
      <c r="A2306" s="244" t="s">
        <v>5158</v>
      </c>
      <c r="B2306" s="244" t="s">
        <v>231</v>
      </c>
      <c r="C2306" s="244" t="s">
        <v>12364</v>
      </c>
      <c r="D2306" s="154" t="s">
        <v>1315</v>
      </c>
      <c r="E2306" s="154"/>
      <c r="F2306" s="154" t="str">
        <f t="array" ref="F2306">XLOOKUP(Cover!$D$12,$R$1:$Z$1,$R2306:$Z2306)</f>
        <v>Recommended</v>
      </c>
      <c r="G2306" s="154" t="s">
        <v>12365</v>
      </c>
      <c r="H2306" s="154" t="s">
        <v>9009</v>
      </c>
      <c r="I2306" s="154" t="s">
        <v>12366</v>
      </c>
      <c r="J2306" s="154" t="s">
        <v>6858</v>
      </c>
      <c r="K2306" s="154" t="s">
        <v>12282</v>
      </c>
      <c r="L2306" s="154" t="s">
        <v>6022</v>
      </c>
      <c r="M2306" s="154"/>
      <c r="N2306" s="154" t="s">
        <v>759</v>
      </c>
      <c r="O2306" s="247" t="s">
        <v>506</v>
      </c>
      <c r="P2306" s="247" t="s">
        <v>6722</v>
      </c>
      <c r="Q2306" s="154" t="str">
        <f t="shared" si="1"/>
        <v>#ERROR!</v>
      </c>
      <c r="R2306" s="154" t="s">
        <v>66</v>
      </c>
      <c r="S2306" s="154" t="s">
        <v>66</v>
      </c>
      <c r="T2306" s="154" t="s">
        <v>64</v>
      </c>
      <c r="U2306" s="154" t="s">
        <v>64</v>
      </c>
      <c r="V2306" s="154" t="s">
        <v>64</v>
      </c>
      <c r="W2306" s="154" t="s">
        <v>64</v>
      </c>
      <c r="X2306" s="154" t="s">
        <v>66</v>
      </c>
      <c r="Y2306" s="154" t="s">
        <v>64</v>
      </c>
      <c r="Z2306" s="154" t="s">
        <v>64</v>
      </c>
      <c r="AA2306" s="154"/>
      <c r="AB2306" s="242" t="str">
        <f t="shared" si="2"/>
        <v>#ERROR!</v>
      </c>
      <c r="AC2306" s="154" t="s">
        <v>391</v>
      </c>
      <c r="AD2306" s="242" t="b">
        <f t="shared" si="3"/>
        <v>0</v>
      </c>
      <c r="AE2306" s="154"/>
      <c r="AF2306" s="242" t="str">
        <f t="shared" si="4"/>
        <v>#ERROR!</v>
      </c>
      <c r="AG2306" s="154"/>
      <c r="AH2306" s="242" t="str">
        <f>IF(AG2306="","N/A",INDIRECT("MTR!"&amp;ADDRESS(MATCH(LEFT(AG2306,9),[1]MTR!C:C,0),COLUMN(J2306)),TRUE) &amp; "")</f>
        <v>#ERROR!</v>
      </c>
      <c r="AI2306" s="157" t="str">
        <f t="shared" si="5"/>
        <v>#ERROR!</v>
      </c>
    </row>
    <row r="2307" ht="12.75" customHeight="1">
      <c r="A2307" s="244" t="s">
        <v>5158</v>
      </c>
      <c r="B2307" s="244" t="s">
        <v>231</v>
      </c>
      <c r="C2307" s="244" t="s">
        <v>12367</v>
      </c>
      <c r="D2307" s="154" t="s">
        <v>1315</v>
      </c>
      <c r="E2307" s="154"/>
      <c r="F2307" s="154" t="str">
        <f t="array" ref="F2307">XLOOKUP(Cover!$D$12,$R$1:$Z$1,$R2307:$Z2307)</f>
        <v>Mandatory</v>
      </c>
      <c r="G2307" s="154" t="s">
        <v>12368</v>
      </c>
      <c r="H2307" s="154" t="s">
        <v>9012</v>
      </c>
      <c r="I2307" s="154" t="s">
        <v>12366</v>
      </c>
      <c r="J2307" s="154" t="s">
        <v>6858</v>
      </c>
      <c r="K2307" s="154" t="s">
        <v>12282</v>
      </c>
      <c r="L2307" s="154" t="s">
        <v>6022</v>
      </c>
      <c r="M2307" s="154" t="s">
        <v>175</v>
      </c>
      <c r="N2307" s="154" t="s">
        <v>759</v>
      </c>
      <c r="O2307" s="247" t="s">
        <v>506</v>
      </c>
      <c r="P2307" s="247" t="s">
        <v>6722</v>
      </c>
      <c r="Q2307" s="154" t="str">
        <f t="shared" si="1"/>
        <v>#ERROR!</v>
      </c>
      <c r="R2307" s="154" t="s">
        <v>66</v>
      </c>
      <c r="S2307" s="154" t="s">
        <v>66</v>
      </c>
      <c r="T2307" s="155" t="s">
        <v>64</v>
      </c>
      <c r="U2307" s="155" t="s">
        <v>64</v>
      </c>
      <c r="V2307" s="154" t="s">
        <v>60</v>
      </c>
      <c r="W2307" s="154" t="s">
        <v>60</v>
      </c>
      <c r="X2307" s="154" t="s">
        <v>66</v>
      </c>
      <c r="Y2307" s="155" t="s">
        <v>64</v>
      </c>
      <c r="Z2307" s="154" t="s">
        <v>60</v>
      </c>
      <c r="AA2307" s="154"/>
      <c r="AB2307" s="242" t="str">
        <f t="shared" si="2"/>
        <v>#ERROR!</v>
      </c>
      <c r="AC2307" s="154" t="s">
        <v>391</v>
      </c>
      <c r="AD2307" s="242" t="b">
        <f t="shared" si="3"/>
        <v>0</v>
      </c>
      <c r="AE2307" s="154"/>
      <c r="AF2307" s="242" t="str">
        <f t="shared" si="4"/>
        <v>#ERROR!</v>
      </c>
      <c r="AG2307" s="154"/>
      <c r="AH2307" s="242" t="str">
        <f>IF(AG2307="","N/A",INDIRECT("MTR!"&amp;ADDRESS(MATCH(LEFT(AG2307,9),[1]MTR!C:C,0),COLUMN(J2307)),TRUE) &amp; "")</f>
        <v>#ERROR!</v>
      </c>
      <c r="AI2307" s="157" t="str">
        <f t="shared" si="5"/>
        <v>#ERROR!</v>
      </c>
    </row>
    <row r="2308" ht="12.75" customHeight="1">
      <c r="A2308" s="244" t="s">
        <v>5158</v>
      </c>
      <c r="B2308" s="244" t="s">
        <v>231</v>
      </c>
      <c r="C2308" s="244" t="s">
        <v>12369</v>
      </c>
      <c r="D2308" s="154" t="s">
        <v>1069</v>
      </c>
      <c r="E2308" s="154"/>
      <c r="F2308" s="154" t="str">
        <f t="array" ref="F2308">XLOOKUP(Cover!$D$12,$R$1:$Z$1,$R2308:$Z2308)</f>
        <v>Recommended</v>
      </c>
      <c r="G2308" s="154" t="s">
        <v>12370</v>
      </c>
      <c r="H2308" s="154" t="s">
        <v>9009</v>
      </c>
      <c r="I2308" s="154" t="s">
        <v>12371</v>
      </c>
      <c r="J2308" s="154" t="s">
        <v>6865</v>
      </c>
      <c r="K2308" s="154" t="s">
        <v>12282</v>
      </c>
      <c r="L2308" s="154" t="s">
        <v>5927</v>
      </c>
      <c r="M2308" s="154"/>
      <c r="N2308" s="154" t="s">
        <v>759</v>
      </c>
      <c r="O2308" s="247" t="s">
        <v>445</v>
      </c>
      <c r="P2308" s="247" t="s">
        <v>6772</v>
      </c>
      <c r="Q2308" s="154" t="str">
        <f t="shared" si="1"/>
        <v>#ERROR!</v>
      </c>
      <c r="R2308" s="154" t="s">
        <v>66</v>
      </c>
      <c r="S2308" s="154" t="s">
        <v>66</v>
      </c>
      <c r="T2308" s="154" t="s">
        <v>64</v>
      </c>
      <c r="U2308" s="154" t="s">
        <v>64</v>
      </c>
      <c r="V2308" s="154" t="s">
        <v>64</v>
      </c>
      <c r="W2308" s="154" t="s">
        <v>64</v>
      </c>
      <c r="X2308" s="154" t="s">
        <v>66</v>
      </c>
      <c r="Y2308" s="154" t="s">
        <v>64</v>
      </c>
      <c r="Z2308" s="154" t="s">
        <v>64</v>
      </c>
      <c r="AA2308" s="154"/>
      <c r="AB2308" s="242" t="str">
        <f t="shared" si="2"/>
        <v>#ERROR!</v>
      </c>
      <c r="AC2308" s="154" t="s">
        <v>391</v>
      </c>
      <c r="AD2308" s="242" t="b">
        <f t="shared" si="3"/>
        <v>0</v>
      </c>
      <c r="AE2308" s="154"/>
      <c r="AF2308" s="242" t="str">
        <f t="shared" si="4"/>
        <v>#ERROR!</v>
      </c>
      <c r="AG2308" s="154"/>
      <c r="AH2308" s="242" t="str">
        <f>IF(AG2308="","N/A",INDIRECT("MTR!"&amp;ADDRESS(MATCH(LEFT(AG2308,9),[1]MTR!C:C,0),COLUMN(J2308)),TRUE) &amp; "")</f>
        <v>#ERROR!</v>
      </c>
      <c r="AI2308" s="157" t="str">
        <f t="shared" si="5"/>
        <v>#ERROR!</v>
      </c>
    </row>
    <row r="2309" ht="12.75" customHeight="1">
      <c r="A2309" s="244" t="s">
        <v>5158</v>
      </c>
      <c r="B2309" s="244" t="s">
        <v>231</v>
      </c>
      <c r="C2309" s="244" t="s">
        <v>12372</v>
      </c>
      <c r="D2309" s="154" t="s">
        <v>1069</v>
      </c>
      <c r="E2309" s="154"/>
      <c r="F2309" s="154" t="str">
        <f t="array" ref="F2309">XLOOKUP(Cover!$D$12,$R$1:$Z$1,$R2309:$Z2309)</f>
        <v>Mandatory</v>
      </c>
      <c r="G2309" s="154" t="s">
        <v>12373</v>
      </c>
      <c r="H2309" s="154" t="s">
        <v>9015</v>
      </c>
      <c r="I2309" s="154" t="s">
        <v>12371</v>
      </c>
      <c r="J2309" s="154" t="s">
        <v>6865</v>
      </c>
      <c r="K2309" s="154" t="s">
        <v>12282</v>
      </c>
      <c r="L2309" s="154" t="s">
        <v>5927</v>
      </c>
      <c r="M2309" s="154" t="s">
        <v>175</v>
      </c>
      <c r="N2309" s="154" t="s">
        <v>759</v>
      </c>
      <c r="O2309" s="247" t="s">
        <v>445</v>
      </c>
      <c r="P2309" s="247" t="s">
        <v>6772</v>
      </c>
      <c r="Q2309" s="154" t="str">
        <f t="shared" si="1"/>
        <v>#ERROR!</v>
      </c>
      <c r="R2309" s="154" t="s">
        <v>66</v>
      </c>
      <c r="S2309" s="154" t="s">
        <v>66</v>
      </c>
      <c r="T2309" s="155" t="s">
        <v>64</v>
      </c>
      <c r="U2309" s="155" t="s">
        <v>64</v>
      </c>
      <c r="V2309" s="154" t="s">
        <v>60</v>
      </c>
      <c r="W2309" s="154" t="s">
        <v>60</v>
      </c>
      <c r="X2309" s="154" t="s">
        <v>66</v>
      </c>
      <c r="Y2309" s="155" t="s">
        <v>64</v>
      </c>
      <c r="Z2309" s="154" t="s">
        <v>60</v>
      </c>
      <c r="AA2309" s="154"/>
      <c r="AB2309" s="242" t="str">
        <f t="shared" si="2"/>
        <v>#ERROR!</v>
      </c>
      <c r="AC2309" s="154" t="s">
        <v>391</v>
      </c>
      <c r="AD2309" s="242" t="b">
        <f t="shared" si="3"/>
        <v>0</v>
      </c>
      <c r="AE2309" s="154"/>
      <c r="AF2309" s="242" t="str">
        <f t="shared" si="4"/>
        <v>#ERROR!</v>
      </c>
      <c r="AG2309" s="154"/>
      <c r="AH2309" s="242" t="str">
        <f>IF(AG2309="","N/A",INDIRECT("MTR!"&amp;ADDRESS(MATCH(LEFT(AG2309,9),[1]MTR!C:C,0),COLUMN(J2309)),TRUE) &amp; "")</f>
        <v>#ERROR!</v>
      </c>
      <c r="AI2309" s="157" t="str">
        <f t="shared" si="5"/>
        <v>#ERROR!</v>
      </c>
    </row>
    <row r="2310" ht="12.75" customHeight="1">
      <c r="A2310" s="244" t="s">
        <v>5158</v>
      </c>
      <c r="B2310" s="244" t="s">
        <v>231</v>
      </c>
      <c r="C2310" s="244" t="s">
        <v>12374</v>
      </c>
      <c r="D2310" s="154" t="s">
        <v>503</v>
      </c>
      <c r="E2310" s="154"/>
      <c r="F2310" s="154" t="str">
        <f t="array" ref="F2310">XLOOKUP(Cover!$D$12,$R$1:$Z$1,$R2310:$Z2310)</f>
        <v>Recommended</v>
      </c>
      <c r="G2310" s="154" t="s">
        <v>12375</v>
      </c>
      <c r="H2310" s="154" t="s">
        <v>9009</v>
      </c>
      <c r="I2310" s="154" t="s">
        <v>12376</v>
      </c>
      <c r="J2310" s="154" t="s">
        <v>6872</v>
      </c>
      <c r="K2310" s="154" t="s">
        <v>12282</v>
      </c>
      <c r="L2310" s="154" t="s">
        <v>7431</v>
      </c>
      <c r="M2310" s="154"/>
      <c r="N2310" s="154" t="s">
        <v>759</v>
      </c>
      <c r="O2310" s="247" t="s">
        <v>516</v>
      </c>
      <c r="P2310" s="247" t="s">
        <v>5876</v>
      </c>
      <c r="Q2310" s="154" t="str">
        <f t="shared" si="1"/>
        <v>#ERROR!</v>
      </c>
      <c r="R2310" s="154" t="s">
        <v>66</v>
      </c>
      <c r="S2310" s="154" t="s">
        <v>66</v>
      </c>
      <c r="T2310" s="154" t="s">
        <v>64</v>
      </c>
      <c r="U2310" s="154" t="s">
        <v>64</v>
      </c>
      <c r="V2310" s="154" t="s">
        <v>64</v>
      </c>
      <c r="W2310" s="154" t="s">
        <v>64</v>
      </c>
      <c r="X2310" s="154" t="s">
        <v>66</v>
      </c>
      <c r="Y2310" s="154" t="s">
        <v>64</v>
      </c>
      <c r="Z2310" s="154" t="s">
        <v>64</v>
      </c>
      <c r="AA2310" s="154"/>
      <c r="AB2310" s="242" t="str">
        <f t="shared" si="2"/>
        <v>#ERROR!</v>
      </c>
      <c r="AC2310" s="154" t="s">
        <v>391</v>
      </c>
      <c r="AD2310" s="242" t="b">
        <f t="shared" si="3"/>
        <v>0</v>
      </c>
      <c r="AE2310" s="154"/>
      <c r="AF2310" s="242" t="str">
        <f t="shared" si="4"/>
        <v>#ERROR!</v>
      </c>
      <c r="AG2310" s="154"/>
      <c r="AH2310" s="242" t="str">
        <f>IF(AG2310="","N/A",INDIRECT("MTR!"&amp;ADDRESS(MATCH(LEFT(AG2310,9),[1]MTR!C:C,0),COLUMN(J2310)),TRUE) &amp; "")</f>
        <v>#ERROR!</v>
      </c>
      <c r="AI2310" s="157" t="str">
        <f t="shared" si="5"/>
        <v>#ERROR!</v>
      </c>
    </row>
    <row r="2311" ht="12.75" customHeight="1">
      <c r="A2311" s="244" t="s">
        <v>5158</v>
      </c>
      <c r="B2311" s="244" t="s">
        <v>231</v>
      </c>
      <c r="C2311" s="244" t="s">
        <v>12377</v>
      </c>
      <c r="D2311" s="154" t="s">
        <v>503</v>
      </c>
      <c r="E2311" s="154"/>
      <c r="F2311" s="154" t="str">
        <f t="array" ref="F2311">XLOOKUP(Cover!$D$12,$R$1:$Z$1,$R2311:$Z2311)</f>
        <v>Mandatory</v>
      </c>
      <c r="G2311" s="154" t="s">
        <v>12378</v>
      </c>
      <c r="H2311" s="154" t="s">
        <v>1541</v>
      </c>
      <c r="I2311" s="154" t="s">
        <v>12376</v>
      </c>
      <c r="J2311" s="154" t="s">
        <v>6872</v>
      </c>
      <c r="K2311" s="154" t="s">
        <v>12282</v>
      </c>
      <c r="L2311" s="154" t="s">
        <v>7431</v>
      </c>
      <c r="M2311" s="154" t="s">
        <v>175</v>
      </c>
      <c r="N2311" s="154" t="s">
        <v>759</v>
      </c>
      <c r="O2311" s="247" t="s">
        <v>516</v>
      </c>
      <c r="P2311" s="247" t="s">
        <v>5876</v>
      </c>
      <c r="Q2311" s="154" t="str">
        <f t="shared" si="1"/>
        <v>#ERROR!</v>
      </c>
      <c r="R2311" s="154" t="s">
        <v>66</v>
      </c>
      <c r="S2311" s="154" t="s">
        <v>66</v>
      </c>
      <c r="T2311" s="155" t="s">
        <v>64</v>
      </c>
      <c r="U2311" s="155" t="s">
        <v>64</v>
      </c>
      <c r="V2311" s="154" t="s">
        <v>60</v>
      </c>
      <c r="W2311" s="154" t="s">
        <v>60</v>
      </c>
      <c r="X2311" s="154" t="s">
        <v>66</v>
      </c>
      <c r="Y2311" s="155" t="s">
        <v>64</v>
      </c>
      <c r="Z2311" s="154" t="s">
        <v>60</v>
      </c>
      <c r="AA2311" s="154"/>
      <c r="AB2311" s="242" t="str">
        <f t="shared" si="2"/>
        <v>#ERROR!</v>
      </c>
      <c r="AC2311" s="154" t="s">
        <v>391</v>
      </c>
      <c r="AD2311" s="242" t="b">
        <f t="shared" si="3"/>
        <v>0</v>
      </c>
      <c r="AE2311" s="154"/>
      <c r="AF2311" s="242" t="str">
        <f t="shared" si="4"/>
        <v>#ERROR!</v>
      </c>
      <c r="AG2311" s="154"/>
      <c r="AH2311" s="242" t="str">
        <f>IF(AG2311="","N/A",INDIRECT("MTR!"&amp;ADDRESS(MATCH(LEFT(AG2311,9),[1]MTR!C:C,0),COLUMN(J2311)),TRUE) &amp; "")</f>
        <v>#ERROR!</v>
      </c>
      <c r="AI2311" s="157" t="str">
        <f t="shared" si="5"/>
        <v>#ERROR!</v>
      </c>
    </row>
    <row r="2312" ht="12.75" customHeight="1">
      <c r="A2312" s="244" t="s">
        <v>5158</v>
      </c>
      <c r="B2312" s="244" t="s">
        <v>231</v>
      </c>
      <c r="C2312" s="244" t="s">
        <v>12379</v>
      </c>
      <c r="D2312" s="154" t="s">
        <v>546</v>
      </c>
      <c r="E2312" s="154"/>
      <c r="F2312" s="154" t="str">
        <f t="array" ref="F2312">XLOOKUP(Cover!$D$12,$R$1:$Z$1,$R2312:$Z2312)</f>
        <v>Information</v>
      </c>
      <c r="G2312" s="154" t="s">
        <v>12380</v>
      </c>
      <c r="H2312" s="154" t="s">
        <v>9015</v>
      </c>
      <c r="I2312" s="154" t="s">
        <v>12381</v>
      </c>
      <c r="J2312" s="154" t="s">
        <v>6900</v>
      </c>
      <c r="K2312" s="154" t="s">
        <v>12282</v>
      </c>
      <c r="L2312" s="154" t="s">
        <v>6529</v>
      </c>
      <c r="M2312" s="154"/>
      <c r="N2312" s="154" t="s">
        <v>759</v>
      </c>
      <c r="O2312" s="247" t="s">
        <v>445</v>
      </c>
      <c r="P2312" s="247" t="s">
        <v>6772</v>
      </c>
      <c r="Q2312" s="154" t="str">
        <f t="shared" si="1"/>
        <v>#ERROR!</v>
      </c>
      <c r="R2312" s="154" t="s">
        <v>66</v>
      </c>
      <c r="S2312" s="154" t="s">
        <v>66</v>
      </c>
      <c r="T2312" s="154" t="s">
        <v>66</v>
      </c>
      <c r="U2312" s="154" t="s">
        <v>66</v>
      </c>
      <c r="V2312" s="154" t="s">
        <v>66</v>
      </c>
      <c r="W2312" s="154" t="s">
        <v>66</v>
      </c>
      <c r="X2312" s="154" t="s">
        <v>66</v>
      </c>
      <c r="Y2312" s="154" t="s">
        <v>66</v>
      </c>
      <c r="Z2312" s="154" t="s">
        <v>66</v>
      </c>
      <c r="AA2312" s="154"/>
      <c r="AB2312" s="242" t="str">
        <f t="shared" si="2"/>
        <v>#ERROR!</v>
      </c>
      <c r="AC2312" s="154" t="s">
        <v>391</v>
      </c>
      <c r="AD2312" s="242" t="b">
        <f t="shared" si="3"/>
        <v>0</v>
      </c>
      <c r="AE2312" s="154"/>
      <c r="AF2312" s="242" t="str">
        <f t="shared" si="4"/>
        <v>#ERROR!</v>
      </c>
      <c r="AG2312" s="154"/>
      <c r="AH2312" s="242" t="str">
        <f>IF(AG2312="","N/A",INDIRECT("MTR!"&amp;ADDRESS(MATCH(LEFT(AG2312,9),[1]MTR!C:C,0),COLUMN(J2312)),TRUE) &amp; "")</f>
        <v>#ERROR!</v>
      </c>
      <c r="AI2312" s="157" t="str">
        <f t="shared" si="5"/>
        <v>#ERROR!</v>
      </c>
    </row>
    <row r="2313" ht="12.75" customHeight="1">
      <c r="A2313" s="244" t="s">
        <v>5158</v>
      </c>
      <c r="B2313" s="244" t="s">
        <v>231</v>
      </c>
      <c r="C2313" s="244" t="s">
        <v>12382</v>
      </c>
      <c r="D2313" s="154" t="s">
        <v>781</v>
      </c>
      <c r="E2313" s="154"/>
      <c r="F2313" s="154" t="str">
        <f t="array" ref="F2313">XLOOKUP(Cover!$D$12,$R$1:$Z$1,$R2313:$Z2313)</f>
        <v>Mandatory</v>
      </c>
      <c r="G2313" s="154" t="s">
        <v>12383</v>
      </c>
      <c r="H2313" s="154" t="s">
        <v>9002</v>
      </c>
      <c r="I2313" s="154" t="s">
        <v>12384</v>
      </c>
      <c r="J2313" s="154" t="s">
        <v>7963</v>
      </c>
      <c r="K2313" s="154" t="s">
        <v>12282</v>
      </c>
      <c r="L2313" s="154" t="s">
        <v>6140</v>
      </c>
      <c r="M2313" s="154" t="s">
        <v>175</v>
      </c>
      <c r="N2313" s="154" t="s">
        <v>759</v>
      </c>
      <c r="O2313" s="247" t="s">
        <v>445</v>
      </c>
      <c r="P2313" s="247" t="s">
        <v>6772</v>
      </c>
      <c r="Q2313" s="154" t="str">
        <f t="shared" si="1"/>
        <v>#ERROR!</v>
      </c>
      <c r="R2313" s="154" t="s">
        <v>66</v>
      </c>
      <c r="S2313" s="154" t="s">
        <v>66</v>
      </c>
      <c r="T2313" s="155" t="s">
        <v>64</v>
      </c>
      <c r="U2313" s="155" t="s">
        <v>64</v>
      </c>
      <c r="V2313" s="154" t="s">
        <v>60</v>
      </c>
      <c r="W2313" s="154" t="s">
        <v>60</v>
      </c>
      <c r="X2313" s="154" t="s">
        <v>66</v>
      </c>
      <c r="Y2313" s="155" t="s">
        <v>64</v>
      </c>
      <c r="Z2313" s="154" t="s">
        <v>60</v>
      </c>
      <c r="AA2313" s="154"/>
      <c r="AB2313" s="242" t="str">
        <f t="shared" si="2"/>
        <v>#ERROR!</v>
      </c>
      <c r="AC2313" s="154" t="s">
        <v>391</v>
      </c>
      <c r="AD2313" s="242" t="b">
        <f t="shared" si="3"/>
        <v>0</v>
      </c>
      <c r="AE2313" s="154"/>
      <c r="AF2313" s="242" t="str">
        <f t="shared" si="4"/>
        <v>#ERROR!</v>
      </c>
      <c r="AG2313" s="154"/>
      <c r="AH2313" s="242" t="str">
        <f>IF(AG2313="","N/A",INDIRECT("MTR!"&amp;ADDRESS(MATCH(LEFT(AG2313,9),[1]MTR!C:C,0),COLUMN(J2313)),TRUE) &amp; "")</f>
        <v>#ERROR!</v>
      </c>
      <c r="AI2313" s="157" t="str">
        <f t="shared" si="5"/>
        <v>#ERROR!</v>
      </c>
    </row>
    <row r="2314" ht="12.75" customHeight="1">
      <c r="A2314" s="244" t="s">
        <v>5158</v>
      </c>
      <c r="B2314" s="244" t="s">
        <v>231</v>
      </c>
      <c r="C2314" s="244" t="s">
        <v>12385</v>
      </c>
      <c r="D2314" s="154" t="s">
        <v>781</v>
      </c>
      <c r="E2314" s="154"/>
      <c r="F2314" s="154" t="str">
        <f t="array" ref="F2314">XLOOKUP(Cover!$D$12,$R$1:$Z$1,$R2314:$Z2314)</f>
        <v>Mandatory</v>
      </c>
      <c r="G2314" s="154" t="s">
        <v>12386</v>
      </c>
      <c r="H2314" s="154" t="s">
        <v>9006</v>
      </c>
      <c r="I2314" s="154" t="s">
        <v>12384</v>
      </c>
      <c r="J2314" s="154" t="s">
        <v>7963</v>
      </c>
      <c r="K2314" s="154" t="s">
        <v>12282</v>
      </c>
      <c r="L2314" s="154" t="s">
        <v>6140</v>
      </c>
      <c r="M2314" s="154" t="s">
        <v>175</v>
      </c>
      <c r="N2314" s="154" t="s">
        <v>759</v>
      </c>
      <c r="O2314" s="247" t="s">
        <v>445</v>
      </c>
      <c r="P2314" s="247" t="s">
        <v>6772</v>
      </c>
      <c r="Q2314" s="154" t="str">
        <f t="shared" si="1"/>
        <v>#ERROR!</v>
      </c>
      <c r="R2314" s="154" t="s">
        <v>66</v>
      </c>
      <c r="S2314" s="154" t="s">
        <v>66</v>
      </c>
      <c r="T2314" s="155" t="s">
        <v>64</v>
      </c>
      <c r="U2314" s="155" t="s">
        <v>64</v>
      </c>
      <c r="V2314" s="154" t="s">
        <v>60</v>
      </c>
      <c r="W2314" s="154" t="s">
        <v>60</v>
      </c>
      <c r="X2314" s="154" t="s">
        <v>66</v>
      </c>
      <c r="Y2314" s="155" t="s">
        <v>64</v>
      </c>
      <c r="Z2314" s="154" t="s">
        <v>60</v>
      </c>
      <c r="AA2314" s="154"/>
      <c r="AB2314" s="242" t="str">
        <f t="shared" si="2"/>
        <v>#ERROR!</v>
      </c>
      <c r="AC2314" s="154" t="s">
        <v>391</v>
      </c>
      <c r="AD2314" s="242" t="b">
        <f t="shared" si="3"/>
        <v>0</v>
      </c>
      <c r="AE2314" s="154"/>
      <c r="AF2314" s="242" t="str">
        <f t="shared" si="4"/>
        <v>#ERROR!</v>
      </c>
      <c r="AG2314" s="154"/>
      <c r="AH2314" s="242" t="str">
        <f>IF(AG2314="","N/A",INDIRECT("MTR!"&amp;ADDRESS(MATCH(LEFT(AG2314,9),[1]MTR!C:C,0),COLUMN(J2314)),TRUE) &amp; "")</f>
        <v>#ERROR!</v>
      </c>
      <c r="AI2314" s="157" t="str">
        <f t="shared" si="5"/>
        <v>#ERROR!</v>
      </c>
    </row>
    <row r="2315" ht="12.75" customHeight="1">
      <c r="A2315" s="244" t="s">
        <v>5158</v>
      </c>
      <c r="B2315" s="244" t="s">
        <v>231</v>
      </c>
      <c r="C2315" s="244" t="s">
        <v>12387</v>
      </c>
      <c r="D2315" s="154" t="s">
        <v>781</v>
      </c>
      <c r="E2315" s="154"/>
      <c r="F2315" s="154" t="str">
        <f t="array" ref="F2315">XLOOKUP(Cover!$D$12,$R$1:$Z$1,$R2315:$Z2315)</f>
        <v>Mandatory</v>
      </c>
      <c r="G2315" s="154" t="s">
        <v>12388</v>
      </c>
      <c r="H2315" s="154" t="s">
        <v>9053</v>
      </c>
      <c r="I2315" s="154" t="s">
        <v>12384</v>
      </c>
      <c r="J2315" s="154" t="s">
        <v>7963</v>
      </c>
      <c r="K2315" s="154" t="s">
        <v>12282</v>
      </c>
      <c r="L2315" s="154" t="s">
        <v>6140</v>
      </c>
      <c r="M2315" s="154" t="s">
        <v>175</v>
      </c>
      <c r="N2315" s="154" t="s">
        <v>759</v>
      </c>
      <c r="O2315" s="247" t="s">
        <v>516</v>
      </c>
      <c r="P2315" s="247" t="s">
        <v>6776</v>
      </c>
      <c r="Q2315" s="154" t="str">
        <f t="shared" si="1"/>
        <v>#ERROR!</v>
      </c>
      <c r="R2315" s="154" t="s">
        <v>66</v>
      </c>
      <c r="S2315" s="154" t="s">
        <v>66</v>
      </c>
      <c r="T2315" s="155" t="s">
        <v>64</v>
      </c>
      <c r="U2315" s="155" t="s">
        <v>64</v>
      </c>
      <c r="V2315" s="154" t="s">
        <v>60</v>
      </c>
      <c r="W2315" s="154" t="s">
        <v>60</v>
      </c>
      <c r="X2315" s="154" t="s">
        <v>66</v>
      </c>
      <c r="Y2315" s="155" t="s">
        <v>64</v>
      </c>
      <c r="Z2315" s="154" t="s">
        <v>60</v>
      </c>
      <c r="AA2315" s="154"/>
      <c r="AB2315" s="242" t="str">
        <f t="shared" si="2"/>
        <v>#ERROR!</v>
      </c>
      <c r="AC2315" s="154" t="s">
        <v>391</v>
      </c>
      <c r="AD2315" s="242" t="b">
        <f t="shared" si="3"/>
        <v>0</v>
      </c>
      <c r="AE2315" s="154"/>
      <c r="AF2315" s="242" t="str">
        <f t="shared" si="4"/>
        <v>#ERROR!</v>
      </c>
      <c r="AG2315" s="154"/>
      <c r="AH2315" s="242" t="str">
        <f>IF(AG2315="","N/A",INDIRECT("MTR!"&amp;ADDRESS(MATCH(LEFT(AG2315,9),[1]MTR!C:C,0),COLUMN(J2315)),TRUE) &amp; "")</f>
        <v>#ERROR!</v>
      </c>
      <c r="AI2315" s="157" t="str">
        <f t="shared" si="5"/>
        <v>#ERROR!</v>
      </c>
    </row>
    <row r="2316" ht="12.75" customHeight="1">
      <c r="A2316" s="244" t="s">
        <v>5158</v>
      </c>
      <c r="B2316" s="244" t="s">
        <v>231</v>
      </c>
      <c r="C2316" s="244" t="s">
        <v>12389</v>
      </c>
      <c r="D2316" s="154" t="s">
        <v>781</v>
      </c>
      <c r="E2316" s="154"/>
      <c r="F2316" s="154" t="str">
        <f t="array" ref="F2316">XLOOKUP(Cover!$D$12,$R$1:$Z$1,$R2316:$Z2316)</f>
        <v>Mandatory</v>
      </c>
      <c r="G2316" s="154" t="s">
        <v>12390</v>
      </c>
      <c r="H2316" s="154" t="s">
        <v>9002</v>
      </c>
      <c r="I2316" s="154" t="s">
        <v>12391</v>
      </c>
      <c r="J2316" s="154" t="s">
        <v>6911</v>
      </c>
      <c r="K2316" s="154" t="s">
        <v>12282</v>
      </c>
      <c r="L2316" s="154" t="s">
        <v>6140</v>
      </c>
      <c r="M2316" s="154" t="s">
        <v>175</v>
      </c>
      <c r="N2316" s="154" t="s">
        <v>759</v>
      </c>
      <c r="O2316" s="247" t="s">
        <v>516</v>
      </c>
      <c r="P2316" s="247" t="s">
        <v>6776</v>
      </c>
      <c r="Q2316" s="154" t="str">
        <f t="shared" si="1"/>
        <v>#ERROR!</v>
      </c>
      <c r="R2316" s="154" t="s">
        <v>66</v>
      </c>
      <c r="S2316" s="154" t="s">
        <v>66</v>
      </c>
      <c r="T2316" s="155" t="s">
        <v>64</v>
      </c>
      <c r="U2316" s="155" t="s">
        <v>64</v>
      </c>
      <c r="V2316" s="154" t="s">
        <v>60</v>
      </c>
      <c r="W2316" s="154" t="s">
        <v>60</v>
      </c>
      <c r="X2316" s="154" t="s">
        <v>66</v>
      </c>
      <c r="Y2316" s="155" t="s">
        <v>64</v>
      </c>
      <c r="Z2316" s="154" t="s">
        <v>60</v>
      </c>
      <c r="AA2316" s="154"/>
      <c r="AB2316" s="242" t="str">
        <f t="shared" si="2"/>
        <v>#ERROR!</v>
      </c>
      <c r="AC2316" s="154" t="s">
        <v>391</v>
      </c>
      <c r="AD2316" s="242" t="b">
        <f t="shared" si="3"/>
        <v>0</v>
      </c>
      <c r="AE2316" s="154"/>
      <c r="AF2316" s="242" t="str">
        <f t="shared" si="4"/>
        <v>#ERROR!</v>
      </c>
      <c r="AG2316" s="154"/>
      <c r="AH2316" s="242" t="str">
        <f>IF(AG2316="","N/A",INDIRECT("MTR!"&amp;ADDRESS(MATCH(LEFT(AG2316,9),[1]MTR!C:C,0),COLUMN(J2316)),TRUE) &amp; "")</f>
        <v>#ERROR!</v>
      </c>
      <c r="AI2316" s="157" t="str">
        <f t="shared" si="5"/>
        <v>#ERROR!</v>
      </c>
    </row>
    <row r="2317" ht="12.75" customHeight="1">
      <c r="A2317" s="244" t="s">
        <v>5158</v>
      </c>
      <c r="B2317" s="244" t="s">
        <v>231</v>
      </c>
      <c r="C2317" s="244" t="s">
        <v>12392</v>
      </c>
      <c r="D2317" s="154" t="s">
        <v>781</v>
      </c>
      <c r="E2317" s="154"/>
      <c r="F2317" s="154" t="str">
        <f t="array" ref="F2317">XLOOKUP(Cover!$D$12,$R$1:$Z$1,$R2317:$Z2317)</f>
        <v>Mandatory</v>
      </c>
      <c r="G2317" s="154" t="s">
        <v>12393</v>
      </c>
      <c r="H2317" s="154" t="s">
        <v>9006</v>
      </c>
      <c r="I2317" s="154" t="s">
        <v>12391</v>
      </c>
      <c r="J2317" s="154" t="s">
        <v>6911</v>
      </c>
      <c r="K2317" s="154" t="s">
        <v>12282</v>
      </c>
      <c r="L2317" s="154" t="s">
        <v>6140</v>
      </c>
      <c r="M2317" s="154" t="s">
        <v>175</v>
      </c>
      <c r="N2317" s="154" t="s">
        <v>759</v>
      </c>
      <c r="O2317" s="247" t="s">
        <v>516</v>
      </c>
      <c r="P2317" s="247" t="s">
        <v>6776</v>
      </c>
      <c r="Q2317" s="154" t="str">
        <f t="shared" si="1"/>
        <v>#ERROR!</v>
      </c>
      <c r="R2317" s="154" t="s">
        <v>66</v>
      </c>
      <c r="S2317" s="154" t="s">
        <v>66</v>
      </c>
      <c r="T2317" s="155" t="s">
        <v>64</v>
      </c>
      <c r="U2317" s="155" t="s">
        <v>64</v>
      </c>
      <c r="V2317" s="154" t="s">
        <v>60</v>
      </c>
      <c r="W2317" s="154" t="s">
        <v>60</v>
      </c>
      <c r="X2317" s="154" t="s">
        <v>66</v>
      </c>
      <c r="Y2317" s="155" t="s">
        <v>64</v>
      </c>
      <c r="Z2317" s="154" t="s">
        <v>60</v>
      </c>
      <c r="AA2317" s="154"/>
      <c r="AB2317" s="242" t="str">
        <f t="shared" si="2"/>
        <v>#ERROR!</v>
      </c>
      <c r="AC2317" s="154" t="s">
        <v>391</v>
      </c>
      <c r="AD2317" s="242" t="b">
        <f t="shared" si="3"/>
        <v>0</v>
      </c>
      <c r="AE2317" s="154"/>
      <c r="AF2317" s="242" t="str">
        <f t="shared" si="4"/>
        <v>#ERROR!</v>
      </c>
      <c r="AG2317" s="154"/>
      <c r="AH2317" s="242" t="str">
        <f>IF(AG2317="","N/A",INDIRECT("MTR!"&amp;ADDRESS(MATCH(LEFT(AG2317,9),[1]MTR!C:C,0),COLUMN(J2317)),TRUE) &amp; "")</f>
        <v>#ERROR!</v>
      </c>
      <c r="AI2317" s="157" t="str">
        <f t="shared" si="5"/>
        <v>#ERROR!</v>
      </c>
    </row>
    <row r="2318" ht="12.75" customHeight="1">
      <c r="A2318" s="244" t="s">
        <v>5158</v>
      </c>
      <c r="B2318" s="244" t="s">
        <v>231</v>
      </c>
      <c r="C2318" s="244" t="s">
        <v>12394</v>
      </c>
      <c r="D2318" s="154" t="s">
        <v>781</v>
      </c>
      <c r="E2318" s="154"/>
      <c r="F2318" s="154" t="str">
        <f t="array" ref="F2318">XLOOKUP(Cover!$D$12,$R$1:$Z$1,$R2318:$Z2318)</f>
        <v>Recommended</v>
      </c>
      <c r="G2318" s="154" t="s">
        <v>12395</v>
      </c>
      <c r="H2318" s="154" t="s">
        <v>9009</v>
      </c>
      <c r="I2318" s="154" t="s">
        <v>12391</v>
      </c>
      <c r="J2318" s="154" t="s">
        <v>6911</v>
      </c>
      <c r="K2318" s="154" t="s">
        <v>12282</v>
      </c>
      <c r="L2318" s="154" t="s">
        <v>6140</v>
      </c>
      <c r="M2318" s="154"/>
      <c r="N2318" s="154" t="s">
        <v>759</v>
      </c>
      <c r="O2318" s="247" t="s">
        <v>516</v>
      </c>
      <c r="P2318" s="247" t="s">
        <v>6776</v>
      </c>
      <c r="Q2318" s="154" t="str">
        <f t="shared" si="1"/>
        <v>#ERROR!</v>
      </c>
      <c r="R2318" s="154" t="s">
        <v>66</v>
      </c>
      <c r="S2318" s="154" t="s">
        <v>66</v>
      </c>
      <c r="T2318" s="154" t="s">
        <v>64</v>
      </c>
      <c r="U2318" s="154" t="s">
        <v>64</v>
      </c>
      <c r="V2318" s="154" t="s">
        <v>64</v>
      </c>
      <c r="W2318" s="154" t="s">
        <v>64</v>
      </c>
      <c r="X2318" s="154" t="s">
        <v>66</v>
      </c>
      <c r="Y2318" s="154" t="s">
        <v>64</v>
      </c>
      <c r="Z2318" s="154" t="s">
        <v>64</v>
      </c>
      <c r="AA2318" s="154"/>
      <c r="AB2318" s="242" t="str">
        <f t="shared" si="2"/>
        <v>#ERROR!</v>
      </c>
      <c r="AC2318" s="154" t="s">
        <v>391</v>
      </c>
      <c r="AD2318" s="242" t="b">
        <f t="shared" si="3"/>
        <v>0</v>
      </c>
      <c r="AE2318" s="154"/>
      <c r="AF2318" s="242" t="str">
        <f t="shared" si="4"/>
        <v>#ERROR!</v>
      </c>
      <c r="AG2318" s="154"/>
      <c r="AH2318" s="242" t="str">
        <f>IF(AG2318="","N/A",INDIRECT("MTR!"&amp;ADDRESS(MATCH(LEFT(AG2318,9),[1]MTR!C:C,0),COLUMN(J2318)),TRUE) &amp; "")</f>
        <v>#ERROR!</v>
      </c>
      <c r="AI2318" s="157" t="str">
        <f t="shared" si="5"/>
        <v>#ERROR!</v>
      </c>
    </row>
    <row r="2319" ht="12.75" customHeight="1">
      <c r="A2319" s="244" t="s">
        <v>5158</v>
      </c>
      <c r="B2319" s="244" t="s">
        <v>231</v>
      </c>
      <c r="C2319" s="244" t="s">
        <v>12396</v>
      </c>
      <c r="D2319" s="154" t="s">
        <v>1315</v>
      </c>
      <c r="E2319" s="154"/>
      <c r="F2319" s="154" t="str">
        <f t="array" ref="F2319">XLOOKUP(Cover!$D$12,$R$1:$Z$1,$R2319:$Z2319)</f>
        <v>Mandatory</v>
      </c>
      <c r="G2319" s="154" t="s">
        <v>12397</v>
      </c>
      <c r="H2319" s="154" t="s">
        <v>9002</v>
      </c>
      <c r="I2319" s="154" t="s">
        <v>12398</v>
      </c>
      <c r="J2319" s="154" t="s">
        <v>7463</v>
      </c>
      <c r="K2319" s="154" t="s">
        <v>12282</v>
      </c>
      <c r="L2319" s="154" t="s">
        <v>6022</v>
      </c>
      <c r="M2319" s="154" t="s">
        <v>175</v>
      </c>
      <c r="N2319" s="154" t="s">
        <v>759</v>
      </c>
      <c r="O2319" s="247" t="s">
        <v>516</v>
      </c>
      <c r="P2319" s="247" t="s">
        <v>6776</v>
      </c>
      <c r="Q2319" s="154" t="str">
        <f t="shared" si="1"/>
        <v>#ERROR!</v>
      </c>
      <c r="R2319" s="154" t="s">
        <v>66</v>
      </c>
      <c r="S2319" s="154" t="s">
        <v>66</v>
      </c>
      <c r="T2319" s="155" t="s">
        <v>64</v>
      </c>
      <c r="U2319" s="155" t="s">
        <v>64</v>
      </c>
      <c r="V2319" s="154" t="s">
        <v>60</v>
      </c>
      <c r="W2319" s="154" t="s">
        <v>60</v>
      </c>
      <c r="X2319" s="154" t="s">
        <v>66</v>
      </c>
      <c r="Y2319" s="155" t="s">
        <v>64</v>
      </c>
      <c r="Z2319" s="154" t="s">
        <v>60</v>
      </c>
      <c r="AA2319" s="154"/>
      <c r="AB2319" s="242" t="str">
        <f t="shared" si="2"/>
        <v>#ERROR!</v>
      </c>
      <c r="AC2319" s="154" t="s">
        <v>391</v>
      </c>
      <c r="AD2319" s="242" t="b">
        <f t="shared" si="3"/>
        <v>0</v>
      </c>
      <c r="AE2319" s="154"/>
      <c r="AF2319" s="242" t="str">
        <f t="shared" si="4"/>
        <v>#ERROR!</v>
      </c>
      <c r="AG2319" s="154"/>
      <c r="AH2319" s="242" t="str">
        <f>IF(AG2319="","N/A",INDIRECT("MTR!"&amp;ADDRESS(MATCH(LEFT(AG2319,9),[1]MTR!C:C,0),COLUMN(J2319)),TRUE) &amp; "")</f>
        <v>#ERROR!</v>
      </c>
      <c r="AI2319" s="157" t="str">
        <f t="shared" si="5"/>
        <v>#ERROR!</v>
      </c>
    </row>
    <row r="2320" ht="12.75" customHeight="1">
      <c r="A2320" s="244" t="s">
        <v>5158</v>
      </c>
      <c r="B2320" s="244" t="s">
        <v>231</v>
      </c>
      <c r="C2320" s="244" t="s">
        <v>12399</v>
      </c>
      <c r="D2320" s="154" t="s">
        <v>1315</v>
      </c>
      <c r="E2320" s="154"/>
      <c r="F2320" s="154" t="str">
        <f t="array" ref="F2320">XLOOKUP(Cover!$D$12,$R$1:$Z$1,$R2320:$Z2320)</f>
        <v>Mandatory</v>
      </c>
      <c r="G2320" s="154" t="s">
        <v>12400</v>
      </c>
      <c r="H2320" s="154" t="s">
        <v>9006</v>
      </c>
      <c r="I2320" s="154" t="s">
        <v>12398</v>
      </c>
      <c r="J2320" s="154" t="s">
        <v>7463</v>
      </c>
      <c r="K2320" s="154" t="s">
        <v>12282</v>
      </c>
      <c r="L2320" s="154" t="s">
        <v>6022</v>
      </c>
      <c r="M2320" s="154" t="s">
        <v>175</v>
      </c>
      <c r="N2320" s="154" t="s">
        <v>759</v>
      </c>
      <c r="O2320" s="247" t="s">
        <v>516</v>
      </c>
      <c r="P2320" s="247" t="s">
        <v>6776</v>
      </c>
      <c r="Q2320" s="154" t="str">
        <f t="shared" si="1"/>
        <v>#ERROR!</v>
      </c>
      <c r="R2320" s="154" t="s">
        <v>66</v>
      </c>
      <c r="S2320" s="154" t="s">
        <v>66</v>
      </c>
      <c r="T2320" s="155" t="s">
        <v>64</v>
      </c>
      <c r="U2320" s="155" t="s">
        <v>64</v>
      </c>
      <c r="V2320" s="154" t="s">
        <v>60</v>
      </c>
      <c r="W2320" s="154" t="s">
        <v>60</v>
      </c>
      <c r="X2320" s="154" t="s">
        <v>66</v>
      </c>
      <c r="Y2320" s="155" t="s">
        <v>64</v>
      </c>
      <c r="Z2320" s="154" t="s">
        <v>60</v>
      </c>
      <c r="AA2320" s="154"/>
      <c r="AB2320" s="242" t="str">
        <f t="shared" si="2"/>
        <v>#ERROR!</v>
      </c>
      <c r="AC2320" s="154" t="s">
        <v>391</v>
      </c>
      <c r="AD2320" s="242" t="b">
        <f t="shared" si="3"/>
        <v>0</v>
      </c>
      <c r="AE2320" s="154"/>
      <c r="AF2320" s="242" t="str">
        <f t="shared" si="4"/>
        <v>#ERROR!</v>
      </c>
      <c r="AG2320" s="154"/>
      <c r="AH2320" s="242" t="str">
        <f>IF(AG2320="","N/A",INDIRECT("MTR!"&amp;ADDRESS(MATCH(LEFT(AG2320,9),[1]MTR!C:C,0),COLUMN(J2320)),TRUE) &amp; "")</f>
        <v>#ERROR!</v>
      </c>
      <c r="AI2320" s="157" t="str">
        <f t="shared" si="5"/>
        <v>#ERROR!</v>
      </c>
    </row>
    <row r="2321" ht="12.75" customHeight="1">
      <c r="A2321" s="244" t="s">
        <v>5158</v>
      </c>
      <c r="B2321" s="244" t="s">
        <v>231</v>
      </c>
      <c r="C2321" s="244" t="s">
        <v>12401</v>
      </c>
      <c r="D2321" s="154" t="s">
        <v>1315</v>
      </c>
      <c r="E2321" s="154"/>
      <c r="F2321" s="154" t="str">
        <f t="array" ref="F2321">XLOOKUP(Cover!$D$12,$R$1:$Z$1,$R2321:$Z2321)</f>
        <v>Mandatory</v>
      </c>
      <c r="G2321" s="154" t="s">
        <v>12402</v>
      </c>
      <c r="H2321" s="154" t="s">
        <v>9012</v>
      </c>
      <c r="I2321" s="154" t="s">
        <v>12398</v>
      </c>
      <c r="J2321" s="154" t="s">
        <v>7463</v>
      </c>
      <c r="K2321" s="154" t="s">
        <v>12282</v>
      </c>
      <c r="L2321" s="154" t="s">
        <v>6022</v>
      </c>
      <c r="M2321" s="154" t="s">
        <v>175</v>
      </c>
      <c r="N2321" s="154" t="s">
        <v>759</v>
      </c>
      <c r="O2321" s="247" t="s">
        <v>516</v>
      </c>
      <c r="P2321" s="247" t="s">
        <v>6776</v>
      </c>
      <c r="Q2321" s="154" t="str">
        <f t="shared" si="1"/>
        <v>#ERROR!</v>
      </c>
      <c r="R2321" s="154" t="s">
        <v>66</v>
      </c>
      <c r="S2321" s="154" t="s">
        <v>66</v>
      </c>
      <c r="T2321" s="155" t="s">
        <v>64</v>
      </c>
      <c r="U2321" s="155" t="s">
        <v>64</v>
      </c>
      <c r="V2321" s="154" t="s">
        <v>60</v>
      </c>
      <c r="W2321" s="154" t="s">
        <v>60</v>
      </c>
      <c r="X2321" s="154" t="s">
        <v>66</v>
      </c>
      <c r="Y2321" s="155" t="s">
        <v>64</v>
      </c>
      <c r="Z2321" s="154" t="s">
        <v>60</v>
      </c>
      <c r="AA2321" s="154"/>
      <c r="AB2321" s="242" t="str">
        <f t="shared" si="2"/>
        <v>#ERROR!</v>
      </c>
      <c r="AC2321" s="154" t="s">
        <v>391</v>
      </c>
      <c r="AD2321" s="242" t="b">
        <f t="shared" si="3"/>
        <v>0</v>
      </c>
      <c r="AE2321" s="154"/>
      <c r="AF2321" s="242" t="str">
        <f t="shared" si="4"/>
        <v>#ERROR!</v>
      </c>
      <c r="AG2321" s="154"/>
      <c r="AH2321" s="242" t="str">
        <f>IF(AG2321="","N/A",INDIRECT("MTR!"&amp;ADDRESS(MATCH(LEFT(AG2321,9),[1]MTR!C:C,0),COLUMN(J2321)),TRUE) &amp; "")</f>
        <v>#ERROR!</v>
      </c>
      <c r="AI2321" s="157" t="str">
        <f t="shared" si="5"/>
        <v>#ERROR!</v>
      </c>
    </row>
    <row r="2322" ht="12.75" customHeight="1">
      <c r="A2322" s="244" t="s">
        <v>5158</v>
      </c>
      <c r="B2322" s="244" t="s">
        <v>231</v>
      </c>
      <c r="C2322" s="244" t="s">
        <v>12403</v>
      </c>
      <c r="D2322" s="154" t="s">
        <v>1069</v>
      </c>
      <c r="E2322" s="154"/>
      <c r="F2322" s="154" t="str">
        <f t="array" ref="F2322">XLOOKUP(Cover!$D$12,$R$1:$Z$1,$R2322:$Z2322)</f>
        <v>Mandatory</v>
      </c>
      <c r="G2322" s="154" t="s">
        <v>12404</v>
      </c>
      <c r="H2322" s="154" t="s">
        <v>9002</v>
      </c>
      <c r="I2322" s="154" t="s">
        <v>12405</v>
      </c>
      <c r="J2322" s="154" t="s">
        <v>6919</v>
      </c>
      <c r="K2322" s="154" t="s">
        <v>12282</v>
      </c>
      <c r="L2322" s="154" t="s">
        <v>5927</v>
      </c>
      <c r="M2322" s="154" t="s">
        <v>175</v>
      </c>
      <c r="N2322" s="154" t="s">
        <v>759</v>
      </c>
      <c r="O2322" s="247" t="s">
        <v>516</v>
      </c>
      <c r="P2322" s="247" t="s">
        <v>6776</v>
      </c>
      <c r="Q2322" s="154" t="str">
        <f t="shared" si="1"/>
        <v>#ERROR!</v>
      </c>
      <c r="R2322" s="154" t="s">
        <v>66</v>
      </c>
      <c r="S2322" s="154" t="s">
        <v>66</v>
      </c>
      <c r="T2322" s="155" t="s">
        <v>64</v>
      </c>
      <c r="U2322" s="155" t="s">
        <v>64</v>
      </c>
      <c r="V2322" s="154" t="s">
        <v>60</v>
      </c>
      <c r="W2322" s="154" t="s">
        <v>60</v>
      </c>
      <c r="X2322" s="154" t="s">
        <v>66</v>
      </c>
      <c r="Y2322" s="155" t="s">
        <v>64</v>
      </c>
      <c r="Z2322" s="154" t="s">
        <v>60</v>
      </c>
      <c r="AA2322" s="154"/>
      <c r="AB2322" s="242" t="str">
        <f t="shared" si="2"/>
        <v>#ERROR!</v>
      </c>
      <c r="AC2322" s="154" t="s">
        <v>391</v>
      </c>
      <c r="AD2322" s="242" t="b">
        <f t="shared" si="3"/>
        <v>0</v>
      </c>
      <c r="AE2322" s="154"/>
      <c r="AF2322" s="242" t="str">
        <f t="shared" si="4"/>
        <v>#ERROR!</v>
      </c>
      <c r="AG2322" s="154"/>
      <c r="AH2322" s="242" t="str">
        <f>IF(AG2322="","N/A",INDIRECT("MTR!"&amp;ADDRESS(MATCH(LEFT(AG2322,9),[1]MTR!C:C,0),COLUMN(J2322)),TRUE) &amp; "")</f>
        <v>#ERROR!</v>
      </c>
      <c r="AI2322" s="157" t="str">
        <f t="shared" si="5"/>
        <v>#ERROR!</v>
      </c>
    </row>
    <row r="2323" ht="12.75" customHeight="1">
      <c r="A2323" s="244" t="s">
        <v>5158</v>
      </c>
      <c r="B2323" s="244" t="s">
        <v>231</v>
      </c>
      <c r="C2323" s="244" t="s">
        <v>12406</v>
      </c>
      <c r="D2323" s="154" t="s">
        <v>1069</v>
      </c>
      <c r="E2323" s="154"/>
      <c r="F2323" s="154" t="str">
        <f t="array" ref="F2323">XLOOKUP(Cover!$D$12,$R$1:$Z$1,$R2323:$Z2323)</f>
        <v>Mandatory</v>
      </c>
      <c r="G2323" s="154" t="s">
        <v>12407</v>
      </c>
      <c r="H2323" s="154" t="s">
        <v>9006</v>
      </c>
      <c r="I2323" s="154" t="s">
        <v>12405</v>
      </c>
      <c r="J2323" s="154" t="s">
        <v>6919</v>
      </c>
      <c r="K2323" s="154" t="s">
        <v>12282</v>
      </c>
      <c r="L2323" s="154" t="s">
        <v>5927</v>
      </c>
      <c r="M2323" s="154" t="s">
        <v>175</v>
      </c>
      <c r="N2323" s="154" t="s">
        <v>759</v>
      </c>
      <c r="O2323" s="247" t="s">
        <v>516</v>
      </c>
      <c r="P2323" s="247" t="s">
        <v>6776</v>
      </c>
      <c r="Q2323" s="154" t="str">
        <f t="shared" si="1"/>
        <v>#ERROR!</v>
      </c>
      <c r="R2323" s="154" t="s">
        <v>66</v>
      </c>
      <c r="S2323" s="154" t="s">
        <v>66</v>
      </c>
      <c r="T2323" s="155" t="s">
        <v>64</v>
      </c>
      <c r="U2323" s="155" t="s">
        <v>64</v>
      </c>
      <c r="V2323" s="154" t="s">
        <v>60</v>
      </c>
      <c r="W2323" s="154" t="s">
        <v>60</v>
      </c>
      <c r="X2323" s="154" t="s">
        <v>66</v>
      </c>
      <c r="Y2323" s="155" t="s">
        <v>64</v>
      </c>
      <c r="Z2323" s="154" t="s">
        <v>60</v>
      </c>
      <c r="AA2323" s="154"/>
      <c r="AB2323" s="242" t="str">
        <f t="shared" si="2"/>
        <v>#ERROR!</v>
      </c>
      <c r="AC2323" s="154" t="s">
        <v>391</v>
      </c>
      <c r="AD2323" s="242" t="b">
        <f t="shared" si="3"/>
        <v>0</v>
      </c>
      <c r="AE2323" s="154"/>
      <c r="AF2323" s="242" t="str">
        <f t="shared" si="4"/>
        <v>#ERROR!</v>
      </c>
      <c r="AG2323" s="154"/>
      <c r="AH2323" s="242" t="str">
        <f>IF(AG2323="","N/A",INDIRECT("MTR!"&amp;ADDRESS(MATCH(LEFT(AG2323,9),[1]MTR!C:C,0),COLUMN(J2323)),TRUE) &amp; "")</f>
        <v>#ERROR!</v>
      </c>
      <c r="AI2323" s="157" t="str">
        <f t="shared" si="5"/>
        <v>#ERROR!</v>
      </c>
    </row>
    <row r="2324" ht="12.75" customHeight="1">
      <c r="A2324" s="244" t="s">
        <v>5158</v>
      </c>
      <c r="B2324" s="244" t="s">
        <v>231</v>
      </c>
      <c r="C2324" s="244" t="s">
        <v>12408</v>
      </c>
      <c r="D2324" s="154" t="s">
        <v>1069</v>
      </c>
      <c r="E2324" s="154"/>
      <c r="F2324" s="154" t="str">
        <f t="array" ref="F2324">XLOOKUP(Cover!$D$12,$R$1:$Z$1,$R2324:$Z2324)</f>
        <v>Mandatory</v>
      </c>
      <c r="G2324" s="154" t="s">
        <v>12409</v>
      </c>
      <c r="H2324" s="154" t="s">
        <v>9015</v>
      </c>
      <c r="I2324" s="154" t="s">
        <v>12405</v>
      </c>
      <c r="J2324" s="154" t="s">
        <v>6919</v>
      </c>
      <c r="K2324" s="154" t="s">
        <v>12282</v>
      </c>
      <c r="L2324" s="154" t="s">
        <v>5927</v>
      </c>
      <c r="M2324" s="154" t="s">
        <v>175</v>
      </c>
      <c r="N2324" s="154" t="s">
        <v>759</v>
      </c>
      <c r="O2324" s="247" t="s">
        <v>516</v>
      </c>
      <c r="P2324" s="247" t="s">
        <v>6776</v>
      </c>
      <c r="Q2324" s="154" t="str">
        <f t="shared" si="1"/>
        <v>#ERROR!</v>
      </c>
      <c r="R2324" s="154" t="s">
        <v>66</v>
      </c>
      <c r="S2324" s="154" t="s">
        <v>66</v>
      </c>
      <c r="T2324" s="155" t="s">
        <v>64</v>
      </c>
      <c r="U2324" s="155" t="s">
        <v>64</v>
      </c>
      <c r="V2324" s="154" t="s">
        <v>60</v>
      </c>
      <c r="W2324" s="154" t="s">
        <v>60</v>
      </c>
      <c r="X2324" s="154" t="s">
        <v>66</v>
      </c>
      <c r="Y2324" s="155" t="s">
        <v>64</v>
      </c>
      <c r="Z2324" s="154" t="s">
        <v>60</v>
      </c>
      <c r="AA2324" s="154"/>
      <c r="AB2324" s="242" t="str">
        <f t="shared" si="2"/>
        <v>#ERROR!</v>
      </c>
      <c r="AC2324" s="154" t="s">
        <v>391</v>
      </c>
      <c r="AD2324" s="242" t="b">
        <f t="shared" si="3"/>
        <v>0</v>
      </c>
      <c r="AE2324" s="154"/>
      <c r="AF2324" s="242" t="str">
        <f t="shared" si="4"/>
        <v>#ERROR!</v>
      </c>
      <c r="AG2324" s="154"/>
      <c r="AH2324" s="242" t="str">
        <f>IF(AG2324="","N/A",INDIRECT("MTR!"&amp;ADDRESS(MATCH(LEFT(AG2324,9),[1]MTR!C:C,0),COLUMN(J2324)),TRUE) &amp; "")</f>
        <v>#ERROR!</v>
      </c>
      <c r="AI2324" s="157" t="str">
        <f t="shared" si="5"/>
        <v>#ERROR!</v>
      </c>
    </row>
    <row r="2325" ht="12.75" customHeight="1">
      <c r="A2325" s="244" t="s">
        <v>5158</v>
      </c>
      <c r="B2325" s="244" t="s">
        <v>231</v>
      </c>
      <c r="C2325" s="244" t="s">
        <v>12410</v>
      </c>
      <c r="D2325" s="154" t="s">
        <v>503</v>
      </c>
      <c r="E2325" s="154"/>
      <c r="F2325" s="154" t="str">
        <f t="array" ref="F2325">XLOOKUP(Cover!$D$12,$R$1:$Z$1,$R2325:$Z2325)</f>
        <v>Mandatory</v>
      </c>
      <c r="G2325" s="154" t="s">
        <v>12411</v>
      </c>
      <c r="H2325" s="154" t="s">
        <v>9002</v>
      </c>
      <c r="I2325" s="154" t="s">
        <v>12412</v>
      </c>
      <c r="J2325" s="154" t="s">
        <v>7478</v>
      </c>
      <c r="K2325" s="154" t="s">
        <v>12282</v>
      </c>
      <c r="L2325" s="154" t="s">
        <v>7431</v>
      </c>
      <c r="M2325" s="154" t="s">
        <v>175</v>
      </c>
      <c r="N2325" s="154" t="s">
        <v>759</v>
      </c>
      <c r="O2325" s="247" t="s">
        <v>516</v>
      </c>
      <c r="P2325" s="247" t="s">
        <v>6776</v>
      </c>
      <c r="Q2325" s="154" t="str">
        <f t="shared" si="1"/>
        <v>#ERROR!</v>
      </c>
      <c r="R2325" s="154" t="s">
        <v>66</v>
      </c>
      <c r="S2325" s="154" t="s">
        <v>66</v>
      </c>
      <c r="T2325" s="155" t="s">
        <v>64</v>
      </c>
      <c r="U2325" s="155" t="s">
        <v>64</v>
      </c>
      <c r="V2325" s="154" t="s">
        <v>60</v>
      </c>
      <c r="W2325" s="154" t="s">
        <v>60</v>
      </c>
      <c r="X2325" s="154" t="s">
        <v>66</v>
      </c>
      <c r="Y2325" s="155" t="s">
        <v>64</v>
      </c>
      <c r="Z2325" s="154" t="s">
        <v>60</v>
      </c>
      <c r="AA2325" s="154"/>
      <c r="AB2325" s="242" t="str">
        <f t="shared" si="2"/>
        <v>#ERROR!</v>
      </c>
      <c r="AC2325" s="154" t="s">
        <v>391</v>
      </c>
      <c r="AD2325" s="242" t="b">
        <f t="shared" si="3"/>
        <v>0</v>
      </c>
      <c r="AE2325" s="154"/>
      <c r="AF2325" s="242" t="str">
        <f t="shared" si="4"/>
        <v>#ERROR!</v>
      </c>
      <c r="AG2325" s="154"/>
      <c r="AH2325" s="242" t="str">
        <f>IF(AG2325="","N/A",INDIRECT("MTR!"&amp;ADDRESS(MATCH(LEFT(AG2325,9),[1]MTR!C:C,0),COLUMN(J2325)),TRUE) &amp; "")</f>
        <v>#ERROR!</v>
      </c>
      <c r="AI2325" s="157" t="str">
        <f t="shared" si="5"/>
        <v>#ERROR!</v>
      </c>
    </row>
    <row r="2326" ht="12.75" customHeight="1">
      <c r="A2326" s="244" t="s">
        <v>5158</v>
      </c>
      <c r="B2326" s="244" t="s">
        <v>231</v>
      </c>
      <c r="C2326" s="244" t="s">
        <v>12413</v>
      </c>
      <c r="D2326" s="154" t="s">
        <v>503</v>
      </c>
      <c r="E2326" s="154"/>
      <c r="F2326" s="154" t="str">
        <f t="array" ref="F2326">XLOOKUP(Cover!$D$12,$R$1:$Z$1,$R2326:$Z2326)</f>
        <v>Mandatory</v>
      </c>
      <c r="G2326" s="154" t="s">
        <v>12414</v>
      </c>
      <c r="H2326" s="154" t="s">
        <v>9006</v>
      </c>
      <c r="I2326" s="154" t="s">
        <v>12412</v>
      </c>
      <c r="J2326" s="154" t="s">
        <v>7478</v>
      </c>
      <c r="K2326" s="154" t="s">
        <v>12282</v>
      </c>
      <c r="L2326" s="154" t="s">
        <v>7431</v>
      </c>
      <c r="M2326" s="154" t="s">
        <v>175</v>
      </c>
      <c r="N2326" s="154" t="s">
        <v>759</v>
      </c>
      <c r="O2326" s="247" t="s">
        <v>516</v>
      </c>
      <c r="P2326" s="247" t="s">
        <v>6776</v>
      </c>
      <c r="Q2326" s="154" t="str">
        <f t="shared" si="1"/>
        <v>#ERROR!</v>
      </c>
      <c r="R2326" s="154" t="s">
        <v>66</v>
      </c>
      <c r="S2326" s="154" t="s">
        <v>66</v>
      </c>
      <c r="T2326" s="155" t="s">
        <v>64</v>
      </c>
      <c r="U2326" s="155" t="s">
        <v>64</v>
      </c>
      <c r="V2326" s="154" t="s">
        <v>60</v>
      </c>
      <c r="W2326" s="154" t="s">
        <v>60</v>
      </c>
      <c r="X2326" s="154" t="s">
        <v>66</v>
      </c>
      <c r="Y2326" s="155" t="s">
        <v>64</v>
      </c>
      <c r="Z2326" s="154" t="s">
        <v>60</v>
      </c>
      <c r="AA2326" s="154"/>
      <c r="AB2326" s="242" t="str">
        <f t="shared" si="2"/>
        <v>#ERROR!</v>
      </c>
      <c r="AC2326" s="154" t="s">
        <v>391</v>
      </c>
      <c r="AD2326" s="242" t="b">
        <f t="shared" si="3"/>
        <v>0</v>
      </c>
      <c r="AE2326" s="154"/>
      <c r="AF2326" s="242" t="str">
        <f t="shared" si="4"/>
        <v>#ERROR!</v>
      </c>
      <c r="AG2326" s="154"/>
      <c r="AH2326" s="242" t="str">
        <f>IF(AG2326="","N/A",INDIRECT("MTR!"&amp;ADDRESS(MATCH(LEFT(AG2326,9),[1]MTR!C:C,0),COLUMN(J2326)),TRUE) &amp; "")</f>
        <v>#ERROR!</v>
      </c>
      <c r="AI2326" s="157" t="str">
        <f t="shared" si="5"/>
        <v>#ERROR!</v>
      </c>
    </row>
    <row r="2327" ht="12.75" customHeight="1">
      <c r="A2327" s="244" t="s">
        <v>5158</v>
      </c>
      <c r="B2327" s="244" t="s">
        <v>231</v>
      </c>
      <c r="C2327" s="244" t="s">
        <v>12415</v>
      </c>
      <c r="D2327" s="154" t="s">
        <v>503</v>
      </c>
      <c r="E2327" s="154"/>
      <c r="F2327" s="154" t="str">
        <f t="array" ref="F2327">XLOOKUP(Cover!$D$12,$R$1:$Z$1,$R2327:$Z2327)</f>
        <v>Mandatory</v>
      </c>
      <c r="G2327" s="154" t="s">
        <v>12416</v>
      </c>
      <c r="H2327" s="154" t="s">
        <v>1541</v>
      </c>
      <c r="I2327" s="154" t="s">
        <v>12412</v>
      </c>
      <c r="J2327" s="154" t="s">
        <v>7478</v>
      </c>
      <c r="K2327" s="154" t="s">
        <v>12282</v>
      </c>
      <c r="L2327" s="154" t="s">
        <v>7431</v>
      </c>
      <c r="M2327" s="154" t="s">
        <v>175</v>
      </c>
      <c r="N2327" s="154" t="s">
        <v>759</v>
      </c>
      <c r="O2327" s="247" t="s">
        <v>516</v>
      </c>
      <c r="P2327" s="247" t="s">
        <v>6776</v>
      </c>
      <c r="Q2327" s="154" t="str">
        <f t="shared" si="1"/>
        <v>#ERROR!</v>
      </c>
      <c r="R2327" s="154" t="s">
        <v>66</v>
      </c>
      <c r="S2327" s="154" t="s">
        <v>66</v>
      </c>
      <c r="T2327" s="155" t="s">
        <v>64</v>
      </c>
      <c r="U2327" s="155" t="s">
        <v>64</v>
      </c>
      <c r="V2327" s="154" t="s">
        <v>60</v>
      </c>
      <c r="W2327" s="154" t="s">
        <v>60</v>
      </c>
      <c r="X2327" s="154" t="s">
        <v>66</v>
      </c>
      <c r="Y2327" s="155" t="s">
        <v>64</v>
      </c>
      <c r="Z2327" s="154" t="s">
        <v>60</v>
      </c>
      <c r="AA2327" s="154"/>
      <c r="AB2327" s="242" t="str">
        <f t="shared" si="2"/>
        <v>#ERROR!</v>
      </c>
      <c r="AC2327" s="154" t="s">
        <v>391</v>
      </c>
      <c r="AD2327" s="242" t="b">
        <f t="shared" si="3"/>
        <v>0</v>
      </c>
      <c r="AE2327" s="154"/>
      <c r="AF2327" s="242" t="str">
        <f t="shared" si="4"/>
        <v>#ERROR!</v>
      </c>
      <c r="AG2327" s="154"/>
      <c r="AH2327" s="242" t="str">
        <f>IF(AG2327="","N/A",INDIRECT("MTR!"&amp;ADDRESS(MATCH(LEFT(AG2327,9),[1]MTR!C:C,0),COLUMN(J2327)),TRUE) &amp; "")</f>
        <v>#ERROR!</v>
      </c>
      <c r="AI2327" s="157" t="str">
        <f t="shared" si="5"/>
        <v>#ERROR!</v>
      </c>
    </row>
    <row r="2328" ht="12.75" customHeight="1">
      <c r="A2328" s="244" t="s">
        <v>5158</v>
      </c>
      <c r="B2328" s="244" t="s">
        <v>231</v>
      </c>
      <c r="C2328" s="244" t="s">
        <v>12417</v>
      </c>
      <c r="D2328" s="154" t="s">
        <v>546</v>
      </c>
      <c r="E2328" s="154"/>
      <c r="F2328" s="154" t="str">
        <f t="array" ref="F2328">XLOOKUP(Cover!$D$12,$R$1:$Z$1,$R2328:$Z2328)</f>
        <v>Information</v>
      </c>
      <c r="G2328" s="154" t="s">
        <v>12418</v>
      </c>
      <c r="H2328" s="154" t="s">
        <v>9002</v>
      </c>
      <c r="I2328" s="154" t="s">
        <v>12419</v>
      </c>
      <c r="J2328" s="154" t="s">
        <v>8646</v>
      </c>
      <c r="K2328" s="154" t="s">
        <v>12282</v>
      </c>
      <c r="L2328" s="154" t="s">
        <v>6529</v>
      </c>
      <c r="M2328" s="154"/>
      <c r="N2328" s="154" t="s">
        <v>759</v>
      </c>
      <c r="O2328" s="247" t="s">
        <v>516</v>
      </c>
      <c r="P2328" s="247" t="s">
        <v>6776</v>
      </c>
      <c r="Q2328" s="154" t="str">
        <f t="shared" si="1"/>
        <v>#ERROR!</v>
      </c>
      <c r="R2328" s="154" t="s">
        <v>66</v>
      </c>
      <c r="S2328" s="154" t="s">
        <v>66</v>
      </c>
      <c r="T2328" s="154" t="s">
        <v>66</v>
      </c>
      <c r="U2328" s="154" t="s">
        <v>66</v>
      </c>
      <c r="V2328" s="154" t="s">
        <v>66</v>
      </c>
      <c r="W2328" s="154" t="s">
        <v>66</v>
      </c>
      <c r="X2328" s="154" t="s">
        <v>66</v>
      </c>
      <c r="Y2328" s="154" t="s">
        <v>66</v>
      </c>
      <c r="Z2328" s="154" t="s">
        <v>66</v>
      </c>
      <c r="AA2328" s="154"/>
      <c r="AB2328" s="242" t="str">
        <f t="shared" si="2"/>
        <v>#ERROR!</v>
      </c>
      <c r="AC2328" s="154" t="s">
        <v>391</v>
      </c>
      <c r="AD2328" s="242" t="b">
        <f t="shared" si="3"/>
        <v>0</v>
      </c>
      <c r="AE2328" s="154"/>
      <c r="AF2328" s="242" t="str">
        <f t="shared" si="4"/>
        <v>#ERROR!</v>
      </c>
      <c r="AG2328" s="154"/>
      <c r="AH2328" s="242" t="str">
        <f>IF(AG2328="","N/A",INDIRECT("MTR!"&amp;ADDRESS(MATCH(LEFT(AG2328,9),[1]MTR!C:C,0),COLUMN(J2328)),TRUE) &amp; "")</f>
        <v>#ERROR!</v>
      </c>
      <c r="AI2328" s="157" t="str">
        <f t="shared" si="5"/>
        <v>#ERROR!</v>
      </c>
    </row>
    <row r="2329" ht="12.75" customHeight="1">
      <c r="A2329" s="244" t="s">
        <v>5158</v>
      </c>
      <c r="B2329" s="244" t="s">
        <v>231</v>
      </c>
      <c r="C2329" s="244" t="s">
        <v>12420</v>
      </c>
      <c r="D2329" s="154" t="s">
        <v>546</v>
      </c>
      <c r="E2329" s="154"/>
      <c r="F2329" s="154" t="str">
        <f t="array" ref="F2329">XLOOKUP(Cover!$D$12,$R$1:$Z$1,$R2329:$Z2329)</f>
        <v>Information</v>
      </c>
      <c r="G2329" s="154" t="s">
        <v>12421</v>
      </c>
      <c r="H2329" s="154" t="s">
        <v>9006</v>
      </c>
      <c r="I2329" s="154" t="s">
        <v>12419</v>
      </c>
      <c r="J2329" s="154" t="s">
        <v>8646</v>
      </c>
      <c r="K2329" s="154" t="s">
        <v>12282</v>
      </c>
      <c r="L2329" s="154" t="s">
        <v>6529</v>
      </c>
      <c r="M2329" s="154"/>
      <c r="N2329" s="154" t="s">
        <v>759</v>
      </c>
      <c r="O2329" s="247" t="s">
        <v>516</v>
      </c>
      <c r="P2329" s="247" t="s">
        <v>6776</v>
      </c>
      <c r="Q2329" s="154" t="str">
        <f t="shared" si="1"/>
        <v>#ERROR!</v>
      </c>
      <c r="R2329" s="154" t="s">
        <v>66</v>
      </c>
      <c r="S2329" s="154" t="s">
        <v>66</v>
      </c>
      <c r="T2329" s="154" t="s">
        <v>66</v>
      </c>
      <c r="U2329" s="154" t="s">
        <v>66</v>
      </c>
      <c r="V2329" s="154" t="s">
        <v>66</v>
      </c>
      <c r="W2329" s="154" t="s">
        <v>66</v>
      </c>
      <c r="X2329" s="154" t="s">
        <v>66</v>
      </c>
      <c r="Y2329" s="154" t="s">
        <v>66</v>
      </c>
      <c r="Z2329" s="154" t="s">
        <v>66</v>
      </c>
      <c r="AA2329" s="154"/>
      <c r="AB2329" s="242" t="str">
        <f t="shared" si="2"/>
        <v>#ERROR!</v>
      </c>
      <c r="AC2329" s="154" t="s">
        <v>391</v>
      </c>
      <c r="AD2329" s="242" t="b">
        <f t="shared" si="3"/>
        <v>0</v>
      </c>
      <c r="AE2329" s="154"/>
      <c r="AF2329" s="242" t="str">
        <f t="shared" si="4"/>
        <v>#ERROR!</v>
      </c>
      <c r="AG2329" s="154"/>
      <c r="AH2329" s="242" t="str">
        <f>IF(AG2329="","N/A",INDIRECT("MTR!"&amp;ADDRESS(MATCH(LEFT(AG2329,9),[1]MTR!C:C,0),COLUMN(J2329)),TRUE) &amp; "")</f>
        <v>#ERROR!</v>
      </c>
      <c r="AI2329" s="157" t="str">
        <f t="shared" si="5"/>
        <v>#ERROR!</v>
      </c>
    </row>
    <row r="2330" ht="12.75" customHeight="1">
      <c r="A2330" s="244" t="s">
        <v>5158</v>
      </c>
      <c r="B2330" s="244" t="s">
        <v>231</v>
      </c>
      <c r="C2330" s="244" t="s">
        <v>12422</v>
      </c>
      <c r="D2330" s="154" t="s">
        <v>1315</v>
      </c>
      <c r="E2330" s="154"/>
      <c r="F2330" s="154" t="str">
        <f t="array" ref="F2330">XLOOKUP(Cover!$D$12,$R$1:$Z$1,$R2330:$Z2330)</f>
        <v>Information</v>
      </c>
      <c r="G2330" s="154" t="s">
        <v>12423</v>
      </c>
      <c r="H2330" s="154" t="s">
        <v>9002</v>
      </c>
      <c r="I2330" s="154" t="s">
        <v>12424</v>
      </c>
      <c r="J2330" s="154" t="s">
        <v>8662</v>
      </c>
      <c r="K2330" s="154" t="s">
        <v>12282</v>
      </c>
      <c r="L2330" s="154" t="s">
        <v>6905</v>
      </c>
      <c r="M2330" s="154"/>
      <c r="N2330" s="154" t="s">
        <v>759</v>
      </c>
      <c r="O2330" s="247" t="s">
        <v>516</v>
      </c>
      <c r="P2330" s="247" t="s">
        <v>5876</v>
      </c>
      <c r="Q2330" s="154" t="str">
        <f t="shared" si="1"/>
        <v>#ERROR!</v>
      </c>
      <c r="R2330" s="154" t="s">
        <v>66</v>
      </c>
      <c r="S2330" s="154" t="s">
        <v>66</v>
      </c>
      <c r="T2330" s="154" t="s">
        <v>66</v>
      </c>
      <c r="U2330" s="154" t="s">
        <v>66</v>
      </c>
      <c r="V2330" s="154" t="s">
        <v>66</v>
      </c>
      <c r="W2330" s="154" t="s">
        <v>66</v>
      </c>
      <c r="X2330" s="154" t="s">
        <v>66</v>
      </c>
      <c r="Y2330" s="154" t="s">
        <v>66</v>
      </c>
      <c r="Z2330" s="154" t="s">
        <v>66</v>
      </c>
      <c r="AA2330" s="154"/>
      <c r="AB2330" s="242" t="str">
        <f t="shared" si="2"/>
        <v>#ERROR!</v>
      </c>
      <c r="AC2330" s="154" t="s">
        <v>391</v>
      </c>
      <c r="AD2330" s="242" t="b">
        <f t="shared" si="3"/>
        <v>0</v>
      </c>
      <c r="AE2330" s="154"/>
      <c r="AF2330" s="242" t="str">
        <f t="shared" si="4"/>
        <v>#ERROR!</v>
      </c>
      <c r="AG2330" s="154"/>
      <c r="AH2330" s="242" t="str">
        <f>IF(AG2330="","N/A",INDIRECT("MTR!"&amp;ADDRESS(MATCH(LEFT(AG2330,9),[1]MTR!C:C,0),COLUMN(J2330)),TRUE) &amp; "")</f>
        <v>#ERROR!</v>
      </c>
      <c r="AI2330" s="157" t="str">
        <f t="shared" si="5"/>
        <v>#ERROR!</v>
      </c>
    </row>
    <row r="2331" ht="12.75" customHeight="1">
      <c r="A2331" s="244" t="s">
        <v>5158</v>
      </c>
      <c r="B2331" s="244" t="s">
        <v>231</v>
      </c>
      <c r="C2331" s="244" t="s">
        <v>12425</v>
      </c>
      <c r="D2331" s="154" t="s">
        <v>1315</v>
      </c>
      <c r="E2331" s="154"/>
      <c r="F2331" s="154" t="str">
        <f t="array" ref="F2331">XLOOKUP(Cover!$D$12,$R$1:$Z$1,$R2331:$Z2331)</f>
        <v>Information</v>
      </c>
      <c r="G2331" s="154" t="s">
        <v>12426</v>
      </c>
      <c r="H2331" s="154" t="s">
        <v>9009</v>
      </c>
      <c r="I2331" s="154" t="s">
        <v>12424</v>
      </c>
      <c r="J2331" s="154" t="s">
        <v>8662</v>
      </c>
      <c r="K2331" s="154" t="s">
        <v>12282</v>
      </c>
      <c r="L2331" s="154" t="s">
        <v>6905</v>
      </c>
      <c r="M2331" s="154"/>
      <c r="N2331" s="154" t="s">
        <v>759</v>
      </c>
      <c r="O2331" s="247" t="s">
        <v>516</v>
      </c>
      <c r="P2331" s="247" t="s">
        <v>5876</v>
      </c>
      <c r="Q2331" s="154" t="str">
        <f t="shared" si="1"/>
        <v>#ERROR!</v>
      </c>
      <c r="R2331" s="154" t="s">
        <v>66</v>
      </c>
      <c r="S2331" s="154" t="s">
        <v>66</v>
      </c>
      <c r="T2331" s="154" t="s">
        <v>66</v>
      </c>
      <c r="U2331" s="154" t="s">
        <v>66</v>
      </c>
      <c r="V2331" s="154" t="s">
        <v>66</v>
      </c>
      <c r="W2331" s="154" t="s">
        <v>66</v>
      </c>
      <c r="X2331" s="154" t="s">
        <v>66</v>
      </c>
      <c r="Y2331" s="154" t="s">
        <v>66</v>
      </c>
      <c r="Z2331" s="154" t="s">
        <v>66</v>
      </c>
      <c r="AA2331" s="154"/>
      <c r="AB2331" s="242" t="str">
        <f t="shared" si="2"/>
        <v>#ERROR!</v>
      </c>
      <c r="AC2331" s="154" t="s">
        <v>391</v>
      </c>
      <c r="AD2331" s="242" t="b">
        <f t="shared" si="3"/>
        <v>0</v>
      </c>
      <c r="AE2331" s="154"/>
      <c r="AF2331" s="242" t="str">
        <f t="shared" si="4"/>
        <v>#ERROR!</v>
      </c>
      <c r="AG2331" s="154"/>
      <c r="AH2331" s="242" t="str">
        <f>IF(AG2331="","N/A",INDIRECT("MTR!"&amp;ADDRESS(MATCH(LEFT(AG2331,9),[1]MTR!C:C,0),COLUMN(J2331)),TRUE) &amp; "")</f>
        <v>#ERROR!</v>
      </c>
      <c r="AI2331" s="157" t="str">
        <f t="shared" si="5"/>
        <v>#ERROR!</v>
      </c>
    </row>
    <row r="2332" ht="12.75" customHeight="1">
      <c r="A2332" s="244" t="s">
        <v>5158</v>
      </c>
      <c r="B2332" s="244" t="s">
        <v>231</v>
      </c>
      <c r="C2332" s="244" t="s">
        <v>12427</v>
      </c>
      <c r="D2332" s="154" t="s">
        <v>781</v>
      </c>
      <c r="E2332" s="154"/>
      <c r="F2332" s="154" t="str">
        <f t="array" ref="F2332">XLOOKUP(Cover!$D$12,$R$1:$Z$1,$R2332:$Z2332)</f>
        <v>Mandatory</v>
      </c>
      <c r="G2332" s="154" t="s">
        <v>12428</v>
      </c>
      <c r="H2332" s="154" t="s">
        <v>9002</v>
      </c>
      <c r="I2332" s="154" t="s">
        <v>12429</v>
      </c>
      <c r="J2332" s="154" t="s">
        <v>7486</v>
      </c>
      <c r="K2332" s="154" t="s">
        <v>12282</v>
      </c>
      <c r="L2332" s="154" t="s">
        <v>6140</v>
      </c>
      <c r="M2332" s="154" t="s">
        <v>175</v>
      </c>
      <c r="N2332" s="154" t="s">
        <v>759</v>
      </c>
      <c r="O2332" s="247" t="s">
        <v>445</v>
      </c>
      <c r="P2332" s="154"/>
      <c r="Q2332" s="154" t="str">
        <f t="shared" si="1"/>
        <v>#ERROR!</v>
      </c>
      <c r="R2332" s="154" t="s">
        <v>66</v>
      </c>
      <c r="S2332" s="154" t="s">
        <v>66</v>
      </c>
      <c r="T2332" s="155" t="s">
        <v>64</v>
      </c>
      <c r="U2332" s="155" t="s">
        <v>64</v>
      </c>
      <c r="V2332" s="154" t="s">
        <v>60</v>
      </c>
      <c r="W2332" s="154" t="s">
        <v>60</v>
      </c>
      <c r="X2332" s="154" t="s">
        <v>66</v>
      </c>
      <c r="Y2332" s="155" t="s">
        <v>64</v>
      </c>
      <c r="Z2332" s="154" t="s">
        <v>60</v>
      </c>
      <c r="AA2332" s="154"/>
      <c r="AB2332" s="242" t="str">
        <f t="shared" si="2"/>
        <v>#ERROR!</v>
      </c>
      <c r="AC2332" s="154" t="s">
        <v>391</v>
      </c>
      <c r="AD2332" s="242" t="b">
        <f t="shared" si="3"/>
        <v>0</v>
      </c>
      <c r="AE2332" s="154"/>
      <c r="AF2332" s="242" t="str">
        <f t="shared" si="4"/>
        <v>#ERROR!</v>
      </c>
      <c r="AG2332" s="154"/>
      <c r="AH2332" s="242" t="str">
        <f>IF(AG2332="","N/A",INDIRECT("MTR!"&amp;ADDRESS(MATCH(LEFT(AG2332,9),[1]MTR!C:C,0),COLUMN(J2332)),TRUE) &amp; "")</f>
        <v>#ERROR!</v>
      </c>
      <c r="AI2332" s="157" t="str">
        <f t="shared" si="5"/>
        <v>#ERROR!</v>
      </c>
    </row>
    <row r="2333" ht="12.75" customHeight="1">
      <c r="A2333" s="244" t="s">
        <v>5158</v>
      </c>
      <c r="B2333" s="244" t="s">
        <v>231</v>
      </c>
      <c r="C2333" s="244" t="s">
        <v>12430</v>
      </c>
      <c r="D2333" s="154" t="s">
        <v>781</v>
      </c>
      <c r="E2333" s="154"/>
      <c r="F2333" s="154" t="str">
        <f t="array" ref="F2333">XLOOKUP(Cover!$D$12,$R$1:$Z$1,$R2333:$Z2333)</f>
        <v>Recommended</v>
      </c>
      <c r="G2333" s="154" t="s">
        <v>12431</v>
      </c>
      <c r="H2333" s="154" t="s">
        <v>9009</v>
      </c>
      <c r="I2333" s="154" t="s">
        <v>12429</v>
      </c>
      <c r="J2333" s="154" t="s">
        <v>7486</v>
      </c>
      <c r="K2333" s="154" t="s">
        <v>12282</v>
      </c>
      <c r="L2333" s="154" t="s">
        <v>6140</v>
      </c>
      <c r="M2333" s="154"/>
      <c r="N2333" s="154" t="s">
        <v>759</v>
      </c>
      <c r="O2333" s="247" t="s">
        <v>445</v>
      </c>
      <c r="P2333" s="154"/>
      <c r="Q2333" s="154" t="str">
        <f t="shared" si="1"/>
        <v>#ERROR!</v>
      </c>
      <c r="R2333" s="154" t="s">
        <v>66</v>
      </c>
      <c r="S2333" s="154" t="s">
        <v>66</v>
      </c>
      <c r="T2333" s="154" t="s">
        <v>64</v>
      </c>
      <c r="U2333" s="154" t="s">
        <v>64</v>
      </c>
      <c r="V2333" s="154" t="s">
        <v>64</v>
      </c>
      <c r="W2333" s="154" t="s">
        <v>64</v>
      </c>
      <c r="X2333" s="154" t="s">
        <v>66</v>
      </c>
      <c r="Y2333" s="154" t="s">
        <v>64</v>
      </c>
      <c r="Z2333" s="154" t="s">
        <v>64</v>
      </c>
      <c r="AA2333" s="154"/>
      <c r="AB2333" s="242" t="str">
        <f t="shared" si="2"/>
        <v>#ERROR!</v>
      </c>
      <c r="AC2333" s="154" t="s">
        <v>391</v>
      </c>
      <c r="AD2333" s="242" t="b">
        <f t="shared" si="3"/>
        <v>0</v>
      </c>
      <c r="AE2333" s="154"/>
      <c r="AF2333" s="242" t="str">
        <f t="shared" si="4"/>
        <v>#ERROR!</v>
      </c>
      <c r="AG2333" s="154"/>
      <c r="AH2333" s="242" t="str">
        <f>IF(AG2333="","N/A",INDIRECT("MTR!"&amp;ADDRESS(MATCH(LEFT(AG2333,9),[1]MTR!C:C,0),COLUMN(J2333)),TRUE) &amp; "")</f>
        <v>#ERROR!</v>
      </c>
      <c r="AI2333" s="157" t="str">
        <f t="shared" si="5"/>
        <v>#ERROR!</v>
      </c>
    </row>
    <row r="2334" ht="12.75" customHeight="1">
      <c r="A2334" s="244" t="s">
        <v>5158</v>
      </c>
      <c r="B2334" s="244" t="s">
        <v>231</v>
      </c>
      <c r="C2334" s="244" t="s">
        <v>12432</v>
      </c>
      <c r="D2334" s="154" t="s">
        <v>781</v>
      </c>
      <c r="E2334" s="154"/>
      <c r="F2334" s="154" t="str">
        <f t="array" ref="F2334">XLOOKUP(Cover!$D$12,$R$1:$Z$1,$R2334:$Z2334)</f>
        <v>Recommended</v>
      </c>
      <c r="G2334" s="154" t="s">
        <v>12433</v>
      </c>
      <c r="H2334" s="154" t="s">
        <v>9084</v>
      </c>
      <c r="I2334" s="154" t="s">
        <v>12429</v>
      </c>
      <c r="J2334" s="154" t="s">
        <v>7486</v>
      </c>
      <c r="K2334" s="154" t="s">
        <v>12282</v>
      </c>
      <c r="L2334" s="154" t="s">
        <v>6140</v>
      </c>
      <c r="M2334" s="154"/>
      <c r="N2334" s="154" t="s">
        <v>759</v>
      </c>
      <c r="O2334" s="247" t="s">
        <v>516</v>
      </c>
      <c r="P2334" s="247" t="s">
        <v>6776</v>
      </c>
      <c r="Q2334" s="154" t="str">
        <f t="shared" si="1"/>
        <v>#ERROR!</v>
      </c>
      <c r="R2334" s="154" t="s">
        <v>66</v>
      </c>
      <c r="S2334" s="154" t="s">
        <v>66</v>
      </c>
      <c r="T2334" s="154" t="s">
        <v>64</v>
      </c>
      <c r="U2334" s="154" t="s">
        <v>64</v>
      </c>
      <c r="V2334" s="154" t="s">
        <v>64</v>
      </c>
      <c r="W2334" s="154" t="s">
        <v>64</v>
      </c>
      <c r="X2334" s="154" t="s">
        <v>66</v>
      </c>
      <c r="Y2334" s="154" t="s">
        <v>64</v>
      </c>
      <c r="Z2334" s="154" t="s">
        <v>64</v>
      </c>
      <c r="AA2334" s="154"/>
      <c r="AB2334" s="242" t="str">
        <f t="shared" si="2"/>
        <v>#ERROR!</v>
      </c>
      <c r="AC2334" s="154" t="s">
        <v>391</v>
      </c>
      <c r="AD2334" s="242" t="b">
        <f t="shared" si="3"/>
        <v>0</v>
      </c>
      <c r="AE2334" s="154"/>
      <c r="AF2334" s="242" t="str">
        <f t="shared" si="4"/>
        <v>#ERROR!</v>
      </c>
      <c r="AG2334" s="154"/>
      <c r="AH2334" s="242" t="str">
        <f>IF(AG2334="","N/A",INDIRECT("MTR!"&amp;ADDRESS(MATCH(LEFT(AG2334,9),[1]MTR!C:C,0),COLUMN(J2334)),TRUE) &amp; "")</f>
        <v>#ERROR!</v>
      </c>
      <c r="AI2334" s="157" t="str">
        <f t="shared" si="5"/>
        <v>#ERROR!</v>
      </c>
    </row>
    <row r="2335" ht="12.75" customHeight="1">
      <c r="A2335" s="244" t="s">
        <v>5158</v>
      </c>
      <c r="B2335" s="244" t="s">
        <v>231</v>
      </c>
      <c r="C2335" s="244" t="s">
        <v>12434</v>
      </c>
      <c r="D2335" s="154" t="s">
        <v>1315</v>
      </c>
      <c r="E2335" s="154"/>
      <c r="F2335" s="154" t="str">
        <f t="array" ref="F2335">XLOOKUP(Cover!$D$12,$R$1:$Z$1,$R2335:$Z2335)</f>
        <v>Mandatory</v>
      </c>
      <c r="G2335" s="154" t="s">
        <v>12435</v>
      </c>
      <c r="H2335" s="154" t="s">
        <v>9002</v>
      </c>
      <c r="I2335" s="154" t="s">
        <v>12436</v>
      </c>
      <c r="J2335" s="154" t="s">
        <v>7494</v>
      </c>
      <c r="K2335" s="154" t="s">
        <v>12282</v>
      </c>
      <c r="L2335" s="154" t="s">
        <v>6022</v>
      </c>
      <c r="M2335" s="154" t="s">
        <v>175</v>
      </c>
      <c r="N2335" s="154" t="s">
        <v>759</v>
      </c>
      <c r="O2335" s="247" t="s">
        <v>516</v>
      </c>
      <c r="P2335" s="247" t="s">
        <v>6776</v>
      </c>
      <c r="Q2335" s="154" t="str">
        <f t="shared" si="1"/>
        <v>#ERROR!</v>
      </c>
      <c r="R2335" s="154" t="s">
        <v>66</v>
      </c>
      <c r="S2335" s="154" t="s">
        <v>66</v>
      </c>
      <c r="T2335" s="155" t="s">
        <v>64</v>
      </c>
      <c r="U2335" s="155" t="s">
        <v>64</v>
      </c>
      <c r="V2335" s="154" t="s">
        <v>60</v>
      </c>
      <c r="W2335" s="154" t="s">
        <v>60</v>
      </c>
      <c r="X2335" s="154" t="s">
        <v>66</v>
      </c>
      <c r="Y2335" s="155" t="s">
        <v>64</v>
      </c>
      <c r="Z2335" s="154" t="s">
        <v>60</v>
      </c>
      <c r="AA2335" s="154"/>
      <c r="AB2335" s="242" t="str">
        <f t="shared" si="2"/>
        <v>#ERROR!</v>
      </c>
      <c r="AC2335" s="154" t="s">
        <v>391</v>
      </c>
      <c r="AD2335" s="242" t="b">
        <f t="shared" si="3"/>
        <v>0</v>
      </c>
      <c r="AE2335" s="154"/>
      <c r="AF2335" s="242" t="str">
        <f t="shared" si="4"/>
        <v>#ERROR!</v>
      </c>
      <c r="AG2335" s="154"/>
      <c r="AH2335" s="242" t="str">
        <f>IF(AG2335="","N/A",INDIRECT("MTR!"&amp;ADDRESS(MATCH(LEFT(AG2335,9),[1]MTR!C:C,0),COLUMN(J2335)),TRUE) &amp; "")</f>
        <v>#ERROR!</v>
      </c>
      <c r="AI2335" s="157" t="str">
        <f t="shared" si="5"/>
        <v>#ERROR!</v>
      </c>
    </row>
    <row r="2336" ht="12.75" customHeight="1">
      <c r="A2336" s="244" t="s">
        <v>5158</v>
      </c>
      <c r="B2336" s="244" t="s">
        <v>231</v>
      </c>
      <c r="C2336" s="244" t="s">
        <v>12437</v>
      </c>
      <c r="D2336" s="154" t="s">
        <v>1315</v>
      </c>
      <c r="E2336" s="154"/>
      <c r="F2336" s="154" t="str">
        <f t="array" ref="F2336">XLOOKUP(Cover!$D$12,$R$1:$Z$1,$R2336:$Z2336)</f>
        <v>Recommended</v>
      </c>
      <c r="G2336" s="154" t="s">
        <v>12438</v>
      </c>
      <c r="H2336" s="154" t="s">
        <v>9009</v>
      </c>
      <c r="I2336" s="154" t="s">
        <v>12436</v>
      </c>
      <c r="J2336" s="154" t="s">
        <v>7494</v>
      </c>
      <c r="K2336" s="154" t="s">
        <v>12282</v>
      </c>
      <c r="L2336" s="154" t="s">
        <v>6022</v>
      </c>
      <c r="M2336" s="154"/>
      <c r="N2336" s="154" t="s">
        <v>759</v>
      </c>
      <c r="O2336" s="247" t="s">
        <v>516</v>
      </c>
      <c r="P2336" s="247" t="s">
        <v>6776</v>
      </c>
      <c r="Q2336" s="154" t="str">
        <f t="shared" si="1"/>
        <v>#ERROR!</v>
      </c>
      <c r="R2336" s="154" t="s">
        <v>66</v>
      </c>
      <c r="S2336" s="154" t="s">
        <v>66</v>
      </c>
      <c r="T2336" s="154" t="s">
        <v>64</v>
      </c>
      <c r="U2336" s="154" t="s">
        <v>64</v>
      </c>
      <c r="V2336" s="154" t="s">
        <v>64</v>
      </c>
      <c r="W2336" s="154" t="s">
        <v>64</v>
      </c>
      <c r="X2336" s="154" t="s">
        <v>66</v>
      </c>
      <c r="Y2336" s="154" t="s">
        <v>64</v>
      </c>
      <c r="Z2336" s="154" t="s">
        <v>64</v>
      </c>
      <c r="AA2336" s="154"/>
      <c r="AB2336" s="242" t="str">
        <f t="shared" si="2"/>
        <v>#ERROR!</v>
      </c>
      <c r="AC2336" s="154" t="s">
        <v>391</v>
      </c>
      <c r="AD2336" s="242" t="b">
        <f t="shared" si="3"/>
        <v>0</v>
      </c>
      <c r="AE2336" s="154"/>
      <c r="AF2336" s="242" t="str">
        <f t="shared" si="4"/>
        <v>#ERROR!</v>
      </c>
      <c r="AG2336" s="154"/>
      <c r="AH2336" s="242" t="str">
        <f>IF(AG2336="","N/A",INDIRECT("MTR!"&amp;ADDRESS(MATCH(LEFT(AG2336,9),[1]MTR!C:C,0),COLUMN(J2336)),TRUE) &amp; "")</f>
        <v>#ERROR!</v>
      </c>
      <c r="AI2336" s="157" t="str">
        <f t="shared" si="5"/>
        <v>#ERROR!</v>
      </c>
    </row>
    <row r="2337" ht="12.75" customHeight="1">
      <c r="A2337" s="244" t="s">
        <v>5158</v>
      </c>
      <c r="B2337" s="244" t="s">
        <v>231</v>
      </c>
      <c r="C2337" s="244" t="s">
        <v>12439</v>
      </c>
      <c r="D2337" s="154" t="s">
        <v>1315</v>
      </c>
      <c r="E2337" s="154"/>
      <c r="F2337" s="154" t="str">
        <f t="array" ref="F2337">XLOOKUP(Cover!$D$12,$R$1:$Z$1,$R2337:$Z2337)</f>
        <v>Mandatory</v>
      </c>
      <c r="G2337" s="154" t="s">
        <v>12440</v>
      </c>
      <c r="H2337" s="154" t="s">
        <v>9012</v>
      </c>
      <c r="I2337" s="154" t="s">
        <v>12436</v>
      </c>
      <c r="J2337" s="154" t="s">
        <v>7494</v>
      </c>
      <c r="K2337" s="154" t="s">
        <v>12282</v>
      </c>
      <c r="L2337" s="154" t="s">
        <v>6022</v>
      </c>
      <c r="M2337" s="154" t="s">
        <v>175</v>
      </c>
      <c r="N2337" s="154" t="s">
        <v>759</v>
      </c>
      <c r="O2337" s="247" t="s">
        <v>516</v>
      </c>
      <c r="P2337" s="247" t="s">
        <v>6776</v>
      </c>
      <c r="Q2337" s="154" t="str">
        <f t="shared" si="1"/>
        <v>#ERROR!</v>
      </c>
      <c r="R2337" s="154" t="s">
        <v>66</v>
      </c>
      <c r="S2337" s="154" t="s">
        <v>66</v>
      </c>
      <c r="T2337" s="155" t="s">
        <v>64</v>
      </c>
      <c r="U2337" s="155" t="s">
        <v>64</v>
      </c>
      <c r="V2337" s="154" t="s">
        <v>60</v>
      </c>
      <c r="W2337" s="154" t="s">
        <v>60</v>
      </c>
      <c r="X2337" s="154" t="s">
        <v>66</v>
      </c>
      <c r="Y2337" s="155" t="s">
        <v>64</v>
      </c>
      <c r="Z2337" s="154" t="s">
        <v>60</v>
      </c>
      <c r="AA2337" s="154"/>
      <c r="AB2337" s="242" t="str">
        <f t="shared" si="2"/>
        <v>#ERROR!</v>
      </c>
      <c r="AC2337" s="154" t="s">
        <v>391</v>
      </c>
      <c r="AD2337" s="242" t="b">
        <f t="shared" si="3"/>
        <v>0</v>
      </c>
      <c r="AE2337" s="154"/>
      <c r="AF2337" s="242" t="str">
        <f t="shared" si="4"/>
        <v>#ERROR!</v>
      </c>
      <c r="AG2337" s="154"/>
      <c r="AH2337" s="242" t="str">
        <f>IF(AG2337="","N/A",INDIRECT("MTR!"&amp;ADDRESS(MATCH(LEFT(AG2337,9),[1]MTR!C:C,0),COLUMN(J2337)),TRUE) &amp; "")</f>
        <v>#ERROR!</v>
      </c>
      <c r="AI2337" s="157" t="str">
        <f t="shared" si="5"/>
        <v>#ERROR!</v>
      </c>
    </row>
    <row r="2338" ht="12.75" customHeight="1">
      <c r="A2338" s="244" t="s">
        <v>5158</v>
      </c>
      <c r="B2338" s="244" t="s">
        <v>231</v>
      </c>
      <c r="C2338" s="244" t="s">
        <v>12441</v>
      </c>
      <c r="D2338" s="154" t="s">
        <v>1069</v>
      </c>
      <c r="E2338" s="154"/>
      <c r="F2338" s="154" t="str">
        <f t="array" ref="F2338">XLOOKUP(Cover!$D$12,$R$1:$Z$1,$R2338:$Z2338)</f>
        <v>Mandatory</v>
      </c>
      <c r="G2338" s="154" t="s">
        <v>12442</v>
      </c>
      <c r="H2338" s="154" t="s">
        <v>9002</v>
      </c>
      <c r="I2338" s="154" t="s">
        <v>12443</v>
      </c>
      <c r="J2338" s="154" t="s">
        <v>7502</v>
      </c>
      <c r="K2338" s="154" t="s">
        <v>12282</v>
      </c>
      <c r="L2338" s="154" t="s">
        <v>5927</v>
      </c>
      <c r="M2338" s="154" t="s">
        <v>175</v>
      </c>
      <c r="N2338" s="154" t="s">
        <v>759</v>
      </c>
      <c r="O2338" s="247" t="s">
        <v>516</v>
      </c>
      <c r="P2338" s="247" t="s">
        <v>6776</v>
      </c>
      <c r="Q2338" s="154" t="str">
        <f t="shared" si="1"/>
        <v>#ERROR!</v>
      </c>
      <c r="R2338" s="154" t="s">
        <v>66</v>
      </c>
      <c r="S2338" s="154" t="s">
        <v>66</v>
      </c>
      <c r="T2338" s="155" t="s">
        <v>64</v>
      </c>
      <c r="U2338" s="155" t="s">
        <v>64</v>
      </c>
      <c r="V2338" s="154" t="s">
        <v>60</v>
      </c>
      <c r="W2338" s="154" t="s">
        <v>60</v>
      </c>
      <c r="X2338" s="154" t="s">
        <v>66</v>
      </c>
      <c r="Y2338" s="155" t="s">
        <v>64</v>
      </c>
      <c r="Z2338" s="154" t="s">
        <v>60</v>
      </c>
      <c r="AA2338" s="154"/>
      <c r="AB2338" s="242" t="str">
        <f t="shared" si="2"/>
        <v>#ERROR!</v>
      </c>
      <c r="AC2338" s="154" t="s">
        <v>391</v>
      </c>
      <c r="AD2338" s="242" t="b">
        <f t="shared" si="3"/>
        <v>0</v>
      </c>
      <c r="AE2338" s="154"/>
      <c r="AF2338" s="242" t="str">
        <f t="shared" si="4"/>
        <v>#ERROR!</v>
      </c>
      <c r="AG2338" s="154"/>
      <c r="AH2338" s="242" t="str">
        <f>IF(AG2338="","N/A",INDIRECT("MTR!"&amp;ADDRESS(MATCH(LEFT(AG2338,9),[1]MTR!C:C,0),COLUMN(J2338)),TRUE) &amp; "")</f>
        <v>#ERROR!</v>
      </c>
      <c r="AI2338" s="157" t="str">
        <f t="shared" si="5"/>
        <v>#ERROR!</v>
      </c>
    </row>
    <row r="2339" ht="12.75" customHeight="1">
      <c r="A2339" s="244" t="s">
        <v>5158</v>
      </c>
      <c r="B2339" s="244" t="s">
        <v>231</v>
      </c>
      <c r="C2339" s="244" t="s">
        <v>12444</v>
      </c>
      <c r="D2339" s="154" t="s">
        <v>1069</v>
      </c>
      <c r="E2339" s="154"/>
      <c r="F2339" s="154" t="str">
        <f t="array" ref="F2339">XLOOKUP(Cover!$D$12,$R$1:$Z$1,$R2339:$Z2339)</f>
        <v>Recommended</v>
      </c>
      <c r="G2339" s="154" t="s">
        <v>12445</v>
      </c>
      <c r="H2339" s="154" t="s">
        <v>9009</v>
      </c>
      <c r="I2339" s="154" t="s">
        <v>12443</v>
      </c>
      <c r="J2339" s="154" t="s">
        <v>7502</v>
      </c>
      <c r="K2339" s="154" t="s">
        <v>12282</v>
      </c>
      <c r="L2339" s="154" t="s">
        <v>5927</v>
      </c>
      <c r="M2339" s="154"/>
      <c r="N2339" s="154" t="s">
        <v>759</v>
      </c>
      <c r="O2339" s="247" t="s">
        <v>516</v>
      </c>
      <c r="P2339" s="247" t="s">
        <v>6776</v>
      </c>
      <c r="Q2339" s="154" t="str">
        <f t="shared" si="1"/>
        <v>#ERROR!</v>
      </c>
      <c r="R2339" s="154" t="s">
        <v>66</v>
      </c>
      <c r="S2339" s="154" t="s">
        <v>66</v>
      </c>
      <c r="T2339" s="154" t="s">
        <v>64</v>
      </c>
      <c r="U2339" s="154" t="s">
        <v>64</v>
      </c>
      <c r="V2339" s="154" t="s">
        <v>64</v>
      </c>
      <c r="W2339" s="154" t="s">
        <v>64</v>
      </c>
      <c r="X2339" s="154" t="s">
        <v>66</v>
      </c>
      <c r="Y2339" s="154" t="s">
        <v>64</v>
      </c>
      <c r="Z2339" s="154" t="s">
        <v>64</v>
      </c>
      <c r="AA2339" s="154"/>
      <c r="AB2339" s="242" t="str">
        <f t="shared" si="2"/>
        <v>#ERROR!</v>
      </c>
      <c r="AC2339" s="154" t="s">
        <v>391</v>
      </c>
      <c r="AD2339" s="242" t="b">
        <f t="shared" si="3"/>
        <v>0</v>
      </c>
      <c r="AE2339" s="154"/>
      <c r="AF2339" s="242" t="str">
        <f t="shared" si="4"/>
        <v>#ERROR!</v>
      </c>
      <c r="AG2339" s="154"/>
      <c r="AH2339" s="242" t="str">
        <f>IF(AG2339="","N/A",INDIRECT("MTR!"&amp;ADDRESS(MATCH(LEFT(AG2339,9),[1]MTR!C:C,0),COLUMN(J2339)),TRUE) &amp; "")</f>
        <v>#ERROR!</v>
      </c>
      <c r="AI2339" s="157" t="str">
        <f t="shared" si="5"/>
        <v>#ERROR!</v>
      </c>
    </row>
    <row r="2340" ht="12.75" customHeight="1">
      <c r="A2340" s="244" t="s">
        <v>5158</v>
      </c>
      <c r="B2340" s="244" t="s">
        <v>231</v>
      </c>
      <c r="C2340" s="244" t="s">
        <v>12446</v>
      </c>
      <c r="D2340" s="154" t="s">
        <v>1069</v>
      </c>
      <c r="E2340" s="154"/>
      <c r="F2340" s="154" t="str">
        <f t="array" ref="F2340">XLOOKUP(Cover!$D$12,$R$1:$Z$1,$R2340:$Z2340)</f>
        <v>Mandatory</v>
      </c>
      <c r="G2340" s="154" t="s">
        <v>12447</v>
      </c>
      <c r="H2340" s="154" t="s">
        <v>9015</v>
      </c>
      <c r="I2340" s="154" t="s">
        <v>12443</v>
      </c>
      <c r="J2340" s="154" t="s">
        <v>7502</v>
      </c>
      <c r="K2340" s="154" t="s">
        <v>12282</v>
      </c>
      <c r="L2340" s="154" t="s">
        <v>5927</v>
      </c>
      <c r="M2340" s="154" t="s">
        <v>175</v>
      </c>
      <c r="N2340" s="154" t="s">
        <v>759</v>
      </c>
      <c r="O2340" s="247" t="s">
        <v>516</v>
      </c>
      <c r="P2340" s="247" t="s">
        <v>6776</v>
      </c>
      <c r="Q2340" s="154" t="str">
        <f t="shared" si="1"/>
        <v>#ERROR!</v>
      </c>
      <c r="R2340" s="154" t="s">
        <v>66</v>
      </c>
      <c r="S2340" s="154" t="s">
        <v>66</v>
      </c>
      <c r="T2340" s="155" t="s">
        <v>64</v>
      </c>
      <c r="U2340" s="155" t="s">
        <v>64</v>
      </c>
      <c r="V2340" s="154" t="s">
        <v>60</v>
      </c>
      <c r="W2340" s="154" t="s">
        <v>60</v>
      </c>
      <c r="X2340" s="154" t="s">
        <v>66</v>
      </c>
      <c r="Y2340" s="155" t="s">
        <v>64</v>
      </c>
      <c r="Z2340" s="154" t="s">
        <v>60</v>
      </c>
      <c r="AA2340" s="154"/>
      <c r="AB2340" s="242" t="str">
        <f t="shared" si="2"/>
        <v>#ERROR!</v>
      </c>
      <c r="AC2340" s="154" t="s">
        <v>391</v>
      </c>
      <c r="AD2340" s="242" t="b">
        <f t="shared" si="3"/>
        <v>0</v>
      </c>
      <c r="AE2340" s="154"/>
      <c r="AF2340" s="242" t="str">
        <f t="shared" si="4"/>
        <v>#ERROR!</v>
      </c>
      <c r="AG2340" s="154"/>
      <c r="AH2340" s="242" t="str">
        <f>IF(AG2340="","N/A",INDIRECT("MTR!"&amp;ADDRESS(MATCH(LEFT(AG2340,9),[1]MTR!C:C,0),COLUMN(J2340)),TRUE) &amp; "")</f>
        <v>#ERROR!</v>
      </c>
      <c r="AI2340" s="157" t="str">
        <f t="shared" si="5"/>
        <v>#ERROR!</v>
      </c>
    </row>
    <row r="2341" ht="12.75" customHeight="1">
      <c r="A2341" s="244" t="s">
        <v>5158</v>
      </c>
      <c r="B2341" s="244" t="s">
        <v>231</v>
      </c>
      <c r="C2341" s="244" t="s">
        <v>12448</v>
      </c>
      <c r="D2341" s="154" t="s">
        <v>503</v>
      </c>
      <c r="E2341" s="154"/>
      <c r="F2341" s="154" t="str">
        <f t="array" ref="F2341">XLOOKUP(Cover!$D$12,$R$1:$Z$1,$R2341:$Z2341)</f>
        <v>Mandatory</v>
      </c>
      <c r="G2341" s="154" t="s">
        <v>12449</v>
      </c>
      <c r="H2341" s="154" t="s">
        <v>9002</v>
      </c>
      <c r="I2341" s="154" t="s">
        <v>12450</v>
      </c>
      <c r="J2341" s="154" t="s">
        <v>7510</v>
      </c>
      <c r="K2341" s="154" t="s">
        <v>12282</v>
      </c>
      <c r="L2341" s="154" t="s">
        <v>6463</v>
      </c>
      <c r="M2341" s="154" t="s">
        <v>175</v>
      </c>
      <c r="N2341" s="154" t="s">
        <v>759</v>
      </c>
      <c r="O2341" s="247" t="s">
        <v>516</v>
      </c>
      <c r="P2341" s="247" t="s">
        <v>6776</v>
      </c>
      <c r="Q2341" s="154" t="str">
        <f t="shared" si="1"/>
        <v>#ERROR!</v>
      </c>
      <c r="R2341" s="154" t="s">
        <v>66</v>
      </c>
      <c r="S2341" s="154" t="s">
        <v>66</v>
      </c>
      <c r="T2341" s="155" t="s">
        <v>64</v>
      </c>
      <c r="U2341" s="155" t="s">
        <v>64</v>
      </c>
      <c r="V2341" s="154" t="s">
        <v>60</v>
      </c>
      <c r="W2341" s="154" t="s">
        <v>60</v>
      </c>
      <c r="X2341" s="154" t="s">
        <v>66</v>
      </c>
      <c r="Y2341" s="155" t="s">
        <v>64</v>
      </c>
      <c r="Z2341" s="154" t="s">
        <v>60</v>
      </c>
      <c r="AA2341" s="154"/>
      <c r="AB2341" s="242" t="str">
        <f t="shared" si="2"/>
        <v>#ERROR!</v>
      </c>
      <c r="AC2341" s="154" t="s">
        <v>391</v>
      </c>
      <c r="AD2341" s="242" t="b">
        <f t="shared" si="3"/>
        <v>0</v>
      </c>
      <c r="AE2341" s="154"/>
      <c r="AF2341" s="242" t="str">
        <f t="shared" si="4"/>
        <v>#ERROR!</v>
      </c>
      <c r="AG2341" s="154"/>
      <c r="AH2341" s="242" t="str">
        <f>IF(AG2341="","N/A",INDIRECT("MTR!"&amp;ADDRESS(MATCH(LEFT(AG2341,9),[1]MTR!C:C,0),COLUMN(J2341)),TRUE) &amp; "")</f>
        <v>#ERROR!</v>
      </c>
      <c r="AI2341" s="157" t="str">
        <f t="shared" si="5"/>
        <v>#ERROR!</v>
      </c>
    </row>
    <row r="2342" ht="12.75" customHeight="1">
      <c r="A2342" s="244" t="s">
        <v>5158</v>
      </c>
      <c r="B2342" s="244" t="s">
        <v>231</v>
      </c>
      <c r="C2342" s="244" t="s">
        <v>12451</v>
      </c>
      <c r="D2342" s="154" t="s">
        <v>503</v>
      </c>
      <c r="E2342" s="154"/>
      <c r="F2342" s="154" t="str">
        <f t="array" ref="F2342">XLOOKUP(Cover!$D$12,$R$1:$Z$1,$R2342:$Z2342)</f>
        <v>Recommended</v>
      </c>
      <c r="G2342" s="154" t="s">
        <v>12452</v>
      </c>
      <c r="H2342" s="154" t="s">
        <v>9009</v>
      </c>
      <c r="I2342" s="154" t="s">
        <v>12450</v>
      </c>
      <c r="J2342" s="154" t="s">
        <v>7510</v>
      </c>
      <c r="K2342" s="154" t="s">
        <v>12282</v>
      </c>
      <c r="L2342" s="154" t="s">
        <v>6463</v>
      </c>
      <c r="M2342" s="154"/>
      <c r="N2342" s="154" t="s">
        <v>759</v>
      </c>
      <c r="O2342" s="247" t="s">
        <v>516</v>
      </c>
      <c r="P2342" s="247" t="s">
        <v>6776</v>
      </c>
      <c r="Q2342" s="154" t="str">
        <f t="shared" si="1"/>
        <v>#ERROR!</v>
      </c>
      <c r="R2342" s="154" t="s">
        <v>66</v>
      </c>
      <c r="S2342" s="154" t="s">
        <v>66</v>
      </c>
      <c r="T2342" s="154" t="s">
        <v>64</v>
      </c>
      <c r="U2342" s="154" t="s">
        <v>64</v>
      </c>
      <c r="V2342" s="154" t="s">
        <v>64</v>
      </c>
      <c r="W2342" s="154" t="s">
        <v>64</v>
      </c>
      <c r="X2342" s="154" t="s">
        <v>66</v>
      </c>
      <c r="Y2342" s="154" t="s">
        <v>64</v>
      </c>
      <c r="Z2342" s="154" t="s">
        <v>64</v>
      </c>
      <c r="AA2342" s="154"/>
      <c r="AB2342" s="242" t="str">
        <f t="shared" si="2"/>
        <v>#ERROR!</v>
      </c>
      <c r="AC2342" s="154" t="s">
        <v>391</v>
      </c>
      <c r="AD2342" s="242" t="b">
        <f t="shared" si="3"/>
        <v>0</v>
      </c>
      <c r="AE2342" s="154"/>
      <c r="AF2342" s="242" t="str">
        <f t="shared" si="4"/>
        <v>#ERROR!</v>
      </c>
      <c r="AG2342" s="154"/>
      <c r="AH2342" s="242" t="str">
        <f>IF(AG2342="","N/A",INDIRECT("MTR!"&amp;ADDRESS(MATCH(LEFT(AG2342,9),[1]MTR!C:C,0),COLUMN(J2342)),TRUE) &amp; "")</f>
        <v>#ERROR!</v>
      </c>
      <c r="AI2342" s="157" t="str">
        <f t="shared" si="5"/>
        <v>#ERROR!</v>
      </c>
    </row>
    <row r="2343" ht="12.75" customHeight="1">
      <c r="A2343" s="244" t="s">
        <v>5158</v>
      </c>
      <c r="B2343" s="244" t="s">
        <v>231</v>
      </c>
      <c r="C2343" s="244" t="s">
        <v>12453</v>
      </c>
      <c r="D2343" s="154" t="s">
        <v>503</v>
      </c>
      <c r="E2343" s="154"/>
      <c r="F2343" s="154" t="str">
        <f t="array" ref="F2343">XLOOKUP(Cover!$D$12,$R$1:$Z$1,$R2343:$Z2343)</f>
        <v>Mandatory</v>
      </c>
      <c r="G2343" s="154" t="s">
        <v>12454</v>
      </c>
      <c r="H2343" s="154" t="s">
        <v>1541</v>
      </c>
      <c r="I2343" s="154" t="s">
        <v>12450</v>
      </c>
      <c r="J2343" s="154" t="s">
        <v>7510</v>
      </c>
      <c r="K2343" s="154" t="s">
        <v>12282</v>
      </c>
      <c r="L2343" s="154" t="s">
        <v>6463</v>
      </c>
      <c r="M2343" s="154" t="s">
        <v>175</v>
      </c>
      <c r="N2343" s="154" t="s">
        <v>759</v>
      </c>
      <c r="O2343" s="247" t="s">
        <v>516</v>
      </c>
      <c r="P2343" s="247" t="s">
        <v>6776</v>
      </c>
      <c r="Q2343" s="154" t="str">
        <f t="shared" si="1"/>
        <v>#ERROR!</v>
      </c>
      <c r="R2343" s="154" t="s">
        <v>66</v>
      </c>
      <c r="S2343" s="154" t="s">
        <v>66</v>
      </c>
      <c r="T2343" s="155" t="s">
        <v>64</v>
      </c>
      <c r="U2343" s="155" t="s">
        <v>64</v>
      </c>
      <c r="V2343" s="154" t="s">
        <v>60</v>
      </c>
      <c r="W2343" s="154" t="s">
        <v>60</v>
      </c>
      <c r="X2343" s="154" t="s">
        <v>66</v>
      </c>
      <c r="Y2343" s="155" t="s">
        <v>64</v>
      </c>
      <c r="Z2343" s="154" t="s">
        <v>60</v>
      </c>
      <c r="AA2343" s="154"/>
      <c r="AB2343" s="242" t="str">
        <f t="shared" si="2"/>
        <v>#ERROR!</v>
      </c>
      <c r="AC2343" s="154" t="s">
        <v>391</v>
      </c>
      <c r="AD2343" s="242" t="b">
        <f t="shared" si="3"/>
        <v>0</v>
      </c>
      <c r="AE2343" s="154"/>
      <c r="AF2343" s="242" t="str">
        <f t="shared" si="4"/>
        <v>#ERROR!</v>
      </c>
      <c r="AG2343" s="154"/>
      <c r="AH2343" s="242" t="str">
        <f>IF(AG2343="","N/A",INDIRECT("MTR!"&amp;ADDRESS(MATCH(LEFT(AG2343,9),[1]MTR!C:C,0),COLUMN(J2343)),TRUE) &amp; "")</f>
        <v>#ERROR!</v>
      </c>
      <c r="AI2343" s="157" t="str">
        <f t="shared" si="5"/>
        <v>#ERROR!</v>
      </c>
    </row>
    <row r="2344" ht="12.75" customHeight="1">
      <c r="A2344" s="244" t="s">
        <v>5158</v>
      </c>
      <c r="B2344" s="244" t="s">
        <v>231</v>
      </c>
      <c r="C2344" s="244" t="s">
        <v>12455</v>
      </c>
      <c r="D2344" s="154" t="s">
        <v>781</v>
      </c>
      <c r="E2344" s="154"/>
      <c r="F2344" s="154" t="str">
        <f t="array" ref="F2344">XLOOKUP(Cover!$D$12,$R$1:$Z$1,$R2344:$Z2344)</f>
        <v>Mandatory</v>
      </c>
      <c r="G2344" s="154" t="s">
        <v>12456</v>
      </c>
      <c r="H2344" s="154" t="s">
        <v>9006</v>
      </c>
      <c r="I2344" s="154" t="s">
        <v>12457</v>
      </c>
      <c r="J2344" s="154" t="s">
        <v>6927</v>
      </c>
      <c r="K2344" s="154" t="s">
        <v>12282</v>
      </c>
      <c r="L2344" s="154" t="s">
        <v>6140</v>
      </c>
      <c r="M2344" s="154" t="s">
        <v>175</v>
      </c>
      <c r="N2344" s="154" t="s">
        <v>759</v>
      </c>
      <c r="O2344" s="247" t="s">
        <v>445</v>
      </c>
      <c r="P2344" s="154"/>
      <c r="Q2344" s="154" t="str">
        <f t="shared" si="1"/>
        <v>#ERROR!</v>
      </c>
      <c r="R2344" s="154" t="s">
        <v>66</v>
      </c>
      <c r="S2344" s="154" t="s">
        <v>66</v>
      </c>
      <c r="T2344" s="155" t="s">
        <v>64</v>
      </c>
      <c r="U2344" s="155" t="s">
        <v>64</v>
      </c>
      <c r="V2344" s="154" t="s">
        <v>60</v>
      </c>
      <c r="W2344" s="154" t="s">
        <v>60</v>
      </c>
      <c r="X2344" s="154" t="s">
        <v>66</v>
      </c>
      <c r="Y2344" s="155" t="s">
        <v>64</v>
      </c>
      <c r="Z2344" s="154" t="s">
        <v>60</v>
      </c>
      <c r="AA2344" s="154"/>
      <c r="AB2344" s="242" t="str">
        <f t="shared" si="2"/>
        <v>#ERROR!</v>
      </c>
      <c r="AC2344" s="154" t="s">
        <v>391</v>
      </c>
      <c r="AD2344" s="242" t="b">
        <f t="shared" si="3"/>
        <v>0</v>
      </c>
      <c r="AE2344" s="154"/>
      <c r="AF2344" s="242" t="str">
        <f t="shared" si="4"/>
        <v>#ERROR!</v>
      </c>
      <c r="AG2344" s="154"/>
      <c r="AH2344" s="242" t="str">
        <f>IF(AG2344="","N/A",INDIRECT("MTR!"&amp;ADDRESS(MATCH(LEFT(AG2344,9),[1]MTR!C:C,0),COLUMN(J2344)),TRUE) &amp; "")</f>
        <v>#ERROR!</v>
      </c>
      <c r="AI2344" s="157" t="str">
        <f t="shared" si="5"/>
        <v>#ERROR!</v>
      </c>
    </row>
    <row r="2345" ht="12.75" customHeight="1">
      <c r="A2345" s="244" t="s">
        <v>5158</v>
      </c>
      <c r="B2345" s="244" t="s">
        <v>231</v>
      </c>
      <c r="C2345" s="244" t="s">
        <v>12458</v>
      </c>
      <c r="D2345" s="154" t="s">
        <v>781</v>
      </c>
      <c r="E2345" s="154"/>
      <c r="F2345" s="154" t="str">
        <f t="array" ref="F2345">XLOOKUP(Cover!$D$12,$R$1:$Z$1,$R2345:$Z2345)</f>
        <v>Mandatory</v>
      </c>
      <c r="G2345" s="154" t="s">
        <v>12459</v>
      </c>
      <c r="H2345" s="154" t="s">
        <v>9053</v>
      </c>
      <c r="I2345" s="154" t="s">
        <v>12457</v>
      </c>
      <c r="J2345" s="154" t="s">
        <v>6927</v>
      </c>
      <c r="K2345" s="154" t="s">
        <v>12282</v>
      </c>
      <c r="L2345" s="154" t="s">
        <v>6140</v>
      </c>
      <c r="M2345" s="154" t="s">
        <v>175</v>
      </c>
      <c r="N2345" s="154" t="s">
        <v>759</v>
      </c>
      <c r="O2345" s="247" t="s">
        <v>516</v>
      </c>
      <c r="P2345" s="247" t="s">
        <v>6776</v>
      </c>
      <c r="Q2345" s="154" t="str">
        <f t="shared" si="1"/>
        <v>#ERROR!</v>
      </c>
      <c r="R2345" s="154" t="s">
        <v>66</v>
      </c>
      <c r="S2345" s="154" t="s">
        <v>66</v>
      </c>
      <c r="T2345" s="155" t="s">
        <v>64</v>
      </c>
      <c r="U2345" s="155" t="s">
        <v>64</v>
      </c>
      <c r="V2345" s="154" t="s">
        <v>60</v>
      </c>
      <c r="W2345" s="154" t="s">
        <v>60</v>
      </c>
      <c r="X2345" s="154" t="s">
        <v>66</v>
      </c>
      <c r="Y2345" s="155" t="s">
        <v>64</v>
      </c>
      <c r="Z2345" s="154" t="s">
        <v>60</v>
      </c>
      <c r="AA2345" s="154"/>
      <c r="AB2345" s="242" t="str">
        <f t="shared" si="2"/>
        <v>#ERROR!</v>
      </c>
      <c r="AC2345" s="154" t="s">
        <v>391</v>
      </c>
      <c r="AD2345" s="242" t="b">
        <f t="shared" si="3"/>
        <v>0</v>
      </c>
      <c r="AE2345" s="154"/>
      <c r="AF2345" s="242" t="str">
        <f t="shared" si="4"/>
        <v>#ERROR!</v>
      </c>
      <c r="AG2345" s="154"/>
      <c r="AH2345" s="242" t="str">
        <f>IF(AG2345="","N/A",INDIRECT("MTR!"&amp;ADDRESS(MATCH(LEFT(AG2345,9),[1]MTR!C:C,0),COLUMN(J2345)),TRUE) &amp; "")</f>
        <v>#ERROR!</v>
      </c>
      <c r="AI2345" s="157" t="str">
        <f t="shared" si="5"/>
        <v>#ERROR!</v>
      </c>
    </row>
    <row r="2346" ht="12.75" customHeight="1">
      <c r="A2346" s="244" t="s">
        <v>5158</v>
      </c>
      <c r="B2346" s="244" t="s">
        <v>231</v>
      </c>
      <c r="C2346" s="244" t="s">
        <v>12460</v>
      </c>
      <c r="D2346" s="154" t="s">
        <v>781</v>
      </c>
      <c r="E2346" s="154"/>
      <c r="F2346" s="154" t="str">
        <f t="array" ref="F2346">XLOOKUP(Cover!$D$12,$R$1:$Z$1,$R2346:$Z2346)</f>
        <v>Recommended</v>
      </c>
      <c r="G2346" s="154" t="s">
        <v>12461</v>
      </c>
      <c r="H2346" s="154" t="s">
        <v>9009</v>
      </c>
      <c r="I2346" s="154" t="s">
        <v>12457</v>
      </c>
      <c r="J2346" s="154" t="s">
        <v>6927</v>
      </c>
      <c r="K2346" s="154" t="s">
        <v>12282</v>
      </c>
      <c r="L2346" s="154" t="s">
        <v>6140</v>
      </c>
      <c r="M2346" s="154"/>
      <c r="N2346" s="154" t="s">
        <v>759</v>
      </c>
      <c r="O2346" s="247" t="s">
        <v>445</v>
      </c>
      <c r="P2346" s="154"/>
      <c r="Q2346" s="154" t="str">
        <f t="shared" si="1"/>
        <v>#ERROR!</v>
      </c>
      <c r="R2346" s="154" t="s">
        <v>66</v>
      </c>
      <c r="S2346" s="154" t="s">
        <v>66</v>
      </c>
      <c r="T2346" s="154" t="s">
        <v>64</v>
      </c>
      <c r="U2346" s="154" t="s">
        <v>64</v>
      </c>
      <c r="V2346" s="154" t="s">
        <v>64</v>
      </c>
      <c r="W2346" s="154" t="s">
        <v>64</v>
      </c>
      <c r="X2346" s="154" t="s">
        <v>66</v>
      </c>
      <c r="Y2346" s="154" t="s">
        <v>64</v>
      </c>
      <c r="Z2346" s="154" t="s">
        <v>64</v>
      </c>
      <c r="AA2346" s="154"/>
      <c r="AB2346" s="242" t="str">
        <f t="shared" si="2"/>
        <v>#ERROR!</v>
      </c>
      <c r="AC2346" s="154" t="s">
        <v>391</v>
      </c>
      <c r="AD2346" s="242" t="b">
        <f t="shared" si="3"/>
        <v>0</v>
      </c>
      <c r="AE2346" s="154"/>
      <c r="AF2346" s="242" t="str">
        <f t="shared" si="4"/>
        <v>#ERROR!</v>
      </c>
      <c r="AG2346" s="154"/>
      <c r="AH2346" s="242" t="str">
        <f>IF(AG2346="","N/A",INDIRECT("MTR!"&amp;ADDRESS(MATCH(LEFT(AG2346,9),[1]MTR!C:C,0),COLUMN(J2346)),TRUE) &amp; "")</f>
        <v>#ERROR!</v>
      </c>
      <c r="AI2346" s="157" t="str">
        <f t="shared" si="5"/>
        <v>#ERROR!</v>
      </c>
    </row>
    <row r="2347" ht="12.75" customHeight="1">
      <c r="A2347" s="244" t="s">
        <v>5158</v>
      </c>
      <c r="B2347" s="244" t="s">
        <v>231</v>
      </c>
      <c r="C2347" s="244" t="s">
        <v>12462</v>
      </c>
      <c r="D2347" s="154" t="s">
        <v>45</v>
      </c>
      <c r="E2347" s="154"/>
      <c r="F2347" s="154" t="str">
        <f t="array" ref="F2347">XLOOKUP(Cover!$D$12,$R$1:$Z$1,$R2347:$Z2347)</f>
        <v>Information</v>
      </c>
      <c r="G2347" s="154" t="s">
        <v>12463</v>
      </c>
      <c r="H2347" s="154" t="s">
        <v>9006</v>
      </c>
      <c r="I2347" s="154" t="s">
        <v>12464</v>
      </c>
      <c r="J2347" s="154" t="s">
        <v>6941</v>
      </c>
      <c r="K2347" s="154" t="s">
        <v>12282</v>
      </c>
      <c r="L2347" s="154" t="s">
        <v>6655</v>
      </c>
      <c r="M2347" s="154"/>
      <c r="N2347" s="154" t="s">
        <v>759</v>
      </c>
      <c r="O2347" s="247" t="s">
        <v>516</v>
      </c>
      <c r="P2347" s="247" t="s">
        <v>6776</v>
      </c>
      <c r="Q2347" s="154" t="str">
        <f t="shared" si="1"/>
        <v>#ERROR!</v>
      </c>
      <c r="R2347" s="154" t="s">
        <v>66</v>
      </c>
      <c r="S2347" s="154" t="s">
        <v>66</v>
      </c>
      <c r="T2347" s="154" t="s">
        <v>66</v>
      </c>
      <c r="U2347" s="154" t="s">
        <v>66</v>
      </c>
      <c r="V2347" s="154" t="s">
        <v>66</v>
      </c>
      <c r="W2347" s="154" t="s">
        <v>66</v>
      </c>
      <c r="X2347" s="154" t="s">
        <v>66</v>
      </c>
      <c r="Y2347" s="154" t="s">
        <v>66</v>
      </c>
      <c r="Z2347" s="154" t="s">
        <v>66</v>
      </c>
      <c r="AA2347" s="154"/>
      <c r="AB2347" s="242" t="str">
        <f t="shared" si="2"/>
        <v>#ERROR!</v>
      </c>
      <c r="AC2347" s="154" t="s">
        <v>391</v>
      </c>
      <c r="AD2347" s="242" t="b">
        <f t="shared" si="3"/>
        <v>0</v>
      </c>
      <c r="AE2347" s="154"/>
      <c r="AF2347" s="242" t="str">
        <f t="shared" si="4"/>
        <v>#ERROR!</v>
      </c>
      <c r="AG2347" s="154"/>
      <c r="AH2347" s="242" t="str">
        <f>IF(AG2347="","N/A",INDIRECT("MTR!"&amp;ADDRESS(MATCH(LEFT(AG2347,9),[1]MTR!C:C,0),COLUMN(J2347)),TRUE) &amp; "")</f>
        <v>#ERROR!</v>
      </c>
      <c r="AI2347" s="157" t="str">
        <f t="shared" si="5"/>
        <v>#ERROR!</v>
      </c>
    </row>
    <row r="2348" ht="12.75" customHeight="1">
      <c r="A2348" s="244" t="s">
        <v>5158</v>
      </c>
      <c r="B2348" s="244" t="s">
        <v>231</v>
      </c>
      <c r="C2348" s="244" t="s">
        <v>12465</v>
      </c>
      <c r="D2348" s="154" t="s">
        <v>45</v>
      </c>
      <c r="E2348" s="154"/>
      <c r="F2348" s="154" t="str">
        <f t="array" ref="F2348">XLOOKUP(Cover!$D$12,$R$1:$Z$1,$R2348:$Z2348)</f>
        <v>Information</v>
      </c>
      <c r="G2348" s="154" t="s">
        <v>12466</v>
      </c>
      <c r="H2348" s="154" t="s">
        <v>9012</v>
      </c>
      <c r="I2348" s="154" t="s">
        <v>12464</v>
      </c>
      <c r="J2348" s="154" t="s">
        <v>6941</v>
      </c>
      <c r="K2348" s="154" t="s">
        <v>12282</v>
      </c>
      <c r="L2348" s="154" t="s">
        <v>6655</v>
      </c>
      <c r="M2348" s="154"/>
      <c r="N2348" s="154" t="s">
        <v>759</v>
      </c>
      <c r="O2348" s="247" t="s">
        <v>516</v>
      </c>
      <c r="P2348" s="247" t="s">
        <v>6776</v>
      </c>
      <c r="Q2348" s="154" t="str">
        <f t="shared" si="1"/>
        <v>#ERROR!</v>
      </c>
      <c r="R2348" s="154" t="s">
        <v>66</v>
      </c>
      <c r="S2348" s="154" t="s">
        <v>66</v>
      </c>
      <c r="T2348" s="154" t="s">
        <v>66</v>
      </c>
      <c r="U2348" s="154" t="s">
        <v>66</v>
      </c>
      <c r="V2348" s="154" t="s">
        <v>66</v>
      </c>
      <c r="W2348" s="154" t="s">
        <v>66</v>
      </c>
      <c r="X2348" s="154" t="s">
        <v>66</v>
      </c>
      <c r="Y2348" s="154" t="s">
        <v>66</v>
      </c>
      <c r="Z2348" s="154" t="s">
        <v>66</v>
      </c>
      <c r="AA2348" s="154"/>
      <c r="AB2348" s="242" t="str">
        <f t="shared" si="2"/>
        <v>#ERROR!</v>
      </c>
      <c r="AC2348" s="154" t="s">
        <v>391</v>
      </c>
      <c r="AD2348" s="242" t="b">
        <f t="shared" si="3"/>
        <v>0</v>
      </c>
      <c r="AE2348" s="154"/>
      <c r="AF2348" s="242" t="str">
        <f t="shared" si="4"/>
        <v>#ERROR!</v>
      </c>
      <c r="AG2348" s="154"/>
      <c r="AH2348" s="242" t="str">
        <f>IF(AG2348="","N/A",INDIRECT("MTR!"&amp;ADDRESS(MATCH(LEFT(AG2348,9),[1]MTR!C:C,0),COLUMN(J2348)),TRUE) &amp; "")</f>
        <v>#ERROR!</v>
      </c>
      <c r="AI2348" s="157" t="str">
        <f t="shared" si="5"/>
        <v>#ERROR!</v>
      </c>
    </row>
    <row r="2349" ht="12.75" customHeight="1">
      <c r="A2349" s="244" t="s">
        <v>5158</v>
      </c>
      <c r="B2349" s="244" t="s">
        <v>231</v>
      </c>
      <c r="C2349" s="244" t="s">
        <v>12467</v>
      </c>
      <c r="D2349" s="154" t="s">
        <v>45</v>
      </c>
      <c r="E2349" s="154"/>
      <c r="F2349" s="154" t="str">
        <f t="array" ref="F2349">XLOOKUP(Cover!$D$12,$R$1:$Z$1,$R2349:$Z2349)</f>
        <v>Recommended</v>
      </c>
      <c r="G2349" s="154" t="s">
        <v>12468</v>
      </c>
      <c r="H2349" s="154" t="s">
        <v>9006</v>
      </c>
      <c r="I2349" s="154" t="s">
        <v>12469</v>
      </c>
      <c r="J2349" s="154" t="s">
        <v>6970</v>
      </c>
      <c r="K2349" s="154" t="s">
        <v>12282</v>
      </c>
      <c r="L2349" s="154" t="s">
        <v>10718</v>
      </c>
      <c r="M2349" s="154"/>
      <c r="N2349" s="154" t="s">
        <v>759</v>
      </c>
      <c r="O2349" s="247" t="s">
        <v>516</v>
      </c>
      <c r="P2349" s="247" t="s">
        <v>6776</v>
      </c>
      <c r="Q2349" s="154" t="str">
        <f t="shared" si="1"/>
        <v>#ERROR!</v>
      </c>
      <c r="R2349" s="154" t="s">
        <v>66</v>
      </c>
      <c r="S2349" s="154" t="s">
        <v>66</v>
      </c>
      <c r="T2349" s="154" t="s">
        <v>64</v>
      </c>
      <c r="U2349" s="154" t="s">
        <v>64</v>
      </c>
      <c r="V2349" s="154" t="s">
        <v>64</v>
      </c>
      <c r="W2349" s="154" t="s">
        <v>64</v>
      </c>
      <c r="X2349" s="154" t="s">
        <v>66</v>
      </c>
      <c r="Y2349" s="154" t="s">
        <v>64</v>
      </c>
      <c r="Z2349" s="154" t="s">
        <v>64</v>
      </c>
      <c r="AA2349" s="154"/>
      <c r="AB2349" s="242" t="str">
        <f t="shared" si="2"/>
        <v>#ERROR!</v>
      </c>
      <c r="AC2349" s="154" t="s">
        <v>391</v>
      </c>
      <c r="AD2349" s="242" t="b">
        <f t="shared" si="3"/>
        <v>0</v>
      </c>
      <c r="AE2349" s="154"/>
      <c r="AF2349" s="242" t="str">
        <f t="shared" si="4"/>
        <v>#ERROR!</v>
      </c>
      <c r="AG2349" s="154"/>
      <c r="AH2349" s="242" t="str">
        <f>IF(AG2349="","N/A",INDIRECT("MTR!"&amp;ADDRESS(MATCH(LEFT(AG2349,9),[1]MTR!C:C,0),COLUMN(J2349)),TRUE) &amp; "")</f>
        <v>#ERROR!</v>
      </c>
      <c r="AI2349" s="157" t="str">
        <f t="shared" si="5"/>
        <v>#ERROR!</v>
      </c>
    </row>
    <row r="2350" ht="12.75" customHeight="1">
      <c r="A2350" s="244" t="s">
        <v>5158</v>
      </c>
      <c r="B2350" s="244" t="s">
        <v>231</v>
      </c>
      <c r="C2350" s="244" t="s">
        <v>12470</v>
      </c>
      <c r="D2350" s="154" t="s">
        <v>45</v>
      </c>
      <c r="E2350" s="154"/>
      <c r="F2350" s="154" t="str">
        <f t="array" ref="F2350">XLOOKUP(Cover!$D$12,$R$1:$Z$1,$R2350:$Z2350)</f>
        <v>Recommended</v>
      </c>
      <c r="G2350" s="154" t="s">
        <v>12471</v>
      </c>
      <c r="H2350" s="154" t="s">
        <v>1541</v>
      </c>
      <c r="I2350" s="154" t="s">
        <v>12469</v>
      </c>
      <c r="J2350" s="154" t="s">
        <v>6970</v>
      </c>
      <c r="K2350" s="154" t="s">
        <v>12282</v>
      </c>
      <c r="L2350" s="154" t="s">
        <v>10718</v>
      </c>
      <c r="M2350" s="154"/>
      <c r="N2350" s="154" t="s">
        <v>759</v>
      </c>
      <c r="O2350" s="247" t="s">
        <v>516</v>
      </c>
      <c r="P2350" s="247" t="s">
        <v>6776</v>
      </c>
      <c r="Q2350" s="154" t="str">
        <f t="shared" si="1"/>
        <v>#ERROR!</v>
      </c>
      <c r="R2350" s="154" t="s">
        <v>66</v>
      </c>
      <c r="S2350" s="154" t="s">
        <v>66</v>
      </c>
      <c r="T2350" s="154" t="s">
        <v>64</v>
      </c>
      <c r="U2350" s="154" t="s">
        <v>64</v>
      </c>
      <c r="V2350" s="154" t="s">
        <v>64</v>
      </c>
      <c r="W2350" s="154" t="s">
        <v>64</v>
      </c>
      <c r="X2350" s="154" t="s">
        <v>66</v>
      </c>
      <c r="Y2350" s="154" t="s">
        <v>64</v>
      </c>
      <c r="Z2350" s="154" t="s">
        <v>64</v>
      </c>
      <c r="AA2350" s="154"/>
      <c r="AB2350" s="242" t="str">
        <f t="shared" si="2"/>
        <v>#ERROR!</v>
      </c>
      <c r="AC2350" s="154" t="s">
        <v>391</v>
      </c>
      <c r="AD2350" s="242" t="b">
        <f t="shared" si="3"/>
        <v>0</v>
      </c>
      <c r="AE2350" s="154"/>
      <c r="AF2350" s="242" t="str">
        <f t="shared" si="4"/>
        <v>#ERROR!</v>
      </c>
      <c r="AG2350" s="154"/>
      <c r="AH2350" s="242" t="str">
        <f>IF(AG2350="","N/A",INDIRECT("MTR!"&amp;ADDRESS(MATCH(LEFT(AG2350,9),[1]MTR!C:C,0),COLUMN(J2350)),TRUE) &amp; "")</f>
        <v>#ERROR!</v>
      </c>
      <c r="AI2350" s="157" t="str">
        <f t="shared" si="5"/>
        <v>#ERROR!</v>
      </c>
    </row>
    <row r="2351" ht="12.75" customHeight="1">
      <c r="A2351" s="244" t="s">
        <v>5158</v>
      </c>
      <c r="B2351" s="244" t="s">
        <v>231</v>
      </c>
      <c r="C2351" s="244" t="s">
        <v>12472</v>
      </c>
      <c r="D2351" s="154" t="s">
        <v>1315</v>
      </c>
      <c r="E2351" s="154"/>
      <c r="F2351" s="154" t="str">
        <f t="array" ref="F2351">XLOOKUP(Cover!$D$12,$R$1:$Z$1,$R2351:$Z2351)</f>
        <v>Information</v>
      </c>
      <c r="G2351" s="154" t="s">
        <v>12473</v>
      </c>
      <c r="H2351" s="154" t="s">
        <v>9006</v>
      </c>
      <c r="I2351" s="154" t="s">
        <v>12474</v>
      </c>
      <c r="J2351" s="154" t="s">
        <v>6992</v>
      </c>
      <c r="K2351" s="154" t="s">
        <v>12282</v>
      </c>
      <c r="L2351" s="154" t="s">
        <v>6905</v>
      </c>
      <c r="M2351" s="154"/>
      <c r="N2351" s="154" t="s">
        <v>759</v>
      </c>
      <c r="O2351" s="247" t="s">
        <v>516</v>
      </c>
      <c r="P2351" s="247" t="s">
        <v>5876</v>
      </c>
      <c r="Q2351" s="154" t="str">
        <f t="shared" si="1"/>
        <v>#ERROR!</v>
      </c>
      <c r="R2351" s="154" t="s">
        <v>66</v>
      </c>
      <c r="S2351" s="154" t="s">
        <v>66</v>
      </c>
      <c r="T2351" s="154" t="s">
        <v>66</v>
      </c>
      <c r="U2351" s="154" t="s">
        <v>66</v>
      </c>
      <c r="V2351" s="154" t="s">
        <v>66</v>
      </c>
      <c r="W2351" s="154" t="s">
        <v>66</v>
      </c>
      <c r="X2351" s="154" t="s">
        <v>66</v>
      </c>
      <c r="Y2351" s="154" t="s">
        <v>66</v>
      </c>
      <c r="Z2351" s="154" t="s">
        <v>66</v>
      </c>
      <c r="AA2351" s="154"/>
      <c r="AB2351" s="242" t="str">
        <f t="shared" si="2"/>
        <v>#ERROR!</v>
      </c>
      <c r="AC2351" s="154" t="s">
        <v>391</v>
      </c>
      <c r="AD2351" s="242" t="b">
        <f t="shared" si="3"/>
        <v>0</v>
      </c>
      <c r="AE2351" s="154"/>
      <c r="AF2351" s="242" t="str">
        <f t="shared" si="4"/>
        <v>#ERROR!</v>
      </c>
      <c r="AG2351" s="154"/>
      <c r="AH2351" s="242" t="str">
        <f>IF(AG2351="","N/A",INDIRECT("MTR!"&amp;ADDRESS(MATCH(LEFT(AG2351,9),[1]MTR!C:C,0),COLUMN(J2351)),TRUE) &amp; "")</f>
        <v>#ERROR!</v>
      </c>
      <c r="AI2351" s="157" t="str">
        <f t="shared" si="5"/>
        <v>#ERROR!</v>
      </c>
    </row>
    <row r="2352" ht="12.75" customHeight="1">
      <c r="A2352" s="244" t="s">
        <v>5158</v>
      </c>
      <c r="B2352" s="244" t="s">
        <v>231</v>
      </c>
      <c r="C2352" s="244" t="s">
        <v>12475</v>
      </c>
      <c r="D2352" s="154" t="s">
        <v>1315</v>
      </c>
      <c r="E2352" s="154"/>
      <c r="F2352" s="154" t="str">
        <f t="array" ref="F2352">XLOOKUP(Cover!$D$12,$R$1:$Z$1,$R2352:$Z2352)</f>
        <v>Information</v>
      </c>
      <c r="G2352" s="154" t="s">
        <v>12476</v>
      </c>
      <c r="H2352" s="154" t="s">
        <v>9009</v>
      </c>
      <c r="I2352" s="154" t="s">
        <v>12474</v>
      </c>
      <c r="J2352" s="154" t="s">
        <v>6992</v>
      </c>
      <c r="K2352" s="154" t="s">
        <v>12282</v>
      </c>
      <c r="L2352" s="154" t="s">
        <v>6905</v>
      </c>
      <c r="M2352" s="154"/>
      <c r="N2352" s="154" t="s">
        <v>759</v>
      </c>
      <c r="O2352" s="247" t="s">
        <v>516</v>
      </c>
      <c r="P2352" s="247" t="s">
        <v>5876</v>
      </c>
      <c r="Q2352" s="154" t="str">
        <f t="shared" si="1"/>
        <v>#ERROR!</v>
      </c>
      <c r="R2352" s="154" t="s">
        <v>66</v>
      </c>
      <c r="S2352" s="154" t="s">
        <v>66</v>
      </c>
      <c r="T2352" s="154" t="s">
        <v>66</v>
      </c>
      <c r="U2352" s="154" t="s">
        <v>66</v>
      </c>
      <c r="V2352" s="154" t="s">
        <v>66</v>
      </c>
      <c r="W2352" s="154" t="s">
        <v>66</v>
      </c>
      <c r="X2352" s="154" t="s">
        <v>66</v>
      </c>
      <c r="Y2352" s="154" t="s">
        <v>66</v>
      </c>
      <c r="Z2352" s="154" t="s">
        <v>66</v>
      </c>
      <c r="AA2352" s="154"/>
      <c r="AB2352" s="242" t="str">
        <f t="shared" si="2"/>
        <v>#ERROR!</v>
      </c>
      <c r="AC2352" s="154" t="s">
        <v>391</v>
      </c>
      <c r="AD2352" s="242" t="b">
        <f t="shared" si="3"/>
        <v>0</v>
      </c>
      <c r="AE2352" s="154"/>
      <c r="AF2352" s="242" t="str">
        <f t="shared" si="4"/>
        <v>#ERROR!</v>
      </c>
      <c r="AG2352" s="154"/>
      <c r="AH2352" s="242" t="str">
        <f>IF(AG2352="","N/A",INDIRECT("MTR!"&amp;ADDRESS(MATCH(LEFT(AG2352,9),[1]MTR!C:C,0),COLUMN(J2352)),TRUE) &amp; "")</f>
        <v>#ERROR!</v>
      </c>
      <c r="AI2352" s="157" t="str">
        <f t="shared" si="5"/>
        <v>#ERROR!</v>
      </c>
    </row>
    <row r="2353" ht="12.75" customHeight="1">
      <c r="A2353" s="244" t="s">
        <v>5158</v>
      </c>
      <c r="B2353" s="244" t="s">
        <v>231</v>
      </c>
      <c r="C2353" s="244" t="s">
        <v>12477</v>
      </c>
      <c r="D2353" s="154" t="s">
        <v>781</v>
      </c>
      <c r="E2353" s="154"/>
      <c r="F2353" s="154" t="str">
        <f t="array" ref="F2353">XLOOKUP(Cover!$D$12,$R$1:$Z$1,$R2353:$Z2353)</f>
        <v>Mandatory</v>
      </c>
      <c r="G2353" s="154" t="s">
        <v>12478</v>
      </c>
      <c r="H2353" s="154" t="s">
        <v>9006</v>
      </c>
      <c r="I2353" s="154" t="s">
        <v>12479</v>
      </c>
      <c r="J2353" s="154" t="s">
        <v>6984</v>
      </c>
      <c r="K2353" s="154" t="s">
        <v>12282</v>
      </c>
      <c r="L2353" s="154" t="s">
        <v>6140</v>
      </c>
      <c r="M2353" s="154" t="s">
        <v>175</v>
      </c>
      <c r="N2353" s="154" t="s">
        <v>759</v>
      </c>
      <c r="O2353" s="247" t="s">
        <v>445</v>
      </c>
      <c r="P2353" s="154"/>
      <c r="Q2353" s="154" t="str">
        <f t="shared" si="1"/>
        <v>#ERROR!</v>
      </c>
      <c r="R2353" s="154" t="s">
        <v>66</v>
      </c>
      <c r="S2353" s="154" t="s">
        <v>66</v>
      </c>
      <c r="T2353" s="155" t="s">
        <v>64</v>
      </c>
      <c r="U2353" s="155" t="s">
        <v>64</v>
      </c>
      <c r="V2353" s="154" t="s">
        <v>60</v>
      </c>
      <c r="W2353" s="154" t="s">
        <v>60</v>
      </c>
      <c r="X2353" s="154" t="s">
        <v>66</v>
      </c>
      <c r="Y2353" s="155" t="s">
        <v>64</v>
      </c>
      <c r="Z2353" s="154" t="s">
        <v>60</v>
      </c>
      <c r="AA2353" s="154"/>
      <c r="AB2353" s="242" t="str">
        <f t="shared" si="2"/>
        <v>#ERROR!</v>
      </c>
      <c r="AC2353" s="154" t="s">
        <v>391</v>
      </c>
      <c r="AD2353" s="242" t="b">
        <f t="shared" si="3"/>
        <v>0</v>
      </c>
      <c r="AE2353" s="154"/>
      <c r="AF2353" s="242" t="str">
        <f t="shared" si="4"/>
        <v>#ERROR!</v>
      </c>
      <c r="AG2353" s="154"/>
      <c r="AH2353" s="242" t="str">
        <f>IF(AG2353="","N/A",INDIRECT("MTR!"&amp;ADDRESS(MATCH(LEFT(AG2353,9),[1]MTR!C:C,0),COLUMN(J2353)),TRUE) &amp; "")</f>
        <v>#ERROR!</v>
      </c>
      <c r="AI2353" s="157" t="str">
        <f t="shared" si="5"/>
        <v>#ERROR!</v>
      </c>
    </row>
    <row r="2354" ht="12.75" customHeight="1">
      <c r="A2354" s="244" t="s">
        <v>5158</v>
      </c>
      <c r="B2354" s="244" t="s">
        <v>231</v>
      </c>
      <c r="C2354" s="244" t="s">
        <v>12480</v>
      </c>
      <c r="D2354" s="154" t="s">
        <v>781</v>
      </c>
      <c r="E2354" s="154"/>
      <c r="F2354" s="154" t="str">
        <f t="array" ref="F2354">XLOOKUP(Cover!$D$12,$R$1:$Z$1,$R2354:$Z2354)</f>
        <v>Recommended</v>
      </c>
      <c r="G2354" s="154" t="s">
        <v>12481</v>
      </c>
      <c r="H2354" s="154" t="s">
        <v>9009</v>
      </c>
      <c r="I2354" s="154" t="s">
        <v>12479</v>
      </c>
      <c r="J2354" s="154" t="s">
        <v>6984</v>
      </c>
      <c r="K2354" s="154" t="s">
        <v>12282</v>
      </c>
      <c r="L2354" s="154" t="s">
        <v>6140</v>
      </c>
      <c r="M2354" s="154"/>
      <c r="N2354" s="154" t="s">
        <v>759</v>
      </c>
      <c r="O2354" s="247" t="s">
        <v>445</v>
      </c>
      <c r="P2354" s="154"/>
      <c r="Q2354" s="154" t="str">
        <f t="shared" si="1"/>
        <v>#ERROR!</v>
      </c>
      <c r="R2354" s="154" t="s">
        <v>66</v>
      </c>
      <c r="S2354" s="154" t="s">
        <v>66</v>
      </c>
      <c r="T2354" s="154" t="s">
        <v>64</v>
      </c>
      <c r="U2354" s="154" t="s">
        <v>64</v>
      </c>
      <c r="V2354" s="154" t="s">
        <v>64</v>
      </c>
      <c r="W2354" s="154" t="s">
        <v>64</v>
      </c>
      <c r="X2354" s="154" t="s">
        <v>66</v>
      </c>
      <c r="Y2354" s="154" t="s">
        <v>64</v>
      </c>
      <c r="Z2354" s="154" t="s">
        <v>64</v>
      </c>
      <c r="AA2354" s="154"/>
      <c r="AB2354" s="242" t="str">
        <f t="shared" si="2"/>
        <v>#ERROR!</v>
      </c>
      <c r="AC2354" s="154" t="s">
        <v>391</v>
      </c>
      <c r="AD2354" s="242" t="b">
        <f t="shared" si="3"/>
        <v>0</v>
      </c>
      <c r="AE2354" s="154"/>
      <c r="AF2354" s="242" t="str">
        <f t="shared" si="4"/>
        <v>#ERROR!</v>
      </c>
      <c r="AG2354" s="154"/>
      <c r="AH2354" s="242" t="str">
        <f>IF(AG2354="","N/A",INDIRECT("MTR!"&amp;ADDRESS(MATCH(LEFT(AG2354,9),[1]MTR!C:C,0),COLUMN(J2354)),TRUE) &amp; "")</f>
        <v>#ERROR!</v>
      </c>
      <c r="AI2354" s="157" t="str">
        <f t="shared" si="5"/>
        <v>#ERROR!</v>
      </c>
    </row>
    <row r="2355" ht="12.75" customHeight="1">
      <c r="A2355" s="244" t="s">
        <v>5158</v>
      </c>
      <c r="B2355" s="244" t="s">
        <v>231</v>
      </c>
      <c r="C2355" s="244" t="s">
        <v>12482</v>
      </c>
      <c r="D2355" s="154" t="s">
        <v>781</v>
      </c>
      <c r="E2355" s="154"/>
      <c r="F2355" s="154" t="str">
        <f t="array" ref="F2355">XLOOKUP(Cover!$D$12,$R$1:$Z$1,$R2355:$Z2355)</f>
        <v>Recommended</v>
      </c>
      <c r="G2355" s="154" t="s">
        <v>12483</v>
      </c>
      <c r="H2355" s="154" t="s">
        <v>9084</v>
      </c>
      <c r="I2355" s="154" t="s">
        <v>12479</v>
      </c>
      <c r="J2355" s="154" t="s">
        <v>6984</v>
      </c>
      <c r="K2355" s="154" t="s">
        <v>12282</v>
      </c>
      <c r="L2355" s="154" t="s">
        <v>6140</v>
      </c>
      <c r="M2355" s="154"/>
      <c r="N2355" s="154" t="s">
        <v>759</v>
      </c>
      <c r="O2355" s="247" t="s">
        <v>516</v>
      </c>
      <c r="P2355" s="247" t="s">
        <v>6776</v>
      </c>
      <c r="Q2355" s="154" t="str">
        <f t="shared" si="1"/>
        <v>#ERROR!</v>
      </c>
      <c r="R2355" s="154" t="s">
        <v>66</v>
      </c>
      <c r="S2355" s="154" t="s">
        <v>66</v>
      </c>
      <c r="T2355" s="154" t="s">
        <v>64</v>
      </c>
      <c r="U2355" s="154" t="s">
        <v>64</v>
      </c>
      <c r="V2355" s="154" t="s">
        <v>64</v>
      </c>
      <c r="W2355" s="154" t="s">
        <v>64</v>
      </c>
      <c r="X2355" s="154" t="s">
        <v>66</v>
      </c>
      <c r="Y2355" s="154" t="s">
        <v>64</v>
      </c>
      <c r="Z2355" s="154" t="s">
        <v>64</v>
      </c>
      <c r="AA2355" s="154"/>
      <c r="AB2355" s="242" t="str">
        <f t="shared" si="2"/>
        <v>#ERROR!</v>
      </c>
      <c r="AC2355" s="154" t="s">
        <v>391</v>
      </c>
      <c r="AD2355" s="242" t="b">
        <f t="shared" si="3"/>
        <v>0</v>
      </c>
      <c r="AE2355" s="154"/>
      <c r="AF2355" s="242" t="str">
        <f t="shared" si="4"/>
        <v>#ERROR!</v>
      </c>
      <c r="AG2355" s="154"/>
      <c r="AH2355" s="242" t="str">
        <f>IF(AG2355="","N/A",INDIRECT("MTR!"&amp;ADDRESS(MATCH(LEFT(AG2355,9),[1]MTR!C:C,0),COLUMN(J2355)),TRUE) &amp; "")</f>
        <v>#ERROR!</v>
      </c>
      <c r="AI2355" s="157" t="str">
        <f t="shared" si="5"/>
        <v>#ERROR!</v>
      </c>
    </row>
    <row r="2356" ht="12.75" customHeight="1">
      <c r="A2356" s="244" t="s">
        <v>5158</v>
      </c>
      <c r="B2356" s="244" t="s">
        <v>231</v>
      </c>
      <c r="C2356" s="244" t="s">
        <v>12484</v>
      </c>
      <c r="D2356" s="154" t="s">
        <v>1315</v>
      </c>
      <c r="E2356" s="154"/>
      <c r="F2356" s="154" t="str">
        <f t="array" ref="F2356">XLOOKUP(Cover!$D$12,$R$1:$Z$1,$R2356:$Z2356)</f>
        <v>Mandatory</v>
      </c>
      <c r="G2356" s="154" t="s">
        <v>12485</v>
      </c>
      <c r="H2356" s="154" t="s">
        <v>9006</v>
      </c>
      <c r="I2356" s="154" t="s">
        <v>12486</v>
      </c>
      <c r="J2356" s="154" t="s">
        <v>6998</v>
      </c>
      <c r="K2356" s="154" t="s">
        <v>12282</v>
      </c>
      <c r="L2356" s="154" t="s">
        <v>6022</v>
      </c>
      <c r="M2356" s="154" t="s">
        <v>175</v>
      </c>
      <c r="N2356" s="154" t="s">
        <v>759</v>
      </c>
      <c r="O2356" s="247" t="s">
        <v>516</v>
      </c>
      <c r="P2356" s="247" t="s">
        <v>6776</v>
      </c>
      <c r="Q2356" s="154" t="str">
        <f t="shared" si="1"/>
        <v>#ERROR!</v>
      </c>
      <c r="R2356" s="154" t="s">
        <v>66</v>
      </c>
      <c r="S2356" s="154" t="s">
        <v>66</v>
      </c>
      <c r="T2356" s="155" t="s">
        <v>64</v>
      </c>
      <c r="U2356" s="155" t="s">
        <v>64</v>
      </c>
      <c r="V2356" s="154" t="s">
        <v>60</v>
      </c>
      <c r="W2356" s="154" t="s">
        <v>60</v>
      </c>
      <c r="X2356" s="154" t="s">
        <v>66</v>
      </c>
      <c r="Y2356" s="155" t="s">
        <v>64</v>
      </c>
      <c r="Z2356" s="154" t="s">
        <v>60</v>
      </c>
      <c r="AA2356" s="154"/>
      <c r="AB2356" s="242" t="str">
        <f t="shared" si="2"/>
        <v>#ERROR!</v>
      </c>
      <c r="AC2356" s="154" t="s">
        <v>391</v>
      </c>
      <c r="AD2356" s="242" t="b">
        <f t="shared" si="3"/>
        <v>0</v>
      </c>
      <c r="AE2356" s="154"/>
      <c r="AF2356" s="242" t="str">
        <f t="shared" si="4"/>
        <v>#ERROR!</v>
      </c>
      <c r="AG2356" s="154"/>
      <c r="AH2356" s="242" t="str">
        <f>IF(AG2356="","N/A",INDIRECT("MTR!"&amp;ADDRESS(MATCH(LEFT(AG2356,9),[1]MTR!C:C,0),COLUMN(J2356)),TRUE) &amp; "")</f>
        <v>#ERROR!</v>
      </c>
      <c r="AI2356" s="157" t="str">
        <f t="shared" si="5"/>
        <v>#ERROR!</v>
      </c>
    </row>
    <row r="2357" ht="12.75" customHeight="1">
      <c r="A2357" s="244" t="s">
        <v>5158</v>
      </c>
      <c r="B2357" s="244" t="s">
        <v>231</v>
      </c>
      <c r="C2357" s="244" t="s">
        <v>12487</v>
      </c>
      <c r="D2357" s="154" t="s">
        <v>1315</v>
      </c>
      <c r="E2357" s="154"/>
      <c r="F2357" s="154" t="str">
        <f t="array" ref="F2357">XLOOKUP(Cover!$D$12,$R$1:$Z$1,$R2357:$Z2357)</f>
        <v>Recommended</v>
      </c>
      <c r="G2357" s="154" t="s">
        <v>12488</v>
      </c>
      <c r="H2357" s="154" t="s">
        <v>9009</v>
      </c>
      <c r="I2357" s="154" t="s">
        <v>12486</v>
      </c>
      <c r="J2357" s="154" t="s">
        <v>6998</v>
      </c>
      <c r="K2357" s="154" t="s">
        <v>12282</v>
      </c>
      <c r="L2357" s="154" t="s">
        <v>6022</v>
      </c>
      <c r="M2357" s="154"/>
      <c r="N2357" s="154" t="s">
        <v>759</v>
      </c>
      <c r="O2357" s="247" t="s">
        <v>516</v>
      </c>
      <c r="P2357" s="247" t="s">
        <v>6776</v>
      </c>
      <c r="Q2357" s="154" t="str">
        <f t="shared" si="1"/>
        <v>#ERROR!</v>
      </c>
      <c r="R2357" s="154" t="s">
        <v>66</v>
      </c>
      <c r="S2357" s="154" t="s">
        <v>66</v>
      </c>
      <c r="T2357" s="154" t="s">
        <v>64</v>
      </c>
      <c r="U2357" s="154" t="s">
        <v>64</v>
      </c>
      <c r="V2357" s="154" t="s">
        <v>64</v>
      </c>
      <c r="W2357" s="154" t="s">
        <v>64</v>
      </c>
      <c r="X2357" s="154" t="s">
        <v>66</v>
      </c>
      <c r="Y2357" s="154" t="s">
        <v>64</v>
      </c>
      <c r="Z2357" s="154" t="s">
        <v>64</v>
      </c>
      <c r="AA2357" s="154"/>
      <c r="AB2357" s="242" t="str">
        <f t="shared" si="2"/>
        <v>#ERROR!</v>
      </c>
      <c r="AC2357" s="154" t="s">
        <v>391</v>
      </c>
      <c r="AD2357" s="242" t="b">
        <f t="shared" si="3"/>
        <v>0</v>
      </c>
      <c r="AE2357" s="154"/>
      <c r="AF2357" s="242" t="str">
        <f t="shared" si="4"/>
        <v>#ERROR!</v>
      </c>
      <c r="AG2357" s="154"/>
      <c r="AH2357" s="242" t="str">
        <f>IF(AG2357="","N/A",INDIRECT("MTR!"&amp;ADDRESS(MATCH(LEFT(AG2357,9),[1]MTR!C:C,0),COLUMN(J2357)),TRUE) &amp; "")</f>
        <v>#ERROR!</v>
      </c>
      <c r="AI2357" s="157" t="str">
        <f t="shared" si="5"/>
        <v>#ERROR!</v>
      </c>
    </row>
    <row r="2358" ht="12.75" customHeight="1">
      <c r="A2358" s="244" t="s">
        <v>5158</v>
      </c>
      <c r="B2358" s="244" t="s">
        <v>231</v>
      </c>
      <c r="C2358" s="244" t="s">
        <v>12489</v>
      </c>
      <c r="D2358" s="154" t="s">
        <v>1315</v>
      </c>
      <c r="E2358" s="154"/>
      <c r="F2358" s="154" t="str">
        <f t="array" ref="F2358">XLOOKUP(Cover!$D$12,$R$1:$Z$1,$R2358:$Z2358)</f>
        <v>Mandatory</v>
      </c>
      <c r="G2358" s="154" t="s">
        <v>12490</v>
      </c>
      <c r="H2358" s="154" t="s">
        <v>9012</v>
      </c>
      <c r="I2358" s="154" t="s">
        <v>12486</v>
      </c>
      <c r="J2358" s="154" t="s">
        <v>6998</v>
      </c>
      <c r="K2358" s="154" t="s">
        <v>12282</v>
      </c>
      <c r="L2358" s="154" t="s">
        <v>6022</v>
      </c>
      <c r="M2358" s="154" t="s">
        <v>175</v>
      </c>
      <c r="N2358" s="154" t="s">
        <v>759</v>
      </c>
      <c r="O2358" s="247" t="s">
        <v>516</v>
      </c>
      <c r="P2358" s="247" t="s">
        <v>6776</v>
      </c>
      <c r="Q2358" s="154" t="str">
        <f t="shared" si="1"/>
        <v>#ERROR!</v>
      </c>
      <c r="R2358" s="154" t="s">
        <v>66</v>
      </c>
      <c r="S2358" s="154" t="s">
        <v>66</v>
      </c>
      <c r="T2358" s="155" t="s">
        <v>64</v>
      </c>
      <c r="U2358" s="155" t="s">
        <v>64</v>
      </c>
      <c r="V2358" s="154" t="s">
        <v>60</v>
      </c>
      <c r="W2358" s="154" t="s">
        <v>60</v>
      </c>
      <c r="X2358" s="154" t="s">
        <v>66</v>
      </c>
      <c r="Y2358" s="155" t="s">
        <v>64</v>
      </c>
      <c r="Z2358" s="154" t="s">
        <v>60</v>
      </c>
      <c r="AA2358" s="154"/>
      <c r="AB2358" s="242" t="str">
        <f t="shared" si="2"/>
        <v>#ERROR!</v>
      </c>
      <c r="AC2358" s="154" t="s">
        <v>391</v>
      </c>
      <c r="AD2358" s="242" t="b">
        <f t="shared" si="3"/>
        <v>0</v>
      </c>
      <c r="AE2358" s="154"/>
      <c r="AF2358" s="242" t="str">
        <f t="shared" si="4"/>
        <v>#ERROR!</v>
      </c>
      <c r="AG2358" s="154"/>
      <c r="AH2358" s="242" t="str">
        <f>IF(AG2358="","N/A",INDIRECT("MTR!"&amp;ADDRESS(MATCH(LEFT(AG2358,9),[1]MTR!C:C,0),COLUMN(J2358)),TRUE) &amp; "")</f>
        <v>#ERROR!</v>
      </c>
      <c r="AI2358" s="157" t="str">
        <f t="shared" si="5"/>
        <v>#ERROR!</v>
      </c>
    </row>
    <row r="2359" ht="12.75" customHeight="1">
      <c r="A2359" s="244" t="s">
        <v>5158</v>
      </c>
      <c r="B2359" s="244" t="s">
        <v>231</v>
      </c>
      <c r="C2359" s="244" t="s">
        <v>12491</v>
      </c>
      <c r="D2359" s="154" t="s">
        <v>1069</v>
      </c>
      <c r="E2359" s="154"/>
      <c r="F2359" s="154" t="str">
        <f t="array" ref="F2359">XLOOKUP(Cover!$D$12,$R$1:$Z$1,$R2359:$Z2359)</f>
        <v>Mandatory</v>
      </c>
      <c r="G2359" s="154" t="s">
        <v>12492</v>
      </c>
      <c r="H2359" s="154" t="s">
        <v>9006</v>
      </c>
      <c r="I2359" s="154" t="s">
        <v>12493</v>
      </c>
      <c r="J2359" s="154" t="s">
        <v>7006</v>
      </c>
      <c r="K2359" s="154" t="s">
        <v>12282</v>
      </c>
      <c r="L2359" s="154" t="s">
        <v>5927</v>
      </c>
      <c r="M2359" s="154" t="s">
        <v>175</v>
      </c>
      <c r="N2359" s="154" t="s">
        <v>759</v>
      </c>
      <c r="O2359" s="247" t="s">
        <v>516</v>
      </c>
      <c r="P2359" s="247" t="s">
        <v>6776</v>
      </c>
      <c r="Q2359" s="154" t="str">
        <f t="shared" si="1"/>
        <v>#ERROR!</v>
      </c>
      <c r="R2359" s="154" t="s">
        <v>66</v>
      </c>
      <c r="S2359" s="154" t="s">
        <v>66</v>
      </c>
      <c r="T2359" s="155" t="s">
        <v>64</v>
      </c>
      <c r="U2359" s="155" t="s">
        <v>64</v>
      </c>
      <c r="V2359" s="154" t="s">
        <v>60</v>
      </c>
      <c r="W2359" s="154" t="s">
        <v>60</v>
      </c>
      <c r="X2359" s="154" t="s">
        <v>66</v>
      </c>
      <c r="Y2359" s="155" t="s">
        <v>64</v>
      </c>
      <c r="Z2359" s="154" t="s">
        <v>60</v>
      </c>
      <c r="AA2359" s="154"/>
      <c r="AB2359" s="242" t="str">
        <f t="shared" si="2"/>
        <v>#ERROR!</v>
      </c>
      <c r="AC2359" s="154" t="s">
        <v>391</v>
      </c>
      <c r="AD2359" s="242" t="b">
        <f t="shared" si="3"/>
        <v>0</v>
      </c>
      <c r="AE2359" s="154"/>
      <c r="AF2359" s="242" t="str">
        <f t="shared" si="4"/>
        <v>#ERROR!</v>
      </c>
      <c r="AG2359" s="154"/>
      <c r="AH2359" s="242" t="str">
        <f>IF(AG2359="","N/A",INDIRECT("MTR!"&amp;ADDRESS(MATCH(LEFT(AG2359,9),[1]MTR!C:C,0),COLUMN(J2359)),TRUE) &amp; "")</f>
        <v>#ERROR!</v>
      </c>
      <c r="AI2359" s="157" t="str">
        <f t="shared" si="5"/>
        <v>#ERROR!</v>
      </c>
    </row>
    <row r="2360" ht="12.75" customHeight="1">
      <c r="A2360" s="244" t="s">
        <v>5158</v>
      </c>
      <c r="B2360" s="244" t="s">
        <v>231</v>
      </c>
      <c r="C2360" s="244" t="s">
        <v>12494</v>
      </c>
      <c r="D2360" s="154" t="s">
        <v>1069</v>
      </c>
      <c r="E2360" s="154"/>
      <c r="F2360" s="154" t="str">
        <f t="array" ref="F2360">XLOOKUP(Cover!$D$12,$R$1:$Z$1,$R2360:$Z2360)</f>
        <v>Recommended</v>
      </c>
      <c r="G2360" s="154" t="s">
        <v>12495</v>
      </c>
      <c r="H2360" s="154" t="s">
        <v>9009</v>
      </c>
      <c r="I2360" s="154" t="s">
        <v>12493</v>
      </c>
      <c r="J2360" s="154" t="s">
        <v>7006</v>
      </c>
      <c r="K2360" s="154" t="s">
        <v>12282</v>
      </c>
      <c r="L2360" s="154" t="s">
        <v>5927</v>
      </c>
      <c r="M2360" s="154"/>
      <c r="N2360" s="154" t="s">
        <v>759</v>
      </c>
      <c r="O2360" s="247" t="s">
        <v>516</v>
      </c>
      <c r="P2360" s="247" t="s">
        <v>6776</v>
      </c>
      <c r="Q2360" s="154" t="str">
        <f t="shared" si="1"/>
        <v>#ERROR!</v>
      </c>
      <c r="R2360" s="154" t="s">
        <v>66</v>
      </c>
      <c r="S2360" s="154" t="s">
        <v>66</v>
      </c>
      <c r="T2360" s="154" t="s">
        <v>64</v>
      </c>
      <c r="U2360" s="154" t="s">
        <v>64</v>
      </c>
      <c r="V2360" s="154" t="s">
        <v>64</v>
      </c>
      <c r="W2360" s="154" t="s">
        <v>64</v>
      </c>
      <c r="X2360" s="154" t="s">
        <v>66</v>
      </c>
      <c r="Y2360" s="154" t="s">
        <v>64</v>
      </c>
      <c r="Z2360" s="154" t="s">
        <v>64</v>
      </c>
      <c r="AA2360" s="154"/>
      <c r="AB2360" s="242" t="str">
        <f t="shared" si="2"/>
        <v>#ERROR!</v>
      </c>
      <c r="AC2360" s="154" t="s">
        <v>391</v>
      </c>
      <c r="AD2360" s="242" t="b">
        <f t="shared" si="3"/>
        <v>0</v>
      </c>
      <c r="AE2360" s="154"/>
      <c r="AF2360" s="242" t="str">
        <f t="shared" si="4"/>
        <v>#ERROR!</v>
      </c>
      <c r="AG2360" s="154"/>
      <c r="AH2360" s="242" t="str">
        <f>IF(AG2360="","N/A",INDIRECT("MTR!"&amp;ADDRESS(MATCH(LEFT(AG2360,9),[1]MTR!C:C,0),COLUMN(J2360)),TRUE) &amp; "")</f>
        <v>#ERROR!</v>
      </c>
      <c r="AI2360" s="157" t="str">
        <f t="shared" si="5"/>
        <v>#ERROR!</v>
      </c>
    </row>
    <row r="2361" ht="12.75" customHeight="1">
      <c r="A2361" s="244" t="s">
        <v>5158</v>
      </c>
      <c r="B2361" s="244" t="s">
        <v>231</v>
      </c>
      <c r="C2361" s="244" t="s">
        <v>12496</v>
      </c>
      <c r="D2361" s="154" t="s">
        <v>1069</v>
      </c>
      <c r="E2361" s="154"/>
      <c r="F2361" s="154" t="str">
        <f t="array" ref="F2361">XLOOKUP(Cover!$D$12,$R$1:$Z$1,$R2361:$Z2361)</f>
        <v>Mandatory</v>
      </c>
      <c r="G2361" s="154" t="s">
        <v>12497</v>
      </c>
      <c r="H2361" s="154" t="s">
        <v>9015</v>
      </c>
      <c r="I2361" s="154" t="s">
        <v>12493</v>
      </c>
      <c r="J2361" s="154" t="s">
        <v>7006</v>
      </c>
      <c r="K2361" s="154" t="s">
        <v>12282</v>
      </c>
      <c r="L2361" s="154" t="s">
        <v>5927</v>
      </c>
      <c r="M2361" s="154" t="s">
        <v>175</v>
      </c>
      <c r="N2361" s="154" t="s">
        <v>759</v>
      </c>
      <c r="O2361" s="247" t="s">
        <v>516</v>
      </c>
      <c r="P2361" s="247" t="s">
        <v>6776</v>
      </c>
      <c r="Q2361" s="154" t="str">
        <f t="shared" si="1"/>
        <v>#ERROR!</v>
      </c>
      <c r="R2361" s="154" t="s">
        <v>66</v>
      </c>
      <c r="S2361" s="154" t="s">
        <v>66</v>
      </c>
      <c r="T2361" s="155" t="s">
        <v>64</v>
      </c>
      <c r="U2361" s="155" t="s">
        <v>64</v>
      </c>
      <c r="V2361" s="154" t="s">
        <v>60</v>
      </c>
      <c r="W2361" s="154" t="s">
        <v>60</v>
      </c>
      <c r="X2361" s="154" t="s">
        <v>66</v>
      </c>
      <c r="Y2361" s="155" t="s">
        <v>64</v>
      </c>
      <c r="Z2361" s="154" t="s">
        <v>60</v>
      </c>
      <c r="AA2361" s="154"/>
      <c r="AB2361" s="242" t="str">
        <f t="shared" si="2"/>
        <v>#ERROR!</v>
      </c>
      <c r="AC2361" s="154" t="s">
        <v>391</v>
      </c>
      <c r="AD2361" s="242" t="b">
        <f t="shared" si="3"/>
        <v>0</v>
      </c>
      <c r="AE2361" s="154"/>
      <c r="AF2361" s="242" t="str">
        <f t="shared" si="4"/>
        <v>#ERROR!</v>
      </c>
      <c r="AG2361" s="154"/>
      <c r="AH2361" s="242" t="str">
        <f>IF(AG2361="","N/A",INDIRECT("MTR!"&amp;ADDRESS(MATCH(LEFT(AG2361,9),[1]MTR!C:C,0),COLUMN(J2361)),TRUE) &amp; "")</f>
        <v>#ERROR!</v>
      </c>
      <c r="AI2361" s="157" t="str">
        <f t="shared" si="5"/>
        <v>#ERROR!</v>
      </c>
    </row>
    <row r="2362" ht="12.75" customHeight="1">
      <c r="A2362" s="244" t="s">
        <v>5158</v>
      </c>
      <c r="B2362" s="244" t="s">
        <v>231</v>
      </c>
      <c r="C2362" s="244" t="s">
        <v>12498</v>
      </c>
      <c r="D2362" s="154" t="s">
        <v>503</v>
      </c>
      <c r="E2362" s="154"/>
      <c r="F2362" s="154" t="str">
        <f t="array" ref="F2362">XLOOKUP(Cover!$D$12,$R$1:$Z$1,$R2362:$Z2362)</f>
        <v>Mandatory</v>
      </c>
      <c r="G2362" s="154" t="s">
        <v>12499</v>
      </c>
      <c r="H2362" s="154" t="s">
        <v>9006</v>
      </c>
      <c r="I2362" s="154" t="s">
        <v>12500</v>
      </c>
      <c r="J2362" s="154" t="s">
        <v>7014</v>
      </c>
      <c r="K2362" s="154" t="s">
        <v>12282</v>
      </c>
      <c r="L2362" s="154" t="s">
        <v>6463</v>
      </c>
      <c r="M2362" s="154" t="s">
        <v>175</v>
      </c>
      <c r="N2362" s="154" t="s">
        <v>759</v>
      </c>
      <c r="O2362" s="247" t="s">
        <v>516</v>
      </c>
      <c r="P2362" s="247" t="s">
        <v>6776</v>
      </c>
      <c r="Q2362" s="154" t="str">
        <f t="shared" si="1"/>
        <v>#ERROR!</v>
      </c>
      <c r="R2362" s="154" t="s">
        <v>66</v>
      </c>
      <c r="S2362" s="154" t="s">
        <v>66</v>
      </c>
      <c r="T2362" s="155" t="s">
        <v>64</v>
      </c>
      <c r="U2362" s="155" t="s">
        <v>64</v>
      </c>
      <c r="V2362" s="154" t="s">
        <v>60</v>
      </c>
      <c r="W2362" s="154" t="s">
        <v>60</v>
      </c>
      <c r="X2362" s="154" t="s">
        <v>66</v>
      </c>
      <c r="Y2362" s="155" t="s">
        <v>64</v>
      </c>
      <c r="Z2362" s="154" t="s">
        <v>60</v>
      </c>
      <c r="AA2362" s="154"/>
      <c r="AB2362" s="242" t="str">
        <f t="shared" si="2"/>
        <v>#ERROR!</v>
      </c>
      <c r="AC2362" s="154" t="s">
        <v>391</v>
      </c>
      <c r="AD2362" s="242" t="b">
        <f t="shared" si="3"/>
        <v>0</v>
      </c>
      <c r="AE2362" s="154"/>
      <c r="AF2362" s="242" t="str">
        <f t="shared" si="4"/>
        <v>#ERROR!</v>
      </c>
      <c r="AG2362" s="154"/>
      <c r="AH2362" s="242" t="str">
        <f>IF(AG2362="","N/A",INDIRECT("MTR!"&amp;ADDRESS(MATCH(LEFT(AG2362,9),[1]MTR!C:C,0),COLUMN(J2362)),TRUE) &amp; "")</f>
        <v>#ERROR!</v>
      </c>
      <c r="AI2362" s="157" t="str">
        <f t="shared" si="5"/>
        <v>#ERROR!</v>
      </c>
    </row>
    <row r="2363" ht="12.75" customHeight="1">
      <c r="A2363" s="244" t="s">
        <v>5158</v>
      </c>
      <c r="B2363" s="244" t="s">
        <v>231</v>
      </c>
      <c r="C2363" s="244" t="s">
        <v>12501</v>
      </c>
      <c r="D2363" s="154" t="s">
        <v>503</v>
      </c>
      <c r="E2363" s="154"/>
      <c r="F2363" s="154" t="str">
        <f t="array" ref="F2363">XLOOKUP(Cover!$D$12,$R$1:$Z$1,$R2363:$Z2363)</f>
        <v>Recommended</v>
      </c>
      <c r="G2363" s="154" t="s">
        <v>12502</v>
      </c>
      <c r="H2363" s="154" t="s">
        <v>9009</v>
      </c>
      <c r="I2363" s="154" t="s">
        <v>12500</v>
      </c>
      <c r="J2363" s="154" t="s">
        <v>7014</v>
      </c>
      <c r="K2363" s="154" t="s">
        <v>12282</v>
      </c>
      <c r="L2363" s="154" t="s">
        <v>6463</v>
      </c>
      <c r="M2363" s="154"/>
      <c r="N2363" s="154" t="s">
        <v>759</v>
      </c>
      <c r="O2363" s="247" t="s">
        <v>516</v>
      </c>
      <c r="P2363" s="247" t="s">
        <v>6776</v>
      </c>
      <c r="Q2363" s="154" t="str">
        <f t="shared" si="1"/>
        <v>#ERROR!</v>
      </c>
      <c r="R2363" s="154" t="s">
        <v>66</v>
      </c>
      <c r="S2363" s="154" t="s">
        <v>66</v>
      </c>
      <c r="T2363" s="154" t="s">
        <v>64</v>
      </c>
      <c r="U2363" s="154" t="s">
        <v>64</v>
      </c>
      <c r="V2363" s="154" t="s">
        <v>64</v>
      </c>
      <c r="W2363" s="154" t="s">
        <v>64</v>
      </c>
      <c r="X2363" s="154" t="s">
        <v>66</v>
      </c>
      <c r="Y2363" s="154" t="s">
        <v>64</v>
      </c>
      <c r="Z2363" s="154" t="s">
        <v>64</v>
      </c>
      <c r="AA2363" s="154"/>
      <c r="AB2363" s="242" t="str">
        <f t="shared" si="2"/>
        <v>#ERROR!</v>
      </c>
      <c r="AC2363" s="154" t="s">
        <v>391</v>
      </c>
      <c r="AD2363" s="242" t="b">
        <f t="shared" si="3"/>
        <v>0</v>
      </c>
      <c r="AE2363" s="154"/>
      <c r="AF2363" s="242" t="str">
        <f t="shared" si="4"/>
        <v>#ERROR!</v>
      </c>
      <c r="AG2363" s="154"/>
      <c r="AH2363" s="242" t="str">
        <f>IF(AG2363="","N/A",INDIRECT("MTR!"&amp;ADDRESS(MATCH(LEFT(AG2363,9),[1]MTR!C:C,0),COLUMN(J2363)),TRUE) &amp; "")</f>
        <v>#ERROR!</v>
      </c>
      <c r="AI2363" s="157" t="str">
        <f t="shared" si="5"/>
        <v>#ERROR!</v>
      </c>
    </row>
    <row r="2364" ht="12.75" customHeight="1">
      <c r="A2364" s="244" t="s">
        <v>5158</v>
      </c>
      <c r="B2364" s="244" t="s">
        <v>231</v>
      </c>
      <c r="C2364" s="244" t="s">
        <v>12503</v>
      </c>
      <c r="D2364" s="154" t="s">
        <v>503</v>
      </c>
      <c r="E2364" s="154"/>
      <c r="F2364" s="154" t="str">
        <f t="array" ref="F2364">XLOOKUP(Cover!$D$12,$R$1:$Z$1,$R2364:$Z2364)</f>
        <v>Mandatory</v>
      </c>
      <c r="G2364" s="154" t="s">
        <v>12504</v>
      </c>
      <c r="H2364" s="154" t="s">
        <v>1541</v>
      </c>
      <c r="I2364" s="154" t="s">
        <v>12500</v>
      </c>
      <c r="J2364" s="154" t="s">
        <v>7014</v>
      </c>
      <c r="K2364" s="154" t="s">
        <v>12282</v>
      </c>
      <c r="L2364" s="154" t="s">
        <v>6463</v>
      </c>
      <c r="M2364" s="154" t="s">
        <v>175</v>
      </c>
      <c r="N2364" s="154" t="s">
        <v>759</v>
      </c>
      <c r="O2364" s="247" t="s">
        <v>516</v>
      </c>
      <c r="P2364" s="247" t="s">
        <v>6776</v>
      </c>
      <c r="Q2364" s="154" t="str">
        <f t="shared" si="1"/>
        <v>#ERROR!</v>
      </c>
      <c r="R2364" s="154" t="s">
        <v>66</v>
      </c>
      <c r="S2364" s="154" t="s">
        <v>66</v>
      </c>
      <c r="T2364" s="155" t="s">
        <v>64</v>
      </c>
      <c r="U2364" s="155" t="s">
        <v>64</v>
      </c>
      <c r="V2364" s="154" t="s">
        <v>60</v>
      </c>
      <c r="W2364" s="154" t="s">
        <v>60</v>
      </c>
      <c r="X2364" s="154" t="s">
        <v>66</v>
      </c>
      <c r="Y2364" s="155" t="s">
        <v>64</v>
      </c>
      <c r="Z2364" s="154" t="s">
        <v>60</v>
      </c>
      <c r="AA2364" s="154"/>
      <c r="AB2364" s="242" t="str">
        <f t="shared" si="2"/>
        <v>#ERROR!</v>
      </c>
      <c r="AC2364" s="154" t="s">
        <v>391</v>
      </c>
      <c r="AD2364" s="242" t="b">
        <f t="shared" si="3"/>
        <v>0</v>
      </c>
      <c r="AE2364" s="154"/>
      <c r="AF2364" s="242" t="str">
        <f t="shared" si="4"/>
        <v>#ERROR!</v>
      </c>
      <c r="AG2364" s="154"/>
      <c r="AH2364" s="242" t="str">
        <f>IF(AG2364="","N/A",INDIRECT("MTR!"&amp;ADDRESS(MATCH(LEFT(AG2364,9),[1]MTR!C:C,0),COLUMN(J2364)),TRUE) &amp; "")</f>
        <v>#ERROR!</v>
      </c>
      <c r="AI2364" s="157" t="str">
        <f t="shared" si="5"/>
        <v>#ERROR!</v>
      </c>
    </row>
    <row r="2365" ht="12.75" customHeight="1">
      <c r="A2365" s="244" t="s">
        <v>5158</v>
      </c>
      <c r="B2365" s="244" t="s">
        <v>231</v>
      </c>
      <c r="C2365" s="244" t="s">
        <v>12505</v>
      </c>
      <c r="D2365" s="154" t="s">
        <v>503</v>
      </c>
      <c r="E2365" s="154"/>
      <c r="F2365" s="154" t="str">
        <f t="array" ref="F2365">XLOOKUP(Cover!$D$12,$R$1:$Z$1,$R2365:$Z2365)</f>
        <v>Information</v>
      </c>
      <c r="G2365" s="154" t="s">
        <v>12506</v>
      </c>
      <c r="H2365" s="154" t="s">
        <v>9009</v>
      </c>
      <c r="I2365" s="154" t="s">
        <v>12507</v>
      </c>
      <c r="J2365" s="154" t="s">
        <v>7592</v>
      </c>
      <c r="K2365" s="154" t="s">
        <v>12282</v>
      </c>
      <c r="L2365" s="154" t="s">
        <v>7431</v>
      </c>
      <c r="M2365" s="154"/>
      <c r="N2365" s="154" t="s">
        <v>759</v>
      </c>
      <c r="O2365" s="247" t="s">
        <v>516</v>
      </c>
      <c r="P2365" s="247" t="s">
        <v>6776</v>
      </c>
      <c r="Q2365" s="154" t="str">
        <f t="shared" si="1"/>
        <v>#ERROR!</v>
      </c>
      <c r="R2365" s="154" t="s">
        <v>66</v>
      </c>
      <c r="S2365" s="154" t="s">
        <v>66</v>
      </c>
      <c r="T2365" s="154" t="s">
        <v>66</v>
      </c>
      <c r="U2365" s="154" t="s">
        <v>66</v>
      </c>
      <c r="V2365" s="154" t="s">
        <v>66</v>
      </c>
      <c r="W2365" s="154" t="s">
        <v>66</v>
      </c>
      <c r="X2365" s="154" t="s">
        <v>66</v>
      </c>
      <c r="Y2365" s="154" t="s">
        <v>66</v>
      </c>
      <c r="Z2365" s="154" t="s">
        <v>66</v>
      </c>
      <c r="AA2365" s="154"/>
      <c r="AB2365" s="242" t="str">
        <f t="shared" si="2"/>
        <v>#ERROR!</v>
      </c>
      <c r="AC2365" s="154" t="s">
        <v>391</v>
      </c>
      <c r="AD2365" s="242" t="b">
        <f t="shared" si="3"/>
        <v>0</v>
      </c>
      <c r="AE2365" s="154"/>
      <c r="AF2365" s="242" t="str">
        <f t="shared" si="4"/>
        <v>#ERROR!</v>
      </c>
      <c r="AG2365" s="154"/>
      <c r="AH2365" s="242" t="str">
        <f>IF(AG2365="","N/A",INDIRECT("MTR!"&amp;ADDRESS(MATCH(LEFT(AG2365,9),[1]MTR!C:C,0),COLUMN(J2365)),TRUE) &amp; "")</f>
        <v>#ERROR!</v>
      </c>
      <c r="AI2365" s="157" t="str">
        <f t="shared" si="5"/>
        <v>#ERROR!</v>
      </c>
    </row>
    <row r="2366" ht="12.75" customHeight="1">
      <c r="A2366" s="244" t="s">
        <v>5158</v>
      </c>
      <c r="B2366" s="244" t="s">
        <v>231</v>
      </c>
      <c r="C2366" s="244" t="s">
        <v>12508</v>
      </c>
      <c r="D2366" s="154" t="s">
        <v>503</v>
      </c>
      <c r="E2366" s="154"/>
      <c r="F2366" s="154" t="str">
        <f t="array" ref="F2366">XLOOKUP(Cover!$D$12,$R$1:$Z$1,$R2366:$Z2366)</f>
        <v>Information</v>
      </c>
      <c r="G2366" s="154" t="s">
        <v>12509</v>
      </c>
      <c r="H2366" s="154" t="s">
        <v>9084</v>
      </c>
      <c r="I2366" s="154" t="s">
        <v>12507</v>
      </c>
      <c r="J2366" s="154" t="s">
        <v>7592</v>
      </c>
      <c r="K2366" s="154" t="s">
        <v>12282</v>
      </c>
      <c r="L2366" s="154" t="s">
        <v>7431</v>
      </c>
      <c r="M2366" s="154"/>
      <c r="N2366" s="154" t="s">
        <v>759</v>
      </c>
      <c r="O2366" s="247" t="s">
        <v>516</v>
      </c>
      <c r="P2366" s="247" t="s">
        <v>6776</v>
      </c>
      <c r="Q2366" s="154" t="str">
        <f t="shared" si="1"/>
        <v>#ERROR!</v>
      </c>
      <c r="R2366" s="154" t="s">
        <v>66</v>
      </c>
      <c r="S2366" s="154" t="s">
        <v>66</v>
      </c>
      <c r="T2366" s="154" t="s">
        <v>66</v>
      </c>
      <c r="U2366" s="154" t="s">
        <v>66</v>
      </c>
      <c r="V2366" s="154" t="s">
        <v>66</v>
      </c>
      <c r="W2366" s="154" t="s">
        <v>66</v>
      </c>
      <c r="X2366" s="154" t="s">
        <v>66</v>
      </c>
      <c r="Y2366" s="154" t="s">
        <v>66</v>
      </c>
      <c r="Z2366" s="154" t="s">
        <v>66</v>
      </c>
      <c r="AA2366" s="154"/>
      <c r="AB2366" s="242" t="str">
        <f t="shared" si="2"/>
        <v>#ERROR!</v>
      </c>
      <c r="AC2366" s="154" t="s">
        <v>391</v>
      </c>
      <c r="AD2366" s="242" t="b">
        <f t="shared" si="3"/>
        <v>0</v>
      </c>
      <c r="AE2366" s="154"/>
      <c r="AF2366" s="242" t="str">
        <f t="shared" si="4"/>
        <v>#ERROR!</v>
      </c>
      <c r="AG2366" s="154"/>
      <c r="AH2366" s="242" t="str">
        <f>IF(AG2366="","N/A",INDIRECT("MTR!"&amp;ADDRESS(MATCH(LEFT(AG2366,9),[1]MTR!C:C,0),COLUMN(J2366)),TRUE) &amp; "")</f>
        <v>#ERROR!</v>
      </c>
      <c r="AI2366" s="157" t="str">
        <f t="shared" si="5"/>
        <v>#ERROR!</v>
      </c>
    </row>
    <row r="2367" ht="12.75" customHeight="1">
      <c r="A2367" s="244" t="s">
        <v>5158</v>
      </c>
      <c r="B2367" s="244" t="s">
        <v>231</v>
      </c>
      <c r="C2367" s="244" t="s">
        <v>12510</v>
      </c>
      <c r="D2367" s="154" t="s">
        <v>503</v>
      </c>
      <c r="E2367" s="154"/>
      <c r="F2367" s="154" t="str">
        <f t="array" ref="F2367">XLOOKUP(Cover!$D$12,$R$1:$Z$1,$R2367:$Z2367)</f>
        <v>Information</v>
      </c>
      <c r="G2367" s="154" t="s">
        <v>12511</v>
      </c>
      <c r="H2367" s="154" t="s">
        <v>1541</v>
      </c>
      <c r="I2367" s="154" t="s">
        <v>12507</v>
      </c>
      <c r="J2367" s="154" t="s">
        <v>7592</v>
      </c>
      <c r="K2367" s="154" t="s">
        <v>12282</v>
      </c>
      <c r="L2367" s="154" t="s">
        <v>7431</v>
      </c>
      <c r="M2367" s="154"/>
      <c r="N2367" s="154" t="s">
        <v>759</v>
      </c>
      <c r="O2367" s="247" t="s">
        <v>516</v>
      </c>
      <c r="P2367" s="247" t="s">
        <v>6776</v>
      </c>
      <c r="Q2367" s="154" t="str">
        <f t="shared" si="1"/>
        <v>#ERROR!</v>
      </c>
      <c r="R2367" s="154" t="s">
        <v>66</v>
      </c>
      <c r="S2367" s="154" t="s">
        <v>66</v>
      </c>
      <c r="T2367" s="154" t="s">
        <v>66</v>
      </c>
      <c r="U2367" s="154" t="s">
        <v>66</v>
      </c>
      <c r="V2367" s="154" t="s">
        <v>66</v>
      </c>
      <c r="W2367" s="154" t="s">
        <v>66</v>
      </c>
      <c r="X2367" s="154" t="s">
        <v>66</v>
      </c>
      <c r="Y2367" s="154" t="s">
        <v>66</v>
      </c>
      <c r="Z2367" s="154" t="s">
        <v>66</v>
      </c>
      <c r="AA2367" s="154"/>
      <c r="AB2367" s="242" t="str">
        <f t="shared" si="2"/>
        <v>#ERROR!</v>
      </c>
      <c r="AC2367" s="154" t="s">
        <v>391</v>
      </c>
      <c r="AD2367" s="242" t="b">
        <f t="shared" si="3"/>
        <v>0</v>
      </c>
      <c r="AE2367" s="154"/>
      <c r="AF2367" s="242" t="str">
        <f t="shared" si="4"/>
        <v>#ERROR!</v>
      </c>
      <c r="AG2367" s="154"/>
      <c r="AH2367" s="242" t="str">
        <f>IF(AG2367="","N/A",INDIRECT("MTR!"&amp;ADDRESS(MATCH(LEFT(AG2367,9),[1]MTR!C:C,0),COLUMN(J2367)),TRUE) &amp; "")</f>
        <v>#ERROR!</v>
      </c>
      <c r="AI2367" s="157" t="str">
        <f t="shared" si="5"/>
        <v>#ERROR!</v>
      </c>
    </row>
    <row r="2368" ht="12.75" customHeight="1">
      <c r="A2368" s="244" t="s">
        <v>5158</v>
      </c>
      <c r="B2368" s="244" t="s">
        <v>231</v>
      </c>
      <c r="C2368" s="244" t="s">
        <v>12512</v>
      </c>
      <c r="D2368" s="154" t="s">
        <v>503</v>
      </c>
      <c r="E2368" s="154"/>
      <c r="F2368" s="154" t="str">
        <f t="array" ref="F2368">XLOOKUP(Cover!$D$12,$R$1:$Z$1,$R2368:$Z2368)</f>
        <v>Information</v>
      </c>
      <c r="G2368" s="154" t="s">
        <v>12506</v>
      </c>
      <c r="H2368" s="154" t="s">
        <v>9009</v>
      </c>
      <c r="I2368" s="154" t="s">
        <v>12507</v>
      </c>
      <c r="J2368" s="154" t="s">
        <v>7592</v>
      </c>
      <c r="K2368" s="154" t="s">
        <v>12282</v>
      </c>
      <c r="L2368" s="154" t="s">
        <v>7431</v>
      </c>
      <c r="M2368" s="154"/>
      <c r="N2368" s="154" t="s">
        <v>759</v>
      </c>
      <c r="O2368" s="247" t="s">
        <v>516</v>
      </c>
      <c r="P2368" s="247" t="s">
        <v>6776</v>
      </c>
      <c r="Q2368" s="154" t="str">
        <f t="shared" si="1"/>
        <v>#ERROR!</v>
      </c>
      <c r="R2368" s="154" t="s">
        <v>66</v>
      </c>
      <c r="S2368" s="154" t="s">
        <v>66</v>
      </c>
      <c r="T2368" s="154" t="s">
        <v>66</v>
      </c>
      <c r="U2368" s="154" t="s">
        <v>66</v>
      </c>
      <c r="V2368" s="154" t="s">
        <v>66</v>
      </c>
      <c r="W2368" s="154" t="s">
        <v>66</v>
      </c>
      <c r="X2368" s="154" t="s">
        <v>66</v>
      </c>
      <c r="Y2368" s="154" t="s">
        <v>66</v>
      </c>
      <c r="Z2368" s="154" t="s">
        <v>66</v>
      </c>
      <c r="AA2368" s="154"/>
      <c r="AB2368" s="242" t="str">
        <f t="shared" si="2"/>
        <v>#ERROR!</v>
      </c>
      <c r="AC2368" s="154" t="s">
        <v>391</v>
      </c>
      <c r="AD2368" s="242" t="b">
        <f t="shared" si="3"/>
        <v>0</v>
      </c>
      <c r="AE2368" s="154"/>
      <c r="AF2368" s="242" t="str">
        <f t="shared" si="4"/>
        <v>#ERROR!</v>
      </c>
      <c r="AG2368" s="154"/>
      <c r="AH2368" s="242" t="str">
        <f>IF(AG2368="","N/A",INDIRECT("MTR!"&amp;ADDRESS(MATCH(LEFT(AG2368,9),[1]MTR!C:C,0),COLUMN(J2368)),TRUE) &amp; "")</f>
        <v>#ERROR!</v>
      </c>
      <c r="AI2368" s="157" t="str">
        <f t="shared" si="5"/>
        <v>#ERROR!</v>
      </c>
    </row>
    <row r="2369" ht="12.75" customHeight="1">
      <c r="A2369" s="244" t="s">
        <v>5158</v>
      </c>
      <c r="B2369" s="244" t="s">
        <v>231</v>
      </c>
      <c r="C2369" s="244" t="s">
        <v>12513</v>
      </c>
      <c r="D2369" s="154" t="s">
        <v>503</v>
      </c>
      <c r="E2369" s="154"/>
      <c r="F2369" s="154" t="str">
        <f t="array" ref="F2369">XLOOKUP(Cover!$D$12,$R$1:$Z$1,$R2369:$Z2369)</f>
        <v>Information</v>
      </c>
      <c r="G2369" s="154" t="s">
        <v>12511</v>
      </c>
      <c r="H2369" s="154" t="s">
        <v>1541</v>
      </c>
      <c r="I2369" s="154" t="s">
        <v>12507</v>
      </c>
      <c r="J2369" s="154" t="s">
        <v>7592</v>
      </c>
      <c r="K2369" s="154" t="s">
        <v>12282</v>
      </c>
      <c r="L2369" s="154" t="s">
        <v>7431</v>
      </c>
      <c r="M2369" s="154"/>
      <c r="N2369" s="154" t="s">
        <v>759</v>
      </c>
      <c r="O2369" s="247" t="s">
        <v>516</v>
      </c>
      <c r="P2369" s="247" t="s">
        <v>6776</v>
      </c>
      <c r="Q2369" s="154" t="str">
        <f t="shared" si="1"/>
        <v>#ERROR!</v>
      </c>
      <c r="R2369" s="154" t="s">
        <v>66</v>
      </c>
      <c r="S2369" s="154" t="s">
        <v>66</v>
      </c>
      <c r="T2369" s="154" t="s">
        <v>66</v>
      </c>
      <c r="U2369" s="154" t="s">
        <v>66</v>
      </c>
      <c r="V2369" s="154" t="s">
        <v>66</v>
      </c>
      <c r="W2369" s="154" t="s">
        <v>66</v>
      </c>
      <c r="X2369" s="154" t="s">
        <v>66</v>
      </c>
      <c r="Y2369" s="154" t="s">
        <v>66</v>
      </c>
      <c r="Z2369" s="154" t="s">
        <v>66</v>
      </c>
      <c r="AA2369" s="154"/>
      <c r="AB2369" s="242" t="str">
        <f t="shared" si="2"/>
        <v>#ERROR!</v>
      </c>
      <c r="AC2369" s="154" t="s">
        <v>391</v>
      </c>
      <c r="AD2369" s="242" t="b">
        <f t="shared" si="3"/>
        <v>0</v>
      </c>
      <c r="AE2369" s="154"/>
      <c r="AF2369" s="242" t="str">
        <f t="shared" si="4"/>
        <v>#ERROR!</v>
      </c>
      <c r="AG2369" s="154"/>
      <c r="AH2369" s="242" t="str">
        <f>IF(AG2369="","N/A",INDIRECT("MTR!"&amp;ADDRESS(MATCH(LEFT(AG2369,9),[1]MTR!C:C,0),COLUMN(J2369)),TRUE) &amp; "")</f>
        <v>#ERROR!</v>
      </c>
      <c r="AI2369" s="157" t="str">
        <f t="shared" si="5"/>
        <v>#ERROR!</v>
      </c>
    </row>
    <row r="2370" ht="12.75" customHeight="1">
      <c r="A2370" s="244" t="s">
        <v>5158</v>
      </c>
      <c r="B2370" s="244" t="s">
        <v>231</v>
      </c>
      <c r="C2370" s="244" t="s">
        <v>12514</v>
      </c>
      <c r="D2370" s="154" t="s">
        <v>781</v>
      </c>
      <c r="E2370" s="154"/>
      <c r="F2370" s="154" t="str">
        <f t="array" ref="F2370">XLOOKUP(Cover!$D$12,$R$1:$Z$1,$R2370:$Z2370)</f>
        <v>Mandatory</v>
      </c>
      <c r="G2370" s="154" t="s">
        <v>12515</v>
      </c>
      <c r="H2370" s="154" t="s">
        <v>9002</v>
      </c>
      <c r="I2370" s="154" t="s">
        <v>12516</v>
      </c>
      <c r="J2370" s="154" t="s">
        <v>8128</v>
      </c>
      <c r="K2370" s="154" t="s">
        <v>12282</v>
      </c>
      <c r="L2370" s="154" t="s">
        <v>6140</v>
      </c>
      <c r="M2370" s="154" t="s">
        <v>175</v>
      </c>
      <c r="N2370" s="154" t="s">
        <v>759</v>
      </c>
      <c r="O2370" s="247" t="s">
        <v>516</v>
      </c>
      <c r="P2370" s="247" t="s">
        <v>6776</v>
      </c>
      <c r="Q2370" s="154" t="str">
        <f t="shared" si="1"/>
        <v>#ERROR!</v>
      </c>
      <c r="R2370" s="154" t="s">
        <v>66</v>
      </c>
      <c r="S2370" s="154" t="s">
        <v>66</v>
      </c>
      <c r="T2370" s="155" t="s">
        <v>64</v>
      </c>
      <c r="U2370" s="155" t="s">
        <v>64</v>
      </c>
      <c r="V2370" s="154" t="s">
        <v>60</v>
      </c>
      <c r="W2370" s="154" t="s">
        <v>60</v>
      </c>
      <c r="X2370" s="154" t="s">
        <v>66</v>
      </c>
      <c r="Y2370" s="155" t="s">
        <v>64</v>
      </c>
      <c r="Z2370" s="154" t="s">
        <v>60</v>
      </c>
      <c r="AA2370" s="154"/>
      <c r="AB2370" s="242" t="str">
        <f t="shared" si="2"/>
        <v>#ERROR!</v>
      </c>
      <c r="AC2370" s="154" t="s">
        <v>391</v>
      </c>
      <c r="AD2370" s="242" t="b">
        <f t="shared" si="3"/>
        <v>0</v>
      </c>
      <c r="AE2370" s="154"/>
      <c r="AF2370" s="242" t="str">
        <f t="shared" si="4"/>
        <v>#ERROR!</v>
      </c>
      <c r="AG2370" s="154"/>
      <c r="AH2370" s="242" t="str">
        <f>IF(AG2370="","N/A",INDIRECT("MTR!"&amp;ADDRESS(MATCH(LEFT(AG2370,9),[1]MTR!C:C,0),COLUMN(J2370)),TRUE) &amp; "")</f>
        <v>#ERROR!</v>
      </c>
      <c r="AI2370" s="157" t="str">
        <f t="shared" si="5"/>
        <v>#ERROR!</v>
      </c>
    </row>
    <row r="2371" ht="12.75" customHeight="1">
      <c r="A2371" s="244" t="s">
        <v>5158</v>
      </c>
      <c r="B2371" s="244" t="s">
        <v>231</v>
      </c>
      <c r="C2371" s="244" t="s">
        <v>12517</v>
      </c>
      <c r="D2371" s="154" t="s">
        <v>781</v>
      </c>
      <c r="E2371" s="154"/>
      <c r="F2371" s="154" t="str">
        <f t="array" ref="F2371">XLOOKUP(Cover!$D$12,$R$1:$Z$1,$R2371:$Z2371)</f>
        <v>Mandatory</v>
      </c>
      <c r="G2371" s="154" t="s">
        <v>12518</v>
      </c>
      <c r="H2371" s="154" t="s">
        <v>9006</v>
      </c>
      <c r="I2371" s="154" t="s">
        <v>12516</v>
      </c>
      <c r="J2371" s="154" t="s">
        <v>8128</v>
      </c>
      <c r="K2371" s="154" t="s">
        <v>12282</v>
      </c>
      <c r="L2371" s="154" t="s">
        <v>6140</v>
      </c>
      <c r="M2371" s="154" t="s">
        <v>175</v>
      </c>
      <c r="N2371" s="154" t="s">
        <v>759</v>
      </c>
      <c r="O2371" s="247" t="s">
        <v>516</v>
      </c>
      <c r="P2371" s="247" t="s">
        <v>6776</v>
      </c>
      <c r="Q2371" s="154" t="str">
        <f t="shared" si="1"/>
        <v>#ERROR!</v>
      </c>
      <c r="R2371" s="154" t="s">
        <v>66</v>
      </c>
      <c r="S2371" s="154" t="s">
        <v>66</v>
      </c>
      <c r="T2371" s="155" t="s">
        <v>64</v>
      </c>
      <c r="U2371" s="155" t="s">
        <v>64</v>
      </c>
      <c r="V2371" s="154" t="s">
        <v>60</v>
      </c>
      <c r="W2371" s="154" t="s">
        <v>60</v>
      </c>
      <c r="X2371" s="154" t="s">
        <v>66</v>
      </c>
      <c r="Y2371" s="155" t="s">
        <v>64</v>
      </c>
      <c r="Z2371" s="154" t="s">
        <v>60</v>
      </c>
      <c r="AA2371" s="154"/>
      <c r="AB2371" s="242" t="str">
        <f t="shared" si="2"/>
        <v>#ERROR!</v>
      </c>
      <c r="AC2371" s="154" t="s">
        <v>391</v>
      </c>
      <c r="AD2371" s="242" t="b">
        <f t="shared" si="3"/>
        <v>0</v>
      </c>
      <c r="AE2371" s="154"/>
      <c r="AF2371" s="242" t="str">
        <f t="shared" si="4"/>
        <v>#ERROR!</v>
      </c>
      <c r="AG2371" s="154"/>
      <c r="AH2371" s="242" t="str">
        <f>IF(AG2371="","N/A",INDIRECT("MTR!"&amp;ADDRESS(MATCH(LEFT(AG2371,9),[1]MTR!C:C,0),COLUMN(J2371)),TRUE) &amp; "")</f>
        <v>#ERROR!</v>
      </c>
      <c r="AI2371" s="157" t="str">
        <f t="shared" si="5"/>
        <v>#ERROR!</v>
      </c>
    </row>
    <row r="2372" ht="12.75" customHeight="1">
      <c r="A2372" s="244" t="s">
        <v>5158</v>
      </c>
      <c r="B2372" s="244" t="s">
        <v>231</v>
      </c>
      <c r="C2372" s="244" t="s">
        <v>12519</v>
      </c>
      <c r="D2372" s="154" t="s">
        <v>781</v>
      </c>
      <c r="E2372" s="154"/>
      <c r="F2372" s="154" t="str">
        <f t="array" ref="F2372">XLOOKUP(Cover!$D$12,$R$1:$Z$1,$R2372:$Z2372)</f>
        <v>Mandatory</v>
      </c>
      <c r="G2372" s="154" t="s">
        <v>12520</v>
      </c>
      <c r="H2372" s="154" t="s">
        <v>9053</v>
      </c>
      <c r="I2372" s="154" t="s">
        <v>12516</v>
      </c>
      <c r="J2372" s="154" t="s">
        <v>8128</v>
      </c>
      <c r="K2372" s="154" t="s">
        <v>12282</v>
      </c>
      <c r="L2372" s="154" t="s">
        <v>6140</v>
      </c>
      <c r="M2372" s="154" t="s">
        <v>175</v>
      </c>
      <c r="N2372" s="154" t="s">
        <v>759</v>
      </c>
      <c r="O2372" s="247" t="s">
        <v>516</v>
      </c>
      <c r="P2372" s="247" t="s">
        <v>6776</v>
      </c>
      <c r="Q2372" s="154" t="str">
        <f t="shared" si="1"/>
        <v>#ERROR!</v>
      </c>
      <c r="R2372" s="154" t="s">
        <v>66</v>
      </c>
      <c r="S2372" s="154" t="s">
        <v>66</v>
      </c>
      <c r="T2372" s="155" t="s">
        <v>64</v>
      </c>
      <c r="U2372" s="155" t="s">
        <v>64</v>
      </c>
      <c r="V2372" s="154" t="s">
        <v>60</v>
      </c>
      <c r="W2372" s="154" t="s">
        <v>60</v>
      </c>
      <c r="X2372" s="154" t="s">
        <v>66</v>
      </c>
      <c r="Y2372" s="155" t="s">
        <v>64</v>
      </c>
      <c r="Z2372" s="154" t="s">
        <v>60</v>
      </c>
      <c r="AA2372" s="154"/>
      <c r="AB2372" s="242" t="str">
        <f t="shared" si="2"/>
        <v>#ERROR!</v>
      </c>
      <c r="AC2372" s="154" t="s">
        <v>391</v>
      </c>
      <c r="AD2372" s="242" t="b">
        <f t="shared" si="3"/>
        <v>0</v>
      </c>
      <c r="AE2372" s="154"/>
      <c r="AF2372" s="242" t="str">
        <f t="shared" si="4"/>
        <v>#ERROR!</v>
      </c>
      <c r="AG2372" s="154"/>
      <c r="AH2372" s="242" t="str">
        <f>IF(AG2372="","N/A",INDIRECT("MTR!"&amp;ADDRESS(MATCH(LEFT(AG2372,9),[1]MTR!C:C,0),COLUMN(J2372)),TRUE) &amp; "")</f>
        <v>#ERROR!</v>
      </c>
      <c r="AI2372" s="157" t="str">
        <f t="shared" si="5"/>
        <v>#ERROR!</v>
      </c>
    </row>
    <row r="2373" ht="12.75" customHeight="1">
      <c r="A2373" s="244" t="s">
        <v>5158</v>
      </c>
      <c r="B2373" s="244" t="s">
        <v>231</v>
      </c>
      <c r="C2373" s="244" t="s">
        <v>12521</v>
      </c>
      <c r="D2373" s="154" t="s">
        <v>781</v>
      </c>
      <c r="E2373" s="154"/>
      <c r="F2373" s="154" t="str">
        <f t="array" ref="F2373">XLOOKUP(Cover!$D$12,$R$1:$Z$1,$R2373:$Z2373)</f>
        <v>Recommended</v>
      </c>
      <c r="G2373" s="154" t="s">
        <v>12522</v>
      </c>
      <c r="H2373" s="154" t="s">
        <v>9009</v>
      </c>
      <c r="I2373" s="154" t="s">
        <v>12516</v>
      </c>
      <c r="J2373" s="154" t="s">
        <v>8128</v>
      </c>
      <c r="K2373" s="154" t="s">
        <v>12282</v>
      </c>
      <c r="L2373" s="154" t="s">
        <v>6140</v>
      </c>
      <c r="M2373" s="154"/>
      <c r="N2373" s="154" t="s">
        <v>759</v>
      </c>
      <c r="O2373" s="247" t="s">
        <v>516</v>
      </c>
      <c r="P2373" s="247" t="s">
        <v>6776</v>
      </c>
      <c r="Q2373" s="154" t="str">
        <f t="shared" si="1"/>
        <v>#ERROR!</v>
      </c>
      <c r="R2373" s="154" t="s">
        <v>66</v>
      </c>
      <c r="S2373" s="154" t="s">
        <v>66</v>
      </c>
      <c r="T2373" s="154" t="s">
        <v>64</v>
      </c>
      <c r="U2373" s="154" t="s">
        <v>64</v>
      </c>
      <c r="V2373" s="154" t="s">
        <v>64</v>
      </c>
      <c r="W2373" s="154" t="s">
        <v>64</v>
      </c>
      <c r="X2373" s="154" t="s">
        <v>66</v>
      </c>
      <c r="Y2373" s="154" t="s">
        <v>64</v>
      </c>
      <c r="Z2373" s="154" t="s">
        <v>64</v>
      </c>
      <c r="AA2373" s="154"/>
      <c r="AB2373" s="242" t="str">
        <f t="shared" si="2"/>
        <v>#ERROR!</v>
      </c>
      <c r="AC2373" s="154" t="s">
        <v>391</v>
      </c>
      <c r="AD2373" s="242" t="b">
        <f t="shared" si="3"/>
        <v>0</v>
      </c>
      <c r="AE2373" s="154"/>
      <c r="AF2373" s="242" t="str">
        <f t="shared" si="4"/>
        <v>#ERROR!</v>
      </c>
      <c r="AG2373" s="154"/>
      <c r="AH2373" s="242" t="str">
        <f>IF(AG2373="","N/A",INDIRECT("MTR!"&amp;ADDRESS(MATCH(LEFT(AG2373,9),[1]MTR!C:C,0),COLUMN(J2373)),TRUE) &amp; "")</f>
        <v>#ERROR!</v>
      </c>
      <c r="AI2373" s="157" t="str">
        <f t="shared" si="5"/>
        <v>#ERROR!</v>
      </c>
    </row>
    <row r="2374" ht="12.75" customHeight="1">
      <c r="A2374" s="244" t="s">
        <v>5158</v>
      </c>
      <c r="B2374" s="244" t="s">
        <v>231</v>
      </c>
      <c r="C2374" s="244" t="s">
        <v>12523</v>
      </c>
      <c r="D2374" s="154" t="s">
        <v>45</v>
      </c>
      <c r="E2374" s="154"/>
      <c r="F2374" s="154" t="str">
        <f t="array" ref="F2374">XLOOKUP(Cover!$D$12,$R$1:$Z$1,$R2374:$Z2374)</f>
        <v>Information</v>
      </c>
      <c r="G2374" s="154" t="s">
        <v>12524</v>
      </c>
      <c r="H2374" s="154" t="s">
        <v>9002</v>
      </c>
      <c r="I2374" s="154" t="s">
        <v>12525</v>
      </c>
      <c r="J2374" s="154" t="s">
        <v>9506</v>
      </c>
      <c r="K2374" s="154" t="s">
        <v>12282</v>
      </c>
      <c r="L2374" s="154" t="s">
        <v>6655</v>
      </c>
      <c r="M2374" s="154"/>
      <c r="N2374" s="154" t="s">
        <v>759</v>
      </c>
      <c r="O2374" s="247" t="s">
        <v>516</v>
      </c>
      <c r="P2374" s="247" t="s">
        <v>6776</v>
      </c>
      <c r="Q2374" s="154" t="str">
        <f t="shared" si="1"/>
        <v>#ERROR!</v>
      </c>
      <c r="R2374" s="154" t="s">
        <v>66</v>
      </c>
      <c r="S2374" s="154" t="s">
        <v>66</v>
      </c>
      <c r="T2374" s="154" t="s">
        <v>66</v>
      </c>
      <c r="U2374" s="154" t="s">
        <v>66</v>
      </c>
      <c r="V2374" s="154" t="s">
        <v>66</v>
      </c>
      <c r="W2374" s="154" t="s">
        <v>66</v>
      </c>
      <c r="X2374" s="154" t="s">
        <v>66</v>
      </c>
      <c r="Y2374" s="154" t="s">
        <v>66</v>
      </c>
      <c r="Z2374" s="154" t="s">
        <v>66</v>
      </c>
      <c r="AA2374" s="154"/>
      <c r="AB2374" s="242" t="str">
        <f t="shared" si="2"/>
        <v>#ERROR!</v>
      </c>
      <c r="AC2374" s="154" t="s">
        <v>391</v>
      </c>
      <c r="AD2374" s="242" t="b">
        <f t="shared" si="3"/>
        <v>0</v>
      </c>
      <c r="AE2374" s="154"/>
      <c r="AF2374" s="242" t="str">
        <f t="shared" si="4"/>
        <v>#ERROR!</v>
      </c>
      <c r="AG2374" s="154"/>
      <c r="AH2374" s="242" t="str">
        <f>IF(AG2374="","N/A",INDIRECT("MTR!"&amp;ADDRESS(MATCH(LEFT(AG2374,9),[1]MTR!C:C,0),COLUMN(J2374)),TRUE) &amp; "")</f>
        <v>#ERROR!</v>
      </c>
      <c r="AI2374" s="157" t="str">
        <f t="shared" si="5"/>
        <v>#ERROR!</v>
      </c>
    </row>
    <row r="2375" ht="12.75" customHeight="1">
      <c r="A2375" s="244" t="s">
        <v>5158</v>
      </c>
      <c r="B2375" s="244" t="s">
        <v>231</v>
      </c>
      <c r="C2375" s="244" t="s">
        <v>12526</v>
      </c>
      <c r="D2375" s="154" t="s">
        <v>45</v>
      </c>
      <c r="E2375" s="154"/>
      <c r="F2375" s="154" t="str">
        <f t="array" ref="F2375">XLOOKUP(Cover!$D$12,$R$1:$Z$1,$R2375:$Z2375)</f>
        <v>Information</v>
      </c>
      <c r="G2375" s="154" t="s">
        <v>12527</v>
      </c>
      <c r="H2375" s="154" t="s">
        <v>9006</v>
      </c>
      <c r="I2375" s="154" t="s">
        <v>12525</v>
      </c>
      <c r="J2375" s="154" t="s">
        <v>9506</v>
      </c>
      <c r="K2375" s="154" t="s">
        <v>12282</v>
      </c>
      <c r="L2375" s="154" t="s">
        <v>6655</v>
      </c>
      <c r="M2375" s="154"/>
      <c r="N2375" s="154" t="s">
        <v>759</v>
      </c>
      <c r="O2375" s="247" t="s">
        <v>516</v>
      </c>
      <c r="P2375" s="247" t="s">
        <v>6776</v>
      </c>
      <c r="Q2375" s="154" t="str">
        <f t="shared" si="1"/>
        <v>#ERROR!</v>
      </c>
      <c r="R2375" s="154" t="s">
        <v>66</v>
      </c>
      <c r="S2375" s="154" t="s">
        <v>66</v>
      </c>
      <c r="T2375" s="154" t="s">
        <v>66</v>
      </c>
      <c r="U2375" s="154" t="s">
        <v>66</v>
      </c>
      <c r="V2375" s="154" t="s">
        <v>66</v>
      </c>
      <c r="W2375" s="154" t="s">
        <v>66</v>
      </c>
      <c r="X2375" s="154" t="s">
        <v>66</v>
      </c>
      <c r="Y2375" s="154" t="s">
        <v>66</v>
      </c>
      <c r="Z2375" s="154" t="s">
        <v>66</v>
      </c>
      <c r="AA2375" s="154"/>
      <c r="AB2375" s="242" t="str">
        <f t="shared" si="2"/>
        <v>#ERROR!</v>
      </c>
      <c r="AC2375" s="154" t="s">
        <v>391</v>
      </c>
      <c r="AD2375" s="242" t="b">
        <f t="shared" si="3"/>
        <v>0</v>
      </c>
      <c r="AE2375" s="154"/>
      <c r="AF2375" s="242" t="str">
        <f t="shared" si="4"/>
        <v>#ERROR!</v>
      </c>
      <c r="AG2375" s="154"/>
      <c r="AH2375" s="242" t="str">
        <f>IF(AG2375="","N/A",INDIRECT("MTR!"&amp;ADDRESS(MATCH(LEFT(AG2375,9),[1]MTR!C:C,0),COLUMN(J2375)),TRUE) &amp; "")</f>
        <v>#ERROR!</v>
      </c>
      <c r="AI2375" s="157" t="str">
        <f t="shared" si="5"/>
        <v>#ERROR!</v>
      </c>
    </row>
    <row r="2376" ht="12.75" customHeight="1">
      <c r="A2376" s="244" t="s">
        <v>5158</v>
      </c>
      <c r="B2376" s="244" t="s">
        <v>231</v>
      </c>
      <c r="C2376" s="244" t="s">
        <v>12528</v>
      </c>
      <c r="D2376" s="154" t="s">
        <v>45</v>
      </c>
      <c r="E2376" s="154"/>
      <c r="F2376" s="154" t="str">
        <f t="array" ref="F2376">XLOOKUP(Cover!$D$12,$R$1:$Z$1,$R2376:$Z2376)</f>
        <v>Information</v>
      </c>
      <c r="G2376" s="154" t="s">
        <v>12529</v>
      </c>
      <c r="H2376" s="154" t="s">
        <v>9012</v>
      </c>
      <c r="I2376" s="154" t="s">
        <v>12525</v>
      </c>
      <c r="J2376" s="154" t="s">
        <v>9506</v>
      </c>
      <c r="K2376" s="154" t="s">
        <v>12282</v>
      </c>
      <c r="L2376" s="154" t="s">
        <v>6655</v>
      </c>
      <c r="M2376" s="154"/>
      <c r="N2376" s="154" t="s">
        <v>759</v>
      </c>
      <c r="O2376" s="247" t="s">
        <v>516</v>
      </c>
      <c r="P2376" s="247" t="s">
        <v>6776</v>
      </c>
      <c r="Q2376" s="154" t="str">
        <f t="shared" si="1"/>
        <v>#ERROR!</v>
      </c>
      <c r="R2376" s="154" t="s">
        <v>66</v>
      </c>
      <c r="S2376" s="154" t="s">
        <v>66</v>
      </c>
      <c r="T2376" s="154" t="s">
        <v>66</v>
      </c>
      <c r="U2376" s="154" t="s">
        <v>66</v>
      </c>
      <c r="V2376" s="154" t="s">
        <v>66</v>
      </c>
      <c r="W2376" s="154" t="s">
        <v>66</v>
      </c>
      <c r="X2376" s="154" t="s">
        <v>66</v>
      </c>
      <c r="Y2376" s="154" t="s">
        <v>66</v>
      </c>
      <c r="Z2376" s="154" t="s">
        <v>66</v>
      </c>
      <c r="AA2376" s="154"/>
      <c r="AB2376" s="242" t="str">
        <f t="shared" si="2"/>
        <v>#ERROR!</v>
      </c>
      <c r="AC2376" s="154" t="s">
        <v>391</v>
      </c>
      <c r="AD2376" s="242" t="b">
        <f t="shared" si="3"/>
        <v>0</v>
      </c>
      <c r="AE2376" s="154"/>
      <c r="AF2376" s="242" t="str">
        <f t="shared" si="4"/>
        <v>#ERROR!</v>
      </c>
      <c r="AG2376" s="154"/>
      <c r="AH2376" s="242" t="str">
        <f>IF(AG2376="","N/A",INDIRECT("MTR!"&amp;ADDRESS(MATCH(LEFT(AG2376,9),[1]MTR!C:C,0),COLUMN(J2376)),TRUE) &amp; "")</f>
        <v>#ERROR!</v>
      </c>
      <c r="AI2376" s="157" t="str">
        <f t="shared" si="5"/>
        <v>#ERROR!</v>
      </c>
    </row>
    <row r="2377" ht="12.75" customHeight="1">
      <c r="A2377" s="244" t="s">
        <v>5158</v>
      </c>
      <c r="B2377" s="244" t="s">
        <v>231</v>
      </c>
      <c r="C2377" s="244" t="s">
        <v>12530</v>
      </c>
      <c r="D2377" s="154" t="s">
        <v>45</v>
      </c>
      <c r="E2377" s="154"/>
      <c r="F2377" s="154" t="str">
        <f t="array" ref="F2377">XLOOKUP(Cover!$D$12,$R$1:$Z$1,$R2377:$Z2377)</f>
        <v>Recommended</v>
      </c>
      <c r="G2377" s="154" t="s">
        <v>12531</v>
      </c>
      <c r="H2377" s="154" t="s">
        <v>9002</v>
      </c>
      <c r="I2377" s="154" t="s">
        <v>12532</v>
      </c>
      <c r="J2377" s="154" t="s">
        <v>8149</v>
      </c>
      <c r="K2377" s="154" t="s">
        <v>12282</v>
      </c>
      <c r="L2377" s="154" t="s">
        <v>10718</v>
      </c>
      <c r="M2377" s="154"/>
      <c r="N2377" s="154" t="s">
        <v>759</v>
      </c>
      <c r="O2377" s="247" t="s">
        <v>516</v>
      </c>
      <c r="P2377" s="247" t="s">
        <v>6776</v>
      </c>
      <c r="Q2377" s="154" t="str">
        <f t="shared" si="1"/>
        <v>#ERROR!</v>
      </c>
      <c r="R2377" s="154" t="s">
        <v>66</v>
      </c>
      <c r="S2377" s="154" t="s">
        <v>66</v>
      </c>
      <c r="T2377" s="154" t="s">
        <v>64</v>
      </c>
      <c r="U2377" s="154" t="s">
        <v>64</v>
      </c>
      <c r="V2377" s="154" t="s">
        <v>64</v>
      </c>
      <c r="W2377" s="154" t="s">
        <v>64</v>
      </c>
      <c r="X2377" s="154" t="s">
        <v>66</v>
      </c>
      <c r="Y2377" s="154" t="s">
        <v>64</v>
      </c>
      <c r="Z2377" s="154" t="s">
        <v>64</v>
      </c>
      <c r="AA2377" s="154"/>
      <c r="AB2377" s="242" t="str">
        <f t="shared" si="2"/>
        <v>#ERROR!</v>
      </c>
      <c r="AC2377" s="154" t="s">
        <v>391</v>
      </c>
      <c r="AD2377" s="242" t="b">
        <f t="shared" si="3"/>
        <v>0</v>
      </c>
      <c r="AE2377" s="154"/>
      <c r="AF2377" s="242" t="str">
        <f t="shared" si="4"/>
        <v>#ERROR!</v>
      </c>
      <c r="AG2377" s="154"/>
      <c r="AH2377" s="242" t="str">
        <f>IF(AG2377="","N/A",INDIRECT("MTR!"&amp;ADDRESS(MATCH(LEFT(AG2377,9),[1]MTR!C:C,0),COLUMN(J2377)),TRUE) &amp; "")</f>
        <v>#ERROR!</v>
      </c>
      <c r="AI2377" s="157" t="str">
        <f t="shared" si="5"/>
        <v>#ERROR!</v>
      </c>
    </row>
    <row r="2378" ht="12.75" customHeight="1">
      <c r="A2378" s="244" t="s">
        <v>5158</v>
      </c>
      <c r="B2378" s="244" t="s">
        <v>231</v>
      </c>
      <c r="C2378" s="244" t="s">
        <v>12533</v>
      </c>
      <c r="D2378" s="154" t="s">
        <v>45</v>
      </c>
      <c r="E2378" s="154"/>
      <c r="F2378" s="154" t="str">
        <f t="array" ref="F2378">XLOOKUP(Cover!$D$12,$R$1:$Z$1,$R2378:$Z2378)</f>
        <v>Recommended</v>
      </c>
      <c r="G2378" s="154" t="s">
        <v>12534</v>
      </c>
      <c r="H2378" s="154" t="s">
        <v>9006</v>
      </c>
      <c r="I2378" s="154" t="s">
        <v>12532</v>
      </c>
      <c r="J2378" s="154" t="s">
        <v>8149</v>
      </c>
      <c r="K2378" s="154" t="s">
        <v>12282</v>
      </c>
      <c r="L2378" s="154" t="s">
        <v>10718</v>
      </c>
      <c r="M2378" s="154"/>
      <c r="N2378" s="154" t="s">
        <v>759</v>
      </c>
      <c r="O2378" s="247" t="s">
        <v>516</v>
      </c>
      <c r="P2378" s="247" t="s">
        <v>6776</v>
      </c>
      <c r="Q2378" s="154" t="str">
        <f t="shared" si="1"/>
        <v>#ERROR!</v>
      </c>
      <c r="R2378" s="154" t="s">
        <v>66</v>
      </c>
      <c r="S2378" s="154" t="s">
        <v>66</v>
      </c>
      <c r="T2378" s="154" t="s">
        <v>64</v>
      </c>
      <c r="U2378" s="154" t="s">
        <v>64</v>
      </c>
      <c r="V2378" s="154" t="s">
        <v>64</v>
      </c>
      <c r="W2378" s="154" t="s">
        <v>64</v>
      </c>
      <c r="X2378" s="154" t="s">
        <v>66</v>
      </c>
      <c r="Y2378" s="154" t="s">
        <v>64</v>
      </c>
      <c r="Z2378" s="154" t="s">
        <v>64</v>
      </c>
      <c r="AA2378" s="154"/>
      <c r="AB2378" s="242" t="str">
        <f t="shared" si="2"/>
        <v>#ERROR!</v>
      </c>
      <c r="AC2378" s="154" t="s">
        <v>391</v>
      </c>
      <c r="AD2378" s="242" t="b">
        <f t="shared" si="3"/>
        <v>0</v>
      </c>
      <c r="AE2378" s="154"/>
      <c r="AF2378" s="242" t="str">
        <f t="shared" si="4"/>
        <v>#ERROR!</v>
      </c>
      <c r="AG2378" s="154"/>
      <c r="AH2378" s="242" t="str">
        <f>IF(AG2378="","N/A",INDIRECT("MTR!"&amp;ADDRESS(MATCH(LEFT(AG2378,9),[1]MTR!C:C,0),COLUMN(J2378)),TRUE) &amp; "")</f>
        <v>#ERROR!</v>
      </c>
      <c r="AI2378" s="157" t="str">
        <f t="shared" si="5"/>
        <v>#ERROR!</v>
      </c>
    </row>
    <row r="2379" ht="12.75" customHeight="1">
      <c r="A2379" s="244" t="s">
        <v>5158</v>
      </c>
      <c r="B2379" s="244" t="s">
        <v>231</v>
      </c>
      <c r="C2379" s="244" t="s">
        <v>12535</v>
      </c>
      <c r="D2379" s="154" t="s">
        <v>45</v>
      </c>
      <c r="E2379" s="154"/>
      <c r="F2379" s="154" t="str">
        <f t="array" ref="F2379">XLOOKUP(Cover!$D$12,$R$1:$Z$1,$R2379:$Z2379)</f>
        <v>Recommended</v>
      </c>
      <c r="G2379" s="154" t="s">
        <v>12536</v>
      </c>
      <c r="H2379" s="154" t="s">
        <v>1541</v>
      </c>
      <c r="I2379" s="154" t="s">
        <v>12532</v>
      </c>
      <c r="J2379" s="154" t="s">
        <v>8149</v>
      </c>
      <c r="K2379" s="154" t="s">
        <v>12282</v>
      </c>
      <c r="L2379" s="154" t="s">
        <v>10718</v>
      </c>
      <c r="M2379" s="154"/>
      <c r="N2379" s="154" t="s">
        <v>759</v>
      </c>
      <c r="O2379" s="247" t="s">
        <v>516</v>
      </c>
      <c r="P2379" s="247" t="s">
        <v>6776</v>
      </c>
      <c r="Q2379" s="154" t="str">
        <f t="shared" si="1"/>
        <v>#ERROR!</v>
      </c>
      <c r="R2379" s="154" t="s">
        <v>66</v>
      </c>
      <c r="S2379" s="154" t="s">
        <v>66</v>
      </c>
      <c r="T2379" s="154" t="s">
        <v>64</v>
      </c>
      <c r="U2379" s="154" t="s">
        <v>64</v>
      </c>
      <c r="V2379" s="154" t="s">
        <v>64</v>
      </c>
      <c r="W2379" s="154" t="s">
        <v>64</v>
      </c>
      <c r="X2379" s="154" t="s">
        <v>66</v>
      </c>
      <c r="Y2379" s="154" t="s">
        <v>64</v>
      </c>
      <c r="Z2379" s="154" t="s">
        <v>64</v>
      </c>
      <c r="AA2379" s="154"/>
      <c r="AB2379" s="242" t="str">
        <f t="shared" si="2"/>
        <v>#ERROR!</v>
      </c>
      <c r="AC2379" s="154" t="s">
        <v>391</v>
      </c>
      <c r="AD2379" s="242" t="b">
        <f t="shared" si="3"/>
        <v>0</v>
      </c>
      <c r="AE2379" s="154"/>
      <c r="AF2379" s="242" t="str">
        <f t="shared" si="4"/>
        <v>#ERROR!</v>
      </c>
      <c r="AG2379" s="154"/>
      <c r="AH2379" s="242" t="str">
        <f>IF(AG2379="","N/A",INDIRECT("MTR!"&amp;ADDRESS(MATCH(LEFT(AG2379,9),[1]MTR!C:C,0),COLUMN(J2379)),TRUE) &amp; "")</f>
        <v>#ERROR!</v>
      </c>
      <c r="AI2379" s="157" t="str">
        <f t="shared" si="5"/>
        <v>#ERROR!</v>
      </c>
    </row>
    <row r="2380" ht="12.75" customHeight="1">
      <c r="A2380" s="244" t="s">
        <v>5158</v>
      </c>
      <c r="B2380" s="244" t="s">
        <v>231</v>
      </c>
      <c r="C2380" s="244" t="s">
        <v>12537</v>
      </c>
      <c r="D2380" s="154" t="s">
        <v>1315</v>
      </c>
      <c r="E2380" s="154"/>
      <c r="F2380" s="154" t="str">
        <f t="array" ref="F2380">XLOOKUP(Cover!$D$12,$R$1:$Z$1,$R2380:$Z2380)</f>
        <v>Information</v>
      </c>
      <c r="G2380" s="154" t="s">
        <v>12538</v>
      </c>
      <c r="H2380" s="154" t="s">
        <v>9002</v>
      </c>
      <c r="I2380" s="154" t="s">
        <v>12539</v>
      </c>
      <c r="J2380" s="154" t="s">
        <v>8835</v>
      </c>
      <c r="K2380" s="154" t="s">
        <v>12282</v>
      </c>
      <c r="L2380" s="154" t="s">
        <v>6905</v>
      </c>
      <c r="M2380" s="154"/>
      <c r="N2380" s="154" t="s">
        <v>759</v>
      </c>
      <c r="O2380" s="247" t="s">
        <v>516</v>
      </c>
      <c r="P2380" s="247" t="s">
        <v>6776</v>
      </c>
      <c r="Q2380" s="154" t="str">
        <f t="shared" si="1"/>
        <v>#ERROR!</v>
      </c>
      <c r="R2380" s="154" t="s">
        <v>66</v>
      </c>
      <c r="S2380" s="154" t="s">
        <v>66</v>
      </c>
      <c r="T2380" s="154" t="s">
        <v>66</v>
      </c>
      <c r="U2380" s="154" t="s">
        <v>66</v>
      </c>
      <c r="V2380" s="154" t="s">
        <v>66</v>
      </c>
      <c r="W2380" s="154" t="s">
        <v>66</v>
      </c>
      <c r="X2380" s="154" t="s">
        <v>66</v>
      </c>
      <c r="Y2380" s="154" t="s">
        <v>66</v>
      </c>
      <c r="Z2380" s="154" t="s">
        <v>66</v>
      </c>
      <c r="AA2380" s="154"/>
      <c r="AB2380" s="242" t="str">
        <f t="shared" si="2"/>
        <v>#ERROR!</v>
      </c>
      <c r="AC2380" s="154" t="s">
        <v>391</v>
      </c>
      <c r="AD2380" s="242" t="b">
        <f t="shared" si="3"/>
        <v>0</v>
      </c>
      <c r="AE2380" s="154"/>
      <c r="AF2380" s="242" t="str">
        <f t="shared" si="4"/>
        <v>#ERROR!</v>
      </c>
      <c r="AG2380" s="154"/>
      <c r="AH2380" s="242" t="str">
        <f>IF(AG2380="","N/A",INDIRECT("MTR!"&amp;ADDRESS(MATCH(LEFT(AG2380,9),[1]MTR!C:C,0),COLUMN(J2380)),TRUE) &amp; "")</f>
        <v>#ERROR!</v>
      </c>
      <c r="AI2380" s="157" t="str">
        <f t="shared" si="5"/>
        <v>#ERROR!</v>
      </c>
    </row>
    <row r="2381" ht="12.75" customHeight="1">
      <c r="A2381" s="244" t="s">
        <v>5158</v>
      </c>
      <c r="B2381" s="244" t="s">
        <v>231</v>
      </c>
      <c r="C2381" s="244" t="s">
        <v>12540</v>
      </c>
      <c r="D2381" s="154" t="s">
        <v>1315</v>
      </c>
      <c r="E2381" s="154"/>
      <c r="F2381" s="154" t="str">
        <f t="array" ref="F2381">XLOOKUP(Cover!$D$12,$R$1:$Z$1,$R2381:$Z2381)</f>
        <v>Information</v>
      </c>
      <c r="G2381" s="154" t="s">
        <v>12541</v>
      </c>
      <c r="H2381" s="154" t="s">
        <v>9006</v>
      </c>
      <c r="I2381" s="154" t="s">
        <v>12539</v>
      </c>
      <c r="J2381" s="154" t="s">
        <v>8835</v>
      </c>
      <c r="K2381" s="154" t="s">
        <v>12282</v>
      </c>
      <c r="L2381" s="154" t="s">
        <v>6905</v>
      </c>
      <c r="M2381" s="154"/>
      <c r="N2381" s="154" t="s">
        <v>759</v>
      </c>
      <c r="O2381" s="247" t="s">
        <v>516</v>
      </c>
      <c r="P2381" s="247" t="s">
        <v>6776</v>
      </c>
      <c r="Q2381" s="154" t="str">
        <f t="shared" si="1"/>
        <v>#ERROR!</v>
      </c>
      <c r="R2381" s="154" t="s">
        <v>66</v>
      </c>
      <c r="S2381" s="154" t="s">
        <v>66</v>
      </c>
      <c r="T2381" s="154" t="s">
        <v>66</v>
      </c>
      <c r="U2381" s="154" t="s">
        <v>66</v>
      </c>
      <c r="V2381" s="154" t="s">
        <v>66</v>
      </c>
      <c r="W2381" s="154" t="s">
        <v>66</v>
      </c>
      <c r="X2381" s="154" t="s">
        <v>66</v>
      </c>
      <c r="Y2381" s="154" t="s">
        <v>66</v>
      </c>
      <c r="Z2381" s="154" t="s">
        <v>66</v>
      </c>
      <c r="AA2381" s="154"/>
      <c r="AB2381" s="242" t="str">
        <f t="shared" si="2"/>
        <v>#ERROR!</v>
      </c>
      <c r="AC2381" s="154" t="s">
        <v>391</v>
      </c>
      <c r="AD2381" s="242" t="b">
        <f t="shared" si="3"/>
        <v>0</v>
      </c>
      <c r="AE2381" s="154"/>
      <c r="AF2381" s="242" t="str">
        <f t="shared" si="4"/>
        <v>#ERROR!</v>
      </c>
      <c r="AG2381" s="154"/>
      <c r="AH2381" s="242" t="str">
        <f>IF(AG2381="","N/A",INDIRECT("MTR!"&amp;ADDRESS(MATCH(LEFT(AG2381,9),[1]MTR!C:C,0),COLUMN(J2381)),TRUE) &amp; "")</f>
        <v>#ERROR!</v>
      </c>
      <c r="AI2381" s="157" t="str">
        <f t="shared" si="5"/>
        <v>#ERROR!</v>
      </c>
    </row>
    <row r="2382" ht="12.75" customHeight="1">
      <c r="A2382" s="244" t="s">
        <v>5158</v>
      </c>
      <c r="B2382" s="244" t="s">
        <v>231</v>
      </c>
      <c r="C2382" s="244" t="s">
        <v>12542</v>
      </c>
      <c r="D2382" s="154" t="s">
        <v>1315</v>
      </c>
      <c r="E2382" s="154"/>
      <c r="F2382" s="154" t="str">
        <f t="array" ref="F2382">XLOOKUP(Cover!$D$12,$R$1:$Z$1,$R2382:$Z2382)</f>
        <v>Information</v>
      </c>
      <c r="G2382" s="154" t="s">
        <v>12543</v>
      </c>
      <c r="H2382" s="154" t="s">
        <v>9009</v>
      </c>
      <c r="I2382" s="154" t="s">
        <v>12539</v>
      </c>
      <c r="J2382" s="154" t="s">
        <v>8835</v>
      </c>
      <c r="K2382" s="154" t="s">
        <v>12282</v>
      </c>
      <c r="L2382" s="154" t="s">
        <v>6905</v>
      </c>
      <c r="M2382" s="154"/>
      <c r="N2382" s="154" t="s">
        <v>759</v>
      </c>
      <c r="O2382" s="247" t="s">
        <v>516</v>
      </c>
      <c r="P2382" s="247" t="s">
        <v>6776</v>
      </c>
      <c r="Q2382" s="154" t="str">
        <f t="shared" si="1"/>
        <v>#ERROR!</v>
      </c>
      <c r="R2382" s="154" t="s">
        <v>66</v>
      </c>
      <c r="S2382" s="154" t="s">
        <v>66</v>
      </c>
      <c r="T2382" s="154" t="s">
        <v>66</v>
      </c>
      <c r="U2382" s="154" t="s">
        <v>66</v>
      </c>
      <c r="V2382" s="154" t="s">
        <v>66</v>
      </c>
      <c r="W2382" s="154" t="s">
        <v>66</v>
      </c>
      <c r="X2382" s="154" t="s">
        <v>66</v>
      </c>
      <c r="Y2382" s="154" t="s">
        <v>66</v>
      </c>
      <c r="Z2382" s="154" t="s">
        <v>66</v>
      </c>
      <c r="AA2382" s="154"/>
      <c r="AB2382" s="242" t="str">
        <f t="shared" si="2"/>
        <v>#ERROR!</v>
      </c>
      <c r="AC2382" s="154" t="s">
        <v>391</v>
      </c>
      <c r="AD2382" s="242" t="b">
        <f t="shared" si="3"/>
        <v>0</v>
      </c>
      <c r="AE2382" s="154"/>
      <c r="AF2382" s="242" t="str">
        <f t="shared" si="4"/>
        <v>#ERROR!</v>
      </c>
      <c r="AG2382" s="154"/>
      <c r="AH2382" s="242" t="str">
        <f>IF(AG2382="","N/A",INDIRECT("MTR!"&amp;ADDRESS(MATCH(LEFT(AG2382,9),[1]MTR!C:C,0),COLUMN(J2382)),TRUE) &amp; "")</f>
        <v>#ERROR!</v>
      </c>
      <c r="AI2382" s="157" t="str">
        <f t="shared" si="5"/>
        <v>#ERROR!</v>
      </c>
    </row>
    <row r="2383" ht="12.75" customHeight="1">
      <c r="A2383" s="244" t="s">
        <v>5158</v>
      </c>
      <c r="B2383" s="244" t="s">
        <v>231</v>
      </c>
      <c r="C2383" s="244" t="s">
        <v>12544</v>
      </c>
      <c r="D2383" s="154" t="s">
        <v>781</v>
      </c>
      <c r="E2383" s="154"/>
      <c r="F2383" s="154" t="str">
        <f t="array" ref="F2383">XLOOKUP(Cover!$D$12,$R$1:$Z$1,$R2383:$Z2383)</f>
        <v>Mandatory</v>
      </c>
      <c r="G2383" s="154" t="s">
        <v>12545</v>
      </c>
      <c r="H2383" s="154" t="s">
        <v>9002</v>
      </c>
      <c r="I2383" s="154" t="s">
        <v>12546</v>
      </c>
      <c r="J2383" s="154" t="s">
        <v>7648</v>
      </c>
      <c r="K2383" s="154" t="s">
        <v>12282</v>
      </c>
      <c r="L2383" s="154" t="s">
        <v>6140</v>
      </c>
      <c r="M2383" s="154" t="s">
        <v>175</v>
      </c>
      <c r="N2383" s="154" t="s">
        <v>759</v>
      </c>
      <c r="O2383" s="247" t="s">
        <v>516</v>
      </c>
      <c r="P2383" s="247" t="s">
        <v>6776</v>
      </c>
      <c r="Q2383" s="154" t="str">
        <f t="shared" si="1"/>
        <v>#ERROR!</v>
      </c>
      <c r="R2383" s="154" t="s">
        <v>66</v>
      </c>
      <c r="S2383" s="154" t="s">
        <v>66</v>
      </c>
      <c r="T2383" s="155" t="s">
        <v>64</v>
      </c>
      <c r="U2383" s="155" t="s">
        <v>64</v>
      </c>
      <c r="V2383" s="154" t="s">
        <v>60</v>
      </c>
      <c r="W2383" s="154" t="s">
        <v>60</v>
      </c>
      <c r="X2383" s="154" t="s">
        <v>66</v>
      </c>
      <c r="Y2383" s="155" t="s">
        <v>64</v>
      </c>
      <c r="Z2383" s="154" t="s">
        <v>60</v>
      </c>
      <c r="AA2383" s="154"/>
      <c r="AB2383" s="242" t="str">
        <f t="shared" si="2"/>
        <v>#ERROR!</v>
      </c>
      <c r="AC2383" s="154" t="s">
        <v>391</v>
      </c>
      <c r="AD2383" s="242" t="b">
        <f t="shared" si="3"/>
        <v>0</v>
      </c>
      <c r="AE2383" s="154"/>
      <c r="AF2383" s="242" t="str">
        <f t="shared" si="4"/>
        <v>#ERROR!</v>
      </c>
      <c r="AG2383" s="154"/>
      <c r="AH2383" s="242" t="str">
        <f>IF(AG2383="","N/A",INDIRECT("MTR!"&amp;ADDRESS(MATCH(LEFT(AG2383,9),[1]MTR!C:C,0),COLUMN(J2383)),TRUE) &amp; "")</f>
        <v>#ERROR!</v>
      </c>
      <c r="AI2383" s="157" t="str">
        <f t="shared" si="5"/>
        <v>#ERROR!</v>
      </c>
    </row>
    <row r="2384" ht="12.75" customHeight="1">
      <c r="A2384" s="244" t="s">
        <v>5158</v>
      </c>
      <c r="B2384" s="244" t="s">
        <v>231</v>
      </c>
      <c r="C2384" s="244" t="s">
        <v>12547</v>
      </c>
      <c r="D2384" s="154" t="s">
        <v>781</v>
      </c>
      <c r="E2384" s="154"/>
      <c r="F2384" s="154" t="str">
        <f t="array" ref="F2384">XLOOKUP(Cover!$D$12,$R$1:$Z$1,$R2384:$Z2384)</f>
        <v>Mandatory</v>
      </c>
      <c r="G2384" s="154" t="s">
        <v>12548</v>
      </c>
      <c r="H2384" s="154" t="s">
        <v>9006</v>
      </c>
      <c r="I2384" s="154" t="s">
        <v>12546</v>
      </c>
      <c r="J2384" s="154" t="s">
        <v>7648</v>
      </c>
      <c r="K2384" s="154" t="s">
        <v>12282</v>
      </c>
      <c r="L2384" s="154" t="s">
        <v>6140</v>
      </c>
      <c r="M2384" s="154" t="s">
        <v>175</v>
      </c>
      <c r="N2384" s="154" t="s">
        <v>759</v>
      </c>
      <c r="O2384" s="247" t="s">
        <v>516</v>
      </c>
      <c r="P2384" s="247" t="s">
        <v>6776</v>
      </c>
      <c r="Q2384" s="154" t="str">
        <f t="shared" si="1"/>
        <v>#ERROR!</v>
      </c>
      <c r="R2384" s="154" t="s">
        <v>66</v>
      </c>
      <c r="S2384" s="154" t="s">
        <v>66</v>
      </c>
      <c r="T2384" s="155" t="s">
        <v>64</v>
      </c>
      <c r="U2384" s="155" t="s">
        <v>64</v>
      </c>
      <c r="V2384" s="154" t="s">
        <v>60</v>
      </c>
      <c r="W2384" s="154" t="s">
        <v>60</v>
      </c>
      <c r="X2384" s="154" t="s">
        <v>66</v>
      </c>
      <c r="Y2384" s="155" t="s">
        <v>64</v>
      </c>
      <c r="Z2384" s="154" t="s">
        <v>60</v>
      </c>
      <c r="AA2384" s="154"/>
      <c r="AB2384" s="242" t="str">
        <f t="shared" si="2"/>
        <v>#ERROR!</v>
      </c>
      <c r="AC2384" s="154" t="s">
        <v>391</v>
      </c>
      <c r="AD2384" s="242" t="b">
        <f t="shared" si="3"/>
        <v>0</v>
      </c>
      <c r="AE2384" s="154"/>
      <c r="AF2384" s="242" t="str">
        <f t="shared" si="4"/>
        <v>#ERROR!</v>
      </c>
      <c r="AG2384" s="154"/>
      <c r="AH2384" s="242" t="str">
        <f>IF(AG2384="","N/A",INDIRECT("MTR!"&amp;ADDRESS(MATCH(LEFT(AG2384,9),[1]MTR!C:C,0),COLUMN(J2384)),TRUE) &amp; "")</f>
        <v>#ERROR!</v>
      </c>
      <c r="AI2384" s="157" t="str">
        <f t="shared" si="5"/>
        <v>#ERROR!</v>
      </c>
    </row>
    <row r="2385" ht="12.75" customHeight="1">
      <c r="A2385" s="244" t="s">
        <v>5158</v>
      </c>
      <c r="B2385" s="244" t="s">
        <v>231</v>
      </c>
      <c r="C2385" s="244" t="s">
        <v>12549</v>
      </c>
      <c r="D2385" s="154" t="s">
        <v>781</v>
      </c>
      <c r="E2385" s="154"/>
      <c r="F2385" s="154" t="str">
        <f t="array" ref="F2385">XLOOKUP(Cover!$D$12,$R$1:$Z$1,$R2385:$Z2385)</f>
        <v>Recommended</v>
      </c>
      <c r="G2385" s="154" t="s">
        <v>12550</v>
      </c>
      <c r="H2385" s="154" t="s">
        <v>9009</v>
      </c>
      <c r="I2385" s="154" t="s">
        <v>12546</v>
      </c>
      <c r="J2385" s="154" t="s">
        <v>7648</v>
      </c>
      <c r="K2385" s="154" t="s">
        <v>12282</v>
      </c>
      <c r="L2385" s="154" t="s">
        <v>6140</v>
      </c>
      <c r="M2385" s="154"/>
      <c r="N2385" s="154" t="s">
        <v>759</v>
      </c>
      <c r="O2385" s="247" t="s">
        <v>516</v>
      </c>
      <c r="P2385" s="247" t="s">
        <v>6776</v>
      </c>
      <c r="Q2385" s="154" t="str">
        <f t="shared" si="1"/>
        <v>#ERROR!</v>
      </c>
      <c r="R2385" s="154" t="s">
        <v>66</v>
      </c>
      <c r="S2385" s="154" t="s">
        <v>66</v>
      </c>
      <c r="T2385" s="154" t="s">
        <v>64</v>
      </c>
      <c r="U2385" s="154" t="s">
        <v>64</v>
      </c>
      <c r="V2385" s="154" t="s">
        <v>64</v>
      </c>
      <c r="W2385" s="154" t="s">
        <v>64</v>
      </c>
      <c r="X2385" s="154" t="s">
        <v>66</v>
      </c>
      <c r="Y2385" s="154" t="s">
        <v>64</v>
      </c>
      <c r="Z2385" s="154" t="s">
        <v>64</v>
      </c>
      <c r="AA2385" s="154"/>
      <c r="AB2385" s="242" t="str">
        <f t="shared" si="2"/>
        <v>#ERROR!</v>
      </c>
      <c r="AC2385" s="154" t="s">
        <v>391</v>
      </c>
      <c r="AD2385" s="242" t="b">
        <f t="shared" si="3"/>
        <v>0</v>
      </c>
      <c r="AE2385" s="154"/>
      <c r="AF2385" s="242" t="str">
        <f t="shared" si="4"/>
        <v>#ERROR!</v>
      </c>
      <c r="AG2385" s="154"/>
      <c r="AH2385" s="242" t="str">
        <f>IF(AG2385="","N/A",INDIRECT("MTR!"&amp;ADDRESS(MATCH(LEFT(AG2385,9),[1]MTR!C:C,0),COLUMN(J2385)),TRUE) &amp; "")</f>
        <v>#ERROR!</v>
      </c>
      <c r="AI2385" s="157" t="str">
        <f t="shared" si="5"/>
        <v>#ERROR!</v>
      </c>
    </row>
    <row r="2386" ht="12.75" customHeight="1">
      <c r="A2386" s="244" t="s">
        <v>5158</v>
      </c>
      <c r="B2386" s="244" t="s">
        <v>231</v>
      </c>
      <c r="C2386" s="244" t="s">
        <v>12551</v>
      </c>
      <c r="D2386" s="154" t="s">
        <v>781</v>
      </c>
      <c r="E2386" s="154"/>
      <c r="F2386" s="154" t="str">
        <f t="array" ref="F2386">XLOOKUP(Cover!$D$12,$R$1:$Z$1,$R2386:$Z2386)</f>
        <v>Recommended</v>
      </c>
      <c r="G2386" s="154" t="s">
        <v>12552</v>
      </c>
      <c r="H2386" s="154" t="s">
        <v>9084</v>
      </c>
      <c r="I2386" s="154" t="s">
        <v>12546</v>
      </c>
      <c r="J2386" s="154" t="s">
        <v>7648</v>
      </c>
      <c r="K2386" s="154" t="s">
        <v>12282</v>
      </c>
      <c r="L2386" s="154" t="s">
        <v>6140</v>
      </c>
      <c r="M2386" s="154"/>
      <c r="N2386" s="154" t="s">
        <v>759</v>
      </c>
      <c r="O2386" s="247" t="s">
        <v>516</v>
      </c>
      <c r="P2386" s="247" t="s">
        <v>6776</v>
      </c>
      <c r="Q2386" s="154" t="str">
        <f t="shared" si="1"/>
        <v>#ERROR!</v>
      </c>
      <c r="R2386" s="154" t="s">
        <v>66</v>
      </c>
      <c r="S2386" s="154" t="s">
        <v>66</v>
      </c>
      <c r="T2386" s="154" t="s">
        <v>64</v>
      </c>
      <c r="U2386" s="154" t="s">
        <v>64</v>
      </c>
      <c r="V2386" s="154" t="s">
        <v>64</v>
      </c>
      <c r="W2386" s="154" t="s">
        <v>64</v>
      </c>
      <c r="X2386" s="154" t="s">
        <v>66</v>
      </c>
      <c r="Y2386" s="154" t="s">
        <v>64</v>
      </c>
      <c r="Z2386" s="154" t="s">
        <v>64</v>
      </c>
      <c r="AA2386" s="154"/>
      <c r="AB2386" s="242" t="str">
        <f t="shared" si="2"/>
        <v>#ERROR!</v>
      </c>
      <c r="AC2386" s="154" t="s">
        <v>391</v>
      </c>
      <c r="AD2386" s="242" t="b">
        <f t="shared" si="3"/>
        <v>0</v>
      </c>
      <c r="AE2386" s="154"/>
      <c r="AF2386" s="242" t="str">
        <f t="shared" si="4"/>
        <v>#ERROR!</v>
      </c>
      <c r="AG2386" s="154"/>
      <c r="AH2386" s="242" t="str">
        <f>IF(AG2386="","N/A",INDIRECT("MTR!"&amp;ADDRESS(MATCH(LEFT(AG2386,9),[1]MTR!C:C,0),COLUMN(J2386)),TRUE) &amp; "")</f>
        <v>#ERROR!</v>
      </c>
      <c r="AI2386" s="157" t="str">
        <f t="shared" si="5"/>
        <v>#ERROR!</v>
      </c>
    </row>
    <row r="2387" ht="12.75" customHeight="1">
      <c r="A2387" s="244" t="s">
        <v>5158</v>
      </c>
      <c r="B2387" s="244" t="s">
        <v>231</v>
      </c>
      <c r="C2387" s="245" t="s">
        <v>12553</v>
      </c>
      <c r="D2387" s="155" t="s">
        <v>1315</v>
      </c>
      <c r="E2387" s="155" t="s">
        <v>92</v>
      </c>
      <c r="F2387" s="154" t="str">
        <f t="array" ref="F2387">XLOOKUP(Cover!$D$12,$R$1:$Z$1,$R2387:$Z2387)</f>
        <v>Recommended</v>
      </c>
      <c r="G2387" s="154" t="s">
        <v>12554</v>
      </c>
      <c r="H2387" s="154" t="s">
        <v>9002</v>
      </c>
      <c r="I2387" s="154" t="s">
        <v>12555</v>
      </c>
      <c r="J2387" s="154" t="s">
        <v>8159</v>
      </c>
      <c r="K2387" s="154" t="s">
        <v>12282</v>
      </c>
      <c r="L2387" s="154" t="s">
        <v>6022</v>
      </c>
      <c r="M2387" s="154"/>
      <c r="N2387" s="154" t="s">
        <v>759</v>
      </c>
      <c r="O2387" s="247" t="s">
        <v>516</v>
      </c>
      <c r="P2387" s="247" t="s">
        <v>6776</v>
      </c>
      <c r="Q2387" s="154" t="str">
        <f t="shared" si="1"/>
        <v>#ERROR!</v>
      </c>
      <c r="R2387" s="154" t="s">
        <v>66</v>
      </c>
      <c r="S2387" s="154" t="s">
        <v>66</v>
      </c>
      <c r="T2387" s="154" t="s">
        <v>64</v>
      </c>
      <c r="U2387" s="154" t="s">
        <v>64</v>
      </c>
      <c r="V2387" s="154" t="s">
        <v>64</v>
      </c>
      <c r="W2387" s="154" t="s">
        <v>64</v>
      </c>
      <c r="X2387" s="154" t="s">
        <v>66</v>
      </c>
      <c r="Y2387" s="154" t="s">
        <v>64</v>
      </c>
      <c r="Z2387" s="154" t="s">
        <v>64</v>
      </c>
      <c r="AA2387" s="154"/>
      <c r="AB2387" s="242" t="str">
        <f t="shared" si="2"/>
        <v>#ERROR!</v>
      </c>
      <c r="AC2387" s="154" t="s">
        <v>391</v>
      </c>
      <c r="AD2387" s="242" t="b">
        <f t="shared" si="3"/>
        <v>0</v>
      </c>
      <c r="AE2387" s="154"/>
      <c r="AF2387" s="242" t="str">
        <f t="shared" si="4"/>
        <v>#ERROR!</v>
      </c>
      <c r="AG2387" s="154"/>
      <c r="AH2387" s="242" t="str">
        <f>IF(AG2387="","N/A",INDIRECT("MTR!"&amp;ADDRESS(MATCH(LEFT(AG2387,9),[1]MTR!C:C,0),COLUMN(J2387)),TRUE) &amp; "")</f>
        <v>#ERROR!</v>
      </c>
      <c r="AI2387" s="157" t="str">
        <f t="shared" si="5"/>
        <v>#ERROR!</v>
      </c>
    </row>
    <row r="2388" ht="12.75" customHeight="1">
      <c r="A2388" s="244" t="s">
        <v>5158</v>
      </c>
      <c r="B2388" s="244" t="s">
        <v>231</v>
      </c>
      <c r="C2388" s="245" t="s">
        <v>12556</v>
      </c>
      <c r="D2388" s="155" t="s">
        <v>1315</v>
      </c>
      <c r="E2388" s="155" t="s">
        <v>92</v>
      </c>
      <c r="F2388" s="154" t="str">
        <f t="array" ref="F2388">XLOOKUP(Cover!$D$12,$R$1:$Z$1,$R2388:$Z2388)</f>
        <v>Recommended</v>
      </c>
      <c r="G2388" s="154" t="s">
        <v>12557</v>
      </c>
      <c r="H2388" s="154" t="s">
        <v>9006</v>
      </c>
      <c r="I2388" s="154" t="s">
        <v>12555</v>
      </c>
      <c r="J2388" s="154" t="s">
        <v>8159</v>
      </c>
      <c r="K2388" s="154" t="s">
        <v>12282</v>
      </c>
      <c r="L2388" s="154" t="s">
        <v>6022</v>
      </c>
      <c r="M2388" s="154"/>
      <c r="N2388" s="154" t="s">
        <v>759</v>
      </c>
      <c r="O2388" s="247" t="s">
        <v>516</v>
      </c>
      <c r="P2388" s="247" t="s">
        <v>6776</v>
      </c>
      <c r="Q2388" s="154" t="str">
        <f t="shared" si="1"/>
        <v>#ERROR!</v>
      </c>
      <c r="R2388" s="154" t="s">
        <v>66</v>
      </c>
      <c r="S2388" s="154" t="s">
        <v>66</v>
      </c>
      <c r="T2388" s="154" t="s">
        <v>64</v>
      </c>
      <c r="U2388" s="154" t="s">
        <v>64</v>
      </c>
      <c r="V2388" s="154" t="s">
        <v>64</v>
      </c>
      <c r="W2388" s="154" t="s">
        <v>64</v>
      </c>
      <c r="X2388" s="154" t="s">
        <v>66</v>
      </c>
      <c r="Y2388" s="154" t="s">
        <v>64</v>
      </c>
      <c r="Z2388" s="154" t="s">
        <v>64</v>
      </c>
      <c r="AA2388" s="154"/>
      <c r="AB2388" s="242" t="str">
        <f t="shared" si="2"/>
        <v>#ERROR!</v>
      </c>
      <c r="AC2388" s="154" t="s">
        <v>391</v>
      </c>
      <c r="AD2388" s="242" t="b">
        <f t="shared" si="3"/>
        <v>0</v>
      </c>
      <c r="AE2388" s="154"/>
      <c r="AF2388" s="242" t="str">
        <f t="shared" si="4"/>
        <v>#ERROR!</v>
      </c>
      <c r="AG2388" s="154"/>
      <c r="AH2388" s="242" t="str">
        <f>IF(AG2388="","N/A",INDIRECT("MTR!"&amp;ADDRESS(MATCH(LEFT(AG2388,9),[1]MTR!C:C,0),COLUMN(J2388)),TRUE) &amp; "")</f>
        <v>#ERROR!</v>
      </c>
      <c r="AI2388" s="157" t="str">
        <f t="shared" si="5"/>
        <v>#ERROR!</v>
      </c>
    </row>
    <row r="2389" ht="12.75" customHeight="1">
      <c r="A2389" s="244" t="s">
        <v>5158</v>
      </c>
      <c r="B2389" s="244" t="s">
        <v>231</v>
      </c>
      <c r="C2389" s="244" t="s">
        <v>12558</v>
      </c>
      <c r="D2389" s="154" t="s">
        <v>1315</v>
      </c>
      <c r="E2389" s="154"/>
      <c r="F2389" s="154" t="str">
        <f t="array" ref="F2389">XLOOKUP(Cover!$D$12,$R$1:$Z$1,$R2389:$Z2389)</f>
        <v>Recommended</v>
      </c>
      <c r="G2389" s="154" t="s">
        <v>12559</v>
      </c>
      <c r="H2389" s="154" t="s">
        <v>9009</v>
      </c>
      <c r="I2389" s="154" t="s">
        <v>12555</v>
      </c>
      <c r="J2389" s="154" t="s">
        <v>8159</v>
      </c>
      <c r="K2389" s="154" t="s">
        <v>12282</v>
      </c>
      <c r="L2389" s="154" t="s">
        <v>6022</v>
      </c>
      <c r="M2389" s="154"/>
      <c r="N2389" s="154" t="s">
        <v>759</v>
      </c>
      <c r="O2389" s="247" t="s">
        <v>516</v>
      </c>
      <c r="P2389" s="247" t="s">
        <v>6776</v>
      </c>
      <c r="Q2389" s="154" t="str">
        <f t="shared" si="1"/>
        <v>#ERROR!</v>
      </c>
      <c r="R2389" s="154" t="s">
        <v>66</v>
      </c>
      <c r="S2389" s="154" t="s">
        <v>66</v>
      </c>
      <c r="T2389" s="154" t="s">
        <v>64</v>
      </c>
      <c r="U2389" s="154" t="s">
        <v>64</v>
      </c>
      <c r="V2389" s="154" t="s">
        <v>64</v>
      </c>
      <c r="W2389" s="154" t="s">
        <v>64</v>
      </c>
      <c r="X2389" s="154" t="s">
        <v>66</v>
      </c>
      <c r="Y2389" s="154" t="s">
        <v>64</v>
      </c>
      <c r="Z2389" s="154" t="s">
        <v>64</v>
      </c>
      <c r="AA2389" s="154"/>
      <c r="AB2389" s="242" t="str">
        <f t="shared" si="2"/>
        <v>#ERROR!</v>
      </c>
      <c r="AC2389" s="154" t="s">
        <v>391</v>
      </c>
      <c r="AD2389" s="242" t="b">
        <f t="shared" si="3"/>
        <v>0</v>
      </c>
      <c r="AE2389" s="154"/>
      <c r="AF2389" s="242" t="str">
        <f t="shared" si="4"/>
        <v>#ERROR!</v>
      </c>
      <c r="AG2389" s="154"/>
      <c r="AH2389" s="242" t="str">
        <f>IF(AG2389="","N/A",INDIRECT("MTR!"&amp;ADDRESS(MATCH(LEFT(AG2389,9),[1]MTR!C:C,0),COLUMN(J2389)),TRUE) &amp; "")</f>
        <v>#ERROR!</v>
      </c>
      <c r="AI2389" s="157" t="str">
        <f t="shared" si="5"/>
        <v>#ERROR!</v>
      </c>
    </row>
    <row r="2390" ht="12.75" customHeight="1">
      <c r="A2390" s="244" t="s">
        <v>5158</v>
      </c>
      <c r="B2390" s="244" t="s">
        <v>231</v>
      </c>
      <c r="C2390" s="245" t="s">
        <v>12560</v>
      </c>
      <c r="D2390" s="155" t="s">
        <v>1315</v>
      </c>
      <c r="E2390" s="155" t="s">
        <v>92</v>
      </c>
      <c r="F2390" s="154" t="str">
        <f t="array" ref="F2390">XLOOKUP(Cover!$D$12,$R$1:$Z$1,$R2390:$Z2390)</f>
        <v>Recommended</v>
      </c>
      <c r="G2390" s="154" t="s">
        <v>12561</v>
      </c>
      <c r="H2390" s="154" t="s">
        <v>9012</v>
      </c>
      <c r="I2390" s="154" t="s">
        <v>12555</v>
      </c>
      <c r="J2390" s="154" t="s">
        <v>8159</v>
      </c>
      <c r="K2390" s="154" t="s">
        <v>12282</v>
      </c>
      <c r="L2390" s="154" t="s">
        <v>6022</v>
      </c>
      <c r="M2390" s="154"/>
      <c r="N2390" s="154" t="s">
        <v>759</v>
      </c>
      <c r="O2390" s="247" t="s">
        <v>516</v>
      </c>
      <c r="P2390" s="247" t="s">
        <v>6776</v>
      </c>
      <c r="Q2390" s="154" t="str">
        <f t="shared" si="1"/>
        <v>#ERROR!</v>
      </c>
      <c r="R2390" s="154" t="s">
        <v>66</v>
      </c>
      <c r="S2390" s="154" t="s">
        <v>66</v>
      </c>
      <c r="T2390" s="154" t="s">
        <v>64</v>
      </c>
      <c r="U2390" s="154" t="s">
        <v>64</v>
      </c>
      <c r="V2390" s="154" t="s">
        <v>64</v>
      </c>
      <c r="W2390" s="154" t="s">
        <v>64</v>
      </c>
      <c r="X2390" s="154" t="s">
        <v>66</v>
      </c>
      <c r="Y2390" s="154" t="s">
        <v>64</v>
      </c>
      <c r="Z2390" s="154" t="s">
        <v>64</v>
      </c>
      <c r="AA2390" s="154"/>
      <c r="AB2390" s="242" t="str">
        <f t="shared" si="2"/>
        <v>#ERROR!</v>
      </c>
      <c r="AC2390" s="154" t="s">
        <v>391</v>
      </c>
      <c r="AD2390" s="242" t="b">
        <f t="shared" si="3"/>
        <v>0</v>
      </c>
      <c r="AE2390" s="154"/>
      <c r="AF2390" s="242" t="str">
        <f t="shared" si="4"/>
        <v>#ERROR!</v>
      </c>
      <c r="AG2390" s="154"/>
      <c r="AH2390" s="242" t="str">
        <f>IF(AG2390="","N/A",INDIRECT("MTR!"&amp;ADDRESS(MATCH(LEFT(AG2390,9),[1]MTR!C:C,0),COLUMN(J2390)),TRUE) &amp; "")</f>
        <v>#ERROR!</v>
      </c>
      <c r="AI2390" s="157" t="str">
        <f t="shared" si="5"/>
        <v>#ERROR!</v>
      </c>
    </row>
    <row r="2391" ht="12.75" customHeight="1">
      <c r="A2391" s="244" t="s">
        <v>5158</v>
      </c>
      <c r="B2391" s="244" t="s">
        <v>231</v>
      </c>
      <c r="C2391" s="245" t="s">
        <v>12562</v>
      </c>
      <c r="D2391" s="155" t="s">
        <v>1315</v>
      </c>
      <c r="E2391" s="155" t="s">
        <v>92</v>
      </c>
      <c r="F2391" s="154" t="str">
        <f t="array" ref="F2391">XLOOKUP(Cover!$D$12,$R$1:$Z$1,$R2391:$Z2391)</f>
        <v>Recommended</v>
      </c>
      <c r="G2391" s="154" t="s">
        <v>12563</v>
      </c>
      <c r="H2391" s="154" t="s">
        <v>9002</v>
      </c>
      <c r="I2391" s="154" t="s">
        <v>12564</v>
      </c>
      <c r="J2391" s="154" t="s">
        <v>8416</v>
      </c>
      <c r="K2391" s="154" t="s">
        <v>12282</v>
      </c>
      <c r="L2391" s="154" t="s">
        <v>6905</v>
      </c>
      <c r="M2391" s="154"/>
      <c r="N2391" s="154" t="s">
        <v>759</v>
      </c>
      <c r="O2391" s="247" t="s">
        <v>516</v>
      </c>
      <c r="P2391" s="247" t="s">
        <v>6776</v>
      </c>
      <c r="Q2391" s="154" t="str">
        <f t="shared" si="1"/>
        <v>#ERROR!</v>
      </c>
      <c r="R2391" s="154" t="s">
        <v>66</v>
      </c>
      <c r="S2391" s="154" t="s">
        <v>66</v>
      </c>
      <c r="T2391" s="154" t="s">
        <v>64</v>
      </c>
      <c r="U2391" s="154" t="s">
        <v>64</v>
      </c>
      <c r="V2391" s="154" t="s">
        <v>64</v>
      </c>
      <c r="W2391" s="154" t="s">
        <v>64</v>
      </c>
      <c r="X2391" s="154" t="s">
        <v>66</v>
      </c>
      <c r="Y2391" s="154" t="s">
        <v>64</v>
      </c>
      <c r="Z2391" s="154" t="s">
        <v>64</v>
      </c>
      <c r="AA2391" s="154"/>
      <c r="AB2391" s="242" t="str">
        <f t="shared" si="2"/>
        <v>#ERROR!</v>
      </c>
      <c r="AC2391" s="154" t="s">
        <v>391</v>
      </c>
      <c r="AD2391" s="242" t="b">
        <f t="shared" si="3"/>
        <v>0</v>
      </c>
      <c r="AE2391" s="154"/>
      <c r="AF2391" s="242" t="str">
        <f t="shared" si="4"/>
        <v>#ERROR!</v>
      </c>
      <c r="AG2391" s="154"/>
      <c r="AH2391" s="242" t="str">
        <f>IF(AG2391="","N/A",INDIRECT("MTR!"&amp;ADDRESS(MATCH(LEFT(AG2391,9),[1]MTR!C:C,0),COLUMN(J2391)),TRUE) &amp; "")</f>
        <v>#ERROR!</v>
      </c>
      <c r="AI2391" s="157" t="str">
        <f t="shared" si="5"/>
        <v>#ERROR!</v>
      </c>
    </row>
    <row r="2392" ht="12.75" customHeight="1">
      <c r="A2392" s="244" t="s">
        <v>5158</v>
      </c>
      <c r="B2392" s="244" t="s">
        <v>231</v>
      </c>
      <c r="C2392" s="245" t="s">
        <v>12565</v>
      </c>
      <c r="D2392" s="155" t="s">
        <v>1315</v>
      </c>
      <c r="E2392" s="155" t="s">
        <v>92</v>
      </c>
      <c r="F2392" s="154" t="str">
        <f t="array" ref="F2392">XLOOKUP(Cover!$D$12,$R$1:$Z$1,$R2392:$Z2392)</f>
        <v>Recommended</v>
      </c>
      <c r="G2392" s="154" t="s">
        <v>12566</v>
      </c>
      <c r="H2392" s="154" t="s">
        <v>9006</v>
      </c>
      <c r="I2392" s="154" t="s">
        <v>12564</v>
      </c>
      <c r="J2392" s="154" t="s">
        <v>8416</v>
      </c>
      <c r="K2392" s="154" t="s">
        <v>12282</v>
      </c>
      <c r="L2392" s="154" t="s">
        <v>6905</v>
      </c>
      <c r="M2392" s="154"/>
      <c r="N2392" s="154" t="s">
        <v>759</v>
      </c>
      <c r="O2392" s="247" t="s">
        <v>516</v>
      </c>
      <c r="P2392" s="247" t="s">
        <v>6776</v>
      </c>
      <c r="Q2392" s="154" t="str">
        <f t="shared" si="1"/>
        <v>#ERROR!</v>
      </c>
      <c r="R2392" s="154" t="s">
        <v>66</v>
      </c>
      <c r="S2392" s="154" t="s">
        <v>66</v>
      </c>
      <c r="T2392" s="154" t="s">
        <v>64</v>
      </c>
      <c r="U2392" s="154" t="s">
        <v>64</v>
      </c>
      <c r="V2392" s="154" t="s">
        <v>64</v>
      </c>
      <c r="W2392" s="154" t="s">
        <v>64</v>
      </c>
      <c r="X2392" s="154" t="s">
        <v>66</v>
      </c>
      <c r="Y2392" s="154" t="s">
        <v>64</v>
      </c>
      <c r="Z2392" s="154" t="s">
        <v>64</v>
      </c>
      <c r="AA2392" s="154"/>
      <c r="AB2392" s="242" t="str">
        <f t="shared" si="2"/>
        <v>#ERROR!</v>
      </c>
      <c r="AC2392" s="154" t="s">
        <v>391</v>
      </c>
      <c r="AD2392" s="242" t="b">
        <f t="shared" si="3"/>
        <v>0</v>
      </c>
      <c r="AE2392" s="154"/>
      <c r="AF2392" s="242" t="str">
        <f t="shared" si="4"/>
        <v>#ERROR!</v>
      </c>
      <c r="AG2392" s="154"/>
      <c r="AH2392" s="242" t="str">
        <f>IF(AG2392="","N/A",INDIRECT("MTR!"&amp;ADDRESS(MATCH(LEFT(AG2392,9),[1]MTR!C:C,0),COLUMN(J2392)),TRUE) &amp; "")</f>
        <v>#ERROR!</v>
      </c>
      <c r="AI2392" s="157" t="str">
        <f t="shared" si="5"/>
        <v>#ERROR!</v>
      </c>
    </row>
    <row r="2393" ht="12.75" customHeight="1">
      <c r="A2393" s="244" t="s">
        <v>5158</v>
      </c>
      <c r="B2393" s="244" t="s">
        <v>231</v>
      </c>
      <c r="C2393" s="244" t="s">
        <v>12567</v>
      </c>
      <c r="D2393" s="154" t="s">
        <v>1315</v>
      </c>
      <c r="E2393" s="154"/>
      <c r="F2393" s="154" t="str">
        <f t="array" ref="F2393">XLOOKUP(Cover!$D$12,$R$1:$Z$1,$R2393:$Z2393)</f>
        <v>Recommended</v>
      </c>
      <c r="G2393" s="154" t="s">
        <v>12568</v>
      </c>
      <c r="H2393" s="154" t="s">
        <v>9009</v>
      </c>
      <c r="I2393" s="154" t="s">
        <v>12564</v>
      </c>
      <c r="J2393" s="154" t="s">
        <v>8416</v>
      </c>
      <c r="K2393" s="154" t="s">
        <v>12282</v>
      </c>
      <c r="L2393" s="154" t="s">
        <v>6905</v>
      </c>
      <c r="M2393" s="154"/>
      <c r="N2393" s="154" t="s">
        <v>759</v>
      </c>
      <c r="O2393" s="247" t="s">
        <v>516</v>
      </c>
      <c r="P2393" s="247" t="s">
        <v>6776</v>
      </c>
      <c r="Q2393" s="154" t="str">
        <f t="shared" si="1"/>
        <v>#ERROR!</v>
      </c>
      <c r="R2393" s="154" t="s">
        <v>66</v>
      </c>
      <c r="S2393" s="154" t="s">
        <v>66</v>
      </c>
      <c r="T2393" s="154" t="s">
        <v>64</v>
      </c>
      <c r="U2393" s="154" t="s">
        <v>64</v>
      </c>
      <c r="V2393" s="154" t="s">
        <v>64</v>
      </c>
      <c r="W2393" s="154" t="s">
        <v>64</v>
      </c>
      <c r="X2393" s="154" t="s">
        <v>66</v>
      </c>
      <c r="Y2393" s="154" t="s">
        <v>64</v>
      </c>
      <c r="Z2393" s="154" t="s">
        <v>64</v>
      </c>
      <c r="AA2393" s="154"/>
      <c r="AB2393" s="242" t="str">
        <f t="shared" si="2"/>
        <v>#ERROR!</v>
      </c>
      <c r="AC2393" s="154" t="s">
        <v>391</v>
      </c>
      <c r="AD2393" s="242" t="b">
        <f t="shared" si="3"/>
        <v>0</v>
      </c>
      <c r="AE2393" s="154"/>
      <c r="AF2393" s="242" t="str">
        <f t="shared" si="4"/>
        <v>#ERROR!</v>
      </c>
      <c r="AG2393" s="154"/>
      <c r="AH2393" s="242" t="str">
        <f>IF(AG2393="","N/A",INDIRECT("MTR!"&amp;ADDRESS(MATCH(LEFT(AG2393,9),[1]MTR!C:C,0),COLUMN(J2393)),TRUE) &amp; "")</f>
        <v>#ERROR!</v>
      </c>
      <c r="AI2393" s="157" t="str">
        <f t="shared" si="5"/>
        <v>#ERROR!</v>
      </c>
    </row>
    <row r="2394" ht="12.75" customHeight="1">
      <c r="A2394" s="244" t="s">
        <v>5158</v>
      </c>
      <c r="B2394" s="244" t="s">
        <v>231</v>
      </c>
      <c r="C2394" s="245" t="s">
        <v>12569</v>
      </c>
      <c r="D2394" s="155" t="s">
        <v>1315</v>
      </c>
      <c r="E2394" s="155" t="s">
        <v>92</v>
      </c>
      <c r="F2394" s="154" t="str">
        <f t="array" ref="F2394">XLOOKUP(Cover!$D$12,$R$1:$Z$1,$R2394:$Z2394)</f>
        <v>Recommended</v>
      </c>
      <c r="G2394" s="154" t="s">
        <v>12570</v>
      </c>
      <c r="H2394" s="154" t="s">
        <v>9015</v>
      </c>
      <c r="I2394" s="154" t="s">
        <v>12564</v>
      </c>
      <c r="J2394" s="154" t="s">
        <v>8416</v>
      </c>
      <c r="K2394" s="154" t="s">
        <v>12282</v>
      </c>
      <c r="L2394" s="154" t="s">
        <v>6905</v>
      </c>
      <c r="M2394" s="154"/>
      <c r="N2394" s="154" t="s">
        <v>759</v>
      </c>
      <c r="O2394" s="247" t="s">
        <v>516</v>
      </c>
      <c r="P2394" s="247" t="s">
        <v>6776</v>
      </c>
      <c r="Q2394" s="154" t="str">
        <f t="shared" si="1"/>
        <v>#ERROR!</v>
      </c>
      <c r="R2394" s="154" t="s">
        <v>66</v>
      </c>
      <c r="S2394" s="154" t="s">
        <v>66</v>
      </c>
      <c r="T2394" s="154" t="s">
        <v>64</v>
      </c>
      <c r="U2394" s="154" t="s">
        <v>64</v>
      </c>
      <c r="V2394" s="154" t="s">
        <v>64</v>
      </c>
      <c r="W2394" s="154" t="s">
        <v>64</v>
      </c>
      <c r="X2394" s="154" t="s">
        <v>66</v>
      </c>
      <c r="Y2394" s="154" t="s">
        <v>64</v>
      </c>
      <c r="Z2394" s="154" t="s">
        <v>64</v>
      </c>
      <c r="AA2394" s="154"/>
      <c r="AB2394" s="242" t="str">
        <f t="shared" si="2"/>
        <v>#ERROR!</v>
      </c>
      <c r="AC2394" s="154" t="s">
        <v>391</v>
      </c>
      <c r="AD2394" s="242" t="b">
        <f t="shared" si="3"/>
        <v>0</v>
      </c>
      <c r="AE2394" s="154"/>
      <c r="AF2394" s="242" t="str">
        <f t="shared" si="4"/>
        <v>#ERROR!</v>
      </c>
      <c r="AG2394" s="154"/>
      <c r="AH2394" s="242" t="str">
        <f>IF(AG2394="","N/A",INDIRECT("MTR!"&amp;ADDRESS(MATCH(LEFT(AG2394,9),[1]MTR!C:C,0),COLUMN(J2394)),TRUE) &amp; "")</f>
        <v>#ERROR!</v>
      </c>
      <c r="AI2394" s="157" t="str">
        <f t="shared" si="5"/>
        <v>#ERROR!</v>
      </c>
    </row>
    <row r="2395" ht="12.75" customHeight="1">
      <c r="A2395" s="244" t="s">
        <v>5158</v>
      </c>
      <c r="B2395" s="244" t="s">
        <v>231</v>
      </c>
      <c r="C2395" s="245" t="s">
        <v>12571</v>
      </c>
      <c r="D2395" s="155" t="s">
        <v>503</v>
      </c>
      <c r="E2395" s="155" t="s">
        <v>92</v>
      </c>
      <c r="F2395" s="154" t="str">
        <f t="array" ref="F2395">XLOOKUP(Cover!$D$12,$R$1:$Z$1,$R2395:$Z2395)</f>
        <v>Recommended</v>
      </c>
      <c r="G2395" s="154" t="s">
        <v>12572</v>
      </c>
      <c r="H2395" s="154" t="s">
        <v>9002</v>
      </c>
      <c r="I2395" s="154" t="s">
        <v>12573</v>
      </c>
      <c r="J2395" s="154" t="s">
        <v>7656</v>
      </c>
      <c r="K2395" s="154" t="s">
        <v>12282</v>
      </c>
      <c r="L2395" s="154" t="s">
        <v>6463</v>
      </c>
      <c r="M2395" s="154"/>
      <c r="N2395" s="154" t="s">
        <v>759</v>
      </c>
      <c r="O2395" s="247" t="s">
        <v>516</v>
      </c>
      <c r="P2395" s="247" t="s">
        <v>6776</v>
      </c>
      <c r="Q2395" s="154" t="str">
        <f t="shared" si="1"/>
        <v>#ERROR!</v>
      </c>
      <c r="R2395" s="154" t="s">
        <v>66</v>
      </c>
      <c r="S2395" s="154" t="s">
        <v>66</v>
      </c>
      <c r="T2395" s="154" t="s">
        <v>64</v>
      </c>
      <c r="U2395" s="154" t="s">
        <v>64</v>
      </c>
      <c r="V2395" s="154" t="s">
        <v>64</v>
      </c>
      <c r="W2395" s="154" t="s">
        <v>64</v>
      </c>
      <c r="X2395" s="154" t="s">
        <v>66</v>
      </c>
      <c r="Y2395" s="154" t="s">
        <v>64</v>
      </c>
      <c r="Z2395" s="154" t="s">
        <v>64</v>
      </c>
      <c r="AA2395" s="154"/>
      <c r="AB2395" s="242" t="str">
        <f t="shared" si="2"/>
        <v>#ERROR!</v>
      </c>
      <c r="AC2395" s="154" t="s">
        <v>391</v>
      </c>
      <c r="AD2395" s="242" t="b">
        <f t="shared" si="3"/>
        <v>0</v>
      </c>
      <c r="AE2395" s="154"/>
      <c r="AF2395" s="242" t="str">
        <f t="shared" si="4"/>
        <v>#ERROR!</v>
      </c>
      <c r="AG2395" s="154"/>
      <c r="AH2395" s="242" t="str">
        <f>IF(AG2395="","N/A",INDIRECT("MTR!"&amp;ADDRESS(MATCH(LEFT(AG2395,9),[1]MTR!C:C,0),COLUMN(J2395)),TRUE) &amp; "")</f>
        <v>#ERROR!</v>
      </c>
      <c r="AI2395" s="157" t="str">
        <f t="shared" si="5"/>
        <v>#ERROR!</v>
      </c>
    </row>
    <row r="2396" ht="12.75" customHeight="1">
      <c r="A2396" s="244" t="s">
        <v>5158</v>
      </c>
      <c r="B2396" s="244" t="s">
        <v>231</v>
      </c>
      <c r="C2396" s="245" t="s">
        <v>12574</v>
      </c>
      <c r="D2396" s="155" t="s">
        <v>503</v>
      </c>
      <c r="E2396" s="155" t="s">
        <v>92</v>
      </c>
      <c r="F2396" s="154" t="str">
        <f t="array" ref="F2396">XLOOKUP(Cover!$D$12,$R$1:$Z$1,$R2396:$Z2396)</f>
        <v>Recommended</v>
      </c>
      <c r="G2396" s="154" t="s">
        <v>12575</v>
      </c>
      <c r="H2396" s="154" t="s">
        <v>9006</v>
      </c>
      <c r="I2396" s="154" t="s">
        <v>12573</v>
      </c>
      <c r="J2396" s="154" t="s">
        <v>7656</v>
      </c>
      <c r="K2396" s="154" t="s">
        <v>12282</v>
      </c>
      <c r="L2396" s="154" t="s">
        <v>6463</v>
      </c>
      <c r="M2396" s="154"/>
      <c r="N2396" s="154" t="s">
        <v>759</v>
      </c>
      <c r="O2396" s="247" t="s">
        <v>516</v>
      </c>
      <c r="P2396" s="247" t="s">
        <v>6776</v>
      </c>
      <c r="Q2396" s="154" t="str">
        <f t="shared" si="1"/>
        <v>#ERROR!</v>
      </c>
      <c r="R2396" s="154" t="s">
        <v>66</v>
      </c>
      <c r="S2396" s="154" t="s">
        <v>66</v>
      </c>
      <c r="T2396" s="154" t="s">
        <v>64</v>
      </c>
      <c r="U2396" s="154" t="s">
        <v>64</v>
      </c>
      <c r="V2396" s="154" t="s">
        <v>64</v>
      </c>
      <c r="W2396" s="154" t="s">
        <v>64</v>
      </c>
      <c r="X2396" s="154" t="s">
        <v>66</v>
      </c>
      <c r="Y2396" s="154" t="s">
        <v>64</v>
      </c>
      <c r="Z2396" s="154" t="s">
        <v>64</v>
      </c>
      <c r="AA2396" s="154"/>
      <c r="AB2396" s="242" t="str">
        <f t="shared" si="2"/>
        <v>#ERROR!</v>
      </c>
      <c r="AC2396" s="154" t="s">
        <v>391</v>
      </c>
      <c r="AD2396" s="242" t="b">
        <f t="shared" si="3"/>
        <v>0</v>
      </c>
      <c r="AE2396" s="154"/>
      <c r="AF2396" s="242" t="str">
        <f t="shared" si="4"/>
        <v>#ERROR!</v>
      </c>
      <c r="AG2396" s="154"/>
      <c r="AH2396" s="242" t="str">
        <f>IF(AG2396="","N/A",INDIRECT("MTR!"&amp;ADDRESS(MATCH(LEFT(AG2396,9),[1]MTR!C:C,0),COLUMN(J2396)),TRUE) &amp; "")</f>
        <v>#ERROR!</v>
      </c>
      <c r="AI2396" s="157" t="str">
        <f t="shared" si="5"/>
        <v>#ERROR!</v>
      </c>
    </row>
    <row r="2397" ht="12.75" customHeight="1">
      <c r="A2397" s="244" t="s">
        <v>5158</v>
      </c>
      <c r="B2397" s="244" t="s">
        <v>231</v>
      </c>
      <c r="C2397" s="244" t="s">
        <v>12576</v>
      </c>
      <c r="D2397" s="154" t="s">
        <v>503</v>
      </c>
      <c r="E2397" s="154"/>
      <c r="F2397" s="154" t="str">
        <f t="array" ref="F2397">XLOOKUP(Cover!$D$12,$R$1:$Z$1,$R2397:$Z2397)</f>
        <v>Recommended</v>
      </c>
      <c r="G2397" s="154" t="s">
        <v>12577</v>
      </c>
      <c r="H2397" s="154" t="s">
        <v>9009</v>
      </c>
      <c r="I2397" s="154" t="s">
        <v>12573</v>
      </c>
      <c r="J2397" s="154" t="s">
        <v>7656</v>
      </c>
      <c r="K2397" s="154" t="s">
        <v>12282</v>
      </c>
      <c r="L2397" s="154" t="s">
        <v>6463</v>
      </c>
      <c r="M2397" s="154"/>
      <c r="N2397" s="154" t="s">
        <v>759</v>
      </c>
      <c r="O2397" s="247" t="s">
        <v>516</v>
      </c>
      <c r="P2397" s="247" t="s">
        <v>6776</v>
      </c>
      <c r="Q2397" s="154" t="str">
        <f t="shared" si="1"/>
        <v>#ERROR!</v>
      </c>
      <c r="R2397" s="154" t="s">
        <v>66</v>
      </c>
      <c r="S2397" s="154" t="s">
        <v>66</v>
      </c>
      <c r="T2397" s="154" t="s">
        <v>64</v>
      </c>
      <c r="U2397" s="154" t="s">
        <v>64</v>
      </c>
      <c r="V2397" s="154" t="s">
        <v>64</v>
      </c>
      <c r="W2397" s="154" t="s">
        <v>64</v>
      </c>
      <c r="X2397" s="154" t="s">
        <v>66</v>
      </c>
      <c r="Y2397" s="154" t="s">
        <v>64</v>
      </c>
      <c r="Z2397" s="154" t="s">
        <v>64</v>
      </c>
      <c r="AA2397" s="154"/>
      <c r="AB2397" s="242" t="str">
        <f t="shared" si="2"/>
        <v>#ERROR!</v>
      </c>
      <c r="AC2397" s="154" t="s">
        <v>391</v>
      </c>
      <c r="AD2397" s="242" t="b">
        <f t="shared" si="3"/>
        <v>0</v>
      </c>
      <c r="AE2397" s="154"/>
      <c r="AF2397" s="242" t="str">
        <f t="shared" si="4"/>
        <v>#ERROR!</v>
      </c>
      <c r="AG2397" s="154"/>
      <c r="AH2397" s="242" t="str">
        <f>IF(AG2397="","N/A",INDIRECT("MTR!"&amp;ADDRESS(MATCH(LEFT(AG2397,9),[1]MTR!C:C,0),COLUMN(J2397)),TRUE) &amp; "")</f>
        <v>#ERROR!</v>
      </c>
      <c r="AI2397" s="157" t="str">
        <f t="shared" si="5"/>
        <v>#ERROR!</v>
      </c>
    </row>
    <row r="2398" ht="12.75" customHeight="1">
      <c r="A2398" s="244" t="s">
        <v>5158</v>
      </c>
      <c r="B2398" s="244" t="s">
        <v>231</v>
      </c>
      <c r="C2398" s="245" t="s">
        <v>12578</v>
      </c>
      <c r="D2398" s="155" t="s">
        <v>503</v>
      </c>
      <c r="E2398" s="155" t="s">
        <v>92</v>
      </c>
      <c r="F2398" s="154" t="str">
        <f t="array" ref="F2398">XLOOKUP(Cover!$D$12,$R$1:$Z$1,$R2398:$Z2398)</f>
        <v>Recommended</v>
      </c>
      <c r="G2398" s="154" t="s">
        <v>12579</v>
      </c>
      <c r="H2398" s="154" t="s">
        <v>1541</v>
      </c>
      <c r="I2398" s="154" t="s">
        <v>12573</v>
      </c>
      <c r="J2398" s="154" t="s">
        <v>7656</v>
      </c>
      <c r="K2398" s="154" t="s">
        <v>12282</v>
      </c>
      <c r="L2398" s="154" t="s">
        <v>6463</v>
      </c>
      <c r="M2398" s="154"/>
      <c r="N2398" s="154" t="s">
        <v>759</v>
      </c>
      <c r="O2398" s="247" t="s">
        <v>516</v>
      </c>
      <c r="P2398" s="247" t="s">
        <v>6776</v>
      </c>
      <c r="Q2398" s="154" t="str">
        <f t="shared" si="1"/>
        <v>#ERROR!</v>
      </c>
      <c r="R2398" s="154" t="s">
        <v>66</v>
      </c>
      <c r="S2398" s="154" t="s">
        <v>66</v>
      </c>
      <c r="T2398" s="154" t="s">
        <v>64</v>
      </c>
      <c r="U2398" s="154" t="s">
        <v>64</v>
      </c>
      <c r="V2398" s="154" t="s">
        <v>64</v>
      </c>
      <c r="W2398" s="154" t="s">
        <v>64</v>
      </c>
      <c r="X2398" s="154" t="s">
        <v>66</v>
      </c>
      <c r="Y2398" s="154" t="s">
        <v>64</v>
      </c>
      <c r="Z2398" s="154" t="s">
        <v>64</v>
      </c>
      <c r="AA2398" s="154"/>
      <c r="AB2398" s="242" t="str">
        <f t="shared" si="2"/>
        <v>#ERROR!</v>
      </c>
      <c r="AC2398" s="154" t="s">
        <v>391</v>
      </c>
      <c r="AD2398" s="242" t="b">
        <f t="shared" si="3"/>
        <v>0</v>
      </c>
      <c r="AE2398" s="154"/>
      <c r="AF2398" s="242" t="str">
        <f t="shared" si="4"/>
        <v>#ERROR!</v>
      </c>
      <c r="AG2398" s="154"/>
      <c r="AH2398" s="242" t="str">
        <f>IF(AG2398="","N/A",INDIRECT("MTR!"&amp;ADDRESS(MATCH(LEFT(AG2398,9),[1]MTR!C:C,0),COLUMN(J2398)),TRUE) &amp; "")</f>
        <v>#ERROR!</v>
      </c>
      <c r="AI2398" s="157" t="str">
        <f t="shared" si="5"/>
        <v>#ERROR!</v>
      </c>
    </row>
    <row r="2399" ht="12.75" customHeight="1">
      <c r="A2399" s="244" t="s">
        <v>5158</v>
      </c>
      <c r="B2399" s="244" t="s">
        <v>231</v>
      </c>
      <c r="C2399" s="244" t="s">
        <v>12580</v>
      </c>
      <c r="D2399" s="154" t="s">
        <v>503</v>
      </c>
      <c r="E2399" s="154"/>
      <c r="F2399" s="154" t="str">
        <f t="array" ref="F2399">XLOOKUP(Cover!$D$12,$R$1:$Z$1,$R2399:$Z2399)</f>
        <v>Information</v>
      </c>
      <c r="G2399" s="154" t="s">
        <v>12581</v>
      </c>
      <c r="H2399" s="154" t="s">
        <v>9002</v>
      </c>
      <c r="I2399" s="154" t="s">
        <v>12582</v>
      </c>
      <c r="J2399" s="154" t="s">
        <v>7676</v>
      </c>
      <c r="K2399" s="154" t="s">
        <v>12282</v>
      </c>
      <c r="L2399" s="154" t="s">
        <v>6463</v>
      </c>
      <c r="M2399" s="154"/>
      <c r="N2399" s="154" t="s">
        <v>759</v>
      </c>
      <c r="O2399" s="247" t="s">
        <v>516</v>
      </c>
      <c r="P2399" s="247" t="s">
        <v>6776</v>
      </c>
      <c r="Q2399" s="154" t="str">
        <f t="shared" si="1"/>
        <v>#ERROR!</v>
      </c>
      <c r="R2399" s="154" t="s">
        <v>66</v>
      </c>
      <c r="S2399" s="154" t="s">
        <v>66</v>
      </c>
      <c r="T2399" s="154" t="s">
        <v>66</v>
      </c>
      <c r="U2399" s="154" t="s">
        <v>66</v>
      </c>
      <c r="V2399" s="154" t="s">
        <v>66</v>
      </c>
      <c r="W2399" s="154" t="s">
        <v>66</v>
      </c>
      <c r="X2399" s="154" t="s">
        <v>66</v>
      </c>
      <c r="Y2399" s="154" t="s">
        <v>66</v>
      </c>
      <c r="Z2399" s="154" t="s">
        <v>66</v>
      </c>
      <c r="AA2399" s="154"/>
      <c r="AB2399" s="242" t="str">
        <f t="shared" si="2"/>
        <v>#ERROR!</v>
      </c>
      <c r="AC2399" s="154" t="s">
        <v>391</v>
      </c>
      <c r="AD2399" s="242" t="b">
        <f t="shared" si="3"/>
        <v>0</v>
      </c>
      <c r="AE2399" s="154"/>
      <c r="AF2399" s="242" t="str">
        <f t="shared" si="4"/>
        <v>#ERROR!</v>
      </c>
      <c r="AG2399" s="154"/>
      <c r="AH2399" s="242" t="str">
        <f>IF(AG2399="","N/A",INDIRECT("MTR!"&amp;ADDRESS(MATCH(LEFT(AG2399,9),[1]MTR!C:C,0),COLUMN(J2399)),TRUE) &amp; "")</f>
        <v>#ERROR!</v>
      </c>
      <c r="AI2399" s="157" t="str">
        <f t="shared" si="5"/>
        <v>#ERROR!</v>
      </c>
    </row>
    <row r="2400" ht="12.75" customHeight="1">
      <c r="A2400" s="244" t="s">
        <v>5158</v>
      </c>
      <c r="B2400" s="244" t="s">
        <v>231</v>
      </c>
      <c r="C2400" s="244" t="s">
        <v>12583</v>
      </c>
      <c r="D2400" s="154" t="s">
        <v>503</v>
      </c>
      <c r="E2400" s="154"/>
      <c r="F2400" s="154" t="str">
        <f t="array" ref="F2400">XLOOKUP(Cover!$D$12,$R$1:$Z$1,$R2400:$Z2400)</f>
        <v>Information</v>
      </c>
      <c r="G2400" s="154" t="s">
        <v>12584</v>
      </c>
      <c r="H2400" s="154" t="s">
        <v>9009</v>
      </c>
      <c r="I2400" s="154" t="s">
        <v>12582</v>
      </c>
      <c r="J2400" s="154" t="s">
        <v>7676</v>
      </c>
      <c r="K2400" s="154" t="s">
        <v>12282</v>
      </c>
      <c r="L2400" s="154" t="s">
        <v>6463</v>
      </c>
      <c r="M2400" s="154"/>
      <c r="N2400" s="154" t="s">
        <v>759</v>
      </c>
      <c r="O2400" s="247" t="s">
        <v>516</v>
      </c>
      <c r="P2400" s="247" t="s">
        <v>6776</v>
      </c>
      <c r="Q2400" s="154" t="str">
        <f t="shared" si="1"/>
        <v>#ERROR!</v>
      </c>
      <c r="R2400" s="154" t="s">
        <v>66</v>
      </c>
      <c r="S2400" s="154" t="s">
        <v>66</v>
      </c>
      <c r="T2400" s="154" t="s">
        <v>66</v>
      </c>
      <c r="U2400" s="154" t="s">
        <v>66</v>
      </c>
      <c r="V2400" s="154" t="s">
        <v>66</v>
      </c>
      <c r="W2400" s="154" t="s">
        <v>66</v>
      </c>
      <c r="X2400" s="154" t="s">
        <v>66</v>
      </c>
      <c r="Y2400" s="154" t="s">
        <v>66</v>
      </c>
      <c r="Z2400" s="154" t="s">
        <v>66</v>
      </c>
      <c r="AA2400" s="154"/>
      <c r="AB2400" s="242" t="str">
        <f t="shared" si="2"/>
        <v>#ERROR!</v>
      </c>
      <c r="AC2400" s="154" t="s">
        <v>391</v>
      </c>
      <c r="AD2400" s="242" t="b">
        <f t="shared" si="3"/>
        <v>0</v>
      </c>
      <c r="AE2400" s="154"/>
      <c r="AF2400" s="242" t="str">
        <f t="shared" si="4"/>
        <v>#ERROR!</v>
      </c>
      <c r="AG2400" s="154"/>
      <c r="AH2400" s="242" t="str">
        <f>IF(AG2400="","N/A",INDIRECT("MTR!"&amp;ADDRESS(MATCH(LEFT(AG2400,9),[1]MTR!C:C,0),COLUMN(J2400)),TRUE) &amp; "")</f>
        <v>#ERROR!</v>
      </c>
      <c r="AI2400" s="157" t="str">
        <f t="shared" si="5"/>
        <v>#ERROR!</v>
      </c>
    </row>
    <row r="2401" ht="12.75" customHeight="1">
      <c r="A2401" s="244" t="s">
        <v>5158</v>
      </c>
      <c r="B2401" s="244" t="s">
        <v>231</v>
      </c>
      <c r="C2401" s="244" t="s">
        <v>12585</v>
      </c>
      <c r="D2401" s="154" t="s">
        <v>503</v>
      </c>
      <c r="E2401" s="154"/>
      <c r="F2401" s="154" t="str">
        <f t="array" ref="F2401">XLOOKUP(Cover!$D$12,$R$1:$Z$1,$R2401:$Z2401)</f>
        <v>Information</v>
      </c>
      <c r="G2401" s="154" t="s">
        <v>12586</v>
      </c>
      <c r="H2401" s="154" t="s">
        <v>1541</v>
      </c>
      <c r="I2401" s="154" t="s">
        <v>12582</v>
      </c>
      <c r="J2401" s="154" t="s">
        <v>7676</v>
      </c>
      <c r="K2401" s="154" t="s">
        <v>12282</v>
      </c>
      <c r="L2401" s="154" t="s">
        <v>6463</v>
      </c>
      <c r="M2401" s="154"/>
      <c r="N2401" s="154" t="s">
        <v>759</v>
      </c>
      <c r="O2401" s="247" t="s">
        <v>516</v>
      </c>
      <c r="P2401" s="247" t="s">
        <v>6776</v>
      </c>
      <c r="Q2401" s="154" t="str">
        <f t="shared" si="1"/>
        <v>#ERROR!</v>
      </c>
      <c r="R2401" s="154" t="s">
        <v>66</v>
      </c>
      <c r="S2401" s="154" t="s">
        <v>66</v>
      </c>
      <c r="T2401" s="154" t="s">
        <v>66</v>
      </c>
      <c r="U2401" s="154" t="s">
        <v>66</v>
      </c>
      <c r="V2401" s="154" t="s">
        <v>66</v>
      </c>
      <c r="W2401" s="154" t="s">
        <v>66</v>
      </c>
      <c r="X2401" s="154" t="s">
        <v>66</v>
      </c>
      <c r="Y2401" s="154" t="s">
        <v>66</v>
      </c>
      <c r="Z2401" s="154" t="s">
        <v>66</v>
      </c>
      <c r="AA2401" s="154"/>
      <c r="AB2401" s="242" t="str">
        <f t="shared" si="2"/>
        <v>#ERROR!</v>
      </c>
      <c r="AC2401" s="154" t="s">
        <v>391</v>
      </c>
      <c r="AD2401" s="242" t="b">
        <f t="shared" si="3"/>
        <v>0</v>
      </c>
      <c r="AE2401" s="154"/>
      <c r="AF2401" s="242" t="str">
        <f t="shared" si="4"/>
        <v>#ERROR!</v>
      </c>
      <c r="AG2401" s="154"/>
      <c r="AH2401" s="242" t="str">
        <f>IF(AG2401="","N/A",INDIRECT("MTR!"&amp;ADDRESS(MATCH(LEFT(AG2401,9),[1]MTR!C:C,0),COLUMN(J2401)),TRUE) &amp; "")</f>
        <v>#ERROR!</v>
      </c>
      <c r="AI2401" s="157" t="str">
        <f t="shared" si="5"/>
        <v>#ERROR!</v>
      </c>
    </row>
    <row r="2402" ht="12.75" customHeight="1">
      <c r="A2402" s="244" t="s">
        <v>5158</v>
      </c>
      <c r="B2402" s="244" t="s">
        <v>231</v>
      </c>
      <c r="C2402" s="244" t="s">
        <v>12587</v>
      </c>
      <c r="D2402" s="154" t="s">
        <v>781</v>
      </c>
      <c r="E2402" s="154"/>
      <c r="F2402" s="154" t="str">
        <f t="array" ref="F2402">XLOOKUP(Cover!$D$12,$R$1:$Z$1,$R2402:$Z2402)</f>
        <v>Mandatory</v>
      </c>
      <c r="G2402" s="154" t="s">
        <v>12588</v>
      </c>
      <c r="H2402" s="154" t="s">
        <v>9006</v>
      </c>
      <c r="I2402" s="154" t="s">
        <v>12589</v>
      </c>
      <c r="J2402" s="154" t="s">
        <v>7136</v>
      </c>
      <c r="K2402" s="154" t="s">
        <v>12282</v>
      </c>
      <c r="L2402" s="154" t="s">
        <v>6140</v>
      </c>
      <c r="M2402" s="154" t="s">
        <v>175</v>
      </c>
      <c r="N2402" s="154" t="s">
        <v>759</v>
      </c>
      <c r="O2402" s="247" t="s">
        <v>445</v>
      </c>
      <c r="P2402" s="154"/>
      <c r="Q2402" s="154" t="str">
        <f t="shared" si="1"/>
        <v>#ERROR!</v>
      </c>
      <c r="R2402" s="154" t="s">
        <v>66</v>
      </c>
      <c r="S2402" s="154" t="s">
        <v>66</v>
      </c>
      <c r="T2402" s="155" t="s">
        <v>64</v>
      </c>
      <c r="U2402" s="155" t="s">
        <v>64</v>
      </c>
      <c r="V2402" s="154" t="s">
        <v>60</v>
      </c>
      <c r="W2402" s="154" t="s">
        <v>60</v>
      </c>
      <c r="X2402" s="154" t="s">
        <v>66</v>
      </c>
      <c r="Y2402" s="155" t="s">
        <v>64</v>
      </c>
      <c r="Z2402" s="154" t="s">
        <v>60</v>
      </c>
      <c r="AA2402" s="154"/>
      <c r="AB2402" s="242" t="str">
        <f t="shared" si="2"/>
        <v>#ERROR!</v>
      </c>
      <c r="AC2402" s="154" t="s">
        <v>391</v>
      </c>
      <c r="AD2402" s="242" t="b">
        <f t="shared" si="3"/>
        <v>0</v>
      </c>
      <c r="AE2402" s="154"/>
      <c r="AF2402" s="242" t="str">
        <f t="shared" si="4"/>
        <v>#ERROR!</v>
      </c>
      <c r="AG2402" s="154"/>
      <c r="AH2402" s="242" t="str">
        <f>IF(AG2402="","N/A",INDIRECT("MTR!"&amp;ADDRESS(MATCH(LEFT(AG2402,9),[1]MTR!C:C,0),COLUMN(J2402)),TRUE) &amp; "")</f>
        <v>#ERROR!</v>
      </c>
      <c r="AI2402" s="157" t="str">
        <f t="shared" si="5"/>
        <v>#ERROR!</v>
      </c>
    </row>
    <row r="2403" ht="12.75" customHeight="1">
      <c r="A2403" s="244" t="s">
        <v>5158</v>
      </c>
      <c r="B2403" s="244" t="s">
        <v>231</v>
      </c>
      <c r="C2403" s="244" t="s">
        <v>12590</v>
      </c>
      <c r="D2403" s="154" t="s">
        <v>781</v>
      </c>
      <c r="E2403" s="154"/>
      <c r="F2403" s="154" t="str">
        <f t="array" ref="F2403">XLOOKUP(Cover!$D$12,$R$1:$Z$1,$R2403:$Z2403)</f>
        <v>Mandatory</v>
      </c>
      <c r="G2403" s="154" t="s">
        <v>12591</v>
      </c>
      <c r="H2403" s="154" t="s">
        <v>9053</v>
      </c>
      <c r="I2403" s="154" t="s">
        <v>12589</v>
      </c>
      <c r="J2403" s="154" t="s">
        <v>7136</v>
      </c>
      <c r="K2403" s="154" t="s">
        <v>12282</v>
      </c>
      <c r="L2403" s="154" t="s">
        <v>6140</v>
      </c>
      <c r="M2403" s="154" t="s">
        <v>175</v>
      </c>
      <c r="N2403" s="154" t="s">
        <v>759</v>
      </c>
      <c r="O2403" s="247" t="s">
        <v>516</v>
      </c>
      <c r="P2403" s="247" t="s">
        <v>6776</v>
      </c>
      <c r="Q2403" s="154" t="str">
        <f t="shared" si="1"/>
        <v>#ERROR!</v>
      </c>
      <c r="R2403" s="154" t="s">
        <v>66</v>
      </c>
      <c r="S2403" s="154" t="s">
        <v>66</v>
      </c>
      <c r="T2403" s="155" t="s">
        <v>64</v>
      </c>
      <c r="U2403" s="155" t="s">
        <v>64</v>
      </c>
      <c r="V2403" s="154" t="s">
        <v>60</v>
      </c>
      <c r="W2403" s="154" t="s">
        <v>60</v>
      </c>
      <c r="X2403" s="154" t="s">
        <v>66</v>
      </c>
      <c r="Y2403" s="155" t="s">
        <v>64</v>
      </c>
      <c r="Z2403" s="154" t="s">
        <v>60</v>
      </c>
      <c r="AA2403" s="154"/>
      <c r="AB2403" s="242" t="str">
        <f t="shared" si="2"/>
        <v>#ERROR!</v>
      </c>
      <c r="AC2403" s="154" t="s">
        <v>391</v>
      </c>
      <c r="AD2403" s="242" t="b">
        <f t="shared" si="3"/>
        <v>0</v>
      </c>
      <c r="AE2403" s="154"/>
      <c r="AF2403" s="242" t="str">
        <f t="shared" si="4"/>
        <v>#ERROR!</v>
      </c>
      <c r="AG2403" s="154"/>
      <c r="AH2403" s="242" t="str">
        <f>IF(AG2403="","N/A",INDIRECT("MTR!"&amp;ADDRESS(MATCH(LEFT(AG2403,9),[1]MTR!C:C,0),COLUMN(J2403)),TRUE) &amp; "")</f>
        <v>#ERROR!</v>
      </c>
      <c r="AI2403" s="157" t="str">
        <f t="shared" si="5"/>
        <v>#ERROR!</v>
      </c>
    </row>
    <row r="2404" ht="12.75" customHeight="1">
      <c r="A2404" s="244" t="s">
        <v>5158</v>
      </c>
      <c r="B2404" s="244" t="s">
        <v>231</v>
      </c>
      <c r="C2404" s="244" t="s">
        <v>12592</v>
      </c>
      <c r="D2404" s="154" t="s">
        <v>781</v>
      </c>
      <c r="E2404" s="154"/>
      <c r="F2404" s="154" t="str">
        <f t="array" ref="F2404">XLOOKUP(Cover!$D$12,$R$1:$Z$1,$R2404:$Z2404)</f>
        <v>Recommended</v>
      </c>
      <c r="G2404" s="154" t="s">
        <v>12593</v>
      </c>
      <c r="H2404" s="154" t="s">
        <v>9009</v>
      </c>
      <c r="I2404" s="154" t="s">
        <v>12589</v>
      </c>
      <c r="J2404" s="154" t="s">
        <v>7136</v>
      </c>
      <c r="K2404" s="154" t="s">
        <v>12282</v>
      </c>
      <c r="L2404" s="154" t="s">
        <v>6140</v>
      </c>
      <c r="M2404" s="154"/>
      <c r="N2404" s="154" t="s">
        <v>759</v>
      </c>
      <c r="O2404" s="247" t="s">
        <v>445</v>
      </c>
      <c r="P2404" s="154"/>
      <c r="Q2404" s="154" t="str">
        <f t="shared" si="1"/>
        <v>#ERROR!</v>
      </c>
      <c r="R2404" s="154" t="s">
        <v>66</v>
      </c>
      <c r="S2404" s="154" t="s">
        <v>66</v>
      </c>
      <c r="T2404" s="154" t="s">
        <v>64</v>
      </c>
      <c r="U2404" s="154" t="s">
        <v>64</v>
      </c>
      <c r="V2404" s="154" t="s">
        <v>64</v>
      </c>
      <c r="W2404" s="154" t="s">
        <v>64</v>
      </c>
      <c r="X2404" s="154" t="s">
        <v>66</v>
      </c>
      <c r="Y2404" s="154" t="s">
        <v>64</v>
      </c>
      <c r="Z2404" s="154" t="s">
        <v>64</v>
      </c>
      <c r="AA2404" s="154"/>
      <c r="AB2404" s="242" t="str">
        <f t="shared" si="2"/>
        <v>#ERROR!</v>
      </c>
      <c r="AC2404" s="154" t="s">
        <v>391</v>
      </c>
      <c r="AD2404" s="242" t="b">
        <f t="shared" si="3"/>
        <v>0</v>
      </c>
      <c r="AE2404" s="154"/>
      <c r="AF2404" s="242" t="str">
        <f t="shared" si="4"/>
        <v>#ERROR!</v>
      </c>
      <c r="AG2404" s="154"/>
      <c r="AH2404" s="242" t="str">
        <f>IF(AG2404="","N/A",INDIRECT("MTR!"&amp;ADDRESS(MATCH(LEFT(AG2404,9),[1]MTR!C:C,0),COLUMN(J2404)),TRUE) &amp; "")</f>
        <v>#ERROR!</v>
      </c>
      <c r="AI2404" s="157" t="str">
        <f t="shared" si="5"/>
        <v>#ERROR!</v>
      </c>
    </row>
    <row r="2405" ht="12.75" customHeight="1">
      <c r="A2405" s="244" t="s">
        <v>5158</v>
      </c>
      <c r="B2405" s="244" t="s">
        <v>231</v>
      </c>
      <c r="C2405" s="244" t="s">
        <v>12594</v>
      </c>
      <c r="D2405" s="154" t="s">
        <v>781</v>
      </c>
      <c r="E2405" s="154"/>
      <c r="F2405" s="154" t="str">
        <f t="array" ref="F2405">XLOOKUP(Cover!$D$12,$R$1:$Z$1,$R2405:$Z2405)</f>
        <v>Recommended</v>
      </c>
      <c r="G2405" s="154" t="s">
        <v>12595</v>
      </c>
      <c r="H2405" s="154" t="s">
        <v>9084</v>
      </c>
      <c r="I2405" s="154" t="s">
        <v>12589</v>
      </c>
      <c r="J2405" s="154" t="s">
        <v>7136</v>
      </c>
      <c r="K2405" s="154" t="s">
        <v>12282</v>
      </c>
      <c r="L2405" s="154" t="s">
        <v>6140</v>
      </c>
      <c r="M2405" s="154"/>
      <c r="N2405" s="154" t="s">
        <v>759</v>
      </c>
      <c r="O2405" s="247" t="s">
        <v>516</v>
      </c>
      <c r="P2405" s="247" t="s">
        <v>6776</v>
      </c>
      <c r="Q2405" s="154" t="str">
        <f t="shared" si="1"/>
        <v>#ERROR!</v>
      </c>
      <c r="R2405" s="154" t="s">
        <v>66</v>
      </c>
      <c r="S2405" s="154" t="s">
        <v>66</v>
      </c>
      <c r="T2405" s="154" t="s">
        <v>64</v>
      </c>
      <c r="U2405" s="154" t="s">
        <v>64</v>
      </c>
      <c r="V2405" s="154" t="s">
        <v>64</v>
      </c>
      <c r="W2405" s="154" t="s">
        <v>64</v>
      </c>
      <c r="X2405" s="154" t="s">
        <v>66</v>
      </c>
      <c r="Y2405" s="154" t="s">
        <v>64</v>
      </c>
      <c r="Z2405" s="154" t="s">
        <v>64</v>
      </c>
      <c r="AA2405" s="154"/>
      <c r="AB2405" s="242" t="str">
        <f t="shared" si="2"/>
        <v>#ERROR!</v>
      </c>
      <c r="AC2405" s="154" t="s">
        <v>391</v>
      </c>
      <c r="AD2405" s="242" t="b">
        <f t="shared" si="3"/>
        <v>0</v>
      </c>
      <c r="AE2405" s="154"/>
      <c r="AF2405" s="242" t="str">
        <f t="shared" si="4"/>
        <v>#ERROR!</v>
      </c>
      <c r="AG2405" s="154"/>
      <c r="AH2405" s="242" t="str">
        <f>IF(AG2405="","N/A",INDIRECT("MTR!"&amp;ADDRESS(MATCH(LEFT(AG2405,9),[1]MTR!C:C,0),COLUMN(J2405)),TRUE) &amp; "")</f>
        <v>#ERROR!</v>
      </c>
      <c r="AI2405" s="157" t="str">
        <f t="shared" si="5"/>
        <v>#ERROR!</v>
      </c>
    </row>
    <row r="2406" ht="12.75" customHeight="1">
      <c r="A2406" s="244" t="s">
        <v>5158</v>
      </c>
      <c r="B2406" s="244" t="s">
        <v>231</v>
      </c>
      <c r="C2406" s="244" t="s">
        <v>12596</v>
      </c>
      <c r="D2406" s="154" t="s">
        <v>45</v>
      </c>
      <c r="E2406" s="154"/>
      <c r="F2406" s="154" t="str">
        <f t="array" ref="F2406">XLOOKUP(Cover!$D$12,$R$1:$Z$1,$R2406:$Z2406)</f>
        <v>Recommended</v>
      </c>
      <c r="G2406" s="154" t="s">
        <v>12597</v>
      </c>
      <c r="H2406" s="154" t="s">
        <v>9006</v>
      </c>
      <c r="I2406" s="154" t="s">
        <v>12598</v>
      </c>
      <c r="J2406" s="154" t="s">
        <v>7174</v>
      </c>
      <c r="K2406" s="154" t="s">
        <v>12282</v>
      </c>
      <c r="L2406" s="154" t="s">
        <v>10718</v>
      </c>
      <c r="M2406" s="154"/>
      <c r="N2406" s="154" t="s">
        <v>759</v>
      </c>
      <c r="O2406" s="247" t="s">
        <v>516</v>
      </c>
      <c r="P2406" s="247" t="s">
        <v>6776</v>
      </c>
      <c r="Q2406" s="154" t="str">
        <f t="shared" si="1"/>
        <v>#ERROR!</v>
      </c>
      <c r="R2406" s="154" t="s">
        <v>66</v>
      </c>
      <c r="S2406" s="154" t="s">
        <v>66</v>
      </c>
      <c r="T2406" s="154" t="s">
        <v>64</v>
      </c>
      <c r="U2406" s="154" t="s">
        <v>64</v>
      </c>
      <c r="V2406" s="154" t="s">
        <v>64</v>
      </c>
      <c r="W2406" s="154" t="s">
        <v>64</v>
      </c>
      <c r="X2406" s="154" t="s">
        <v>66</v>
      </c>
      <c r="Y2406" s="154" t="s">
        <v>64</v>
      </c>
      <c r="Z2406" s="154" t="s">
        <v>64</v>
      </c>
      <c r="AA2406" s="154"/>
      <c r="AB2406" s="242" t="str">
        <f t="shared" si="2"/>
        <v>#ERROR!</v>
      </c>
      <c r="AC2406" s="154" t="s">
        <v>391</v>
      </c>
      <c r="AD2406" s="242" t="b">
        <f t="shared" si="3"/>
        <v>0</v>
      </c>
      <c r="AE2406" s="154"/>
      <c r="AF2406" s="242" t="str">
        <f t="shared" si="4"/>
        <v>#ERROR!</v>
      </c>
      <c r="AG2406" s="154"/>
      <c r="AH2406" s="242" t="str">
        <f>IF(AG2406="","N/A",INDIRECT("MTR!"&amp;ADDRESS(MATCH(LEFT(AG2406,9),[1]MTR!C:C,0),COLUMN(J2406)),TRUE) &amp; "")</f>
        <v>#ERROR!</v>
      </c>
      <c r="AI2406" s="157" t="str">
        <f t="shared" si="5"/>
        <v>#ERROR!</v>
      </c>
    </row>
    <row r="2407" ht="12.75" customHeight="1">
      <c r="A2407" s="244" t="s">
        <v>5158</v>
      </c>
      <c r="B2407" s="244" t="s">
        <v>231</v>
      </c>
      <c r="C2407" s="244" t="s">
        <v>12599</v>
      </c>
      <c r="D2407" s="154" t="s">
        <v>45</v>
      </c>
      <c r="E2407" s="154"/>
      <c r="F2407" s="154" t="str">
        <f t="array" ref="F2407">XLOOKUP(Cover!$D$12,$R$1:$Z$1,$R2407:$Z2407)</f>
        <v>Information</v>
      </c>
      <c r="G2407" s="154" t="s">
        <v>12600</v>
      </c>
      <c r="H2407" s="154" t="s">
        <v>9009</v>
      </c>
      <c r="I2407" s="154" t="s">
        <v>12598</v>
      </c>
      <c r="J2407" s="154" t="s">
        <v>7174</v>
      </c>
      <c r="K2407" s="154" t="s">
        <v>12282</v>
      </c>
      <c r="L2407" s="154" t="s">
        <v>10718</v>
      </c>
      <c r="M2407" s="154"/>
      <c r="N2407" s="154" t="s">
        <v>759</v>
      </c>
      <c r="O2407" s="247" t="s">
        <v>516</v>
      </c>
      <c r="P2407" s="247" t="s">
        <v>6776</v>
      </c>
      <c r="Q2407" s="154" t="str">
        <f t="shared" si="1"/>
        <v>#ERROR!</v>
      </c>
      <c r="R2407" s="154" t="s">
        <v>66</v>
      </c>
      <c r="S2407" s="154" t="s">
        <v>66</v>
      </c>
      <c r="T2407" s="154" t="s">
        <v>66</v>
      </c>
      <c r="U2407" s="154" t="s">
        <v>66</v>
      </c>
      <c r="V2407" s="154" t="s">
        <v>66</v>
      </c>
      <c r="W2407" s="154" t="s">
        <v>66</v>
      </c>
      <c r="X2407" s="154" t="s">
        <v>66</v>
      </c>
      <c r="Y2407" s="154" t="s">
        <v>66</v>
      </c>
      <c r="Z2407" s="154" t="s">
        <v>66</v>
      </c>
      <c r="AA2407" s="154"/>
      <c r="AB2407" s="242" t="str">
        <f t="shared" si="2"/>
        <v>#ERROR!</v>
      </c>
      <c r="AC2407" s="154" t="s">
        <v>391</v>
      </c>
      <c r="AD2407" s="242" t="b">
        <f t="shared" si="3"/>
        <v>0</v>
      </c>
      <c r="AE2407" s="154"/>
      <c r="AF2407" s="242" t="str">
        <f t="shared" si="4"/>
        <v>#ERROR!</v>
      </c>
      <c r="AG2407" s="154"/>
      <c r="AH2407" s="242" t="str">
        <f>IF(AG2407="","N/A",INDIRECT("MTR!"&amp;ADDRESS(MATCH(LEFT(AG2407,9),[1]MTR!C:C,0),COLUMN(J2407)),TRUE) &amp; "")</f>
        <v>#ERROR!</v>
      </c>
      <c r="AI2407" s="157" t="str">
        <f t="shared" si="5"/>
        <v>#ERROR!</v>
      </c>
    </row>
    <row r="2408" ht="12.75" customHeight="1">
      <c r="A2408" s="244" t="s">
        <v>5158</v>
      </c>
      <c r="B2408" s="244" t="s">
        <v>231</v>
      </c>
      <c r="C2408" s="244" t="s">
        <v>12601</v>
      </c>
      <c r="D2408" s="154" t="s">
        <v>45</v>
      </c>
      <c r="E2408" s="154"/>
      <c r="F2408" s="154" t="str">
        <f t="array" ref="F2408">XLOOKUP(Cover!$D$12,$R$1:$Z$1,$R2408:$Z2408)</f>
        <v>Recommended</v>
      </c>
      <c r="G2408" s="154" t="s">
        <v>12602</v>
      </c>
      <c r="H2408" s="154" t="s">
        <v>1541</v>
      </c>
      <c r="I2408" s="154" t="s">
        <v>12598</v>
      </c>
      <c r="J2408" s="154" t="s">
        <v>7174</v>
      </c>
      <c r="K2408" s="154" t="s">
        <v>12282</v>
      </c>
      <c r="L2408" s="154" t="s">
        <v>10718</v>
      </c>
      <c r="M2408" s="154"/>
      <c r="N2408" s="154" t="s">
        <v>759</v>
      </c>
      <c r="O2408" s="247" t="s">
        <v>516</v>
      </c>
      <c r="P2408" s="247" t="s">
        <v>6776</v>
      </c>
      <c r="Q2408" s="154" t="str">
        <f t="shared" si="1"/>
        <v>#ERROR!</v>
      </c>
      <c r="R2408" s="154" t="s">
        <v>66</v>
      </c>
      <c r="S2408" s="154" t="s">
        <v>66</v>
      </c>
      <c r="T2408" s="154" t="s">
        <v>64</v>
      </c>
      <c r="U2408" s="154" t="s">
        <v>64</v>
      </c>
      <c r="V2408" s="154" t="s">
        <v>64</v>
      </c>
      <c r="W2408" s="154" t="s">
        <v>64</v>
      </c>
      <c r="X2408" s="154" t="s">
        <v>66</v>
      </c>
      <c r="Y2408" s="154" t="s">
        <v>64</v>
      </c>
      <c r="Z2408" s="154" t="s">
        <v>64</v>
      </c>
      <c r="AA2408" s="154"/>
      <c r="AB2408" s="242" t="str">
        <f t="shared" si="2"/>
        <v>#ERROR!</v>
      </c>
      <c r="AC2408" s="154" t="s">
        <v>391</v>
      </c>
      <c r="AD2408" s="242" t="b">
        <f t="shared" si="3"/>
        <v>0</v>
      </c>
      <c r="AE2408" s="154"/>
      <c r="AF2408" s="242" t="str">
        <f t="shared" si="4"/>
        <v>#ERROR!</v>
      </c>
      <c r="AG2408" s="154"/>
      <c r="AH2408" s="242" t="str">
        <f>IF(AG2408="","N/A",INDIRECT("MTR!"&amp;ADDRESS(MATCH(LEFT(AG2408,9),[1]MTR!C:C,0),COLUMN(J2408)),TRUE) &amp; "")</f>
        <v>#ERROR!</v>
      </c>
      <c r="AI2408" s="157" t="str">
        <f t="shared" si="5"/>
        <v>#ERROR!</v>
      </c>
    </row>
    <row r="2409" ht="12.75" customHeight="1">
      <c r="A2409" s="244" t="s">
        <v>5158</v>
      </c>
      <c r="B2409" s="244" t="s">
        <v>231</v>
      </c>
      <c r="C2409" s="244" t="s">
        <v>12603</v>
      </c>
      <c r="D2409" s="154" t="s">
        <v>503</v>
      </c>
      <c r="E2409" s="154"/>
      <c r="F2409" s="154" t="str">
        <f t="array" ref="F2409">XLOOKUP(Cover!$D$12,$R$1:$Z$1,$R2409:$Z2409)</f>
        <v>Information</v>
      </c>
      <c r="G2409" s="154" t="s">
        <v>12604</v>
      </c>
      <c r="H2409" s="154" t="s">
        <v>9006</v>
      </c>
      <c r="I2409" s="154" t="s">
        <v>12605</v>
      </c>
      <c r="J2409" s="154" t="s">
        <v>7736</v>
      </c>
      <c r="K2409" s="154" t="s">
        <v>12282</v>
      </c>
      <c r="L2409" s="154" t="s">
        <v>6463</v>
      </c>
      <c r="M2409" s="154"/>
      <c r="N2409" s="154" t="s">
        <v>759</v>
      </c>
      <c r="O2409" s="247" t="s">
        <v>516</v>
      </c>
      <c r="P2409" s="247" t="s">
        <v>6776</v>
      </c>
      <c r="Q2409" s="154" t="str">
        <f t="shared" si="1"/>
        <v>#ERROR!</v>
      </c>
      <c r="R2409" s="154" t="s">
        <v>66</v>
      </c>
      <c r="S2409" s="154" t="s">
        <v>66</v>
      </c>
      <c r="T2409" s="154" t="s">
        <v>66</v>
      </c>
      <c r="U2409" s="154" t="s">
        <v>66</v>
      </c>
      <c r="V2409" s="154" t="s">
        <v>66</v>
      </c>
      <c r="W2409" s="154" t="s">
        <v>66</v>
      </c>
      <c r="X2409" s="154" t="s">
        <v>66</v>
      </c>
      <c r="Y2409" s="154" t="s">
        <v>66</v>
      </c>
      <c r="Z2409" s="154" t="s">
        <v>66</v>
      </c>
      <c r="AA2409" s="154"/>
      <c r="AB2409" s="242" t="str">
        <f t="shared" si="2"/>
        <v>#ERROR!</v>
      </c>
      <c r="AC2409" s="154" t="s">
        <v>391</v>
      </c>
      <c r="AD2409" s="242" t="b">
        <f t="shared" si="3"/>
        <v>0</v>
      </c>
      <c r="AE2409" s="154"/>
      <c r="AF2409" s="242" t="str">
        <f t="shared" si="4"/>
        <v>#ERROR!</v>
      </c>
      <c r="AG2409" s="154"/>
      <c r="AH2409" s="242" t="str">
        <f>IF(AG2409="","N/A",INDIRECT("MTR!"&amp;ADDRESS(MATCH(LEFT(AG2409,9),[1]MTR!C:C,0),COLUMN(J2409)),TRUE) &amp; "")</f>
        <v>#ERROR!</v>
      </c>
      <c r="AI2409" s="157" t="str">
        <f t="shared" si="5"/>
        <v>#ERROR!</v>
      </c>
    </row>
    <row r="2410" ht="12.75" customHeight="1">
      <c r="A2410" s="244" t="s">
        <v>5158</v>
      </c>
      <c r="B2410" s="244" t="s">
        <v>231</v>
      </c>
      <c r="C2410" s="244" t="s">
        <v>12606</v>
      </c>
      <c r="D2410" s="154" t="s">
        <v>503</v>
      </c>
      <c r="E2410" s="154"/>
      <c r="F2410" s="154" t="str">
        <f t="array" ref="F2410">XLOOKUP(Cover!$D$12,$R$1:$Z$1,$R2410:$Z2410)</f>
        <v>Information</v>
      </c>
      <c r="G2410" s="154" t="s">
        <v>12607</v>
      </c>
      <c r="H2410" s="154" t="s">
        <v>9009</v>
      </c>
      <c r="I2410" s="154" t="s">
        <v>12605</v>
      </c>
      <c r="J2410" s="154" t="s">
        <v>7736</v>
      </c>
      <c r="K2410" s="154" t="s">
        <v>12282</v>
      </c>
      <c r="L2410" s="154" t="s">
        <v>6463</v>
      </c>
      <c r="M2410" s="154"/>
      <c r="N2410" s="154" t="s">
        <v>759</v>
      </c>
      <c r="O2410" s="247" t="s">
        <v>516</v>
      </c>
      <c r="P2410" s="247" t="s">
        <v>6776</v>
      </c>
      <c r="Q2410" s="154" t="str">
        <f t="shared" si="1"/>
        <v>#ERROR!</v>
      </c>
      <c r="R2410" s="154" t="s">
        <v>66</v>
      </c>
      <c r="S2410" s="154" t="s">
        <v>66</v>
      </c>
      <c r="T2410" s="154" t="s">
        <v>66</v>
      </c>
      <c r="U2410" s="154" t="s">
        <v>66</v>
      </c>
      <c r="V2410" s="154" t="s">
        <v>66</v>
      </c>
      <c r="W2410" s="154" t="s">
        <v>66</v>
      </c>
      <c r="X2410" s="154" t="s">
        <v>66</v>
      </c>
      <c r="Y2410" s="154" t="s">
        <v>66</v>
      </c>
      <c r="Z2410" s="154" t="s">
        <v>66</v>
      </c>
      <c r="AA2410" s="154"/>
      <c r="AB2410" s="242" t="str">
        <f t="shared" si="2"/>
        <v>#ERROR!</v>
      </c>
      <c r="AC2410" s="154" t="s">
        <v>391</v>
      </c>
      <c r="AD2410" s="242" t="b">
        <f t="shared" si="3"/>
        <v>0</v>
      </c>
      <c r="AE2410" s="154"/>
      <c r="AF2410" s="242" t="str">
        <f t="shared" si="4"/>
        <v>#ERROR!</v>
      </c>
      <c r="AG2410" s="154"/>
      <c r="AH2410" s="242" t="str">
        <f>IF(AG2410="","N/A",INDIRECT("MTR!"&amp;ADDRESS(MATCH(LEFT(AG2410,9),[1]MTR!C:C,0),COLUMN(J2410)),TRUE) &amp; "")</f>
        <v>#ERROR!</v>
      </c>
      <c r="AI2410" s="157" t="str">
        <f t="shared" si="5"/>
        <v>#ERROR!</v>
      </c>
    </row>
    <row r="2411" ht="12.75" customHeight="1">
      <c r="A2411" s="244" t="s">
        <v>5158</v>
      </c>
      <c r="B2411" s="244" t="s">
        <v>231</v>
      </c>
      <c r="C2411" s="244" t="s">
        <v>12608</v>
      </c>
      <c r="D2411" s="154" t="s">
        <v>503</v>
      </c>
      <c r="E2411" s="154"/>
      <c r="F2411" s="154" t="str">
        <f t="array" ref="F2411">XLOOKUP(Cover!$D$12,$R$1:$Z$1,$R2411:$Z2411)</f>
        <v>Information</v>
      </c>
      <c r="G2411" s="154" t="s">
        <v>12609</v>
      </c>
      <c r="H2411" s="154" t="s">
        <v>1541</v>
      </c>
      <c r="I2411" s="154" t="s">
        <v>12605</v>
      </c>
      <c r="J2411" s="154" t="s">
        <v>7736</v>
      </c>
      <c r="K2411" s="154" t="s">
        <v>12282</v>
      </c>
      <c r="L2411" s="154" t="s">
        <v>6463</v>
      </c>
      <c r="M2411" s="154"/>
      <c r="N2411" s="154" t="s">
        <v>759</v>
      </c>
      <c r="O2411" s="247" t="s">
        <v>516</v>
      </c>
      <c r="P2411" s="247" t="s">
        <v>6776</v>
      </c>
      <c r="Q2411" s="154" t="str">
        <f t="shared" si="1"/>
        <v>#ERROR!</v>
      </c>
      <c r="R2411" s="154" t="s">
        <v>66</v>
      </c>
      <c r="S2411" s="154" t="s">
        <v>66</v>
      </c>
      <c r="T2411" s="154" t="s">
        <v>66</v>
      </c>
      <c r="U2411" s="154" t="s">
        <v>66</v>
      </c>
      <c r="V2411" s="154" t="s">
        <v>66</v>
      </c>
      <c r="W2411" s="154" t="s">
        <v>66</v>
      </c>
      <c r="X2411" s="154" t="s">
        <v>66</v>
      </c>
      <c r="Y2411" s="154" t="s">
        <v>66</v>
      </c>
      <c r="Z2411" s="154" t="s">
        <v>66</v>
      </c>
      <c r="AA2411" s="154"/>
      <c r="AB2411" s="242" t="str">
        <f t="shared" si="2"/>
        <v>#ERROR!</v>
      </c>
      <c r="AC2411" s="154" t="s">
        <v>391</v>
      </c>
      <c r="AD2411" s="242" t="b">
        <f t="shared" si="3"/>
        <v>0</v>
      </c>
      <c r="AE2411" s="154"/>
      <c r="AF2411" s="242" t="str">
        <f t="shared" si="4"/>
        <v>#ERROR!</v>
      </c>
      <c r="AG2411" s="154"/>
      <c r="AH2411" s="242" t="str">
        <f>IF(AG2411="","N/A",INDIRECT("MTR!"&amp;ADDRESS(MATCH(LEFT(AG2411,9),[1]MTR!C:C,0),COLUMN(J2411)),TRUE) &amp; "")</f>
        <v>#ERROR!</v>
      </c>
      <c r="AI2411" s="157" t="str">
        <f t="shared" si="5"/>
        <v>#ERROR!</v>
      </c>
    </row>
    <row r="2412" ht="12.75" customHeight="1">
      <c r="A2412" s="244" t="s">
        <v>5158</v>
      </c>
      <c r="B2412" s="244" t="s">
        <v>231</v>
      </c>
      <c r="C2412" s="244" t="s">
        <v>12610</v>
      </c>
      <c r="D2412" s="154" t="s">
        <v>781</v>
      </c>
      <c r="E2412" s="154"/>
      <c r="F2412" s="154" t="str">
        <f t="array" ref="F2412">XLOOKUP(Cover!$D$12,$R$1:$Z$1,$R2412:$Z2412)</f>
        <v>Recommended</v>
      </c>
      <c r="G2412" s="154" t="s">
        <v>12611</v>
      </c>
      <c r="H2412" s="154" t="s">
        <v>9002</v>
      </c>
      <c r="I2412" s="154" t="s">
        <v>12612</v>
      </c>
      <c r="J2412" s="154" t="s">
        <v>8967</v>
      </c>
      <c r="K2412" s="154" t="s">
        <v>12282</v>
      </c>
      <c r="L2412" s="154" t="s">
        <v>6140</v>
      </c>
      <c r="M2412" s="154"/>
      <c r="N2412" s="154" t="s">
        <v>759</v>
      </c>
      <c r="O2412" s="247" t="s">
        <v>516</v>
      </c>
      <c r="P2412" s="247" t="s">
        <v>6776</v>
      </c>
      <c r="Q2412" s="154" t="str">
        <f t="shared" si="1"/>
        <v>#ERROR!</v>
      </c>
      <c r="R2412" s="154" t="s">
        <v>66</v>
      </c>
      <c r="S2412" s="154" t="s">
        <v>66</v>
      </c>
      <c r="T2412" s="154" t="s">
        <v>64</v>
      </c>
      <c r="U2412" s="154" t="s">
        <v>64</v>
      </c>
      <c r="V2412" s="154" t="s">
        <v>64</v>
      </c>
      <c r="W2412" s="154" t="s">
        <v>64</v>
      </c>
      <c r="X2412" s="154" t="s">
        <v>66</v>
      </c>
      <c r="Y2412" s="154" t="s">
        <v>64</v>
      </c>
      <c r="Z2412" s="154" t="s">
        <v>64</v>
      </c>
      <c r="AA2412" s="154"/>
      <c r="AB2412" s="242" t="str">
        <f t="shared" si="2"/>
        <v>#ERROR!</v>
      </c>
      <c r="AC2412" s="154" t="s">
        <v>391</v>
      </c>
      <c r="AD2412" s="242" t="b">
        <f t="shared" si="3"/>
        <v>0</v>
      </c>
      <c r="AE2412" s="154"/>
      <c r="AF2412" s="242" t="str">
        <f t="shared" si="4"/>
        <v>#ERROR!</v>
      </c>
      <c r="AG2412" s="154"/>
      <c r="AH2412" s="242" t="str">
        <f>IF(AG2412="","N/A",INDIRECT("MTR!"&amp;ADDRESS(MATCH(LEFT(AG2412,9),[1]MTR!C:C,0),COLUMN(J2412)),TRUE) &amp; "")</f>
        <v>#ERROR!</v>
      </c>
      <c r="AI2412" s="157" t="str">
        <f t="shared" si="5"/>
        <v>#ERROR!</v>
      </c>
    </row>
    <row r="2413" ht="12.75" customHeight="1">
      <c r="A2413" s="244" t="s">
        <v>5158</v>
      </c>
      <c r="B2413" s="244" t="s">
        <v>231</v>
      </c>
      <c r="C2413" s="244" t="s">
        <v>12613</v>
      </c>
      <c r="D2413" s="154" t="s">
        <v>781</v>
      </c>
      <c r="E2413" s="154"/>
      <c r="F2413" s="154" t="str">
        <f t="array" ref="F2413">XLOOKUP(Cover!$D$12,$R$1:$Z$1,$R2413:$Z2413)</f>
        <v>Recommended</v>
      </c>
      <c r="G2413" s="154" t="s">
        <v>12614</v>
      </c>
      <c r="H2413" s="154" t="s">
        <v>9006</v>
      </c>
      <c r="I2413" s="154" t="s">
        <v>12612</v>
      </c>
      <c r="J2413" s="154" t="s">
        <v>8967</v>
      </c>
      <c r="K2413" s="154" t="s">
        <v>12282</v>
      </c>
      <c r="L2413" s="154" t="s">
        <v>6140</v>
      </c>
      <c r="M2413" s="154"/>
      <c r="N2413" s="154" t="s">
        <v>759</v>
      </c>
      <c r="O2413" s="247" t="s">
        <v>516</v>
      </c>
      <c r="P2413" s="247" t="s">
        <v>6776</v>
      </c>
      <c r="Q2413" s="154" t="str">
        <f t="shared" si="1"/>
        <v>#ERROR!</v>
      </c>
      <c r="R2413" s="154" t="s">
        <v>66</v>
      </c>
      <c r="S2413" s="154" t="s">
        <v>66</v>
      </c>
      <c r="T2413" s="154" t="s">
        <v>64</v>
      </c>
      <c r="U2413" s="154" t="s">
        <v>64</v>
      </c>
      <c r="V2413" s="154" t="s">
        <v>64</v>
      </c>
      <c r="W2413" s="154" t="s">
        <v>64</v>
      </c>
      <c r="X2413" s="154" t="s">
        <v>66</v>
      </c>
      <c r="Y2413" s="154" t="s">
        <v>64</v>
      </c>
      <c r="Z2413" s="154" t="s">
        <v>64</v>
      </c>
      <c r="AA2413" s="154"/>
      <c r="AB2413" s="242" t="str">
        <f t="shared" si="2"/>
        <v>#ERROR!</v>
      </c>
      <c r="AC2413" s="154" t="s">
        <v>391</v>
      </c>
      <c r="AD2413" s="242" t="b">
        <f t="shared" si="3"/>
        <v>0</v>
      </c>
      <c r="AE2413" s="154"/>
      <c r="AF2413" s="242" t="str">
        <f t="shared" si="4"/>
        <v>#ERROR!</v>
      </c>
      <c r="AG2413" s="154"/>
      <c r="AH2413" s="242" t="str">
        <f>IF(AG2413="","N/A",INDIRECT("MTR!"&amp;ADDRESS(MATCH(LEFT(AG2413,9),[1]MTR!C:C,0),COLUMN(J2413)),TRUE) &amp; "")</f>
        <v>#ERROR!</v>
      </c>
      <c r="AI2413" s="157" t="str">
        <f t="shared" si="5"/>
        <v>#ERROR!</v>
      </c>
    </row>
    <row r="2414" ht="12.75" customHeight="1">
      <c r="A2414" s="244" t="s">
        <v>5158</v>
      </c>
      <c r="B2414" s="244" t="s">
        <v>231</v>
      </c>
      <c r="C2414" s="244" t="s">
        <v>12615</v>
      </c>
      <c r="D2414" s="154" t="s">
        <v>781</v>
      </c>
      <c r="E2414" s="154"/>
      <c r="F2414" s="154" t="str">
        <f t="array" ref="F2414">XLOOKUP(Cover!$D$12,$R$1:$Z$1,$R2414:$Z2414)</f>
        <v>Recommended</v>
      </c>
      <c r="G2414" s="154" t="s">
        <v>12616</v>
      </c>
      <c r="H2414" s="154" t="s">
        <v>9053</v>
      </c>
      <c r="I2414" s="154" t="s">
        <v>12612</v>
      </c>
      <c r="J2414" s="154" t="s">
        <v>8967</v>
      </c>
      <c r="K2414" s="154" t="s">
        <v>12282</v>
      </c>
      <c r="L2414" s="154" t="s">
        <v>6140</v>
      </c>
      <c r="M2414" s="154"/>
      <c r="N2414" s="154" t="s">
        <v>759</v>
      </c>
      <c r="O2414" s="247" t="s">
        <v>516</v>
      </c>
      <c r="P2414" s="247" t="s">
        <v>6776</v>
      </c>
      <c r="Q2414" s="154" t="str">
        <f t="shared" si="1"/>
        <v>#ERROR!</v>
      </c>
      <c r="R2414" s="154" t="s">
        <v>66</v>
      </c>
      <c r="S2414" s="154" t="s">
        <v>66</v>
      </c>
      <c r="T2414" s="154" t="s">
        <v>64</v>
      </c>
      <c r="U2414" s="154" t="s">
        <v>64</v>
      </c>
      <c r="V2414" s="154" t="s">
        <v>64</v>
      </c>
      <c r="W2414" s="154" t="s">
        <v>64</v>
      </c>
      <c r="X2414" s="154" t="s">
        <v>66</v>
      </c>
      <c r="Y2414" s="154" t="s">
        <v>64</v>
      </c>
      <c r="Z2414" s="154" t="s">
        <v>64</v>
      </c>
      <c r="AA2414" s="154"/>
      <c r="AB2414" s="242" t="str">
        <f t="shared" si="2"/>
        <v>#ERROR!</v>
      </c>
      <c r="AC2414" s="154" t="s">
        <v>391</v>
      </c>
      <c r="AD2414" s="242" t="b">
        <f t="shared" si="3"/>
        <v>0</v>
      </c>
      <c r="AE2414" s="154"/>
      <c r="AF2414" s="242" t="str">
        <f t="shared" si="4"/>
        <v>#ERROR!</v>
      </c>
      <c r="AG2414" s="154"/>
      <c r="AH2414" s="242" t="str">
        <f>IF(AG2414="","N/A",INDIRECT("MTR!"&amp;ADDRESS(MATCH(LEFT(AG2414,9),[1]MTR!C:C,0),COLUMN(J2414)),TRUE) &amp; "")</f>
        <v>#ERROR!</v>
      </c>
      <c r="AI2414" s="157" t="str">
        <f t="shared" si="5"/>
        <v>#ERROR!</v>
      </c>
    </row>
    <row r="2415" ht="12.75" customHeight="1">
      <c r="A2415" s="244" t="s">
        <v>5158</v>
      </c>
      <c r="B2415" s="244" t="s">
        <v>231</v>
      </c>
      <c r="C2415" s="244" t="s">
        <v>12617</v>
      </c>
      <c r="D2415" s="154" t="s">
        <v>781</v>
      </c>
      <c r="E2415" s="154"/>
      <c r="F2415" s="154" t="str">
        <f t="array" ref="F2415">XLOOKUP(Cover!$D$12,$R$1:$Z$1,$R2415:$Z2415)</f>
        <v>Recommended</v>
      </c>
      <c r="G2415" s="154" t="s">
        <v>12618</v>
      </c>
      <c r="H2415" s="154" t="s">
        <v>9009</v>
      </c>
      <c r="I2415" s="154" t="s">
        <v>12612</v>
      </c>
      <c r="J2415" s="154" t="s">
        <v>8967</v>
      </c>
      <c r="K2415" s="154" t="s">
        <v>12282</v>
      </c>
      <c r="L2415" s="154" t="s">
        <v>6140</v>
      </c>
      <c r="M2415" s="154"/>
      <c r="N2415" s="154" t="s">
        <v>759</v>
      </c>
      <c r="O2415" s="247" t="s">
        <v>516</v>
      </c>
      <c r="P2415" s="247" t="s">
        <v>6776</v>
      </c>
      <c r="Q2415" s="154" t="str">
        <f t="shared" si="1"/>
        <v>#ERROR!</v>
      </c>
      <c r="R2415" s="154" t="s">
        <v>66</v>
      </c>
      <c r="S2415" s="154" t="s">
        <v>66</v>
      </c>
      <c r="T2415" s="154" t="s">
        <v>64</v>
      </c>
      <c r="U2415" s="154" t="s">
        <v>64</v>
      </c>
      <c r="V2415" s="154" t="s">
        <v>64</v>
      </c>
      <c r="W2415" s="154" t="s">
        <v>64</v>
      </c>
      <c r="X2415" s="154" t="s">
        <v>66</v>
      </c>
      <c r="Y2415" s="154" t="s">
        <v>64</v>
      </c>
      <c r="Z2415" s="154" t="s">
        <v>64</v>
      </c>
      <c r="AA2415" s="154"/>
      <c r="AB2415" s="242" t="str">
        <f t="shared" si="2"/>
        <v>#ERROR!</v>
      </c>
      <c r="AC2415" s="154" t="s">
        <v>391</v>
      </c>
      <c r="AD2415" s="242" t="b">
        <f t="shared" si="3"/>
        <v>0</v>
      </c>
      <c r="AE2415" s="154"/>
      <c r="AF2415" s="242" t="str">
        <f t="shared" si="4"/>
        <v>#ERROR!</v>
      </c>
      <c r="AG2415" s="154"/>
      <c r="AH2415" s="242" t="str">
        <f>IF(AG2415="","N/A",INDIRECT("MTR!"&amp;ADDRESS(MATCH(LEFT(AG2415,9),[1]MTR!C:C,0),COLUMN(J2415)),TRUE) &amp; "")</f>
        <v>#ERROR!</v>
      </c>
      <c r="AI2415" s="157" t="str">
        <f t="shared" si="5"/>
        <v>#ERROR!</v>
      </c>
    </row>
    <row r="2416" ht="12.75" customHeight="1">
      <c r="A2416" s="244" t="s">
        <v>5158</v>
      </c>
      <c r="B2416" s="244" t="s">
        <v>231</v>
      </c>
      <c r="C2416" s="244" t="s">
        <v>12619</v>
      </c>
      <c r="D2416" s="154" t="s">
        <v>781</v>
      </c>
      <c r="E2416" s="154"/>
      <c r="F2416" s="154" t="str">
        <f t="array" ref="F2416">XLOOKUP(Cover!$D$12,$R$1:$Z$1,$R2416:$Z2416)</f>
        <v>Recommended</v>
      </c>
      <c r="G2416" s="154" t="s">
        <v>12620</v>
      </c>
      <c r="H2416" s="154" t="s">
        <v>9084</v>
      </c>
      <c r="I2416" s="154" t="s">
        <v>12612</v>
      </c>
      <c r="J2416" s="154" t="s">
        <v>8967</v>
      </c>
      <c r="K2416" s="154" t="s">
        <v>12282</v>
      </c>
      <c r="L2416" s="154" t="s">
        <v>6140</v>
      </c>
      <c r="M2416" s="154"/>
      <c r="N2416" s="154" t="s">
        <v>759</v>
      </c>
      <c r="O2416" s="247" t="s">
        <v>516</v>
      </c>
      <c r="P2416" s="247" t="s">
        <v>6776</v>
      </c>
      <c r="Q2416" s="154" t="str">
        <f t="shared" si="1"/>
        <v>#ERROR!</v>
      </c>
      <c r="R2416" s="154" t="s">
        <v>66</v>
      </c>
      <c r="S2416" s="154" t="s">
        <v>66</v>
      </c>
      <c r="T2416" s="154" t="s">
        <v>64</v>
      </c>
      <c r="U2416" s="154" t="s">
        <v>64</v>
      </c>
      <c r="V2416" s="154" t="s">
        <v>64</v>
      </c>
      <c r="W2416" s="154" t="s">
        <v>64</v>
      </c>
      <c r="X2416" s="154" t="s">
        <v>66</v>
      </c>
      <c r="Y2416" s="154" t="s">
        <v>64</v>
      </c>
      <c r="Z2416" s="154" t="s">
        <v>64</v>
      </c>
      <c r="AA2416" s="154"/>
      <c r="AB2416" s="242" t="str">
        <f t="shared" si="2"/>
        <v>#ERROR!</v>
      </c>
      <c r="AC2416" s="154" t="s">
        <v>391</v>
      </c>
      <c r="AD2416" s="242" t="b">
        <f t="shared" si="3"/>
        <v>0</v>
      </c>
      <c r="AE2416" s="154"/>
      <c r="AF2416" s="242" t="str">
        <f t="shared" si="4"/>
        <v>#ERROR!</v>
      </c>
      <c r="AG2416" s="154"/>
      <c r="AH2416" s="242" t="str">
        <f>IF(AG2416="","N/A",INDIRECT("MTR!"&amp;ADDRESS(MATCH(LEFT(AG2416,9),[1]MTR!C:C,0),COLUMN(J2416)),TRUE) &amp; "")</f>
        <v>#ERROR!</v>
      </c>
      <c r="AI2416" s="157" t="str">
        <f t="shared" si="5"/>
        <v>#ERROR!</v>
      </c>
    </row>
    <row r="2417" ht="12.75" customHeight="1">
      <c r="A2417" s="244" t="s">
        <v>5158</v>
      </c>
      <c r="B2417" s="244" t="s">
        <v>231</v>
      </c>
      <c r="C2417" s="244" t="s">
        <v>12621</v>
      </c>
      <c r="D2417" s="154" t="s">
        <v>45</v>
      </c>
      <c r="E2417" s="154"/>
      <c r="F2417" s="154" t="str">
        <f t="array" ref="F2417">XLOOKUP(Cover!$D$12,$R$1:$Z$1,$R2417:$Z2417)</f>
        <v>Recommended</v>
      </c>
      <c r="G2417" s="154" t="s">
        <v>12622</v>
      </c>
      <c r="H2417" s="154" t="s">
        <v>9002</v>
      </c>
      <c r="I2417" s="154" t="s">
        <v>12623</v>
      </c>
      <c r="J2417" s="154" t="s">
        <v>8263</v>
      </c>
      <c r="K2417" s="154" t="s">
        <v>12282</v>
      </c>
      <c r="L2417" s="154" t="s">
        <v>10718</v>
      </c>
      <c r="M2417" s="154"/>
      <c r="N2417" s="154" t="s">
        <v>759</v>
      </c>
      <c r="O2417" s="247" t="s">
        <v>516</v>
      </c>
      <c r="P2417" s="247" t="s">
        <v>6776</v>
      </c>
      <c r="Q2417" s="154" t="str">
        <f t="shared" si="1"/>
        <v>#ERROR!</v>
      </c>
      <c r="R2417" s="154" t="s">
        <v>66</v>
      </c>
      <c r="S2417" s="154" t="s">
        <v>66</v>
      </c>
      <c r="T2417" s="154" t="s">
        <v>64</v>
      </c>
      <c r="U2417" s="154" t="s">
        <v>64</v>
      </c>
      <c r="V2417" s="154" t="s">
        <v>64</v>
      </c>
      <c r="W2417" s="154" t="s">
        <v>64</v>
      </c>
      <c r="X2417" s="154" t="s">
        <v>66</v>
      </c>
      <c r="Y2417" s="154" t="s">
        <v>64</v>
      </c>
      <c r="Z2417" s="154" t="s">
        <v>64</v>
      </c>
      <c r="AA2417" s="154"/>
      <c r="AB2417" s="242" t="str">
        <f t="shared" si="2"/>
        <v>#ERROR!</v>
      </c>
      <c r="AC2417" s="154" t="s">
        <v>391</v>
      </c>
      <c r="AD2417" s="242" t="b">
        <f t="shared" si="3"/>
        <v>0</v>
      </c>
      <c r="AE2417" s="154"/>
      <c r="AF2417" s="242" t="str">
        <f t="shared" si="4"/>
        <v>#ERROR!</v>
      </c>
      <c r="AG2417" s="154"/>
      <c r="AH2417" s="242" t="str">
        <f>IF(AG2417="","N/A",INDIRECT("MTR!"&amp;ADDRESS(MATCH(LEFT(AG2417,9),[1]MTR!C:C,0),COLUMN(J2417)),TRUE) &amp; "")</f>
        <v>#ERROR!</v>
      </c>
      <c r="AI2417" s="157" t="str">
        <f t="shared" si="5"/>
        <v>#ERROR!</v>
      </c>
    </row>
    <row r="2418" ht="12.75" customHeight="1">
      <c r="A2418" s="244" t="s">
        <v>5158</v>
      </c>
      <c r="B2418" s="244" t="s">
        <v>231</v>
      </c>
      <c r="C2418" s="244" t="s">
        <v>12624</v>
      </c>
      <c r="D2418" s="154" t="s">
        <v>45</v>
      </c>
      <c r="E2418" s="154"/>
      <c r="F2418" s="154" t="str">
        <f t="array" ref="F2418">XLOOKUP(Cover!$D$12,$R$1:$Z$1,$R2418:$Z2418)</f>
        <v>Recommended</v>
      </c>
      <c r="G2418" s="154" t="s">
        <v>12625</v>
      </c>
      <c r="H2418" s="154" t="s">
        <v>9006</v>
      </c>
      <c r="I2418" s="154" t="s">
        <v>12623</v>
      </c>
      <c r="J2418" s="154" t="s">
        <v>8263</v>
      </c>
      <c r="K2418" s="154" t="s">
        <v>12282</v>
      </c>
      <c r="L2418" s="154" t="s">
        <v>10718</v>
      </c>
      <c r="M2418" s="154"/>
      <c r="N2418" s="154" t="s">
        <v>759</v>
      </c>
      <c r="O2418" s="247" t="s">
        <v>516</v>
      </c>
      <c r="P2418" s="247" t="s">
        <v>6776</v>
      </c>
      <c r="Q2418" s="154" t="str">
        <f t="shared" si="1"/>
        <v>#ERROR!</v>
      </c>
      <c r="R2418" s="154" t="s">
        <v>66</v>
      </c>
      <c r="S2418" s="154" t="s">
        <v>66</v>
      </c>
      <c r="T2418" s="154" t="s">
        <v>64</v>
      </c>
      <c r="U2418" s="154" t="s">
        <v>64</v>
      </c>
      <c r="V2418" s="154" t="s">
        <v>64</v>
      </c>
      <c r="W2418" s="154" t="s">
        <v>64</v>
      </c>
      <c r="X2418" s="154" t="s">
        <v>66</v>
      </c>
      <c r="Y2418" s="154" t="s">
        <v>64</v>
      </c>
      <c r="Z2418" s="154" t="s">
        <v>64</v>
      </c>
      <c r="AA2418" s="154"/>
      <c r="AB2418" s="242" t="str">
        <f t="shared" si="2"/>
        <v>#ERROR!</v>
      </c>
      <c r="AC2418" s="154" t="s">
        <v>391</v>
      </c>
      <c r="AD2418" s="242" t="b">
        <f t="shared" si="3"/>
        <v>0</v>
      </c>
      <c r="AE2418" s="154"/>
      <c r="AF2418" s="242" t="str">
        <f t="shared" si="4"/>
        <v>#ERROR!</v>
      </c>
      <c r="AG2418" s="154"/>
      <c r="AH2418" s="242" t="str">
        <f>IF(AG2418="","N/A",INDIRECT("MTR!"&amp;ADDRESS(MATCH(LEFT(AG2418,9),[1]MTR!C:C,0),COLUMN(J2418)),TRUE) &amp; "")</f>
        <v>#ERROR!</v>
      </c>
      <c r="AI2418" s="157" t="str">
        <f t="shared" si="5"/>
        <v>#ERROR!</v>
      </c>
    </row>
    <row r="2419" ht="12.75" customHeight="1">
      <c r="A2419" s="244" t="s">
        <v>5158</v>
      </c>
      <c r="B2419" s="244" t="s">
        <v>231</v>
      </c>
      <c r="C2419" s="244" t="s">
        <v>12626</v>
      </c>
      <c r="D2419" s="154" t="s">
        <v>45</v>
      </c>
      <c r="E2419" s="154"/>
      <c r="F2419" s="154" t="str">
        <f t="array" ref="F2419">XLOOKUP(Cover!$D$12,$R$1:$Z$1,$R2419:$Z2419)</f>
        <v>Information</v>
      </c>
      <c r="G2419" s="154" t="s">
        <v>12627</v>
      </c>
      <c r="H2419" s="154" t="s">
        <v>9009</v>
      </c>
      <c r="I2419" s="154" t="s">
        <v>12623</v>
      </c>
      <c r="J2419" s="154" t="s">
        <v>8263</v>
      </c>
      <c r="K2419" s="154" t="s">
        <v>12282</v>
      </c>
      <c r="L2419" s="154" t="s">
        <v>10718</v>
      </c>
      <c r="M2419" s="154"/>
      <c r="N2419" s="154" t="s">
        <v>759</v>
      </c>
      <c r="O2419" s="247" t="s">
        <v>516</v>
      </c>
      <c r="P2419" s="247" t="s">
        <v>6776</v>
      </c>
      <c r="Q2419" s="154" t="str">
        <f t="shared" si="1"/>
        <v>#ERROR!</v>
      </c>
      <c r="R2419" s="154" t="s">
        <v>66</v>
      </c>
      <c r="S2419" s="154" t="s">
        <v>66</v>
      </c>
      <c r="T2419" s="154" t="s">
        <v>66</v>
      </c>
      <c r="U2419" s="154" t="s">
        <v>66</v>
      </c>
      <c r="V2419" s="154" t="s">
        <v>66</v>
      </c>
      <c r="W2419" s="154" t="s">
        <v>66</v>
      </c>
      <c r="X2419" s="154" t="s">
        <v>66</v>
      </c>
      <c r="Y2419" s="154" t="s">
        <v>66</v>
      </c>
      <c r="Z2419" s="154" t="s">
        <v>66</v>
      </c>
      <c r="AA2419" s="154"/>
      <c r="AB2419" s="242" t="str">
        <f t="shared" si="2"/>
        <v>#ERROR!</v>
      </c>
      <c r="AC2419" s="154" t="s">
        <v>391</v>
      </c>
      <c r="AD2419" s="242" t="b">
        <f t="shared" si="3"/>
        <v>0</v>
      </c>
      <c r="AE2419" s="154"/>
      <c r="AF2419" s="242" t="str">
        <f t="shared" si="4"/>
        <v>#ERROR!</v>
      </c>
      <c r="AG2419" s="154"/>
      <c r="AH2419" s="242" t="str">
        <f>IF(AG2419="","N/A",INDIRECT("MTR!"&amp;ADDRESS(MATCH(LEFT(AG2419,9),[1]MTR!C:C,0),COLUMN(J2419)),TRUE) &amp; "")</f>
        <v>#ERROR!</v>
      </c>
      <c r="AI2419" s="157" t="str">
        <f t="shared" si="5"/>
        <v>#ERROR!</v>
      </c>
    </row>
    <row r="2420" ht="12.75" customHeight="1">
      <c r="A2420" s="244" t="s">
        <v>5158</v>
      </c>
      <c r="B2420" s="244" t="s">
        <v>231</v>
      </c>
      <c r="C2420" s="244" t="s">
        <v>12628</v>
      </c>
      <c r="D2420" s="154" t="s">
        <v>45</v>
      </c>
      <c r="E2420" s="154"/>
      <c r="F2420" s="154" t="str">
        <f t="array" ref="F2420">XLOOKUP(Cover!$D$12,$R$1:$Z$1,$R2420:$Z2420)</f>
        <v>Recommended</v>
      </c>
      <c r="G2420" s="154" t="s">
        <v>12629</v>
      </c>
      <c r="H2420" s="154" t="s">
        <v>1541</v>
      </c>
      <c r="I2420" s="154" t="s">
        <v>12623</v>
      </c>
      <c r="J2420" s="154" t="s">
        <v>8263</v>
      </c>
      <c r="K2420" s="154" t="s">
        <v>12282</v>
      </c>
      <c r="L2420" s="154" t="s">
        <v>10718</v>
      </c>
      <c r="M2420" s="154"/>
      <c r="N2420" s="154" t="s">
        <v>759</v>
      </c>
      <c r="O2420" s="247" t="s">
        <v>516</v>
      </c>
      <c r="P2420" s="247" t="s">
        <v>6776</v>
      </c>
      <c r="Q2420" s="154" t="str">
        <f t="shared" si="1"/>
        <v>#ERROR!</v>
      </c>
      <c r="R2420" s="154" t="s">
        <v>66</v>
      </c>
      <c r="S2420" s="154" t="s">
        <v>66</v>
      </c>
      <c r="T2420" s="154" t="s">
        <v>64</v>
      </c>
      <c r="U2420" s="154" t="s">
        <v>64</v>
      </c>
      <c r="V2420" s="154" t="s">
        <v>64</v>
      </c>
      <c r="W2420" s="154" t="s">
        <v>64</v>
      </c>
      <c r="X2420" s="154" t="s">
        <v>66</v>
      </c>
      <c r="Y2420" s="154" t="s">
        <v>64</v>
      </c>
      <c r="Z2420" s="154" t="s">
        <v>64</v>
      </c>
      <c r="AA2420" s="154"/>
      <c r="AB2420" s="242" t="str">
        <f t="shared" si="2"/>
        <v>#ERROR!</v>
      </c>
      <c r="AC2420" s="154" t="s">
        <v>391</v>
      </c>
      <c r="AD2420" s="242" t="b">
        <f t="shared" si="3"/>
        <v>0</v>
      </c>
      <c r="AE2420" s="154"/>
      <c r="AF2420" s="242" t="str">
        <f t="shared" si="4"/>
        <v>#ERROR!</v>
      </c>
      <c r="AG2420" s="154"/>
      <c r="AH2420" s="242" t="str">
        <f>IF(AG2420="","N/A",INDIRECT("MTR!"&amp;ADDRESS(MATCH(LEFT(AG2420,9),[1]MTR!C:C,0),COLUMN(J2420)),TRUE) &amp; "")</f>
        <v>#ERROR!</v>
      </c>
      <c r="AI2420" s="157" t="str">
        <f t="shared" si="5"/>
        <v>#ERROR!</v>
      </c>
    </row>
    <row r="2421" ht="12.75" customHeight="1">
      <c r="A2421" s="244" t="s">
        <v>5158</v>
      </c>
      <c r="B2421" s="244" t="s">
        <v>231</v>
      </c>
      <c r="C2421" s="244" t="s">
        <v>12630</v>
      </c>
      <c r="D2421" s="154" t="s">
        <v>503</v>
      </c>
      <c r="E2421" s="154"/>
      <c r="F2421" s="154" t="str">
        <f t="array" ref="F2421">XLOOKUP(Cover!$D$12,$R$1:$Z$1,$R2421:$Z2421)</f>
        <v>Information</v>
      </c>
      <c r="G2421" s="154" t="s">
        <v>12631</v>
      </c>
      <c r="H2421" s="154" t="s">
        <v>9002</v>
      </c>
      <c r="I2421" s="154" t="s">
        <v>12632</v>
      </c>
      <c r="J2421" s="154" t="s">
        <v>7775</v>
      </c>
      <c r="K2421" s="154" t="s">
        <v>12282</v>
      </c>
      <c r="L2421" s="154" t="s">
        <v>6463</v>
      </c>
      <c r="M2421" s="154"/>
      <c r="N2421" s="154" t="s">
        <v>759</v>
      </c>
      <c r="O2421" s="247" t="s">
        <v>516</v>
      </c>
      <c r="P2421" s="247" t="s">
        <v>6776</v>
      </c>
      <c r="Q2421" s="154" t="str">
        <f t="shared" si="1"/>
        <v>#ERROR!</v>
      </c>
      <c r="R2421" s="154" t="s">
        <v>66</v>
      </c>
      <c r="S2421" s="154" t="s">
        <v>66</v>
      </c>
      <c r="T2421" s="154" t="s">
        <v>66</v>
      </c>
      <c r="U2421" s="154" t="s">
        <v>66</v>
      </c>
      <c r="V2421" s="154" t="s">
        <v>66</v>
      </c>
      <c r="W2421" s="154" t="s">
        <v>66</v>
      </c>
      <c r="X2421" s="154" t="s">
        <v>66</v>
      </c>
      <c r="Y2421" s="154" t="s">
        <v>66</v>
      </c>
      <c r="Z2421" s="154" t="s">
        <v>66</v>
      </c>
      <c r="AA2421" s="154"/>
      <c r="AB2421" s="242" t="str">
        <f t="shared" si="2"/>
        <v>#ERROR!</v>
      </c>
      <c r="AC2421" s="154" t="s">
        <v>391</v>
      </c>
      <c r="AD2421" s="242" t="b">
        <f t="shared" si="3"/>
        <v>0</v>
      </c>
      <c r="AE2421" s="154"/>
      <c r="AF2421" s="242" t="str">
        <f t="shared" si="4"/>
        <v>#ERROR!</v>
      </c>
      <c r="AG2421" s="154"/>
      <c r="AH2421" s="242" t="str">
        <f>IF(AG2421="","N/A",INDIRECT("MTR!"&amp;ADDRESS(MATCH(LEFT(AG2421,9),[1]MTR!C:C,0),COLUMN(J2421)),TRUE) &amp; "")</f>
        <v>#ERROR!</v>
      </c>
      <c r="AI2421" s="157" t="str">
        <f t="shared" si="5"/>
        <v>#ERROR!</v>
      </c>
    </row>
    <row r="2422" ht="12.75" customHeight="1">
      <c r="A2422" s="244" t="s">
        <v>5158</v>
      </c>
      <c r="B2422" s="244" t="s">
        <v>231</v>
      </c>
      <c r="C2422" s="244" t="s">
        <v>12633</v>
      </c>
      <c r="D2422" s="154" t="s">
        <v>503</v>
      </c>
      <c r="E2422" s="154"/>
      <c r="F2422" s="154" t="str">
        <f t="array" ref="F2422">XLOOKUP(Cover!$D$12,$R$1:$Z$1,$R2422:$Z2422)</f>
        <v>Information</v>
      </c>
      <c r="G2422" s="154" t="s">
        <v>12634</v>
      </c>
      <c r="H2422" s="154" t="s">
        <v>9006</v>
      </c>
      <c r="I2422" s="154" t="s">
        <v>12632</v>
      </c>
      <c r="J2422" s="154" t="s">
        <v>7775</v>
      </c>
      <c r="K2422" s="154" t="s">
        <v>12282</v>
      </c>
      <c r="L2422" s="154" t="s">
        <v>6463</v>
      </c>
      <c r="M2422" s="154"/>
      <c r="N2422" s="154" t="s">
        <v>759</v>
      </c>
      <c r="O2422" s="247" t="s">
        <v>516</v>
      </c>
      <c r="P2422" s="247" t="s">
        <v>6776</v>
      </c>
      <c r="Q2422" s="154" t="str">
        <f t="shared" si="1"/>
        <v>#ERROR!</v>
      </c>
      <c r="R2422" s="154" t="s">
        <v>66</v>
      </c>
      <c r="S2422" s="154" t="s">
        <v>66</v>
      </c>
      <c r="T2422" s="154" t="s">
        <v>66</v>
      </c>
      <c r="U2422" s="154" t="s">
        <v>66</v>
      </c>
      <c r="V2422" s="154" t="s">
        <v>66</v>
      </c>
      <c r="W2422" s="154" t="s">
        <v>66</v>
      </c>
      <c r="X2422" s="154" t="s">
        <v>66</v>
      </c>
      <c r="Y2422" s="154" t="s">
        <v>66</v>
      </c>
      <c r="Z2422" s="154" t="s">
        <v>66</v>
      </c>
      <c r="AA2422" s="154"/>
      <c r="AB2422" s="242" t="str">
        <f t="shared" si="2"/>
        <v>#ERROR!</v>
      </c>
      <c r="AC2422" s="154" t="s">
        <v>391</v>
      </c>
      <c r="AD2422" s="242" t="b">
        <f t="shared" si="3"/>
        <v>0</v>
      </c>
      <c r="AE2422" s="154"/>
      <c r="AF2422" s="242" t="str">
        <f t="shared" si="4"/>
        <v>#ERROR!</v>
      </c>
      <c r="AG2422" s="154"/>
      <c r="AH2422" s="242" t="str">
        <f>IF(AG2422="","N/A",INDIRECT("MTR!"&amp;ADDRESS(MATCH(LEFT(AG2422,9),[1]MTR!C:C,0),COLUMN(J2422)),TRUE) &amp; "")</f>
        <v>#ERROR!</v>
      </c>
      <c r="AI2422" s="157" t="str">
        <f t="shared" si="5"/>
        <v>#ERROR!</v>
      </c>
    </row>
    <row r="2423" ht="12.75" customHeight="1">
      <c r="A2423" s="244" t="s">
        <v>5158</v>
      </c>
      <c r="B2423" s="244" t="s">
        <v>231</v>
      </c>
      <c r="C2423" s="244" t="s">
        <v>12635</v>
      </c>
      <c r="D2423" s="154" t="s">
        <v>503</v>
      </c>
      <c r="E2423" s="154"/>
      <c r="F2423" s="154" t="str">
        <f t="array" ref="F2423">XLOOKUP(Cover!$D$12,$R$1:$Z$1,$R2423:$Z2423)</f>
        <v>Information</v>
      </c>
      <c r="G2423" s="154" t="s">
        <v>12636</v>
      </c>
      <c r="H2423" s="154" t="s">
        <v>9009</v>
      </c>
      <c r="I2423" s="154" t="s">
        <v>12632</v>
      </c>
      <c r="J2423" s="154" t="s">
        <v>7775</v>
      </c>
      <c r="K2423" s="154" t="s">
        <v>12282</v>
      </c>
      <c r="L2423" s="154" t="s">
        <v>6463</v>
      </c>
      <c r="M2423" s="154"/>
      <c r="N2423" s="154" t="s">
        <v>759</v>
      </c>
      <c r="O2423" s="247" t="s">
        <v>516</v>
      </c>
      <c r="P2423" s="247" t="s">
        <v>6776</v>
      </c>
      <c r="Q2423" s="154" t="str">
        <f t="shared" si="1"/>
        <v>#ERROR!</v>
      </c>
      <c r="R2423" s="154" t="s">
        <v>66</v>
      </c>
      <c r="S2423" s="154" t="s">
        <v>66</v>
      </c>
      <c r="T2423" s="154" t="s">
        <v>66</v>
      </c>
      <c r="U2423" s="154" t="s">
        <v>66</v>
      </c>
      <c r="V2423" s="154" t="s">
        <v>66</v>
      </c>
      <c r="W2423" s="154" t="s">
        <v>66</v>
      </c>
      <c r="X2423" s="154" t="s">
        <v>66</v>
      </c>
      <c r="Y2423" s="154" t="s">
        <v>66</v>
      </c>
      <c r="Z2423" s="154" t="s">
        <v>66</v>
      </c>
      <c r="AA2423" s="154"/>
      <c r="AB2423" s="242" t="str">
        <f t="shared" si="2"/>
        <v>#ERROR!</v>
      </c>
      <c r="AC2423" s="154" t="s">
        <v>391</v>
      </c>
      <c r="AD2423" s="242" t="b">
        <f t="shared" si="3"/>
        <v>0</v>
      </c>
      <c r="AE2423" s="154"/>
      <c r="AF2423" s="242" t="str">
        <f t="shared" si="4"/>
        <v>#ERROR!</v>
      </c>
      <c r="AG2423" s="154"/>
      <c r="AH2423" s="242" t="str">
        <f>IF(AG2423="","N/A",INDIRECT("MTR!"&amp;ADDRESS(MATCH(LEFT(AG2423,9),[1]MTR!C:C,0),COLUMN(J2423)),TRUE) &amp; "")</f>
        <v>#ERROR!</v>
      </c>
      <c r="AI2423" s="157" t="str">
        <f t="shared" si="5"/>
        <v>#ERROR!</v>
      </c>
    </row>
    <row r="2424" ht="12.75" customHeight="1">
      <c r="A2424" s="244" t="s">
        <v>5158</v>
      </c>
      <c r="B2424" s="244" t="s">
        <v>231</v>
      </c>
      <c r="C2424" s="244" t="s">
        <v>12637</v>
      </c>
      <c r="D2424" s="154" t="s">
        <v>503</v>
      </c>
      <c r="E2424" s="154"/>
      <c r="F2424" s="154" t="str">
        <f t="array" ref="F2424">XLOOKUP(Cover!$D$12,$R$1:$Z$1,$R2424:$Z2424)</f>
        <v>Information</v>
      </c>
      <c r="G2424" s="154" t="s">
        <v>12638</v>
      </c>
      <c r="H2424" s="154" t="s">
        <v>1541</v>
      </c>
      <c r="I2424" s="154" t="s">
        <v>12632</v>
      </c>
      <c r="J2424" s="154" t="s">
        <v>7775</v>
      </c>
      <c r="K2424" s="154" t="s">
        <v>12282</v>
      </c>
      <c r="L2424" s="154" t="s">
        <v>6463</v>
      </c>
      <c r="M2424" s="154"/>
      <c r="N2424" s="154" t="s">
        <v>759</v>
      </c>
      <c r="O2424" s="247" t="s">
        <v>516</v>
      </c>
      <c r="P2424" s="247" t="s">
        <v>6776</v>
      </c>
      <c r="Q2424" s="154" t="str">
        <f t="shared" si="1"/>
        <v>#ERROR!</v>
      </c>
      <c r="R2424" s="154" t="s">
        <v>66</v>
      </c>
      <c r="S2424" s="154" t="s">
        <v>66</v>
      </c>
      <c r="T2424" s="154" t="s">
        <v>66</v>
      </c>
      <c r="U2424" s="154" t="s">
        <v>66</v>
      </c>
      <c r="V2424" s="154" t="s">
        <v>66</v>
      </c>
      <c r="W2424" s="154" t="s">
        <v>66</v>
      </c>
      <c r="X2424" s="154" t="s">
        <v>66</v>
      </c>
      <c r="Y2424" s="154" t="s">
        <v>66</v>
      </c>
      <c r="Z2424" s="154" t="s">
        <v>66</v>
      </c>
      <c r="AA2424" s="154"/>
      <c r="AB2424" s="242" t="str">
        <f t="shared" si="2"/>
        <v>#ERROR!</v>
      </c>
      <c r="AC2424" s="154" t="s">
        <v>391</v>
      </c>
      <c r="AD2424" s="242" t="b">
        <f t="shared" si="3"/>
        <v>0</v>
      </c>
      <c r="AE2424" s="154"/>
      <c r="AF2424" s="242" t="str">
        <f t="shared" si="4"/>
        <v>#ERROR!</v>
      </c>
      <c r="AG2424" s="154"/>
      <c r="AH2424" s="242" t="str">
        <f>IF(AG2424="","N/A",INDIRECT("MTR!"&amp;ADDRESS(MATCH(LEFT(AG2424,9),[1]MTR!C:C,0),COLUMN(J2424)),TRUE) &amp; "")</f>
        <v>#ERROR!</v>
      </c>
      <c r="AI2424" s="157" t="str">
        <f t="shared" si="5"/>
        <v>#ERROR!</v>
      </c>
    </row>
    <row r="2425" ht="12.75" customHeight="1">
      <c r="A2425" s="244" t="s">
        <v>5158</v>
      </c>
      <c r="B2425" s="244" t="s">
        <v>231</v>
      </c>
      <c r="C2425" s="244" t="s">
        <v>12639</v>
      </c>
      <c r="D2425" s="154" t="s">
        <v>45</v>
      </c>
      <c r="E2425" s="154"/>
      <c r="F2425" s="154" t="str">
        <f t="array" ref="F2425">XLOOKUP(Cover!$D$12,$R$1:$Z$1,$R2425:$Z2425)</f>
        <v>Information</v>
      </c>
      <c r="G2425" s="154" t="s">
        <v>12640</v>
      </c>
      <c r="H2425" s="154" t="s">
        <v>9006</v>
      </c>
      <c r="I2425" s="154" t="s">
        <v>12641</v>
      </c>
      <c r="J2425" s="154" t="s">
        <v>9998</v>
      </c>
      <c r="K2425" s="154" t="s">
        <v>12282</v>
      </c>
      <c r="L2425" s="154" t="s">
        <v>10718</v>
      </c>
      <c r="M2425" s="154"/>
      <c r="N2425" s="154" t="s">
        <v>759</v>
      </c>
      <c r="O2425" s="247" t="s">
        <v>516</v>
      </c>
      <c r="P2425" s="247" t="s">
        <v>6776</v>
      </c>
      <c r="Q2425" s="154" t="str">
        <f t="shared" si="1"/>
        <v>#ERROR!</v>
      </c>
      <c r="R2425" s="154" t="s">
        <v>66</v>
      </c>
      <c r="S2425" s="154" t="s">
        <v>66</v>
      </c>
      <c r="T2425" s="154" t="s">
        <v>66</v>
      </c>
      <c r="U2425" s="154" t="s">
        <v>66</v>
      </c>
      <c r="V2425" s="154" t="s">
        <v>66</v>
      </c>
      <c r="W2425" s="154" t="s">
        <v>66</v>
      </c>
      <c r="X2425" s="154" t="s">
        <v>66</v>
      </c>
      <c r="Y2425" s="154" t="s">
        <v>66</v>
      </c>
      <c r="Z2425" s="154" t="s">
        <v>66</v>
      </c>
      <c r="AA2425" s="154"/>
      <c r="AB2425" s="242" t="str">
        <f t="shared" si="2"/>
        <v>#ERROR!</v>
      </c>
      <c r="AC2425" s="154" t="s">
        <v>391</v>
      </c>
      <c r="AD2425" s="242" t="b">
        <f t="shared" si="3"/>
        <v>0</v>
      </c>
      <c r="AE2425" s="154"/>
      <c r="AF2425" s="242" t="str">
        <f t="shared" si="4"/>
        <v>#ERROR!</v>
      </c>
      <c r="AG2425" s="154"/>
      <c r="AH2425" s="242" t="str">
        <f>IF(AG2425="","N/A",INDIRECT("MTR!"&amp;ADDRESS(MATCH(LEFT(AG2425,9),[1]MTR!C:C,0),COLUMN(J2425)),TRUE) &amp; "")</f>
        <v>#ERROR!</v>
      </c>
      <c r="AI2425" s="157" t="str">
        <f t="shared" si="5"/>
        <v>#ERROR!</v>
      </c>
    </row>
    <row r="2426" ht="12.75" customHeight="1">
      <c r="A2426" s="244" t="s">
        <v>5158</v>
      </c>
      <c r="B2426" s="244" t="s">
        <v>231</v>
      </c>
      <c r="C2426" s="244" t="s">
        <v>12642</v>
      </c>
      <c r="D2426" s="154" t="s">
        <v>45</v>
      </c>
      <c r="E2426" s="154"/>
      <c r="F2426" s="154" t="str">
        <f t="array" ref="F2426">XLOOKUP(Cover!$D$12,$R$1:$Z$1,$R2426:$Z2426)</f>
        <v>Information</v>
      </c>
      <c r="G2426" s="154" t="s">
        <v>12643</v>
      </c>
      <c r="H2426" s="154" t="s">
        <v>9009</v>
      </c>
      <c r="I2426" s="154" t="s">
        <v>12641</v>
      </c>
      <c r="J2426" s="154" t="s">
        <v>9998</v>
      </c>
      <c r="K2426" s="154" t="s">
        <v>12282</v>
      </c>
      <c r="L2426" s="154" t="s">
        <v>10718</v>
      </c>
      <c r="M2426" s="154"/>
      <c r="N2426" s="154" t="s">
        <v>759</v>
      </c>
      <c r="O2426" s="247" t="s">
        <v>516</v>
      </c>
      <c r="P2426" s="247" t="s">
        <v>6776</v>
      </c>
      <c r="Q2426" s="154" t="str">
        <f t="shared" si="1"/>
        <v>#ERROR!</v>
      </c>
      <c r="R2426" s="154" t="s">
        <v>66</v>
      </c>
      <c r="S2426" s="154" t="s">
        <v>66</v>
      </c>
      <c r="T2426" s="154" t="s">
        <v>66</v>
      </c>
      <c r="U2426" s="154" t="s">
        <v>66</v>
      </c>
      <c r="V2426" s="154" t="s">
        <v>66</v>
      </c>
      <c r="W2426" s="154" t="s">
        <v>66</v>
      </c>
      <c r="X2426" s="154" t="s">
        <v>66</v>
      </c>
      <c r="Y2426" s="154" t="s">
        <v>66</v>
      </c>
      <c r="Z2426" s="154" t="s">
        <v>66</v>
      </c>
      <c r="AA2426" s="154"/>
      <c r="AB2426" s="242" t="str">
        <f t="shared" si="2"/>
        <v>#ERROR!</v>
      </c>
      <c r="AC2426" s="154" t="s">
        <v>391</v>
      </c>
      <c r="AD2426" s="242" t="b">
        <f t="shared" si="3"/>
        <v>0</v>
      </c>
      <c r="AE2426" s="154"/>
      <c r="AF2426" s="242" t="str">
        <f t="shared" si="4"/>
        <v>#ERROR!</v>
      </c>
      <c r="AG2426" s="154"/>
      <c r="AH2426" s="242" t="str">
        <f>IF(AG2426="","N/A",INDIRECT("MTR!"&amp;ADDRESS(MATCH(LEFT(AG2426,9),[1]MTR!C:C,0),COLUMN(J2426)),TRUE) &amp; "")</f>
        <v>#ERROR!</v>
      </c>
      <c r="AI2426" s="157" t="str">
        <f t="shared" si="5"/>
        <v>#ERROR!</v>
      </c>
    </row>
    <row r="2427" ht="12.75" customHeight="1">
      <c r="A2427" s="244" t="s">
        <v>5158</v>
      </c>
      <c r="B2427" s="244" t="s">
        <v>231</v>
      </c>
      <c r="C2427" s="244" t="s">
        <v>12644</v>
      </c>
      <c r="D2427" s="154" t="s">
        <v>45</v>
      </c>
      <c r="E2427" s="154"/>
      <c r="F2427" s="154" t="str">
        <f t="array" ref="F2427">XLOOKUP(Cover!$D$12,$R$1:$Z$1,$R2427:$Z2427)</f>
        <v>Information</v>
      </c>
      <c r="G2427" s="154" t="s">
        <v>12645</v>
      </c>
      <c r="H2427" s="154" t="s">
        <v>1541</v>
      </c>
      <c r="I2427" s="154" t="s">
        <v>12641</v>
      </c>
      <c r="J2427" s="154" t="s">
        <v>9998</v>
      </c>
      <c r="K2427" s="154" t="s">
        <v>12282</v>
      </c>
      <c r="L2427" s="154" t="s">
        <v>10718</v>
      </c>
      <c r="M2427" s="154"/>
      <c r="N2427" s="154" t="s">
        <v>759</v>
      </c>
      <c r="O2427" s="247" t="s">
        <v>516</v>
      </c>
      <c r="P2427" s="247" t="s">
        <v>6776</v>
      </c>
      <c r="Q2427" s="154" t="str">
        <f t="shared" si="1"/>
        <v>#ERROR!</v>
      </c>
      <c r="R2427" s="154" t="s">
        <v>66</v>
      </c>
      <c r="S2427" s="154" t="s">
        <v>66</v>
      </c>
      <c r="T2427" s="154" t="s">
        <v>66</v>
      </c>
      <c r="U2427" s="154" t="s">
        <v>66</v>
      </c>
      <c r="V2427" s="154" t="s">
        <v>66</v>
      </c>
      <c r="W2427" s="154" t="s">
        <v>66</v>
      </c>
      <c r="X2427" s="154" t="s">
        <v>66</v>
      </c>
      <c r="Y2427" s="154" t="s">
        <v>66</v>
      </c>
      <c r="Z2427" s="154" t="s">
        <v>66</v>
      </c>
      <c r="AA2427" s="154"/>
      <c r="AB2427" s="242" t="str">
        <f t="shared" si="2"/>
        <v>#ERROR!</v>
      </c>
      <c r="AC2427" s="154" t="s">
        <v>391</v>
      </c>
      <c r="AD2427" s="242" t="b">
        <f t="shared" si="3"/>
        <v>0</v>
      </c>
      <c r="AE2427" s="154"/>
      <c r="AF2427" s="242" t="str">
        <f t="shared" si="4"/>
        <v>#ERROR!</v>
      </c>
      <c r="AG2427" s="154"/>
      <c r="AH2427" s="242" t="str">
        <f>IF(AG2427="","N/A",INDIRECT("MTR!"&amp;ADDRESS(MATCH(LEFT(AG2427,9),[1]MTR!C:C,0),COLUMN(J2427)),TRUE) &amp; "")</f>
        <v>#ERROR!</v>
      </c>
      <c r="AI2427" s="157" t="str">
        <f t="shared" si="5"/>
        <v>#ERROR!</v>
      </c>
    </row>
    <row r="2428" ht="12.75" customHeight="1">
      <c r="A2428" s="238" t="s">
        <v>5158</v>
      </c>
      <c r="B2428" s="238" t="s">
        <v>231</v>
      </c>
      <c r="C2428" s="238" t="s">
        <v>12646</v>
      </c>
      <c r="D2428" s="240"/>
      <c r="E2428" s="240" t="s">
        <v>92</v>
      </c>
      <c r="F2428" s="240" t="str">
        <f t="array" ref="F2428">XLOOKUP(Cover!$D$12,$R$1:$Z$1,$R2428:$Z2428)</f>
        <v>Heading</v>
      </c>
      <c r="G2428" s="239" t="s">
        <v>12647</v>
      </c>
      <c r="H2428" s="240"/>
      <c r="I2428" s="240"/>
      <c r="J2428" s="240"/>
      <c r="K2428" s="240"/>
      <c r="L2428" s="240"/>
      <c r="M2428" s="240"/>
      <c r="N2428" s="240" t="s">
        <v>12648</v>
      </c>
      <c r="O2428" s="240"/>
      <c r="P2428" s="240"/>
      <c r="Q2428" s="240" t="str">
        <f t="shared" si="1"/>
        <v/>
      </c>
      <c r="R2428" s="240" t="s">
        <v>390</v>
      </c>
      <c r="S2428" s="240" t="s">
        <v>390</v>
      </c>
      <c r="T2428" s="240" t="s">
        <v>390</v>
      </c>
      <c r="U2428" s="240" t="s">
        <v>390</v>
      </c>
      <c r="V2428" s="240" t="s">
        <v>390</v>
      </c>
      <c r="W2428" s="240" t="s">
        <v>390</v>
      </c>
      <c r="X2428" s="240" t="s">
        <v>390</v>
      </c>
      <c r="Y2428" s="240" t="s">
        <v>390</v>
      </c>
      <c r="Z2428" s="240" t="s">
        <v>390</v>
      </c>
      <c r="AA2428" s="240"/>
      <c r="AB2428" s="242" t="str">
        <f t="shared" si="2"/>
        <v>#ERROR!</v>
      </c>
      <c r="AC2428" s="240" t="s">
        <v>391</v>
      </c>
      <c r="AD2428" s="242" t="b">
        <f t="shared" si="3"/>
        <v>0</v>
      </c>
      <c r="AE2428" s="240"/>
      <c r="AF2428" s="242" t="str">
        <f t="shared" si="4"/>
        <v>#ERROR!</v>
      </c>
      <c r="AG2428" s="240"/>
      <c r="AH2428" s="242" t="str">
        <f>IF(AG2428="","N/A",INDIRECT("MTR!"&amp;ADDRESS(MATCH(LEFT(AG2428,9),[1]MTR!C:C,0),COLUMN(J2428)),TRUE) &amp; "")</f>
        <v>#ERROR!</v>
      </c>
      <c r="AI2428" s="157" t="str">
        <f t="shared" si="5"/>
        <v/>
      </c>
    </row>
    <row r="2429" ht="12.75" customHeight="1">
      <c r="A2429" s="238" t="s">
        <v>5158</v>
      </c>
      <c r="B2429" s="238" t="s">
        <v>231</v>
      </c>
      <c r="C2429" s="238" t="s">
        <v>12649</v>
      </c>
      <c r="D2429" s="240"/>
      <c r="E2429" s="240" t="s">
        <v>92</v>
      </c>
      <c r="F2429" s="240" t="str">
        <f t="array" ref="F2429">XLOOKUP(Cover!$D$12,$R$1:$Z$1,$R2429:$Z2429)</f>
        <v>Heading</v>
      </c>
      <c r="G2429" s="239" t="s">
        <v>12650</v>
      </c>
      <c r="H2429" s="240"/>
      <c r="I2429" s="240"/>
      <c r="J2429" s="240"/>
      <c r="K2429" s="240"/>
      <c r="L2429" s="240"/>
      <c r="M2429" s="240"/>
      <c r="N2429" s="240" t="s">
        <v>12648</v>
      </c>
      <c r="O2429" s="240"/>
      <c r="P2429" s="240"/>
      <c r="Q2429" s="240" t="str">
        <f t="shared" si="1"/>
        <v/>
      </c>
      <c r="R2429" s="240" t="s">
        <v>390</v>
      </c>
      <c r="S2429" s="240" t="s">
        <v>390</v>
      </c>
      <c r="T2429" s="240" t="s">
        <v>390</v>
      </c>
      <c r="U2429" s="240" t="s">
        <v>390</v>
      </c>
      <c r="V2429" s="240" t="s">
        <v>390</v>
      </c>
      <c r="W2429" s="240" t="s">
        <v>390</v>
      </c>
      <c r="X2429" s="240" t="s">
        <v>390</v>
      </c>
      <c r="Y2429" s="240" t="s">
        <v>390</v>
      </c>
      <c r="Z2429" s="240" t="s">
        <v>390</v>
      </c>
      <c r="AA2429" s="240"/>
      <c r="AB2429" s="242" t="str">
        <f t="shared" si="2"/>
        <v>#ERROR!</v>
      </c>
      <c r="AC2429" s="240" t="s">
        <v>391</v>
      </c>
      <c r="AD2429" s="242" t="b">
        <f t="shared" si="3"/>
        <v>0</v>
      </c>
      <c r="AE2429" s="240"/>
      <c r="AF2429" s="242" t="str">
        <f t="shared" si="4"/>
        <v>#ERROR!</v>
      </c>
      <c r="AG2429" s="240"/>
      <c r="AH2429" s="242" t="str">
        <f>IF(AG2429="","N/A",INDIRECT("MTR!"&amp;ADDRESS(MATCH(LEFT(AG2429,9),[1]MTR!C:C,0),COLUMN(J2429)),TRUE) &amp; "")</f>
        <v>#ERROR!</v>
      </c>
      <c r="AI2429" s="157" t="str">
        <f t="shared" si="5"/>
        <v/>
      </c>
    </row>
    <row r="2430" ht="12.75" customHeight="1">
      <c r="A2430" s="244" t="s">
        <v>5158</v>
      </c>
      <c r="B2430" s="244" t="s">
        <v>231</v>
      </c>
      <c r="C2430" s="244" t="s">
        <v>12651</v>
      </c>
      <c r="D2430" s="154" t="s">
        <v>45</v>
      </c>
      <c r="E2430" s="154"/>
      <c r="F2430" s="154" t="str">
        <f t="array" ref="F2430">XLOOKUP(Cover!$D$12,$R$1:$Z$1,$R2430:$Z2430)</f>
        <v>Information</v>
      </c>
      <c r="G2430" s="154" t="s">
        <v>12652</v>
      </c>
      <c r="H2430" s="154" t="s">
        <v>6782</v>
      </c>
      <c r="I2430" s="154" t="s">
        <v>12653</v>
      </c>
      <c r="J2430" s="154" t="s">
        <v>5897</v>
      </c>
      <c r="K2430" s="154" t="s">
        <v>12654</v>
      </c>
      <c r="L2430" s="154" t="s">
        <v>6655</v>
      </c>
      <c r="M2430" s="154"/>
      <c r="N2430" s="154" t="s">
        <v>759</v>
      </c>
      <c r="O2430" s="247" t="s">
        <v>516</v>
      </c>
      <c r="P2430" s="247" t="s">
        <v>6776</v>
      </c>
      <c r="Q2430" s="154" t="str">
        <f t="shared" si="1"/>
        <v>#ERROR!</v>
      </c>
      <c r="R2430" s="154" t="s">
        <v>66</v>
      </c>
      <c r="S2430" s="154" t="s">
        <v>66</v>
      </c>
      <c r="T2430" s="154" t="s">
        <v>66</v>
      </c>
      <c r="U2430" s="154" t="s">
        <v>66</v>
      </c>
      <c r="V2430" s="154" t="s">
        <v>66</v>
      </c>
      <c r="W2430" s="154" t="s">
        <v>66</v>
      </c>
      <c r="X2430" s="154" t="s">
        <v>66</v>
      </c>
      <c r="Y2430" s="154" t="s">
        <v>66</v>
      </c>
      <c r="Z2430" s="154" t="s">
        <v>66</v>
      </c>
      <c r="AA2430" s="154"/>
      <c r="AB2430" s="242" t="str">
        <f t="shared" si="2"/>
        <v>#ERROR!</v>
      </c>
      <c r="AC2430" s="154" t="s">
        <v>391</v>
      </c>
      <c r="AD2430" s="242" t="b">
        <f t="shared" si="3"/>
        <v>0</v>
      </c>
      <c r="AE2430" s="154"/>
      <c r="AF2430" s="242" t="str">
        <f t="shared" si="4"/>
        <v>#ERROR!</v>
      </c>
      <c r="AG2430" s="154"/>
      <c r="AH2430" s="242" t="str">
        <f>IF(AG2430="","N/A",INDIRECT("MTR!"&amp;ADDRESS(MATCH(LEFT(AG2430,9),[1]MTR!C:C,0),COLUMN(J2430)),TRUE) &amp; "")</f>
        <v>#ERROR!</v>
      </c>
      <c r="AI2430" s="157" t="str">
        <f t="shared" si="5"/>
        <v>#ERROR!</v>
      </c>
    </row>
    <row r="2431" ht="12.75" customHeight="1">
      <c r="A2431" s="244" t="s">
        <v>5158</v>
      </c>
      <c r="B2431" s="244" t="s">
        <v>231</v>
      </c>
      <c r="C2431" s="244" t="s">
        <v>12655</v>
      </c>
      <c r="D2431" s="154" t="s">
        <v>45</v>
      </c>
      <c r="E2431" s="154"/>
      <c r="F2431" s="154" t="str">
        <f t="array" ref="F2431">XLOOKUP(Cover!$D$12,$R$1:$Z$1,$R2431:$Z2431)</f>
        <v>Information</v>
      </c>
      <c r="G2431" s="154" t="s">
        <v>12656</v>
      </c>
      <c r="H2431" s="154" t="s">
        <v>8519</v>
      </c>
      <c r="I2431" s="154" t="s">
        <v>12653</v>
      </c>
      <c r="J2431" s="154" t="s">
        <v>5897</v>
      </c>
      <c r="K2431" s="154" t="s">
        <v>12654</v>
      </c>
      <c r="L2431" s="154" t="s">
        <v>6655</v>
      </c>
      <c r="M2431" s="154"/>
      <c r="N2431" s="154" t="s">
        <v>759</v>
      </c>
      <c r="O2431" s="247" t="s">
        <v>516</v>
      </c>
      <c r="P2431" s="247" t="s">
        <v>6776</v>
      </c>
      <c r="Q2431" s="154" t="str">
        <f t="shared" si="1"/>
        <v>#ERROR!</v>
      </c>
      <c r="R2431" s="154" t="s">
        <v>66</v>
      </c>
      <c r="S2431" s="154" t="s">
        <v>66</v>
      </c>
      <c r="T2431" s="154" t="s">
        <v>66</v>
      </c>
      <c r="U2431" s="154" t="s">
        <v>66</v>
      </c>
      <c r="V2431" s="154" t="s">
        <v>66</v>
      </c>
      <c r="W2431" s="154" t="s">
        <v>66</v>
      </c>
      <c r="X2431" s="154" t="s">
        <v>66</v>
      </c>
      <c r="Y2431" s="154" t="s">
        <v>66</v>
      </c>
      <c r="Z2431" s="154" t="s">
        <v>66</v>
      </c>
      <c r="AA2431" s="154"/>
      <c r="AB2431" s="242" t="str">
        <f t="shared" si="2"/>
        <v>#ERROR!</v>
      </c>
      <c r="AC2431" s="154" t="s">
        <v>391</v>
      </c>
      <c r="AD2431" s="242" t="b">
        <f t="shared" si="3"/>
        <v>0</v>
      </c>
      <c r="AE2431" s="154"/>
      <c r="AF2431" s="242" t="str">
        <f t="shared" si="4"/>
        <v>#ERROR!</v>
      </c>
      <c r="AG2431" s="154"/>
      <c r="AH2431" s="242" t="str">
        <f>IF(AG2431="","N/A",INDIRECT("MTR!"&amp;ADDRESS(MATCH(LEFT(AG2431,9),[1]MTR!C:C,0),COLUMN(J2431)),TRUE) &amp; "")</f>
        <v>#ERROR!</v>
      </c>
      <c r="AI2431" s="157" t="str">
        <f t="shared" si="5"/>
        <v>#ERROR!</v>
      </c>
    </row>
    <row r="2432" ht="12.75" customHeight="1">
      <c r="A2432" s="244" t="s">
        <v>5158</v>
      </c>
      <c r="B2432" s="244" t="s">
        <v>231</v>
      </c>
      <c r="C2432" s="255" t="s">
        <v>12657</v>
      </c>
      <c r="D2432" s="256" t="s">
        <v>42</v>
      </c>
      <c r="E2432" s="256" t="s">
        <v>489</v>
      </c>
      <c r="F2432" s="154" t="str">
        <f t="array" ref="F2432">XLOOKUP(Cover!$D$12,$R$1:$Z$1,$R2432:$Z2432)</f>
        <v>Information</v>
      </c>
      <c r="G2432" s="154" t="s">
        <v>12658</v>
      </c>
      <c r="H2432" s="154" t="s">
        <v>6771</v>
      </c>
      <c r="I2432" s="154" t="s">
        <v>12659</v>
      </c>
      <c r="J2432" s="154" t="s">
        <v>6809</v>
      </c>
      <c r="K2432" s="154" t="s">
        <v>12654</v>
      </c>
      <c r="L2432" s="154" t="s">
        <v>5931</v>
      </c>
      <c r="M2432" s="154"/>
      <c r="N2432" s="154" t="s">
        <v>759</v>
      </c>
      <c r="O2432" s="247" t="s">
        <v>516</v>
      </c>
      <c r="P2432" s="247" t="s">
        <v>6776</v>
      </c>
      <c r="Q2432" s="154" t="str">
        <f t="shared" si="1"/>
        <v>#ERROR!</v>
      </c>
      <c r="R2432" s="154" t="s">
        <v>66</v>
      </c>
      <c r="S2432" s="154" t="s">
        <v>66</v>
      </c>
      <c r="T2432" s="154" t="s">
        <v>66</v>
      </c>
      <c r="U2432" s="154" t="s">
        <v>66</v>
      </c>
      <c r="V2432" s="154" t="s">
        <v>66</v>
      </c>
      <c r="W2432" s="154" t="s">
        <v>66</v>
      </c>
      <c r="X2432" s="154" t="s">
        <v>66</v>
      </c>
      <c r="Y2432" s="154" t="s">
        <v>66</v>
      </c>
      <c r="Z2432" s="154" t="s">
        <v>66</v>
      </c>
      <c r="AA2432" s="154"/>
      <c r="AB2432" s="242" t="str">
        <f t="shared" si="2"/>
        <v>#ERROR!</v>
      </c>
      <c r="AC2432" s="154" t="s">
        <v>391</v>
      </c>
      <c r="AD2432" s="242" t="b">
        <f t="shared" si="3"/>
        <v>0</v>
      </c>
      <c r="AE2432" s="154"/>
      <c r="AF2432" s="242" t="str">
        <f t="shared" si="4"/>
        <v>#ERROR!</v>
      </c>
      <c r="AG2432" s="154"/>
      <c r="AH2432" s="242" t="str">
        <f>IF(AG2432="","N/A",INDIRECT("MTR!"&amp;ADDRESS(MATCH(LEFT(AG2432,9),[1]MTR!C:C,0),COLUMN(J2432)),TRUE) &amp; "")</f>
        <v>#ERROR!</v>
      </c>
      <c r="AI2432" s="157" t="str">
        <f t="shared" si="5"/>
        <v>#ERROR!</v>
      </c>
    </row>
    <row r="2433" ht="12.75" customHeight="1">
      <c r="A2433" s="244" t="s">
        <v>5158</v>
      </c>
      <c r="B2433" s="244" t="s">
        <v>231</v>
      </c>
      <c r="C2433" s="255" t="s">
        <v>12660</v>
      </c>
      <c r="D2433" s="256" t="s">
        <v>42</v>
      </c>
      <c r="E2433" s="256" t="s">
        <v>489</v>
      </c>
      <c r="F2433" s="154" t="str">
        <f t="array" ref="F2433">XLOOKUP(Cover!$D$12,$R$1:$Z$1,$R2433:$Z2433)</f>
        <v>Information</v>
      </c>
      <c r="G2433" s="154" t="s">
        <v>12661</v>
      </c>
      <c r="H2433" s="154" t="s">
        <v>6808</v>
      </c>
      <c r="I2433" s="154" t="s">
        <v>12659</v>
      </c>
      <c r="J2433" s="154" t="s">
        <v>6809</v>
      </c>
      <c r="K2433" s="154" t="s">
        <v>12654</v>
      </c>
      <c r="L2433" s="154" t="s">
        <v>5931</v>
      </c>
      <c r="M2433" s="154"/>
      <c r="N2433" s="154" t="s">
        <v>759</v>
      </c>
      <c r="O2433" s="247" t="s">
        <v>516</v>
      </c>
      <c r="P2433" s="247" t="s">
        <v>6776</v>
      </c>
      <c r="Q2433" s="154" t="str">
        <f t="shared" si="1"/>
        <v>#ERROR!</v>
      </c>
      <c r="R2433" s="154" t="s">
        <v>66</v>
      </c>
      <c r="S2433" s="154" t="s">
        <v>66</v>
      </c>
      <c r="T2433" s="154" t="s">
        <v>66</v>
      </c>
      <c r="U2433" s="154" t="s">
        <v>66</v>
      </c>
      <c r="V2433" s="154" t="s">
        <v>66</v>
      </c>
      <c r="W2433" s="154" t="s">
        <v>66</v>
      </c>
      <c r="X2433" s="154" t="s">
        <v>66</v>
      </c>
      <c r="Y2433" s="154" t="s">
        <v>66</v>
      </c>
      <c r="Z2433" s="154" t="s">
        <v>66</v>
      </c>
      <c r="AA2433" s="154"/>
      <c r="AB2433" s="242" t="str">
        <f t="shared" si="2"/>
        <v>#ERROR!</v>
      </c>
      <c r="AC2433" s="154" t="s">
        <v>391</v>
      </c>
      <c r="AD2433" s="242" t="b">
        <f t="shared" si="3"/>
        <v>0</v>
      </c>
      <c r="AE2433" s="154"/>
      <c r="AF2433" s="242" t="str">
        <f t="shared" si="4"/>
        <v>#ERROR!</v>
      </c>
      <c r="AG2433" s="154"/>
      <c r="AH2433" s="242" t="str">
        <f>IF(AG2433="","N/A",INDIRECT("MTR!"&amp;ADDRESS(MATCH(LEFT(AG2433,9),[1]MTR!C:C,0),COLUMN(J2433)),TRUE) &amp; "")</f>
        <v>#ERROR!</v>
      </c>
      <c r="AI2433" s="157" t="str">
        <f t="shared" si="5"/>
        <v>#ERROR!</v>
      </c>
    </row>
    <row r="2434" ht="12.75" customHeight="1">
      <c r="A2434" s="244" t="s">
        <v>5158</v>
      </c>
      <c r="B2434" s="244" t="s">
        <v>231</v>
      </c>
      <c r="C2434" s="255" t="s">
        <v>12662</v>
      </c>
      <c r="D2434" s="256" t="s">
        <v>42</v>
      </c>
      <c r="E2434" s="256" t="s">
        <v>489</v>
      </c>
      <c r="F2434" s="154" t="str">
        <f t="array" ref="F2434">XLOOKUP(Cover!$D$12,$R$1:$Z$1,$R2434:$Z2434)</f>
        <v>Information</v>
      </c>
      <c r="G2434" s="154" t="s">
        <v>12663</v>
      </c>
      <c r="H2434" s="154" t="s">
        <v>1489</v>
      </c>
      <c r="I2434" s="154" t="s">
        <v>12659</v>
      </c>
      <c r="J2434" s="154" t="s">
        <v>6809</v>
      </c>
      <c r="K2434" s="154" t="s">
        <v>12654</v>
      </c>
      <c r="L2434" s="154" t="s">
        <v>5931</v>
      </c>
      <c r="M2434" s="154"/>
      <c r="N2434" s="154" t="s">
        <v>759</v>
      </c>
      <c r="O2434" s="247" t="s">
        <v>516</v>
      </c>
      <c r="P2434" s="247" t="s">
        <v>6776</v>
      </c>
      <c r="Q2434" s="154" t="str">
        <f t="shared" si="1"/>
        <v>#ERROR!</v>
      </c>
      <c r="R2434" s="154" t="s">
        <v>66</v>
      </c>
      <c r="S2434" s="154" t="s">
        <v>66</v>
      </c>
      <c r="T2434" s="154" t="s">
        <v>66</v>
      </c>
      <c r="U2434" s="154" t="s">
        <v>66</v>
      </c>
      <c r="V2434" s="154" t="s">
        <v>66</v>
      </c>
      <c r="W2434" s="154" t="s">
        <v>66</v>
      </c>
      <c r="X2434" s="154" t="s">
        <v>66</v>
      </c>
      <c r="Y2434" s="154" t="s">
        <v>66</v>
      </c>
      <c r="Z2434" s="154" t="s">
        <v>66</v>
      </c>
      <c r="AA2434" s="154"/>
      <c r="AB2434" s="242" t="str">
        <f t="shared" si="2"/>
        <v>#ERROR!</v>
      </c>
      <c r="AC2434" s="154" t="s">
        <v>391</v>
      </c>
      <c r="AD2434" s="242" t="b">
        <f t="shared" si="3"/>
        <v>0</v>
      </c>
      <c r="AE2434" s="154"/>
      <c r="AF2434" s="242" t="str">
        <f t="shared" si="4"/>
        <v>#ERROR!</v>
      </c>
      <c r="AG2434" s="154"/>
      <c r="AH2434" s="242" t="str">
        <f>IF(AG2434="","N/A",INDIRECT("MTR!"&amp;ADDRESS(MATCH(LEFT(AG2434,9),[1]MTR!C:C,0),COLUMN(J2434)),TRUE) &amp; "")</f>
        <v>#ERROR!</v>
      </c>
      <c r="AI2434" s="157" t="str">
        <f t="shared" si="5"/>
        <v>#ERROR!</v>
      </c>
    </row>
    <row r="2435" ht="12.75" customHeight="1">
      <c r="A2435" s="244" t="s">
        <v>5158</v>
      </c>
      <c r="B2435" s="244" t="s">
        <v>231</v>
      </c>
      <c r="C2435" s="255" t="s">
        <v>12664</v>
      </c>
      <c r="D2435" s="256" t="s">
        <v>42</v>
      </c>
      <c r="E2435" s="256" t="s">
        <v>489</v>
      </c>
      <c r="F2435" s="154" t="str">
        <f t="array" ref="F2435">XLOOKUP(Cover!$D$12,$R$1:$Z$1,$R2435:$Z2435)</f>
        <v>Information</v>
      </c>
      <c r="G2435" s="154" t="s">
        <v>12665</v>
      </c>
      <c r="H2435" s="154" t="s">
        <v>8550</v>
      </c>
      <c r="I2435" s="154" t="s">
        <v>12659</v>
      </c>
      <c r="J2435" s="154" t="s">
        <v>6809</v>
      </c>
      <c r="K2435" s="154" t="s">
        <v>12654</v>
      </c>
      <c r="L2435" s="154" t="s">
        <v>5931</v>
      </c>
      <c r="M2435" s="154"/>
      <c r="N2435" s="154" t="s">
        <v>759</v>
      </c>
      <c r="O2435" s="247" t="s">
        <v>516</v>
      </c>
      <c r="P2435" s="247" t="s">
        <v>6776</v>
      </c>
      <c r="Q2435" s="154" t="str">
        <f t="shared" si="1"/>
        <v>#ERROR!</v>
      </c>
      <c r="R2435" s="154" t="s">
        <v>66</v>
      </c>
      <c r="S2435" s="154" t="s">
        <v>66</v>
      </c>
      <c r="T2435" s="154" t="s">
        <v>66</v>
      </c>
      <c r="U2435" s="154" t="s">
        <v>66</v>
      </c>
      <c r="V2435" s="154" t="s">
        <v>66</v>
      </c>
      <c r="W2435" s="154" t="s">
        <v>66</v>
      </c>
      <c r="X2435" s="154" t="s">
        <v>66</v>
      </c>
      <c r="Y2435" s="154" t="s">
        <v>66</v>
      </c>
      <c r="Z2435" s="154" t="s">
        <v>66</v>
      </c>
      <c r="AA2435" s="154"/>
      <c r="AB2435" s="242" t="str">
        <f t="shared" si="2"/>
        <v>#ERROR!</v>
      </c>
      <c r="AC2435" s="154" t="s">
        <v>391</v>
      </c>
      <c r="AD2435" s="242" t="b">
        <f t="shared" si="3"/>
        <v>0</v>
      </c>
      <c r="AE2435" s="154"/>
      <c r="AF2435" s="242" t="str">
        <f t="shared" si="4"/>
        <v>#ERROR!</v>
      </c>
      <c r="AG2435" s="154"/>
      <c r="AH2435" s="242" t="str">
        <f>IF(AG2435="","N/A",INDIRECT("MTR!"&amp;ADDRESS(MATCH(LEFT(AG2435,9),[1]MTR!C:C,0),COLUMN(J2435)),TRUE) &amp; "")</f>
        <v>#ERROR!</v>
      </c>
      <c r="AI2435" s="157" t="str">
        <f t="shared" si="5"/>
        <v>#ERROR!</v>
      </c>
    </row>
    <row r="2436" ht="12.75" customHeight="1">
      <c r="A2436" s="244" t="s">
        <v>5158</v>
      </c>
      <c r="B2436" s="244" t="s">
        <v>231</v>
      </c>
      <c r="C2436" s="255" t="s">
        <v>12666</v>
      </c>
      <c r="D2436" s="256" t="s">
        <v>42</v>
      </c>
      <c r="E2436" s="256" t="s">
        <v>489</v>
      </c>
      <c r="F2436" s="154" t="str">
        <f t="array" ref="F2436">XLOOKUP(Cover!$D$12,$R$1:$Z$1,$R2436:$Z2436)</f>
        <v>Information</v>
      </c>
      <c r="G2436" s="154" t="s">
        <v>12667</v>
      </c>
      <c r="H2436" s="154" t="s">
        <v>6771</v>
      </c>
      <c r="I2436" s="154" t="s">
        <v>12668</v>
      </c>
      <c r="J2436" s="154" t="s">
        <v>6956</v>
      </c>
      <c r="K2436" s="154" t="s">
        <v>12654</v>
      </c>
      <c r="L2436" s="154" t="s">
        <v>5931</v>
      </c>
      <c r="M2436" s="154"/>
      <c r="N2436" s="154" t="s">
        <v>759</v>
      </c>
      <c r="O2436" s="247" t="s">
        <v>516</v>
      </c>
      <c r="P2436" s="247" t="s">
        <v>6776</v>
      </c>
      <c r="Q2436" s="154" t="str">
        <f t="shared" si="1"/>
        <v>#ERROR!</v>
      </c>
      <c r="R2436" s="154" t="s">
        <v>66</v>
      </c>
      <c r="S2436" s="154" t="s">
        <v>66</v>
      </c>
      <c r="T2436" s="154" t="s">
        <v>66</v>
      </c>
      <c r="U2436" s="154" t="s">
        <v>66</v>
      </c>
      <c r="V2436" s="154" t="s">
        <v>66</v>
      </c>
      <c r="W2436" s="154" t="s">
        <v>66</v>
      </c>
      <c r="X2436" s="154" t="s">
        <v>66</v>
      </c>
      <c r="Y2436" s="154" t="s">
        <v>66</v>
      </c>
      <c r="Z2436" s="154" t="s">
        <v>66</v>
      </c>
      <c r="AA2436" s="154"/>
      <c r="AB2436" s="242" t="str">
        <f t="shared" si="2"/>
        <v>#ERROR!</v>
      </c>
      <c r="AC2436" s="154" t="s">
        <v>391</v>
      </c>
      <c r="AD2436" s="242" t="b">
        <f t="shared" si="3"/>
        <v>0</v>
      </c>
      <c r="AE2436" s="154"/>
      <c r="AF2436" s="242" t="str">
        <f t="shared" si="4"/>
        <v>#ERROR!</v>
      </c>
      <c r="AG2436" s="154"/>
      <c r="AH2436" s="242" t="str">
        <f>IF(AG2436="","N/A",INDIRECT("MTR!"&amp;ADDRESS(MATCH(LEFT(AG2436,9),[1]MTR!C:C,0),COLUMN(J2436)),TRUE) &amp; "")</f>
        <v>#ERROR!</v>
      </c>
      <c r="AI2436" s="157" t="str">
        <f t="shared" si="5"/>
        <v>#ERROR!</v>
      </c>
    </row>
    <row r="2437" ht="12.75" customHeight="1">
      <c r="A2437" s="244" t="s">
        <v>5158</v>
      </c>
      <c r="B2437" s="244" t="s">
        <v>231</v>
      </c>
      <c r="C2437" s="255" t="s">
        <v>12669</v>
      </c>
      <c r="D2437" s="256" t="s">
        <v>42</v>
      </c>
      <c r="E2437" s="256" t="s">
        <v>489</v>
      </c>
      <c r="F2437" s="154" t="str">
        <f t="array" ref="F2437">XLOOKUP(Cover!$D$12,$R$1:$Z$1,$R2437:$Z2437)</f>
        <v>Information</v>
      </c>
      <c r="G2437" s="154" t="s">
        <v>12670</v>
      </c>
      <c r="H2437" s="154" t="s">
        <v>6808</v>
      </c>
      <c r="I2437" s="154" t="s">
        <v>12668</v>
      </c>
      <c r="J2437" s="154" t="s">
        <v>6956</v>
      </c>
      <c r="K2437" s="154" t="s">
        <v>12654</v>
      </c>
      <c r="L2437" s="154" t="s">
        <v>5931</v>
      </c>
      <c r="M2437" s="154"/>
      <c r="N2437" s="154" t="s">
        <v>759</v>
      </c>
      <c r="O2437" s="247" t="s">
        <v>516</v>
      </c>
      <c r="P2437" s="247" t="s">
        <v>6776</v>
      </c>
      <c r="Q2437" s="154" t="str">
        <f t="shared" si="1"/>
        <v>#ERROR!</v>
      </c>
      <c r="R2437" s="154" t="s">
        <v>66</v>
      </c>
      <c r="S2437" s="154" t="s">
        <v>66</v>
      </c>
      <c r="T2437" s="154" t="s">
        <v>66</v>
      </c>
      <c r="U2437" s="154" t="s">
        <v>66</v>
      </c>
      <c r="V2437" s="154" t="s">
        <v>66</v>
      </c>
      <c r="W2437" s="154" t="s">
        <v>66</v>
      </c>
      <c r="X2437" s="154" t="s">
        <v>66</v>
      </c>
      <c r="Y2437" s="154" t="s">
        <v>66</v>
      </c>
      <c r="Z2437" s="154" t="s">
        <v>66</v>
      </c>
      <c r="AA2437" s="154"/>
      <c r="AB2437" s="242" t="str">
        <f t="shared" si="2"/>
        <v>#ERROR!</v>
      </c>
      <c r="AC2437" s="154" t="s">
        <v>391</v>
      </c>
      <c r="AD2437" s="242" t="b">
        <f t="shared" si="3"/>
        <v>0</v>
      </c>
      <c r="AE2437" s="154"/>
      <c r="AF2437" s="242" t="str">
        <f t="shared" si="4"/>
        <v>#ERROR!</v>
      </c>
      <c r="AG2437" s="154"/>
      <c r="AH2437" s="242" t="str">
        <f>IF(AG2437="","N/A",INDIRECT("MTR!"&amp;ADDRESS(MATCH(LEFT(AG2437,9),[1]MTR!C:C,0),COLUMN(J2437)),TRUE) &amp; "")</f>
        <v>#ERROR!</v>
      </c>
      <c r="AI2437" s="157" t="str">
        <f t="shared" si="5"/>
        <v>#ERROR!</v>
      </c>
    </row>
    <row r="2438" ht="12.75" customHeight="1">
      <c r="A2438" s="244" t="s">
        <v>5158</v>
      </c>
      <c r="B2438" s="244" t="s">
        <v>231</v>
      </c>
      <c r="C2438" s="255" t="s">
        <v>12671</v>
      </c>
      <c r="D2438" s="256" t="s">
        <v>42</v>
      </c>
      <c r="E2438" s="256" t="s">
        <v>489</v>
      </c>
      <c r="F2438" s="154" t="str">
        <f t="array" ref="F2438">XLOOKUP(Cover!$D$12,$R$1:$Z$1,$R2438:$Z2438)</f>
        <v>Information</v>
      </c>
      <c r="G2438" s="154" t="s">
        <v>12672</v>
      </c>
      <c r="H2438" s="154" t="s">
        <v>6782</v>
      </c>
      <c r="I2438" s="154" t="s">
        <v>12668</v>
      </c>
      <c r="J2438" s="154" t="s">
        <v>6956</v>
      </c>
      <c r="K2438" s="154" t="s">
        <v>12654</v>
      </c>
      <c r="L2438" s="154" t="s">
        <v>5931</v>
      </c>
      <c r="M2438" s="154"/>
      <c r="N2438" s="154" t="s">
        <v>759</v>
      </c>
      <c r="O2438" s="247" t="s">
        <v>516</v>
      </c>
      <c r="P2438" s="247" t="s">
        <v>6776</v>
      </c>
      <c r="Q2438" s="154" t="str">
        <f t="shared" si="1"/>
        <v>#ERROR!</v>
      </c>
      <c r="R2438" s="154" t="s">
        <v>66</v>
      </c>
      <c r="S2438" s="154" t="s">
        <v>66</v>
      </c>
      <c r="T2438" s="154" t="s">
        <v>66</v>
      </c>
      <c r="U2438" s="154" t="s">
        <v>66</v>
      </c>
      <c r="V2438" s="154" t="s">
        <v>66</v>
      </c>
      <c r="W2438" s="154" t="s">
        <v>66</v>
      </c>
      <c r="X2438" s="154" t="s">
        <v>66</v>
      </c>
      <c r="Y2438" s="154" t="s">
        <v>66</v>
      </c>
      <c r="Z2438" s="154" t="s">
        <v>66</v>
      </c>
      <c r="AA2438" s="154"/>
      <c r="AB2438" s="242" t="str">
        <f t="shared" si="2"/>
        <v>#ERROR!</v>
      </c>
      <c r="AC2438" s="154" t="s">
        <v>391</v>
      </c>
      <c r="AD2438" s="242" t="b">
        <f t="shared" si="3"/>
        <v>0</v>
      </c>
      <c r="AE2438" s="154"/>
      <c r="AF2438" s="242" t="str">
        <f t="shared" si="4"/>
        <v>#ERROR!</v>
      </c>
      <c r="AG2438" s="154"/>
      <c r="AH2438" s="242" t="str">
        <f>IF(AG2438="","N/A",INDIRECT("MTR!"&amp;ADDRESS(MATCH(LEFT(AG2438,9),[1]MTR!C:C,0),COLUMN(J2438)),TRUE) &amp; "")</f>
        <v>#ERROR!</v>
      </c>
      <c r="AI2438" s="157" t="str">
        <f t="shared" si="5"/>
        <v>#ERROR!</v>
      </c>
    </row>
    <row r="2439" ht="12.75" customHeight="1">
      <c r="A2439" s="244" t="s">
        <v>5158</v>
      </c>
      <c r="B2439" s="244" t="s">
        <v>231</v>
      </c>
      <c r="C2439" s="255" t="s">
        <v>12673</v>
      </c>
      <c r="D2439" s="256" t="s">
        <v>42</v>
      </c>
      <c r="E2439" s="256" t="s">
        <v>489</v>
      </c>
      <c r="F2439" s="154" t="str">
        <f t="array" ref="F2439">XLOOKUP(Cover!$D$12,$R$1:$Z$1,$R2439:$Z2439)</f>
        <v>Information</v>
      </c>
      <c r="G2439" s="154" t="s">
        <v>12674</v>
      </c>
      <c r="H2439" s="154" t="s">
        <v>1489</v>
      </c>
      <c r="I2439" s="154" t="s">
        <v>12668</v>
      </c>
      <c r="J2439" s="154" t="s">
        <v>6956</v>
      </c>
      <c r="K2439" s="154" t="s">
        <v>12654</v>
      </c>
      <c r="L2439" s="154" t="s">
        <v>5931</v>
      </c>
      <c r="M2439" s="154"/>
      <c r="N2439" s="154" t="s">
        <v>759</v>
      </c>
      <c r="O2439" s="247" t="s">
        <v>516</v>
      </c>
      <c r="P2439" s="247" t="s">
        <v>6776</v>
      </c>
      <c r="Q2439" s="154" t="str">
        <f t="shared" si="1"/>
        <v>#ERROR!</v>
      </c>
      <c r="R2439" s="154" t="s">
        <v>66</v>
      </c>
      <c r="S2439" s="154" t="s">
        <v>66</v>
      </c>
      <c r="T2439" s="154" t="s">
        <v>66</v>
      </c>
      <c r="U2439" s="154" t="s">
        <v>66</v>
      </c>
      <c r="V2439" s="154" t="s">
        <v>66</v>
      </c>
      <c r="W2439" s="154" t="s">
        <v>66</v>
      </c>
      <c r="X2439" s="154" t="s">
        <v>66</v>
      </c>
      <c r="Y2439" s="154" t="s">
        <v>66</v>
      </c>
      <c r="Z2439" s="154" t="s">
        <v>66</v>
      </c>
      <c r="AA2439" s="154"/>
      <c r="AB2439" s="242" t="str">
        <f t="shared" si="2"/>
        <v>#ERROR!</v>
      </c>
      <c r="AC2439" s="154" t="s">
        <v>391</v>
      </c>
      <c r="AD2439" s="242" t="b">
        <f t="shared" si="3"/>
        <v>0</v>
      </c>
      <c r="AE2439" s="154"/>
      <c r="AF2439" s="242" t="str">
        <f t="shared" si="4"/>
        <v>#ERROR!</v>
      </c>
      <c r="AG2439" s="154"/>
      <c r="AH2439" s="242" t="str">
        <f>IF(AG2439="","N/A",INDIRECT("MTR!"&amp;ADDRESS(MATCH(LEFT(AG2439,9),[1]MTR!C:C,0),COLUMN(J2439)),TRUE) &amp; "")</f>
        <v>#ERROR!</v>
      </c>
      <c r="AI2439" s="157" t="str">
        <f t="shared" si="5"/>
        <v>#ERROR!</v>
      </c>
    </row>
    <row r="2440" ht="12.75" customHeight="1">
      <c r="A2440" s="244" t="s">
        <v>5158</v>
      </c>
      <c r="B2440" s="244" t="s">
        <v>231</v>
      </c>
      <c r="C2440" s="255" t="s">
        <v>12675</v>
      </c>
      <c r="D2440" s="256" t="s">
        <v>42</v>
      </c>
      <c r="E2440" s="256" t="s">
        <v>489</v>
      </c>
      <c r="F2440" s="154" t="str">
        <f t="array" ref="F2440">XLOOKUP(Cover!$D$12,$R$1:$Z$1,$R2440:$Z2440)</f>
        <v>Information</v>
      </c>
      <c r="G2440" s="154" t="s">
        <v>12676</v>
      </c>
      <c r="H2440" s="154" t="s">
        <v>8550</v>
      </c>
      <c r="I2440" s="154" t="s">
        <v>12668</v>
      </c>
      <c r="J2440" s="154" t="s">
        <v>6956</v>
      </c>
      <c r="K2440" s="154" t="s">
        <v>12654</v>
      </c>
      <c r="L2440" s="154" t="s">
        <v>5931</v>
      </c>
      <c r="M2440" s="154"/>
      <c r="N2440" s="154" t="s">
        <v>759</v>
      </c>
      <c r="O2440" s="247" t="s">
        <v>516</v>
      </c>
      <c r="P2440" s="247" t="s">
        <v>6776</v>
      </c>
      <c r="Q2440" s="154" t="str">
        <f t="shared" si="1"/>
        <v>#ERROR!</v>
      </c>
      <c r="R2440" s="154" t="s">
        <v>66</v>
      </c>
      <c r="S2440" s="154" t="s">
        <v>66</v>
      </c>
      <c r="T2440" s="154" t="s">
        <v>66</v>
      </c>
      <c r="U2440" s="154" t="s">
        <v>66</v>
      </c>
      <c r="V2440" s="154" t="s">
        <v>66</v>
      </c>
      <c r="W2440" s="154" t="s">
        <v>66</v>
      </c>
      <c r="X2440" s="154" t="s">
        <v>66</v>
      </c>
      <c r="Y2440" s="154" t="s">
        <v>66</v>
      </c>
      <c r="Z2440" s="154" t="s">
        <v>66</v>
      </c>
      <c r="AA2440" s="154"/>
      <c r="AB2440" s="242" t="str">
        <f t="shared" si="2"/>
        <v>#ERROR!</v>
      </c>
      <c r="AC2440" s="154" t="s">
        <v>391</v>
      </c>
      <c r="AD2440" s="242" t="b">
        <f t="shared" si="3"/>
        <v>0</v>
      </c>
      <c r="AE2440" s="154"/>
      <c r="AF2440" s="242" t="str">
        <f t="shared" si="4"/>
        <v>#ERROR!</v>
      </c>
      <c r="AG2440" s="154"/>
      <c r="AH2440" s="242" t="str">
        <f>IF(AG2440="","N/A",INDIRECT("MTR!"&amp;ADDRESS(MATCH(LEFT(AG2440,9),[1]MTR!C:C,0),COLUMN(J2440)),TRUE) &amp; "")</f>
        <v>#ERROR!</v>
      </c>
      <c r="AI2440" s="157" t="str">
        <f t="shared" si="5"/>
        <v>#ERROR!</v>
      </c>
    </row>
    <row r="2441" ht="12.75" customHeight="1">
      <c r="A2441" s="244" t="s">
        <v>5158</v>
      </c>
      <c r="B2441" s="244" t="s">
        <v>231</v>
      </c>
      <c r="C2441" s="255" t="s">
        <v>12677</v>
      </c>
      <c r="D2441" s="256" t="s">
        <v>42</v>
      </c>
      <c r="E2441" s="256" t="s">
        <v>489</v>
      </c>
      <c r="F2441" s="154" t="str">
        <f t="array" ref="F2441">XLOOKUP(Cover!$D$12,$R$1:$Z$1,$R2441:$Z2441)</f>
        <v>Information</v>
      </c>
      <c r="G2441" s="154" t="s">
        <v>12678</v>
      </c>
      <c r="H2441" s="154" t="s">
        <v>8519</v>
      </c>
      <c r="I2441" s="154" t="s">
        <v>12668</v>
      </c>
      <c r="J2441" s="154" t="s">
        <v>6956</v>
      </c>
      <c r="K2441" s="154" t="s">
        <v>12654</v>
      </c>
      <c r="L2441" s="154" t="s">
        <v>5931</v>
      </c>
      <c r="M2441" s="154"/>
      <c r="N2441" s="154" t="s">
        <v>759</v>
      </c>
      <c r="O2441" s="247" t="s">
        <v>516</v>
      </c>
      <c r="P2441" s="247" t="s">
        <v>6776</v>
      </c>
      <c r="Q2441" s="154" t="str">
        <f t="shared" si="1"/>
        <v>#ERROR!</v>
      </c>
      <c r="R2441" s="154" t="s">
        <v>66</v>
      </c>
      <c r="S2441" s="154" t="s">
        <v>66</v>
      </c>
      <c r="T2441" s="154" t="s">
        <v>66</v>
      </c>
      <c r="U2441" s="154" t="s">
        <v>66</v>
      </c>
      <c r="V2441" s="154" t="s">
        <v>66</v>
      </c>
      <c r="W2441" s="154" t="s">
        <v>66</v>
      </c>
      <c r="X2441" s="154" t="s">
        <v>66</v>
      </c>
      <c r="Y2441" s="154" t="s">
        <v>66</v>
      </c>
      <c r="Z2441" s="154" t="s">
        <v>66</v>
      </c>
      <c r="AA2441" s="154"/>
      <c r="AB2441" s="242" t="str">
        <f t="shared" si="2"/>
        <v>#ERROR!</v>
      </c>
      <c r="AC2441" s="154" t="s">
        <v>391</v>
      </c>
      <c r="AD2441" s="242" t="b">
        <f t="shared" si="3"/>
        <v>0</v>
      </c>
      <c r="AE2441" s="154"/>
      <c r="AF2441" s="242" t="str">
        <f t="shared" si="4"/>
        <v>#ERROR!</v>
      </c>
      <c r="AG2441" s="154"/>
      <c r="AH2441" s="242" t="str">
        <f>IF(AG2441="","N/A",INDIRECT("MTR!"&amp;ADDRESS(MATCH(LEFT(AG2441,9),[1]MTR!C:C,0),COLUMN(J2441)),TRUE) &amp; "")</f>
        <v>#ERROR!</v>
      </c>
      <c r="AI2441" s="157" t="str">
        <f t="shared" si="5"/>
        <v>#ERROR!</v>
      </c>
    </row>
    <row r="2442" ht="12.75" customHeight="1">
      <c r="A2442" s="238" t="s">
        <v>5158</v>
      </c>
      <c r="B2442" s="238" t="s">
        <v>231</v>
      </c>
      <c r="C2442" s="238" t="s">
        <v>12679</v>
      </c>
      <c r="D2442" s="240"/>
      <c r="E2442" s="240" t="s">
        <v>92</v>
      </c>
      <c r="F2442" s="240" t="str">
        <f t="array" ref="F2442">XLOOKUP(Cover!$D$12,$R$1:$Z$1,$R2442:$Z2442)</f>
        <v>Heading</v>
      </c>
      <c r="G2442" s="239" t="s">
        <v>12680</v>
      </c>
      <c r="H2442" s="240"/>
      <c r="I2442" s="240"/>
      <c r="J2442" s="240"/>
      <c r="K2442" s="240"/>
      <c r="L2442" s="240"/>
      <c r="M2442" s="240"/>
      <c r="N2442" s="240" t="s">
        <v>12648</v>
      </c>
      <c r="O2442" s="240"/>
      <c r="P2442" s="240"/>
      <c r="Q2442" s="240" t="str">
        <f t="shared" si="1"/>
        <v/>
      </c>
      <c r="R2442" s="240" t="s">
        <v>390</v>
      </c>
      <c r="S2442" s="240" t="s">
        <v>390</v>
      </c>
      <c r="T2442" s="240" t="s">
        <v>390</v>
      </c>
      <c r="U2442" s="240" t="s">
        <v>390</v>
      </c>
      <c r="V2442" s="240" t="s">
        <v>390</v>
      </c>
      <c r="W2442" s="240" t="s">
        <v>390</v>
      </c>
      <c r="X2442" s="240" t="s">
        <v>390</v>
      </c>
      <c r="Y2442" s="240" t="s">
        <v>390</v>
      </c>
      <c r="Z2442" s="240" t="s">
        <v>390</v>
      </c>
      <c r="AA2442" s="240"/>
      <c r="AB2442" s="242" t="str">
        <f t="shared" si="2"/>
        <v>#ERROR!</v>
      </c>
      <c r="AC2442" s="240" t="s">
        <v>391</v>
      </c>
      <c r="AD2442" s="242" t="b">
        <f t="shared" si="3"/>
        <v>0</v>
      </c>
      <c r="AE2442" s="240"/>
      <c r="AF2442" s="242" t="str">
        <f t="shared" si="4"/>
        <v>#ERROR!</v>
      </c>
      <c r="AG2442" s="240"/>
      <c r="AH2442" s="242" t="str">
        <f>IF(AG2442="","N/A",INDIRECT("MTR!"&amp;ADDRESS(MATCH(LEFT(AG2442,9),[1]MTR!C:C,0),COLUMN(J2442)),TRUE) &amp; "")</f>
        <v>#ERROR!</v>
      </c>
      <c r="AI2442" s="157" t="str">
        <f t="shared" si="5"/>
        <v/>
      </c>
    </row>
    <row r="2443" ht="12.75" customHeight="1">
      <c r="A2443" s="244" t="s">
        <v>5158</v>
      </c>
      <c r="B2443" s="244" t="s">
        <v>231</v>
      </c>
      <c r="C2443" s="255" t="s">
        <v>12681</v>
      </c>
      <c r="D2443" s="256" t="s">
        <v>42</v>
      </c>
      <c r="E2443" s="256" t="s">
        <v>489</v>
      </c>
      <c r="F2443" s="154" t="str">
        <f t="array" ref="F2443">XLOOKUP(Cover!$D$12,$R$1:$Z$1,$R2443:$Z2443)</f>
        <v>Information</v>
      </c>
      <c r="G2443" s="154" t="s">
        <v>12682</v>
      </c>
      <c r="H2443" s="154" t="s">
        <v>6775</v>
      </c>
      <c r="I2443" s="154" t="s">
        <v>12683</v>
      </c>
      <c r="J2443" s="154" t="s">
        <v>5830</v>
      </c>
      <c r="K2443" s="154" t="s">
        <v>12684</v>
      </c>
      <c r="L2443" s="154" t="s">
        <v>5931</v>
      </c>
      <c r="M2443" s="154"/>
      <c r="N2443" s="154" t="s">
        <v>759</v>
      </c>
      <c r="O2443" s="247" t="s">
        <v>516</v>
      </c>
      <c r="P2443" s="247" t="s">
        <v>6776</v>
      </c>
      <c r="Q2443" s="154" t="str">
        <f t="shared" si="1"/>
        <v>#ERROR!</v>
      </c>
      <c r="R2443" s="154" t="s">
        <v>66</v>
      </c>
      <c r="S2443" s="154" t="s">
        <v>66</v>
      </c>
      <c r="T2443" s="154" t="s">
        <v>66</v>
      </c>
      <c r="U2443" s="154" t="s">
        <v>66</v>
      </c>
      <c r="V2443" s="154" t="s">
        <v>66</v>
      </c>
      <c r="W2443" s="154" t="s">
        <v>66</v>
      </c>
      <c r="X2443" s="154" t="s">
        <v>66</v>
      </c>
      <c r="Y2443" s="154" t="s">
        <v>66</v>
      </c>
      <c r="Z2443" s="154" t="s">
        <v>66</v>
      </c>
      <c r="AA2443" s="154"/>
      <c r="AB2443" s="242" t="str">
        <f t="shared" si="2"/>
        <v>#ERROR!</v>
      </c>
      <c r="AC2443" s="154" t="s">
        <v>391</v>
      </c>
      <c r="AD2443" s="242" t="b">
        <f t="shared" si="3"/>
        <v>0</v>
      </c>
      <c r="AE2443" s="154"/>
      <c r="AF2443" s="242" t="str">
        <f t="shared" si="4"/>
        <v>#ERROR!</v>
      </c>
      <c r="AG2443" s="154"/>
      <c r="AH2443" s="242" t="str">
        <f>IF(AG2443="","N/A",INDIRECT("MTR!"&amp;ADDRESS(MATCH(LEFT(AG2443,9),[1]MTR!C:C,0),COLUMN(J2443)),TRUE) &amp; "")</f>
        <v>#ERROR!</v>
      </c>
      <c r="AI2443" s="157" t="str">
        <f t="shared" si="5"/>
        <v>#ERROR!</v>
      </c>
    </row>
    <row r="2444" ht="12.75" customHeight="1">
      <c r="A2444" s="244" t="s">
        <v>5158</v>
      </c>
      <c r="B2444" s="244" t="s">
        <v>231</v>
      </c>
      <c r="C2444" s="255" t="s">
        <v>12685</v>
      </c>
      <c r="D2444" s="256" t="s">
        <v>42</v>
      </c>
      <c r="E2444" s="256" t="s">
        <v>489</v>
      </c>
      <c r="F2444" s="154" t="str">
        <f t="array" ref="F2444">XLOOKUP(Cover!$D$12,$R$1:$Z$1,$R2444:$Z2444)</f>
        <v>Information</v>
      </c>
      <c r="G2444" s="154" t="s">
        <v>12686</v>
      </c>
      <c r="H2444" s="154" t="s">
        <v>9009</v>
      </c>
      <c r="I2444" s="154" t="s">
        <v>12683</v>
      </c>
      <c r="J2444" s="154" t="s">
        <v>5830</v>
      </c>
      <c r="K2444" s="154" t="s">
        <v>12684</v>
      </c>
      <c r="L2444" s="154" t="s">
        <v>5931</v>
      </c>
      <c r="M2444" s="154"/>
      <c r="N2444" s="154" t="s">
        <v>759</v>
      </c>
      <c r="O2444" s="247" t="s">
        <v>516</v>
      </c>
      <c r="P2444" s="247" t="s">
        <v>6776</v>
      </c>
      <c r="Q2444" s="154" t="str">
        <f t="shared" si="1"/>
        <v>#ERROR!</v>
      </c>
      <c r="R2444" s="154" t="s">
        <v>66</v>
      </c>
      <c r="S2444" s="154" t="s">
        <v>66</v>
      </c>
      <c r="T2444" s="154" t="s">
        <v>66</v>
      </c>
      <c r="U2444" s="154" t="s">
        <v>66</v>
      </c>
      <c r="V2444" s="154" t="s">
        <v>66</v>
      </c>
      <c r="W2444" s="154" t="s">
        <v>66</v>
      </c>
      <c r="X2444" s="154" t="s">
        <v>66</v>
      </c>
      <c r="Y2444" s="154" t="s">
        <v>66</v>
      </c>
      <c r="Z2444" s="154" t="s">
        <v>66</v>
      </c>
      <c r="AA2444" s="154"/>
      <c r="AB2444" s="242" t="str">
        <f t="shared" si="2"/>
        <v>#ERROR!</v>
      </c>
      <c r="AC2444" s="154" t="s">
        <v>391</v>
      </c>
      <c r="AD2444" s="242" t="b">
        <f t="shared" si="3"/>
        <v>0</v>
      </c>
      <c r="AE2444" s="154"/>
      <c r="AF2444" s="242" t="str">
        <f t="shared" si="4"/>
        <v>#ERROR!</v>
      </c>
      <c r="AG2444" s="154"/>
      <c r="AH2444" s="242" t="str">
        <f>IF(AG2444="","N/A",INDIRECT("MTR!"&amp;ADDRESS(MATCH(LEFT(AG2444,9),[1]MTR!C:C,0),COLUMN(J2444)),TRUE) &amp; "")</f>
        <v>#ERROR!</v>
      </c>
      <c r="AI2444" s="157" t="str">
        <f t="shared" si="5"/>
        <v>#ERROR!</v>
      </c>
    </row>
    <row r="2445" ht="12.75" customHeight="1">
      <c r="A2445" s="244" t="s">
        <v>5158</v>
      </c>
      <c r="B2445" s="244" t="s">
        <v>231</v>
      </c>
      <c r="C2445" s="255" t="s">
        <v>12687</v>
      </c>
      <c r="D2445" s="256" t="s">
        <v>42</v>
      </c>
      <c r="E2445" s="256" t="s">
        <v>489</v>
      </c>
      <c r="F2445" s="154" t="str">
        <f t="array" ref="F2445">XLOOKUP(Cover!$D$12,$R$1:$Z$1,$R2445:$Z2445)</f>
        <v>Information</v>
      </c>
      <c r="G2445" s="154" t="s">
        <v>12688</v>
      </c>
      <c r="H2445" s="154" t="s">
        <v>6771</v>
      </c>
      <c r="I2445" s="154" t="s">
        <v>12689</v>
      </c>
      <c r="J2445" s="154" t="s">
        <v>6809</v>
      </c>
      <c r="K2445" s="154" t="s">
        <v>12684</v>
      </c>
      <c r="L2445" s="154" t="s">
        <v>5931</v>
      </c>
      <c r="M2445" s="154"/>
      <c r="N2445" s="154" t="s">
        <v>759</v>
      </c>
      <c r="O2445" s="247" t="s">
        <v>516</v>
      </c>
      <c r="P2445" s="247" t="s">
        <v>6776</v>
      </c>
      <c r="Q2445" s="154" t="str">
        <f t="shared" si="1"/>
        <v>#ERROR!</v>
      </c>
      <c r="R2445" s="154" t="s">
        <v>66</v>
      </c>
      <c r="S2445" s="154" t="s">
        <v>66</v>
      </c>
      <c r="T2445" s="154" t="s">
        <v>66</v>
      </c>
      <c r="U2445" s="154" t="s">
        <v>66</v>
      </c>
      <c r="V2445" s="154" t="s">
        <v>66</v>
      </c>
      <c r="W2445" s="154" t="s">
        <v>66</v>
      </c>
      <c r="X2445" s="154" t="s">
        <v>66</v>
      </c>
      <c r="Y2445" s="154" t="s">
        <v>66</v>
      </c>
      <c r="Z2445" s="154" t="s">
        <v>66</v>
      </c>
      <c r="AA2445" s="154"/>
      <c r="AB2445" s="242" t="str">
        <f t="shared" si="2"/>
        <v>#ERROR!</v>
      </c>
      <c r="AC2445" s="154" t="s">
        <v>391</v>
      </c>
      <c r="AD2445" s="242" t="b">
        <f t="shared" si="3"/>
        <v>0</v>
      </c>
      <c r="AE2445" s="154"/>
      <c r="AF2445" s="242" t="str">
        <f t="shared" si="4"/>
        <v>#ERROR!</v>
      </c>
      <c r="AG2445" s="154"/>
      <c r="AH2445" s="242" t="str">
        <f>IF(AG2445="","N/A",INDIRECT("MTR!"&amp;ADDRESS(MATCH(LEFT(AG2445,9),[1]MTR!C:C,0),COLUMN(J2445)),TRUE) &amp; "")</f>
        <v>#ERROR!</v>
      </c>
      <c r="AI2445" s="157" t="str">
        <f t="shared" si="5"/>
        <v>#ERROR!</v>
      </c>
    </row>
    <row r="2446" ht="12.75" customHeight="1">
      <c r="A2446" s="244" t="s">
        <v>5158</v>
      </c>
      <c r="B2446" s="244" t="s">
        <v>231</v>
      </c>
      <c r="C2446" s="255" t="s">
        <v>12690</v>
      </c>
      <c r="D2446" s="256" t="s">
        <v>42</v>
      </c>
      <c r="E2446" s="256" t="s">
        <v>489</v>
      </c>
      <c r="F2446" s="154" t="str">
        <f t="array" ref="F2446">XLOOKUP(Cover!$D$12,$R$1:$Z$1,$R2446:$Z2446)</f>
        <v>Information</v>
      </c>
      <c r="G2446" s="154" t="s">
        <v>12691</v>
      </c>
      <c r="H2446" s="154" t="s">
        <v>6808</v>
      </c>
      <c r="I2446" s="154" t="s">
        <v>12689</v>
      </c>
      <c r="J2446" s="154" t="s">
        <v>6809</v>
      </c>
      <c r="K2446" s="154" t="s">
        <v>12684</v>
      </c>
      <c r="L2446" s="154" t="s">
        <v>5931</v>
      </c>
      <c r="M2446" s="154"/>
      <c r="N2446" s="154" t="s">
        <v>759</v>
      </c>
      <c r="O2446" s="247" t="s">
        <v>516</v>
      </c>
      <c r="P2446" s="247" t="s">
        <v>6776</v>
      </c>
      <c r="Q2446" s="154" t="str">
        <f t="shared" si="1"/>
        <v>#ERROR!</v>
      </c>
      <c r="R2446" s="154" t="s">
        <v>66</v>
      </c>
      <c r="S2446" s="154" t="s">
        <v>66</v>
      </c>
      <c r="T2446" s="154" t="s">
        <v>66</v>
      </c>
      <c r="U2446" s="154" t="s">
        <v>66</v>
      </c>
      <c r="V2446" s="154" t="s">
        <v>66</v>
      </c>
      <c r="W2446" s="154" t="s">
        <v>66</v>
      </c>
      <c r="X2446" s="154" t="s">
        <v>66</v>
      </c>
      <c r="Y2446" s="154" t="s">
        <v>66</v>
      </c>
      <c r="Z2446" s="154" t="s">
        <v>66</v>
      </c>
      <c r="AA2446" s="154"/>
      <c r="AB2446" s="242" t="str">
        <f t="shared" si="2"/>
        <v>#ERROR!</v>
      </c>
      <c r="AC2446" s="154" t="s">
        <v>391</v>
      </c>
      <c r="AD2446" s="242" t="b">
        <f t="shared" si="3"/>
        <v>0</v>
      </c>
      <c r="AE2446" s="154"/>
      <c r="AF2446" s="242" t="str">
        <f t="shared" si="4"/>
        <v>#ERROR!</v>
      </c>
      <c r="AG2446" s="154"/>
      <c r="AH2446" s="242" t="str">
        <f>IF(AG2446="","N/A",INDIRECT("MTR!"&amp;ADDRESS(MATCH(LEFT(AG2446,9),[1]MTR!C:C,0),COLUMN(J2446)),TRUE) &amp; "")</f>
        <v>#ERROR!</v>
      </c>
      <c r="AI2446" s="157" t="str">
        <f t="shared" si="5"/>
        <v>#ERROR!</v>
      </c>
    </row>
    <row r="2447" ht="12.75" customHeight="1">
      <c r="A2447" s="244" t="s">
        <v>5158</v>
      </c>
      <c r="B2447" s="244" t="s">
        <v>231</v>
      </c>
      <c r="C2447" s="255" t="s">
        <v>12692</v>
      </c>
      <c r="D2447" s="256" t="s">
        <v>42</v>
      </c>
      <c r="E2447" s="256" t="s">
        <v>489</v>
      </c>
      <c r="F2447" s="154" t="str">
        <f t="array" ref="F2447">XLOOKUP(Cover!$D$12,$R$1:$Z$1,$R2447:$Z2447)</f>
        <v>Information</v>
      </c>
      <c r="G2447" s="154" t="s">
        <v>12693</v>
      </c>
      <c r="H2447" s="154" t="s">
        <v>9006</v>
      </c>
      <c r="I2447" s="154" t="s">
        <v>12689</v>
      </c>
      <c r="J2447" s="154" t="s">
        <v>6809</v>
      </c>
      <c r="K2447" s="154" t="s">
        <v>12684</v>
      </c>
      <c r="L2447" s="154" t="s">
        <v>5931</v>
      </c>
      <c r="M2447" s="154"/>
      <c r="N2447" s="154" t="s">
        <v>759</v>
      </c>
      <c r="O2447" s="247" t="s">
        <v>516</v>
      </c>
      <c r="P2447" s="247" t="s">
        <v>6776</v>
      </c>
      <c r="Q2447" s="154" t="str">
        <f t="shared" si="1"/>
        <v>#ERROR!</v>
      </c>
      <c r="R2447" s="154" t="s">
        <v>66</v>
      </c>
      <c r="S2447" s="154" t="s">
        <v>66</v>
      </c>
      <c r="T2447" s="154" t="s">
        <v>66</v>
      </c>
      <c r="U2447" s="154" t="s">
        <v>66</v>
      </c>
      <c r="V2447" s="154" t="s">
        <v>66</v>
      </c>
      <c r="W2447" s="154" t="s">
        <v>66</v>
      </c>
      <c r="X2447" s="154" t="s">
        <v>66</v>
      </c>
      <c r="Y2447" s="154" t="s">
        <v>66</v>
      </c>
      <c r="Z2447" s="154" t="s">
        <v>66</v>
      </c>
      <c r="AA2447" s="154"/>
      <c r="AB2447" s="242" t="str">
        <f t="shared" si="2"/>
        <v>#ERROR!</v>
      </c>
      <c r="AC2447" s="154" t="s">
        <v>391</v>
      </c>
      <c r="AD2447" s="242" t="b">
        <f t="shared" si="3"/>
        <v>0</v>
      </c>
      <c r="AE2447" s="154"/>
      <c r="AF2447" s="242" t="str">
        <f t="shared" si="4"/>
        <v>#ERROR!</v>
      </c>
      <c r="AG2447" s="154"/>
      <c r="AH2447" s="242" t="str">
        <f>IF(AG2447="","N/A",INDIRECT("MTR!"&amp;ADDRESS(MATCH(LEFT(AG2447,9),[1]MTR!C:C,0),COLUMN(J2447)),TRUE) &amp; "")</f>
        <v>#ERROR!</v>
      </c>
      <c r="AI2447" s="157" t="str">
        <f t="shared" si="5"/>
        <v>#ERROR!</v>
      </c>
    </row>
    <row r="2448" ht="12.75" customHeight="1">
      <c r="A2448" s="244" t="s">
        <v>5158</v>
      </c>
      <c r="B2448" s="244" t="s">
        <v>231</v>
      </c>
      <c r="C2448" s="255" t="s">
        <v>12694</v>
      </c>
      <c r="D2448" s="256" t="s">
        <v>42</v>
      </c>
      <c r="E2448" s="256" t="s">
        <v>489</v>
      </c>
      <c r="F2448" s="154" t="str">
        <f t="array" ref="F2448">XLOOKUP(Cover!$D$12,$R$1:$Z$1,$R2448:$Z2448)</f>
        <v>Information</v>
      </c>
      <c r="G2448" s="154" t="s">
        <v>12695</v>
      </c>
      <c r="H2448" s="154" t="s">
        <v>9053</v>
      </c>
      <c r="I2448" s="154" t="s">
        <v>12689</v>
      </c>
      <c r="J2448" s="154" t="s">
        <v>6809</v>
      </c>
      <c r="K2448" s="154" t="s">
        <v>12684</v>
      </c>
      <c r="L2448" s="154" t="s">
        <v>5931</v>
      </c>
      <c r="M2448" s="154"/>
      <c r="N2448" s="154" t="s">
        <v>759</v>
      </c>
      <c r="O2448" s="247" t="s">
        <v>516</v>
      </c>
      <c r="P2448" s="247" t="s">
        <v>6776</v>
      </c>
      <c r="Q2448" s="154" t="str">
        <f t="shared" si="1"/>
        <v>#ERROR!</v>
      </c>
      <c r="R2448" s="154" t="s">
        <v>66</v>
      </c>
      <c r="S2448" s="154" t="s">
        <v>66</v>
      </c>
      <c r="T2448" s="154" t="s">
        <v>66</v>
      </c>
      <c r="U2448" s="154" t="s">
        <v>66</v>
      </c>
      <c r="V2448" s="154" t="s">
        <v>66</v>
      </c>
      <c r="W2448" s="154" t="s">
        <v>66</v>
      </c>
      <c r="X2448" s="154" t="s">
        <v>66</v>
      </c>
      <c r="Y2448" s="154" t="s">
        <v>66</v>
      </c>
      <c r="Z2448" s="154" t="s">
        <v>66</v>
      </c>
      <c r="AA2448" s="154"/>
      <c r="AB2448" s="242" t="str">
        <f t="shared" si="2"/>
        <v>#ERROR!</v>
      </c>
      <c r="AC2448" s="154" t="s">
        <v>391</v>
      </c>
      <c r="AD2448" s="242" t="b">
        <f t="shared" si="3"/>
        <v>0</v>
      </c>
      <c r="AE2448" s="154"/>
      <c r="AF2448" s="242" t="str">
        <f t="shared" si="4"/>
        <v>#ERROR!</v>
      </c>
      <c r="AG2448" s="154"/>
      <c r="AH2448" s="242" t="str">
        <f>IF(AG2448="","N/A",INDIRECT("MTR!"&amp;ADDRESS(MATCH(LEFT(AG2448,9),[1]MTR!C:C,0),COLUMN(J2448)),TRUE) &amp; "")</f>
        <v>#ERROR!</v>
      </c>
      <c r="AI2448" s="157" t="str">
        <f t="shared" si="5"/>
        <v>#ERROR!</v>
      </c>
    </row>
    <row r="2449" ht="12.75" customHeight="1">
      <c r="A2449" s="244" t="s">
        <v>5158</v>
      </c>
      <c r="B2449" s="244" t="s">
        <v>231</v>
      </c>
      <c r="C2449" s="255" t="s">
        <v>12696</v>
      </c>
      <c r="D2449" s="256" t="s">
        <v>42</v>
      </c>
      <c r="E2449" s="256" t="s">
        <v>489</v>
      </c>
      <c r="F2449" s="154" t="str">
        <f t="array" ref="F2449">XLOOKUP(Cover!$D$12,$R$1:$Z$1,$R2449:$Z2449)</f>
        <v>Information</v>
      </c>
      <c r="G2449" s="154" t="s">
        <v>12697</v>
      </c>
      <c r="H2449" s="154" t="s">
        <v>6771</v>
      </c>
      <c r="I2449" s="154" t="s">
        <v>12698</v>
      </c>
      <c r="J2449" s="154" t="s">
        <v>6819</v>
      </c>
      <c r="K2449" s="154" t="s">
        <v>12684</v>
      </c>
      <c r="L2449" s="154" t="s">
        <v>5931</v>
      </c>
      <c r="M2449" s="154"/>
      <c r="N2449" s="154" t="s">
        <v>759</v>
      </c>
      <c r="O2449" s="247" t="s">
        <v>516</v>
      </c>
      <c r="P2449" s="247" t="s">
        <v>6776</v>
      </c>
      <c r="Q2449" s="154" t="str">
        <f t="shared" si="1"/>
        <v>#ERROR!</v>
      </c>
      <c r="R2449" s="154" t="s">
        <v>66</v>
      </c>
      <c r="S2449" s="154" t="s">
        <v>66</v>
      </c>
      <c r="T2449" s="154" t="s">
        <v>66</v>
      </c>
      <c r="U2449" s="154" t="s">
        <v>66</v>
      </c>
      <c r="V2449" s="154" t="s">
        <v>66</v>
      </c>
      <c r="W2449" s="154" t="s">
        <v>66</v>
      </c>
      <c r="X2449" s="154" t="s">
        <v>66</v>
      </c>
      <c r="Y2449" s="154" t="s">
        <v>66</v>
      </c>
      <c r="Z2449" s="154" t="s">
        <v>66</v>
      </c>
      <c r="AA2449" s="154"/>
      <c r="AB2449" s="242" t="str">
        <f t="shared" si="2"/>
        <v>#ERROR!</v>
      </c>
      <c r="AC2449" s="154" t="s">
        <v>391</v>
      </c>
      <c r="AD2449" s="242" t="b">
        <f t="shared" si="3"/>
        <v>0</v>
      </c>
      <c r="AE2449" s="154"/>
      <c r="AF2449" s="242" t="str">
        <f t="shared" si="4"/>
        <v>#ERROR!</v>
      </c>
      <c r="AG2449" s="154"/>
      <c r="AH2449" s="242" t="str">
        <f>IF(AG2449="","N/A",INDIRECT("MTR!"&amp;ADDRESS(MATCH(LEFT(AG2449,9),[1]MTR!C:C,0),COLUMN(J2449)),TRUE) &amp; "")</f>
        <v>#ERROR!</v>
      </c>
      <c r="AI2449" s="157" t="str">
        <f t="shared" si="5"/>
        <v>#ERROR!</v>
      </c>
    </row>
    <row r="2450" ht="12.75" customHeight="1">
      <c r="A2450" s="244" t="s">
        <v>5158</v>
      </c>
      <c r="B2450" s="244" t="s">
        <v>231</v>
      </c>
      <c r="C2450" s="255" t="s">
        <v>12699</v>
      </c>
      <c r="D2450" s="256" t="s">
        <v>42</v>
      </c>
      <c r="E2450" s="256" t="s">
        <v>489</v>
      </c>
      <c r="F2450" s="154" t="str">
        <f t="array" ref="F2450">XLOOKUP(Cover!$D$12,$R$1:$Z$1,$R2450:$Z2450)</f>
        <v>Information</v>
      </c>
      <c r="G2450" s="154" t="s">
        <v>12700</v>
      </c>
      <c r="H2450" s="154" t="s">
        <v>6775</v>
      </c>
      <c r="I2450" s="154" t="s">
        <v>12698</v>
      </c>
      <c r="J2450" s="154" t="s">
        <v>6819</v>
      </c>
      <c r="K2450" s="154" t="s">
        <v>12684</v>
      </c>
      <c r="L2450" s="154" t="s">
        <v>5931</v>
      </c>
      <c r="M2450" s="154"/>
      <c r="N2450" s="154" t="s">
        <v>759</v>
      </c>
      <c r="O2450" s="247" t="s">
        <v>516</v>
      </c>
      <c r="P2450" s="247" t="s">
        <v>6776</v>
      </c>
      <c r="Q2450" s="154" t="str">
        <f t="shared" si="1"/>
        <v>#ERROR!</v>
      </c>
      <c r="R2450" s="154" t="s">
        <v>66</v>
      </c>
      <c r="S2450" s="154" t="s">
        <v>66</v>
      </c>
      <c r="T2450" s="154" t="s">
        <v>66</v>
      </c>
      <c r="U2450" s="154" t="s">
        <v>66</v>
      </c>
      <c r="V2450" s="154" t="s">
        <v>66</v>
      </c>
      <c r="W2450" s="154" t="s">
        <v>66</v>
      </c>
      <c r="X2450" s="154" t="s">
        <v>66</v>
      </c>
      <c r="Y2450" s="154" t="s">
        <v>66</v>
      </c>
      <c r="Z2450" s="154" t="s">
        <v>66</v>
      </c>
      <c r="AA2450" s="154"/>
      <c r="AB2450" s="242" t="str">
        <f t="shared" si="2"/>
        <v>#ERROR!</v>
      </c>
      <c r="AC2450" s="154" t="s">
        <v>391</v>
      </c>
      <c r="AD2450" s="242" t="b">
        <f t="shared" si="3"/>
        <v>0</v>
      </c>
      <c r="AE2450" s="154"/>
      <c r="AF2450" s="242" t="str">
        <f t="shared" si="4"/>
        <v>#ERROR!</v>
      </c>
      <c r="AG2450" s="154"/>
      <c r="AH2450" s="242" t="str">
        <f>IF(AG2450="","N/A",INDIRECT("MTR!"&amp;ADDRESS(MATCH(LEFT(AG2450,9),[1]MTR!C:C,0),COLUMN(J2450)),TRUE) &amp; "")</f>
        <v>#ERROR!</v>
      </c>
      <c r="AI2450" s="157" t="str">
        <f t="shared" si="5"/>
        <v>#ERROR!</v>
      </c>
    </row>
    <row r="2451" ht="12.75" customHeight="1">
      <c r="A2451" s="244" t="s">
        <v>5158</v>
      </c>
      <c r="B2451" s="244" t="s">
        <v>231</v>
      </c>
      <c r="C2451" s="255" t="s">
        <v>12701</v>
      </c>
      <c r="D2451" s="256" t="s">
        <v>42</v>
      </c>
      <c r="E2451" s="256" t="s">
        <v>489</v>
      </c>
      <c r="F2451" s="154" t="str">
        <f t="array" ref="F2451">XLOOKUP(Cover!$D$12,$R$1:$Z$1,$R2451:$Z2451)</f>
        <v>Information</v>
      </c>
      <c r="G2451" s="154" t="s">
        <v>12702</v>
      </c>
      <c r="H2451" s="154" t="s">
        <v>9006</v>
      </c>
      <c r="I2451" s="154" t="s">
        <v>12698</v>
      </c>
      <c r="J2451" s="154" t="s">
        <v>6819</v>
      </c>
      <c r="K2451" s="154" t="s">
        <v>12684</v>
      </c>
      <c r="L2451" s="154" t="s">
        <v>5931</v>
      </c>
      <c r="M2451" s="154"/>
      <c r="N2451" s="154" t="s">
        <v>759</v>
      </c>
      <c r="O2451" s="247" t="s">
        <v>516</v>
      </c>
      <c r="P2451" s="247" t="s">
        <v>6776</v>
      </c>
      <c r="Q2451" s="154" t="str">
        <f t="shared" si="1"/>
        <v>#ERROR!</v>
      </c>
      <c r="R2451" s="154" t="s">
        <v>66</v>
      </c>
      <c r="S2451" s="154" t="s">
        <v>66</v>
      </c>
      <c r="T2451" s="154" t="s">
        <v>66</v>
      </c>
      <c r="U2451" s="154" t="s">
        <v>66</v>
      </c>
      <c r="V2451" s="154" t="s">
        <v>66</v>
      </c>
      <c r="W2451" s="154" t="s">
        <v>66</v>
      </c>
      <c r="X2451" s="154" t="s">
        <v>66</v>
      </c>
      <c r="Y2451" s="154" t="s">
        <v>66</v>
      </c>
      <c r="Z2451" s="154" t="s">
        <v>66</v>
      </c>
      <c r="AA2451" s="154"/>
      <c r="AB2451" s="242" t="str">
        <f t="shared" si="2"/>
        <v>#ERROR!</v>
      </c>
      <c r="AC2451" s="154" t="s">
        <v>391</v>
      </c>
      <c r="AD2451" s="242" t="b">
        <f t="shared" si="3"/>
        <v>0</v>
      </c>
      <c r="AE2451" s="154"/>
      <c r="AF2451" s="242" t="str">
        <f t="shared" si="4"/>
        <v>#ERROR!</v>
      </c>
      <c r="AG2451" s="154"/>
      <c r="AH2451" s="242" t="str">
        <f>IF(AG2451="","N/A",INDIRECT("MTR!"&amp;ADDRESS(MATCH(LEFT(AG2451,9),[1]MTR!C:C,0),COLUMN(J2451)),TRUE) &amp; "")</f>
        <v>#ERROR!</v>
      </c>
      <c r="AI2451" s="157" t="str">
        <f t="shared" si="5"/>
        <v>#ERROR!</v>
      </c>
    </row>
    <row r="2452" ht="12.75" customHeight="1">
      <c r="A2452" s="244" t="s">
        <v>5158</v>
      </c>
      <c r="B2452" s="244" t="s">
        <v>231</v>
      </c>
      <c r="C2452" s="255" t="s">
        <v>12703</v>
      </c>
      <c r="D2452" s="256" t="s">
        <v>42</v>
      </c>
      <c r="E2452" s="256" t="s">
        <v>489</v>
      </c>
      <c r="F2452" s="154" t="str">
        <f t="array" ref="F2452">XLOOKUP(Cover!$D$12,$R$1:$Z$1,$R2452:$Z2452)</f>
        <v>Information</v>
      </c>
      <c r="G2452" s="154" t="s">
        <v>12704</v>
      </c>
      <c r="H2452" s="154" t="s">
        <v>9009</v>
      </c>
      <c r="I2452" s="154" t="s">
        <v>12698</v>
      </c>
      <c r="J2452" s="154" t="s">
        <v>6819</v>
      </c>
      <c r="K2452" s="154" t="s">
        <v>12684</v>
      </c>
      <c r="L2452" s="154" t="s">
        <v>5931</v>
      </c>
      <c r="M2452" s="154"/>
      <c r="N2452" s="154" t="s">
        <v>759</v>
      </c>
      <c r="O2452" s="247" t="s">
        <v>516</v>
      </c>
      <c r="P2452" s="247" t="s">
        <v>6776</v>
      </c>
      <c r="Q2452" s="154" t="str">
        <f t="shared" si="1"/>
        <v>#ERROR!</v>
      </c>
      <c r="R2452" s="154" t="s">
        <v>66</v>
      </c>
      <c r="S2452" s="154" t="s">
        <v>66</v>
      </c>
      <c r="T2452" s="154" t="s">
        <v>66</v>
      </c>
      <c r="U2452" s="154" t="s">
        <v>66</v>
      </c>
      <c r="V2452" s="154" t="s">
        <v>66</v>
      </c>
      <c r="W2452" s="154" t="s">
        <v>66</v>
      </c>
      <c r="X2452" s="154" t="s">
        <v>66</v>
      </c>
      <c r="Y2452" s="154" t="s">
        <v>66</v>
      </c>
      <c r="Z2452" s="154" t="s">
        <v>66</v>
      </c>
      <c r="AA2452" s="154"/>
      <c r="AB2452" s="242" t="str">
        <f t="shared" si="2"/>
        <v>#ERROR!</v>
      </c>
      <c r="AC2452" s="154" t="s">
        <v>391</v>
      </c>
      <c r="AD2452" s="242" t="b">
        <f t="shared" si="3"/>
        <v>0</v>
      </c>
      <c r="AE2452" s="154"/>
      <c r="AF2452" s="242" t="str">
        <f t="shared" si="4"/>
        <v>#ERROR!</v>
      </c>
      <c r="AG2452" s="154"/>
      <c r="AH2452" s="242" t="str">
        <f>IF(AG2452="","N/A",INDIRECT("MTR!"&amp;ADDRESS(MATCH(LEFT(AG2452,9),[1]MTR!C:C,0),COLUMN(J2452)),TRUE) &amp; "")</f>
        <v>#ERROR!</v>
      </c>
      <c r="AI2452" s="157" t="str">
        <f t="shared" si="5"/>
        <v>#ERROR!</v>
      </c>
    </row>
    <row r="2453" ht="12.75" customHeight="1">
      <c r="A2453" s="244" t="s">
        <v>5158</v>
      </c>
      <c r="B2453" s="244" t="s">
        <v>231</v>
      </c>
      <c r="C2453" s="255" t="s">
        <v>12705</v>
      </c>
      <c r="D2453" s="256" t="s">
        <v>42</v>
      </c>
      <c r="E2453" s="256" t="s">
        <v>489</v>
      </c>
      <c r="F2453" s="154" t="str">
        <f t="array" ref="F2453">XLOOKUP(Cover!$D$12,$R$1:$Z$1,$R2453:$Z2453)</f>
        <v>Information</v>
      </c>
      <c r="G2453" s="154" t="s">
        <v>12706</v>
      </c>
      <c r="H2453" s="154" t="s">
        <v>6771</v>
      </c>
      <c r="I2453" s="154" t="s">
        <v>12707</v>
      </c>
      <c r="J2453" s="154" t="s">
        <v>6927</v>
      </c>
      <c r="K2453" s="154" t="s">
        <v>12684</v>
      </c>
      <c r="L2453" s="154" t="s">
        <v>5931</v>
      </c>
      <c r="M2453" s="154"/>
      <c r="N2453" s="154" t="s">
        <v>759</v>
      </c>
      <c r="O2453" s="247" t="s">
        <v>516</v>
      </c>
      <c r="P2453" s="247" t="s">
        <v>6776</v>
      </c>
      <c r="Q2453" s="154" t="str">
        <f t="shared" si="1"/>
        <v>#ERROR!</v>
      </c>
      <c r="R2453" s="154" t="s">
        <v>66</v>
      </c>
      <c r="S2453" s="154" t="s">
        <v>66</v>
      </c>
      <c r="T2453" s="154" t="s">
        <v>66</v>
      </c>
      <c r="U2453" s="154" t="s">
        <v>66</v>
      </c>
      <c r="V2453" s="154" t="s">
        <v>66</v>
      </c>
      <c r="W2453" s="154" t="s">
        <v>66</v>
      </c>
      <c r="X2453" s="154" t="s">
        <v>66</v>
      </c>
      <c r="Y2453" s="154" t="s">
        <v>66</v>
      </c>
      <c r="Z2453" s="154" t="s">
        <v>66</v>
      </c>
      <c r="AA2453" s="154"/>
      <c r="AB2453" s="242" t="str">
        <f t="shared" si="2"/>
        <v>#ERROR!</v>
      </c>
      <c r="AC2453" s="154" t="s">
        <v>391</v>
      </c>
      <c r="AD2453" s="242" t="b">
        <f t="shared" si="3"/>
        <v>0</v>
      </c>
      <c r="AE2453" s="154"/>
      <c r="AF2453" s="242" t="str">
        <f t="shared" si="4"/>
        <v>#ERROR!</v>
      </c>
      <c r="AG2453" s="154"/>
      <c r="AH2453" s="242" t="str">
        <f>IF(AG2453="","N/A",INDIRECT("MTR!"&amp;ADDRESS(MATCH(LEFT(AG2453,9),[1]MTR!C:C,0),COLUMN(J2453)),TRUE) &amp; "")</f>
        <v>#ERROR!</v>
      </c>
      <c r="AI2453" s="157" t="str">
        <f t="shared" si="5"/>
        <v>#ERROR!</v>
      </c>
    </row>
    <row r="2454" ht="12.75" customHeight="1">
      <c r="A2454" s="244" t="s">
        <v>5158</v>
      </c>
      <c r="B2454" s="244" t="s">
        <v>231</v>
      </c>
      <c r="C2454" s="255" t="s">
        <v>12708</v>
      </c>
      <c r="D2454" s="256" t="s">
        <v>42</v>
      </c>
      <c r="E2454" s="256" t="s">
        <v>489</v>
      </c>
      <c r="F2454" s="154" t="str">
        <f t="array" ref="F2454">XLOOKUP(Cover!$D$12,$R$1:$Z$1,$R2454:$Z2454)</f>
        <v>Information</v>
      </c>
      <c r="G2454" s="154" t="s">
        <v>12709</v>
      </c>
      <c r="H2454" s="154" t="s">
        <v>6808</v>
      </c>
      <c r="I2454" s="154" t="s">
        <v>12707</v>
      </c>
      <c r="J2454" s="154" t="s">
        <v>6927</v>
      </c>
      <c r="K2454" s="154" t="s">
        <v>12684</v>
      </c>
      <c r="L2454" s="154" t="s">
        <v>5931</v>
      </c>
      <c r="M2454" s="154"/>
      <c r="N2454" s="154" t="s">
        <v>759</v>
      </c>
      <c r="O2454" s="247" t="s">
        <v>516</v>
      </c>
      <c r="P2454" s="247" t="s">
        <v>6776</v>
      </c>
      <c r="Q2454" s="154" t="str">
        <f t="shared" si="1"/>
        <v>#ERROR!</v>
      </c>
      <c r="R2454" s="154" t="s">
        <v>66</v>
      </c>
      <c r="S2454" s="154" t="s">
        <v>66</v>
      </c>
      <c r="T2454" s="154" t="s">
        <v>66</v>
      </c>
      <c r="U2454" s="154" t="s">
        <v>66</v>
      </c>
      <c r="V2454" s="154" t="s">
        <v>66</v>
      </c>
      <c r="W2454" s="154" t="s">
        <v>66</v>
      </c>
      <c r="X2454" s="154" t="s">
        <v>66</v>
      </c>
      <c r="Y2454" s="154" t="s">
        <v>66</v>
      </c>
      <c r="Z2454" s="154" t="s">
        <v>66</v>
      </c>
      <c r="AA2454" s="154"/>
      <c r="AB2454" s="242" t="str">
        <f t="shared" si="2"/>
        <v>#ERROR!</v>
      </c>
      <c r="AC2454" s="154" t="s">
        <v>391</v>
      </c>
      <c r="AD2454" s="242" t="b">
        <f t="shared" si="3"/>
        <v>0</v>
      </c>
      <c r="AE2454" s="154"/>
      <c r="AF2454" s="242" t="str">
        <f t="shared" si="4"/>
        <v>#ERROR!</v>
      </c>
      <c r="AG2454" s="154"/>
      <c r="AH2454" s="242" t="str">
        <f>IF(AG2454="","N/A",INDIRECT("MTR!"&amp;ADDRESS(MATCH(LEFT(AG2454,9),[1]MTR!C:C,0),COLUMN(J2454)),TRUE) &amp; "")</f>
        <v>#ERROR!</v>
      </c>
      <c r="AI2454" s="157" t="str">
        <f t="shared" si="5"/>
        <v>#ERROR!</v>
      </c>
    </row>
    <row r="2455" ht="12.75" customHeight="1">
      <c r="A2455" s="244" t="s">
        <v>5158</v>
      </c>
      <c r="B2455" s="244" t="s">
        <v>231</v>
      </c>
      <c r="C2455" s="255" t="s">
        <v>12710</v>
      </c>
      <c r="D2455" s="256" t="s">
        <v>42</v>
      </c>
      <c r="E2455" s="256" t="s">
        <v>489</v>
      </c>
      <c r="F2455" s="154" t="str">
        <f t="array" ref="F2455">XLOOKUP(Cover!$D$12,$R$1:$Z$1,$R2455:$Z2455)</f>
        <v>Information</v>
      </c>
      <c r="G2455" s="154" t="s">
        <v>12711</v>
      </c>
      <c r="H2455" s="154" t="s">
        <v>6775</v>
      </c>
      <c r="I2455" s="154" t="s">
        <v>12707</v>
      </c>
      <c r="J2455" s="154" t="s">
        <v>6927</v>
      </c>
      <c r="K2455" s="154" t="s">
        <v>12684</v>
      </c>
      <c r="L2455" s="154" t="s">
        <v>5931</v>
      </c>
      <c r="M2455" s="154"/>
      <c r="N2455" s="154" t="s">
        <v>759</v>
      </c>
      <c r="O2455" s="247" t="s">
        <v>516</v>
      </c>
      <c r="P2455" s="247" t="s">
        <v>6776</v>
      </c>
      <c r="Q2455" s="154" t="str">
        <f t="shared" si="1"/>
        <v>#ERROR!</v>
      </c>
      <c r="R2455" s="154" t="s">
        <v>66</v>
      </c>
      <c r="S2455" s="154" t="s">
        <v>66</v>
      </c>
      <c r="T2455" s="154" t="s">
        <v>66</v>
      </c>
      <c r="U2455" s="154" t="s">
        <v>66</v>
      </c>
      <c r="V2455" s="154" t="s">
        <v>66</v>
      </c>
      <c r="W2455" s="154" t="s">
        <v>66</v>
      </c>
      <c r="X2455" s="154" t="s">
        <v>66</v>
      </c>
      <c r="Y2455" s="154" t="s">
        <v>66</v>
      </c>
      <c r="Z2455" s="154" t="s">
        <v>66</v>
      </c>
      <c r="AA2455" s="154"/>
      <c r="AB2455" s="242" t="str">
        <f t="shared" si="2"/>
        <v>#ERROR!</v>
      </c>
      <c r="AC2455" s="154" t="s">
        <v>391</v>
      </c>
      <c r="AD2455" s="242" t="b">
        <f t="shared" si="3"/>
        <v>0</v>
      </c>
      <c r="AE2455" s="154"/>
      <c r="AF2455" s="242" t="str">
        <f t="shared" si="4"/>
        <v>#ERROR!</v>
      </c>
      <c r="AG2455" s="154"/>
      <c r="AH2455" s="242" t="str">
        <f>IF(AG2455="","N/A",INDIRECT("MTR!"&amp;ADDRESS(MATCH(LEFT(AG2455,9),[1]MTR!C:C,0),COLUMN(J2455)),TRUE) &amp; "")</f>
        <v>#ERROR!</v>
      </c>
      <c r="AI2455" s="157" t="str">
        <f t="shared" si="5"/>
        <v>#ERROR!</v>
      </c>
    </row>
    <row r="2456" ht="12.75" customHeight="1">
      <c r="A2456" s="244" t="s">
        <v>5158</v>
      </c>
      <c r="B2456" s="244" t="s">
        <v>231</v>
      </c>
      <c r="C2456" s="255" t="s">
        <v>12712</v>
      </c>
      <c r="D2456" s="256" t="s">
        <v>42</v>
      </c>
      <c r="E2456" s="256" t="s">
        <v>489</v>
      </c>
      <c r="F2456" s="154" t="str">
        <f t="array" ref="F2456">XLOOKUP(Cover!$D$12,$R$1:$Z$1,$R2456:$Z2456)</f>
        <v>Information</v>
      </c>
      <c r="G2456" s="154" t="s">
        <v>12713</v>
      </c>
      <c r="H2456" s="154" t="s">
        <v>9006</v>
      </c>
      <c r="I2456" s="154" t="s">
        <v>12707</v>
      </c>
      <c r="J2456" s="154" t="s">
        <v>6927</v>
      </c>
      <c r="K2456" s="154" t="s">
        <v>12684</v>
      </c>
      <c r="L2456" s="154" t="s">
        <v>5931</v>
      </c>
      <c r="M2456" s="154"/>
      <c r="N2456" s="154" t="s">
        <v>759</v>
      </c>
      <c r="O2456" s="247" t="s">
        <v>516</v>
      </c>
      <c r="P2456" s="247" t="s">
        <v>6776</v>
      </c>
      <c r="Q2456" s="154" t="str">
        <f t="shared" si="1"/>
        <v>#ERROR!</v>
      </c>
      <c r="R2456" s="154" t="s">
        <v>66</v>
      </c>
      <c r="S2456" s="154" t="s">
        <v>66</v>
      </c>
      <c r="T2456" s="154" t="s">
        <v>66</v>
      </c>
      <c r="U2456" s="154" t="s">
        <v>66</v>
      </c>
      <c r="V2456" s="154" t="s">
        <v>66</v>
      </c>
      <c r="W2456" s="154" t="s">
        <v>66</v>
      </c>
      <c r="X2456" s="154" t="s">
        <v>66</v>
      </c>
      <c r="Y2456" s="154" t="s">
        <v>66</v>
      </c>
      <c r="Z2456" s="154" t="s">
        <v>66</v>
      </c>
      <c r="AA2456" s="154"/>
      <c r="AB2456" s="242" t="str">
        <f t="shared" si="2"/>
        <v>#ERROR!</v>
      </c>
      <c r="AC2456" s="154" t="s">
        <v>391</v>
      </c>
      <c r="AD2456" s="242" t="b">
        <f t="shared" si="3"/>
        <v>0</v>
      </c>
      <c r="AE2456" s="154"/>
      <c r="AF2456" s="242" t="str">
        <f t="shared" si="4"/>
        <v>#ERROR!</v>
      </c>
      <c r="AG2456" s="154"/>
      <c r="AH2456" s="242" t="str">
        <f>IF(AG2456="","N/A",INDIRECT("MTR!"&amp;ADDRESS(MATCH(LEFT(AG2456,9),[1]MTR!C:C,0),COLUMN(J2456)),TRUE) &amp; "")</f>
        <v>#ERROR!</v>
      </c>
      <c r="AI2456" s="157" t="str">
        <f t="shared" si="5"/>
        <v>#ERROR!</v>
      </c>
    </row>
    <row r="2457" ht="12.75" customHeight="1">
      <c r="A2457" s="244" t="s">
        <v>5158</v>
      </c>
      <c r="B2457" s="244" t="s">
        <v>231</v>
      </c>
      <c r="C2457" s="255" t="s">
        <v>12714</v>
      </c>
      <c r="D2457" s="256" t="s">
        <v>42</v>
      </c>
      <c r="E2457" s="256" t="s">
        <v>489</v>
      </c>
      <c r="F2457" s="154" t="str">
        <f t="array" ref="F2457">XLOOKUP(Cover!$D$12,$R$1:$Z$1,$R2457:$Z2457)</f>
        <v>Information</v>
      </c>
      <c r="G2457" s="154" t="s">
        <v>12715</v>
      </c>
      <c r="H2457" s="154" t="s">
        <v>9053</v>
      </c>
      <c r="I2457" s="154" t="s">
        <v>12707</v>
      </c>
      <c r="J2457" s="154" t="s">
        <v>6927</v>
      </c>
      <c r="K2457" s="154" t="s">
        <v>12684</v>
      </c>
      <c r="L2457" s="154" t="s">
        <v>5931</v>
      </c>
      <c r="M2457" s="154"/>
      <c r="N2457" s="154" t="s">
        <v>759</v>
      </c>
      <c r="O2457" s="247" t="s">
        <v>516</v>
      </c>
      <c r="P2457" s="247" t="s">
        <v>6776</v>
      </c>
      <c r="Q2457" s="154" t="str">
        <f t="shared" si="1"/>
        <v>#ERROR!</v>
      </c>
      <c r="R2457" s="154" t="s">
        <v>66</v>
      </c>
      <c r="S2457" s="154" t="s">
        <v>66</v>
      </c>
      <c r="T2457" s="154" t="s">
        <v>66</v>
      </c>
      <c r="U2457" s="154" t="s">
        <v>66</v>
      </c>
      <c r="V2457" s="154" t="s">
        <v>66</v>
      </c>
      <c r="W2457" s="154" t="s">
        <v>66</v>
      </c>
      <c r="X2457" s="154" t="s">
        <v>66</v>
      </c>
      <c r="Y2457" s="154" t="s">
        <v>66</v>
      </c>
      <c r="Z2457" s="154" t="s">
        <v>66</v>
      </c>
      <c r="AA2457" s="154"/>
      <c r="AB2457" s="242" t="str">
        <f t="shared" si="2"/>
        <v>#ERROR!</v>
      </c>
      <c r="AC2457" s="154" t="s">
        <v>391</v>
      </c>
      <c r="AD2457" s="242" t="b">
        <f t="shared" si="3"/>
        <v>0</v>
      </c>
      <c r="AE2457" s="154"/>
      <c r="AF2457" s="242" t="str">
        <f t="shared" si="4"/>
        <v>#ERROR!</v>
      </c>
      <c r="AG2457" s="154"/>
      <c r="AH2457" s="242" t="str">
        <f>IF(AG2457="","N/A",INDIRECT("MTR!"&amp;ADDRESS(MATCH(LEFT(AG2457,9),[1]MTR!C:C,0),COLUMN(J2457)),TRUE) &amp; "")</f>
        <v>#ERROR!</v>
      </c>
      <c r="AI2457" s="157" t="str">
        <f t="shared" si="5"/>
        <v>#ERROR!</v>
      </c>
    </row>
    <row r="2458" ht="12.75" customHeight="1">
      <c r="A2458" s="244" t="s">
        <v>5158</v>
      </c>
      <c r="B2458" s="244" t="s">
        <v>231</v>
      </c>
      <c r="C2458" s="255" t="s">
        <v>12716</v>
      </c>
      <c r="D2458" s="256" t="s">
        <v>42</v>
      </c>
      <c r="E2458" s="256" t="s">
        <v>489</v>
      </c>
      <c r="F2458" s="154" t="str">
        <f t="array" ref="F2458">XLOOKUP(Cover!$D$12,$R$1:$Z$1,$R2458:$Z2458)</f>
        <v>Information</v>
      </c>
      <c r="G2458" s="154" t="s">
        <v>12717</v>
      </c>
      <c r="H2458" s="154" t="s">
        <v>9009</v>
      </c>
      <c r="I2458" s="154" t="s">
        <v>12707</v>
      </c>
      <c r="J2458" s="154" t="s">
        <v>6927</v>
      </c>
      <c r="K2458" s="154" t="s">
        <v>12684</v>
      </c>
      <c r="L2458" s="154" t="s">
        <v>5931</v>
      </c>
      <c r="M2458" s="154"/>
      <c r="N2458" s="154" t="s">
        <v>759</v>
      </c>
      <c r="O2458" s="247" t="s">
        <v>516</v>
      </c>
      <c r="P2458" s="247" t="s">
        <v>6776</v>
      </c>
      <c r="Q2458" s="154" t="str">
        <f t="shared" si="1"/>
        <v>#ERROR!</v>
      </c>
      <c r="R2458" s="154" t="s">
        <v>66</v>
      </c>
      <c r="S2458" s="154" t="s">
        <v>66</v>
      </c>
      <c r="T2458" s="154" t="s">
        <v>66</v>
      </c>
      <c r="U2458" s="154" t="s">
        <v>66</v>
      </c>
      <c r="V2458" s="154" t="s">
        <v>66</v>
      </c>
      <c r="W2458" s="154" t="s">
        <v>66</v>
      </c>
      <c r="X2458" s="154" t="s">
        <v>66</v>
      </c>
      <c r="Y2458" s="154" t="s">
        <v>66</v>
      </c>
      <c r="Z2458" s="154" t="s">
        <v>66</v>
      </c>
      <c r="AA2458" s="154"/>
      <c r="AB2458" s="242" t="str">
        <f t="shared" si="2"/>
        <v>#ERROR!</v>
      </c>
      <c r="AC2458" s="154" t="s">
        <v>391</v>
      </c>
      <c r="AD2458" s="242" t="b">
        <f t="shared" si="3"/>
        <v>0</v>
      </c>
      <c r="AE2458" s="154"/>
      <c r="AF2458" s="242" t="str">
        <f t="shared" si="4"/>
        <v>#ERROR!</v>
      </c>
      <c r="AG2458" s="154"/>
      <c r="AH2458" s="242" t="str">
        <f>IF(AG2458="","N/A",INDIRECT("MTR!"&amp;ADDRESS(MATCH(LEFT(AG2458,9),[1]MTR!C:C,0),COLUMN(J2458)),TRUE) &amp; "")</f>
        <v>#ERROR!</v>
      </c>
      <c r="AI2458" s="157" t="str">
        <f t="shared" si="5"/>
        <v>#ERROR!</v>
      </c>
    </row>
  </sheetData>
  <autoFilter ref="$A$1:$AI$2458"/>
  <conditionalFormatting sqref="M1:N1 Q1">
    <cfRule type="expression" dxfId="3" priority="1" stopIfTrue="1">
      <formula>"$D5=$Q5"</formula>
    </cfRule>
  </conditionalFormatting>
  <conditionalFormatting sqref="O1:P1">
    <cfRule type="expression" dxfId="3" priority="2" stopIfTrue="1">
      <formula>"$D5=$Q5"</formula>
    </cfRule>
  </conditionalFormatting>
  <conditionalFormatting sqref="F1">
    <cfRule type="expression" dxfId="3" priority="3" stopIfTrue="1">
      <formula>"$D5=$Q5"</formula>
    </cfRule>
  </conditionalFormatting>
  <conditionalFormatting sqref="Q2:Q2458">
    <cfRule type="notContainsBlanks" dxfId="4" priority="4">
      <formula>LEN(TRIM(Q2))&gt;0</formula>
    </cfRule>
  </conditionalFormatting>
  <conditionalFormatting sqref="R1:AA1">
    <cfRule type="expression" dxfId="3" priority="5" stopIfTrue="1">
      <formula>"$D5=$Q5"</formula>
    </cfRule>
  </conditionalFormatting>
  <dataValidations>
    <dataValidation type="custom" allowBlank="1" showInputMessage="1" showErrorMessage="1" prompt="Error - Do not enter Compliance Statements in headlines or comments!" sqref="O2 O5:O6 O13 O49 O127 O185 O194:O195 O203 O246 O322 O371 O394:O395 O403 O435 O493 O543 O574:O575 O581 O599 O622 O632:O633 O639 O651 O658:O659 O665 O697 O770 O842 O860:O861 O868 O911 O1038 O1199 O1277:O1278 O1281 O1300 O1325 O1396 O1420 O1583 O1588 O1597 O1610 O1612 O1723 O1742 O1894 O1896 O1979 O1982 O2007 O2192 O2218 O2272 O2428:O2429 O2442">
      <formula1>"Not Applicable"</formula1>
    </dataValidation>
    <dataValidation type="list" allowBlank="1" showInputMessage="1" showErrorMessage="1" prompt="Compliance Statement Selection - Invalid value, please reselect" sqref="O4 O7:O12 O14:O48 O50:O126 O128:O184 O186:O193 O196:O202 O204:O245 O247:O321 O323:O370 O372:O393 O396:O402 O404:O434 O436:O492 O494:O542 O544:O573 O576:O580 O582:O598 O600:O621 O623:O631 O634:O638 O640:O650 O652:O657 O660:O664 O666:O696 O698:O769 O771:O841 O843:O859 O862:O867 O869:O910 O912:O1037 O1039:O1198 O1200:O1276 O1279:O1280 O1282:O1299 O1301:O1324 O1326:O1395 O1397:O1419 O1421:O1582 O1584:O1587 O1589:O1596 O1598:O1609 O1611 O1613:O1722 O1724:O1741 O1743:O1893 O1895 O1897:O1978 O1980:O1981 O1983:O2006 O2008:O2191 O2193:O2217 O2219:O2271 O2273:O2427 O2430:O2441 O2443:O2458">
      <formula1>"Complies,Partially Complies,Does Not Comply,Not Applicable"</formula1>
    </dataValidation>
    <dataValidation type="custom" allowBlank="1" showInputMessage="1" showErrorMessage="1" prompt="Error - Do not enter Compliance Statements for Comment lines!" sqref="O3">
      <formula1>"Not Applicable"</formula1>
    </dataValidation>
  </dataValidation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0"/>
  <cols>
    <col customWidth="1" min="1" max="1" width="9.14"/>
    <col customWidth="1" min="2" max="2" width="9.86"/>
    <col customWidth="1" min="3" max="3" width="10.86"/>
    <col customWidth="1" min="4" max="4" width="8.0"/>
    <col customWidth="1" min="5" max="5" width="4.14"/>
    <col customWidth="1" min="6" max="6" width="14.71"/>
    <col customWidth="1" min="7" max="7" width="70.71"/>
    <col customWidth="1" min="8" max="8" width="16.71"/>
    <col customWidth="1" min="9" max="9" width="15.29"/>
    <col customWidth="1" min="10" max="10" width="9.71"/>
    <col customWidth="1" hidden="1" min="11" max="11" width="14.86"/>
    <col customWidth="1" hidden="1" min="12" max="12" width="10.57"/>
    <col customWidth="1" min="13" max="13" width="16.57"/>
    <col customWidth="1" min="14" max="14" width="25.86"/>
    <col customWidth="1" min="15" max="15" width="20.29"/>
    <col customWidth="1" hidden="1" min="16" max="24" width="9.14"/>
    <col customWidth="1" hidden="1" min="25" max="25" width="5.0"/>
    <col customWidth="1" hidden="1" min="26" max="26" width="12.0"/>
    <col customWidth="1" hidden="1" min="27" max="27" width="16.29"/>
    <col customWidth="1" hidden="1" min="28" max="28" width="10.29"/>
    <col customWidth="1" hidden="1" min="29" max="29" width="29.86"/>
    <col customWidth="1" hidden="1" min="30" max="30" width="10.29"/>
    <col customWidth="1" hidden="1" min="31" max="31" width="12.71"/>
    <col customWidth="1" hidden="1" min="32" max="32" width="11.43"/>
    <col customWidth="1" hidden="1" min="33" max="33" width="29.71"/>
    <col customWidth="1" min="34" max="44" width="9.14"/>
  </cols>
  <sheetData>
    <row r="1" ht="30.0" customHeight="1">
      <c r="A1" s="283" t="s">
        <v>363</v>
      </c>
      <c r="B1" s="283" t="s">
        <v>364</v>
      </c>
      <c r="C1" s="283" t="s">
        <v>365</v>
      </c>
      <c r="D1" s="284" t="s">
        <v>366</v>
      </c>
      <c r="E1" s="285" t="s">
        <v>367</v>
      </c>
      <c r="F1" s="286" t="s">
        <v>56</v>
      </c>
      <c r="G1" s="233" t="s">
        <v>368</v>
      </c>
      <c r="H1" s="233" t="s">
        <v>12718</v>
      </c>
      <c r="I1" s="233" t="s">
        <v>6754</v>
      </c>
      <c r="J1" s="233" t="s">
        <v>5723</v>
      </c>
      <c r="K1" s="233" t="s">
        <v>132</v>
      </c>
      <c r="L1" s="233" t="s">
        <v>369</v>
      </c>
      <c r="M1" s="290" t="s">
        <v>370</v>
      </c>
      <c r="N1" s="290" t="s">
        <v>62</v>
      </c>
      <c r="O1" s="233" t="s">
        <v>371</v>
      </c>
      <c r="P1" s="234" t="s">
        <v>133</v>
      </c>
      <c r="Q1" s="234" t="s">
        <v>134</v>
      </c>
      <c r="R1" s="234" t="s">
        <v>135</v>
      </c>
      <c r="S1" s="234" t="s">
        <v>136</v>
      </c>
      <c r="T1" s="234" t="s">
        <v>137</v>
      </c>
      <c r="U1" s="234" t="s">
        <v>9</v>
      </c>
      <c r="V1" s="234" t="s">
        <v>138</v>
      </c>
      <c r="W1" s="234" t="s">
        <v>139</v>
      </c>
      <c r="X1" s="234" t="s">
        <v>140</v>
      </c>
      <c r="Y1" s="233" t="s">
        <v>377</v>
      </c>
      <c r="Z1" s="234" t="s">
        <v>378</v>
      </c>
      <c r="AA1" s="283" t="s">
        <v>379</v>
      </c>
      <c r="AB1" s="283" t="s">
        <v>380</v>
      </c>
      <c r="AC1" s="283" t="s">
        <v>381</v>
      </c>
      <c r="AD1" s="283" t="s">
        <v>382</v>
      </c>
      <c r="AE1" s="283" t="s">
        <v>383</v>
      </c>
      <c r="AF1" s="234" t="s">
        <v>384</v>
      </c>
      <c r="AG1" s="234" t="s">
        <v>385</v>
      </c>
      <c r="AH1" s="281"/>
      <c r="AI1" s="281"/>
      <c r="AJ1" s="281"/>
      <c r="AK1" s="281"/>
      <c r="AL1" s="281"/>
      <c r="AM1" s="281"/>
      <c r="AN1" s="281"/>
      <c r="AO1" s="281"/>
      <c r="AP1" s="281"/>
      <c r="AQ1" s="281"/>
      <c r="AR1" s="281"/>
    </row>
    <row r="2" ht="12.75" customHeight="1">
      <c r="A2" s="238" t="s">
        <v>5158</v>
      </c>
      <c r="B2" s="238" t="s">
        <v>232</v>
      </c>
      <c r="C2" s="238" t="s">
        <v>1594</v>
      </c>
      <c r="D2" s="240"/>
      <c r="E2" s="240" t="s">
        <v>92</v>
      </c>
      <c r="F2" s="240" t="str">
        <f t="array" ref="F2">XLOOKUP(Cover!$D$12,$P$1:$X$1,$P2:$X2)</f>
        <v>Heading</v>
      </c>
      <c r="G2" s="239" t="s">
        <v>12719</v>
      </c>
      <c r="H2" s="240"/>
      <c r="I2" s="240"/>
      <c r="J2" s="240"/>
      <c r="K2" s="240"/>
      <c r="L2" s="240" t="s">
        <v>759</v>
      </c>
      <c r="M2" s="240"/>
      <c r="N2" s="240"/>
      <c r="O2" s="240" t="str">
        <f t="shared" ref="O2:O445" si="1">AG2</f>
        <v/>
      </c>
      <c r="P2" s="240" t="s">
        <v>390</v>
      </c>
      <c r="Q2" s="240" t="s">
        <v>390</v>
      </c>
      <c r="R2" s="240" t="s">
        <v>390</v>
      </c>
      <c r="S2" s="240" t="s">
        <v>390</v>
      </c>
      <c r="T2" s="240" t="s">
        <v>390</v>
      </c>
      <c r="U2" s="240" t="s">
        <v>390</v>
      </c>
      <c r="V2" s="240" t="s">
        <v>390</v>
      </c>
      <c r="W2" s="240" t="s">
        <v>390</v>
      </c>
      <c r="X2" s="240" t="s">
        <v>390</v>
      </c>
      <c r="Y2" s="240"/>
      <c r="Z2" s="242" t="b">
        <f t="shared" ref="Z2:Z445" si="2">OR(M2=COM,M2=PC,M2=DNC,M2=NA,OR(AF2=DNC,AF2=NA,AB2))</f>
        <v>0</v>
      </c>
      <c r="AA2" s="240" t="s">
        <v>391</v>
      </c>
      <c r="AB2" s="242" t="b">
        <f t="shared" ref="AB2:AB445" si="3">IF(F2="Comments Vendor",TRUE,FALSE)</f>
        <v>0</v>
      </c>
      <c r="AC2" s="240"/>
      <c r="AD2" s="242" t="b">
        <f t="shared" ref="AD2:AD445" si="4">IF(AC2&lt;&gt;"",AND(M2&lt;&gt;NA,OR(NOT(ISERROR(FIND("xx",N2))),N2="",N2="tbd")),AND(N2="",OR(NOT(ISERROR(FIND(AA2,M2,1))),M2=PC,AND(AB2,M2&lt;&gt;NA)),OR(AF2=COM,AF2=PC,AF2="N/A")))</f>
        <v>0</v>
      </c>
      <c r="AE2" s="240"/>
      <c r="AF2" s="243" t="str">
        <f>IF(AE2="","N/A",INDIRECT("MTR!"&amp;ADDRESS(MATCH(LEFT(AE2,9),MTR!C:C,0),COLUMN(J2)),TRUE) &amp; "")</f>
        <v>N/A</v>
      </c>
      <c r="AG2" s="157" t="str">
        <f t="shared" ref="AG2:AG445" si="5">IF(OR(F2="Heading",F2="Comment",F2="N/A"),"",IF(AF2="","FilterCheck analysis not possible as answer to " &amp; AE2 &amp; " outstanding.",IF(Z2,IF(AD2,IF(M2=PC,"Why is this partially compliant?","Comments Vendor missing!")&amp;"
",""),"Compliance Statement "&amp;IF(M2="","missing!","wrong!")) &amp; IF(AND(OR(AF2=DNC,AF2=NA),OR(M2=COM,M2=PC)),"Inconsistent answer, as " &amp; AE2 &amp; " not supported!","")))</f>
        <v/>
      </c>
      <c r="AH2" s="152"/>
      <c r="AI2" s="152"/>
      <c r="AJ2" s="152"/>
      <c r="AK2" s="152"/>
      <c r="AL2" s="152"/>
      <c r="AM2" s="152"/>
      <c r="AN2" s="152"/>
      <c r="AO2" s="152"/>
      <c r="AP2" s="152"/>
      <c r="AQ2" s="152"/>
      <c r="AR2" s="152"/>
    </row>
    <row r="3" ht="12.75" customHeight="1">
      <c r="A3" s="238" t="s">
        <v>5158</v>
      </c>
      <c r="B3" s="238" t="s">
        <v>232</v>
      </c>
      <c r="C3" s="238" t="s">
        <v>1596</v>
      </c>
      <c r="D3" s="240"/>
      <c r="E3" s="240" t="s">
        <v>92</v>
      </c>
      <c r="F3" s="240" t="str">
        <f t="array" ref="F3">XLOOKUP(Cover!$D$12,$P$1:$X$1,$P3:$X3)</f>
        <v>Heading</v>
      </c>
      <c r="G3" s="239" t="s">
        <v>12720</v>
      </c>
      <c r="H3" s="240"/>
      <c r="I3" s="240"/>
      <c r="J3" s="240"/>
      <c r="K3" s="240"/>
      <c r="L3" s="240" t="s">
        <v>759</v>
      </c>
      <c r="M3" s="240"/>
      <c r="N3" s="240"/>
      <c r="O3" s="240" t="str">
        <f t="shared" si="1"/>
        <v/>
      </c>
      <c r="P3" s="240" t="s">
        <v>390</v>
      </c>
      <c r="Q3" s="240" t="s">
        <v>390</v>
      </c>
      <c r="R3" s="240" t="s">
        <v>390</v>
      </c>
      <c r="S3" s="240" t="s">
        <v>390</v>
      </c>
      <c r="T3" s="240" t="s">
        <v>390</v>
      </c>
      <c r="U3" s="240" t="s">
        <v>390</v>
      </c>
      <c r="V3" s="240" t="s">
        <v>390</v>
      </c>
      <c r="W3" s="240" t="s">
        <v>390</v>
      </c>
      <c r="X3" s="240" t="s">
        <v>390</v>
      </c>
      <c r="Y3" s="240"/>
      <c r="Z3" s="242" t="b">
        <f t="shared" si="2"/>
        <v>0</v>
      </c>
      <c r="AA3" s="240" t="s">
        <v>391</v>
      </c>
      <c r="AB3" s="242" t="b">
        <f t="shared" si="3"/>
        <v>0</v>
      </c>
      <c r="AC3" s="240"/>
      <c r="AD3" s="242" t="b">
        <f t="shared" si="4"/>
        <v>0</v>
      </c>
      <c r="AE3" s="240"/>
      <c r="AF3" s="243" t="str">
        <f>IF(AE3="","N/A",INDIRECT("MTR!"&amp;ADDRESS(MATCH(LEFT(AE3,9),MTR!C:C,0),COLUMN(J3)),TRUE) &amp; "")</f>
        <v>N/A</v>
      </c>
      <c r="AG3" s="157" t="str">
        <f t="shared" si="5"/>
        <v/>
      </c>
      <c r="AH3" s="152"/>
      <c r="AI3" s="152"/>
      <c r="AJ3" s="152"/>
      <c r="AK3" s="152"/>
      <c r="AL3" s="152"/>
      <c r="AM3" s="152"/>
      <c r="AN3" s="152"/>
      <c r="AO3" s="152"/>
      <c r="AP3" s="152"/>
      <c r="AQ3" s="152"/>
      <c r="AR3" s="152"/>
    </row>
    <row r="4" ht="12.75" customHeight="1">
      <c r="A4" s="244" t="s">
        <v>5158</v>
      </c>
      <c r="B4" s="244" t="s">
        <v>12721</v>
      </c>
      <c r="C4" s="244" t="s">
        <v>12722</v>
      </c>
      <c r="D4" s="154" t="s">
        <v>45</v>
      </c>
      <c r="E4" s="154"/>
      <c r="F4" s="154" t="str">
        <f t="array" ref="F4">XLOOKUP(Cover!$D$12,$P$1:$X$1,$P4:$X4)</f>
        <v>Mandatory</v>
      </c>
      <c r="G4" s="153" t="s">
        <v>12723</v>
      </c>
      <c r="H4" s="154"/>
      <c r="I4" s="154"/>
      <c r="J4" s="154"/>
      <c r="K4" s="154" t="s">
        <v>12724</v>
      </c>
      <c r="L4" s="154" t="s">
        <v>759</v>
      </c>
      <c r="M4" s="247" t="s">
        <v>506</v>
      </c>
      <c r="N4" s="247" t="s">
        <v>12725</v>
      </c>
      <c r="O4" s="240" t="str">
        <f t="shared" si="1"/>
        <v/>
      </c>
      <c r="P4" s="154" t="s">
        <v>66</v>
      </c>
      <c r="Q4" s="154" t="s">
        <v>66</v>
      </c>
      <c r="R4" s="154" t="s">
        <v>60</v>
      </c>
      <c r="S4" s="154" t="s">
        <v>60</v>
      </c>
      <c r="T4" s="154" t="s">
        <v>60</v>
      </c>
      <c r="U4" s="154" t="s">
        <v>60</v>
      </c>
      <c r="V4" s="154" t="s">
        <v>66</v>
      </c>
      <c r="W4" s="154" t="s">
        <v>60</v>
      </c>
      <c r="X4" s="154" t="s">
        <v>60</v>
      </c>
      <c r="Y4" s="154"/>
      <c r="Z4" s="242" t="b">
        <f t="shared" si="2"/>
        <v>1</v>
      </c>
      <c r="AA4" s="154" t="s">
        <v>516</v>
      </c>
      <c r="AB4" s="242" t="b">
        <f t="shared" si="3"/>
        <v>0</v>
      </c>
      <c r="AC4" s="154"/>
      <c r="AD4" s="242" t="b">
        <f t="shared" si="4"/>
        <v>0</v>
      </c>
      <c r="AE4" s="154" t="s">
        <v>1598</v>
      </c>
      <c r="AF4" s="243" t="str">
        <f>IF(AE4="","N/A",INDIRECT("MTR!"&amp;ADDRESS(MATCH(LEFT(AE4,9),MTR!C:C,0),COLUMN(J4)),TRUE) &amp; "")</f>
        <v>Partially Complies</v>
      </c>
      <c r="AG4" s="157" t="str">
        <f t="shared" si="5"/>
        <v/>
      </c>
      <c r="AH4" s="152"/>
      <c r="AI4" s="152"/>
      <c r="AJ4" s="152"/>
      <c r="AK4" s="152"/>
      <c r="AL4" s="152"/>
      <c r="AM4" s="152"/>
      <c r="AN4" s="152"/>
      <c r="AO4" s="152"/>
      <c r="AP4" s="152"/>
      <c r="AQ4" s="152"/>
      <c r="AR4" s="152"/>
    </row>
    <row r="5" ht="12.75" customHeight="1">
      <c r="A5" s="238" t="s">
        <v>5158</v>
      </c>
      <c r="B5" s="238" t="s">
        <v>12721</v>
      </c>
      <c r="C5" s="238" t="s">
        <v>12726</v>
      </c>
      <c r="D5" s="240"/>
      <c r="E5" s="240" t="s">
        <v>92</v>
      </c>
      <c r="F5" s="240" t="str">
        <f t="array" ref="F5">XLOOKUP(Cover!$D$12,$P$1:$X$1,$P5:$X5)</f>
        <v>Heading</v>
      </c>
      <c r="G5" s="239" t="s">
        <v>12727</v>
      </c>
      <c r="H5" s="240"/>
      <c r="I5" s="240"/>
      <c r="J5" s="240"/>
      <c r="K5" s="240"/>
      <c r="L5" s="240" t="s">
        <v>759</v>
      </c>
      <c r="M5" s="240"/>
      <c r="N5" s="240"/>
      <c r="O5" s="240" t="str">
        <f t="shared" si="1"/>
        <v/>
      </c>
      <c r="P5" s="240" t="s">
        <v>390</v>
      </c>
      <c r="Q5" s="240" t="s">
        <v>390</v>
      </c>
      <c r="R5" s="240" t="s">
        <v>390</v>
      </c>
      <c r="S5" s="240" t="s">
        <v>390</v>
      </c>
      <c r="T5" s="240" t="s">
        <v>390</v>
      </c>
      <c r="U5" s="240" t="s">
        <v>390</v>
      </c>
      <c r="V5" s="240" t="s">
        <v>390</v>
      </c>
      <c r="W5" s="240" t="s">
        <v>390</v>
      </c>
      <c r="X5" s="240" t="s">
        <v>390</v>
      </c>
      <c r="Y5" s="240"/>
      <c r="Z5" s="242" t="b">
        <f t="shared" si="2"/>
        <v>0</v>
      </c>
      <c r="AA5" s="240" t="s">
        <v>391</v>
      </c>
      <c r="AB5" s="242" t="b">
        <f t="shared" si="3"/>
        <v>0</v>
      </c>
      <c r="AC5" s="240"/>
      <c r="AD5" s="242" t="b">
        <f t="shared" si="4"/>
        <v>0</v>
      </c>
      <c r="AE5" s="240"/>
      <c r="AF5" s="243" t="str">
        <f>IF(AE5="","N/A",INDIRECT("MTR!"&amp;ADDRESS(MATCH(LEFT(AE5,9),MTR!C:C,0),COLUMN(J5)),TRUE) &amp; "")</f>
        <v>N/A</v>
      </c>
      <c r="AG5" s="157" t="str">
        <f t="shared" si="5"/>
        <v/>
      </c>
      <c r="AH5" s="152"/>
      <c r="AI5" s="152"/>
      <c r="AJ5" s="152"/>
      <c r="AK5" s="152"/>
      <c r="AL5" s="152"/>
      <c r="AM5" s="152"/>
      <c r="AN5" s="152"/>
      <c r="AO5" s="152"/>
      <c r="AP5" s="152"/>
      <c r="AQ5" s="152"/>
      <c r="AR5" s="152"/>
    </row>
    <row r="6" ht="12.75" customHeight="1">
      <c r="A6" s="244" t="s">
        <v>5158</v>
      </c>
      <c r="B6" s="244" t="s">
        <v>12721</v>
      </c>
      <c r="C6" s="244" t="s">
        <v>12728</v>
      </c>
      <c r="D6" s="154" t="s">
        <v>45</v>
      </c>
      <c r="E6" s="154"/>
      <c r="F6" s="154" t="str">
        <f t="array" ref="F6">XLOOKUP(Cover!$D$12,$P$1:$X$1,$P6:$X6)</f>
        <v>Information</v>
      </c>
      <c r="G6" s="154" t="s">
        <v>12729</v>
      </c>
      <c r="H6" s="154" t="s">
        <v>6768</v>
      </c>
      <c r="I6" s="154" t="s">
        <v>12730</v>
      </c>
      <c r="J6" s="154" t="s">
        <v>6126</v>
      </c>
      <c r="K6" s="154"/>
      <c r="L6" s="154" t="s">
        <v>759</v>
      </c>
      <c r="M6" s="247" t="s">
        <v>516</v>
      </c>
      <c r="N6" s="247" t="s">
        <v>12731</v>
      </c>
      <c r="O6" s="240" t="str">
        <f t="shared" si="1"/>
        <v/>
      </c>
      <c r="P6" s="154" t="s">
        <v>66</v>
      </c>
      <c r="Q6" s="154" t="s">
        <v>66</v>
      </c>
      <c r="R6" s="154" t="s">
        <v>66</v>
      </c>
      <c r="S6" s="154" t="s">
        <v>66</v>
      </c>
      <c r="T6" s="154" t="s">
        <v>66</v>
      </c>
      <c r="U6" s="154" t="s">
        <v>66</v>
      </c>
      <c r="V6" s="154" t="s">
        <v>66</v>
      </c>
      <c r="W6" s="154" t="s">
        <v>66</v>
      </c>
      <c r="X6" s="154" t="s">
        <v>66</v>
      </c>
      <c r="Y6" s="154"/>
      <c r="Z6" s="242" t="b">
        <f t="shared" si="2"/>
        <v>1</v>
      </c>
      <c r="AA6" s="154" t="s">
        <v>391</v>
      </c>
      <c r="AB6" s="242" t="b">
        <f t="shared" si="3"/>
        <v>0</v>
      </c>
      <c r="AC6" s="154"/>
      <c r="AD6" s="242" t="b">
        <f t="shared" si="4"/>
        <v>0</v>
      </c>
      <c r="AE6" s="154" t="s">
        <v>1598</v>
      </c>
      <c r="AF6" s="243" t="str">
        <f>IF(AE6="","N/A",INDIRECT("MTR!"&amp;ADDRESS(MATCH(LEFT(AE6,9),MTR!C:C,0),COLUMN(J6)),TRUE) &amp; "")</f>
        <v>Partially Complies</v>
      </c>
      <c r="AG6" s="157" t="str">
        <f t="shared" si="5"/>
        <v/>
      </c>
      <c r="AH6" s="152"/>
      <c r="AI6" s="152"/>
      <c r="AJ6" s="152"/>
      <c r="AK6" s="152"/>
      <c r="AL6" s="152"/>
      <c r="AM6" s="152"/>
      <c r="AN6" s="152"/>
      <c r="AO6" s="152"/>
      <c r="AP6" s="152"/>
      <c r="AQ6" s="152"/>
      <c r="AR6" s="152"/>
    </row>
    <row r="7" ht="12.75" customHeight="1">
      <c r="A7" s="244" t="s">
        <v>5158</v>
      </c>
      <c r="B7" s="244" t="s">
        <v>12721</v>
      </c>
      <c r="C7" s="244" t="s">
        <v>12732</v>
      </c>
      <c r="D7" s="154" t="s">
        <v>45</v>
      </c>
      <c r="E7" s="154"/>
      <c r="F7" s="154" t="str">
        <f t="array" ref="F7">XLOOKUP(Cover!$D$12,$P$1:$X$1,$P7:$X7)</f>
        <v>Information</v>
      </c>
      <c r="G7" s="154" t="s">
        <v>12733</v>
      </c>
      <c r="H7" s="154" t="s">
        <v>6768</v>
      </c>
      <c r="I7" s="154" t="s">
        <v>12730</v>
      </c>
      <c r="J7" s="154" t="s">
        <v>6655</v>
      </c>
      <c r="K7" s="154"/>
      <c r="L7" s="154" t="s">
        <v>759</v>
      </c>
      <c r="M7" s="247" t="s">
        <v>516</v>
      </c>
      <c r="N7" s="247" t="s">
        <v>12731</v>
      </c>
      <c r="O7" s="240" t="str">
        <f t="shared" si="1"/>
        <v/>
      </c>
      <c r="P7" s="154" t="s">
        <v>66</v>
      </c>
      <c r="Q7" s="154" t="s">
        <v>66</v>
      </c>
      <c r="R7" s="154" t="s">
        <v>66</v>
      </c>
      <c r="S7" s="154" t="s">
        <v>66</v>
      </c>
      <c r="T7" s="154" t="s">
        <v>66</v>
      </c>
      <c r="U7" s="154" t="s">
        <v>66</v>
      </c>
      <c r="V7" s="154" t="s">
        <v>66</v>
      </c>
      <c r="W7" s="154" t="s">
        <v>66</v>
      </c>
      <c r="X7" s="154" t="s">
        <v>66</v>
      </c>
      <c r="Y7" s="154"/>
      <c r="Z7" s="242" t="b">
        <f t="shared" si="2"/>
        <v>1</v>
      </c>
      <c r="AA7" s="154" t="s">
        <v>391</v>
      </c>
      <c r="AB7" s="242" t="b">
        <f t="shared" si="3"/>
        <v>0</v>
      </c>
      <c r="AC7" s="154"/>
      <c r="AD7" s="242" t="b">
        <f t="shared" si="4"/>
        <v>0</v>
      </c>
      <c r="AE7" s="154" t="s">
        <v>1598</v>
      </c>
      <c r="AF7" s="243" t="str">
        <f>IF(AE7="","N/A",INDIRECT("MTR!"&amp;ADDRESS(MATCH(LEFT(AE7,9),MTR!C:C,0),COLUMN(J7)),TRUE) &amp; "")</f>
        <v>Partially Complies</v>
      </c>
      <c r="AG7" s="157" t="str">
        <f t="shared" si="5"/>
        <v/>
      </c>
      <c r="AH7" s="152"/>
      <c r="AI7" s="152"/>
      <c r="AJ7" s="152"/>
      <c r="AK7" s="152"/>
      <c r="AL7" s="152"/>
      <c r="AM7" s="152"/>
      <c r="AN7" s="152"/>
      <c r="AO7" s="152"/>
      <c r="AP7" s="152"/>
      <c r="AQ7" s="152"/>
      <c r="AR7" s="152"/>
    </row>
    <row r="8" ht="12.75" customHeight="1">
      <c r="A8" s="244" t="s">
        <v>5158</v>
      </c>
      <c r="B8" s="244" t="s">
        <v>12721</v>
      </c>
      <c r="C8" s="244" t="s">
        <v>12734</v>
      </c>
      <c r="D8" s="154" t="s">
        <v>1315</v>
      </c>
      <c r="E8" s="154"/>
      <c r="F8" s="154" t="str">
        <f t="array" ref="F8">XLOOKUP(Cover!$D$12,$P$1:$X$1,$P8:$X8)</f>
        <v>Mandatory</v>
      </c>
      <c r="G8" s="154" t="s">
        <v>12735</v>
      </c>
      <c r="H8" s="154" t="s">
        <v>12736</v>
      </c>
      <c r="I8" s="154" t="s">
        <v>12737</v>
      </c>
      <c r="J8" s="154" t="s">
        <v>6140</v>
      </c>
      <c r="K8" s="154" t="s">
        <v>1122</v>
      </c>
      <c r="L8" s="154" t="s">
        <v>759</v>
      </c>
      <c r="M8" s="247" t="s">
        <v>506</v>
      </c>
      <c r="N8" s="247" t="s">
        <v>12738</v>
      </c>
      <c r="O8" s="240" t="str">
        <f t="shared" si="1"/>
        <v/>
      </c>
      <c r="P8" s="154" t="s">
        <v>66</v>
      </c>
      <c r="Q8" s="154" t="s">
        <v>66</v>
      </c>
      <c r="R8" s="154" t="s">
        <v>60</v>
      </c>
      <c r="S8" s="154" t="s">
        <v>60</v>
      </c>
      <c r="T8" s="154" t="s">
        <v>60</v>
      </c>
      <c r="U8" s="154" t="s">
        <v>60</v>
      </c>
      <c r="V8" s="154" t="s">
        <v>66</v>
      </c>
      <c r="W8" s="154" t="s">
        <v>60</v>
      </c>
      <c r="X8" s="154" t="s">
        <v>60</v>
      </c>
      <c r="Y8" s="154"/>
      <c r="Z8" s="242" t="b">
        <f t="shared" si="2"/>
        <v>1</v>
      </c>
      <c r="AA8" s="154" t="s">
        <v>391</v>
      </c>
      <c r="AB8" s="242" t="b">
        <f t="shared" si="3"/>
        <v>0</v>
      </c>
      <c r="AC8" s="154"/>
      <c r="AD8" s="242" t="b">
        <f t="shared" si="4"/>
        <v>0</v>
      </c>
      <c r="AE8" s="154" t="s">
        <v>1598</v>
      </c>
      <c r="AF8" s="243" t="str">
        <f>IF(AE8="","N/A",INDIRECT("MTR!"&amp;ADDRESS(MATCH(LEFT(AE8,9),MTR!C:C,0),COLUMN(J8)),TRUE) &amp; "")</f>
        <v>Partially Complies</v>
      </c>
      <c r="AG8" s="157" t="str">
        <f t="shared" si="5"/>
        <v/>
      </c>
      <c r="AH8" s="152"/>
      <c r="AI8" s="152"/>
      <c r="AJ8" s="152"/>
      <c r="AK8" s="152"/>
      <c r="AL8" s="152"/>
      <c r="AM8" s="152"/>
      <c r="AN8" s="152"/>
      <c r="AO8" s="152"/>
      <c r="AP8" s="152"/>
      <c r="AQ8" s="152"/>
      <c r="AR8" s="152"/>
    </row>
    <row r="9" ht="12.75" customHeight="1">
      <c r="A9" s="244" t="s">
        <v>5158</v>
      </c>
      <c r="B9" s="244" t="s">
        <v>12721</v>
      </c>
      <c r="C9" s="244" t="s">
        <v>12739</v>
      </c>
      <c r="D9" s="154" t="s">
        <v>1315</v>
      </c>
      <c r="E9" s="154"/>
      <c r="F9" s="154" t="str">
        <f t="array" ref="F9">XLOOKUP(Cover!$D$12,$P$1:$X$1,$P9:$X9)</f>
        <v>Mandatory</v>
      </c>
      <c r="G9" s="154" t="s">
        <v>12740</v>
      </c>
      <c r="H9" s="154" t="s">
        <v>12737</v>
      </c>
      <c r="I9" s="154" t="s">
        <v>12737</v>
      </c>
      <c r="J9" s="154" t="s">
        <v>6140</v>
      </c>
      <c r="K9" s="154" t="s">
        <v>1018</v>
      </c>
      <c r="L9" s="154" t="s">
        <v>759</v>
      </c>
      <c r="M9" s="247" t="s">
        <v>516</v>
      </c>
      <c r="N9" s="247" t="s">
        <v>12741</v>
      </c>
      <c r="O9" s="240" t="str">
        <f t="shared" si="1"/>
        <v/>
      </c>
      <c r="P9" s="154" t="s">
        <v>66</v>
      </c>
      <c r="Q9" s="154" t="s">
        <v>66</v>
      </c>
      <c r="R9" s="155" t="s">
        <v>64</v>
      </c>
      <c r="S9" s="155" t="s">
        <v>64</v>
      </c>
      <c r="T9" s="154" t="s">
        <v>60</v>
      </c>
      <c r="U9" s="154" t="s">
        <v>60</v>
      </c>
      <c r="V9" s="154" t="s">
        <v>66</v>
      </c>
      <c r="W9" s="155" t="s">
        <v>64</v>
      </c>
      <c r="X9" s="154" t="s">
        <v>60</v>
      </c>
      <c r="Y9" s="154"/>
      <c r="Z9" s="242" t="b">
        <f t="shared" si="2"/>
        <v>1</v>
      </c>
      <c r="AA9" s="154" t="s">
        <v>391</v>
      </c>
      <c r="AB9" s="242" t="b">
        <f t="shared" si="3"/>
        <v>0</v>
      </c>
      <c r="AC9" s="154"/>
      <c r="AD9" s="242" t="b">
        <f t="shared" si="4"/>
        <v>0</v>
      </c>
      <c r="AE9" s="154" t="s">
        <v>1598</v>
      </c>
      <c r="AF9" s="243" t="str">
        <f>IF(AE9="","N/A",INDIRECT("MTR!"&amp;ADDRESS(MATCH(LEFT(AE9,9),MTR!C:C,0),COLUMN(J9)),TRUE) &amp; "")</f>
        <v>Partially Complies</v>
      </c>
      <c r="AG9" s="157" t="str">
        <f t="shared" si="5"/>
        <v/>
      </c>
      <c r="AH9" s="152"/>
      <c r="AI9" s="152"/>
      <c r="AJ9" s="152"/>
      <c r="AK9" s="152"/>
      <c r="AL9" s="152"/>
      <c r="AM9" s="152"/>
      <c r="AN9" s="152"/>
      <c r="AO9" s="152"/>
      <c r="AP9" s="152"/>
      <c r="AQ9" s="152"/>
      <c r="AR9" s="152"/>
    </row>
    <row r="10" ht="12.75" customHeight="1">
      <c r="A10" s="244" t="s">
        <v>5158</v>
      </c>
      <c r="B10" s="244" t="s">
        <v>12721</v>
      </c>
      <c r="C10" s="244" t="s">
        <v>12742</v>
      </c>
      <c r="D10" s="154" t="s">
        <v>1315</v>
      </c>
      <c r="E10" s="154"/>
      <c r="F10" s="154" t="str">
        <f t="array" ref="F10">XLOOKUP(Cover!$D$12,$P$1:$X$1,$P10:$X10)</f>
        <v>Recommended</v>
      </c>
      <c r="G10" s="154" t="s">
        <v>12743</v>
      </c>
      <c r="H10" s="154" t="s">
        <v>12736</v>
      </c>
      <c r="I10" s="154" t="s">
        <v>12737</v>
      </c>
      <c r="J10" s="154" t="s">
        <v>6022</v>
      </c>
      <c r="K10" s="154"/>
      <c r="L10" s="154" t="s">
        <v>759</v>
      </c>
      <c r="M10" s="247" t="s">
        <v>506</v>
      </c>
      <c r="N10" s="247" t="s">
        <v>12738</v>
      </c>
      <c r="O10" s="240" t="str">
        <f t="shared" si="1"/>
        <v/>
      </c>
      <c r="P10" s="154" t="s">
        <v>66</v>
      </c>
      <c r="Q10" s="154" t="s">
        <v>66</v>
      </c>
      <c r="R10" s="154" t="s">
        <v>64</v>
      </c>
      <c r="S10" s="154" t="s">
        <v>64</v>
      </c>
      <c r="T10" s="154" t="s">
        <v>64</v>
      </c>
      <c r="U10" s="154" t="s">
        <v>64</v>
      </c>
      <c r="V10" s="154" t="s">
        <v>66</v>
      </c>
      <c r="W10" s="154" t="s">
        <v>64</v>
      </c>
      <c r="X10" s="154" t="s">
        <v>64</v>
      </c>
      <c r="Y10" s="154"/>
      <c r="Z10" s="242" t="b">
        <f t="shared" si="2"/>
        <v>1</v>
      </c>
      <c r="AA10" s="154" t="s">
        <v>391</v>
      </c>
      <c r="AB10" s="242" t="b">
        <f t="shared" si="3"/>
        <v>0</v>
      </c>
      <c r="AC10" s="154"/>
      <c r="AD10" s="242" t="b">
        <f t="shared" si="4"/>
        <v>0</v>
      </c>
      <c r="AE10" s="154" t="s">
        <v>1598</v>
      </c>
      <c r="AF10" s="243" t="str">
        <f>IF(AE10="","N/A",INDIRECT("MTR!"&amp;ADDRESS(MATCH(LEFT(AE10,9),MTR!C:C,0),COLUMN(J10)),TRUE) &amp; "")</f>
        <v>Partially Complies</v>
      </c>
      <c r="AG10" s="157" t="str">
        <f t="shared" si="5"/>
        <v/>
      </c>
      <c r="AH10" s="152"/>
      <c r="AI10" s="152"/>
      <c r="AJ10" s="152"/>
      <c r="AK10" s="152"/>
      <c r="AL10" s="152"/>
      <c r="AM10" s="152"/>
      <c r="AN10" s="152"/>
      <c r="AO10" s="152"/>
      <c r="AP10" s="152"/>
      <c r="AQ10" s="152"/>
      <c r="AR10" s="152"/>
    </row>
    <row r="11" ht="12.75" customHeight="1">
      <c r="A11" s="244" t="s">
        <v>5158</v>
      </c>
      <c r="B11" s="244" t="s">
        <v>12721</v>
      </c>
      <c r="C11" s="244" t="s">
        <v>12744</v>
      </c>
      <c r="D11" s="154" t="s">
        <v>1315</v>
      </c>
      <c r="E11" s="154"/>
      <c r="F11" s="154" t="str">
        <f t="array" ref="F11">XLOOKUP(Cover!$D$12,$P$1:$X$1,$P11:$X11)</f>
        <v>Recommended</v>
      </c>
      <c r="G11" s="154" t="s">
        <v>12745</v>
      </c>
      <c r="H11" s="154" t="s">
        <v>12737</v>
      </c>
      <c r="I11" s="154" t="s">
        <v>12737</v>
      </c>
      <c r="J11" s="154" t="s">
        <v>6022</v>
      </c>
      <c r="K11" s="154"/>
      <c r="L11" s="154" t="s">
        <v>759</v>
      </c>
      <c r="M11" s="247" t="s">
        <v>516</v>
      </c>
      <c r="N11" s="247" t="s">
        <v>12741</v>
      </c>
      <c r="O11" s="240" t="str">
        <f t="shared" si="1"/>
        <v/>
      </c>
      <c r="P11" s="154" t="s">
        <v>66</v>
      </c>
      <c r="Q11" s="154" t="s">
        <v>66</v>
      </c>
      <c r="R11" s="154" t="s">
        <v>64</v>
      </c>
      <c r="S11" s="154" t="s">
        <v>64</v>
      </c>
      <c r="T11" s="154" t="s">
        <v>64</v>
      </c>
      <c r="U11" s="154" t="s">
        <v>64</v>
      </c>
      <c r="V11" s="154" t="s">
        <v>66</v>
      </c>
      <c r="W11" s="154" t="s">
        <v>64</v>
      </c>
      <c r="X11" s="154" t="s">
        <v>64</v>
      </c>
      <c r="Y11" s="154"/>
      <c r="Z11" s="242" t="b">
        <f t="shared" si="2"/>
        <v>1</v>
      </c>
      <c r="AA11" s="154" t="s">
        <v>391</v>
      </c>
      <c r="AB11" s="242" t="b">
        <f t="shared" si="3"/>
        <v>0</v>
      </c>
      <c r="AC11" s="154"/>
      <c r="AD11" s="242" t="b">
        <f t="shared" si="4"/>
        <v>0</v>
      </c>
      <c r="AE11" s="154" t="s">
        <v>1598</v>
      </c>
      <c r="AF11" s="243" t="str">
        <f>IF(AE11="","N/A",INDIRECT("MTR!"&amp;ADDRESS(MATCH(LEFT(AE11,9),MTR!C:C,0),COLUMN(J11)),TRUE) &amp; "")</f>
        <v>Partially Complies</v>
      </c>
      <c r="AG11" s="157" t="str">
        <f t="shared" si="5"/>
        <v/>
      </c>
      <c r="AH11" s="152"/>
      <c r="AI11" s="152"/>
      <c r="AJ11" s="152"/>
      <c r="AK11" s="152"/>
      <c r="AL11" s="152"/>
      <c r="AM11" s="152"/>
      <c r="AN11" s="152"/>
      <c r="AO11" s="152"/>
      <c r="AP11" s="152"/>
      <c r="AQ11" s="152"/>
      <c r="AR11" s="152"/>
    </row>
    <row r="12" ht="12.75" customHeight="1">
      <c r="A12" s="244" t="s">
        <v>5158</v>
      </c>
      <c r="B12" s="244" t="s">
        <v>12721</v>
      </c>
      <c r="C12" s="244" t="s">
        <v>12746</v>
      </c>
      <c r="D12" s="154" t="s">
        <v>503</v>
      </c>
      <c r="E12" s="154"/>
      <c r="F12" s="154" t="str">
        <f t="array" ref="F12">XLOOKUP(Cover!$D$12,$P$1:$X$1,$P12:$X12)</f>
        <v>Mandatory</v>
      </c>
      <c r="G12" s="154" t="s">
        <v>12747</v>
      </c>
      <c r="H12" s="154" t="s">
        <v>12736</v>
      </c>
      <c r="I12" s="154" t="s">
        <v>12737</v>
      </c>
      <c r="J12" s="154" t="s">
        <v>7431</v>
      </c>
      <c r="K12" s="154" t="s">
        <v>1122</v>
      </c>
      <c r="L12" s="154" t="s">
        <v>759</v>
      </c>
      <c r="M12" s="247" t="s">
        <v>516</v>
      </c>
      <c r="N12" s="247" t="s">
        <v>12748</v>
      </c>
      <c r="O12" s="240" t="str">
        <f t="shared" si="1"/>
        <v/>
      </c>
      <c r="P12" s="154" t="s">
        <v>66</v>
      </c>
      <c r="Q12" s="154" t="s">
        <v>66</v>
      </c>
      <c r="R12" s="154" t="s">
        <v>60</v>
      </c>
      <c r="S12" s="154" t="s">
        <v>60</v>
      </c>
      <c r="T12" s="154" t="s">
        <v>60</v>
      </c>
      <c r="U12" s="154" t="s">
        <v>60</v>
      </c>
      <c r="V12" s="154" t="s">
        <v>66</v>
      </c>
      <c r="W12" s="154" t="s">
        <v>60</v>
      </c>
      <c r="X12" s="154" t="s">
        <v>60</v>
      </c>
      <c r="Y12" s="154"/>
      <c r="Z12" s="242" t="b">
        <f t="shared" si="2"/>
        <v>1</v>
      </c>
      <c r="AA12" s="154" t="s">
        <v>391</v>
      </c>
      <c r="AB12" s="242" t="b">
        <f t="shared" si="3"/>
        <v>0</v>
      </c>
      <c r="AC12" s="154"/>
      <c r="AD12" s="242" t="b">
        <f t="shared" si="4"/>
        <v>0</v>
      </c>
      <c r="AE12" s="154" t="s">
        <v>1598</v>
      </c>
      <c r="AF12" s="243" t="str">
        <f>IF(AE12="","N/A",INDIRECT("MTR!"&amp;ADDRESS(MATCH(LEFT(AE12,9),MTR!C:C,0),COLUMN(J12)),TRUE) &amp; "")</f>
        <v>Partially Complies</v>
      </c>
      <c r="AG12" s="157" t="str">
        <f t="shared" si="5"/>
        <v/>
      </c>
      <c r="AH12" s="152"/>
      <c r="AI12" s="152"/>
      <c r="AJ12" s="152"/>
      <c r="AK12" s="152"/>
      <c r="AL12" s="152"/>
      <c r="AM12" s="152"/>
      <c r="AN12" s="152"/>
      <c r="AO12" s="152"/>
      <c r="AP12" s="152"/>
      <c r="AQ12" s="152"/>
      <c r="AR12" s="152"/>
    </row>
    <row r="13" ht="12.75" customHeight="1">
      <c r="A13" s="244" t="s">
        <v>5158</v>
      </c>
      <c r="B13" s="244" t="s">
        <v>12721</v>
      </c>
      <c r="C13" s="244" t="s">
        <v>12749</v>
      </c>
      <c r="D13" s="154" t="s">
        <v>503</v>
      </c>
      <c r="E13" s="154"/>
      <c r="F13" s="154" t="str">
        <f t="array" ref="F13">XLOOKUP(Cover!$D$12,$P$1:$X$1,$P13:$X13)</f>
        <v>Mandatory</v>
      </c>
      <c r="G13" s="154" t="s">
        <v>12750</v>
      </c>
      <c r="H13" s="154" t="s">
        <v>12737</v>
      </c>
      <c r="I13" s="154" t="s">
        <v>12737</v>
      </c>
      <c r="J13" s="154" t="s">
        <v>7431</v>
      </c>
      <c r="K13" s="154" t="s">
        <v>1018</v>
      </c>
      <c r="L13" s="154" t="s">
        <v>759</v>
      </c>
      <c r="M13" s="247" t="s">
        <v>516</v>
      </c>
      <c r="N13" s="247" t="s">
        <v>12751</v>
      </c>
      <c r="O13" s="240" t="str">
        <f t="shared" si="1"/>
        <v/>
      </c>
      <c r="P13" s="154" t="s">
        <v>66</v>
      </c>
      <c r="Q13" s="154" t="s">
        <v>66</v>
      </c>
      <c r="R13" s="155" t="s">
        <v>64</v>
      </c>
      <c r="S13" s="155" t="s">
        <v>64</v>
      </c>
      <c r="T13" s="154" t="s">
        <v>60</v>
      </c>
      <c r="U13" s="154" t="s">
        <v>60</v>
      </c>
      <c r="V13" s="154" t="s">
        <v>66</v>
      </c>
      <c r="W13" s="155" t="s">
        <v>64</v>
      </c>
      <c r="X13" s="154" t="s">
        <v>60</v>
      </c>
      <c r="Y13" s="154"/>
      <c r="Z13" s="242" t="b">
        <f t="shared" si="2"/>
        <v>1</v>
      </c>
      <c r="AA13" s="154" t="s">
        <v>391</v>
      </c>
      <c r="AB13" s="242" t="b">
        <f t="shared" si="3"/>
        <v>0</v>
      </c>
      <c r="AC13" s="154"/>
      <c r="AD13" s="242" t="b">
        <f t="shared" si="4"/>
        <v>0</v>
      </c>
      <c r="AE13" s="154" t="s">
        <v>1598</v>
      </c>
      <c r="AF13" s="243" t="str">
        <f>IF(AE13="","N/A",INDIRECT("MTR!"&amp;ADDRESS(MATCH(LEFT(AE13,9),MTR!C:C,0),COLUMN(J13)),TRUE) &amp; "")</f>
        <v>Partially Complies</v>
      </c>
      <c r="AG13" s="157" t="str">
        <f t="shared" si="5"/>
        <v/>
      </c>
      <c r="AH13" s="152"/>
      <c r="AI13" s="152"/>
      <c r="AJ13" s="152"/>
      <c r="AK13" s="152"/>
      <c r="AL13" s="152"/>
      <c r="AM13" s="152"/>
      <c r="AN13" s="152"/>
      <c r="AO13" s="152"/>
      <c r="AP13" s="152"/>
      <c r="AQ13" s="152"/>
      <c r="AR13" s="152"/>
    </row>
    <row r="14" ht="12.75" customHeight="1">
      <c r="A14" s="244" t="s">
        <v>5158</v>
      </c>
      <c r="B14" s="244" t="s">
        <v>12721</v>
      </c>
      <c r="C14" s="244" t="s">
        <v>12752</v>
      </c>
      <c r="D14" s="154" t="s">
        <v>503</v>
      </c>
      <c r="E14" s="154"/>
      <c r="F14" s="154" t="str">
        <f t="array" ref="F14">XLOOKUP(Cover!$D$12,$P$1:$X$1,$P14:$X14)</f>
        <v>Mandatory</v>
      </c>
      <c r="G14" s="154" t="s">
        <v>12753</v>
      </c>
      <c r="H14" s="154" t="s">
        <v>12736</v>
      </c>
      <c r="I14" s="154" t="s">
        <v>12737</v>
      </c>
      <c r="J14" s="154" t="s">
        <v>7431</v>
      </c>
      <c r="K14" s="154" t="s">
        <v>1122</v>
      </c>
      <c r="L14" s="154" t="s">
        <v>759</v>
      </c>
      <c r="M14" s="247" t="s">
        <v>516</v>
      </c>
      <c r="N14" s="247" t="s">
        <v>12748</v>
      </c>
      <c r="O14" s="240" t="str">
        <f t="shared" si="1"/>
        <v/>
      </c>
      <c r="P14" s="154" t="s">
        <v>66</v>
      </c>
      <c r="Q14" s="154" t="s">
        <v>66</v>
      </c>
      <c r="R14" s="154" t="s">
        <v>60</v>
      </c>
      <c r="S14" s="154" t="s">
        <v>60</v>
      </c>
      <c r="T14" s="154" t="s">
        <v>60</v>
      </c>
      <c r="U14" s="154" t="s">
        <v>60</v>
      </c>
      <c r="V14" s="154" t="s">
        <v>66</v>
      </c>
      <c r="W14" s="154" t="s">
        <v>60</v>
      </c>
      <c r="X14" s="154" t="s">
        <v>60</v>
      </c>
      <c r="Y14" s="154"/>
      <c r="Z14" s="242" t="b">
        <f t="shared" si="2"/>
        <v>1</v>
      </c>
      <c r="AA14" s="154" t="s">
        <v>391</v>
      </c>
      <c r="AB14" s="242" t="b">
        <f t="shared" si="3"/>
        <v>0</v>
      </c>
      <c r="AC14" s="154"/>
      <c r="AD14" s="242" t="b">
        <f t="shared" si="4"/>
        <v>0</v>
      </c>
      <c r="AE14" s="154" t="s">
        <v>1598</v>
      </c>
      <c r="AF14" s="243" t="str">
        <f>IF(AE14="","N/A",INDIRECT("MTR!"&amp;ADDRESS(MATCH(LEFT(AE14,9),MTR!C:C,0),COLUMN(J14)),TRUE) &amp; "")</f>
        <v>Partially Complies</v>
      </c>
      <c r="AG14" s="157" t="str">
        <f t="shared" si="5"/>
        <v/>
      </c>
      <c r="AH14" s="152"/>
      <c r="AI14" s="152"/>
      <c r="AJ14" s="152"/>
      <c r="AK14" s="152"/>
      <c r="AL14" s="152"/>
      <c r="AM14" s="152"/>
      <c r="AN14" s="152"/>
      <c r="AO14" s="152"/>
      <c r="AP14" s="152"/>
      <c r="AQ14" s="152"/>
      <c r="AR14" s="152"/>
    </row>
    <row r="15" ht="12.75" customHeight="1">
      <c r="A15" s="244" t="s">
        <v>5158</v>
      </c>
      <c r="B15" s="244" t="s">
        <v>12721</v>
      </c>
      <c r="C15" s="244" t="s">
        <v>12754</v>
      </c>
      <c r="D15" s="154" t="s">
        <v>503</v>
      </c>
      <c r="E15" s="154"/>
      <c r="F15" s="154" t="str">
        <f t="array" ref="F15">XLOOKUP(Cover!$D$12,$P$1:$X$1,$P15:$X15)</f>
        <v>Mandatory</v>
      </c>
      <c r="G15" s="154" t="s">
        <v>12755</v>
      </c>
      <c r="H15" s="154" t="s">
        <v>12737</v>
      </c>
      <c r="I15" s="154" t="s">
        <v>12737</v>
      </c>
      <c r="J15" s="154" t="s">
        <v>7431</v>
      </c>
      <c r="K15" s="154" t="s">
        <v>1018</v>
      </c>
      <c r="L15" s="154" t="s">
        <v>759</v>
      </c>
      <c r="M15" s="247" t="s">
        <v>516</v>
      </c>
      <c r="N15" s="247" t="s">
        <v>12751</v>
      </c>
      <c r="O15" s="240" t="str">
        <f t="shared" si="1"/>
        <v/>
      </c>
      <c r="P15" s="154" t="s">
        <v>66</v>
      </c>
      <c r="Q15" s="154" t="s">
        <v>66</v>
      </c>
      <c r="R15" s="155" t="s">
        <v>64</v>
      </c>
      <c r="S15" s="155" t="s">
        <v>64</v>
      </c>
      <c r="T15" s="154" t="s">
        <v>60</v>
      </c>
      <c r="U15" s="154" t="s">
        <v>60</v>
      </c>
      <c r="V15" s="154" t="s">
        <v>66</v>
      </c>
      <c r="W15" s="155" t="s">
        <v>64</v>
      </c>
      <c r="X15" s="154" t="s">
        <v>60</v>
      </c>
      <c r="Y15" s="154"/>
      <c r="Z15" s="242" t="b">
        <f t="shared" si="2"/>
        <v>1</v>
      </c>
      <c r="AA15" s="154" t="s">
        <v>391</v>
      </c>
      <c r="AB15" s="242" t="b">
        <f t="shared" si="3"/>
        <v>0</v>
      </c>
      <c r="AC15" s="154"/>
      <c r="AD15" s="242" t="b">
        <f t="shared" si="4"/>
        <v>0</v>
      </c>
      <c r="AE15" s="154" t="s">
        <v>1598</v>
      </c>
      <c r="AF15" s="243" t="str">
        <f>IF(AE15="","N/A",INDIRECT("MTR!"&amp;ADDRESS(MATCH(LEFT(AE15,9),MTR!C:C,0),COLUMN(J15)),TRUE) &amp; "")</f>
        <v>Partially Complies</v>
      </c>
      <c r="AG15" s="157" t="str">
        <f t="shared" si="5"/>
        <v/>
      </c>
      <c r="AH15" s="152"/>
      <c r="AI15" s="152"/>
      <c r="AJ15" s="152"/>
      <c r="AK15" s="152"/>
      <c r="AL15" s="152"/>
      <c r="AM15" s="152"/>
      <c r="AN15" s="152"/>
      <c r="AO15" s="152"/>
      <c r="AP15" s="152"/>
      <c r="AQ15" s="152"/>
      <c r="AR15" s="152"/>
    </row>
    <row r="16" ht="12.75" customHeight="1">
      <c r="A16" s="244" t="s">
        <v>5158</v>
      </c>
      <c r="B16" s="244" t="s">
        <v>12721</v>
      </c>
      <c r="C16" s="244" t="s">
        <v>12756</v>
      </c>
      <c r="D16" s="154" t="s">
        <v>1315</v>
      </c>
      <c r="E16" s="154"/>
      <c r="F16" s="154" t="str">
        <f t="array" ref="F16">XLOOKUP(Cover!$D$12,$P$1:$X$1,$P16:$X16)</f>
        <v>Mandatory</v>
      </c>
      <c r="G16" s="154" t="s">
        <v>12757</v>
      </c>
      <c r="H16" s="154" t="s">
        <v>12758</v>
      </c>
      <c r="I16" s="154" t="s">
        <v>12759</v>
      </c>
      <c r="J16" s="154" t="s">
        <v>6140</v>
      </c>
      <c r="K16" s="154" t="s">
        <v>1122</v>
      </c>
      <c r="L16" s="154" t="s">
        <v>759</v>
      </c>
      <c r="M16" s="247" t="s">
        <v>506</v>
      </c>
      <c r="N16" s="247" t="s">
        <v>12760</v>
      </c>
      <c r="O16" s="240" t="str">
        <f t="shared" si="1"/>
        <v/>
      </c>
      <c r="P16" s="154" t="s">
        <v>66</v>
      </c>
      <c r="Q16" s="154" t="s">
        <v>66</v>
      </c>
      <c r="R16" s="154" t="s">
        <v>60</v>
      </c>
      <c r="S16" s="154" t="s">
        <v>60</v>
      </c>
      <c r="T16" s="154" t="s">
        <v>60</v>
      </c>
      <c r="U16" s="154" t="s">
        <v>60</v>
      </c>
      <c r="V16" s="154" t="s">
        <v>66</v>
      </c>
      <c r="W16" s="154" t="s">
        <v>60</v>
      </c>
      <c r="X16" s="154" t="s">
        <v>60</v>
      </c>
      <c r="Y16" s="154"/>
      <c r="Z16" s="242" t="b">
        <f t="shared" si="2"/>
        <v>1</v>
      </c>
      <c r="AA16" s="154" t="s">
        <v>391</v>
      </c>
      <c r="AB16" s="242" t="b">
        <f t="shared" si="3"/>
        <v>0</v>
      </c>
      <c r="AC16" s="154"/>
      <c r="AD16" s="242" t="b">
        <f t="shared" si="4"/>
        <v>0</v>
      </c>
      <c r="AE16" s="154" t="s">
        <v>1598</v>
      </c>
      <c r="AF16" s="243" t="str">
        <f>IF(AE16="","N/A",INDIRECT("MTR!"&amp;ADDRESS(MATCH(LEFT(AE16,9),MTR!C:C,0),COLUMN(J16)),TRUE) &amp; "")</f>
        <v>Partially Complies</v>
      </c>
      <c r="AG16" s="157" t="str">
        <f t="shared" si="5"/>
        <v/>
      </c>
      <c r="AH16" s="152"/>
      <c r="AI16" s="152"/>
      <c r="AJ16" s="152"/>
      <c r="AK16" s="152"/>
      <c r="AL16" s="152"/>
      <c r="AM16" s="152"/>
      <c r="AN16" s="152"/>
      <c r="AO16" s="152"/>
      <c r="AP16" s="152"/>
      <c r="AQ16" s="152"/>
      <c r="AR16" s="152"/>
    </row>
    <row r="17" ht="12.75" customHeight="1">
      <c r="A17" s="244" t="s">
        <v>5158</v>
      </c>
      <c r="B17" s="244" t="s">
        <v>12721</v>
      </c>
      <c r="C17" s="244" t="s">
        <v>12761</v>
      </c>
      <c r="D17" s="154" t="s">
        <v>1315</v>
      </c>
      <c r="E17" s="154"/>
      <c r="F17" s="154" t="str">
        <f t="array" ref="F17">XLOOKUP(Cover!$D$12,$P$1:$X$1,$P17:$X17)</f>
        <v>Mandatory</v>
      </c>
      <c r="G17" s="154" t="s">
        <v>12762</v>
      </c>
      <c r="H17" s="154" t="s">
        <v>12759</v>
      </c>
      <c r="I17" s="154" t="s">
        <v>12759</v>
      </c>
      <c r="J17" s="154" t="s">
        <v>6140</v>
      </c>
      <c r="K17" s="154" t="s">
        <v>1018</v>
      </c>
      <c r="L17" s="154" t="s">
        <v>759</v>
      </c>
      <c r="M17" s="247" t="s">
        <v>516</v>
      </c>
      <c r="N17" s="247" t="s">
        <v>12763</v>
      </c>
      <c r="O17" s="240" t="str">
        <f t="shared" si="1"/>
        <v/>
      </c>
      <c r="P17" s="154" t="s">
        <v>66</v>
      </c>
      <c r="Q17" s="154" t="s">
        <v>66</v>
      </c>
      <c r="R17" s="155" t="s">
        <v>64</v>
      </c>
      <c r="S17" s="155" t="s">
        <v>64</v>
      </c>
      <c r="T17" s="154" t="s">
        <v>60</v>
      </c>
      <c r="U17" s="154" t="s">
        <v>60</v>
      </c>
      <c r="V17" s="154" t="s">
        <v>66</v>
      </c>
      <c r="W17" s="155" t="s">
        <v>64</v>
      </c>
      <c r="X17" s="154" t="s">
        <v>60</v>
      </c>
      <c r="Y17" s="154"/>
      <c r="Z17" s="242" t="b">
        <f t="shared" si="2"/>
        <v>1</v>
      </c>
      <c r="AA17" s="154" t="s">
        <v>391</v>
      </c>
      <c r="AB17" s="242" t="b">
        <f t="shared" si="3"/>
        <v>0</v>
      </c>
      <c r="AC17" s="154"/>
      <c r="AD17" s="242" t="b">
        <f t="shared" si="4"/>
        <v>0</v>
      </c>
      <c r="AE17" s="154" t="s">
        <v>1598</v>
      </c>
      <c r="AF17" s="243" t="str">
        <f>IF(AE17="","N/A",INDIRECT("MTR!"&amp;ADDRESS(MATCH(LEFT(AE17,9),MTR!C:C,0),COLUMN(J17)),TRUE) &amp; "")</f>
        <v>Partially Complies</v>
      </c>
      <c r="AG17" s="157" t="str">
        <f t="shared" si="5"/>
        <v/>
      </c>
      <c r="AH17" s="152"/>
      <c r="AI17" s="152"/>
      <c r="AJ17" s="152"/>
      <c r="AK17" s="152"/>
      <c r="AL17" s="152"/>
      <c r="AM17" s="152"/>
      <c r="AN17" s="152"/>
      <c r="AO17" s="152"/>
      <c r="AP17" s="152"/>
      <c r="AQ17" s="152"/>
      <c r="AR17" s="152"/>
    </row>
    <row r="18" ht="12.75" customHeight="1">
      <c r="A18" s="244" t="s">
        <v>5158</v>
      </c>
      <c r="B18" s="244" t="s">
        <v>12721</v>
      </c>
      <c r="C18" s="244" t="s">
        <v>12764</v>
      </c>
      <c r="D18" s="154" t="s">
        <v>1315</v>
      </c>
      <c r="E18" s="154"/>
      <c r="F18" s="154" t="str">
        <f t="array" ref="F18">XLOOKUP(Cover!$D$12,$P$1:$X$1,$P18:$X18)</f>
        <v>Mandatory</v>
      </c>
      <c r="G18" s="154" t="s">
        <v>12765</v>
      </c>
      <c r="H18" s="154" t="s">
        <v>12758</v>
      </c>
      <c r="I18" s="154" t="s">
        <v>12759</v>
      </c>
      <c r="J18" s="154" t="s">
        <v>6022</v>
      </c>
      <c r="K18" s="154" t="s">
        <v>1122</v>
      </c>
      <c r="L18" s="154" t="s">
        <v>759</v>
      </c>
      <c r="M18" s="247" t="s">
        <v>506</v>
      </c>
      <c r="N18" s="247" t="s">
        <v>12760</v>
      </c>
      <c r="O18" s="240" t="str">
        <f t="shared" si="1"/>
        <v/>
      </c>
      <c r="P18" s="154" t="s">
        <v>66</v>
      </c>
      <c r="Q18" s="154" t="s">
        <v>66</v>
      </c>
      <c r="R18" s="154" t="s">
        <v>60</v>
      </c>
      <c r="S18" s="154" t="s">
        <v>60</v>
      </c>
      <c r="T18" s="154" t="s">
        <v>60</v>
      </c>
      <c r="U18" s="154" t="s">
        <v>60</v>
      </c>
      <c r="V18" s="154" t="s">
        <v>66</v>
      </c>
      <c r="W18" s="154" t="s">
        <v>60</v>
      </c>
      <c r="X18" s="154" t="s">
        <v>60</v>
      </c>
      <c r="Y18" s="154"/>
      <c r="Z18" s="242" t="b">
        <f t="shared" si="2"/>
        <v>1</v>
      </c>
      <c r="AA18" s="154" t="s">
        <v>391</v>
      </c>
      <c r="AB18" s="242" t="b">
        <f t="shared" si="3"/>
        <v>0</v>
      </c>
      <c r="AC18" s="154"/>
      <c r="AD18" s="242" t="b">
        <f t="shared" si="4"/>
        <v>0</v>
      </c>
      <c r="AE18" s="154" t="s">
        <v>1598</v>
      </c>
      <c r="AF18" s="243" t="str">
        <f>IF(AE18="","N/A",INDIRECT("MTR!"&amp;ADDRESS(MATCH(LEFT(AE18,9),MTR!C:C,0),COLUMN(J18)),TRUE) &amp; "")</f>
        <v>Partially Complies</v>
      </c>
      <c r="AG18" s="157" t="str">
        <f t="shared" si="5"/>
        <v/>
      </c>
      <c r="AH18" s="152"/>
      <c r="AI18" s="152"/>
      <c r="AJ18" s="152"/>
      <c r="AK18" s="152"/>
      <c r="AL18" s="152"/>
      <c r="AM18" s="152"/>
      <c r="AN18" s="152"/>
      <c r="AO18" s="152"/>
      <c r="AP18" s="152"/>
      <c r="AQ18" s="152"/>
      <c r="AR18" s="152"/>
    </row>
    <row r="19" ht="12.75" customHeight="1">
      <c r="A19" s="244" t="s">
        <v>5158</v>
      </c>
      <c r="B19" s="244" t="s">
        <v>12721</v>
      </c>
      <c r="C19" s="244" t="s">
        <v>12766</v>
      </c>
      <c r="D19" s="154" t="s">
        <v>1315</v>
      </c>
      <c r="E19" s="154"/>
      <c r="F19" s="154" t="str">
        <f t="array" ref="F19">XLOOKUP(Cover!$D$12,$P$1:$X$1,$P19:$X19)</f>
        <v>Mandatory</v>
      </c>
      <c r="G19" s="154" t="s">
        <v>12767</v>
      </c>
      <c r="H19" s="154" t="s">
        <v>12759</v>
      </c>
      <c r="I19" s="154" t="s">
        <v>12759</v>
      </c>
      <c r="J19" s="154" t="s">
        <v>6022</v>
      </c>
      <c r="K19" s="154" t="s">
        <v>1018</v>
      </c>
      <c r="L19" s="154" t="s">
        <v>759</v>
      </c>
      <c r="M19" s="247" t="s">
        <v>516</v>
      </c>
      <c r="N19" s="247" t="s">
        <v>12763</v>
      </c>
      <c r="O19" s="240" t="str">
        <f t="shared" si="1"/>
        <v/>
      </c>
      <c r="P19" s="154" t="s">
        <v>66</v>
      </c>
      <c r="Q19" s="154" t="s">
        <v>66</v>
      </c>
      <c r="R19" s="155" t="s">
        <v>64</v>
      </c>
      <c r="S19" s="155" t="s">
        <v>64</v>
      </c>
      <c r="T19" s="154" t="s">
        <v>60</v>
      </c>
      <c r="U19" s="154" t="s">
        <v>60</v>
      </c>
      <c r="V19" s="154" t="s">
        <v>66</v>
      </c>
      <c r="W19" s="155" t="s">
        <v>64</v>
      </c>
      <c r="X19" s="154" t="s">
        <v>60</v>
      </c>
      <c r="Y19" s="154"/>
      <c r="Z19" s="242" t="b">
        <f t="shared" si="2"/>
        <v>1</v>
      </c>
      <c r="AA19" s="154" t="s">
        <v>391</v>
      </c>
      <c r="AB19" s="242" t="b">
        <f t="shared" si="3"/>
        <v>0</v>
      </c>
      <c r="AC19" s="154"/>
      <c r="AD19" s="242" t="b">
        <f t="shared" si="4"/>
        <v>0</v>
      </c>
      <c r="AE19" s="154" t="s">
        <v>1598</v>
      </c>
      <c r="AF19" s="243" t="str">
        <f>IF(AE19="","N/A",INDIRECT("MTR!"&amp;ADDRESS(MATCH(LEFT(AE19,9),MTR!C:C,0),COLUMN(J19)),TRUE) &amp; "")</f>
        <v>Partially Complies</v>
      </c>
      <c r="AG19" s="157" t="str">
        <f t="shared" si="5"/>
        <v/>
      </c>
      <c r="AH19" s="152"/>
      <c r="AI19" s="152"/>
      <c r="AJ19" s="152"/>
      <c r="AK19" s="152"/>
      <c r="AL19" s="152"/>
      <c r="AM19" s="152"/>
      <c r="AN19" s="152"/>
      <c r="AO19" s="152"/>
      <c r="AP19" s="152"/>
      <c r="AQ19" s="152"/>
      <c r="AR19" s="152"/>
    </row>
    <row r="20" ht="12.75" customHeight="1">
      <c r="A20" s="244" t="s">
        <v>5158</v>
      </c>
      <c r="B20" s="244" t="s">
        <v>12721</v>
      </c>
      <c r="C20" s="244" t="s">
        <v>12768</v>
      </c>
      <c r="D20" s="154" t="s">
        <v>503</v>
      </c>
      <c r="E20" s="154"/>
      <c r="F20" s="154" t="str">
        <f t="array" ref="F20">XLOOKUP(Cover!$D$12,$P$1:$X$1,$P20:$X20)</f>
        <v>Mandatory</v>
      </c>
      <c r="G20" s="154" t="s">
        <v>12769</v>
      </c>
      <c r="H20" s="154" t="s">
        <v>12758</v>
      </c>
      <c r="I20" s="154" t="s">
        <v>12759</v>
      </c>
      <c r="J20" s="154" t="s">
        <v>7431</v>
      </c>
      <c r="K20" s="154" t="s">
        <v>1122</v>
      </c>
      <c r="L20" s="154" t="s">
        <v>759</v>
      </c>
      <c r="M20" s="247" t="s">
        <v>516</v>
      </c>
      <c r="N20" s="247" t="s">
        <v>12770</v>
      </c>
      <c r="O20" s="240" t="str">
        <f t="shared" si="1"/>
        <v/>
      </c>
      <c r="P20" s="154" t="s">
        <v>66</v>
      </c>
      <c r="Q20" s="154" t="s">
        <v>66</v>
      </c>
      <c r="R20" s="154" t="s">
        <v>60</v>
      </c>
      <c r="S20" s="154" t="s">
        <v>60</v>
      </c>
      <c r="T20" s="154" t="s">
        <v>60</v>
      </c>
      <c r="U20" s="154" t="s">
        <v>60</v>
      </c>
      <c r="V20" s="154" t="s">
        <v>66</v>
      </c>
      <c r="W20" s="154" t="s">
        <v>60</v>
      </c>
      <c r="X20" s="154" t="s">
        <v>60</v>
      </c>
      <c r="Y20" s="154"/>
      <c r="Z20" s="242" t="b">
        <f t="shared" si="2"/>
        <v>1</v>
      </c>
      <c r="AA20" s="154" t="s">
        <v>391</v>
      </c>
      <c r="AB20" s="242" t="b">
        <f t="shared" si="3"/>
        <v>0</v>
      </c>
      <c r="AC20" s="154"/>
      <c r="AD20" s="242" t="b">
        <f t="shared" si="4"/>
        <v>0</v>
      </c>
      <c r="AE20" s="154" t="s">
        <v>1598</v>
      </c>
      <c r="AF20" s="243" t="str">
        <f>IF(AE20="","N/A",INDIRECT("MTR!"&amp;ADDRESS(MATCH(LEFT(AE20,9),MTR!C:C,0),COLUMN(J20)),TRUE) &amp; "")</f>
        <v>Partially Complies</v>
      </c>
      <c r="AG20" s="157" t="str">
        <f t="shared" si="5"/>
        <v/>
      </c>
      <c r="AH20" s="152"/>
      <c r="AI20" s="152"/>
      <c r="AJ20" s="152"/>
      <c r="AK20" s="152"/>
      <c r="AL20" s="152"/>
      <c r="AM20" s="152"/>
      <c r="AN20" s="152"/>
      <c r="AO20" s="152"/>
      <c r="AP20" s="152"/>
      <c r="AQ20" s="152"/>
      <c r="AR20" s="152"/>
    </row>
    <row r="21" ht="12.75" customHeight="1">
      <c r="A21" s="244" t="s">
        <v>5158</v>
      </c>
      <c r="B21" s="244" t="s">
        <v>12721</v>
      </c>
      <c r="C21" s="244" t="s">
        <v>12771</v>
      </c>
      <c r="D21" s="154" t="s">
        <v>503</v>
      </c>
      <c r="E21" s="154"/>
      <c r="F21" s="154" t="str">
        <f t="array" ref="F21">XLOOKUP(Cover!$D$12,$P$1:$X$1,$P21:$X21)</f>
        <v>Mandatory</v>
      </c>
      <c r="G21" s="154" t="s">
        <v>12772</v>
      </c>
      <c r="H21" s="154" t="s">
        <v>12759</v>
      </c>
      <c r="I21" s="154" t="s">
        <v>12759</v>
      </c>
      <c r="J21" s="154" t="s">
        <v>7431</v>
      </c>
      <c r="K21" s="154" t="s">
        <v>1018</v>
      </c>
      <c r="L21" s="154" t="s">
        <v>759</v>
      </c>
      <c r="M21" s="247" t="s">
        <v>516</v>
      </c>
      <c r="N21" s="247" t="s">
        <v>12773</v>
      </c>
      <c r="O21" s="240" t="str">
        <f t="shared" si="1"/>
        <v/>
      </c>
      <c r="P21" s="154" t="s">
        <v>66</v>
      </c>
      <c r="Q21" s="154" t="s">
        <v>66</v>
      </c>
      <c r="R21" s="155" t="s">
        <v>64</v>
      </c>
      <c r="S21" s="155" t="s">
        <v>64</v>
      </c>
      <c r="T21" s="154" t="s">
        <v>60</v>
      </c>
      <c r="U21" s="154" t="s">
        <v>60</v>
      </c>
      <c r="V21" s="154" t="s">
        <v>66</v>
      </c>
      <c r="W21" s="155" t="s">
        <v>64</v>
      </c>
      <c r="X21" s="154" t="s">
        <v>60</v>
      </c>
      <c r="Y21" s="154"/>
      <c r="Z21" s="242" t="b">
        <f t="shared" si="2"/>
        <v>1</v>
      </c>
      <c r="AA21" s="154" t="s">
        <v>391</v>
      </c>
      <c r="AB21" s="242" t="b">
        <f t="shared" si="3"/>
        <v>0</v>
      </c>
      <c r="AC21" s="154"/>
      <c r="AD21" s="242" t="b">
        <f t="shared" si="4"/>
        <v>0</v>
      </c>
      <c r="AE21" s="154" t="s">
        <v>1598</v>
      </c>
      <c r="AF21" s="243" t="str">
        <f>IF(AE21="","N/A",INDIRECT("MTR!"&amp;ADDRESS(MATCH(LEFT(AE21,9),MTR!C:C,0),COLUMN(J21)),TRUE) &amp; "")</f>
        <v>Partially Complies</v>
      </c>
      <c r="AG21" s="157" t="str">
        <f t="shared" si="5"/>
        <v/>
      </c>
      <c r="AH21" s="152"/>
      <c r="AI21" s="152"/>
      <c r="AJ21" s="152"/>
      <c r="AK21" s="152"/>
      <c r="AL21" s="152"/>
      <c r="AM21" s="152"/>
      <c r="AN21" s="152"/>
      <c r="AO21" s="152"/>
      <c r="AP21" s="152"/>
      <c r="AQ21" s="152"/>
      <c r="AR21" s="152"/>
    </row>
    <row r="22" ht="12.75" customHeight="1">
      <c r="A22" s="244" t="s">
        <v>5158</v>
      </c>
      <c r="B22" s="244" t="s">
        <v>12721</v>
      </c>
      <c r="C22" s="244" t="s">
        <v>12774</v>
      </c>
      <c r="D22" s="154" t="s">
        <v>1315</v>
      </c>
      <c r="E22" s="154"/>
      <c r="F22" s="154" t="str">
        <f t="array" ref="F22">XLOOKUP(Cover!$D$12,$P$1:$X$1,$P22:$X22)</f>
        <v>Recommended</v>
      </c>
      <c r="G22" s="154" t="s">
        <v>12775</v>
      </c>
      <c r="H22" s="154" t="s">
        <v>12776</v>
      </c>
      <c r="I22" s="154" t="s">
        <v>12777</v>
      </c>
      <c r="J22" s="154" t="s">
        <v>6232</v>
      </c>
      <c r="K22" s="154"/>
      <c r="L22" s="154" t="s">
        <v>759</v>
      </c>
      <c r="M22" s="247" t="s">
        <v>506</v>
      </c>
      <c r="N22" s="247" t="s">
        <v>12738</v>
      </c>
      <c r="O22" s="240" t="str">
        <f t="shared" si="1"/>
        <v/>
      </c>
      <c r="P22" s="154" t="s">
        <v>66</v>
      </c>
      <c r="Q22" s="154" t="s">
        <v>66</v>
      </c>
      <c r="R22" s="154" t="s">
        <v>64</v>
      </c>
      <c r="S22" s="154" t="s">
        <v>64</v>
      </c>
      <c r="T22" s="154" t="s">
        <v>64</v>
      </c>
      <c r="U22" s="154" t="s">
        <v>64</v>
      </c>
      <c r="V22" s="154" t="s">
        <v>66</v>
      </c>
      <c r="W22" s="154" t="s">
        <v>64</v>
      </c>
      <c r="X22" s="154" t="s">
        <v>64</v>
      </c>
      <c r="Y22" s="154"/>
      <c r="Z22" s="242" t="b">
        <f t="shared" si="2"/>
        <v>1</v>
      </c>
      <c r="AA22" s="154" t="s">
        <v>391</v>
      </c>
      <c r="AB22" s="242" t="b">
        <f t="shared" si="3"/>
        <v>0</v>
      </c>
      <c r="AC22" s="154"/>
      <c r="AD22" s="242" t="b">
        <f t="shared" si="4"/>
        <v>0</v>
      </c>
      <c r="AE22" s="154" t="s">
        <v>1598</v>
      </c>
      <c r="AF22" s="243" t="str">
        <f>IF(AE22="","N/A",INDIRECT("MTR!"&amp;ADDRESS(MATCH(LEFT(AE22,9),MTR!C:C,0),COLUMN(J22)),TRUE) &amp; "")</f>
        <v>Partially Complies</v>
      </c>
      <c r="AG22" s="157" t="str">
        <f t="shared" si="5"/>
        <v/>
      </c>
      <c r="AH22" s="152"/>
      <c r="AI22" s="152"/>
      <c r="AJ22" s="152"/>
      <c r="AK22" s="152"/>
      <c r="AL22" s="152"/>
      <c r="AM22" s="152"/>
      <c r="AN22" s="152"/>
      <c r="AO22" s="152"/>
      <c r="AP22" s="152"/>
      <c r="AQ22" s="152"/>
      <c r="AR22" s="152"/>
    </row>
    <row r="23" ht="12.75" customHeight="1">
      <c r="A23" s="244" t="s">
        <v>5158</v>
      </c>
      <c r="B23" s="244" t="s">
        <v>12721</v>
      </c>
      <c r="C23" s="244" t="s">
        <v>12778</v>
      </c>
      <c r="D23" s="154" t="s">
        <v>1315</v>
      </c>
      <c r="E23" s="154"/>
      <c r="F23" s="154" t="str">
        <f t="array" ref="F23">XLOOKUP(Cover!$D$12,$P$1:$X$1,$P23:$X23)</f>
        <v>Recommended</v>
      </c>
      <c r="G23" s="154" t="s">
        <v>12779</v>
      </c>
      <c r="H23" s="154" t="s">
        <v>12777</v>
      </c>
      <c r="I23" s="154" t="s">
        <v>12777</v>
      </c>
      <c r="J23" s="154" t="s">
        <v>6232</v>
      </c>
      <c r="K23" s="154"/>
      <c r="L23" s="154" t="s">
        <v>759</v>
      </c>
      <c r="M23" s="247" t="s">
        <v>516</v>
      </c>
      <c r="N23" s="247" t="s">
        <v>12741</v>
      </c>
      <c r="O23" s="240" t="str">
        <f t="shared" si="1"/>
        <v/>
      </c>
      <c r="P23" s="154" t="s">
        <v>66</v>
      </c>
      <c r="Q23" s="154" t="s">
        <v>66</v>
      </c>
      <c r="R23" s="154" t="s">
        <v>64</v>
      </c>
      <c r="S23" s="154" t="s">
        <v>64</v>
      </c>
      <c r="T23" s="154" t="s">
        <v>64</v>
      </c>
      <c r="U23" s="154" t="s">
        <v>64</v>
      </c>
      <c r="V23" s="154" t="s">
        <v>66</v>
      </c>
      <c r="W23" s="154" t="s">
        <v>64</v>
      </c>
      <c r="X23" s="154" t="s">
        <v>64</v>
      </c>
      <c r="Y23" s="154"/>
      <c r="Z23" s="242" t="b">
        <f t="shared" si="2"/>
        <v>1</v>
      </c>
      <c r="AA23" s="154" t="s">
        <v>391</v>
      </c>
      <c r="AB23" s="242" t="b">
        <f t="shared" si="3"/>
        <v>0</v>
      </c>
      <c r="AC23" s="154"/>
      <c r="AD23" s="242" t="b">
        <f t="shared" si="4"/>
        <v>0</v>
      </c>
      <c r="AE23" s="154" t="s">
        <v>1598</v>
      </c>
      <c r="AF23" s="243" t="str">
        <f>IF(AE23="","N/A",INDIRECT("MTR!"&amp;ADDRESS(MATCH(LEFT(AE23,9),MTR!C:C,0),COLUMN(J23)),TRUE) &amp; "")</f>
        <v>Partially Complies</v>
      </c>
      <c r="AG23" s="157" t="str">
        <f t="shared" si="5"/>
        <v/>
      </c>
      <c r="AH23" s="152"/>
      <c r="AI23" s="152"/>
      <c r="AJ23" s="152"/>
      <c r="AK23" s="152"/>
      <c r="AL23" s="152"/>
      <c r="AM23" s="152"/>
      <c r="AN23" s="152"/>
      <c r="AO23" s="152"/>
      <c r="AP23" s="152"/>
      <c r="AQ23" s="152"/>
      <c r="AR23" s="152"/>
    </row>
    <row r="24" ht="12.75" customHeight="1">
      <c r="A24" s="244" t="s">
        <v>5158</v>
      </c>
      <c r="B24" s="244" t="s">
        <v>12721</v>
      </c>
      <c r="C24" s="244" t="s">
        <v>12780</v>
      </c>
      <c r="D24" s="154" t="s">
        <v>1773</v>
      </c>
      <c r="E24" s="154"/>
      <c r="F24" s="154" t="str">
        <f t="array" ref="F24">XLOOKUP(Cover!$D$12,$P$1:$X$1,$P24:$X24)</f>
        <v>Recommended</v>
      </c>
      <c r="G24" s="154" t="s">
        <v>12781</v>
      </c>
      <c r="H24" s="154" t="s">
        <v>12776</v>
      </c>
      <c r="I24" s="154" t="s">
        <v>12777</v>
      </c>
      <c r="J24" s="154" t="s">
        <v>6126</v>
      </c>
      <c r="K24" s="154"/>
      <c r="L24" s="154" t="s">
        <v>759</v>
      </c>
      <c r="M24" s="247" t="s">
        <v>506</v>
      </c>
      <c r="N24" s="247" t="s">
        <v>12738</v>
      </c>
      <c r="O24" s="240" t="str">
        <f t="shared" si="1"/>
        <v/>
      </c>
      <c r="P24" s="154" t="s">
        <v>66</v>
      </c>
      <c r="Q24" s="154" t="s">
        <v>66</v>
      </c>
      <c r="R24" s="154" t="s">
        <v>64</v>
      </c>
      <c r="S24" s="154" t="s">
        <v>64</v>
      </c>
      <c r="T24" s="154" t="s">
        <v>64</v>
      </c>
      <c r="U24" s="154" t="s">
        <v>64</v>
      </c>
      <c r="V24" s="154" t="s">
        <v>66</v>
      </c>
      <c r="W24" s="154" t="s">
        <v>64</v>
      </c>
      <c r="X24" s="154" t="s">
        <v>64</v>
      </c>
      <c r="Y24" s="154"/>
      <c r="Z24" s="242" t="b">
        <f t="shared" si="2"/>
        <v>1</v>
      </c>
      <c r="AA24" s="154" t="s">
        <v>391</v>
      </c>
      <c r="AB24" s="242" t="b">
        <f t="shared" si="3"/>
        <v>0</v>
      </c>
      <c r="AC24" s="154"/>
      <c r="AD24" s="242" t="b">
        <f t="shared" si="4"/>
        <v>0</v>
      </c>
      <c r="AE24" s="154" t="s">
        <v>1598</v>
      </c>
      <c r="AF24" s="243" t="str">
        <f>IF(AE24="","N/A",INDIRECT("MTR!"&amp;ADDRESS(MATCH(LEFT(AE24,9),MTR!C:C,0),COLUMN(J24)),TRUE) &amp; "")</f>
        <v>Partially Complies</v>
      </c>
      <c r="AG24" s="157" t="str">
        <f t="shared" si="5"/>
        <v/>
      </c>
      <c r="AH24" s="152"/>
      <c r="AI24" s="152"/>
      <c r="AJ24" s="152"/>
      <c r="AK24" s="152"/>
      <c r="AL24" s="152"/>
      <c r="AM24" s="152"/>
      <c r="AN24" s="152"/>
      <c r="AO24" s="152"/>
      <c r="AP24" s="152"/>
      <c r="AQ24" s="152"/>
      <c r="AR24" s="152"/>
    </row>
    <row r="25" ht="12.75" customHeight="1">
      <c r="A25" s="244" t="s">
        <v>5158</v>
      </c>
      <c r="B25" s="244" t="s">
        <v>12721</v>
      </c>
      <c r="C25" s="244" t="s">
        <v>12782</v>
      </c>
      <c r="D25" s="154" t="s">
        <v>1773</v>
      </c>
      <c r="E25" s="154"/>
      <c r="F25" s="154" t="str">
        <f t="array" ref="F25">XLOOKUP(Cover!$D$12,$P$1:$X$1,$P25:$X25)</f>
        <v>Recommended</v>
      </c>
      <c r="G25" s="154" t="s">
        <v>12783</v>
      </c>
      <c r="H25" s="154" t="s">
        <v>12777</v>
      </c>
      <c r="I25" s="154" t="s">
        <v>12777</v>
      </c>
      <c r="J25" s="154" t="s">
        <v>7175</v>
      </c>
      <c r="K25" s="154"/>
      <c r="L25" s="154" t="s">
        <v>759</v>
      </c>
      <c r="M25" s="247" t="s">
        <v>516</v>
      </c>
      <c r="N25" s="247" t="s">
        <v>12741</v>
      </c>
      <c r="O25" s="240" t="str">
        <f t="shared" si="1"/>
        <v/>
      </c>
      <c r="P25" s="154" t="s">
        <v>66</v>
      </c>
      <c r="Q25" s="154" t="s">
        <v>66</v>
      </c>
      <c r="R25" s="154" t="s">
        <v>64</v>
      </c>
      <c r="S25" s="154" t="s">
        <v>64</v>
      </c>
      <c r="T25" s="154" t="s">
        <v>64</v>
      </c>
      <c r="U25" s="154" t="s">
        <v>64</v>
      </c>
      <c r="V25" s="154" t="s">
        <v>66</v>
      </c>
      <c r="W25" s="154" t="s">
        <v>64</v>
      </c>
      <c r="X25" s="154" t="s">
        <v>64</v>
      </c>
      <c r="Y25" s="154"/>
      <c r="Z25" s="242" t="b">
        <f t="shared" si="2"/>
        <v>1</v>
      </c>
      <c r="AA25" s="154" t="s">
        <v>391</v>
      </c>
      <c r="AB25" s="242" t="b">
        <f t="shared" si="3"/>
        <v>0</v>
      </c>
      <c r="AC25" s="154"/>
      <c r="AD25" s="242" t="b">
        <f t="shared" si="4"/>
        <v>0</v>
      </c>
      <c r="AE25" s="154" t="s">
        <v>1598</v>
      </c>
      <c r="AF25" s="243" t="str">
        <f>IF(AE25="","N/A",INDIRECT("MTR!"&amp;ADDRESS(MATCH(LEFT(AE25,9),MTR!C:C,0),COLUMN(J25)),TRUE) &amp; "")</f>
        <v>Partially Complies</v>
      </c>
      <c r="AG25" s="157" t="str">
        <f t="shared" si="5"/>
        <v/>
      </c>
      <c r="AH25" s="152"/>
      <c r="AI25" s="152"/>
      <c r="AJ25" s="152"/>
      <c r="AK25" s="152"/>
      <c r="AL25" s="152"/>
      <c r="AM25" s="152"/>
      <c r="AN25" s="152"/>
      <c r="AO25" s="152"/>
      <c r="AP25" s="152"/>
      <c r="AQ25" s="152"/>
      <c r="AR25" s="152"/>
    </row>
    <row r="26" ht="12.75" customHeight="1">
      <c r="A26" s="244" t="s">
        <v>5158</v>
      </c>
      <c r="B26" s="244" t="s">
        <v>12721</v>
      </c>
      <c r="C26" s="244" t="s">
        <v>12784</v>
      </c>
      <c r="D26" s="154" t="s">
        <v>1315</v>
      </c>
      <c r="E26" s="154"/>
      <c r="F26" s="154" t="str">
        <f t="array" ref="F26">XLOOKUP(Cover!$D$12,$P$1:$X$1,$P26:$X26)</f>
        <v>Recommended</v>
      </c>
      <c r="G26" s="154" t="s">
        <v>12785</v>
      </c>
      <c r="H26" s="154" t="s">
        <v>12786</v>
      </c>
      <c r="I26" s="154" t="s">
        <v>12787</v>
      </c>
      <c r="J26" s="154" t="s">
        <v>6884</v>
      </c>
      <c r="K26" s="154"/>
      <c r="L26" s="154" t="s">
        <v>759</v>
      </c>
      <c r="M26" s="247" t="s">
        <v>506</v>
      </c>
      <c r="N26" s="247" t="s">
        <v>12738</v>
      </c>
      <c r="O26" s="240" t="str">
        <f t="shared" si="1"/>
        <v/>
      </c>
      <c r="P26" s="154" t="s">
        <v>66</v>
      </c>
      <c r="Q26" s="154" t="s">
        <v>66</v>
      </c>
      <c r="R26" s="154" t="s">
        <v>64</v>
      </c>
      <c r="S26" s="154" t="s">
        <v>64</v>
      </c>
      <c r="T26" s="154" t="s">
        <v>64</v>
      </c>
      <c r="U26" s="154" t="s">
        <v>64</v>
      </c>
      <c r="V26" s="154" t="s">
        <v>66</v>
      </c>
      <c r="W26" s="154" t="s">
        <v>64</v>
      </c>
      <c r="X26" s="154" t="s">
        <v>64</v>
      </c>
      <c r="Y26" s="154"/>
      <c r="Z26" s="242" t="b">
        <f t="shared" si="2"/>
        <v>1</v>
      </c>
      <c r="AA26" s="154" t="s">
        <v>391</v>
      </c>
      <c r="AB26" s="242" t="b">
        <f t="shared" si="3"/>
        <v>0</v>
      </c>
      <c r="AC26" s="154"/>
      <c r="AD26" s="242" t="b">
        <f t="shared" si="4"/>
        <v>0</v>
      </c>
      <c r="AE26" s="154" t="s">
        <v>1598</v>
      </c>
      <c r="AF26" s="243" t="str">
        <f>IF(AE26="","N/A",INDIRECT("MTR!"&amp;ADDRESS(MATCH(LEFT(AE26,9),MTR!C:C,0),COLUMN(J26)),TRUE) &amp; "")</f>
        <v>Partially Complies</v>
      </c>
      <c r="AG26" s="157" t="str">
        <f t="shared" si="5"/>
        <v/>
      </c>
      <c r="AH26" s="152"/>
      <c r="AI26" s="152"/>
      <c r="AJ26" s="152"/>
      <c r="AK26" s="152"/>
      <c r="AL26" s="152"/>
      <c r="AM26" s="152"/>
      <c r="AN26" s="152"/>
      <c r="AO26" s="152"/>
      <c r="AP26" s="152"/>
      <c r="AQ26" s="152"/>
      <c r="AR26" s="152"/>
    </row>
    <row r="27" ht="12.75" customHeight="1">
      <c r="A27" s="244" t="s">
        <v>5158</v>
      </c>
      <c r="B27" s="244" t="s">
        <v>12721</v>
      </c>
      <c r="C27" s="244" t="s">
        <v>12788</v>
      </c>
      <c r="D27" s="154" t="s">
        <v>1773</v>
      </c>
      <c r="E27" s="154"/>
      <c r="F27" s="154" t="str">
        <f t="array" ref="F27">XLOOKUP(Cover!$D$12,$P$1:$X$1,$P27:$X27)</f>
        <v>Recommended</v>
      </c>
      <c r="G27" s="154" t="s">
        <v>12789</v>
      </c>
      <c r="H27" s="154" t="s">
        <v>12787</v>
      </c>
      <c r="I27" s="154" t="s">
        <v>12787</v>
      </c>
      <c r="J27" s="154" t="s">
        <v>7175</v>
      </c>
      <c r="K27" s="154"/>
      <c r="L27" s="154" t="s">
        <v>759</v>
      </c>
      <c r="M27" s="247" t="s">
        <v>516</v>
      </c>
      <c r="N27" s="247" t="s">
        <v>12741</v>
      </c>
      <c r="O27" s="240" t="str">
        <f t="shared" si="1"/>
        <v/>
      </c>
      <c r="P27" s="154" t="s">
        <v>66</v>
      </c>
      <c r="Q27" s="154" t="s">
        <v>66</v>
      </c>
      <c r="R27" s="154" t="s">
        <v>64</v>
      </c>
      <c r="S27" s="154" t="s">
        <v>64</v>
      </c>
      <c r="T27" s="154" t="s">
        <v>64</v>
      </c>
      <c r="U27" s="154" t="s">
        <v>64</v>
      </c>
      <c r="V27" s="154" t="s">
        <v>66</v>
      </c>
      <c r="W27" s="154" t="s">
        <v>64</v>
      </c>
      <c r="X27" s="154" t="s">
        <v>64</v>
      </c>
      <c r="Y27" s="154"/>
      <c r="Z27" s="242" t="b">
        <f t="shared" si="2"/>
        <v>1</v>
      </c>
      <c r="AA27" s="154" t="s">
        <v>391</v>
      </c>
      <c r="AB27" s="242" t="b">
        <f t="shared" si="3"/>
        <v>0</v>
      </c>
      <c r="AC27" s="154"/>
      <c r="AD27" s="242" t="b">
        <f t="shared" si="4"/>
        <v>0</v>
      </c>
      <c r="AE27" s="154" t="s">
        <v>1598</v>
      </c>
      <c r="AF27" s="243" t="str">
        <f>IF(AE27="","N/A",INDIRECT("MTR!"&amp;ADDRESS(MATCH(LEFT(AE27,9),MTR!C:C,0),COLUMN(J27)),TRUE) &amp; "")</f>
        <v>Partially Complies</v>
      </c>
      <c r="AG27" s="157" t="str">
        <f t="shared" si="5"/>
        <v/>
      </c>
      <c r="AH27" s="152"/>
      <c r="AI27" s="152"/>
      <c r="AJ27" s="152"/>
      <c r="AK27" s="152"/>
      <c r="AL27" s="152"/>
      <c r="AM27" s="152"/>
      <c r="AN27" s="152"/>
      <c r="AO27" s="152"/>
      <c r="AP27" s="152"/>
      <c r="AQ27" s="152"/>
      <c r="AR27" s="152"/>
    </row>
    <row r="28" ht="12.75" customHeight="1">
      <c r="A28" s="244" t="s">
        <v>5158</v>
      </c>
      <c r="B28" s="244" t="s">
        <v>12721</v>
      </c>
      <c r="C28" s="255" t="s">
        <v>12790</v>
      </c>
      <c r="D28" s="256" t="s">
        <v>42</v>
      </c>
      <c r="E28" s="256" t="s">
        <v>489</v>
      </c>
      <c r="F28" s="154" t="str">
        <f t="array" ref="F28">XLOOKUP(Cover!$D$12,$P$1:$X$1,$P28:$X28)</f>
        <v>Recommended</v>
      </c>
      <c r="G28" s="154" t="s">
        <v>12791</v>
      </c>
      <c r="H28" s="154" t="s">
        <v>12786</v>
      </c>
      <c r="I28" s="154" t="s">
        <v>12787</v>
      </c>
      <c r="J28" s="154" t="s">
        <v>5931</v>
      </c>
      <c r="K28" s="154"/>
      <c r="L28" s="154" t="s">
        <v>759</v>
      </c>
      <c r="M28" s="247" t="s">
        <v>516</v>
      </c>
      <c r="N28" s="247" t="s">
        <v>12792</v>
      </c>
      <c r="O28" s="240" t="str">
        <f t="shared" si="1"/>
        <v/>
      </c>
      <c r="P28" s="154" t="s">
        <v>66</v>
      </c>
      <c r="Q28" s="154" t="s">
        <v>66</v>
      </c>
      <c r="R28" s="154" t="s">
        <v>64</v>
      </c>
      <c r="S28" s="154" t="s">
        <v>64</v>
      </c>
      <c r="T28" s="154" t="s">
        <v>64</v>
      </c>
      <c r="U28" s="154" t="s">
        <v>64</v>
      </c>
      <c r="V28" s="154" t="s">
        <v>66</v>
      </c>
      <c r="W28" s="154" t="s">
        <v>64</v>
      </c>
      <c r="X28" s="154" t="s">
        <v>64</v>
      </c>
      <c r="Y28" s="154"/>
      <c r="Z28" s="242" t="b">
        <f t="shared" si="2"/>
        <v>1</v>
      </c>
      <c r="AA28" s="154" t="s">
        <v>391</v>
      </c>
      <c r="AB28" s="242" t="b">
        <f t="shared" si="3"/>
        <v>0</v>
      </c>
      <c r="AC28" s="154"/>
      <c r="AD28" s="242" t="b">
        <f t="shared" si="4"/>
        <v>0</v>
      </c>
      <c r="AE28" s="154" t="s">
        <v>1598</v>
      </c>
      <c r="AF28" s="243" t="str">
        <f>IF(AE28="","N/A",INDIRECT("MTR!"&amp;ADDRESS(MATCH(LEFT(AE28,9),MTR!C:C,0),COLUMN(J28)),TRUE) &amp; "")</f>
        <v>Partially Complies</v>
      </c>
      <c r="AG28" s="157" t="str">
        <f t="shared" si="5"/>
        <v/>
      </c>
      <c r="AH28" s="152"/>
      <c r="AI28" s="152"/>
      <c r="AJ28" s="152"/>
      <c r="AK28" s="152"/>
      <c r="AL28" s="152"/>
      <c r="AM28" s="152"/>
      <c r="AN28" s="152"/>
      <c r="AO28" s="152"/>
      <c r="AP28" s="152"/>
      <c r="AQ28" s="152"/>
      <c r="AR28" s="152"/>
    </row>
    <row r="29" ht="12.75" customHeight="1">
      <c r="A29" s="244" t="s">
        <v>5158</v>
      </c>
      <c r="B29" s="244" t="s">
        <v>12721</v>
      </c>
      <c r="C29" s="255" t="s">
        <v>12793</v>
      </c>
      <c r="D29" s="256" t="s">
        <v>42</v>
      </c>
      <c r="E29" s="256" t="s">
        <v>489</v>
      </c>
      <c r="F29" s="154" t="str">
        <f t="array" ref="F29">XLOOKUP(Cover!$D$12,$P$1:$X$1,$P29:$X29)</f>
        <v>Recommended</v>
      </c>
      <c r="G29" s="154" t="s">
        <v>12794</v>
      </c>
      <c r="H29" s="154" t="s">
        <v>12787</v>
      </c>
      <c r="I29" s="154" t="s">
        <v>12787</v>
      </c>
      <c r="J29" s="154" t="s">
        <v>5931</v>
      </c>
      <c r="K29" s="154"/>
      <c r="L29" s="154" t="s">
        <v>759</v>
      </c>
      <c r="M29" s="247" t="s">
        <v>516</v>
      </c>
      <c r="N29" s="247" t="s">
        <v>12795</v>
      </c>
      <c r="O29" s="240" t="str">
        <f t="shared" si="1"/>
        <v/>
      </c>
      <c r="P29" s="154" t="s">
        <v>66</v>
      </c>
      <c r="Q29" s="154" t="s">
        <v>66</v>
      </c>
      <c r="R29" s="154" t="s">
        <v>64</v>
      </c>
      <c r="S29" s="154" t="s">
        <v>64</v>
      </c>
      <c r="T29" s="154" t="s">
        <v>64</v>
      </c>
      <c r="U29" s="154" t="s">
        <v>64</v>
      </c>
      <c r="V29" s="154" t="s">
        <v>66</v>
      </c>
      <c r="W29" s="154" t="s">
        <v>64</v>
      </c>
      <c r="X29" s="154" t="s">
        <v>64</v>
      </c>
      <c r="Y29" s="154"/>
      <c r="Z29" s="242" t="b">
        <f t="shared" si="2"/>
        <v>1</v>
      </c>
      <c r="AA29" s="154" t="s">
        <v>391</v>
      </c>
      <c r="AB29" s="242" t="b">
        <f t="shared" si="3"/>
        <v>0</v>
      </c>
      <c r="AC29" s="154"/>
      <c r="AD29" s="242" t="b">
        <f t="shared" si="4"/>
        <v>0</v>
      </c>
      <c r="AE29" s="154" t="s">
        <v>1598</v>
      </c>
      <c r="AF29" s="243" t="str">
        <f>IF(AE29="","N/A",INDIRECT("MTR!"&amp;ADDRESS(MATCH(LEFT(AE29,9),MTR!C:C,0),COLUMN(J29)),TRUE) &amp; "")</f>
        <v>Partially Complies</v>
      </c>
      <c r="AG29" s="157" t="str">
        <f t="shared" si="5"/>
        <v/>
      </c>
      <c r="AH29" s="152"/>
      <c r="AI29" s="152"/>
      <c r="AJ29" s="152"/>
      <c r="AK29" s="152"/>
      <c r="AL29" s="152"/>
      <c r="AM29" s="152"/>
      <c r="AN29" s="152"/>
      <c r="AO29" s="152"/>
      <c r="AP29" s="152"/>
      <c r="AQ29" s="152"/>
      <c r="AR29" s="152"/>
    </row>
    <row r="30" ht="12.75" customHeight="1">
      <c r="A30" s="244" t="s">
        <v>5158</v>
      </c>
      <c r="B30" s="244" t="s">
        <v>12721</v>
      </c>
      <c r="C30" s="244" t="s">
        <v>12796</v>
      </c>
      <c r="D30" s="154" t="s">
        <v>1315</v>
      </c>
      <c r="E30" s="154"/>
      <c r="F30" s="154" t="str">
        <f t="array" ref="F30">XLOOKUP(Cover!$D$12,$P$1:$X$1,$P30:$X30)</f>
        <v>Mandatory</v>
      </c>
      <c r="G30" s="154" t="s">
        <v>12797</v>
      </c>
      <c r="H30" s="154" t="s">
        <v>12798</v>
      </c>
      <c r="I30" s="154" t="s">
        <v>12799</v>
      </c>
      <c r="J30" s="154" t="s">
        <v>6525</v>
      </c>
      <c r="K30" s="154" t="s">
        <v>1122</v>
      </c>
      <c r="L30" s="154" t="s">
        <v>759</v>
      </c>
      <c r="M30" s="247" t="s">
        <v>506</v>
      </c>
      <c r="N30" s="247" t="s">
        <v>12738</v>
      </c>
      <c r="O30" s="240" t="str">
        <f t="shared" si="1"/>
        <v/>
      </c>
      <c r="P30" s="154" t="s">
        <v>66</v>
      </c>
      <c r="Q30" s="154" t="s">
        <v>66</v>
      </c>
      <c r="R30" s="154" t="s">
        <v>60</v>
      </c>
      <c r="S30" s="154" t="s">
        <v>60</v>
      </c>
      <c r="T30" s="154" t="s">
        <v>60</v>
      </c>
      <c r="U30" s="154" t="s">
        <v>60</v>
      </c>
      <c r="V30" s="154" t="s">
        <v>66</v>
      </c>
      <c r="W30" s="154" t="s">
        <v>60</v>
      </c>
      <c r="X30" s="154" t="s">
        <v>60</v>
      </c>
      <c r="Y30" s="154"/>
      <c r="Z30" s="242" t="b">
        <f t="shared" si="2"/>
        <v>1</v>
      </c>
      <c r="AA30" s="154" t="s">
        <v>391</v>
      </c>
      <c r="AB30" s="242" t="b">
        <f t="shared" si="3"/>
        <v>0</v>
      </c>
      <c r="AC30" s="154"/>
      <c r="AD30" s="242" t="b">
        <f t="shared" si="4"/>
        <v>0</v>
      </c>
      <c r="AE30" s="154" t="s">
        <v>1598</v>
      </c>
      <c r="AF30" s="243" t="str">
        <f>IF(AE30="","N/A",INDIRECT("MTR!"&amp;ADDRESS(MATCH(LEFT(AE30,9),MTR!C:C,0),COLUMN(J30)),TRUE) &amp; "")</f>
        <v>Partially Complies</v>
      </c>
      <c r="AG30" s="157" t="str">
        <f t="shared" si="5"/>
        <v/>
      </c>
      <c r="AH30" s="152"/>
      <c r="AI30" s="152"/>
      <c r="AJ30" s="152"/>
      <c r="AK30" s="152"/>
      <c r="AL30" s="152"/>
      <c r="AM30" s="152"/>
      <c r="AN30" s="152"/>
      <c r="AO30" s="152"/>
      <c r="AP30" s="152"/>
      <c r="AQ30" s="152"/>
      <c r="AR30" s="152"/>
    </row>
    <row r="31" ht="12.75" customHeight="1">
      <c r="A31" s="244" t="s">
        <v>5158</v>
      </c>
      <c r="B31" s="244" t="s">
        <v>12721</v>
      </c>
      <c r="C31" s="244" t="s">
        <v>12800</v>
      </c>
      <c r="D31" s="154" t="s">
        <v>1315</v>
      </c>
      <c r="E31" s="154"/>
      <c r="F31" s="154" t="str">
        <f t="array" ref="F31">XLOOKUP(Cover!$D$12,$P$1:$X$1,$P31:$X31)</f>
        <v>Mandatory</v>
      </c>
      <c r="G31" s="154" t="s">
        <v>12801</v>
      </c>
      <c r="H31" s="154" t="s">
        <v>12799</v>
      </c>
      <c r="I31" s="154" t="s">
        <v>12799</v>
      </c>
      <c r="J31" s="154" t="s">
        <v>6525</v>
      </c>
      <c r="K31" s="154" t="s">
        <v>1018</v>
      </c>
      <c r="L31" s="154" t="s">
        <v>759</v>
      </c>
      <c r="M31" s="247" t="s">
        <v>516</v>
      </c>
      <c r="N31" s="247" t="s">
        <v>12741</v>
      </c>
      <c r="O31" s="240" t="str">
        <f t="shared" si="1"/>
        <v/>
      </c>
      <c r="P31" s="154" t="s">
        <v>66</v>
      </c>
      <c r="Q31" s="154" t="s">
        <v>66</v>
      </c>
      <c r="R31" s="155" t="s">
        <v>64</v>
      </c>
      <c r="S31" s="155" t="s">
        <v>64</v>
      </c>
      <c r="T31" s="154" t="s">
        <v>60</v>
      </c>
      <c r="U31" s="154" t="s">
        <v>60</v>
      </c>
      <c r="V31" s="154" t="s">
        <v>66</v>
      </c>
      <c r="W31" s="155" t="s">
        <v>64</v>
      </c>
      <c r="X31" s="154" t="s">
        <v>60</v>
      </c>
      <c r="Y31" s="154"/>
      <c r="Z31" s="242" t="b">
        <f t="shared" si="2"/>
        <v>1</v>
      </c>
      <c r="AA31" s="154" t="s">
        <v>391</v>
      </c>
      <c r="AB31" s="242" t="b">
        <f t="shared" si="3"/>
        <v>0</v>
      </c>
      <c r="AC31" s="154"/>
      <c r="AD31" s="242" t="b">
        <f t="shared" si="4"/>
        <v>0</v>
      </c>
      <c r="AE31" s="154" t="s">
        <v>1598</v>
      </c>
      <c r="AF31" s="243" t="str">
        <f>IF(AE31="","N/A",INDIRECT("MTR!"&amp;ADDRESS(MATCH(LEFT(AE31,9),MTR!C:C,0),COLUMN(J31)),TRUE) &amp; "")</f>
        <v>Partially Complies</v>
      </c>
      <c r="AG31" s="157" t="str">
        <f t="shared" si="5"/>
        <v/>
      </c>
      <c r="AH31" s="152"/>
      <c r="AI31" s="152"/>
      <c r="AJ31" s="152"/>
      <c r="AK31" s="152"/>
      <c r="AL31" s="152"/>
      <c r="AM31" s="152"/>
      <c r="AN31" s="152"/>
      <c r="AO31" s="152"/>
      <c r="AP31" s="152"/>
      <c r="AQ31" s="152"/>
      <c r="AR31" s="152"/>
    </row>
    <row r="32" ht="12.75" customHeight="1">
      <c r="A32" s="244" t="s">
        <v>5158</v>
      </c>
      <c r="B32" s="244" t="s">
        <v>12721</v>
      </c>
      <c r="C32" s="244" t="s">
        <v>12802</v>
      </c>
      <c r="D32" s="154" t="s">
        <v>1773</v>
      </c>
      <c r="E32" s="154"/>
      <c r="F32" s="154" t="str">
        <f t="array" ref="F32">XLOOKUP(Cover!$D$12,$P$1:$X$1,$P32:$X32)</f>
        <v>Recommended</v>
      </c>
      <c r="G32" s="154" t="s">
        <v>12803</v>
      </c>
      <c r="H32" s="154" t="s">
        <v>12798</v>
      </c>
      <c r="I32" s="154" t="s">
        <v>12799</v>
      </c>
      <c r="J32" s="154" t="s">
        <v>7175</v>
      </c>
      <c r="K32" s="154"/>
      <c r="L32" s="154" t="s">
        <v>759</v>
      </c>
      <c r="M32" s="247" t="s">
        <v>506</v>
      </c>
      <c r="N32" s="247" t="s">
        <v>12738</v>
      </c>
      <c r="O32" s="240" t="str">
        <f t="shared" si="1"/>
        <v/>
      </c>
      <c r="P32" s="154" t="s">
        <v>66</v>
      </c>
      <c r="Q32" s="154" t="s">
        <v>66</v>
      </c>
      <c r="R32" s="154" t="s">
        <v>64</v>
      </c>
      <c r="S32" s="154" t="s">
        <v>64</v>
      </c>
      <c r="T32" s="154" t="s">
        <v>64</v>
      </c>
      <c r="U32" s="154" t="s">
        <v>64</v>
      </c>
      <c r="V32" s="154" t="s">
        <v>66</v>
      </c>
      <c r="W32" s="154" t="s">
        <v>64</v>
      </c>
      <c r="X32" s="154" t="s">
        <v>64</v>
      </c>
      <c r="Y32" s="154"/>
      <c r="Z32" s="242" t="b">
        <f t="shared" si="2"/>
        <v>1</v>
      </c>
      <c r="AA32" s="154" t="s">
        <v>391</v>
      </c>
      <c r="AB32" s="242" t="b">
        <f t="shared" si="3"/>
        <v>0</v>
      </c>
      <c r="AC32" s="154"/>
      <c r="AD32" s="242" t="b">
        <f t="shared" si="4"/>
        <v>0</v>
      </c>
      <c r="AE32" s="154" t="s">
        <v>1598</v>
      </c>
      <c r="AF32" s="243" t="str">
        <f>IF(AE32="","N/A",INDIRECT("MTR!"&amp;ADDRESS(MATCH(LEFT(AE32,9),MTR!C:C,0),COLUMN(J32)),TRUE) &amp; "")</f>
        <v>Partially Complies</v>
      </c>
      <c r="AG32" s="157" t="str">
        <f t="shared" si="5"/>
        <v/>
      </c>
      <c r="AH32" s="152"/>
      <c r="AI32" s="152"/>
      <c r="AJ32" s="152"/>
      <c r="AK32" s="152"/>
      <c r="AL32" s="152"/>
      <c r="AM32" s="152"/>
      <c r="AN32" s="152"/>
      <c r="AO32" s="152"/>
      <c r="AP32" s="152"/>
      <c r="AQ32" s="152"/>
      <c r="AR32" s="152"/>
    </row>
    <row r="33" ht="12.75" customHeight="1">
      <c r="A33" s="244" t="s">
        <v>5158</v>
      </c>
      <c r="B33" s="244" t="s">
        <v>12721</v>
      </c>
      <c r="C33" s="244" t="s">
        <v>12804</v>
      </c>
      <c r="D33" s="154" t="s">
        <v>1773</v>
      </c>
      <c r="E33" s="154"/>
      <c r="F33" s="154" t="str">
        <f t="array" ref="F33">XLOOKUP(Cover!$D$12,$P$1:$X$1,$P33:$X33)</f>
        <v>Recommended</v>
      </c>
      <c r="G33" s="154" t="s">
        <v>12805</v>
      </c>
      <c r="H33" s="154" t="s">
        <v>12799</v>
      </c>
      <c r="I33" s="154" t="s">
        <v>12799</v>
      </c>
      <c r="J33" s="154" t="s">
        <v>7175</v>
      </c>
      <c r="K33" s="154"/>
      <c r="L33" s="154" t="s">
        <v>759</v>
      </c>
      <c r="M33" s="247" t="s">
        <v>516</v>
      </c>
      <c r="N33" s="247" t="s">
        <v>12741</v>
      </c>
      <c r="O33" s="240" t="str">
        <f t="shared" si="1"/>
        <v/>
      </c>
      <c r="P33" s="154" t="s">
        <v>66</v>
      </c>
      <c r="Q33" s="154" t="s">
        <v>66</v>
      </c>
      <c r="R33" s="154" t="s">
        <v>64</v>
      </c>
      <c r="S33" s="154" t="s">
        <v>64</v>
      </c>
      <c r="T33" s="154" t="s">
        <v>64</v>
      </c>
      <c r="U33" s="154" t="s">
        <v>64</v>
      </c>
      <c r="V33" s="154" t="s">
        <v>66</v>
      </c>
      <c r="W33" s="154" t="s">
        <v>64</v>
      </c>
      <c r="X33" s="154" t="s">
        <v>64</v>
      </c>
      <c r="Y33" s="154"/>
      <c r="Z33" s="242" t="b">
        <f t="shared" si="2"/>
        <v>1</v>
      </c>
      <c r="AA33" s="154" t="s">
        <v>391</v>
      </c>
      <c r="AB33" s="242" t="b">
        <f t="shared" si="3"/>
        <v>0</v>
      </c>
      <c r="AC33" s="154"/>
      <c r="AD33" s="242" t="b">
        <f t="shared" si="4"/>
        <v>0</v>
      </c>
      <c r="AE33" s="154" t="s">
        <v>1598</v>
      </c>
      <c r="AF33" s="243" t="str">
        <f>IF(AE33="","N/A",INDIRECT("MTR!"&amp;ADDRESS(MATCH(LEFT(AE33,9),MTR!C:C,0),COLUMN(J33)),TRUE) &amp; "")</f>
        <v>Partially Complies</v>
      </c>
      <c r="AG33" s="157" t="str">
        <f t="shared" si="5"/>
        <v/>
      </c>
      <c r="AH33" s="152"/>
      <c r="AI33" s="152"/>
      <c r="AJ33" s="152"/>
      <c r="AK33" s="152"/>
      <c r="AL33" s="152"/>
      <c r="AM33" s="152"/>
      <c r="AN33" s="152"/>
      <c r="AO33" s="152"/>
      <c r="AP33" s="152"/>
      <c r="AQ33" s="152"/>
      <c r="AR33" s="152"/>
    </row>
    <row r="34" ht="12.75" customHeight="1">
      <c r="A34" s="244" t="s">
        <v>5158</v>
      </c>
      <c r="B34" s="244" t="s">
        <v>12721</v>
      </c>
      <c r="C34" s="244" t="s">
        <v>12806</v>
      </c>
      <c r="D34" s="154" t="s">
        <v>503</v>
      </c>
      <c r="E34" s="154"/>
      <c r="F34" s="154" t="str">
        <f t="array" ref="F34">XLOOKUP(Cover!$D$12,$P$1:$X$1,$P34:$X34)</f>
        <v>Mandatory</v>
      </c>
      <c r="G34" s="154" t="s">
        <v>12807</v>
      </c>
      <c r="H34" s="154" t="s">
        <v>6768</v>
      </c>
      <c r="I34" s="154" t="s">
        <v>12808</v>
      </c>
      <c r="J34" s="154" t="s">
        <v>6463</v>
      </c>
      <c r="K34" s="154" t="s">
        <v>1018</v>
      </c>
      <c r="L34" s="154" t="s">
        <v>759</v>
      </c>
      <c r="M34" s="247" t="s">
        <v>516</v>
      </c>
      <c r="N34" s="247" t="s">
        <v>12731</v>
      </c>
      <c r="O34" s="240" t="str">
        <f t="shared" si="1"/>
        <v/>
      </c>
      <c r="P34" s="154" t="s">
        <v>66</v>
      </c>
      <c r="Q34" s="154" t="s">
        <v>66</v>
      </c>
      <c r="R34" s="154" t="s">
        <v>60</v>
      </c>
      <c r="S34" s="154" t="s">
        <v>60</v>
      </c>
      <c r="T34" s="154" t="s">
        <v>60</v>
      </c>
      <c r="U34" s="154" t="s">
        <v>60</v>
      </c>
      <c r="V34" s="154" t="s">
        <v>66</v>
      </c>
      <c r="W34" s="154" t="s">
        <v>60</v>
      </c>
      <c r="X34" s="154" t="s">
        <v>60</v>
      </c>
      <c r="Y34" s="154"/>
      <c r="Z34" s="242" t="b">
        <f t="shared" si="2"/>
        <v>1</v>
      </c>
      <c r="AA34" s="154" t="s">
        <v>391</v>
      </c>
      <c r="AB34" s="242" t="b">
        <f t="shared" si="3"/>
        <v>0</v>
      </c>
      <c r="AC34" s="154"/>
      <c r="AD34" s="242" t="b">
        <f t="shared" si="4"/>
        <v>0</v>
      </c>
      <c r="AE34" s="154" t="s">
        <v>1598</v>
      </c>
      <c r="AF34" s="243" t="str">
        <f>IF(AE34="","N/A",INDIRECT("MTR!"&amp;ADDRESS(MATCH(LEFT(AE34,9),MTR!C:C,0),COLUMN(J34)),TRUE) &amp; "")</f>
        <v>Partially Complies</v>
      </c>
      <c r="AG34" s="157" t="str">
        <f t="shared" si="5"/>
        <v/>
      </c>
      <c r="AH34" s="152"/>
      <c r="AI34" s="152"/>
      <c r="AJ34" s="152"/>
      <c r="AK34" s="152"/>
      <c r="AL34" s="152"/>
      <c r="AM34" s="152"/>
      <c r="AN34" s="152"/>
      <c r="AO34" s="152"/>
      <c r="AP34" s="152"/>
      <c r="AQ34" s="152"/>
      <c r="AR34" s="152"/>
    </row>
    <row r="35" ht="12.75" customHeight="1">
      <c r="A35" s="244" t="s">
        <v>5158</v>
      </c>
      <c r="B35" s="244" t="s">
        <v>12721</v>
      </c>
      <c r="C35" s="244" t="s">
        <v>12809</v>
      </c>
      <c r="D35" s="154" t="s">
        <v>503</v>
      </c>
      <c r="E35" s="154"/>
      <c r="F35" s="154" t="str">
        <f t="array" ref="F35">XLOOKUP(Cover!$D$12,$P$1:$X$1,$P35:$X35)</f>
        <v>Mandatory</v>
      </c>
      <c r="G35" s="154" t="s">
        <v>12810</v>
      </c>
      <c r="H35" s="154" t="s">
        <v>6768</v>
      </c>
      <c r="I35" s="154" t="s">
        <v>12808</v>
      </c>
      <c r="J35" s="154" t="s">
        <v>7431</v>
      </c>
      <c r="K35" s="154" t="s">
        <v>1018</v>
      </c>
      <c r="L35" s="154" t="s">
        <v>759</v>
      </c>
      <c r="M35" s="247" t="s">
        <v>516</v>
      </c>
      <c r="N35" s="247" t="s">
        <v>12731</v>
      </c>
      <c r="O35" s="240" t="str">
        <f t="shared" si="1"/>
        <v/>
      </c>
      <c r="P35" s="154" t="s">
        <v>66</v>
      </c>
      <c r="Q35" s="154" t="s">
        <v>66</v>
      </c>
      <c r="R35" s="154" t="s">
        <v>60</v>
      </c>
      <c r="S35" s="154" t="s">
        <v>60</v>
      </c>
      <c r="T35" s="154" t="s">
        <v>60</v>
      </c>
      <c r="U35" s="154" t="s">
        <v>60</v>
      </c>
      <c r="V35" s="154" t="s">
        <v>66</v>
      </c>
      <c r="W35" s="154" t="s">
        <v>60</v>
      </c>
      <c r="X35" s="154" t="s">
        <v>60</v>
      </c>
      <c r="Y35" s="154"/>
      <c r="Z35" s="242" t="b">
        <f t="shared" si="2"/>
        <v>1</v>
      </c>
      <c r="AA35" s="154" t="s">
        <v>391</v>
      </c>
      <c r="AB35" s="242" t="b">
        <f t="shared" si="3"/>
        <v>0</v>
      </c>
      <c r="AC35" s="154"/>
      <c r="AD35" s="242" t="b">
        <f t="shared" si="4"/>
        <v>0</v>
      </c>
      <c r="AE35" s="154" t="s">
        <v>1598</v>
      </c>
      <c r="AF35" s="243" t="str">
        <f>IF(AE35="","N/A",INDIRECT("MTR!"&amp;ADDRESS(MATCH(LEFT(AE35,9),MTR!C:C,0),COLUMN(J35)),TRUE) &amp; "")</f>
        <v>Partially Complies</v>
      </c>
      <c r="AG35" s="157" t="str">
        <f t="shared" si="5"/>
        <v/>
      </c>
      <c r="AH35" s="152"/>
      <c r="AI35" s="152"/>
      <c r="AJ35" s="152"/>
      <c r="AK35" s="152"/>
      <c r="AL35" s="152"/>
      <c r="AM35" s="152"/>
      <c r="AN35" s="152"/>
      <c r="AO35" s="152"/>
      <c r="AP35" s="152"/>
      <c r="AQ35" s="152"/>
      <c r="AR35" s="152"/>
    </row>
    <row r="36" ht="12.75" customHeight="1">
      <c r="A36" s="244" t="s">
        <v>5158</v>
      </c>
      <c r="B36" s="244" t="s">
        <v>12721</v>
      </c>
      <c r="C36" s="244" t="s">
        <v>12811</v>
      </c>
      <c r="D36" s="154" t="s">
        <v>1315</v>
      </c>
      <c r="E36" s="154"/>
      <c r="F36" s="154" t="str">
        <f t="array" ref="F36">XLOOKUP(Cover!$D$12,$P$1:$X$1,$P36:$X36)</f>
        <v>Mandatory</v>
      </c>
      <c r="G36" s="154" t="s">
        <v>12812</v>
      </c>
      <c r="H36" s="154" t="s">
        <v>12813</v>
      </c>
      <c r="I36" s="154" t="s">
        <v>12814</v>
      </c>
      <c r="J36" s="154" t="s">
        <v>6525</v>
      </c>
      <c r="K36" s="154" t="s">
        <v>1122</v>
      </c>
      <c r="L36" s="154" t="s">
        <v>759</v>
      </c>
      <c r="M36" s="247" t="s">
        <v>506</v>
      </c>
      <c r="N36" s="247" t="s">
        <v>12738</v>
      </c>
      <c r="O36" s="240" t="str">
        <f t="shared" si="1"/>
        <v/>
      </c>
      <c r="P36" s="154" t="s">
        <v>66</v>
      </c>
      <c r="Q36" s="154" t="s">
        <v>66</v>
      </c>
      <c r="R36" s="154" t="s">
        <v>60</v>
      </c>
      <c r="S36" s="154" t="s">
        <v>60</v>
      </c>
      <c r="T36" s="154" t="s">
        <v>60</v>
      </c>
      <c r="U36" s="154" t="s">
        <v>60</v>
      </c>
      <c r="V36" s="154" t="s">
        <v>66</v>
      </c>
      <c r="W36" s="154" t="s">
        <v>60</v>
      </c>
      <c r="X36" s="154" t="s">
        <v>60</v>
      </c>
      <c r="Y36" s="154"/>
      <c r="Z36" s="242" t="b">
        <f t="shared" si="2"/>
        <v>1</v>
      </c>
      <c r="AA36" s="154" t="s">
        <v>391</v>
      </c>
      <c r="AB36" s="242" t="b">
        <f t="shared" si="3"/>
        <v>0</v>
      </c>
      <c r="AC36" s="154"/>
      <c r="AD36" s="242" t="b">
        <f t="shared" si="4"/>
        <v>0</v>
      </c>
      <c r="AE36" s="154" t="s">
        <v>1598</v>
      </c>
      <c r="AF36" s="243" t="str">
        <f>IF(AE36="","N/A",INDIRECT("MTR!"&amp;ADDRESS(MATCH(LEFT(AE36,9),MTR!C:C,0),COLUMN(J36)),TRUE) &amp; "")</f>
        <v>Partially Complies</v>
      </c>
      <c r="AG36" s="157" t="str">
        <f t="shared" si="5"/>
        <v/>
      </c>
      <c r="AH36" s="152"/>
      <c r="AI36" s="152"/>
      <c r="AJ36" s="152"/>
      <c r="AK36" s="152"/>
      <c r="AL36" s="152"/>
      <c r="AM36" s="152"/>
      <c r="AN36" s="152"/>
      <c r="AO36" s="152"/>
      <c r="AP36" s="152"/>
      <c r="AQ36" s="152"/>
      <c r="AR36" s="152"/>
    </row>
    <row r="37" ht="12.75" customHeight="1">
      <c r="A37" s="244" t="s">
        <v>5158</v>
      </c>
      <c r="B37" s="244" t="s">
        <v>12721</v>
      </c>
      <c r="C37" s="244" t="s">
        <v>12815</v>
      </c>
      <c r="D37" s="154" t="s">
        <v>1315</v>
      </c>
      <c r="E37" s="154"/>
      <c r="F37" s="154" t="str">
        <f t="array" ref="F37">XLOOKUP(Cover!$D$12,$P$1:$X$1,$P37:$X37)</f>
        <v>Mandatory</v>
      </c>
      <c r="G37" s="154" t="s">
        <v>12816</v>
      </c>
      <c r="H37" s="154" t="s">
        <v>12814</v>
      </c>
      <c r="I37" s="154" t="s">
        <v>12814</v>
      </c>
      <c r="J37" s="154" t="s">
        <v>6525</v>
      </c>
      <c r="K37" s="154" t="s">
        <v>1018</v>
      </c>
      <c r="L37" s="154" t="s">
        <v>759</v>
      </c>
      <c r="M37" s="247" t="s">
        <v>516</v>
      </c>
      <c r="N37" s="247" t="s">
        <v>12741</v>
      </c>
      <c r="O37" s="240" t="str">
        <f t="shared" si="1"/>
        <v/>
      </c>
      <c r="P37" s="154" t="s">
        <v>66</v>
      </c>
      <c r="Q37" s="154" t="s">
        <v>66</v>
      </c>
      <c r="R37" s="155" t="s">
        <v>64</v>
      </c>
      <c r="S37" s="155" t="s">
        <v>64</v>
      </c>
      <c r="T37" s="154" t="s">
        <v>60</v>
      </c>
      <c r="U37" s="154" t="s">
        <v>60</v>
      </c>
      <c r="V37" s="154" t="s">
        <v>66</v>
      </c>
      <c r="W37" s="155" t="s">
        <v>64</v>
      </c>
      <c r="X37" s="154" t="s">
        <v>60</v>
      </c>
      <c r="Y37" s="154"/>
      <c r="Z37" s="242" t="b">
        <f t="shared" si="2"/>
        <v>1</v>
      </c>
      <c r="AA37" s="154" t="s">
        <v>391</v>
      </c>
      <c r="AB37" s="242" t="b">
        <f t="shared" si="3"/>
        <v>0</v>
      </c>
      <c r="AC37" s="154"/>
      <c r="AD37" s="242" t="b">
        <f t="shared" si="4"/>
        <v>0</v>
      </c>
      <c r="AE37" s="154" t="s">
        <v>1598</v>
      </c>
      <c r="AF37" s="243" t="str">
        <f>IF(AE37="","N/A",INDIRECT("MTR!"&amp;ADDRESS(MATCH(LEFT(AE37,9),MTR!C:C,0),COLUMN(J37)),TRUE) &amp; "")</f>
        <v>Partially Complies</v>
      </c>
      <c r="AG37" s="157" t="str">
        <f t="shared" si="5"/>
        <v/>
      </c>
      <c r="AH37" s="152"/>
      <c r="AI37" s="152"/>
      <c r="AJ37" s="152"/>
      <c r="AK37" s="152"/>
      <c r="AL37" s="152"/>
      <c r="AM37" s="152"/>
      <c r="AN37" s="152"/>
      <c r="AO37" s="152"/>
      <c r="AP37" s="152"/>
      <c r="AQ37" s="152"/>
      <c r="AR37" s="152"/>
    </row>
    <row r="38" ht="12.75" customHeight="1">
      <c r="A38" s="244" t="s">
        <v>5158</v>
      </c>
      <c r="B38" s="244" t="s">
        <v>12721</v>
      </c>
      <c r="C38" s="244" t="s">
        <v>12817</v>
      </c>
      <c r="D38" s="154" t="s">
        <v>1315</v>
      </c>
      <c r="E38" s="154"/>
      <c r="F38" s="154" t="str">
        <f t="array" ref="F38">XLOOKUP(Cover!$D$12,$P$1:$X$1,$P38:$X38)</f>
        <v>Recommended</v>
      </c>
      <c r="G38" s="154" t="s">
        <v>12818</v>
      </c>
      <c r="H38" s="154" t="s">
        <v>12813</v>
      </c>
      <c r="I38" s="154" t="s">
        <v>12814</v>
      </c>
      <c r="J38" s="154" t="s">
        <v>6428</v>
      </c>
      <c r="K38" s="154"/>
      <c r="L38" s="154" t="s">
        <v>759</v>
      </c>
      <c r="M38" s="247" t="s">
        <v>506</v>
      </c>
      <c r="N38" s="247" t="s">
        <v>12738</v>
      </c>
      <c r="O38" s="240" t="str">
        <f t="shared" si="1"/>
        <v/>
      </c>
      <c r="P38" s="154" t="s">
        <v>66</v>
      </c>
      <c r="Q38" s="154" t="s">
        <v>66</v>
      </c>
      <c r="R38" s="154" t="s">
        <v>64</v>
      </c>
      <c r="S38" s="154" t="s">
        <v>64</v>
      </c>
      <c r="T38" s="154" t="s">
        <v>64</v>
      </c>
      <c r="U38" s="154" t="s">
        <v>64</v>
      </c>
      <c r="V38" s="154" t="s">
        <v>66</v>
      </c>
      <c r="W38" s="154" t="s">
        <v>64</v>
      </c>
      <c r="X38" s="154" t="s">
        <v>64</v>
      </c>
      <c r="Y38" s="154"/>
      <c r="Z38" s="242" t="b">
        <f t="shared" si="2"/>
        <v>1</v>
      </c>
      <c r="AA38" s="154" t="s">
        <v>391</v>
      </c>
      <c r="AB38" s="242" t="b">
        <f t="shared" si="3"/>
        <v>0</v>
      </c>
      <c r="AC38" s="154"/>
      <c r="AD38" s="242" t="b">
        <f t="shared" si="4"/>
        <v>0</v>
      </c>
      <c r="AE38" s="154" t="s">
        <v>1598</v>
      </c>
      <c r="AF38" s="243" t="str">
        <f>IF(AE38="","N/A",INDIRECT("MTR!"&amp;ADDRESS(MATCH(LEFT(AE38,9),MTR!C:C,0),COLUMN(J38)),TRUE) &amp; "")</f>
        <v>Partially Complies</v>
      </c>
      <c r="AG38" s="157" t="str">
        <f t="shared" si="5"/>
        <v/>
      </c>
      <c r="AH38" s="152"/>
      <c r="AI38" s="152"/>
      <c r="AJ38" s="152"/>
      <c r="AK38" s="152"/>
      <c r="AL38" s="152"/>
      <c r="AM38" s="152"/>
      <c r="AN38" s="152"/>
      <c r="AO38" s="152"/>
      <c r="AP38" s="152"/>
      <c r="AQ38" s="152"/>
      <c r="AR38" s="152"/>
    </row>
    <row r="39" ht="12.75" customHeight="1">
      <c r="A39" s="244" t="s">
        <v>5158</v>
      </c>
      <c r="B39" s="244" t="s">
        <v>12721</v>
      </c>
      <c r="C39" s="244" t="s">
        <v>12819</v>
      </c>
      <c r="D39" s="154" t="s">
        <v>1315</v>
      </c>
      <c r="E39" s="154"/>
      <c r="F39" s="154" t="str">
        <f t="array" ref="F39">XLOOKUP(Cover!$D$12,$P$1:$X$1,$P39:$X39)</f>
        <v>Recommended</v>
      </c>
      <c r="G39" s="154" t="s">
        <v>12820</v>
      </c>
      <c r="H39" s="154" t="s">
        <v>12814</v>
      </c>
      <c r="I39" s="154" t="s">
        <v>12814</v>
      </c>
      <c r="J39" s="154" t="s">
        <v>6428</v>
      </c>
      <c r="K39" s="154"/>
      <c r="L39" s="154" t="s">
        <v>759</v>
      </c>
      <c r="M39" s="247" t="s">
        <v>516</v>
      </c>
      <c r="N39" s="247" t="s">
        <v>12741</v>
      </c>
      <c r="O39" s="240" t="str">
        <f t="shared" si="1"/>
        <v/>
      </c>
      <c r="P39" s="154" t="s">
        <v>66</v>
      </c>
      <c r="Q39" s="154" t="s">
        <v>66</v>
      </c>
      <c r="R39" s="154" t="s">
        <v>64</v>
      </c>
      <c r="S39" s="154" t="s">
        <v>64</v>
      </c>
      <c r="T39" s="154" t="s">
        <v>64</v>
      </c>
      <c r="U39" s="154" t="s">
        <v>64</v>
      </c>
      <c r="V39" s="154" t="s">
        <v>66</v>
      </c>
      <c r="W39" s="154" t="s">
        <v>64</v>
      </c>
      <c r="X39" s="154" t="s">
        <v>64</v>
      </c>
      <c r="Y39" s="154"/>
      <c r="Z39" s="242" t="b">
        <f t="shared" si="2"/>
        <v>1</v>
      </c>
      <c r="AA39" s="154" t="s">
        <v>391</v>
      </c>
      <c r="AB39" s="242" t="b">
        <f t="shared" si="3"/>
        <v>0</v>
      </c>
      <c r="AC39" s="154"/>
      <c r="AD39" s="242" t="b">
        <f t="shared" si="4"/>
        <v>0</v>
      </c>
      <c r="AE39" s="154" t="s">
        <v>1598</v>
      </c>
      <c r="AF39" s="243" t="str">
        <f>IF(AE39="","N/A",INDIRECT("MTR!"&amp;ADDRESS(MATCH(LEFT(AE39,9),MTR!C:C,0),COLUMN(J39)),TRUE) &amp; "")</f>
        <v>Partially Complies</v>
      </c>
      <c r="AG39" s="157" t="str">
        <f t="shared" si="5"/>
        <v/>
      </c>
      <c r="AH39" s="152"/>
      <c r="AI39" s="152"/>
      <c r="AJ39" s="152"/>
      <c r="AK39" s="152"/>
      <c r="AL39" s="152"/>
      <c r="AM39" s="152"/>
      <c r="AN39" s="152"/>
      <c r="AO39" s="152"/>
      <c r="AP39" s="152"/>
      <c r="AQ39" s="152"/>
      <c r="AR39" s="152"/>
    </row>
    <row r="40" ht="12.75" customHeight="1">
      <c r="A40" s="244" t="s">
        <v>5158</v>
      </c>
      <c r="B40" s="244" t="s">
        <v>12721</v>
      </c>
      <c r="C40" s="244" t="s">
        <v>12821</v>
      </c>
      <c r="D40" s="154" t="s">
        <v>1315</v>
      </c>
      <c r="E40" s="154"/>
      <c r="F40" s="154" t="str">
        <f t="array" ref="F40">XLOOKUP(Cover!$D$12,$P$1:$X$1,$P40:$X40)</f>
        <v>Mandatory</v>
      </c>
      <c r="G40" s="154" t="s">
        <v>12822</v>
      </c>
      <c r="H40" s="154" t="s">
        <v>12813</v>
      </c>
      <c r="I40" s="154" t="s">
        <v>12814</v>
      </c>
      <c r="J40" s="154" t="s">
        <v>6428</v>
      </c>
      <c r="K40" s="154" t="s">
        <v>1122</v>
      </c>
      <c r="L40" s="154" t="s">
        <v>759</v>
      </c>
      <c r="M40" s="247" t="s">
        <v>506</v>
      </c>
      <c r="N40" s="247" t="s">
        <v>12738</v>
      </c>
      <c r="O40" s="240" t="str">
        <f t="shared" si="1"/>
        <v/>
      </c>
      <c r="P40" s="154" t="s">
        <v>66</v>
      </c>
      <c r="Q40" s="154" t="s">
        <v>66</v>
      </c>
      <c r="R40" s="154" t="s">
        <v>60</v>
      </c>
      <c r="S40" s="154" t="s">
        <v>60</v>
      </c>
      <c r="T40" s="154" t="s">
        <v>60</v>
      </c>
      <c r="U40" s="154" t="s">
        <v>60</v>
      </c>
      <c r="V40" s="154" t="s">
        <v>66</v>
      </c>
      <c r="W40" s="154" t="s">
        <v>60</v>
      </c>
      <c r="X40" s="154" t="s">
        <v>60</v>
      </c>
      <c r="Y40" s="154"/>
      <c r="Z40" s="242" t="b">
        <f t="shared" si="2"/>
        <v>1</v>
      </c>
      <c r="AA40" s="154" t="s">
        <v>391</v>
      </c>
      <c r="AB40" s="242" t="b">
        <f t="shared" si="3"/>
        <v>0</v>
      </c>
      <c r="AC40" s="154"/>
      <c r="AD40" s="242" t="b">
        <f t="shared" si="4"/>
        <v>0</v>
      </c>
      <c r="AE40" s="154" t="s">
        <v>1598</v>
      </c>
      <c r="AF40" s="243" t="str">
        <f>IF(AE40="","N/A",INDIRECT("MTR!"&amp;ADDRESS(MATCH(LEFT(AE40,9),MTR!C:C,0),COLUMN(J40)),TRUE) &amp; "")</f>
        <v>Partially Complies</v>
      </c>
      <c r="AG40" s="157" t="str">
        <f t="shared" si="5"/>
        <v/>
      </c>
      <c r="AH40" s="152"/>
      <c r="AI40" s="152"/>
      <c r="AJ40" s="152"/>
      <c r="AK40" s="152"/>
      <c r="AL40" s="152"/>
      <c r="AM40" s="152"/>
      <c r="AN40" s="152"/>
      <c r="AO40" s="152"/>
      <c r="AP40" s="152"/>
      <c r="AQ40" s="152"/>
      <c r="AR40" s="152"/>
    </row>
    <row r="41" ht="12.75" customHeight="1">
      <c r="A41" s="244" t="s">
        <v>5158</v>
      </c>
      <c r="B41" s="244" t="s">
        <v>12721</v>
      </c>
      <c r="C41" s="244" t="s">
        <v>12823</v>
      </c>
      <c r="D41" s="154" t="s">
        <v>1315</v>
      </c>
      <c r="E41" s="154"/>
      <c r="F41" s="154" t="str">
        <f t="array" ref="F41">XLOOKUP(Cover!$D$12,$P$1:$X$1,$P41:$X41)</f>
        <v>Mandatory</v>
      </c>
      <c r="G41" s="154" t="s">
        <v>12824</v>
      </c>
      <c r="H41" s="154" t="s">
        <v>12814</v>
      </c>
      <c r="I41" s="154" t="s">
        <v>12814</v>
      </c>
      <c r="J41" s="154" t="s">
        <v>6428</v>
      </c>
      <c r="K41" s="154" t="s">
        <v>1018</v>
      </c>
      <c r="L41" s="154" t="s">
        <v>759</v>
      </c>
      <c r="M41" s="247" t="s">
        <v>516</v>
      </c>
      <c r="N41" s="247" t="s">
        <v>12741</v>
      </c>
      <c r="O41" s="240" t="str">
        <f t="shared" si="1"/>
        <v/>
      </c>
      <c r="P41" s="154" t="s">
        <v>66</v>
      </c>
      <c r="Q41" s="154" t="s">
        <v>66</v>
      </c>
      <c r="R41" s="155" t="s">
        <v>64</v>
      </c>
      <c r="S41" s="155" t="s">
        <v>64</v>
      </c>
      <c r="T41" s="154" t="s">
        <v>60</v>
      </c>
      <c r="U41" s="154" t="s">
        <v>60</v>
      </c>
      <c r="V41" s="154" t="s">
        <v>66</v>
      </c>
      <c r="W41" s="155" t="s">
        <v>64</v>
      </c>
      <c r="X41" s="154" t="s">
        <v>60</v>
      </c>
      <c r="Y41" s="154"/>
      <c r="Z41" s="242" t="b">
        <f t="shared" si="2"/>
        <v>1</v>
      </c>
      <c r="AA41" s="154" t="s">
        <v>391</v>
      </c>
      <c r="AB41" s="242" t="b">
        <f t="shared" si="3"/>
        <v>0</v>
      </c>
      <c r="AC41" s="154"/>
      <c r="AD41" s="242" t="b">
        <f t="shared" si="4"/>
        <v>0</v>
      </c>
      <c r="AE41" s="154" t="s">
        <v>1598</v>
      </c>
      <c r="AF41" s="243" t="str">
        <f>IF(AE41="","N/A",INDIRECT("MTR!"&amp;ADDRESS(MATCH(LEFT(AE41,9),MTR!C:C,0),COLUMN(J41)),TRUE) &amp; "")</f>
        <v>Partially Complies</v>
      </c>
      <c r="AG41" s="157" t="str">
        <f t="shared" si="5"/>
        <v/>
      </c>
      <c r="AH41" s="152"/>
      <c r="AI41" s="152"/>
      <c r="AJ41" s="152"/>
      <c r="AK41" s="152"/>
      <c r="AL41" s="152"/>
      <c r="AM41" s="152"/>
      <c r="AN41" s="152"/>
      <c r="AO41" s="152"/>
      <c r="AP41" s="152"/>
      <c r="AQ41" s="152"/>
      <c r="AR41" s="152"/>
    </row>
    <row r="42" ht="12.75" customHeight="1">
      <c r="A42" s="244" t="s">
        <v>5158</v>
      </c>
      <c r="B42" s="244" t="s">
        <v>12721</v>
      </c>
      <c r="C42" s="244" t="s">
        <v>12825</v>
      </c>
      <c r="D42" s="154" t="s">
        <v>1315</v>
      </c>
      <c r="E42" s="154"/>
      <c r="F42" s="154" t="str">
        <f t="array" ref="F42">XLOOKUP(Cover!$D$12,$P$1:$X$1,$P42:$X42)</f>
        <v>Recommended</v>
      </c>
      <c r="G42" s="154" t="s">
        <v>12826</v>
      </c>
      <c r="H42" s="154" t="s">
        <v>12813</v>
      </c>
      <c r="I42" s="154" t="s">
        <v>12814</v>
      </c>
      <c r="J42" s="154" t="s">
        <v>6905</v>
      </c>
      <c r="K42" s="154"/>
      <c r="L42" s="154" t="s">
        <v>759</v>
      </c>
      <c r="M42" s="247" t="s">
        <v>506</v>
      </c>
      <c r="N42" s="247" t="s">
        <v>12738</v>
      </c>
      <c r="O42" s="240" t="str">
        <f t="shared" si="1"/>
        <v/>
      </c>
      <c r="P42" s="154" t="s">
        <v>66</v>
      </c>
      <c r="Q42" s="154" t="s">
        <v>66</v>
      </c>
      <c r="R42" s="154" t="s">
        <v>64</v>
      </c>
      <c r="S42" s="154" t="s">
        <v>64</v>
      </c>
      <c r="T42" s="154" t="s">
        <v>64</v>
      </c>
      <c r="U42" s="154" t="s">
        <v>64</v>
      </c>
      <c r="V42" s="154" t="s">
        <v>66</v>
      </c>
      <c r="W42" s="154" t="s">
        <v>64</v>
      </c>
      <c r="X42" s="154" t="s">
        <v>64</v>
      </c>
      <c r="Y42" s="154"/>
      <c r="Z42" s="242" t="b">
        <f t="shared" si="2"/>
        <v>1</v>
      </c>
      <c r="AA42" s="154" t="s">
        <v>391</v>
      </c>
      <c r="AB42" s="242" t="b">
        <f t="shared" si="3"/>
        <v>0</v>
      </c>
      <c r="AC42" s="154"/>
      <c r="AD42" s="242" t="b">
        <f t="shared" si="4"/>
        <v>0</v>
      </c>
      <c r="AE42" s="154" t="s">
        <v>1598</v>
      </c>
      <c r="AF42" s="243" t="str">
        <f>IF(AE42="","N/A",INDIRECT("MTR!"&amp;ADDRESS(MATCH(LEFT(AE42,9),MTR!C:C,0),COLUMN(J42)),TRUE) &amp; "")</f>
        <v>Partially Complies</v>
      </c>
      <c r="AG42" s="157" t="str">
        <f t="shared" si="5"/>
        <v/>
      </c>
      <c r="AH42" s="152"/>
      <c r="AI42" s="152"/>
      <c r="AJ42" s="152"/>
      <c r="AK42" s="152"/>
      <c r="AL42" s="152"/>
      <c r="AM42" s="152"/>
      <c r="AN42" s="152"/>
      <c r="AO42" s="152"/>
      <c r="AP42" s="152"/>
      <c r="AQ42" s="152"/>
      <c r="AR42" s="152"/>
    </row>
    <row r="43" ht="12.75" customHeight="1">
      <c r="A43" s="244" t="s">
        <v>5158</v>
      </c>
      <c r="B43" s="244" t="s">
        <v>12721</v>
      </c>
      <c r="C43" s="244" t="s">
        <v>12827</v>
      </c>
      <c r="D43" s="154" t="s">
        <v>1315</v>
      </c>
      <c r="E43" s="154"/>
      <c r="F43" s="154" t="str">
        <f t="array" ref="F43">XLOOKUP(Cover!$D$12,$P$1:$X$1,$P43:$X43)</f>
        <v>Recommended</v>
      </c>
      <c r="G43" s="154" t="s">
        <v>12828</v>
      </c>
      <c r="H43" s="154" t="s">
        <v>12814</v>
      </c>
      <c r="I43" s="154" t="s">
        <v>12814</v>
      </c>
      <c r="J43" s="154" t="s">
        <v>6905</v>
      </c>
      <c r="K43" s="154"/>
      <c r="L43" s="154" t="s">
        <v>759</v>
      </c>
      <c r="M43" s="247" t="s">
        <v>516</v>
      </c>
      <c r="N43" s="247" t="s">
        <v>12741</v>
      </c>
      <c r="O43" s="240" t="str">
        <f t="shared" si="1"/>
        <v/>
      </c>
      <c r="P43" s="154" t="s">
        <v>66</v>
      </c>
      <c r="Q43" s="154" t="s">
        <v>66</v>
      </c>
      <c r="R43" s="154" t="s">
        <v>64</v>
      </c>
      <c r="S43" s="154" t="s">
        <v>64</v>
      </c>
      <c r="T43" s="154" t="s">
        <v>64</v>
      </c>
      <c r="U43" s="154" t="s">
        <v>64</v>
      </c>
      <c r="V43" s="154" t="s">
        <v>66</v>
      </c>
      <c r="W43" s="154" t="s">
        <v>64</v>
      </c>
      <c r="X43" s="154" t="s">
        <v>64</v>
      </c>
      <c r="Y43" s="154"/>
      <c r="Z43" s="242" t="b">
        <f t="shared" si="2"/>
        <v>1</v>
      </c>
      <c r="AA43" s="154" t="s">
        <v>391</v>
      </c>
      <c r="AB43" s="242" t="b">
        <f t="shared" si="3"/>
        <v>0</v>
      </c>
      <c r="AC43" s="154"/>
      <c r="AD43" s="242" t="b">
        <f t="shared" si="4"/>
        <v>0</v>
      </c>
      <c r="AE43" s="154" t="s">
        <v>1598</v>
      </c>
      <c r="AF43" s="243" t="str">
        <f>IF(AE43="","N/A",INDIRECT("MTR!"&amp;ADDRESS(MATCH(LEFT(AE43,9),MTR!C:C,0),COLUMN(J43)),TRUE) &amp; "")</f>
        <v>Partially Complies</v>
      </c>
      <c r="AG43" s="157" t="str">
        <f t="shared" si="5"/>
        <v/>
      </c>
      <c r="AH43" s="152"/>
      <c r="AI43" s="152"/>
      <c r="AJ43" s="152"/>
      <c r="AK43" s="152"/>
      <c r="AL43" s="152"/>
      <c r="AM43" s="152"/>
      <c r="AN43" s="152"/>
      <c r="AO43" s="152"/>
      <c r="AP43" s="152"/>
      <c r="AQ43" s="152"/>
      <c r="AR43" s="152"/>
    </row>
    <row r="44" ht="12.75" customHeight="1">
      <c r="A44" s="244" t="s">
        <v>5158</v>
      </c>
      <c r="B44" s="244" t="s">
        <v>12721</v>
      </c>
      <c r="C44" s="244" t="s">
        <v>12829</v>
      </c>
      <c r="D44" s="154" t="s">
        <v>503</v>
      </c>
      <c r="E44" s="154"/>
      <c r="F44" s="154" t="str">
        <f t="array" ref="F44">XLOOKUP(Cover!$D$12,$P$1:$X$1,$P44:$X44)</f>
        <v>Mandatory</v>
      </c>
      <c r="G44" s="154" t="s">
        <v>12830</v>
      </c>
      <c r="H44" s="154" t="s">
        <v>12813</v>
      </c>
      <c r="I44" s="154" t="s">
        <v>12814</v>
      </c>
      <c r="J44" s="154" t="s">
        <v>7431</v>
      </c>
      <c r="K44" s="154" t="s">
        <v>1122</v>
      </c>
      <c r="L44" s="154" t="s">
        <v>759</v>
      </c>
      <c r="M44" s="247" t="s">
        <v>516</v>
      </c>
      <c r="N44" s="247" t="s">
        <v>12831</v>
      </c>
      <c r="O44" s="240" t="str">
        <f t="shared" si="1"/>
        <v/>
      </c>
      <c r="P44" s="154" t="s">
        <v>66</v>
      </c>
      <c r="Q44" s="154" t="s">
        <v>66</v>
      </c>
      <c r="R44" s="154" t="s">
        <v>60</v>
      </c>
      <c r="S44" s="154" t="s">
        <v>60</v>
      </c>
      <c r="T44" s="154" t="s">
        <v>60</v>
      </c>
      <c r="U44" s="154" t="s">
        <v>60</v>
      </c>
      <c r="V44" s="154" t="s">
        <v>66</v>
      </c>
      <c r="W44" s="154" t="s">
        <v>60</v>
      </c>
      <c r="X44" s="154" t="s">
        <v>60</v>
      </c>
      <c r="Y44" s="154"/>
      <c r="Z44" s="242" t="b">
        <f t="shared" si="2"/>
        <v>1</v>
      </c>
      <c r="AA44" s="154" t="s">
        <v>391</v>
      </c>
      <c r="AB44" s="242" t="b">
        <f t="shared" si="3"/>
        <v>0</v>
      </c>
      <c r="AC44" s="154"/>
      <c r="AD44" s="242" t="b">
        <f t="shared" si="4"/>
        <v>0</v>
      </c>
      <c r="AE44" s="154" t="s">
        <v>1598</v>
      </c>
      <c r="AF44" s="243" t="str">
        <f>IF(AE44="","N/A",INDIRECT("MTR!"&amp;ADDRESS(MATCH(LEFT(AE44,9),MTR!C:C,0),COLUMN(J44)),TRUE) &amp; "")</f>
        <v>Partially Complies</v>
      </c>
      <c r="AG44" s="157" t="str">
        <f t="shared" si="5"/>
        <v/>
      </c>
      <c r="AH44" s="152"/>
      <c r="AI44" s="152"/>
      <c r="AJ44" s="152"/>
      <c r="AK44" s="152"/>
      <c r="AL44" s="152"/>
      <c r="AM44" s="152"/>
      <c r="AN44" s="152"/>
      <c r="AO44" s="152"/>
      <c r="AP44" s="152"/>
      <c r="AQ44" s="152"/>
      <c r="AR44" s="152"/>
    </row>
    <row r="45" ht="12.75" customHeight="1">
      <c r="A45" s="244" t="s">
        <v>5158</v>
      </c>
      <c r="B45" s="244" t="s">
        <v>12721</v>
      </c>
      <c r="C45" s="244" t="s">
        <v>12832</v>
      </c>
      <c r="D45" s="154" t="s">
        <v>503</v>
      </c>
      <c r="E45" s="154"/>
      <c r="F45" s="154" t="str">
        <f t="array" ref="F45">XLOOKUP(Cover!$D$12,$P$1:$X$1,$P45:$X45)</f>
        <v>Mandatory</v>
      </c>
      <c r="G45" s="154" t="s">
        <v>12833</v>
      </c>
      <c r="H45" s="154" t="s">
        <v>12814</v>
      </c>
      <c r="I45" s="154" t="s">
        <v>12814</v>
      </c>
      <c r="J45" s="154" t="s">
        <v>7431</v>
      </c>
      <c r="K45" s="154" t="s">
        <v>1018</v>
      </c>
      <c r="L45" s="154" t="s">
        <v>759</v>
      </c>
      <c r="M45" s="247" t="s">
        <v>516</v>
      </c>
      <c r="N45" s="247" t="s">
        <v>12834</v>
      </c>
      <c r="O45" s="240" t="str">
        <f t="shared" si="1"/>
        <v/>
      </c>
      <c r="P45" s="154" t="s">
        <v>66</v>
      </c>
      <c r="Q45" s="154" t="s">
        <v>66</v>
      </c>
      <c r="R45" s="155" t="s">
        <v>64</v>
      </c>
      <c r="S45" s="155" t="s">
        <v>64</v>
      </c>
      <c r="T45" s="154" t="s">
        <v>60</v>
      </c>
      <c r="U45" s="154" t="s">
        <v>60</v>
      </c>
      <c r="V45" s="154" t="s">
        <v>66</v>
      </c>
      <c r="W45" s="155" t="s">
        <v>64</v>
      </c>
      <c r="X45" s="154" t="s">
        <v>60</v>
      </c>
      <c r="Y45" s="154"/>
      <c r="Z45" s="242" t="b">
        <f t="shared" si="2"/>
        <v>1</v>
      </c>
      <c r="AA45" s="154" t="s">
        <v>391</v>
      </c>
      <c r="AB45" s="242" t="b">
        <f t="shared" si="3"/>
        <v>0</v>
      </c>
      <c r="AC45" s="154"/>
      <c r="AD45" s="242" t="b">
        <f t="shared" si="4"/>
        <v>0</v>
      </c>
      <c r="AE45" s="154" t="s">
        <v>1598</v>
      </c>
      <c r="AF45" s="243" t="str">
        <f>IF(AE45="","N/A",INDIRECT("MTR!"&amp;ADDRESS(MATCH(LEFT(AE45,9),MTR!C:C,0),COLUMN(J45)),TRUE) &amp; "")</f>
        <v>Partially Complies</v>
      </c>
      <c r="AG45" s="157" t="str">
        <f t="shared" si="5"/>
        <v/>
      </c>
      <c r="AH45" s="152"/>
      <c r="AI45" s="152"/>
      <c r="AJ45" s="152"/>
      <c r="AK45" s="152"/>
      <c r="AL45" s="152"/>
      <c r="AM45" s="152"/>
      <c r="AN45" s="152"/>
      <c r="AO45" s="152"/>
      <c r="AP45" s="152"/>
      <c r="AQ45" s="152"/>
      <c r="AR45" s="152"/>
    </row>
    <row r="46" ht="12.75" customHeight="1">
      <c r="A46" s="244" t="s">
        <v>5158</v>
      </c>
      <c r="B46" s="244" t="s">
        <v>12721</v>
      </c>
      <c r="C46" s="244" t="s">
        <v>12835</v>
      </c>
      <c r="D46" s="154" t="s">
        <v>45</v>
      </c>
      <c r="E46" s="154"/>
      <c r="F46" s="154" t="str">
        <f t="array" ref="F46">XLOOKUP(Cover!$D$12,$P$1:$X$1,$P46:$X46)</f>
        <v>Information</v>
      </c>
      <c r="G46" s="154" t="s">
        <v>12836</v>
      </c>
      <c r="H46" s="154" t="s">
        <v>7305</v>
      </c>
      <c r="I46" s="154" t="s">
        <v>12837</v>
      </c>
      <c r="J46" s="154" t="s">
        <v>6126</v>
      </c>
      <c r="K46" s="154"/>
      <c r="L46" s="154" t="s">
        <v>759</v>
      </c>
      <c r="M46" s="247" t="s">
        <v>516</v>
      </c>
      <c r="N46" s="247" t="s">
        <v>12731</v>
      </c>
      <c r="O46" s="240" t="str">
        <f t="shared" si="1"/>
        <v/>
      </c>
      <c r="P46" s="154" t="s">
        <v>66</v>
      </c>
      <c r="Q46" s="154" t="s">
        <v>66</v>
      </c>
      <c r="R46" s="154" t="s">
        <v>66</v>
      </c>
      <c r="S46" s="154" t="s">
        <v>66</v>
      </c>
      <c r="T46" s="154" t="s">
        <v>66</v>
      </c>
      <c r="U46" s="154" t="s">
        <v>66</v>
      </c>
      <c r="V46" s="154" t="s">
        <v>66</v>
      </c>
      <c r="W46" s="154" t="s">
        <v>66</v>
      </c>
      <c r="X46" s="154" t="s">
        <v>66</v>
      </c>
      <c r="Y46" s="154"/>
      <c r="Z46" s="242" t="b">
        <f t="shared" si="2"/>
        <v>1</v>
      </c>
      <c r="AA46" s="154" t="s">
        <v>391</v>
      </c>
      <c r="AB46" s="242" t="b">
        <f t="shared" si="3"/>
        <v>0</v>
      </c>
      <c r="AC46" s="154"/>
      <c r="AD46" s="242" t="b">
        <f t="shared" si="4"/>
        <v>0</v>
      </c>
      <c r="AE46" s="154" t="s">
        <v>1598</v>
      </c>
      <c r="AF46" s="243" t="str">
        <f>IF(AE46="","N/A",INDIRECT("MTR!"&amp;ADDRESS(MATCH(LEFT(AE46,9),MTR!C:C,0),COLUMN(J46)),TRUE) &amp; "")</f>
        <v>Partially Complies</v>
      </c>
      <c r="AG46" s="157" t="str">
        <f t="shared" si="5"/>
        <v/>
      </c>
      <c r="AH46" s="152"/>
      <c r="AI46" s="152"/>
      <c r="AJ46" s="152"/>
      <c r="AK46" s="152"/>
      <c r="AL46" s="152"/>
      <c r="AM46" s="152"/>
      <c r="AN46" s="152"/>
      <c r="AO46" s="152"/>
      <c r="AP46" s="152"/>
      <c r="AQ46" s="152"/>
      <c r="AR46" s="152"/>
    </row>
    <row r="47" ht="12.75" customHeight="1">
      <c r="A47" s="244" t="s">
        <v>5158</v>
      </c>
      <c r="B47" s="244" t="s">
        <v>12721</v>
      </c>
      <c r="C47" s="244" t="s">
        <v>12838</v>
      </c>
      <c r="D47" s="154" t="s">
        <v>45</v>
      </c>
      <c r="E47" s="154"/>
      <c r="F47" s="154" t="str">
        <f t="array" ref="F47">XLOOKUP(Cover!$D$12,$P$1:$X$1,$P47:$X47)</f>
        <v>Information</v>
      </c>
      <c r="G47" s="154" t="s">
        <v>12839</v>
      </c>
      <c r="H47" s="154" t="s">
        <v>7305</v>
      </c>
      <c r="I47" s="154" t="s">
        <v>12837</v>
      </c>
      <c r="J47" s="154" t="s">
        <v>7175</v>
      </c>
      <c r="K47" s="154"/>
      <c r="L47" s="154" t="s">
        <v>759</v>
      </c>
      <c r="M47" s="247" t="s">
        <v>516</v>
      </c>
      <c r="N47" s="247" t="s">
        <v>12731</v>
      </c>
      <c r="O47" s="240" t="str">
        <f t="shared" si="1"/>
        <v/>
      </c>
      <c r="P47" s="154" t="s">
        <v>66</v>
      </c>
      <c r="Q47" s="154" t="s">
        <v>66</v>
      </c>
      <c r="R47" s="154" t="s">
        <v>66</v>
      </c>
      <c r="S47" s="154" t="s">
        <v>66</v>
      </c>
      <c r="T47" s="154" t="s">
        <v>66</v>
      </c>
      <c r="U47" s="154" t="s">
        <v>66</v>
      </c>
      <c r="V47" s="154" t="s">
        <v>66</v>
      </c>
      <c r="W47" s="154" t="s">
        <v>66</v>
      </c>
      <c r="X47" s="154" t="s">
        <v>66</v>
      </c>
      <c r="Y47" s="154"/>
      <c r="Z47" s="242" t="b">
        <f t="shared" si="2"/>
        <v>1</v>
      </c>
      <c r="AA47" s="154" t="s">
        <v>391</v>
      </c>
      <c r="AB47" s="242" t="b">
        <f t="shared" si="3"/>
        <v>0</v>
      </c>
      <c r="AC47" s="154"/>
      <c r="AD47" s="242" t="b">
        <f t="shared" si="4"/>
        <v>0</v>
      </c>
      <c r="AE47" s="154" t="s">
        <v>1598</v>
      </c>
      <c r="AF47" s="243" t="str">
        <f>IF(AE47="","N/A",INDIRECT("MTR!"&amp;ADDRESS(MATCH(LEFT(AE47,9),MTR!C:C,0),COLUMN(J47)),TRUE) &amp; "")</f>
        <v>Partially Complies</v>
      </c>
      <c r="AG47" s="157" t="str">
        <f t="shared" si="5"/>
        <v/>
      </c>
      <c r="AH47" s="152"/>
      <c r="AI47" s="152"/>
      <c r="AJ47" s="152"/>
      <c r="AK47" s="152"/>
      <c r="AL47" s="152"/>
      <c r="AM47" s="152"/>
      <c r="AN47" s="152"/>
      <c r="AO47" s="152"/>
      <c r="AP47" s="152"/>
      <c r="AQ47" s="152"/>
      <c r="AR47" s="152"/>
    </row>
    <row r="48" ht="12.75" customHeight="1">
      <c r="A48" s="244" t="s">
        <v>5158</v>
      </c>
      <c r="B48" s="244" t="s">
        <v>12721</v>
      </c>
      <c r="C48" s="244" t="s">
        <v>12840</v>
      </c>
      <c r="D48" s="154" t="s">
        <v>45</v>
      </c>
      <c r="E48" s="154"/>
      <c r="F48" s="154" t="str">
        <f t="array" ref="F48">XLOOKUP(Cover!$D$12,$P$1:$X$1,$P48:$X48)</f>
        <v>Information</v>
      </c>
      <c r="G48" s="154" t="s">
        <v>12841</v>
      </c>
      <c r="H48" s="154" t="s">
        <v>7305</v>
      </c>
      <c r="I48" s="154" t="s">
        <v>12837</v>
      </c>
      <c r="J48" s="154" t="s">
        <v>6655</v>
      </c>
      <c r="K48" s="154"/>
      <c r="L48" s="154" t="s">
        <v>759</v>
      </c>
      <c r="M48" s="247" t="s">
        <v>516</v>
      </c>
      <c r="N48" s="247" t="s">
        <v>12731</v>
      </c>
      <c r="O48" s="240" t="str">
        <f t="shared" si="1"/>
        <v/>
      </c>
      <c r="P48" s="154" t="s">
        <v>66</v>
      </c>
      <c r="Q48" s="154" t="s">
        <v>66</v>
      </c>
      <c r="R48" s="154" t="s">
        <v>66</v>
      </c>
      <c r="S48" s="154" t="s">
        <v>66</v>
      </c>
      <c r="T48" s="154" t="s">
        <v>66</v>
      </c>
      <c r="U48" s="154" t="s">
        <v>66</v>
      </c>
      <c r="V48" s="154" t="s">
        <v>66</v>
      </c>
      <c r="W48" s="154" t="s">
        <v>66</v>
      </c>
      <c r="X48" s="154" t="s">
        <v>66</v>
      </c>
      <c r="Y48" s="154"/>
      <c r="Z48" s="242" t="b">
        <f t="shared" si="2"/>
        <v>1</v>
      </c>
      <c r="AA48" s="154" t="s">
        <v>391</v>
      </c>
      <c r="AB48" s="242" t="b">
        <f t="shared" si="3"/>
        <v>0</v>
      </c>
      <c r="AC48" s="154"/>
      <c r="AD48" s="242" t="b">
        <f t="shared" si="4"/>
        <v>0</v>
      </c>
      <c r="AE48" s="154" t="s">
        <v>1598</v>
      </c>
      <c r="AF48" s="243" t="str">
        <f>IF(AE48="","N/A",INDIRECT("MTR!"&amp;ADDRESS(MATCH(LEFT(AE48,9),MTR!C:C,0),COLUMN(J48)),TRUE) &amp; "")</f>
        <v>Partially Complies</v>
      </c>
      <c r="AG48" s="157" t="str">
        <f t="shared" si="5"/>
        <v/>
      </c>
      <c r="AH48" s="152"/>
      <c r="AI48" s="152"/>
      <c r="AJ48" s="152"/>
      <c r="AK48" s="152"/>
      <c r="AL48" s="152"/>
      <c r="AM48" s="152"/>
      <c r="AN48" s="152"/>
      <c r="AO48" s="152"/>
      <c r="AP48" s="152"/>
      <c r="AQ48" s="152"/>
      <c r="AR48" s="152"/>
    </row>
    <row r="49" ht="12.75" customHeight="1">
      <c r="A49" s="244" t="s">
        <v>5158</v>
      </c>
      <c r="B49" s="244" t="s">
        <v>12721</v>
      </c>
      <c r="C49" s="244" t="s">
        <v>12842</v>
      </c>
      <c r="D49" s="154" t="s">
        <v>1315</v>
      </c>
      <c r="E49" s="154"/>
      <c r="F49" s="154" t="str">
        <f t="array" ref="F49">XLOOKUP(Cover!$D$12,$P$1:$X$1,$P49:$X49)</f>
        <v>Recommended</v>
      </c>
      <c r="G49" s="154" t="s">
        <v>12843</v>
      </c>
      <c r="H49" s="154" t="s">
        <v>12844</v>
      </c>
      <c r="I49" s="154" t="s">
        <v>12845</v>
      </c>
      <c r="J49" s="154" t="s">
        <v>6529</v>
      </c>
      <c r="K49" s="154"/>
      <c r="L49" s="154" t="s">
        <v>759</v>
      </c>
      <c r="M49" s="247" t="s">
        <v>506</v>
      </c>
      <c r="N49" s="247" t="s">
        <v>12760</v>
      </c>
      <c r="O49" s="240" t="str">
        <f t="shared" si="1"/>
        <v/>
      </c>
      <c r="P49" s="154" t="s">
        <v>66</v>
      </c>
      <c r="Q49" s="154" t="s">
        <v>66</v>
      </c>
      <c r="R49" s="154" t="s">
        <v>64</v>
      </c>
      <c r="S49" s="154" t="s">
        <v>64</v>
      </c>
      <c r="T49" s="154" t="s">
        <v>64</v>
      </c>
      <c r="U49" s="154" t="s">
        <v>64</v>
      </c>
      <c r="V49" s="154" t="s">
        <v>66</v>
      </c>
      <c r="W49" s="154" t="s">
        <v>64</v>
      </c>
      <c r="X49" s="154" t="s">
        <v>64</v>
      </c>
      <c r="Y49" s="154"/>
      <c r="Z49" s="242" t="b">
        <f t="shared" si="2"/>
        <v>1</v>
      </c>
      <c r="AA49" s="154" t="s">
        <v>391</v>
      </c>
      <c r="AB49" s="242" t="b">
        <f t="shared" si="3"/>
        <v>0</v>
      </c>
      <c r="AC49" s="154"/>
      <c r="AD49" s="242" t="b">
        <f t="shared" si="4"/>
        <v>0</v>
      </c>
      <c r="AE49" s="154" t="s">
        <v>1598</v>
      </c>
      <c r="AF49" s="243" t="str">
        <f>IF(AE49="","N/A",INDIRECT("MTR!"&amp;ADDRESS(MATCH(LEFT(AE49,9),MTR!C:C,0),COLUMN(J49)),TRUE) &amp; "")</f>
        <v>Partially Complies</v>
      </c>
      <c r="AG49" s="157" t="str">
        <f t="shared" si="5"/>
        <v/>
      </c>
      <c r="AH49" s="152"/>
      <c r="AI49" s="152"/>
      <c r="AJ49" s="152"/>
      <c r="AK49" s="152"/>
      <c r="AL49" s="152"/>
      <c r="AM49" s="152"/>
      <c r="AN49" s="152"/>
      <c r="AO49" s="152"/>
      <c r="AP49" s="152"/>
      <c r="AQ49" s="152"/>
      <c r="AR49" s="152"/>
    </row>
    <row r="50" ht="12.75" customHeight="1">
      <c r="A50" s="244" t="s">
        <v>5158</v>
      </c>
      <c r="B50" s="244" t="s">
        <v>12721</v>
      </c>
      <c r="C50" s="244" t="s">
        <v>12846</v>
      </c>
      <c r="D50" s="154" t="s">
        <v>1315</v>
      </c>
      <c r="E50" s="154"/>
      <c r="F50" s="154" t="str">
        <f t="array" ref="F50">XLOOKUP(Cover!$D$12,$P$1:$X$1,$P50:$X50)</f>
        <v>Recommended</v>
      </c>
      <c r="G50" s="154" t="s">
        <v>12847</v>
      </c>
      <c r="H50" s="154" t="s">
        <v>12845</v>
      </c>
      <c r="I50" s="154" t="s">
        <v>12845</v>
      </c>
      <c r="J50" s="154" t="s">
        <v>6529</v>
      </c>
      <c r="K50" s="154"/>
      <c r="L50" s="154" t="s">
        <v>759</v>
      </c>
      <c r="M50" s="247" t="s">
        <v>516</v>
      </c>
      <c r="N50" s="247" t="s">
        <v>12763</v>
      </c>
      <c r="O50" s="240" t="str">
        <f t="shared" si="1"/>
        <v/>
      </c>
      <c r="P50" s="154" t="s">
        <v>66</v>
      </c>
      <c r="Q50" s="154" t="s">
        <v>66</v>
      </c>
      <c r="R50" s="154" t="s">
        <v>64</v>
      </c>
      <c r="S50" s="154" t="s">
        <v>64</v>
      </c>
      <c r="T50" s="154" t="s">
        <v>64</v>
      </c>
      <c r="U50" s="154" t="s">
        <v>64</v>
      </c>
      <c r="V50" s="154" t="s">
        <v>66</v>
      </c>
      <c r="W50" s="154" t="s">
        <v>64</v>
      </c>
      <c r="X50" s="154" t="s">
        <v>64</v>
      </c>
      <c r="Y50" s="154"/>
      <c r="Z50" s="242" t="b">
        <f t="shared" si="2"/>
        <v>1</v>
      </c>
      <c r="AA50" s="154" t="s">
        <v>391</v>
      </c>
      <c r="AB50" s="242" t="b">
        <f t="shared" si="3"/>
        <v>0</v>
      </c>
      <c r="AC50" s="154"/>
      <c r="AD50" s="242" t="b">
        <f t="shared" si="4"/>
        <v>0</v>
      </c>
      <c r="AE50" s="154" t="s">
        <v>1598</v>
      </c>
      <c r="AF50" s="243" t="str">
        <f>IF(AE50="","N/A",INDIRECT("MTR!"&amp;ADDRESS(MATCH(LEFT(AE50,9),MTR!C:C,0),COLUMN(J50)),TRUE) &amp; "")</f>
        <v>Partially Complies</v>
      </c>
      <c r="AG50" s="157" t="str">
        <f t="shared" si="5"/>
        <v/>
      </c>
      <c r="AH50" s="152"/>
      <c r="AI50" s="152"/>
      <c r="AJ50" s="152"/>
      <c r="AK50" s="152"/>
      <c r="AL50" s="152"/>
      <c r="AM50" s="152"/>
      <c r="AN50" s="152"/>
      <c r="AO50" s="152"/>
      <c r="AP50" s="152"/>
      <c r="AQ50" s="152"/>
      <c r="AR50" s="152"/>
    </row>
    <row r="51" ht="12.75" customHeight="1">
      <c r="A51" s="244" t="s">
        <v>5158</v>
      </c>
      <c r="B51" s="244" t="s">
        <v>12721</v>
      </c>
      <c r="C51" s="244" t="s">
        <v>12848</v>
      </c>
      <c r="D51" s="154" t="s">
        <v>1315</v>
      </c>
      <c r="E51" s="154"/>
      <c r="F51" s="154" t="str">
        <f t="array" ref="F51">XLOOKUP(Cover!$D$12,$P$1:$X$1,$P51:$X51)</f>
        <v>Recommended</v>
      </c>
      <c r="G51" s="154" t="s">
        <v>12849</v>
      </c>
      <c r="H51" s="154" t="s">
        <v>12844</v>
      </c>
      <c r="I51" s="154" t="s">
        <v>12845</v>
      </c>
      <c r="J51" s="154" t="s">
        <v>6428</v>
      </c>
      <c r="K51" s="154"/>
      <c r="L51" s="154" t="s">
        <v>759</v>
      </c>
      <c r="M51" s="247" t="s">
        <v>506</v>
      </c>
      <c r="N51" s="247" t="s">
        <v>12760</v>
      </c>
      <c r="O51" s="240" t="str">
        <f t="shared" si="1"/>
        <v/>
      </c>
      <c r="P51" s="154" t="s">
        <v>66</v>
      </c>
      <c r="Q51" s="154" t="s">
        <v>66</v>
      </c>
      <c r="R51" s="154" t="s">
        <v>64</v>
      </c>
      <c r="S51" s="154" t="s">
        <v>64</v>
      </c>
      <c r="T51" s="154" t="s">
        <v>64</v>
      </c>
      <c r="U51" s="154" t="s">
        <v>64</v>
      </c>
      <c r="V51" s="154" t="s">
        <v>66</v>
      </c>
      <c r="W51" s="154" t="s">
        <v>64</v>
      </c>
      <c r="X51" s="154" t="s">
        <v>64</v>
      </c>
      <c r="Y51" s="154"/>
      <c r="Z51" s="242" t="b">
        <f t="shared" si="2"/>
        <v>1</v>
      </c>
      <c r="AA51" s="154" t="s">
        <v>391</v>
      </c>
      <c r="AB51" s="242" t="b">
        <f t="shared" si="3"/>
        <v>0</v>
      </c>
      <c r="AC51" s="154"/>
      <c r="AD51" s="242" t="b">
        <f t="shared" si="4"/>
        <v>0</v>
      </c>
      <c r="AE51" s="154" t="s">
        <v>1598</v>
      </c>
      <c r="AF51" s="243" t="str">
        <f>IF(AE51="","N/A",INDIRECT("MTR!"&amp;ADDRESS(MATCH(LEFT(AE51,9),MTR!C:C,0),COLUMN(J51)),TRUE) &amp; "")</f>
        <v>Partially Complies</v>
      </c>
      <c r="AG51" s="157" t="str">
        <f t="shared" si="5"/>
        <v/>
      </c>
      <c r="AH51" s="152"/>
      <c r="AI51" s="152"/>
      <c r="AJ51" s="152"/>
      <c r="AK51" s="152"/>
      <c r="AL51" s="152"/>
      <c r="AM51" s="152"/>
      <c r="AN51" s="152"/>
      <c r="AO51" s="152"/>
      <c r="AP51" s="152"/>
      <c r="AQ51" s="152"/>
      <c r="AR51" s="152"/>
    </row>
    <row r="52" ht="12.75" customHeight="1">
      <c r="A52" s="244" t="s">
        <v>5158</v>
      </c>
      <c r="B52" s="244" t="s">
        <v>12721</v>
      </c>
      <c r="C52" s="244" t="s">
        <v>12850</v>
      </c>
      <c r="D52" s="154" t="s">
        <v>1315</v>
      </c>
      <c r="E52" s="154"/>
      <c r="F52" s="154" t="str">
        <f t="array" ref="F52">XLOOKUP(Cover!$D$12,$P$1:$X$1,$P52:$X52)</f>
        <v>Recommended</v>
      </c>
      <c r="G52" s="154" t="s">
        <v>12851</v>
      </c>
      <c r="H52" s="154" t="s">
        <v>12845</v>
      </c>
      <c r="I52" s="154" t="s">
        <v>12845</v>
      </c>
      <c r="J52" s="154" t="s">
        <v>6905</v>
      </c>
      <c r="K52" s="154"/>
      <c r="L52" s="154" t="s">
        <v>759</v>
      </c>
      <c r="M52" s="247" t="s">
        <v>516</v>
      </c>
      <c r="N52" s="247" t="s">
        <v>12763</v>
      </c>
      <c r="O52" s="240" t="str">
        <f t="shared" si="1"/>
        <v/>
      </c>
      <c r="P52" s="154" t="s">
        <v>66</v>
      </c>
      <c r="Q52" s="154" t="s">
        <v>66</v>
      </c>
      <c r="R52" s="154" t="s">
        <v>64</v>
      </c>
      <c r="S52" s="154" t="s">
        <v>64</v>
      </c>
      <c r="T52" s="154" t="s">
        <v>64</v>
      </c>
      <c r="U52" s="154" t="s">
        <v>64</v>
      </c>
      <c r="V52" s="154" t="s">
        <v>66</v>
      </c>
      <c r="W52" s="154" t="s">
        <v>64</v>
      </c>
      <c r="X52" s="154" t="s">
        <v>64</v>
      </c>
      <c r="Y52" s="154"/>
      <c r="Z52" s="242" t="b">
        <f t="shared" si="2"/>
        <v>1</v>
      </c>
      <c r="AA52" s="154" t="s">
        <v>391</v>
      </c>
      <c r="AB52" s="242" t="b">
        <f t="shared" si="3"/>
        <v>0</v>
      </c>
      <c r="AC52" s="154"/>
      <c r="AD52" s="242" t="b">
        <f t="shared" si="4"/>
        <v>0</v>
      </c>
      <c r="AE52" s="154" t="s">
        <v>1598</v>
      </c>
      <c r="AF52" s="243" t="str">
        <f>IF(AE52="","N/A",INDIRECT("MTR!"&amp;ADDRESS(MATCH(LEFT(AE52,9),MTR!C:C,0),COLUMN(J52)),TRUE) &amp; "")</f>
        <v>Partially Complies</v>
      </c>
      <c r="AG52" s="157" t="str">
        <f t="shared" si="5"/>
        <v/>
      </c>
      <c r="AH52" s="152"/>
      <c r="AI52" s="152"/>
      <c r="AJ52" s="152"/>
      <c r="AK52" s="152"/>
      <c r="AL52" s="152"/>
      <c r="AM52" s="152"/>
      <c r="AN52" s="152"/>
      <c r="AO52" s="152"/>
      <c r="AP52" s="152"/>
      <c r="AQ52" s="152"/>
      <c r="AR52" s="152"/>
    </row>
    <row r="53" ht="12.75" customHeight="1">
      <c r="A53" s="244" t="s">
        <v>5158</v>
      </c>
      <c r="B53" s="244" t="s">
        <v>12721</v>
      </c>
      <c r="C53" s="255" t="s">
        <v>12852</v>
      </c>
      <c r="D53" s="256" t="s">
        <v>42</v>
      </c>
      <c r="E53" s="256" t="s">
        <v>489</v>
      </c>
      <c r="F53" s="154" t="str">
        <f t="array" ref="F53">XLOOKUP(Cover!$D$12,$P$1:$X$1,$P53:$X53)</f>
        <v>Recommended</v>
      </c>
      <c r="G53" s="154" t="s">
        <v>12853</v>
      </c>
      <c r="H53" s="154" t="s">
        <v>12844</v>
      </c>
      <c r="I53" s="154" t="s">
        <v>12845</v>
      </c>
      <c r="J53" s="154" t="s">
        <v>5931</v>
      </c>
      <c r="K53" s="154"/>
      <c r="L53" s="154" t="s">
        <v>759</v>
      </c>
      <c r="M53" s="247" t="s">
        <v>516</v>
      </c>
      <c r="N53" s="247" t="s">
        <v>12770</v>
      </c>
      <c r="O53" s="240" t="str">
        <f t="shared" si="1"/>
        <v/>
      </c>
      <c r="P53" s="154" t="s">
        <v>66</v>
      </c>
      <c r="Q53" s="154" t="s">
        <v>66</v>
      </c>
      <c r="R53" s="154" t="s">
        <v>64</v>
      </c>
      <c r="S53" s="154" t="s">
        <v>64</v>
      </c>
      <c r="T53" s="154" t="s">
        <v>64</v>
      </c>
      <c r="U53" s="154" t="s">
        <v>64</v>
      </c>
      <c r="V53" s="154" t="s">
        <v>66</v>
      </c>
      <c r="W53" s="154" t="s">
        <v>64</v>
      </c>
      <c r="X53" s="154" t="s">
        <v>64</v>
      </c>
      <c r="Y53" s="154"/>
      <c r="Z53" s="242" t="b">
        <f t="shared" si="2"/>
        <v>1</v>
      </c>
      <c r="AA53" s="154" t="s">
        <v>391</v>
      </c>
      <c r="AB53" s="242" t="b">
        <f t="shared" si="3"/>
        <v>0</v>
      </c>
      <c r="AC53" s="154"/>
      <c r="AD53" s="242" t="b">
        <f t="shared" si="4"/>
        <v>0</v>
      </c>
      <c r="AE53" s="154" t="s">
        <v>1598</v>
      </c>
      <c r="AF53" s="243" t="str">
        <f>IF(AE53="","N/A",INDIRECT("MTR!"&amp;ADDRESS(MATCH(LEFT(AE53,9),MTR!C:C,0),COLUMN(J53)),TRUE) &amp; "")</f>
        <v>Partially Complies</v>
      </c>
      <c r="AG53" s="157" t="str">
        <f t="shared" si="5"/>
        <v/>
      </c>
      <c r="AH53" s="152"/>
      <c r="AI53" s="152"/>
      <c r="AJ53" s="152"/>
      <c r="AK53" s="152"/>
      <c r="AL53" s="152"/>
      <c r="AM53" s="152"/>
      <c r="AN53" s="152"/>
      <c r="AO53" s="152"/>
      <c r="AP53" s="152"/>
      <c r="AQ53" s="152"/>
      <c r="AR53" s="152"/>
    </row>
    <row r="54" ht="12.75" customHeight="1">
      <c r="A54" s="244" t="s">
        <v>5158</v>
      </c>
      <c r="B54" s="244" t="s">
        <v>12721</v>
      </c>
      <c r="C54" s="255" t="s">
        <v>12854</v>
      </c>
      <c r="D54" s="256" t="s">
        <v>42</v>
      </c>
      <c r="E54" s="256" t="s">
        <v>489</v>
      </c>
      <c r="F54" s="154" t="str">
        <f t="array" ref="F54">XLOOKUP(Cover!$D$12,$P$1:$X$1,$P54:$X54)</f>
        <v>Recommended</v>
      </c>
      <c r="G54" s="154" t="s">
        <v>12855</v>
      </c>
      <c r="H54" s="154" t="s">
        <v>12845</v>
      </c>
      <c r="I54" s="154" t="s">
        <v>12845</v>
      </c>
      <c r="J54" s="154" t="s">
        <v>5931</v>
      </c>
      <c r="K54" s="154"/>
      <c r="L54" s="154" t="s">
        <v>759</v>
      </c>
      <c r="M54" s="247" t="s">
        <v>516</v>
      </c>
      <c r="N54" s="247" t="s">
        <v>12773</v>
      </c>
      <c r="O54" s="240" t="str">
        <f t="shared" si="1"/>
        <v/>
      </c>
      <c r="P54" s="154" t="s">
        <v>66</v>
      </c>
      <c r="Q54" s="154" t="s">
        <v>66</v>
      </c>
      <c r="R54" s="154" t="s">
        <v>64</v>
      </c>
      <c r="S54" s="154" t="s">
        <v>64</v>
      </c>
      <c r="T54" s="154" t="s">
        <v>64</v>
      </c>
      <c r="U54" s="154" t="s">
        <v>64</v>
      </c>
      <c r="V54" s="154" t="s">
        <v>66</v>
      </c>
      <c r="W54" s="154" t="s">
        <v>64</v>
      </c>
      <c r="X54" s="154" t="s">
        <v>64</v>
      </c>
      <c r="Y54" s="154"/>
      <c r="Z54" s="242" t="b">
        <f t="shared" si="2"/>
        <v>1</v>
      </c>
      <c r="AA54" s="154" t="s">
        <v>391</v>
      </c>
      <c r="AB54" s="242" t="b">
        <f t="shared" si="3"/>
        <v>0</v>
      </c>
      <c r="AC54" s="154"/>
      <c r="AD54" s="242" t="b">
        <f t="shared" si="4"/>
        <v>0</v>
      </c>
      <c r="AE54" s="154" t="s">
        <v>1598</v>
      </c>
      <c r="AF54" s="243" t="str">
        <f>IF(AE54="","N/A",INDIRECT("MTR!"&amp;ADDRESS(MATCH(LEFT(AE54,9),MTR!C:C,0),COLUMN(J54)),TRUE) &amp; "")</f>
        <v>Partially Complies</v>
      </c>
      <c r="AG54" s="157" t="str">
        <f t="shared" si="5"/>
        <v/>
      </c>
      <c r="AH54" s="152"/>
      <c r="AI54" s="152"/>
      <c r="AJ54" s="152"/>
      <c r="AK54" s="152"/>
      <c r="AL54" s="152"/>
      <c r="AM54" s="152"/>
      <c r="AN54" s="152"/>
      <c r="AO54" s="152"/>
      <c r="AP54" s="152"/>
      <c r="AQ54" s="152"/>
      <c r="AR54" s="152"/>
    </row>
    <row r="55" ht="12.75" customHeight="1">
      <c r="A55" s="244" t="s">
        <v>5158</v>
      </c>
      <c r="B55" s="244" t="s">
        <v>12721</v>
      </c>
      <c r="C55" s="244" t="s">
        <v>12856</v>
      </c>
      <c r="D55" s="154" t="s">
        <v>1315</v>
      </c>
      <c r="E55" s="154"/>
      <c r="F55" s="154" t="str">
        <f t="array" ref="F55">XLOOKUP(Cover!$D$12,$P$1:$X$1,$P55:$X55)</f>
        <v>Information</v>
      </c>
      <c r="G55" s="154" t="s">
        <v>12857</v>
      </c>
      <c r="H55" s="154" t="s">
        <v>12858</v>
      </c>
      <c r="I55" s="154" t="s">
        <v>12859</v>
      </c>
      <c r="J55" s="154" t="s">
        <v>6525</v>
      </c>
      <c r="K55" s="154"/>
      <c r="L55" s="154" t="s">
        <v>759</v>
      </c>
      <c r="M55" s="247" t="s">
        <v>506</v>
      </c>
      <c r="N55" s="247" t="s">
        <v>12738</v>
      </c>
      <c r="O55" s="240" t="str">
        <f t="shared" si="1"/>
        <v/>
      </c>
      <c r="P55" s="154" t="s">
        <v>66</v>
      </c>
      <c r="Q55" s="154" t="s">
        <v>66</v>
      </c>
      <c r="R55" s="154" t="s">
        <v>66</v>
      </c>
      <c r="S55" s="154" t="s">
        <v>66</v>
      </c>
      <c r="T55" s="154" t="s">
        <v>66</v>
      </c>
      <c r="U55" s="154" t="s">
        <v>66</v>
      </c>
      <c r="V55" s="154" t="s">
        <v>66</v>
      </c>
      <c r="W55" s="154" t="s">
        <v>66</v>
      </c>
      <c r="X55" s="154" t="s">
        <v>66</v>
      </c>
      <c r="Y55" s="154"/>
      <c r="Z55" s="242" t="b">
        <f t="shared" si="2"/>
        <v>1</v>
      </c>
      <c r="AA55" s="154" t="s">
        <v>391</v>
      </c>
      <c r="AB55" s="242" t="b">
        <f t="shared" si="3"/>
        <v>0</v>
      </c>
      <c r="AC55" s="154"/>
      <c r="AD55" s="242" t="b">
        <f t="shared" si="4"/>
        <v>0</v>
      </c>
      <c r="AE55" s="154" t="s">
        <v>1598</v>
      </c>
      <c r="AF55" s="243" t="str">
        <f>IF(AE55="","N/A",INDIRECT("MTR!"&amp;ADDRESS(MATCH(LEFT(AE55,9),MTR!C:C,0),COLUMN(J55)),TRUE) &amp; "")</f>
        <v>Partially Complies</v>
      </c>
      <c r="AG55" s="157" t="str">
        <f t="shared" si="5"/>
        <v/>
      </c>
      <c r="AH55" s="152"/>
      <c r="AI55" s="152"/>
      <c r="AJ55" s="152"/>
      <c r="AK55" s="152"/>
      <c r="AL55" s="152"/>
      <c r="AM55" s="152"/>
      <c r="AN55" s="152"/>
      <c r="AO55" s="152"/>
      <c r="AP55" s="152"/>
      <c r="AQ55" s="152"/>
      <c r="AR55" s="152"/>
    </row>
    <row r="56" ht="12.75" customHeight="1">
      <c r="A56" s="244" t="s">
        <v>5158</v>
      </c>
      <c r="B56" s="244" t="s">
        <v>12721</v>
      </c>
      <c r="C56" s="244" t="s">
        <v>12860</v>
      </c>
      <c r="D56" s="154" t="s">
        <v>1315</v>
      </c>
      <c r="E56" s="154"/>
      <c r="F56" s="154" t="str">
        <f t="array" ref="F56">XLOOKUP(Cover!$D$12,$P$1:$X$1,$P56:$X56)</f>
        <v>Information</v>
      </c>
      <c r="G56" s="154" t="s">
        <v>12861</v>
      </c>
      <c r="H56" s="154" t="s">
        <v>12859</v>
      </c>
      <c r="I56" s="154" t="s">
        <v>12859</v>
      </c>
      <c r="J56" s="154" t="s">
        <v>6525</v>
      </c>
      <c r="K56" s="154"/>
      <c r="L56" s="154" t="s">
        <v>759</v>
      </c>
      <c r="M56" s="247" t="s">
        <v>516</v>
      </c>
      <c r="N56" s="247" t="s">
        <v>12741</v>
      </c>
      <c r="O56" s="240" t="str">
        <f t="shared" si="1"/>
        <v/>
      </c>
      <c r="P56" s="154" t="s">
        <v>66</v>
      </c>
      <c r="Q56" s="154" t="s">
        <v>66</v>
      </c>
      <c r="R56" s="154" t="s">
        <v>66</v>
      </c>
      <c r="S56" s="154" t="s">
        <v>66</v>
      </c>
      <c r="T56" s="154" t="s">
        <v>66</v>
      </c>
      <c r="U56" s="154" t="s">
        <v>66</v>
      </c>
      <c r="V56" s="154" t="s">
        <v>66</v>
      </c>
      <c r="W56" s="154" t="s">
        <v>66</v>
      </c>
      <c r="X56" s="154" t="s">
        <v>66</v>
      </c>
      <c r="Y56" s="154"/>
      <c r="Z56" s="242" t="b">
        <f t="shared" si="2"/>
        <v>1</v>
      </c>
      <c r="AA56" s="154" t="s">
        <v>391</v>
      </c>
      <c r="AB56" s="242" t="b">
        <f t="shared" si="3"/>
        <v>0</v>
      </c>
      <c r="AC56" s="154"/>
      <c r="AD56" s="242" t="b">
        <f t="shared" si="4"/>
        <v>0</v>
      </c>
      <c r="AE56" s="154" t="s">
        <v>1598</v>
      </c>
      <c r="AF56" s="243" t="str">
        <f>IF(AE56="","N/A",INDIRECT("MTR!"&amp;ADDRESS(MATCH(LEFT(AE56,9),MTR!C:C,0),COLUMN(J56)),TRUE) &amp; "")</f>
        <v>Partially Complies</v>
      </c>
      <c r="AG56" s="157" t="str">
        <f t="shared" si="5"/>
        <v/>
      </c>
      <c r="AH56" s="152"/>
      <c r="AI56" s="152"/>
      <c r="AJ56" s="152"/>
      <c r="AK56" s="152"/>
      <c r="AL56" s="152"/>
      <c r="AM56" s="152"/>
      <c r="AN56" s="152"/>
      <c r="AO56" s="152"/>
      <c r="AP56" s="152"/>
      <c r="AQ56" s="152"/>
      <c r="AR56" s="152"/>
    </row>
    <row r="57" ht="12.75" customHeight="1">
      <c r="A57" s="244" t="s">
        <v>5158</v>
      </c>
      <c r="B57" s="244" t="s">
        <v>12721</v>
      </c>
      <c r="C57" s="244" t="s">
        <v>12862</v>
      </c>
      <c r="D57" s="154" t="s">
        <v>1773</v>
      </c>
      <c r="E57" s="154"/>
      <c r="F57" s="154" t="str">
        <f t="array" ref="F57">XLOOKUP(Cover!$D$12,$P$1:$X$1,$P57:$X57)</f>
        <v>Information</v>
      </c>
      <c r="G57" s="154" t="s">
        <v>12863</v>
      </c>
      <c r="H57" s="154" t="s">
        <v>12858</v>
      </c>
      <c r="I57" s="154" t="s">
        <v>12859</v>
      </c>
      <c r="J57" s="154" t="s">
        <v>7175</v>
      </c>
      <c r="K57" s="154"/>
      <c r="L57" s="154" t="s">
        <v>759</v>
      </c>
      <c r="M57" s="247" t="s">
        <v>506</v>
      </c>
      <c r="N57" s="247" t="s">
        <v>12738</v>
      </c>
      <c r="O57" s="240" t="str">
        <f t="shared" si="1"/>
        <v/>
      </c>
      <c r="P57" s="154" t="s">
        <v>66</v>
      </c>
      <c r="Q57" s="154" t="s">
        <v>66</v>
      </c>
      <c r="R57" s="154" t="s">
        <v>66</v>
      </c>
      <c r="S57" s="154" t="s">
        <v>66</v>
      </c>
      <c r="T57" s="154" t="s">
        <v>66</v>
      </c>
      <c r="U57" s="154" t="s">
        <v>66</v>
      </c>
      <c r="V57" s="154" t="s">
        <v>66</v>
      </c>
      <c r="W57" s="154" t="s">
        <v>66</v>
      </c>
      <c r="X57" s="154" t="s">
        <v>66</v>
      </c>
      <c r="Y57" s="154"/>
      <c r="Z57" s="242" t="b">
        <f t="shared" si="2"/>
        <v>1</v>
      </c>
      <c r="AA57" s="154" t="s">
        <v>391</v>
      </c>
      <c r="AB57" s="242" t="b">
        <f t="shared" si="3"/>
        <v>0</v>
      </c>
      <c r="AC57" s="154"/>
      <c r="AD57" s="242" t="b">
        <f t="shared" si="4"/>
        <v>0</v>
      </c>
      <c r="AE57" s="154" t="s">
        <v>1598</v>
      </c>
      <c r="AF57" s="243" t="str">
        <f>IF(AE57="","N/A",INDIRECT("MTR!"&amp;ADDRESS(MATCH(LEFT(AE57,9),MTR!C:C,0),COLUMN(J57)),TRUE) &amp; "")</f>
        <v>Partially Complies</v>
      </c>
      <c r="AG57" s="157" t="str">
        <f t="shared" si="5"/>
        <v/>
      </c>
      <c r="AH57" s="152"/>
      <c r="AI57" s="152"/>
      <c r="AJ57" s="152"/>
      <c r="AK57" s="152"/>
      <c r="AL57" s="152"/>
      <c r="AM57" s="152"/>
      <c r="AN57" s="152"/>
      <c r="AO57" s="152"/>
      <c r="AP57" s="152"/>
      <c r="AQ57" s="152"/>
      <c r="AR57" s="152"/>
    </row>
    <row r="58" ht="12.75" customHeight="1">
      <c r="A58" s="244" t="s">
        <v>5158</v>
      </c>
      <c r="B58" s="244" t="s">
        <v>12721</v>
      </c>
      <c r="C58" s="244" t="s">
        <v>12864</v>
      </c>
      <c r="D58" s="154" t="s">
        <v>1773</v>
      </c>
      <c r="E58" s="154"/>
      <c r="F58" s="154" t="str">
        <f t="array" ref="F58">XLOOKUP(Cover!$D$12,$P$1:$X$1,$P58:$X58)</f>
        <v>Information</v>
      </c>
      <c r="G58" s="154" t="s">
        <v>12865</v>
      </c>
      <c r="H58" s="154" t="s">
        <v>12859</v>
      </c>
      <c r="I58" s="154" t="s">
        <v>12859</v>
      </c>
      <c r="J58" s="154" t="s">
        <v>7175</v>
      </c>
      <c r="K58" s="154"/>
      <c r="L58" s="154" t="s">
        <v>759</v>
      </c>
      <c r="M58" s="247" t="s">
        <v>516</v>
      </c>
      <c r="N58" s="247" t="s">
        <v>12741</v>
      </c>
      <c r="O58" s="240" t="str">
        <f t="shared" si="1"/>
        <v/>
      </c>
      <c r="P58" s="154" t="s">
        <v>66</v>
      </c>
      <c r="Q58" s="154" t="s">
        <v>66</v>
      </c>
      <c r="R58" s="154" t="s">
        <v>66</v>
      </c>
      <c r="S58" s="154" t="s">
        <v>66</v>
      </c>
      <c r="T58" s="154" t="s">
        <v>66</v>
      </c>
      <c r="U58" s="154" t="s">
        <v>66</v>
      </c>
      <c r="V58" s="154" t="s">
        <v>66</v>
      </c>
      <c r="W58" s="154" t="s">
        <v>66</v>
      </c>
      <c r="X58" s="154" t="s">
        <v>66</v>
      </c>
      <c r="Y58" s="154"/>
      <c r="Z58" s="242" t="b">
        <f t="shared" si="2"/>
        <v>1</v>
      </c>
      <c r="AA58" s="154" t="s">
        <v>391</v>
      </c>
      <c r="AB58" s="242" t="b">
        <f t="shared" si="3"/>
        <v>0</v>
      </c>
      <c r="AC58" s="154"/>
      <c r="AD58" s="242" t="b">
        <f t="shared" si="4"/>
        <v>0</v>
      </c>
      <c r="AE58" s="154" t="s">
        <v>1598</v>
      </c>
      <c r="AF58" s="243" t="str">
        <f>IF(AE58="","N/A",INDIRECT("MTR!"&amp;ADDRESS(MATCH(LEFT(AE58,9),MTR!C:C,0),COLUMN(J58)),TRUE) &amp; "")</f>
        <v>Partially Complies</v>
      </c>
      <c r="AG58" s="157" t="str">
        <f t="shared" si="5"/>
        <v/>
      </c>
      <c r="AH58" s="152"/>
      <c r="AI58" s="152"/>
      <c r="AJ58" s="152"/>
      <c r="AK58" s="152"/>
      <c r="AL58" s="152"/>
      <c r="AM58" s="152"/>
      <c r="AN58" s="152"/>
      <c r="AO58" s="152"/>
      <c r="AP58" s="152"/>
      <c r="AQ58" s="152"/>
      <c r="AR58" s="152"/>
    </row>
    <row r="59" ht="12.75" customHeight="1">
      <c r="A59" s="244" t="s">
        <v>5158</v>
      </c>
      <c r="B59" s="244" t="s">
        <v>12721</v>
      </c>
      <c r="C59" s="244" t="s">
        <v>12866</v>
      </c>
      <c r="D59" s="154" t="s">
        <v>45</v>
      </c>
      <c r="E59" s="154"/>
      <c r="F59" s="154" t="str">
        <f t="array" ref="F59">XLOOKUP(Cover!$D$12,$P$1:$X$1,$P59:$X59)</f>
        <v>Information</v>
      </c>
      <c r="G59" s="154" t="s">
        <v>12867</v>
      </c>
      <c r="H59" s="154" t="s">
        <v>12858</v>
      </c>
      <c r="I59" s="154" t="s">
        <v>12859</v>
      </c>
      <c r="J59" s="154" t="s">
        <v>6655</v>
      </c>
      <c r="K59" s="154"/>
      <c r="L59" s="154" t="s">
        <v>759</v>
      </c>
      <c r="M59" s="247" t="s">
        <v>516</v>
      </c>
      <c r="N59" s="247" t="s">
        <v>12748</v>
      </c>
      <c r="O59" s="240" t="str">
        <f t="shared" si="1"/>
        <v/>
      </c>
      <c r="P59" s="154" t="s">
        <v>66</v>
      </c>
      <c r="Q59" s="154" t="s">
        <v>66</v>
      </c>
      <c r="R59" s="154" t="s">
        <v>66</v>
      </c>
      <c r="S59" s="154" t="s">
        <v>66</v>
      </c>
      <c r="T59" s="154" t="s">
        <v>66</v>
      </c>
      <c r="U59" s="154" t="s">
        <v>66</v>
      </c>
      <c r="V59" s="154" t="s">
        <v>66</v>
      </c>
      <c r="W59" s="154" t="s">
        <v>66</v>
      </c>
      <c r="X59" s="154" t="s">
        <v>66</v>
      </c>
      <c r="Y59" s="154"/>
      <c r="Z59" s="242" t="b">
        <f t="shared" si="2"/>
        <v>1</v>
      </c>
      <c r="AA59" s="154" t="s">
        <v>391</v>
      </c>
      <c r="AB59" s="242" t="b">
        <f t="shared" si="3"/>
        <v>0</v>
      </c>
      <c r="AC59" s="154"/>
      <c r="AD59" s="242" t="b">
        <f t="shared" si="4"/>
        <v>0</v>
      </c>
      <c r="AE59" s="154" t="s">
        <v>1598</v>
      </c>
      <c r="AF59" s="243" t="str">
        <f>IF(AE59="","N/A",INDIRECT("MTR!"&amp;ADDRESS(MATCH(LEFT(AE59,9),MTR!C:C,0),COLUMN(J59)),TRUE) &amp; "")</f>
        <v>Partially Complies</v>
      </c>
      <c r="AG59" s="157" t="str">
        <f t="shared" si="5"/>
        <v/>
      </c>
      <c r="AH59" s="152"/>
      <c r="AI59" s="152"/>
      <c r="AJ59" s="152"/>
      <c r="AK59" s="152"/>
      <c r="AL59" s="152"/>
      <c r="AM59" s="152"/>
      <c r="AN59" s="152"/>
      <c r="AO59" s="152"/>
      <c r="AP59" s="152"/>
      <c r="AQ59" s="152"/>
      <c r="AR59" s="152"/>
    </row>
    <row r="60" ht="12.75" customHeight="1">
      <c r="A60" s="244" t="s">
        <v>5158</v>
      </c>
      <c r="B60" s="244" t="s">
        <v>12721</v>
      </c>
      <c r="C60" s="244" t="s">
        <v>12868</v>
      </c>
      <c r="D60" s="154" t="s">
        <v>45</v>
      </c>
      <c r="E60" s="154"/>
      <c r="F60" s="154" t="str">
        <f t="array" ref="F60">XLOOKUP(Cover!$D$12,$P$1:$X$1,$P60:$X60)</f>
        <v>Information</v>
      </c>
      <c r="G60" s="154" t="s">
        <v>12869</v>
      </c>
      <c r="H60" s="154" t="s">
        <v>12859</v>
      </c>
      <c r="I60" s="154" t="s">
        <v>12859</v>
      </c>
      <c r="J60" s="154" t="s">
        <v>6655</v>
      </c>
      <c r="K60" s="154"/>
      <c r="L60" s="154" t="s">
        <v>759</v>
      </c>
      <c r="M60" s="247" t="s">
        <v>516</v>
      </c>
      <c r="N60" s="247" t="s">
        <v>12751</v>
      </c>
      <c r="O60" s="240" t="str">
        <f t="shared" si="1"/>
        <v/>
      </c>
      <c r="P60" s="154" t="s">
        <v>66</v>
      </c>
      <c r="Q60" s="154" t="s">
        <v>66</v>
      </c>
      <c r="R60" s="154" t="s">
        <v>66</v>
      </c>
      <c r="S60" s="154" t="s">
        <v>66</v>
      </c>
      <c r="T60" s="154" t="s">
        <v>66</v>
      </c>
      <c r="U60" s="154" t="s">
        <v>66</v>
      </c>
      <c r="V60" s="154" t="s">
        <v>66</v>
      </c>
      <c r="W60" s="154" t="s">
        <v>66</v>
      </c>
      <c r="X60" s="154" t="s">
        <v>66</v>
      </c>
      <c r="Y60" s="154"/>
      <c r="Z60" s="242" t="b">
        <f t="shared" si="2"/>
        <v>1</v>
      </c>
      <c r="AA60" s="154" t="s">
        <v>391</v>
      </c>
      <c r="AB60" s="242" t="b">
        <f t="shared" si="3"/>
        <v>0</v>
      </c>
      <c r="AC60" s="154"/>
      <c r="AD60" s="242" t="b">
        <f t="shared" si="4"/>
        <v>0</v>
      </c>
      <c r="AE60" s="154" t="s">
        <v>1598</v>
      </c>
      <c r="AF60" s="243" t="str">
        <f>IF(AE60="","N/A",INDIRECT("MTR!"&amp;ADDRESS(MATCH(LEFT(AE60,9),MTR!C:C,0),COLUMN(J60)),TRUE) &amp; "")</f>
        <v>Partially Complies</v>
      </c>
      <c r="AG60" s="157" t="str">
        <f t="shared" si="5"/>
        <v/>
      </c>
      <c r="AH60" s="152"/>
      <c r="AI60" s="152"/>
      <c r="AJ60" s="152"/>
      <c r="AK60" s="152"/>
      <c r="AL60" s="152"/>
      <c r="AM60" s="152"/>
      <c r="AN60" s="152"/>
      <c r="AO60" s="152"/>
      <c r="AP60" s="152"/>
      <c r="AQ60" s="152"/>
      <c r="AR60" s="152"/>
    </row>
    <row r="61" ht="12.75" customHeight="1">
      <c r="A61" s="244" t="s">
        <v>5158</v>
      </c>
      <c r="B61" s="244" t="s">
        <v>12721</v>
      </c>
      <c r="C61" s="244" t="s">
        <v>12870</v>
      </c>
      <c r="D61" s="154" t="s">
        <v>1315</v>
      </c>
      <c r="E61" s="154"/>
      <c r="F61" s="154" t="str">
        <f t="array" ref="F61">XLOOKUP(Cover!$D$12,$P$1:$X$1,$P61:$X61)</f>
        <v>Information</v>
      </c>
      <c r="G61" s="154" t="s">
        <v>12871</v>
      </c>
      <c r="H61" s="154" t="s">
        <v>12872</v>
      </c>
      <c r="I61" s="154" t="s">
        <v>12873</v>
      </c>
      <c r="J61" s="154" t="s">
        <v>6884</v>
      </c>
      <c r="K61" s="154"/>
      <c r="L61" s="154" t="s">
        <v>759</v>
      </c>
      <c r="M61" s="247" t="s">
        <v>506</v>
      </c>
      <c r="N61" s="247" t="s">
        <v>12738</v>
      </c>
      <c r="O61" s="240" t="str">
        <f t="shared" si="1"/>
        <v/>
      </c>
      <c r="P61" s="154" t="s">
        <v>66</v>
      </c>
      <c r="Q61" s="154" t="s">
        <v>66</v>
      </c>
      <c r="R61" s="154" t="s">
        <v>66</v>
      </c>
      <c r="S61" s="154" t="s">
        <v>66</v>
      </c>
      <c r="T61" s="154" t="s">
        <v>66</v>
      </c>
      <c r="U61" s="154" t="s">
        <v>66</v>
      </c>
      <c r="V61" s="154" t="s">
        <v>66</v>
      </c>
      <c r="W61" s="154" t="s">
        <v>66</v>
      </c>
      <c r="X61" s="154" t="s">
        <v>66</v>
      </c>
      <c r="Y61" s="154"/>
      <c r="Z61" s="242" t="b">
        <f t="shared" si="2"/>
        <v>1</v>
      </c>
      <c r="AA61" s="154" t="s">
        <v>391</v>
      </c>
      <c r="AB61" s="242" t="b">
        <f t="shared" si="3"/>
        <v>0</v>
      </c>
      <c r="AC61" s="154"/>
      <c r="AD61" s="242" t="b">
        <f t="shared" si="4"/>
        <v>0</v>
      </c>
      <c r="AE61" s="154" t="s">
        <v>1598</v>
      </c>
      <c r="AF61" s="243" t="str">
        <f>IF(AE61="","N/A",INDIRECT("MTR!"&amp;ADDRESS(MATCH(LEFT(AE61,9),MTR!C:C,0),COLUMN(J61)),TRUE) &amp; "")</f>
        <v>Partially Complies</v>
      </c>
      <c r="AG61" s="157" t="str">
        <f t="shared" si="5"/>
        <v/>
      </c>
      <c r="AH61" s="152"/>
      <c r="AI61" s="152"/>
      <c r="AJ61" s="152"/>
      <c r="AK61" s="152"/>
      <c r="AL61" s="152"/>
      <c r="AM61" s="152"/>
      <c r="AN61" s="152"/>
      <c r="AO61" s="152"/>
      <c r="AP61" s="152"/>
      <c r="AQ61" s="152"/>
      <c r="AR61" s="152"/>
    </row>
    <row r="62" ht="12.75" customHeight="1">
      <c r="A62" s="244" t="s">
        <v>5158</v>
      </c>
      <c r="B62" s="244" t="s">
        <v>12721</v>
      </c>
      <c r="C62" s="244" t="s">
        <v>12874</v>
      </c>
      <c r="D62" s="154" t="s">
        <v>1773</v>
      </c>
      <c r="E62" s="154"/>
      <c r="F62" s="154" t="str">
        <f t="array" ref="F62">XLOOKUP(Cover!$D$12,$P$1:$X$1,$P62:$X62)</f>
        <v>Information</v>
      </c>
      <c r="G62" s="154" t="s">
        <v>12875</v>
      </c>
      <c r="H62" s="154" t="s">
        <v>12873</v>
      </c>
      <c r="I62" s="154" t="s">
        <v>12873</v>
      </c>
      <c r="J62" s="154" t="s">
        <v>7175</v>
      </c>
      <c r="K62" s="154"/>
      <c r="L62" s="154" t="s">
        <v>759</v>
      </c>
      <c r="M62" s="247" t="s">
        <v>516</v>
      </c>
      <c r="N62" s="247" t="s">
        <v>12741</v>
      </c>
      <c r="O62" s="240" t="str">
        <f t="shared" si="1"/>
        <v/>
      </c>
      <c r="P62" s="154" t="s">
        <v>66</v>
      </c>
      <c r="Q62" s="154" t="s">
        <v>66</v>
      </c>
      <c r="R62" s="154" t="s">
        <v>66</v>
      </c>
      <c r="S62" s="154" t="s">
        <v>66</v>
      </c>
      <c r="T62" s="154" t="s">
        <v>66</v>
      </c>
      <c r="U62" s="154" t="s">
        <v>66</v>
      </c>
      <c r="V62" s="154" t="s">
        <v>66</v>
      </c>
      <c r="W62" s="154" t="s">
        <v>66</v>
      </c>
      <c r="X62" s="154" t="s">
        <v>66</v>
      </c>
      <c r="Y62" s="154"/>
      <c r="Z62" s="242" t="b">
        <f t="shared" si="2"/>
        <v>1</v>
      </c>
      <c r="AA62" s="154" t="s">
        <v>391</v>
      </c>
      <c r="AB62" s="242" t="b">
        <f t="shared" si="3"/>
        <v>0</v>
      </c>
      <c r="AC62" s="154"/>
      <c r="AD62" s="242" t="b">
        <f t="shared" si="4"/>
        <v>0</v>
      </c>
      <c r="AE62" s="154" t="s">
        <v>1598</v>
      </c>
      <c r="AF62" s="243" t="str">
        <f>IF(AE62="","N/A",INDIRECT("MTR!"&amp;ADDRESS(MATCH(LEFT(AE62,9),MTR!C:C,0),COLUMN(J62)),TRUE) &amp; "")</f>
        <v>Partially Complies</v>
      </c>
      <c r="AG62" s="157" t="str">
        <f t="shared" si="5"/>
        <v/>
      </c>
      <c r="AH62" s="152"/>
      <c r="AI62" s="152"/>
      <c r="AJ62" s="152"/>
      <c r="AK62" s="152"/>
      <c r="AL62" s="152"/>
      <c r="AM62" s="152"/>
      <c r="AN62" s="152"/>
      <c r="AO62" s="152"/>
      <c r="AP62" s="152"/>
      <c r="AQ62" s="152"/>
      <c r="AR62" s="152"/>
    </row>
    <row r="63" ht="12.75" customHeight="1">
      <c r="A63" s="244" t="s">
        <v>5158</v>
      </c>
      <c r="B63" s="244" t="s">
        <v>12721</v>
      </c>
      <c r="C63" s="244" t="s">
        <v>12876</v>
      </c>
      <c r="D63" s="154" t="s">
        <v>1315</v>
      </c>
      <c r="E63" s="154"/>
      <c r="F63" s="154" t="str">
        <f t="array" ref="F63">XLOOKUP(Cover!$D$12,$P$1:$X$1,$P63:$X63)</f>
        <v>Mandatory</v>
      </c>
      <c r="G63" s="154" t="s">
        <v>12877</v>
      </c>
      <c r="H63" s="154" t="s">
        <v>12878</v>
      </c>
      <c r="I63" s="154" t="s">
        <v>12879</v>
      </c>
      <c r="J63" s="154" t="s">
        <v>6525</v>
      </c>
      <c r="K63" s="154" t="s">
        <v>1122</v>
      </c>
      <c r="L63" s="154" t="s">
        <v>759</v>
      </c>
      <c r="M63" s="247" t="s">
        <v>506</v>
      </c>
      <c r="N63" s="247" t="s">
        <v>12738</v>
      </c>
      <c r="O63" s="240" t="str">
        <f t="shared" si="1"/>
        <v/>
      </c>
      <c r="P63" s="154" t="s">
        <v>66</v>
      </c>
      <c r="Q63" s="154" t="s">
        <v>66</v>
      </c>
      <c r="R63" s="154" t="s">
        <v>60</v>
      </c>
      <c r="S63" s="154" t="s">
        <v>60</v>
      </c>
      <c r="T63" s="154" t="s">
        <v>60</v>
      </c>
      <c r="U63" s="154" t="s">
        <v>60</v>
      </c>
      <c r="V63" s="154" t="s">
        <v>66</v>
      </c>
      <c r="W63" s="154" t="s">
        <v>60</v>
      </c>
      <c r="X63" s="154" t="s">
        <v>60</v>
      </c>
      <c r="Y63" s="154"/>
      <c r="Z63" s="242" t="b">
        <f t="shared" si="2"/>
        <v>1</v>
      </c>
      <c r="AA63" s="154" t="s">
        <v>391</v>
      </c>
      <c r="AB63" s="242" t="b">
        <f t="shared" si="3"/>
        <v>0</v>
      </c>
      <c r="AC63" s="154"/>
      <c r="AD63" s="242" t="b">
        <f t="shared" si="4"/>
        <v>0</v>
      </c>
      <c r="AE63" s="154" t="s">
        <v>1598</v>
      </c>
      <c r="AF63" s="243" t="str">
        <f>IF(AE63="","N/A",INDIRECT("MTR!"&amp;ADDRESS(MATCH(LEFT(AE63,9),MTR!C:C,0),COLUMN(J63)),TRUE) &amp; "")</f>
        <v>Partially Complies</v>
      </c>
      <c r="AG63" s="157" t="str">
        <f t="shared" si="5"/>
        <v/>
      </c>
      <c r="AH63" s="152"/>
      <c r="AI63" s="152"/>
      <c r="AJ63" s="152"/>
      <c r="AK63" s="152"/>
      <c r="AL63" s="152"/>
      <c r="AM63" s="152"/>
      <c r="AN63" s="152"/>
      <c r="AO63" s="152"/>
      <c r="AP63" s="152"/>
      <c r="AQ63" s="152"/>
      <c r="AR63" s="152"/>
    </row>
    <row r="64" ht="12.75" customHeight="1">
      <c r="A64" s="244" t="s">
        <v>5158</v>
      </c>
      <c r="B64" s="244" t="s">
        <v>12721</v>
      </c>
      <c r="C64" s="244" t="s">
        <v>12880</v>
      </c>
      <c r="D64" s="154" t="s">
        <v>1315</v>
      </c>
      <c r="E64" s="154"/>
      <c r="F64" s="154" t="str">
        <f t="array" ref="F64">XLOOKUP(Cover!$D$12,$P$1:$X$1,$P64:$X64)</f>
        <v>Mandatory</v>
      </c>
      <c r="G64" s="154" t="s">
        <v>12881</v>
      </c>
      <c r="H64" s="154" t="s">
        <v>12879</v>
      </c>
      <c r="I64" s="154" t="s">
        <v>12879</v>
      </c>
      <c r="J64" s="154" t="s">
        <v>6525</v>
      </c>
      <c r="K64" s="154" t="s">
        <v>1018</v>
      </c>
      <c r="L64" s="154" t="s">
        <v>759</v>
      </c>
      <c r="M64" s="247" t="s">
        <v>516</v>
      </c>
      <c r="N64" s="247" t="s">
        <v>12741</v>
      </c>
      <c r="O64" s="240" t="str">
        <f t="shared" si="1"/>
        <v/>
      </c>
      <c r="P64" s="154" t="s">
        <v>66</v>
      </c>
      <c r="Q64" s="154" t="s">
        <v>66</v>
      </c>
      <c r="R64" s="155" t="s">
        <v>64</v>
      </c>
      <c r="S64" s="155" t="s">
        <v>64</v>
      </c>
      <c r="T64" s="154" t="s">
        <v>60</v>
      </c>
      <c r="U64" s="154" t="s">
        <v>60</v>
      </c>
      <c r="V64" s="154" t="s">
        <v>66</v>
      </c>
      <c r="W64" s="155" t="s">
        <v>64</v>
      </c>
      <c r="X64" s="154" t="s">
        <v>60</v>
      </c>
      <c r="Y64" s="154"/>
      <c r="Z64" s="242" t="b">
        <f t="shared" si="2"/>
        <v>1</v>
      </c>
      <c r="AA64" s="154" t="s">
        <v>391</v>
      </c>
      <c r="AB64" s="242" t="b">
        <f t="shared" si="3"/>
        <v>0</v>
      </c>
      <c r="AC64" s="154"/>
      <c r="AD64" s="242" t="b">
        <f t="shared" si="4"/>
        <v>0</v>
      </c>
      <c r="AE64" s="154" t="s">
        <v>1598</v>
      </c>
      <c r="AF64" s="243" t="str">
        <f>IF(AE64="","N/A",INDIRECT("MTR!"&amp;ADDRESS(MATCH(LEFT(AE64,9),MTR!C:C,0),COLUMN(J64)),TRUE) &amp; "")</f>
        <v>Partially Complies</v>
      </c>
      <c r="AG64" s="157" t="str">
        <f t="shared" si="5"/>
        <v/>
      </c>
      <c r="AH64" s="152"/>
      <c r="AI64" s="152"/>
      <c r="AJ64" s="152"/>
      <c r="AK64" s="152"/>
      <c r="AL64" s="152"/>
      <c r="AM64" s="152"/>
      <c r="AN64" s="152"/>
      <c r="AO64" s="152"/>
      <c r="AP64" s="152"/>
      <c r="AQ64" s="152"/>
      <c r="AR64" s="152"/>
    </row>
    <row r="65" ht="12.75" customHeight="1">
      <c r="A65" s="244" t="s">
        <v>5158</v>
      </c>
      <c r="B65" s="244" t="s">
        <v>12721</v>
      </c>
      <c r="C65" s="244" t="s">
        <v>12882</v>
      </c>
      <c r="D65" s="154" t="s">
        <v>1315</v>
      </c>
      <c r="E65" s="154"/>
      <c r="F65" s="154" t="str">
        <f t="array" ref="F65">XLOOKUP(Cover!$D$12,$P$1:$X$1,$P65:$X65)</f>
        <v>Mandatory</v>
      </c>
      <c r="G65" s="154" t="s">
        <v>12883</v>
      </c>
      <c r="H65" s="154" t="s">
        <v>12878</v>
      </c>
      <c r="I65" s="154" t="s">
        <v>12879</v>
      </c>
      <c r="J65" s="154" t="s">
        <v>6905</v>
      </c>
      <c r="K65" s="154" t="s">
        <v>1122</v>
      </c>
      <c r="L65" s="154" t="s">
        <v>759</v>
      </c>
      <c r="M65" s="247" t="s">
        <v>506</v>
      </c>
      <c r="N65" s="247" t="s">
        <v>12738</v>
      </c>
      <c r="O65" s="240" t="str">
        <f t="shared" si="1"/>
        <v/>
      </c>
      <c r="P65" s="154" t="s">
        <v>66</v>
      </c>
      <c r="Q65" s="154" t="s">
        <v>66</v>
      </c>
      <c r="R65" s="154" t="s">
        <v>60</v>
      </c>
      <c r="S65" s="154" t="s">
        <v>60</v>
      </c>
      <c r="T65" s="154" t="s">
        <v>60</v>
      </c>
      <c r="U65" s="154" t="s">
        <v>60</v>
      </c>
      <c r="V65" s="154" t="s">
        <v>66</v>
      </c>
      <c r="W65" s="154" t="s">
        <v>60</v>
      </c>
      <c r="X65" s="154" t="s">
        <v>60</v>
      </c>
      <c r="Y65" s="154"/>
      <c r="Z65" s="242" t="b">
        <f t="shared" si="2"/>
        <v>1</v>
      </c>
      <c r="AA65" s="154" t="s">
        <v>391</v>
      </c>
      <c r="AB65" s="242" t="b">
        <f t="shared" si="3"/>
        <v>0</v>
      </c>
      <c r="AC65" s="154"/>
      <c r="AD65" s="242" t="b">
        <f t="shared" si="4"/>
        <v>0</v>
      </c>
      <c r="AE65" s="154" t="s">
        <v>1598</v>
      </c>
      <c r="AF65" s="243" t="str">
        <f>IF(AE65="","N/A",INDIRECT("MTR!"&amp;ADDRESS(MATCH(LEFT(AE65,9),MTR!C:C,0),COLUMN(J65)),TRUE) &amp; "")</f>
        <v>Partially Complies</v>
      </c>
      <c r="AG65" s="157" t="str">
        <f t="shared" si="5"/>
        <v/>
      </c>
      <c r="AH65" s="152"/>
      <c r="AI65" s="152"/>
      <c r="AJ65" s="152"/>
      <c r="AK65" s="152"/>
      <c r="AL65" s="152"/>
      <c r="AM65" s="152"/>
      <c r="AN65" s="152"/>
      <c r="AO65" s="152"/>
      <c r="AP65" s="152"/>
      <c r="AQ65" s="152"/>
      <c r="AR65" s="152"/>
    </row>
    <row r="66" ht="12.75" customHeight="1">
      <c r="A66" s="244" t="s">
        <v>5158</v>
      </c>
      <c r="B66" s="244" t="s">
        <v>12721</v>
      </c>
      <c r="C66" s="244" t="s">
        <v>12884</v>
      </c>
      <c r="D66" s="154" t="s">
        <v>1315</v>
      </c>
      <c r="E66" s="154"/>
      <c r="F66" s="154" t="str">
        <f t="array" ref="F66">XLOOKUP(Cover!$D$12,$P$1:$X$1,$P66:$X66)</f>
        <v>Mandatory</v>
      </c>
      <c r="G66" s="154" t="s">
        <v>12885</v>
      </c>
      <c r="H66" s="154" t="s">
        <v>12879</v>
      </c>
      <c r="I66" s="154" t="s">
        <v>12879</v>
      </c>
      <c r="J66" s="154" t="s">
        <v>6905</v>
      </c>
      <c r="K66" s="154" t="s">
        <v>1018</v>
      </c>
      <c r="L66" s="154" t="s">
        <v>759</v>
      </c>
      <c r="M66" s="247" t="s">
        <v>516</v>
      </c>
      <c r="N66" s="247" t="s">
        <v>12741</v>
      </c>
      <c r="O66" s="240" t="str">
        <f t="shared" si="1"/>
        <v/>
      </c>
      <c r="P66" s="154" t="s">
        <v>66</v>
      </c>
      <c r="Q66" s="154" t="s">
        <v>66</v>
      </c>
      <c r="R66" s="155" t="s">
        <v>64</v>
      </c>
      <c r="S66" s="155" t="s">
        <v>64</v>
      </c>
      <c r="T66" s="154" t="s">
        <v>60</v>
      </c>
      <c r="U66" s="154" t="s">
        <v>60</v>
      </c>
      <c r="V66" s="154" t="s">
        <v>66</v>
      </c>
      <c r="W66" s="155" t="s">
        <v>64</v>
      </c>
      <c r="X66" s="154" t="s">
        <v>60</v>
      </c>
      <c r="Y66" s="154"/>
      <c r="Z66" s="242" t="b">
        <f t="shared" si="2"/>
        <v>1</v>
      </c>
      <c r="AA66" s="154" t="s">
        <v>391</v>
      </c>
      <c r="AB66" s="242" t="b">
        <f t="shared" si="3"/>
        <v>0</v>
      </c>
      <c r="AC66" s="154"/>
      <c r="AD66" s="242" t="b">
        <f t="shared" si="4"/>
        <v>0</v>
      </c>
      <c r="AE66" s="154" t="s">
        <v>1598</v>
      </c>
      <c r="AF66" s="243" t="str">
        <f>IF(AE66="","N/A",INDIRECT("MTR!"&amp;ADDRESS(MATCH(LEFT(AE66,9),MTR!C:C,0),COLUMN(J66)),TRUE) &amp; "")</f>
        <v>Partially Complies</v>
      </c>
      <c r="AG66" s="157" t="str">
        <f t="shared" si="5"/>
        <v/>
      </c>
      <c r="AH66" s="152"/>
      <c r="AI66" s="152"/>
      <c r="AJ66" s="152"/>
      <c r="AK66" s="152"/>
      <c r="AL66" s="152"/>
      <c r="AM66" s="152"/>
      <c r="AN66" s="152"/>
      <c r="AO66" s="152"/>
      <c r="AP66" s="152"/>
      <c r="AQ66" s="152"/>
      <c r="AR66" s="152"/>
    </row>
    <row r="67" ht="12.75" customHeight="1">
      <c r="A67" s="244" t="s">
        <v>5158</v>
      </c>
      <c r="B67" s="244" t="s">
        <v>12721</v>
      </c>
      <c r="C67" s="244" t="s">
        <v>12886</v>
      </c>
      <c r="D67" s="154" t="s">
        <v>1773</v>
      </c>
      <c r="E67" s="154"/>
      <c r="F67" s="154" t="str">
        <f t="array" ref="F67">XLOOKUP(Cover!$D$12,$P$1:$X$1,$P67:$X67)</f>
        <v>Recommended</v>
      </c>
      <c r="G67" s="154" t="s">
        <v>12887</v>
      </c>
      <c r="H67" s="154" t="s">
        <v>12878</v>
      </c>
      <c r="I67" s="154" t="s">
        <v>12879</v>
      </c>
      <c r="J67" s="154" t="s">
        <v>7175</v>
      </c>
      <c r="K67" s="154"/>
      <c r="L67" s="154" t="s">
        <v>759</v>
      </c>
      <c r="M67" s="247" t="s">
        <v>506</v>
      </c>
      <c r="N67" s="247" t="s">
        <v>12738</v>
      </c>
      <c r="O67" s="240" t="str">
        <f t="shared" si="1"/>
        <v/>
      </c>
      <c r="P67" s="154" t="s">
        <v>66</v>
      </c>
      <c r="Q67" s="154" t="s">
        <v>66</v>
      </c>
      <c r="R67" s="154" t="s">
        <v>64</v>
      </c>
      <c r="S67" s="154" t="s">
        <v>64</v>
      </c>
      <c r="T67" s="154" t="s">
        <v>64</v>
      </c>
      <c r="U67" s="154" t="s">
        <v>64</v>
      </c>
      <c r="V67" s="154" t="s">
        <v>66</v>
      </c>
      <c r="W67" s="154" t="s">
        <v>64</v>
      </c>
      <c r="X67" s="154" t="s">
        <v>64</v>
      </c>
      <c r="Y67" s="154"/>
      <c r="Z67" s="242" t="b">
        <f t="shared" si="2"/>
        <v>1</v>
      </c>
      <c r="AA67" s="154" t="s">
        <v>391</v>
      </c>
      <c r="AB67" s="242" t="b">
        <f t="shared" si="3"/>
        <v>0</v>
      </c>
      <c r="AC67" s="154"/>
      <c r="AD67" s="242" t="b">
        <f t="shared" si="4"/>
        <v>0</v>
      </c>
      <c r="AE67" s="154" t="s">
        <v>1598</v>
      </c>
      <c r="AF67" s="243" t="str">
        <f>IF(AE67="","N/A",INDIRECT("MTR!"&amp;ADDRESS(MATCH(LEFT(AE67,9),MTR!C:C,0),COLUMN(J67)),TRUE) &amp; "")</f>
        <v>Partially Complies</v>
      </c>
      <c r="AG67" s="157" t="str">
        <f t="shared" si="5"/>
        <v/>
      </c>
      <c r="AH67" s="152"/>
      <c r="AI67" s="152"/>
      <c r="AJ67" s="152"/>
      <c r="AK67" s="152"/>
      <c r="AL67" s="152"/>
      <c r="AM67" s="152"/>
      <c r="AN67" s="152"/>
      <c r="AO67" s="152"/>
      <c r="AP67" s="152"/>
      <c r="AQ67" s="152"/>
      <c r="AR67" s="152"/>
    </row>
    <row r="68" ht="12.75" customHeight="1">
      <c r="A68" s="244" t="s">
        <v>5158</v>
      </c>
      <c r="B68" s="244" t="s">
        <v>12721</v>
      </c>
      <c r="C68" s="244" t="s">
        <v>12888</v>
      </c>
      <c r="D68" s="154" t="s">
        <v>1773</v>
      </c>
      <c r="E68" s="154"/>
      <c r="F68" s="154" t="str">
        <f t="array" ref="F68">XLOOKUP(Cover!$D$12,$P$1:$X$1,$P68:$X68)</f>
        <v>Recommended</v>
      </c>
      <c r="G68" s="154" t="s">
        <v>12889</v>
      </c>
      <c r="H68" s="154" t="s">
        <v>12879</v>
      </c>
      <c r="I68" s="154" t="s">
        <v>12879</v>
      </c>
      <c r="J68" s="154" t="s">
        <v>7175</v>
      </c>
      <c r="K68" s="154"/>
      <c r="L68" s="154" t="s">
        <v>759</v>
      </c>
      <c r="M68" s="247" t="s">
        <v>516</v>
      </c>
      <c r="N68" s="247" t="s">
        <v>12741</v>
      </c>
      <c r="O68" s="240" t="str">
        <f t="shared" si="1"/>
        <v/>
      </c>
      <c r="P68" s="154" t="s">
        <v>66</v>
      </c>
      <c r="Q68" s="154" t="s">
        <v>66</v>
      </c>
      <c r="R68" s="154" t="s">
        <v>64</v>
      </c>
      <c r="S68" s="154" t="s">
        <v>64</v>
      </c>
      <c r="T68" s="154" t="s">
        <v>64</v>
      </c>
      <c r="U68" s="154" t="s">
        <v>64</v>
      </c>
      <c r="V68" s="154" t="s">
        <v>66</v>
      </c>
      <c r="W68" s="154" t="s">
        <v>64</v>
      </c>
      <c r="X68" s="154" t="s">
        <v>64</v>
      </c>
      <c r="Y68" s="154"/>
      <c r="Z68" s="242" t="b">
        <f t="shared" si="2"/>
        <v>1</v>
      </c>
      <c r="AA68" s="154" t="s">
        <v>391</v>
      </c>
      <c r="AB68" s="242" t="b">
        <f t="shared" si="3"/>
        <v>0</v>
      </c>
      <c r="AC68" s="154"/>
      <c r="AD68" s="242" t="b">
        <f t="shared" si="4"/>
        <v>0</v>
      </c>
      <c r="AE68" s="154" t="s">
        <v>1598</v>
      </c>
      <c r="AF68" s="243" t="str">
        <f>IF(AE68="","N/A",INDIRECT("MTR!"&amp;ADDRESS(MATCH(LEFT(AE68,9),MTR!C:C,0),COLUMN(J68)),TRUE) &amp; "")</f>
        <v>Partially Complies</v>
      </c>
      <c r="AG68" s="157" t="str">
        <f t="shared" si="5"/>
        <v/>
      </c>
      <c r="AH68" s="152"/>
      <c r="AI68" s="152"/>
      <c r="AJ68" s="152"/>
      <c r="AK68" s="152"/>
      <c r="AL68" s="152"/>
      <c r="AM68" s="152"/>
      <c r="AN68" s="152"/>
      <c r="AO68" s="152"/>
      <c r="AP68" s="152"/>
      <c r="AQ68" s="152"/>
      <c r="AR68" s="152"/>
    </row>
    <row r="69" ht="12.75" customHeight="1">
      <c r="A69" s="244" t="s">
        <v>5158</v>
      </c>
      <c r="B69" s="244" t="s">
        <v>12721</v>
      </c>
      <c r="C69" s="244" t="s">
        <v>12890</v>
      </c>
      <c r="D69" s="154" t="s">
        <v>503</v>
      </c>
      <c r="E69" s="154"/>
      <c r="F69" s="154" t="str">
        <f t="array" ref="F69">XLOOKUP(Cover!$D$12,$P$1:$X$1,$P69:$X69)</f>
        <v>Recommended</v>
      </c>
      <c r="G69" s="154" t="s">
        <v>12891</v>
      </c>
      <c r="H69" s="154" t="s">
        <v>12878</v>
      </c>
      <c r="I69" s="154" t="s">
        <v>12879</v>
      </c>
      <c r="J69" s="154" t="s">
        <v>7431</v>
      </c>
      <c r="K69" s="154"/>
      <c r="L69" s="154" t="s">
        <v>759</v>
      </c>
      <c r="M69" s="247" t="s">
        <v>516</v>
      </c>
      <c r="N69" s="247" t="s">
        <v>12892</v>
      </c>
      <c r="O69" s="240" t="str">
        <f t="shared" si="1"/>
        <v/>
      </c>
      <c r="P69" s="154" t="s">
        <v>66</v>
      </c>
      <c r="Q69" s="154" t="s">
        <v>66</v>
      </c>
      <c r="R69" s="154" t="s">
        <v>64</v>
      </c>
      <c r="S69" s="154" t="s">
        <v>64</v>
      </c>
      <c r="T69" s="154" t="s">
        <v>64</v>
      </c>
      <c r="U69" s="154" t="s">
        <v>64</v>
      </c>
      <c r="V69" s="154" t="s">
        <v>66</v>
      </c>
      <c r="W69" s="154" t="s">
        <v>64</v>
      </c>
      <c r="X69" s="154" t="s">
        <v>64</v>
      </c>
      <c r="Y69" s="154"/>
      <c r="Z69" s="242" t="b">
        <f t="shared" si="2"/>
        <v>1</v>
      </c>
      <c r="AA69" s="154" t="s">
        <v>391</v>
      </c>
      <c r="AB69" s="242" t="b">
        <f t="shared" si="3"/>
        <v>0</v>
      </c>
      <c r="AC69" s="154"/>
      <c r="AD69" s="242" t="b">
        <f t="shared" si="4"/>
        <v>0</v>
      </c>
      <c r="AE69" s="154" t="s">
        <v>1598</v>
      </c>
      <c r="AF69" s="243" t="str">
        <f>IF(AE69="","N/A",INDIRECT("MTR!"&amp;ADDRESS(MATCH(LEFT(AE69,9),MTR!C:C,0),COLUMN(J69)),TRUE) &amp; "")</f>
        <v>Partially Complies</v>
      </c>
      <c r="AG69" s="157" t="str">
        <f t="shared" si="5"/>
        <v/>
      </c>
      <c r="AH69" s="152"/>
      <c r="AI69" s="152"/>
      <c r="AJ69" s="152"/>
      <c r="AK69" s="152"/>
      <c r="AL69" s="152"/>
      <c r="AM69" s="152"/>
      <c r="AN69" s="152"/>
      <c r="AO69" s="152"/>
      <c r="AP69" s="152"/>
      <c r="AQ69" s="152"/>
      <c r="AR69" s="152"/>
    </row>
    <row r="70" ht="12.75" customHeight="1">
      <c r="A70" s="244" t="s">
        <v>5158</v>
      </c>
      <c r="B70" s="244" t="s">
        <v>12721</v>
      </c>
      <c r="C70" s="244" t="s">
        <v>12893</v>
      </c>
      <c r="D70" s="154" t="s">
        <v>503</v>
      </c>
      <c r="E70" s="154"/>
      <c r="F70" s="154" t="str">
        <f t="array" ref="F70">XLOOKUP(Cover!$D$12,$P$1:$X$1,$P70:$X70)</f>
        <v>Recommended</v>
      </c>
      <c r="G70" s="154" t="s">
        <v>12894</v>
      </c>
      <c r="H70" s="154" t="s">
        <v>12879</v>
      </c>
      <c r="I70" s="154" t="s">
        <v>12879</v>
      </c>
      <c r="J70" s="154" t="s">
        <v>7431</v>
      </c>
      <c r="K70" s="154"/>
      <c r="L70" s="154" t="s">
        <v>759</v>
      </c>
      <c r="M70" s="247" t="s">
        <v>516</v>
      </c>
      <c r="N70" s="247" t="s">
        <v>12895</v>
      </c>
      <c r="O70" s="240" t="str">
        <f t="shared" si="1"/>
        <v/>
      </c>
      <c r="P70" s="154" t="s">
        <v>66</v>
      </c>
      <c r="Q70" s="154" t="s">
        <v>66</v>
      </c>
      <c r="R70" s="154" t="s">
        <v>64</v>
      </c>
      <c r="S70" s="154" t="s">
        <v>64</v>
      </c>
      <c r="T70" s="154" t="s">
        <v>64</v>
      </c>
      <c r="U70" s="154" t="s">
        <v>64</v>
      </c>
      <c r="V70" s="154" t="s">
        <v>66</v>
      </c>
      <c r="W70" s="154" t="s">
        <v>64</v>
      </c>
      <c r="X70" s="154" t="s">
        <v>64</v>
      </c>
      <c r="Y70" s="154"/>
      <c r="Z70" s="242" t="b">
        <f t="shared" si="2"/>
        <v>1</v>
      </c>
      <c r="AA70" s="154" t="s">
        <v>391</v>
      </c>
      <c r="AB70" s="242" t="b">
        <f t="shared" si="3"/>
        <v>0</v>
      </c>
      <c r="AC70" s="154"/>
      <c r="AD70" s="242" t="b">
        <f t="shared" si="4"/>
        <v>0</v>
      </c>
      <c r="AE70" s="154" t="s">
        <v>1598</v>
      </c>
      <c r="AF70" s="243" t="str">
        <f>IF(AE70="","N/A",INDIRECT("MTR!"&amp;ADDRESS(MATCH(LEFT(AE70,9),MTR!C:C,0),COLUMN(J70)),TRUE) &amp; "")</f>
        <v>Partially Complies</v>
      </c>
      <c r="AG70" s="157" t="str">
        <f t="shared" si="5"/>
        <v/>
      </c>
      <c r="AH70" s="152"/>
      <c r="AI70" s="152"/>
      <c r="AJ70" s="152"/>
      <c r="AK70" s="152"/>
      <c r="AL70" s="152"/>
      <c r="AM70" s="152"/>
      <c r="AN70" s="152"/>
      <c r="AO70" s="152"/>
      <c r="AP70" s="152"/>
      <c r="AQ70" s="152"/>
      <c r="AR70" s="152"/>
    </row>
    <row r="71" ht="12.75" customHeight="1">
      <c r="A71" s="244" t="s">
        <v>5158</v>
      </c>
      <c r="B71" s="244" t="s">
        <v>12721</v>
      </c>
      <c r="C71" s="255" t="s">
        <v>12896</v>
      </c>
      <c r="D71" s="256" t="s">
        <v>42</v>
      </c>
      <c r="E71" s="256" t="s">
        <v>489</v>
      </c>
      <c r="F71" s="154" t="str">
        <f t="array" ref="F71">XLOOKUP(Cover!$D$12,$P$1:$X$1,$P71:$X71)</f>
        <v>Mandatory</v>
      </c>
      <c r="G71" s="154" t="s">
        <v>12897</v>
      </c>
      <c r="H71" s="154" t="s">
        <v>12878</v>
      </c>
      <c r="I71" s="154" t="s">
        <v>12879</v>
      </c>
      <c r="J71" s="154" t="s">
        <v>5931</v>
      </c>
      <c r="K71" s="154" t="s">
        <v>1122</v>
      </c>
      <c r="L71" s="154" t="s">
        <v>759</v>
      </c>
      <c r="M71" s="247" t="s">
        <v>516</v>
      </c>
      <c r="N71" s="247" t="s">
        <v>12892</v>
      </c>
      <c r="O71" s="240" t="str">
        <f t="shared" si="1"/>
        <v/>
      </c>
      <c r="P71" s="154" t="s">
        <v>66</v>
      </c>
      <c r="Q71" s="154" t="s">
        <v>66</v>
      </c>
      <c r="R71" s="154" t="s">
        <v>60</v>
      </c>
      <c r="S71" s="154" t="s">
        <v>60</v>
      </c>
      <c r="T71" s="154" t="s">
        <v>60</v>
      </c>
      <c r="U71" s="154" t="s">
        <v>60</v>
      </c>
      <c r="V71" s="154" t="s">
        <v>66</v>
      </c>
      <c r="W71" s="154" t="s">
        <v>60</v>
      </c>
      <c r="X71" s="154" t="s">
        <v>60</v>
      </c>
      <c r="Y71" s="154"/>
      <c r="Z71" s="242" t="b">
        <f t="shared" si="2"/>
        <v>1</v>
      </c>
      <c r="AA71" s="154" t="s">
        <v>391</v>
      </c>
      <c r="AB71" s="242" t="b">
        <f t="shared" si="3"/>
        <v>0</v>
      </c>
      <c r="AC71" s="154"/>
      <c r="AD71" s="242" t="b">
        <f t="shared" si="4"/>
        <v>0</v>
      </c>
      <c r="AE71" s="154" t="s">
        <v>1598</v>
      </c>
      <c r="AF71" s="243" t="str">
        <f>IF(AE71="","N/A",INDIRECT("MTR!"&amp;ADDRESS(MATCH(LEFT(AE71,9),MTR!C:C,0),COLUMN(J71)),TRUE) &amp; "")</f>
        <v>Partially Complies</v>
      </c>
      <c r="AG71" s="157" t="str">
        <f t="shared" si="5"/>
        <v/>
      </c>
      <c r="AH71" s="152"/>
      <c r="AI71" s="152"/>
      <c r="AJ71" s="152"/>
      <c r="AK71" s="152"/>
      <c r="AL71" s="152"/>
      <c r="AM71" s="152"/>
      <c r="AN71" s="152"/>
      <c r="AO71" s="152"/>
      <c r="AP71" s="152"/>
      <c r="AQ71" s="152"/>
      <c r="AR71" s="152"/>
    </row>
    <row r="72" ht="12.75" customHeight="1">
      <c r="A72" s="244" t="s">
        <v>5158</v>
      </c>
      <c r="B72" s="244" t="s">
        <v>12721</v>
      </c>
      <c r="C72" s="255" t="s">
        <v>12898</v>
      </c>
      <c r="D72" s="256" t="s">
        <v>42</v>
      </c>
      <c r="E72" s="256" t="s">
        <v>489</v>
      </c>
      <c r="F72" s="154" t="str">
        <f t="array" ref="F72">XLOOKUP(Cover!$D$12,$P$1:$X$1,$P72:$X72)</f>
        <v>Mandatory</v>
      </c>
      <c r="G72" s="154" t="s">
        <v>12899</v>
      </c>
      <c r="H72" s="154" t="s">
        <v>12879</v>
      </c>
      <c r="I72" s="154" t="s">
        <v>12879</v>
      </c>
      <c r="J72" s="154" t="s">
        <v>5931</v>
      </c>
      <c r="K72" s="154" t="s">
        <v>1018</v>
      </c>
      <c r="L72" s="154" t="s">
        <v>759</v>
      </c>
      <c r="M72" s="247" t="s">
        <v>516</v>
      </c>
      <c r="N72" s="247" t="s">
        <v>12895</v>
      </c>
      <c r="O72" s="240" t="str">
        <f t="shared" si="1"/>
        <v/>
      </c>
      <c r="P72" s="154" t="s">
        <v>66</v>
      </c>
      <c r="Q72" s="154" t="s">
        <v>66</v>
      </c>
      <c r="R72" s="155" t="s">
        <v>64</v>
      </c>
      <c r="S72" s="155" t="s">
        <v>64</v>
      </c>
      <c r="T72" s="154" t="s">
        <v>60</v>
      </c>
      <c r="U72" s="154" t="s">
        <v>60</v>
      </c>
      <c r="V72" s="154" t="s">
        <v>66</v>
      </c>
      <c r="W72" s="155" t="s">
        <v>64</v>
      </c>
      <c r="X72" s="154" t="s">
        <v>60</v>
      </c>
      <c r="Y72" s="154"/>
      <c r="Z72" s="242" t="b">
        <f t="shared" si="2"/>
        <v>1</v>
      </c>
      <c r="AA72" s="154" t="s">
        <v>391</v>
      </c>
      <c r="AB72" s="242" t="b">
        <f t="shared" si="3"/>
        <v>0</v>
      </c>
      <c r="AC72" s="154"/>
      <c r="AD72" s="242" t="b">
        <f t="shared" si="4"/>
        <v>0</v>
      </c>
      <c r="AE72" s="154" t="s">
        <v>1598</v>
      </c>
      <c r="AF72" s="243" t="str">
        <f>IF(AE72="","N/A",INDIRECT("MTR!"&amp;ADDRESS(MATCH(LEFT(AE72,9),MTR!C:C,0),COLUMN(J72)),TRUE) &amp; "")</f>
        <v>Partially Complies</v>
      </c>
      <c r="AG72" s="157" t="str">
        <f t="shared" si="5"/>
        <v/>
      </c>
      <c r="AH72" s="152"/>
      <c r="AI72" s="152"/>
      <c r="AJ72" s="152"/>
      <c r="AK72" s="152"/>
      <c r="AL72" s="152"/>
      <c r="AM72" s="152"/>
      <c r="AN72" s="152"/>
      <c r="AO72" s="152"/>
      <c r="AP72" s="152"/>
      <c r="AQ72" s="152"/>
      <c r="AR72" s="152"/>
    </row>
    <row r="73" ht="12.75" customHeight="1">
      <c r="A73" s="244" t="s">
        <v>5158</v>
      </c>
      <c r="B73" s="244" t="s">
        <v>12721</v>
      </c>
      <c r="C73" s="244" t="s">
        <v>12900</v>
      </c>
      <c r="D73" s="154" t="s">
        <v>1069</v>
      </c>
      <c r="E73" s="154"/>
      <c r="F73" s="154" t="str">
        <f t="array" ref="F73">XLOOKUP(Cover!$D$12,$P$1:$X$1,$P73:$X73)</f>
        <v>Mandatory</v>
      </c>
      <c r="G73" s="154" t="s">
        <v>12901</v>
      </c>
      <c r="H73" s="154" t="s">
        <v>7305</v>
      </c>
      <c r="I73" s="154" t="s">
        <v>12902</v>
      </c>
      <c r="J73" s="154" t="s">
        <v>6154</v>
      </c>
      <c r="K73" s="154" t="s">
        <v>1018</v>
      </c>
      <c r="L73" s="154" t="s">
        <v>759</v>
      </c>
      <c r="M73" s="247" t="s">
        <v>506</v>
      </c>
      <c r="N73" s="247" t="s">
        <v>12760</v>
      </c>
      <c r="O73" s="240" t="str">
        <f t="shared" si="1"/>
        <v/>
      </c>
      <c r="P73" s="154" t="s">
        <v>66</v>
      </c>
      <c r="Q73" s="154" t="s">
        <v>66</v>
      </c>
      <c r="R73" s="154" t="s">
        <v>60</v>
      </c>
      <c r="S73" s="154" t="s">
        <v>60</v>
      </c>
      <c r="T73" s="154" t="s">
        <v>60</v>
      </c>
      <c r="U73" s="154" t="s">
        <v>60</v>
      </c>
      <c r="V73" s="154" t="s">
        <v>66</v>
      </c>
      <c r="W73" s="154" t="s">
        <v>60</v>
      </c>
      <c r="X73" s="154" t="s">
        <v>60</v>
      </c>
      <c r="Y73" s="154"/>
      <c r="Z73" s="242" t="b">
        <f t="shared" si="2"/>
        <v>1</v>
      </c>
      <c r="AA73" s="154" t="s">
        <v>391</v>
      </c>
      <c r="AB73" s="242" t="b">
        <f t="shared" si="3"/>
        <v>0</v>
      </c>
      <c r="AC73" s="154"/>
      <c r="AD73" s="242" t="b">
        <f t="shared" si="4"/>
        <v>0</v>
      </c>
      <c r="AE73" s="154" t="s">
        <v>1598</v>
      </c>
      <c r="AF73" s="243" t="str">
        <f>IF(AE73="","N/A",INDIRECT("MTR!"&amp;ADDRESS(MATCH(LEFT(AE73,9),MTR!C:C,0),COLUMN(J73)),TRUE) &amp; "")</f>
        <v>Partially Complies</v>
      </c>
      <c r="AG73" s="157" t="str">
        <f t="shared" si="5"/>
        <v/>
      </c>
      <c r="AH73" s="152"/>
      <c r="AI73" s="152"/>
      <c r="AJ73" s="152"/>
      <c r="AK73" s="152"/>
      <c r="AL73" s="152"/>
      <c r="AM73" s="152"/>
      <c r="AN73" s="152"/>
      <c r="AO73" s="152"/>
      <c r="AP73" s="152"/>
      <c r="AQ73" s="152"/>
      <c r="AR73" s="152"/>
    </row>
    <row r="74" ht="12.75" customHeight="1">
      <c r="A74" s="244" t="s">
        <v>5158</v>
      </c>
      <c r="B74" s="244" t="s">
        <v>12721</v>
      </c>
      <c r="C74" s="244" t="s">
        <v>12903</v>
      </c>
      <c r="D74" s="154" t="s">
        <v>45</v>
      </c>
      <c r="E74" s="154"/>
      <c r="F74" s="154" t="str">
        <f t="array" ref="F74">XLOOKUP(Cover!$D$12,$P$1:$X$1,$P74:$X74)</f>
        <v>Mandatory</v>
      </c>
      <c r="G74" s="154" t="s">
        <v>12904</v>
      </c>
      <c r="H74" s="154" t="s">
        <v>7305</v>
      </c>
      <c r="I74" s="154" t="s">
        <v>12902</v>
      </c>
      <c r="J74" s="154" t="s">
        <v>10718</v>
      </c>
      <c r="K74" s="154" t="s">
        <v>1018</v>
      </c>
      <c r="L74" s="154" t="s">
        <v>759</v>
      </c>
      <c r="M74" s="247" t="s">
        <v>516</v>
      </c>
      <c r="N74" s="247" t="s">
        <v>12905</v>
      </c>
      <c r="O74" s="240" t="str">
        <f t="shared" si="1"/>
        <v/>
      </c>
      <c r="P74" s="154" t="s">
        <v>66</v>
      </c>
      <c r="Q74" s="154" t="s">
        <v>66</v>
      </c>
      <c r="R74" s="154" t="s">
        <v>60</v>
      </c>
      <c r="S74" s="154" t="s">
        <v>60</v>
      </c>
      <c r="T74" s="154" t="s">
        <v>60</v>
      </c>
      <c r="U74" s="154" t="s">
        <v>60</v>
      </c>
      <c r="V74" s="154" t="s">
        <v>66</v>
      </c>
      <c r="W74" s="154" t="s">
        <v>60</v>
      </c>
      <c r="X74" s="154" t="s">
        <v>60</v>
      </c>
      <c r="Y74" s="154"/>
      <c r="Z74" s="242" t="b">
        <f t="shared" si="2"/>
        <v>1</v>
      </c>
      <c r="AA74" s="154" t="s">
        <v>391</v>
      </c>
      <c r="AB74" s="242" t="b">
        <f t="shared" si="3"/>
        <v>0</v>
      </c>
      <c r="AC74" s="154"/>
      <c r="AD74" s="242" t="b">
        <f t="shared" si="4"/>
        <v>0</v>
      </c>
      <c r="AE74" s="154" t="s">
        <v>1598</v>
      </c>
      <c r="AF74" s="243" t="str">
        <f>IF(AE74="","N/A",INDIRECT("MTR!"&amp;ADDRESS(MATCH(LEFT(AE74,9),MTR!C:C,0),COLUMN(J74)),TRUE) &amp; "")</f>
        <v>Partially Complies</v>
      </c>
      <c r="AG74" s="157" t="str">
        <f t="shared" si="5"/>
        <v/>
      </c>
      <c r="AH74" s="152"/>
      <c r="AI74" s="152"/>
      <c r="AJ74" s="152"/>
      <c r="AK74" s="152"/>
      <c r="AL74" s="152"/>
      <c r="AM74" s="152"/>
      <c r="AN74" s="152"/>
      <c r="AO74" s="152"/>
      <c r="AP74" s="152"/>
      <c r="AQ74" s="152"/>
      <c r="AR74" s="152"/>
    </row>
    <row r="75" ht="12.75" customHeight="1">
      <c r="A75" s="244" t="s">
        <v>5158</v>
      </c>
      <c r="B75" s="244" t="s">
        <v>12721</v>
      </c>
      <c r="C75" s="244" t="s">
        <v>12906</v>
      </c>
      <c r="D75" s="154" t="s">
        <v>1315</v>
      </c>
      <c r="E75" s="154"/>
      <c r="F75" s="154" t="str">
        <f t="array" ref="F75">XLOOKUP(Cover!$D$12,$P$1:$X$1,$P75:$X75)</f>
        <v>Mandatory</v>
      </c>
      <c r="G75" s="154" t="s">
        <v>12907</v>
      </c>
      <c r="H75" s="154" t="s">
        <v>12908</v>
      </c>
      <c r="I75" s="154" t="s">
        <v>12909</v>
      </c>
      <c r="J75" s="154" t="s">
        <v>6064</v>
      </c>
      <c r="K75" s="154" t="s">
        <v>1122</v>
      </c>
      <c r="L75" s="154" t="s">
        <v>759</v>
      </c>
      <c r="M75" s="247" t="s">
        <v>506</v>
      </c>
      <c r="N75" s="247" t="s">
        <v>12738</v>
      </c>
      <c r="O75" s="240" t="str">
        <f t="shared" si="1"/>
        <v/>
      </c>
      <c r="P75" s="154" t="s">
        <v>66</v>
      </c>
      <c r="Q75" s="154" t="s">
        <v>66</v>
      </c>
      <c r="R75" s="154" t="s">
        <v>60</v>
      </c>
      <c r="S75" s="154" t="s">
        <v>60</v>
      </c>
      <c r="T75" s="154" t="s">
        <v>60</v>
      </c>
      <c r="U75" s="154" t="s">
        <v>60</v>
      </c>
      <c r="V75" s="154" t="s">
        <v>66</v>
      </c>
      <c r="W75" s="154" t="s">
        <v>60</v>
      </c>
      <c r="X75" s="154" t="s">
        <v>60</v>
      </c>
      <c r="Y75" s="154"/>
      <c r="Z75" s="242" t="b">
        <f t="shared" si="2"/>
        <v>1</v>
      </c>
      <c r="AA75" s="154" t="s">
        <v>391</v>
      </c>
      <c r="AB75" s="242" t="b">
        <f t="shared" si="3"/>
        <v>0</v>
      </c>
      <c r="AC75" s="154"/>
      <c r="AD75" s="242" t="b">
        <f t="shared" si="4"/>
        <v>0</v>
      </c>
      <c r="AE75" s="154" t="s">
        <v>1598</v>
      </c>
      <c r="AF75" s="243" t="str">
        <f>IF(AE75="","N/A",INDIRECT("MTR!"&amp;ADDRESS(MATCH(LEFT(AE75,9),MTR!C:C,0),COLUMN(J75)),TRUE) &amp; "")</f>
        <v>Partially Complies</v>
      </c>
      <c r="AG75" s="157" t="str">
        <f t="shared" si="5"/>
        <v/>
      </c>
      <c r="AH75" s="152"/>
      <c r="AI75" s="152"/>
      <c r="AJ75" s="152"/>
      <c r="AK75" s="152"/>
      <c r="AL75" s="152"/>
      <c r="AM75" s="152"/>
      <c r="AN75" s="152"/>
      <c r="AO75" s="152"/>
      <c r="AP75" s="152"/>
      <c r="AQ75" s="152"/>
      <c r="AR75" s="152"/>
    </row>
    <row r="76" ht="12.75" customHeight="1">
      <c r="A76" s="244" t="s">
        <v>5158</v>
      </c>
      <c r="B76" s="244" t="s">
        <v>12721</v>
      </c>
      <c r="C76" s="244" t="s">
        <v>12910</v>
      </c>
      <c r="D76" s="154" t="s">
        <v>1315</v>
      </c>
      <c r="E76" s="154"/>
      <c r="F76" s="154" t="str">
        <f t="array" ref="F76">XLOOKUP(Cover!$D$12,$P$1:$X$1,$P76:$X76)</f>
        <v>Mandatory</v>
      </c>
      <c r="G76" s="154" t="s">
        <v>12911</v>
      </c>
      <c r="H76" s="154" t="s">
        <v>12909</v>
      </c>
      <c r="I76" s="154" t="s">
        <v>12909</v>
      </c>
      <c r="J76" s="154" t="s">
        <v>6064</v>
      </c>
      <c r="K76" s="154" t="s">
        <v>1018</v>
      </c>
      <c r="L76" s="154" t="s">
        <v>759</v>
      </c>
      <c r="M76" s="247" t="s">
        <v>516</v>
      </c>
      <c r="N76" s="247" t="s">
        <v>12741</v>
      </c>
      <c r="O76" s="240" t="str">
        <f t="shared" si="1"/>
        <v/>
      </c>
      <c r="P76" s="154" t="s">
        <v>66</v>
      </c>
      <c r="Q76" s="154" t="s">
        <v>66</v>
      </c>
      <c r="R76" s="155" t="s">
        <v>64</v>
      </c>
      <c r="S76" s="155" t="s">
        <v>64</v>
      </c>
      <c r="T76" s="154" t="s">
        <v>60</v>
      </c>
      <c r="U76" s="154" t="s">
        <v>60</v>
      </c>
      <c r="V76" s="154" t="s">
        <v>66</v>
      </c>
      <c r="W76" s="155" t="s">
        <v>64</v>
      </c>
      <c r="X76" s="154" t="s">
        <v>60</v>
      </c>
      <c r="Y76" s="154"/>
      <c r="Z76" s="242" t="b">
        <f t="shared" si="2"/>
        <v>1</v>
      </c>
      <c r="AA76" s="154" t="s">
        <v>391</v>
      </c>
      <c r="AB76" s="242" t="b">
        <f t="shared" si="3"/>
        <v>0</v>
      </c>
      <c r="AC76" s="154"/>
      <c r="AD76" s="242" t="b">
        <f t="shared" si="4"/>
        <v>0</v>
      </c>
      <c r="AE76" s="154" t="s">
        <v>1598</v>
      </c>
      <c r="AF76" s="243" t="str">
        <f>IF(AE76="","N/A",INDIRECT("MTR!"&amp;ADDRESS(MATCH(LEFT(AE76,9),MTR!C:C,0),COLUMN(J76)),TRUE) &amp; "")</f>
        <v>Partially Complies</v>
      </c>
      <c r="AG76" s="157" t="str">
        <f t="shared" si="5"/>
        <v/>
      </c>
      <c r="AH76" s="152"/>
      <c r="AI76" s="152"/>
      <c r="AJ76" s="152"/>
      <c r="AK76" s="152"/>
      <c r="AL76" s="152"/>
      <c r="AM76" s="152"/>
      <c r="AN76" s="152"/>
      <c r="AO76" s="152"/>
      <c r="AP76" s="152"/>
      <c r="AQ76" s="152"/>
      <c r="AR76" s="152"/>
    </row>
    <row r="77" ht="12.75" customHeight="1">
      <c r="A77" s="244" t="s">
        <v>5158</v>
      </c>
      <c r="B77" s="244" t="s">
        <v>12721</v>
      </c>
      <c r="C77" s="244" t="s">
        <v>12912</v>
      </c>
      <c r="D77" s="154" t="s">
        <v>1315</v>
      </c>
      <c r="E77" s="154"/>
      <c r="F77" s="154" t="str">
        <f t="array" ref="F77">XLOOKUP(Cover!$D$12,$P$1:$X$1,$P77:$X77)</f>
        <v>Mandatory</v>
      </c>
      <c r="G77" s="154" t="s">
        <v>12913</v>
      </c>
      <c r="H77" s="154" t="s">
        <v>12908</v>
      </c>
      <c r="I77" s="154" t="s">
        <v>12909</v>
      </c>
      <c r="J77" s="154" t="s">
        <v>6884</v>
      </c>
      <c r="K77" s="154" t="s">
        <v>1122</v>
      </c>
      <c r="L77" s="154" t="s">
        <v>759</v>
      </c>
      <c r="M77" s="247" t="s">
        <v>506</v>
      </c>
      <c r="N77" s="247" t="s">
        <v>12738</v>
      </c>
      <c r="O77" s="240" t="str">
        <f t="shared" si="1"/>
        <v/>
      </c>
      <c r="P77" s="154" t="s">
        <v>66</v>
      </c>
      <c r="Q77" s="154" t="s">
        <v>66</v>
      </c>
      <c r="R77" s="154" t="s">
        <v>60</v>
      </c>
      <c r="S77" s="154" t="s">
        <v>60</v>
      </c>
      <c r="T77" s="154" t="s">
        <v>60</v>
      </c>
      <c r="U77" s="154" t="s">
        <v>60</v>
      </c>
      <c r="V77" s="154" t="s">
        <v>66</v>
      </c>
      <c r="W77" s="154" t="s">
        <v>60</v>
      </c>
      <c r="X77" s="154" t="s">
        <v>60</v>
      </c>
      <c r="Y77" s="154"/>
      <c r="Z77" s="242" t="b">
        <f t="shared" si="2"/>
        <v>1</v>
      </c>
      <c r="AA77" s="154" t="s">
        <v>391</v>
      </c>
      <c r="AB77" s="242" t="b">
        <f t="shared" si="3"/>
        <v>0</v>
      </c>
      <c r="AC77" s="154"/>
      <c r="AD77" s="242" t="b">
        <f t="shared" si="4"/>
        <v>0</v>
      </c>
      <c r="AE77" s="154" t="s">
        <v>1598</v>
      </c>
      <c r="AF77" s="243" t="str">
        <f>IF(AE77="","N/A",INDIRECT("MTR!"&amp;ADDRESS(MATCH(LEFT(AE77,9),MTR!C:C,0),COLUMN(J77)),TRUE) &amp; "")</f>
        <v>Partially Complies</v>
      </c>
      <c r="AG77" s="157" t="str">
        <f t="shared" si="5"/>
        <v/>
      </c>
      <c r="AH77" s="152"/>
      <c r="AI77" s="152"/>
      <c r="AJ77" s="152"/>
      <c r="AK77" s="152"/>
      <c r="AL77" s="152"/>
      <c r="AM77" s="152"/>
      <c r="AN77" s="152"/>
      <c r="AO77" s="152"/>
      <c r="AP77" s="152"/>
      <c r="AQ77" s="152"/>
      <c r="AR77" s="152"/>
    </row>
    <row r="78" ht="12.75" customHeight="1">
      <c r="A78" s="244" t="s">
        <v>5158</v>
      </c>
      <c r="B78" s="244" t="s">
        <v>12721</v>
      </c>
      <c r="C78" s="244" t="s">
        <v>12914</v>
      </c>
      <c r="D78" s="154" t="s">
        <v>1315</v>
      </c>
      <c r="E78" s="154"/>
      <c r="F78" s="154" t="str">
        <f t="array" ref="F78">XLOOKUP(Cover!$D$12,$P$1:$X$1,$P78:$X78)</f>
        <v>Mandatory</v>
      </c>
      <c r="G78" s="154" t="s">
        <v>12915</v>
      </c>
      <c r="H78" s="154" t="s">
        <v>12909</v>
      </c>
      <c r="I78" s="154" t="s">
        <v>12909</v>
      </c>
      <c r="J78" s="154" t="s">
        <v>6884</v>
      </c>
      <c r="K78" s="154" t="s">
        <v>1018</v>
      </c>
      <c r="L78" s="154" t="s">
        <v>759</v>
      </c>
      <c r="M78" s="247" t="s">
        <v>516</v>
      </c>
      <c r="N78" s="247" t="s">
        <v>12741</v>
      </c>
      <c r="O78" s="240" t="str">
        <f t="shared" si="1"/>
        <v/>
      </c>
      <c r="P78" s="154" t="s">
        <v>66</v>
      </c>
      <c r="Q78" s="154" t="s">
        <v>66</v>
      </c>
      <c r="R78" s="155" t="s">
        <v>64</v>
      </c>
      <c r="S78" s="155" t="s">
        <v>64</v>
      </c>
      <c r="T78" s="154" t="s">
        <v>60</v>
      </c>
      <c r="U78" s="154" t="s">
        <v>60</v>
      </c>
      <c r="V78" s="154" t="s">
        <v>66</v>
      </c>
      <c r="W78" s="155" t="s">
        <v>64</v>
      </c>
      <c r="X78" s="154" t="s">
        <v>60</v>
      </c>
      <c r="Y78" s="154"/>
      <c r="Z78" s="242" t="b">
        <f t="shared" si="2"/>
        <v>1</v>
      </c>
      <c r="AA78" s="154" t="s">
        <v>391</v>
      </c>
      <c r="AB78" s="242" t="b">
        <f t="shared" si="3"/>
        <v>0</v>
      </c>
      <c r="AC78" s="154"/>
      <c r="AD78" s="242" t="b">
        <f t="shared" si="4"/>
        <v>0</v>
      </c>
      <c r="AE78" s="154" t="s">
        <v>1598</v>
      </c>
      <c r="AF78" s="243" t="str">
        <f>IF(AE78="","N/A",INDIRECT("MTR!"&amp;ADDRESS(MATCH(LEFT(AE78,9),MTR!C:C,0),COLUMN(J78)),TRUE) &amp; "")</f>
        <v>Partially Complies</v>
      </c>
      <c r="AG78" s="157" t="str">
        <f t="shared" si="5"/>
        <v/>
      </c>
      <c r="AH78" s="152"/>
      <c r="AI78" s="152"/>
      <c r="AJ78" s="152"/>
      <c r="AK78" s="152"/>
      <c r="AL78" s="152"/>
      <c r="AM78" s="152"/>
      <c r="AN78" s="152"/>
      <c r="AO78" s="152"/>
      <c r="AP78" s="152"/>
      <c r="AQ78" s="152"/>
      <c r="AR78" s="152"/>
    </row>
    <row r="79" ht="12.75" customHeight="1">
      <c r="A79" s="244" t="s">
        <v>5158</v>
      </c>
      <c r="B79" s="244" t="s">
        <v>12721</v>
      </c>
      <c r="C79" s="244" t="s">
        <v>12916</v>
      </c>
      <c r="D79" s="154" t="s">
        <v>503</v>
      </c>
      <c r="E79" s="154"/>
      <c r="F79" s="154" t="str">
        <f t="array" ref="F79">XLOOKUP(Cover!$D$12,$P$1:$X$1,$P79:$X79)</f>
        <v>Mandatory</v>
      </c>
      <c r="G79" s="154" t="s">
        <v>12917</v>
      </c>
      <c r="H79" s="154" t="s">
        <v>12908</v>
      </c>
      <c r="I79" s="154" t="s">
        <v>12909</v>
      </c>
      <c r="J79" s="154" t="s">
        <v>7431</v>
      </c>
      <c r="K79" s="154" t="s">
        <v>1122</v>
      </c>
      <c r="L79" s="154" t="s">
        <v>759</v>
      </c>
      <c r="M79" s="247" t="s">
        <v>516</v>
      </c>
      <c r="N79" s="247" t="s">
        <v>12748</v>
      </c>
      <c r="O79" s="240" t="str">
        <f t="shared" si="1"/>
        <v/>
      </c>
      <c r="P79" s="154" t="s">
        <v>66</v>
      </c>
      <c r="Q79" s="154" t="s">
        <v>66</v>
      </c>
      <c r="R79" s="154" t="s">
        <v>60</v>
      </c>
      <c r="S79" s="154" t="s">
        <v>60</v>
      </c>
      <c r="T79" s="154" t="s">
        <v>60</v>
      </c>
      <c r="U79" s="154" t="s">
        <v>60</v>
      </c>
      <c r="V79" s="154" t="s">
        <v>66</v>
      </c>
      <c r="W79" s="154" t="s">
        <v>60</v>
      </c>
      <c r="X79" s="154" t="s">
        <v>60</v>
      </c>
      <c r="Y79" s="154"/>
      <c r="Z79" s="242" t="b">
        <f t="shared" si="2"/>
        <v>1</v>
      </c>
      <c r="AA79" s="154" t="s">
        <v>391</v>
      </c>
      <c r="AB79" s="242" t="b">
        <f t="shared" si="3"/>
        <v>0</v>
      </c>
      <c r="AC79" s="154"/>
      <c r="AD79" s="242" t="b">
        <f t="shared" si="4"/>
        <v>0</v>
      </c>
      <c r="AE79" s="154" t="s">
        <v>1598</v>
      </c>
      <c r="AF79" s="243" t="str">
        <f>IF(AE79="","N/A",INDIRECT("MTR!"&amp;ADDRESS(MATCH(LEFT(AE79,9),MTR!C:C,0),COLUMN(J79)),TRUE) &amp; "")</f>
        <v>Partially Complies</v>
      </c>
      <c r="AG79" s="157" t="str">
        <f t="shared" si="5"/>
        <v/>
      </c>
      <c r="AH79" s="152"/>
      <c r="AI79" s="152"/>
      <c r="AJ79" s="152"/>
      <c r="AK79" s="152"/>
      <c r="AL79" s="152"/>
      <c r="AM79" s="152"/>
      <c r="AN79" s="152"/>
      <c r="AO79" s="152"/>
      <c r="AP79" s="152"/>
      <c r="AQ79" s="152"/>
      <c r="AR79" s="152"/>
    </row>
    <row r="80" ht="12.75" customHeight="1">
      <c r="A80" s="244" t="s">
        <v>5158</v>
      </c>
      <c r="B80" s="244" t="s">
        <v>12721</v>
      </c>
      <c r="C80" s="244" t="s">
        <v>12918</v>
      </c>
      <c r="D80" s="154" t="s">
        <v>503</v>
      </c>
      <c r="E80" s="154"/>
      <c r="F80" s="154" t="str">
        <f t="array" ref="F80">XLOOKUP(Cover!$D$12,$P$1:$X$1,$P80:$X80)</f>
        <v>Mandatory</v>
      </c>
      <c r="G80" s="154" t="s">
        <v>12919</v>
      </c>
      <c r="H80" s="154" t="s">
        <v>12909</v>
      </c>
      <c r="I80" s="154" t="s">
        <v>12909</v>
      </c>
      <c r="J80" s="154" t="s">
        <v>7431</v>
      </c>
      <c r="K80" s="154" t="s">
        <v>1018</v>
      </c>
      <c r="L80" s="154" t="s">
        <v>759</v>
      </c>
      <c r="M80" s="247" t="s">
        <v>516</v>
      </c>
      <c r="N80" s="247" t="s">
        <v>12751</v>
      </c>
      <c r="O80" s="240" t="str">
        <f t="shared" si="1"/>
        <v/>
      </c>
      <c r="P80" s="154" t="s">
        <v>66</v>
      </c>
      <c r="Q80" s="154" t="s">
        <v>66</v>
      </c>
      <c r="R80" s="155" t="s">
        <v>64</v>
      </c>
      <c r="S80" s="155" t="s">
        <v>64</v>
      </c>
      <c r="T80" s="154" t="s">
        <v>60</v>
      </c>
      <c r="U80" s="154" t="s">
        <v>60</v>
      </c>
      <c r="V80" s="154" t="s">
        <v>66</v>
      </c>
      <c r="W80" s="155" t="s">
        <v>64</v>
      </c>
      <c r="X80" s="154" t="s">
        <v>60</v>
      </c>
      <c r="Y80" s="154"/>
      <c r="Z80" s="242" t="b">
        <f t="shared" si="2"/>
        <v>1</v>
      </c>
      <c r="AA80" s="154" t="s">
        <v>391</v>
      </c>
      <c r="AB80" s="242" t="b">
        <f t="shared" si="3"/>
        <v>0</v>
      </c>
      <c r="AC80" s="154"/>
      <c r="AD80" s="242" t="b">
        <f t="shared" si="4"/>
        <v>0</v>
      </c>
      <c r="AE80" s="154" t="s">
        <v>1598</v>
      </c>
      <c r="AF80" s="243" t="str">
        <f>IF(AE80="","N/A",INDIRECT("MTR!"&amp;ADDRESS(MATCH(LEFT(AE80,9),MTR!C:C,0),COLUMN(J80)),TRUE) &amp; "")</f>
        <v>Partially Complies</v>
      </c>
      <c r="AG80" s="157" t="str">
        <f t="shared" si="5"/>
        <v/>
      </c>
      <c r="AH80" s="152"/>
      <c r="AI80" s="152"/>
      <c r="AJ80" s="152"/>
      <c r="AK80" s="152"/>
      <c r="AL80" s="152"/>
      <c r="AM80" s="152"/>
      <c r="AN80" s="152"/>
      <c r="AO80" s="152"/>
      <c r="AP80" s="152"/>
      <c r="AQ80" s="152"/>
      <c r="AR80" s="152"/>
    </row>
    <row r="81" ht="12.75" customHeight="1">
      <c r="A81" s="244" t="s">
        <v>5158</v>
      </c>
      <c r="B81" s="244" t="s">
        <v>12721</v>
      </c>
      <c r="C81" s="244" t="s">
        <v>12920</v>
      </c>
      <c r="D81" s="154" t="s">
        <v>45</v>
      </c>
      <c r="E81" s="154"/>
      <c r="F81" s="154" t="str">
        <f t="array" ref="F81">XLOOKUP(Cover!$D$12,$P$1:$X$1,$P81:$X81)</f>
        <v>Information</v>
      </c>
      <c r="G81" s="154" t="s">
        <v>12921</v>
      </c>
      <c r="H81" s="154" t="s">
        <v>7835</v>
      </c>
      <c r="I81" s="154" t="s">
        <v>12922</v>
      </c>
      <c r="J81" s="154" t="s">
        <v>6126</v>
      </c>
      <c r="K81" s="154"/>
      <c r="L81" s="154" t="s">
        <v>759</v>
      </c>
      <c r="M81" s="247" t="s">
        <v>516</v>
      </c>
      <c r="N81" s="247" t="s">
        <v>12731</v>
      </c>
      <c r="O81" s="240" t="str">
        <f t="shared" si="1"/>
        <v/>
      </c>
      <c r="P81" s="154" t="s">
        <v>66</v>
      </c>
      <c r="Q81" s="154" t="s">
        <v>66</v>
      </c>
      <c r="R81" s="154" t="s">
        <v>66</v>
      </c>
      <c r="S81" s="154" t="s">
        <v>66</v>
      </c>
      <c r="T81" s="154" t="s">
        <v>66</v>
      </c>
      <c r="U81" s="154" t="s">
        <v>66</v>
      </c>
      <c r="V81" s="154" t="s">
        <v>66</v>
      </c>
      <c r="W81" s="154" t="s">
        <v>66</v>
      </c>
      <c r="X81" s="154" t="s">
        <v>66</v>
      </c>
      <c r="Y81" s="154"/>
      <c r="Z81" s="242" t="b">
        <f t="shared" si="2"/>
        <v>1</v>
      </c>
      <c r="AA81" s="154" t="s">
        <v>391</v>
      </c>
      <c r="AB81" s="242" t="b">
        <f t="shared" si="3"/>
        <v>0</v>
      </c>
      <c r="AC81" s="154"/>
      <c r="AD81" s="242" t="b">
        <f t="shared" si="4"/>
        <v>0</v>
      </c>
      <c r="AE81" s="154" t="s">
        <v>1598</v>
      </c>
      <c r="AF81" s="243" t="str">
        <f>IF(AE81="","N/A",INDIRECT("MTR!"&amp;ADDRESS(MATCH(LEFT(AE81,9),MTR!C:C,0),COLUMN(J81)),TRUE) &amp; "")</f>
        <v>Partially Complies</v>
      </c>
      <c r="AG81" s="157" t="str">
        <f t="shared" si="5"/>
        <v/>
      </c>
      <c r="AH81" s="152"/>
      <c r="AI81" s="152"/>
      <c r="AJ81" s="152"/>
      <c r="AK81" s="152"/>
      <c r="AL81" s="152"/>
      <c r="AM81" s="152"/>
      <c r="AN81" s="152"/>
      <c r="AO81" s="152"/>
      <c r="AP81" s="152"/>
      <c r="AQ81" s="152"/>
      <c r="AR81" s="152"/>
    </row>
    <row r="82" ht="12.75" customHeight="1">
      <c r="A82" s="244" t="s">
        <v>5158</v>
      </c>
      <c r="B82" s="244" t="s">
        <v>12721</v>
      </c>
      <c r="C82" s="244" t="s">
        <v>12923</v>
      </c>
      <c r="D82" s="154" t="s">
        <v>45</v>
      </c>
      <c r="E82" s="154"/>
      <c r="F82" s="154" t="str">
        <f t="array" ref="F82">XLOOKUP(Cover!$D$12,$P$1:$X$1,$P82:$X82)</f>
        <v>Information</v>
      </c>
      <c r="G82" s="154" t="s">
        <v>12924</v>
      </c>
      <c r="H82" s="154" t="s">
        <v>7835</v>
      </c>
      <c r="I82" s="154" t="s">
        <v>12922</v>
      </c>
      <c r="J82" s="154" t="s">
        <v>6655</v>
      </c>
      <c r="K82" s="154"/>
      <c r="L82" s="154" t="s">
        <v>759</v>
      </c>
      <c r="M82" s="247" t="s">
        <v>516</v>
      </c>
      <c r="N82" s="247" t="s">
        <v>12731</v>
      </c>
      <c r="O82" s="240" t="str">
        <f t="shared" si="1"/>
        <v/>
      </c>
      <c r="P82" s="154" t="s">
        <v>66</v>
      </c>
      <c r="Q82" s="154" t="s">
        <v>66</v>
      </c>
      <c r="R82" s="154" t="s">
        <v>66</v>
      </c>
      <c r="S82" s="154" t="s">
        <v>66</v>
      </c>
      <c r="T82" s="154" t="s">
        <v>66</v>
      </c>
      <c r="U82" s="154" t="s">
        <v>66</v>
      </c>
      <c r="V82" s="154" t="s">
        <v>66</v>
      </c>
      <c r="W82" s="154" t="s">
        <v>66</v>
      </c>
      <c r="X82" s="154" t="s">
        <v>66</v>
      </c>
      <c r="Y82" s="154"/>
      <c r="Z82" s="242" t="b">
        <f t="shared" si="2"/>
        <v>1</v>
      </c>
      <c r="AA82" s="154" t="s">
        <v>391</v>
      </c>
      <c r="AB82" s="242" t="b">
        <f t="shared" si="3"/>
        <v>0</v>
      </c>
      <c r="AC82" s="154"/>
      <c r="AD82" s="242" t="b">
        <f t="shared" si="4"/>
        <v>0</v>
      </c>
      <c r="AE82" s="154" t="s">
        <v>1598</v>
      </c>
      <c r="AF82" s="243" t="str">
        <f>IF(AE82="","N/A",INDIRECT("MTR!"&amp;ADDRESS(MATCH(LEFT(AE82,9),MTR!C:C,0),COLUMN(J82)),TRUE) &amp; "")</f>
        <v>Partially Complies</v>
      </c>
      <c r="AG82" s="157" t="str">
        <f t="shared" si="5"/>
        <v/>
      </c>
      <c r="AH82" s="152"/>
      <c r="AI82" s="152"/>
      <c r="AJ82" s="152"/>
      <c r="AK82" s="152"/>
      <c r="AL82" s="152"/>
      <c r="AM82" s="152"/>
      <c r="AN82" s="152"/>
      <c r="AO82" s="152"/>
      <c r="AP82" s="152"/>
      <c r="AQ82" s="152"/>
      <c r="AR82" s="152"/>
    </row>
    <row r="83" ht="12.75" customHeight="1">
      <c r="A83" s="244" t="s">
        <v>5158</v>
      </c>
      <c r="B83" s="244" t="s">
        <v>12721</v>
      </c>
      <c r="C83" s="244" t="s">
        <v>12925</v>
      </c>
      <c r="D83" s="154" t="s">
        <v>1773</v>
      </c>
      <c r="E83" s="154"/>
      <c r="F83" s="154" t="str">
        <f t="array" ref="F83">XLOOKUP(Cover!$D$12,$P$1:$X$1,$P83:$X83)</f>
        <v>Information</v>
      </c>
      <c r="G83" s="154" t="s">
        <v>12926</v>
      </c>
      <c r="H83" s="154" t="s">
        <v>12927</v>
      </c>
      <c r="I83" s="154" t="s">
        <v>12928</v>
      </c>
      <c r="J83" s="154" t="s">
        <v>6126</v>
      </c>
      <c r="K83" s="154"/>
      <c r="L83" s="154" t="s">
        <v>759</v>
      </c>
      <c r="M83" s="247" t="s">
        <v>506</v>
      </c>
      <c r="N83" s="247" t="s">
        <v>12738</v>
      </c>
      <c r="O83" s="240" t="str">
        <f t="shared" si="1"/>
        <v/>
      </c>
      <c r="P83" s="154" t="s">
        <v>66</v>
      </c>
      <c r="Q83" s="154" t="s">
        <v>66</v>
      </c>
      <c r="R83" s="154" t="s">
        <v>66</v>
      </c>
      <c r="S83" s="154" t="s">
        <v>66</v>
      </c>
      <c r="T83" s="154" t="s">
        <v>66</v>
      </c>
      <c r="U83" s="154" t="s">
        <v>66</v>
      </c>
      <c r="V83" s="154" t="s">
        <v>66</v>
      </c>
      <c r="W83" s="154" t="s">
        <v>66</v>
      </c>
      <c r="X83" s="154" t="s">
        <v>66</v>
      </c>
      <c r="Y83" s="154"/>
      <c r="Z83" s="242" t="b">
        <f t="shared" si="2"/>
        <v>1</v>
      </c>
      <c r="AA83" s="154" t="s">
        <v>391</v>
      </c>
      <c r="AB83" s="242" t="b">
        <f t="shared" si="3"/>
        <v>0</v>
      </c>
      <c r="AC83" s="154"/>
      <c r="AD83" s="242" t="b">
        <f t="shared" si="4"/>
        <v>0</v>
      </c>
      <c r="AE83" s="154" t="s">
        <v>1598</v>
      </c>
      <c r="AF83" s="243" t="str">
        <f>IF(AE83="","N/A",INDIRECT("MTR!"&amp;ADDRESS(MATCH(LEFT(AE83,9),MTR!C:C,0),COLUMN(J83)),TRUE) &amp; "")</f>
        <v>Partially Complies</v>
      </c>
      <c r="AG83" s="157" t="str">
        <f t="shared" si="5"/>
        <v/>
      </c>
      <c r="AH83" s="152"/>
      <c r="AI83" s="152"/>
      <c r="AJ83" s="152"/>
      <c r="AK83" s="152"/>
      <c r="AL83" s="152"/>
      <c r="AM83" s="152"/>
      <c r="AN83" s="152"/>
      <c r="AO83" s="152"/>
      <c r="AP83" s="152"/>
      <c r="AQ83" s="152"/>
      <c r="AR83" s="152"/>
    </row>
    <row r="84" ht="12.75" customHeight="1">
      <c r="A84" s="244" t="s">
        <v>5158</v>
      </c>
      <c r="B84" s="244" t="s">
        <v>12721</v>
      </c>
      <c r="C84" s="244" t="s">
        <v>12929</v>
      </c>
      <c r="D84" s="154" t="s">
        <v>503</v>
      </c>
      <c r="E84" s="154"/>
      <c r="F84" s="154" t="str">
        <f t="array" ref="F84">XLOOKUP(Cover!$D$12,$P$1:$X$1,$P84:$X84)</f>
        <v>Information</v>
      </c>
      <c r="G84" s="154" t="s">
        <v>12930</v>
      </c>
      <c r="H84" s="154" t="s">
        <v>12928</v>
      </c>
      <c r="I84" s="154" t="s">
        <v>12928</v>
      </c>
      <c r="J84" s="154" t="s">
        <v>7431</v>
      </c>
      <c r="K84" s="154"/>
      <c r="L84" s="154" t="s">
        <v>759</v>
      </c>
      <c r="M84" s="247" t="s">
        <v>516</v>
      </c>
      <c r="N84" s="247" t="s">
        <v>12741</v>
      </c>
      <c r="O84" s="240" t="str">
        <f t="shared" si="1"/>
        <v/>
      </c>
      <c r="P84" s="154" t="s">
        <v>66</v>
      </c>
      <c r="Q84" s="154" t="s">
        <v>66</v>
      </c>
      <c r="R84" s="154" t="s">
        <v>66</v>
      </c>
      <c r="S84" s="154" t="s">
        <v>66</v>
      </c>
      <c r="T84" s="154" t="s">
        <v>66</v>
      </c>
      <c r="U84" s="154" t="s">
        <v>66</v>
      </c>
      <c r="V84" s="154" t="s">
        <v>66</v>
      </c>
      <c r="W84" s="154" t="s">
        <v>66</v>
      </c>
      <c r="X84" s="154" t="s">
        <v>66</v>
      </c>
      <c r="Y84" s="154"/>
      <c r="Z84" s="242" t="b">
        <f t="shared" si="2"/>
        <v>1</v>
      </c>
      <c r="AA84" s="154" t="s">
        <v>391</v>
      </c>
      <c r="AB84" s="242" t="b">
        <f t="shared" si="3"/>
        <v>0</v>
      </c>
      <c r="AC84" s="154"/>
      <c r="AD84" s="242" t="b">
        <f t="shared" si="4"/>
        <v>0</v>
      </c>
      <c r="AE84" s="154" t="s">
        <v>1598</v>
      </c>
      <c r="AF84" s="243" t="str">
        <f>IF(AE84="","N/A",INDIRECT("MTR!"&amp;ADDRESS(MATCH(LEFT(AE84,9),MTR!C:C,0),COLUMN(J84)),TRUE) &amp; "")</f>
        <v>Partially Complies</v>
      </c>
      <c r="AG84" s="157" t="str">
        <f t="shared" si="5"/>
        <v/>
      </c>
      <c r="AH84" s="152"/>
      <c r="AI84" s="152"/>
      <c r="AJ84" s="152"/>
      <c r="AK84" s="152"/>
      <c r="AL84" s="152"/>
      <c r="AM84" s="152"/>
      <c r="AN84" s="152"/>
      <c r="AO84" s="152"/>
      <c r="AP84" s="152"/>
      <c r="AQ84" s="152"/>
      <c r="AR84" s="152"/>
    </row>
    <row r="85" ht="12.75" customHeight="1">
      <c r="A85" s="244" t="s">
        <v>5158</v>
      </c>
      <c r="B85" s="244" t="s">
        <v>12721</v>
      </c>
      <c r="C85" s="255" t="s">
        <v>12931</v>
      </c>
      <c r="D85" s="256" t="s">
        <v>42</v>
      </c>
      <c r="E85" s="256" t="s">
        <v>489</v>
      </c>
      <c r="F85" s="154" t="str">
        <f t="array" ref="F85">XLOOKUP(Cover!$D$12,$P$1:$X$1,$P85:$X85)</f>
        <v>Information</v>
      </c>
      <c r="G85" s="154" t="s">
        <v>12932</v>
      </c>
      <c r="H85" s="154" t="s">
        <v>12933</v>
      </c>
      <c r="I85" s="154" t="s">
        <v>12934</v>
      </c>
      <c r="J85" s="154" t="s">
        <v>5931</v>
      </c>
      <c r="K85" s="154"/>
      <c r="L85" s="154" t="s">
        <v>759</v>
      </c>
      <c r="M85" s="247" t="s">
        <v>516</v>
      </c>
      <c r="N85" s="247" t="s">
        <v>12731</v>
      </c>
      <c r="O85" s="240" t="str">
        <f t="shared" si="1"/>
        <v/>
      </c>
      <c r="P85" s="154" t="s">
        <v>66</v>
      </c>
      <c r="Q85" s="154" t="s">
        <v>66</v>
      </c>
      <c r="R85" s="154" t="s">
        <v>66</v>
      </c>
      <c r="S85" s="154" t="s">
        <v>66</v>
      </c>
      <c r="T85" s="154" t="s">
        <v>66</v>
      </c>
      <c r="U85" s="154" t="s">
        <v>66</v>
      </c>
      <c r="V85" s="154" t="s">
        <v>66</v>
      </c>
      <c r="W85" s="154" t="s">
        <v>66</v>
      </c>
      <c r="X85" s="154" t="s">
        <v>66</v>
      </c>
      <c r="Y85" s="154"/>
      <c r="Z85" s="242" t="b">
        <f t="shared" si="2"/>
        <v>1</v>
      </c>
      <c r="AA85" s="154" t="s">
        <v>391</v>
      </c>
      <c r="AB85" s="242" t="b">
        <f t="shared" si="3"/>
        <v>0</v>
      </c>
      <c r="AC85" s="154"/>
      <c r="AD85" s="242" t="b">
        <f t="shared" si="4"/>
        <v>0</v>
      </c>
      <c r="AE85" s="154" t="s">
        <v>1598</v>
      </c>
      <c r="AF85" s="243" t="str">
        <f>IF(AE85="","N/A",INDIRECT("MTR!"&amp;ADDRESS(MATCH(LEFT(AE85,9),MTR!C:C,0),COLUMN(J85)),TRUE) &amp; "")</f>
        <v>Partially Complies</v>
      </c>
      <c r="AG85" s="157" t="str">
        <f t="shared" si="5"/>
        <v/>
      </c>
      <c r="AH85" s="152"/>
      <c r="AI85" s="152"/>
      <c r="AJ85" s="152"/>
      <c r="AK85" s="152"/>
      <c r="AL85" s="152"/>
      <c r="AM85" s="152"/>
      <c r="AN85" s="152"/>
      <c r="AO85" s="152"/>
      <c r="AP85" s="152"/>
      <c r="AQ85" s="152"/>
      <c r="AR85" s="152"/>
    </row>
    <row r="86" ht="12.75" customHeight="1">
      <c r="A86" s="244" t="s">
        <v>5158</v>
      </c>
      <c r="B86" s="244" t="s">
        <v>12721</v>
      </c>
      <c r="C86" s="255" t="s">
        <v>12935</v>
      </c>
      <c r="D86" s="256" t="s">
        <v>42</v>
      </c>
      <c r="E86" s="256" t="s">
        <v>489</v>
      </c>
      <c r="F86" s="154" t="str">
        <f t="array" ref="F86">XLOOKUP(Cover!$D$12,$P$1:$X$1,$P86:$X86)</f>
        <v>Information</v>
      </c>
      <c r="G86" s="154" t="s">
        <v>12936</v>
      </c>
      <c r="H86" s="154" t="s">
        <v>12934</v>
      </c>
      <c r="I86" s="154" t="s">
        <v>12934</v>
      </c>
      <c r="J86" s="154" t="s">
        <v>5931</v>
      </c>
      <c r="K86" s="154"/>
      <c r="L86" s="154" t="s">
        <v>759</v>
      </c>
      <c r="M86" s="247" t="s">
        <v>516</v>
      </c>
      <c r="N86" s="247" t="s">
        <v>12731</v>
      </c>
      <c r="O86" s="240" t="str">
        <f t="shared" si="1"/>
        <v/>
      </c>
      <c r="P86" s="154" t="s">
        <v>66</v>
      </c>
      <c r="Q86" s="154" t="s">
        <v>66</v>
      </c>
      <c r="R86" s="154" t="s">
        <v>66</v>
      </c>
      <c r="S86" s="154" t="s">
        <v>66</v>
      </c>
      <c r="T86" s="154" t="s">
        <v>66</v>
      </c>
      <c r="U86" s="154" t="s">
        <v>66</v>
      </c>
      <c r="V86" s="154" t="s">
        <v>66</v>
      </c>
      <c r="W86" s="154" t="s">
        <v>66</v>
      </c>
      <c r="X86" s="154" t="s">
        <v>66</v>
      </c>
      <c r="Y86" s="154"/>
      <c r="Z86" s="242" t="b">
        <f t="shared" si="2"/>
        <v>1</v>
      </c>
      <c r="AA86" s="154" t="s">
        <v>391</v>
      </c>
      <c r="AB86" s="242" t="b">
        <f t="shared" si="3"/>
        <v>0</v>
      </c>
      <c r="AC86" s="154"/>
      <c r="AD86" s="242" t="b">
        <f t="shared" si="4"/>
        <v>0</v>
      </c>
      <c r="AE86" s="154" t="s">
        <v>1598</v>
      </c>
      <c r="AF86" s="243" t="str">
        <f>IF(AE86="","N/A",INDIRECT("MTR!"&amp;ADDRESS(MATCH(LEFT(AE86,9),MTR!C:C,0),COLUMN(J86)),TRUE) &amp; "")</f>
        <v>Partially Complies</v>
      </c>
      <c r="AG86" s="157" t="str">
        <f t="shared" si="5"/>
        <v/>
      </c>
      <c r="AH86" s="152"/>
      <c r="AI86" s="152"/>
      <c r="AJ86" s="152"/>
      <c r="AK86" s="152"/>
      <c r="AL86" s="152"/>
      <c r="AM86" s="152"/>
      <c r="AN86" s="152"/>
      <c r="AO86" s="152"/>
      <c r="AP86" s="152"/>
      <c r="AQ86" s="152"/>
      <c r="AR86" s="152"/>
    </row>
    <row r="87" ht="12.75" customHeight="1">
      <c r="A87" s="244" t="s">
        <v>5158</v>
      </c>
      <c r="B87" s="244" t="s">
        <v>12721</v>
      </c>
      <c r="C87" s="244" t="s">
        <v>12937</v>
      </c>
      <c r="D87" s="154" t="s">
        <v>1315</v>
      </c>
      <c r="E87" s="154"/>
      <c r="F87" s="154" t="str">
        <f t="array" ref="F87">XLOOKUP(Cover!$D$12,$P$1:$X$1,$P87:$X87)</f>
        <v>Mandatory</v>
      </c>
      <c r="G87" s="154" t="s">
        <v>12938</v>
      </c>
      <c r="H87" s="154" t="s">
        <v>12939</v>
      </c>
      <c r="I87" s="154" t="s">
        <v>12940</v>
      </c>
      <c r="J87" s="154" t="s">
        <v>6232</v>
      </c>
      <c r="K87" s="154" t="s">
        <v>1122</v>
      </c>
      <c r="L87" s="154" t="s">
        <v>759</v>
      </c>
      <c r="M87" s="247" t="s">
        <v>506</v>
      </c>
      <c r="N87" s="247" t="s">
        <v>12738</v>
      </c>
      <c r="O87" s="240" t="str">
        <f t="shared" si="1"/>
        <v/>
      </c>
      <c r="P87" s="154" t="s">
        <v>66</v>
      </c>
      <c r="Q87" s="154" t="s">
        <v>66</v>
      </c>
      <c r="R87" s="154" t="s">
        <v>60</v>
      </c>
      <c r="S87" s="154" t="s">
        <v>60</v>
      </c>
      <c r="T87" s="154" t="s">
        <v>60</v>
      </c>
      <c r="U87" s="154" t="s">
        <v>60</v>
      </c>
      <c r="V87" s="154" t="s">
        <v>66</v>
      </c>
      <c r="W87" s="154" t="s">
        <v>60</v>
      </c>
      <c r="X87" s="154" t="s">
        <v>60</v>
      </c>
      <c r="Y87" s="154"/>
      <c r="Z87" s="242" t="b">
        <f t="shared" si="2"/>
        <v>1</v>
      </c>
      <c r="AA87" s="154" t="s">
        <v>391</v>
      </c>
      <c r="AB87" s="242" t="b">
        <f t="shared" si="3"/>
        <v>0</v>
      </c>
      <c r="AC87" s="154"/>
      <c r="AD87" s="242" t="b">
        <f t="shared" si="4"/>
        <v>0</v>
      </c>
      <c r="AE87" s="154" t="s">
        <v>1598</v>
      </c>
      <c r="AF87" s="243" t="str">
        <f>IF(AE87="","N/A",INDIRECT("MTR!"&amp;ADDRESS(MATCH(LEFT(AE87,9),MTR!C:C,0),COLUMN(J87)),TRUE) &amp; "")</f>
        <v>Partially Complies</v>
      </c>
      <c r="AG87" s="157" t="str">
        <f t="shared" si="5"/>
        <v/>
      </c>
      <c r="AH87" s="152"/>
      <c r="AI87" s="152"/>
      <c r="AJ87" s="152"/>
      <c r="AK87" s="152"/>
      <c r="AL87" s="152"/>
      <c r="AM87" s="152"/>
      <c r="AN87" s="152"/>
      <c r="AO87" s="152"/>
      <c r="AP87" s="152"/>
      <c r="AQ87" s="152"/>
      <c r="AR87" s="152"/>
    </row>
    <row r="88" ht="12.75" customHeight="1">
      <c r="A88" s="244" t="s">
        <v>5158</v>
      </c>
      <c r="B88" s="244" t="s">
        <v>12721</v>
      </c>
      <c r="C88" s="244" t="s">
        <v>12941</v>
      </c>
      <c r="D88" s="154" t="s">
        <v>1315</v>
      </c>
      <c r="E88" s="154"/>
      <c r="F88" s="154" t="str">
        <f t="array" ref="F88">XLOOKUP(Cover!$D$12,$P$1:$X$1,$P88:$X88)</f>
        <v>Mandatory</v>
      </c>
      <c r="G88" s="154" t="s">
        <v>12942</v>
      </c>
      <c r="H88" s="154" t="s">
        <v>12940</v>
      </c>
      <c r="I88" s="154" t="s">
        <v>12940</v>
      </c>
      <c r="J88" s="154" t="s">
        <v>6232</v>
      </c>
      <c r="K88" s="154" t="s">
        <v>1018</v>
      </c>
      <c r="L88" s="154" t="s">
        <v>759</v>
      </c>
      <c r="M88" s="247" t="s">
        <v>516</v>
      </c>
      <c r="N88" s="247" t="s">
        <v>12741</v>
      </c>
      <c r="O88" s="240" t="str">
        <f t="shared" si="1"/>
        <v/>
      </c>
      <c r="P88" s="154" t="s">
        <v>66</v>
      </c>
      <c r="Q88" s="154" t="s">
        <v>66</v>
      </c>
      <c r="R88" s="155" t="s">
        <v>64</v>
      </c>
      <c r="S88" s="155" t="s">
        <v>64</v>
      </c>
      <c r="T88" s="154" t="s">
        <v>60</v>
      </c>
      <c r="U88" s="154" t="s">
        <v>60</v>
      </c>
      <c r="V88" s="154" t="s">
        <v>66</v>
      </c>
      <c r="W88" s="155" t="s">
        <v>64</v>
      </c>
      <c r="X88" s="154" t="s">
        <v>60</v>
      </c>
      <c r="Y88" s="154"/>
      <c r="Z88" s="242" t="b">
        <f t="shared" si="2"/>
        <v>1</v>
      </c>
      <c r="AA88" s="154" t="s">
        <v>391</v>
      </c>
      <c r="AB88" s="242" t="b">
        <f t="shared" si="3"/>
        <v>0</v>
      </c>
      <c r="AC88" s="154"/>
      <c r="AD88" s="242" t="b">
        <f t="shared" si="4"/>
        <v>0</v>
      </c>
      <c r="AE88" s="154" t="s">
        <v>1598</v>
      </c>
      <c r="AF88" s="243" t="str">
        <f>IF(AE88="","N/A",INDIRECT("MTR!"&amp;ADDRESS(MATCH(LEFT(AE88,9),MTR!C:C,0),COLUMN(J88)),TRUE) &amp; "")</f>
        <v>Partially Complies</v>
      </c>
      <c r="AG88" s="157" t="str">
        <f t="shared" si="5"/>
        <v/>
      </c>
      <c r="AH88" s="152"/>
      <c r="AI88" s="152"/>
      <c r="AJ88" s="152"/>
      <c r="AK88" s="152"/>
      <c r="AL88" s="152"/>
      <c r="AM88" s="152"/>
      <c r="AN88" s="152"/>
      <c r="AO88" s="152"/>
      <c r="AP88" s="152"/>
      <c r="AQ88" s="152"/>
      <c r="AR88" s="152"/>
    </row>
    <row r="89" ht="12.75" customHeight="1">
      <c r="A89" s="244" t="s">
        <v>5158</v>
      </c>
      <c r="B89" s="244" t="s">
        <v>12721</v>
      </c>
      <c r="C89" s="244" t="s">
        <v>12943</v>
      </c>
      <c r="D89" s="154" t="s">
        <v>503</v>
      </c>
      <c r="E89" s="154"/>
      <c r="F89" s="154" t="str">
        <f t="array" ref="F89">XLOOKUP(Cover!$D$12,$P$1:$X$1,$P89:$X89)</f>
        <v>Recommended</v>
      </c>
      <c r="G89" s="154" t="s">
        <v>12944</v>
      </c>
      <c r="H89" s="154" t="s">
        <v>7835</v>
      </c>
      <c r="I89" s="154" t="s">
        <v>12945</v>
      </c>
      <c r="J89" s="154" t="s">
        <v>6463</v>
      </c>
      <c r="K89" s="154"/>
      <c r="L89" s="154" t="s">
        <v>759</v>
      </c>
      <c r="M89" s="247" t="s">
        <v>516</v>
      </c>
      <c r="N89" s="247" t="s">
        <v>12731</v>
      </c>
      <c r="O89" s="240" t="str">
        <f t="shared" si="1"/>
        <v/>
      </c>
      <c r="P89" s="154" t="s">
        <v>66</v>
      </c>
      <c r="Q89" s="154" t="s">
        <v>66</v>
      </c>
      <c r="R89" s="154" t="s">
        <v>64</v>
      </c>
      <c r="S89" s="154" t="s">
        <v>64</v>
      </c>
      <c r="T89" s="154" t="s">
        <v>64</v>
      </c>
      <c r="U89" s="154" t="s">
        <v>64</v>
      </c>
      <c r="V89" s="154" t="s">
        <v>66</v>
      </c>
      <c r="W89" s="154" t="s">
        <v>64</v>
      </c>
      <c r="X89" s="154" t="s">
        <v>64</v>
      </c>
      <c r="Y89" s="154"/>
      <c r="Z89" s="242" t="b">
        <f t="shared" si="2"/>
        <v>1</v>
      </c>
      <c r="AA89" s="154" t="s">
        <v>391</v>
      </c>
      <c r="AB89" s="242" t="b">
        <f t="shared" si="3"/>
        <v>0</v>
      </c>
      <c r="AC89" s="154"/>
      <c r="AD89" s="242" t="b">
        <f t="shared" si="4"/>
        <v>0</v>
      </c>
      <c r="AE89" s="154" t="s">
        <v>1598</v>
      </c>
      <c r="AF89" s="243" t="str">
        <f>IF(AE89="","N/A",INDIRECT("MTR!"&amp;ADDRESS(MATCH(LEFT(AE89,9),MTR!C:C,0),COLUMN(J89)),TRUE) &amp; "")</f>
        <v>Partially Complies</v>
      </c>
      <c r="AG89" s="157" t="str">
        <f t="shared" si="5"/>
        <v/>
      </c>
      <c r="AH89" s="152"/>
      <c r="AI89" s="152"/>
      <c r="AJ89" s="152"/>
      <c r="AK89" s="152"/>
      <c r="AL89" s="152"/>
      <c r="AM89" s="152"/>
      <c r="AN89" s="152"/>
      <c r="AO89" s="152"/>
      <c r="AP89" s="152"/>
      <c r="AQ89" s="152"/>
      <c r="AR89" s="152"/>
    </row>
    <row r="90" ht="12.75" customHeight="1">
      <c r="A90" s="244" t="s">
        <v>5158</v>
      </c>
      <c r="B90" s="244" t="s">
        <v>12721</v>
      </c>
      <c r="C90" s="244" t="s">
        <v>12946</v>
      </c>
      <c r="D90" s="154" t="s">
        <v>503</v>
      </c>
      <c r="E90" s="154"/>
      <c r="F90" s="154" t="str">
        <f t="array" ref="F90">XLOOKUP(Cover!$D$12,$P$1:$X$1,$P90:$X90)</f>
        <v>Recommended</v>
      </c>
      <c r="G90" s="154" t="s">
        <v>12947</v>
      </c>
      <c r="H90" s="154" t="s">
        <v>7835</v>
      </c>
      <c r="I90" s="154" t="s">
        <v>12945</v>
      </c>
      <c r="J90" s="154" t="s">
        <v>7431</v>
      </c>
      <c r="K90" s="154"/>
      <c r="L90" s="154" t="s">
        <v>759</v>
      </c>
      <c r="M90" s="247" t="s">
        <v>516</v>
      </c>
      <c r="N90" s="247" t="s">
        <v>12731</v>
      </c>
      <c r="O90" s="240" t="str">
        <f t="shared" si="1"/>
        <v/>
      </c>
      <c r="P90" s="154" t="s">
        <v>66</v>
      </c>
      <c r="Q90" s="154" t="s">
        <v>66</v>
      </c>
      <c r="R90" s="154" t="s">
        <v>64</v>
      </c>
      <c r="S90" s="154" t="s">
        <v>64</v>
      </c>
      <c r="T90" s="154" t="s">
        <v>64</v>
      </c>
      <c r="U90" s="154" t="s">
        <v>64</v>
      </c>
      <c r="V90" s="154" t="s">
        <v>66</v>
      </c>
      <c r="W90" s="154" t="s">
        <v>64</v>
      </c>
      <c r="X90" s="154" t="s">
        <v>64</v>
      </c>
      <c r="Y90" s="154"/>
      <c r="Z90" s="242" t="b">
        <f t="shared" si="2"/>
        <v>1</v>
      </c>
      <c r="AA90" s="154" t="s">
        <v>391</v>
      </c>
      <c r="AB90" s="242" t="b">
        <f t="shared" si="3"/>
        <v>0</v>
      </c>
      <c r="AC90" s="154"/>
      <c r="AD90" s="242" t="b">
        <f t="shared" si="4"/>
        <v>0</v>
      </c>
      <c r="AE90" s="154" t="s">
        <v>1598</v>
      </c>
      <c r="AF90" s="243" t="str">
        <f>IF(AE90="","N/A",INDIRECT("MTR!"&amp;ADDRESS(MATCH(LEFT(AE90,9),MTR!C:C,0),COLUMN(J90)),TRUE) &amp; "")</f>
        <v>Partially Complies</v>
      </c>
      <c r="AG90" s="157" t="str">
        <f t="shared" si="5"/>
        <v/>
      </c>
      <c r="AH90" s="152"/>
      <c r="AI90" s="152"/>
      <c r="AJ90" s="152"/>
      <c r="AK90" s="152"/>
      <c r="AL90" s="152"/>
      <c r="AM90" s="152"/>
      <c r="AN90" s="152"/>
      <c r="AO90" s="152"/>
      <c r="AP90" s="152"/>
      <c r="AQ90" s="152"/>
      <c r="AR90" s="152"/>
    </row>
    <row r="91" ht="12.75" customHeight="1">
      <c r="A91" s="244" t="s">
        <v>5158</v>
      </c>
      <c r="B91" s="244" t="s">
        <v>12721</v>
      </c>
      <c r="C91" s="244" t="s">
        <v>12948</v>
      </c>
      <c r="D91" s="154" t="s">
        <v>1315</v>
      </c>
      <c r="E91" s="154"/>
      <c r="F91" s="154" t="str">
        <f t="array" ref="F91">XLOOKUP(Cover!$D$12,$P$1:$X$1,$P91:$X91)</f>
        <v>Mandatory</v>
      </c>
      <c r="G91" s="154" t="s">
        <v>12949</v>
      </c>
      <c r="H91" s="154" t="s">
        <v>12950</v>
      </c>
      <c r="I91" s="154" t="s">
        <v>12951</v>
      </c>
      <c r="J91" s="154" t="s">
        <v>6232</v>
      </c>
      <c r="K91" s="154" t="s">
        <v>1122</v>
      </c>
      <c r="L91" s="154" t="s">
        <v>759</v>
      </c>
      <c r="M91" s="247" t="s">
        <v>506</v>
      </c>
      <c r="N91" s="247" t="s">
        <v>12738</v>
      </c>
      <c r="O91" s="240" t="str">
        <f t="shared" si="1"/>
        <v/>
      </c>
      <c r="P91" s="154" t="s">
        <v>66</v>
      </c>
      <c r="Q91" s="154" t="s">
        <v>66</v>
      </c>
      <c r="R91" s="154" t="s">
        <v>60</v>
      </c>
      <c r="S91" s="154" t="s">
        <v>60</v>
      </c>
      <c r="T91" s="154" t="s">
        <v>60</v>
      </c>
      <c r="U91" s="154" t="s">
        <v>60</v>
      </c>
      <c r="V91" s="154" t="s">
        <v>66</v>
      </c>
      <c r="W91" s="154" t="s">
        <v>60</v>
      </c>
      <c r="X91" s="154" t="s">
        <v>60</v>
      </c>
      <c r="Y91" s="154"/>
      <c r="Z91" s="242" t="b">
        <f t="shared" si="2"/>
        <v>1</v>
      </c>
      <c r="AA91" s="154" t="s">
        <v>391</v>
      </c>
      <c r="AB91" s="242" t="b">
        <f t="shared" si="3"/>
        <v>0</v>
      </c>
      <c r="AC91" s="154"/>
      <c r="AD91" s="242" t="b">
        <f t="shared" si="4"/>
        <v>0</v>
      </c>
      <c r="AE91" s="154" t="s">
        <v>1598</v>
      </c>
      <c r="AF91" s="243" t="str">
        <f>IF(AE91="","N/A",INDIRECT("MTR!"&amp;ADDRESS(MATCH(LEFT(AE91,9),MTR!C:C,0),COLUMN(J91)),TRUE) &amp; "")</f>
        <v>Partially Complies</v>
      </c>
      <c r="AG91" s="157" t="str">
        <f t="shared" si="5"/>
        <v/>
      </c>
      <c r="AH91" s="152"/>
      <c r="AI91" s="152"/>
      <c r="AJ91" s="152"/>
      <c r="AK91" s="152"/>
      <c r="AL91" s="152"/>
      <c r="AM91" s="152"/>
      <c r="AN91" s="152"/>
      <c r="AO91" s="152"/>
      <c r="AP91" s="152"/>
      <c r="AQ91" s="152"/>
      <c r="AR91" s="152"/>
    </row>
    <row r="92" ht="12.75" customHeight="1">
      <c r="A92" s="244" t="s">
        <v>5158</v>
      </c>
      <c r="B92" s="244" t="s">
        <v>12721</v>
      </c>
      <c r="C92" s="244" t="s">
        <v>12952</v>
      </c>
      <c r="D92" s="154" t="s">
        <v>1315</v>
      </c>
      <c r="E92" s="154"/>
      <c r="F92" s="154" t="str">
        <f t="array" ref="F92">XLOOKUP(Cover!$D$12,$P$1:$X$1,$P92:$X92)</f>
        <v>Mandatory</v>
      </c>
      <c r="G92" s="154" t="s">
        <v>12953</v>
      </c>
      <c r="H92" s="154" t="s">
        <v>12951</v>
      </c>
      <c r="I92" s="154" t="s">
        <v>12951</v>
      </c>
      <c r="J92" s="154" t="s">
        <v>6232</v>
      </c>
      <c r="K92" s="154" t="s">
        <v>1018</v>
      </c>
      <c r="L92" s="154" t="s">
        <v>759</v>
      </c>
      <c r="M92" s="247" t="s">
        <v>516</v>
      </c>
      <c r="N92" s="247" t="s">
        <v>12741</v>
      </c>
      <c r="O92" s="240" t="str">
        <f t="shared" si="1"/>
        <v/>
      </c>
      <c r="P92" s="154" t="s">
        <v>66</v>
      </c>
      <c r="Q92" s="154" t="s">
        <v>66</v>
      </c>
      <c r="R92" s="155" t="s">
        <v>64</v>
      </c>
      <c r="S92" s="155" t="s">
        <v>64</v>
      </c>
      <c r="T92" s="154" t="s">
        <v>60</v>
      </c>
      <c r="U92" s="154" t="s">
        <v>60</v>
      </c>
      <c r="V92" s="154" t="s">
        <v>66</v>
      </c>
      <c r="W92" s="155" t="s">
        <v>64</v>
      </c>
      <c r="X92" s="154" t="s">
        <v>60</v>
      </c>
      <c r="Y92" s="154"/>
      <c r="Z92" s="242" t="b">
        <f t="shared" si="2"/>
        <v>1</v>
      </c>
      <c r="AA92" s="154" t="s">
        <v>391</v>
      </c>
      <c r="AB92" s="242" t="b">
        <f t="shared" si="3"/>
        <v>0</v>
      </c>
      <c r="AC92" s="154"/>
      <c r="AD92" s="242" t="b">
        <f t="shared" si="4"/>
        <v>0</v>
      </c>
      <c r="AE92" s="154" t="s">
        <v>1598</v>
      </c>
      <c r="AF92" s="243" t="str">
        <f>IF(AE92="","N/A",INDIRECT("MTR!"&amp;ADDRESS(MATCH(LEFT(AE92,9),MTR!C:C,0),COLUMN(J92)),TRUE) &amp; "")</f>
        <v>Partially Complies</v>
      </c>
      <c r="AG92" s="157" t="str">
        <f t="shared" si="5"/>
        <v/>
      </c>
      <c r="AH92" s="152"/>
      <c r="AI92" s="152"/>
      <c r="AJ92" s="152"/>
      <c r="AK92" s="152"/>
      <c r="AL92" s="152"/>
      <c r="AM92" s="152"/>
      <c r="AN92" s="152"/>
      <c r="AO92" s="152"/>
      <c r="AP92" s="152"/>
      <c r="AQ92" s="152"/>
      <c r="AR92" s="152"/>
    </row>
    <row r="93" ht="12.75" customHeight="1">
      <c r="A93" s="244" t="s">
        <v>5158</v>
      </c>
      <c r="B93" s="244" t="s">
        <v>12721</v>
      </c>
      <c r="C93" s="244" t="s">
        <v>12954</v>
      </c>
      <c r="D93" s="154" t="s">
        <v>1315</v>
      </c>
      <c r="E93" s="154"/>
      <c r="F93" s="154" t="str">
        <f t="array" ref="F93">XLOOKUP(Cover!$D$12,$P$1:$X$1,$P93:$X93)</f>
        <v>Information</v>
      </c>
      <c r="G93" s="154" t="s">
        <v>12955</v>
      </c>
      <c r="H93" s="154" t="s">
        <v>12950</v>
      </c>
      <c r="I93" s="154" t="s">
        <v>12951</v>
      </c>
      <c r="J93" s="154" t="s">
        <v>6884</v>
      </c>
      <c r="K93" s="154"/>
      <c r="L93" s="154" t="s">
        <v>759</v>
      </c>
      <c r="M93" s="247" t="s">
        <v>506</v>
      </c>
      <c r="N93" s="247" t="s">
        <v>12738</v>
      </c>
      <c r="O93" s="240" t="str">
        <f t="shared" si="1"/>
        <v/>
      </c>
      <c r="P93" s="154" t="s">
        <v>66</v>
      </c>
      <c r="Q93" s="154" t="s">
        <v>66</v>
      </c>
      <c r="R93" s="154" t="s">
        <v>66</v>
      </c>
      <c r="S93" s="154" t="s">
        <v>66</v>
      </c>
      <c r="T93" s="154" t="s">
        <v>66</v>
      </c>
      <c r="U93" s="154" t="s">
        <v>66</v>
      </c>
      <c r="V93" s="154" t="s">
        <v>66</v>
      </c>
      <c r="W93" s="154" t="s">
        <v>66</v>
      </c>
      <c r="X93" s="154" t="s">
        <v>66</v>
      </c>
      <c r="Y93" s="154"/>
      <c r="Z93" s="242" t="b">
        <f t="shared" si="2"/>
        <v>1</v>
      </c>
      <c r="AA93" s="154" t="s">
        <v>391</v>
      </c>
      <c r="AB93" s="242" t="b">
        <f t="shared" si="3"/>
        <v>0</v>
      </c>
      <c r="AC93" s="154"/>
      <c r="AD93" s="242" t="b">
        <f t="shared" si="4"/>
        <v>0</v>
      </c>
      <c r="AE93" s="154" t="s">
        <v>1598</v>
      </c>
      <c r="AF93" s="243" t="str">
        <f>IF(AE93="","N/A",INDIRECT("MTR!"&amp;ADDRESS(MATCH(LEFT(AE93,9),MTR!C:C,0),COLUMN(J93)),TRUE) &amp; "")</f>
        <v>Partially Complies</v>
      </c>
      <c r="AG93" s="157" t="str">
        <f t="shared" si="5"/>
        <v/>
      </c>
      <c r="AH93" s="152"/>
      <c r="AI93" s="152"/>
      <c r="AJ93" s="152"/>
      <c r="AK93" s="152"/>
      <c r="AL93" s="152"/>
      <c r="AM93" s="152"/>
      <c r="AN93" s="152"/>
      <c r="AO93" s="152"/>
      <c r="AP93" s="152"/>
      <c r="AQ93" s="152"/>
      <c r="AR93" s="152"/>
    </row>
    <row r="94" ht="12.75" customHeight="1">
      <c r="A94" s="244" t="s">
        <v>5158</v>
      </c>
      <c r="B94" s="244" t="s">
        <v>12721</v>
      </c>
      <c r="C94" s="244" t="s">
        <v>12956</v>
      </c>
      <c r="D94" s="154" t="s">
        <v>1315</v>
      </c>
      <c r="E94" s="154"/>
      <c r="F94" s="154" t="str">
        <f t="array" ref="F94">XLOOKUP(Cover!$D$12,$P$1:$X$1,$P94:$X94)</f>
        <v>Information</v>
      </c>
      <c r="G94" s="154" t="s">
        <v>12957</v>
      </c>
      <c r="H94" s="154" t="s">
        <v>12951</v>
      </c>
      <c r="I94" s="154" t="s">
        <v>12951</v>
      </c>
      <c r="J94" s="154" t="s">
        <v>6884</v>
      </c>
      <c r="K94" s="154"/>
      <c r="L94" s="154" t="s">
        <v>759</v>
      </c>
      <c r="M94" s="247" t="s">
        <v>516</v>
      </c>
      <c r="N94" s="247" t="s">
        <v>12741</v>
      </c>
      <c r="O94" s="240" t="str">
        <f t="shared" si="1"/>
        <v/>
      </c>
      <c r="P94" s="154" t="s">
        <v>66</v>
      </c>
      <c r="Q94" s="154" t="s">
        <v>66</v>
      </c>
      <c r="R94" s="154" t="s">
        <v>66</v>
      </c>
      <c r="S94" s="154" t="s">
        <v>66</v>
      </c>
      <c r="T94" s="154" t="s">
        <v>66</v>
      </c>
      <c r="U94" s="154" t="s">
        <v>66</v>
      </c>
      <c r="V94" s="154" t="s">
        <v>66</v>
      </c>
      <c r="W94" s="154" t="s">
        <v>66</v>
      </c>
      <c r="X94" s="154" t="s">
        <v>66</v>
      </c>
      <c r="Y94" s="154"/>
      <c r="Z94" s="242" t="b">
        <f t="shared" si="2"/>
        <v>1</v>
      </c>
      <c r="AA94" s="154" t="s">
        <v>391</v>
      </c>
      <c r="AB94" s="242" t="b">
        <f t="shared" si="3"/>
        <v>0</v>
      </c>
      <c r="AC94" s="154"/>
      <c r="AD94" s="242" t="b">
        <f t="shared" si="4"/>
        <v>0</v>
      </c>
      <c r="AE94" s="154" t="s">
        <v>1598</v>
      </c>
      <c r="AF94" s="243" t="str">
        <f>IF(AE94="","N/A",INDIRECT("MTR!"&amp;ADDRESS(MATCH(LEFT(AE94,9),MTR!C:C,0),COLUMN(J94)),TRUE) &amp; "")</f>
        <v>Partially Complies</v>
      </c>
      <c r="AG94" s="157" t="str">
        <f t="shared" si="5"/>
        <v/>
      </c>
      <c r="AH94" s="152"/>
      <c r="AI94" s="152"/>
      <c r="AJ94" s="152"/>
      <c r="AK94" s="152"/>
      <c r="AL94" s="152"/>
      <c r="AM94" s="152"/>
      <c r="AN94" s="152"/>
      <c r="AO94" s="152"/>
      <c r="AP94" s="152"/>
      <c r="AQ94" s="152"/>
      <c r="AR94" s="152"/>
    </row>
    <row r="95" ht="12.75" customHeight="1">
      <c r="A95" s="244" t="s">
        <v>5158</v>
      </c>
      <c r="B95" s="244" t="s">
        <v>12721</v>
      </c>
      <c r="C95" s="244" t="s">
        <v>12958</v>
      </c>
      <c r="D95" s="154" t="s">
        <v>503</v>
      </c>
      <c r="E95" s="154"/>
      <c r="F95" s="154" t="str">
        <f t="array" ref="F95">XLOOKUP(Cover!$D$12,$P$1:$X$1,$P95:$X95)</f>
        <v>Mandatory</v>
      </c>
      <c r="G95" s="154" t="s">
        <v>12959</v>
      </c>
      <c r="H95" s="154" t="s">
        <v>12950</v>
      </c>
      <c r="I95" s="154" t="s">
        <v>12951</v>
      </c>
      <c r="J95" s="154" t="s">
        <v>7431</v>
      </c>
      <c r="K95" s="154" t="s">
        <v>1122</v>
      </c>
      <c r="L95" s="154" t="s">
        <v>759</v>
      </c>
      <c r="M95" s="247" t="s">
        <v>516</v>
      </c>
      <c r="N95" s="247" t="s">
        <v>12748</v>
      </c>
      <c r="O95" s="240" t="str">
        <f t="shared" si="1"/>
        <v/>
      </c>
      <c r="P95" s="154" t="s">
        <v>66</v>
      </c>
      <c r="Q95" s="154" t="s">
        <v>66</v>
      </c>
      <c r="R95" s="154" t="s">
        <v>60</v>
      </c>
      <c r="S95" s="154" t="s">
        <v>60</v>
      </c>
      <c r="T95" s="154" t="s">
        <v>60</v>
      </c>
      <c r="U95" s="154" t="s">
        <v>60</v>
      </c>
      <c r="V95" s="154" t="s">
        <v>66</v>
      </c>
      <c r="W95" s="154" t="s">
        <v>60</v>
      </c>
      <c r="X95" s="154" t="s">
        <v>60</v>
      </c>
      <c r="Y95" s="154"/>
      <c r="Z95" s="242" t="b">
        <f t="shared" si="2"/>
        <v>1</v>
      </c>
      <c r="AA95" s="154" t="s">
        <v>391</v>
      </c>
      <c r="AB95" s="242" t="b">
        <f t="shared" si="3"/>
        <v>0</v>
      </c>
      <c r="AC95" s="154"/>
      <c r="AD95" s="242" t="b">
        <f t="shared" si="4"/>
        <v>0</v>
      </c>
      <c r="AE95" s="154" t="s">
        <v>1598</v>
      </c>
      <c r="AF95" s="243" t="str">
        <f>IF(AE95="","N/A",INDIRECT("MTR!"&amp;ADDRESS(MATCH(LEFT(AE95,9),MTR!C:C,0),COLUMN(J95)),TRUE) &amp; "")</f>
        <v>Partially Complies</v>
      </c>
      <c r="AG95" s="157" t="str">
        <f t="shared" si="5"/>
        <v/>
      </c>
      <c r="AH95" s="152"/>
      <c r="AI95" s="152"/>
      <c r="AJ95" s="152"/>
      <c r="AK95" s="152"/>
      <c r="AL95" s="152"/>
      <c r="AM95" s="152"/>
      <c r="AN95" s="152"/>
      <c r="AO95" s="152"/>
      <c r="AP95" s="152"/>
      <c r="AQ95" s="152"/>
      <c r="AR95" s="152"/>
    </row>
    <row r="96" ht="12.75" customHeight="1">
      <c r="A96" s="244" t="s">
        <v>5158</v>
      </c>
      <c r="B96" s="244" t="s">
        <v>12721</v>
      </c>
      <c r="C96" s="244" t="s">
        <v>12960</v>
      </c>
      <c r="D96" s="154" t="s">
        <v>503</v>
      </c>
      <c r="E96" s="154"/>
      <c r="F96" s="154" t="str">
        <f t="array" ref="F96">XLOOKUP(Cover!$D$12,$P$1:$X$1,$P96:$X96)</f>
        <v>Mandatory</v>
      </c>
      <c r="G96" s="154" t="s">
        <v>12961</v>
      </c>
      <c r="H96" s="154" t="s">
        <v>12951</v>
      </c>
      <c r="I96" s="154" t="s">
        <v>12951</v>
      </c>
      <c r="J96" s="154" t="s">
        <v>7431</v>
      </c>
      <c r="K96" s="154" t="s">
        <v>1018</v>
      </c>
      <c r="L96" s="154" t="s">
        <v>759</v>
      </c>
      <c r="M96" s="247" t="s">
        <v>516</v>
      </c>
      <c r="N96" s="247" t="s">
        <v>12751</v>
      </c>
      <c r="O96" s="240" t="str">
        <f t="shared" si="1"/>
        <v/>
      </c>
      <c r="P96" s="154" t="s">
        <v>66</v>
      </c>
      <c r="Q96" s="154" t="s">
        <v>66</v>
      </c>
      <c r="R96" s="155" t="s">
        <v>64</v>
      </c>
      <c r="S96" s="155" t="s">
        <v>64</v>
      </c>
      <c r="T96" s="154" t="s">
        <v>60</v>
      </c>
      <c r="U96" s="154" t="s">
        <v>60</v>
      </c>
      <c r="V96" s="154" t="s">
        <v>66</v>
      </c>
      <c r="W96" s="155" t="s">
        <v>64</v>
      </c>
      <c r="X96" s="154" t="s">
        <v>60</v>
      </c>
      <c r="Y96" s="154"/>
      <c r="Z96" s="242" t="b">
        <f t="shared" si="2"/>
        <v>1</v>
      </c>
      <c r="AA96" s="154" t="s">
        <v>391</v>
      </c>
      <c r="AB96" s="242" t="b">
        <f t="shared" si="3"/>
        <v>0</v>
      </c>
      <c r="AC96" s="154"/>
      <c r="AD96" s="242" t="b">
        <f t="shared" si="4"/>
        <v>0</v>
      </c>
      <c r="AE96" s="154" t="s">
        <v>1598</v>
      </c>
      <c r="AF96" s="243" t="str">
        <f>IF(AE96="","N/A",INDIRECT("MTR!"&amp;ADDRESS(MATCH(LEFT(AE96,9),MTR!C:C,0),COLUMN(J96)),TRUE) &amp; "")</f>
        <v>Partially Complies</v>
      </c>
      <c r="AG96" s="157" t="str">
        <f t="shared" si="5"/>
        <v/>
      </c>
      <c r="AH96" s="152"/>
      <c r="AI96" s="152"/>
      <c r="AJ96" s="152"/>
      <c r="AK96" s="152"/>
      <c r="AL96" s="152"/>
      <c r="AM96" s="152"/>
      <c r="AN96" s="152"/>
      <c r="AO96" s="152"/>
      <c r="AP96" s="152"/>
      <c r="AQ96" s="152"/>
      <c r="AR96" s="152"/>
    </row>
    <row r="97" ht="12.75" customHeight="1">
      <c r="A97" s="244" t="s">
        <v>5158</v>
      </c>
      <c r="B97" s="244" t="s">
        <v>12721</v>
      </c>
      <c r="C97" s="244" t="s">
        <v>12962</v>
      </c>
      <c r="D97" s="154" t="s">
        <v>1315</v>
      </c>
      <c r="E97" s="154"/>
      <c r="F97" s="154" t="str">
        <f t="array" ref="F97">XLOOKUP(Cover!$D$12,$P$1:$X$1,$P97:$X97)</f>
        <v>Information</v>
      </c>
      <c r="G97" s="154" t="s">
        <v>12963</v>
      </c>
      <c r="H97" s="154" t="s">
        <v>12964</v>
      </c>
      <c r="I97" s="154" t="s">
        <v>12965</v>
      </c>
      <c r="J97" s="154" t="s">
        <v>6022</v>
      </c>
      <c r="K97" s="154"/>
      <c r="L97" s="154" t="s">
        <v>759</v>
      </c>
      <c r="M97" s="247" t="s">
        <v>516</v>
      </c>
      <c r="N97" s="247" t="s">
        <v>12731</v>
      </c>
      <c r="O97" s="240" t="str">
        <f t="shared" si="1"/>
        <v/>
      </c>
      <c r="P97" s="154" t="s">
        <v>66</v>
      </c>
      <c r="Q97" s="154" t="s">
        <v>66</v>
      </c>
      <c r="R97" s="154" t="s">
        <v>66</v>
      </c>
      <c r="S97" s="154" t="s">
        <v>66</v>
      </c>
      <c r="T97" s="154" t="s">
        <v>66</v>
      </c>
      <c r="U97" s="154" t="s">
        <v>66</v>
      </c>
      <c r="V97" s="154" t="s">
        <v>66</v>
      </c>
      <c r="W97" s="154" t="s">
        <v>66</v>
      </c>
      <c r="X97" s="154" t="s">
        <v>66</v>
      </c>
      <c r="Y97" s="154"/>
      <c r="Z97" s="242" t="b">
        <f t="shared" si="2"/>
        <v>1</v>
      </c>
      <c r="AA97" s="154" t="s">
        <v>391</v>
      </c>
      <c r="AB97" s="242" t="b">
        <f t="shared" si="3"/>
        <v>0</v>
      </c>
      <c r="AC97" s="154"/>
      <c r="AD97" s="242" t="b">
        <f t="shared" si="4"/>
        <v>0</v>
      </c>
      <c r="AE97" s="154" t="s">
        <v>1598</v>
      </c>
      <c r="AF97" s="243" t="str">
        <f>IF(AE97="","N/A",INDIRECT("MTR!"&amp;ADDRESS(MATCH(LEFT(AE97,9),MTR!C:C,0),COLUMN(J97)),TRUE) &amp; "")</f>
        <v>Partially Complies</v>
      </c>
      <c r="AG97" s="157" t="str">
        <f t="shared" si="5"/>
        <v/>
      </c>
      <c r="AH97" s="152"/>
      <c r="AI97" s="152"/>
      <c r="AJ97" s="152"/>
      <c r="AK97" s="152"/>
      <c r="AL97" s="152"/>
      <c r="AM97" s="152"/>
      <c r="AN97" s="152"/>
      <c r="AO97" s="152"/>
      <c r="AP97" s="152"/>
      <c r="AQ97" s="152"/>
      <c r="AR97" s="152"/>
    </row>
    <row r="98" ht="12.75" customHeight="1">
      <c r="A98" s="244" t="s">
        <v>5158</v>
      </c>
      <c r="B98" s="244" t="s">
        <v>12721</v>
      </c>
      <c r="C98" s="255" t="s">
        <v>12966</v>
      </c>
      <c r="D98" s="256" t="s">
        <v>42</v>
      </c>
      <c r="E98" s="256" t="s">
        <v>489</v>
      </c>
      <c r="F98" s="154" t="str">
        <f t="array" ref="F98">XLOOKUP(Cover!$D$12,$P$1:$X$1,$P98:$X98)</f>
        <v>Information</v>
      </c>
      <c r="G98" s="154" t="s">
        <v>12967</v>
      </c>
      <c r="H98" s="154" t="s">
        <v>12965</v>
      </c>
      <c r="I98" s="154" t="s">
        <v>12965</v>
      </c>
      <c r="J98" s="154" t="s">
        <v>5931</v>
      </c>
      <c r="K98" s="154"/>
      <c r="L98" s="154" t="s">
        <v>759</v>
      </c>
      <c r="M98" s="247" t="s">
        <v>516</v>
      </c>
      <c r="N98" s="247" t="s">
        <v>12731</v>
      </c>
      <c r="O98" s="240" t="str">
        <f t="shared" si="1"/>
        <v/>
      </c>
      <c r="P98" s="154" t="s">
        <v>66</v>
      </c>
      <c r="Q98" s="154" t="s">
        <v>66</v>
      </c>
      <c r="R98" s="154" t="s">
        <v>66</v>
      </c>
      <c r="S98" s="154" t="s">
        <v>66</v>
      </c>
      <c r="T98" s="154" t="s">
        <v>66</v>
      </c>
      <c r="U98" s="154" t="s">
        <v>66</v>
      </c>
      <c r="V98" s="154" t="s">
        <v>66</v>
      </c>
      <c r="W98" s="154" t="s">
        <v>66</v>
      </c>
      <c r="X98" s="154" t="s">
        <v>66</v>
      </c>
      <c r="Y98" s="154"/>
      <c r="Z98" s="242" t="b">
        <f t="shared" si="2"/>
        <v>1</v>
      </c>
      <c r="AA98" s="154" t="s">
        <v>391</v>
      </c>
      <c r="AB98" s="242" t="b">
        <f t="shared" si="3"/>
        <v>0</v>
      </c>
      <c r="AC98" s="154"/>
      <c r="AD98" s="242" t="b">
        <f t="shared" si="4"/>
        <v>0</v>
      </c>
      <c r="AE98" s="154" t="s">
        <v>1598</v>
      </c>
      <c r="AF98" s="243" t="str">
        <f>IF(AE98="","N/A",INDIRECT("MTR!"&amp;ADDRESS(MATCH(LEFT(AE98,9),MTR!C:C,0),COLUMN(J98)),TRUE) &amp; "")</f>
        <v>Partially Complies</v>
      </c>
      <c r="AG98" s="157" t="str">
        <f t="shared" si="5"/>
        <v/>
      </c>
      <c r="AH98" s="152"/>
      <c r="AI98" s="152"/>
      <c r="AJ98" s="152"/>
      <c r="AK98" s="152"/>
      <c r="AL98" s="152"/>
      <c r="AM98" s="152"/>
      <c r="AN98" s="152"/>
      <c r="AO98" s="152"/>
      <c r="AP98" s="152"/>
      <c r="AQ98" s="152"/>
      <c r="AR98" s="152"/>
    </row>
    <row r="99" ht="12.75" customHeight="1">
      <c r="A99" s="244" t="s">
        <v>5158</v>
      </c>
      <c r="B99" s="244" t="s">
        <v>12721</v>
      </c>
      <c r="C99" s="244" t="s">
        <v>12968</v>
      </c>
      <c r="D99" s="154" t="s">
        <v>1315</v>
      </c>
      <c r="E99" s="154"/>
      <c r="F99" s="154" t="str">
        <f t="array" ref="F99">XLOOKUP(Cover!$D$12,$P$1:$X$1,$P99:$X99)</f>
        <v>Information</v>
      </c>
      <c r="G99" s="154" t="s">
        <v>12969</v>
      </c>
      <c r="H99" s="154" t="s">
        <v>12970</v>
      </c>
      <c r="I99" s="154" t="s">
        <v>12971</v>
      </c>
      <c r="J99" s="154" t="s">
        <v>6428</v>
      </c>
      <c r="K99" s="154"/>
      <c r="L99" s="154" t="s">
        <v>759</v>
      </c>
      <c r="M99" s="247" t="s">
        <v>516</v>
      </c>
      <c r="N99" s="247" t="s">
        <v>12731</v>
      </c>
      <c r="O99" s="240" t="str">
        <f t="shared" si="1"/>
        <v/>
      </c>
      <c r="P99" s="154" t="s">
        <v>66</v>
      </c>
      <c r="Q99" s="154" t="s">
        <v>66</v>
      </c>
      <c r="R99" s="154" t="s">
        <v>66</v>
      </c>
      <c r="S99" s="154" t="s">
        <v>66</v>
      </c>
      <c r="T99" s="154" t="s">
        <v>66</v>
      </c>
      <c r="U99" s="154" t="s">
        <v>66</v>
      </c>
      <c r="V99" s="154" t="s">
        <v>66</v>
      </c>
      <c r="W99" s="154" t="s">
        <v>66</v>
      </c>
      <c r="X99" s="154" t="s">
        <v>66</v>
      </c>
      <c r="Y99" s="154"/>
      <c r="Z99" s="242" t="b">
        <f t="shared" si="2"/>
        <v>1</v>
      </c>
      <c r="AA99" s="154" t="s">
        <v>391</v>
      </c>
      <c r="AB99" s="242" t="b">
        <f t="shared" si="3"/>
        <v>0</v>
      </c>
      <c r="AC99" s="154"/>
      <c r="AD99" s="242" t="b">
        <f t="shared" si="4"/>
        <v>0</v>
      </c>
      <c r="AE99" s="154" t="s">
        <v>1598</v>
      </c>
      <c r="AF99" s="243" t="str">
        <f>IF(AE99="","N/A",INDIRECT("MTR!"&amp;ADDRESS(MATCH(LEFT(AE99,9),MTR!C:C,0),COLUMN(J99)),TRUE) &amp; "")</f>
        <v>Partially Complies</v>
      </c>
      <c r="AG99" s="157" t="str">
        <f t="shared" si="5"/>
        <v/>
      </c>
      <c r="AH99" s="152"/>
      <c r="AI99" s="152"/>
      <c r="AJ99" s="152"/>
      <c r="AK99" s="152"/>
      <c r="AL99" s="152"/>
      <c r="AM99" s="152"/>
      <c r="AN99" s="152"/>
      <c r="AO99" s="152"/>
      <c r="AP99" s="152"/>
      <c r="AQ99" s="152"/>
      <c r="AR99" s="152"/>
    </row>
    <row r="100" ht="12.75" customHeight="1">
      <c r="A100" s="244" t="s">
        <v>5158</v>
      </c>
      <c r="B100" s="244" t="s">
        <v>12721</v>
      </c>
      <c r="C100" s="255" t="s">
        <v>12972</v>
      </c>
      <c r="D100" s="256" t="s">
        <v>42</v>
      </c>
      <c r="E100" s="256" t="s">
        <v>489</v>
      </c>
      <c r="F100" s="154" t="str">
        <f t="array" ref="F100">XLOOKUP(Cover!$D$12,$P$1:$X$1,$P100:$X100)</f>
        <v>Information</v>
      </c>
      <c r="G100" s="154" t="s">
        <v>12973</v>
      </c>
      <c r="H100" s="154" t="s">
        <v>12971</v>
      </c>
      <c r="I100" s="154" t="s">
        <v>12971</v>
      </c>
      <c r="J100" s="154" t="s">
        <v>5931</v>
      </c>
      <c r="K100" s="154"/>
      <c r="L100" s="154" t="s">
        <v>759</v>
      </c>
      <c r="M100" s="247" t="s">
        <v>516</v>
      </c>
      <c r="N100" s="247" t="s">
        <v>12731</v>
      </c>
      <c r="O100" s="240" t="str">
        <f t="shared" si="1"/>
        <v/>
      </c>
      <c r="P100" s="154" t="s">
        <v>66</v>
      </c>
      <c r="Q100" s="154" t="s">
        <v>66</v>
      </c>
      <c r="R100" s="154" t="s">
        <v>66</v>
      </c>
      <c r="S100" s="154" t="s">
        <v>66</v>
      </c>
      <c r="T100" s="154" t="s">
        <v>66</v>
      </c>
      <c r="U100" s="154" t="s">
        <v>66</v>
      </c>
      <c r="V100" s="154" t="s">
        <v>66</v>
      </c>
      <c r="W100" s="154" t="s">
        <v>66</v>
      </c>
      <c r="X100" s="154" t="s">
        <v>66</v>
      </c>
      <c r="Y100" s="154"/>
      <c r="Z100" s="242" t="b">
        <f t="shared" si="2"/>
        <v>1</v>
      </c>
      <c r="AA100" s="154" t="s">
        <v>391</v>
      </c>
      <c r="AB100" s="242" t="b">
        <f t="shared" si="3"/>
        <v>0</v>
      </c>
      <c r="AC100" s="154"/>
      <c r="AD100" s="242" t="b">
        <f t="shared" si="4"/>
        <v>0</v>
      </c>
      <c r="AE100" s="154" t="s">
        <v>1598</v>
      </c>
      <c r="AF100" s="243" t="str">
        <f>IF(AE100="","N/A",INDIRECT("MTR!"&amp;ADDRESS(MATCH(LEFT(AE100,9),MTR!C:C,0),COLUMN(J100)),TRUE) &amp; "")</f>
        <v>Partially Complies</v>
      </c>
      <c r="AG100" s="157" t="str">
        <f t="shared" si="5"/>
        <v/>
      </c>
      <c r="AH100" s="152"/>
      <c r="AI100" s="152"/>
      <c r="AJ100" s="152"/>
      <c r="AK100" s="152"/>
      <c r="AL100" s="152"/>
      <c r="AM100" s="152"/>
      <c r="AN100" s="152"/>
      <c r="AO100" s="152"/>
      <c r="AP100" s="152"/>
      <c r="AQ100" s="152"/>
      <c r="AR100" s="152"/>
    </row>
    <row r="101" ht="12.75" customHeight="1">
      <c r="A101" s="244" t="s">
        <v>5158</v>
      </c>
      <c r="B101" s="244" t="s">
        <v>12721</v>
      </c>
      <c r="C101" s="255" t="s">
        <v>12974</v>
      </c>
      <c r="D101" s="256" t="s">
        <v>42</v>
      </c>
      <c r="E101" s="256" t="s">
        <v>489</v>
      </c>
      <c r="F101" s="154" t="str">
        <f t="array" ref="F101">XLOOKUP(Cover!$D$12,$P$1:$X$1,$P101:$X101)</f>
        <v>Information</v>
      </c>
      <c r="G101" s="154" t="s">
        <v>12975</v>
      </c>
      <c r="H101" s="154" t="s">
        <v>12970</v>
      </c>
      <c r="I101" s="154" t="s">
        <v>12971</v>
      </c>
      <c r="J101" s="154" t="s">
        <v>5931</v>
      </c>
      <c r="K101" s="154"/>
      <c r="L101" s="154" t="s">
        <v>759</v>
      </c>
      <c r="M101" s="247" t="s">
        <v>516</v>
      </c>
      <c r="N101" s="247" t="s">
        <v>12731</v>
      </c>
      <c r="O101" s="240" t="str">
        <f t="shared" si="1"/>
        <v/>
      </c>
      <c r="P101" s="154" t="s">
        <v>66</v>
      </c>
      <c r="Q101" s="154" t="s">
        <v>66</v>
      </c>
      <c r="R101" s="154" t="s">
        <v>66</v>
      </c>
      <c r="S101" s="154" t="s">
        <v>66</v>
      </c>
      <c r="T101" s="154" t="s">
        <v>66</v>
      </c>
      <c r="U101" s="154" t="s">
        <v>66</v>
      </c>
      <c r="V101" s="154" t="s">
        <v>66</v>
      </c>
      <c r="W101" s="154" t="s">
        <v>66</v>
      </c>
      <c r="X101" s="154" t="s">
        <v>66</v>
      </c>
      <c r="Y101" s="154"/>
      <c r="Z101" s="242" t="b">
        <f t="shared" si="2"/>
        <v>1</v>
      </c>
      <c r="AA101" s="154" t="s">
        <v>391</v>
      </c>
      <c r="AB101" s="242" t="b">
        <f t="shared" si="3"/>
        <v>0</v>
      </c>
      <c r="AC101" s="154"/>
      <c r="AD101" s="242" t="b">
        <f t="shared" si="4"/>
        <v>0</v>
      </c>
      <c r="AE101" s="154" t="s">
        <v>1598</v>
      </c>
      <c r="AF101" s="243" t="str">
        <f>IF(AE101="","N/A",INDIRECT("MTR!"&amp;ADDRESS(MATCH(LEFT(AE101,9),MTR!C:C,0),COLUMN(J101)),TRUE) &amp; "")</f>
        <v>Partially Complies</v>
      </c>
      <c r="AG101" s="157" t="str">
        <f t="shared" si="5"/>
        <v/>
      </c>
      <c r="AH101" s="152"/>
      <c r="AI101" s="152"/>
      <c r="AJ101" s="152"/>
      <c r="AK101" s="152"/>
      <c r="AL101" s="152"/>
      <c r="AM101" s="152"/>
      <c r="AN101" s="152"/>
      <c r="AO101" s="152"/>
      <c r="AP101" s="152"/>
      <c r="AQ101" s="152"/>
      <c r="AR101" s="152"/>
    </row>
    <row r="102" ht="12.75" customHeight="1">
      <c r="A102" s="244" t="s">
        <v>5158</v>
      </c>
      <c r="B102" s="244" t="s">
        <v>12721</v>
      </c>
      <c r="C102" s="255" t="s">
        <v>12976</v>
      </c>
      <c r="D102" s="256" t="s">
        <v>42</v>
      </c>
      <c r="E102" s="256" t="s">
        <v>489</v>
      </c>
      <c r="F102" s="154" t="str">
        <f t="array" ref="F102">XLOOKUP(Cover!$D$12,$P$1:$X$1,$P102:$X102)</f>
        <v>Information</v>
      </c>
      <c r="G102" s="154" t="s">
        <v>12977</v>
      </c>
      <c r="H102" s="154" t="s">
        <v>12971</v>
      </c>
      <c r="I102" s="154" t="s">
        <v>12971</v>
      </c>
      <c r="J102" s="154" t="s">
        <v>5931</v>
      </c>
      <c r="K102" s="154"/>
      <c r="L102" s="154" t="s">
        <v>759</v>
      </c>
      <c r="M102" s="247" t="s">
        <v>516</v>
      </c>
      <c r="N102" s="247" t="s">
        <v>12731</v>
      </c>
      <c r="O102" s="240" t="str">
        <f t="shared" si="1"/>
        <v/>
      </c>
      <c r="P102" s="154" t="s">
        <v>66</v>
      </c>
      <c r="Q102" s="154" t="s">
        <v>66</v>
      </c>
      <c r="R102" s="154" t="s">
        <v>66</v>
      </c>
      <c r="S102" s="154" t="s">
        <v>66</v>
      </c>
      <c r="T102" s="154" t="s">
        <v>66</v>
      </c>
      <c r="U102" s="154" t="s">
        <v>66</v>
      </c>
      <c r="V102" s="154" t="s">
        <v>66</v>
      </c>
      <c r="W102" s="154" t="s">
        <v>66</v>
      </c>
      <c r="X102" s="154" t="s">
        <v>66</v>
      </c>
      <c r="Y102" s="154"/>
      <c r="Z102" s="242" t="b">
        <f t="shared" si="2"/>
        <v>1</v>
      </c>
      <c r="AA102" s="154" t="s">
        <v>391</v>
      </c>
      <c r="AB102" s="242" t="b">
        <f t="shared" si="3"/>
        <v>0</v>
      </c>
      <c r="AC102" s="154"/>
      <c r="AD102" s="242" t="b">
        <f t="shared" si="4"/>
        <v>0</v>
      </c>
      <c r="AE102" s="154" t="s">
        <v>1598</v>
      </c>
      <c r="AF102" s="243" t="str">
        <f>IF(AE102="","N/A",INDIRECT("MTR!"&amp;ADDRESS(MATCH(LEFT(AE102,9),MTR!C:C,0),COLUMN(J102)),TRUE) &amp; "")</f>
        <v>Partially Complies</v>
      </c>
      <c r="AG102" s="157" t="str">
        <f t="shared" si="5"/>
        <v/>
      </c>
      <c r="AH102" s="152"/>
      <c r="AI102" s="152"/>
      <c r="AJ102" s="152"/>
      <c r="AK102" s="152"/>
      <c r="AL102" s="152"/>
      <c r="AM102" s="152"/>
      <c r="AN102" s="152"/>
      <c r="AO102" s="152"/>
      <c r="AP102" s="152"/>
      <c r="AQ102" s="152"/>
      <c r="AR102" s="152"/>
    </row>
    <row r="103" ht="12.75" customHeight="1">
      <c r="A103" s="244" t="s">
        <v>5158</v>
      </c>
      <c r="B103" s="244" t="s">
        <v>12721</v>
      </c>
      <c r="C103" s="244" t="s">
        <v>12978</v>
      </c>
      <c r="D103" s="154" t="s">
        <v>1315</v>
      </c>
      <c r="E103" s="154"/>
      <c r="F103" s="154" t="str">
        <f t="array" ref="F103">XLOOKUP(Cover!$D$12,$P$1:$X$1,$P103:$X103)</f>
        <v>Recommended</v>
      </c>
      <c r="G103" s="154" t="s">
        <v>12979</v>
      </c>
      <c r="H103" s="154" t="s">
        <v>8296</v>
      </c>
      <c r="I103" s="154" t="s">
        <v>12980</v>
      </c>
      <c r="J103" s="154" t="s">
        <v>12981</v>
      </c>
      <c r="K103" s="154"/>
      <c r="L103" s="154" t="s">
        <v>759</v>
      </c>
      <c r="M103" s="247" t="s">
        <v>506</v>
      </c>
      <c r="N103" s="247" t="s">
        <v>12982</v>
      </c>
      <c r="O103" s="240" t="str">
        <f t="shared" si="1"/>
        <v/>
      </c>
      <c r="P103" s="154" t="s">
        <v>66</v>
      </c>
      <c r="Q103" s="154" t="s">
        <v>66</v>
      </c>
      <c r="R103" s="154" t="s">
        <v>64</v>
      </c>
      <c r="S103" s="154" t="s">
        <v>64</v>
      </c>
      <c r="T103" s="154" t="s">
        <v>64</v>
      </c>
      <c r="U103" s="154" t="s">
        <v>64</v>
      </c>
      <c r="V103" s="154" t="s">
        <v>66</v>
      </c>
      <c r="W103" s="154" t="s">
        <v>64</v>
      </c>
      <c r="X103" s="154" t="s">
        <v>64</v>
      </c>
      <c r="Y103" s="154"/>
      <c r="Z103" s="242" t="b">
        <f t="shared" si="2"/>
        <v>1</v>
      </c>
      <c r="AA103" s="154" t="s">
        <v>391</v>
      </c>
      <c r="AB103" s="242" t="b">
        <f t="shared" si="3"/>
        <v>0</v>
      </c>
      <c r="AC103" s="154"/>
      <c r="AD103" s="242" t="b">
        <f t="shared" si="4"/>
        <v>0</v>
      </c>
      <c r="AE103" s="154" t="s">
        <v>1598</v>
      </c>
      <c r="AF103" s="243" t="str">
        <f>IF(AE103="","N/A",INDIRECT("MTR!"&amp;ADDRESS(MATCH(LEFT(AE103,9),MTR!C:C,0),COLUMN(J103)),TRUE) &amp; "")</f>
        <v>Partially Complies</v>
      </c>
      <c r="AG103" s="157" t="str">
        <f t="shared" si="5"/>
        <v/>
      </c>
      <c r="AH103" s="152"/>
      <c r="AI103" s="152"/>
      <c r="AJ103" s="152"/>
      <c r="AK103" s="152"/>
      <c r="AL103" s="152"/>
      <c r="AM103" s="152"/>
      <c r="AN103" s="152"/>
      <c r="AO103" s="152"/>
      <c r="AP103" s="152"/>
      <c r="AQ103" s="152"/>
      <c r="AR103" s="152"/>
    </row>
    <row r="104" ht="12.75" customHeight="1">
      <c r="A104" s="244" t="s">
        <v>5158</v>
      </c>
      <c r="B104" s="244" t="s">
        <v>12721</v>
      </c>
      <c r="C104" s="244" t="s">
        <v>12983</v>
      </c>
      <c r="D104" s="154" t="s">
        <v>503</v>
      </c>
      <c r="E104" s="154"/>
      <c r="F104" s="154" t="str">
        <f t="array" ref="F104">XLOOKUP(Cover!$D$12,$P$1:$X$1,$P104:$X104)</f>
        <v>Recommended</v>
      </c>
      <c r="G104" s="154" t="s">
        <v>12984</v>
      </c>
      <c r="H104" s="154" t="s">
        <v>8296</v>
      </c>
      <c r="I104" s="154" t="s">
        <v>12980</v>
      </c>
      <c r="J104" s="154" t="s">
        <v>7431</v>
      </c>
      <c r="K104" s="154"/>
      <c r="L104" s="154" t="s">
        <v>759</v>
      </c>
      <c r="M104" s="247" t="s">
        <v>516</v>
      </c>
      <c r="N104" s="247" t="s">
        <v>12985</v>
      </c>
      <c r="O104" s="240" t="str">
        <f t="shared" si="1"/>
        <v/>
      </c>
      <c r="P104" s="154" t="s">
        <v>66</v>
      </c>
      <c r="Q104" s="154" t="s">
        <v>66</v>
      </c>
      <c r="R104" s="154" t="s">
        <v>64</v>
      </c>
      <c r="S104" s="154" t="s">
        <v>64</v>
      </c>
      <c r="T104" s="154" t="s">
        <v>64</v>
      </c>
      <c r="U104" s="154" t="s">
        <v>64</v>
      </c>
      <c r="V104" s="154" t="s">
        <v>66</v>
      </c>
      <c r="W104" s="154" t="s">
        <v>64</v>
      </c>
      <c r="X104" s="154" t="s">
        <v>64</v>
      </c>
      <c r="Y104" s="154"/>
      <c r="Z104" s="242" t="b">
        <f t="shared" si="2"/>
        <v>1</v>
      </c>
      <c r="AA104" s="154" t="s">
        <v>391</v>
      </c>
      <c r="AB104" s="242" t="b">
        <f t="shared" si="3"/>
        <v>0</v>
      </c>
      <c r="AC104" s="154"/>
      <c r="AD104" s="242" t="b">
        <f t="shared" si="4"/>
        <v>0</v>
      </c>
      <c r="AE104" s="154" t="s">
        <v>1598</v>
      </c>
      <c r="AF104" s="243" t="str">
        <f>IF(AE104="","N/A",INDIRECT("MTR!"&amp;ADDRESS(MATCH(LEFT(AE104,9),MTR!C:C,0),COLUMN(J104)),TRUE) &amp; "")</f>
        <v>Partially Complies</v>
      </c>
      <c r="AG104" s="157" t="str">
        <f t="shared" si="5"/>
        <v/>
      </c>
      <c r="AH104" s="152"/>
      <c r="AI104" s="152"/>
      <c r="AJ104" s="152"/>
      <c r="AK104" s="152"/>
      <c r="AL104" s="152"/>
      <c r="AM104" s="152"/>
      <c r="AN104" s="152"/>
      <c r="AO104" s="152"/>
      <c r="AP104" s="152"/>
      <c r="AQ104" s="152"/>
      <c r="AR104" s="152"/>
    </row>
    <row r="105" ht="12.75" customHeight="1">
      <c r="A105" s="244" t="s">
        <v>5158</v>
      </c>
      <c r="B105" s="244" t="s">
        <v>12721</v>
      </c>
      <c r="C105" s="244" t="s">
        <v>12986</v>
      </c>
      <c r="D105" s="154" t="s">
        <v>1315</v>
      </c>
      <c r="E105" s="154"/>
      <c r="F105" s="154" t="str">
        <f t="array" ref="F105">XLOOKUP(Cover!$D$12,$P$1:$X$1,$P105:$X105)</f>
        <v>Recommended</v>
      </c>
      <c r="G105" s="154" t="s">
        <v>12987</v>
      </c>
      <c r="H105" s="154" t="s">
        <v>12988</v>
      </c>
      <c r="I105" s="154" t="s">
        <v>12989</v>
      </c>
      <c r="J105" s="154" t="s">
        <v>6064</v>
      </c>
      <c r="K105" s="154"/>
      <c r="L105" s="154" t="s">
        <v>759</v>
      </c>
      <c r="M105" s="247" t="s">
        <v>506</v>
      </c>
      <c r="N105" s="247" t="s">
        <v>12738</v>
      </c>
      <c r="O105" s="240" t="str">
        <f t="shared" si="1"/>
        <v/>
      </c>
      <c r="P105" s="154" t="s">
        <v>66</v>
      </c>
      <c r="Q105" s="154" t="s">
        <v>66</v>
      </c>
      <c r="R105" s="154" t="s">
        <v>64</v>
      </c>
      <c r="S105" s="154" t="s">
        <v>64</v>
      </c>
      <c r="T105" s="154" t="s">
        <v>64</v>
      </c>
      <c r="U105" s="154" t="s">
        <v>64</v>
      </c>
      <c r="V105" s="154" t="s">
        <v>66</v>
      </c>
      <c r="W105" s="154" t="s">
        <v>64</v>
      </c>
      <c r="X105" s="154" t="s">
        <v>64</v>
      </c>
      <c r="Y105" s="154"/>
      <c r="Z105" s="242" t="b">
        <f t="shared" si="2"/>
        <v>1</v>
      </c>
      <c r="AA105" s="154" t="s">
        <v>391</v>
      </c>
      <c r="AB105" s="242" t="b">
        <f t="shared" si="3"/>
        <v>0</v>
      </c>
      <c r="AC105" s="154"/>
      <c r="AD105" s="242" t="b">
        <f t="shared" si="4"/>
        <v>0</v>
      </c>
      <c r="AE105" s="154" t="s">
        <v>1598</v>
      </c>
      <c r="AF105" s="243" t="str">
        <f>IF(AE105="","N/A",INDIRECT("MTR!"&amp;ADDRESS(MATCH(LEFT(AE105,9),MTR!C:C,0),COLUMN(J105)),TRUE) &amp; "")</f>
        <v>Partially Complies</v>
      </c>
      <c r="AG105" s="157" t="str">
        <f t="shared" si="5"/>
        <v/>
      </c>
      <c r="AH105" s="152"/>
      <c r="AI105" s="152"/>
      <c r="AJ105" s="152"/>
      <c r="AK105" s="152"/>
      <c r="AL105" s="152"/>
      <c r="AM105" s="152"/>
      <c r="AN105" s="152"/>
      <c r="AO105" s="152"/>
      <c r="AP105" s="152"/>
      <c r="AQ105" s="152"/>
      <c r="AR105" s="152"/>
    </row>
    <row r="106" ht="12.75" customHeight="1">
      <c r="A106" s="244" t="s">
        <v>5158</v>
      </c>
      <c r="B106" s="244" t="s">
        <v>12721</v>
      </c>
      <c r="C106" s="244" t="s">
        <v>12990</v>
      </c>
      <c r="D106" s="154" t="s">
        <v>1315</v>
      </c>
      <c r="E106" s="154"/>
      <c r="F106" s="154" t="str">
        <f t="array" ref="F106">XLOOKUP(Cover!$D$12,$P$1:$X$1,$P106:$X106)</f>
        <v>Recommended</v>
      </c>
      <c r="G106" s="154" t="s">
        <v>12991</v>
      </c>
      <c r="H106" s="154" t="s">
        <v>12989</v>
      </c>
      <c r="I106" s="154" t="s">
        <v>12989</v>
      </c>
      <c r="J106" s="154" t="s">
        <v>6064</v>
      </c>
      <c r="K106" s="154"/>
      <c r="L106" s="154" t="s">
        <v>759</v>
      </c>
      <c r="M106" s="247" t="s">
        <v>516</v>
      </c>
      <c r="N106" s="247" t="s">
        <v>12741</v>
      </c>
      <c r="O106" s="240" t="str">
        <f t="shared" si="1"/>
        <v/>
      </c>
      <c r="P106" s="154" t="s">
        <v>66</v>
      </c>
      <c r="Q106" s="154" t="s">
        <v>66</v>
      </c>
      <c r="R106" s="154" t="s">
        <v>64</v>
      </c>
      <c r="S106" s="154" t="s">
        <v>64</v>
      </c>
      <c r="T106" s="154" t="s">
        <v>64</v>
      </c>
      <c r="U106" s="154" t="s">
        <v>64</v>
      </c>
      <c r="V106" s="154" t="s">
        <v>66</v>
      </c>
      <c r="W106" s="154" t="s">
        <v>64</v>
      </c>
      <c r="X106" s="154" t="s">
        <v>64</v>
      </c>
      <c r="Y106" s="154"/>
      <c r="Z106" s="242" t="b">
        <f t="shared" si="2"/>
        <v>1</v>
      </c>
      <c r="AA106" s="154" t="s">
        <v>391</v>
      </c>
      <c r="AB106" s="242" t="b">
        <f t="shared" si="3"/>
        <v>0</v>
      </c>
      <c r="AC106" s="154"/>
      <c r="AD106" s="242" t="b">
        <f t="shared" si="4"/>
        <v>0</v>
      </c>
      <c r="AE106" s="154" t="s">
        <v>1598</v>
      </c>
      <c r="AF106" s="243" t="str">
        <f>IF(AE106="","N/A",INDIRECT("MTR!"&amp;ADDRESS(MATCH(LEFT(AE106,9),MTR!C:C,0),COLUMN(J106)),TRUE) &amp; "")</f>
        <v>Partially Complies</v>
      </c>
      <c r="AG106" s="157" t="str">
        <f t="shared" si="5"/>
        <v/>
      </c>
      <c r="AH106" s="152"/>
      <c r="AI106" s="152"/>
      <c r="AJ106" s="152"/>
      <c r="AK106" s="152"/>
      <c r="AL106" s="152"/>
      <c r="AM106" s="152"/>
      <c r="AN106" s="152"/>
      <c r="AO106" s="152"/>
      <c r="AP106" s="152"/>
      <c r="AQ106" s="152"/>
      <c r="AR106" s="152"/>
    </row>
    <row r="107" ht="12.75" customHeight="1">
      <c r="A107" s="244" t="s">
        <v>5158</v>
      </c>
      <c r="B107" s="244" t="s">
        <v>12721</v>
      </c>
      <c r="C107" s="244" t="s">
        <v>12992</v>
      </c>
      <c r="D107" s="154" t="s">
        <v>1315</v>
      </c>
      <c r="E107" s="154"/>
      <c r="F107" s="154" t="str">
        <f t="array" ref="F107">XLOOKUP(Cover!$D$12,$P$1:$X$1,$P107:$X107)</f>
        <v>Recommended</v>
      </c>
      <c r="G107" s="154" t="s">
        <v>12993</v>
      </c>
      <c r="H107" s="154" t="s">
        <v>12988</v>
      </c>
      <c r="I107" s="154" t="s">
        <v>12989</v>
      </c>
      <c r="J107" s="154" t="s">
        <v>6428</v>
      </c>
      <c r="K107" s="154"/>
      <c r="L107" s="154" t="s">
        <v>759</v>
      </c>
      <c r="M107" s="247" t="s">
        <v>506</v>
      </c>
      <c r="N107" s="247" t="s">
        <v>12738</v>
      </c>
      <c r="O107" s="240" t="str">
        <f t="shared" si="1"/>
        <v/>
      </c>
      <c r="P107" s="154" t="s">
        <v>66</v>
      </c>
      <c r="Q107" s="154" t="s">
        <v>66</v>
      </c>
      <c r="R107" s="154" t="s">
        <v>64</v>
      </c>
      <c r="S107" s="154" t="s">
        <v>64</v>
      </c>
      <c r="T107" s="154" t="s">
        <v>64</v>
      </c>
      <c r="U107" s="154" t="s">
        <v>64</v>
      </c>
      <c r="V107" s="154" t="s">
        <v>66</v>
      </c>
      <c r="W107" s="154" t="s">
        <v>64</v>
      </c>
      <c r="X107" s="154" t="s">
        <v>64</v>
      </c>
      <c r="Y107" s="154"/>
      <c r="Z107" s="242" t="b">
        <f t="shared" si="2"/>
        <v>1</v>
      </c>
      <c r="AA107" s="154" t="s">
        <v>391</v>
      </c>
      <c r="AB107" s="242" t="b">
        <f t="shared" si="3"/>
        <v>0</v>
      </c>
      <c r="AC107" s="154"/>
      <c r="AD107" s="242" t="b">
        <f t="shared" si="4"/>
        <v>0</v>
      </c>
      <c r="AE107" s="154" t="s">
        <v>1598</v>
      </c>
      <c r="AF107" s="243" t="str">
        <f>IF(AE107="","N/A",INDIRECT("MTR!"&amp;ADDRESS(MATCH(LEFT(AE107,9),MTR!C:C,0),COLUMN(J107)),TRUE) &amp; "")</f>
        <v>Partially Complies</v>
      </c>
      <c r="AG107" s="157" t="str">
        <f t="shared" si="5"/>
        <v/>
      </c>
      <c r="AH107" s="152"/>
      <c r="AI107" s="152"/>
      <c r="AJ107" s="152"/>
      <c r="AK107" s="152"/>
      <c r="AL107" s="152"/>
      <c r="AM107" s="152"/>
      <c r="AN107" s="152"/>
      <c r="AO107" s="152"/>
      <c r="AP107" s="152"/>
      <c r="AQ107" s="152"/>
      <c r="AR107" s="152"/>
    </row>
    <row r="108" ht="12.75" customHeight="1">
      <c r="A108" s="244" t="s">
        <v>5158</v>
      </c>
      <c r="B108" s="244" t="s">
        <v>12721</v>
      </c>
      <c r="C108" s="244" t="s">
        <v>12994</v>
      </c>
      <c r="D108" s="154" t="s">
        <v>1315</v>
      </c>
      <c r="E108" s="154"/>
      <c r="F108" s="154" t="str">
        <f t="array" ref="F108">XLOOKUP(Cover!$D$12,$P$1:$X$1,$P108:$X108)</f>
        <v>Recommended</v>
      </c>
      <c r="G108" s="154" t="s">
        <v>12995</v>
      </c>
      <c r="H108" s="154" t="s">
        <v>12989</v>
      </c>
      <c r="I108" s="154" t="s">
        <v>12989</v>
      </c>
      <c r="J108" s="154" t="s">
        <v>6428</v>
      </c>
      <c r="K108" s="154"/>
      <c r="L108" s="154" t="s">
        <v>759</v>
      </c>
      <c r="M108" s="247" t="s">
        <v>516</v>
      </c>
      <c r="N108" s="247" t="s">
        <v>12741</v>
      </c>
      <c r="O108" s="240" t="str">
        <f t="shared" si="1"/>
        <v/>
      </c>
      <c r="P108" s="154" t="s">
        <v>66</v>
      </c>
      <c r="Q108" s="154" t="s">
        <v>66</v>
      </c>
      <c r="R108" s="154" t="s">
        <v>64</v>
      </c>
      <c r="S108" s="154" t="s">
        <v>64</v>
      </c>
      <c r="T108" s="154" t="s">
        <v>64</v>
      </c>
      <c r="U108" s="154" t="s">
        <v>64</v>
      </c>
      <c r="V108" s="154" t="s">
        <v>66</v>
      </c>
      <c r="W108" s="154" t="s">
        <v>64</v>
      </c>
      <c r="X108" s="154" t="s">
        <v>64</v>
      </c>
      <c r="Y108" s="154"/>
      <c r="Z108" s="242" t="b">
        <f t="shared" si="2"/>
        <v>1</v>
      </c>
      <c r="AA108" s="154" t="s">
        <v>391</v>
      </c>
      <c r="AB108" s="242" t="b">
        <f t="shared" si="3"/>
        <v>0</v>
      </c>
      <c r="AC108" s="154"/>
      <c r="AD108" s="242" t="b">
        <f t="shared" si="4"/>
        <v>0</v>
      </c>
      <c r="AE108" s="154" t="s">
        <v>1598</v>
      </c>
      <c r="AF108" s="243" t="str">
        <f>IF(AE108="","N/A",INDIRECT("MTR!"&amp;ADDRESS(MATCH(LEFT(AE108,9),MTR!C:C,0),COLUMN(J108)),TRUE) &amp; "")</f>
        <v>Partially Complies</v>
      </c>
      <c r="AG108" s="157" t="str">
        <f t="shared" si="5"/>
        <v/>
      </c>
      <c r="AH108" s="152"/>
      <c r="AI108" s="152"/>
      <c r="AJ108" s="152"/>
      <c r="AK108" s="152"/>
      <c r="AL108" s="152"/>
      <c r="AM108" s="152"/>
      <c r="AN108" s="152"/>
      <c r="AO108" s="152"/>
      <c r="AP108" s="152"/>
      <c r="AQ108" s="152"/>
      <c r="AR108" s="152"/>
    </row>
    <row r="109" ht="12.75" customHeight="1">
      <c r="A109" s="244" t="s">
        <v>5158</v>
      </c>
      <c r="B109" s="244" t="s">
        <v>12721</v>
      </c>
      <c r="C109" s="244" t="s">
        <v>12996</v>
      </c>
      <c r="D109" s="154" t="s">
        <v>45</v>
      </c>
      <c r="E109" s="154"/>
      <c r="F109" s="154" t="str">
        <f t="array" ref="F109">XLOOKUP(Cover!$D$12,$P$1:$X$1,$P109:$X109)</f>
        <v>Recommended</v>
      </c>
      <c r="G109" s="154" t="s">
        <v>12997</v>
      </c>
      <c r="H109" s="154" t="s">
        <v>12988</v>
      </c>
      <c r="I109" s="154" t="s">
        <v>12989</v>
      </c>
      <c r="J109" s="154" t="s">
        <v>10718</v>
      </c>
      <c r="K109" s="154"/>
      <c r="L109" s="154" t="s">
        <v>759</v>
      </c>
      <c r="M109" s="247" t="s">
        <v>516</v>
      </c>
      <c r="N109" s="247" t="s">
        <v>12748</v>
      </c>
      <c r="O109" s="240" t="str">
        <f t="shared" si="1"/>
        <v/>
      </c>
      <c r="P109" s="154" t="s">
        <v>66</v>
      </c>
      <c r="Q109" s="154" t="s">
        <v>66</v>
      </c>
      <c r="R109" s="154" t="s">
        <v>64</v>
      </c>
      <c r="S109" s="154" t="s">
        <v>64</v>
      </c>
      <c r="T109" s="154" t="s">
        <v>64</v>
      </c>
      <c r="U109" s="154" t="s">
        <v>64</v>
      </c>
      <c r="V109" s="154" t="s">
        <v>66</v>
      </c>
      <c r="W109" s="154" t="s">
        <v>64</v>
      </c>
      <c r="X109" s="154" t="s">
        <v>64</v>
      </c>
      <c r="Y109" s="154"/>
      <c r="Z109" s="242" t="b">
        <f t="shared" si="2"/>
        <v>1</v>
      </c>
      <c r="AA109" s="154" t="s">
        <v>391</v>
      </c>
      <c r="AB109" s="242" t="b">
        <f t="shared" si="3"/>
        <v>0</v>
      </c>
      <c r="AC109" s="154"/>
      <c r="AD109" s="242" t="b">
        <f t="shared" si="4"/>
        <v>0</v>
      </c>
      <c r="AE109" s="154" t="s">
        <v>1598</v>
      </c>
      <c r="AF109" s="243" t="str">
        <f>IF(AE109="","N/A",INDIRECT("MTR!"&amp;ADDRESS(MATCH(LEFT(AE109,9),MTR!C:C,0),COLUMN(J109)),TRUE) &amp; "")</f>
        <v>Partially Complies</v>
      </c>
      <c r="AG109" s="157" t="str">
        <f t="shared" si="5"/>
        <v/>
      </c>
      <c r="AH109" s="152"/>
      <c r="AI109" s="152"/>
      <c r="AJ109" s="152"/>
      <c r="AK109" s="152"/>
      <c r="AL109" s="152"/>
      <c r="AM109" s="152"/>
      <c r="AN109" s="152"/>
      <c r="AO109" s="152"/>
      <c r="AP109" s="152"/>
      <c r="AQ109" s="152"/>
      <c r="AR109" s="152"/>
    </row>
    <row r="110" ht="12.75" customHeight="1">
      <c r="A110" s="244" t="s">
        <v>5158</v>
      </c>
      <c r="B110" s="244" t="s">
        <v>12721</v>
      </c>
      <c r="C110" s="244" t="s">
        <v>12998</v>
      </c>
      <c r="D110" s="154" t="s">
        <v>45</v>
      </c>
      <c r="E110" s="154"/>
      <c r="F110" s="154" t="str">
        <f t="array" ref="F110">XLOOKUP(Cover!$D$12,$P$1:$X$1,$P110:$X110)</f>
        <v>Recommended</v>
      </c>
      <c r="G110" s="154" t="s">
        <v>12999</v>
      </c>
      <c r="H110" s="154" t="s">
        <v>12989</v>
      </c>
      <c r="I110" s="154" t="s">
        <v>12989</v>
      </c>
      <c r="J110" s="154" t="s">
        <v>10718</v>
      </c>
      <c r="K110" s="154"/>
      <c r="L110" s="154" t="s">
        <v>759</v>
      </c>
      <c r="M110" s="247" t="s">
        <v>516</v>
      </c>
      <c r="N110" s="247" t="s">
        <v>12751</v>
      </c>
      <c r="O110" s="240" t="str">
        <f t="shared" si="1"/>
        <v/>
      </c>
      <c r="P110" s="154" t="s">
        <v>66</v>
      </c>
      <c r="Q110" s="154" t="s">
        <v>66</v>
      </c>
      <c r="R110" s="154" t="s">
        <v>64</v>
      </c>
      <c r="S110" s="154" t="s">
        <v>64</v>
      </c>
      <c r="T110" s="154" t="s">
        <v>64</v>
      </c>
      <c r="U110" s="154" t="s">
        <v>64</v>
      </c>
      <c r="V110" s="154" t="s">
        <v>66</v>
      </c>
      <c r="W110" s="154" t="s">
        <v>64</v>
      </c>
      <c r="X110" s="154" t="s">
        <v>64</v>
      </c>
      <c r="Y110" s="154"/>
      <c r="Z110" s="242" t="b">
        <f t="shared" si="2"/>
        <v>1</v>
      </c>
      <c r="AA110" s="154" t="s">
        <v>391</v>
      </c>
      <c r="AB110" s="242" t="b">
        <f t="shared" si="3"/>
        <v>0</v>
      </c>
      <c r="AC110" s="154"/>
      <c r="AD110" s="242" t="b">
        <f t="shared" si="4"/>
        <v>0</v>
      </c>
      <c r="AE110" s="154" t="s">
        <v>1598</v>
      </c>
      <c r="AF110" s="243" t="str">
        <f>IF(AE110="","N/A",INDIRECT("MTR!"&amp;ADDRESS(MATCH(LEFT(AE110,9),MTR!C:C,0),COLUMN(J110)),TRUE) &amp; "")</f>
        <v>Partially Complies</v>
      </c>
      <c r="AG110" s="157" t="str">
        <f t="shared" si="5"/>
        <v/>
      </c>
      <c r="AH110" s="152"/>
      <c r="AI110" s="152"/>
      <c r="AJ110" s="152"/>
      <c r="AK110" s="152"/>
      <c r="AL110" s="152"/>
      <c r="AM110" s="152"/>
      <c r="AN110" s="152"/>
      <c r="AO110" s="152"/>
      <c r="AP110" s="152"/>
      <c r="AQ110" s="152"/>
      <c r="AR110" s="152"/>
    </row>
    <row r="111" ht="12.75" customHeight="1">
      <c r="A111" s="244" t="s">
        <v>5158</v>
      </c>
      <c r="B111" s="244" t="s">
        <v>12721</v>
      </c>
      <c r="C111" s="245" t="s">
        <v>13000</v>
      </c>
      <c r="D111" s="155" t="s">
        <v>1315</v>
      </c>
      <c r="E111" s="155" t="s">
        <v>92</v>
      </c>
      <c r="F111" s="154" t="str">
        <f t="array" ref="F111">XLOOKUP(Cover!$D$12,$P$1:$X$1,$P111:$X111)</f>
        <v>Information</v>
      </c>
      <c r="G111" s="154" t="s">
        <v>13001</v>
      </c>
      <c r="H111" s="154" t="s">
        <v>13002</v>
      </c>
      <c r="I111" s="154" t="s">
        <v>13003</v>
      </c>
      <c r="J111" s="154" t="s">
        <v>6525</v>
      </c>
      <c r="K111" s="154"/>
      <c r="L111" s="154" t="s">
        <v>759</v>
      </c>
      <c r="M111" s="247" t="s">
        <v>506</v>
      </c>
      <c r="N111" s="247" t="s">
        <v>12738</v>
      </c>
      <c r="O111" s="240" t="str">
        <f t="shared" si="1"/>
        <v/>
      </c>
      <c r="P111" s="154" t="s">
        <v>66</v>
      </c>
      <c r="Q111" s="154" t="s">
        <v>66</v>
      </c>
      <c r="R111" s="154" t="s">
        <v>66</v>
      </c>
      <c r="S111" s="154" t="s">
        <v>66</v>
      </c>
      <c r="T111" s="154" t="s">
        <v>66</v>
      </c>
      <c r="U111" s="154" t="s">
        <v>66</v>
      </c>
      <c r="V111" s="154" t="s">
        <v>66</v>
      </c>
      <c r="W111" s="154" t="s">
        <v>66</v>
      </c>
      <c r="X111" s="154" t="s">
        <v>66</v>
      </c>
      <c r="Y111" s="154"/>
      <c r="Z111" s="242" t="b">
        <f t="shared" si="2"/>
        <v>1</v>
      </c>
      <c r="AA111" s="154" t="s">
        <v>391</v>
      </c>
      <c r="AB111" s="242" t="b">
        <f t="shared" si="3"/>
        <v>0</v>
      </c>
      <c r="AC111" s="154"/>
      <c r="AD111" s="242" t="b">
        <f t="shared" si="4"/>
        <v>0</v>
      </c>
      <c r="AE111" s="154" t="s">
        <v>1598</v>
      </c>
      <c r="AF111" s="243" t="str">
        <f>IF(AE111="","N/A",INDIRECT("MTR!"&amp;ADDRESS(MATCH(LEFT(AE111,9),MTR!C:C,0),COLUMN(J111)),TRUE) &amp; "")</f>
        <v>Partially Complies</v>
      </c>
      <c r="AG111" s="157" t="str">
        <f t="shared" si="5"/>
        <v/>
      </c>
      <c r="AH111" s="152"/>
      <c r="AI111" s="152"/>
      <c r="AJ111" s="152"/>
      <c r="AK111" s="152"/>
      <c r="AL111" s="152"/>
      <c r="AM111" s="152"/>
      <c r="AN111" s="152"/>
      <c r="AO111" s="152"/>
      <c r="AP111" s="152"/>
      <c r="AQ111" s="152"/>
      <c r="AR111" s="152"/>
    </row>
    <row r="112" ht="12.75" customHeight="1">
      <c r="A112" s="244" t="s">
        <v>5158</v>
      </c>
      <c r="B112" s="244" t="s">
        <v>12721</v>
      </c>
      <c r="C112" s="245" t="s">
        <v>13004</v>
      </c>
      <c r="D112" s="155" t="s">
        <v>1315</v>
      </c>
      <c r="E112" s="155" t="s">
        <v>92</v>
      </c>
      <c r="F112" s="154" t="str">
        <f t="array" ref="F112">XLOOKUP(Cover!$D$12,$P$1:$X$1,$P112:$X112)</f>
        <v>Information</v>
      </c>
      <c r="G112" s="154" t="s">
        <v>13005</v>
      </c>
      <c r="H112" s="154" t="s">
        <v>13003</v>
      </c>
      <c r="I112" s="154" t="s">
        <v>13003</v>
      </c>
      <c r="J112" s="154" t="s">
        <v>6525</v>
      </c>
      <c r="K112" s="154"/>
      <c r="L112" s="154" t="s">
        <v>759</v>
      </c>
      <c r="M112" s="247" t="s">
        <v>516</v>
      </c>
      <c r="N112" s="247" t="s">
        <v>12741</v>
      </c>
      <c r="O112" s="240" t="str">
        <f t="shared" si="1"/>
        <v/>
      </c>
      <c r="P112" s="154" t="s">
        <v>66</v>
      </c>
      <c r="Q112" s="154" t="s">
        <v>66</v>
      </c>
      <c r="R112" s="154" t="s">
        <v>66</v>
      </c>
      <c r="S112" s="154" t="s">
        <v>66</v>
      </c>
      <c r="T112" s="154" t="s">
        <v>66</v>
      </c>
      <c r="U112" s="154" t="s">
        <v>66</v>
      </c>
      <c r="V112" s="154" t="s">
        <v>66</v>
      </c>
      <c r="W112" s="154" t="s">
        <v>66</v>
      </c>
      <c r="X112" s="154" t="s">
        <v>66</v>
      </c>
      <c r="Y112" s="154"/>
      <c r="Z112" s="242" t="b">
        <f t="shared" si="2"/>
        <v>1</v>
      </c>
      <c r="AA112" s="154" t="s">
        <v>391</v>
      </c>
      <c r="AB112" s="242" t="b">
        <f t="shared" si="3"/>
        <v>0</v>
      </c>
      <c r="AC112" s="154"/>
      <c r="AD112" s="242" t="b">
        <f t="shared" si="4"/>
        <v>0</v>
      </c>
      <c r="AE112" s="154" t="s">
        <v>1598</v>
      </c>
      <c r="AF112" s="243" t="str">
        <f>IF(AE112="","N/A",INDIRECT("MTR!"&amp;ADDRESS(MATCH(LEFT(AE112,9),MTR!C:C,0),COLUMN(J112)),TRUE) &amp; "")</f>
        <v>Partially Complies</v>
      </c>
      <c r="AG112" s="157" t="str">
        <f t="shared" si="5"/>
        <v/>
      </c>
      <c r="AH112" s="152"/>
      <c r="AI112" s="152"/>
      <c r="AJ112" s="152"/>
      <c r="AK112" s="152"/>
      <c r="AL112" s="152"/>
      <c r="AM112" s="152"/>
      <c r="AN112" s="152"/>
      <c r="AO112" s="152"/>
      <c r="AP112" s="152"/>
      <c r="AQ112" s="152"/>
      <c r="AR112" s="152"/>
    </row>
    <row r="113" ht="12.75" customHeight="1">
      <c r="A113" s="244" t="s">
        <v>5158</v>
      </c>
      <c r="B113" s="244" t="s">
        <v>12721</v>
      </c>
      <c r="C113" s="245" t="s">
        <v>13006</v>
      </c>
      <c r="D113" s="155" t="s">
        <v>1315</v>
      </c>
      <c r="E113" s="155" t="s">
        <v>92</v>
      </c>
      <c r="F113" s="154" t="str">
        <f t="array" ref="F113">XLOOKUP(Cover!$D$12,$P$1:$X$1,$P113:$X113)</f>
        <v>Information</v>
      </c>
      <c r="G113" s="154" t="s">
        <v>13007</v>
      </c>
      <c r="H113" s="154" t="s">
        <v>13002</v>
      </c>
      <c r="I113" s="154" t="s">
        <v>13003</v>
      </c>
      <c r="J113" s="154" t="s">
        <v>6428</v>
      </c>
      <c r="K113" s="154"/>
      <c r="L113" s="154" t="s">
        <v>759</v>
      </c>
      <c r="M113" s="247" t="s">
        <v>506</v>
      </c>
      <c r="N113" s="247" t="s">
        <v>12738</v>
      </c>
      <c r="O113" s="240" t="str">
        <f t="shared" si="1"/>
        <v/>
      </c>
      <c r="P113" s="154" t="s">
        <v>66</v>
      </c>
      <c r="Q113" s="154" t="s">
        <v>66</v>
      </c>
      <c r="R113" s="154" t="s">
        <v>66</v>
      </c>
      <c r="S113" s="154" t="s">
        <v>66</v>
      </c>
      <c r="T113" s="154" t="s">
        <v>66</v>
      </c>
      <c r="U113" s="154" t="s">
        <v>66</v>
      </c>
      <c r="V113" s="154" t="s">
        <v>66</v>
      </c>
      <c r="W113" s="154" t="s">
        <v>66</v>
      </c>
      <c r="X113" s="154" t="s">
        <v>66</v>
      </c>
      <c r="Y113" s="154"/>
      <c r="Z113" s="242" t="b">
        <f t="shared" si="2"/>
        <v>1</v>
      </c>
      <c r="AA113" s="154" t="s">
        <v>391</v>
      </c>
      <c r="AB113" s="242" t="b">
        <f t="shared" si="3"/>
        <v>0</v>
      </c>
      <c r="AC113" s="154"/>
      <c r="AD113" s="242" t="b">
        <f t="shared" si="4"/>
        <v>0</v>
      </c>
      <c r="AE113" s="154" t="s">
        <v>1598</v>
      </c>
      <c r="AF113" s="243" t="str">
        <f>IF(AE113="","N/A",INDIRECT("MTR!"&amp;ADDRESS(MATCH(LEFT(AE113,9),MTR!C:C,0),COLUMN(J113)),TRUE) &amp; "")</f>
        <v>Partially Complies</v>
      </c>
      <c r="AG113" s="157" t="str">
        <f t="shared" si="5"/>
        <v/>
      </c>
      <c r="AH113" s="152"/>
      <c r="AI113" s="152"/>
      <c r="AJ113" s="152"/>
      <c r="AK113" s="152"/>
      <c r="AL113" s="152"/>
      <c r="AM113" s="152"/>
      <c r="AN113" s="152"/>
      <c r="AO113" s="152"/>
      <c r="AP113" s="152"/>
      <c r="AQ113" s="152"/>
      <c r="AR113" s="152"/>
    </row>
    <row r="114" ht="12.75" customHeight="1">
      <c r="A114" s="244" t="s">
        <v>5158</v>
      </c>
      <c r="B114" s="244" t="s">
        <v>12721</v>
      </c>
      <c r="C114" s="245" t="s">
        <v>13008</v>
      </c>
      <c r="D114" s="155" t="s">
        <v>1315</v>
      </c>
      <c r="E114" s="155" t="s">
        <v>92</v>
      </c>
      <c r="F114" s="154" t="str">
        <f t="array" ref="F114">XLOOKUP(Cover!$D$12,$P$1:$X$1,$P114:$X114)</f>
        <v>Information</v>
      </c>
      <c r="G114" s="154" t="s">
        <v>13009</v>
      </c>
      <c r="H114" s="154" t="s">
        <v>13003</v>
      </c>
      <c r="I114" s="154" t="s">
        <v>13003</v>
      </c>
      <c r="J114" s="154" t="s">
        <v>6428</v>
      </c>
      <c r="K114" s="154"/>
      <c r="L114" s="154" t="s">
        <v>759</v>
      </c>
      <c r="M114" s="247" t="s">
        <v>516</v>
      </c>
      <c r="N114" s="247" t="s">
        <v>12741</v>
      </c>
      <c r="O114" s="240" t="str">
        <f t="shared" si="1"/>
        <v/>
      </c>
      <c r="P114" s="154" t="s">
        <v>66</v>
      </c>
      <c r="Q114" s="154" t="s">
        <v>66</v>
      </c>
      <c r="R114" s="154" t="s">
        <v>66</v>
      </c>
      <c r="S114" s="154" t="s">
        <v>66</v>
      </c>
      <c r="T114" s="154" t="s">
        <v>66</v>
      </c>
      <c r="U114" s="154" t="s">
        <v>66</v>
      </c>
      <c r="V114" s="154" t="s">
        <v>66</v>
      </c>
      <c r="W114" s="154" t="s">
        <v>66</v>
      </c>
      <c r="X114" s="154" t="s">
        <v>66</v>
      </c>
      <c r="Y114" s="154"/>
      <c r="Z114" s="242" t="b">
        <f t="shared" si="2"/>
        <v>1</v>
      </c>
      <c r="AA114" s="154" t="s">
        <v>391</v>
      </c>
      <c r="AB114" s="242" t="b">
        <f t="shared" si="3"/>
        <v>0</v>
      </c>
      <c r="AC114" s="154"/>
      <c r="AD114" s="242" t="b">
        <f t="shared" si="4"/>
        <v>0</v>
      </c>
      <c r="AE114" s="154" t="s">
        <v>1598</v>
      </c>
      <c r="AF114" s="243" t="str">
        <f>IF(AE114="","N/A",INDIRECT("MTR!"&amp;ADDRESS(MATCH(LEFT(AE114,9),MTR!C:C,0),COLUMN(J114)),TRUE) &amp; "")</f>
        <v>Partially Complies</v>
      </c>
      <c r="AG114" s="157" t="str">
        <f t="shared" si="5"/>
        <v/>
      </c>
      <c r="AH114" s="152"/>
      <c r="AI114" s="152"/>
      <c r="AJ114" s="152"/>
      <c r="AK114" s="152"/>
      <c r="AL114" s="152"/>
      <c r="AM114" s="152"/>
      <c r="AN114" s="152"/>
      <c r="AO114" s="152"/>
      <c r="AP114" s="152"/>
      <c r="AQ114" s="152"/>
      <c r="AR114" s="152"/>
    </row>
    <row r="115" ht="12.75" customHeight="1">
      <c r="A115" s="244" t="s">
        <v>5158</v>
      </c>
      <c r="B115" s="244" t="s">
        <v>12721</v>
      </c>
      <c r="C115" s="255" t="s">
        <v>13010</v>
      </c>
      <c r="D115" s="256" t="s">
        <v>42</v>
      </c>
      <c r="E115" s="256" t="s">
        <v>489</v>
      </c>
      <c r="F115" s="154" t="str">
        <f t="array" ref="F115">XLOOKUP(Cover!$D$12,$P$1:$X$1,$P115:$X115)</f>
        <v>Information</v>
      </c>
      <c r="G115" s="154" t="s">
        <v>13011</v>
      </c>
      <c r="H115" s="154" t="s">
        <v>13002</v>
      </c>
      <c r="I115" s="154" t="s">
        <v>13003</v>
      </c>
      <c r="J115" s="154" t="s">
        <v>5931</v>
      </c>
      <c r="K115" s="154"/>
      <c r="L115" s="154" t="s">
        <v>759</v>
      </c>
      <c r="M115" s="247" t="s">
        <v>516</v>
      </c>
      <c r="N115" s="247" t="s">
        <v>12748</v>
      </c>
      <c r="O115" s="240" t="str">
        <f t="shared" si="1"/>
        <v/>
      </c>
      <c r="P115" s="154" t="s">
        <v>66</v>
      </c>
      <c r="Q115" s="154" t="s">
        <v>66</v>
      </c>
      <c r="R115" s="154" t="s">
        <v>66</v>
      </c>
      <c r="S115" s="154" t="s">
        <v>66</v>
      </c>
      <c r="T115" s="154" t="s">
        <v>66</v>
      </c>
      <c r="U115" s="154" t="s">
        <v>66</v>
      </c>
      <c r="V115" s="154" t="s">
        <v>66</v>
      </c>
      <c r="W115" s="154" t="s">
        <v>66</v>
      </c>
      <c r="X115" s="154" t="s">
        <v>66</v>
      </c>
      <c r="Y115" s="154"/>
      <c r="Z115" s="242" t="b">
        <f t="shared" si="2"/>
        <v>1</v>
      </c>
      <c r="AA115" s="154" t="s">
        <v>391</v>
      </c>
      <c r="AB115" s="242" t="b">
        <f t="shared" si="3"/>
        <v>0</v>
      </c>
      <c r="AC115" s="154"/>
      <c r="AD115" s="242" t="b">
        <f t="shared" si="4"/>
        <v>0</v>
      </c>
      <c r="AE115" s="154" t="s">
        <v>1598</v>
      </c>
      <c r="AF115" s="243" t="str">
        <f>IF(AE115="","N/A",INDIRECT("MTR!"&amp;ADDRESS(MATCH(LEFT(AE115,9),MTR!C:C,0),COLUMN(J115)),TRUE) &amp; "")</f>
        <v>Partially Complies</v>
      </c>
      <c r="AG115" s="157" t="str">
        <f t="shared" si="5"/>
        <v/>
      </c>
      <c r="AH115" s="152"/>
      <c r="AI115" s="152"/>
      <c r="AJ115" s="152"/>
      <c r="AK115" s="152"/>
      <c r="AL115" s="152"/>
      <c r="AM115" s="152"/>
      <c r="AN115" s="152"/>
      <c r="AO115" s="152"/>
      <c r="AP115" s="152"/>
      <c r="AQ115" s="152"/>
      <c r="AR115" s="152"/>
    </row>
    <row r="116" ht="12.75" customHeight="1">
      <c r="A116" s="244" t="s">
        <v>5158</v>
      </c>
      <c r="B116" s="244" t="s">
        <v>12721</v>
      </c>
      <c r="C116" s="255" t="s">
        <v>13012</v>
      </c>
      <c r="D116" s="256" t="s">
        <v>42</v>
      </c>
      <c r="E116" s="256" t="s">
        <v>489</v>
      </c>
      <c r="F116" s="154" t="str">
        <f t="array" ref="F116">XLOOKUP(Cover!$D$12,$P$1:$X$1,$P116:$X116)</f>
        <v>Information</v>
      </c>
      <c r="G116" s="154" t="s">
        <v>13013</v>
      </c>
      <c r="H116" s="154" t="s">
        <v>13003</v>
      </c>
      <c r="I116" s="154" t="s">
        <v>13003</v>
      </c>
      <c r="J116" s="154" t="s">
        <v>5931</v>
      </c>
      <c r="K116" s="154"/>
      <c r="L116" s="154" t="s">
        <v>759</v>
      </c>
      <c r="M116" s="247" t="s">
        <v>516</v>
      </c>
      <c r="N116" s="247" t="s">
        <v>12751</v>
      </c>
      <c r="O116" s="240" t="str">
        <f t="shared" si="1"/>
        <v/>
      </c>
      <c r="P116" s="154" t="s">
        <v>66</v>
      </c>
      <c r="Q116" s="154" t="s">
        <v>66</v>
      </c>
      <c r="R116" s="154" t="s">
        <v>66</v>
      </c>
      <c r="S116" s="154" t="s">
        <v>66</v>
      </c>
      <c r="T116" s="154" t="s">
        <v>66</v>
      </c>
      <c r="U116" s="154" t="s">
        <v>66</v>
      </c>
      <c r="V116" s="154" t="s">
        <v>66</v>
      </c>
      <c r="W116" s="154" t="s">
        <v>66</v>
      </c>
      <c r="X116" s="154" t="s">
        <v>66</v>
      </c>
      <c r="Y116" s="154"/>
      <c r="Z116" s="242" t="b">
        <f t="shared" si="2"/>
        <v>1</v>
      </c>
      <c r="AA116" s="154" t="s">
        <v>391</v>
      </c>
      <c r="AB116" s="242" t="b">
        <f t="shared" si="3"/>
        <v>0</v>
      </c>
      <c r="AC116" s="154"/>
      <c r="AD116" s="242" t="b">
        <f t="shared" si="4"/>
        <v>0</v>
      </c>
      <c r="AE116" s="154" t="s">
        <v>1598</v>
      </c>
      <c r="AF116" s="243" t="str">
        <f>IF(AE116="","N/A",INDIRECT("MTR!"&amp;ADDRESS(MATCH(LEFT(AE116,9),MTR!C:C,0),COLUMN(J116)),TRUE) &amp; "")</f>
        <v>Partially Complies</v>
      </c>
      <c r="AG116" s="157" t="str">
        <f t="shared" si="5"/>
        <v/>
      </c>
      <c r="AH116" s="152"/>
      <c r="AI116" s="152"/>
      <c r="AJ116" s="152"/>
      <c r="AK116" s="152"/>
      <c r="AL116" s="152"/>
      <c r="AM116" s="152"/>
      <c r="AN116" s="152"/>
      <c r="AO116" s="152"/>
      <c r="AP116" s="152"/>
      <c r="AQ116" s="152"/>
      <c r="AR116" s="152"/>
    </row>
    <row r="117" ht="12.75" customHeight="1">
      <c r="A117" s="244" t="s">
        <v>5158</v>
      </c>
      <c r="B117" s="244" t="s">
        <v>12721</v>
      </c>
      <c r="C117" s="244" t="s">
        <v>13014</v>
      </c>
      <c r="D117" s="154" t="s">
        <v>1315</v>
      </c>
      <c r="E117" s="154"/>
      <c r="F117" s="154" t="str">
        <f t="array" ref="F117">XLOOKUP(Cover!$D$12,$P$1:$X$1,$P117:$X117)</f>
        <v>Recommended</v>
      </c>
      <c r="G117" s="154" t="s">
        <v>13015</v>
      </c>
      <c r="H117" s="154" t="s">
        <v>8442</v>
      </c>
      <c r="I117" s="154" t="s">
        <v>13016</v>
      </c>
      <c r="J117" s="154" t="s">
        <v>6942</v>
      </c>
      <c r="K117" s="154"/>
      <c r="L117" s="154" t="s">
        <v>759</v>
      </c>
      <c r="M117" s="247" t="s">
        <v>516</v>
      </c>
      <c r="N117" s="247" t="s">
        <v>12731</v>
      </c>
      <c r="O117" s="240" t="str">
        <f t="shared" si="1"/>
        <v/>
      </c>
      <c r="P117" s="154" t="s">
        <v>66</v>
      </c>
      <c r="Q117" s="154" t="s">
        <v>66</v>
      </c>
      <c r="R117" s="154" t="s">
        <v>64</v>
      </c>
      <c r="S117" s="154" t="s">
        <v>64</v>
      </c>
      <c r="T117" s="154" t="s">
        <v>64</v>
      </c>
      <c r="U117" s="154" t="s">
        <v>64</v>
      </c>
      <c r="V117" s="154" t="s">
        <v>66</v>
      </c>
      <c r="W117" s="154" t="s">
        <v>64</v>
      </c>
      <c r="X117" s="154" t="s">
        <v>64</v>
      </c>
      <c r="Y117" s="154"/>
      <c r="Z117" s="242" t="b">
        <f t="shared" si="2"/>
        <v>1</v>
      </c>
      <c r="AA117" s="154" t="s">
        <v>391</v>
      </c>
      <c r="AB117" s="242" t="b">
        <f t="shared" si="3"/>
        <v>0</v>
      </c>
      <c r="AC117" s="154"/>
      <c r="AD117" s="242" t="b">
        <f t="shared" si="4"/>
        <v>0</v>
      </c>
      <c r="AE117" s="154" t="s">
        <v>1598</v>
      </c>
      <c r="AF117" s="243" t="str">
        <f>IF(AE117="","N/A",INDIRECT("MTR!"&amp;ADDRESS(MATCH(LEFT(AE117,9),MTR!C:C,0),COLUMN(J117)),TRUE) &amp; "")</f>
        <v>Partially Complies</v>
      </c>
      <c r="AG117" s="157" t="str">
        <f t="shared" si="5"/>
        <v/>
      </c>
      <c r="AH117" s="152"/>
      <c r="AI117" s="152"/>
      <c r="AJ117" s="152"/>
      <c r="AK117" s="152"/>
      <c r="AL117" s="152"/>
      <c r="AM117" s="152"/>
      <c r="AN117" s="152"/>
      <c r="AO117" s="152"/>
      <c r="AP117" s="152"/>
      <c r="AQ117" s="152"/>
      <c r="AR117" s="152"/>
    </row>
    <row r="118" ht="12.75" customHeight="1">
      <c r="A118" s="244" t="s">
        <v>5158</v>
      </c>
      <c r="B118" s="244" t="s">
        <v>12721</v>
      </c>
      <c r="C118" s="244" t="s">
        <v>13017</v>
      </c>
      <c r="D118" s="154" t="s">
        <v>503</v>
      </c>
      <c r="E118" s="154"/>
      <c r="F118" s="154" t="str">
        <f t="array" ref="F118">XLOOKUP(Cover!$D$12,$P$1:$X$1,$P118:$X118)</f>
        <v>Recommended</v>
      </c>
      <c r="G118" s="154" t="s">
        <v>13018</v>
      </c>
      <c r="H118" s="154" t="s">
        <v>8442</v>
      </c>
      <c r="I118" s="154" t="s">
        <v>13016</v>
      </c>
      <c r="J118" s="154" t="s">
        <v>7431</v>
      </c>
      <c r="K118" s="154"/>
      <c r="L118" s="154" t="s">
        <v>759</v>
      </c>
      <c r="M118" s="247" t="s">
        <v>516</v>
      </c>
      <c r="N118" s="247" t="s">
        <v>12731</v>
      </c>
      <c r="O118" s="240" t="str">
        <f t="shared" si="1"/>
        <v/>
      </c>
      <c r="P118" s="154" t="s">
        <v>66</v>
      </c>
      <c r="Q118" s="154" t="s">
        <v>66</v>
      </c>
      <c r="R118" s="154" t="s">
        <v>64</v>
      </c>
      <c r="S118" s="154" t="s">
        <v>64</v>
      </c>
      <c r="T118" s="154" t="s">
        <v>64</v>
      </c>
      <c r="U118" s="154" t="s">
        <v>64</v>
      </c>
      <c r="V118" s="154" t="s">
        <v>66</v>
      </c>
      <c r="W118" s="154" t="s">
        <v>64</v>
      </c>
      <c r="X118" s="154" t="s">
        <v>64</v>
      </c>
      <c r="Y118" s="154"/>
      <c r="Z118" s="242" t="b">
        <f t="shared" si="2"/>
        <v>1</v>
      </c>
      <c r="AA118" s="154" t="s">
        <v>391</v>
      </c>
      <c r="AB118" s="242" t="b">
        <f t="shared" si="3"/>
        <v>0</v>
      </c>
      <c r="AC118" s="154"/>
      <c r="AD118" s="242" t="b">
        <f t="shared" si="4"/>
        <v>0</v>
      </c>
      <c r="AE118" s="154" t="s">
        <v>1598</v>
      </c>
      <c r="AF118" s="243" t="str">
        <f>IF(AE118="","N/A",INDIRECT("MTR!"&amp;ADDRESS(MATCH(LEFT(AE118,9),MTR!C:C,0),COLUMN(J118)),TRUE) &amp; "")</f>
        <v>Partially Complies</v>
      </c>
      <c r="AG118" s="157" t="str">
        <f t="shared" si="5"/>
        <v/>
      </c>
      <c r="AH118" s="152"/>
      <c r="AI118" s="152"/>
      <c r="AJ118" s="152"/>
      <c r="AK118" s="152"/>
      <c r="AL118" s="152"/>
      <c r="AM118" s="152"/>
      <c r="AN118" s="152"/>
      <c r="AO118" s="152"/>
      <c r="AP118" s="152"/>
      <c r="AQ118" s="152"/>
      <c r="AR118" s="152"/>
    </row>
    <row r="119" ht="12.75" customHeight="1">
      <c r="A119" s="244" t="s">
        <v>5158</v>
      </c>
      <c r="B119" s="244" t="s">
        <v>12721</v>
      </c>
      <c r="C119" s="244" t="s">
        <v>13019</v>
      </c>
      <c r="D119" s="154" t="s">
        <v>1315</v>
      </c>
      <c r="E119" s="154"/>
      <c r="F119" s="154" t="str">
        <f t="array" ref="F119">XLOOKUP(Cover!$D$12,$P$1:$X$1,$P119:$X119)</f>
        <v>Recommended</v>
      </c>
      <c r="G119" s="154" t="s">
        <v>13020</v>
      </c>
      <c r="H119" s="154" t="s">
        <v>13021</v>
      </c>
      <c r="I119" s="154" t="s">
        <v>13022</v>
      </c>
      <c r="J119" s="154" t="s">
        <v>6140</v>
      </c>
      <c r="K119" s="154"/>
      <c r="L119" s="154" t="s">
        <v>759</v>
      </c>
      <c r="M119" s="247" t="s">
        <v>506</v>
      </c>
      <c r="N119" s="247" t="s">
        <v>12738</v>
      </c>
      <c r="O119" s="240" t="str">
        <f t="shared" si="1"/>
        <v/>
      </c>
      <c r="P119" s="154" t="s">
        <v>66</v>
      </c>
      <c r="Q119" s="154" t="s">
        <v>66</v>
      </c>
      <c r="R119" s="154" t="s">
        <v>64</v>
      </c>
      <c r="S119" s="154" t="s">
        <v>64</v>
      </c>
      <c r="T119" s="154" t="s">
        <v>64</v>
      </c>
      <c r="U119" s="154" t="s">
        <v>64</v>
      </c>
      <c r="V119" s="154" t="s">
        <v>66</v>
      </c>
      <c r="W119" s="154" t="s">
        <v>64</v>
      </c>
      <c r="X119" s="154" t="s">
        <v>64</v>
      </c>
      <c r="Y119" s="154"/>
      <c r="Z119" s="242" t="b">
        <f t="shared" si="2"/>
        <v>1</v>
      </c>
      <c r="AA119" s="154" t="s">
        <v>391</v>
      </c>
      <c r="AB119" s="242" t="b">
        <f t="shared" si="3"/>
        <v>0</v>
      </c>
      <c r="AC119" s="154"/>
      <c r="AD119" s="242" t="b">
        <f t="shared" si="4"/>
        <v>0</v>
      </c>
      <c r="AE119" s="154" t="s">
        <v>1598</v>
      </c>
      <c r="AF119" s="243" t="str">
        <f>IF(AE119="","N/A",INDIRECT("MTR!"&amp;ADDRESS(MATCH(LEFT(AE119,9),MTR!C:C,0),COLUMN(J119)),TRUE) &amp; "")</f>
        <v>Partially Complies</v>
      </c>
      <c r="AG119" s="157" t="str">
        <f t="shared" si="5"/>
        <v/>
      </c>
      <c r="AH119" s="152"/>
      <c r="AI119" s="152"/>
      <c r="AJ119" s="152"/>
      <c r="AK119" s="152"/>
      <c r="AL119" s="152"/>
      <c r="AM119" s="152"/>
      <c r="AN119" s="152"/>
      <c r="AO119" s="152"/>
      <c r="AP119" s="152"/>
      <c r="AQ119" s="152"/>
      <c r="AR119" s="152"/>
    </row>
    <row r="120" ht="12.75" customHeight="1">
      <c r="A120" s="244" t="s">
        <v>5158</v>
      </c>
      <c r="B120" s="244" t="s">
        <v>12721</v>
      </c>
      <c r="C120" s="244" t="s">
        <v>13023</v>
      </c>
      <c r="D120" s="154" t="s">
        <v>1315</v>
      </c>
      <c r="E120" s="154"/>
      <c r="F120" s="154" t="str">
        <f t="array" ref="F120">XLOOKUP(Cover!$D$12,$P$1:$X$1,$P120:$X120)</f>
        <v>Recommended</v>
      </c>
      <c r="G120" s="154" t="s">
        <v>13024</v>
      </c>
      <c r="H120" s="154" t="s">
        <v>13022</v>
      </c>
      <c r="I120" s="154" t="s">
        <v>13022</v>
      </c>
      <c r="J120" s="154" t="s">
        <v>6140</v>
      </c>
      <c r="K120" s="154"/>
      <c r="L120" s="154" t="s">
        <v>759</v>
      </c>
      <c r="M120" s="247" t="s">
        <v>516</v>
      </c>
      <c r="N120" s="247" t="s">
        <v>12741</v>
      </c>
      <c r="O120" s="240" t="str">
        <f t="shared" si="1"/>
        <v/>
      </c>
      <c r="P120" s="154" t="s">
        <v>66</v>
      </c>
      <c r="Q120" s="154" t="s">
        <v>66</v>
      </c>
      <c r="R120" s="154" t="s">
        <v>64</v>
      </c>
      <c r="S120" s="154" t="s">
        <v>64</v>
      </c>
      <c r="T120" s="154" t="s">
        <v>64</v>
      </c>
      <c r="U120" s="154" t="s">
        <v>64</v>
      </c>
      <c r="V120" s="154" t="s">
        <v>66</v>
      </c>
      <c r="W120" s="154" t="s">
        <v>64</v>
      </c>
      <c r="X120" s="154" t="s">
        <v>64</v>
      </c>
      <c r="Y120" s="154"/>
      <c r="Z120" s="242" t="b">
        <f t="shared" si="2"/>
        <v>1</v>
      </c>
      <c r="AA120" s="154" t="s">
        <v>391</v>
      </c>
      <c r="AB120" s="242" t="b">
        <f t="shared" si="3"/>
        <v>0</v>
      </c>
      <c r="AC120" s="154"/>
      <c r="AD120" s="242" t="b">
        <f t="shared" si="4"/>
        <v>0</v>
      </c>
      <c r="AE120" s="154" t="s">
        <v>1598</v>
      </c>
      <c r="AF120" s="243" t="str">
        <f>IF(AE120="","N/A",INDIRECT("MTR!"&amp;ADDRESS(MATCH(LEFT(AE120,9),MTR!C:C,0),COLUMN(J120)),TRUE) &amp; "")</f>
        <v>Partially Complies</v>
      </c>
      <c r="AG120" s="157" t="str">
        <f t="shared" si="5"/>
        <v/>
      </c>
      <c r="AH120" s="152"/>
      <c r="AI120" s="152"/>
      <c r="AJ120" s="152"/>
      <c r="AK120" s="152"/>
      <c r="AL120" s="152"/>
      <c r="AM120" s="152"/>
      <c r="AN120" s="152"/>
      <c r="AO120" s="152"/>
      <c r="AP120" s="152"/>
      <c r="AQ120" s="152"/>
      <c r="AR120" s="152"/>
    </row>
    <row r="121" ht="12.75" customHeight="1">
      <c r="A121" s="244" t="s">
        <v>5158</v>
      </c>
      <c r="B121" s="244" t="s">
        <v>12721</v>
      </c>
      <c r="C121" s="244" t="s">
        <v>13025</v>
      </c>
      <c r="D121" s="154" t="s">
        <v>45</v>
      </c>
      <c r="E121" s="154"/>
      <c r="F121" s="154" t="str">
        <f t="array" ref="F121">XLOOKUP(Cover!$D$12,$P$1:$X$1,$P121:$X121)</f>
        <v>Recommended</v>
      </c>
      <c r="G121" s="154" t="s">
        <v>13026</v>
      </c>
      <c r="H121" s="154" t="s">
        <v>13021</v>
      </c>
      <c r="I121" s="154" t="s">
        <v>13022</v>
      </c>
      <c r="J121" s="154" t="s">
        <v>6655</v>
      </c>
      <c r="K121" s="154"/>
      <c r="L121" s="154" t="s">
        <v>759</v>
      </c>
      <c r="M121" s="247" t="s">
        <v>516</v>
      </c>
      <c r="N121" s="247" t="s">
        <v>12792</v>
      </c>
      <c r="O121" s="240" t="str">
        <f t="shared" si="1"/>
        <v/>
      </c>
      <c r="P121" s="154" t="s">
        <v>66</v>
      </c>
      <c r="Q121" s="154" t="s">
        <v>66</v>
      </c>
      <c r="R121" s="154" t="s">
        <v>64</v>
      </c>
      <c r="S121" s="154" t="s">
        <v>64</v>
      </c>
      <c r="T121" s="154" t="s">
        <v>64</v>
      </c>
      <c r="U121" s="154" t="s">
        <v>64</v>
      </c>
      <c r="V121" s="154" t="s">
        <v>66</v>
      </c>
      <c r="W121" s="154" t="s">
        <v>64</v>
      </c>
      <c r="X121" s="154" t="s">
        <v>64</v>
      </c>
      <c r="Y121" s="154"/>
      <c r="Z121" s="242" t="b">
        <f t="shared" si="2"/>
        <v>1</v>
      </c>
      <c r="AA121" s="154" t="s">
        <v>391</v>
      </c>
      <c r="AB121" s="242" t="b">
        <f t="shared" si="3"/>
        <v>0</v>
      </c>
      <c r="AC121" s="154"/>
      <c r="AD121" s="242" t="b">
        <f t="shared" si="4"/>
        <v>0</v>
      </c>
      <c r="AE121" s="154" t="s">
        <v>1598</v>
      </c>
      <c r="AF121" s="243" t="str">
        <f>IF(AE121="","N/A",INDIRECT("MTR!"&amp;ADDRESS(MATCH(LEFT(AE121,9),MTR!C:C,0),COLUMN(J121)),TRUE) &amp; "")</f>
        <v>Partially Complies</v>
      </c>
      <c r="AG121" s="157" t="str">
        <f t="shared" si="5"/>
        <v/>
      </c>
      <c r="AH121" s="152"/>
      <c r="AI121" s="152"/>
      <c r="AJ121" s="152"/>
      <c r="AK121" s="152"/>
      <c r="AL121" s="152"/>
      <c r="AM121" s="152"/>
      <c r="AN121" s="152"/>
      <c r="AO121" s="152"/>
      <c r="AP121" s="152"/>
      <c r="AQ121" s="152"/>
      <c r="AR121" s="152"/>
    </row>
    <row r="122" ht="12.75" customHeight="1">
      <c r="A122" s="244" t="s">
        <v>5158</v>
      </c>
      <c r="B122" s="244" t="s">
        <v>12721</v>
      </c>
      <c r="C122" s="244" t="s">
        <v>13027</v>
      </c>
      <c r="D122" s="154" t="s">
        <v>45</v>
      </c>
      <c r="E122" s="154"/>
      <c r="F122" s="154" t="str">
        <f t="array" ref="F122">XLOOKUP(Cover!$D$12,$P$1:$X$1,$P122:$X122)</f>
        <v>Recommended</v>
      </c>
      <c r="G122" s="154" t="s">
        <v>13028</v>
      </c>
      <c r="H122" s="154" t="s">
        <v>13022</v>
      </c>
      <c r="I122" s="154" t="s">
        <v>13022</v>
      </c>
      <c r="J122" s="154" t="s">
        <v>6655</v>
      </c>
      <c r="K122" s="154"/>
      <c r="L122" s="154" t="s">
        <v>759</v>
      </c>
      <c r="M122" s="247" t="s">
        <v>516</v>
      </c>
      <c r="N122" s="247" t="s">
        <v>12795</v>
      </c>
      <c r="O122" s="240" t="str">
        <f t="shared" si="1"/>
        <v/>
      </c>
      <c r="P122" s="154" t="s">
        <v>66</v>
      </c>
      <c r="Q122" s="154" t="s">
        <v>66</v>
      </c>
      <c r="R122" s="154" t="s">
        <v>64</v>
      </c>
      <c r="S122" s="154" t="s">
        <v>64</v>
      </c>
      <c r="T122" s="154" t="s">
        <v>64</v>
      </c>
      <c r="U122" s="154" t="s">
        <v>64</v>
      </c>
      <c r="V122" s="154" t="s">
        <v>66</v>
      </c>
      <c r="W122" s="154" t="s">
        <v>64</v>
      </c>
      <c r="X122" s="154" t="s">
        <v>64</v>
      </c>
      <c r="Y122" s="154"/>
      <c r="Z122" s="242" t="b">
        <f t="shared" si="2"/>
        <v>1</v>
      </c>
      <c r="AA122" s="154" t="s">
        <v>391</v>
      </c>
      <c r="AB122" s="242" t="b">
        <f t="shared" si="3"/>
        <v>0</v>
      </c>
      <c r="AC122" s="154"/>
      <c r="AD122" s="242" t="b">
        <f t="shared" si="4"/>
        <v>0</v>
      </c>
      <c r="AE122" s="154" t="s">
        <v>1598</v>
      </c>
      <c r="AF122" s="243" t="str">
        <f>IF(AE122="","N/A",INDIRECT("MTR!"&amp;ADDRESS(MATCH(LEFT(AE122,9),MTR!C:C,0),COLUMN(J122)),TRUE) &amp; "")</f>
        <v>Partially Complies</v>
      </c>
      <c r="AG122" s="157" t="str">
        <f t="shared" si="5"/>
        <v/>
      </c>
      <c r="AH122" s="152"/>
      <c r="AI122" s="152"/>
      <c r="AJ122" s="152"/>
      <c r="AK122" s="152"/>
      <c r="AL122" s="152"/>
      <c r="AM122" s="152"/>
      <c r="AN122" s="152"/>
      <c r="AO122" s="152"/>
      <c r="AP122" s="152"/>
      <c r="AQ122" s="152"/>
      <c r="AR122" s="152"/>
    </row>
    <row r="123" ht="12.75" customHeight="1">
      <c r="A123" s="244" t="s">
        <v>5158</v>
      </c>
      <c r="B123" s="244" t="s">
        <v>12721</v>
      </c>
      <c r="C123" s="244" t="s">
        <v>13029</v>
      </c>
      <c r="D123" s="154" t="s">
        <v>1315</v>
      </c>
      <c r="E123" s="154"/>
      <c r="F123" s="154" t="str">
        <f t="array" ref="F123">XLOOKUP(Cover!$D$12,$P$1:$X$1,$P123:$X123)</f>
        <v>Mandatory</v>
      </c>
      <c r="G123" s="154" t="s">
        <v>13030</v>
      </c>
      <c r="H123" s="154" t="s">
        <v>8508</v>
      </c>
      <c r="I123" s="154" t="s">
        <v>13031</v>
      </c>
      <c r="J123" s="154" t="s">
        <v>12981</v>
      </c>
      <c r="K123" s="154" t="s">
        <v>1018</v>
      </c>
      <c r="L123" s="154" t="s">
        <v>759</v>
      </c>
      <c r="M123" s="247" t="s">
        <v>506</v>
      </c>
      <c r="N123" s="247" t="s">
        <v>12982</v>
      </c>
      <c r="O123" s="240" t="str">
        <f t="shared" si="1"/>
        <v/>
      </c>
      <c r="P123" s="154" t="s">
        <v>66</v>
      </c>
      <c r="Q123" s="154" t="s">
        <v>66</v>
      </c>
      <c r="R123" s="154" t="s">
        <v>60</v>
      </c>
      <c r="S123" s="154" t="s">
        <v>60</v>
      </c>
      <c r="T123" s="154" t="s">
        <v>60</v>
      </c>
      <c r="U123" s="154" t="s">
        <v>60</v>
      </c>
      <c r="V123" s="154" t="s">
        <v>66</v>
      </c>
      <c r="W123" s="154" t="s">
        <v>60</v>
      </c>
      <c r="X123" s="154" t="s">
        <v>60</v>
      </c>
      <c r="Y123" s="154"/>
      <c r="Z123" s="242" t="b">
        <f t="shared" si="2"/>
        <v>1</v>
      </c>
      <c r="AA123" s="154" t="s">
        <v>391</v>
      </c>
      <c r="AB123" s="242" t="b">
        <f t="shared" si="3"/>
        <v>0</v>
      </c>
      <c r="AC123" s="154"/>
      <c r="AD123" s="242" t="b">
        <f t="shared" si="4"/>
        <v>0</v>
      </c>
      <c r="AE123" s="154" t="s">
        <v>1598</v>
      </c>
      <c r="AF123" s="243" t="str">
        <f>IF(AE123="","N/A",INDIRECT("MTR!"&amp;ADDRESS(MATCH(LEFT(AE123,9),MTR!C:C,0),COLUMN(J123)),TRUE) &amp; "")</f>
        <v>Partially Complies</v>
      </c>
      <c r="AG123" s="157" t="str">
        <f t="shared" si="5"/>
        <v/>
      </c>
      <c r="AH123" s="152"/>
      <c r="AI123" s="152"/>
      <c r="AJ123" s="152"/>
      <c r="AK123" s="152"/>
      <c r="AL123" s="152"/>
      <c r="AM123" s="152"/>
      <c r="AN123" s="152"/>
      <c r="AO123" s="152"/>
      <c r="AP123" s="152"/>
      <c r="AQ123" s="152"/>
      <c r="AR123" s="152"/>
    </row>
    <row r="124" ht="12.75" customHeight="1">
      <c r="A124" s="244" t="s">
        <v>5158</v>
      </c>
      <c r="B124" s="244" t="s">
        <v>12721</v>
      </c>
      <c r="C124" s="244" t="s">
        <v>13032</v>
      </c>
      <c r="D124" s="154" t="s">
        <v>1315</v>
      </c>
      <c r="E124" s="154"/>
      <c r="F124" s="154" t="str">
        <f t="array" ref="F124">XLOOKUP(Cover!$D$12,$P$1:$X$1,$P124:$X124)</f>
        <v>Recommended</v>
      </c>
      <c r="G124" s="154" t="s">
        <v>13033</v>
      </c>
      <c r="H124" s="154" t="s">
        <v>8508</v>
      </c>
      <c r="I124" s="154" t="s">
        <v>13031</v>
      </c>
      <c r="J124" s="154" t="s">
        <v>13034</v>
      </c>
      <c r="K124" s="154"/>
      <c r="L124" s="154" t="s">
        <v>759</v>
      </c>
      <c r="M124" s="247" t="s">
        <v>506</v>
      </c>
      <c r="N124" s="247" t="s">
        <v>12982</v>
      </c>
      <c r="O124" s="240" t="str">
        <f t="shared" si="1"/>
        <v/>
      </c>
      <c r="P124" s="154" t="s">
        <v>66</v>
      </c>
      <c r="Q124" s="154" t="s">
        <v>66</v>
      </c>
      <c r="R124" s="154" t="s">
        <v>64</v>
      </c>
      <c r="S124" s="154" t="s">
        <v>64</v>
      </c>
      <c r="T124" s="154" t="s">
        <v>64</v>
      </c>
      <c r="U124" s="154" t="s">
        <v>64</v>
      </c>
      <c r="V124" s="154" t="s">
        <v>66</v>
      </c>
      <c r="W124" s="154" t="s">
        <v>64</v>
      </c>
      <c r="X124" s="154" t="s">
        <v>64</v>
      </c>
      <c r="Y124" s="154"/>
      <c r="Z124" s="242" t="b">
        <f t="shared" si="2"/>
        <v>1</v>
      </c>
      <c r="AA124" s="154" t="s">
        <v>391</v>
      </c>
      <c r="AB124" s="242" t="b">
        <f t="shared" si="3"/>
        <v>0</v>
      </c>
      <c r="AC124" s="154"/>
      <c r="AD124" s="242" t="b">
        <f t="shared" si="4"/>
        <v>0</v>
      </c>
      <c r="AE124" s="154" t="s">
        <v>1598</v>
      </c>
      <c r="AF124" s="243" t="str">
        <f>IF(AE124="","N/A",INDIRECT("MTR!"&amp;ADDRESS(MATCH(LEFT(AE124,9),MTR!C:C,0),COLUMN(J124)),TRUE) &amp; "")</f>
        <v>Partially Complies</v>
      </c>
      <c r="AG124" s="157" t="str">
        <f t="shared" si="5"/>
        <v/>
      </c>
      <c r="AH124" s="152"/>
      <c r="AI124" s="152"/>
      <c r="AJ124" s="152"/>
      <c r="AK124" s="152"/>
      <c r="AL124" s="152"/>
      <c r="AM124" s="152"/>
      <c r="AN124" s="152"/>
      <c r="AO124" s="152"/>
      <c r="AP124" s="152"/>
      <c r="AQ124" s="152"/>
      <c r="AR124" s="152"/>
    </row>
    <row r="125" ht="12.75" customHeight="1">
      <c r="A125" s="244" t="s">
        <v>5158</v>
      </c>
      <c r="B125" s="244" t="s">
        <v>12721</v>
      </c>
      <c r="C125" s="244" t="s">
        <v>13035</v>
      </c>
      <c r="D125" s="154" t="s">
        <v>503</v>
      </c>
      <c r="E125" s="154"/>
      <c r="F125" s="154" t="str">
        <f t="array" ref="F125">XLOOKUP(Cover!$D$12,$P$1:$X$1,$P125:$X125)</f>
        <v>Recommended</v>
      </c>
      <c r="G125" s="154" t="s">
        <v>13036</v>
      </c>
      <c r="H125" s="154" t="s">
        <v>8508</v>
      </c>
      <c r="I125" s="154" t="s">
        <v>13031</v>
      </c>
      <c r="J125" s="154" t="s">
        <v>6463</v>
      </c>
      <c r="K125" s="154"/>
      <c r="L125" s="154" t="s">
        <v>759</v>
      </c>
      <c r="M125" s="247" t="s">
        <v>516</v>
      </c>
      <c r="N125" s="247" t="s">
        <v>13037</v>
      </c>
      <c r="O125" s="240" t="str">
        <f t="shared" si="1"/>
        <v/>
      </c>
      <c r="P125" s="154" t="s">
        <v>66</v>
      </c>
      <c r="Q125" s="154" t="s">
        <v>66</v>
      </c>
      <c r="R125" s="154" t="s">
        <v>64</v>
      </c>
      <c r="S125" s="154" t="s">
        <v>64</v>
      </c>
      <c r="T125" s="154" t="s">
        <v>64</v>
      </c>
      <c r="U125" s="154" t="s">
        <v>64</v>
      </c>
      <c r="V125" s="154" t="s">
        <v>66</v>
      </c>
      <c r="W125" s="154" t="s">
        <v>64</v>
      </c>
      <c r="X125" s="154" t="s">
        <v>64</v>
      </c>
      <c r="Y125" s="154"/>
      <c r="Z125" s="242" t="b">
        <f t="shared" si="2"/>
        <v>1</v>
      </c>
      <c r="AA125" s="154" t="s">
        <v>391</v>
      </c>
      <c r="AB125" s="242" t="b">
        <f t="shared" si="3"/>
        <v>0</v>
      </c>
      <c r="AC125" s="154"/>
      <c r="AD125" s="242" t="b">
        <f t="shared" si="4"/>
        <v>0</v>
      </c>
      <c r="AE125" s="154" t="s">
        <v>1598</v>
      </c>
      <c r="AF125" s="243" t="str">
        <f>IF(AE125="","N/A",INDIRECT("MTR!"&amp;ADDRESS(MATCH(LEFT(AE125,9),MTR!C:C,0),COLUMN(J125)),TRUE) &amp; "")</f>
        <v>Partially Complies</v>
      </c>
      <c r="AG125" s="157" t="str">
        <f t="shared" si="5"/>
        <v/>
      </c>
      <c r="AH125" s="152"/>
      <c r="AI125" s="152"/>
      <c r="AJ125" s="152"/>
      <c r="AK125" s="152"/>
      <c r="AL125" s="152"/>
      <c r="AM125" s="152"/>
      <c r="AN125" s="152"/>
      <c r="AO125" s="152"/>
      <c r="AP125" s="152"/>
      <c r="AQ125" s="152"/>
      <c r="AR125" s="152"/>
    </row>
    <row r="126" ht="12.75" customHeight="1">
      <c r="A126" s="244" t="s">
        <v>5158</v>
      </c>
      <c r="B126" s="244" t="s">
        <v>12721</v>
      </c>
      <c r="C126" s="244" t="s">
        <v>13038</v>
      </c>
      <c r="D126" s="154" t="s">
        <v>1315</v>
      </c>
      <c r="E126" s="154"/>
      <c r="F126" s="154" t="str">
        <f t="array" ref="F126">XLOOKUP(Cover!$D$12,$P$1:$X$1,$P126:$X126)</f>
        <v>Mandatory</v>
      </c>
      <c r="G126" s="154" t="s">
        <v>13039</v>
      </c>
      <c r="H126" s="154" t="s">
        <v>13040</v>
      </c>
      <c r="I126" s="154" t="s">
        <v>13041</v>
      </c>
      <c r="J126" s="154" t="s">
        <v>6064</v>
      </c>
      <c r="K126" s="154" t="s">
        <v>1122</v>
      </c>
      <c r="L126" s="154" t="s">
        <v>759</v>
      </c>
      <c r="M126" s="247" t="s">
        <v>506</v>
      </c>
      <c r="N126" s="247" t="s">
        <v>12738</v>
      </c>
      <c r="O126" s="240" t="str">
        <f t="shared" si="1"/>
        <v/>
      </c>
      <c r="P126" s="154" t="s">
        <v>66</v>
      </c>
      <c r="Q126" s="154" t="s">
        <v>66</v>
      </c>
      <c r="R126" s="154" t="s">
        <v>60</v>
      </c>
      <c r="S126" s="154" t="s">
        <v>60</v>
      </c>
      <c r="T126" s="154" t="s">
        <v>60</v>
      </c>
      <c r="U126" s="154" t="s">
        <v>60</v>
      </c>
      <c r="V126" s="154" t="s">
        <v>66</v>
      </c>
      <c r="W126" s="154" t="s">
        <v>60</v>
      </c>
      <c r="X126" s="154" t="s">
        <v>60</v>
      </c>
      <c r="Y126" s="154"/>
      <c r="Z126" s="242" t="b">
        <f t="shared" si="2"/>
        <v>1</v>
      </c>
      <c r="AA126" s="154" t="s">
        <v>391</v>
      </c>
      <c r="AB126" s="242" t="b">
        <f t="shared" si="3"/>
        <v>0</v>
      </c>
      <c r="AC126" s="154"/>
      <c r="AD126" s="242" t="b">
        <f t="shared" si="4"/>
        <v>0</v>
      </c>
      <c r="AE126" s="154" t="s">
        <v>1598</v>
      </c>
      <c r="AF126" s="243" t="str">
        <f>IF(AE126="","N/A",INDIRECT("MTR!"&amp;ADDRESS(MATCH(LEFT(AE126,9),MTR!C:C,0),COLUMN(J126)),TRUE) &amp; "")</f>
        <v>Partially Complies</v>
      </c>
      <c r="AG126" s="157" t="str">
        <f t="shared" si="5"/>
        <v/>
      </c>
      <c r="AH126" s="152"/>
      <c r="AI126" s="152"/>
      <c r="AJ126" s="152"/>
      <c r="AK126" s="152"/>
      <c r="AL126" s="152"/>
      <c r="AM126" s="152"/>
      <c r="AN126" s="152"/>
      <c r="AO126" s="152"/>
      <c r="AP126" s="152"/>
      <c r="AQ126" s="152"/>
      <c r="AR126" s="152"/>
    </row>
    <row r="127" ht="12.75" customHeight="1">
      <c r="A127" s="244" t="s">
        <v>5158</v>
      </c>
      <c r="B127" s="244" t="s">
        <v>12721</v>
      </c>
      <c r="C127" s="244" t="s">
        <v>13042</v>
      </c>
      <c r="D127" s="154" t="s">
        <v>1315</v>
      </c>
      <c r="E127" s="154"/>
      <c r="F127" s="154" t="str">
        <f t="array" ref="F127">XLOOKUP(Cover!$D$12,$P$1:$X$1,$P127:$X127)</f>
        <v>Mandatory</v>
      </c>
      <c r="G127" s="154" t="s">
        <v>13043</v>
      </c>
      <c r="H127" s="154" t="s">
        <v>13041</v>
      </c>
      <c r="I127" s="154" t="s">
        <v>13041</v>
      </c>
      <c r="J127" s="154" t="s">
        <v>6232</v>
      </c>
      <c r="K127" s="154" t="s">
        <v>1018</v>
      </c>
      <c r="L127" s="154" t="s">
        <v>759</v>
      </c>
      <c r="M127" s="247" t="s">
        <v>516</v>
      </c>
      <c r="N127" s="247" t="s">
        <v>12741</v>
      </c>
      <c r="O127" s="240" t="str">
        <f t="shared" si="1"/>
        <v/>
      </c>
      <c r="P127" s="154" t="s">
        <v>66</v>
      </c>
      <c r="Q127" s="154" t="s">
        <v>66</v>
      </c>
      <c r="R127" s="155" t="s">
        <v>64</v>
      </c>
      <c r="S127" s="155" t="s">
        <v>64</v>
      </c>
      <c r="T127" s="154" t="s">
        <v>60</v>
      </c>
      <c r="U127" s="154" t="s">
        <v>60</v>
      </c>
      <c r="V127" s="154" t="s">
        <v>66</v>
      </c>
      <c r="W127" s="155" t="s">
        <v>64</v>
      </c>
      <c r="X127" s="154" t="s">
        <v>60</v>
      </c>
      <c r="Y127" s="154"/>
      <c r="Z127" s="242" t="b">
        <f t="shared" si="2"/>
        <v>1</v>
      </c>
      <c r="AA127" s="154" t="s">
        <v>391</v>
      </c>
      <c r="AB127" s="242" t="b">
        <f t="shared" si="3"/>
        <v>0</v>
      </c>
      <c r="AC127" s="154"/>
      <c r="AD127" s="242" t="b">
        <f t="shared" si="4"/>
        <v>0</v>
      </c>
      <c r="AE127" s="154" t="s">
        <v>1598</v>
      </c>
      <c r="AF127" s="243" t="str">
        <f>IF(AE127="","N/A",INDIRECT("MTR!"&amp;ADDRESS(MATCH(LEFT(AE127,9),MTR!C:C,0),COLUMN(J127)),TRUE) &amp; "")</f>
        <v>Partially Complies</v>
      </c>
      <c r="AG127" s="157" t="str">
        <f t="shared" si="5"/>
        <v/>
      </c>
      <c r="AH127" s="152"/>
      <c r="AI127" s="152"/>
      <c r="AJ127" s="152"/>
      <c r="AK127" s="152"/>
      <c r="AL127" s="152"/>
      <c r="AM127" s="152"/>
      <c r="AN127" s="152"/>
      <c r="AO127" s="152"/>
      <c r="AP127" s="152"/>
      <c r="AQ127" s="152"/>
      <c r="AR127" s="152"/>
    </row>
    <row r="128" ht="12.75" customHeight="1">
      <c r="A128" s="244" t="s">
        <v>5158</v>
      </c>
      <c r="B128" s="244" t="s">
        <v>12721</v>
      </c>
      <c r="C128" s="244" t="s">
        <v>13044</v>
      </c>
      <c r="D128" s="154" t="s">
        <v>1315</v>
      </c>
      <c r="E128" s="154"/>
      <c r="F128" s="154" t="str">
        <f t="array" ref="F128">XLOOKUP(Cover!$D$12,$P$1:$X$1,$P128:$X128)</f>
        <v>Mandatory</v>
      </c>
      <c r="G128" s="154" t="s">
        <v>13045</v>
      </c>
      <c r="H128" s="154" t="s">
        <v>13040</v>
      </c>
      <c r="I128" s="154" t="s">
        <v>13041</v>
      </c>
      <c r="J128" s="154" t="s">
        <v>6428</v>
      </c>
      <c r="K128" s="154" t="s">
        <v>1122</v>
      </c>
      <c r="L128" s="154" t="s">
        <v>759</v>
      </c>
      <c r="M128" s="247" t="s">
        <v>506</v>
      </c>
      <c r="N128" s="247" t="s">
        <v>12738</v>
      </c>
      <c r="O128" s="240" t="str">
        <f t="shared" si="1"/>
        <v/>
      </c>
      <c r="P128" s="154" t="s">
        <v>66</v>
      </c>
      <c r="Q128" s="154" t="s">
        <v>66</v>
      </c>
      <c r="R128" s="154" t="s">
        <v>60</v>
      </c>
      <c r="S128" s="154" t="s">
        <v>60</v>
      </c>
      <c r="T128" s="154" t="s">
        <v>60</v>
      </c>
      <c r="U128" s="154" t="s">
        <v>60</v>
      </c>
      <c r="V128" s="154" t="s">
        <v>66</v>
      </c>
      <c r="W128" s="154" t="s">
        <v>60</v>
      </c>
      <c r="X128" s="154" t="s">
        <v>60</v>
      </c>
      <c r="Y128" s="154"/>
      <c r="Z128" s="242" t="b">
        <f t="shared" si="2"/>
        <v>1</v>
      </c>
      <c r="AA128" s="154" t="s">
        <v>391</v>
      </c>
      <c r="AB128" s="242" t="b">
        <f t="shared" si="3"/>
        <v>0</v>
      </c>
      <c r="AC128" s="154"/>
      <c r="AD128" s="242" t="b">
        <f t="shared" si="4"/>
        <v>0</v>
      </c>
      <c r="AE128" s="154" t="s">
        <v>1598</v>
      </c>
      <c r="AF128" s="243" t="str">
        <f>IF(AE128="","N/A",INDIRECT("MTR!"&amp;ADDRESS(MATCH(LEFT(AE128,9),MTR!C:C,0),COLUMN(J128)),TRUE) &amp; "")</f>
        <v>Partially Complies</v>
      </c>
      <c r="AG128" s="157" t="str">
        <f t="shared" si="5"/>
        <v/>
      </c>
      <c r="AH128" s="152"/>
      <c r="AI128" s="152"/>
      <c r="AJ128" s="152"/>
      <c r="AK128" s="152"/>
      <c r="AL128" s="152"/>
      <c r="AM128" s="152"/>
      <c r="AN128" s="152"/>
      <c r="AO128" s="152"/>
      <c r="AP128" s="152"/>
      <c r="AQ128" s="152"/>
      <c r="AR128" s="152"/>
    </row>
    <row r="129" ht="12.75" customHeight="1">
      <c r="A129" s="244" t="s">
        <v>5158</v>
      </c>
      <c r="B129" s="244" t="s">
        <v>12721</v>
      </c>
      <c r="C129" s="244" t="s">
        <v>13046</v>
      </c>
      <c r="D129" s="154" t="s">
        <v>1315</v>
      </c>
      <c r="E129" s="154"/>
      <c r="F129" s="154" t="str">
        <f t="array" ref="F129">XLOOKUP(Cover!$D$12,$P$1:$X$1,$P129:$X129)</f>
        <v>Mandatory</v>
      </c>
      <c r="G129" s="154" t="s">
        <v>13047</v>
      </c>
      <c r="H129" s="154" t="s">
        <v>13041</v>
      </c>
      <c r="I129" s="154" t="s">
        <v>13041</v>
      </c>
      <c r="J129" s="154" t="s">
        <v>6428</v>
      </c>
      <c r="K129" s="154" t="s">
        <v>1018</v>
      </c>
      <c r="L129" s="154" t="s">
        <v>759</v>
      </c>
      <c r="M129" s="247" t="s">
        <v>516</v>
      </c>
      <c r="N129" s="247" t="s">
        <v>12741</v>
      </c>
      <c r="O129" s="240" t="str">
        <f t="shared" si="1"/>
        <v/>
      </c>
      <c r="P129" s="154" t="s">
        <v>66</v>
      </c>
      <c r="Q129" s="154" t="s">
        <v>66</v>
      </c>
      <c r="R129" s="155" t="s">
        <v>64</v>
      </c>
      <c r="S129" s="155" t="s">
        <v>64</v>
      </c>
      <c r="T129" s="154" t="s">
        <v>60</v>
      </c>
      <c r="U129" s="154" t="s">
        <v>60</v>
      </c>
      <c r="V129" s="154" t="s">
        <v>66</v>
      </c>
      <c r="W129" s="155" t="s">
        <v>64</v>
      </c>
      <c r="X129" s="154" t="s">
        <v>60</v>
      </c>
      <c r="Y129" s="154"/>
      <c r="Z129" s="242" t="b">
        <f t="shared" si="2"/>
        <v>1</v>
      </c>
      <c r="AA129" s="154" t="s">
        <v>391</v>
      </c>
      <c r="AB129" s="242" t="b">
        <f t="shared" si="3"/>
        <v>0</v>
      </c>
      <c r="AC129" s="154"/>
      <c r="AD129" s="242" t="b">
        <f t="shared" si="4"/>
        <v>0</v>
      </c>
      <c r="AE129" s="154" t="s">
        <v>1598</v>
      </c>
      <c r="AF129" s="243" t="str">
        <f>IF(AE129="","N/A",INDIRECT("MTR!"&amp;ADDRESS(MATCH(LEFT(AE129,9),MTR!C:C,0),COLUMN(J129)),TRUE) &amp; "")</f>
        <v>Partially Complies</v>
      </c>
      <c r="AG129" s="157" t="str">
        <f t="shared" si="5"/>
        <v/>
      </c>
      <c r="AH129" s="152"/>
      <c r="AI129" s="152"/>
      <c r="AJ129" s="152"/>
      <c r="AK129" s="152"/>
      <c r="AL129" s="152"/>
      <c r="AM129" s="152"/>
      <c r="AN129" s="152"/>
      <c r="AO129" s="152"/>
      <c r="AP129" s="152"/>
      <c r="AQ129" s="152"/>
      <c r="AR129" s="152"/>
    </row>
    <row r="130" ht="12.75" customHeight="1">
      <c r="A130" s="244" t="s">
        <v>5158</v>
      </c>
      <c r="B130" s="244" t="s">
        <v>12721</v>
      </c>
      <c r="C130" s="244" t="s">
        <v>13048</v>
      </c>
      <c r="D130" s="154" t="s">
        <v>45</v>
      </c>
      <c r="E130" s="154"/>
      <c r="F130" s="154" t="str">
        <f t="array" ref="F130">XLOOKUP(Cover!$D$12,$P$1:$X$1,$P130:$X130)</f>
        <v>Mandatory</v>
      </c>
      <c r="G130" s="154" t="s">
        <v>13049</v>
      </c>
      <c r="H130" s="154" t="s">
        <v>13040</v>
      </c>
      <c r="I130" s="154" t="s">
        <v>13041</v>
      </c>
      <c r="J130" s="154" t="s">
        <v>10718</v>
      </c>
      <c r="K130" s="154" t="s">
        <v>1122</v>
      </c>
      <c r="L130" s="154" t="s">
        <v>759</v>
      </c>
      <c r="M130" s="247" t="s">
        <v>516</v>
      </c>
      <c r="N130" s="247" t="s">
        <v>12748</v>
      </c>
      <c r="O130" s="240" t="str">
        <f t="shared" si="1"/>
        <v/>
      </c>
      <c r="P130" s="154" t="s">
        <v>66</v>
      </c>
      <c r="Q130" s="154" t="s">
        <v>66</v>
      </c>
      <c r="R130" s="154" t="s">
        <v>60</v>
      </c>
      <c r="S130" s="154" t="s">
        <v>60</v>
      </c>
      <c r="T130" s="154" t="s">
        <v>60</v>
      </c>
      <c r="U130" s="154" t="s">
        <v>60</v>
      </c>
      <c r="V130" s="154" t="s">
        <v>66</v>
      </c>
      <c r="W130" s="154" t="s">
        <v>60</v>
      </c>
      <c r="X130" s="154" t="s">
        <v>60</v>
      </c>
      <c r="Y130" s="154"/>
      <c r="Z130" s="242" t="b">
        <f t="shared" si="2"/>
        <v>1</v>
      </c>
      <c r="AA130" s="154" t="s">
        <v>391</v>
      </c>
      <c r="AB130" s="242" t="b">
        <f t="shared" si="3"/>
        <v>0</v>
      </c>
      <c r="AC130" s="154"/>
      <c r="AD130" s="242" t="b">
        <f t="shared" si="4"/>
        <v>0</v>
      </c>
      <c r="AE130" s="154" t="s">
        <v>1598</v>
      </c>
      <c r="AF130" s="243" t="str">
        <f>IF(AE130="","N/A",INDIRECT("MTR!"&amp;ADDRESS(MATCH(LEFT(AE130,9),MTR!C:C,0),COLUMN(J130)),TRUE) &amp; "")</f>
        <v>Partially Complies</v>
      </c>
      <c r="AG130" s="157" t="str">
        <f t="shared" si="5"/>
        <v/>
      </c>
      <c r="AH130" s="152"/>
      <c r="AI130" s="152"/>
      <c r="AJ130" s="152"/>
      <c r="AK130" s="152"/>
      <c r="AL130" s="152"/>
      <c r="AM130" s="152"/>
      <c r="AN130" s="152"/>
      <c r="AO130" s="152"/>
      <c r="AP130" s="152"/>
      <c r="AQ130" s="152"/>
      <c r="AR130" s="152"/>
    </row>
    <row r="131" ht="12.75" customHeight="1">
      <c r="A131" s="244" t="s">
        <v>5158</v>
      </c>
      <c r="B131" s="244" t="s">
        <v>12721</v>
      </c>
      <c r="C131" s="244" t="s">
        <v>13050</v>
      </c>
      <c r="D131" s="154" t="s">
        <v>45</v>
      </c>
      <c r="E131" s="154"/>
      <c r="F131" s="154" t="str">
        <f t="array" ref="F131">XLOOKUP(Cover!$D$12,$P$1:$X$1,$P131:$X131)</f>
        <v>Mandatory</v>
      </c>
      <c r="G131" s="154" t="s">
        <v>13051</v>
      </c>
      <c r="H131" s="154" t="s">
        <v>13041</v>
      </c>
      <c r="I131" s="154" t="s">
        <v>13041</v>
      </c>
      <c r="J131" s="154" t="s">
        <v>10718</v>
      </c>
      <c r="K131" s="154" t="s">
        <v>1018</v>
      </c>
      <c r="L131" s="154" t="s">
        <v>759</v>
      </c>
      <c r="M131" s="247" t="s">
        <v>516</v>
      </c>
      <c r="N131" s="247" t="s">
        <v>12751</v>
      </c>
      <c r="O131" s="240" t="str">
        <f t="shared" si="1"/>
        <v/>
      </c>
      <c r="P131" s="154" t="s">
        <v>66</v>
      </c>
      <c r="Q131" s="154" t="s">
        <v>66</v>
      </c>
      <c r="R131" s="155" t="s">
        <v>64</v>
      </c>
      <c r="S131" s="155" t="s">
        <v>64</v>
      </c>
      <c r="T131" s="154" t="s">
        <v>60</v>
      </c>
      <c r="U131" s="154" t="s">
        <v>60</v>
      </c>
      <c r="V131" s="154" t="s">
        <v>66</v>
      </c>
      <c r="W131" s="155" t="s">
        <v>64</v>
      </c>
      <c r="X131" s="154" t="s">
        <v>60</v>
      </c>
      <c r="Y131" s="154"/>
      <c r="Z131" s="242" t="b">
        <f t="shared" si="2"/>
        <v>1</v>
      </c>
      <c r="AA131" s="154" t="s">
        <v>391</v>
      </c>
      <c r="AB131" s="242" t="b">
        <f t="shared" si="3"/>
        <v>0</v>
      </c>
      <c r="AC131" s="154"/>
      <c r="AD131" s="242" t="b">
        <f t="shared" si="4"/>
        <v>0</v>
      </c>
      <c r="AE131" s="154" t="s">
        <v>1598</v>
      </c>
      <c r="AF131" s="243" t="str">
        <f>IF(AE131="","N/A",INDIRECT("MTR!"&amp;ADDRESS(MATCH(LEFT(AE131,9),MTR!C:C,0),COLUMN(J131)),TRUE) &amp; "")</f>
        <v>Partially Complies</v>
      </c>
      <c r="AG131" s="157" t="str">
        <f t="shared" si="5"/>
        <v/>
      </c>
      <c r="AH131" s="152"/>
      <c r="AI131" s="152"/>
      <c r="AJ131" s="152"/>
      <c r="AK131" s="152"/>
      <c r="AL131" s="152"/>
      <c r="AM131" s="152"/>
      <c r="AN131" s="152"/>
      <c r="AO131" s="152"/>
      <c r="AP131" s="152"/>
      <c r="AQ131" s="152"/>
      <c r="AR131" s="152"/>
    </row>
    <row r="132" ht="12.75" customHeight="1">
      <c r="A132" s="244" t="s">
        <v>5158</v>
      </c>
      <c r="B132" s="244" t="s">
        <v>12721</v>
      </c>
      <c r="C132" s="244" t="s">
        <v>13052</v>
      </c>
      <c r="D132" s="154" t="s">
        <v>503</v>
      </c>
      <c r="E132" s="154"/>
      <c r="F132" s="154" t="str">
        <f t="array" ref="F132">XLOOKUP(Cover!$D$12,$P$1:$X$1,$P132:$X132)</f>
        <v>Information</v>
      </c>
      <c r="G132" s="154" t="s">
        <v>13053</v>
      </c>
      <c r="H132" s="154" t="s">
        <v>13054</v>
      </c>
      <c r="I132" s="154" t="s">
        <v>13055</v>
      </c>
      <c r="J132" s="154" t="s">
        <v>6463</v>
      </c>
      <c r="K132" s="154"/>
      <c r="L132" s="154" t="s">
        <v>759</v>
      </c>
      <c r="M132" s="247" t="s">
        <v>516</v>
      </c>
      <c r="N132" s="247" t="s">
        <v>12731</v>
      </c>
      <c r="O132" s="240" t="str">
        <f t="shared" si="1"/>
        <v/>
      </c>
      <c r="P132" s="154" t="s">
        <v>66</v>
      </c>
      <c r="Q132" s="154" t="s">
        <v>66</v>
      </c>
      <c r="R132" s="154" t="s">
        <v>66</v>
      </c>
      <c r="S132" s="154" t="s">
        <v>66</v>
      </c>
      <c r="T132" s="154" t="s">
        <v>66</v>
      </c>
      <c r="U132" s="154" t="s">
        <v>66</v>
      </c>
      <c r="V132" s="154" t="s">
        <v>66</v>
      </c>
      <c r="W132" s="154" t="s">
        <v>66</v>
      </c>
      <c r="X132" s="154" t="s">
        <v>66</v>
      </c>
      <c r="Y132" s="154"/>
      <c r="Z132" s="242" t="b">
        <f t="shared" si="2"/>
        <v>1</v>
      </c>
      <c r="AA132" s="154" t="s">
        <v>391</v>
      </c>
      <c r="AB132" s="242" t="b">
        <f t="shared" si="3"/>
        <v>0</v>
      </c>
      <c r="AC132" s="154"/>
      <c r="AD132" s="242" t="b">
        <f t="shared" si="4"/>
        <v>0</v>
      </c>
      <c r="AE132" s="154" t="s">
        <v>1598</v>
      </c>
      <c r="AF132" s="243" t="str">
        <f>IF(AE132="","N/A",INDIRECT("MTR!"&amp;ADDRESS(MATCH(LEFT(AE132,9),MTR!C:C,0),COLUMN(J132)),TRUE) &amp; "")</f>
        <v>Partially Complies</v>
      </c>
      <c r="AG132" s="157" t="str">
        <f t="shared" si="5"/>
        <v/>
      </c>
      <c r="AH132" s="152"/>
      <c r="AI132" s="152"/>
      <c r="AJ132" s="152"/>
      <c r="AK132" s="152"/>
      <c r="AL132" s="152"/>
      <c r="AM132" s="152"/>
      <c r="AN132" s="152"/>
      <c r="AO132" s="152"/>
      <c r="AP132" s="152"/>
      <c r="AQ132" s="152"/>
      <c r="AR132" s="152"/>
    </row>
    <row r="133" ht="12.75" customHeight="1">
      <c r="A133" s="244" t="s">
        <v>5158</v>
      </c>
      <c r="B133" s="244" t="s">
        <v>12721</v>
      </c>
      <c r="C133" s="244" t="s">
        <v>13056</v>
      </c>
      <c r="D133" s="154" t="s">
        <v>1315</v>
      </c>
      <c r="E133" s="154"/>
      <c r="F133" s="154" t="str">
        <f t="array" ref="F133">XLOOKUP(Cover!$D$12,$P$1:$X$1,$P133:$X133)</f>
        <v>Mandatory</v>
      </c>
      <c r="G133" s="154" t="s">
        <v>13057</v>
      </c>
      <c r="H133" s="154" t="s">
        <v>9003</v>
      </c>
      <c r="I133" s="154" t="s">
        <v>13058</v>
      </c>
      <c r="J133" s="154" t="s">
        <v>6064</v>
      </c>
      <c r="K133" s="154" t="s">
        <v>1018</v>
      </c>
      <c r="L133" s="154" t="s">
        <v>759</v>
      </c>
      <c r="M133" s="247" t="s">
        <v>506</v>
      </c>
      <c r="N133" s="247" t="s">
        <v>13059</v>
      </c>
      <c r="O133" s="240" t="str">
        <f t="shared" si="1"/>
        <v/>
      </c>
      <c r="P133" s="154" t="s">
        <v>66</v>
      </c>
      <c r="Q133" s="154" t="s">
        <v>66</v>
      </c>
      <c r="R133" s="154" t="s">
        <v>60</v>
      </c>
      <c r="S133" s="154" t="s">
        <v>60</v>
      </c>
      <c r="T133" s="154" t="s">
        <v>60</v>
      </c>
      <c r="U133" s="154" t="s">
        <v>60</v>
      </c>
      <c r="V133" s="154" t="s">
        <v>66</v>
      </c>
      <c r="W133" s="154" t="s">
        <v>60</v>
      </c>
      <c r="X133" s="154" t="s">
        <v>60</v>
      </c>
      <c r="Y133" s="154"/>
      <c r="Z133" s="242" t="b">
        <f t="shared" si="2"/>
        <v>1</v>
      </c>
      <c r="AA133" s="154" t="s">
        <v>391</v>
      </c>
      <c r="AB133" s="242" t="b">
        <f t="shared" si="3"/>
        <v>0</v>
      </c>
      <c r="AC133" s="154"/>
      <c r="AD133" s="242" t="b">
        <f t="shared" si="4"/>
        <v>0</v>
      </c>
      <c r="AE133" s="154" t="s">
        <v>1598</v>
      </c>
      <c r="AF133" s="243" t="str">
        <f>IF(AE133="","N/A",INDIRECT("MTR!"&amp;ADDRESS(MATCH(LEFT(AE133,9),MTR!C:C,0),COLUMN(J133)),TRUE) &amp; "")</f>
        <v>Partially Complies</v>
      </c>
      <c r="AG133" s="157" t="str">
        <f t="shared" si="5"/>
        <v/>
      </c>
      <c r="AH133" s="152"/>
      <c r="AI133" s="152"/>
      <c r="AJ133" s="152"/>
      <c r="AK133" s="152"/>
      <c r="AL133" s="152"/>
      <c r="AM133" s="152"/>
      <c r="AN133" s="152"/>
      <c r="AO133" s="152"/>
      <c r="AP133" s="152"/>
      <c r="AQ133" s="152"/>
      <c r="AR133" s="152"/>
    </row>
    <row r="134" ht="12.75" customHeight="1">
      <c r="A134" s="244" t="s">
        <v>5158</v>
      </c>
      <c r="B134" s="244" t="s">
        <v>12721</v>
      </c>
      <c r="C134" s="244" t="s">
        <v>13060</v>
      </c>
      <c r="D134" s="154" t="s">
        <v>503</v>
      </c>
      <c r="E134" s="154"/>
      <c r="F134" s="154" t="str">
        <f t="array" ref="F134">XLOOKUP(Cover!$D$12,$P$1:$X$1,$P134:$X134)</f>
        <v>Mandatory</v>
      </c>
      <c r="G134" s="154" t="s">
        <v>13061</v>
      </c>
      <c r="H134" s="154" t="s">
        <v>9003</v>
      </c>
      <c r="I134" s="154" t="s">
        <v>13058</v>
      </c>
      <c r="J134" s="154" t="s">
        <v>6463</v>
      </c>
      <c r="K134" s="154" t="s">
        <v>1018</v>
      </c>
      <c r="L134" s="154" t="s">
        <v>759</v>
      </c>
      <c r="M134" s="247" t="s">
        <v>516</v>
      </c>
      <c r="N134" s="247" t="s">
        <v>13062</v>
      </c>
      <c r="O134" s="240" t="str">
        <f t="shared" si="1"/>
        <v/>
      </c>
      <c r="P134" s="154" t="s">
        <v>66</v>
      </c>
      <c r="Q134" s="154" t="s">
        <v>66</v>
      </c>
      <c r="R134" s="154" t="s">
        <v>60</v>
      </c>
      <c r="S134" s="154" t="s">
        <v>60</v>
      </c>
      <c r="T134" s="154" t="s">
        <v>60</v>
      </c>
      <c r="U134" s="154" t="s">
        <v>60</v>
      </c>
      <c r="V134" s="154" t="s">
        <v>66</v>
      </c>
      <c r="W134" s="154" t="s">
        <v>60</v>
      </c>
      <c r="X134" s="154" t="s">
        <v>60</v>
      </c>
      <c r="Y134" s="154"/>
      <c r="Z134" s="242" t="b">
        <f t="shared" si="2"/>
        <v>1</v>
      </c>
      <c r="AA134" s="154" t="s">
        <v>391</v>
      </c>
      <c r="AB134" s="242" t="b">
        <f t="shared" si="3"/>
        <v>0</v>
      </c>
      <c r="AC134" s="154"/>
      <c r="AD134" s="242" t="b">
        <f t="shared" si="4"/>
        <v>0</v>
      </c>
      <c r="AE134" s="154" t="s">
        <v>1598</v>
      </c>
      <c r="AF134" s="243" t="str">
        <f>IF(AE134="","N/A",INDIRECT("MTR!"&amp;ADDRESS(MATCH(LEFT(AE134,9),MTR!C:C,0),COLUMN(J134)),TRUE) &amp; "")</f>
        <v>Partially Complies</v>
      </c>
      <c r="AG134" s="157" t="str">
        <f t="shared" si="5"/>
        <v/>
      </c>
      <c r="AH134" s="152"/>
      <c r="AI134" s="152"/>
      <c r="AJ134" s="152"/>
      <c r="AK134" s="152"/>
      <c r="AL134" s="152"/>
      <c r="AM134" s="152"/>
      <c r="AN134" s="152"/>
      <c r="AO134" s="152"/>
      <c r="AP134" s="152"/>
      <c r="AQ134" s="152"/>
      <c r="AR134" s="152"/>
    </row>
    <row r="135" ht="12.75" customHeight="1">
      <c r="A135" s="244" t="s">
        <v>5158</v>
      </c>
      <c r="B135" s="244" t="s">
        <v>12721</v>
      </c>
      <c r="C135" s="244" t="s">
        <v>13063</v>
      </c>
      <c r="D135" s="154" t="s">
        <v>1315</v>
      </c>
      <c r="E135" s="154"/>
      <c r="F135" s="154" t="str">
        <f t="array" ref="F135">XLOOKUP(Cover!$D$12,$P$1:$X$1,$P135:$X135)</f>
        <v>Mandatory</v>
      </c>
      <c r="G135" s="154" t="s">
        <v>13064</v>
      </c>
      <c r="H135" s="154" t="s">
        <v>9003</v>
      </c>
      <c r="I135" s="154" t="s">
        <v>13065</v>
      </c>
      <c r="J135" s="154" t="s">
        <v>5905</v>
      </c>
      <c r="K135" s="154" t="s">
        <v>1012</v>
      </c>
      <c r="L135" s="154" t="s">
        <v>759</v>
      </c>
      <c r="M135" s="247" t="s">
        <v>506</v>
      </c>
      <c r="N135" s="247" t="s">
        <v>12738</v>
      </c>
      <c r="O135" s="240" t="str">
        <f t="shared" si="1"/>
        <v/>
      </c>
      <c r="P135" s="154" t="s">
        <v>66</v>
      </c>
      <c r="Q135" s="154" t="s">
        <v>66</v>
      </c>
      <c r="R135" s="154" t="s">
        <v>60</v>
      </c>
      <c r="S135" s="154" t="s">
        <v>60</v>
      </c>
      <c r="T135" s="154" t="s">
        <v>60</v>
      </c>
      <c r="U135" s="154" t="s">
        <v>60</v>
      </c>
      <c r="V135" s="154" t="s">
        <v>66</v>
      </c>
      <c r="W135" s="154" t="s">
        <v>60</v>
      </c>
      <c r="X135" s="154" t="s">
        <v>60</v>
      </c>
      <c r="Y135" s="154"/>
      <c r="Z135" s="242" t="b">
        <f t="shared" si="2"/>
        <v>1</v>
      </c>
      <c r="AA135" s="154" t="s">
        <v>391</v>
      </c>
      <c r="AB135" s="242" t="b">
        <f t="shared" si="3"/>
        <v>0</v>
      </c>
      <c r="AC135" s="154"/>
      <c r="AD135" s="242" t="b">
        <f t="shared" si="4"/>
        <v>0</v>
      </c>
      <c r="AE135" s="154" t="s">
        <v>1598</v>
      </c>
      <c r="AF135" s="243" t="str">
        <f>IF(AE135="","N/A",INDIRECT("MTR!"&amp;ADDRESS(MATCH(LEFT(AE135,9),MTR!C:C,0),COLUMN(J135)),TRUE) &amp; "")</f>
        <v>Partially Complies</v>
      </c>
      <c r="AG135" s="157" t="str">
        <f t="shared" si="5"/>
        <v/>
      </c>
      <c r="AH135" s="152"/>
      <c r="AI135" s="152"/>
      <c r="AJ135" s="152"/>
      <c r="AK135" s="152"/>
      <c r="AL135" s="152"/>
      <c r="AM135" s="152"/>
      <c r="AN135" s="152"/>
      <c r="AO135" s="152"/>
      <c r="AP135" s="152"/>
      <c r="AQ135" s="152"/>
      <c r="AR135" s="152"/>
    </row>
    <row r="136" ht="12.75" customHeight="1">
      <c r="A136" s="244" t="s">
        <v>5158</v>
      </c>
      <c r="B136" s="244" t="s">
        <v>12721</v>
      </c>
      <c r="C136" s="244" t="s">
        <v>13066</v>
      </c>
      <c r="D136" s="154" t="s">
        <v>1773</v>
      </c>
      <c r="E136" s="154"/>
      <c r="F136" s="154" t="str">
        <f t="array" ref="F136">XLOOKUP(Cover!$D$12,$P$1:$X$1,$P136:$X136)</f>
        <v>Information</v>
      </c>
      <c r="G136" s="154" t="s">
        <v>13067</v>
      </c>
      <c r="H136" s="154" t="s">
        <v>13065</v>
      </c>
      <c r="I136" s="154" t="s">
        <v>13065</v>
      </c>
      <c r="J136" s="154" t="s">
        <v>7175</v>
      </c>
      <c r="K136" s="154"/>
      <c r="L136" s="154" t="s">
        <v>759</v>
      </c>
      <c r="M136" s="247" t="s">
        <v>516</v>
      </c>
      <c r="N136" s="247" t="s">
        <v>12741</v>
      </c>
      <c r="O136" s="240" t="str">
        <f t="shared" si="1"/>
        <v/>
      </c>
      <c r="P136" s="154" t="s">
        <v>66</v>
      </c>
      <c r="Q136" s="154" t="s">
        <v>66</v>
      </c>
      <c r="R136" s="154" t="s">
        <v>66</v>
      </c>
      <c r="S136" s="154" t="s">
        <v>66</v>
      </c>
      <c r="T136" s="154" t="s">
        <v>66</v>
      </c>
      <c r="U136" s="154" t="s">
        <v>66</v>
      </c>
      <c r="V136" s="154" t="s">
        <v>66</v>
      </c>
      <c r="W136" s="154" t="s">
        <v>66</v>
      </c>
      <c r="X136" s="154" t="s">
        <v>66</v>
      </c>
      <c r="Y136" s="154"/>
      <c r="Z136" s="242" t="b">
        <f t="shared" si="2"/>
        <v>1</v>
      </c>
      <c r="AA136" s="154" t="s">
        <v>391</v>
      </c>
      <c r="AB136" s="242" t="b">
        <f t="shared" si="3"/>
        <v>0</v>
      </c>
      <c r="AC136" s="154"/>
      <c r="AD136" s="242" t="b">
        <f t="shared" si="4"/>
        <v>0</v>
      </c>
      <c r="AE136" s="154" t="s">
        <v>1598</v>
      </c>
      <c r="AF136" s="243" t="str">
        <f>IF(AE136="","N/A",INDIRECT("MTR!"&amp;ADDRESS(MATCH(LEFT(AE136,9),MTR!C:C,0),COLUMN(J136)),TRUE) &amp; "")</f>
        <v>Partially Complies</v>
      </c>
      <c r="AG136" s="157" t="str">
        <f t="shared" si="5"/>
        <v/>
      </c>
      <c r="AH136" s="152"/>
      <c r="AI136" s="152"/>
      <c r="AJ136" s="152"/>
      <c r="AK136" s="152"/>
      <c r="AL136" s="152"/>
      <c r="AM136" s="152"/>
      <c r="AN136" s="152"/>
      <c r="AO136" s="152"/>
      <c r="AP136" s="152"/>
      <c r="AQ136" s="152"/>
      <c r="AR136" s="152"/>
    </row>
    <row r="137" ht="12.75" customHeight="1">
      <c r="A137" s="244" t="s">
        <v>5158</v>
      </c>
      <c r="B137" s="244" t="s">
        <v>12721</v>
      </c>
      <c r="C137" s="244" t="s">
        <v>13068</v>
      </c>
      <c r="D137" s="154" t="s">
        <v>1315</v>
      </c>
      <c r="E137" s="154"/>
      <c r="F137" s="154" t="str">
        <f t="array" ref="F137">XLOOKUP(Cover!$D$12,$P$1:$X$1,$P137:$X137)</f>
        <v>Mandatory</v>
      </c>
      <c r="G137" s="154" t="s">
        <v>13069</v>
      </c>
      <c r="H137" s="154" t="s">
        <v>9003</v>
      </c>
      <c r="I137" s="154" t="s">
        <v>13065</v>
      </c>
      <c r="J137" s="154" t="s">
        <v>6942</v>
      </c>
      <c r="K137" s="154" t="s">
        <v>1012</v>
      </c>
      <c r="L137" s="154" t="s">
        <v>759</v>
      </c>
      <c r="M137" s="247" t="s">
        <v>506</v>
      </c>
      <c r="N137" s="247" t="s">
        <v>12738</v>
      </c>
      <c r="O137" s="240" t="str">
        <f t="shared" si="1"/>
        <v/>
      </c>
      <c r="P137" s="154" t="s">
        <v>66</v>
      </c>
      <c r="Q137" s="154" t="s">
        <v>66</v>
      </c>
      <c r="R137" s="154" t="s">
        <v>60</v>
      </c>
      <c r="S137" s="154" t="s">
        <v>60</v>
      </c>
      <c r="T137" s="154" t="s">
        <v>60</v>
      </c>
      <c r="U137" s="154" t="s">
        <v>60</v>
      </c>
      <c r="V137" s="154" t="s">
        <v>66</v>
      </c>
      <c r="W137" s="154" t="s">
        <v>60</v>
      </c>
      <c r="X137" s="154" t="s">
        <v>60</v>
      </c>
      <c r="Y137" s="154"/>
      <c r="Z137" s="242" t="b">
        <f t="shared" si="2"/>
        <v>1</v>
      </c>
      <c r="AA137" s="154" t="s">
        <v>391</v>
      </c>
      <c r="AB137" s="242" t="b">
        <f t="shared" si="3"/>
        <v>0</v>
      </c>
      <c r="AC137" s="154"/>
      <c r="AD137" s="242" t="b">
        <f t="shared" si="4"/>
        <v>0</v>
      </c>
      <c r="AE137" s="154" t="s">
        <v>1598</v>
      </c>
      <c r="AF137" s="243" t="str">
        <f>IF(AE137="","N/A",INDIRECT("MTR!"&amp;ADDRESS(MATCH(LEFT(AE137,9),MTR!C:C,0),COLUMN(J137)),TRUE) &amp; "")</f>
        <v>Partially Complies</v>
      </c>
      <c r="AG137" s="157" t="str">
        <f t="shared" si="5"/>
        <v/>
      </c>
      <c r="AH137" s="152"/>
      <c r="AI137" s="152"/>
      <c r="AJ137" s="152"/>
      <c r="AK137" s="152"/>
      <c r="AL137" s="152"/>
      <c r="AM137" s="152"/>
      <c r="AN137" s="152"/>
      <c r="AO137" s="152"/>
      <c r="AP137" s="152"/>
      <c r="AQ137" s="152"/>
      <c r="AR137" s="152"/>
    </row>
    <row r="138" ht="12.75" customHeight="1">
      <c r="A138" s="244" t="s">
        <v>5158</v>
      </c>
      <c r="B138" s="244" t="s">
        <v>12721</v>
      </c>
      <c r="C138" s="244" t="s">
        <v>13070</v>
      </c>
      <c r="D138" s="154" t="s">
        <v>1773</v>
      </c>
      <c r="E138" s="154"/>
      <c r="F138" s="154" t="str">
        <f t="array" ref="F138">XLOOKUP(Cover!$D$12,$P$1:$X$1,$P138:$X138)</f>
        <v>Information</v>
      </c>
      <c r="G138" s="154" t="s">
        <v>13071</v>
      </c>
      <c r="H138" s="154" t="s">
        <v>13065</v>
      </c>
      <c r="I138" s="154" t="s">
        <v>13065</v>
      </c>
      <c r="J138" s="154" t="s">
        <v>7175</v>
      </c>
      <c r="K138" s="154"/>
      <c r="L138" s="154" t="s">
        <v>759</v>
      </c>
      <c r="M138" s="247" t="s">
        <v>516</v>
      </c>
      <c r="N138" s="247" t="s">
        <v>12741</v>
      </c>
      <c r="O138" s="240" t="str">
        <f t="shared" si="1"/>
        <v/>
      </c>
      <c r="P138" s="154" t="s">
        <v>66</v>
      </c>
      <c r="Q138" s="154" t="s">
        <v>66</v>
      </c>
      <c r="R138" s="154" t="s">
        <v>66</v>
      </c>
      <c r="S138" s="154" t="s">
        <v>66</v>
      </c>
      <c r="T138" s="154" t="s">
        <v>66</v>
      </c>
      <c r="U138" s="154" t="s">
        <v>66</v>
      </c>
      <c r="V138" s="154" t="s">
        <v>66</v>
      </c>
      <c r="W138" s="154" t="s">
        <v>66</v>
      </c>
      <c r="X138" s="154" t="s">
        <v>66</v>
      </c>
      <c r="Y138" s="154"/>
      <c r="Z138" s="242" t="b">
        <f t="shared" si="2"/>
        <v>1</v>
      </c>
      <c r="AA138" s="154" t="s">
        <v>391</v>
      </c>
      <c r="AB138" s="242" t="b">
        <f t="shared" si="3"/>
        <v>0</v>
      </c>
      <c r="AC138" s="154"/>
      <c r="AD138" s="242" t="b">
        <f t="shared" si="4"/>
        <v>0</v>
      </c>
      <c r="AE138" s="154" t="s">
        <v>1598</v>
      </c>
      <c r="AF138" s="243" t="str">
        <f>IF(AE138="","N/A",INDIRECT("MTR!"&amp;ADDRESS(MATCH(LEFT(AE138,9),MTR!C:C,0),COLUMN(J138)),TRUE) &amp; "")</f>
        <v>Partially Complies</v>
      </c>
      <c r="AG138" s="157" t="str">
        <f t="shared" si="5"/>
        <v/>
      </c>
      <c r="AH138" s="152"/>
      <c r="AI138" s="152"/>
      <c r="AJ138" s="152"/>
      <c r="AK138" s="152"/>
      <c r="AL138" s="152"/>
      <c r="AM138" s="152"/>
      <c r="AN138" s="152"/>
      <c r="AO138" s="152"/>
      <c r="AP138" s="152"/>
      <c r="AQ138" s="152"/>
      <c r="AR138" s="152"/>
    </row>
    <row r="139" ht="12.75" customHeight="1">
      <c r="A139" s="244" t="s">
        <v>5158</v>
      </c>
      <c r="B139" s="244" t="s">
        <v>12721</v>
      </c>
      <c r="C139" s="244" t="s">
        <v>13072</v>
      </c>
      <c r="D139" s="154" t="s">
        <v>45</v>
      </c>
      <c r="E139" s="154"/>
      <c r="F139" s="154" t="str">
        <f t="array" ref="F139">XLOOKUP(Cover!$D$12,$P$1:$X$1,$P139:$X139)</f>
        <v>Mandatory</v>
      </c>
      <c r="G139" s="154" t="s">
        <v>13073</v>
      </c>
      <c r="H139" s="154" t="s">
        <v>9003</v>
      </c>
      <c r="I139" s="154" t="s">
        <v>13065</v>
      </c>
      <c r="J139" s="154" t="s">
        <v>6942</v>
      </c>
      <c r="K139" s="154" t="s">
        <v>1012</v>
      </c>
      <c r="L139" s="154" t="s">
        <v>759</v>
      </c>
      <c r="M139" s="247" t="s">
        <v>516</v>
      </c>
      <c r="N139" s="247" t="s">
        <v>12748</v>
      </c>
      <c r="O139" s="240" t="str">
        <f t="shared" si="1"/>
        <v/>
      </c>
      <c r="P139" s="154" t="s">
        <v>66</v>
      </c>
      <c r="Q139" s="154" t="s">
        <v>66</v>
      </c>
      <c r="R139" s="154" t="s">
        <v>60</v>
      </c>
      <c r="S139" s="154" t="s">
        <v>60</v>
      </c>
      <c r="T139" s="154" t="s">
        <v>60</v>
      </c>
      <c r="U139" s="154" t="s">
        <v>60</v>
      </c>
      <c r="V139" s="154" t="s">
        <v>66</v>
      </c>
      <c r="W139" s="154" t="s">
        <v>60</v>
      </c>
      <c r="X139" s="154" t="s">
        <v>60</v>
      </c>
      <c r="Y139" s="154"/>
      <c r="Z139" s="242" t="b">
        <f t="shared" si="2"/>
        <v>1</v>
      </c>
      <c r="AA139" s="154" t="s">
        <v>391</v>
      </c>
      <c r="AB139" s="242" t="b">
        <f t="shared" si="3"/>
        <v>0</v>
      </c>
      <c r="AC139" s="154"/>
      <c r="AD139" s="242" t="b">
        <f t="shared" si="4"/>
        <v>0</v>
      </c>
      <c r="AE139" s="154" t="s">
        <v>1598</v>
      </c>
      <c r="AF139" s="243" t="str">
        <f>IF(AE139="","N/A",INDIRECT("MTR!"&amp;ADDRESS(MATCH(LEFT(AE139,9),MTR!C:C,0),COLUMN(J139)),TRUE) &amp; "")</f>
        <v>Partially Complies</v>
      </c>
      <c r="AG139" s="157" t="str">
        <f t="shared" si="5"/>
        <v/>
      </c>
      <c r="AH139" s="152"/>
      <c r="AI139" s="152"/>
      <c r="AJ139" s="152"/>
      <c r="AK139" s="152"/>
      <c r="AL139" s="152"/>
      <c r="AM139" s="152"/>
      <c r="AN139" s="152"/>
      <c r="AO139" s="152"/>
      <c r="AP139" s="152"/>
      <c r="AQ139" s="152"/>
      <c r="AR139" s="152"/>
    </row>
    <row r="140" ht="12.75" customHeight="1">
      <c r="A140" s="244" t="s">
        <v>5158</v>
      </c>
      <c r="B140" s="244" t="s">
        <v>12721</v>
      </c>
      <c r="C140" s="244" t="s">
        <v>13074</v>
      </c>
      <c r="D140" s="154" t="s">
        <v>45</v>
      </c>
      <c r="E140" s="154"/>
      <c r="F140" s="154" t="str">
        <f t="array" ref="F140">XLOOKUP(Cover!$D$12,$P$1:$X$1,$P140:$X140)</f>
        <v>Information</v>
      </c>
      <c r="G140" s="154" t="s">
        <v>13075</v>
      </c>
      <c r="H140" s="154" t="s">
        <v>13065</v>
      </c>
      <c r="I140" s="154" t="s">
        <v>13065</v>
      </c>
      <c r="J140" s="154" t="s">
        <v>7175</v>
      </c>
      <c r="K140" s="154"/>
      <c r="L140" s="154" t="s">
        <v>759</v>
      </c>
      <c r="M140" s="247" t="s">
        <v>516</v>
      </c>
      <c r="N140" s="247" t="s">
        <v>12751</v>
      </c>
      <c r="O140" s="240" t="str">
        <f t="shared" si="1"/>
        <v/>
      </c>
      <c r="P140" s="154" t="s">
        <v>66</v>
      </c>
      <c r="Q140" s="154" t="s">
        <v>66</v>
      </c>
      <c r="R140" s="154" t="s">
        <v>66</v>
      </c>
      <c r="S140" s="154" t="s">
        <v>66</v>
      </c>
      <c r="T140" s="154" t="s">
        <v>66</v>
      </c>
      <c r="U140" s="154" t="s">
        <v>66</v>
      </c>
      <c r="V140" s="154" t="s">
        <v>66</v>
      </c>
      <c r="W140" s="154" t="s">
        <v>66</v>
      </c>
      <c r="X140" s="154" t="s">
        <v>66</v>
      </c>
      <c r="Y140" s="154"/>
      <c r="Z140" s="242" t="b">
        <f t="shared" si="2"/>
        <v>1</v>
      </c>
      <c r="AA140" s="154" t="s">
        <v>391</v>
      </c>
      <c r="AB140" s="242" t="b">
        <f t="shared" si="3"/>
        <v>0</v>
      </c>
      <c r="AC140" s="154"/>
      <c r="AD140" s="242" t="b">
        <f t="shared" si="4"/>
        <v>0</v>
      </c>
      <c r="AE140" s="154" t="s">
        <v>1598</v>
      </c>
      <c r="AF140" s="243" t="str">
        <f>IF(AE140="","N/A",INDIRECT("MTR!"&amp;ADDRESS(MATCH(LEFT(AE140,9),MTR!C:C,0),COLUMN(J140)),TRUE) &amp; "")</f>
        <v>Partially Complies</v>
      </c>
      <c r="AG140" s="157" t="str">
        <f t="shared" si="5"/>
        <v/>
      </c>
      <c r="AH140" s="152"/>
      <c r="AI140" s="152"/>
      <c r="AJ140" s="152"/>
      <c r="AK140" s="152"/>
      <c r="AL140" s="152"/>
      <c r="AM140" s="152"/>
      <c r="AN140" s="152"/>
      <c r="AO140" s="152"/>
      <c r="AP140" s="152"/>
      <c r="AQ140" s="152"/>
      <c r="AR140" s="152"/>
    </row>
    <row r="141" ht="12.75" customHeight="1">
      <c r="A141" s="244" t="s">
        <v>5158</v>
      </c>
      <c r="B141" s="244" t="s">
        <v>12721</v>
      </c>
      <c r="C141" s="244" t="s">
        <v>13076</v>
      </c>
      <c r="D141" s="154" t="s">
        <v>1315</v>
      </c>
      <c r="E141" s="154"/>
      <c r="F141" s="154" t="str">
        <f t="array" ref="F141">XLOOKUP(Cover!$D$12,$P$1:$X$1,$P141:$X141)</f>
        <v>Mandatory</v>
      </c>
      <c r="G141" s="154" t="s">
        <v>13077</v>
      </c>
      <c r="H141" s="154" t="s">
        <v>9003</v>
      </c>
      <c r="I141" s="154" t="s">
        <v>13078</v>
      </c>
      <c r="J141" s="154" t="s">
        <v>6232</v>
      </c>
      <c r="K141" s="154" t="s">
        <v>1012</v>
      </c>
      <c r="L141" s="154" t="s">
        <v>759</v>
      </c>
      <c r="M141" s="247" t="s">
        <v>506</v>
      </c>
      <c r="N141" s="247" t="s">
        <v>12738</v>
      </c>
      <c r="O141" s="240" t="str">
        <f t="shared" si="1"/>
        <v/>
      </c>
      <c r="P141" s="154" t="s">
        <v>66</v>
      </c>
      <c r="Q141" s="154" t="s">
        <v>66</v>
      </c>
      <c r="R141" s="154" t="s">
        <v>60</v>
      </c>
      <c r="S141" s="154" t="s">
        <v>60</v>
      </c>
      <c r="T141" s="154" t="s">
        <v>60</v>
      </c>
      <c r="U141" s="154" t="s">
        <v>60</v>
      </c>
      <c r="V141" s="154" t="s">
        <v>66</v>
      </c>
      <c r="W141" s="154" t="s">
        <v>60</v>
      </c>
      <c r="X141" s="154" t="s">
        <v>60</v>
      </c>
      <c r="Y141" s="154"/>
      <c r="Z141" s="242" t="b">
        <f t="shared" si="2"/>
        <v>1</v>
      </c>
      <c r="AA141" s="154" t="s">
        <v>391</v>
      </c>
      <c r="AB141" s="242" t="b">
        <f t="shared" si="3"/>
        <v>0</v>
      </c>
      <c r="AC141" s="154"/>
      <c r="AD141" s="242" t="b">
        <f t="shared" si="4"/>
        <v>0</v>
      </c>
      <c r="AE141" s="154" t="s">
        <v>1598</v>
      </c>
      <c r="AF141" s="243" t="str">
        <f>IF(AE141="","N/A",INDIRECT("MTR!"&amp;ADDRESS(MATCH(LEFT(AE141,9),MTR!C:C,0),COLUMN(J141)),TRUE) &amp; "")</f>
        <v>Partially Complies</v>
      </c>
      <c r="AG141" s="157" t="str">
        <f t="shared" si="5"/>
        <v/>
      </c>
      <c r="AH141" s="152"/>
      <c r="AI141" s="152"/>
      <c r="AJ141" s="152"/>
      <c r="AK141" s="152"/>
      <c r="AL141" s="152"/>
      <c r="AM141" s="152"/>
      <c r="AN141" s="152"/>
      <c r="AO141" s="152"/>
      <c r="AP141" s="152"/>
      <c r="AQ141" s="152"/>
      <c r="AR141" s="152"/>
    </row>
    <row r="142" ht="12.75" customHeight="1">
      <c r="A142" s="244" t="s">
        <v>5158</v>
      </c>
      <c r="B142" s="244" t="s">
        <v>12721</v>
      </c>
      <c r="C142" s="244" t="s">
        <v>13079</v>
      </c>
      <c r="D142" s="154" t="s">
        <v>1773</v>
      </c>
      <c r="E142" s="154"/>
      <c r="F142" s="154" t="str">
        <f t="array" ref="F142">XLOOKUP(Cover!$D$12,$P$1:$X$1,$P142:$X142)</f>
        <v>Information</v>
      </c>
      <c r="G142" s="154" t="s">
        <v>13080</v>
      </c>
      <c r="H142" s="154" t="s">
        <v>13078</v>
      </c>
      <c r="I142" s="154" t="s">
        <v>13078</v>
      </c>
      <c r="J142" s="154" t="s">
        <v>6428</v>
      </c>
      <c r="K142" s="154"/>
      <c r="L142" s="154" t="s">
        <v>759</v>
      </c>
      <c r="M142" s="247" t="s">
        <v>516</v>
      </c>
      <c r="N142" s="247" t="s">
        <v>12741</v>
      </c>
      <c r="O142" s="240" t="str">
        <f t="shared" si="1"/>
        <v/>
      </c>
      <c r="P142" s="154" t="s">
        <v>66</v>
      </c>
      <c r="Q142" s="154" t="s">
        <v>66</v>
      </c>
      <c r="R142" s="154" t="s">
        <v>66</v>
      </c>
      <c r="S142" s="154" t="s">
        <v>66</v>
      </c>
      <c r="T142" s="154" t="s">
        <v>66</v>
      </c>
      <c r="U142" s="154" t="s">
        <v>66</v>
      </c>
      <c r="V142" s="154" t="s">
        <v>66</v>
      </c>
      <c r="W142" s="154" t="s">
        <v>66</v>
      </c>
      <c r="X142" s="154" t="s">
        <v>66</v>
      </c>
      <c r="Y142" s="154"/>
      <c r="Z142" s="242" t="b">
        <f t="shared" si="2"/>
        <v>1</v>
      </c>
      <c r="AA142" s="154" t="s">
        <v>391</v>
      </c>
      <c r="AB142" s="242" t="b">
        <f t="shared" si="3"/>
        <v>0</v>
      </c>
      <c r="AC142" s="154"/>
      <c r="AD142" s="242" t="b">
        <f t="shared" si="4"/>
        <v>0</v>
      </c>
      <c r="AE142" s="154" t="s">
        <v>1598</v>
      </c>
      <c r="AF142" s="243" t="str">
        <f>IF(AE142="","N/A",INDIRECT("MTR!"&amp;ADDRESS(MATCH(LEFT(AE142,9),MTR!C:C,0),COLUMN(J142)),TRUE) &amp; "")</f>
        <v>Partially Complies</v>
      </c>
      <c r="AG142" s="157" t="str">
        <f t="shared" si="5"/>
        <v/>
      </c>
      <c r="AH142" s="152"/>
      <c r="AI142" s="152"/>
      <c r="AJ142" s="152"/>
      <c r="AK142" s="152"/>
      <c r="AL142" s="152"/>
      <c r="AM142" s="152"/>
      <c r="AN142" s="152"/>
      <c r="AO142" s="152"/>
      <c r="AP142" s="152"/>
      <c r="AQ142" s="152"/>
      <c r="AR142" s="152"/>
    </row>
    <row r="143" ht="12.75" customHeight="1">
      <c r="A143" s="244" t="s">
        <v>5158</v>
      </c>
      <c r="B143" s="244" t="s">
        <v>12721</v>
      </c>
      <c r="C143" s="244" t="s">
        <v>13081</v>
      </c>
      <c r="D143" s="154" t="s">
        <v>1315</v>
      </c>
      <c r="E143" s="154"/>
      <c r="F143" s="154" t="str">
        <f t="array" ref="F143">XLOOKUP(Cover!$D$12,$P$1:$X$1,$P143:$X143)</f>
        <v>Mandatory</v>
      </c>
      <c r="G143" s="154" t="s">
        <v>13082</v>
      </c>
      <c r="H143" s="154" t="s">
        <v>9003</v>
      </c>
      <c r="I143" s="154" t="s">
        <v>13078</v>
      </c>
      <c r="J143" s="154" t="s">
        <v>6140</v>
      </c>
      <c r="K143" s="154" t="s">
        <v>1012</v>
      </c>
      <c r="L143" s="154" t="s">
        <v>759</v>
      </c>
      <c r="M143" s="247" t="s">
        <v>506</v>
      </c>
      <c r="N143" s="247" t="s">
        <v>12738</v>
      </c>
      <c r="O143" s="240" t="str">
        <f t="shared" si="1"/>
        <v/>
      </c>
      <c r="P143" s="154" t="s">
        <v>66</v>
      </c>
      <c r="Q143" s="154" t="s">
        <v>66</v>
      </c>
      <c r="R143" s="154" t="s">
        <v>60</v>
      </c>
      <c r="S143" s="154" t="s">
        <v>60</v>
      </c>
      <c r="T143" s="154" t="s">
        <v>60</v>
      </c>
      <c r="U143" s="154" t="s">
        <v>60</v>
      </c>
      <c r="V143" s="154" t="s">
        <v>66</v>
      </c>
      <c r="W143" s="154" t="s">
        <v>60</v>
      </c>
      <c r="X143" s="154" t="s">
        <v>60</v>
      </c>
      <c r="Y143" s="154"/>
      <c r="Z143" s="242" t="b">
        <f t="shared" si="2"/>
        <v>1</v>
      </c>
      <c r="AA143" s="154" t="s">
        <v>391</v>
      </c>
      <c r="AB143" s="242" t="b">
        <f t="shared" si="3"/>
        <v>0</v>
      </c>
      <c r="AC143" s="154"/>
      <c r="AD143" s="242" t="b">
        <f t="shared" si="4"/>
        <v>0</v>
      </c>
      <c r="AE143" s="154" t="s">
        <v>1598</v>
      </c>
      <c r="AF143" s="243" t="str">
        <f>IF(AE143="","N/A",INDIRECT("MTR!"&amp;ADDRESS(MATCH(LEFT(AE143,9),MTR!C:C,0),COLUMN(J143)),TRUE) &amp; "")</f>
        <v>Partially Complies</v>
      </c>
      <c r="AG143" s="157" t="str">
        <f t="shared" si="5"/>
        <v/>
      </c>
      <c r="AH143" s="152"/>
      <c r="AI143" s="152"/>
      <c r="AJ143" s="152"/>
      <c r="AK143" s="152"/>
      <c r="AL143" s="152"/>
      <c r="AM143" s="152"/>
      <c r="AN143" s="152"/>
      <c r="AO143" s="152"/>
      <c r="AP143" s="152"/>
      <c r="AQ143" s="152"/>
      <c r="AR143" s="152"/>
    </row>
    <row r="144" ht="12.75" customHeight="1">
      <c r="A144" s="244" t="s">
        <v>5158</v>
      </c>
      <c r="B144" s="244" t="s">
        <v>12721</v>
      </c>
      <c r="C144" s="244" t="s">
        <v>13083</v>
      </c>
      <c r="D144" s="154" t="s">
        <v>1773</v>
      </c>
      <c r="E144" s="154"/>
      <c r="F144" s="154" t="str">
        <f t="array" ref="F144">XLOOKUP(Cover!$D$12,$P$1:$X$1,$P144:$X144)</f>
        <v>Information</v>
      </c>
      <c r="G144" s="154" t="s">
        <v>13084</v>
      </c>
      <c r="H144" s="154" t="s">
        <v>13078</v>
      </c>
      <c r="I144" s="154" t="s">
        <v>13078</v>
      </c>
      <c r="J144" s="154" t="s">
        <v>6428</v>
      </c>
      <c r="K144" s="154"/>
      <c r="L144" s="154" t="s">
        <v>759</v>
      </c>
      <c r="M144" s="247" t="s">
        <v>516</v>
      </c>
      <c r="N144" s="247" t="s">
        <v>12741</v>
      </c>
      <c r="O144" s="240" t="str">
        <f t="shared" si="1"/>
        <v/>
      </c>
      <c r="P144" s="154" t="s">
        <v>66</v>
      </c>
      <c r="Q144" s="154" t="s">
        <v>66</v>
      </c>
      <c r="R144" s="154" t="s">
        <v>66</v>
      </c>
      <c r="S144" s="154" t="s">
        <v>66</v>
      </c>
      <c r="T144" s="154" t="s">
        <v>66</v>
      </c>
      <c r="U144" s="154" t="s">
        <v>66</v>
      </c>
      <c r="V144" s="154" t="s">
        <v>66</v>
      </c>
      <c r="W144" s="154" t="s">
        <v>66</v>
      </c>
      <c r="X144" s="154" t="s">
        <v>66</v>
      </c>
      <c r="Y144" s="154"/>
      <c r="Z144" s="242" t="b">
        <f t="shared" si="2"/>
        <v>1</v>
      </c>
      <c r="AA144" s="154" t="s">
        <v>391</v>
      </c>
      <c r="AB144" s="242" t="b">
        <f t="shared" si="3"/>
        <v>0</v>
      </c>
      <c r="AC144" s="154"/>
      <c r="AD144" s="242" t="b">
        <f t="shared" si="4"/>
        <v>0</v>
      </c>
      <c r="AE144" s="154" t="s">
        <v>1598</v>
      </c>
      <c r="AF144" s="243" t="str">
        <f>IF(AE144="","N/A",INDIRECT("MTR!"&amp;ADDRESS(MATCH(LEFT(AE144,9),MTR!C:C,0),COLUMN(J144)),TRUE) &amp; "")</f>
        <v>Partially Complies</v>
      </c>
      <c r="AG144" s="157" t="str">
        <f t="shared" si="5"/>
        <v/>
      </c>
      <c r="AH144" s="152"/>
      <c r="AI144" s="152"/>
      <c r="AJ144" s="152"/>
      <c r="AK144" s="152"/>
      <c r="AL144" s="152"/>
      <c r="AM144" s="152"/>
      <c r="AN144" s="152"/>
      <c r="AO144" s="152"/>
      <c r="AP144" s="152"/>
      <c r="AQ144" s="152"/>
      <c r="AR144" s="152"/>
    </row>
    <row r="145" ht="12.75" customHeight="1">
      <c r="A145" s="244" t="s">
        <v>5158</v>
      </c>
      <c r="B145" s="244" t="s">
        <v>12721</v>
      </c>
      <c r="C145" s="244" t="s">
        <v>13085</v>
      </c>
      <c r="D145" s="154" t="s">
        <v>1773</v>
      </c>
      <c r="E145" s="154"/>
      <c r="F145" s="154" t="str">
        <f t="array" ref="F145">XLOOKUP(Cover!$D$12,$P$1:$X$1,$P145:$X145)</f>
        <v>Recommended</v>
      </c>
      <c r="G145" s="154" t="s">
        <v>13086</v>
      </c>
      <c r="H145" s="154" t="s">
        <v>9003</v>
      </c>
      <c r="I145" s="154" t="s">
        <v>13078</v>
      </c>
      <c r="J145" s="154" t="s">
        <v>6529</v>
      </c>
      <c r="K145" s="154"/>
      <c r="L145" s="154" t="s">
        <v>759</v>
      </c>
      <c r="M145" s="247" t="s">
        <v>506</v>
      </c>
      <c r="N145" s="247" t="s">
        <v>12738</v>
      </c>
      <c r="O145" s="240" t="str">
        <f t="shared" si="1"/>
        <v/>
      </c>
      <c r="P145" s="154" t="s">
        <v>66</v>
      </c>
      <c r="Q145" s="154" t="s">
        <v>66</v>
      </c>
      <c r="R145" s="154" t="s">
        <v>64</v>
      </c>
      <c r="S145" s="154" t="s">
        <v>64</v>
      </c>
      <c r="T145" s="154" t="s">
        <v>64</v>
      </c>
      <c r="U145" s="154" t="s">
        <v>64</v>
      </c>
      <c r="V145" s="154" t="s">
        <v>66</v>
      </c>
      <c r="W145" s="154" t="s">
        <v>64</v>
      </c>
      <c r="X145" s="154" t="s">
        <v>64</v>
      </c>
      <c r="Y145" s="154"/>
      <c r="Z145" s="242" t="b">
        <f t="shared" si="2"/>
        <v>1</v>
      </c>
      <c r="AA145" s="154" t="s">
        <v>391</v>
      </c>
      <c r="AB145" s="242" t="b">
        <f t="shared" si="3"/>
        <v>0</v>
      </c>
      <c r="AC145" s="154"/>
      <c r="AD145" s="242" t="b">
        <f t="shared" si="4"/>
        <v>0</v>
      </c>
      <c r="AE145" s="154" t="s">
        <v>1598</v>
      </c>
      <c r="AF145" s="243" t="str">
        <f>IF(AE145="","N/A",INDIRECT("MTR!"&amp;ADDRESS(MATCH(LEFT(AE145,9),MTR!C:C,0),COLUMN(J145)),TRUE) &amp; "")</f>
        <v>Partially Complies</v>
      </c>
      <c r="AG145" s="157" t="str">
        <f t="shared" si="5"/>
        <v/>
      </c>
      <c r="AH145" s="152"/>
      <c r="AI145" s="152"/>
      <c r="AJ145" s="152"/>
      <c r="AK145" s="152"/>
      <c r="AL145" s="152"/>
      <c r="AM145" s="152"/>
      <c r="AN145" s="152"/>
      <c r="AO145" s="152"/>
      <c r="AP145" s="152"/>
      <c r="AQ145" s="152"/>
      <c r="AR145" s="152"/>
    </row>
    <row r="146" ht="12.75" customHeight="1">
      <c r="A146" s="244" t="s">
        <v>5158</v>
      </c>
      <c r="B146" s="244" t="s">
        <v>12721</v>
      </c>
      <c r="C146" s="244" t="s">
        <v>13087</v>
      </c>
      <c r="D146" s="154" t="s">
        <v>1773</v>
      </c>
      <c r="E146" s="154"/>
      <c r="F146" s="154" t="str">
        <f t="array" ref="F146">XLOOKUP(Cover!$D$12,$P$1:$X$1,$P146:$X146)</f>
        <v>Information</v>
      </c>
      <c r="G146" s="154" t="s">
        <v>13088</v>
      </c>
      <c r="H146" s="154" t="s">
        <v>13078</v>
      </c>
      <c r="I146" s="154" t="s">
        <v>13078</v>
      </c>
      <c r="J146" s="154" t="s">
        <v>6428</v>
      </c>
      <c r="K146" s="154"/>
      <c r="L146" s="154" t="s">
        <v>759</v>
      </c>
      <c r="M146" s="247" t="s">
        <v>516</v>
      </c>
      <c r="N146" s="247" t="s">
        <v>12741</v>
      </c>
      <c r="O146" s="240" t="str">
        <f t="shared" si="1"/>
        <v/>
      </c>
      <c r="P146" s="154" t="s">
        <v>66</v>
      </c>
      <c r="Q146" s="154" t="s">
        <v>66</v>
      </c>
      <c r="R146" s="154" t="s">
        <v>66</v>
      </c>
      <c r="S146" s="154" t="s">
        <v>66</v>
      </c>
      <c r="T146" s="154" t="s">
        <v>66</v>
      </c>
      <c r="U146" s="154" t="s">
        <v>66</v>
      </c>
      <c r="V146" s="154" t="s">
        <v>66</v>
      </c>
      <c r="W146" s="154" t="s">
        <v>66</v>
      </c>
      <c r="X146" s="154" t="s">
        <v>66</v>
      </c>
      <c r="Y146" s="154"/>
      <c r="Z146" s="242" t="b">
        <f t="shared" si="2"/>
        <v>1</v>
      </c>
      <c r="AA146" s="154" t="s">
        <v>391</v>
      </c>
      <c r="AB146" s="242" t="b">
        <f t="shared" si="3"/>
        <v>0</v>
      </c>
      <c r="AC146" s="154"/>
      <c r="AD146" s="242" t="b">
        <f t="shared" si="4"/>
        <v>0</v>
      </c>
      <c r="AE146" s="154" t="s">
        <v>1598</v>
      </c>
      <c r="AF146" s="243" t="str">
        <f>IF(AE146="","N/A",INDIRECT("MTR!"&amp;ADDRESS(MATCH(LEFT(AE146,9),MTR!C:C,0),COLUMN(J146)),TRUE) &amp; "")</f>
        <v>Partially Complies</v>
      </c>
      <c r="AG146" s="157" t="str">
        <f t="shared" si="5"/>
        <v/>
      </c>
      <c r="AH146" s="152"/>
      <c r="AI146" s="152"/>
      <c r="AJ146" s="152"/>
      <c r="AK146" s="152"/>
      <c r="AL146" s="152"/>
      <c r="AM146" s="152"/>
      <c r="AN146" s="152"/>
      <c r="AO146" s="152"/>
      <c r="AP146" s="152"/>
      <c r="AQ146" s="152"/>
      <c r="AR146" s="152"/>
    </row>
    <row r="147" ht="12.75" customHeight="1">
      <c r="A147" s="244" t="s">
        <v>5158</v>
      </c>
      <c r="B147" s="244" t="s">
        <v>12721</v>
      </c>
      <c r="C147" s="244" t="s">
        <v>13089</v>
      </c>
      <c r="D147" s="154" t="s">
        <v>45</v>
      </c>
      <c r="E147" s="154"/>
      <c r="F147" s="154" t="str">
        <f t="array" ref="F147">XLOOKUP(Cover!$D$12,$P$1:$X$1,$P147:$X147)</f>
        <v>Mandatory</v>
      </c>
      <c r="G147" s="154" t="s">
        <v>13090</v>
      </c>
      <c r="H147" s="154" t="s">
        <v>9003</v>
      </c>
      <c r="I147" s="154" t="s">
        <v>13078</v>
      </c>
      <c r="J147" s="154" t="s">
        <v>10718</v>
      </c>
      <c r="K147" s="154" t="s">
        <v>1012</v>
      </c>
      <c r="L147" s="154" t="s">
        <v>759</v>
      </c>
      <c r="M147" s="247" t="s">
        <v>516</v>
      </c>
      <c r="N147" s="247" t="s">
        <v>12892</v>
      </c>
      <c r="O147" s="240" t="str">
        <f t="shared" si="1"/>
        <v/>
      </c>
      <c r="P147" s="154" t="s">
        <v>66</v>
      </c>
      <c r="Q147" s="154" t="s">
        <v>66</v>
      </c>
      <c r="R147" s="154" t="s">
        <v>60</v>
      </c>
      <c r="S147" s="154" t="s">
        <v>60</v>
      </c>
      <c r="T147" s="154" t="s">
        <v>60</v>
      </c>
      <c r="U147" s="154" t="s">
        <v>60</v>
      </c>
      <c r="V147" s="154" t="s">
        <v>66</v>
      </c>
      <c r="W147" s="154" t="s">
        <v>60</v>
      </c>
      <c r="X147" s="154" t="s">
        <v>60</v>
      </c>
      <c r="Y147" s="154"/>
      <c r="Z147" s="242" t="b">
        <f t="shared" si="2"/>
        <v>1</v>
      </c>
      <c r="AA147" s="154" t="s">
        <v>391</v>
      </c>
      <c r="AB147" s="242" t="b">
        <f t="shared" si="3"/>
        <v>0</v>
      </c>
      <c r="AC147" s="154"/>
      <c r="AD147" s="242" t="b">
        <f t="shared" si="4"/>
        <v>0</v>
      </c>
      <c r="AE147" s="154" t="s">
        <v>1598</v>
      </c>
      <c r="AF147" s="243" t="str">
        <f>IF(AE147="","N/A",INDIRECT("MTR!"&amp;ADDRESS(MATCH(LEFT(AE147,9),MTR!C:C,0),COLUMN(J147)),TRUE) &amp; "")</f>
        <v>Partially Complies</v>
      </c>
      <c r="AG147" s="157" t="str">
        <f t="shared" si="5"/>
        <v/>
      </c>
      <c r="AH147" s="152"/>
      <c r="AI147" s="152"/>
      <c r="AJ147" s="152"/>
      <c r="AK147" s="152"/>
      <c r="AL147" s="152"/>
      <c r="AM147" s="152"/>
      <c r="AN147" s="152"/>
      <c r="AO147" s="152"/>
      <c r="AP147" s="152"/>
      <c r="AQ147" s="152"/>
      <c r="AR147" s="152"/>
    </row>
    <row r="148" ht="12.75" customHeight="1">
      <c r="A148" s="244" t="s">
        <v>5158</v>
      </c>
      <c r="B148" s="244" t="s">
        <v>12721</v>
      </c>
      <c r="C148" s="244" t="s">
        <v>13091</v>
      </c>
      <c r="D148" s="154" t="s">
        <v>45</v>
      </c>
      <c r="E148" s="154"/>
      <c r="F148" s="154" t="str">
        <f t="array" ref="F148">XLOOKUP(Cover!$D$12,$P$1:$X$1,$P148:$X148)</f>
        <v>Information</v>
      </c>
      <c r="G148" s="154" t="s">
        <v>13092</v>
      </c>
      <c r="H148" s="154" t="s">
        <v>13078</v>
      </c>
      <c r="I148" s="154" t="s">
        <v>13078</v>
      </c>
      <c r="J148" s="154" t="s">
        <v>10718</v>
      </c>
      <c r="K148" s="154"/>
      <c r="L148" s="154" t="s">
        <v>759</v>
      </c>
      <c r="M148" s="247" t="s">
        <v>516</v>
      </c>
      <c r="N148" s="247" t="s">
        <v>12895</v>
      </c>
      <c r="O148" s="240" t="str">
        <f t="shared" si="1"/>
        <v/>
      </c>
      <c r="P148" s="154" t="s">
        <v>66</v>
      </c>
      <c r="Q148" s="154" t="s">
        <v>66</v>
      </c>
      <c r="R148" s="154" t="s">
        <v>66</v>
      </c>
      <c r="S148" s="154" t="s">
        <v>66</v>
      </c>
      <c r="T148" s="154" t="s">
        <v>66</v>
      </c>
      <c r="U148" s="154" t="s">
        <v>66</v>
      </c>
      <c r="V148" s="154" t="s">
        <v>66</v>
      </c>
      <c r="W148" s="154" t="s">
        <v>66</v>
      </c>
      <c r="X148" s="154" t="s">
        <v>66</v>
      </c>
      <c r="Y148" s="154"/>
      <c r="Z148" s="242" t="b">
        <f t="shared" si="2"/>
        <v>1</v>
      </c>
      <c r="AA148" s="154" t="s">
        <v>391</v>
      </c>
      <c r="AB148" s="242" t="b">
        <f t="shared" si="3"/>
        <v>0</v>
      </c>
      <c r="AC148" s="154"/>
      <c r="AD148" s="242" t="b">
        <f t="shared" si="4"/>
        <v>0</v>
      </c>
      <c r="AE148" s="154" t="s">
        <v>1598</v>
      </c>
      <c r="AF148" s="243" t="str">
        <f>IF(AE148="","N/A",INDIRECT("MTR!"&amp;ADDRESS(MATCH(LEFT(AE148,9),MTR!C:C,0),COLUMN(J148)),TRUE) &amp; "")</f>
        <v>Partially Complies</v>
      </c>
      <c r="AG148" s="157" t="str">
        <f t="shared" si="5"/>
        <v/>
      </c>
      <c r="AH148" s="152"/>
      <c r="AI148" s="152"/>
      <c r="AJ148" s="152"/>
      <c r="AK148" s="152"/>
      <c r="AL148" s="152"/>
      <c r="AM148" s="152"/>
      <c r="AN148" s="152"/>
      <c r="AO148" s="152"/>
      <c r="AP148" s="152"/>
      <c r="AQ148" s="152"/>
      <c r="AR148" s="152"/>
    </row>
    <row r="149" ht="12.75" customHeight="1">
      <c r="A149" s="244" t="s">
        <v>5158</v>
      </c>
      <c r="B149" s="244" t="s">
        <v>12721</v>
      </c>
      <c r="C149" s="244" t="s">
        <v>13093</v>
      </c>
      <c r="D149" s="154" t="s">
        <v>1315</v>
      </c>
      <c r="E149" s="154"/>
      <c r="F149" s="154" t="str">
        <f t="array" ref="F149">XLOOKUP(Cover!$D$12,$P$1:$X$1,$P149:$X149)</f>
        <v>Information</v>
      </c>
      <c r="G149" s="154" t="s">
        <v>13094</v>
      </c>
      <c r="H149" s="154" t="s">
        <v>13095</v>
      </c>
      <c r="I149" s="154" t="s">
        <v>13096</v>
      </c>
      <c r="J149" s="154" t="s">
        <v>6529</v>
      </c>
      <c r="K149" s="154"/>
      <c r="L149" s="154" t="s">
        <v>759</v>
      </c>
      <c r="M149" s="247" t="s">
        <v>516</v>
      </c>
      <c r="N149" s="247" t="s">
        <v>12731</v>
      </c>
      <c r="O149" s="240" t="str">
        <f t="shared" si="1"/>
        <v/>
      </c>
      <c r="P149" s="154" t="s">
        <v>66</v>
      </c>
      <c r="Q149" s="154" t="s">
        <v>66</v>
      </c>
      <c r="R149" s="154" t="s">
        <v>66</v>
      </c>
      <c r="S149" s="154" t="s">
        <v>66</v>
      </c>
      <c r="T149" s="154" t="s">
        <v>66</v>
      </c>
      <c r="U149" s="154" t="s">
        <v>66</v>
      </c>
      <c r="V149" s="154" t="s">
        <v>66</v>
      </c>
      <c r="W149" s="154" t="s">
        <v>66</v>
      </c>
      <c r="X149" s="154" t="s">
        <v>66</v>
      </c>
      <c r="Y149" s="154"/>
      <c r="Z149" s="242" t="b">
        <f t="shared" si="2"/>
        <v>1</v>
      </c>
      <c r="AA149" s="154" t="s">
        <v>391</v>
      </c>
      <c r="AB149" s="242" t="b">
        <f t="shared" si="3"/>
        <v>0</v>
      </c>
      <c r="AC149" s="154"/>
      <c r="AD149" s="242" t="b">
        <f t="shared" si="4"/>
        <v>0</v>
      </c>
      <c r="AE149" s="154" t="s">
        <v>1598</v>
      </c>
      <c r="AF149" s="243" t="str">
        <f>IF(AE149="","N/A",INDIRECT("MTR!"&amp;ADDRESS(MATCH(LEFT(AE149,9),MTR!C:C,0),COLUMN(J149)),TRUE) &amp; "")</f>
        <v>Partially Complies</v>
      </c>
      <c r="AG149" s="157" t="str">
        <f t="shared" si="5"/>
        <v/>
      </c>
      <c r="AH149" s="152"/>
      <c r="AI149" s="152"/>
      <c r="AJ149" s="152"/>
      <c r="AK149" s="152"/>
      <c r="AL149" s="152"/>
      <c r="AM149" s="152"/>
      <c r="AN149" s="152"/>
      <c r="AO149" s="152"/>
      <c r="AP149" s="152"/>
      <c r="AQ149" s="152"/>
      <c r="AR149" s="152"/>
    </row>
    <row r="150" ht="12.75" customHeight="1">
      <c r="A150" s="244" t="s">
        <v>5158</v>
      </c>
      <c r="B150" s="244" t="s">
        <v>12721</v>
      </c>
      <c r="C150" s="244" t="s">
        <v>13097</v>
      </c>
      <c r="D150" s="154" t="s">
        <v>1315</v>
      </c>
      <c r="E150" s="154"/>
      <c r="F150" s="154" t="str">
        <f t="array" ref="F150">XLOOKUP(Cover!$D$12,$P$1:$X$1,$P150:$X150)</f>
        <v>Information</v>
      </c>
      <c r="G150" s="154" t="s">
        <v>13098</v>
      </c>
      <c r="H150" s="154" t="s">
        <v>13096</v>
      </c>
      <c r="I150" s="154" t="s">
        <v>13096</v>
      </c>
      <c r="J150" s="154" t="s">
        <v>6529</v>
      </c>
      <c r="K150" s="154"/>
      <c r="L150" s="154" t="s">
        <v>759</v>
      </c>
      <c r="M150" s="247" t="s">
        <v>516</v>
      </c>
      <c r="N150" s="247" t="s">
        <v>12731</v>
      </c>
      <c r="O150" s="240" t="str">
        <f t="shared" si="1"/>
        <v/>
      </c>
      <c r="P150" s="154" t="s">
        <v>66</v>
      </c>
      <c r="Q150" s="154" t="s">
        <v>66</v>
      </c>
      <c r="R150" s="154" t="s">
        <v>66</v>
      </c>
      <c r="S150" s="154" t="s">
        <v>66</v>
      </c>
      <c r="T150" s="154" t="s">
        <v>66</v>
      </c>
      <c r="U150" s="154" t="s">
        <v>66</v>
      </c>
      <c r="V150" s="154" t="s">
        <v>66</v>
      </c>
      <c r="W150" s="154" t="s">
        <v>66</v>
      </c>
      <c r="X150" s="154" t="s">
        <v>66</v>
      </c>
      <c r="Y150" s="154"/>
      <c r="Z150" s="242" t="b">
        <f t="shared" si="2"/>
        <v>1</v>
      </c>
      <c r="AA150" s="154" t="s">
        <v>391</v>
      </c>
      <c r="AB150" s="242" t="b">
        <f t="shared" si="3"/>
        <v>0</v>
      </c>
      <c r="AC150" s="154"/>
      <c r="AD150" s="242" t="b">
        <f t="shared" si="4"/>
        <v>0</v>
      </c>
      <c r="AE150" s="154" t="s">
        <v>1598</v>
      </c>
      <c r="AF150" s="243" t="str">
        <f>IF(AE150="","N/A",INDIRECT("MTR!"&amp;ADDRESS(MATCH(LEFT(AE150,9),MTR!C:C,0),COLUMN(J150)),TRUE) &amp; "")</f>
        <v>Partially Complies</v>
      </c>
      <c r="AG150" s="157" t="str">
        <f t="shared" si="5"/>
        <v/>
      </c>
      <c r="AH150" s="152"/>
      <c r="AI150" s="152"/>
      <c r="AJ150" s="152"/>
      <c r="AK150" s="152"/>
      <c r="AL150" s="152"/>
      <c r="AM150" s="152"/>
      <c r="AN150" s="152"/>
      <c r="AO150" s="152"/>
      <c r="AP150" s="152"/>
      <c r="AQ150" s="152"/>
      <c r="AR150" s="152"/>
    </row>
    <row r="151" ht="12.75" customHeight="1">
      <c r="A151" s="244" t="s">
        <v>5158</v>
      </c>
      <c r="B151" s="244" t="s">
        <v>12721</v>
      </c>
      <c r="C151" s="244" t="s">
        <v>13099</v>
      </c>
      <c r="D151" s="154" t="s">
        <v>45</v>
      </c>
      <c r="E151" s="154"/>
      <c r="F151" s="154" t="str">
        <f t="array" ref="F151">XLOOKUP(Cover!$D$12,$P$1:$X$1,$P151:$X151)</f>
        <v>Information</v>
      </c>
      <c r="G151" s="154" t="s">
        <v>13100</v>
      </c>
      <c r="H151" s="154" t="s">
        <v>13095</v>
      </c>
      <c r="I151" s="154" t="s">
        <v>13096</v>
      </c>
      <c r="J151" s="154" t="s">
        <v>10718</v>
      </c>
      <c r="K151" s="154"/>
      <c r="L151" s="154" t="s">
        <v>759</v>
      </c>
      <c r="M151" s="247" t="s">
        <v>516</v>
      </c>
      <c r="N151" s="247" t="s">
        <v>12731</v>
      </c>
      <c r="O151" s="240" t="str">
        <f t="shared" si="1"/>
        <v/>
      </c>
      <c r="P151" s="154" t="s">
        <v>66</v>
      </c>
      <c r="Q151" s="154" t="s">
        <v>66</v>
      </c>
      <c r="R151" s="154" t="s">
        <v>66</v>
      </c>
      <c r="S151" s="154" t="s">
        <v>66</v>
      </c>
      <c r="T151" s="154" t="s">
        <v>66</v>
      </c>
      <c r="U151" s="154" t="s">
        <v>66</v>
      </c>
      <c r="V151" s="154" t="s">
        <v>66</v>
      </c>
      <c r="W151" s="154" t="s">
        <v>66</v>
      </c>
      <c r="X151" s="154" t="s">
        <v>66</v>
      </c>
      <c r="Y151" s="154"/>
      <c r="Z151" s="242" t="b">
        <f t="shared" si="2"/>
        <v>1</v>
      </c>
      <c r="AA151" s="154" t="s">
        <v>391</v>
      </c>
      <c r="AB151" s="242" t="b">
        <f t="shared" si="3"/>
        <v>0</v>
      </c>
      <c r="AC151" s="154"/>
      <c r="AD151" s="242" t="b">
        <f t="shared" si="4"/>
        <v>0</v>
      </c>
      <c r="AE151" s="154" t="s">
        <v>1598</v>
      </c>
      <c r="AF151" s="243" t="str">
        <f>IF(AE151="","N/A",INDIRECT("MTR!"&amp;ADDRESS(MATCH(LEFT(AE151,9),MTR!C:C,0),COLUMN(J151)),TRUE) &amp; "")</f>
        <v>Partially Complies</v>
      </c>
      <c r="AG151" s="157" t="str">
        <f t="shared" si="5"/>
        <v/>
      </c>
      <c r="AH151" s="152"/>
      <c r="AI151" s="152"/>
      <c r="AJ151" s="152"/>
      <c r="AK151" s="152"/>
      <c r="AL151" s="152"/>
      <c r="AM151" s="152"/>
      <c r="AN151" s="152"/>
      <c r="AO151" s="152"/>
      <c r="AP151" s="152"/>
      <c r="AQ151" s="152"/>
      <c r="AR151" s="152"/>
    </row>
    <row r="152" ht="12.75" customHeight="1">
      <c r="A152" s="244" t="s">
        <v>5158</v>
      </c>
      <c r="B152" s="244" t="s">
        <v>12721</v>
      </c>
      <c r="C152" s="244" t="s">
        <v>13101</v>
      </c>
      <c r="D152" s="154" t="s">
        <v>45</v>
      </c>
      <c r="E152" s="154"/>
      <c r="F152" s="154" t="str">
        <f t="array" ref="F152">XLOOKUP(Cover!$D$12,$P$1:$X$1,$P152:$X152)</f>
        <v>Information</v>
      </c>
      <c r="G152" s="154" t="s">
        <v>13102</v>
      </c>
      <c r="H152" s="154" t="s">
        <v>13096</v>
      </c>
      <c r="I152" s="154" t="s">
        <v>13096</v>
      </c>
      <c r="J152" s="154" t="s">
        <v>10718</v>
      </c>
      <c r="K152" s="154"/>
      <c r="L152" s="154" t="s">
        <v>759</v>
      </c>
      <c r="M152" s="247" t="s">
        <v>516</v>
      </c>
      <c r="N152" s="247" t="s">
        <v>12731</v>
      </c>
      <c r="O152" s="240" t="str">
        <f t="shared" si="1"/>
        <v/>
      </c>
      <c r="P152" s="154" t="s">
        <v>66</v>
      </c>
      <c r="Q152" s="154" t="s">
        <v>66</v>
      </c>
      <c r="R152" s="154" t="s">
        <v>66</v>
      </c>
      <c r="S152" s="154" t="s">
        <v>66</v>
      </c>
      <c r="T152" s="154" t="s">
        <v>66</v>
      </c>
      <c r="U152" s="154" t="s">
        <v>66</v>
      </c>
      <c r="V152" s="154" t="s">
        <v>66</v>
      </c>
      <c r="W152" s="154" t="s">
        <v>66</v>
      </c>
      <c r="X152" s="154" t="s">
        <v>66</v>
      </c>
      <c r="Y152" s="154"/>
      <c r="Z152" s="242" t="b">
        <f t="shared" si="2"/>
        <v>1</v>
      </c>
      <c r="AA152" s="154" t="s">
        <v>391</v>
      </c>
      <c r="AB152" s="242" t="b">
        <f t="shared" si="3"/>
        <v>0</v>
      </c>
      <c r="AC152" s="154"/>
      <c r="AD152" s="242" t="b">
        <f t="shared" si="4"/>
        <v>0</v>
      </c>
      <c r="AE152" s="154" t="s">
        <v>1598</v>
      </c>
      <c r="AF152" s="243" t="str">
        <f>IF(AE152="","N/A",INDIRECT("MTR!"&amp;ADDRESS(MATCH(LEFT(AE152,9),MTR!C:C,0),COLUMN(J152)),TRUE) &amp; "")</f>
        <v>Partially Complies</v>
      </c>
      <c r="AG152" s="157" t="str">
        <f t="shared" si="5"/>
        <v/>
      </c>
      <c r="AH152" s="152"/>
      <c r="AI152" s="152"/>
      <c r="AJ152" s="152"/>
      <c r="AK152" s="152"/>
      <c r="AL152" s="152"/>
      <c r="AM152" s="152"/>
      <c r="AN152" s="152"/>
      <c r="AO152" s="152"/>
      <c r="AP152" s="152"/>
      <c r="AQ152" s="152"/>
      <c r="AR152" s="152"/>
    </row>
    <row r="153" ht="12.75" customHeight="1">
      <c r="A153" s="244" t="s">
        <v>5158</v>
      </c>
      <c r="B153" s="244" t="s">
        <v>12721</v>
      </c>
      <c r="C153" s="244" t="s">
        <v>13103</v>
      </c>
      <c r="D153" s="154" t="s">
        <v>503</v>
      </c>
      <c r="E153" s="154"/>
      <c r="F153" s="154" t="str">
        <f t="array" ref="F153">XLOOKUP(Cover!$D$12,$P$1:$X$1,$P153:$X153)</f>
        <v>Information</v>
      </c>
      <c r="G153" s="154" t="s">
        <v>13104</v>
      </c>
      <c r="H153" s="154" t="s">
        <v>13105</v>
      </c>
      <c r="I153" s="154" t="s">
        <v>13106</v>
      </c>
      <c r="J153" s="154" t="s">
        <v>6463</v>
      </c>
      <c r="K153" s="154"/>
      <c r="L153" s="154" t="s">
        <v>759</v>
      </c>
      <c r="M153" s="247" t="s">
        <v>516</v>
      </c>
      <c r="N153" s="247" t="s">
        <v>12731</v>
      </c>
      <c r="O153" s="240" t="str">
        <f t="shared" si="1"/>
        <v/>
      </c>
      <c r="P153" s="154" t="s">
        <v>66</v>
      </c>
      <c r="Q153" s="154" t="s">
        <v>66</v>
      </c>
      <c r="R153" s="154" t="s">
        <v>66</v>
      </c>
      <c r="S153" s="154" t="s">
        <v>66</v>
      </c>
      <c r="T153" s="154" t="s">
        <v>66</v>
      </c>
      <c r="U153" s="154" t="s">
        <v>66</v>
      </c>
      <c r="V153" s="154" t="s">
        <v>66</v>
      </c>
      <c r="W153" s="154" t="s">
        <v>66</v>
      </c>
      <c r="X153" s="154" t="s">
        <v>66</v>
      </c>
      <c r="Y153" s="154"/>
      <c r="Z153" s="242" t="b">
        <f t="shared" si="2"/>
        <v>1</v>
      </c>
      <c r="AA153" s="154" t="s">
        <v>391</v>
      </c>
      <c r="AB153" s="242" t="b">
        <f t="shared" si="3"/>
        <v>0</v>
      </c>
      <c r="AC153" s="154"/>
      <c r="AD153" s="242" t="b">
        <f t="shared" si="4"/>
        <v>0</v>
      </c>
      <c r="AE153" s="154" t="s">
        <v>1598</v>
      </c>
      <c r="AF153" s="243" t="str">
        <f>IF(AE153="","N/A",INDIRECT("MTR!"&amp;ADDRESS(MATCH(LEFT(AE153,9),MTR!C:C,0),COLUMN(J153)),TRUE) &amp; "")</f>
        <v>Partially Complies</v>
      </c>
      <c r="AG153" s="157" t="str">
        <f t="shared" si="5"/>
        <v/>
      </c>
      <c r="AH153" s="152"/>
      <c r="AI153" s="152"/>
      <c r="AJ153" s="152"/>
      <c r="AK153" s="152"/>
      <c r="AL153" s="152"/>
      <c r="AM153" s="152"/>
      <c r="AN153" s="152"/>
      <c r="AO153" s="152"/>
      <c r="AP153" s="152"/>
      <c r="AQ153" s="152"/>
      <c r="AR153" s="152"/>
    </row>
    <row r="154" ht="12.75" customHeight="1">
      <c r="A154" s="238" t="s">
        <v>5158</v>
      </c>
      <c r="B154" s="238" t="s">
        <v>12721</v>
      </c>
      <c r="C154" s="238" t="s">
        <v>13107</v>
      </c>
      <c r="D154" s="240"/>
      <c r="E154" s="240" t="s">
        <v>92</v>
      </c>
      <c r="F154" s="240" t="str">
        <f t="array" ref="F154">XLOOKUP(Cover!$D$12,$P$1:$X$1,$P154:$X154)</f>
        <v>Heading</v>
      </c>
      <c r="G154" s="239" t="s">
        <v>13108</v>
      </c>
      <c r="H154" s="240"/>
      <c r="I154" s="240"/>
      <c r="J154" s="240"/>
      <c r="K154" s="240"/>
      <c r="L154" s="240" t="s">
        <v>759</v>
      </c>
      <c r="M154" s="240"/>
      <c r="N154" s="240"/>
      <c r="O154" s="240" t="str">
        <f t="shared" si="1"/>
        <v/>
      </c>
      <c r="P154" s="240" t="s">
        <v>390</v>
      </c>
      <c r="Q154" s="240" t="s">
        <v>390</v>
      </c>
      <c r="R154" s="240" t="s">
        <v>390</v>
      </c>
      <c r="S154" s="240" t="s">
        <v>390</v>
      </c>
      <c r="T154" s="240" t="s">
        <v>390</v>
      </c>
      <c r="U154" s="240" t="s">
        <v>390</v>
      </c>
      <c r="V154" s="240" t="s">
        <v>390</v>
      </c>
      <c r="W154" s="240" t="s">
        <v>390</v>
      </c>
      <c r="X154" s="240" t="s">
        <v>390</v>
      </c>
      <c r="Y154" s="240"/>
      <c r="Z154" s="242" t="b">
        <f t="shared" si="2"/>
        <v>0</v>
      </c>
      <c r="AA154" s="240" t="s">
        <v>391</v>
      </c>
      <c r="AB154" s="242" t="b">
        <f t="shared" si="3"/>
        <v>0</v>
      </c>
      <c r="AC154" s="240"/>
      <c r="AD154" s="242" t="b">
        <f t="shared" si="4"/>
        <v>0</v>
      </c>
      <c r="AE154" s="240"/>
      <c r="AF154" s="243" t="str">
        <f>IF(AE154="","N/A",INDIRECT("MTR!"&amp;ADDRESS(MATCH(LEFT(AE154,9),MTR!C:C,0),COLUMN(J154)),TRUE) &amp; "")</f>
        <v>N/A</v>
      </c>
      <c r="AG154" s="157" t="str">
        <f t="shared" si="5"/>
        <v/>
      </c>
      <c r="AH154" s="152"/>
      <c r="AI154" s="152"/>
      <c r="AJ154" s="152"/>
      <c r="AK154" s="152"/>
      <c r="AL154" s="152"/>
      <c r="AM154" s="152"/>
      <c r="AN154" s="152"/>
      <c r="AO154" s="152"/>
      <c r="AP154" s="152"/>
      <c r="AQ154" s="152"/>
      <c r="AR154" s="152"/>
    </row>
    <row r="155" ht="12.75" customHeight="1">
      <c r="A155" s="244" t="s">
        <v>5158</v>
      </c>
      <c r="B155" s="244" t="s">
        <v>12721</v>
      </c>
      <c r="C155" s="244" t="s">
        <v>13109</v>
      </c>
      <c r="D155" s="154" t="s">
        <v>45</v>
      </c>
      <c r="E155" s="154"/>
      <c r="F155" s="154" t="str">
        <f t="array" ref="F155">XLOOKUP(Cover!$D$12,$P$1:$X$1,$P155:$X155)</f>
        <v>Information</v>
      </c>
      <c r="G155" s="154" t="s">
        <v>13110</v>
      </c>
      <c r="H155" s="154" t="s">
        <v>12736</v>
      </c>
      <c r="I155" s="154" t="s">
        <v>13111</v>
      </c>
      <c r="J155" s="154" t="s">
        <v>6126</v>
      </c>
      <c r="K155" s="154"/>
      <c r="L155" s="154" t="s">
        <v>759</v>
      </c>
      <c r="M155" s="247" t="s">
        <v>516</v>
      </c>
      <c r="N155" s="247" t="s">
        <v>12731</v>
      </c>
      <c r="O155" s="240" t="str">
        <f t="shared" si="1"/>
        <v/>
      </c>
      <c r="P155" s="154" t="s">
        <v>66</v>
      </c>
      <c r="Q155" s="154" t="s">
        <v>66</v>
      </c>
      <c r="R155" s="154" t="s">
        <v>66</v>
      </c>
      <c r="S155" s="154" t="s">
        <v>66</v>
      </c>
      <c r="T155" s="154" t="s">
        <v>66</v>
      </c>
      <c r="U155" s="154" t="s">
        <v>66</v>
      </c>
      <c r="V155" s="154" t="s">
        <v>66</v>
      </c>
      <c r="W155" s="154" t="s">
        <v>66</v>
      </c>
      <c r="X155" s="154" t="s">
        <v>66</v>
      </c>
      <c r="Y155" s="154"/>
      <c r="Z155" s="242" t="b">
        <f t="shared" si="2"/>
        <v>1</v>
      </c>
      <c r="AA155" s="154" t="s">
        <v>391</v>
      </c>
      <c r="AB155" s="242" t="b">
        <f t="shared" si="3"/>
        <v>0</v>
      </c>
      <c r="AC155" s="154"/>
      <c r="AD155" s="242" t="b">
        <f t="shared" si="4"/>
        <v>0</v>
      </c>
      <c r="AE155" s="154" t="s">
        <v>1610</v>
      </c>
      <c r="AF155" s="243" t="str">
        <f>IF(AE155="","N/A",INDIRECT("MTR!"&amp;ADDRESS(MATCH(LEFT(AE155,9),MTR!C:C,0),COLUMN(J155)),TRUE) &amp; "")</f>
        <v>Partially Complies</v>
      </c>
      <c r="AG155" s="157" t="str">
        <f t="shared" si="5"/>
        <v/>
      </c>
      <c r="AH155" s="152"/>
      <c r="AI155" s="152"/>
      <c r="AJ155" s="152"/>
      <c r="AK155" s="152"/>
      <c r="AL155" s="152"/>
      <c r="AM155" s="152"/>
      <c r="AN155" s="152"/>
      <c r="AO155" s="152"/>
      <c r="AP155" s="152"/>
      <c r="AQ155" s="152"/>
      <c r="AR155" s="152"/>
    </row>
    <row r="156" ht="12.75" customHeight="1">
      <c r="A156" s="244" t="s">
        <v>5158</v>
      </c>
      <c r="B156" s="244" t="s">
        <v>12721</v>
      </c>
      <c r="C156" s="244" t="s">
        <v>13112</v>
      </c>
      <c r="D156" s="154" t="s">
        <v>45</v>
      </c>
      <c r="E156" s="154"/>
      <c r="F156" s="154" t="str">
        <f t="array" ref="F156">XLOOKUP(Cover!$D$12,$P$1:$X$1,$P156:$X156)</f>
        <v>Information</v>
      </c>
      <c r="G156" s="154" t="s">
        <v>13113</v>
      </c>
      <c r="H156" s="154" t="s">
        <v>12758</v>
      </c>
      <c r="I156" s="154" t="s">
        <v>13114</v>
      </c>
      <c r="J156" s="154" t="s">
        <v>6126</v>
      </c>
      <c r="K156" s="154"/>
      <c r="L156" s="154" t="s">
        <v>759</v>
      </c>
      <c r="M156" s="247" t="s">
        <v>516</v>
      </c>
      <c r="N156" s="247" t="s">
        <v>12731</v>
      </c>
      <c r="O156" s="240" t="str">
        <f t="shared" si="1"/>
        <v/>
      </c>
      <c r="P156" s="154" t="s">
        <v>66</v>
      </c>
      <c r="Q156" s="154" t="s">
        <v>66</v>
      </c>
      <c r="R156" s="154" t="s">
        <v>66</v>
      </c>
      <c r="S156" s="154" t="s">
        <v>66</v>
      </c>
      <c r="T156" s="154" t="s">
        <v>66</v>
      </c>
      <c r="U156" s="154" t="s">
        <v>66</v>
      </c>
      <c r="V156" s="154" t="s">
        <v>66</v>
      </c>
      <c r="W156" s="154" t="s">
        <v>66</v>
      </c>
      <c r="X156" s="154" t="s">
        <v>66</v>
      </c>
      <c r="Y156" s="154"/>
      <c r="Z156" s="242" t="b">
        <f t="shared" si="2"/>
        <v>1</v>
      </c>
      <c r="AA156" s="154" t="s">
        <v>391</v>
      </c>
      <c r="AB156" s="242" t="b">
        <f t="shared" si="3"/>
        <v>0</v>
      </c>
      <c r="AC156" s="154"/>
      <c r="AD156" s="242" t="b">
        <f t="shared" si="4"/>
        <v>0</v>
      </c>
      <c r="AE156" s="154" t="s">
        <v>1610</v>
      </c>
      <c r="AF156" s="243" t="str">
        <f>IF(AE156="","N/A",INDIRECT("MTR!"&amp;ADDRESS(MATCH(LEFT(AE156,9),MTR!C:C,0),COLUMN(J156)),TRUE) &amp; "")</f>
        <v>Partially Complies</v>
      </c>
      <c r="AG156" s="157" t="str">
        <f t="shared" si="5"/>
        <v/>
      </c>
      <c r="AH156" s="152"/>
      <c r="AI156" s="152"/>
      <c r="AJ156" s="152"/>
      <c r="AK156" s="152"/>
      <c r="AL156" s="152"/>
      <c r="AM156" s="152"/>
      <c r="AN156" s="152"/>
      <c r="AO156" s="152"/>
      <c r="AP156" s="152"/>
      <c r="AQ156" s="152"/>
      <c r="AR156" s="152"/>
    </row>
    <row r="157" ht="12.75" customHeight="1">
      <c r="A157" s="244" t="s">
        <v>5158</v>
      </c>
      <c r="B157" s="244" t="s">
        <v>12721</v>
      </c>
      <c r="C157" s="244" t="s">
        <v>13115</v>
      </c>
      <c r="D157" s="154" t="s">
        <v>45</v>
      </c>
      <c r="E157" s="154"/>
      <c r="F157" s="154" t="str">
        <f t="array" ref="F157">XLOOKUP(Cover!$D$12,$P$1:$X$1,$P157:$X157)</f>
        <v>Information</v>
      </c>
      <c r="G157" s="154" t="s">
        <v>13116</v>
      </c>
      <c r="H157" s="154" t="s">
        <v>12776</v>
      </c>
      <c r="I157" s="154" t="s">
        <v>13117</v>
      </c>
      <c r="J157" s="154" t="s">
        <v>6126</v>
      </c>
      <c r="K157" s="154"/>
      <c r="L157" s="154" t="s">
        <v>759</v>
      </c>
      <c r="M157" s="247" t="s">
        <v>516</v>
      </c>
      <c r="N157" s="247" t="s">
        <v>12731</v>
      </c>
      <c r="O157" s="240" t="str">
        <f t="shared" si="1"/>
        <v/>
      </c>
      <c r="P157" s="154" t="s">
        <v>66</v>
      </c>
      <c r="Q157" s="154" t="s">
        <v>66</v>
      </c>
      <c r="R157" s="154" t="s">
        <v>66</v>
      </c>
      <c r="S157" s="154" t="s">
        <v>66</v>
      </c>
      <c r="T157" s="154" t="s">
        <v>66</v>
      </c>
      <c r="U157" s="154" t="s">
        <v>66</v>
      </c>
      <c r="V157" s="154" t="s">
        <v>66</v>
      </c>
      <c r="W157" s="154" t="s">
        <v>66</v>
      </c>
      <c r="X157" s="154" t="s">
        <v>66</v>
      </c>
      <c r="Y157" s="154"/>
      <c r="Z157" s="242" t="b">
        <f t="shared" si="2"/>
        <v>1</v>
      </c>
      <c r="AA157" s="154" t="s">
        <v>391</v>
      </c>
      <c r="AB157" s="242" t="b">
        <f t="shared" si="3"/>
        <v>0</v>
      </c>
      <c r="AC157" s="154"/>
      <c r="AD157" s="242" t="b">
        <f t="shared" si="4"/>
        <v>0</v>
      </c>
      <c r="AE157" s="154" t="s">
        <v>1610</v>
      </c>
      <c r="AF157" s="243" t="str">
        <f>IF(AE157="","N/A",INDIRECT("MTR!"&amp;ADDRESS(MATCH(LEFT(AE157,9),MTR!C:C,0),COLUMN(J157)),TRUE) &amp; "")</f>
        <v>Partially Complies</v>
      </c>
      <c r="AG157" s="157" t="str">
        <f t="shared" si="5"/>
        <v/>
      </c>
      <c r="AH157" s="152"/>
      <c r="AI157" s="152"/>
      <c r="AJ157" s="152"/>
      <c r="AK157" s="152"/>
      <c r="AL157" s="152"/>
      <c r="AM157" s="152"/>
      <c r="AN157" s="152"/>
      <c r="AO157" s="152"/>
      <c r="AP157" s="152"/>
      <c r="AQ157" s="152"/>
      <c r="AR157" s="152"/>
    </row>
    <row r="158" ht="12.75" customHeight="1">
      <c r="A158" s="244" t="s">
        <v>5158</v>
      </c>
      <c r="B158" s="244" t="s">
        <v>12721</v>
      </c>
      <c r="C158" s="244" t="s">
        <v>13118</v>
      </c>
      <c r="D158" s="154" t="s">
        <v>45</v>
      </c>
      <c r="E158" s="154"/>
      <c r="F158" s="154" t="str">
        <f t="array" ref="F158">XLOOKUP(Cover!$D$12,$P$1:$X$1,$P158:$X158)</f>
        <v>Information</v>
      </c>
      <c r="G158" s="154" t="s">
        <v>13119</v>
      </c>
      <c r="H158" s="154" t="s">
        <v>12798</v>
      </c>
      <c r="I158" s="154" t="s">
        <v>13120</v>
      </c>
      <c r="J158" s="154" t="s">
        <v>6126</v>
      </c>
      <c r="K158" s="154"/>
      <c r="L158" s="154" t="s">
        <v>759</v>
      </c>
      <c r="M158" s="247" t="s">
        <v>516</v>
      </c>
      <c r="N158" s="247" t="s">
        <v>12731</v>
      </c>
      <c r="O158" s="240" t="str">
        <f t="shared" si="1"/>
        <v/>
      </c>
      <c r="P158" s="154" t="s">
        <v>66</v>
      </c>
      <c r="Q158" s="154" t="s">
        <v>66</v>
      </c>
      <c r="R158" s="154" t="s">
        <v>66</v>
      </c>
      <c r="S158" s="154" t="s">
        <v>66</v>
      </c>
      <c r="T158" s="154" t="s">
        <v>66</v>
      </c>
      <c r="U158" s="154" t="s">
        <v>66</v>
      </c>
      <c r="V158" s="154" t="s">
        <v>66</v>
      </c>
      <c r="W158" s="154" t="s">
        <v>66</v>
      </c>
      <c r="X158" s="154" t="s">
        <v>66</v>
      </c>
      <c r="Y158" s="154"/>
      <c r="Z158" s="242" t="b">
        <f t="shared" si="2"/>
        <v>1</v>
      </c>
      <c r="AA158" s="154" t="s">
        <v>391</v>
      </c>
      <c r="AB158" s="242" t="b">
        <f t="shared" si="3"/>
        <v>0</v>
      </c>
      <c r="AC158" s="154"/>
      <c r="AD158" s="242" t="b">
        <f t="shared" si="4"/>
        <v>0</v>
      </c>
      <c r="AE158" s="154" t="s">
        <v>1610</v>
      </c>
      <c r="AF158" s="243" t="str">
        <f>IF(AE158="","N/A",INDIRECT("MTR!"&amp;ADDRESS(MATCH(LEFT(AE158,9),MTR!C:C,0),COLUMN(J158)),TRUE) &amp; "")</f>
        <v>Partially Complies</v>
      </c>
      <c r="AG158" s="157" t="str">
        <f t="shared" si="5"/>
        <v/>
      </c>
      <c r="AH158" s="152"/>
      <c r="AI158" s="152"/>
      <c r="AJ158" s="152"/>
      <c r="AK158" s="152"/>
      <c r="AL158" s="152"/>
      <c r="AM158" s="152"/>
      <c r="AN158" s="152"/>
      <c r="AO158" s="152"/>
      <c r="AP158" s="152"/>
      <c r="AQ158" s="152"/>
      <c r="AR158" s="152"/>
    </row>
    <row r="159" ht="12.75" customHeight="1">
      <c r="A159" s="244" t="s">
        <v>5158</v>
      </c>
      <c r="B159" s="244" t="s">
        <v>12721</v>
      </c>
      <c r="C159" s="244" t="s">
        <v>13121</v>
      </c>
      <c r="D159" s="154" t="s">
        <v>45</v>
      </c>
      <c r="E159" s="154"/>
      <c r="F159" s="154" t="str">
        <f t="array" ref="F159">XLOOKUP(Cover!$D$12,$P$1:$X$1,$P159:$X159)</f>
        <v>Information</v>
      </c>
      <c r="G159" s="154" t="s">
        <v>13122</v>
      </c>
      <c r="H159" s="154" t="s">
        <v>12813</v>
      </c>
      <c r="I159" s="154" t="s">
        <v>13123</v>
      </c>
      <c r="J159" s="154" t="s">
        <v>6126</v>
      </c>
      <c r="K159" s="154"/>
      <c r="L159" s="154" t="s">
        <v>759</v>
      </c>
      <c r="M159" s="247" t="s">
        <v>516</v>
      </c>
      <c r="N159" s="247" t="s">
        <v>12731</v>
      </c>
      <c r="O159" s="240" t="str">
        <f t="shared" si="1"/>
        <v/>
      </c>
      <c r="P159" s="154" t="s">
        <v>66</v>
      </c>
      <c r="Q159" s="154" t="s">
        <v>66</v>
      </c>
      <c r="R159" s="154" t="s">
        <v>66</v>
      </c>
      <c r="S159" s="154" t="s">
        <v>66</v>
      </c>
      <c r="T159" s="154" t="s">
        <v>66</v>
      </c>
      <c r="U159" s="154" t="s">
        <v>66</v>
      </c>
      <c r="V159" s="154" t="s">
        <v>66</v>
      </c>
      <c r="W159" s="154" t="s">
        <v>66</v>
      </c>
      <c r="X159" s="154" t="s">
        <v>66</v>
      </c>
      <c r="Y159" s="154"/>
      <c r="Z159" s="242" t="b">
        <f t="shared" si="2"/>
        <v>1</v>
      </c>
      <c r="AA159" s="154" t="s">
        <v>391</v>
      </c>
      <c r="AB159" s="242" t="b">
        <f t="shared" si="3"/>
        <v>0</v>
      </c>
      <c r="AC159" s="154"/>
      <c r="AD159" s="242" t="b">
        <f t="shared" si="4"/>
        <v>0</v>
      </c>
      <c r="AE159" s="154" t="s">
        <v>1610</v>
      </c>
      <c r="AF159" s="243" t="str">
        <f>IF(AE159="","N/A",INDIRECT("MTR!"&amp;ADDRESS(MATCH(LEFT(AE159,9),MTR!C:C,0),COLUMN(J159)),TRUE) &amp; "")</f>
        <v>Partially Complies</v>
      </c>
      <c r="AG159" s="157" t="str">
        <f t="shared" si="5"/>
        <v/>
      </c>
      <c r="AH159" s="152"/>
      <c r="AI159" s="152"/>
      <c r="AJ159" s="152"/>
      <c r="AK159" s="152"/>
      <c r="AL159" s="152"/>
      <c r="AM159" s="152"/>
      <c r="AN159" s="152"/>
      <c r="AO159" s="152"/>
      <c r="AP159" s="152"/>
      <c r="AQ159" s="152"/>
      <c r="AR159" s="152"/>
    </row>
    <row r="160" ht="12.75" customHeight="1">
      <c r="A160" s="244" t="s">
        <v>5158</v>
      </c>
      <c r="B160" s="244" t="s">
        <v>12721</v>
      </c>
      <c r="C160" s="244" t="s">
        <v>13124</v>
      </c>
      <c r="D160" s="154" t="s">
        <v>45</v>
      </c>
      <c r="E160" s="154"/>
      <c r="F160" s="154" t="str">
        <f t="array" ref="F160">XLOOKUP(Cover!$D$12,$P$1:$X$1,$P160:$X160)</f>
        <v>Information</v>
      </c>
      <c r="G160" s="154" t="s">
        <v>13125</v>
      </c>
      <c r="H160" s="154" t="s">
        <v>12736</v>
      </c>
      <c r="I160" s="154" t="s">
        <v>13126</v>
      </c>
      <c r="J160" s="154" t="s">
        <v>6126</v>
      </c>
      <c r="K160" s="154"/>
      <c r="L160" s="154" t="s">
        <v>759</v>
      </c>
      <c r="M160" s="247" t="s">
        <v>516</v>
      </c>
      <c r="N160" s="247" t="s">
        <v>12731</v>
      </c>
      <c r="O160" s="240" t="str">
        <f t="shared" si="1"/>
        <v/>
      </c>
      <c r="P160" s="154" t="s">
        <v>66</v>
      </c>
      <c r="Q160" s="154" t="s">
        <v>66</v>
      </c>
      <c r="R160" s="154" t="s">
        <v>66</v>
      </c>
      <c r="S160" s="154" t="s">
        <v>66</v>
      </c>
      <c r="T160" s="154" t="s">
        <v>66</v>
      </c>
      <c r="U160" s="154" t="s">
        <v>66</v>
      </c>
      <c r="V160" s="154" t="s">
        <v>66</v>
      </c>
      <c r="W160" s="154" t="s">
        <v>66</v>
      </c>
      <c r="X160" s="154" t="s">
        <v>66</v>
      </c>
      <c r="Y160" s="154"/>
      <c r="Z160" s="242" t="b">
        <f t="shared" si="2"/>
        <v>1</v>
      </c>
      <c r="AA160" s="154" t="s">
        <v>391</v>
      </c>
      <c r="AB160" s="242" t="b">
        <f t="shared" si="3"/>
        <v>0</v>
      </c>
      <c r="AC160" s="154"/>
      <c r="AD160" s="242" t="b">
        <f t="shared" si="4"/>
        <v>0</v>
      </c>
      <c r="AE160" s="154" t="s">
        <v>1610</v>
      </c>
      <c r="AF160" s="243" t="str">
        <f>IF(AE160="","N/A",INDIRECT("MTR!"&amp;ADDRESS(MATCH(LEFT(AE160,9),MTR!C:C,0),COLUMN(J160)),TRUE) &amp; "")</f>
        <v>Partially Complies</v>
      </c>
      <c r="AG160" s="157" t="str">
        <f t="shared" si="5"/>
        <v/>
      </c>
      <c r="AH160" s="152"/>
      <c r="AI160" s="152"/>
      <c r="AJ160" s="152"/>
      <c r="AK160" s="152"/>
      <c r="AL160" s="152"/>
      <c r="AM160" s="152"/>
      <c r="AN160" s="152"/>
      <c r="AO160" s="152"/>
      <c r="AP160" s="152"/>
      <c r="AQ160" s="152"/>
      <c r="AR160" s="152"/>
    </row>
    <row r="161" ht="12.75" customHeight="1">
      <c r="A161" s="244" t="s">
        <v>5158</v>
      </c>
      <c r="B161" s="244" t="s">
        <v>12721</v>
      </c>
      <c r="C161" s="244" t="s">
        <v>13127</v>
      </c>
      <c r="D161" s="154" t="s">
        <v>45</v>
      </c>
      <c r="E161" s="154"/>
      <c r="F161" s="154" t="str">
        <f t="array" ref="F161">XLOOKUP(Cover!$D$12,$P$1:$X$1,$P161:$X161)</f>
        <v>Information</v>
      </c>
      <c r="G161" s="154" t="s">
        <v>13128</v>
      </c>
      <c r="H161" s="154" t="s">
        <v>12737</v>
      </c>
      <c r="I161" s="154" t="s">
        <v>13126</v>
      </c>
      <c r="J161" s="154" t="s">
        <v>6126</v>
      </c>
      <c r="K161" s="154"/>
      <c r="L161" s="154" t="s">
        <v>759</v>
      </c>
      <c r="M161" s="247" t="s">
        <v>516</v>
      </c>
      <c r="N161" s="247" t="s">
        <v>12731</v>
      </c>
      <c r="O161" s="240" t="str">
        <f t="shared" si="1"/>
        <v/>
      </c>
      <c r="P161" s="154" t="s">
        <v>66</v>
      </c>
      <c r="Q161" s="154" t="s">
        <v>66</v>
      </c>
      <c r="R161" s="154" t="s">
        <v>66</v>
      </c>
      <c r="S161" s="154" t="s">
        <v>66</v>
      </c>
      <c r="T161" s="154" t="s">
        <v>66</v>
      </c>
      <c r="U161" s="154" t="s">
        <v>66</v>
      </c>
      <c r="V161" s="154" t="s">
        <v>66</v>
      </c>
      <c r="W161" s="154" t="s">
        <v>66</v>
      </c>
      <c r="X161" s="154" t="s">
        <v>66</v>
      </c>
      <c r="Y161" s="154"/>
      <c r="Z161" s="242" t="b">
        <f t="shared" si="2"/>
        <v>1</v>
      </c>
      <c r="AA161" s="154" t="s">
        <v>391</v>
      </c>
      <c r="AB161" s="242" t="b">
        <f t="shared" si="3"/>
        <v>0</v>
      </c>
      <c r="AC161" s="154"/>
      <c r="AD161" s="242" t="b">
        <f t="shared" si="4"/>
        <v>0</v>
      </c>
      <c r="AE161" s="154" t="s">
        <v>1610</v>
      </c>
      <c r="AF161" s="243" t="str">
        <f>IF(AE161="","N/A",INDIRECT("MTR!"&amp;ADDRESS(MATCH(LEFT(AE161,9),MTR!C:C,0),COLUMN(J161)),TRUE) &amp; "")</f>
        <v>Partially Complies</v>
      </c>
      <c r="AG161" s="157" t="str">
        <f t="shared" si="5"/>
        <v/>
      </c>
      <c r="AH161" s="152"/>
      <c r="AI161" s="152"/>
      <c r="AJ161" s="152"/>
      <c r="AK161" s="152"/>
      <c r="AL161" s="152"/>
      <c r="AM161" s="152"/>
      <c r="AN161" s="152"/>
      <c r="AO161" s="152"/>
      <c r="AP161" s="152"/>
      <c r="AQ161" s="152"/>
      <c r="AR161" s="152"/>
    </row>
    <row r="162" ht="12.75" customHeight="1">
      <c r="A162" s="244" t="s">
        <v>5158</v>
      </c>
      <c r="B162" s="244" t="s">
        <v>12721</v>
      </c>
      <c r="C162" s="244" t="s">
        <v>13129</v>
      </c>
      <c r="D162" s="154" t="s">
        <v>45</v>
      </c>
      <c r="E162" s="154"/>
      <c r="F162" s="154" t="str">
        <f t="array" ref="F162">XLOOKUP(Cover!$D$12,$P$1:$X$1,$P162:$X162)</f>
        <v>Information</v>
      </c>
      <c r="G162" s="154" t="s">
        <v>13130</v>
      </c>
      <c r="H162" s="154" t="s">
        <v>12736</v>
      </c>
      <c r="I162" s="154" t="s">
        <v>13126</v>
      </c>
      <c r="J162" s="154" t="s">
        <v>6126</v>
      </c>
      <c r="K162" s="154"/>
      <c r="L162" s="154" t="s">
        <v>759</v>
      </c>
      <c r="M162" s="247" t="s">
        <v>516</v>
      </c>
      <c r="N162" s="247" t="s">
        <v>12731</v>
      </c>
      <c r="O162" s="240" t="str">
        <f t="shared" si="1"/>
        <v/>
      </c>
      <c r="P162" s="154" t="s">
        <v>66</v>
      </c>
      <c r="Q162" s="154" t="s">
        <v>66</v>
      </c>
      <c r="R162" s="154" t="s">
        <v>66</v>
      </c>
      <c r="S162" s="154" t="s">
        <v>66</v>
      </c>
      <c r="T162" s="154" t="s">
        <v>66</v>
      </c>
      <c r="U162" s="154" t="s">
        <v>66</v>
      </c>
      <c r="V162" s="154" t="s">
        <v>66</v>
      </c>
      <c r="W162" s="154" t="s">
        <v>66</v>
      </c>
      <c r="X162" s="154" t="s">
        <v>66</v>
      </c>
      <c r="Y162" s="154"/>
      <c r="Z162" s="242" t="b">
        <f t="shared" si="2"/>
        <v>1</v>
      </c>
      <c r="AA162" s="154" t="s">
        <v>391</v>
      </c>
      <c r="AB162" s="242" t="b">
        <f t="shared" si="3"/>
        <v>0</v>
      </c>
      <c r="AC162" s="154"/>
      <c r="AD162" s="242" t="b">
        <f t="shared" si="4"/>
        <v>0</v>
      </c>
      <c r="AE162" s="154" t="s">
        <v>1610</v>
      </c>
      <c r="AF162" s="243" t="str">
        <f>IF(AE162="","N/A",INDIRECT("MTR!"&amp;ADDRESS(MATCH(LEFT(AE162,9),MTR!C:C,0),COLUMN(J162)),TRUE) &amp; "")</f>
        <v>Partially Complies</v>
      </c>
      <c r="AG162" s="157" t="str">
        <f t="shared" si="5"/>
        <v/>
      </c>
      <c r="AH162" s="152"/>
      <c r="AI162" s="152"/>
      <c r="AJ162" s="152"/>
      <c r="AK162" s="152"/>
      <c r="AL162" s="152"/>
      <c r="AM162" s="152"/>
      <c r="AN162" s="152"/>
      <c r="AO162" s="152"/>
      <c r="AP162" s="152"/>
      <c r="AQ162" s="152"/>
      <c r="AR162" s="152"/>
    </row>
    <row r="163" ht="12.75" customHeight="1">
      <c r="A163" s="244" t="s">
        <v>5158</v>
      </c>
      <c r="B163" s="244" t="s">
        <v>12721</v>
      </c>
      <c r="C163" s="244" t="s">
        <v>13131</v>
      </c>
      <c r="D163" s="154" t="s">
        <v>45</v>
      </c>
      <c r="E163" s="154"/>
      <c r="F163" s="154" t="str">
        <f t="array" ref="F163">XLOOKUP(Cover!$D$12,$P$1:$X$1,$P163:$X163)</f>
        <v>Information</v>
      </c>
      <c r="G163" s="154" t="s">
        <v>13132</v>
      </c>
      <c r="H163" s="154" t="s">
        <v>12737</v>
      </c>
      <c r="I163" s="154" t="s">
        <v>13126</v>
      </c>
      <c r="J163" s="154" t="s">
        <v>6126</v>
      </c>
      <c r="K163" s="154"/>
      <c r="L163" s="154" t="s">
        <v>759</v>
      </c>
      <c r="M163" s="247" t="s">
        <v>516</v>
      </c>
      <c r="N163" s="247" t="s">
        <v>12731</v>
      </c>
      <c r="O163" s="240" t="str">
        <f t="shared" si="1"/>
        <v/>
      </c>
      <c r="P163" s="154" t="s">
        <v>66</v>
      </c>
      <c r="Q163" s="154" t="s">
        <v>66</v>
      </c>
      <c r="R163" s="154" t="s">
        <v>66</v>
      </c>
      <c r="S163" s="154" t="s">
        <v>66</v>
      </c>
      <c r="T163" s="154" t="s">
        <v>66</v>
      </c>
      <c r="U163" s="154" t="s">
        <v>66</v>
      </c>
      <c r="V163" s="154" t="s">
        <v>66</v>
      </c>
      <c r="W163" s="154" t="s">
        <v>66</v>
      </c>
      <c r="X163" s="154" t="s">
        <v>66</v>
      </c>
      <c r="Y163" s="154"/>
      <c r="Z163" s="242" t="b">
        <f t="shared" si="2"/>
        <v>1</v>
      </c>
      <c r="AA163" s="154" t="s">
        <v>391</v>
      </c>
      <c r="AB163" s="242" t="b">
        <f t="shared" si="3"/>
        <v>0</v>
      </c>
      <c r="AC163" s="154"/>
      <c r="AD163" s="242" t="b">
        <f t="shared" si="4"/>
        <v>0</v>
      </c>
      <c r="AE163" s="154" t="s">
        <v>1610</v>
      </c>
      <c r="AF163" s="243" t="str">
        <f>IF(AE163="","N/A",INDIRECT("MTR!"&amp;ADDRESS(MATCH(LEFT(AE163,9),MTR!C:C,0),COLUMN(J163)),TRUE) &amp; "")</f>
        <v>Partially Complies</v>
      </c>
      <c r="AG163" s="157" t="str">
        <f t="shared" si="5"/>
        <v/>
      </c>
      <c r="AH163" s="152"/>
      <c r="AI163" s="152"/>
      <c r="AJ163" s="152"/>
      <c r="AK163" s="152"/>
      <c r="AL163" s="152"/>
      <c r="AM163" s="152"/>
      <c r="AN163" s="152"/>
      <c r="AO163" s="152"/>
      <c r="AP163" s="152"/>
      <c r="AQ163" s="152"/>
      <c r="AR163" s="152"/>
    </row>
    <row r="164" ht="12.75" customHeight="1">
      <c r="A164" s="244" t="s">
        <v>5158</v>
      </c>
      <c r="B164" s="244" t="s">
        <v>12721</v>
      </c>
      <c r="C164" s="244" t="s">
        <v>13133</v>
      </c>
      <c r="D164" s="154" t="s">
        <v>45</v>
      </c>
      <c r="E164" s="154"/>
      <c r="F164" s="154" t="str">
        <f t="array" ref="F164">XLOOKUP(Cover!$D$12,$P$1:$X$1,$P164:$X164)</f>
        <v>Information</v>
      </c>
      <c r="G164" s="154" t="s">
        <v>13134</v>
      </c>
      <c r="H164" s="154" t="s">
        <v>12736</v>
      </c>
      <c r="I164" s="154" t="s">
        <v>13126</v>
      </c>
      <c r="J164" s="154" t="s">
        <v>7175</v>
      </c>
      <c r="K164" s="154"/>
      <c r="L164" s="154" t="s">
        <v>759</v>
      </c>
      <c r="M164" s="247" t="s">
        <v>516</v>
      </c>
      <c r="N164" s="247" t="s">
        <v>12731</v>
      </c>
      <c r="O164" s="240" t="str">
        <f t="shared" si="1"/>
        <v/>
      </c>
      <c r="P164" s="154" t="s">
        <v>66</v>
      </c>
      <c r="Q164" s="154" t="s">
        <v>66</v>
      </c>
      <c r="R164" s="154" t="s">
        <v>66</v>
      </c>
      <c r="S164" s="154" t="s">
        <v>66</v>
      </c>
      <c r="T164" s="154" t="s">
        <v>66</v>
      </c>
      <c r="U164" s="154" t="s">
        <v>66</v>
      </c>
      <c r="V164" s="154" t="s">
        <v>66</v>
      </c>
      <c r="W164" s="154" t="s">
        <v>66</v>
      </c>
      <c r="X164" s="154" t="s">
        <v>66</v>
      </c>
      <c r="Y164" s="154"/>
      <c r="Z164" s="242" t="b">
        <f t="shared" si="2"/>
        <v>1</v>
      </c>
      <c r="AA164" s="154" t="s">
        <v>391</v>
      </c>
      <c r="AB164" s="242" t="b">
        <f t="shared" si="3"/>
        <v>0</v>
      </c>
      <c r="AC164" s="154"/>
      <c r="AD164" s="242" t="b">
        <f t="shared" si="4"/>
        <v>0</v>
      </c>
      <c r="AE164" s="154" t="s">
        <v>1610</v>
      </c>
      <c r="AF164" s="243" t="str">
        <f>IF(AE164="","N/A",INDIRECT("MTR!"&amp;ADDRESS(MATCH(LEFT(AE164,9),MTR!C:C,0),COLUMN(J164)),TRUE) &amp; "")</f>
        <v>Partially Complies</v>
      </c>
      <c r="AG164" s="157" t="str">
        <f t="shared" si="5"/>
        <v/>
      </c>
      <c r="AH164" s="152"/>
      <c r="AI164" s="152"/>
      <c r="AJ164" s="152"/>
      <c r="AK164" s="152"/>
      <c r="AL164" s="152"/>
      <c r="AM164" s="152"/>
      <c r="AN164" s="152"/>
      <c r="AO164" s="152"/>
      <c r="AP164" s="152"/>
      <c r="AQ164" s="152"/>
      <c r="AR164" s="152"/>
    </row>
    <row r="165" ht="12.75" customHeight="1">
      <c r="A165" s="244" t="s">
        <v>5158</v>
      </c>
      <c r="B165" s="244" t="s">
        <v>12721</v>
      </c>
      <c r="C165" s="244" t="s">
        <v>13135</v>
      </c>
      <c r="D165" s="154" t="s">
        <v>45</v>
      </c>
      <c r="E165" s="154"/>
      <c r="F165" s="154" t="str">
        <f t="array" ref="F165">XLOOKUP(Cover!$D$12,$P$1:$X$1,$P165:$X165)</f>
        <v>Information</v>
      </c>
      <c r="G165" s="154" t="s">
        <v>13136</v>
      </c>
      <c r="H165" s="154" t="s">
        <v>12737</v>
      </c>
      <c r="I165" s="154" t="s">
        <v>13126</v>
      </c>
      <c r="J165" s="154" t="s">
        <v>7175</v>
      </c>
      <c r="K165" s="154"/>
      <c r="L165" s="154" t="s">
        <v>759</v>
      </c>
      <c r="M165" s="247" t="s">
        <v>516</v>
      </c>
      <c r="N165" s="247" t="s">
        <v>12731</v>
      </c>
      <c r="O165" s="240" t="str">
        <f t="shared" si="1"/>
        <v/>
      </c>
      <c r="P165" s="154" t="s">
        <v>66</v>
      </c>
      <c r="Q165" s="154" t="s">
        <v>66</v>
      </c>
      <c r="R165" s="154" t="s">
        <v>66</v>
      </c>
      <c r="S165" s="154" t="s">
        <v>66</v>
      </c>
      <c r="T165" s="154" t="s">
        <v>66</v>
      </c>
      <c r="U165" s="154" t="s">
        <v>66</v>
      </c>
      <c r="V165" s="154" t="s">
        <v>66</v>
      </c>
      <c r="W165" s="154" t="s">
        <v>66</v>
      </c>
      <c r="X165" s="154" t="s">
        <v>66</v>
      </c>
      <c r="Y165" s="154"/>
      <c r="Z165" s="242" t="b">
        <f t="shared" si="2"/>
        <v>1</v>
      </c>
      <c r="AA165" s="154" t="s">
        <v>391</v>
      </c>
      <c r="AB165" s="242" t="b">
        <f t="shared" si="3"/>
        <v>0</v>
      </c>
      <c r="AC165" s="154"/>
      <c r="AD165" s="242" t="b">
        <f t="shared" si="4"/>
        <v>0</v>
      </c>
      <c r="AE165" s="154" t="s">
        <v>1610</v>
      </c>
      <c r="AF165" s="243" t="str">
        <f>IF(AE165="","N/A",INDIRECT("MTR!"&amp;ADDRESS(MATCH(LEFT(AE165,9),MTR!C:C,0),COLUMN(J165)),TRUE) &amp; "")</f>
        <v>Partially Complies</v>
      </c>
      <c r="AG165" s="157" t="str">
        <f t="shared" si="5"/>
        <v/>
      </c>
      <c r="AH165" s="152"/>
      <c r="AI165" s="152"/>
      <c r="AJ165" s="152"/>
      <c r="AK165" s="152"/>
      <c r="AL165" s="152"/>
      <c r="AM165" s="152"/>
      <c r="AN165" s="152"/>
      <c r="AO165" s="152"/>
      <c r="AP165" s="152"/>
      <c r="AQ165" s="152"/>
      <c r="AR165" s="152"/>
    </row>
    <row r="166" ht="12.75" customHeight="1">
      <c r="A166" s="244" t="s">
        <v>5158</v>
      </c>
      <c r="B166" s="244" t="s">
        <v>12721</v>
      </c>
      <c r="C166" s="244" t="s">
        <v>13137</v>
      </c>
      <c r="D166" s="154" t="s">
        <v>1315</v>
      </c>
      <c r="E166" s="154"/>
      <c r="F166" s="154" t="str">
        <f t="array" ref="F166">XLOOKUP(Cover!$D$12,$P$1:$X$1,$P166:$X166)</f>
        <v>Recommended</v>
      </c>
      <c r="G166" s="154" t="s">
        <v>13138</v>
      </c>
      <c r="H166" s="154" t="s">
        <v>13139</v>
      </c>
      <c r="I166" s="154" t="s">
        <v>13140</v>
      </c>
      <c r="J166" s="154" t="s">
        <v>6529</v>
      </c>
      <c r="K166" s="154"/>
      <c r="L166" s="154" t="s">
        <v>759</v>
      </c>
      <c r="M166" s="247" t="s">
        <v>506</v>
      </c>
      <c r="N166" s="247" t="s">
        <v>13141</v>
      </c>
      <c r="O166" s="240" t="str">
        <f t="shared" si="1"/>
        <v/>
      </c>
      <c r="P166" s="154" t="s">
        <v>66</v>
      </c>
      <c r="Q166" s="154" t="s">
        <v>66</v>
      </c>
      <c r="R166" s="154" t="s">
        <v>64</v>
      </c>
      <c r="S166" s="154" t="s">
        <v>64</v>
      </c>
      <c r="T166" s="154" t="s">
        <v>64</v>
      </c>
      <c r="U166" s="154" t="s">
        <v>64</v>
      </c>
      <c r="V166" s="154" t="s">
        <v>66</v>
      </c>
      <c r="W166" s="154" t="s">
        <v>64</v>
      </c>
      <c r="X166" s="154" t="s">
        <v>64</v>
      </c>
      <c r="Y166" s="154"/>
      <c r="Z166" s="242" t="b">
        <f t="shared" si="2"/>
        <v>1</v>
      </c>
      <c r="AA166" s="154" t="s">
        <v>391</v>
      </c>
      <c r="AB166" s="242" t="b">
        <f t="shared" si="3"/>
        <v>0</v>
      </c>
      <c r="AC166" s="154"/>
      <c r="AD166" s="242" t="b">
        <f t="shared" si="4"/>
        <v>0</v>
      </c>
      <c r="AE166" s="154" t="s">
        <v>1610</v>
      </c>
      <c r="AF166" s="243" t="str">
        <f>IF(AE166="","N/A",INDIRECT("MTR!"&amp;ADDRESS(MATCH(LEFT(AE166,9),MTR!C:C,0),COLUMN(J166)),TRUE) &amp; "")</f>
        <v>Partially Complies</v>
      </c>
      <c r="AG166" s="157" t="str">
        <f t="shared" si="5"/>
        <v/>
      </c>
      <c r="AH166" s="152"/>
      <c r="AI166" s="152"/>
      <c r="AJ166" s="152"/>
      <c r="AK166" s="152"/>
      <c r="AL166" s="152"/>
      <c r="AM166" s="152"/>
      <c r="AN166" s="152"/>
      <c r="AO166" s="152"/>
      <c r="AP166" s="152"/>
      <c r="AQ166" s="152"/>
      <c r="AR166" s="152"/>
    </row>
    <row r="167" ht="12.75" customHeight="1">
      <c r="A167" s="244" t="s">
        <v>5158</v>
      </c>
      <c r="B167" s="244" t="s">
        <v>12721</v>
      </c>
      <c r="C167" s="244" t="s">
        <v>13142</v>
      </c>
      <c r="D167" s="154" t="s">
        <v>503</v>
      </c>
      <c r="E167" s="154"/>
      <c r="F167" s="154" t="str">
        <f t="array" ref="F167">XLOOKUP(Cover!$D$12,$P$1:$X$1,$P167:$X167)</f>
        <v>Recommended</v>
      </c>
      <c r="G167" s="154" t="s">
        <v>13143</v>
      </c>
      <c r="H167" s="154" t="s">
        <v>13144</v>
      </c>
      <c r="I167" s="154" t="s">
        <v>13140</v>
      </c>
      <c r="J167" s="154" t="s">
        <v>6905</v>
      </c>
      <c r="K167" s="154"/>
      <c r="L167" s="154" t="s">
        <v>759</v>
      </c>
      <c r="M167" s="247" t="s">
        <v>516</v>
      </c>
      <c r="N167" s="247" t="s">
        <v>13145</v>
      </c>
      <c r="O167" s="240" t="str">
        <f t="shared" si="1"/>
        <v/>
      </c>
      <c r="P167" s="154" t="s">
        <v>66</v>
      </c>
      <c r="Q167" s="154" t="s">
        <v>66</v>
      </c>
      <c r="R167" s="154" t="s">
        <v>64</v>
      </c>
      <c r="S167" s="154" t="s">
        <v>64</v>
      </c>
      <c r="T167" s="154" t="s">
        <v>64</v>
      </c>
      <c r="U167" s="154" t="s">
        <v>64</v>
      </c>
      <c r="V167" s="154" t="s">
        <v>66</v>
      </c>
      <c r="W167" s="154" t="s">
        <v>64</v>
      </c>
      <c r="X167" s="154" t="s">
        <v>64</v>
      </c>
      <c r="Y167" s="154"/>
      <c r="Z167" s="242" t="b">
        <f t="shared" si="2"/>
        <v>1</v>
      </c>
      <c r="AA167" s="154" t="s">
        <v>391</v>
      </c>
      <c r="AB167" s="242" t="b">
        <f t="shared" si="3"/>
        <v>0</v>
      </c>
      <c r="AC167" s="154"/>
      <c r="AD167" s="242" t="b">
        <f t="shared" si="4"/>
        <v>0</v>
      </c>
      <c r="AE167" s="154" t="s">
        <v>1610</v>
      </c>
      <c r="AF167" s="243" t="str">
        <f>IF(AE167="","N/A",INDIRECT("MTR!"&amp;ADDRESS(MATCH(LEFT(AE167,9),MTR!C:C,0),COLUMN(J167)),TRUE) &amp; "")</f>
        <v>Partially Complies</v>
      </c>
      <c r="AG167" s="157" t="str">
        <f t="shared" si="5"/>
        <v/>
      </c>
      <c r="AH167" s="152"/>
      <c r="AI167" s="152"/>
      <c r="AJ167" s="152"/>
      <c r="AK167" s="152"/>
      <c r="AL167" s="152"/>
      <c r="AM167" s="152"/>
      <c r="AN167" s="152"/>
      <c r="AO167" s="152"/>
      <c r="AP167" s="152"/>
      <c r="AQ167" s="152"/>
      <c r="AR167" s="152"/>
    </row>
    <row r="168" ht="12.75" customHeight="1">
      <c r="A168" s="244" t="s">
        <v>5158</v>
      </c>
      <c r="B168" s="244" t="s">
        <v>12721</v>
      </c>
      <c r="C168" s="244" t="s">
        <v>13146</v>
      </c>
      <c r="D168" s="154" t="s">
        <v>1315</v>
      </c>
      <c r="E168" s="154"/>
      <c r="F168" s="154" t="str">
        <f t="array" ref="F168">XLOOKUP(Cover!$D$12,$P$1:$X$1,$P168:$X168)</f>
        <v>Recommended</v>
      </c>
      <c r="G168" s="154" t="s">
        <v>13147</v>
      </c>
      <c r="H168" s="154" t="s">
        <v>13139</v>
      </c>
      <c r="I168" s="154" t="s">
        <v>13140</v>
      </c>
      <c r="J168" s="154" t="s">
        <v>6884</v>
      </c>
      <c r="K168" s="154"/>
      <c r="L168" s="154" t="s">
        <v>759</v>
      </c>
      <c r="M168" s="247" t="s">
        <v>506</v>
      </c>
      <c r="N168" s="247" t="s">
        <v>13141</v>
      </c>
      <c r="O168" s="240" t="str">
        <f t="shared" si="1"/>
        <v/>
      </c>
      <c r="P168" s="154" t="s">
        <v>66</v>
      </c>
      <c r="Q168" s="154" t="s">
        <v>66</v>
      </c>
      <c r="R168" s="154" t="s">
        <v>64</v>
      </c>
      <c r="S168" s="154" t="s">
        <v>64</v>
      </c>
      <c r="T168" s="154" t="s">
        <v>64</v>
      </c>
      <c r="U168" s="154" t="s">
        <v>64</v>
      </c>
      <c r="V168" s="154" t="s">
        <v>66</v>
      </c>
      <c r="W168" s="154" t="s">
        <v>64</v>
      </c>
      <c r="X168" s="154" t="s">
        <v>64</v>
      </c>
      <c r="Y168" s="154"/>
      <c r="Z168" s="242" t="b">
        <f t="shared" si="2"/>
        <v>1</v>
      </c>
      <c r="AA168" s="154" t="s">
        <v>391</v>
      </c>
      <c r="AB168" s="242" t="b">
        <f t="shared" si="3"/>
        <v>0</v>
      </c>
      <c r="AC168" s="154"/>
      <c r="AD168" s="242" t="b">
        <f t="shared" si="4"/>
        <v>0</v>
      </c>
      <c r="AE168" s="154" t="s">
        <v>1610</v>
      </c>
      <c r="AF168" s="243" t="str">
        <f>IF(AE168="","N/A",INDIRECT("MTR!"&amp;ADDRESS(MATCH(LEFT(AE168,9),MTR!C:C,0),COLUMN(J168)),TRUE) &amp; "")</f>
        <v>Partially Complies</v>
      </c>
      <c r="AG168" s="157" t="str">
        <f t="shared" si="5"/>
        <v/>
      </c>
      <c r="AH168" s="152"/>
      <c r="AI168" s="152"/>
      <c r="AJ168" s="152"/>
      <c r="AK168" s="152"/>
      <c r="AL168" s="152"/>
      <c r="AM168" s="152"/>
      <c r="AN168" s="152"/>
      <c r="AO168" s="152"/>
      <c r="AP168" s="152"/>
      <c r="AQ168" s="152"/>
      <c r="AR168" s="152"/>
    </row>
    <row r="169" ht="12.75" customHeight="1">
      <c r="A169" s="244" t="s">
        <v>5158</v>
      </c>
      <c r="B169" s="244" t="s">
        <v>12721</v>
      </c>
      <c r="C169" s="244" t="s">
        <v>13148</v>
      </c>
      <c r="D169" s="154" t="s">
        <v>1315</v>
      </c>
      <c r="E169" s="154"/>
      <c r="F169" s="154" t="str">
        <f t="array" ref="F169">XLOOKUP(Cover!$D$12,$P$1:$X$1,$P169:$X169)</f>
        <v>Recommended</v>
      </c>
      <c r="G169" s="154" t="s">
        <v>13149</v>
      </c>
      <c r="H169" s="154" t="s">
        <v>13144</v>
      </c>
      <c r="I169" s="154" t="s">
        <v>13140</v>
      </c>
      <c r="J169" s="154" t="s">
        <v>6905</v>
      </c>
      <c r="K169" s="154"/>
      <c r="L169" s="154" t="s">
        <v>759</v>
      </c>
      <c r="M169" s="247" t="s">
        <v>516</v>
      </c>
      <c r="N169" s="247" t="s">
        <v>13145</v>
      </c>
      <c r="O169" s="240" t="str">
        <f t="shared" si="1"/>
        <v/>
      </c>
      <c r="P169" s="154" t="s">
        <v>66</v>
      </c>
      <c r="Q169" s="154" t="s">
        <v>66</v>
      </c>
      <c r="R169" s="154" t="s">
        <v>64</v>
      </c>
      <c r="S169" s="154" t="s">
        <v>64</v>
      </c>
      <c r="T169" s="154" t="s">
        <v>64</v>
      </c>
      <c r="U169" s="154" t="s">
        <v>64</v>
      </c>
      <c r="V169" s="154" t="s">
        <v>66</v>
      </c>
      <c r="W169" s="154" t="s">
        <v>64</v>
      </c>
      <c r="X169" s="154" t="s">
        <v>64</v>
      </c>
      <c r="Y169" s="154"/>
      <c r="Z169" s="242" t="b">
        <f t="shared" si="2"/>
        <v>1</v>
      </c>
      <c r="AA169" s="154" t="s">
        <v>391</v>
      </c>
      <c r="AB169" s="242" t="b">
        <f t="shared" si="3"/>
        <v>0</v>
      </c>
      <c r="AC169" s="154"/>
      <c r="AD169" s="242" t="b">
        <f t="shared" si="4"/>
        <v>0</v>
      </c>
      <c r="AE169" s="154" t="s">
        <v>1610</v>
      </c>
      <c r="AF169" s="243" t="str">
        <f>IF(AE169="","N/A",INDIRECT("MTR!"&amp;ADDRESS(MATCH(LEFT(AE169,9),MTR!C:C,0),COLUMN(J169)),TRUE) &amp; "")</f>
        <v>Partially Complies</v>
      </c>
      <c r="AG169" s="157" t="str">
        <f t="shared" si="5"/>
        <v/>
      </c>
      <c r="AH169" s="152"/>
      <c r="AI169" s="152"/>
      <c r="AJ169" s="152"/>
      <c r="AK169" s="152"/>
      <c r="AL169" s="152"/>
      <c r="AM169" s="152"/>
      <c r="AN169" s="152"/>
      <c r="AO169" s="152"/>
      <c r="AP169" s="152"/>
      <c r="AQ169" s="152"/>
      <c r="AR169" s="152"/>
    </row>
    <row r="170" ht="12.75" customHeight="1">
      <c r="A170" s="244" t="s">
        <v>5158</v>
      </c>
      <c r="B170" s="244" t="s">
        <v>12721</v>
      </c>
      <c r="C170" s="244" t="s">
        <v>13150</v>
      </c>
      <c r="D170" s="154" t="s">
        <v>1315</v>
      </c>
      <c r="E170" s="154"/>
      <c r="F170" s="154" t="str">
        <f t="array" ref="F170">XLOOKUP(Cover!$D$12,$P$1:$X$1,$P170:$X170)</f>
        <v>Recommended</v>
      </c>
      <c r="G170" s="154" t="s">
        <v>13151</v>
      </c>
      <c r="H170" s="154" t="s">
        <v>13139</v>
      </c>
      <c r="I170" s="154" t="s">
        <v>13140</v>
      </c>
      <c r="J170" s="154" t="s">
        <v>6905</v>
      </c>
      <c r="K170" s="154"/>
      <c r="L170" s="154" t="s">
        <v>759</v>
      </c>
      <c r="M170" s="247" t="s">
        <v>506</v>
      </c>
      <c r="N170" s="247" t="s">
        <v>13141</v>
      </c>
      <c r="O170" s="240" t="str">
        <f t="shared" si="1"/>
        <v/>
      </c>
      <c r="P170" s="154" t="s">
        <v>66</v>
      </c>
      <c r="Q170" s="154" t="s">
        <v>66</v>
      </c>
      <c r="R170" s="154" t="s">
        <v>64</v>
      </c>
      <c r="S170" s="154" t="s">
        <v>64</v>
      </c>
      <c r="T170" s="154" t="s">
        <v>64</v>
      </c>
      <c r="U170" s="154" t="s">
        <v>64</v>
      </c>
      <c r="V170" s="154" t="s">
        <v>66</v>
      </c>
      <c r="W170" s="154" t="s">
        <v>64</v>
      </c>
      <c r="X170" s="154" t="s">
        <v>64</v>
      </c>
      <c r="Y170" s="154"/>
      <c r="Z170" s="242" t="b">
        <f t="shared" si="2"/>
        <v>1</v>
      </c>
      <c r="AA170" s="154" t="s">
        <v>391</v>
      </c>
      <c r="AB170" s="242" t="b">
        <f t="shared" si="3"/>
        <v>0</v>
      </c>
      <c r="AC170" s="154"/>
      <c r="AD170" s="242" t="b">
        <f t="shared" si="4"/>
        <v>0</v>
      </c>
      <c r="AE170" s="154" t="s">
        <v>1610</v>
      </c>
      <c r="AF170" s="243" t="str">
        <f>IF(AE170="","N/A",INDIRECT("MTR!"&amp;ADDRESS(MATCH(LEFT(AE170,9),MTR!C:C,0),COLUMN(J170)),TRUE) &amp; "")</f>
        <v>Partially Complies</v>
      </c>
      <c r="AG170" s="157" t="str">
        <f t="shared" si="5"/>
        <v/>
      </c>
      <c r="AH170" s="152"/>
      <c r="AI170" s="152"/>
      <c r="AJ170" s="152"/>
      <c r="AK170" s="152"/>
      <c r="AL170" s="152"/>
      <c r="AM170" s="152"/>
      <c r="AN170" s="152"/>
      <c r="AO170" s="152"/>
      <c r="AP170" s="152"/>
      <c r="AQ170" s="152"/>
      <c r="AR170" s="152"/>
    </row>
    <row r="171" ht="12.75" customHeight="1">
      <c r="A171" s="244" t="s">
        <v>5158</v>
      </c>
      <c r="B171" s="244" t="s">
        <v>12721</v>
      </c>
      <c r="C171" s="244" t="s">
        <v>13152</v>
      </c>
      <c r="D171" s="154" t="s">
        <v>1315</v>
      </c>
      <c r="E171" s="154"/>
      <c r="F171" s="154" t="str">
        <f t="array" ref="F171">XLOOKUP(Cover!$D$12,$P$1:$X$1,$P171:$X171)</f>
        <v>Recommended</v>
      </c>
      <c r="G171" s="154" t="s">
        <v>13153</v>
      </c>
      <c r="H171" s="154" t="s">
        <v>13144</v>
      </c>
      <c r="I171" s="154" t="s">
        <v>13140</v>
      </c>
      <c r="J171" s="154" t="s">
        <v>6905</v>
      </c>
      <c r="K171" s="154"/>
      <c r="L171" s="154" t="s">
        <v>759</v>
      </c>
      <c r="M171" s="247" t="s">
        <v>516</v>
      </c>
      <c r="N171" s="247" t="s">
        <v>13145</v>
      </c>
      <c r="O171" s="240" t="str">
        <f t="shared" si="1"/>
        <v/>
      </c>
      <c r="P171" s="154" t="s">
        <v>66</v>
      </c>
      <c r="Q171" s="154" t="s">
        <v>66</v>
      </c>
      <c r="R171" s="154" t="s">
        <v>64</v>
      </c>
      <c r="S171" s="154" t="s">
        <v>64</v>
      </c>
      <c r="T171" s="154" t="s">
        <v>64</v>
      </c>
      <c r="U171" s="154" t="s">
        <v>64</v>
      </c>
      <c r="V171" s="154" t="s">
        <v>66</v>
      </c>
      <c r="W171" s="154" t="s">
        <v>64</v>
      </c>
      <c r="X171" s="154" t="s">
        <v>64</v>
      </c>
      <c r="Y171" s="154"/>
      <c r="Z171" s="242" t="b">
        <f t="shared" si="2"/>
        <v>1</v>
      </c>
      <c r="AA171" s="154" t="s">
        <v>391</v>
      </c>
      <c r="AB171" s="242" t="b">
        <f t="shared" si="3"/>
        <v>0</v>
      </c>
      <c r="AC171" s="154"/>
      <c r="AD171" s="242" t="b">
        <f t="shared" si="4"/>
        <v>0</v>
      </c>
      <c r="AE171" s="154" t="s">
        <v>1610</v>
      </c>
      <c r="AF171" s="243" t="str">
        <f>IF(AE171="","N/A",INDIRECT("MTR!"&amp;ADDRESS(MATCH(LEFT(AE171,9),MTR!C:C,0),COLUMN(J171)),TRUE) &amp; "")</f>
        <v>Partially Complies</v>
      </c>
      <c r="AG171" s="157" t="str">
        <f t="shared" si="5"/>
        <v/>
      </c>
      <c r="AH171" s="152"/>
      <c r="AI171" s="152"/>
      <c r="AJ171" s="152"/>
      <c r="AK171" s="152"/>
      <c r="AL171" s="152"/>
      <c r="AM171" s="152"/>
      <c r="AN171" s="152"/>
      <c r="AO171" s="152"/>
      <c r="AP171" s="152"/>
      <c r="AQ171" s="152"/>
      <c r="AR171" s="152"/>
    </row>
    <row r="172" ht="12.75" customHeight="1">
      <c r="A172" s="244" t="s">
        <v>5158</v>
      </c>
      <c r="B172" s="244" t="s">
        <v>12721</v>
      </c>
      <c r="C172" s="244" t="s">
        <v>13154</v>
      </c>
      <c r="D172" s="154" t="s">
        <v>45</v>
      </c>
      <c r="E172" s="154"/>
      <c r="F172" s="154" t="str">
        <f t="array" ref="F172">XLOOKUP(Cover!$D$12,$P$1:$X$1,$P172:$X172)</f>
        <v>Recommended</v>
      </c>
      <c r="G172" s="154" t="s">
        <v>13155</v>
      </c>
      <c r="H172" s="154" t="s">
        <v>13139</v>
      </c>
      <c r="I172" s="154" t="s">
        <v>13140</v>
      </c>
      <c r="J172" s="154" t="s">
        <v>10718</v>
      </c>
      <c r="K172" s="154"/>
      <c r="L172" s="154" t="s">
        <v>759</v>
      </c>
      <c r="M172" s="247" t="s">
        <v>516</v>
      </c>
      <c r="N172" s="247" t="s">
        <v>13156</v>
      </c>
      <c r="O172" s="240" t="str">
        <f t="shared" si="1"/>
        <v/>
      </c>
      <c r="P172" s="154" t="s">
        <v>66</v>
      </c>
      <c r="Q172" s="154" t="s">
        <v>66</v>
      </c>
      <c r="R172" s="154" t="s">
        <v>64</v>
      </c>
      <c r="S172" s="154" t="s">
        <v>64</v>
      </c>
      <c r="T172" s="154" t="s">
        <v>64</v>
      </c>
      <c r="U172" s="154" t="s">
        <v>64</v>
      </c>
      <c r="V172" s="154" t="s">
        <v>66</v>
      </c>
      <c r="W172" s="154" t="s">
        <v>64</v>
      </c>
      <c r="X172" s="154" t="s">
        <v>64</v>
      </c>
      <c r="Y172" s="154"/>
      <c r="Z172" s="242" t="b">
        <f t="shared" si="2"/>
        <v>1</v>
      </c>
      <c r="AA172" s="154" t="s">
        <v>391</v>
      </c>
      <c r="AB172" s="242" t="b">
        <f t="shared" si="3"/>
        <v>0</v>
      </c>
      <c r="AC172" s="154"/>
      <c r="AD172" s="242" t="b">
        <f t="shared" si="4"/>
        <v>0</v>
      </c>
      <c r="AE172" s="154" t="s">
        <v>1610</v>
      </c>
      <c r="AF172" s="243" t="str">
        <f>IF(AE172="","N/A",INDIRECT("MTR!"&amp;ADDRESS(MATCH(LEFT(AE172,9),MTR!C:C,0),COLUMN(J172)),TRUE) &amp; "")</f>
        <v>Partially Complies</v>
      </c>
      <c r="AG172" s="157" t="str">
        <f t="shared" si="5"/>
        <v/>
      </c>
      <c r="AH172" s="152"/>
      <c r="AI172" s="152"/>
      <c r="AJ172" s="152"/>
      <c r="AK172" s="152"/>
      <c r="AL172" s="152"/>
      <c r="AM172" s="152"/>
      <c r="AN172" s="152"/>
      <c r="AO172" s="152"/>
      <c r="AP172" s="152"/>
      <c r="AQ172" s="152"/>
      <c r="AR172" s="152"/>
    </row>
    <row r="173" ht="12.75" customHeight="1">
      <c r="A173" s="244" t="s">
        <v>5158</v>
      </c>
      <c r="B173" s="244" t="s">
        <v>12721</v>
      </c>
      <c r="C173" s="244" t="s">
        <v>13157</v>
      </c>
      <c r="D173" s="154" t="s">
        <v>1315</v>
      </c>
      <c r="E173" s="154"/>
      <c r="F173" s="154" t="str">
        <f t="array" ref="F173">XLOOKUP(Cover!$D$12,$P$1:$X$1,$P173:$X173)</f>
        <v>Information</v>
      </c>
      <c r="G173" s="154" t="s">
        <v>13158</v>
      </c>
      <c r="H173" s="154" t="s">
        <v>13159</v>
      </c>
      <c r="I173" s="154" t="s">
        <v>13160</v>
      </c>
      <c r="J173" s="154" t="s">
        <v>6140</v>
      </c>
      <c r="K173" s="154"/>
      <c r="L173" s="154" t="s">
        <v>759</v>
      </c>
      <c r="M173" s="247" t="s">
        <v>506</v>
      </c>
      <c r="N173" s="247" t="s">
        <v>12738</v>
      </c>
      <c r="O173" s="240" t="str">
        <f t="shared" si="1"/>
        <v/>
      </c>
      <c r="P173" s="154" t="s">
        <v>66</v>
      </c>
      <c r="Q173" s="154" t="s">
        <v>66</v>
      </c>
      <c r="R173" s="154" t="s">
        <v>66</v>
      </c>
      <c r="S173" s="154" t="s">
        <v>66</v>
      </c>
      <c r="T173" s="154" t="s">
        <v>66</v>
      </c>
      <c r="U173" s="154" t="s">
        <v>66</v>
      </c>
      <c r="V173" s="154" t="s">
        <v>66</v>
      </c>
      <c r="W173" s="154" t="s">
        <v>66</v>
      </c>
      <c r="X173" s="154" t="s">
        <v>66</v>
      </c>
      <c r="Y173" s="154"/>
      <c r="Z173" s="242" t="b">
        <f t="shared" si="2"/>
        <v>1</v>
      </c>
      <c r="AA173" s="154" t="s">
        <v>391</v>
      </c>
      <c r="AB173" s="242" t="b">
        <f t="shared" si="3"/>
        <v>0</v>
      </c>
      <c r="AC173" s="154"/>
      <c r="AD173" s="242" t="b">
        <f t="shared" si="4"/>
        <v>0</v>
      </c>
      <c r="AE173" s="154" t="s">
        <v>1610</v>
      </c>
      <c r="AF173" s="243" t="str">
        <f>IF(AE173="","N/A",INDIRECT("MTR!"&amp;ADDRESS(MATCH(LEFT(AE173,9),MTR!C:C,0),COLUMN(J173)),TRUE) &amp; "")</f>
        <v>Partially Complies</v>
      </c>
      <c r="AG173" s="157" t="str">
        <f t="shared" si="5"/>
        <v/>
      </c>
      <c r="AH173" s="152"/>
      <c r="AI173" s="152"/>
      <c r="AJ173" s="152"/>
      <c r="AK173" s="152"/>
      <c r="AL173" s="152"/>
      <c r="AM173" s="152"/>
      <c r="AN173" s="152"/>
      <c r="AO173" s="152"/>
      <c r="AP173" s="152"/>
      <c r="AQ173" s="152"/>
      <c r="AR173" s="152"/>
    </row>
    <row r="174" ht="12.75" customHeight="1">
      <c r="A174" s="244" t="s">
        <v>5158</v>
      </c>
      <c r="B174" s="244" t="s">
        <v>12721</v>
      </c>
      <c r="C174" s="244" t="s">
        <v>13161</v>
      </c>
      <c r="D174" s="154" t="s">
        <v>1315</v>
      </c>
      <c r="E174" s="154"/>
      <c r="F174" s="154" t="str">
        <f t="array" ref="F174">XLOOKUP(Cover!$D$12,$P$1:$X$1,$P174:$X174)</f>
        <v>Information</v>
      </c>
      <c r="G174" s="154" t="s">
        <v>13162</v>
      </c>
      <c r="H174" s="154" t="s">
        <v>13163</v>
      </c>
      <c r="I174" s="154" t="s">
        <v>13164</v>
      </c>
      <c r="J174" s="154" t="s">
        <v>6884</v>
      </c>
      <c r="K174" s="154"/>
      <c r="L174" s="154" t="s">
        <v>759</v>
      </c>
      <c r="M174" s="247" t="s">
        <v>506</v>
      </c>
      <c r="N174" s="247" t="s">
        <v>12738</v>
      </c>
      <c r="O174" s="240" t="str">
        <f t="shared" si="1"/>
        <v/>
      </c>
      <c r="P174" s="154" t="s">
        <v>66</v>
      </c>
      <c r="Q174" s="154" t="s">
        <v>66</v>
      </c>
      <c r="R174" s="154" t="s">
        <v>66</v>
      </c>
      <c r="S174" s="154" t="s">
        <v>66</v>
      </c>
      <c r="T174" s="154" t="s">
        <v>66</v>
      </c>
      <c r="U174" s="154" t="s">
        <v>66</v>
      </c>
      <c r="V174" s="154" t="s">
        <v>66</v>
      </c>
      <c r="W174" s="154" t="s">
        <v>66</v>
      </c>
      <c r="X174" s="154" t="s">
        <v>66</v>
      </c>
      <c r="Y174" s="154"/>
      <c r="Z174" s="242" t="b">
        <f t="shared" si="2"/>
        <v>1</v>
      </c>
      <c r="AA174" s="154" t="s">
        <v>391</v>
      </c>
      <c r="AB174" s="242" t="b">
        <f t="shared" si="3"/>
        <v>0</v>
      </c>
      <c r="AC174" s="154"/>
      <c r="AD174" s="242" t="b">
        <f t="shared" si="4"/>
        <v>0</v>
      </c>
      <c r="AE174" s="154" t="s">
        <v>1610</v>
      </c>
      <c r="AF174" s="243" t="str">
        <f>IF(AE174="","N/A",INDIRECT("MTR!"&amp;ADDRESS(MATCH(LEFT(AE174,9),MTR!C:C,0),COLUMN(J174)),TRUE) &amp; "")</f>
        <v>Partially Complies</v>
      </c>
      <c r="AG174" s="157" t="str">
        <f t="shared" si="5"/>
        <v/>
      </c>
      <c r="AH174" s="152"/>
      <c r="AI174" s="152"/>
      <c r="AJ174" s="152"/>
      <c r="AK174" s="152"/>
      <c r="AL174" s="152"/>
      <c r="AM174" s="152"/>
      <c r="AN174" s="152"/>
      <c r="AO174" s="152"/>
      <c r="AP174" s="152"/>
      <c r="AQ174" s="152"/>
      <c r="AR174" s="152"/>
    </row>
    <row r="175" ht="12.75" customHeight="1">
      <c r="A175" s="244" t="s">
        <v>5158</v>
      </c>
      <c r="B175" s="244" t="s">
        <v>12721</v>
      </c>
      <c r="C175" s="244" t="s">
        <v>13165</v>
      </c>
      <c r="D175" s="154" t="s">
        <v>1773</v>
      </c>
      <c r="E175" s="154"/>
      <c r="F175" s="154" t="str">
        <f t="array" ref="F175">XLOOKUP(Cover!$D$12,$P$1:$X$1,$P175:$X175)</f>
        <v>Information</v>
      </c>
      <c r="G175" s="154" t="s">
        <v>13166</v>
      </c>
      <c r="H175" s="154" t="s">
        <v>13167</v>
      </c>
      <c r="I175" s="154" t="s">
        <v>13164</v>
      </c>
      <c r="J175" s="154" t="s">
        <v>7175</v>
      </c>
      <c r="K175" s="154"/>
      <c r="L175" s="154" t="s">
        <v>759</v>
      </c>
      <c r="M175" s="247" t="s">
        <v>516</v>
      </c>
      <c r="N175" s="247" t="s">
        <v>12741</v>
      </c>
      <c r="O175" s="240" t="str">
        <f t="shared" si="1"/>
        <v/>
      </c>
      <c r="P175" s="154" t="s">
        <v>66</v>
      </c>
      <c r="Q175" s="154" t="s">
        <v>66</v>
      </c>
      <c r="R175" s="154" t="s">
        <v>66</v>
      </c>
      <c r="S175" s="154" t="s">
        <v>66</v>
      </c>
      <c r="T175" s="154" t="s">
        <v>66</v>
      </c>
      <c r="U175" s="154" t="s">
        <v>66</v>
      </c>
      <c r="V175" s="154" t="s">
        <v>66</v>
      </c>
      <c r="W175" s="154" t="s">
        <v>66</v>
      </c>
      <c r="X175" s="154" t="s">
        <v>66</v>
      </c>
      <c r="Y175" s="154"/>
      <c r="Z175" s="242" t="b">
        <f t="shared" si="2"/>
        <v>1</v>
      </c>
      <c r="AA175" s="154" t="s">
        <v>391</v>
      </c>
      <c r="AB175" s="242" t="b">
        <f t="shared" si="3"/>
        <v>0</v>
      </c>
      <c r="AC175" s="154"/>
      <c r="AD175" s="242" t="b">
        <f t="shared" si="4"/>
        <v>0</v>
      </c>
      <c r="AE175" s="154" t="s">
        <v>1610</v>
      </c>
      <c r="AF175" s="243" t="str">
        <f>IF(AE175="","N/A",INDIRECT("MTR!"&amp;ADDRESS(MATCH(LEFT(AE175,9),MTR!C:C,0),COLUMN(J175)),TRUE) &amp; "")</f>
        <v>Partially Complies</v>
      </c>
      <c r="AG175" s="157" t="str">
        <f t="shared" si="5"/>
        <v/>
      </c>
      <c r="AH175" s="152"/>
      <c r="AI175" s="152"/>
      <c r="AJ175" s="152"/>
      <c r="AK175" s="152"/>
      <c r="AL175" s="152"/>
      <c r="AM175" s="152"/>
      <c r="AN175" s="152"/>
      <c r="AO175" s="152"/>
      <c r="AP175" s="152"/>
      <c r="AQ175" s="152"/>
      <c r="AR175" s="152"/>
    </row>
    <row r="176" ht="12.75" customHeight="1">
      <c r="A176" s="244" t="s">
        <v>5158</v>
      </c>
      <c r="B176" s="244" t="s">
        <v>12721</v>
      </c>
      <c r="C176" s="255" t="s">
        <v>13168</v>
      </c>
      <c r="D176" s="256" t="s">
        <v>42</v>
      </c>
      <c r="E176" s="256" t="s">
        <v>489</v>
      </c>
      <c r="F176" s="154" t="str">
        <f t="array" ref="F176">XLOOKUP(Cover!$D$12,$P$1:$X$1,$P176:$X176)</f>
        <v>Information</v>
      </c>
      <c r="G176" s="154" t="s">
        <v>13169</v>
      </c>
      <c r="H176" s="154" t="s">
        <v>13163</v>
      </c>
      <c r="I176" s="154" t="s">
        <v>13164</v>
      </c>
      <c r="J176" s="154" t="s">
        <v>5931</v>
      </c>
      <c r="K176" s="154"/>
      <c r="L176" s="154" t="s">
        <v>759</v>
      </c>
      <c r="M176" s="247" t="s">
        <v>516</v>
      </c>
      <c r="N176" s="247" t="s">
        <v>12792</v>
      </c>
      <c r="O176" s="240" t="str">
        <f t="shared" si="1"/>
        <v/>
      </c>
      <c r="P176" s="154" t="s">
        <v>66</v>
      </c>
      <c r="Q176" s="154" t="s">
        <v>66</v>
      </c>
      <c r="R176" s="154" t="s">
        <v>66</v>
      </c>
      <c r="S176" s="154" t="s">
        <v>66</v>
      </c>
      <c r="T176" s="154" t="s">
        <v>66</v>
      </c>
      <c r="U176" s="154" t="s">
        <v>66</v>
      </c>
      <c r="V176" s="154" t="s">
        <v>66</v>
      </c>
      <c r="W176" s="154" t="s">
        <v>66</v>
      </c>
      <c r="X176" s="154" t="s">
        <v>66</v>
      </c>
      <c r="Y176" s="154"/>
      <c r="Z176" s="242" t="b">
        <f t="shared" si="2"/>
        <v>1</v>
      </c>
      <c r="AA176" s="154" t="s">
        <v>391</v>
      </c>
      <c r="AB176" s="242" t="b">
        <f t="shared" si="3"/>
        <v>0</v>
      </c>
      <c r="AC176" s="154"/>
      <c r="AD176" s="242" t="b">
        <f t="shared" si="4"/>
        <v>0</v>
      </c>
      <c r="AE176" s="154" t="s">
        <v>1610</v>
      </c>
      <c r="AF176" s="243" t="str">
        <f>IF(AE176="","N/A",INDIRECT("MTR!"&amp;ADDRESS(MATCH(LEFT(AE176,9),MTR!C:C,0),COLUMN(J176)),TRUE) &amp; "")</f>
        <v>Partially Complies</v>
      </c>
      <c r="AG176" s="157" t="str">
        <f t="shared" si="5"/>
        <v/>
      </c>
      <c r="AH176" s="152"/>
      <c r="AI176" s="152"/>
      <c r="AJ176" s="152"/>
      <c r="AK176" s="152"/>
      <c r="AL176" s="152"/>
      <c r="AM176" s="152"/>
      <c r="AN176" s="152"/>
      <c r="AO176" s="152"/>
      <c r="AP176" s="152"/>
      <c r="AQ176" s="152"/>
      <c r="AR176" s="152"/>
    </row>
    <row r="177" ht="12.75" customHeight="1">
      <c r="A177" s="244" t="s">
        <v>5158</v>
      </c>
      <c r="B177" s="244" t="s">
        <v>12721</v>
      </c>
      <c r="C177" s="255" t="s">
        <v>13170</v>
      </c>
      <c r="D177" s="256" t="s">
        <v>42</v>
      </c>
      <c r="E177" s="256" t="s">
        <v>489</v>
      </c>
      <c r="F177" s="154" t="str">
        <f t="array" ref="F177">XLOOKUP(Cover!$D$12,$P$1:$X$1,$P177:$X177)</f>
        <v>Information</v>
      </c>
      <c r="G177" s="154" t="s">
        <v>13171</v>
      </c>
      <c r="H177" s="154" t="s">
        <v>13167</v>
      </c>
      <c r="I177" s="154" t="s">
        <v>13164</v>
      </c>
      <c r="J177" s="154" t="s">
        <v>5931</v>
      </c>
      <c r="K177" s="154"/>
      <c r="L177" s="154" t="s">
        <v>759</v>
      </c>
      <c r="M177" s="247" t="s">
        <v>516</v>
      </c>
      <c r="N177" s="247" t="s">
        <v>12795</v>
      </c>
      <c r="O177" s="240" t="str">
        <f t="shared" si="1"/>
        <v/>
      </c>
      <c r="P177" s="154" t="s">
        <v>66</v>
      </c>
      <c r="Q177" s="154" t="s">
        <v>66</v>
      </c>
      <c r="R177" s="154" t="s">
        <v>66</v>
      </c>
      <c r="S177" s="154" t="s">
        <v>66</v>
      </c>
      <c r="T177" s="154" t="s">
        <v>66</v>
      </c>
      <c r="U177" s="154" t="s">
        <v>66</v>
      </c>
      <c r="V177" s="154" t="s">
        <v>66</v>
      </c>
      <c r="W177" s="154" t="s">
        <v>66</v>
      </c>
      <c r="X177" s="154" t="s">
        <v>66</v>
      </c>
      <c r="Y177" s="154"/>
      <c r="Z177" s="242" t="b">
        <f t="shared" si="2"/>
        <v>1</v>
      </c>
      <c r="AA177" s="154" t="s">
        <v>391</v>
      </c>
      <c r="AB177" s="242" t="b">
        <f t="shared" si="3"/>
        <v>0</v>
      </c>
      <c r="AC177" s="154"/>
      <c r="AD177" s="242" t="b">
        <f t="shared" si="4"/>
        <v>0</v>
      </c>
      <c r="AE177" s="154" t="s">
        <v>1610</v>
      </c>
      <c r="AF177" s="243" t="str">
        <f>IF(AE177="","N/A",INDIRECT("MTR!"&amp;ADDRESS(MATCH(LEFT(AE177,9),MTR!C:C,0),COLUMN(J177)),TRUE) &amp; "")</f>
        <v>Partially Complies</v>
      </c>
      <c r="AG177" s="157" t="str">
        <f t="shared" si="5"/>
        <v/>
      </c>
      <c r="AH177" s="152"/>
      <c r="AI177" s="152"/>
      <c r="AJ177" s="152"/>
      <c r="AK177" s="152"/>
      <c r="AL177" s="152"/>
      <c r="AM177" s="152"/>
      <c r="AN177" s="152"/>
      <c r="AO177" s="152"/>
      <c r="AP177" s="152"/>
      <c r="AQ177" s="152"/>
      <c r="AR177" s="152"/>
    </row>
    <row r="178" ht="12.75" customHeight="1">
      <c r="A178" s="244" t="s">
        <v>5158</v>
      </c>
      <c r="B178" s="244" t="s">
        <v>12721</v>
      </c>
      <c r="C178" s="244" t="s">
        <v>13172</v>
      </c>
      <c r="D178" s="154" t="s">
        <v>1315</v>
      </c>
      <c r="E178" s="154"/>
      <c r="F178" s="154" t="str">
        <f t="array" ref="F178">XLOOKUP(Cover!$D$12,$P$1:$X$1,$P178:$X178)</f>
        <v>Mandatory</v>
      </c>
      <c r="G178" s="154" t="s">
        <v>13173</v>
      </c>
      <c r="H178" s="154" t="s">
        <v>13174</v>
      </c>
      <c r="I178" s="154" t="s">
        <v>13175</v>
      </c>
      <c r="J178" s="154" t="s">
        <v>6140</v>
      </c>
      <c r="K178" s="154" t="s">
        <v>1018</v>
      </c>
      <c r="L178" s="154" t="s">
        <v>759</v>
      </c>
      <c r="M178" s="247" t="s">
        <v>506</v>
      </c>
      <c r="N178" s="247" t="s">
        <v>12738</v>
      </c>
      <c r="O178" s="240" t="str">
        <f t="shared" si="1"/>
        <v/>
      </c>
      <c r="P178" s="154" t="s">
        <v>66</v>
      </c>
      <c r="Q178" s="154" t="s">
        <v>66</v>
      </c>
      <c r="R178" s="154" t="s">
        <v>60</v>
      </c>
      <c r="S178" s="154" t="s">
        <v>60</v>
      </c>
      <c r="T178" s="154" t="s">
        <v>60</v>
      </c>
      <c r="U178" s="154" t="s">
        <v>60</v>
      </c>
      <c r="V178" s="154" t="s">
        <v>66</v>
      </c>
      <c r="W178" s="154" t="s">
        <v>60</v>
      </c>
      <c r="X178" s="154" t="s">
        <v>60</v>
      </c>
      <c r="Y178" s="154"/>
      <c r="Z178" s="242" t="b">
        <f t="shared" si="2"/>
        <v>1</v>
      </c>
      <c r="AA178" s="154" t="s">
        <v>391</v>
      </c>
      <c r="AB178" s="242" t="b">
        <f t="shared" si="3"/>
        <v>0</v>
      </c>
      <c r="AC178" s="154"/>
      <c r="AD178" s="242" t="b">
        <f t="shared" si="4"/>
        <v>0</v>
      </c>
      <c r="AE178" s="154" t="s">
        <v>1610</v>
      </c>
      <c r="AF178" s="243" t="str">
        <f>IF(AE178="","N/A",INDIRECT("MTR!"&amp;ADDRESS(MATCH(LEFT(AE178,9),MTR!C:C,0),COLUMN(J178)),TRUE) &amp; "")</f>
        <v>Partially Complies</v>
      </c>
      <c r="AG178" s="157" t="str">
        <f t="shared" si="5"/>
        <v/>
      </c>
      <c r="AH178" s="152"/>
      <c r="AI178" s="152"/>
      <c r="AJ178" s="152"/>
      <c r="AK178" s="152"/>
      <c r="AL178" s="152"/>
      <c r="AM178" s="152"/>
      <c r="AN178" s="152"/>
      <c r="AO178" s="152"/>
      <c r="AP178" s="152"/>
      <c r="AQ178" s="152"/>
      <c r="AR178" s="152"/>
    </row>
    <row r="179" ht="12.75" customHeight="1">
      <c r="A179" s="244" t="s">
        <v>5158</v>
      </c>
      <c r="B179" s="244" t="s">
        <v>12721</v>
      </c>
      <c r="C179" s="244" t="s">
        <v>13176</v>
      </c>
      <c r="D179" s="154" t="s">
        <v>1315</v>
      </c>
      <c r="E179" s="154"/>
      <c r="F179" s="154" t="str">
        <f t="array" ref="F179">XLOOKUP(Cover!$D$12,$P$1:$X$1,$P179:$X179)</f>
        <v>Mandatory</v>
      </c>
      <c r="G179" s="154" t="s">
        <v>13177</v>
      </c>
      <c r="H179" s="154" t="s">
        <v>13174</v>
      </c>
      <c r="I179" s="154" t="s">
        <v>13175</v>
      </c>
      <c r="J179" s="154" t="s">
        <v>6905</v>
      </c>
      <c r="K179" s="154" t="s">
        <v>1018</v>
      </c>
      <c r="L179" s="154" t="s">
        <v>759</v>
      </c>
      <c r="M179" s="247" t="s">
        <v>506</v>
      </c>
      <c r="N179" s="247" t="s">
        <v>12738</v>
      </c>
      <c r="O179" s="240" t="str">
        <f t="shared" si="1"/>
        <v/>
      </c>
      <c r="P179" s="154" t="s">
        <v>66</v>
      </c>
      <c r="Q179" s="154" t="s">
        <v>66</v>
      </c>
      <c r="R179" s="154" t="s">
        <v>60</v>
      </c>
      <c r="S179" s="154" t="s">
        <v>60</v>
      </c>
      <c r="T179" s="154" t="s">
        <v>60</v>
      </c>
      <c r="U179" s="154" t="s">
        <v>60</v>
      </c>
      <c r="V179" s="154" t="s">
        <v>66</v>
      </c>
      <c r="W179" s="154" t="s">
        <v>60</v>
      </c>
      <c r="X179" s="154" t="s">
        <v>60</v>
      </c>
      <c r="Y179" s="154"/>
      <c r="Z179" s="242" t="b">
        <f t="shared" si="2"/>
        <v>1</v>
      </c>
      <c r="AA179" s="154" t="s">
        <v>391</v>
      </c>
      <c r="AB179" s="242" t="b">
        <f t="shared" si="3"/>
        <v>0</v>
      </c>
      <c r="AC179" s="154"/>
      <c r="AD179" s="242" t="b">
        <f t="shared" si="4"/>
        <v>0</v>
      </c>
      <c r="AE179" s="154" t="s">
        <v>1610</v>
      </c>
      <c r="AF179" s="243" t="str">
        <f>IF(AE179="","N/A",INDIRECT("MTR!"&amp;ADDRESS(MATCH(LEFT(AE179,9),MTR!C:C,0),COLUMN(J179)),TRUE) &amp; "")</f>
        <v>Partially Complies</v>
      </c>
      <c r="AG179" s="157" t="str">
        <f t="shared" si="5"/>
        <v/>
      </c>
      <c r="AH179" s="152"/>
      <c r="AI179" s="152"/>
      <c r="AJ179" s="152"/>
      <c r="AK179" s="152"/>
      <c r="AL179" s="152"/>
      <c r="AM179" s="152"/>
      <c r="AN179" s="152"/>
      <c r="AO179" s="152"/>
      <c r="AP179" s="152"/>
      <c r="AQ179" s="152"/>
      <c r="AR179" s="152"/>
    </row>
    <row r="180" ht="12.75" customHeight="1">
      <c r="A180" s="244" t="s">
        <v>5158</v>
      </c>
      <c r="B180" s="244" t="s">
        <v>12721</v>
      </c>
      <c r="C180" s="244" t="s">
        <v>13178</v>
      </c>
      <c r="D180" s="154" t="s">
        <v>1315</v>
      </c>
      <c r="E180" s="154"/>
      <c r="F180" s="154" t="str">
        <f t="array" ref="F180">XLOOKUP(Cover!$D$12,$P$1:$X$1,$P180:$X180)</f>
        <v>Mandatory</v>
      </c>
      <c r="G180" s="154" t="s">
        <v>13179</v>
      </c>
      <c r="H180" s="154" t="s">
        <v>13180</v>
      </c>
      <c r="I180" s="154" t="s">
        <v>13175</v>
      </c>
      <c r="J180" s="154" t="s">
        <v>6905</v>
      </c>
      <c r="K180" s="154" t="s">
        <v>1018</v>
      </c>
      <c r="L180" s="154" t="s">
        <v>759</v>
      </c>
      <c r="M180" s="247" t="s">
        <v>516</v>
      </c>
      <c r="N180" s="247" t="s">
        <v>12741</v>
      </c>
      <c r="O180" s="240" t="str">
        <f t="shared" si="1"/>
        <v/>
      </c>
      <c r="P180" s="154" t="s">
        <v>66</v>
      </c>
      <c r="Q180" s="154" t="s">
        <v>66</v>
      </c>
      <c r="R180" s="155" t="s">
        <v>64</v>
      </c>
      <c r="S180" s="155" t="s">
        <v>64</v>
      </c>
      <c r="T180" s="154" t="s">
        <v>60</v>
      </c>
      <c r="U180" s="154" t="s">
        <v>60</v>
      </c>
      <c r="V180" s="154" t="s">
        <v>66</v>
      </c>
      <c r="W180" s="155" t="s">
        <v>64</v>
      </c>
      <c r="X180" s="154" t="s">
        <v>60</v>
      </c>
      <c r="Y180" s="154"/>
      <c r="Z180" s="242" t="b">
        <f t="shared" si="2"/>
        <v>1</v>
      </c>
      <c r="AA180" s="154" t="s">
        <v>391</v>
      </c>
      <c r="AB180" s="242" t="b">
        <f t="shared" si="3"/>
        <v>0</v>
      </c>
      <c r="AC180" s="154"/>
      <c r="AD180" s="242" t="b">
        <f t="shared" si="4"/>
        <v>0</v>
      </c>
      <c r="AE180" s="154" t="s">
        <v>1610</v>
      </c>
      <c r="AF180" s="243" t="str">
        <f>IF(AE180="","N/A",INDIRECT("MTR!"&amp;ADDRESS(MATCH(LEFT(AE180,9),MTR!C:C,0),COLUMN(J180)),TRUE) &amp; "")</f>
        <v>Partially Complies</v>
      </c>
      <c r="AG180" s="157" t="str">
        <f t="shared" si="5"/>
        <v/>
      </c>
      <c r="AH180" s="152"/>
      <c r="AI180" s="152"/>
      <c r="AJ180" s="152"/>
      <c r="AK180" s="152"/>
      <c r="AL180" s="152"/>
      <c r="AM180" s="152"/>
      <c r="AN180" s="152"/>
      <c r="AO180" s="152"/>
      <c r="AP180" s="152"/>
      <c r="AQ180" s="152"/>
      <c r="AR180" s="152"/>
    </row>
    <row r="181" ht="12.75" customHeight="1">
      <c r="A181" s="244" t="s">
        <v>5158</v>
      </c>
      <c r="B181" s="244" t="s">
        <v>12721</v>
      </c>
      <c r="C181" s="244" t="s">
        <v>13181</v>
      </c>
      <c r="D181" s="154" t="s">
        <v>1315</v>
      </c>
      <c r="E181" s="154"/>
      <c r="F181" s="154" t="str">
        <f t="array" ref="F181">XLOOKUP(Cover!$D$12,$P$1:$X$1,$P181:$X181)</f>
        <v>Recommended</v>
      </c>
      <c r="G181" s="154" t="s">
        <v>13182</v>
      </c>
      <c r="H181" s="154" t="s">
        <v>13174</v>
      </c>
      <c r="I181" s="154" t="s">
        <v>13175</v>
      </c>
      <c r="J181" s="154" t="s">
        <v>6905</v>
      </c>
      <c r="K181" s="154"/>
      <c r="L181" s="154" t="s">
        <v>759</v>
      </c>
      <c r="M181" s="247" t="s">
        <v>506</v>
      </c>
      <c r="N181" s="247" t="s">
        <v>12738</v>
      </c>
      <c r="O181" s="240" t="str">
        <f t="shared" si="1"/>
        <v/>
      </c>
      <c r="P181" s="154" t="s">
        <v>66</v>
      </c>
      <c r="Q181" s="154" t="s">
        <v>66</v>
      </c>
      <c r="R181" s="154" t="s">
        <v>64</v>
      </c>
      <c r="S181" s="154" t="s">
        <v>64</v>
      </c>
      <c r="T181" s="154" t="s">
        <v>64</v>
      </c>
      <c r="U181" s="154" t="s">
        <v>64</v>
      </c>
      <c r="V181" s="154" t="s">
        <v>66</v>
      </c>
      <c r="W181" s="154" t="s">
        <v>64</v>
      </c>
      <c r="X181" s="154" t="s">
        <v>64</v>
      </c>
      <c r="Y181" s="154"/>
      <c r="Z181" s="242" t="b">
        <f t="shared" si="2"/>
        <v>1</v>
      </c>
      <c r="AA181" s="154" t="s">
        <v>391</v>
      </c>
      <c r="AB181" s="242" t="b">
        <f t="shared" si="3"/>
        <v>0</v>
      </c>
      <c r="AC181" s="154"/>
      <c r="AD181" s="242" t="b">
        <f t="shared" si="4"/>
        <v>0</v>
      </c>
      <c r="AE181" s="154" t="s">
        <v>1610</v>
      </c>
      <c r="AF181" s="243" t="str">
        <f>IF(AE181="","N/A",INDIRECT("MTR!"&amp;ADDRESS(MATCH(LEFT(AE181,9),MTR!C:C,0),COLUMN(J181)),TRUE) &amp; "")</f>
        <v>Partially Complies</v>
      </c>
      <c r="AG181" s="157" t="str">
        <f t="shared" si="5"/>
        <v/>
      </c>
      <c r="AH181" s="152"/>
      <c r="AI181" s="152"/>
      <c r="AJ181" s="152"/>
      <c r="AK181" s="152"/>
      <c r="AL181" s="152"/>
      <c r="AM181" s="152"/>
      <c r="AN181" s="152"/>
      <c r="AO181" s="152"/>
      <c r="AP181" s="152"/>
      <c r="AQ181" s="152"/>
      <c r="AR181" s="152"/>
    </row>
    <row r="182" ht="12.75" customHeight="1">
      <c r="A182" s="244" t="s">
        <v>5158</v>
      </c>
      <c r="B182" s="244" t="s">
        <v>12721</v>
      </c>
      <c r="C182" s="244" t="s">
        <v>13183</v>
      </c>
      <c r="D182" s="154" t="s">
        <v>1315</v>
      </c>
      <c r="E182" s="154"/>
      <c r="F182" s="154" t="str">
        <f t="array" ref="F182">XLOOKUP(Cover!$D$12,$P$1:$X$1,$P182:$X182)</f>
        <v>Recommended</v>
      </c>
      <c r="G182" s="154" t="s">
        <v>13184</v>
      </c>
      <c r="H182" s="154" t="s">
        <v>13180</v>
      </c>
      <c r="I182" s="154" t="s">
        <v>13175</v>
      </c>
      <c r="J182" s="154" t="s">
        <v>6905</v>
      </c>
      <c r="K182" s="154"/>
      <c r="L182" s="154" t="s">
        <v>759</v>
      </c>
      <c r="M182" s="247" t="s">
        <v>516</v>
      </c>
      <c r="N182" s="247" t="s">
        <v>12741</v>
      </c>
      <c r="O182" s="240" t="str">
        <f t="shared" si="1"/>
        <v/>
      </c>
      <c r="P182" s="154" t="s">
        <v>66</v>
      </c>
      <c r="Q182" s="154" t="s">
        <v>66</v>
      </c>
      <c r="R182" s="154" t="s">
        <v>64</v>
      </c>
      <c r="S182" s="154" t="s">
        <v>64</v>
      </c>
      <c r="T182" s="154" t="s">
        <v>64</v>
      </c>
      <c r="U182" s="154" t="s">
        <v>64</v>
      </c>
      <c r="V182" s="154" t="s">
        <v>66</v>
      </c>
      <c r="W182" s="154" t="s">
        <v>64</v>
      </c>
      <c r="X182" s="154" t="s">
        <v>64</v>
      </c>
      <c r="Y182" s="154"/>
      <c r="Z182" s="242" t="b">
        <f t="shared" si="2"/>
        <v>1</v>
      </c>
      <c r="AA182" s="154" t="s">
        <v>391</v>
      </c>
      <c r="AB182" s="242" t="b">
        <f t="shared" si="3"/>
        <v>0</v>
      </c>
      <c r="AC182" s="154"/>
      <c r="AD182" s="242" t="b">
        <f t="shared" si="4"/>
        <v>0</v>
      </c>
      <c r="AE182" s="154" t="s">
        <v>1610</v>
      </c>
      <c r="AF182" s="243" t="str">
        <f>IF(AE182="","N/A",INDIRECT("MTR!"&amp;ADDRESS(MATCH(LEFT(AE182,9),MTR!C:C,0),COLUMN(J182)),TRUE) &amp; "")</f>
        <v>Partially Complies</v>
      </c>
      <c r="AG182" s="157" t="str">
        <f t="shared" si="5"/>
        <v/>
      </c>
      <c r="AH182" s="152"/>
      <c r="AI182" s="152"/>
      <c r="AJ182" s="152"/>
      <c r="AK182" s="152"/>
      <c r="AL182" s="152"/>
      <c r="AM182" s="152"/>
      <c r="AN182" s="152"/>
      <c r="AO182" s="152"/>
      <c r="AP182" s="152"/>
      <c r="AQ182" s="152"/>
      <c r="AR182" s="152"/>
    </row>
    <row r="183" ht="12.75" customHeight="1">
      <c r="A183" s="244" t="s">
        <v>5158</v>
      </c>
      <c r="B183" s="244" t="s">
        <v>12721</v>
      </c>
      <c r="C183" s="244" t="s">
        <v>13185</v>
      </c>
      <c r="D183" s="154" t="s">
        <v>45</v>
      </c>
      <c r="E183" s="154"/>
      <c r="F183" s="154" t="str">
        <f t="array" ref="F183">XLOOKUP(Cover!$D$12,$P$1:$X$1,$P183:$X183)</f>
        <v>Mandatory</v>
      </c>
      <c r="G183" s="154" t="s">
        <v>13186</v>
      </c>
      <c r="H183" s="154" t="s">
        <v>12736</v>
      </c>
      <c r="I183" s="154" t="s">
        <v>13187</v>
      </c>
      <c r="J183" s="154" t="s">
        <v>10718</v>
      </c>
      <c r="K183" s="154" t="s">
        <v>1018</v>
      </c>
      <c r="L183" s="154" t="s">
        <v>759</v>
      </c>
      <c r="M183" s="247" t="s">
        <v>516</v>
      </c>
      <c r="N183" s="247" t="s">
        <v>12731</v>
      </c>
      <c r="O183" s="240" t="str">
        <f t="shared" si="1"/>
        <v/>
      </c>
      <c r="P183" s="154" t="s">
        <v>66</v>
      </c>
      <c r="Q183" s="154" t="s">
        <v>66</v>
      </c>
      <c r="R183" s="154" t="s">
        <v>60</v>
      </c>
      <c r="S183" s="154" t="s">
        <v>60</v>
      </c>
      <c r="T183" s="154" t="s">
        <v>60</v>
      </c>
      <c r="U183" s="154" t="s">
        <v>60</v>
      </c>
      <c r="V183" s="154" t="s">
        <v>66</v>
      </c>
      <c r="W183" s="154" t="s">
        <v>60</v>
      </c>
      <c r="X183" s="154" t="s">
        <v>60</v>
      </c>
      <c r="Y183" s="154"/>
      <c r="Z183" s="242" t="b">
        <f t="shared" si="2"/>
        <v>1</v>
      </c>
      <c r="AA183" s="154" t="s">
        <v>391</v>
      </c>
      <c r="AB183" s="242" t="b">
        <f t="shared" si="3"/>
        <v>0</v>
      </c>
      <c r="AC183" s="154"/>
      <c r="AD183" s="242" t="b">
        <f t="shared" si="4"/>
        <v>0</v>
      </c>
      <c r="AE183" s="154" t="s">
        <v>1610</v>
      </c>
      <c r="AF183" s="243" t="str">
        <f>IF(AE183="","N/A",INDIRECT("MTR!"&amp;ADDRESS(MATCH(LEFT(AE183,9),MTR!C:C,0),COLUMN(J183)),TRUE) &amp; "")</f>
        <v>Partially Complies</v>
      </c>
      <c r="AG183" s="157" t="str">
        <f t="shared" si="5"/>
        <v/>
      </c>
      <c r="AH183" s="152"/>
      <c r="AI183" s="152"/>
      <c r="AJ183" s="152"/>
      <c r="AK183" s="152"/>
      <c r="AL183" s="152"/>
      <c r="AM183" s="152"/>
      <c r="AN183" s="152"/>
      <c r="AO183" s="152"/>
      <c r="AP183" s="152"/>
      <c r="AQ183" s="152"/>
      <c r="AR183" s="152"/>
    </row>
    <row r="184" ht="12.75" customHeight="1">
      <c r="A184" s="244" t="s">
        <v>5158</v>
      </c>
      <c r="B184" s="244" t="s">
        <v>12721</v>
      </c>
      <c r="C184" s="244" t="s">
        <v>13188</v>
      </c>
      <c r="D184" s="154" t="s">
        <v>1315</v>
      </c>
      <c r="E184" s="154"/>
      <c r="F184" s="154" t="str">
        <f t="array" ref="F184">XLOOKUP(Cover!$D$12,$P$1:$X$1,$P184:$X184)</f>
        <v>Mandatory</v>
      </c>
      <c r="G184" s="154" t="s">
        <v>13189</v>
      </c>
      <c r="H184" s="154" t="s">
        <v>13190</v>
      </c>
      <c r="I184" s="154" t="s">
        <v>13191</v>
      </c>
      <c r="J184" s="154" t="s">
        <v>6140</v>
      </c>
      <c r="K184" s="154" t="s">
        <v>1018</v>
      </c>
      <c r="L184" s="154" t="s">
        <v>759</v>
      </c>
      <c r="M184" s="247" t="s">
        <v>506</v>
      </c>
      <c r="N184" s="247" t="s">
        <v>12738</v>
      </c>
      <c r="O184" s="240" t="str">
        <f t="shared" si="1"/>
        <v/>
      </c>
      <c r="P184" s="154" t="s">
        <v>66</v>
      </c>
      <c r="Q184" s="154" t="s">
        <v>66</v>
      </c>
      <c r="R184" s="154" t="s">
        <v>60</v>
      </c>
      <c r="S184" s="154" t="s">
        <v>60</v>
      </c>
      <c r="T184" s="154" t="s">
        <v>60</v>
      </c>
      <c r="U184" s="154" t="s">
        <v>60</v>
      </c>
      <c r="V184" s="154" t="s">
        <v>66</v>
      </c>
      <c r="W184" s="154" t="s">
        <v>60</v>
      </c>
      <c r="X184" s="154" t="s">
        <v>60</v>
      </c>
      <c r="Y184" s="154"/>
      <c r="Z184" s="242" t="b">
        <f t="shared" si="2"/>
        <v>1</v>
      </c>
      <c r="AA184" s="154" t="s">
        <v>391</v>
      </c>
      <c r="AB184" s="242" t="b">
        <f t="shared" si="3"/>
        <v>0</v>
      </c>
      <c r="AC184" s="154"/>
      <c r="AD184" s="242" t="b">
        <f t="shared" si="4"/>
        <v>0</v>
      </c>
      <c r="AE184" s="154" t="s">
        <v>1610</v>
      </c>
      <c r="AF184" s="243" t="str">
        <f>IF(AE184="","N/A",INDIRECT("MTR!"&amp;ADDRESS(MATCH(LEFT(AE184,9),MTR!C:C,0),COLUMN(J184)),TRUE) &amp; "")</f>
        <v>Partially Complies</v>
      </c>
      <c r="AG184" s="157" t="str">
        <f t="shared" si="5"/>
        <v/>
      </c>
      <c r="AH184" s="152"/>
      <c r="AI184" s="152"/>
      <c r="AJ184" s="152"/>
      <c r="AK184" s="152"/>
      <c r="AL184" s="152"/>
      <c r="AM184" s="152"/>
      <c r="AN184" s="152"/>
      <c r="AO184" s="152"/>
      <c r="AP184" s="152"/>
      <c r="AQ184" s="152"/>
      <c r="AR184" s="152"/>
    </row>
    <row r="185" ht="12.75" customHeight="1">
      <c r="A185" s="244" t="s">
        <v>5158</v>
      </c>
      <c r="B185" s="244" t="s">
        <v>12721</v>
      </c>
      <c r="C185" s="244" t="s">
        <v>13192</v>
      </c>
      <c r="D185" s="154" t="s">
        <v>1315</v>
      </c>
      <c r="E185" s="154"/>
      <c r="F185" s="154" t="str">
        <f t="array" ref="F185">XLOOKUP(Cover!$D$12,$P$1:$X$1,$P185:$X185)</f>
        <v>Mandatory</v>
      </c>
      <c r="G185" s="154" t="s">
        <v>13193</v>
      </c>
      <c r="H185" s="154" t="s">
        <v>13194</v>
      </c>
      <c r="I185" s="154" t="s">
        <v>13191</v>
      </c>
      <c r="J185" s="154" t="s">
        <v>6140</v>
      </c>
      <c r="K185" s="154" t="s">
        <v>1018</v>
      </c>
      <c r="L185" s="154" t="s">
        <v>759</v>
      </c>
      <c r="M185" s="247" t="s">
        <v>516</v>
      </c>
      <c r="N185" s="247" t="s">
        <v>12741</v>
      </c>
      <c r="O185" s="240" t="str">
        <f t="shared" si="1"/>
        <v/>
      </c>
      <c r="P185" s="154" t="s">
        <v>66</v>
      </c>
      <c r="Q185" s="154" t="s">
        <v>66</v>
      </c>
      <c r="R185" s="155" t="s">
        <v>64</v>
      </c>
      <c r="S185" s="155" t="s">
        <v>64</v>
      </c>
      <c r="T185" s="154" t="s">
        <v>60</v>
      </c>
      <c r="U185" s="154" t="s">
        <v>60</v>
      </c>
      <c r="V185" s="154" t="s">
        <v>66</v>
      </c>
      <c r="W185" s="155" t="s">
        <v>64</v>
      </c>
      <c r="X185" s="154" t="s">
        <v>60</v>
      </c>
      <c r="Y185" s="154"/>
      <c r="Z185" s="242" t="b">
        <f t="shared" si="2"/>
        <v>1</v>
      </c>
      <c r="AA185" s="154" t="s">
        <v>391</v>
      </c>
      <c r="AB185" s="242" t="b">
        <f t="shared" si="3"/>
        <v>0</v>
      </c>
      <c r="AC185" s="154"/>
      <c r="AD185" s="242" t="b">
        <f t="shared" si="4"/>
        <v>0</v>
      </c>
      <c r="AE185" s="154" t="s">
        <v>1610</v>
      </c>
      <c r="AF185" s="243" t="str">
        <f>IF(AE185="","N/A",INDIRECT("MTR!"&amp;ADDRESS(MATCH(LEFT(AE185,9),MTR!C:C,0),COLUMN(J185)),TRUE) &amp; "")</f>
        <v>Partially Complies</v>
      </c>
      <c r="AG185" s="157" t="str">
        <f t="shared" si="5"/>
        <v/>
      </c>
      <c r="AH185" s="152"/>
      <c r="AI185" s="152"/>
      <c r="AJ185" s="152"/>
      <c r="AK185" s="152"/>
      <c r="AL185" s="152"/>
      <c r="AM185" s="152"/>
      <c r="AN185" s="152"/>
      <c r="AO185" s="152"/>
      <c r="AP185" s="152"/>
      <c r="AQ185" s="152"/>
      <c r="AR185" s="152"/>
    </row>
    <row r="186" ht="12.75" customHeight="1">
      <c r="A186" s="244" t="s">
        <v>5158</v>
      </c>
      <c r="B186" s="244" t="s">
        <v>12721</v>
      </c>
      <c r="C186" s="244" t="s">
        <v>13195</v>
      </c>
      <c r="D186" s="154" t="s">
        <v>1315</v>
      </c>
      <c r="E186" s="154"/>
      <c r="F186" s="154" t="str">
        <f t="array" ref="F186">XLOOKUP(Cover!$D$12,$P$1:$X$1,$P186:$X186)</f>
        <v>Recommended</v>
      </c>
      <c r="G186" s="154" t="s">
        <v>13196</v>
      </c>
      <c r="H186" s="154" t="s">
        <v>13190</v>
      </c>
      <c r="I186" s="154" t="s">
        <v>13191</v>
      </c>
      <c r="J186" s="154" t="s">
        <v>6884</v>
      </c>
      <c r="K186" s="154"/>
      <c r="L186" s="154" t="s">
        <v>759</v>
      </c>
      <c r="M186" s="247" t="s">
        <v>506</v>
      </c>
      <c r="N186" s="247" t="s">
        <v>12738</v>
      </c>
      <c r="O186" s="240" t="str">
        <f t="shared" si="1"/>
        <v/>
      </c>
      <c r="P186" s="154" t="s">
        <v>66</v>
      </c>
      <c r="Q186" s="154" t="s">
        <v>66</v>
      </c>
      <c r="R186" s="154" t="s">
        <v>64</v>
      </c>
      <c r="S186" s="154" t="s">
        <v>64</v>
      </c>
      <c r="T186" s="154" t="s">
        <v>64</v>
      </c>
      <c r="U186" s="154" t="s">
        <v>64</v>
      </c>
      <c r="V186" s="154" t="s">
        <v>66</v>
      </c>
      <c r="W186" s="154" t="s">
        <v>64</v>
      </c>
      <c r="X186" s="154" t="s">
        <v>64</v>
      </c>
      <c r="Y186" s="154"/>
      <c r="Z186" s="242" t="b">
        <f t="shared" si="2"/>
        <v>1</v>
      </c>
      <c r="AA186" s="154" t="s">
        <v>391</v>
      </c>
      <c r="AB186" s="242" t="b">
        <f t="shared" si="3"/>
        <v>0</v>
      </c>
      <c r="AC186" s="154"/>
      <c r="AD186" s="242" t="b">
        <f t="shared" si="4"/>
        <v>0</v>
      </c>
      <c r="AE186" s="154" t="s">
        <v>1610</v>
      </c>
      <c r="AF186" s="243" t="str">
        <f>IF(AE186="","N/A",INDIRECT("MTR!"&amp;ADDRESS(MATCH(LEFT(AE186,9),MTR!C:C,0),COLUMN(J186)),TRUE) &amp; "")</f>
        <v>Partially Complies</v>
      </c>
      <c r="AG186" s="157" t="str">
        <f t="shared" si="5"/>
        <v/>
      </c>
      <c r="AH186" s="152"/>
      <c r="AI186" s="152"/>
      <c r="AJ186" s="152"/>
      <c r="AK186" s="152"/>
      <c r="AL186" s="152"/>
      <c r="AM186" s="152"/>
      <c r="AN186" s="152"/>
      <c r="AO186" s="152"/>
      <c r="AP186" s="152"/>
      <c r="AQ186" s="152"/>
      <c r="AR186" s="152"/>
    </row>
    <row r="187" ht="12.75" customHeight="1">
      <c r="A187" s="244" t="s">
        <v>5158</v>
      </c>
      <c r="B187" s="244" t="s">
        <v>12721</v>
      </c>
      <c r="C187" s="244" t="s">
        <v>13197</v>
      </c>
      <c r="D187" s="154" t="s">
        <v>1315</v>
      </c>
      <c r="E187" s="154"/>
      <c r="F187" s="154" t="str">
        <f t="array" ref="F187">XLOOKUP(Cover!$D$12,$P$1:$X$1,$P187:$X187)</f>
        <v>Recommended</v>
      </c>
      <c r="G187" s="154" t="s">
        <v>13198</v>
      </c>
      <c r="H187" s="154" t="s">
        <v>13194</v>
      </c>
      <c r="I187" s="154" t="s">
        <v>13191</v>
      </c>
      <c r="J187" s="154" t="s">
        <v>6905</v>
      </c>
      <c r="K187" s="154"/>
      <c r="L187" s="154" t="s">
        <v>759</v>
      </c>
      <c r="M187" s="247" t="s">
        <v>516</v>
      </c>
      <c r="N187" s="247" t="s">
        <v>12741</v>
      </c>
      <c r="O187" s="240" t="str">
        <f t="shared" si="1"/>
        <v/>
      </c>
      <c r="P187" s="154" t="s">
        <v>66</v>
      </c>
      <c r="Q187" s="154" t="s">
        <v>66</v>
      </c>
      <c r="R187" s="154" t="s">
        <v>64</v>
      </c>
      <c r="S187" s="154" t="s">
        <v>64</v>
      </c>
      <c r="T187" s="154" t="s">
        <v>64</v>
      </c>
      <c r="U187" s="154" t="s">
        <v>64</v>
      </c>
      <c r="V187" s="154" t="s">
        <v>66</v>
      </c>
      <c r="W187" s="154" t="s">
        <v>64</v>
      </c>
      <c r="X187" s="154" t="s">
        <v>64</v>
      </c>
      <c r="Y187" s="154"/>
      <c r="Z187" s="242" t="b">
        <f t="shared" si="2"/>
        <v>1</v>
      </c>
      <c r="AA187" s="154" t="s">
        <v>391</v>
      </c>
      <c r="AB187" s="242" t="b">
        <f t="shared" si="3"/>
        <v>0</v>
      </c>
      <c r="AC187" s="154"/>
      <c r="AD187" s="242" t="b">
        <f t="shared" si="4"/>
        <v>0</v>
      </c>
      <c r="AE187" s="154" t="s">
        <v>1610</v>
      </c>
      <c r="AF187" s="243" t="str">
        <f>IF(AE187="","N/A",INDIRECT("MTR!"&amp;ADDRESS(MATCH(LEFT(AE187,9),MTR!C:C,0),COLUMN(J187)),TRUE) &amp; "")</f>
        <v>Partially Complies</v>
      </c>
      <c r="AG187" s="157" t="str">
        <f t="shared" si="5"/>
        <v/>
      </c>
      <c r="AH187" s="152"/>
      <c r="AI187" s="152"/>
      <c r="AJ187" s="152"/>
      <c r="AK187" s="152"/>
      <c r="AL187" s="152"/>
      <c r="AM187" s="152"/>
      <c r="AN187" s="152"/>
      <c r="AO187" s="152"/>
      <c r="AP187" s="152"/>
      <c r="AQ187" s="152"/>
      <c r="AR187" s="152"/>
    </row>
    <row r="188" ht="12.75" customHeight="1">
      <c r="A188" s="244" t="s">
        <v>5158</v>
      </c>
      <c r="B188" s="244" t="s">
        <v>12721</v>
      </c>
      <c r="C188" s="244" t="s">
        <v>13199</v>
      </c>
      <c r="D188" s="154" t="s">
        <v>1315</v>
      </c>
      <c r="E188" s="154"/>
      <c r="F188" s="154" t="str">
        <f t="array" ref="F188">XLOOKUP(Cover!$D$12,$P$1:$X$1,$P188:$X188)</f>
        <v>Mandatory</v>
      </c>
      <c r="G188" s="154" t="s">
        <v>13200</v>
      </c>
      <c r="H188" s="154" t="s">
        <v>13190</v>
      </c>
      <c r="I188" s="154" t="s">
        <v>13191</v>
      </c>
      <c r="J188" s="154" t="s">
        <v>6905</v>
      </c>
      <c r="K188" s="154" t="s">
        <v>1018</v>
      </c>
      <c r="L188" s="154" t="s">
        <v>759</v>
      </c>
      <c r="M188" s="247" t="s">
        <v>506</v>
      </c>
      <c r="N188" s="247" t="s">
        <v>12738</v>
      </c>
      <c r="O188" s="240" t="str">
        <f t="shared" si="1"/>
        <v/>
      </c>
      <c r="P188" s="154" t="s">
        <v>66</v>
      </c>
      <c r="Q188" s="154" t="s">
        <v>66</v>
      </c>
      <c r="R188" s="154" t="s">
        <v>60</v>
      </c>
      <c r="S188" s="154" t="s">
        <v>60</v>
      </c>
      <c r="T188" s="154" t="s">
        <v>60</v>
      </c>
      <c r="U188" s="154" t="s">
        <v>60</v>
      </c>
      <c r="V188" s="154" t="s">
        <v>66</v>
      </c>
      <c r="W188" s="154" t="s">
        <v>60</v>
      </c>
      <c r="X188" s="154" t="s">
        <v>60</v>
      </c>
      <c r="Y188" s="154"/>
      <c r="Z188" s="242" t="b">
        <f t="shared" si="2"/>
        <v>1</v>
      </c>
      <c r="AA188" s="154" t="s">
        <v>391</v>
      </c>
      <c r="AB188" s="242" t="b">
        <f t="shared" si="3"/>
        <v>0</v>
      </c>
      <c r="AC188" s="154"/>
      <c r="AD188" s="242" t="b">
        <f t="shared" si="4"/>
        <v>0</v>
      </c>
      <c r="AE188" s="154" t="s">
        <v>1610</v>
      </c>
      <c r="AF188" s="243" t="str">
        <f>IF(AE188="","N/A",INDIRECT("MTR!"&amp;ADDRESS(MATCH(LEFT(AE188,9),MTR!C:C,0),COLUMN(J188)),TRUE) &amp; "")</f>
        <v>Partially Complies</v>
      </c>
      <c r="AG188" s="157" t="str">
        <f t="shared" si="5"/>
        <v/>
      </c>
      <c r="AH188" s="152"/>
      <c r="AI188" s="152"/>
      <c r="AJ188" s="152"/>
      <c r="AK188" s="152"/>
      <c r="AL188" s="152"/>
      <c r="AM188" s="152"/>
      <c r="AN188" s="152"/>
      <c r="AO188" s="152"/>
      <c r="AP188" s="152"/>
      <c r="AQ188" s="152"/>
      <c r="AR188" s="152"/>
    </row>
    <row r="189" ht="12.75" customHeight="1">
      <c r="A189" s="244" t="s">
        <v>5158</v>
      </c>
      <c r="B189" s="244" t="s">
        <v>12721</v>
      </c>
      <c r="C189" s="244" t="s">
        <v>13201</v>
      </c>
      <c r="D189" s="154" t="s">
        <v>1315</v>
      </c>
      <c r="E189" s="154"/>
      <c r="F189" s="154" t="str">
        <f t="array" ref="F189">XLOOKUP(Cover!$D$12,$P$1:$X$1,$P189:$X189)</f>
        <v>Mandatory</v>
      </c>
      <c r="G189" s="154" t="s">
        <v>13202</v>
      </c>
      <c r="H189" s="154" t="s">
        <v>13194</v>
      </c>
      <c r="I189" s="154" t="s">
        <v>13191</v>
      </c>
      <c r="J189" s="154" t="s">
        <v>6905</v>
      </c>
      <c r="K189" s="154" t="s">
        <v>1018</v>
      </c>
      <c r="L189" s="154" t="s">
        <v>759</v>
      </c>
      <c r="M189" s="247" t="s">
        <v>516</v>
      </c>
      <c r="N189" s="247" t="s">
        <v>12741</v>
      </c>
      <c r="O189" s="240" t="str">
        <f t="shared" si="1"/>
        <v/>
      </c>
      <c r="P189" s="154" t="s">
        <v>66</v>
      </c>
      <c r="Q189" s="154" t="s">
        <v>66</v>
      </c>
      <c r="R189" s="155" t="s">
        <v>64</v>
      </c>
      <c r="S189" s="155" t="s">
        <v>64</v>
      </c>
      <c r="T189" s="154" t="s">
        <v>60</v>
      </c>
      <c r="U189" s="154" t="s">
        <v>60</v>
      </c>
      <c r="V189" s="154" t="s">
        <v>66</v>
      </c>
      <c r="W189" s="155" t="s">
        <v>64</v>
      </c>
      <c r="X189" s="154" t="s">
        <v>60</v>
      </c>
      <c r="Y189" s="154"/>
      <c r="Z189" s="242" t="b">
        <f t="shared" si="2"/>
        <v>1</v>
      </c>
      <c r="AA189" s="154" t="s">
        <v>391</v>
      </c>
      <c r="AB189" s="242" t="b">
        <f t="shared" si="3"/>
        <v>0</v>
      </c>
      <c r="AC189" s="154"/>
      <c r="AD189" s="242" t="b">
        <f t="shared" si="4"/>
        <v>0</v>
      </c>
      <c r="AE189" s="154" t="s">
        <v>1610</v>
      </c>
      <c r="AF189" s="243" t="str">
        <f>IF(AE189="","N/A",INDIRECT("MTR!"&amp;ADDRESS(MATCH(LEFT(AE189,9),MTR!C:C,0),COLUMN(J189)),TRUE) &amp; "")</f>
        <v>Partially Complies</v>
      </c>
      <c r="AG189" s="157" t="str">
        <f t="shared" si="5"/>
        <v/>
      </c>
      <c r="AH189" s="152"/>
      <c r="AI189" s="152"/>
      <c r="AJ189" s="152"/>
      <c r="AK189" s="152"/>
      <c r="AL189" s="152"/>
      <c r="AM189" s="152"/>
      <c r="AN189" s="152"/>
      <c r="AO189" s="152"/>
      <c r="AP189" s="152"/>
      <c r="AQ189" s="152"/>
      <c r="AR189" s="152"/>
    </row>
    <row r="190" ht="12.75" customHeight="1">
      <c r="A190" s="244" t="s">
        <v>5158</v>
      </c>
      <c r="B190" s="244" t="s">
        <v>12721</v>
      </c>
      <c r="C190" s="244" t="s">
        <v>13203</v>
      </c>
      <c r="D190" s="154" t="s">
        <v>45</v>
      </c>
      <c r="E190" s="154"/>
      <c r="F190" s="154" t="str">
        <f t="array" ref="F190">XLOOKUP(Cover!$D$12,$P$1:$X$1,$P190:$X190)</f>
        <v>Mandatory</v>
      </c>
      <c r="G190" s="154" t="s">
        <v>13204</v>
      </c>
      <c r="H190" s="154" t="s">
        <v>13190</v>
      </c>
      <c r="I190" s="154" t="s">
        <v>13191</v>
      </c>
      <c r="J190" s="154" t="s">
        <v>10718</v>
      </c>
      <c r="K190" s="154" t="s">
        <v>1018</v>
      </c>
      <c r="L190" s="154" t="s">
        <v>759</v>
      </c>
      <c r="M190" s="247" t="s">
        <v>516</v>
      </c>
      <c r="N190" s="247" t="s">
        <v>12892</v>
      </c>
      <c r="O190" s="240" t="str">
        <f t="shared" si="1"/>
        <v/>
      </c>
      <c r="P190" s="154" t="s">
        <v>66</v>
      </c>
      <c r="Q190" s="154" t="s">
        <v>66</v>
      </c>
      <c r="R190" s="154" t="s">
        <v>60</v>
      </c>
      <c r="S190" s="154" t="s">
        <v>60</v>
      </c>
      <c r="T190" s="154" t="s">
        <v>60</v>
      </c>
      <c r="U190" s="154" t="s">
        <v>60</v>
      </c>
      <c r="V190" s="154" t="s">
        <v>66</v>
      </c>
      <c r="W190" s="154" t="s">
        <v>60</v>
      </c>
      <c r="X190" s="154" t="s">
        <v>60</v>
      </c>
      <c r="Y190" s="154"/>
      <c r="Z190" s="242" t="b">
        <f t="shared" si="2"/>
        <v>1</v>
      </c>
      <c r="AA190" s="154" t="s">
        <v>391</v>
      </c>
      <c r="AB190" s="242" t="b">
        <f t="shared" si="3"/>
        <v>0</v>
      </c>
      <c r="AC190" s="154"/>
      <c r="AD190" s="242" t="b">
        <f t="shared" si="4"/>
        <v>0</v>
      </c>
      <c r="AE190" s="154" t="s">
        <v>1610</v>
      </c>
      <c r="AF190" s="243" t="str">
        <f>IF(AE190="","N/A",INDIRECT("MTR!"&amp;ADDRESS(MATCH(LEFT(AE190,9),MTR!C:C,0),COLUMN(J190)),TRUE) &amp; "")</f>
        <v>Partially Complies</v>
      </c>
      <c r="AG190" s="157" t="str">
        <f t="shared" si="5"/>
        <v/>
      </c>
      <c r="AH190" s="152"/>
      <c r="AI190" s="152"/>
      <c r="AJ190" s="152"/>
      <c r="AK190" s="152"/>
      <c r="AL190" s="152"/>
      <c r="AM190" s="152"/>
      <c r="AN190" s="152"/>
      <c r="AO190" s="152"/>
      <c r="AP190" s="152"/>
      <c r="AQ190" s="152"/>
      <c r="AR190" s="152"/>
    </row>
    <row r="191" ht="12.75" customHeight="1">
      <c r="A191" s="244" t="s">
        <v>5158</v>
      </c>
      <c r="B191" s="244" t="s">
        <v>12721</v>
      </c>
      <c r="C191" s="244" t="s">
        <v>13205</v>
      </c>
      <c r="D191" s="154" t="s">
        <v>45</v>
      </c>
      <c r="E191" s="154"/>
      <c r="F191" s="154" t="str">
        <f t="array" ref="F191">XLOOKUP(Cover!$D$12,$P$1:$X$1,$P191:$X191)</f>
        <v>Mandatory</v>
      </c>
      <c r="G191" s="154" t="s">
        <v>13206</v>
      </c>
      <c r="H191" s="154" t="s">
        <v>13194</v>
      </c>
      <c r="I191" s="154" t="s">
        <v>13191</v>
      </c>
      <c r="J191" s="154" t="s">
        <v>6655</v>
      </c>
      <c r="K191" s="154" t="s">
        <v>1018</v>
      </c>
      <c r="L191" s="154" t="s">
        <v>759</v>
      </c>
      <c r="M191" s="247" t="s">
        <v>516</v>
      </c>
      <c r="N191" s="247" t="s">
        <v>12895</v>
      </c>
      <c r="O191" s="240" t="str">
        <f t="shared" si="1"/>
        <v/>
      </c>
      <c r="P191" s="154" t="s">
        <v>66</v>
      </c>
      <c r="Q191" s="154" t="s">
        <v>66</v>
      </c>
      <c r="R191" s="155" t="s">
        <v>64</v>
      </c>
      <c r="S191" s="155" t="s">
        <v>64</v>
      </c>
      <c r="T191" s="154" t="s">
        <v>60</v>
      </c>
      <c r="U191" s="154" t="s">
        <v>60</v>
      </c>
      <c r="V191" s="154" t="s">
        <v>66</v>
      </c>
      <c r="W191" s="155" t="s">
        <v>64</v>
      </c>
      <c r="X191" s="154" t="s">
        <v>60</v>
      </c>
      <c r="Y191" s="154"/>
      <c r="Z191" s="242" t="b">
        <f t="shared" si="2"/>
        <v>1</v>
      </c>
      <c r="AA191" s="154" t="s">
        <v>391</v>
      </c>
      <c r="AB191" s="242" t="b">
        <f t="shared" si="3"/>
        <v>0</v>
      </c>
      <c r="AC191" s="154"/>
      <c r="AD191" s="242" t="b">
        <f t="shared" si="4"/>
        <v>0</v>
      </c>
      <c r="AE191" s="154" t="s">
        <v>1610</v>
      </c>
      <c r="AF191" s="243" t="str">
        <f>IF(AE191="","N/A",INDIRECT("MTR!"&amp;ADDRESS(MATCH(LEFT(AE191,9),MTR!C:C,0),COLUMN(J191)),TRUE) &amp; "")</f>
        <v>Partially Complies</v>
      </c>
      <c r="AG191" s="157" t="str">
        <f t="shared" si="5"/>
        <v/>
      </c>
      <c r="AH191" s="152"/>
      <c r="AI191" s="152"/>
      <c r="AJ191" s="152"/>
      <c r="AK191" s="152"/>
      <c r="AL191" s="152"/>
      <c r="AM191" s="152"/>
      <c r="AN191" s="152"/>
      <c r="AO191" s="152"/>
      <c r="AP191" s="152"/>
      <c r="AQ191" s="152"/>
      <c r="AR191" s="152"/>
    </row>
    <row r="192" ht="12.75" customHeight="1">
      <c r="A192" s="244" t="s">
        <v>5158</v>
      </c>
      <c r="B192" s="244" t="s">
        <v>12721</v>
      </c>
      <c r="C192" s="244" t="s">
        <v>13207</v>
      </c>
      <c r="D192" s="154" t="s">
        <v>1773</v>
      </c>
      <c r="E192" s="154"/>
      <c r="F192" s="154" t="str">
        <f t="array" ref="F192">XLOOKUP(Cover!$D$12,$P$1:$X$1,$P192:$X192)</f>
        <v>Information</v>
      </c>
      <c r="G192" s="154" t="s">
        <v>13208</v>
      </c>
      <c r="H192" s="154" t="s">
        <v>13209</v>
      </c>
      <c r="I192" s="154" t="s">
        <v>13210</v>
      </c>
      <c r="J192" s="154" t="s">
        <v>6126</v>
      </c>
      <c r="K192" s="154"/>
      <c r="L192" s="154" t="s">
        <v>759</v>
      </c>
      <c r="M192" s="247" t="s">
        <v>516</v>
      </c>
      <c r="N192" s="247" t="s">
        <v>12731</v>
      </c>
      <c r="O192" s="240" t="str">
        <f t="shared" si="1"/>
        <v/>
      </c>
      <c r="P192" s="154" t="s">
        <v>66</v>
      </c>
      <c r="Q192" s="154" t="s">
        <v>66</v>
      </c>
      <c r="R192" s="154" t="s">
        <v>66</v>
      </c>
      <c r="S192" s="154" t="s">
        <v>66</v>
      </c>
      <c r="T192" s="154" t="s">
        <v>66</v>
      </c>
      <c r="U192" s="154" t="s">
        <v>66</v>
      </c>
      <c r="V192" s="154" t="s">
        <v>66</v>
      </c>
      <c r="W192" s="154" t="s">
        <v>66</v>
      </c>
      <c r="X192" s="154" t="s">
        <v>66</v>
      </c>
      <c r="Y192" s="154"/>
      <c r="Z192" s="242" t="b">
        <f t="shared" si="2"/>
        <v>1</v>
      </c>
      <c r="AA192" s="154" t="s">
        <v>391</v>
      </c>
      <c r="AB192" s="242" t="b">
        <f t="shared" si="3"/>
        <v>0</v>
      </c>
      <c r="AC192" s="154"/>
      <c r="AD192" s="242" t="b">
        <f t="shared" si="4"/>
        <v>0</v>
      </c>
      <c r="AE192" s="154" t="s">
        <v>1610</v>
      </c>
      <c r="AF192" s="243" t="str">
        <f>IF(AE192="","N/A",INDIRECT("MTR!"&amp;ADDRESS(MATCH(LEFT(AE192,9),MTR!C:C,0),COLUMN(J192)),TRUE) &amp; "")</f>
        <v>Partially Complies</v>
      </c>
      <c r="AG192" s="157" t="str">
        <f t="shared" si="5"/>
        <v/>
      </c>
      <c r="AH192" s="152"/>
      <c r="AI192" s="152"/>
      <c r="AJ192" s="152"/>
      <c r="AK192" s="152"/>
      <c r="AL192" s="152"/>
      <c r="AM192" s="152"/>
      <c r="AN192" s="152"/>
      <c r="AO192" s="152"/>
      <c r="AP192" s="152"/>
      <c r="AQ192" s="152"/>
      <c r="AR192" s="152"/>
    </row>
    <row r="193" ht="12.75" customHeight="1">
      <c r="A193" s="244" t="s">
        <v>5158</v>
      </c>
      <c r="B193" s="244" t="s">
        <v>12721</v>
      </c>
      <c r="C193" s="244" t="s">
        <v>13211</v>
      </c>
      <c r="D193" s="154" t="s">
        <v>1069</v>
      </c>
      <c r="E193" s="154"/>
      <c r="F193" s="154" t="str">
        <f t="array" ref="F193">XLOOKUP(Cover!$D$12,$P$1:$X$1,$P193:$X193)</f>
        <v>Information</v>
      </c>
      <c r="G193" s="154" t="s">
        <v>13212</v>
      </c>
      <c r="H193" s="154" t="s">
        <v>13213</v>
      </c>
      <c r="I193" s="154" t="s">
        <v>13210</v>
      </c>
      <c r="J193" s="154" t="s">
        <v>5927</v>
      </c>
      <c r="K193" s="154"/>
      <c r="L193" s="154" t="s">
        <v>759</v>
      </c>
      <c r="M193" s="247" t="s">
        <v>516</v>
      </c>
      <c r="N193" s="247" t="s">
        <v>12731</v>
      </c>
      <c r="O193" s="240" t="str">
        <f t="shared" si="1"/>
        <v/>
      </c>
      <c r="P193" s="154" t="s">
        <v>66</v>
      </c>
      <c r="Q193" s="154" t="s">
        <v>66</v>
      </c>
      <c r="R193" s="154" t="s">
        <v>66</v>
      </c>
      <c r="S193" s="154" t="s">
        <v>66</v>
      </c>
      <c r="T193" s="154" t="s">
        <v>66</v>
      </c>
      <c r="U193" s="154" t="s">
        <v>66</v>
      </c>
      <c r="V193" s="154" t="s">
        <v>66</v>
      </c>
      <c r="W193" s="154" t="s">
        <v>66</v>
      </c>
      <c r="X193" s="154" t="s">
        <v>66</v>
      </c>
      <c r="Y193" s="154"/>
      <c r="Z193" s="242" t="b">
        <f t="shared" si="2"/>
        <v>1</v>
      </c>
      <c r="AA193" s="154" t="s">
        <v>391</v>
      </c>
      <c r="AB193" s="242" t="b">
        <f t="shared" si="3"/>
        <v>0</v>
      </c>
      <c r="AC193" s="154"/>
      <c r="AD193" s="242" t="b">
        <f t="shared" si="4"/>
        <v>0</v>
      </c>
      <c r="AE193" s="154" t="s">
        <v>1610</v>
      </c>
      <c r="AF193" s="243" t="str">
        <f>IF(AE193="","N/A",INDIRECT("MTR!"&amp;ADDRESS(MATCH(LEFT(AE193,9),MTR!C:C,0),COLUMN(J193)),TRUE) &amp; "")</f>
        <v>Partially Complies</v>
      </c>
      <c r="AG193" s="157" t="str">
        <f t="shared" si="5"/>
        <v/>
      </c>
      <c r="AH193" s="152"/>
      <c r="AI193" s="152"/>
      <c r="AJ193" s="152"/>
      <c r="AK193" s="152"/>
      <c r="AL193" s="152"/>
      <c r="AM193" s="152"/>
      <c r="AN193" s="152"/>
      <c r="AO193" s="152"/>
      <c r="AP193" s="152"/>
      <c r="AQ193" s="152"/>
      <c r="AR193" s="152"/>
    </row>
    <row r="194" ht="12.75" customHeight="1">
      <c r="A194" s="244" t="s">
        <v>5158</v>
      </c>
      <c r="B194" s="244" t="s">
        <v>12721</v>
      </c>
      <c r="C194" s="244" t="s">
        <v>13214</v>
      </c>
      <c r="D194" s="154" t="s">
        <v>1315</v>
      </c>
      <c r="E194" s="154"/>
      <c r="F194" s="154" t="str">
        <f t="array" ref="F194">XLOOKUP(Cover!$D$12,$P$1:$X$1,$P194:$X194)</f>
        <v>Mandatory</v>
      </c>
      <c r="G194" s="154" t="s">
        <v>13215</v>
      </c>
      <c r="H194" s="154" t="s">
        <v>13216</v>
      </c>
      <c r="I194" s="154" t="s">
        <v>13217</v>
      </c>
      <c r="J194" s="154" t="s">
        <v>6942</v>
      </c>
      <c r="K194" s="154" t="s">
        <v>1018</v>
      </c>
      <c r="L194" s="154" t="s">
        <v>759</v>
      </c>
      <c r="M194" s="247" t="s">
        <v>506</v>
      </c>
      <c r="N194" s="247" t="s">
        <v>13218</v>
      </c>
      <c r="O194" s="240" t="str">
        <f t="shared" si="1"/>
        <v/>
      </c>
      <c r="P194" s="154" t="s">
        <v>66</v>
      </c>
      <c r="Q194" s="154" t="s">
        <v>66</v>
      </c>
      <c r="R194" s="154" t="s">
        <v>60</v>
      </c>
      <c r="S194" s="154" t="s">
        <v>60</v>
      </c>
      <c r="T194" s="154" t="s">
        <v>60</v>
      </c>
      <c r="U194" s="154" t="s">
        <v>60</v>
      </c>
      <c r="V194" s="154" t="s">
        <v>66</v>
      </c>
      <c r="W194" s="154" t="s">
        <v>60</v>
      </c>
      <c r="X194" s="154" t="s">
        <v>60</v>
      </c>
      <c r="Y194" s="154"/>
      <c r="Z194" s="242" t="b">
        <f t="shared" si="2"/>
        <v>1</v>
      </c>
      <c r="AA194" s="154" t="s">
        <v>391</v>
      </c>
      <c r="AB194" s="242" t="b">
        <f t="shared" si="3"/>
        <v>0</v>
      </c>
      <c r="AC194" s="154"/>
      <c r="AD194" s="242" t="b">
        <f t="shared" si="4"/>
        <v>0</v>
      </c>
      <c r="AE194" s="154" t="s">
        <v>1610</v>
      </c>
      <c r="AF194" s="243" t="str">
        <f>IF(AE194="","N/A",INDIRECT("MTR!"&amp;ADDRESS(MATCH(LEFT(AE194,9),MTR!C:C,0),COLUMN(J194)),TRUE) &amp; "")</f>
        <v>Partially Complies</v>
      </c>
      <c r="AG194" s="157" t="str">
        <f t="shared" si="5"/>
        <v/>
      </c>
      <c r="AH194" s="152"/>
      <c r="AI194" s="152"/>
      <c r="AJ194" s="152"/>
      <c r="AK194" s="152"/>
      <c r="AL194" s="152"/>
      <c r="AM194" s="152"/>
      <c r="AN194" s="152"/>
      <c r="AO194" s="152"/>
      <c r="AP194" s="152"/>
      <c r="AQ194" s="152"/>
      <c r="AR194" s="152"/>
    </row>
    <row r="195" ht="12.75" customHeight="1">
      <c r="A195" s="244" t="s">
        <v>5158</v>
      </c>
      <c r="B195" s="244" t="s">
        <v>12721</v>
      </c>
      <c r="C195" s="244" t="s">
        <v>13219</v>
      </c>
      <c r="D195" s="154" t="s">
        <v>1315</v>
      </c>
      <c r="E195" s="154"/>
      <c r="F195" s="154" t="str">
        <f t="array" ref="F195">XLOOKUP(Cover!$D$12,$P$1:$X$1,$P195:$X195)</f>
        <v>Mandatory</v>
      </c>
      <c r="G195" s="154" t="s">
        <v>13220</v>
      </c>
      <c r="H195" s="154" t="s">
        <v>13221</v>
      </c>
      <c r="I195" s="154" t="s">
        <v>13217</v>
      </c>
      <c r="J195" s="154" t="s">
        <v>6942</v>
      </c>
      <c r="K195" s="154" t="s">
        <v>1018</v>
      </c>
      <c r="L195" s="154" t="s">
        <v>759</v>
      </c>
      <c r="M195" s="247" t="s">
        <v>516</v>
      </c>
      <c r="N195" s="247" t="s">
        <v>13222</v>
      </c>
      <c r="O195" s="240" t="str">
        <f t="shared" si="1"/>
        <v/>
      </c>
      <c r="P195" s="154" t="s">
        <v>66</v>
      </c>
      <c r="Q195" s="154" t="s">
        <v>66</v>
      </c>
      <c r="R195" s="155" t="s">
        <v>64</v>
      </c>
      <c r="S195" s="155" t="s">
        <v>64</v>
      </c>
      <c r="T195" s="154" t="s">
        <v>60</v>
      </c>
      <c r="U195" s="154" t="s">
        <v>60</v>
      </c>
      <c r="V195" s="154" t="s">
        <v>66</v>
      </c>
      <c r="W195" s="155" t="s">
        <v>64</v>
      </c>
      <c r="X195" s="154" t="s">
        <v>60</v>
      </c>
      <c r="Y195" s="154"/>
      <c r="Z195" s="242" t="b">
        <f t="shared" si="2"/>
        <v>1</v>
      </c>
      <c r="AA195" s="154" t="s">
        <v>391</v>
      </c>
      <c r="AB195" s="242" t="b">
        <f t="shared" si="3"/>
        <v>0</v>
      </c>
      <c r="AC195" s="154"/>
      <c r="AD195" s="242" t="b">
        <f t="shared" si="4"/>
        <v>0</v>
      </c>
      <c r="AE195" s="154" t="s">
        <v>1610</v>
      </c>
      <c r="AF195" s="243" t="str">
        <f>IF(AE195="","N/A",INDIRECT("MTR!"&amp;ADDRESS(MATCH(LEFT(AE195,9),MTR!C:C,0),COLUMN(J195)),TRUE) &amp; "")</f>
        <v>Partially Complies</v>
      </c>
      <c r="AG195" s="157" t="str">
        <f t="shared" si="5"/>
        <v/>
      </c>
      <c r="AH195" s="152"/>
      <c r="AI195" s="152"/>
      <c r="AJ195" s="152"/>
      <c r="AK195" s="152"/>
      <c r="AL195" s="152"/>
      <c r="AM195" s="152"/>
      <c r="AN195" s="152"/>
      <c r="AO195" s="152"/>
      <c r="AP195" s="152"/>
      <c r="AQ195" s="152"/>
      <c r="AR195" s="152"/>
    </row>
    <row r="196" ht="12.75" customHeight="1">
      <c r="A196" s="244" t="s">
        <v>5158</v>
      </c>
      <c r="B196" s="244" t="s">
        <v>12721</v>
      </c>
      <c r="C196" s="244" t="s">
        <v>13223</v>
      </c>
      <c r="D196" s="154" t="s">
        <v>45</v>
      </c>
      <c r="E196" s="154"/>
      <c r="F196" s="154" t="str">
        <f t="array" ref="F196">XLOOKUP(Cover!$D$12,$P$1:$X$1,$P196:$X196)</f>
        <v>Recommended</v>
      </c>
      <c r="G196" s="154" t="s">
        <v>13224</v>
      </c>
      <c r="H196" s="154" t="s">
        <v>12758</v>
      </c>
      <c r="I196" s="154" t="s">
        <v>13225</v>
      </c>
      <c r="J196" s="154" t="s">
        <v>10718</v>
      </c>
      <c r="K196" s="154"/>
      <c r="L196" s="154" t="s">
        <v>759</v>
      </c>
      <c r="M196" s="247" t="s">
        <v>516</v>
      </c>
      <c r="N196" s="247" t="s">
        <v>12731</v>
      </c>
      <c r="O196" s="240" t="str">
        <f t="shared" si="1"/>
        <v/>
      </c>
      <c r="P196" s="154" t="s">
        <v>66</v>
      </c>
      <c r="Q196" s="154" t="s">
        <v>66</v>
      </c>
      <c r="R196" s="154" t="s">
        <v>64</v>
      </c>
      <c r="S196" s="154" t="s">
        <v>64</v>
      </c>
      <c r="T196" s="154" t="s">
        <v>64</v>
      </c>
      <c r="U196" s="154" t="s">
        <v>64</v>
      </c>
      <c r="V196" s="154" t="s">
        <v>66</v>
      </c>
      <c r="W196" s="154" t="s">
        <v>64</v>
      </c>
      <c r="X196" s="154" t="s">
        <v>64</v>
      </c>
      <c r="Y196" s="154"/>
      <c r="Z196" s="242" t="b">
        <f t="shared" si="2"/>
        <v>1</v>
      </c>
      <c r="AA196" s="154" t="s">
        <v>391</v>
      </c>
      <c r="AB196" s="242" t="b">
        <f t="shared" si="3"/>
        <v>0</v>
      </c>
      <c r="AC196" s="154"/>
      <c r="AD196" s="242" t="b">
        <f t="shared" si="4"/>
        <v>0</v>
      </c>
      <c r="AE196" s="154" t="s">
        <v>1610</v>
      </c>
      <c r="AF196" s="243" t="str">
        <f>IF(AE196="","N/A",INDIRECT("MTR!"&amp;ADDRESS(MATCH(LEFT(AE196,9),MTR!C:C,0),COLUMN(J196)),TRUE) &amp; "")</f>
        <v>Partially Complies</v>
      </c>
      <c r="AG196" s="157" t="str">
        <f t="shared" si="5"/>
        <v/>
      </c>
      <c r="AH196" s="152"/>
      <c r="AI196" s="152"/>
      <c r="AJ196" s="152"/>
      <c r="AK196" s="152"/>
      <c r="AL196" s="152"/>
      <c r="AM196" s="152"/>
      <c r="AN196" s="152"/>
      <c r="AO196" s="152"/>
      <c r="AP196" s="152"/>
      <c r="AQ196" s="152"/>
      <c r="AR196" s="152"/>
    </row>
    <row r="197" ht="12.75" customHeight="1">
      <c r="A197" s="244" t="s">
        <v>5158</v>
      </c>
      <c r="B197" s="244" t="s">
        <v>12721</v>
      </c>
      <c r="C197" s="244" t="s">
        <v>13226</v>
      </c>
      <c r="D197" s="154" t="s">
        <v>1315</v>
      </c>
      <c r="E197" s="154"/>
      <c r="F197" s="154" t="str">
        <f t="array" ref="F197">XLOOKUP(Cover!$D$12,$P$1:$X$1,$P197:$X197)</f>
        <v>Mandatory</v>
      </c>
      <c r="G197" s="154" t="s">
        <v>13227</v>
      </c>
      <c r="H197" s="154" t="s">
        <v>13228</v>
      </c>
      <c r="I197" s="154" t="s">
        <v>13229</v>
      </c>
      <c r="J197" s="154" t="s">
        <v>6942</v>
      </c>
      <c r="K197" s="154" t="s">
        <v>1018</v>
      </c>
      <c r="L197" s="154" t="s">
        <v>759</v>
      </c>
      <c r="M197" s="247" t="s">
        <v>506</v>
      </c>
      <c r="N197" s="247" t="s">
        <v>13230</v>
      </c>
      <c r="O197" s="240" t="str">
        <f t="shared" si="1"/>
        <v/>
      </c>
      <c r="P197" s="154" t="s">
        <v>66</v>
      </c>
      <c r="Q197" s="154" t="s">
        <v>66</v>
      </c>
      <c r="R197" s="154" t="s">
        <v>60</v>
      </c>
      <c r="S197" s="154" t="s">
        <v>60</v>
      </c>
      <c r="T197" s="154" t="s">
        <v>60</v>
      </c>
      <c r="U197" s="154" t="s">
        <v>60</v>
      </c>
      <c r="V197" s="154" t="s">
        <v>66</v>
      </c>
      <c r="W197" s="154" t="s">
        <v>60</v>
      </c>
      <c r="X197" s="154" t="s">
        <v>60</v>
      </c>
      <c r="Y197" s="154"/>
      <c r="Z197" s="242" t="b">
        <f t="shared" si="2"/>
        <v>1</v>
      </c>
      <c r="AA197" s="154" t="s">
        <v>391</v>
      </c>
      <c r="AB197" s="242" t="b">
        <f t="shared" si="3"/>
        <v>0</v>
      </c>
      <c r="AC197" s="154"/>
      <c r="AD197" s="242" t="b">
        <f t="shared" si="4"/>
        <v>0</v>
      </c>
      <c r="AE197" s="154" t="s">
        <v>1610</v>
      </c>
      <c r="AF197" s="243" t="str">
        <f>IF(AE197="","N/A",INDIRECT("MTR!"&amp;ADDRESS(MATCH(LEFT(AE197,9),MTR!C:C,0),COLUMN(J197)),TRUE) &amp; "")</f>
        <v>Partially Complies</v>
      </c>
      <c r="AG197" s="157" t="str">
        <f t="shared" si="5"/>
        <v/>
      </c>
      <c r="AH197" s="152"/>
      <c r="AI197" s="152"/>
      <c r="AJ197" s="152"/>
      <c r="AK197" s="152"/>
      <c r="AL197" s="152"/>
      <c r="AM197" s="152"/>
      <c r="AN197" s="152"/>
      <c r="AO197" s="152"/>
      <c r="AP197" s="152"/>
      <c r="AQ197" s="152"/>
      <c r="AR197" s="152"/>
    </row>
    <row r="198" ht="12.75" customHeight="1">
      <c r="A198" s="244" t="s">
        <v>5158</v>
      </c>
      <c r="B198" s="244" t="s">
        <v>12721</v>
      </c>
      <c r="C198" s="244" t="s">
        <v>13231</v>
      </c>
      <c r="D198" s="154" t="s">
        <v>1315</v>
      </c>
      <c r="E198" s="154"/>
      <c r="F198" s="154" t="str">
        <f t="array" ref="F198">XLOOKUP(Cover!$D$12,$P$1:$X$1,$P198:$X198)</f>
        <v>Mandatory</v>
      </c>
      <c r="G198" s="154" t="s">
        <v>13232</v>
      </c>
      <c r="H198" s="154" t="s">
        <v>13233</v>
      </c>
      <c r="I198" s="154" t="s">
        <v>13229</v>
      </c>
      <c r="J198" s="154" t="s">
        <v>6942</v>
      </c>
      <c r="K198" s="154" t="s">
        <v>1018</v>
      </c>
      <c r="L198" s="154" t="s">
        <v>759</v>
      </c>
      <c r="M198" s="247" t="s">
        <v>516</v>
      </c>
      <c r="N198" s="247" t="s">
        <v>13234</v>
      </c>
      <c r="O198" s="240" t="str">
        <f t="shared" si="1"/>
        <v/>
      </c>
      <c r="P198" s="154" t="s">
        <v>66</v>
      </c>
      <c r="Q198" s="154" t="s">
        <v>66</v>
      </c>
      <c r="R198" s="155" t="s">
        <v>64</v>
      </c>
      <c r="S198" s="155" t="s">
        <v>64</v>
      </c>
      <c r="T198" s="154" t="s">
        <v>60</v>
      </c>
      <c r="U198" s="154" t="s">
        <v>60</v>
      </c>
      <c r="V198" s="154" t="s">
        <v>66</v>
      </c>
      <c r="W198" s="155" t="s">
        <v>64</v>
      </c>
      <c r="X198" s="154" t="s">
        <v>60</v>
      </c>
      <c r="Y198" s="154"/>
      <c r="Z198" s="242" t="b">
        <f t="shared" si="2"/>
        <v>1</v>
      </c>
      <c r="AA198" s="154" t="s">
        <v>391</v>
      </c>
      <c r="AB198" s="242" t="b">
        <f t="shared" si="3"/>
        <v>0</v>
      </c>
      <c r="AC198" s="154"/>
      <c r="AD198" s="242" t="b">
        <f t="shared" si="4"/>
        <v>0</v>
      </c>
      <c r="AE198" s="154" t="s">
        <v>1610</v>
      </c>
      <c r="AF198" s="243" t="str">
        <f>IF(AE198="","N/A",INDIRECT("MTR!"&amp;ADDRESS(MATCH(LEFT(AE198,9),MTR!C:C,0),COLUMN(J198)),TRUE) &amp; "")</f>
        <v>Partially Complies</v>
      </c>
      <c r="AG198" s="157" t="str">
        <f t="shared" si="5"/>
        <v/>
      </c>
      <c r="AH198" s="152"/>
      <c r="AI198" s="152"/>
      <c r="AJ198" s="152"/>
      <c r="AK198" s="152"/>
      <c r="AL198" s="152"/>
      <c r="AM198" s="152"/>
      <c r="AN198" s="152"/>
      <c r="AO198" s="152"/>
      <c r="AP198" s="152"/>
      <c r="AQ198" s="152"/>
      <c r="AR198" s="152"/>
    </row>
    <row r="199" ht="12.75" customHeight="1">
      <c r="A199" s="244" t="s">
        <v>5158</v>
      </c>
      <c r="B199" s="244" t="s">
        <v>12721</v>
      </c>
      <c r="C199" s="244" t="s">
        <v>13235</v>
      </c>
      <c r="D199" s="154" t="s">
        <v>1315</v>
      </c>
      <c r="E199" s="154"/>
      <c r="F199" s="154" t="str">
        <f t="array" ref="F199">XLOOKUP(Cover!$D$12,$P$1:$X$1,$P199:$X199)</f>
        <v>Mandatory</v>
      </c>
      <c r="G199" s="154" t="s">
        <v>13236</v>
      </c>
      <c r="H199" s="154" t="s">
        <v>13228</v>
      </c>
      <c r="I199" s="154" t="s">
        <v>13229</v>
      </c>
      <c r="J199" s="154" t="s">
        <v>6905</v>
      </c>
      <c r="K199" s="154" t="s">
        <v>1018</v>
      </c>
      <c r="L199" s="154" t="s">
        <v>759</v>
      </c>
      <c r="M199" s="247" t="s">
        <v>506</v>
      </c>
      <c r="N199" s="247" t="s">
        <v>13230</v>
      </c>
      <c r="O199" s="240" t="str">
        <f t="shared" si="1"/>
        <v/>
      </c>
      <c r="P199" s="154" t="s">
        <v>66</v>
      </c>
      <c r="Q199" s="154" t="s">
        <v>66</v>
      </c>
      <c r="R199" s="154" t="s">
        <v>60</v>
      </c>
      <c r="S199" s="154" t="s">
        <v>60</v>
      </c>
      <c r="T199" s="154" t="s">
        <v>60</v>
      </c>
      <c r="U199" s="154" t="s">
        <v>60</v>
      </c>
      <c r="V199" s="154" t="s">
        <v>66</v>
      </c>
      <c r="W199" s="154" t="s">
        <v>60</v>
      </c>
      <c r="X199" s="154" t="s">
        <v>60</v>
      </c>
      <c r="Y199" s="154"/>
      <c r="Z199" s="242" t="b">
        <f t="shared" si="2"/>
        <v>1</v>
      </c>
      <c r="AA199" s="154" t="s">
        <v>391</v>
      </c>
      <c r="AB199" s="242" t="b">
        <f t="shared" si="3"/>
        <v>0</v>
      </c>
      <c r="AC199" s="154"/>
      <c r="AD199" s="242" t="b">
        <f t="shared" si="4"/>
        <v>0</v>
      </c>
      <c r="AE199" s="154" t="s">
        <v>1610</v>
      </c>
      <c r="AF199" s="243" t="str">
        <f>IF(AE199="","N/A",INDIRECT("MTR!"&amp;ADDRESS(MATCH(LEFT(AE199,9),MTR!C:C,0),COLUMN(J199)),TRUE) &amp; "")</f>
        <v>Partially Complies</v>
      </c>
      <c r="AG199" s="157" t="str">
        <f t="shared" si="5"/>
        <v/>
      </c>
      <c r="AH199" s="152"/>
      <c r="AI199" s="152"/>
      <c r="AJ199" s="152"/>
      <c r="AK199" s="152"/>
      <c r="AL199" s="152"/>
      <c r="AM199" s="152"/>
      <c r="AN199" s="152"/>
      <c r="AO199" s="152"/>
      <c r="AP199" s="152"/>
      <c r="AQ199" s="152"/>
      <c r="AR199" s="152"/>
    </row>
    <row r="200" ht="12.75" customHeight="1">
      <c r="A200" s="244" t="s">
        <v>5158</v>
      </c>
      <c r="B200" s="244" t="s">
        <v>12721</v>
      </c>
      <c r="C200" s="244" t="s">
        <v>13237</v>
      </c>
      <c r="D200" s="154" t="s">
        <v>1315</v>
      </c>
      <c r="E200" s="154"/>
      <c r="F200" s="154" t="str">
        <f t="array" ref="F200">XLOOKUP(Cover!$D$12,$P$1:$X$1,$P200:$X200)</f>
        <v>Mandatory</v>
      </c>
      <c r="G200" s="154" t="s">
        <v>13238</v>
      </c>
      <c r="H200" s="154" t="s">
        <v>13233</v>
      </c>
      <c r="I200" s="154" t="s">
        <v>13229</v>
      </c>
      <c r="J200" s="154" t="s">
        <v>6905</v>
      </c>
      <c r="K200" s="154" t="s">
        <v>1018</v>
      </c>
      <c r="L200" s="154" t="s">
        <v>759</v>
      </c>
      <c r="M200" s="247" t="s">
        <v>516</v>
      </c>
      <c r="N200" s="247" t="s">
        <v>13234</v>
      </c>
      <c r="O200" s="240" t="str">
        <f t="shared" si="1"/>
        <v/>
      </c>
      <c r="P200" s="154" t="s">
        <v>66</v>
      </c>
      <c r="Q200" s="154" t="s">
        <v>66</v>
      </c>
      <c r="R200" s="155" t="s">
        <v>64</v>
      </c>
      <c r="S200" s="155" t="s">
        <v>64</v>
      </c>
      <c r="T200" s="154" t="s">
        <v>60</v>
      </c>
      <c r="U200" s="154" t="s">
        <v>60</v>
      </c>
      <c r="V200" s="154" t="s">
        <v>66</v>
      </c>
      <c r="W200" s="155" t="s">
        <v>64</v>
      </c>
      <c r="X200" s="154" t="s">
        <v>60</v>
      </c>
      <c r="Y200" s="154"/>
      <c r="Z200" s="242" t="b">
        <f t="shared" si="2"/>
        <v>1</v>
      </c>
      <c r="AA200" s="154" t="s">
        <v>391</v>
      </c>
      <c r="AB200" s="242" t="b">
        <f t="shared" si="3"/>
        <v>0</v>
      </c>
      <c r="AC200" s="154"/>
      <c r="AD200" s="242" t="b">
        <f t="shared" si="4"/>
        <v>0</v>
      </c>
      <c r="AE200" s="154" t="s">
        <v>1610</v>
      </c>
      <c r="AF200" s="243" t="str">
        <f>IF(AE200="","N/A",INDIRECT("MTR!"&amp;ADDRESS(MATCH(LEFT(AE200,9),MTR!C:C,0),COLUMN(J200)),TRUE) &amp; "")</f>
        <v>Partially Complies</v>
      </c>
      <c r="AG200" s="157" t="str">
        <f t="shared" si="5"/>
        <v/>
      </c>
      <c r="AH200" s="152"/>
      <c r="AI200" s="152"/>
      <c r="AJ200" s="152"/>
      <c r="AK200" s="152"/>
      <c r="AL200" s="152"/>
      <c r="AM200" s="152"/>
      <c r="AN200" s="152"/>
      <c r="AO200" s="152"/>
      <c r="AP200" s="152"/>
      <c r="AQ200" s="152"/>
      <c r="AR200" s="152"/>
    </row>
    <row r="201" ht="12.75" customHeight="1">
      <c r="A201" s="244" t="s">
        <v>5158</v>
      </c>
      <c r="B201" s="244" t="s">
        <v>12721</v>
      </c>
      <c r="C201" s="244" t="s">
        <v>13239</v>
      </c>
      <c r="D201" s="154" t="s">
        <v>45</v>
      </c>
      <c r="E201" s="154"/>
      <c r="F201" s="154" t="str">
        <f t="array" ref="F201">XLOOKUP(Cover!$D$12,$P$1:$X$1,$P201:$X201)</f>
        <v>Mandatory</v>
      </c>
      <c r="G201" s="154" t="s">
        <v>13240</v>
      </c>
      <c r="H201" s="154" t="s">
        <v>13228</v>
      </c>
      <c r="I201" s="154" t="s">
        <v>13229</v>
      </c>
      <c r="J201" s="154" t="s">
        <v>10718</v>
      </c>
      <c r="K201" s="154" t="s">
        <v>1018</v>
      </c>
      <c r="L201" s="154" t="s">
        <v>759</v>
      </c>
      <c r="M201" s="247" t="s">
        <v>516</v>
      </c>
      <c r="N201" s="247" t="s">
        <v>13241</v>
      </c>
      <c r="O201" s="240" t="str">
        <f t="shared" si="1"/>
        <v/>
      </c>
      <c r="P201" s="154" t="s">
        <v>66</v>
      </c>
      <c r="Q201" s="154" t="s">
        <v>66</v>
      </c>
      <c r="R201" s="154" t="s">
        <v>60</v>
      </c>
      <c r="S201" s="154" t="s">
        <v>60</v>
      </c>
      <c r="T201" s="154" t="s">
        <v>60</v>
      </c>
      <c r="U201" s="154" t="s">
        <v>60</v>
      </c>
      <c r="V201" s="154" t="s">
        <v>66</v>
      </c>
      <c r="W201" s="154" t="s">
        <v>60</v>
      </c>
      <c r="X201" s="154" t="s">
        <v>60</v>
      </c>
      <c r="Y201" s="154"/>
      <c r="Z201" s="242" t="b">
        <f t="shared" si="2"/>
        <v>1</v>
      </c>
      <c r="AA201" s="154" t="s">
        <v>391</v>
      </c>
      <c r="AB201" s="242" t="b">
        <f t="shared" si="3"/>
        <v>0</v>
      </c>
      <c r="AC201" s="154"/>
      <c r="AD201" s="242" t="b">
        <f t="shared" si="4"/>
        <v>0</v>
      </c>
      <c r="AE201" s="154" t="s">
        <v>1610</v>
      </c>
      <c r="AF201" s="243" t="str">
        <f>IF(AE201="","N/A",INDIRECT("MTR!"&amp;ADDRESS(MATCH(LEFT(AE201,9),MTR!C:C,0),COLUMN(J201)),TRUE) &amp; "")</f>
        <v>Partially Complies</v>
      </c>
      <c r="AG201" s="157" t="str">
        <f t="shared" si="5"/>
        <v/>
      </c>
      <c r="AH201" s="152"/>
      <c r="AI201" s="152"/>
      <c r="AJ201" s="152"/>
      <c r="AK201" s="152"/>
      <c r="AL201" s="152"/>
      <c r="AM201" s="152"/>
      <c r="AN201" s="152"/>
      <c r="AO201" s="152"/>
      <c r="AP201" s="152"/>
      <c r="AQ201" s="152"/>
      <c r="AR201" s="152"/>
    </row>
    <row r="202" ht="12.75" customHeight="1">
      <c r="A202" s="244" t="s">
        <v>5158</v>
      </c>
      <c r="B202" s="244" t="s">
        <v>12721</v>
      </c>
      <c r="C202" s="244" t="s">
        <v>13242</v>
      </c>
      <c r="D202" s="154" t="s">
        <v>1773</v>
      </c>
      <c r="E202" s="154"/>
      <c r="F202" s="154" t="str">
        <f t="array" ref="F202">XLOOKUP(Cover!$D$12,$P$1:$X$1,$P202:$X202)</f>
        <v>Information</v>
      </c>
      <c r="G202" s="154" t="s">
        <v>13243</v>
      </c>
      <c r="H202" s="154" t="s">
        <v>13244</v>
      </c>
      <c r="I202" s="154" t="s">
        <v>13245</v>
      </c>
      <c r="J202" s="154" t="s">
        <v>6126</v>
      </c>
      <c r="K202" s="154"/>
      <c r="L202" s="154" t="s">
        <v>759</v>
      </c>
      <c r="M202" s="247" t="s">
        <v>516</v>
      </c>
      <c r="N202" s="247" t="s">
        <v>12731</v>
      </c>
      <c r="O202" s="240" t="str">
        <f t="shared" si="1"/>
        <v/>
      </c>
      <c r="P202" s="154" t="s">
        <v>66</v>
      </c>
      <c r="Q202" s="154" t="s">
        <v>66</v>
      </c>
      <c r="R202" s="154" t="s">
        <v>66</v>
      </c>
      <c r="S202" s="154" t="s">
        <v>66</v>
      </c>
      <c r="T202" s="154" t="s">
        <v>66</v>
      </c>
      <c r="U202" s="154" t="s">
        <v>66</v>
      </c>
      <c r="V202" s="154" t="s">
        <v>66</v>
      </c>
      <c r="W202" s="154" t="s">
        <v>66</v>
      </c>
      <c r="X202" s="154" t="s">
        <v>66</v>
      </c>
      <c r="Y202" s="154"/>
      <c r="Z202" s="242" t="b">
        <f t="shared" si="2"/>
        <v>1</v>
      </c>
      <c r="AA202" s="154" t="s">
        <v>391</v>
      </c>
      <c r="AB202" s="242" t="b">
        <f t="shared" si="3"/>
        <v>0</v>
      </c>
      <c r="AC202" s="154"/>
      <c r="AD202" s="242" t="b">
        <f t="shared" si="4"/>
        <v>0</v>
      </c>
      <c r="AE202" s="154" t="s">
        <v>1610</v>
      </c>
      <c r="AF202" s="243" t="str">
        <f>IF(AE202="","N/A",INDIRECT("MTR!"&amp;ADDRESS(MATCH(LEFT(AE202,9),MTR!C:C,0),COLUMN(J202)),TRUE) &amp; "")</f>
        <v>Partially Complies</v>
      </c>
      <c r="AG202" s="157" t="str">
        <f t="shared" si="5"/>
        <v/>
      </c>
      <c r="AH202" s="152"/>
      <c r="AI202" s="152"/>
      <c r="AJ202" s="152"/>
      <c r="AK202" s="152"/>
      <c r="AL202" s="152"/>
      <c r="AM202" s="152"/>
      <c r="AN202" s="152"/>
      <c r="AO202" s="152"/>
      <c r="AP202" s="152"/>
      <c r="AQ202" s="152"/>
      <c r="AR202" s="152"/>
    </row>
    <row r="203" ht="12.75" customHeight="1">
      <c r="A203" s="244" t="s">
        <v>5158</v>
      </c>
      <c r="B203" s="244" t="s">
        <v>12721</v>
      </c>
      <c r="C203" s="244" t="s">
        <v>13246</v>
      </c>
      <c r="D203" s="154" t="s">
        <v>1315</v>
      </c>
      <c r="E203" s="154"/>
      <c r="F203" s="154" t="str">
        <f t="array" ref="F203">XLOOKUP(Cover!$D$12,$P$1:$X$1,$P203:$X203)</f>
        <v>Recommended</v>
      </c>
      <c r="G203" s="154" t="s">
        <v>13247</v>
      </c>
      <c r="H203" s="154" t="s">
        <v>13248</v>
      </c>
      <c r="I203" s="154" t="s">
        <v>13249</v>
      </c>
      <c r="J203" s="154" t="s">
        <v>6140</v>
      </c>
      <c r="K203" s="154"/>
      <c r="L203" s="154" t="s">
        <v>759</v>
      </c>
      <c r="M203" s="247" t="s">
        <v>506</v>
      </c>
      <c r="N203" s="247" t="s">
        <v>12738</v>
      </c>
      <c r="O203" s="240" t="str">
        <f t="shared" si="1"/>
        <v/>
      </c>
      <c r="P203" s="154" t="s">
        <v>66</v>
      </c>
      <c r="Q203" s="154" t="s">
        <v>66</v>
      </c>
      <c r="R203" s="154" t="s">
        <v>64</v>
      </c>
      <c r="S203" s="154" t="s">
        <v>64</v>
      </c>
      <c r="T203" s="154" t="s">
        <v>64</v>
      </c>
      <c r="U203" s="154" t="s">
        <v>64</v>
      </c>
      <c r="V203" s="154" t="s">
        <v>66</v>
      </c>
      <c r="W203" s="154" t="s">
        <v>64</v>
      </c>
      <c r="X203" s="154" t="s">
        <v>64</v>
      </c>
      <c r="Y203" s="154"/>
      <c r="Z203" s="242" t="b">
        <f t="shared" si="2"/>
        <v>1</v>
      </c>
      <c r="AA203" s="154" t="s">
        <v>391</v>
      </c>
      <c r="AB203" s="242" t="b">
        <f t="shared" si="3"/>
        <v>0</v>
      </c>
      <c r="AC203" s="154"/>
      <c r="AD203" s="242" t="b">
        <f t="shared" si="4"/>
        <v>0</v>
      </c>
      <c r="AE203" s="154" t="s">
        <v>1610</v>
      </c>
      <c r="AF203" s="243" t="str">
        <f>IF(AE203="","N/A",INDIRECT("MTR!"&amp;ADDRESS(MATCH(LEFT(AE203,9),MTR!C:C,0),COLUMN(J203)),TRUE) &amp; "")</f>
        <v>Partially Complies</v>
      </c>
      <c r="AG203" s="157" t="str">
        <f t="shared" si="5"/>
        <v/>
      </c>
      <c r="AH203" s="152"/>
      <c r="AI203" s="152"/>
      <c r="AJ203" s="152"/>
      <c r="AK203" s="152"/>
      <c r="AL203" s="152"/>
      <c r="AM203" s="152"/>
      <c r="AN203" s="152"/>
      <c r="AO203" s="152"/>
      <c r="AP203" s="152"/>
      <c r="AQ203" s="152"/>
      <c r="AR203" s="152"/>
    </row>
    <row r="204" ht="12.75" customHeight="1">
      <c r="A204" s="244" t="s">
        <v>5158</v>
      </c>
      <c r="B204" s="244" t="s">
        <v>12721</v>
      </c>
      <c r="C204" s="244" t="s">
        <v>13250</v>
      </c>
      <c r="D204" s="154" t="s">
        <v>1069</v>
      </c>
      <c r="E204" s="154"/>
      <c r="F204" s="154" t="str">
        <f t="array" ref="F204">XLOOKUP(Cover!$D$12,$P$1:$X$1,$P204:$X204)</f>
        <v>Recommended</v>
      </c>
      <c r="G204" s="154" t="s">
        <v>13251</v>
      </c>
      <c r="H204" s="154" t="s">
        <v>13252</v>
      </c>
      <c r="I204" s="154" t="s">
        <v>13249</v>
      </c>
      <c r="J204" s="154" t="s">
        <v>6140</v>
      </c>
      <c r="K204" s="154"/>
      <c r="L204" s="154" t="s">
        <v>759</v>
      </c>
      <c r="M204" s="247" t="s">
        <v>516</v>
      </c>
      <c r="N204" s="247" t="s">
        <v>12741</v>
      </c>
      <c r="O204" s="240" t="str">
        <f t="shared" si="1"/>
        <v/>
      </c>
      <c r="P204" s="154" t="s">
        <v>66</v>
      </c>
      <c r="Q204" s="154" t="s">
        <v>66</v>
      </c>
      <c r="R204" s="154" t="s">
        <v>64</v>
      </c>
      <c r="S204" s="154" t="s">
        <v>64</v>
      </c>
      <c r="T204" s="154" t="s">
        <v>64</v>
      </c>
      <c r="U204" s="154" t="s">
        <v>64</v>
      </c>
      <c r="V204" s="154" t="s">
        <v>66</v>
      </c>
      <c r="W204" s="154" t="s">
        <v>64</v>
      </c>
      <c r="X204" s="154" t="s">
        <v>64</v>
      </c>
      <c r="Y204" s="154"/>
      <c r="Z204" s="242" t="b">
        <f t="shared" si="2"/>
        <v>1</v>
      </c>
      <c r="AA204" s="154" t="s">
        <v>391</v>
      </c>
      <c r="AB204" s="242" t="b">
        <f t="shared" si="3"/>
        <v>0</v>
      </c>
      <c r="AC204" s="154"/>
      <c r="AD204" s="242" t="b">
        <f t="shared" si="4"/>
        <v>0</v>
      </c>
      <c r="AE204" s="154" t="s">
        <v>1610</v>
      </c>
      <c r="AF204" s="243" t="str">
        <f>IF(AE204="","N/A",INDIRECT("MTR!"&amp;ADDRESS(MATCH(LEFT(AE204,9),MTR!C:C,0),COLUMN(J204)),TRUE) &amp; "")</f>
        <v>Partially Complies</v>
      </c>
      <c r="AG204" s="157" t="str">
        <f t="shared" si="5"/>
        <v/>
      </c>
      <c r="AH204" s="152"/>
      <c r="AI204" s="152"/>
      <c r="AJ204" s="152"/>
      <c r="AK204" s="152"/>
      <c r="AL204" s="152"/>
      <c r="AM204" s="152"/>
      <c r="AN204" s="152"/>
      <c r="AO204" s="152"/>
      <c r="AP204" s="152"/>
      <c r="AQ204" s="152"/>
      <c r="AR204" s="152"/>
    </row>
    <row r="205" ht="12.75" customHeight="1">
      <c r="A205" s="244" t="s">
        <v>5158</v>
      </c>
      <c r="B205" s="244" t="s">
        <v>12721</v>
      </c>
      <c r="C205" s="244" t="s">
        <v>13253</v>
      </c>
      <c r="D205" s="154" t="s">
        <v>1315</v>
      </c>
      <c r="E205" s="154"/>
      <c r="F205" s="154" t="str">
        <f t="array" ref="F205">XLOOKUP(Cover!$D$12,$P$1:$X$1,$P205:$X205)</f>
        <v>Recommended</v>
      </c>
      <c r="G205" s="154" t="s">
        <v>13254</v>
      </c>
      <c r="H205" s="154" t="s">
        <v>13248</v>
      </c>
      <c r="I205" s="154" t="s">
        <v>13249</v>
      </c>
      <c r="J205" s="154" t="s">
        <v>6022</v>
      </c>
      <c r="K205" s="154"/>
      <c r="L205" s="154" t="s">
        <v>759</v>
      </c>
      <c r="M205" s="247" t="s">
        <v>506</v>
      </c>
      <c r="N205" s="247" t="s">
        <v>12738</v>
      </c>
      <c r="O205" s="240" t="str">
        <f t="shared" si="1"/>
        <v/>
      </c>
      <c r="P205" s="154" t="s">
        <v>66</v>
      </c>
      <c r="Q205" s="154" t="s">
        <v>66</v>
      </c>
      <c r="R205" s="154" t="s">
        <v>64</v>
      </c>
      <c r="S205" s="154" t="s">
        <v>64</v>
      </c>
      <c r="T205" s="154" t="s">
        <v>64</v>
      </c>
      <c r="U205" s="154" t="s">
        <v>64</v>
      </c>
      <c r="V205" s="154" t="s">
        <v>66</v>
      </c>
      <c r="W205" s="154" t="s">
        <v>64</v>
      </c>
      <c r="X205" s="154" t="s">
        <v>64</v>
      </c>
      <c r="Y205" s="154"/>
      <c r="Z205" s="242" t="b">
        <f t="shared" si="2"/>
        <v>1</v>
      </c>
      <c r="AA205" s="154" t="s">
        <v>391</v>
      </c>
      <c r="AB205" s="242" t="b">
        <f t="shared" si="3"/>
        <v>0</v>
      </c>
      <c r="AC205" s="154"/>
      <c r="AD205" s="242" t="b">
        <f t="shared" si="4"/>
        <v>0</v>
      </c>
      <c r="AE205" s="154" t="s">
        <v>1610</v>
      </c>
      <c r="AF205" s="243" t="str">
        <f>IF(AE205="","N/A",INDIRECT("MTR!"&amp;ADDRESS(MATCH(LEFT(AE205,9),MTR!C:C,0),COLUMN(J205)),TRUE) &amp; "")</f>
        <v>Partially Complies</v>
      </c>
      <c r="AG205" s="157" t="str">
        <f t="shared" si="5"/>
        <v/>
      </c>
      <c r="AH205" s="152"/>
      <c r="AI205" s="152"/>
      <c r="AJ205" s="152"/>
      <c r="AK205" s="152"/>
      <c r="AL205" s="152"/>
      <c r="AM205" s="152"/>
      <c r="AN205" s="152"/>
      <c r="AO205" s="152"/>
      <c r="AP205" s="152"/>
      <c r="AQ205" s="152"/>
      <c r="AR205" s="152"/>
    </row>
    <row r="206" ht="12.75" customHeight="1">
      <c r="A206" s="244" t="s">
        <v>5158</v>
      </c>
      <c r="B206" s="244" t="s">
        <v>12721</v>
      </c>
      <c r="C206" s="255" t="s">
        <v>13255</v>
      </c>
      <c r="D206" s="256" t="s">
        <v>42</v>
      </c>
      <c r="E206" s="256" t="s">
        <v>489</v>
      </c>
      <c r="F206" s="154" t="str">
        <f t="array" ref="F206">XLOOKUP(Cover!$D$12,$P$1:$X$1,$P206:$X206)</f>
        <v>Recommended</v>
      </c>
      <c r="G206" s="154" t="s">
        <v>13256</v>
      </c>
      <c r="H206" s="154" t="s">
        <v>13248</v>
      </c>
      <c r="I206" s="154" t="s">
        <v>13249</v>
      </c>
      <c r="J206" s="154" t="s">
        <v>6220</v>
      </c>
      <c r="K206" s="154"/>
      <c r="L206" s="154" t="s">
        <v>759</v>
      </c>
      <c r="M206" s="247" t="s">
        <v>516</v>
      </c>
      <c r="N206" s="247" t="s">
        <v>12748</v>
      </c>
      <c r="O206" s="240" t="str">
        <f t="shared" si="1"/>
        <v/>
      </c>
      <c r="P206" s="154" t="s">
        <v>66</v>
      </c>
      <c r="Q206" s="154" t="s">
        <v>66</v>
      </c>
      <c r="R206" s="154" t="s">
        <v>64</v>
      </c>
      <c r="S206" s="154" t="s">
        <v>64</v>
      </c>
      <c r="T206" s="154" t="s">
        <v>64</v>
      </c>
      <c r="U206" s="154" t="s">
        <v>64</v>
      </c>
      <c r="V206" s="154" t="s">
        <v>66</v>
      </c>
      <c r="W206" s="154" t="s">
        <v>64</v>
      </c>
      <c r="X206" s="154" t="s">
        <v>64</v>
      </c>
      <c r="Y206" s="154"/>
      <c r="Z206" s="242" t="b">
        <f t="shared" si="2"/>
        <v>1</v>
      </c>
      <c r="AA206" s="154" t="s">
        <v>391</v>
      </c>
      <c r="AB206" s="242" t="b">
        <f t="shared" si="3"/>
        <v>0</v>
      </c>
      <c r="AC206" s="154"/>
      <c r="AD206" s="242" t="b">
        <f t="shared" si="4"/>
        <v>0</v>
      </c>
      <c r="AE206" s="154" t="s">
        <v>1610</v>
      </c>
      <c r="AF206" s="243" t="str">
        <f>IF(AE206="","N/A",INDIRECT("MTR!"&amp;ADDRESS(MATCH(LEFT(AE206,9),MTR!C:C,0),COLUMN(J206)),TRUE) &amp; "")</f>
        <v>Partially Complies</v>
      </c>
      <c r="AG206" s="157" t="str">
        <f t="shared" si="5"/>
        <v/>
      </c>
      <c r="AH206" s="152"/>
      <c r="AI206" s="152"/>
      <c r="AJ206" s="152"/>
      <c r="AK206" s="152"/>
      <c r="AL206" s="152"/>
      <c r="AM206" s="152"/>
      <c r="AN206" s="152"/>
      <c r="AO206" s="152"/>
      <c r="AP206" s="152"/>
      <c r="AQ206" s="152"/>
      <c r="AR206" s="152"/>
    </row>
    <row r="207" ht="12.75" customHeight="1">
      <c r="A207" s="244" t="s">
        <v>5158</v>
      </c>
      <c r="B207" s="244" t="s">
        <v>12721</v>
      </c>
      <c r="C207" s="255" t="s">
        <v>13257</v>
      </c>
      <c r="D207" s="256" t="s">
        <v>42</v>
      </c>
      <c r="E207" s="256" t="s">
        <v>489</v>
      </c>
      <c r="F207" s="154" t="str">
        <f t="array" ref="F207">XLOOKUP(Cover!$D$12,$P$1:$X$1,$P207:$X207)</f>
        <v>Recommended</v>
      </c>
      <c r="G207" s="154" t="s">
        <v>13258</v>
      </c>
      <c r="H207" s="154" t="s">
        <v>13252</v>
      </c>
      <c r="I207" s="154" t="s">
        <v>13249</v>
      </c>
      <c r="J207" s="154" t="s">
        <v>6220</v>
      </c>
      <c r="K207" s="154"/>
      <c r="L207" s="154" t="s">
        <v>759</v>
      </c>
      <c r="M207" s="247" t="s">
        <v>516</v>
      </c>
      <c r="N207" s="247" t="s">
        <v>12751</v>
      </c>
      <c r="O207" s="240" t="str">
        <f t="shared" si="1"/>
        <v/>
      </c>
      <c r="P207" s="154" t="s">
        <v>66</v>
      </c>
      <c r="Q207" s="154" t="s">
        <v>66</v>
      </c>
      <c r="R207" s="154" t="s">
        <v>64</v>
      </c>
      <c r="S207" s="154" t="s">
        <v>64</v>
      </c>
      <c r="T207" s="154" t="s">
        <v>64</v>
      </c>
      <c r="U207" s="154" t="s">
        <v>64</v>
      </c>
      <c r="V207" s="154" t="s">
        <v>66</v>
      </c>
      <c r="W207" s="154" t="s">
        <v>64</v>
      </c>
      <c r="X207" s="154" t="s">
        <v>64</v>
      </c>
      <c r="Y207" s="154"/>
      <c r="Z207" s="242" t="b">
        <f t="shared" si="2"/>
        <v>1</v>
      </c>
      <c r="AA207" s="154" t="s">
        <v>391</v>
      </c>
      <c r="AB207" s="242" t="b">
        <f t="shared" si="3"/>
        <v>0</v>
      </c>
      <c r="AC207" s="154"/>
      <c r="AD207" s="242" t="b">
        <f t="shared" si="4"/>
        <v>0</v>
      </c>
      <c r="AE207" s="154" t="s">
        <v>1610</v>
      </c>
      <c r="AF207" s="243" t="str">
        <f>IF(AE207="","N/A",INDIRECT("MTR!"&amp;ADDRESS(MATCH(LEFT(AE207,9),MTR!C:C,0),COLUMN(J207)),TRUE) &amp; "")</f>
        <v>Partially Complies</v>
      </c>
      <c r="AG207" s="157" t="str">
        <f t="shared" si="5"/>
        <v/>
      </c>
      <c r="AH207" s="152"/>
      <c r="AI207" s="152"/>
      <c r="AJ207" s="152"/>
      <c r="AK207" s="152"/>
      <c r="AL207" s="152"/>
      <c r="AM207" s="152"/>
      <c r="AN207" s="152"/>
      <c r="AO207" s="152"/>
      <c r="AP207" s="152"/>
      <c r="AQ207" s="152"/>
      <c r="AR207" s="152"/>
    </row>
    <row r="208" ht="12.75" customHeight="1">
      <c r="A208" s="244" t="s">
        <v>5158</v>
      </c>
      <c r="B208" s="244" t="s">
        <v>12721</v>
      </c>
      <c r="C208" s="244" t="s">
        <v>13259</v>
      </c>
      <c r="D208" s="154" t="s">
        <v>1315</v>
      </c>
      <c r="E208" s="154"/>
      <c r="F208" s="154" t="str">
        <f t="array" ref="F208">XLOOKUP(Cover!$D$12,$P$1:$X$1,$P208:$X208)</f>
        <v>Recommended</v>
      </c>
      <c r="G208" s="154" t="s">
        <v>13260</v>
      </c>
      <c r="H208" s="154" t="s">
        <v>13261</v>
      </c>
      <c r="I208" s="154" t="s">
        <v>13262</v>
      </c>
      <c r="J208" s="154" t="s">
        <v>6884</v>
      </c>
      <c r="K208" s="154"/>
      <c r="L208" s="154" t="s">
        <v>759</v>
      </c>
      <c r="M208" s="247" t="s">
        <v>506</v>
      </c>
      <c r="N208" s="247" t="s">
        <v>12738</v>
      </c>
      <c r="O208" s="240" t="str">
        <f t="shared" si="1"/>
        <v/>
      </c>
      <c r="P208" s="154" t="s">
        <v>66</v>
      </c>
      <c r="Q208" s="154" t="s">
        <v>66</v>
      </c>
      <c r="R208" s="154" t="s">
        <v>64</v>
      </c>
      <c r="S208" s="154" t="s">
        <v>64</v>
      </c>
      <c r="T208" s="154" t="s">
        <v>64</v>
      </c>
      <c r="U208" s="154" t="s">
        <v>64</v>
      </c>
      <c r="V208" s="154" t="s">
        <v>66</v>
      </c>
      <c r="W208" s="154" t="s">
        <v>64</v>
      </c>
      <c r="X208" s="154" t="s">
        <v>64</v>
      </c>
      <c r="Y208" s="154"/>
      <c r="Z208" s="242" t="b">
        <f t="shared" si="2"/>
        <v>1</v>
      </c>
      <c r="AA208" s="154" t="s">
        <v>391</v>
      </c>
      <c r="AB208" s="242" t="b">
        <f t="shared" si="3"/>
        <v>0</v>
      </c>
      <c r="AC208" s="154"/>
      <c r="AD208" s="242" t="b">
        <f t="shared" si="4"/>
        <v>0</v>
      </c>
      <c r="AE208" s="154" t="s">
        <v>1610</v>
      </c>
      <c r="AF208" s="243" t="str">
        <f>IF(AE208="","N/A",INDIRECT("MTR!"&amp;ADDRESS(MATCH(LEFT(AE208,9),MTR!C:C,0),COLUMN(J208)),TRUE) &amp; "")</f>
        <v>Partially Complies</v>
      </c>
      <c r="AG208" s="157" t="str">
        <f t="shared" si="5"/>
        <v/>
      </c>
      <c r="AH208" s="152"/>
      <c r="AI208" s="152"/>
      <c r="AJ208" s="152"/>
      <c r="AK208" s="152"/>
      <c r="AL208" s="152"/>
      <c r="AM208" s="152"/>
      <c r="AN208" s="152"/>
      <c r="AO208" s="152"/>
      <c r="AP208" s="152"/>
      <c r="AQ208" s="152"/>
      <c r="AR208" s="152"/>
    </row>
    <row r="209" ht="12.75" customHeight="1">
      <c r="A209" s="244" t="s">
        <v>5158</v>
      </c>
      <c r="B209" s="244" t="s">
        <v>12721</v>
      </c>
      <c r="C209" s="244" t="s">
        <v>13263</v>
      </c>
      <c r="D209" s="154" t="s">
        <v>45</v>
      </c>
      <c r="E209" s="154"/>
      <c r="F209" s="154" t="str">
        <f t="array" ref="F209">XLOOKUP(Cover!$D$12,$P$1:$X$1,$P209:$X209)</f>
        <v>Mandatory</v>
      </c>
      <c r="G209" s="154" t="s">
        <v>13264</v>
      </c>
      <c r="H209" s="154" t="s">
        <v>12798</v>
      </c>
      <c r="I209" s="154" t="s">
        <v>13265</v>
      </c>
      <c r="J209" s="154" t="s">
        <v>10718</v>
      </c>
      <c r="K209" s="154" t="s">
        <v>1018</v>
      </c>
      <c r="L209" s="154" t="s">
        <v>759</v>
      </c>
      <c r="M209" s="247" t="s">
        <v>516</v>
      </c>
      <c r="N209" s="247" t="s">
        <v>12731</v>
      </c>
      <c r="O209" s="240" t="str">
        <f t="shared" si="1"/>
        <v/>
      </c>
      <c r="P209" s="154" t="s">
        <v>66</v>
      </c>
      <c r="Q209" s="154" t="s">
        <v>66</v>
      </c>
      <c r="R209" s="154" t="s">
        <v>60</v>
      </c>
      <c r="S209" s="154" t="s">
        <v>60</v>
      </c>
      <c r="T209" s="154" t="s">
        <v>60</v>
      </c>
      <c r="U209" s="154" t="s">
        <v>60</v>
      </c>
      <c r="V209" s="154" t="s">
        <v>66</v>
      </c>
      <c r="W209" s="154" t="s">
        <v>60</v>
      </c>
      <c r="X209" s="154" t="s">
        <v>60</v>
      </c>
      <c r="Y209" s="154"/>
      <c r="Z209" s="242" t="b">
        <f t="shared" si="2"/>
        <v>1</v>
      </c>
      <c r="AA209" s="154" t="s">
        <v>391</v>
      </c>
      <c r="AB209" s="242" t="b">
        <f t="shared" si="3"/>
        <v>0</v>
      </c>
      <c r="AC209" s="154"/>
      <c r="AD209" s="242" t="b">
        <f t="shared" si="4"/>
        <v>0</v>
      </c>
      <c r="AE209" s="154" t="s">
        <v>1610</v>
      </c>
      <c r="AF209" s="243" t="str">
        <f>IF(AE209="","N/A",INDIRECT("MTR!"&amp;ADDRESS(MATCH(LEFT(AE209,9),MTR!C:C,0),COLUMN(J209)),TRUE) &amp; "")</f>
        <v>Partially Complies</v>
      </c>
      <c r="AG209" s="157" t="str">
        <f t="shared" si="5"/>
        <v/>
      </c>
      <c r="AH209" s="152"/>
      <c r="AI209" s="152"/>
      <c r="AJ209" s="152"/>
      <c r="AK209" s="152"/>
      <c r="AL209" s="152"/>
      <c r="AM209" s="152"/>
      <c r="AN209" s="152"/>
      <c r="AO209" s="152"/>
      <c r="AP209" s="152"/>
      <c r="AQ209" s="152"/>
      <c r="AR209" s="152"/>
    </row>
    <row r="210" ht="12.75" customHeight="1">
      <c r="A210" s="244" t="s">
        <v>5158</v>
      </c>
      <c r="B210" s="244" t="s">
        <v>12721</v>
      </c>
      <c r="C210" s="244" t="s">
        <v>13266</v>
      </c>
      <c r="D210" s="154" t="s">
        <v>1315</v>
      </c>
      <c r="E210" s="154"/>
      <c r="F210" s="154" t="str">
        <f t="array" ref="F210">XLOOKUP(Cover!$D$12,$P$1:$X$1,$P210:$X210)</f>
        <v>Mandatory</v>
      </c>
      <c r="G210" s="154" t="s">
        <v>13267</v>
      </c>
      <c r="H210" s="154" t="s">
        <v>13268</v>
      </c>
      <c r="I210" s="154" t="s">
        <v>13269</v>
      </c>
      <c r="J210" s="154" t="s">
        <v>6140</v>
      </c>
      <c r="K210" s="154" t="s">
        <v>1018</v>
      </c>
      <c r="L210" s="154" t="s">
        <v>759</v>
      </c>
      <c r="M210" s="247" t="s">
        <v>506</v>
      </c>
      <c r="N210" s="247" t="s">
        <v>12738</v>
      </c>
      <c r="O210" s="240" t="str">
        <f t="shared" si="1"/>
        <v/>
      </c>
      <c r="P210" s="154" t="s">
        <v>66</v>
      </c>
      <c r="Q210" s="154" t="s">
        <v>66</v>
      </c>
      <c r="R210" s="154" t="s">
        <v>60</v>
      </c>
      <c r="S210" s="154" t="s">
        <v>60</v>
      </c>
      <c r="T210" s="154" t="s">
        <v>60</v>
      </c>
      <c r="U210" s="154" t="s">
        <v>60</v>
      </c>
      <c r="V210" s="154" t="s">
        <v>66</v>
      </c>
      <c r="W210" s="154" t="s">
        <v>60</v>
      </c>
      <c r="X210" s="154" t="s">
        <v>60</v>
      </c>
      <c r="Y210" s="154"/>
      <c r="Z210" s="242" t="b">
        <f t="shared" si="2"/>
        <v>1</v>
      </c>
      <c r="AA210" s="154" t="s">
        <v>391</v>
      </c>
      <c r="AB210" s="242" t="b">
        <f t="shared" si="3"/>
        <v>0</v>
      </c>
      <c r="AC210" s="154"/>
      <c r="AD210" s="242" t="b">
        <f t="shared" si="4"/>
        <v>0</v>
      </c>
      <c r="AE210" s="154" t="s">
        <v>1610</v>
      </c>
      <c r="AF210" s="243" t="str">
        <f>IF(AE210="","N/A",INDIRECT("MTR!"&amp;ADDRESS(MATCH(LEFT(AE210,9),MTR!C:C,0),COLUMN(J210)),TRUE) &amp; "")</f>
        <v>Partially Complies</v>
      </c>
      <c r="AG210" s="157" t="str">
        <f t="shared" si="5"/>
        <v/>
      </c>
      <c r="AH210" s="152"/>
      <c r="AI210" s="152"/>
      <c r="AJ210" s="152"/>
      <c r="AK210" s="152"/>
      <c r="AL210" s="152"/>
      <c r="AM210" s="152"/>
      <c r="AN210" s="152"/>
      <c r="AO210" s="152"/>
      <c r="AP210" s="152"/>
      <c r="AQ210" s="152"/>
      <c r="AR210" s="152"/>
    </row>
    <row r="211" ht="12.75" customHeight="1">
      <c r="A211" s="244" t="s">
        <v>5158</v>
      </c>
      <c r="B211" s="244" t="s">
        <v>12721</v>
      </c>
      <c r="C211" s="244" t="s">
        <v>13270</v>
      </c>
      <c r="D211" s="154" t="s">
        <v>1315</v>
      </c>
      <c r="E211" s="154"/>
      <c r="F211" s="154" t="str">
        <f t="array" ref="F211">XLOOKUP(Cover!$D$12,$P$1:$X$1,$P211:$X211)</f>
        <v>Mandatory</v>
      </c>
      <c r="G211" s="154" t="s">
        <v>13271</v>
      </c>
      <c r="H211" s="154" t="s">
        <v>13272</v>
      </c>
      <c r="I211" s="154" t="s">
        <v>13269</v>
      </c>
      <c r="J211" s="154" t="s">
        <v>6140</v>
      </c>
      <c r="K211" s="154" t="s">
        <v>1018</v>
      </c>
      <c r="L211" s="154" t="s">
        <v>759</v>
      </c>
      <c r="M211" s="247" t="s">
        <v>516</v>
      </c>
      <c r="N211" s="247" t="s">
        <v>12741</v>
      </c>
      <c r="O211" s="240" t="str">
        <f t="shared" si="1"/>
        <v/>
      </c>
      <c r="P211" s="154" t="s">
        <v>66</v>
      </c>
      <c r="Q211" s="154" t="s">
        <v>66</v>
      </c>
      <c r="R211" s="155" t="s">
        <v>64</v>
      </c>
      <c r="S211" s="155" t="s">
        <v>64</v>
      </c>
      <c r="T211" s="154" t="s">
        <v>60</v>
      </c>
      <c r="U211" s="154" t="s">
        <v>60</v>
      </c>
      <c r="V211" s="154" t="s">
        <v>66</v>
      </c>
      <c r="W211" s="155" t="s">
        <v>64</v>
      </c>
      <c r="X211" s="154" t="s">
        <v>60</v>
      </c>
      <c r="Y211" s="154"/>
      <c r="Z211" s="242" t="b">
        <f t="shared" si="2"/>
        <v>1</v>
      </c>
      <c r="AA211" s="154" t="s">
        <v>391</v>
      </c>
      <c r="AB211" s="242" t="b">
        <f t="shared" si="3"/>
        <v>0</v>
      </c>
      <c r="AC211" s="154"/>
      <c r="AD211" s="242" t="b">
        <f t="shared" si="4"/>
        <v>0</v>
      </c>
      <c r="AE211" s="154" t="s">
        <v>1610</v>
      </c>
      <c r="AF211" s="243" t="str">
        <f>IF(AE211="","N/A",INDIRECT("MTR!"&amp;ADDRESS(MATCH(LEFT(AE211,9),MTR!C:C,0),COLUMN(J211)),TRUE) &amp; "")</f>
        <v>Partially Complies</v>
      </c>
      <c r="AG211" s="157" t="str">
        <f t="shared" si="5"/>
        <v/>
      </c>
      <c r="AH211" s="152"/>
      <c r="AI211" s="152"/>
      <c r="AJ211" s="152"/>
      <c r="AK211" s="152"/>
      <c r="AL211" s="152"/>
      <c r="AM211" s="152"/>
      <c r="AN211" s="152"/>
      <c r="AO211" s="152"/>
      <c r="AP211" s="152"/>
      <c r="AQ211" s="152"/>
      <c r="AR211" s="152"/>
    </row>
    <row r="212" ht="12.75" customHeight="1">
      <c r="A212" s="244" t="s">
        <v>5158</v>
      </c>
      <c r="B212" s="244" t="s">
        <v>12721</v>
      </c>
      <c r="C212" s="244" t="s">
        <v>13273</v>
      </c>
      <c r="D212" s="154" t="s">
        <v>1315</v>
      </c>
      <c r="E212" s="154"/>
      <c r="F212" s="154" t="str">
        <f t="array" ref="F212">XLOOKUP(Cover!$D$12,$P$1:$X$1,$P212:$X212)</f>
        <v>Mandatory</v>
      </c>
      <c r="G212" s="154" t="s">
        <v>13274</v>
      </c>
      <c r="H212" s="154" t="s">
        <v>13268</v>
      </c>
      <c r="I212" s="154" t="s">
        <v>13269</v>
      </c>
      <c r="J212" s="154" t="s">
        <v>6905</v>
      </c>
      <c r="K212" s="154" t="s">
        <v>1018</v>
      </c>
      <c r="L212" s="154" t="s">
        <v>759</v>
      </c>
      <c r="M212" s="247" t="s">
        <v>506</v>
      </c>
      <c r="N212" s="247" t="s">
        <v>12738</v>
      </c>
      <c r="O212" s="240" t="str">
        <f t="shared" si="1"/>
        <v/>
      </c>
      <c r="P212" s="154" t="s">
        <v>66</v>
      </c>
      <c r="Q212" s="154" t="s">
        <v>66</v>
      </c>
      <c r="R212" s="154" t="s">
        <v>60</v>
      </c>
      <c r="S212" s="154" t="s">
        <v>60</v>
      </c>
      <c r="T212" s="154" t="s">
        <v>60</v>
      </c>
      <c r="U212" s="154" t="s">
        <v>60</v>
      </c>
      <c r="V212" s="154" t="s">
        <v>66</v>
      </c>
      <c r="W212" s="154" t="s">
        <v>60</v>
      </c>
      <c r="X212" s="154" t="s">
        <v>60</v>
      </c>
      <c r="Y212" s="154"/>
      <c r="Z212" s="242" t="b">
        <f t="shared" si="2"/>
        <v>1</v>
      </c>
      <c r="AA212" s="154" t="s">
        <v>391</v>
      </c>
      <c r="AB212" s="242" t="b">
        <f t="shared" si="3"/>
        <v>0</v>
      </c>
      <c r="AC212" s="154"/>
      <c r="AD212" s="242" t="b">
        <f t="shared" si="4"/>
        <v>0</v>
      </c>
      <c r="AE212" s="154" t="s">
        <v>1610</v>
      </c>
      <c r="AF212" s="243" t="str">
        <f>IF(AE212="","N/A",INDIRECT("MTR!"&amp;ADDRESS(MATCH(LEFT(AE212,9),MTR!C:C,0),COLUMN(J212)),TRUE) &amp; "")</f>
        <v>Partially Complies</v>
      </c>
      <c r="AG212" s="157" t="str">
        <f t="shared" si="5"/>
        <v/>
      </c>
      <c r="AH212" s="152"/>
      <c r="AI212" s="152"/>
      <c r="AJ212" s="152"/>
      <c r="AK212" s="152"/>
      <c r="AL212" s="152"/>
      <c r="AM212" s="152"/>
      <c r="AN212" s="152"/>
      <c r="AO212" s="152"/>
      <c r="AP212" s="152"/>
      <c r="AQ212" s="152"/>
      <c r="AR212" s="152"/>
    </row>
    <row r="213" ht="12.75" customHeight="1">
      <c r="A213" s="244" t="s">
        <v>5158</v>
      </c>
      <c r="B213" s="244" t="s">
        <v>12721</v>
      </c>
      <c r="C213" s="244" t="s">
        <v>13275</v>
      </c>
      <c r="D213" s="154" t="s">
        <v>1315</v>
      </c>
      <c r="E213" s="154"/>
      <c r="F213" s="154" t="str">
        <f t="array" ref="F213">XLOOKUP(Cover!$D$12,$P$1:$X$1,$P213:$X213)</f>
        <v>Mandatory</v>
      </c>
      <c r="G213" s="154" t="s">
        <v>13276</v>
      </c>
      <c r="H213" s="154" t="s">
        <v>13272</v>
      </c>
      <c r="I213" s="154" t="s">
        <v>13269</v>
      </c>
      <c r="J213" s="154" t="s">
        <v>6905</v>
      </c>
      <c r="K213" s="154" t="s">
        <v>1018</v>
      </c>
      <c r="L213" s="154" t="s">
        <v>759</v>
      </c>
      <c r="M213" s="247" t="s">
        <v>516</v>
      </c>
      <c r="N213" s="247" t="s">
        <v>12741</v>
      </c>
      <c r="O213" s="240" t="str">
        <f t="shared" si="1"/>
        <v/>
      </c>
      <c r="P213" s="154" t="s">
        <v>66</v>
      </c>
      <c r="Q213" s="154" t="s">
        <v>66</v>
      </c>
      <c r="R213" s="155" t="s">
        <v>64</v>
      </c>
      <c r="S213" s="155" t="s">
        <v>64</v>
      </c>
      <c r="T213" s="154" t="s">
        <v>60</v>
      </c>
      <c r="U213" s="154" t="s">
        <v>60</v>
      </c>
      <c r="V213" s="154" t="s">
        <v>66</v>
      </c>
      <c r="W213" s="155" t="s">
        <v>64</v>
      </c>
      <c r="X213" s="154" t="s">
        <v>60</v>
      </c>
      <c r="Y213" s="154"/>
      <c r="Z213" s="242" t="b">
        <f t="shared" si="2"/>
        <v>1</v>
      </c>
      <c r="AA213" s="154" t="s">
        <v>391</v>
      </c>
      <c r="AB213" s="242" t="b">
        <f t="shared" si="3"/>
        <v>0</v>
      </c>
      <c r="AC213" s="154"/>
      <c r="AD213" s="242" t="b">
        <f t="shared" si="4"/>
        <v>0</v>
      </c>
      <c r="AE213" s="154" t="s">
        <v>1610</v>
      </c>
      <c r="AF213" s="243" t="str">
        <f>IF(AE213="","N/A",INDIRECT("MTR!"&amp;ADDRESS(MATCH(LEFT(AE213,9),MTR!C:C,0),COLUMN(J213)),TRUE) &amp; "")</f>
        <v>Partially Complies</v>
      </c>
      <c r="AG213" s="157" t="str">
        <f t="shared" si="5"/>
        <v/>
      </c>
      <c r="AH213" s="152"/>
      <c r="AI213" s="152"/>
      <c r="AJ213" s="152"/>
      <c r="AK213" s="152"/>
      <c r="AL213" s="152"/>
      <c r="AM213" s="152"/>
      <c r="AN213" s="152"/>
      <c r="AO213" s="152"/>
      <c r="AP213" s="152"/>
      <c r="AQ213" s="152"/>
      <c r="AR213" s="152"/>
    </row>
    <row r="214" ht="12.75" customHeight="1">
      <c r="A214" s="244" t="s">
        <v>5158</v>
      </c>
      <c r="B214" s="244" t="s">
        <v>12721</v>
      </c>
      <c r="C214" s="244" t="s">
        <v>13277</v>
      </c>
      <c r="D214" s="154" t="s">
        <v>1069</v>
      </c>
      <c r="E214" s="154"/>
      <c r="F214" s="154" t="str">
        <f t="array" ref="F214">XLOOKUP(Cover!$D$12,$P$1:$X$1,$P214:$X214)</f>
        <v>Recommended</v>
      </c>
      <c r="G214" s="154" t="s">
        <v>13278</v>
      </c>
      <c r="H214" s="154" t="s">
        <v>13268</v>
      </c>
      <c r="I214" s="154" t="s">
        <v>13269</v>
      </c>
      <c r="J214" s="154" t="s">
        <v>5927</v>
      </c>
      <c r="K214" s="154"/>
      <c r="L214" s="154" t="s">
        <v>759</v>
      </c>
      <c r="M214" s="247" t="s">
        <v>506</v>
      </c>
      <c r="N214" s="247" t="s">
        <v>12738</v>
      </c>
      <c r="O214" s="240" t="str">
        <f t="shared" si="1"/>
        <v/>
      </c>
      <c r="P214" s="154" t="s">
        <v>66</v>
      </c>
      <c r="Q214" s="154" t="s">
        <v>66</v>
      </c>
      <c r="R214" s="154" t="s">
        <v>64</v>
      </c>
      <c r="S214" s="154" t="s">
        <v>64</v>
      </c>
      <c r="T214" s="154" t="s">
        <v>64</v>
      </c>
      <c r="U214" s="154" t="s">
        <v>64</v>
      </c>
      <c r="V214" s="154" t="s">
        <v>66</v>
      </c>
      <c r="W214" s="154" t="s">
        <v>64</v>
      </c>
      <c r="X214" s="154" t="s">
        <v>64</v>
      </c>
      <c r="Y214" s="154"/>
      <c r="Z214" s="242" t="b">
        <f t="shared" si="2"/>
        <v>1</v>
      </c>
      <c r="AA214" s="154" t="s">
        <v>391</v>
      </c>
      <c r="AB214" s="242" t="b">
        <f t="shared" si="3"/>
        <v>0</v>
      </c>
      <c r="AC214" s="154"/>
      <c r="AD214" s="242" t="b">
        <f t="shared" si="4"/>
        <v>0</v>
      </c>
      <c r="AE214" s="154" t="s">
        <v>1610</v>
      </c>
      <c r="AF214" s="243" t="str">
        <f>IF(AE214="","N/A",INDIRECT("MTR!"&amp;ADDRESS(MATCH(LEFT(AE214,9),MTR!C:C,0),COLUMN(J214)),TRUE) &amp; "")</f>
        <v>Partially Complies</v>
      </c>
      <c r="AG214" s="157" t="str">
        <f t="shared" si="5"/>
        <v/>
      </c>
      <c r="AH214" s="152"/>
      <c r="AI214" s="152"/>
      <c r="AJ214" s="152"/>
      <c r="AK214" s="152"/>
      <c r="AL214" s="152"/>
      <c r="AM214" s="152"/>
      <c r="AN214" s="152"/>
      <c r="AO214" s="152"/>
      <c r="AP214" s="152"/>
      <c r="AQ214" s="152"/>
      <c r="AR214" s="152"/>
    </row>
    <row r="215" ht="12.75" customHeight="1">
      <c r="A215" s="244" t="s">
        <v>5158</v>
      </c>
      <c r="B215" s="244" t="s">
        <v>12721</v>
      </c>
      <c r="C215" s="244" t="s">
        <v>13279</v>
      </c>
      <c r="D215" s="154" t="s">
        <v>1069</v>
      </c>
      <c r="E215" s="154"/>
      <c r="F215" s="154" t="str">
        <f t="array" ref="F215">XLOOKUP(Cover!$D$12,$P$1:$X$1,$P215:$X215)</f>
        <v>Recommended</v>
      </c>
      <c r="G215" s="154" t="s">
        <v>13280</v>
      </c>
      <c r="H215" s="154" t="s">
        <v>13272</v>
      </c>
      <c r="I215" s="154" t="s">
        <v>13269</v>
      </c>
      <c r="J215" s="154" t="s">
        <v>5927</v>
      </c>
      <c r="K215" s="154"/>
      <c r="L215" s="154" t="s">
        <v>759</v>
      </c>
      <c r="M215" s="247" t="s">
        <v>516</v>
      </c>
      <c r="N215" s="247" t="s">
        <v>12741</v>
      </c>
      <c r="O215" s="240" t="str">
        <f t="shared" si="1"/>
        <v/>
      </c>
      <c r="P215" s="154" t="s">
        <v>66</v>
      </c>
      <c r="Q215" s="154" t="s">
        <v>66</v>
      </c>
      <c r="R215" s="154" t="s">
        <v>64</v>
      </c>
      <c r="S215" s="154" t="s">
        <v>64</v>
      </c>
      <c r="T215" s="154" t="s">
        <v>64</v>
      </c>
      <c r="U215" s="154" t="s">
        <v>64</v>
      </c>
      <c r="V215" s="154" t="s">
        <v>66</v>
      </c>
      <c r="W215" s="154" t="s">
        <v>64</v>
      </c>
      <c r="X215" s="154" t="s">
        <v>64</v>
      </c>
      <c r="Y215" s="154"/>
      <c r="Z215" s="242" t="b">
        <f t="shared" si="2"/>
        <v>1</v>
      </c>
      <c r="AA215" s="154" t="s">
        <v>391</v>
      </c>
      <c r="AB215" s="242" t="b">
        <f t="shared" si="3"/>
        <v>0</v>
      </c>
      <c r="AC215" s="154"/>
      <c r="AD215" s="242" t="b">
        <f t="shared" si="4"/>
        <v>0</v>
      </c>
      <c r="AE215" s="154" t="s">
        <v>1610</v>
      </c>
      <c r="AF215" s="243" t="str">
        <f>IF(AE215="","N/A",INDIRECT("MTR!"&amp;ADDRESS(MATCH(LEFT(AE215,9),MTR!C:C,0),COLUMN(J215)),TRUE) &amp; "")</f>
        <v>Partially Complies</v>
      </c>
      <c r="AG215" s="157" t="str">
        <f t="shared" si="5"/>
        <v/>
      </c>
      <c r="AH215" s="152"/>
      <c r="AI215" s="152"/>
      <c r="AJ215" s="152"/>
      <c r="AK215" s="152"/>
      <c r="AL215" s="152"/>
      <c r="AM215" s="152"/>
      <c r="AN215" s="152"/>
      <c r="AO215" s="152"/>
      <c r="AP215" s="152"/>
      <c r="AQ215" s="152"/>
      <c r="AR215" s="152"/>
    </row>
    <row r="216" ht="12.75" customHeight="1">
      <c r="A216" s="244" t="s">
        <v>5158</v>
      </c>
      <c r="B216" s="244" t="s">
        <v>12721</v>
      </c>
      <c r="C216" s="244" t="s">
        <v>13281</v>
      </c>
      <c r="D216" s="154" t="s">
        <v>45</v>
      </c>
      <c r="E216" s="154"/>
      <c r="F216" s="154" t="str">
        <f t="array" ref="F216">XLOOKUP(Cover!$D$12,$P$1:$X$1,$P216:$X216)</f>
        <v>Mandatory</v>
      </c>
      <c r="G216" s="154" t="s">
        <v>13282</v>
      </c>
      <c r="H216" s="154" t="s">
        <v>12813</v>
      </c>
      <c r="I216" s="154" t="s">
        <v>13283</v>
      </c>
      <c r="J216" s="154" t="s">
        <v>10718</v>
      </c>
      <c r="K216" s="154" t="s">
        <v>1018</v>
      </c>
      <c r="L216" s="154" t="s">
        <v>759</v>
      </c>
      <c r="M216" s="247" t="s">
        <v>516</v>
      </c>
      <c r="N216" s="247" t="s">
        <v>12731</v>
      </c>
      <c r="O216" s="240" t="str">
        <f t="shared" si="1"/>
        <v/>
      </c>
      <c r="P216" s="154" t="s">
        <v>66</v>
      </c>
      <c r="Q216" s="154" t="s">
        <v>66</v>
      </c>
      <c r="R216" s="154" t="s">
        <v>60</v>
      </c>
      <c r="S216" s="154" t="s">
        <v>60</v>
      </c>
      <c r="T216" s="154" t="s">
        <v>60</v>
      </c>
      <c r="U216" s="154" t="s">
        <v>60</v>
      </c>
      <c r="V216" s="154" t="s">
        <v>66</v>
      </c>
      <c r="W216" s="154" t="s">
        <v>60</v>
      </c>
      <c r="X216" s="154" t="s">
        <v>60</v>
      </c>
      <c r="Y216" s="154"/>
      <c r="Z216" s="242" t="b">
        <f t="shared" si="2"/>
        <v>1</v>
      </c>
      <c r="AA216" s="154" t="s">
        <v>391</v>
      </c>
      <c r="AB216" s="242" t="b">
        <f t="shared" si="3"/>
        <v>0</v>
      </c>
      <c r="AC216" s="154"/>
      <c r="AD216" s="242" t="b">
        <f t="shared" si="4"/>
        <v>0</v>
      </c>
      <c r="AE216" s="154" t="s">
        <v>1610</v>
      </c>
      <c r="AF216" s="243" t="str">
        <f>IF(AE216="","N/A",INDIRECT("MTR!"&amp;ADDRESS(MATCH(LEFT(AE216,9),MTR!C:C,0),COLUMN(J216)),TRUE) &amp; "")</f>
        <v>Partially Complies</v>
      </c>
      <c r="AG216" s="157" t="str">
        <f t="shared" si="5"/>
        <v/>
      </c>
      <c r="AH216" s="152"/>
      <c r="AI216" s="152"/>
      <c r="AJ216" s="152"/>
      <c r="AK216" s="152"/>
      <c r="AL216" s="152"/>
      <c r="AM216" s="152"/>
      <c r="AN216" s="152"/>
      <c r="AO216" s="152"/>
      <c r="AP216" s="152"/>
      <c r="AQ216" s="152"/>
      <c r="AR216" s="152"/>
    </row>
    <row r="217" ht="12.75" customHeight="1">
      <c r="A217" s="244" t="s">
        <v>5158</v>
      </c>
      <c r="B217" s="244" t="s">
        <v>12721</v>
      </c>
      <c r="C217" s="244" t="s">
        <v>13284</v>
      </c>
      <c r="D217" s="154" t="s">
        <v>1315</v>
      </c>
      <c r="E217" s="154"/>
      <c r="F217" s="154" t="str">
        <f t="array" ref="F217">XLOOKUP(Cover!$D$12,$P$1:$X$1,$P217:$X217)</f>
        <v>Mandatory</v>
      </c>
      <c r="G217" s="154" t="s">
        <v>13285</v>
      </c>
      <c r="H217" s="154" t="s">
        <v>12813</v>
      </c>
      <c r="I217" s="154" t="s">
        <v>13286</v>
      </c>
      <c r="J217" s="154" t="s">
        <v>6525</v>
      </c>
      <c r="K217" s="154" t="s">
        <v>1018</v>
      </c>
      <c r="L217" s="154" t="s">
        <v>759</v>
      </c>
      <c r="M217" s="247" t="s">
        <v>516</v>
      </c>
      <c r="N217" s="247" t="s">
        <v>12731</v>
      </c>
      <c r="O217" s="240" t="str">
        <f t="shared" si="1"/>
        <v/>
      </c>
      <c r="P217" s="154" t="s">
        <v>66</v>
      </c>
      <c r="Q217" s="154" t="s">
        <v>66</v>
      </c>
      <c r="R217" s="154" t="s">
        <v>60</v>
      </c>
      <c r="S217" s="154" t="s">
        <v>60</v>
      </c>
      <c r="T217" s="154" t="s">
        <v>60</v>
      </c>
      <c r="U217" s="154" t="s">
        <v>60</v>
      </c>
      <c r="V217" s="154" t="s">
        <v>66</v>
      </c>
      <c r="W217" s="154" t="s">
        <v>60</v>
      </c>
      <c r="X217" s="154" t="s">
        <v>60</v>
      </c>
      <c r="Y217" s="154"/>
      <c r="Z217" s="242" t="b">
        <f t="shared" si="2"/>
        <v>1</v>
      </c>
      <c r="AA217" s="154" t="s">
        <v>391</v>
      </c>
      <c r="AB217" s="242" t="b">
        <f t="shared" si="3"/>
        <v>0</v>
      </c>
      <c r="AC217" s="154"/>
      <c r="AD217" s="242" t="b">
        <f t="shared" si="4"/>
        <v>0</v>
      </c>
      <c r="AE217" s="154" t="s">
        <v>1610</v>
      </c>
      <c r="AF217" s="243" t="str">
        <f>IF(AE217="","N/A",INDIRECT("MTR!"&amp;ADDRESS(MATCH(LEFT(AE217,9),MTR!C:C,0),COLUMN(J217)),TRUE) &amp; "")</f>
        <v>Partially Complies</v>
      </c>
      <c r="AG217" s="157" t="str">
        <f t="shared" si="5"/>
        <v/>
      </c>
      <c r="AH217" s="152"/>
      <c r="AI217" s="152"/>
      <c r="AJ217" s="152"/>
      <c r="AK217" s="152"/>
      <c r="AL217" s="152"/>
      <c r="AM217" s="152"/>
      <c r="AN217" s="152"/>
      <c r="AO217" s="152"/>
      <c r="AP217" s="152"/>
      <c r="AQ217" s="152"/>
      <c r="AR217" s="152"/>
    </row>
    <row r="218" ht="12.75" customHeight="1">
      <c r="A218" s="244" t="s">
        <v>5158</v>
      </c>
      <c r="B218" s="244" t="s">
        <v>12721</v>
      </c>
      <c r="C218" s="244" t="s">
        <v>13287</v>
      </c>
      <c r="D218" s="154" t="s">
        <v>1315</v>
      </c>
      <c r="E218" s="154"/>
      <c r="F218" s="154" t="str">
        <f t="array" ref="F218">XLOOKUP(Cover!$D$12,$P$1:$X$1,$P218:$X218)</f>
        <v>Mandatory</v>
      </c>
      <c r="G218" s="154" t="s">
        <v>13288</v>
      </c>
      <c r="H218" s="154" t="s">
        <v>13289</v>
      </c>
      <c r="I218" s="154" t="s">
        <v>13286</v>
      </c>
      <c r="J218" s="154" t="s">
        <v>6525</v>
      </c>
      <c r="K218" s="154" t="s">
        <v>1018</v>
      </c>
      <c r="L218" s="154" t="s">
        <v>759</v>
      </c>
      <c r="M218" s="247" t="s">
        <v>516</v>
      </c>
      <c r="N218" s="247" t="s">
        <v>12731</v>
      </c>
      <c r="O218" s="240" t="str">
        <f t="shared" si="1"/>
        <v/>
      </c>
      <c r="P218" s="154" t="s">
        <v>66</v>
      </c>
      <c r="Q218" s="154" t="s">
        <v>66</v>
      </c>
      <c r="R218" s="155" t="s">
        <v>64</v>
      </c>
      <c r="S218" s="155" t="s">
        <v>64</v>
      </c>
      <c r="T218" s="154" t="s">
        <v>60</v>
      </c>
      <c r="U218" s="154" t="s">
        <v>60</v>
      </c>
      <c r="V218" s="154" t="s">
        <v>66</v>
      </c>
      <c r="W218" s="155" t="s">
        <v>64</v>
      </c>
      <c r="X218" s="154" t="s">
        <v>60</v>
      </c>
      <c r="Y218" s="154"/>
      <c r="Z218" s="242" t="b">
        <f t="shared" si="2"/>
        <v>1</v>
      </c>
      <c r="AA218" s="154" t="s">
        <v>391</v>
      </c>
      <c r="AB218" s="242" t="b">
        <f t="shared" si="3"/>
        <v>0</v>
      </c>
      <c r="AC218" s="154"/>
      <c r="AD218" s="242" t="b">
        <f t="shared" si="4"/>
        <v>0</v>
      </c>
      <c r="AE218" s="154" t="s">
        <v>1610</v>
      </c>
      <c r="AF218" s="243" t="str">
        <f>IF(AE218="","N/A",INDIRECT("MTR!"&amp;ADDRESS(MATCH(LEFT(AE218,9),MTR!C:C,0),COLUMN(J218)),TRUE) &amp; "")</f>
        <v>Partially Complies</v>
      </c>
      <c r="AG218" s="157" t="str">
        <f t="shared" si="5"/>
        <v/>
      </c>
      <c r="AH218" s="152"/>
      <c r="AI218" s="152"/>
      <c r="AJ218" s="152"/>
      <c r="AK218" s="152"/>
      <c r="AL218" s="152"/>
      <c r="AM218" s="152"/>
      <c r="AN218" s="152"/>
      <c r="AO218" s="152"/>
      <c r="AP218" s="152"/>
      <c r="AQ218" s="152"/>
      <c r="AR218" s="152"/>
    </row>
    <row r="219" ht="12.75" customHeight="1">
      <c r="A219" s="244" t="s">
        <v>5158</v>
      </c>
      <c r="B219" s="244" t="s">
        <v>12721</v>
      </c>
      <c r="C219" s="244" t="s">
        <v>13290</v>
      </c>
      <c r="D219" s="154" t="s">
        <v>1315</v>
      </c>
      <c r="E219" s="154"/>
      <c r="F219" s="154" t="str">
        <f t="array" ref="F219">XLOOKUP(Cover!$D$12,$P$1:$X$1,$P219:$X219)</f>
        <v>Recommended</v>
      </c>
      <c r="G219" s="154" t="s">
        <v>13291</v>
      </c>
      <c r="H219" s="154" t="s">
        <v>12813</v>
      </c>
      <c r="I219" s="154" t="s">
        <v>13286</v>
      </c>
      <c r="J219" s="154" t="s">
        <v>6884</v>
      </c>
      <c r="K219" s="154"/>
      <c r="L219" s="154" t="s">
        <v>759</v>
      </c>
      <c r="M219" s="247" t="s">
        <v>516</v>
      </c>
      <c r="N219" s="247" t="s">
        <v>12731</v>
      </c>
      <c r="O219" s="240" t="str">
        <f t="shared" si="1"/>
        <v/>
      </c>
      <c r="P219" s="154" t="s">
        <v>66</v>
      </c>
      <c r="Q219" s="154" t="s">
        <v>66</v>
      </c>
      <c r="R219" s="154" t="s">
        <v>64</v>
      </c>
      <c r="S219" s="154" t="s">
        <v>64</v>
      </c>
      <c r="T219" s="154" t="s">
        <v>64</v>
      </c>
      <c r="U219" s="154" t="s">
        <v>64</v>
      </c>
      <c r="V219" s="154" t="s">
        <v>66</v>
      </c>
      <c r="W219" s="154" t="s">
        <v>64</v>
      </c>
      <c r="X219" s="154" t="s">
        <v>64</v>
      </c>
      <c r="Y219" s="154"/>
      <c r="Z219" s="242" t="b">
        <f t="shared" si="2"/>
        <v>1</v>
      </c>
      <c r="AA219" s="154" t="s">
        <v>391</v>
      </c>
      <c r="AB219" s="242" t="b">
        <f t="shared" si="3"/>
        <v>0</v>
      </c>
      <c r="AC219" s="154"/>
      <c r="AD219" s="242" t="b">
        <f t="shared" si="4"/>
        <v>0</v>
      </c>
      <c r="AE219" s="154" t="s">
        <v>1610</v>
      </c>
      <c r="AF219" s="243" t="str">
        <f>IF(AE219="","N/A",INDIRECT("MTR!"&amp;ADDRESS(MATCH(LEFT(AE219,9),MTR!C:C,0),COLUMN(J219)),TRUE) &amp; "")</f>
        <v>Partially Complies</v>
      </c>
      <c r="AG219" s="157" t="str">
        <f t="shared" si="5"/>
        <v/>
      </c>
      <c r="AH219" s="152"/>
      <c r="AI219" s="152"/>
      <c r="AJ219" s="152"/>
      <c r="AK219" s="152"/>
      <c r="AL219" s="152"/>
      <c r="AM219" s="152"/>
      <c r="AN219" s="152"/>
      <c r="AO219" s="152"/>
      <c r="AP219" s="152"/>
      <c r="AQ219" s="152"/>
      <c r="AR219" s="152"/>
    </row>
    <row r="220" ht="12.75" customHeight="1">
      <c r="A220" s="244" t="s">
        <v>5158</v>
      </c>
      <c r="B220" s="244" t="s">
        <v>12721</v>
      </c>
      <c r="C220" s="244" t="s">
        <v>13292</v>
      </c>
      <c r="D220" s="154" t="s">
        <v>1315</v>
      </c>
      <c r="E220" s="154"/>
      <c r="F220" s="154" t="str">
        <f t="array" ref="F220">XLOOKUP(Cover!$D$12,$P$1:$X$1,$P220:$X220)</f>
        <v>Recommended</v>
      </c>
      <c r="G220" s="154" t="s">
        <v>13293</v>
      </c>
      <c r="H220" s="154" t="s">
        <v>13289</v>
      </c>
      <c r="I220" s="154" t="s">
        <v>13286</v>
      </c>
      <c r="J220" s="154" t="s">
        <v>6884</v>
      </c>
      <c r="K220" s="154"/>
      <c r="L220" s="154" t="s">
        <v>759</v>
      </c>
      <c r="M220" s="247" t="s">
        <v>516</v>
      </c>
      <c r="N220" s="247" t="s">
        <v>12731</v>
      </c>
      <c r="O220" s="240" t="str">
        <f t="shared" si="1"/>
        <v/>
      </c>
      <c r="P220" s="154" t="s">
        <v>66</v>
      </c>
      <c r="Q220" s="154" t="s">
        <v>66</v>
      </c>
      <c r="R220" s="154" t="s">
        <v>64</v>
      </c>
      <c r="S220" s="154" t="s">
        <v>64</v>
      </c>
      <c r="T220" s="154" t="s">
        <v>64</v>
      </c>
      <c r="U220" s="154" t="s">
        <v>64</v>
      </c>
      <c r="V220" s="154" t="s">
        <v>66</v>
      </c>
      <c r="W220" s="154" t="s">
        <v>64</v>
      </c>
      <c r="X220" s="154" t="s">
        <v>64</v>
      </c>
      <c r="Y220" s="154"/>
      <c r="Z220" s="242" t="b">
        <f t="shared" si="2"/>
        <v>1</v>
      </c>
      <c r="AA220" s="154" t="s">
        <v>391</v>
      </c>
      <c r="AB220" s="242" t="b">
        <f t="shared" si="3"/>
        <v>0</v>
      </c>
      <c r="AC220" s="154"/>
      <c r="AD220" s="242" t="b">
        <f t="shared" si="4"/>
        <v>0</v>
      </c>
      <c r="AE220" s="154" t="s">
        <v>1610</v>
      </c>
      <c r="AF220" s="243" t="str">
        <f>IF(AE220="","N/A",INDIRECT("MTR!"&amp;ADDRESS(MATCH(LEFT(AE220,9),MTR!C:C,0),COLUMN(J220)),TRUE) &amp; "")</f>
        <v>Partially Complies</v>
      </c>
      <c r="AG220" s="157" t="str">
        <f t="shared" si="5"/>
        <v/>
      </c>
      <c r="AH220" s="152"/>
      <c r="AI220" s="152"/>
      <c r="AJ220" s="152"/>
      <c r="AK220" s="152"/>
      <c r="AL220" s="152"/>
      <c r="AM220" s="152"/>
      <c r="AN220" s="152"/>
      <c r="AO220" s="152"/>
      <c r="AP220" s="152"/>
      <c r="AQ220" s="152"/>
      <c r="AR220" s="152"/>
    </row>
    <row r="221" ht="12.75" customHeight="1">
      <c r="A221" s="244" t="s">
        <v>5158</v>
      </c>
      <c r="B221" s="244" t="s">
        <v>12721</v>
      </c>
      <c r="C221" s="244" t="s">
        <v>13294</v>
      </c>
      <c r="D221" s="154" t="s">
        <v>1315</v>
      </c>
      <c r="E221" s="154"/>
      <c r="F221" s="154" t="str">
        <f t="array" ref="F221">XLOOKUP(Cover!$D$12,$P$1:$X$1,$P221:$X221)</f>
        <v>Mandatory</v>
      </c>
      <c r="G221" s="154" t="s">
        <v>13295</v>
      </c>
      <c r="H221" s="154" t="s">
        <v>12813</v>
      </c>
      <c r="I221" s="154" t="s">
        <v>13286</v>
      </c>
      <c r="J221" s="154" t="s">
        <v>6884</v>
      </c>
      <c r="K221" s="154" t="s">
        <v>1018</v>
      </c>
      <c r="L221" s="154" t="s">
        <v>759</v>
      </c>
      <c r="M221" s="247" t="s">
        <v>516</v>
      </c>
      <c r="N221" s="247" t="s">
        <v>12731</v>
      </c>
      <c r="O221" s="240" t="str">
        <f t="shared" si="1"/>
        <v/>
      </c>
      <c r="P221" s="154" t="s">
        <v>66</v>
      </c>
      <c r="Q221" s="154" t="s">
        <v>66</v>
      </c>
      <c r="R221" s="154" t="s">
        <v>60</v>
      </c>
      <c r="S221" s="154" t="s">
        <v>60</v>
      </c>
      <c r="T221" s="154" t="s">
        <v>60</v>
      </c>
      <c r="U221" s="154" t="s">
        <v>60</v>
      </c>
      <c r="V221" s="154" t="s">
        <v>66</v>
      </c>
      <c r="W221" s="154" t="s">
        <v>60</v>
      </c>
      <c r="X221" s="154" t="s">
        <v>60</v>
      </c>
      <c r="Y221" s="154"/>
      <c r="Z221" s="242" t="b">
        <f t="shared" si="2"/>
        <v>1</v>
      </c>
      <c r="AA221" s="154" t="s">
        <v>391</v>
      </c>
      <c r="AB221" s="242" t="b">
        <f t="shared" si="3"/>
        <v>0</v>
      </c>
      <c r="AC221" s="154"/>
      <c r="AD221" s="242" t="b">
        <f t="shared" si="4"/>
        <v>0</v>
      </c>
      <c r="AE221" s="154" t="s">
        <v>1610</v>
      </c>
      <c r="AF221" s="243" t="str">
        <f>IF(AE221="","N/A",INDIRECT("MTR!"&amp;ADDRESS(MATCH(LEFT(AE221,9),MTR!C:C,0),COLUMN(J221)),TRUE) &amp; "")</f>
        <v>Partially Complies</v>
      </c>
      <c r="AG221" s="157" t="str">
        <f t="shared" si="5"/>
        <v/>
      </c>
      <c r="AH221" s="152"/>
      <c r="AI221" s="152"/>
      <c r="AJ221" s="152"/>
      <c r="AK221" s="152"/>
      <c r="AL221" s="152"/>
      <c r="AM221" s="152"/>
      <c r="AN221" s="152"/>
      <c r="AO221" s="152"/>
      <c r="AP221" s="152"/>
      <c r="AQ221" s="152"/>
      <c r="AR221" s="152"/>
    </row>
    <row r="222" ht="12.75" customHeight="1">
      <c r="A222" s="244" t="s">
        <v>5158</v>
      </c>
      <c r="B222" s="244" t="s">
        <v>12721</v>
      </c>
      <c r="C222" s="244" t="s">
        <v>13296</v>
      </c>
      <c r="D222" s="154" t="s">
        <v>1315</v>
      </c>
      <c r="E222" s="154"/>
      <c r="F222" s="154" t="str">
        <f t="array" ref="F222">XLOOKUP(Cover!$D$12,$P$1:$X$1,$P222:$X222)</f>
        <v>Mandatory</v>
      </c>
      <c r="G222" s="154" t="s">
        <v>13297</v>
      </c>
      <c r="H222" s="154" t="s">
        <v>13289</v>
      </c>
      <c r="I222" s="154" t="s">
        <v>13286</v>
      </c>
      <c r="J222" s="154" t="s">
        <v>6884</v>
      </c>
      <c r="K222" s="154" t="s">
        <v>1018</v>
      </c>
      <c r="L222" s="154" t="s">
        <v>759</v>
      </c>
      <c r="M222" s="247" t="s">
        <v>516</v>
      </c>
      <c r="N222" s="247" t="s">
        <v>12731</v>
      </c>
      <c r="O222" s="240" t="str">
        <f t="shared" si="1"/>
        <v/>
      </c>
      <c r="P222" s="154" t="s">
        <v>66</v>
      </c>
      <c r="Q222" s="154" t="s">
        <v>66</v>
      </c>
      <c r="R222" s="155" t="s">
        <v>64</v>
      </c>
      <c r="S222" s="155" t="s">
        <v>64</v>
      </c>
      <c r="T222" s="154" t="s">
        <v>60</v>
      </c>
      <c r="U222" s="154" t="s">
        <v>60</v>
      </c>
      <c r="V222" s="154" t="s">
        <v>66</v>
      </c>
      <c r="W222" s="155" t="s">
        <v>64</v>
      </c>
      <c r="X222" s="154" t="s">
        <v>60</v>
      </c>
      <c r="Y222" s="154"/>
      <c r="Z222" s="242" t="b">
        <f t="shared" si="2"/>
        <v>1</v>
      </c>
      <c r="AA222" s="154" t="s">
        <v>391</v>
      </c>
      <c r="AB222" s="242" t="b">
        <f t="shared" si="3"/>
        <v>0</v>
      </c>
      <c r="AC222" s="154"/>
      <c r="AD222" s="242" t="b">
        <f t="shared" si="4"/>
        <v>0</v>
      </c>
      <c r="AE222" s="154" t="s">
        <v>1610</v>
      </c>
      <c r="AF222" s="243" t="str">
        <f>IF(AE222="","N/A",INDIRECT("MTR!"&amp;ADDRESS(MATCH(LEFT(AE222,9),MTR!C:C,0),COLUMN(J222)),TRUE) &amp; "")</f>
        <v>Partially Complies</v>
      </c>
      <c r="AG222" s="157" t="str">
        <f t="shared" si="5"/>
        <v/>
      </c>
      <c r="AH222" s="152"/>
      <c r="AI222" s="152"/>
      <c r="AJ222" s="152"/>
      <c r="AK222" s="152"/>
      <c r="AL222" s="152"/>
      <c r="AM222" s="152"/>
      <c r="AN222" s="152"/>
      <c r="AO222" s="152"/>
      <c r="AP222" s="152"/>
      <c r="AQ222" s="152"/>
      <c r="AR222" s="152"/>
    </row>
    <row r="223" ht="12.75" customHeight="1">
      <c r="A223" s="244" t="s">
        <v>5158</v>
      </c>
      <c r="B223" s="244" t="s">
        <v>12721</v>
      </c>
      <c r="C223" s="244" t="s">
        <v>13298</v>
      </c>
      <c r="D223" s="154" t="s">
        <v>503</v>
      </c>
      <c r="E223" s="154"/>
      <c r="F223" s="154" t="str">
        <f t="array" ref="F223">XLOOKUP(Cover!$D$12,$P$1:$X$1,$P223:$X223)</f>
        <v>Mandatory</v>
      </c>
      <c r="G223" s="154" t="s">
        <v>13299</v>
      </c>
      <c r="H223" s="154" t="s">
        <v>12813</v>
      </c>
      <c r="I223" s="154" t="s">
        <v>13286</v>
      </c>
      <c r="J223" s="154" t="s">
        <v>7431</v>
      </c>
      <c r="K223" s="154" t="s">
        <v>1018</v>
      </c>
      <c r="L223" s="154" t="s">
        <v>759</v>
      </c>
      <c r="M223" s="247" t="s">
        <v>516</v>
      </c>
      <c r="N223" s="247" t="s">
        <v>12731</v>
      </c>
      <c r="O223" s="240" t="str">
        <f t="shared" si="1"/>
        <v/>
      </c>
      <c r="P223" s="154" t="s">
        <v>66</v>
      </c>
      <c r="Q223" s="154" t="s">
        <v>66</v>
      </c>
      <c r="R223" s="154" t="s">
        <v>60</v>
      </c>
      <c r="S223" s="154" t="s">
        <v>60</v>
      </c>
      <c r="T223" s="154" t="s">
        <v>60</v>
      </c>
      <c r="U223" s="154" t="s">
        <v>60</v>
      </c>
      <c r="V223" s="154" t="s">
        <v>66</v>
      </c>
      <c r="W223" s="154" t="s">
        <v>60</v>
      </c>
      <c r="X223" s="154" t="s">
        <v>60</v>
      </c>
      <c r="Y223" s="154"/>
      <c r="Z223" s="242" t="b">
        <f t="shared" si="2"/>
        <v>1</v>
      </c>
      <c r="AA223" s="154" t="s">
        <v>391</v>
      </c>
      <c r="AB223" s="242" t="b">
        <f t="shared" si="3"/>
        <v>0</v>
      </c>
      <c r="AC223" s="154"/>
      <c r="AD223" s="242" t="b">
        <f t="shared" si="4"/>
        <v>0</v>
      </c>
      <c r="AE223" s="154" t="s">
        <v>1610</v>
      </c>
      <c r="AF223" s="243" t="str">
        <f>IF(AE223="","N/A",INDIRECT("MTR!"&amp;ADDRESS(MATCH(LEFT(AE223,9),MTR!C:C,0),COLUMN(J223)),TRUE) &amp; "")</f>
        <v>Partially Complies</v>
      </c>
      <c r="AG223" s="157" t="str">
        <f t="shared" si="5"/>
        <v/>
      </c>
      <c r="AH223" s="152"/>
      <c r="AI223" s="152"/>
      <c r="AJ223" s="152"/>
      <c r="AK223" s="152"/>
      <c r="AL223" s="152"/>
      <c r="AM223" s="152"/>
      <c r="AN223" s="152"/>
      <c r="AO223" s="152"/>
      <c r="AP223" s="152"/>
      <c r="AQ223" s="152"/>
      <c r="AR223" s="152"/>
    </row>
    <row r="224" ht="12.75" customHeight="1">
      <c r="A224" s="244" t="s">
        <v>5158</v>
      </c>
      <c r="B224" s="244" t="s">
        <v>12721</v>
      </c>
      <c r="C224" s="244" t="s">
        <v>13300</v>
      </c>
      <c r="D224" s="154" t="s">
        <v>503</v>
      </c>
      <c r="E224" s="154"/>
      <c r="F224" s="154" t="str">
        <f t="array" ref="F224">XLOOKUP(Cover!$D$12,$P$1:$X$1,$P224:$X224)</f>
        <v>Mandatory</v>
      </c>
      <c r="G224" s="154" t="s">
        <v>13301</v>
      </c>
      <c r="H224" s="154" t="s">
        <v>13289</v>
      </c>
      <c r="I224" s="154" t="s">
        <v>13286</v>
      </c>
      <c r="J224" s="154" t="s">
        <v>7431</v>
      </c>
      <c r="K224" s="154" t="s">
        <v>1018</v>
      </c>
      <c r="L224" s="154" t="s">
        <v>759</v>
      </c>
      <c r="M224" s="247" t="s">
        <v>516</v>
      </c>
      <c r="N224" s="247" t="s">
        <v>12731</v>
      </c>
      <c r="O224" s="240" t="str">
        <f t="shared" si="1"/>
        <v/>
      </c>
      <c r="P224" s="154" t="s">
        <v>66</v>
      </c>
      <c r="Q224" s="154" t="s">
        <v>66</v>
      </c>
      <c r="R224" s="155" t="s">
        <v>64</v>
      </c>
      <c r="S224" s="155" t="s">
        <v>64</v>
      </c>
      <c r="T224" s="154" t="s">
        <v>60</v>
      </c>
      <c r="U224" s="154" t="s">
        <v>60</v>
      </c>
      <c r="V224" s="154" t="s">
        <v>66</v>
      </c>
      <c r="W224" s="155" t="s">
        <v>64</v>
      </c>
      <c r="X224" s="154" t="s">
        <v>60</v>
      </c>
      <c r="Y224" s="154"/>
      <c r="Z224" s="242" t="b">
        <f t="shared" si="2"/>
        <v>1</v>
      </c>
      <c r="AA224" s="154" t="s">
        <v>391</v>
      </c>
      <c r="AB224" s="242" t="b">
        <f t="shared" si="3"/>
        <v>0</v>
      </c>
      <c r="AC224" s="154"/>
      <c r="AD224" s="242" t="b">
        <f t="shared" si="4"/>
        <v>0</v>
      </c>
      <c r="AE224" s="154" t="s">
        <v>1610</v>
      </c>
      <c r="AF224" s="243" t="str">
        <f>IF(AE224="","N/A",INDIRECT("MTR!"&amp;ADDRESS(MATCH(LEFT(AE224,9),MTR!C:C,0),COLUMN(J224)),TRUE) &amp; "")</f>
        <v>Partially Complies</v>
      </c>
      <c r="AG224" s="157" t="str">
        <f t="shared" si="5"/>
        <v/>
      </c>
      <c r="AH224" s="152"/>
      <c r="AI224" s="152"/>
      <c r="AJ224" s="152"/>
      <c r="AK224" s="152"/>
      <c r="AL224" s="152"/>
      <c r="AM224" s="152"/>
      <c r="AN224" s="152"/>
      <c r="AO224" s="152"/>
      <c r="AP224" s="152"/>
      <c r="AQ224" s="152"/>
      <c r="AR224" s="152"/>
    </row>
    <row r="225" ht="12.75" customHeight="1">
      <c r="A225" s="244" t="s">
        <v>5158</v>
      </c>
      <c r="B225" s="244" t="s">
        <v>12721</v>
      </c>
      <c r="C225" s="244" t="s">
        <v>13302</v>
      </c>
      <c r="D225" s="154" t="s">
        <v>45</v>
      </c>
      <c r="E225" s="154"/>
      <c r="F225" s="154" t="str">
        <f t="array" ref="F225">XLOOKUP(Cover!$D$12,$P$1:$X$1,$P225:$X225)</f>
        <v>Mandatory</v>
      </c>
      <c r="G225" s="154" t="s">
        <v>13303</v>
      </c>
      <c r="H225" s="154" t="s">
        <v>12813</v>
      </c>
      <c r="I225" s="154" t="s">
        <v>13286</v>
      </c>
      <c r="J225" s="154" t="s">
        <v>10718</v>
      </c>
      <c r="K225" s="154" t="s">
        <v>1018</v>
      </c>
      <c r="L225" s="154" t="s">
        <v>759</v>
      </c>
      <c r="M225" s="247" t="s">
        <v>516</v>
      </c>
      <c r="N225" s="247" t="s">
        <v>12731</v>
      </c>
      <c r="O225" s="240" t="str">
        <f t="shared" si="1"/>
        <v/>
      </c>
      <c r="P225" s="154" t="s">
        <v>66</v>
      </c>
      <c r="Q225" s="154" t="s">
        <v>66</v>
      </c>
      <c r="R225" s="154" t="s">
        <v>60</v>
      </c>
      <c r="S225" s="154" t="s">
        <v>60</v>
      </c>
      <c r="T225" s="154" t="s">
        <v>60</v>
      </c>
      <c r="U225" s="154" t="s">
        <v>60</v>
      </c>
      <c r="V225" s="154" t="s">
        <v>66</v>
      </c>
      <c r="W225" s="154" t="s">
        <v>60</v>
      </c>
      <c r="X225" s="154" t="s">
        <v>60</v>
      </c>
      <c r="Y225" s="154"/>
      <c r="Z225" s="242" t="b">
        <f t="shared" si="2"/>
        <v>1</v>
      </c>
      <c r="AA225" s="154" t="s">
        <v>391</v>
      </c>
      <c r="AB225" s="242" t="b">
        <f t="shared" si="3"/>
        <v>0</v>
      </c>
      <c r="AC225" s="154"/>
      <c r="AD225" s="242" t="b">
        <f t="shared" si="4"/>
        <v>0</v>
      </c>
      <c r="AE225" s="154" t="s">
        <v>1610</v>
      </c>
      <c r="AF225" s="243" t="str">
        <f>IF(AE225="","N/A",INDIRECT("MTR!"&amp;ADDRESS(MATCH(LEFT(AE225,9),MTR!C:C,0),COLUMN(J225)),TRUE) &amp; "")</f>
        <v>Partially Complies</v>
      </c>
      <c r="AG225" s="157" t="str">
        <f t="shared" si="5"/>
        <v/>
      </c>
      <c r="AH225" s="152"/>
      <c r="AI225" s="152"/>
      <c r="AJ225" s="152"/>
      <c r="AK225" s="152"/>
      <c r="AL225" s="152"/>
      <c r="AM225" s="152"/>
      <c r="AN225" s="152"/>
      <c r="AO225" s="152"/>
      <c r="AP225" s="152"/>
      <c r="AQ225" s="152"/>
      <c r="AR225" s="152"/>
    </row>
    <row r="226" ht="12.75" customHeight="1">
      <c r="A226" s="244" t="s">
        <v>5158</v>
      </c>
      <c r="B226" s="244" t="s">
        <v>12721</v>
      </c>
      <c r="C226" s="245" t="s">
        <v>13304</v>
      </c>
      <c r="D226" s="155" t="s">
        <v>45</v>
      </c>
      <c r="E226" s="155" t="s">
        <v>92</v>
      </c>
      <c r="F226" s="154" t="str">
        <f t="array" ref="F226">XLOOKUP(Cover!$D$12,$P$1:$X$1,$P226:$X226)</f>
        <v>Mandatory</v>
      </c>
      <c r="G226" s="154" t="s">
        <v>13305</v>
      </c>
      <c r="H226" s="154" t="s">
        <v>13306</v>
      </c>
      <c r="I226" s="154" t="s">
        <v>13286</v>
      </c>
      <c r="J226" s="154" t="s">
        <v>10718</v>
      </c>
      <c r="K226" s="154" t="s">
        <v>1018</v>
      </c>
      <c r="L226" s="154" t="s">
        <v>759</v>
      </c>
      <c r="M226" s="247" t="s">
        <v>516</v>
      </c>
      <c r="N226" s="247" t="s">
        <v>12731</v>
      </c>
      <c r="O226" s="240" t="str">
        <f t="shared" si="1"/>
        <v/>
      </c>
      <c r="P226" s="154" t="s">
        <v>66</v>
      </c>
      <c r="Q226" s="154" t="s">
        <v>66</v>
      </c>
      <c r="R226" s="155" t="s">
        <v>64</v>
      </c>
      <c r="S226" s="155" t="s">
        <v>64</v>
      </c>
      <c r="T226" s="154" t="s">
        <v>60</v>
      </c>
      <c r="U226" s="154" t="s">
        <v>60</v>
      </c>
      <c r="V226" s="154" t="s">
        <v>66</v>
      </c>
      <c r="W226" s="155" t="s">
        <v>64</v>
      </c>
      <c r="X226" s="154" t="s">
        <v>60</v>
      </c>
      <c r="Y226" s="154"/>
      <c r="Z226" s="242" t="b">
        <f t="shared" si="2"/>
        <v>1</v>
      </c>
      <c r="AA226" s="154" t="s">
        <v>391</v>
      </c>
      <c r="AB226" s="242" t="b">
        <f t="shared" si="3"/>
        <v>0</v>
      </c>
      <c r="AC226" s="154"/>
      <c r="AD226" s="242" t="b">
        <f t="shared" si="4"/>
        <v>0</v>
      </c>
      <c r="AE226" s="154" t="s">
        <v>1610</v>
      </c>
      <c r="AF226" s="243" t="str">
        <f>IF(AE226="","N/A",INDIRECT("MTR!"&amp;ADDRESS(MATCH(LEFT(AE226,9),MTR!C:C,0),COLUMN(J226)),TRUE) &amp; "")</f>
        <v>Partially Complies</v>
      </c>
      <c r="AG226" s="157" t="str">
        <f t="shared" si="5"/>
        <v/>
      </c>
      <c r="AH226" s="152"/>
      <c r="AI226" s="152"/>
      <c r="AJ226" s="152"/>
      <c r="AK226" s="152"/>
      <c r="AL226" s="152"/>
      <c r="AM226" s="152"/>
      <c r="AN226" s="152"/>
      <c r="AO226" s="152"/>
      <c r="AP226" s="152"/>
      <c r="AQ226" s="152"/>
      <c r="AR226" s="152"/>
    </row>
    <row r="227" ht="12.75" customHeight="1">
      <c r="A227" s="244" t="s">
        <v>5158</v>
      </c>
      <c r="B227" s="244" t="s">
        <v>12721</v>
      </c>
      <c r="C227" s="244" t="s">
        <v>13307</v>
      </c>
      <c r="D227" s="154" t="s">
        <v>1315</v>
      </c>
      <c r="E227" s="154"/>
      <c r="F227" s="154" t="str">
        <f t="array" ref="F227">XLOOKUP(Cover!$D$12,$P$1:$X$1,$P227:$X227)</f>
        <v>Mandatory</v>
      </c>
      <c r="G227" s="154" t="s">
        <v>13308</v>
      </c>
      <c r="H227" s="154" t="s">
        <v>12813</v>
      </c>
      <c r="I227" s="154" t="s">
        <v>13309</v>
      </c>
      <c r="J227" s="154" t="s">
        <v>6529</v>
      </c>
      <c r="K227" s="154" t="s">
        <v>1018</v>
      </c>
      <c r="L227" s="154" t="s">
        <v>759</v>
      </c>
      <c r="M227" s="247" t="s">
        <v>506</v>
      </c>
      <c r="N227" s="247" t="s">
        <v>12738</v>
      </c>
      <c r="O227" s="240" t="str">
        <f t="shared" si="1"/>
        <v/>
      </c>
      <c r="P227" s="154" t="s">
        <v>66</v>
      </c>
      <c r="Q227" s="154" t="s">
        <v>66</v>
      </c>
      <c r="R227" s="154" t="s">
        <v>60</v>
      </c>
      <c r="S227" s="154" t="s">
        <v>60</v>
      </c>
      <c r="T227" s="154" t="s">
        <v>60</v>
      </c>
      <c r="U227" s="154" t="s">
        <v>60</v>
      </c>
      <c r="V227" s="154" t="s">
        <v>66</v>
      </c>
      <c r="W227" s="154" t="s">
        <v>60</v>
      </c>
      <c r="X227" s="154" t="s">
        <v>60</v>
      </c>
      <c r="Y227" s="154"/>
      <c r="Z227" s="242" t="b">
        <f t="shared" si="2"/>
        <v>1</v>
      </c>
      <c r="AA227" s="154" t="s">
        <v>391</v>
      </c>
      <c r="AB227" s="242" t="b">
        <f t="shared" si="3"/>
        <v>0</v>
      </c>
      <c r="AC227" s="154"/>
      <c r="AD227" s="242" t="b">
        <f t="shared" si="4"/>
        <v>0</v>
      </c>
      <c r="AE227" s="154" t="s">
        <v>1610</v>
      </c>
      <c r="AF227" s="243" t="str">
        <f>IF(AE227="","N/A",INDIRECT("MTR!"&amp;ADDRESS(MATCH(LEFT(AE227,9),MTR!C:C,0),COLUMN(J227)),TRUE) &amp; "")</f>
        <v>Partially Complies</v>
      </c>
      <c r="AG227" s="157" t="str">
        <f t="shared" si="5"/>
        <v/>
      </c>
      <c r="AH227" s="152"/>
      <c r="AI227" s="152"/>
      <c r="AJ227" s="152"/>
      <c r="AK227" s="152"/>
      <c r="AL227" s="152"/>
      <c r="AM227" s="152"/>
      <c r="AN227" s="152"/>
      <c r="AO227" s="152"/>
      <c r="AP227" s="152"/>
      <c r="AQ227" s="152"/>
      <c r="AR227" s="152"/>
    </row>
    <row r="228" ht="12.75" customHeight="1">
      <c r="A228" s="244" t="s">
        <v>5158</v>
      </c>
      <c r="B228" s="244" t="s">
        <v>12721</v>
      </c>
      <c r="C228" s="244" t="s">
        <v>13310</v>
      </c>
      <c r="D228" s="154" t="s">
        <v>1315</v>
      </c>
      <c r="E228" s="154"/>
      <c r="F228" s="154" t="str">
        <f t="array" ref="F228">XLOOKUP(Cover!$D$12,$P$1:$X$1,$P228:$X228)</f>
        <v>Mandatory</v>
      </c>
      <c r="G228" s="154" t="s">
        <v>13311</v>
      </c>
      <c r="H228" s="154" t="s">
        <v>12814</v>
      </c>
      <c r="I228" s="154" t="s">
        <v>13309</v>
      </c>
      <c r="J228" s="154" t="s">
        <v>6529</v>
      </c>
      <c r="K228" s="154" t="s">
        <v>1018</v>
      </c>
      <c r="L228" s="154" t="s">
        <v>759</v>
      </c>
      <c r="M228" s="247" t="s">
        <v>516</v>
      </c>
      <c r="N228" s="247" t="s">
        <v>12741</v>
      </c>
      <c r="O228" s="240" t="str">
        <f t="shared" si="1"/>
        <v/>
      </c>
      <c r="P228" s="154" t="s">
        <v>66</v>
      </c>
      <c r="Q228" s="154" t="s">
        <v>66</v>
      </c>
      <c r="R228" s="155" t="s">
        <v>64</v>
      </c>
      <c r="S228" s="155" t="s">
        <v>64</v>
      </c>
      <c r="T228" s="154" t="s">
        <v>60</v>
      </c>
      <c r="U228" s="154" t="s">
        <v>60</v>
      </c>
      <c r="V228" s="154" t="s">
        <v>66</v>
      </c>
      <c r="W228" s="155" t="s">
        <v>64</v>
      </c>
      <c r="X228" s="154" t="s">
        <v>60</v>
      </c>
      <c r="Y228" s="154"/>
      <c r="Z228" s="242" t="b">
        <f t="shared" si="2"/>
        <v>1</v>
      </c>
      <c r="AA228" s="154" t="s">
        <v>391</v>
      </c>
      <c r="AB228" s="242" t="b">
        <f t="shared" si="3"/>
        <v>0</v>
      </c>
      <c r="AC228" s="154"/>
      <c r="AD228" s="242" t="b">
        <f t="shared" si="4"/>
        <v>0</v>
      </c>
      <c r="AE228" s="154" t="s">
        <v>1610</v>
      </c>
      <c r="AF228" s="243" t="str">
        <f>IF(AE228="","N/A",INDIRECT("MTR!"&amp;ADDRESS(MATCH(LEFT(AE228,9),MTR!C:C,0),COLUMN(J228)),TRUE) &amp; "")</f>
        <v>Partially Complies</v>
      </c>
      <c r="AG228" s="157" t="str">
        <f t="shared" si="5"/>
        <v/>
      </c>
      <c r="AH228" s="152"/>
      <c r="AI228" s="152"/>
      <c r="AJ228" s="152"/>
      <c r="AK228" s="152"/>
      <c r="AL228" s="152"/>
      <c r="AM228" s="152"/>
      <c r="AN228" s="152"/>
      <c r="AO228" s="152"/>
      <c r="AP228" s="152"/>
      <c r="AQ228" s="152"/>
      <c r="AR228" s="152"/>
    </row>
    <row r="229" ht="12.75" customHeight="1">
      <c r="A229" s="244" t="s">
        <v>5158</v>
      </c>
      <c r="B229" s="244" t="s">
        <v>12721</v>
      </c>
      <c r="C229" s="244" t="s">
        <v>13312</v>
      </c>
      <c r="D229" s="154" t="s">
        <v>1315</v>
      </c>
      <c r="E229" s="154"/>
      <c r="F229" s="154" t="str">
        <f t="array" ref="F229">XLOOKUP(Cover!$D$12,$P$1:$X$1,$P229:$X229)</f>
        <v>Recommended</v>
      </c>
      <c r="G229" s="154" t="s">
        <v>13313</v>
      </c>
      <c r="H229" s="154" t="s">
        <v>12813</v>
      </c>
      <c r="I229" s="154" t="s">
        <v>13309</v>
      </c>
      <c r="J229" s="154" t="s">
        <v>6428</v>
      </c>
      <c r="K229" s="154"/>
      <c r="L229" s="154" t="s">
        <v>759</v>
      </c>
      <c r="M229" s="247" t="s">
        <v>506</v>
      </c>
      <c r="N229" s="247" t="s">
        <v>12738</v>
      </c>
      <c r="O229" s="240" t="str">
        <f t="shared" si="1"/>
        <v/>
      </c>
      <c r="P229" s="154" t="s">
        <v>66</v>
      </c>
      <c r="Q229" s="154" t="s">
        <v>66</v>
      </c>
      <c r="R229" s="154" t="s">
        <v>64</v>
      </c>
      <c r="S229" s="154" t="s">
        <v>64</v>
      </c>
      <c r="T229" s="154" t="s">
        <v>64</v>
      </c>
      <c r="U229" s="154" t="s">
        <v>64</v>
      </c>
      <c r="V229" s="154" t="s">
        <v>66</v>
      </c>
      <c r="W229" s="154" t="s">
        <v>64</v>
      </c>
      <c r="X229" s="154" t="s">
        <v>64</v>
      </c>
      <c r="Y229" s="154"/>
      <c r="Z229" s="242" t="b">
        <f t="shared" si="2"/>
        <v>1</v>
      </c>
      <c r="AA229" s="154" t="s">
        <v>391</v>
      </c>
      <c r="AB229" s="242" t="b">
        <f t="shared" si="3"/>
        <v>0</v>
      </c>
      <c r="AC229" s="154"/>
      <c r="AD229" s="242" t="b">
        <f t="shared" si="4"/>
        <v>0</v>
      </c>
      <c r="AE229" s="154" t="s">
        <v>1610</v>
      </c>
      <c r="AF229" s="243" t="str">
        <f>IF(AE229="","N/A",INDIRECT("MTR!"&amp;ADDRESS(MATCH(LEFT(AE229,9),MTR!C:C,0),COLUMN(J229)),TRUE) &amp; "")</f>
        <v>Partially Complies</v>
      </c>
      <c r="AG229" s="157" t="str">
        <f t="shared" si="5"/>
        <v/>
      </c>
      <c r="AH229" s="152"/>
      <c r="AI229" s="152"/>
      <c r="AJ229" s="152"/>
      <c r="AK229" s="152"/>
      <c r="AL229" s="152"/>
      <c r="AM229" s="152"/>
      <c r="AN229" s="152"/>
      <c r="AO229" s="152"/>
      <c r="AP229" s="152"/>
      <c r="AQ229" s="152"/>
      <c r="AR229" s="152"/>
    </row>
    <row r="230" ht="12.75" customHeight="1">
      <c r="A230" s="244" t="s">
        <v>5158</v>
      </c>
      <c r="B230" s="244" t="s">
        <v>12721</v>
      </c>
      <c r="C230" s="244" t="s">
        <v>13314</v>
      </c>
      <c r="D230" s="154" t="s">
        <v>1315</v>
      </c>
      <c r="E230" s="154"/>
      <c r="F230" s="154" t="str">
        <f t="array" ref="F230">XLOOKUP(Cover!$D$12,$P$1:$X$1,$P230:$X230)</f>
        <v>Recommended</v>
      </c>
      <c r="G230" s="154" t="s">
        <v>13315</v>
      </c>
      <c r="H230" s="154" t="s">
        <v>12814</v>
      </c>
      <c r="I230" s="154" t="s">
        <v>13309</v>
      </c>
      <c r="J230" s="154" t="s">
        <v>6428</v>
      </c>
      <c r="K230" s="154"/>
      <c r="L230" s="154" t="s">
        <v>759</v>
      </c>
      <c r="M230" s="247" t="s">
        <v>516</v>
      </c>
      <c r="N230" s="247" t="s">
        <v>12741</v>
      </c>
      <c r="O230" s="240" t="str">
        <f t="shared" si="1"/>
        <v/>
      </c>
      <c r="P230" s="154" t="s">
        <v>66</v>
      </c>
      <c r="Q230" s="154" t="s">
        <v>66</v>
      </c>
      <c r="R230" s="154" t="s">
        <v>64</v>
      </c>
      <c r="S230" s="154" t="s">
        <v>64</v>
      </c>
      <c r="T230" s="154" t="s">
        <v>64</v>
      </c>
      <c r="U230" s="154" t="s">
        <v>64</v>
      </c>
      <c r="V230" s="154" t="s">
        <v>66</v>
      </c>
      <c r="W230" s="154" t="s">
        <v>64</v>
      </c>
      <c r="X230" s="154" t="s">
        <v>64</v>
      </c>
      <c r="Y230" s="154"/>
      <c r="Z230" s="242" t="b">
        <f t="shared" si="2"/>
        <v>1</v>
      </c>
      <c r="AA230" s="154" t="s">
        <v>391</v>
      </c>
      <c r="AB230" s="242" t="b">
        <f t="shared" si="3"/>
        <v>0</v>
      </c>
      <c r="AC230" s="154"/>
      <c r="AD230" s="242" t="b">
        <f t="shared" si="4"/>
        <v>0</v>
      </c>
      <c r="AE230" s="154" t="s">
        <v>1610</v>
      </c>
      <c r="AF230" s="243" t="str">
        <f>IF(AE230="","N/A",INDIRECT("MTR!"&amp;ADDRESS(MATCH(LEFT(AE230,9),MTR!C:C,0),COLUMN(J230)),TRUE) &amp; "")</f>
        <v>Partially Complies</v>
      </c>
      <c r="AG230" s="157" t="str">
        <f t="shared" si="5"/>
        <v/>
      </c>
      <c r="AH230" s="152"/>
      <c r="AI230" s="152"/>
      <c r="AJ230" s="152"/>
      <c r="AK230" s="152"/>
      <c r="AL230" s="152"/>
      <c r="AM230" s="152"/>
      <c r="AN230" s="152"/>
      <c r="AO230" s="152"/>
      <c r="AP230" s="152"/>
      <c r="AQ230" s="152"/>
      <c r="AR230" s="152"/>
    </row>
    <row r="231" ht="12.75" customHeight="1">
      <c r="A231" s="244" t="s">
        <v>5158</v>
      </c>
      <c r="B231" s="244" t="s">
        <v>12721</v>
      </c>
      <c r="C231" s="244" t="s">
        <v>13316</v>
      </c>
      <c r="D231" s="154" t="s">
        <v>1315</v>
      </c>
      <c r="E231" s="154"/>
      <c r="F231" s="154" t="str">
        <f t="array" ref="F231">XLOOKUP(Cover!$D$12,$P$1:$X$1,$P231:$X231)</f>
        <v>Recommended</v>
      </c>
      <c r="G231" s="154" t="s">
        <v>13317</v>
      </c>
      <c r="H231" s="154" t="s">
        <v>12813</v>
      </c>
      <c r="I231" s="154" t="s">
        <v>13309</v>
      </c>
      <c r="J231" s="154" t="s">
        <v>6905</v>
      </c>
      <c r="K231" s="154"/>
      <c r="L231" s="154" t="s">
        <v>759</v>
      </c>
      <c r="M231" s="247" t="s">
        <v>506</v>
      </c>
      <c r="N231" s="247" t="s">
        <v>12738</v>
      </c>
      <c r="O231" s="240" t="str">
        <f t="shared" si="1"/>
        <v/>
      </c>
      <c r="P231" s="154" t="s">
        <v>66</v>
      </c>
      <c r="Q231" s="154" t="s">
        <v>66</v>
      </c>
      <c r="R231" s="154" t="s">
        <v>64</v>
      </c>
      <c r="S231" s="154" t="s">
        <v>64</v>
      </c>
      <c r="T231" s="154" t="s">
        <v>64</v>
      </c>
      <c r="U231" s="154" t="s">
        <v>64</v>
      </c>
      <c r="V231" s="154" t="s">
        <v>66</v>
      </c>
      <c r="W231" s="154" t="s">
        <v>64</v>
      </c>
      <c r="X231" s="154" t="s">
        <v>64</v>
      </c>
      <c r="Y231" s="154"/>
      <c r="Z231" s="242" t="b">
        <f t="shared" si="2"/>
        <v>1</v>
      </c>
      <c r="AA231" s="154" t="s">
        <v>391</v>
      </c>
      <c r="AB231" s="242" t="b">
        <f t="shared" si="3"/>
        <v>0</v>
      </c>
      <c r="AC231" s="154"/>
      <c r="AD231" s="242" t="b">
        <f t="shared" si="4"/>
        <v>0</v>
      </c>
      <c r="AE231" s="154" t="s">
        <v>1610</v>
      </c>
      <c r="AF231" s="243" t="str">
        <f>IF(AE231="","N/A",INDIRECT("MTR!"&amp;ADDRESS(MATCH(LEFT(AE231,9),MTR!C:C,0),COLUMN(J231)),TRUE) &amp; "")</f>
        <v>Partially Complies</v>
      </c>
      <c r="AG231" s="157" t="str">
        <f t="shared" si="5"/>
        <v/>
      </c>
      <c r="AH231" s="152"/>
      <c r="AI231" s="152"/>
      <c r="AJ231" s="152"/>
      <c r="AK231" s="152"/>
      <c r="AL231" s="152"/>
      <c r="AM231" s="152"/>
      <c r="AN231" s="152"/>
      <c r="AO231" s="152"/>
      <c r="AP231" s="152"/>
      <c r="AQ231" s="152"/>
      <c r="AR231" s="152"/>
    </row>
    <row r="232" ht="12.75" customHeight="1">
      <c r="A232" s="244" t="s">
        <v>5158</v>
      </c>
      <c r="B232" s="244" t="s">
        <v>12721</v>
      </c>
      <c r="C232" s="244" t="s">
        <v>13318</v>
      </c>
      <c r="D232" s="154" t="s">
        <v>1315</v>
      </c>
      <c r="E232" s="154"/>
      <c r="F232" s="154" t="str">
        <f t="array" ref="F232">XLOOKUP(Cover!$D$12,$P$1:$X$1,$P232:$X232)</f>
        <v>Recommended</v>
      </c>
      <c r="G232" s="154" t="s">
        <v>13319</v>
      </c>
      <c r="H232" s="154" t="s">
        <v>13320</v>
      </c>
      <c r="I232" s="154" t="s">
        <v>13309</v>
      </c>
      <c r="J232" s="154" t="s">
        <v>6905</v>
      </c>
      <c r="K232" s="154"/>
      <c r="L232" s="154" t="s">
        <v>759</v>
      </c>
      <c r="M232" s="247" t="s">
        <v>516</v>
      </c>
      <c r="N232" s="247" t="s">
        <v>12741</v>
      </c>
      <c r="O232" s="240" t="str">
        <f t="shared" si="1"/>
        <v/>
      </c>
      <c r="P232" s="154" t="s">
        <v>66</v>
      </c>
      <c r="Q232" s="154" t="s">
        <v>66</v>
      </c>
      <c r="R232" s="154" t="s">
        <v>64</v>
      </c>
      <c r="S232" s="154" t="s">
        <v>64</v>
      </c>
      <c r="T232" s="154" t="s">
        <v>64</v>
      </c>
      <c r="U232" s="154" t="s">
        <v>64</v>
      </c>
      <c r="V232" s="154" t="s">
        <v>66</v>
      </c>
      <c r="W232" s="154" t="s">
        <v>64</v>
      </c>
      <c r="X232" s="154" t="s">
        <v>64</v>
      </c>
      <c r="Y232" s="154"/>
      <c r="Z232" s="242" t="b">
        <f t="shared" si="2"/>
        <v>1</v>
      </c>
      <c r="AA232" s="154" t="s">
        <v>391</v>
      </c>
      <c r="AB232" s="242" t="b">
        <f t="shared" si="3"/>
        <v>0</v>
      </c>
      <c r="AC232" s="154"/>
      <c r="AD232" s="242" t="b">
        <f t="shared" si="4"/>
        <v>0</v>
      </c>
      <c r="AE232" s="154" t="s">
        <v>1610</v>
      </c>
      <c r="AF232" s="243" t="str">
        <f>IF(AE232="","N/A",INDIRECT("MTR!"&amp;ADDRESS(MATCH(LEFT(AE232,9),MTR!C:C,0),COLUMN(J232)),TRUE) &amp; "")</f>
        <v>Partially Complies</v>
      </c>
      <c r="AG232" s="157" t="str">
        <f t="shared" si="5"/>
        <v/>
      </c>
      <c r="AH232" s="152"/>
      <c r="AI232" s="152"/>
      <c r="AJ232" s="152"/>
      <c r="AK232" s="152"/>
      <c r="AL232" s="152"/>
      <c r="AM232" s="152"/>
      <c r="AN232" s="152"/>
      <c r="AO232" s="152"/>
      <c r="AP232" s="152"/>
      <c r="AQ232" s="152"/>
      <c r="AR232" s="152"/>
    </row>
    <row r="233" ht="12.75" customHeight="1">
      <c r="A233" s="244" t="s">
        <v>5158</v>
      </c>
      <c r="B233" s="244" t="s">
        <v>12721</v>
      </c>
      <c r="C233" s="244" t="s">
        <v>13321</v>
      </c>
      <c r="D233" s="154" t="s">
        <v>45</v>
      </c>
      <c r="E233" s="154"/>
      <c r="F233" s="154" t="str">
        <f t="array" ref="F233">XLOOKUP(Cover!$D$12,$P$1:$X$1,$P233:$X233)</f>
        <v>Mandatory</v>
      </c>
      <c r="G233" s="154" t="s">
        <v>13322</v>
      </c>
      <c r="H233" s="154" t="s">
        <v>12813</v>
      </c>
      <c r="I233" s="154" t="s">
        <v>13309</v>
      </c>
      <c r="J233" s="154" t="s">
        <v>10718</v>
      </c>
      <c r="K233" s="154" t="s">
        <v>1018</v>
      </c>
      <c r="L233" s="154" t="s">
        <v>759</v>
      </c>
      <c r="M233" s="247" t="s">
        <v>516</v>
      </c>
      <c r="N233" s="247" t="s">
        <v>12892</v>
      </c>
      <c r="O233" s="240" t="str">
        <f t="shared" si="1"/>
        <v/>
      </c>
      <c r="P233" s="154" t="s">
        <v>66</v>
      </c>
      <c r="Q233" s="154" t="s">
        <v>66</v>
      </c>
      <c r="R233" s="154" t="s">
        <v>60</v>
      </c>
      <c r="S233" s="154" t="s">
        <v>60</v>
      </c>
      <c r="T233" s="154" t="s">
        <v>60</v>
      </c>
      <c r="U233" s="154" t="s">
        <v>60</v>
      </c>
      <c r="V233" s="154" t="s">
        <v>66</v>
      </c>
      <c r="W233" s="154" t="s">
        <v>60</v>
      </c>
      <c r="X233" s="154" t="s">
        <v>60</v>
      </c>
      <c r="Y233" s="154"/>
      <c r="Z233" s="242" t="b">
        <f t="shared" si="2"/>
        <v>1</v>
      </c>
      <c r="AA233" s="154" t="s">
        <v>391</v>
      </c>
      <c r="AB233" s="242" t="b">
        <f t="shared" si="3"/>
        <v>0</v>
      </c>
      <c r="AC233" s="154"/>
      <c r="AD233" s="242" t="b">
        <f t="shared" si="4"/>
        <v>0</v>
      </c>
      <c r="AE233" s="154" t="s">
        <v>1610</v>
      </c>
      <c r="AF233" s="243" t="str">
        <f>IF(AE233="","N/A",INDIRECT("MTR!"&amp;ADDRESS(MATCH(LEFT(AE233,9),MTR!C:C,0),COLUMN(J233)),TRUE) &amp; "")</f>
        <v>Partially Complies</v>
      </c>
      <c r="AG233" s="157" t="str">
        <f t="shared" si="5"/>
        <v/>
      </c>
      <c r="AH233" s="152"/>
      <c r="AI233" s="152"/>
      <c r="AJ233" s="152"/>
      <c r="AK233" s="152"/>
      <c r="AL233" s="152"/>
      <c r="AM233" s="152"/>
      <c r="AN233" s="152"/>
      <c r="AO233" s="152"/>
      <c r="AP233" s="152"/>
      <c r="AQ233" s="152"/>
      <c r="AR233" s="152"/>
    </row>
    <row r="234" ht="12.75" customHeight="1">
      <c r="A234" s="244" t="s">
        <v>5158</v>
      </c>
      <c r="B234" s="244" t="s">
        <v>12721</v>
      </c>
      <c r="C234" s="244" t="s">
        <v>13323</v>
      </c>
      <c r="D234" s="154" t="s">
        <v>45</v>
      </c>
      <c r="E234" s="154"/>
      <c r="F234" s="154" t="str">
        <f t="array" ref="F234">XLOOKUP(Cover!$D$12,$P$1:$X$1,$P234:$X234)</f>
        <v>Mandatory</v>
      </c>
      <c r="G234" s="154" t="s">
        <v>13324</v>
      </c>
      <c r="H234" s="154" t="s">
        <v>13320</v>
      </c>
      <c r="I234" s="154" t="s">
        <v>13309</v>
      </c>
      <c r="J234" s="154" t="s">
        <v>10718</v>
      </c>
      <c r="K234" s="154" t="s">
        <v>1018</v>
      </c>
      <c r="L234" s="154" t="s">
        <v>759</v>
      </c>
      <c r="M234" s="247" t="s">
        <v>516</v>
      </c>
      <c r="N234" s="247" t="s">
        <v>12895</v>
      </c>
      <c r="O234" s="240" t="str">
        <f t="shared" si="1"/>
        <v/>
      </c>
      <c r="P234" s="154" t="s">
        <v>66</v>
      </c>
      <c r="Q234" s="154" t="s">
        <v>66</v>
      </c>
      <c r="R234" s="155" t="s">
        <v>64</v>
      </c>
      <c r="S234" s="155" t="s">
        <v>64</v>
      </c>
      <c r="T234" s="154" t="s">
        <v>60</v>
      </c>
      <c r="U234" s="154" t="s">
        <v>60</v>
      </c>
      <c r="V234" s="154" t="s">
        <v>66</v>
      </c>
      <c r="W234" s="155" t="s">
        <v>64</v>
      </c>
      <c r="X234" s="154" t="s">
        <v>60</v>
      </c>
      <c r="Y234" s="154"/>
      <c r="Z234" s="242" t="b">
        <f t="shared" si="2"/>
        <v>1</v>
      </c>
      <c r="AA234" s="154" t="s">
        <v>391</v>
      </c>
      <c r="AB234" s="242" t="b">
        <f t="shared" si="3"/>
        <v>0</v>
      </c>
      <c r="AC234" s="154"/>
      <c r="AD234" s="242" t="b">
        <f t="shared" si="4"/>
        <v>0</v>
      </c>
      <c r="AE234" s="154" t="s">
        <v>1610</v>
      </c>
      <c r="AF234" s="243" t="str">
        <f>IF(AE234="","N/A",INDIRECT("MTR!"&amp;ADDRESS(MATCH(LEFT(AE234,9),MTR!C:C,0),COLUMN(J234)),TRUE) &amp; "")</f>
        <v>Partially Complies</v>
      </c>
      <c r="AG234" s="157" t="str">
        <f t="shared" si="5"/>
        <v/>
      </c>
      <c r="AH234" s="152"/>
      <c r="AI234" s="152"/>
      <c r="AJ234" s="152"/>
      <c r="AK234" s="152"/>
      <c r="AL234" s="152"/>
      <c r="AM234" s="152"/>
      <c r="AN234" s="152"/>
      <c r="AO234" s="152"/>
      <c r="AP234" s="152"/>
      <c r="AQ234" s="152"/>
      <c r="AR234" s="152"/>
    </row>
    <row r="235" ht="12.75" customHeight="1">
      <c r="A235" s="244" t="s">
        <v>5158</v>
      </c>
      <c r="B235" s="244" t="s">
        <v>12721</v>
      </c>
      <c r="C235" s="244" t="s">
        <v>13325</v>
      </c>
      <c r="D235" s="154" t="s">
        <v>45</v>
      </c>
      <c r="E235" s="154"/>
      <c r="F235" s="154" t="str">
        <f t="array" ref="F235">XLOOKUP(Cover!$D$12,$P$1:$X$1,$P235:$X235)</f>
        <v>Information</v>
      </c>
      <c r="G235" s="154" t="s">
        <v>13326</v>
      </c>
      <c r="H235" s="154" t="s">
        <v>12844</v>
      </c>
      <c r="I235" s="154" t="s">
        <v>13327</v>
      </c>
      <c r="J235" s="154" t="s">
        <v>6126</v>
      </c>
      <c r="K235" s="154"/>
      <c r="L235" s="154" t="s">
        <v>759</v>
      </c>
      <c r="M235" s="247" t="s">
        <v>516</v>
      </c>
      <c r="N235" s="247" t="s">
        <v>12731</v>
      </c>
      <c r="O235" s="240" t="str">
        <f t="shared" si="1"/>
        <v/>
      </c>
      <c r="P235" s="154" t="s">
        <v>66</v>
      </c>
      <c r="Q235" s="154" t="s">
        <v>66</v>
      </c>
      <c r="R235" s="154" t="s">
        <v>66</v>
      </c>
      <c r="S235" s="154" t="s">
        <v>66</v>
      </c>
      <c r="T235" s="154" t="s">
        <v>66</v>
      </c>
      <c r="U235" s="154" t="s">
        <v>66</v>
      </c>
      <c r="V235" s="154" t="s">
        <v>66</v>
      </c>
      <c r="W235" s="154" t="s">
        <v>66</v>
      </c>
      <c r="X235" s="154" t="s">
        <v>66</v>
      </c>
      <c r="Y235" s="154"/>
      <c r="Z235" s="242" t="b">
        <f t="shared" si="2"/>
        <v>1</v>
      </c>
      <c r="AA235" s="154" t="s">
        <v>391</v>
      </c>
      <c r="AB235" s="242" t="b">
        <f t="shared" si="3"/>
        <v>0</v>
      </c>
      <c r="AC235" s="154"/>
      <c r="AD235" s="242" t="b">
        <f t="shared" si="4"/>
        <v>0</v>
      </c>
      <c r="AE235" s="154" t="s">
        <v>1610</v>
      </c>
      <c r="AF235" s="243" t="str">
        <f>IF(AE235="","N/A",INDIRECT("MTR!"&amp;ADDRESS(MATCH(LEFT(AE235,9),MTR!C:C,0),COLUMN(J235)),TRUE) &amp; "")</f>
        <v>Partially Complies</v>
      </c>
      <c r="AG235" s="157" t="str">
        <f t="shared" si="5"/>
        <v/>
      </c>
      <c r="AH235" s="152"/>
      <c r="AI235" s="152"/>
      <c r="AJ235" s="152"/>
      <c r="AK235" s="152"/>
      <c r="AL235" s="152"/>
      <c r="AM235" s="152"/>
      <c r="AN235" s="152"/>
      <c r="AO235" s="152"/>
      <c r="AP235" s="152"/>
      <c r="AQ235" s="152"/>
      <c r="AR235" s="152"/>
    </row>
    <row r="236" ht="12.75" customHeight="1">
      <c r="A236" s="244" t="s">
        <v>5158</v>
      </c>
      <c r="B236" s="244" t="s">
        <v>12721</v>
      </c>
      <c r="C236" s="244" t="s">
        <v>13328</v>
      </c>
      <c r="D236" s="154" t="s">
        <v>45</v>
      </c>
      <c r="E236" s="154"/>
      <c r="F236" s="154" t="str">
        <f t="array" ref="F236">XLOOKUP(Cover!$D$12,$P$1:$X$1,$P236:$X236)</f>
        <v>Information</v>
      </c>
      <c r="G236" s="154" t="s">
        <v>13329</v>
      </c>
      <c r="H236" s="154" t="s">
        <v>12844</v>
      </c>
      <c r="I236" s="154" t="s">
        <v>13327</v>
      </c>
      <c r="J236" s="154" t="s">
        <v>7175</v>
      </c>
      <c r="K236" s="154"/>
      <c r="L236" s="154" t="s">
        <v>759</v>
      </c>
      <c r="M236" s="247" t="s">
        <v>516</v>
      </c>
      <c r="N236" s="247" t="s">
        <v>12731</v>
      </c>
      <c r="O236" s="240" t="str">
        <f t="shared" si="1"/>
        <v/>
      </c>
      <c r="P236" s="154" t="s">
        <v>66</v>
      </c>
      <c r="Q236" s="154" t="s">
        <v>66</v>
      </c>
      <c r="R236" s="154" t="s">
        <v>66</v>
      </c>
      <c r="S236" s="154" t="s">
        <v>66</v>
      </c>
      <c r="T236" s="154" t="s">
        <v>66</v>
      </c>
      <c r="U236" s="154" t="s">
        <v>66</v>
      </c>
      <c r="V236" s="154" t="s">
        <v>66</v>
      </c>
      <c r="W236" s="154" t="s">
        <v>66</v>
      </c>
      <c r="X236" s="154" t="s">
        <v>66</v>
      </c>
      <c r="Y236" s="154"/>
      <c r="Z236" s="242" t="b">
        <f t="shared" si="2"/>
        <v>1</v>
      </c>
      <c r="AA236" s="154" t="s">
        <v>391</v>
      </c>
      <c r="AB236" s="242" t="b">
        <f t="shared" si="3"/>
        <v>0</v>
      </c>
      <c r="AC236" s="154"/>
      <c r="AD236" s="242" t="b">
        <f t="shared" si="4"/>
        <v>0</v>
      </c>
      <c r="AE236" s="154" t="s">
        <v>1610</v>
      </c>
      <c r="AF236" s="243" t="str">
        <f>IF(AE236="","N/A",INDIRECT("MTR!"&amp;ADDRESS(MATCH(LEFT(AE236,9),MTR!C:C,0),COLUMN(J236)),TRUE) &amp; "")</f>
        <v>Partially Complies</v>
      </c>
      <c r="AG236" s="157" t="str">
        <f t="shared" si="5"/>
        <v/>
      </c>
      <c r="AH236" s="152"/>
      <c r="AI236" s="152"/>
      <c r="AJ236" s="152"/>
      <c r="AK236" s="152"/>
      <c r="AL236" s="152"/>
      <c r="AM236" s="152"/>
      <c r="AN236" s="152"/>
      <c r="AO236" s="152"/>
      <c r="AP236" s="152"/>
      <c r="AQ236" s="152"/>
      <c r="AR236" s="152"/>
    </row>
    <row r="237" ht="12.75" customHeight="1">
      <c r="A237" s="244" t="s">
        <v>5158</v>
      </c>
      <c r="B237" s="244" t="s">
        <v>12721</v>
      </c>
      <c r="C237" s="244" t="s">
        <v>13330</v>
      </c>
      <c r="D237" s="154" t="s">
        <v>45</v>
      </c>
      <c r="E237" s="154"/>
      <c r="F237" s="154" t="str">
        <f t="array" ref="F237">XLOOKUP(Cover!$D$12,$P$1:$X$1,$P237:$X237)</f>
        <v>Information</v>
      </c>
      <c r="G237" s="154" t="s">
        <v>13331</v>
      </c>
      <c r="H237" s="154" t="s">
        <v>12858</v>
      </c>
      <c r="I237" s="154" t="s">
        <v>13332</v>
      </c>
      <c r="J237" s="154" t="s">
        <v>6126</v>
      </c>
      <c r="K237" s="154"/>
      <c r="L237" s="154" t="s">
        <v>759</v>
      </c>
      <c r="M237" s="247" t="s">
        <v>516</v>
      </c>
      <c r="N237" s="247" t="s">
        <v>12731</v>
      </c>
      <c r="O237" s="240" t="str">
        <f t="shared" si="1"/>
        <v/>
      </c>
      <c r="P237" s="154" t="s">
        <v>66</v>
      </c>
      <c r="Q237" s="154" t="s">
        <v>66</v>
      </c>
      <c r="R237" s="154" t="s">
        <v>66</v>
      </c>
      <c r="S237" s="154" t="s">
        <v>66</v>
      </c>
      <c r="T237" s="154" t="s">
        <v>66</v>
      </c>
      <c r="U237" s="154" t="s">
        <v>66</v>
      </c>
      <c r="V237" s="154" t="s">
        <v>66</v>
      </c>
      <c r="W237" s="154" t="s">
        <v>66</v>
      </c>
      <c r="X237" s="154" t="s">
        <v>66</v>
      </c>
      <c r="Y237" s="154"/>
      <c r="Z237" s="242" t="b">
        <f t="shared" si="2"/>
        <v>1</v>
      </c>
      <c r="AA237" s="154" t="s">
        <v>391</v>
      </c>
      <c r="AB237" s="242" t="b">
        <f t="shared" si="3"/>
        <v>0</v>
      </c>
      <c r="AC237" s="154"/>
      <c r="AD237" s="242" t="b">
        <f t="shared" si="4"/>
        <v>0</v>
      </c>
      <c r="AE237" s="154" t="s">
        <v>1610</v>
      </c>
      <c r="AF237" s="243" t="str">
        <f>IF(AE237="","N/A",INDIRECT("MTR!"&amp;ADDRESS(MATCH(LEFT(AE237,9),MTR!C:C,0),COLUMN(J237)),TRUE) &amp; "")</f>
        <v>Partially Complies</v>
      </c>
      <c r="AG237" s="157" t="str">
        <f t="shared" si="5"/>
        <v/>
      </c>
      <c r="AH237" s="152"/>
      <c r="AI237" s="152"/>
      <c r="AJ237" s="152"/>
      <c r="AK237" s="152"/>
      <c r="AL237" s="152"/>
      <c r="AM237" s="152"/>
      <c r="AN237" s="152"/>
      <c r="AO237" s="152"/>
      <c r="AP237" s="152"/>
      <c r="AQ237" s="152"/>
      <c r="AR237" s="152"/>
    </row>
    <row r="238" ht="12.75" customHeight="1">
      <c r="A238" s="244" t="s">
        <v>5158</v>
      </c>
      <c r="B238" s="244" t="s">
        <v>12721</v>
      </c>
      <c r="C238" s="244" t="s">
        <v>13333</v>
      </c>
      <c r="D238" s="154" t="s">
        <v>45</v>
      </c>
      <c r="E238" s="154"/>
      <c r="F238" s="154" t="str">
        <f t="array" ref="F238">XLOOKUP(Cover!$D$12,$P$1:$X$1,$P238:$X238)</f>
        <v>Information</v>
      </c>
      <c r="G238" s="154" t="s">
        <v>13334</v>
      </c>
      <c r="H238" s="154" t="s">
        <v>12878</v>
      </c>
      <c r="I238" s="154" t="s">
        <v>13335</v>
      </c>
      <c r="J238" s="154" t="s">
        <v>6126</v>
      </c>
      <c r="K238" s="154"/>
      <c r="L238" s="154" t="s">
        <v>759</v>
      </c>
      <c r="M238" s="247" t="s">
        <v>516</v>
      </c>
      <c r="N238" s="247" t="s">
        <v>12731</v>
      </c>
      <c r="O238" s="240" t="str">
        <f t="shared" si="1"/>
        <v/>
      </c>
      <c r="P238" s="154" t="s">
        <v>66</v>
      </c>
      <c r="Q238" s="154" t="s">
        <v>66</v>
      </c>
      <c r="R238" s="154" t="s">
        <v>66</v>
      </c>
      <c r="S238" s="154" t="s">
        <v>66</v>
      </c>
      <c r="T238" s="154" t="s">
        <v>66</v>
      </c>
      <c r="U238" s="154" t="s">
        <v>66</v>
      </c>
      <c r="V238" s="154" t="s">
        <v>66</v>
      </c>
      <c r="W238" s="154" t="s">
        <v>66</v>
      </c>
      <c r="X238" s="154" t="s">
        <v>66</v>
      </c>
      <c r="Y238" s="154"/>
      <c r="Z238" s="242" t="b">
        <f t="shared" si="2"/>
        <v>1</v>
      </c>
      <c r="AA238" s="154" t="s">
        <v>391</v>
      </c>
      <c r="AB238" s="242" t="b">
        <f t="shared" si="3"/>
        <v>0</v>
      </c>
      <c r="AC238" s="154"/>
      <c r="AD238" s="242" t="b">
        <f t="shared" si="4"/>
        <v>0</v>
      </c>
      <c r="AE238" s="154" t="s">
        <v>1610</v>
      </c>
      <c r="AF238" s="243" t="str">
        <f>IF(AE238="","N/A",INDIRECT("MTR!"&amp;ADDRESS(MATCH(LEFT(AE238,9),MTR!C:C,0),COLUMN(J238)),TRUE) &amp; "")</f>
        <v>Partially Complies</v>
      </c>
      <c r="AG238" s="157" t="str">
        <f t="shared" si="5"/>
        <v/>
      </c>
      <c r="AH238" s="152"/>
      <c r="AI238" s="152"/>
      <c r="AJ238" s="152"/>
      <c r="AK238" s="152"/>
      <c r="AL238" s="152"/>
      <c r="AM238" s="152"/>
      <c r="AN238" s="152"/>
      <c r="AO238" s="152"/>
      <c r="AP238" s="152"/>
      <c r="AQ238" s="152"/>
      <c r="AR238" s="152"/>
    </row>
    <row r="239" ht="12.75" customHeight="1">
      <c r="A239" s="244" t="s">
        <v>5158</v>
      </c>
      <c r="B239" s="244" t="s">
        <v>12721</v>
      </c>
      <c r="C239" s="244" t="s">
        <v>13336</v>
      </c>
      <c r="D239" s="154" t="s">
        <v>45</v>
      </c>
      <c r="E239" s="154"/>
      <c r="F239" s="154" t="str">
        <f t="array" ref="F239">XLOOKUP(Cover!$D$12,$P$1:$X$1,$P239:$X239)</f>
        <v>Information</v>
      </c>
      <c r="G239" s="154" t="s">
        <v>13337</v>
      </c>
      <c r="H239" s="154" t="s">
        <v>12908</v>
      </c>
      <c r="I239" s="154" t="s">
        <v>13338</v>
      </c>
      <c r="J239" s="154" t="s">
        <v>6126</v>
      </c>
      <c r="K239" s="154"/>
      <c r="L239" s="154" t="s">
        <v>759</v>
      </c>
      <c r="M239" s="247" t="s">
        <v>516</v>
      </c>
      <c r="N239" s="247" t="s">
        <v>12731</v>
      </c>
      <c r="O239" s="240" t="str">
        <f t="shared" si="1"/>
        <v/>
      </c>
      <c r="P239" s="154" t="s">
        <v>66</v>
      </c>
      <c r="Q239" s="154" t="s">
        <v>66</v>
      </c>
      <c r="R239" s="154" t="s">
        <v>66</v>
      </c>
      <c r="S239" s="154" t="s">
        <v>66</v>
      </c>
      <c r="T239" s="154" t="s">
        <v>66</v>
      </c>
      <c r="U239" s="154" t="s">
        <v>66</v>
      </c>
      <c r="V239" s="154" t="s">
        <v>66</v>
      </c>
      <c r="W239" s="154" t="s">
        <v>66</v>
      </c>
      <c r="X239" s="154" t="s">
        <v>66</v>
      </c>
      <c r="Y239" s="154"/>
      <c r="Z239" s="242" t="b">
        <f t="shared" si="2"/>
        <v>1</v>
      </c>
      <c r="AA239" s="154" t="s">
        <v>391</v>
      </c>
      <c r="AB239" s="242" t="b">
        <f t="shared" si="3"/>
        <v>0</v>
      </c>
      <c r="AC239" s="154"/>
      <c r="AD239" s="242" t="b">
        <f t="shared" si="4"/>
        <v>0</v>
      </c>
      <c r="AE239" s="154" t="s">
        <v>1610</v>
      </c>
      <c r="AF239" s="243" t="str">
        <f>IF(AE239="","N/A",INDIRECT("MTR!"&amp;ADDRESS(MATCH(LEFT(AE239,9),MTR!C:C,0),COLUMN(J239)),TRUE) &amp; "")</f>
        <v>Partially Complies</v>
      </c>
      <c r="AG239" s="157" t="str">
        <f t="shared" si="5"/>
        <v/>
      </c>
      <c r="AH239" s="152"/>
      <c r="AI239" s="152"/>
      <c r="AJ239" s="152"/>
      <c r="AK239" s="152"/>
      <c r="AL239" s="152"/>
      <c r="AM239" s="152"/>
      <c r="AN239" s="152"/>
      <c r="AO239" s="152"/>
      <c r="AP239" s="152"/>
      <c r="AQ239" s="152"/>
      <c r="AR239" s="152"/>
    </row>
    <row r="240" ht="12.75" customHeight="1">
      <c r="A240" s="244" t="s">
        <v>5158</v>
      </c>
      <c r="B240" s="244" t="s">
        <v>12721</v>
      </c>
      <c r="C240" s="244" t="s">
        <v>13339</v>
      </c>
      <c r="D240" s="154" t="s">
        <v>45</v>
      </c>
      <c r="E240" s="154"/>
      <c r="F240" s="154" t="str">
        <f t="array" ref="F240">XLOOKUP(Cover!$D$12,$P$1:$X$1,$P240:$X240)</f>
        <v>Information</v>
      </c>
      <c r="G240" s="154" t="s">
        <v>13340</v>
      </c>
      <c r="H240" s="154" t="s">
        <v>12908</v>
      </c>
      <c r="I240" s="154" t="s">
        <v>13338</v>
      </c>
      <c r="J240" s="154" t="s">
        <v>7175</v>
      </c>
      <c r="K240" s="154"/>
      <c r="L240" s="154" t="s">
        <v>759</v>
      </c>
      <c r="M240" s="247" t="s">
        <v>516</v>
      </c>
      <c r="N240" s="247" t="s">
        <v>12731</v>
      </c>
      <c r="O240" s="240" t="str">
        <f t="shared" si="1"/>
        <v/>
      </c>
      <c r="P240" s="154" t="s">
        <v>66</v>
      </c>
      <c r="Q240" s="154" t="s">
        <v>66</v>
      </c>
      <c r="R240" s="154" t="s">
        <v>66</v>
      </c>
      <c r="S240" s="154" t="s">
        <v>66</v>
      </c>
      <c r="T240" s="154" t="s">
        <v>66</v>
      </c>
      <c r="U240" s="154" t="s">
        <v>66</v>
      </c>
      <c r="V240" s="154" t="s">
        <v>66</v>
      </c>
      <c r="W240" s="154" t="s">
        <v>66</v>
      </c>
      <c r="X240" s="154" t="s">
        <v>66</v>
      </c>
      <c r="Y240" s="154"/>
      <c r="Z240" s="242" t="b">
        <f t="shared" si="2"/>
        <v>1</v>
      </c>
      <c r="AA240" s="154" t="s">
        <v>391</v>
      </c>
      <c r="AB240" s="242" t="b">
        <f t="shared" si="3"/>
        <v>0</v>
      </c>
      <c r="AC240" s="154"/>
      <c r="AD240" s="242" t="b">
        <f t="shared" si="4"/>
        <v>0</v>
      </c>
      <c r="AE240" s="154" t="s">
        <v>1610</v>
      </c>
      <c r="AF240" s="243" t="str">
        <f>IF(AE240="","N/A",INDIRECT("MTR!"&amp;ADDRESS(MATCH(LEFT(AE240,9),MTR!C:C,0),COLUMN(J240)),TRUE) &amp; "")</f>
        <v>Partially Complies</v>
      </c>
      <c r="AG240" s="157" t="str">
        <f t="shared" si="5"/>
        <v/>
      </c>
      <c r="AH240" s="152"/>
      <c r="AI240" s="152"/>
      <c r="AJ240" s="152"/>
      <c r="AK240" s="152"/>
      <c r="AL240" s="152"/>
      <c r="AM240" s="152"/>
      <c r="AN240" s="152"/>
      <c r="AO240" s="152"/>
      <c r="AP240" s="152"/>
      <c r="AQ240" s="152"/>
      <c r="AR240" s="152"/>
    </row>
    <row r="241" ht="12.75" customHeight="1">
      <c r="A241" s="244" t="s">
        <v>5158</v>
      </c>
      <c r="B241" s="244" t="s">
        <v>12721</v>
      </c>
      <c r="C241" s="244" t="s">
        <v>13341</v>
      </c>
      <c r="D241" s="154" t="s">
        <v>1773</v>
      </c>
      <c r="E241" s="154"/>
      <c r="F241" s="154" t="str">
        <f t="array" ref="F241">XLOOKUP(Cover!$D$12,$P$1:$X$1,$P241:$X241)</f>
        <v>Information</v>
      </c>
      <c r="G241" s="154" t="s">
        <v>13342</v>
      </c>
      <c r="H241" s="154" t="s">
        <v>13343</v>
      </c>
      <c r="I241" s="154" t="s">
        <v>13344</v>
      </c>
      <c r="J241" s="154" t="s">
        <v>6126</v>
      </c>
      <c r="K241" s="154"/>
      <c r="L241" s="154" t="s">
        <v>759</v>
      </c>
      <c r="M241" s="247" t="s">
        <v>506</v>
      </c>
      <c r="N241" s="247" t="s">
        <v>13218</v>
      </c>
      <c r="O241" s="240" t="str">
        <f t="shared" si="1"/>
        <v/>
      </c>
      <c r="P241" s="154" t="s">
        <v>66</v>
      </c>
      <c r="Q241" s="154" t="s">
        <v>66</v>
      </c>
      <c r="R241" s="154" t="s">
        <v>66</v>
      </c>
      <c r="S241" s="154" t="s">
        <v>66</v>
      </c>
      <c r="T241" s="154" t="s">
        <v>66</v>
      </c>
      <c r="U241" s="154" t="s">
        <v>66</v>
      </c>
      <c r="V241" s="154" t="s">
        <v>66</v>
      </c>
      <c r="W241" s="154" t="s">
        <v>66</v>
      </c>
      <c r="X241" s="154" t="s">
        <v>66</v>
      </c>
      <c r="Y241" s="154"/>
      <c r="Z241" s="242" t="b">
        <f t="shared" si="2"/>
        <v>1</v>
      </c>
      <c r="AA241" s="154" t="s">
        <v>391</v>
      </c>
      <c r="AB241" s="242" t="b">
        <f t="shared" si="3"/>
        <v>0</v>
      </c>
      <c r="AC241" s="154"/>
      <c r="AD241" s="242" t="b">
        <f t="shared" si="4"/>
        <v>0</v>
      </c>
      <c r="AE241" s="154" t="s">
        <v>1610</v>
      </c>
      <c r="AF241" s="243" t="str">
        <f>IF(AE241="","N/A",INDIRECT("MTR!"&amp;ADDRESS(MATCH(LEFT(AE241,9),MTR!C:C,0),COLUMN(J241)),TRUE) &amp; "")</f>
        <v>Partially Complies</v>
      </c>
      <c r="AG241" s="157" t="str">
        <f t="shared" si="5"/>
        <v/>
      </c>
      <c r="AH241" s="152"/>
      <c r="AI241" s="152"/>
      <c r="AJ241" s="152"/>
      <c r="AK241" s="152"/>
      <c r="AL241" s="152"/>
      <c r="AM241" s="152"/>
      <c r="AN241" s="152"/>
      <c r="AO241" s="152"/>
      <c r="AP241" s="152"/>
      <c r="AQ241" s="152"/>
      <c r="AR241" s="152"/>
    </row>
    <row r="242" ht="12.75" customHeight="1">
      <c r="A242" s="244" t="s">
        <v>5158</v>
      </c>
      <c r="B242" s="244" t="s">
        <v>12721</v>
      </c>
      <c r="C242" s="244" t="s">
        <v>13345</v>
      </c>
      <c r="D242" s="154" t="s">
        <v>45</v>
      </c>
      <c r="E242" s="154"/>
      <c r="F242" s="154" t="str">
        <f t="array" ref="F242">XLOOKUP(Cover!$D$12,$P$1:$X$1,$P242:$X242)</f>
        <v>Information</v>
      </c>
      <c r="G242" s="154" t="s">
        <v>13346</v>
      </c>
      <c r="H242" s="154" t="s">
        <v>13347</v>
      </c>
      <c r="I242" s="154" t="s">
        <v>13344</v>
      </c>
      <c r="J242" s="154" t="s">
        <v>10718</v>
      </c>
      <c r="K242" s="154"/>
      <c r="L242" s="154" t="s">
        <v>759</v>
      </c>
      <c r="M242" s="247" t="s">
        <v>516</v>
      </c>
      <c r="N242" s="247" t="s">
        <v>13222</v>
      </c>
      <c r="O242" s="240" t="str">
        <f t="shared" si="1"/>
        <v/>
      </c>
      <c r="P242" s="154" t="s">
        <v>66</v>
      </c>
      <c r="Q242" s="154" t="s">
        <v>66</v>
      </c>
      <c r="R242" s="154" t="s">
        <v>66</v>
      </c>
      <c r="S242" s="154" t="s">
        <v>66</v>
      </c>
      <c r="T242" s="154" t="s">
        <v>66</v>
      </c>
      <c r="U242" s="154" t="s">
        <v>66</v>
      </c>
      <c r="V242" s="154" t="s">
        <v>66</v>
      </c>
      <c r="W242" s="154" t="s">
        <v>66</v>
      </c>
      <c r="X242" s="154" t="s">
        <v>66</v>
      </c>
      <c r="Y242" s="154"/>
      <c r="Z242" s="242" t="b">
        <f t="shared" si="2"/>
        <v>1</v>
      </c>
      <c r="AA242" s="154" t="s">
        <v>391</v>
      </c>
      <c r="AB242" s="242" t="b">
        <f t="shared" si="3"/>
        <v>0</v>
      </c>
      <c r="AC242" s="154"/>
      <c r="AD242" s="242" t="b">
        <f t="shared" si="4"/>
        <v>0</v>
      </c>
      <c r="AE242" s="154" t="s">
        <v>1610</v>
      </c>
      <c r="AF242" s="243" t="str">
        <f>IF(AE242="","N/A",INDIRECT("MTR!"&amp;ADDRESS(MATCH(LEFT(AE242,9),MTR!C:C,0),COLUMN(J242)),TRUE) &amp; "")</f>
        <v>Partially Complies</v>
      </c>
      <c r="AG242" s="157" t="str">
        <f t="shared" si="5"/>
        <v/>
      </c>
      <c r="AH242" s="152"/>
      <c r="AI242" s="152"/>
      <c r="AJ242" s="152"/>
      <c r="AK242" s="152"/>
      <c r="AL242" s="152"/>
      <c r="AM242" s="152"/>
      <c r="AN242" s="152"/>
      <c r="AO242" s="152"/>
      <c r="AP242" s="152"/>
      <c r="AQ242" s="152"/>
      <c r="AR242" s="152"/>
    </row>
    <row r="243" ht="12.75" customHeight="1">
      <c r="A243" s="244" t="s">
        <v>5158</v>
      </c>
      <c r="B243" s="244" t="s">
        <v>12721</v>
      </c>
      <c r="C243" s="255" t="s">
        <v>13348</v>
      </c>
      <c r="D243" s="256" t="s">
        <v>42</v>
      </c>
      <c r="E243" s="256" t="s">
        <v>489</v>
      </c>
      <c r="F243" s="154" t="str">
        <f t="array" ref="F243">XLOOKUP(Cover!$D$12,$P$1:$X$1,$P243:$X243)</f>
        <v>Information</v>
      </c>
      <c r="G243" s="154" t="s">
        <v>13349</v>
      </c>
      <c r="H243" s="154" t="s">
        <v>13350</v>
      </c>
      <c r="I243" s="154" t="s">
        <v>13351</v>
      </c>
      <c r="J243" s="154" t="s">
        <v>5931</v>
      </c>
      <c r="K243" s="154"/>
      <c r="L243" s="154" t="s">
        <v>759</v>
      </c>
      <c r="M243" s="247" t="s">
        <v>516</v>
      </c>
      <c r="N243" s="247" t="s">
        <v>12731</v>
      </c>
      <c r="O243" s="240" t="str">
        <f t="shared" si="1"/>
        <v/>
      </c>
      <c r="P243" s="154" t="s">
        <v>66</v>
      </c>
      <c r="Q243" s="154" t="s">
        <v>66</v>
      </c>
      <c r="R243" s="154" t="s">
        <v>66</v>
      </c>
      <c r="S243" s="154" t="s">
        <v>66</v>
      </c>
      <c r="T243" s="154" t="s">
        <v>66</v>
      </c>
      <c r="U243" s="154" t="s">
        <v>66</v>
      </c>
      <c r="V243" s="154" t="s">
        <v>66</v>
      </c>
      <c r="W243" s="154" t="s">
        <v>66</v>
      </c>
      <c r="X243" s="154" t="s">
        <v>66</v>
      </c>
      <c r="Y243" s="154"/>
      <c r="Z243" s="242" t="b">
        <f t="shared" si="2"/>
        <v>1</v>
      </c>
      <c r="AA243" s="154" t="s">
        <v>391</v>
      </c>
      <c r="AB243" s="242" t="b">
        <f t="shared" si="3"/>
        <v>0</v>
      </c>
      <c r="AC243" s="154"/>
      <c r="AD243" s="242" t="b">
        <f t="shared" si="4"/>
        <v>0</v>
      </c>
      <c r="AE243" s="154" t="s">
        <v>1610</v>
      </c>
      <c r="AF243" s="243" t="str">
        <f>IF(AE243="","N/A",INDIRECT("MTR!"&amp;ADDRESS(MATCH(LEFT(AE243,9),MTR!C:C,0),COLUMN(J243)),TRUE) &amp; "")</f>
        <v>Partially Complies</v>
      </c>
      <c r="AG243" s="157" t="str">
        <f t="shared" si="5"/>
        <v/>
      </c>
      <c r="AH243" s="152"/>
      <c r="AI243" s="152"/>
      <c r="AJ243" s="152"/>
      <c r="AK243" s="152"/>
      <c r="AL243" s="152"/>
      <c r="AM243" s="152"/>
      <c r="AN243" s="152"/>
      <c r="AO243" s="152"/>
      <c r="AP243" s="152"/>
      <c r="AQ243" s="152"/>
      <c r="AR243" s="152"/>
    </row>
    <row r="244" ht="12.75" customHeight="1">
      <c r="A244" s="244" t="s">
        <v>5158</v>
      </c>
      <c r="B244" s="244" t="s">
        <v>12721</v>
      </c>
      <c r="C244" s="255" t="s">
        <v>13352</v>
      </c>
      <c r="D244" s="256" t="s">
        <v>42</v>
      </c>
      <c r="E244" s="256" t="s">
        <v>489</v>
      </c>
      <c r="F244" s="154" t="str">
        <f t="array" ref="F244">XLOOKUP(Cover!$D$12,$P$1:$X$1,$P244:$X244)</f>
        <v>Information</v>
      </c>
      <c r="G244" s="154" t="s">
        <v>13353</v>
      </c>
      <c r="H244" s="154" t="s">
        <v>13354</v>
      </c>
      <c r="I244" s="154" t="s">
        <v>13351</v>
      </c>
      <c r="J244" s="154" t="s">
        <v>5931</v>
      </c>
      <c r="K244" s="154"/>
      <c r="L244" s="154" t="s">
        <v>759</v>
      </c>
      <c r="M244" s="247" t="s">
        <v>516</v>
      </c>
      <c r="N244" s="247" t="s">
        <v>12731</v>
      </c>
      <c r="O244" s="240" t="str">
        <f t="shared" si="1"/>
        <v/>
      </c>
      <c r="P244" s="154" t="s">
        <v>66</v>
      </c>
      <c r="Q244" s="154" t="s">
        <v>66</v>
      </c>
      <c r="R244" s="154" t="s">
        <v>66</v>
      </c>
      <c r="S244" s="154" t="s">
        <v>66</v>
      </c>
      <c r="T244" s="154" t="s">
        <v>66</v>
      </c>
      <c r="U244" s="154" t="s">
        <v>66</v>
      </c>
      <c r="V244" s="154" t="s">
        <v>66</v>
      </c>
      <c r="W244" s="154" t="s">
        <v>66</v>
      </c>
      <c r="X244" s="154" t="s">
        <v>66</v>
      </c>
      <c r="Y244" s="154"/>
      <c r="Z244" s="242" t="b">
        <f t="shared" si="2"/>
        <v>1</v>
      </c>
      <c r="AA244" s="154" t="s">
        <v>391</v>
      </c>
      <c r="AB244" s="242" t="b">
        <f t="shared" si="3"/>
        <v>0</v>
      </c>
      <c r="AC244" s="154"/>
      <c r="AD244" s="242" t="b">
        <f t="shared" si="4"/>
        <v>0</v>
      </c>
      <c r="AE244" s="154" t="s">
        <v>1610</v>
      </c>
      <c r="AF244" s="243" t="str">
        <f>IF(AE244="","N/A",INDIRECT("MTR!"&amp;ADDRESS(MATCH(LEFT(AE244,9),MTR!C:C,0),COLUMN(J244)),TRUE) &amp; "")</f>
        <v>Partially Complies</v>
      </c>
      <c r="AG244" s="157" t="str">
        <f t="shared" si="5"/>
        <v/>
      </c>
      <c r="AH244" s="152"/>
      <c r="AI244" s="152"/>
      <c r="AJ244" s="152"/>
      <c r="AK244" s="152"/>
      <c r="AL244" s="152"/>
      <c r="AM244" s="152"/>
      <c r="AN244" s="152"/>
      <c r="AO244" s="152"/>
      <c r="AP244" s="152"/>
      <c r="AQ244" s="152"/>
      <c r="AR244" s="152"/>
    </row>
    <row r="245" ht="12.75" customHeight="1">
      <c r="A245" s="244" t="s">
        <v>5158</v>
      </c>
      <c r="B245" s="244" t="s">
        <v>12721</v>
      </c>
      <c r="C245" s="244" t="s">
        <v>13355</v>
      </c>
      <c r="D245" s="154" t="s">
        <v>1315</v>
      </c>
      <c r="E245" s="154"/>
      <c r="F245" s="154" t="str">
        <f t="array" ref="F245">XLOOKUP(Cover!$D$12,$P$1:$X$1,$P245:$X245)</f>
        <v>Recommended</v>
      </c>
      <c r="G245" s="154" t="s">
        <v>13356</v>
      </c>
      <c r="H245" s="154" t="s">
        <v>13357</v>
      </c>
      <c r="I245" s="154" t="s">
        <v>13358</v>
      </c>
      <c r="J245" s="154" t="s">
        <v>6529</v>
      </c>
      <c r="K245" s="154"/>
      <c r="L245" s="154" t="s">
        <v>759</v>
      </c>
      <c r="M245" s="247" t="s">
        <v>506</v>
      </c>
      <c r="N245" s="247" t="s">
        <v>13218</v>
      </c>
      <c r="O245" s="240" t="str">
        <f t="shared" si="1"/>
        <v/>
      </c>
      <c r="P245" s="154" t="s">
        <v>66</v>
      </c>
      <c r="Q245" s="154" t="s">
        <v>66</v>
      </c>
      <c r="R245" s="154" t="s">
        <v>64</v>
      </c>
      <c r="S245" s="154" t="s">
        <v>64</v>
      </c>
      <c r="T245" s="154" t="s">
        <v>64</v>
      </c>
      <c r="U245" s="154" t="s">
        <v>64</v>
      </c>
      <c r="V245" s="154" t="s">
        <v>66</v>
      </c>
      <c r="W245" s="154" t="s">
        <v>64</v>
      </c>
      <c r="X245" s="154" t="s">
        <v>64</v>
      </c>
      <c r="Y245" s="154"/>
      <c r="Z245" s="242" t="b">
        <f t="shared" si="2"/>
        <v>1</v>
      </c>
      <c r="AA245" s="154" t="s">
        <v>391</v>
      </c>
      <c r="AB245" s="242" t="b">
        <f t="shared" si="3"/>
        <v>0</v>
      </c>
      <c r="AC245" s="154"/>
      <c r="AD245" s="242" t="b">
        <f t="shared" si="4"/>
        <v>0</v>
      </c>
      <c r="AE245" s="154" t="s">
        <v>1610</v>
      </c>
      <c r="AF245" s="243" t="str">
        <f>IF(AE245="","N/A",INDIRECT("MTR!"&amp;ADDRESS(MATCH(LEFT(AE245,9),MTR!C:C,0),COLUMN(J245)),TRUE) &amp; "")</f>
        <v>Partially Complies</v>
      </c>
      <c r="AG245" s="157" t="str">
        <f t="shared" si="5"/>
        <v/>
      </c>
      <c r="AH245" s="152"/>
      <c r="AI245" s="152"/>
      <c r="AJ245" s="152"/>
      <c r="AK245" s="152"/>
      <c r="AL245" s="152"/>
      <c r="AM245" s="152"/>
      <c r="AN245" s="152"/>
      <c r="AO245" s="152"/>
      <c r="AP245" s="152"/>
      <c r="AQ245" s="152"/>
      <c r="AR245" s="152"/>
    </row>
    <row r="246" ht="12.75" customHeight="1">
      <c r="A246" s="244" t="s">
        <v>5158</v>
      </c>
      <c r="B246" s="244" t="s">
        <v>12721</v>
      </c>
      <c r="C246" s="244" t="s">
        <v>13359</v>
      </c>
      <c r="D246" s="154" t="s">
        <v>1315</v>
      </c>
      <c r="E246" s="154"/>
      <c r="F246" s="154" t="str">
        <f t="array" ref="F246">XLOOKUP(Cover!$D$12,$P$1:$X$1,$P246:$X246)</f>
        <v>Recommended</v>
      </c>
      <c r="G246" s="154" t="s">
        <v>13360</v>
      </c>
      <c r="H246" s="154" t="s">
        <v>13357</v>
      </c>
      <c r="I246" s="154" t="s">
        <v>13358</v>
      </c>
      <c r="J246" s="154" t="s">
        <v>6905</v>
      </c>
      <c r="K246" s="154"/>
      <c r="L246" s="154" t="s">
        <v>759</v>
      </c>
      <c r="M246" s="247" t="s">
        <v>506</v>
      </c>
      <c r="N246" s="247" t="s">
        <v>13218</v>
      </c>
      <c r="O246" s="240" t="str">
        <f t="shared" si="1"/>
        <v/>
      </c>
      <c r="P246" s="154" t="s">
        <v>66</v>
      </c>
      <c r="Q246" s="154" t="s">
        <v>66</v>
      </c>
      <c r="R246" s="154" t="s">
        <v>64</v>
      </c>
      <c r="S246" s="154" t="s">
        <v>64</v>
      </c>
      <c r="T246" s="154" t="s">
        <v>64</v>
      </c>
      <c r="U246" s="154" t="s">
        <v>64</v>
      </c>
      <c r="V246" s="154" t="s">
        <v>66</v>
      </c>
      <c r="W246" s="154" t="s">
        <v>64</v>
      </c>
      <c r="X246" s="154" t="s">
        <v>64</v>
      </c>
      <c r="Y246" s="154"/>
      <c r="Z246" s="242" t="b">
        <f t="shared" si="2"/>
        <v>1</v>
      </c>
      <c r="AA246" s="154" t="s">
        <v>391</v>
      </c>
      <c r="AB246" s="242" t="b">
        <f t="shared" si="3"/>
        <v>0</v>
      </c>
      <c r="AC246" s="154"/>
      <c r="AD246" s="242" t="b">
        <f t="shared" si="4"/>
        <v>0</v>
      </c>
      <c r="AE246" s="154" t="s">
        <v>1610</v>
      </c>
      <c r="AF246" s="243" t="str">
        <f>IF(AE246="","N/A",INDIRECT("MTR!"&amp;ADDRESS(MATCH(LEFT(AE246,9),MTR!C:C,0),COLUMN(J246)),TRUE) &amp; "")</f>
        <v>Partially Complies</v>
      </c>
      <c r="AG246" s="157" t="str">
        <f t="shared" si="5"/>
        <v/>
      </c>
      <c r="AH246" s="152"/>
      <c r="AI246" s="152"/>
      <c r="AJ246" s="152"/>
      <c r="AK246" s="152"/>
      <c r="AL246" s="152"/>
      <c r="AM246" s="152"/>
      <c r="AN246" s="152"/>
      <c r="AO246" s="152"/>
      <c r="AP246" s="152"/>
      <c r="AQ246" s="152"/>
      <c r="AR246" s="152"/>
    </row>
    <row r="247" ht="12.75" customHeight="1">
      <c r="A247" s="244" t="s">
        <v>5158</v>
      </c>
      <c r="B247" s="244" t="s">
        <v>12721</v>
      </c>
      <c r="C247" s="244" t="s">
        <v>13361</v>
      </c>
      <c r="D247" s="154" t="s">
        <v>1315</v>
      </c>
      <c r="E247" s="154"/>
      <c r="F247" s="154" t="str">
        <f t="array" ref="F247">XLOOKUP(Cover!$D$12,$P$1:$X$1,$P247:$X247)</f>
        <v>Recommended</v>
      </c>
      <c r="G247" s="154" t="s">
        <v>13362</v>
      </c>
      <c r="H247" s="154" t="s">
        <v>13363</v>
      </c>
      <c r="I247" s="154" t="s">
        <v>13358</v>
      </c>
      <c r="J247" s="154" t="s">
        <v>6905</v>
      </c>
      <c r="K247" s="154"/>
      <c r="L247" s="154" t="s">
        <v>759</v>
      </c>
      <c r="M247" s="247" t="s">
        <v>516</v>
      </c>
      <c r="N247" s="247" t="s">
        <v>13222</v>
      </c>
      <c r="O247" s="240" t="str">
        <f t="shared" si="1"/>
        <v/>
      </c>
      <c r="P247" s="154" t="s">
        <v>66</v>
      </c>
      <c r="Q247" s="154" t="s">
        <v>66</v>
      </c>
      <c r="R247" s="154" t="s">
        <v>64</v>
      </c>
      <c r="S247" s="154" t="s">
        <v>64</v>
      </c>
      <c r="T247" s="154" t="s">
        <v>64</v>
      </c>
      <c r="U247" s="154" t="s">
        <v>64</v>
      </c>
      <c r="V247" s="154" t="s">
        <v>66</v>
      </c>
      <c r="W247" s="154" t="s">
        <v>64</v>
      </c>
      <c r="X247" s="154" t="s">
        <v>64</v>
      </c>
      <c r="Y247" s="154"/>
      <c r="Z247" s="242" t="b">
        <f t="shared" si="2"/>
        <v>1</v>
      </c>
      <c r="AA247" s="154" t="s">
        <v>391</v>
      </c>
      <c r="AB247" s="242" t="b">
        <f t="shared" si="3"/>
        <v>0</v>
      </c>
      <c r="AC247" s="154"/>
      <c r="AD247" s="242" t="b">
        <f t="shared" si="4"/>
        <v>0</v>
      </c>
      <c r="AE247" s="154" t="s">
        <v>1610</v>
      </c>
      <c r="AF247" s="243" t="str">
        <f>IF(AE247="","N/A",INDIRECT("MTR!"&amp;ADDRESS(MATCH(LEFT(AE247,9),MTR!C:C,0),COLUMN(J247)),TRUE) &amp; "")</f>
        <v>Partially Complies</v>
      </c>
      <c r="AG247" s="157" t="str">
        <f t="shared" si="5"/>
        <v/>
      </c>
      <c r="AH247" s="152"/>
      <c r="AI247" s="152"/>
      <c r="AJ247" s="152"/>
      <c r="AK247" s="152"/>
      <c r="AL247" s="152"/>
      <c r="AM247" s="152"/>
      <c r="AN247" s="152"/>
      <c r="AO247" s="152"/>
      <c r="AP247" s="152"/>
      <c r="AQ247" s="152"/>
      <c r="AR247" s="152"/>
    </row>
    <row r="248" ht="12.75" customHeight="1">
      <c r="A248" s="244" t="s">
        <v>5158</v>
      </c>
      <c r="B248" s="244" t="s">
        <v>12721</v>
      </c>
      <c r="C248" s="244" t="s">
        <v>13364</v>
      </c>
      <c r="D248" s="154" t="s">
        <v>1315</v>
      </c>
      <c r="E248" s="154"/>
      <c r="F248" s="154" t="str">
        <f t="array" ref="F248">XLOOKUP(Cover!$D$12,$P$1:$X$1,$P248:$X248)</f>
        <v>Recommended</v>
      </c>
      <c r="G248" s="154" t="s">
        <v>13365</v>
      </c>
      <c r="H248" s="154" t="s">
        <v>13357</v>
      </c>
      <c r="I248" s="154" t="s">
        <v>13358</v>
      </c>
      <c r="J248" s="154" t="s">
        <v>6905</v>
      </c>
      <c r="K248" s="154"/>
      <c r="L248" s="154" t="s">
        <v>759</v>
      </c>
      <c r="M248" s="247" t="s">
        <v>506</v>
      </c>
      <c r="N248" s="247" t="s">
        <v>13218</v>
      </c>
      <c r="O248" s="240" t="str">
        <f t="shared" si="1"/>
        <v/>
      </c>
      <c r="P248" s="154" t="s">
        <v>66</v>
      </c>
      <c r="Q248" s="154" t="s">
        <v>66</v>
      </c>
      <c r="R248" s="154" t="s">
        <v>64</v>
      </c>
      <c r="S248" s="154" t="s">
        <v>64</v>
      </c>
      <c r="T248" s="154" t="s">
        <v>64</v>
      </c>
      <c r="U248" s="154" t="s">
        <v>64</v>
      </c>
      <c r="V248" s="154" t="s">
        <v>66</v>
      </c>
      <c r="W248" s="154" t="s">
        <v>64</v>
      </c>
      <c r="X248" s="154" t="s">
        <v>64</v>
      </c>
      <c r="Y248" s="154"/>
      <c r="Z248" s="242" t="b">
        <f t="shared" si="2"/>
        <v>1</v>
      </c>
      <c r="AA248" s="154" t="s">
        <v>391</v>
      </c>
      <c r="AB248" s="242" t="b">
        <f t="shared" si="3"/>
        <v>0</v>
      </c>
      <c r="AC248" s="154"/>
      <c r="AD248" s="242" t="b">
        <f t="shared" si="4"/>
        <v>0</v>
      </c>
      <c r="AE248" s="154" t="s">
        <v>1610</v>
      </c>
      <c r="AF248" s="243" t="str">
        <f>IF(AE248="","N/A",INDIRECT("MTR!"&amp;ADDRESS(MATCH(LEFT(AE248,9),MTR!C:C,0),COLUMN(J248)),TRUE) &amp; "")</f>
        <v>Partially Complies</v>
      </c>
      <c r="AG248" s="157" t="str">
        <f t="shared" si="5"/>
        <v/>
      </c>
      <c r="AH248" s="152"/>
      <c r="AI248" s="152"/>
      <c r="AJ248" s="152"/>
      <c r="AK248" s="152"/>
      <c r="AL248" s="152"/>
      <c r="AM248" s="152"/>
      <c r="AN248" s="152"/>
      <c r="AO248" s="152"/>
      <c r="AP248" s="152"/>
      <c r="AQ248" s="152"/>
      <c r="AR248" s="152"/>
    </row>
    <row r="249" ht="12.75" customHeight="1">
      <c r="A249" s="244" t="s">
        <v>5158</v>
      </c>
      <c r="B249" s="244" t="s">
        <v>12721</v>
      </c>
      <c r="C249" s="244" t="s">
        <v>13366</v>
      </c>
      <c r="D249" s="154" t="s">
        <v>1315</v>
      </c>
      <c r="E249" s="154"/>
      <c r="F249" s="154" t="str">
        <f t="array" ref="F249">XLOOKUP(Cover!$D$12,$P$1:$X$1,$P249:$X249)</f>
        <v>Recommended</v>
      </c>
      <c r="G249" s="154" t="s">
        <v>13367</v>
      </c>
      <c r="H249" s="154" t="s">
        <v>13363</v>
      </c>
      <c r="I249" s="154" t="s">
        <v>13358</v>
      </c>
      <c r="J249" s="154" t="s">
        <v>6905</v>
      </c>
      <c r="K249" s="154"/>
      <c r="L249" s="154" t="s">
        <v>759</v>
      </c>
      <c r="M249" s="247" t="s">
        <v>516</v>
      </c>
      <c r="N249" s="247" t="s">
        <v>13222</v>
      </c>
      <c r="O249" s="240" t="str">
        <f t="shared" si="1"/>
        <v/>
      </c>
      <c r="P249" s="154" t="s">
        <v>66</v>
      </c>
      <c r="Q249" s="154" t="s">
        <v>66</v>
      </c>
      <c r="R249" s="154" t="s">
        <v>64</v>
      </c>
      <c r="S249" s="154" t="s">
        <v>64</v>
      </c>
      <c r="T249" s="154" t="s">
        <v>64</v>
      </c>
      <c r="U249" s="154" t="s">
        <v>64</v>
      </c>
      <c r="V249" s="154" t="s">
        <v>66</v>
      </c>
      <c r="W249" s="154" t="s">
        <v>64</v>
      </c>
      <c r="X249" s="154" t="s">
        <v>64</v>
      </c>
      <c r="Y249" s="154"/>
      <c r="Z249" s="242" t="b">
        <f t="shared" si="2"/>
        <v>1</v>
      </c>
      <c r="AA249" s="154" t="s">
        <v>391</v>
      </c>
      <c r="AB249" s="242" t="b">
        <f t="shared" si="3"/>
        <v>0</v>
      </c>
      <c r="AC249" s="154"/>
      <c r="AD249" s="242" t="b">
        <f t="shared" si="4"/>
        <v>0</v>
      </c>
      <c r="AE249" s="154" t="s">
        <v>1610</v>
      </c>
      <c r="AF249" s="243" t="str">
        <f>IF(AE249="","N/A",INDIRECT("MTR!"&amp;ADDRESS(MATCH(LEFT(AE249,9),MTR!C:C,0),COLUMN(J249)),TRUE) &amp; "")</f>
        <v>Partially Complies</v>
      </c>
      <c r="AG249" s="157" t="str">
        <f t="shared" si="5"/>
        <v/>
      </c>
      <c r="AH249" s="152"/>
      <c r="AI249" s="152"/>
      <c r="AJ249" s="152"/>
      <c r="AK249" s="152"/>
      <c r="AL249" s="152"/>
      <c r="AM249" s="152"/>
      <c r="AN249" s="152"/>
      <c r="AO249" s="152"/>
      <c r="AP249" s="152"/>
      <c r="AQ249" s="152"/>
      <c r="AR249" s="152"/>
    </row>
    <row r="250" ht="12.75" customHeight="1">
      <c r="A250" s="244" t="s">
        <v>5158</v>
      </c>
      <c r="B250" s="244" t="s">
        <v>12721</v>
      </c>
      <c r="C250" s="244" t="s">
        <v>13368</v>
      </c>
      <c r="D250" s="154" t="s">
        <v>45</v>
      </c>
      <c r="E250" s="154"/>
      <c r="F250" s="154" t="str">
        <f t="array" ref="F250">XLOOKUP(Cover!$D$12,$P$1:$X$1,$P250:$X250)</f>
        <v>Information</v>
      </c>
      <c r="G250" s="154" t="s">
        <v>13369</v>
      </c>
      <c r="H250" s="154" t="s">
        <v>12844</v>
      </c>
      <c r="I250" s="154" t="s">
        <v>13370</v>
      </c>
      <c r="J250" s="154" t="s">
        <v>10718</v>
      </c>
      <c r="K250" s="154"/>
      <c r="L250" s="154" t="s">
        <v>759</v>
      </c>
      <c r="M250" s="247" t="s">
        <v>516</v>
      </c>
      <c r="N250" s="247" t="s">
        <v>12731</v>
      </c>
      <c r="O250" s="240" t="str">
        <f t="shared" si="1"/>
        <v/>
      </c>
      <c r="P250" s="154" t="s">
        <v>66</v>
      </c>
      <c r="Q250" s="154" t="s">
        <v>66</v>
      </c>
      <c r="R250" s="154" t="s">
        <v>66</v>
      </c>
      <c r="S250" s="154" t="s">
        <v>66</v>
      </c>
      <c r="T250" s="154" t="s">
        <v>66</v>
      </c>
      <c r="U250" s="154" t="s">
        <v>66</v>
      </c>
      <c r="V250" s="154" t="s">
        <v>66</v>
      </c>
      <c r="W250" s="154" t="s">
        <v>66</v>
      </c>
      <c r="X250" s="154" t="s">
        <v>66</v>
      </c>
      <c r="Y250" s="154"/>
      <c r="Z250" s="242" t="b">
        <f t="shared" si="2"/>
        <v>1</v>
      </c>
      <c r="AA250" s="154" t="s">
        <v>391</v>
      </c>
      <c r="AB250" s="242" t="b">
        <f t="shared" si="3"/>
        <v>0</v>
      </c>
      <c r="AC250" s="154"/>
      <c r="AD250" s="242" t="b">
        <f t="shared" si="4"/>
        <v>0</v>
      </c>
      <c r="AE250" s="154" t="s">
        <v>1610</v>
      </c>
      <c r="AF250" s="243" t="str">
        <f>IF(AE250="","N/A",INDIRECT("MTR!"&amp;ADDRESS(MATCH(LEFT(AE250,9),MTR!C:C,0),COLUMN(J250)),TRUE) &amp; "")</f>
        <v>Partially Complies</v>
      </c>
      <c r="AG250" s="157" t="str">
        <f t="shared" si="5"/>
        <v/>
      </c>
      <c r="AH250" s="152"/>
      <c r="AI250" s="152"/>
      <c r="AJ250" s="152"/>
      <c r="AK250" s="152"/>
      <c r="AL250" s="152"/>
      <c r="AM250" s="152"/>
      <c r="AN250" s="152"/>
      <c r="AO250" s="152"/>
      <c r="AP250" s="152"/>
      <c r="AQ250" s="152"/>
      <c r="AR250" s="152"/>
    </row>
    <row r="251" ht="12.75" customHeight="1">
      <c r="A251" s="244" t="s">
        <v>5158</v>
      </c>
      <c r="B251" s="244" t="s">
        <v>12721</v>
      </c>
      <c r="C251" s="244" t="s">
        <v>13371</v>
      </c>
      <c r="D251" s="154" t="s">
        <v>1315</v>
      </c>
      <c r="E251" s="154"/>
      <c r="F251" s="154" t="str">
        <f t="array" ref="F251">XLOOKUP(Cover!$D$12,$P$1:$X$1,$P251:$X251)</f>
        <v>Recommended</v>
      </c>
      <c r="G251" s="154" t="s">
        <v>13372</v>
      </c>
      <c r="H251" s="154" t="s">
        <v>13373</v>
      </c>
      <c r="I251" s="154" t="s">
        <v>13374</v>
      </c>
      <c r="J251" s="154" t="s">
        <v>6529</v>
      </c>
      <c r="K251" s="154"/>
      <c r="L251" s="154" t="s">
        <v>759</v>
      </c>
      <c r="M251" s="247" t="s">
        <v>506</v>
      </c>
      <c r="N251" s="247" t="s">
        <v>13230</v>
      </c>
      <c r="O251" s="240" t="str">
        <f t="shared" si="1"/>
        <v/>
      </c>
      <c r="P251" s="154" t="s">
        <v>66</v>
      </c>
      <c r="Q251" s="154" t="s">
        <v>66</v>
      </c>
      <c r="R251" s="154" t="s">
        <v>64</v>
      </c>
      <c r="S251" s="154" t="s">
        <v>64</v>
      </c>
      <c r="T251" s="154" t="s">
        <v>64</v>
      </c>
      <c r="U251" s="154" t="s">
        <v>64</v>
      </c>
      <c r="V251" s="154" t="s">
        <v>66</v>
      </c>
      <c r="W251" s="154" t="s">
        <v>64</v>
      </c>
      <c r="X251" s="154" t="s">
        <v>64</v>
      </c>
      <c r="Y251" s="154"/>
      <c r="Z251" s="242" t="b">
        <f t="shared" si="2"/>
        <v>1</v>
      </c>
      <c r="AA251" s="154" t="s">
        <v>391</v>
      </c>
      <c r="AB251" s="242" t="b">
        <f t="shared" si="3"/>
        <v>0</v>
      </c>
      <c r="AC251" s="154"/>
      <c r="AD251" s="242" t="b">
        <f t="shared" si="4"/>
        <v>0</v>
      </c>
      <c r="AE251" s="154" t="s">
        <v>1610</v>
      </c>
      <c r="AF251" s="243" t="str">
        <f>IF(AE251="","N/A",INDIRECT("MTR!"&amp;ADDRESS(MATCH(LEFT(AE251,9),MTR!C:C,0),COLUMN(J251)),TRUE) &amp; "")</f>
        <v>Partially Complies</v>
      </c>
      <c r="AG251" s="157" t="str">
        <f t="shared" si="5"/>
        <v/>
      </c>
      <c r="AH251" s="152"/>
      <c r="AI251" s="152"/>
      <c r="AJ251" s="152"/>
      <c r="AK251" s="152"/>
      <c r="AL251" s="152"/>
      <c r="AM251" s="152"/>
      <c r="AN251" s="152"/>
      <c r="AO251" s="152"/>
      <c r="AP251" s="152"/>
      <c r="AQ251" s="152"/>
      <c r="AR251" s="152"/>
    </row>
    <row r="252" ht="12.75" customHeight="1">
      <c r="A252" s="244" t="s">
        <v>5158</v>
      </c>
      <c r="B252" s="244" t="s">
        <v>12721</v>
      </c>
      <c r="C252" s="244" t="s">
        <v>13375</v>
      </c>
      <c r="D252" s="154" t="s">
        <v>503</v>
      </c>
      <c r="E252" s="154"/>
      <c r="F252" s="154" t="str">
        <f t="array" ref="F252">XLOOKUP(Cover!$D$12,$P$1:$X$1,$P252:$X252)</f>
        <v>Recommended</v>
      </c>
      <c r="G252" s="154" t="s">
        <v>13376</v>
      </c>
      <c r="H252" s="154" t="s">
        <v>13377</v>
      </c>
      <c r="I252" s="154" t="s">
        <v>13374</v>
      </c>
      <c r="J252" s="154" t="s">
        <v>7175</v>
      </c>
      <c r="K252" s="154"/>
      <c r="L252" s="154" t="s">
        <v>759</v>
      </c>
      <c r="M252" s="247" t="s">
        <v>516</v>
      </c>
      <c r="N252" s="247" t="s">
        <v>13234</v>
      </c>
      <c r="O252" s="240" t="str">
        <f t="shared" si="1"/>
        <v/>
      </c>
      <c r="P252" s="154" t="s">
        <v>66</v>
      </c>
      <c r="Q252" s="154" t="s">
        <v>66</v>
      </c>
      <c r="R252" s="154" t="s">
        <v>64</v>
      </c>
      <c r="S252" s="154" t="s">
        <v>64</v>
      </c>
      <c r="T252" s="154" t="s">
        <v>64</v>
      </c>
      <c r="U252" s="154" t="s">
        <v>64</v>
      </c>
      <c r="V252" s="154" t="s">
        <v>66</v>
      </c>
      <c r="W252" s="154" t="s">
        <v>64</v>
      </c>
      <c r="X252" s="154" t="s">
        <v>64</v>
      </c>
      <c r="Y252" s="154"/>
      <c r="Z252" s="242" t="b">
        <f t="shared" si="2"/>
        <v>1</v>
      </c>
      <c r="AA252" s="154" t="s">
        <v>391</v>
      </c>
      <c r="AB252" s="242" t="b">
        <f t="shared" si="3"/>
        <v>0</v>
      </c>
      <c r="AC252" s="154"/>
      <c r="AD252" s="242" t="b">
        <f t="shared" si="4"/>
        <v>0</v>
      </c>
      <c r="AE252" s="154" t="s">
        <v>1610</v>
      </c>
      <c r="AF252" s="243" t="str">
        <f>IF(AE252="","N/A",INDIRECT("MTR!"&amp;ADDRESS(MATCH(LEFT(AE252,9),MTR!C:C,0),COLUMN(J252)),TRUE) &amp; "")</f>
        <v>Partially Complies</v>
      </c>
      <c r="AG252" s="157" t="str">
        <f t="shared" si="5"/>
        <v/>
      </c>
      <c r="AH252" s="152"/>
      <c r="AI252" s="152"/>
      <c r="AJ252" s="152"/>
      <c r="AK252" s="152"/>
      <c r="AL252" s="152"/>
      <c r="AM252" s="152"/>
      <c r="AN252" s="152"/>
      <c r="AO252" s="152"/>
      <c r="AP252" s="152"/>
      <c r="AQ252" s="152"/>
      <c r="AR252" s="152"/>
    </row>
    <row r="253" ht="12.75" customHeight="1">
      <c r="A253" s="244" t="s">
        <v>5158</v>
      </c>
      <c r="B253" s="244" t="s">
        <v>12721</v>
      </c>
      <c r="C253" s="244" t="s">
        <v>13378</v>
      </c>
      <c r="D253" s="154" t="s">
        <v>1773</v>
      </c>
      <c r="E253" s="154"/>
      <c r="F253" s="154" t="str">
        <f t="array" ref="F253">XLOOKUP(Cover!$D$12,$P$1:$X$1,$P253:$X253)</f>
        <v>Recommended</v>
      </c>
      <c r="G253" s="154" t="s">
        <v>13379</v>
      </c>
      <c r="H253" s="154" t="s">
        <v>13373</v>
      </c>
      <c r="I253" s="154" t="s">
        <v>13374</v>
      </c>
      <c r="J253" s="154" t="s">
        <v>7175</v>
      </c>
      <c r="K253" s="154"/>
      <c r="L253" s="154" t="s">
        <v>759</v>
      </c>
      <c r="M253" s="247" t="s">
        <v>506</v>
      </c>
      <c r="N253" s="247" t="s">
        <v>13230</v>
      </c>
      <c r="O253" s="240" t="str">
        <f t="shared" si="1"/>
        <v/>
      </c>
      <c r="P253" s="154" t="s">
        <v>66</v>
      </c>
      <c r="Q253" s="154" t="s">
        <v>66</v>
      </c>
      <c r="R253" s="154" t="s">
        <v>64</v>
      </c>
      <c r="S253" s="154" t="s">
        <v>64</v>
      </c>
      <c r="T253" s="154" t="s">
        <v>64</v>
      </c>
      <c r="U253" s="154" t="s">
        <v>64</v>
      </c>
      <c r="V253" s="154" t="s">
        <v>66</v>
      </c>
      <c r="W253" s="154" t="s">
        <v>64</v>
      </c>
      <c r="X253" s="154" t="s">
        <v>64</v>
      </c>
      <c r="Y253" s="154"/>
      <c r="Z253" s="242" t="b">
        <f t="shared" si="2"/>
        <v>1</v>
      </c>
      <c r="AA253" s="154" t="s">
        <v>391</v>
      </c>
      <c r="AB253" s="242" t="b">
        <f t="shared" si="3"/>
        <v>0</v>
      </c>
      <c r="AC253" s="154"/>
      <c r="AD253" s="242" t="b">
        <f t="shared" si="4"/>
        <v>0</v>
      </c>
      <c r="AE253" s="154" t="s">
        <v>1610</v>
      </c>
      <c r="AF253" s="243" t="str">
        <f>IF(AE253="","N/A",INDIRECT("MTR!"&amp;ADDRESS(MATCH(LEFT(AE253,9),MTR!C:C,0),COLUMN(J253)),TRUE) &amp; "")</f>
        <v>Partially Complies</v>
      </c>
      <c r="AG253" s="157" t="str">
        <f t="shared" si="5"/>
        <v/>
      </c>
      <c r="AH253" s="152"/>
      <c r="AI253" s="152"/>
      <c r="AJ253" s="152"/>
      <c r="AK253" s="152"/>
      <c r="AL253" s="152"/>
      <c r="AM253" s="152"/>
      <c r="AN253" s="152"/>
      <c r="AO253" s="152"/>
      <c r="AP253" s="152"/>
      <c r="AQ253" s="152"/>
      <c r="AR253" s="152"/>
    </row>
    <row r="254" ht="12.75" customHeight="1">
      <c r="A254" s="244" t="s">
        <v>5158</v>
      </c>
      <c r="B254" s="244" t="s">
        <v>12721</v>
      </c>
      <c r="C254" s="244" t="s">
        <v>13380</v>
      </c>
      <c r="D254" s="154" t="s">
        <v>1773</v>
      </c>
      <c r="E254" s="154"/>
      <c r="F254" s="154" t="str">
        <f t="array" ref="F254">XLOOKUP(Cover!$D$12,$P$1:$X$1,$P254:$X254)</f>
        <v>Recommended</v>
      </c>
      <c r="G254" s="154" t="s">
        <v>13381</v>
      </c>
      <c r="H254" s="154" t="s">
        <v>13377</v>
      </c>
      <c r="I254" s="154" t="s">
        <v>13374</v>
      </c>
      <c r="J254" s="154" t="s">
        <v>7175</v>
      </c>
      <c r="K254" s="154"/>
      <c r="L254" s="154" t="s">
        <v>759</v>
      </c>
      <c r="M254" s="247" t="s">
        <v>516</v>
      </c>
      <c r="N254" s="247" t="s">
        <v>13234</v>
      </c>
      <c r="O254" s="240" t="str">
        <f t="shared" si="1"/>
        <v/>
      </c>
      <c r="P254" s="154" t="s">
        <v>66</v>
      </c>
      <c r="Q254" s="154" t="s">
        <v>66</v>
      </c>
      <c r="R254" s="154" t="s">
        <v>64</v>
      </c>
      <c r="S254" s="154" t="s">
        <v>64</v>
      </c>
      <c r="T254" s="154" t="s">
        <v>64</v>
      </c>
      <c r="U254" s="154" t="s">
        <v>64</v>
      </c>
      <c r="V254" s="154" t="s">
        <v>66</v>
      </c>
      <c r="W254" s="154" t="s">
        <v>64</v>
      </c>
      <c r="X254" s="154" t="s">
        <v>64</v>
      </c>
      <c r="Y254" s="154"/>
      <c r="Z254" s="242" t="b">
        <f t="shared" si="2"/>
        <v>1</v>
      </c>
      <c r="AA254" s="154" t="s">
        <v>391</v>
      </c>
      <c r="AB254" s="242" t="b">
        <f t="shared" si="3"/>
        <v>0</v>
      </c>
      <c r="AC254" s="154"/>
      <c r="AD254" s="242" t="b">
        <f t="shared" si="4"/>
        <v>0</v>
      </c>
      <c r="AE254" s="154" t="s">
        <v>1610</v>
      </c>
      <c r="AF254" s="243" t="str">
        <f>IF(AE254="","N/A",INDIRECT("MTR!"&amp;ADDRESS(MATCH(LEFT(AE254,9),MTR!C:C,0),COLUMN(J254)),TRUE) &amp; "")</f>
        <v>Partially Complies</v>
      </c>
      <c r="AG254" s="157" t="str">
        <f t="shared" si="5"/>
        <v/>
      </c>
      <c r="AH254" s="152"/>
      <c r="AI254" s="152"/>
      <c r="AJ254" s="152"/>
      <c r="AK254" s="152"/>
      <c r="AL254" s="152"/>
      <c r="AM254" s="152"/>
      <c r="AN254" s="152"/>
      <c r="AO254" s="152"/>
      <c r="AP254" s="152"/>
      <c r="AQ254" s="152"/>
      <c r="AR254" s="152"/>
    </row>
    <row r="255" ht="12.75" customHeight="1">
      <c r="A255" s="244" t="s">
        <v>5158</v>
      </c>
      <c r="B255" s="244" t="s">
        <v>12721</v>
      </c>
      <c r="C255" s="244" t="s">
        <v>13382</v>
      </c>
      <c r="D255" s="154" t="s">
        <v>45</v>
      </c>
      <c r="E255" s="154"/>
      <c r="F255" s="154" t="str">
        <f t="array" ref="F255">XLOOKUP(Cover!$D$12,$P$1:$X$1,$P255:$X255)</f>
        <v>Recommended</v>
      </c>
      <c r="G255" s="154" t="s">
        <v>13383</v>
      </c>
      <c r="H255" s="154" t="s">
        <v>13373</v>
      </c>
      <c r="I255" s="154" t="s">
        <v>13374</v>
      </c>
      <c r="J255" s="154" t="s">
        <v>10718</v>
      </c>
      <c r="K255" s="154"/>
      <c r="L255" s="154" t="s">
        <v>759</v>
      </c>
      <c r="M255" s="247" t="s">
        <v>516</v>
      </c>
      <c r="N255" s="247" t="s">
        <v>13241</v>
      </c>
      <c r="O255" s="240" t="str">
        <f t="shared" si="1"/>
        <v/>
      </c>
      <c r="P255" s="154" t="s">
        <v>66</v>
      </c>
      <c r="Q255" s="154" t="s">
        <v>66</v>
      </c>
      <c r="R255" s="154" t="s">
        <v>64</v>
      </c>
      <c r="S255" s="154" t="s">
        <v>64</v>
      </c>
      <c r="T255" s="154" t="s">
        <v>64</v>
      </c>
      <c r="U255" s="154" t="s">
        <v>64</v>
      </c>
      <c r="V255" s="154" t="s">
        <v>66</v>
      </c>
      <c r="W255" s="154" t="s">
        <v>64</v>
      </c>
      <c r="X255" s="154" t="s">
        <v>64</v>
      </c>
      <c r="Y255" s="154"/>
      <c r="Z255" s="242" t="b">
        <f t="shared" si="2"/>
        <v>1</v>
      </c>
      <c r="AA255" s="154" t="s">
        <v>391</v>
      </c>
      <c r="AB255" s="242" t="b">
        <f t="shared" si="3"/>
        <v>0</v>
      </c>
      <c r="AC255" s="154"/>
      <c r="AD255" s="242" t="b">
        <f t="shared" si="4"/>
        <v>0</v>
      </c>
      <c r="AE255" s="154" t="s">
        <v>1610</v>
      </c>
      <c r="AF255" s="243" t="str">
        <f>IF(AE255="","N/A",INDIRECT("MTR!"&amp;ADDRESS(MATCH(LEFT(AE255,9),MTR!C:C,0),COLUMN(J255)),TRUE) &amp; "")</f>
        <v>Partially Complies</v>
      </c>
      <c r="AG255" s="157" t="str">
        <f t="shared" si="5"/>
        <v/>
      </c>
      <c r="AH255" s="152"/>
      <c r="AI255" s="152"/>
      <c r="AJ255" s="152"/>
      <c r="AK255" s="152"/>
      <c r="AL255" s="152"/>
      <c r="AM255" s="152"/>
      <c r="AN255" s="152"/>
      <c r="AO255" s="152"/>
      <c r="AP255" s="152"/>
      <c r="AQ255" s="152"/>
      <c r="AR255" s="152"/>
    </row>
    <row r="256" ht="12.75" customHeight="1">
      <c r="A256" s="244" t="s">
        <v>5158</v>
      </c>
      <c r="B256" s="244" t="s">
        <v>12721</v>
      </c>
      <c r="C256" s="244" t="s">
        <v>13384</v>
      </c>
      <c r="D256" s="154" t="s">
        <v>45</v>
      </c>
      <c r="E256" s="154"/>
      <c r="F256" s="154" t="str">
        <f t="array" ref="F256">XLOOKUP(Cover!$D$12,$P$1:$X$1,$P256:$X256)</f>
        <v>Recommended</v>
      </c>
      <c r="G256" s="154" t="s">
        <v>13385</v>
      </c>
      <c r="H256" s="154" t="s">
        <v>13377</v>
      </c>
      <c r="I256" s="154" t="s">
        <v>13374</v>
      </c>
      <c r="J256" s="154" t="s">
        <v>6655</v>
      </c>
      <c r="K256" s="154"/>
      <c r="L256" s="154" t="s">
        <v>759</v>
      </c>
      <c r="M256" s="247" t="s">
        <v>516</v>
      </c>
      <c r="N256" s="247" t="s">
        <v>13386</v>
      </c>
      <c r="O256" s="240" t="str">
        <f t="shared" si="1"/>
        <v/>
      </c>
      <c r="P256" s="154" t="s">
        <v>66</v>
      </c>
      <c r="Q256" s="154" t="s">
        <v>66</v>
      </c>
      <c r="R256" s="154" t="s">
        <v>64</v>
      </c>
      <c r="S256" s="154" t="s">
        <v>64</v>
      </c>
      <c r="T256" s="154" t="s">
        <v>64</v>
      </c>
      <c r="U256" s="154" t="s">
        <v>64</v>
      </c>
      <c r="V256" s="154" t="s">
        <v>66</v>
      </c>
      <c r="W256" s="154" t="s">
        <v>64</v>
      </c>
      <c r="X256" s="154" t="s">
        <v>64</v>
      </c>
      <c r="Y256" s="154"/>
      <c r="Z256" s="242" t="b">
        <f t="shared" si="2"/>
        <v>1</v>
      </c>
      <c r="AA256" s="154" t="s">
        <v>391</v>
      </c>
      <c r="AB256" s="242" t="b">
        <f t="shared" si="3"/>
        <v>0</v>
      </c>
      <c r="AC256" s="154"/>
      <c r="AD256" s="242" t="b">
        <f t="shared" si="4"/>
        <v>0</v>
      </c>
      <c r="AE256" s="154" t="s">
        <v>1610</v>
      </c>
      <c r="AF256" s="243" t="str">
        <f>IF(AE256="","N/A",INDIRECT("MTR!"&amp;ADDRESS(MATCH(LEFT(AE256,9),MTR!C:C,0),COLUMN(J256)),TRUE) &amp; "")</f>
        <v>Partially Complies</v>
      </c>
      <c r="AG256" s="157" t="str">
        <f t="shared" si="5"/>
        <v/>
      </c>
      <c r="AH256" s="152"/>
      <c r="AI256" s="152"/>
      <c r="AJ256" s="152"/>
      <c r="AK256" s="152"/>
      <c r="AL256" s="152"/>
      <c r="AM256" s="152"/>
      <c r="AN256" s="152"/>
      <c r="AO256" s="152"/>
      <c r="AP256" s="152"/>
      <c r="AQ256" s="152"/>
      <c r="AR256" s="152"/>
    </row>
    <row r="257" ht="12.75" customHeight="1">
      <c r="A257" s="244" t="s">
        <v>5158</v>
      </c>
      <c r="B257" s="244" t="s">
        <v>12721</v>
      </c>
      <c r="C257" s="244" t="s">
        <v>13387</v>
      </c>
      <c r="D257" s="154" t="s">
        <v>1773</v>
      </c>
      <c r="E257" s="154"/>
      <c r="F257" s="154" t="str">
        <f t="array" ref="F257">XLOOKUP(Cover!$D$12,$P$1:$X$1,$P257:$X257)</f>
        <v>Information</v>
      </c>
      <c r="G257" s="154" t="s">
        <v>13388</v>
      </c>
      <c r="H257" s="154" t="s">
        <v>13389</v>
      </c>
      <c r="I257" s="154" t="s">
        <v>13390</v>
      </c>
      <c r="J257" s="154" t="s">
        <v>6126</v>
      </c>
      <c r="K257" s="154"/>
      <c r="L257" s="154" t="s">
        <v>759</v>
      </c>
      <c r="M257" s="247" t="s">
        <v>516</v>
      </c>
      <c r="N257" s="247" t="s">
        <v>12731</v>
      </c>
      <c r="O257" s="240" t="str">
        <f t="shared" si="1"/>
        <v/>
      </c>
      <c r="P257" s="154" t="s">
        <v>66</v>
      </c>
      <c r="Q257" s="154" t="s">
        <v>66</v>
      </c>
      <c r="R257" s="154" t="s">
        <v>66</v>
      </c>
      <c r="S257" s="154" t="s">
        <v>66</v>
      </c>
      <c r="T257" s="154" t="s">
        <v>66</v>
      </c>
      <c r="U257" s="154" t="s">
        <v>66</v>
      </c>
      <c r="V257" s="154" t="s">
        <v>66</v>
      </c>
      <c r="W257" s="154" t="s">
        <v>66</v>
      </c>
      <c r="X257" s="154" t="s">
        <v>66</v>
      </c>
      <c r="Y257" s="154"/>
      <c r="Z257" s="242" t="b">
        <f t="shared" si="2"/>
        <v>1</v>
      </c>
      <c r="AA257" s="154" t="s">
        <v>391</v>
      </c>
      <c r="AB257" s="242" t="b">
        <f t="shared" si="3"/>
        <v>0</v>
      </c>
      <c r="AC257" s="154"/>
      <c r="AD257" s="242" t="b">
        <f t="shared" si="4"/>
        <v>0</v>
      </c>
      <c r="AE257" s="154" t="s">
        <v>1610</v>
      </c>
      <c r="AF257" s="243" t="str">
        <f>IF(AE257="","N/A",INDIRECT("MTR!"&amp;ADDRESS(MATCH(LEFT(AE257,9),MTR!C:C,0),COLUMN(J257)),TRUE) &amp; "")</f>
        <v>Partially Complies</v>
      </c>
      <c r="AG257" s="157" t="str">
        <f t="shared" si="5"/>
        <v/>
      </c>
      <c r="AH257" s="152"/>
      <c r="AI257" s="152"/>
      <c r="AJ257" s="152"/>
      <c r="AK257" s="152"/>
      <c r="AL257" s="152"/>
      <c r="AM257" s="152"/>
      <c r="AN257" s="152"/>
      <c r="AO257" s="152"/>
      <c r="AP257" s="152"/>
      <c r="AQ257" s="152"/>
      <c r="AR257" s="152"/>
    </row>
    <row r="258" ht="12.75" customHeight="1">
      <c r="A258" s="244" t="s">
        <v>5158</v>
      </c>
      <c r="B258" s="244" t="s">
        <v>12721</v>
      </c>
      <c r="C258" s="244" t="s">
        <v>13391</v>
      </c>
      <c r="D258" s="154" t="s">
        <v>1315</v>
      </c>
      <c r="E258" s="154"/>
      <c r="F258" s="154" t="str">
        <f t="array" ref="F258">XLOOKUP(Cover!$D$12,$P$1:$X$1,$P258:$X258)</f>
        <v>Information</v>
      </c>
      <c r="G258" s="154" t="s">
        <v>13392</v>
      </c>
      <c r="H258" s="154" t="s">
        <v>13393</v>
      </c>
      <c r="I258" s="154" t="s">
        <v>13394</v>
      </c>
      <c r="J258" s="154" t="s">
        <v>6232</v>
      </c>
      <c r="K258" s="154"/>
      <c r="L258" s="154" t="s">
        <v>759</v>
      </c>
      <c r="M258" s="247" t="s">
        <v>506</v>
      </c>
      <c r="N258" s="247" t="s">
        <v>12738</v>
      </c>
      <c r="O258" s="240" t="str">
        <f t="shared" si="1"/>
        <v/>
      </c>
      <c r="P258" s="154" t="s">
        <v>66</v>
      </c>
      <c r="Q258" s="154" t="s">
        <v>66</v>
      </c>
      <c r="R258" s="154" t="s">
        <v>66</v>
      </c>
      <c r="S258" s="154" t="s">
        <v>66</v>
      </c>
      <c r="T258" s="154" t="s">
        <v>66</v>
      </c>
      <c r="U258" s="154" t="s">
        <v>66</v>
      </c>
      <c r="V258" s="154" t="s">
        <v>66</v>
      </c>
      <c r="W258" s="154" t="s">
        <v>66</v>
      </c>
      <c r="X258" s="154" t="s">
        <v>66</v>
      </c>
      <c r="Y258" s="154"/>
      <c r="Z258" s="242" t="b">
        <f t="shared" si="2"/>
        <v>1</v>
      </c>
      <c r="AA258" s="154" t="s">
        <v>391</v>
      </c>
      <c r="AB258" s="242" t="b">
        <f t="shared" si="3"/>
        <v>0</v>
      </c>
      <c r="AC258" s="154"/>
      <c r="AD258" s="242" t="b">
        <f t="shared" si="4"/>
        <v>0</v>
      </c>
      <c r="AE258" s="154" t="s">
        <v>1610</v>
      </c>
      <c r="AF258" s="243" t="str">
        <f>IF(AE258="","N/A",INDIRECT("MTR!"&amp;ADDRESS(MATCH(LEFT(AE258,9),MTR!C:C,0),COLUMN(J258)),TRUE) &amp; "")</f>
        <v>Partially Complies</v>
      </c>
      <c r="AG258" s="157" t="str">
        <f t="shared" si="5"/>
        <v/>
      </c>
      <c r="AH258" s="152"/>
      <c r="AI258" s="152"/>
      <c r="AJ258" s="152"/>
      <c r="AK258" s="152"/>
      <c r="AL258" s="152"/>
      <c r="AM258" s="152"/>
      <c r="AN258" s="152"/>
      <c r="AO258" s="152"/>
      <c r="AP258" s="152"/>
      <c r="AQ258" s="152"/>
      <c r="AR258" s="152"/>
    </row>
    <row r="259" ht="12.75" customHeight="1">
      <c r="A259" s="244" t="s">
        <v>5158</v>
      </c>
      <c r="B259" s="244" t="s">
        <v>12721</v>
      </c>
      <c r="C259" s="244" t="s">
        <v>13395</v>
      </c>
      <c r="D259" s="154" t="s">
        <v>1315</v>
      </c>
      <c r="E259" s="154"/>
      <c r="F259" s="154" t="str">
        <f t="array" ref="F259">XLOOKUP(Cover!$D$12,$P$1:$X$1,$P259:$X259)</f>
        <v>Information</v>
      </c>
      <c r="G259" s="154" t="s">
        <v>13396</v>
      </c>
      <c r="H259" s="154" t="s">
        <v>13397</v>
      </c>
      <c r="I259" s="154" t="s">
        <v>13394</v>
      </c>
      <c r="J259" s="154" t="s">
        <v>6232</v>
      </c>
      <c r="K259" s="154"/>
      <c r="L259" s="154" t="s">
        <v>759</v>
      </c>
      <c r="M259" s="247" t="s">
        <v>516</v>
      </c>
      <c r="N259" s="247" t="s">
        <v>12741</v>
      </c>
      <c r="O259" s="240" t="str">
        <f t="shared" si="1"/>
        <v/>
      </c>
      <c r="P259" s="154" t="s">
        <v>66</v>
      </c>
      <c r="Q259" s="154" t="s">
        <v>66</v>
      </c>
      <c r="R259" s="154" t="s">
        <v>66</v>
      </c>
      <c r="S259" s="154" t="s">
        <v>66</v>
      </c>
      <c r="T259" s="154" t="s">
        <v>66</v>
      </c>
      <c r="U259" s="154" t="s">
        <v>66</v>
      </c>
      <c r="V259" s="154" t="s">
        <v>66</v>
      </c>
      <c r="W259" s="154" t="s">
        <v>66</v>
      </c>
      <c r="X259" s="154" t="s">
        <v>66</v>
      </c>
      <c r="Y259" s="154"/>
      <c r="Z259" s="242" t="b">
        <f t="shared" si="2"/>
        <v>1</v>
      </c>
      <c r="AA259" s="154" t="s">
        <v>391</v>
      </c>
      <c r="AB259" s="242" t="b">
        <f t="shared" si="3"/>
        <v>0</v>
      </c>
      <c r="AC259" s="154"/>
      <c r="AD259" s="242" t="b">
        <f t="shared" si="4"/>
        <v>0</v>
      </c>
      <c r="AE259" s="154" t="s">
        <v>1610</v>
      </c>
      <c r="AF259" s="243" t="str">
        <f>IF(AE259="","N/A",INDIRECT("MTR!"&amp;ADDRESS(MATCH(LEFT(AE259,9),MTR!C:C,0),COLUMN(J259)),TRUE) &amp; "")</f>
        <v>Partially Complies</v>
      </c>
      <c r="AG259" s="157" t="str">
        <f t="shared" si="5"/>
        <v/>
      </c>
      <c r="AH259" s="152"/>
      <c r="AI259" s="152"/>
      <c r="AJ259" s="152"/>
      <c r="AK259" s="152"/>
      <c r="AL259" s="152"/>
      <c r="AM259" s="152"/>
      <c r="AN259" s="152"/>
      <c r="AO259" s="152"/>
      <c r="AP259" s="152"/>
      <c r="AQ259" s="152"/>
      <c r="AR259" s="152"/>
    </row>
    <row r="260" ht="12.75" customHeight="1">
      <c r="A260" s="244" t="s">
        <v>5158</v>
      </c>
      <c r="B260" s="244" t="s">
        <v>12721</v>
      </c>
      <c r="C260" s="244" t="s">
        <v>13398</v>
      </c>
      <c r="D260" s="154" t="s">
        <v>503</v>
      </c>
      <c r="E260" s="154"/>
      <c r="F260" s="154" t="str">
        <f t="array" ref="F260">XLOOKUP(Cover!$D$12,$P$1:$X$1,$P260:$X260)</f>
        <v>Information</v>
      </c>
      <c r="G260" s="154" t="s">
        <v>13399</v>
      </c>
      <c r="H260" s="154" t="s">
        <v>13400</v>
      </c>
      <c r="I260" s="154" t="s">
        <v>13401</v>
      </c>
      <c r="J260" s="154" t="s">
        <v>7431</v>
      </c>
      <c r="K260" s="154"/>
      <c r="L260" s="154" t="s">
        <v>759</v>
      </c>
      <c r="M260" s="247" t="s">
        <v>516</v>
      </c>
      <c r="N260" s="247" t="s">
        <v>12731</v>
      </c>
      <c r="O260" s="240" t="str">
        <f t="shared" si="1"/>
        <v/>
      </c>
      <c r="P260" s="154" t="s">
        <v>66</v>
      </c>
      <c r="Q260" s="154" t="s">
        <v>66</v>
      </c>
      <c r="R260" s="154" t="s">
        <v>66</v>
      </c>
      <c r="S260" s="154" t="s">
        <v>66</v>
      </c>
      <c r="T260" s="154" t="s">
        <v>66</v>
      </c>
      <c r="U260" s="154" t="s">
        <v>66</v>
      </c>
      <c r="V260" s="154" t="s">
        <v>66</v>
      </c>
      <c r="W260" s="154" t="s">
        <v>66</v>
      </c>
      <c r="X260" s="154" t="s">
        <v>66</v>
      </c>
      <c r="Y260" s="154"/>
      <c r="Z260" s="242" t="b">
        <f t="shared" si="2"/>
        <v>1</v>
      </c>
      <c r="AA260" s="154" t="s">
        <v>391</v>
      </c>
      <c r="AB260" s="242" t="b">
        <f t="shared" si="3"/>
        <v>0</v>
      </c>
      <c r="AC260" s="154"/>
      <c r="AD260" s="242" t="b">
        <f t="shared" si="4"/>
        <v>0</v>
      </c>
      <c r="AE260" s="154" t="s">
        <v>1610</v>
      </c>
      <c r="AF260" s="243" t="str">
        <f>IF(AE260="","N/A",INDIRECT("MTR!"&amp;ADDRESS(MATCH(LEFT(AE260,9),MTR!C:C,0),COLUMN(J260)),TRUE) &amp; "")</f>
        <v>Partially Complies</v>
      </c>
      <c r="AG260" s="157" t="str">
        <f t="shared" si="5"/>
        <v/>
      </c>
      <c r="AH260" s="152"/>
      <c r="AI260" s="152"/>
      <c r="AJ260" s="152"/>
      <c r="AK260" s="152"/>
      <c r="AL260" s="152"/>
      <c r="AM260" s="152"/>
      <c r="AN260" s="152"/>
      <c r="AO260" s="152"/>
      <c r="AP260" s="152"/>
      <c r="AQ260" s="152"/>
      <c r="AR260" s="152"/>
    </row>
    <row r="261" ht="12.75" customHeight="1">
      <c r="A261" s="244" t="s">
        <v>5158</v>
      </c>
      <c r="B261" s="244" t="s">
        <v>12721</v>
      </c>
      <c r="C261" s="244" t="s">
        <v>13402</v>
      </c>
      <c r="D261" s="154" t="s">
        <v>503</v>
      </c>
      <c r="E261" s="154"/>
      <c r="F261" s="154" t="str">
        <f t="array" ref="F261">XLOOKUP(Cover!$D$12,$P$1:$X$1,$P261:$X261)</f>
        <v>Information</v>
      </c>
      <c r="G261" s="154" t="s">
        <v>13403</v>
      </c>
      <c r="H261" s="154" t="s">
        <v>13404</v>
      </c>
      <c r="I261" s="154" t="s">
        <v>13401</v>
      </c>
      <c r="J261" s="154" t="s">
        <v>7431</v>
      </c>
      <c r="K261" s="154"/>
      <c r="L261" s="154" t="s">
        <v>759</v>
      </c>
      <c r="M261" s="247" t="s">
        <v>516</v>
      </c>
      <c r="N261" s="247" t="s">
        <v>12731</v>
      </c>
      <c r="O261" s="240" t="str">
        <f t="shared" si="1"/>
        <v/>
      </c>
      <c r="P261" s="154" t="s">
        <v>66</v>
      </c>
      <c r="Q261" s="154" t="s">
        <v>66</v>
      </c>
      <c r="R261" s="154" t="s">
        <v>66</v>
      </c>
      <c r="S261" s="154" t="s">
        <v>66</v>
      </c>
      <c r="T261" s="154" t="s">
        <v>66</v>
      </c>
      <c r="U261" s="154" t="s">
        <v>66</v>
      </c>
      <c r="V261" s="154" t="s">
        <v>66</v>
      </c>
      <c r="W261" s="154" t="s">
        <v>66</v>
      </c>
      <c r="X261" s="154" t="s">
        <v>66</v>
      </c>
      <c r="Y261" s="154"/>
      <c r="Z261" s="242" t="b">
        <f t="shared" si="2"/>
        <v>1</v>
      </c>
      <c r="AA261" s="154" t="s">
        <v>391</v>
      </c>
      <c r="AB261" s="242" t="b">
        <f t="shared" si="3"/>
        <v>0</v>
      </c>
      <c r="AC261" s="154"/>
      <c r="AD261" s="242" t="b">
        <f t="shared" si="4"/>
        <v>0</v>
      </c>
      <c r="AE261" s="154" t="s">
        <v>1610</v>
      </c>
      <c r="AF261" s="243" t="str">
        <f>IF(AE261="","N/A",INDIRECT("MTR!"&amp;ADDRESS(MATCH(LEFT(AE261,9),MTR!C:C,0),COLUMN(J261)),TRUE) &amp; "")</f>
        <v>Partially Complies</v>
      </c>
      <c r="AG261" s="157" t="str">
        <f t="shared" si="5"/>
        <v/>
      </c>
      <c r="AH261" s="152"/>
      <c r="AI261" s="152"/>
      <c r="AJ261" s="152"/>
      <c r="AK261" s="152"/>
      <c r="AL261" s="152"/>
      <c r="AM261" s="152"/>
      <c r="AN261" s="152"/>
      <c r="AO261" s="152"/>
      <c r="AP261" s="152"/>
      <c r="AQ261" s="152"/>
      <c r="AR261" s="152"/>
    </row>
    <row r="262" ht="12.75" customHeight="1">
      <c r="A262" s="244" t="s">
        <v>5158</v>
      </c>
      <c r="B262" s="244" t="s">
        <v>12721</v>
      </c>
      <c r="C262" s="244" t="s">
        <v>13405</v>
      </c>
      <c r="D262" s="154" t="s">
        <v>1315</v>
      </c>
      <c r="E262" s="154"/>
      <c r="F262" s="154" t="str">
        <f t="array" ref="F262">XLOOKUP(Cover!$D$12,$P$1:$X$1,$P262:$X262)</f>
        <v>Information</v>
      </c>
      <c r="G262" s="154" t="s">
        <v>13406</v>
      </c>
      <c r="H262" s="154" t="s">
        <v>13407</v>
      </c>
      <c r="I262" s="154" t="s">
        <v>13408</v>
      </c>
      <c r="J262" s="154" t="s">
        <v>6884</v>
      </c>
      <c r="K262" s="154"/>
      <c r="L262" s="154" t="s">
        <v>759</v>
      </c>
      <c r="M262" s="247" t="s">
        <v>506</v>
      </c>
      <c r="N262" s="247" t="s">
        <v>12738</v>
      </c>
      <c r="O262" s="240" t="str">
        <f t="shared" si="1"/>
        <v/>
      </c>
      <c r="P262" s="154" t="s">
        <v>66</v>
      </c>
      <c r="Q262" s="154" t="s">
        <v>66</v>
      </c>
      <c r="R262" s="154" t="s">
        <v>66</v>
      </c>
      <c r="S262" s="154" t="s">
        <v>66</v>
      </c>
      <c r="T262" s="154" t="s">
        <v>66</v>
      </c>
      <c r="U262" s="154" t="s">
        <v>66</v>
      </c>
      <c r="V262" s="154" t="s">
        <v>66</v>
      </c>
      <c r="W262" s="154" t="s">
        <v>66</v>
      </c>
      <c r="X262" s="154" t="s">
        <v>66</v>
      </c>
      <c r="Y262" s="154"/>
      <c r="Z262" s="242" t="b">
        <f t="shared" si="2"/>
        <v>1</v>
      </c>
      <c r="AA262" s="154" t="s">
        <v>391</v>
      </c>
      <c r="AB262" s="242" t="b">
        <f t="shared" si="3"/>
        <v>0</v>
      </c>
      <c r="AC262" s="154"/>
      <c r="AD262" s="242" t="b">
        <f t="shared" si="4"/>
        <v>0</v>
      </c>
      <c r="AE262" s="154" t="s">
        <v>1610</v>
      </c>
      <c r="AF262" s="243" t="str">
        <f>IF(AE262="","N/A",INDIRECT("MTR!"&amp;ADDRESS(MATCH(LEFT(AE262,9),MTR!C:C,0),COLUMN(J262)),TRUE) &amp; "")</f>
        <v>Partially Complies</v>
      </c>
      <c r="AG262" s="157" t="str">
        <f t="shared" si="5"/>
        <v/>
      </c>
      <c r="AH262" s="152"/>
      <c r="AI262" s="152"/>
      <c r="AJ262" s="152"/>
      <c r="AK262" s="152"/>
      <c r="AL262" s="152"/>
      <c r="AM262" s="152"/>
      <c r="AN262" s="152"/>
      <c r="AO262" s="152"/>
      <c r="AP262" s="152"/>
      <c r="AQ262" s="152"/>
      <c r="AR262" s="152"/>
    </row>
    <row r="263" ht="12.75" customHeight="1">
      <c r="A263" s="244" t="s">
        <v>5158</v>
      </c>
      <c r="B263" s="244" t="s">
        <v>12721</v>
      </c>
      <c r="C263" s="255" t="s">
        <v>13409</v>
      </c>
      <c r="D263" s="256" t="s">
        <v>42</v>
      </c>
      <c r="E263" s="256" t="s">
        <v>489</v>
      </c>
      <c r="F263" s="154" t="str">
        <f t="array" ref="F263">XLOOKUP(Cover!$D$12,$P$1:$X$1,$P263:$X263)</f>
        <v>Information</v>
      </c>
      <c r="G263" s="154" t="s">
        <v>13410</v>
      </c>
      <c r="H263" s="154" t="s">
        <v>13411</v>
      </c>
      <c r="I263" s="154" t="s">
        <v>13408</v>
      </c>
      <c r="J263" s="154" t="s">
        <v>5931</v>
      </c>
      <c r="K263" s="154"/>
      <c r="L263" s="154" t="s">
        <v>759</v>
      </c>
      <c r="M263" s="247" t="s">
        <v>516</v>
      </c>
      <c r="N263" s="247" t="s">
        <v>12741</v>
      </c>
      <c r="O263" s="240" t="str">
        <f t="shared" si="1"/>
        <v/>
      </c>
      <c r="P263" s="154" t="s">
        <v>66</v>
      </c>
      <c r="Q263" s="154" t="s">
        <v>66</v>
      </c>
      <c r="R263" s="154" t="s">
        <v>66</v>
      </c>
      <c r="S263" s="154" t="s">
        <v>66</v>
      </c>
      <c r="T263" s="154" t="s">
        <v>66</v>
      </c>
      <c r="U263" s="154" t="s">
        <v>66</v>
      </c>
      <c r="V263" s="154" t="s">
        <v>66</v>
      </c>
      <c r="W263" s="154" t="s">
        <v>66</v>
      </c>
      <c r="X263" s="154" t="s">
        <v>66</v>
      </c>
      <c r="Y263" s="154"/>
      <c r="Z263" s="242" t="b">
        <f t="shared" si="2"/>
        <v>1</v>
      </c>
      <c r="AA263" s="154" t="s">
        <v>391</v>
      </c>
      <c r="AB263" s="242" t="b">
        <f t="shared" si="3"/>
        <v>0</v>
      </c>
      <c r="AC263" s="154"/>
      <c r="AD263" s="242" t="b">
        <f t="shared" si="4"/>
        <v>0</v>
      </c>
      <c r="AE263" s="154" t="s">
        <v>1610</v>
      </c>
      <c r="AF263" s="243" t="str">
        <f>IF(AE263="","N/A",INDIRECT("MTR!"&amp;ADDRESS(MATCH(LEFT(AE263,9),MTR!C:C,0),COLUMN(J263)),TRUE) &amp; "")</f>
        <v>Partially Complies</v>
      </c>
      <c r="AG263" s="157" t="str">
        <f t="shared" si="5"/>
        <v/>
      </c>
      <c r="AH263" s="152"/>
      <c r="AI263" s="152"/>
      <c r="AJ263" s="152"/>
      <c r="AK263" s="152"/>
      <c r="AL263" s="152"/>
      <c r="AM263" s="152"/>
      <c r="AN263" s="152"/>
      <c r="AO263" s="152"/>
      <c r="AP263" s="152"/>
      <c r="AQ263" s="152"/>
      <c r="AR263" s="152"/>
    </row>
    <row r="264" ht="12.75" customHeight="1">
      <c r="A264" s="244" t="s">
        <v>5158</v>
      </c>
      <c r="B264" s="244" t="s">
        <v>12721</v>
      </c>
      <c r="C264" s="255" t="s">
        <v>13412</v>
      </c>
      <c r="D264" s="256" t="s">
        <v>42</v>
      </c>
      <c r="E264" s="256" t="s">
        <v>489</v>
      </c>
      <c r="F264" s="154" t="str">
        <f t="array" ref="F264">XLOOKUP(Cover!$D$12,$P$1:$X$1,$P264:$X264)</f>
        <v>Information</v>
      </c>
      <c r="G264" s="154" t="s">
        <v>13413</v>
      </c>
      <c r="H264" s="154" t="s">
        <v>13407</v>
      </c>
      <c r="I264" s="154" t="s">
        <v>13408</v>
      </c>
      <c r="J264" s="154" t="s">
        <v>5931</v>
      </c>
      <c r="K264" s="154"/>
      <c r="L264" s="154" t="s">
        <v>759</v>
      </c>
      <c r="M264" s="247" t="s">
        <v>516</v>
      </c>
      <c r="N264" s="247" t="s">
        <v>12792</v>
      </c>
      <c r="O264" s="240" t="str">
        <f t="shared" si="1"/>
        <v/>
      </c>
      <c r="P264" s="154" t="s">
        <v>66</v>
      </c>
      <c r="Q264" s="154" t="s">
        <v>66</v>
      </c>
      <c r="R264" s="154" t="s">
        <v>66</v>
      </c>
      <c r="S264" s="154" t="s">
        <v>66</v>
      </c>
      <c r="T264" s="154" t="s">
        <v>66</v>
      </c>
      <c r="U264" s="154" t="s">
        <v>66</v>
      </c>
      <c r="V264" s="154" t="s">
        <v>66</v>
      </c>
      <c r="W264" s="154" t="s">
        <v>66</v>
      </c>
      <c r="X264" s="154" t="s">
        <v>66</v>
      </c>
      <c r="Y264" s="154"/>
      <c r="Z264" s="242" t="b">
        <f t="shared" si="2"/>
        <v>1</v>
      </c>
      <c r="AA264" s="154" t="s">
        <v>391</v>
      </c>
      <c r="AB264" s="242" t="b">
        <f t="shared" si="3"/>
        <v>0</v>
      </c>
      <c r="AC264" s="154"/>
      <c r="AD264" s="242" t="b">
        <f t="shared" si="4"/>
        <v>0</v>
      </c>
      <c r="AE264" s="154" t="s">
        <v>1610</v>
      </c>
      <c r="AF264" s="243" t="str">
        <f>IF(AE264="","N/A",INDIRECT("MTR!"&amp;ADDRESS(MATCH(LEFT(AE264,9),MTR!C:C,0),COLUMN(J264)),TRUE) &amp; "")</f>
        <v>Partially Complies</v>
      </c>
      <c r="AG264" s="157" t="str">
        <f t="shared" si="5"/>
        <v/>
      </c>
      <c r="AH264" s="152"/>
      <c r="AI264" s="152"/>
      <c r="AJ264" s="152"/>
      <c r="AK264" s="152"/>
      <c r="AL264" s="152"/>
      <c r="AM264" s="152"/>
      <c r="AN264" s="152"/>
      <c r="AO264" s="152"/>
      <c r="AP264" s="152"/>
      <c r="AQ264" s="152"/>
      <c r="AR264" s="152"/>
    </row>
    <row r="265" ht="12.75" customHeight="1">
      <c r="A265" s="244" t="s">
        <v>5158</v>
      </c>
      <c r="B265" s="244" t="s">
        <v>12721</v>
      </c>
      <c r="C265" s="255" t="s">
        <v>13414</v>
      </c>
      <c r="D265" s="256" t="s">
        <v>42</v>
      </c>
      <c r="E265" s="256" t="s">
        <v>489</v>
      </c>
      <c r="F265" s="154" t="str">
        <f t="array" ref="F265">XLOOKUP(Cover!$D$12,$P$1:$X$1,$P265:$X265)</f>
        <v>Information</v>
      </c>
      <c r="G265" s="154" t="s">
        <v>13415</v>
      </c>
      <c r="H265" s="154" t="s">
        <v>13411</v>
      </c>
      <c r="I265" s="154" t="s">
        <v>13408</v>
      </c>
      <c r="J265" s="154" t="s">
        <v>5931</v>
      </c>
      <c r="K265" s="154"/>
      <c r="L265" s="154" t="s">
        <v>759</v>
      </c>
      <c r="M265" s="247" t="s">
        <v>516</v>
      </c>
      <c r="N265" s="247" t="s">
        <v>12795</v>
      </c>
      <c r="O265" s="240" t="str">
        <f t="shared" si="1"/>
        <v/>
      </c>
      <c r="P265" s="154" t="s">
        <v>66</v>
      </c>
      <c r="Q265" s="154" t="s">
        <v>66</v>
      </c>
      <c r="R265" s="154" t="s">
        <v>66</v>
      </c>
      <c r="S265" s="154" t="s">
        <v>66</v>
      </c>
      <c r="T265" s="154" t="s">
        <v>66</v>
      </c>
      <c r="U265" s="154" t="s">
        <v>66</v>
      </c>
      <c r="V265" s="154" t="s">
        <v>66</v>
      </c>
      <c r="W265" s="154" t="s">
        <v>66</v>
      </c>
      <c r="X265" s="154" t="s">
        <v>66</v>
      </c>
      <c r="Y265" s="154"/>
      <c r="Z265" s="242" t="b">
        <f t="shared" si="2"/>
        <v>1</v>
      </c>
      <c r="AA265" s="154" t="s">
        <v>391</v>
      </c>
      <c r="AB265" s="242" t="b">
        <f t="shared" si="3"/>
        <v>0</v>
      </c>
      <c r="AC265" s="154"/>
      <c r="AD265" s="242" t="b">
        <f t="shared" si="4"/>
        <v>0</v>
      </c>
      <c r="AE265" s="154" t="s">
        <v>1610</v>
      </c>
      <c r="AF265" s="243" t="str">
        <f>IF(AE265="","N/A",INDIRECT("MTR!"&amp;ADDRESS(MATCH(LEFT(AE265,9),MTR!C:C,0),COLUMN(J265)),TRUE) &amp; "")</f>
        <v>Partially Complies</v>
      </c>
      <c r="AG265" s="157" t="str">
        <f t="shared" si="5"/>
        <v/>
      </c>
      <c r="AH265" s="152"/>
      <c r="AI265" s="152"/>
      <c r="AJ265" s="152"/>
      <c r="AK265" s="152"/>
      <c r="AL265" s="152"/>
      <c r="AM265" s="152"/>
      <c r="AN265" s="152"/>
      <c r="AO265" s="152"/>
      <c r="AP265" s="152"/>
      <c r="AQ265" s="152"/>
      <c r="AR265" s="152"/>
    </row>
    <row r="266" ht="12.75" customHeight="1">
      <c r="A266" s="244" t="s">
        <v>5158</v>
      </c>
      <c r="B266" s="244" t="s">
        <v>12721</v>
      </c>
      <c r="C266" s="244" t="s">
        <v>13416</v>
      </c>
      <c r="D266" s="154" t="s">
        <v>1315</v>
      </c>
      <c r="E266" s="154"/>
      <c r="F266" s="154" t="str">
        <f t="array" ref="F266">XLOOKUP(Cover!$D$12,$P$1:$X$1,$P266:$X266)</f>
        <v>Mandatory</v>
      </c>
      <c r="G266" s="154" t="s">
        <v>13417</v>
      </c>
      <c r="H266" s="154" t="s">
        <v>13418</v>
      </c>
      <c r="I266" s="154" t="s">
        <v>13419</v>
      </c>
      <c r="J266" s="154" t="s">
        <v>6140</v>
      </c>
      <c r="K266" s="154" t="s">
        <v>1018</v>
      </c>
      <c r="L266" s="154" t="s">
        <v>759</v>
      </c>
      <c r="M266" s="247" t="s">
        <v>506</v>
      </c>
      <c r="N266" s="247" t="s">
        <v>12738</v>
      </c>
      <c r="O266" s="240" t="str">
        <f t="shared" si="1"/>
        <v/>
      </c>
      <c r="P266" s="154" t="s">
        <v>66</v>
      </c>
      <c r="Q266" s="154" t="s">
        <v>66</v>
      </c>
      <c r="R266" s="154" t="s">
        <v>60</v>
      </c>
      <c r="S266" s="154" t="s">
        <v>60</v>
      </c>
      <c r="T266" s="154" t="s">
        <v>60</v>
      </c>
      <c r="U266" s="154" t="s">
        <v>60</v>
      </c>
      <c r="V266" s="154" t="s">
        <v>66</v>
      </c>
      <c r="W266" s="154" t="s">
        <v>60</v>
      </c>
      <c r="X266" s="154" t="s">
        <v>60</v>
      </c>
      <c r="Y266" s="154"/>
      <c r="Z266" s="242" t="b">
        <f t="shared" si="2"/>
        <v>1</v>
      </c>
      <c r="AA266" s="154" t="s">
        <v>391</v>
      </c>
      <c r="AB266" s="242" t="b">
        <f t="shared" si="3"/>
        <v>0</v>
      </c>
      <c r="AC266" s="154"/>
      <c r="AD266" s="242" t="b">
        <f t="shared" si="4"/>
        <v>0</v>
      </c>
      <c r="AE266" s="154" t="s">
        <v>1610</v>
      </c>
      <c r="AF266" s="243" t="str">
        <f>IF(AE266="","N/A",INDIRECT("MTR!"&amp;ADDRESS(MATCH(LEFT(AE266,9),MTR!C:C,0),COLUMN(J266)),TRUE) &amp; "")</f>
        <v>Partially Complies</v>
      </c>
      <c r="AG266" s="157" t="str">
        <f t="shared" si="5"/>
        <v/>
      </c>
      <c r="AH266" s="152"/>
      <c r="AI266" s="152"/>
      <c r="AJ266" s="152"/>
      <c r="AK266" s="152"/>
      <c r="AL266" s="152"/>
      <c r="AM266" s="152"/>
      <c r="AN266" s="152"/>
      <c r="AO266" s="152"/>
      <c r="AP266" s="152"/>
      <c r="AQ266" s="152"/>
      <c r="AR266" s="152"/>
    </row>
    <row r="267" ht="12.75" customHeight="1">
      <c r="A267" s="244" t="s">
        <v>5158</v>
      </c>
      <c r="B267" s="244" t="s">
        <v>12721</v>
      </c>
      <c r="C267" s="244" t="s">
        <v>13420</v>
      </c>
      <c r="D267" s="154" t="s">
        <v>1315</v>
      </c>
      <c r="E267" s="154"/>
      <c r="F267" s="154" t="str">
        <f t="array" ref="F267">XLOOKUP(Cover!$D$12,$P$1:$X$1,$P267:$X267)</f>
        <v>Mandatory</v>
      </c>
      <c r="G267" s="154" t="s">
        <v>13421</v>
      </c>
      <c r="H267" s="154" t="s">
        <v>13422</v>
      </c>
      <c r="I267" s="154" t="s">
        <v>13419</v>
      </c>
      <c r="J267" s="154" t="s">
        <v>6140</v>
      </c>
      <c r="K267" s="154" t="s">
        <v>1018</v>
      </c>
      <c r="L267" s="154" t="s">
        <v>759</v>
      </c>
      <c r="M267" s="247" t="s">
        <v>516</v>
      </c>
      <c r="N267" s="247" t="s">
        <v>12741</v>
      </c>
      <c r="O267" s="240" t="str">
        <f t="shared" si="1"/>
        <v/>
      </c>
      <c r="P267" s="154" t="s">
        <v>66</v>
      </c>
      <c r="Q267" s="154" t="s">
        <v>66</v>
      </c>
      <c r="R267" s="155" t="s">
        <v>64</v>
      </c>
      <c r="S267" s="155" t="s">
        <v>64</v>
      </c>
      <c r="T267" s="154" t="s">
        <v>60</v>
      </c>
      <c r="U267" s="154" t="s">
        <v>60</v>
      </c>
      <c r="V267" s="154" t="s">
        <v>66</v>
      </c>
      <c r="W267" s="155" t="s">
        <v>64</v>
      </c>
      <c r="X267" s="154" t="s">
        <v>60</v>
      </c>
      <c r="Y267" s="154"/>
      <c r="Z267" s="242" t="b">
        <f t="shared" si="2"/>
        <v>1</v>
      </c>
      <c r="AA267" s="154" t="s">
        <v>391</v>
      </c>
      <c r="AB267" s="242" t="b">
        <f t="shared" si="3"/>
        <v>0</v>
      </c>
      <c r="AC267" s="154"/>
      <c r="AD267" s="242" t="b">
        <f t="shared" si="4"/>
        <v>0</v>
      </c>
      <c r="AE267" s="154" t="s">
        <v>1610</v>
      </c>
      <c r="AF267" s="243" t="str">
        <f>IF(AE267="","N/A",INDIRECT("MTR!"&amp;ADDRESS(MATCH(LEFT(AE267,9),MTR!C:C,0),COLUMN(J267)),TRUE) &amp; "")</f>
        <v>Partially Complies</v>
      </c>
      <c r="AG267" s="157" t="str">
        <f t="shared" si="5"/>
        <v/>
      </c>
      <c r="AH267" s="152"/>
      <c r="AI267" s="152"/>
      <c r="AJ267" s="152"/>
      <c r="AK267" s="152"/>
      <c r="AL267" s="152"/>
      <c r="AM267" s="152"/>
      <c r="AN267" s="152"/>
      <c r="AO267" s="152"/>
      <c r="AP267" s="152"/>
      <c r="AQ267" s="152"/>
      <c r="AR267" s="152"/>
    </row>
    <row r="268" ht="12.75" customHeight="1">
      <c r="A268" s="244" t="s">
        <v>5158</v>
      </c>
      <c r="B268" s="244" t="s">
        <v>12721</v>
      </c>
      <c r="C268" s="244" t="s">
        <v>13423</v>
      </c>
      <c r="D268" s="154" t="s">
        <v>1315</v>
      </c>
      <c r="E268" s="154"/>
      <c r="F268" s="154" t="str">
        <f t="array" ref="F268">XLOOKUP(Cover!$D$12,$P$1:$X$1,$P268:$X268)</f>
        <v>Mandatory</v>
      </c>
      <c r="G268" s="154" t="s">
        <v>13424</v>
      </c>
      <c r="H268" s="154" t="s">
        <v>13418</v>
      </c>
      <c r="I268" s="154" t="s">
        <v>13419</v>
      </c>
      <c r="J268" s="154" t="s">
        <v>6905</v>
      </c>
      <c r="K268" s="154" t="s">
        <v>1018</v>
      </c>
      <c r="L268" s="154" t="s">
        <v>759</v>
      </c>
      <c r="M268" s="247" t="s">
        <v>506</v>
      </c>
      <c r="N268" s="247" t="s">
        <v>12738</v>
      </c>
      <c r="O268" s="240" t="str">
        <f t="shared" si="1"/>
        <v/>
      </c>
      <c r="P268" s="154" t="s">
        <v>66</v>
      </c>
      <c r="Q268" s="154" t="s">
        <v>66</v>
      </c>
      <c r="R268" s="154" t="s">
        <v>60</v>
      </c>
      <c r="S268" s="154" t="s">
        <v>60</v>
      </c>
      <c r="T268" s="154" t="s">
        <v>60</v>
      </c>
      <c r="U268" s="154" t="s">
        <v>60</v>
      </c>
      <c r="V268" s="154" t="s">
        <v>66</v>
      </c>
      <c r="W268" s="154" t="s">
        <v>60</v>
      </c>
      <c r="X268" s="154" t="s">
        <v>60</v>
      </c>
      <c r="Y268" s="154"/>
      <c r="Z268" s="242" t="b">
        <f t="shared" si="2"/>
        <v>1</v>
      </c>
      <c r="AA268" s="154" t="s">
        <v>391</v>
      </c>
      <c r="AB268" s="242" t="b">
        <f t="shared" si="3"/>
        <v>0</v>
      </c>
      <c r="AC268" s="154"/>
      <c r="AD268" s="242" t="b">
        <f t="shared" si="4"/>
        <v>0</v>
      </c>
      <c r="AE268" s="154" t="s">
        <v>1610</v>
      </c>
      <c r="AF268" s="243" t="str">
        <f>IF(AE268="","N/A",INDIRECT("MTR!"&amp;ADDRESS(MATCH(LEFT(AE268,9),MTR!C:C,0),COLUMN(J268)),TRUE) &amp; "")</f>
        <v>Partially Complies</v>
      </c>
      <c r="AG268" s="157" t="str">
        <f t="shared" si="5"/>
        <v/>
      </c>
      <c r="AH268" s="152"/>
      <c r="AI268" s="152"/>
      <c r="AJ268" s="152"/>
      <c r="AK268" s="152"/>
      <c r="AL268" s="152"/>
      <c r="AM268" s="152"/>
      <c r="AN268" s="152"/>
      <c r="AO268" s="152"/>
      <c r="AP268" s="152"/>
      <c r="AQ268" s="152"/>
      <c r="AR268" s="152"/>
    </row>
    <row r="269" ht="12.75" customHeight="1">
      <c r="A269" s="244" t="s">
        <v>5158</v>
      </c>
      <c r="B269" s="244" t="s">
        <v>12721</v>
      </c>
      <c r="C269" s="244" t="s">
        <v>13425</v>
      </c>
      <c r="D269" s="154" t="s">
        <v>1315</v>
      </c>
      <c r="E269" s="154"/>
      <c r="F269" s="154" t="str">
        <f t="array" ref="F269">XLOOKUP(Cover!$D$12,$P$1:$X$1,$P269:$X269)</f>
        <v>Mandatory</v>
      </c>
      <c r="G269" s="154" t="s">
        <v>13426</v>
      </c>
      <c r="H269" s="154" t="s">
        <v>13422</v>
      </c>
      <c r="I269" s="154" t="s">
        <v>13419</v>
      </c>
      <c r="J269" s="154" t="s">
        <v>6905</v>
      </c>
      <c r="K269" s="154" t="s">
        <v>1018</v>
      </c>
      <c r="L269" s="154" t="s">
        <v>759</v>
      </c>
      <c r="M269" s="247" t="s">
        <v>516</v>
      </c>
      <c r="N269" s="247" t="s">
        <v>12741</v>
      </c>
      <c r="O269" s="240" t="str">
        <f t="shared" si="1"/>
        <v/>
      </c>
      <c r="P269" s="154" t="s">
        <v>66</v>
      </c>
      <c r="Q269" s="154" t="s">
        <v>66</v>
      </c>
      <c r="R269" s="155" t="s">
        <v>64</v>
      </c>
      <c r="S269" s="155" t="s">
        <v>64</v>
      </c>
      <c r="T269" s="154" t="s">
        <v>60</v>
      </c>
      <c r="U269" s="154" t="s">
        <v>60</v>
      </c>
      <c r="V269" s="154" t="s">
        <v>66</v>
      </c>
      <c r="W269" s="155" t="s">
        <v>64</v>
      </c>
      <c r="X269" s="154" t="s">
        <v>60</v>
      </c>
      <c r="Y269" s="154"/>
      <c r="Z269" s="242" t="b">
        <f t="shared" si="2"/>
        <v>1</v>
      </c>
      <c r="AA269" s="154" t="s">
        <v>391</v>
      </c>
      <c r="AB269" s="242" t="b">
        <f t="shared" si="3"/>
        <v>0</v>
      </c>
      <c r="AC269" s="154"/>
      <c r="AD269" s="242" t="b">
        <f t="shared" si="4"/>
        <v>0</v>
      </c>
      <c r="AE269" s="154" t="s">
        <v>1610</v>
      </c>
      <c r="AF269" s="243" t="str">
        <f>IF(AE269="","N/A",INDIRECT("MTR!"&amp;ADDRESS(MATCH(LEFT(AE269,9),MTR!C:C,0),COLUMN(J269)),TRUE) &amp; "")</f>
        <v>Partially Complies</v>
      </c>
      <c r="AG269" s="157" t="str">
        <f t="shared" si="5"/>
        <v/>
      </c>
      <c r="AH269" s="152"/>
      <c r="AI269" s="152"/>
      <c r="AJ269" s="152"/>
      <c r="AK269" s="152"/>
      <c r="AL269" s="152"/>
      <c r="AM269" s="152"/>
      <c r="AN269" s="152"/>
      <c r="AO269" s="152"/>
      <c r="AP269" s="152"/>
      <c r="AQ269" s="152"/>
      <c r="AR269" s="152"/>
    </row>
    <row r="270" ht="12.75" customHeight="1">
      <c r="A270" s="244" t="s">
        <v>5158</v>
      </c>
      <c r="B270" s="244" t="s">
        <v>12721</v>
      </c>
      <c r="C270" s="244" t="s">
        <v>13427</v>
      </c>
      <c r="D270" s="154" t="s">
        <v>1315</v>
      </c>
      <c r="E270" s="154"/>
      <c r="F270" s="154" t="str">
        <f t="array" ref="F270">XLOOKUP(Cover!$D$12,$P$1:$X$1,$P270:$X270)</f>
        <v>Mandatory</v>
      </c>
      <c r="G270" s="154" t="s">
        <v>13428</v>
      </c>
      <c r="H270" s="154" t="s">
        <v>13418</v>
      </c>
      <c r="I270" s="154" t="s">
        <v>13419</v>
      </c>
      <c r="J270" s="154" t="s">
        <v>6905</v>
      </c>
      <c r="K270" s="154" t="s">
        <v>1018</v>
      </c>
      <c r="L270" s="154" t="s">
        <v>759</v>
      </c>
      <c r="M270" s="247" t="s">
        <v>506</v>
      </c>
      <c r="N270" s="247" t="s">
        <v>12738</v>
      </c>
      <c r="O270" s="240" t="str">
        <f t="shared" si="1"/>
        <v/>
      </c>
      <c r="P270" s="154" t="s">
        <v>66</v>
      </c>
      <c r="Q270" s="154" t="s">
        <v>66</v>
      </c>
      <c r="R270" s="154" t="s">
        <v>60</v>
      </c>
      <c r="S270" s="154" t="s">
        <v>60</v>
      </c>
      <c r="T270" s="154" t="s">
        <v>60</v>
      </c>
      <c r="U270" s="154" t="s">
        <v>60</v>
      </c>
      <c r="V270" s="154" t="s">
        <v>66</v>
      </c>
      <c r="W270" s="154" t="s">
        <v>60</v>
      </c>
      <c r="X270" s="154" t="s">
        <v>60</v>
      </c>
      <c r="Y270" s="154"/>
      <c r="Z270" s="242" t="b">
        <f t="shared" si="2"/>
        <v>1</v>
      </c>
      <c r="AA270" s="154" t="s">
        <v>391</v>
      </c>
      <c r="AB270" s="242" t="b">
        <f t="shared" si="3"/>
        <v>0</v>
      </c>
      <c r="AC270" s="154"/>
      <c r="AD270" s="242" t="b">
        <f t="shared" si="4"/>
        <v>0</v>
      </c>
      <c r="AE270" s="154" t="s">
        <v>1610</v>
      </c>
      <c r="AF270" s="243" t="str">
        <f>IF(AE270="","N/A",INDIRECT("MTR!"&amp;ADDRESS(MATCH(LEFT(AE270,9),MTR!C:C,0),COLUMN(J270)),TRUE) &amp; "")</f>
        <v>Partially Complies</v>
      </c>
      <c r="AG270" s="157" t="str">
        <f t="shared" si="5"/>
        <v/>
      </c>
      <c r="AH270" s="152"/>
      <c r="AI270" s="152"/>
      <c r="AJ270" s="152"/>
      <c r="AK270" s="152"/>
      <c r="AL270" s="152"/>
      <c r="AM270" s="152"/>
      <c r="AN270" s="152"/>
      <c r="AO270" s="152"/>
      <c r="AP270" s="152"/>
      <c r="AQ270" s="152"/>
      <c r="AR270" s="152"/>
    </row>
    <row r="271" ht="12.75" customHeight="1">
      <c r="A271" s="244" t="s">
        <v>5158</v>
      </c>
      <c r="B271" s="244" t="s">
        <v>12721</v>
      </c>
      <c r="C271" s="244" t="s">
        <v>13429</v>
      </c>
      <c r="D271" s="154" t="s">
        <v>1315</v>
      </c>
      <c r="E271" s="154"/>
      <c r="F271" s="154" t="str">
        <f t="array" ref="F271">XLOOKUP(Cover!$D$12,$P$1:$X$1,$P271:$X271)</f>
        <v>Mandatory</v>
      </c>
      <c r="G271" s="154" t="s">
        <v>13430</v>
      </c>
      <c r="H271" s="154" t="s">
        <v>13422</v>
      </c>
      <c r="I271" s="154" t="s">
        <v>13419</v>
      </c>
      <c r="J271" s="154" t="s">
        <v>6905</v>
      </c>
      <c r="K271" s="154" t="s">
        <v>1018</v>
      </c>
      <c r="L271" s="154" t="s">
        <v>759</v>
      </c>
      <c r="M271" s="247" t="s">
        <v>516</v>
      </c>
      <c r="N271" s="247" t="s">
        <v>12741</v>
      </c>
      <c r="O271" s="240" t="str">
        <f t="shared" si="1"/>
        <v/>
      </c>
      <c r="P271" s="154" t="s">
        <v>66</v>
      </c>
      <c r="Q271" s="154" t="s">
        <v>66</v>
      </c>
      <c r="R271" s="155" t="s">
        <v>64</v>
      </c>
      <c r="S271" s="155" t="s">
        <v>64</v>
      </c>
      <c r="T271" s="154" t="s">
        <v>60</v>
      </c>
      <c r="U271" s="154" t="s">
        <v>60</v>
      </c>
      <c r="V271" s="154" t="s">
        <v>66</v>
      </c>
      <c r="W271" s="155" t="s">
        <v>64</v>
      </c>
      <c r="X271" s="154" t="s">
        <v>60</v>
      </c>
      <c r="Y271" s="154"/>
      <c r="Z271" s="242" t="b">
        <f t="shared" si="2"/>
        <v>1</v>
      </c>
      <c r="AA271" s="154" t="s">
        <v>391</v>
      </c>
      <c r="AB271" s="242" t="b">
        <f t="shared" si="3"/>
        <v>0</v>
      </c>
      <c r="AC271" s="154"/>
      <c r="AD271" s="242" t="b">
        <f t="shared" si="4"/>
        <v>0</v>
      </c>
      <c r="AE271" s="154" t="s">
        <v>1610</v>
      </c>
      <c r="AF271" s="243" t="str">
        <f>IF(AE271="","N/A",INDIRECT("MTR!"&amp;ADDRESS(MATCH(LEFT(AE271,9),MTR!C:C,0),COLUMN(J271)),TRUE) &amp; "")</f>
        <v>Partially Complies</v>
      </c>
      <c r="AG271" s="157" t="str">
        <f t="shared" si="5"/>
        <v/>
      </c>
      <c r="AH271" s="152"/>
      <c r="AI271" s="152"/>
      <c r="AJ271" s="152"/>
      <c r="AK271" s="152"/>
      <c r="AL271" s="152"/>
      <c r="AM271" s="152"/>
      <c r="AN271" s="152"/>
      <c r="AO271" s="152"/>
      <c r="AP271" s="152"/>
      <c r="AQ271" s="152"/>
      <c r="AR271" s="152"/>
    </row>
    <row r="272" ht="12.75" customHeight="1">
      <c r="A272" s="244" t="s">
        <v>5158</v>
      </c>
      <c r="B272" s="244" t="s">
        <v>12721</v>
      </c>
      <c r="C272" s="244" t="s">
        <v>13431</v>
      </c>
      <c r="D272" s="154" t="s">
        <v>45</v>
      </c>
      <c r="E272" s="154"/>
      <c r="F272" s="154" t="str">
        <f t="array" ref="F272">XLOOKUP(Cover!$D$12,$P$1:$X$1,$P272:$X272)</f>
        <v>Mandatory</v>
      </c>
      <c r="G272" s="154" t="s">
        <v>13432</v>
      </c>
      <c r="H272" s="154" t="s">
        <v>12908</v>
      </c>
      <c r="I272" s="154" t="s">
        <v>13433</v>
      </c>
      <c r="J272" s="154" t="s">
        <v>10718</v>
      </c>
      <c r="K272" s="154" t="s">
        <v>1018</v>
      </c>
      <c r="L272" s="154" t="s">
        <v>759</v>
      </c>
      <c r="M272" s="247" t="s">
        <v>516</v>
      </c>
      <c r="N272" s="247" t="s">
        <v>12731</v>
      </c>
      <c r="O272" s="240" t="str">
        <f t="shared" si="1"/>
        <v/>
      </c>
      <c r="P272" s="154" t="s">
        <v>66</v>
      </c>
      <c r="Q272" s="154" t="s">
        <v>66</v>
      </c>
      <c r="R272" s="154" t="s">
        <v>60</v>
      </c>
      <c r="S272" s="154" t="s">
        <v>60</v>
      </c>
      <c r="T272" s="154" t="s">
        <v>60</v>
      </c>
      <c r="U272" s="154" t="s">
        <v>60</v>
      </c>
      <c r="V272" s="154" t="s">
        <v>66</v>
      </c>
      <c r="W272" s="154" t="s">
        <v>60</v>
      </c>
      <c r="X272" s="154" t="s">
        <v>60</v>
      </c>
      <c r="Y272" s="154"/>
      <c r="Z272" s="242" t="b">
        <f t="shared" si="2"/>
        <v>1</v>
      </c>
      <c r="AA272" s="154" t="s">
        <v>391</v>
      </c>
      <c r="AB272" s="242" t="b">
        <f t="shared" si="3"/>
        <v>0</v>
      </c>
      <c r="AC272" s="154"/>
      <c r="AD272" s="242" t="b">
        <f t="shared" si="4"/>
        <v>0</v>
      </c>
      <c r="AE272" s="154" t="s">
        <v>1610</v>
      </c>
      <c r="AF272" s="243" t="str">
        <f>IF(AE272="","N/A",INDIRECT("MTR!"&amp;ADDRESS(MATCH(LEFT(AE272,9),MTR!C:C,0),COLUMN(J272)),TRUE) &amp; "")</f>
        <v>Partially Complies</v>
      </c>
      <c r="AG272" s="157" t="str">
        <f t="shared" si="5"/>
        <v/>
      </c>
      <c r="AH272" s="152"/>
      <c r="AI272" s="152"/>
      <c r="AJ272" s="152"/>
      <c r="AK272" s="152"/>
      <c r="AL272" s="152"/>
      <c r="AM272" s="152"/>
      <c r="AN272" s="152"/>
      <c r="AO272" s="152"/>
      <c r="AP272" s="152"/>
      <c r="AQ272" s="152"/>
      <c r="AR272" s="152"/>
    </row>
    <row r="273" ht="12.75" customHeight="1">
      <c r="A273" s="244" t="s">
        <v>5158</v>
      </c>
      <c r="B273" s="244" t="s">
        <v>12721</v>
      </c>
      <c r="C273" s="245" t="s">
        <v>13434</v>
      </c>
      <c r="D273" s="155" t="s">
        <v>1315</v>
      </c>
      <c r="E273" s="155" t="s">
        <v>92</v>
      </c>
      <c r="F273" s="154" t="str">
        <f t="array" ref="F273">XLOOKUP(Cover!$D$12,$P$1:$X$1,$P273:$X273)</f>
        <v>Mandatory</v>
      </c>
      <c r="G273" s="154" t="s">
        <v>13435</v>
      </c>
      <c r="H273" s="154" t="s">
        <v>12908</v>
      </c>
      <c r="I273" s="154" t="s">
        <v>13436</v>
      </c>
      <c r="J273" s="154" t="s">
        <v>6232</v>
      </c>
      <c r="K273" s="154" t="s">
        <v>1018</v>
      </c>
      <c r="L273" s="154" t="s">
        <v>759</v>
      </c>
      <c r="M273" s="247" t="s">
        <v>516</v>
      </c>
      <c r="N273" s="247" t="s">
        <v>12731</v>
      </c>
      <c r="O273" s="240" t="str">
        <f t="shared" si="1"/>
        <v/>
      </c>
      <c r="P273" s="154" t="s">
        <v>66</v>
      </c>
      <c r="Q273" s="154" t="s">
        <v>66</v>
      </c>
      <c r="R273" s="154" t="s">
        <v>60</v>
      </c>
      <c r="S273" s="154" t="s">
        <v>60</v>
      </c>
      <c r="T273" s="154" t="s">
        <v>60</v>
      </c>
      <c r="U273" s="154" t="s">
        <v>60</v>
      </c>
      <c r="V273" s="154" t="s">
        <v>66</v>
      </c>
      <c r="W273" s="154" t="s">
        <v>60</v>
      </c>
      <c r="X273" s="154" t="s">
        <v>60</v>
      </c>
      <c r="Y273" s="154"/>
      <c r="Z273" s="242" t="b">
        <f t="shared" si="2"/>
        <v>1</v>
      </c>
      <c r="AA273" s="154" t="s">
        <v>391</v>
      </c>
      <c r="AB273" s="242" t="b">
        <f t="shared" si="3"/>
        <v>0</v>
      </c>
      <c r="AC273" s="154"/>
      <c r="AD273" s="242" t="b">
        <f t="shared" si="4"/>
        <v>0</v>
      </c>
      <c r="AE273" s="154" t="s">
        <v>1610</v>
      </c>
      <c r="AF273" s="243" t="str">
        <f>IF(AE273="","N/A",INDIRECT("MTR!"&amp;ADDRESS(MATCH(LEFT(AE273,9),MTR!C:C,0),COLUMN(J273)),TRUE) &amp; "")</f>
        <v>Partially Complies</v>
      </c>
      <c r="AG273" s="157" t="str">
        <f t="shared" si="5"/>
        <v/>
      </c>
      <c r="AH273" s="152"/>
      <c r="AI273" s="152"/>
      <c r="AJ273" s="152"/>
      <c r="AK273" s="152"/>
      <c r="AL273" s="152"/>
      <c r="AM273" s="152"/>
      <c r="AN273" s="152"/>
      <c r="AO273" s="152"/>
      <c r="AP273" s="152"/>
      <c r="AQ273" s="152"/>
      <c r="AR273" s="152"/>
    </row>
    <row r="274" ht="12.75" customHeight="1">
      <c r="A274" s="244" t="s">
        <v>5158</v>
      </c>
      <c r="B274" s="244" t="s">
        <v>12721</v>
      </c>
      <c r="C274" s="245" t="s">
        <v>13437</v>
      </c>
      <c r="D274" s="155" t="s">
        <v>1315</v>
      </c>
      <c r="E274" s="155" t="s">
        <v>92</v>
      </c>
      <c r="F274" s="154" t="str">
        <f t="array" ref="F274">XLOOKUP(Cover!$D$12,$P$1:$X$1,$P274:$X274)</f>
        <v>Mandatory</v>
      </c>
      <c r="G274" s="154" t="s">
        <v>13438</v>
      </c>
      <c r="H274" s="154" t="s">
        <v>13439</v>
      </c>
      <c r="I274" s="154" t="s">
        <v>13436</v>
      </c>
      <c r="J274" s="154" t="s">
        <v>6232</v>
      </c>
      <c r="K274" s="154" t="s">
        <v>1018</v>
      </c>
      <c r="L274" s="154" t="s">
        <v>759</v>
      </c>
      <c r="M274" s="247" t="s">
        <v>516</v>
      </c>
      <c r="N274" s="247" t="s">
        <v>12731</v>
      </c>
      <c r="O274" s="240" t="str">
        <f t="shared" si="1"/>
        <v/>
      </c>
      <c r="P274" s="154" t="s">
        <v>66</v>
      </c>
      <c r="Q274" s="154" t="s">
        <v>66</v>
      </c>
      <c r="R274" s="155" t="s">
        <v>64</v>
      </c>
      <c r="S274" s="155" t="s">
        <v>64</v>
      </c>
      <c r="T274" s="154" t="s">
        <v>60</v>
      </c>
      <c r="U274" s="154" t="s">
        <v>60</v>
      </c>
      <c r="V274" s="154" t="s">
        <v>66</v>
      </c>
      <c r="W274" s="155" t="s">
        <v>64</v>
      </c>
      <c r="X274" s="154" t="s">
        <v>60</v>
      </c>
      <c r="Y274" s="154"/>
      <c r="Z274" s="242" t="b">
        <f t="shared" si="2"/>
        <v>1</v>
      </c>
      <c r="AA274" s="154" t="s">
        <v>391</v>
      </c>
      <c r="AB274" s="242" t="b">
        <f t="shared" si="3"/>
        <v>0</v>
      </c>
      <c r="AC274" s="154"/>
      <c r="AD274" s="242" t="b">
        <f t="shared" si="4"/>
        <v>0</v>
      </c>
      <c r="AE274" s="154" t="s">
        <v>1610</v>
      </c>
      <c r="AF274" s="243" t="str">
        <f>IF(AE274="","N/A",INDIRECT("MTR!"&amp;ADDRESS(MATCH(LEFT(AE274,9),MTR!C:C,0),COLUMN(J274)),TRUE) &amp; "")</f>
        <v>Partially Complies</v>
      </c>
      <c r="AG274" s="157" t="str">
        <f t="shared" si="5"/>
        <v/>
      </c>
      <c r="AH274" s="152"/>
      <c r="AI274" s="152"/>
      <c r="AJ274" s="152"/>
      <c r="AK274" s="152"/>
      <c r="AL274" s="152"/>
      <c r="AM274" s="152"/>
      <c r="AN274" s="152"/>
      <c r="AO274" s="152"/>
      <c r="AP274" s="152"/>
      <c r="AQ274" s="152"/>
      <c r="AR274" s="152"/>
    </row>
    <row r="275" ht="12.75" customHeight="1">
      <c r="A275" s="244" t="s">
        <v>5158</v>
      </c>
      <c r="B275" s="244" t="s">
        <v>12721</v>
      </c>
      <c r="C275" s="245" t="s">
        <v>13440</v>
      </c>
      <c r="D275" s="155" t="s">
        <v>1315</v>
      </c>
      <c r="E275" s="155" t="s">
        <v>92</v>
      </c>
      <c r="F275" s="154" t="str">
        <f t="array" ref="F275">XLOOKUP(Cover!$D$12,$P$1:$X$1,$P275:$X275)</f>
        <v>Mandatory</v>
      </c>
      <c r="G275" s="154" t="s">
        <v>13441</v>
      </c>
      <c r="H275" s="154" t="s">
        <v>12908</v>
      </c>
      <c r="I275" s="154" t="s">
        <v>13436</v>
      </c>
      <c r="J275" s="154" t="s">
        <v>6884</v>
      </c>
      <c r="K275" s="154" t="s">
        <v>1018</v>
      </c>
      <c r="L275" s="154" t="s">
        <v>759</v>
      </c>
      <c r="M275" s="247" t="s">
        <v>516</v>
      </c>
      <c r="N275" s="247" t="s">
        <v>12731</v>
      </c>
      <c r="O275" s="240" t="str">
        <f t="shared" si="1"/>
        <v/>
      </c>
      <c r="P275" s="154" t="s">
        <v>66</v>
      </c>
      <c r="Q275" s="154" t="s">
        <v>66</v>
      </c>
      <c r="R275" s="154" t="s">
        <v>60</v>
      </c>
      <c r="S275" s="154" t="s">
        <v>60</v>
      </c>
      <c r="T275" s="154" t="s">
        <v>60</v>
      </c>
      <c r="U275" s="154" t="s">
        <v>60</v>
      </c>
      <c r="V275" s="154" t="s">
        <v>66</v>
      </c>
      <c r="W275" s="154" t="s">
        <v>60</v>
      </c>
      <c r="X275" s="154" t="s">
        <v>60</v>
      </c>
      <c r="Y275" s="154"/>
      <c r="Z275" s="242" t="b">
        <f t="shared" si="2"/>
        <v>1</v>
      </c>
      <c r="AA275" s="154" t="s">
        <v>391</v>
      </c>
      <c r="AB275" s="242" t="b">
        <f t="shared" si="3"/>
        <v>0</v>
      </c>
      <c r="AC275" s="154"/>
      <c r="AD275" s="242" t="b">
        <f t="shared" si="4"/>
        <v>0</v>
      </c>
      <c r="AE275" s="154" t="s">
        <v>1610</v>
      </c>
      <c r="AF275" s="243" t="str">
        <f>IF(AE275="","N/A",INDIRECT("MTR!"&amp;ADDRESS(MATCH(LEFT(AE275,9),MTR!C:C,0),COLUMN(J275)),TRUE) &amp; "")</f>
        <v>Partially Complies</v>
      </c>
      <c r="AG275" s="157" t="str">
        <f t="shared" si="5"/>
        <v/>
      </c>
      <c r="AH275" s="152"/>
      <c r="AI275" s="152"/>
      <c r="AJ275" s="152"/>
      <c r="AK275" s="152"/>
      <c r="AL275" s="152"/>
      <c r="AM275" s="152"/>
      <c r="AN275" s="152"/>
      <c r="AO275" s="152"/>
      <c r="AP275" s="152"/>
      <c r="AQ275" s="152"/>
      <c r="AR275" s="152"/>
    </row>
    <row r="276" ht="12.75" customHeight="1">
      <c r="A276" s="244" t="s">
        <v>5158</v>
      </c>
      <c r="B276" s="244" t="s">
        <v>12721</v>
      </c>
      <c r="C276" s="245" t="s">
        <v>13442</v>
      </c>
      <c r="D276" s="155" t="s">
        <v>1315</v>
      </c>
      <c r="E276" s="155" t="s">
        <v>92</v>
      </c>
      <c r="F276" s="154" t="str">
        <f t="array" ref="F276">XLOOKUP(Cover!$D$12,$P$1:$X$1,$P276:$X276)</f>
        <v>Mandatory</v>
      </c>
      <c r="G276" s="154" t="s">
        <v>13443</v>
      </c>
      <c r="H276" s="154" t="s">
        <v>12909</v>
      </c>
      <c r="I276" s="154" t="s">
        <v>13436</v>
      </c>
      <c r="J276" s="154" t="s">
        <v>6884</v>
      </c>
      <c r="K276" s="154" t="s">
        <v>1018</v>
      </c>
      <c r="L276" s="154" t="s">
        <v>759</v>
      </c>
      <c r="M276" s="247" t="s">
        <v>516</v>
      </c>
      <c r="N276" s="247" t="s">
        <v>12731</v>
      </c>
      <c r="O276" s="240" t="str">
        <f t="shared" si="1"/>
        <v/>
      </c>
      <c r="P276" s="154" t="s">
        <v>66</v>
      </c>
      <c r="Q276" s="154" t="s">
        <v>66</v>
      </c>
      <c r="R276" s="155" t="s">
        <v>64</v>
      </c>
      <c r="S276" s="155" t="s">
        <v>64</v>
      </c>
      <c r="T276" s="154" t="s">
        <v>60</v>
      </c>
      <c r="U276" s="154" t="s">
        <v>60</v>
      </c>
      <c r="V276" s="154" t="s">
        <v>66</v>
      </c>
      <c r="W276" s="155" t="s">
        <v>64</v>
      </c>
      <c r="X276" s="154" t="s">
        <v>60</v>
      </c>
      <c r="Y276" s="154"/>
      <c r="Z276" s="242" t="b">
        <f t="shared" si="2"/>
        <v>1</v>
      </c>
      <c r="AA276" s="154" t="s">
        <v>391</v>
      </c>
      <c r="AB276" s="242" t="b">
        <f t="shared" si="3"/>
        <v>0</v>
      </c>
      <c r="AC276" s="154"/>
      <c r="AD276" s="242" t="b">
        <f t="shared" si="4"/>
        <v>0</v>
      </c>
      <c r="AE276" s="154" t="s">
        <v>1610</v>
      </c>
      <c r="AF276" s="243" t="str">
        <f>IF(AE276="","N/A",INDIRECT("MTR!"&amp;ADDRESS(MATCH(LEFT(AE276,9),MTR!C:C,0),COLUMN(J276)),TRUE) &amp; "")</f>
        <v>Partially Complies</v>
      </c>
      <c r="AG276" s="157" t="str">
        <f t="shared" si="5"/>
        <v/>
      </c>
      <c r="AH276" s="152"/>
      <c r="AI276" s="152"/>
      <c r="AJ276" s="152"/>
      <c r="AK276" s="152"/>
      <c r="AL276" s="152"/>
      <c r="AM276" s="152"/>
      <c r="AN276" s="152"/>
      <c r="AO276" s="152"/>
      <c r="AP276" s="152"/>
      <c r="AQ276" s="152"/>
      <c r="AR276" s="152"/>
    </row>
    <row r="277" ht="12.75" customHeight="1">
      <c r="A277" s="244" t="s">
        <v>5158</v>
      </c>
      <c r="B277" s="244" t="s">
        <v>12721</v>
      </c>
      <c r="C277" s="245" t="s">
        <v>13444</v>
      </c>
      <c r="D277" s="155" t="s">
        <v>503</v>
      </c>
      <c r="E277" s="155" t="s">
        <v>92</v>
      </c>
      <c r="F277" s="154" t="str">
        <f t="array" ref="F277">XLOOKUP(Cover!$D$12,$P$1:$X$1,$P277:$X277)</f>
        <v>Mandatory</v>
      </c>
      <c r="G277" s="154" t="s">
        <v>13445</v>
      </c>
      <c r="H277" s="154" t="s">
        <v>12908</v>
      </c>
      <c r="I277" s="154" t="s">
        <v>13436</v>
      </c>
      <c r="J277" s="154" t="s">
        <v>7431</v>
      </c>
      <c r="K277" s="154" t="s">
        <v>1018</v>
      </c>
      <c r="L277" s="154" t="s">
        <v>759</v>
      </c>
      <c r="M277" s="247" t="s">
        <v>516</v>
      </c>
      <c r="N277" s="247" t="s">
        <v>12731</v>
      </c>
      <c r="O277" s="240" t="str">
        <f t="shared" si="1"/>
        <v/>
      </c>
      <c r="P277" s="154" t="s">
        <v>66</v>
      </c>
      <c r="Q277" s="154" t="s">
        <v>66</v>
      </c>
      <c r="R277" s="154" t="s">
        <v>60</v>
      </c>
      <c r="S277" s="154" t="s">
        <v>60</v>
      </c>
      <c r="T277" s="154" t="s">
        <v>60</v>
      </c>
      <c r="U277" s="154" t="s">
        <v>60</v>
      </c>
      <c r="V277" s="154" t="s">
        <v>66</v>
      </c>
      <c r="W277" s="154" t="s">
        <v>60</v>
      </c>
      <c r="X277" s="154" t="s">
        <v>60</v>
      </c>
      <c r="Y277" s="154"/>
      <c r="Z277" s="242" t="b">
        <f t="shared" si="2"/>
        <v>1</v>
      </c>
      <c r="AA277" s="154" t="s">
        <v>391</v>
      </c>
      <c r="AB277" s="242" t="b">
        <f t="shared" si="3"/>
        <v>0</v>
      </c>
      <c r="AC277" s="154"/>
      <c r="AD277" s="242" t="b">
        <f t="shared" si="4"/>
        <v>0</v>
      </c>
      <c r="AE277" s="154" t="s">
        <v>1610</v>
      </c>
      <c r="AF277" s="243" t="str">
        <f>IF(AE277="","N/A",INDIRECT("MTR!"&amp;ADDRESS(MATCH(LEFT(AE277,9),MTR!C:C,0),COLUMN(J277)),TRUE) &amp; "")</f>
        <v>Partially Complies</v>
      </c>
      <c r="AG277" s="157" t="str">
        <f t="shared" si="5"/>
        <v/>
      </c>
      <c r="AH277" s="152"/>
      <c r="AI277" s="152"/>
      <c r="AJ277" s="152"/>
      <c r="AK277" s="152"/>
      <c r="AL277" s="152"/>
      <c r="AM277" s="152"/>
      <c r="AN277" s="152"/>
      <c r="AO277" s="152"/>
      <c r="AP277" s="152"/>
      <c r="AQ277" s="152"/>
      <c r="AR277" s="152"/>
    </row>
    <row r="278" ht="12.75" customHeight="1">
      <c r="A278" s="244" t="s">
        <v>5158</v>
      </c>
      <c r="B278" s="244" t="s">
        <v>12721</v>
      </c>
      <c r="C278" s="245" t="s">
        <v>13446</v>
      </c>
      <c r="D278" s="155" t="s">
        <v>503</v>
      </c>
      <c r="E278" s="155" t="s">
        <v>92</v>
      </c>
      <c r="F278" s="154" t="str">
        <f t="array" ref="F278">XLOOKUP(Cover!$D$12,$P$1:$X$1,$P278:$X278)</f>
        <v>Mandatory</v>
      </c>
      <c r="G278" s="154" t="s">
        <v>13447</v>
      </c>
      <c r="H278" s="154" t="s">
        <v>12909</v>
      </c>
      <c r="I278" s="154" t="s">
        <v>13436</v>
      </c>
      <c r="J278" s="154" t="s">
        <v>7431</v>
      </c>
      <c r="K278" s="154" t="s">
        <v>1018</v>
      </c>
      <c r="L278" s="154" t="s">
        <v>759</v>
      </c>
      <c r="M278" s="247" t="s">
        <v>516</v>
      </c>
      <c r="N278" s="247" t="s">
        <v>12731</v>
      </c>
      <c r="O278" s="240" t="str">
        <f t="shared" si="1"/>
        <v/>
      </c>
      <c r="P278" s="154" t="s">
        <v>66</v>
      </c>
      <c r="Q278" s="154" t="s">
        <v>66</v>
      </c>
      <c r="R278" s="155" t="s">
        <v>64</v>
      </c>
      <c r="S278" s="155" t="s">
        <v>64</v>
      </c>
      <c r="T278" s="154" t="s">
        <v>60</v>
      </c>
      <c r="U278" s="154" t="s">
        <v>60</v>
      </c>
      <c r="V278" s="154" t="s">
        <v>66</v>
      </c>
      <c r="W278" s="155" t="s">
        <v>64</v>
      </c>
      <c r="X278" s="154" t="s">
        <v>60</v>
      </c>
      <c r="Y278" s="154"/>
      <c r="Z278" s="242" t="b">
        <f t="shared" si="2"/>
        <v>1</v>
      </c>
      <c r="AA278" s="154" t="s">
        <v>391</v>
      </c>
      <c r="AB278" s="242" t="b">
        <f t="shared" si="3"/>
        <v>0</v>
      </c>
      <c r="AC278" s="154"/>
      <c r="AD278" s="242" t="b">
        <f t="shared" si="4"/>
        <v>0</v>
      </c>
      <c r="AE278" s="154" t="s">
        <v>1610</v>
      </c>
      <c r="AF278" s="243" t="str">
        <f>IF(AE278="","N/A",INDIRECT("MTR!"&amp;ADDRESS(MATCH(LEFT(AE278,9),MTR!C:C,0),COLUMN(J278)),TRUE) &amp; "")</f>
        <v>Partially Complies</v>
      </c>
      <c r="AG278" s="157" t="str">
        <f t="shared" si="5"/>
        <v/>
      </c>
      <c r="AH278" s="152"/>
      <c r="AI278" s="152"/>
      <c r="AJ278" s="152"/>
      <c r="AK278" s="152"/>
      <c r="AL278" s="152"/>
      <c r="AM278" s="152"/>
      <c r="AN278" s="152"/>
      <c r="AO278" s="152"/>
      <c r="AP278" s="152"/>
      <c r="AQ278" s="152"/>
      <c r="AR278" s="152"/>
    </row>
    <row r="279" ht="12.75" customHeight="1">
      <c r="A279" s="244" t="s">
        <v>5158</v>
      </c>
      <c r="B279" s="244" t="s">
        <v>12721</v>
      </c>
      <c r="C279" s="245" t="s">
        <v>13448</v>
      </c>
      <c r="D279" s="155" t="s">
        <v>45</v>
      </c>
      <c r="E279" s="155" t="s">
        <v>92</v>
      </c>
      <c r="F279" s="154" t="str">
        <f t="array" ref="F279">XLOOKUP(Cover!$D$12,$P$1:$X$1,$P279:$X279)</f>
        <v>Mandatory</v>
      </c>
      <c r="G279" s="154" t="s">
        <v>13449</v>
      </c>
      <c r="H279" s="154" t="s">
        <v>12908</v>
      </c>
      <c r="I279" s="154" t="s">
        <v>13436</v>
      </c>
      <c r="J279" s="154" t="s">
        <v>10718</v>
      </c>
      <c r="K279" s="154" t="s">
        <v>1018</v>
      </c>
      <c r="L279" s="154" t="s">
        <v>759</v>
      </c>
      <c r="M279" s="247" t="s">
        <v>516</v>
      </c>
      <c r="N279" s="247" t="s">
        <v>12731</v>
      </c>
      <c r="O279" s="240" t="str">
        <f t="shared" si="1"/>
        <v/>
      </c>
      <c r="P279" s="154" t="s">
        <v>66</v>
      </c>
      <c r="Q279" s="154" t="s">
        <v>66</v>
      </c>
      <c r="R279" s="154" t="s">
        <v>60</v>
      </c>
      <c r="S279" s="154" t="s">
        <v>60</v>
      </c>
      <c r="T279" s="154" t="s">
        <v>60</v>
      </c>
      <c r="U279" s="154" t="s">
        <v>60</v>
      </c>
      <c r="V279" s="154" t="s">
        <v>66</v>
      </c>
      <c r="W279" s="154" t="s">
        <v>60</v>
      </c>
      <c r="X279" s="154" t="s">
        <v>60</v>
      </c>
      <c r="Y279" s="154"/>
      <c r="Z279" s="242" t="b">
        <f t="shared" si="2"/>
        <v>1</v>
      </c>
      <c r="AA279" s="154" t="s">
        <v>391</v>
      </c>
      <c r="AB279" s="242" t="b">
        <f t="shared" si="3"/>
        <v>0</v>
      </c>
      <c r="AC279" s="154"/>
      <c r="AD279" s="242" t="b">
        <f t="shared" si="4"/>
        <v>0</v>
      </c>
      <c r="AE279" s="154" t="s">
        <v>1610</v>
      </c>
      <c r="AF279" s="243" t="str">
        <f>IF(AE279="","N/A",INDIRECT("MTR!"&amp;ADDRESS(MATCH(LEFT(AE279,9),MTR!C:C,0),COLUMN(J279)),TRUE) &amp; "")</f>
        <v>Partially Complies</v>
      </c>
      <c r="AG279" s="157" t="str">
        <f t="shared" si="5"/>
        <v/>
      </c>
      <c r="AH279" s="152"/>
      <c r="AI279" s="152"/>
      <c r="AJ279" s="152"/>
      <c r="AK279" s="152"/>
      <c r="AL279" s="152"/>
      <c r="AM279" s="152"/>
      <c r="AN279" s="152"/>
      <c r="AO279" s="152"/>
      <c r="AP279" s="152"/>
      <c r="AQ279" s="152"/>
      <c r="AR279" s="152"/>
    </row>
    <row r="280" ht="12.75" customHeight="1">
      <c r="A280" s="244" t="s">
        <v>5158</v>
      </c>
      <c r="B280" s="244" t="s">
        <v>12721</v>
      </c>
      <c r="C280" s="245" t="s">
        <v>13450</v>
      </c>
      <c r="D280" s="155" t="s">
        <v>45</v>
      </c>
      <c r="E280" s="155" t="s">
        <v>92</v>
      </c>
      <c r="F280" s="154" t="str">
        <f t="array" ref="F280">XLOOKUP(Cover!$D$12,$P$1:$X$1,$P280:$X280)</f>
        <v>Mandatory</v>
      </c>
      <c r="G280" s="154" t="s">
        <v>13451</v>
      </c>
      <c r="H280" s="154" t="s">
        <v>13452</v>
      </c>
      <c r="I280" s="154" t="s">
        <v>13436</v>
      </c>
      <c r="J280" s="154" t="s">
        <v>10718</v>
      </c>
      <c r="K280" s="154" t="s">
        <v>1018</v>
      </c>
      <c r="L280" s="154" t="s">
        <v>759</v>
      </c>
      <c r="M280" s="247" t="s">
        <v>516</v>
      </c>
      <c r="N280" s="247" t="s">
        <v>12731</v>
      </c>
      <c r="O280" s="240" t="str">
        <f t="shared" si="1"/>
        <v/>
      </c>
      <c r="P280" s="154" t="s">
        <v>66</v>
      </c>
      <c r="Q280" s="154" t="s">
        <v>66</v>
      </c>
      <c r="R280" s="155" t="s">
        <v>64</v>
      </c>
      <c r="S280" s="155" t="s">
        <v>64</v>
      </c>
      <c r="T280" s="154" t="s">
        <v>60</v>
      </c>
      <c r="U280" s="154" t="s">
        <v>60</v>
      </c>
      <c r="V280" s="154" t="s">
        <v>66</v>
      </c>
      <c r="W280" s="155" t="s">
        <v>64</v>
      </c>
      <c r="X280" s="154" t="s">
        <v>60</v>
      </c>
      <c r="Y280" s="154"/>
      <c r="Z280" s="242" t="b">
        <f t="shared" si="2"/>
        <v>1</v>
      </c>
      <c r="AA280" s="154" t="s">
        <v>391</v>
      </c>
      <c r="AB280" s="242" t="b">
        <f t="shared" si="3"/>
        <v>0</v>
      </c>
      <c r="AC280" s="154"/>
      <c r="AD280" s="242" t="b">
        <f t="shared" si="4"/>
        <v>0</v>
      </c>
      <c r="AE280" s="154" t="s">
        <v>1610</v>
      </c>
      <c r="AF280" s="243" t="str">
        <f>IF(AE280="","N/A",INDIRECT("MTR!"&amp;ADDRESS(MATCH(LEFT(AE280,9),MTR!C:C,0),COLUMN(J280)),TRUE) &amp; "")</f>
        <v>Partially Complies</v>
      </c>
      <c r="AG280" s="157" t="str">
        <f t="shared" si="5"/>
        <v/>
      </c>
      <c r="AH280" s="152"/>
      <c r="AI280" s="152"/>
      <c r="AJ280" s="152"/>
      <c r="AK280" s="152"/>
      <c r="AL280" s="152"/>
      <c r="AM280" s="152"/>
      <c r="AN280" s="152"/>
      <c r="AO280" s="152"/>
      <c r="AP280" s="152"/>
      <c r="AQ280" s="152"/>
      <c r="AR280" s="152"/>
    </row>
    <row r="281" ht="12.75" customHeight="1">
      <c r="A281" s="244" t="s">
        <v>5158</v>
      </c>
      <c r="B281" s="244" t="s">
        <v>12721</v>
      </c>
      <c r="C281" s="245" t="s">
        <v>13453</v>
      </c>
      <c r="D281" s="155" t="s">
        <v>1315</v>
      </c>
      <c r="E281" s="155" t="s">
        <v>92</v>
      </c>
      <c r="F281" s="154" t="str">
        <f t="array" ref="F281">XLOOKUP(Cover!$D$12,$P$1:$X$1,$P281:$X281)</f>
        <v>Mandatory</v>
      </c>
      <c r="G281" s="154" t="s">
        <v>13454</v>
      </c>
      <c r="H281" s="154" t="s">
        <v>12908</v>
      </c>
      <c r="I281" s="154" t="s">
        <v>13455</v>
      </c>
      <c r="J281" s="154" t="s">
        <v>6140</v>
      </c>
      <c r="K281" s="154" t="s">
        <v>1018</v>
      </c>
      <c r="L281" s="154" t="s">
        <v>759</v>
      </c>
      <c r="M281" s="247" t="s">
        <v>506</v>
      </c>
      <c r="N281" s="247" t="s">
        <v>12738</v>
      </c>
      <c r="O281" s="240" t="str">
        <f t="shared" si="1"/>
        <v/>
      </c>
      <c r="P281" s="154" t="s">
        <v>66</v>
      </c>
      <c r="Q281" s="154" t="s">
        <v>66</v>
      </c>
      <c r="R281" s="154" t="s">
        <v>60</v>
      </c>
      <c r="S281" s="154" t="s">
        <v>60</v>
      </c>
      <c r="T281" s="154" t="s">
        <v>60</v>
      </c>
      <c r="U281" s="154" t="s">
        <v>60</v>
      </c>
      <c r="V281" s="154" t="s">
        <v>66</v>
      </c>
      <c r="W281" s="154" t="s">
        <v>60</v>
      </c>
      <c r="X281" s="154" t="s">
        <v>60</v>
      </c>
      <c r="Y281" s="154"/>
      <c r="Z281" s="242" t="b">
        <f t="shared" si="2"/>
        <v>1</v>
      </c>
      <c r="AA281" s="154" t="s">
        <v>391</v>
      </c>
      <c r="AB281" s="242" t="b">
        <f t="shared" si="3"/>
        <v>0</v>
      </c>
      <c r="AC281" s="154"/>
      <c r="AD281" s="242" t="b">
        <f t="shared" si="4"/>
        <v>0</v>
      </c>
      <c r="AE281" s="154" t="s">
        <v>1610</v>
      </c>
      <c r="AF281" s="243" t="str">
        <f>IF(AE281="","N/A",INDIRECT("MTR!"&amp;ADDRESS(MATCH(LEFT(AE281,9),MTR!C:C,0),COLUMN(J281)),TRUE) &amp; "")</f>
        <v>Partially Complies</v>
      </c>
      <c r="AG281" s="157" t="str">
        <f t="shared" si="5"/>
        <v/>
      </c>
      <c r="AH281" s="152"/>
      <c r="AI281" s="152"/>
      <c r="AJ281" s="152"/>
      <c r="AK281" s="152"/>
      <c r="AL281" s="152"/>
      <c r="AM281" s="152"/>
      <c r="AN281" s="152"/>
      <c r="AO281" s="152"/>
      <c r="AP281" s="152"/>
      <c r="AQ281" s="152"/>
      <c r="AR281" s="152"/>
    </row>
    <row r="282" ht="12.75" customHeight="1">
      <c r="A282" s="244" t="s">
        <v>5158</v>
      </c>
      <c r="B282" s="244" t="s">
        <v>12721</v>
      </c>
      <c r="C282" s="245" t="s">
        <v>13456</v>
      </c>
      <c r="D282" s="155" t="s">
        <v>1315</v>
      </c>
      <c r="E282" s="155" t="s">
        <v>92</v>
      </c>
      <c r="F282" s="154" t="str">
        <f t="array" ref="F282">XLOOKUP(Cover!$D$12,$P$1:$X$1,$P282:$X282)</f>
        <v>Mandatory</v>
      </c>
      <c r="G282" s="154" t="s">
        <v>13457</v>
      </c>
      <c r="H282" s="154" t="s">
        <v>13458</v>
      </c>
      <c r="I282" s="154" t="s">
        <v>13455</v>
      </c>
      <c r="J282" s="154" t="s">
        <v>6529</v>
      </c>
      <c r="K282" s="154" t="s">
        <v>1018</v>
      </c>
      <c r="L282" s="154" t="s">
        <v>759</v>
      </c>
      <c r="M282" s="247" t="s">
        <v>516</v>
      </c>
      <c r="N282" s="247" t="s">
        <v>12741</v>
      </c>
      <c r="O282" s="240" t="str">
        <f t="shared" si="1"/>
        <v/>
      </c>
      <c r="P282" s="154" t="s">
        <v>66</v>
      </c>
      <c r="Q282" s="154" t="s">
        <v>66</v>
      </c>
      <c r="R282" s="155" t="s">
        <v>64</v>
      </c>
      <c r="S282" s="155" t="s">
        <v>64</v>
      </c>
      <c r="T282" s="154" t="s">
        <v>60</v>
      </c>
      <c r="U282" s="154" t="s">
        <v>60</v>
      </c>
      <c r="V282" s="154" t="s">
        <v>66</v>
      </c>
      <c r="W282" s="155" t="s">
        <v>64</v>
      </c>
      <c r="X282" s="154" t="s">
        <v>60</v>
      </c>
      <c r="Y282" s="154"/>
      <c r="Z282" s="242" t="b">
        <f t="shared" si="2"/>
        <v>1</v>
      </c>
      <c r="AA282" s="154" t="s">
        <v>391</v>
      </c>
      <c r="AB282" s="242" t="b">
        <f t="shared" si="3"/>
        <v>0</v>
      </c>
      <c r="AC282" s="154"/>
      <c r="AD282" s="242" t="b">
        <f t="shared" si="4"/>
        <v>0</v>
      </c>
      <c r="AE282" s="154" t="s">
        <v>1610</v>
      </c>
      <c r="AF282" s="243" t="str">
        <f>IF(AE282="","N/A",INDIRECT("MTR!"&amp;ADDRESS(MATCH(LEFT(AE282,9),MTR!C:C,0),COLUMN(J282)),TRUE) &amp; "")</f>
        <v>Partially Complies</v>
      </c>
      <c r="AG282" s="157" t="str">
        <f t="shared" si="5"/>
        <v/>
      </c>
      <c r="AH282" s="152"/>
      <c r="AI282" s="152"/>
      <c r="AJ282" s="152"/>
      <c r="AK282" s="152"/>
      <c r="AL282" s="152"/>
      <c r="AM282" s="152"/>
      <c r="AN282" s="152"/>
      <c r="AO282" s="152"/>
      <c r="AP282" s="152"/>
      <c r="AQ282" s="152"/>
      <c r="AR282" s="152"/>
    </row>
    <row r="283" ht="12.75" customHeight="1">
      <c r="A283" s="244" t="s">
        <v>5158</v>
      </c>
      <c r="B283" s="244" t="s">
        <v>12721</v>
      </c>
      <c r="C283" s="245" t="s">
        <v>13459</v>
      </c>
      <c r="D283" s="155" t="s">
        <v>1315</v>
      </c>
      <c r="E283" s="155" t="s">
        <v>92</v>
      </c>
      <c r="F283" s="154" t="str">
        <f t="array" ref="F283">XLOOKUP(Cover!$D$12,$P$1:$X$1,$P283:$X283)</f>
        <v>Mandatory</v>
      </c>
      <c r="G283" s="154" t="s">
        <v>13460</v>
      </c>
      <c r="H283" s="154" t="s">
        <v>12908</v>
      </c>
      <c r="I283" s="154" t="s">
        <v>13455</v>
      </c>
      <c r="J283" s="154" t="s">
        <v>6905</v>
      </c>
      <c r="K283" s="154" t="s">
        <v>1018</v>
      </c>
      <c r="L283" s="154" t="s">
        <v>759</v>
      </c>
      <c r="M283" s="247" t="s">
        <v>506</v>
      </c>
      <c r="N283" s="247" t="s">
        <v>12738</v>
      </c>
      <c r="O283" s="240" t="str">
        <f t="shared" si="1"/>
        <v/>
      </c>
      <c r="P283" s="154" t="s">
        <v>66</v>
      </c>
      <c r="Q283" s="154" t="s">
        <v>66</v>
      </c>
      <c r="R283" s="154" t="s">
        <v>60</v>
      </c>
      <c r="S283" s="154" t="s">
        <v>60</v>
      </c>
      <c r="T283" s="154" t="s">
        <v>60</v>
      </c>
      <c r="U283" s="154" t="s">
        <v>60</v>
      </c>
      <c r="V283" s="154" t="s">
        <v>66</v>
      </c>
      <c r="W283" s="154" t="s">
        <v>60</v>
      </c>
      <c r="X283" s="154" t="s">
        <v>60</v>
      </c>
      <c r="Y283" s="154"/>
      <c r="Z283" s="242" t="b">
        <f t="shared" si="2"/>
        <v>1</v>
      </c>
      <c r="AA283" s="154" t="s">
        <v>391</v>
      </c>
      <c r="AB283" s="242" t="b">
        <f t="shared" si="3"/>
        <v>0</v>
      </c>
      <c r="AC283" s="154"/>
      <c r="AD283" s="242" t="b">
        <f t="shared" si="4"/>
        <v>0</v>
      </c>
      <c r="AE283" s="154" t="s">
        <v>1610</v>
      </c>
      <c r="AF283" s="243" t="str">
        <f>IF(AE283="","N/A",INDIRECT("MTR!"&amp;ADDRESS(MATCH(LEFT(AE283,9),MTR!C:C,0),COLUMN(J283)),TRUE) &amp; "")</f>
        <v>Partially Complies</v>
      </c>
      <c r="AG283" s="157" t="str">
        <f t="shared" si="5"/>
        <v/>
      </c>
      <c r="AH283" s="152"/>
      <c r="AI283" s="152"/>
      <c r="AJ283" s="152"/>
      <c r="AK283" s="152"/>
      <c r="AL283" s="152"/>
      <c r="AM283" s="152"/>
      <c r="AN283" s="152"/>
      <c r="AO283" s="152"/>
      <c r="AP283" s="152"/>
      <c r="AQ283" s="152"/>
      <c r="AR283" s="152"/>
    </row>
    <row r="284" ht="12.75" customHeight="1">
      <c r="A284" s="244" t="s">
        <v>5158</v>
      </c>
      <c r="B284" s="244" t="s">
        <v>12721</v>
      </c>
      <c r="C284" s="245" t="s">
        <v>13461</v>
      </c>
      <c r="D284" s="155" t="s">
        <v>1315</v>
      </c>
      <c r="E284" s="155" t="s">
        <v>92</v>
      </c>
      <c r="F284" s="154" t="str">
        <f t="array" ref="F284">XLOOKUP(Cover!$D$12,$P$1:$X$1,$P284:$X284)</f>
        <v>Mandatory</v>
      </c>
      <c r="G284" s="154" t="s">
        <v>13462</v>
      </c>
      <c r="H284" s="154" t="s">
        <v>13458</v>
      </c>
      <c r="I284" s="154" t="s">
        <v>13455</v>
      </c>
      <c r="J284" s="154" t="s">
        <v>6905</v>
      </c>
      <c r="K284" s="154" t="s">
        <v>1018</v>
      </c>
      <c r="L284" s="154" t="s">
        <v>759</v>
      </c>
      <c r="M284" s="247" t="s">
        <v>516</v>
      </c>
      <c r="N284" s="247" t="s">
        <v>12741</v>
      </c>
      <c r="O284" s="240" t="str">
        <f t="shared" si="1"/>
        <v/>
      </c>
      <c r="P284" s="154" t="s">
        <v>66</v>
      </c>
      <c r="Q284" s="154" t="s">
        <v>66</v>
      </c>
      <c r="R284" s="155" t="s">
        <v>64</v>
      </c>
      <c r="S284" s="155" t="s">
        <v>64</v>
      </c>
      <c r="T284" s="154" t="s">
        <v>60</v>
      </c>
      <c r="U284" s="154" t="s">
        <v>60</v>
      </c>
      <c r="V284" s="154" t="s">
        <v>66</v>
      </c>
      <c r="W284" s="155" t="s">
        <v>64</v>
      </c>
      <c r="X284" s="154" t="s">
        <v>60</v>
      </c>
      <c r="Y284" s="154"/>
      <c r="Z284" s="242" t="b">
        <f t="shared" si="2"/>
        <v>1</v>
      </c>
      <c r="AA284" s="154" t="s">
        <v>391</v>
      </c>
      <c r="AB284" s="242" t="b">
        <f t="shared" si="3"/>
        <v>0</v>
      </c>
      <c r="AC284" s="154"/>
      <c r="AD284" s="242" t="b">
        <f t="shared" si="4"/>
        <v>0</v>
      </c>
      <c r="AE284" s="154" t="s">
        <v>1610</v>
      </c>
      <c r="AF284" s="243" t="str">
        <f>IF(AE284="","N/A",INDIRECT("MTR!"&amp;ADDRESS(MATCH(LEFT(AE284,9),MTR!C:C,0),COLUMN(J284)),TRUE) &amp; "")</f>
        <v>Partially Complies</v>
      </c>
      <c r="AG284" s="157" t="str">
        <f t="shared" si="5"/>
        <v/>
      </c>
      <c r="AH284" s="152"/>
      <c r="AI284" s="152"/>
      <c r="AJ284" s="152"/>
      <c r="AK284" s="152"/>
      <c r="AL284" s="152"/>
      <c r="AM284" s="152"/>
      <c r="AN284" s="152"/>
      <c r="AO284" s="152"/>
      <c r="AP284" s="152"/>
      <c r="AQ284" s="152"/>
      <c r="AR284" s="152"/>
    </row>
    <row r="285" ht="12.75" customHeight="1">
      <c r="A285" s="244" t="s">
        <v>5158</v>
      </c>
      <c r="B285" s="244" t="s">
        <v>12721</v>
      </c>
      <c r="C285" s="245" t="s">
        <v>13463</v>
      </c>
      <c r="D285" s="155" t="s">
        <v>45</v>
      </c>
      <c r="E285" s="155" t="s">
        <v>92</v>
      </c>
      <c r="F285" s="154" t="str">
        <f t="array" ref="F285">XLOOKUP(Cover!$D$12,$P$1:$X$1,$P285:$X285)</f>
        <v>Mandatory</v>
      </c>
      <c r="G285" s="154" t="s">
        <v>13464</v>
      </c>
      <c r="H285" s="154" t="s">
        <v>12908</v>
      </c>
      <c r="I285" s="154" t="s">
        <v>13455</v>
      </c>
      <c r="J285" s="154" t="s">
        <v>10718</v>
      </c>
      <c r="K285" s="154" t="s">
        <v>1018</v>
      </c>
      <c r="L285" s="154" t="s">
        <v>759</v>
      </c>
      <c r="M285" s="247" t="s">
        <v>516</v>
      </c>
      <c r="N285" s="247" t="s">
        <v>12748</v>
      </c>
      <c r="O285" s="240" t="str">
        <f t="shared" si="1"/>
        <v/>
      </c>
      <c r="P285" s="154" t="s">
        <v>66</v>
      </c>
      <c r="Q285" s="154" t="s">
        <v>66</v>
      </c>
      <c r="R285" s="154" t="s">
        <v>60</v>
      </c>
      <c r="S285" s="154" t="s">
        <v>60</v>
      </c>
      <c r="T285" s="154" t="s">
        <v>60</v>
      </c>
      <c r="U285" s="154" t="s">
        <v>60</v>
      </c>
      <c r="V285" s="154" t="s">
        <v>66</v>
      </c>
      <c r="W285" s="154" t="s">
        <v>60</v>
      </c>
      <c r="X285" s="154" t="s">
        <v>60</v>
      </c>
      <c r="Y285" s="154"/>
      <c r="Z285" s="242" t="b">
        <f t="shared" si="2"/>
        <v>1</v>
      </c>
      <c r="AA285" s="154" t="s">
        <v>391</v>
      </c>
      <c r="AB285" s="242" t="b">
        <f t="shared" si="3"/>
        <v>0</v>
      </c>
      <c r="AC285" s="154"/>
      <c r="AD285" s="242" t="b">
        <f t="shared" si="4"/>
        <v>0</v>
      </c>
      <c r="AE285" s="154" t="s">
        <v>1610</v>
      </c>
      <c r="AF285" s="243" t="str">
        <f>IF(AE285="","N/A",INDIRECT("MTR!"&amp;ADDRESS(MATCH(LEFT(AE285,9),MTR!C:C,0),COLUMN(J285)),TRUE) &amp; "")</f>
        <v>Partially Complies</v>
      </c>
      <c r="AG285" s="157" t="str">
        <f t="shared" si="5"/>
        <v/>
      </c>
      <c r="AH285" s="152"/>
      <c r="AI285" s="152"/>
      <c r="AJ285" s="152"/>
      <c r="AK285" s="152"/>
      <c r="AL285" s="152"/>
      <c r="AM285" s="152"/>
      <c r="AN285" s="152"/>
      <c r="AO285" s="152"/>
      <c r="AP285" s="152"/>
      <c r="AQ285" s="152"/>
      <c r="AR285" s="152"/>
    </row>
    <row r="286" ht="12.75" customHeight="1">
      <c r="A286" s="244" t="s">
        <v>5158</v>
      </c>
      <c r="B286" s="244" t="s">
        <v>12721</v>
      </c>
      <c r="C286" s="245" t="s">
        <v>13465</v>
      </c>
      <c r="D286" s="155" t="s">
        <v>45</v>
      </c>
      <c r="E286" s="155" t="s">
        <v>92</v>
      </c>
      <c r="F286" s="154" t="str">
        <f t="array" ref="F286">XLOOKUP(Cover!$D$12,$P$1:$X$1,$P286:$X286)</f>
        <v>Mandatory</v>
      </c>
      <c r="G286" s="154" t="s">
        <v>13466</v>
      </c>
      <c r="H286" s="154" t="s">
        <v>13458</v>
      </c>
      <c r="I286" s="154" t="s">
        <v>13455</v>
      </c>
      <c r="J286" s="154" t="s">
        <v>10718</v>
      </c>
      <c r="K286" s="154" t="s">
        <v>1018</v>
      </c>
      <c r="L286" s="154" t="s">
        <v>759</v>
      </c>
      <c r="M286" s="247" t="s">
        <v>516</v>
      </c>
      <c r="N286" s="247" t="s">
        <v>12751</v>
      </c>
      <c r="O286" s="240" t="str">
        <f t="shared" si="1"/>
        <v/>
      </c>
      <c r="P286" s="154" t="s">
        <v>66</v>
      </c>
      <c r="Q286" s="154" t="s">
        <v>66</v>
      </c>
      <c r="R286" s="155" t="s">
        <v>64</v>
      </c>
      <c r="S286" s="155" t="s">
        <v>64</v>
      </c>
      <c r="T286" s="154" t="s">
        <v>60</v>
      </c>
      <c r="U286" s="154" t="s">
        <v>60</v>
      </c>
      <c r="V286" s="154" t="s">
        <v>66</v>
      </c>
      <c r="W286" s="155" t="s">
        <v>64</v>
      </c>
      <c r="X286" s="154" t="s">
        <v>60</v>
      </c>
      <c r="Y286" s="154"/>
      <c r="Z286" s="242" t="b">
        <f t="shared" si="2"/>
        <v>1</v>
      </c>
      <c r="AA286" s="154" t="s">
        <v>391</v>
      </c>
      <c r="AB286" s="242" t="b">
        <f t="shared" si="3"/>
        <v>0</v>
      </c>
      <c r="AC286" s="154"/>
      <c r="AD286" s="242" t="b">
        <f t="shared" si="4"/>
        <v>0</v>
      </c>
      <c r="AE286" s="154" t="s">
        <v>1610</v>
      </c>
      <c r="AF286" s="243" t="str">
        <f>IF(AE286="","N/A",INDIRECT("MTR!"&amp;ADDRESS(MATCH(LEFT(AE286,9),MTR!C:C,0),COLUMN(J286)),TRUE) &amp; "")</f>
        <v>Partially Complies</v>
      </c>
      <c r="AG286" s="157" t="str">
        <f t="shared" si="5"/>
        <v/>
      </c>
      <c r="AH286" s="152"/>
      <c r="AI286" s="152"/>
      <c r="AJ286" s="152"/>
      <c r="AK286" s="152"/>
      <c r="AL286" s="152"/>
      <c r="AM286" s="152"/>
      <c r="AN286" s="152"/>
      <c r="AO286" s="152"/>
      <c r="AP286" s="152"/>
      <c r="AQ286" s="152"/>
      <c r="AR286" s="152"/>
    </row>
    <row r="287" ht="12.75" customHeight="1">
      <c r="A287" s="244" t="s">
        <v>5158</v>
      </c>
      <c r="B287" s="244" t="s">
        <v>12721</v>
      </c>
      <c r="C287" s="244" t="s">
        <v>13467</v>
      </c>
      <c r="D287" s="154" t="s">
        <v>45</v>
      </c>
      <c r="E287" s="154"/>
      <c r="F287" s="154" t="str">
        <f t="array" ref="F287">XLOOKUP(Cover!$D$12,$P$1:$X$1,$P287:$X287)</f>
        <v>Information</v>
      </c>
      <c r="G287" s="154" t="s">
        <v>13468</v>
      </c>
      <c r="H287" s="154" t="s">
        <v>12950</v>
      </c>
      <c r="I287" s="154" t="s">
        <v>13469</v>
      </c>
      <c r="J287" s="154" t="s">
        <v>6126</v>
      </c>
      <c r="K287" s="154"/>
      <c r="L287" s="154" t="s">
        <v>759</v>
      </c>
      <c r="M287" s="247" t="s">
        <v>516</v>
      </c>
      <c r="N287" s="247" t="s">
        <v>12731</v>
      </c>
      <c r="O287" s="240" t="str">
        <f t="shared" si="1"/>
        <v/>
      </c>
      <c r="P287" s="154" t="s">
        <v>66</v>
      </c>
      <c r="Q287" s="154" t="s">
        <v>66</v>
      </c>
      <c r="R287" s="154" t="s">
        <v>66</v>
      </c>
      <c r="S287" s="154" t="s">
        <v>66</v>
      </c>
      <c r="T287" s="154" t="s">
        <v>66</v>
      </c>
      <c r="U287" s="154" t="s">
        <v>66</v>
      </c>
      <c r="V287" s="154" t="s">
        <v>66</v>
      </c>
      <c r="W287" s="154" t="s">
        <v>66</v>
      </c>
      <c r="X287" s="154" t="s">
        <v>66</v>
      </c>
      <c r="Y287" s="154"/>
      <c r="Z287" s="242" t="b">
        <f t="shared" si="2"/>
        <v>1</v>
      </c>
      <c r="AA287" s="154" t="s">
        <v>391</v>
      </c>
      <c r="AB287" s="242" t="b">
        <f t="shared" si="3"/>
        <v>0</v>
      </c>
      <c r="AC287" s="154"/>
      <c r="AD287" s="242" t="b">
        <f t="shared" si="4"/>
        <v>0</v>
      </c>
      <c r="AE287" s="154" t="s">
        <v>1610</v>
      </c>
      <c r="AF287" s="243" t="str">
        <f>IF(AE287="","N/A",INDIRECT("MTR!"&amp;ADDRESS(MATCH(LEFT(AE287,9),MTR!C:C,0),COLUMN(J287)),TRUE) &amp; "")</f>
        <v>Partially Complies</v>
      </c>
      <c r="AG287" s="157" t="str">
        <f t="shared" si="5"/>
        <v/>
      </c>
      <c r="AH287" s="152"/>
      <c r="AI287" s="152"/>
      <c r="AJ287" s="152"/>
      <c r="AK287" s="152"/>
      <c r="AL287" s="152"/>
      <c r="AM287" s="152"/>
      <c r="AN287" s="152"/>
      <c r="AO287" s="152"/>
      <c r="AP287" s="152"/>
      <c r="AQ287" s="152"/>
      <c r="AR287" s="152"/>
    </row>
    <row r="288" ht="12.75" customHeight="1">
      <c r="A288" s="244" t="s">
        <v>5158</v>
      </c>
      <c r="B288" s="244" t="s">
        <v>12721</v>
      </c>
      <c r="C288" s="244" t="s">
        <v>13470</v>
      </c>
      <c r="D288" s="154" t="s">
        <v>45</v>
      </c>
      <c r="E288" s="154"/>
      <c r="F288" s="154" t="str">
        <f t="array" ref="F288">XLOOKUP(Cover!$D$12,$P$1:$X$1,$P288:$X288)</f>
        <v>Information</v>
      </c>
      <c r="G288" s="154" t="s">
        <v>13471</v>
      </c>
      <c r="H288" s="154" t="s">
        <v>12951</v>
      </c>
      <c r="I288" s="154" t="s">
        <v>13469</v>
      </c>
      <c r="J288" s="154" t="s">
        <v>6126</v>
      </c>
      <c r="K288" s="154"/>
      <c r="L288" s="154" t="s">
        <v>759</v>
      </c>
      <c r="M288" s="247" t="s">
        <v>516</v>
      </c>
      <c r="N288" s="247" t="s">
        <v>12731</v>
      </c>
      <c r="O288" s="240" t="str">
        <f t="shared" si="1"/>
        <v/>
      </c>
      <c r="P288" s="154" t="s">
        <v>66</v>
      </c>
      <c r="Q288" s="154" t="s">
        <v>66</v>
      </c>
      <c r="R288" s="154" t="s">
        <v>66</v>
      </c>
      <c r="S288" s="154" t="s">
        <v>66</v>
      </c>
      <c r="T288" s="154" t="s">
        <v>66</v>
      </c>
      <c r="U288" s="154" t="s">
        <v>66</v>
      </c>
      <c r="V288" s="154" t="s">
        <v>66</v>
      </c>
      <c r="W288" s="154" t="s">
        <v>66</v>
      </c>
      <c r="X288" s="154" t="s">
        <v>66</v>
      </c>
      <c r="Y288" s="154"/>
      <c r="Z288" s="242" t="b">
        <f t="shared" si="2"/>
        <v>1</v>
      </c>
      <c r="AA288" s="154" t="s">
        <v>391</v>
      </c>
      <c r="AB288" s="242" t="b">
        <f t="shared" si="3"/>
        <v>0</v>
      </c>
      <c r="AC288" s="154"/>
      <c r="AD288" s="242" t="b">
        <f t="shared" si="4"/>
        <v>0</v>
      </c>
      <c r="AE288" s="154" t="s">
        <v>1610</v>
      </c>
      <c r="AF288" s="243" t="str">
        <f>IF(AE288="","N/A",INDIRECT("MTR!"&amp;ADDRESS(MATCH(LEFT(AE288,9),MTR!C:C,0),COLUMN(J288)),TRUE) &amp; "")</f>
        <v>Partially Complies</v>
      </c>
      <c r="AG288" s="157" t="str">
        <f t="shared" si="5"/>
        <v/>
      </c>
      <c r="AH288" s="152"/>
      <c r="AI288" s="152"/>
      <c r="AJ288" s="152"/>
      <c r="AK288" s="152"/>
      <c r="AL288" s="152"/>
      <c r="AM288" s="152"/>
      <c r="AN288" s="152"/>
      <c r="AO288" s="152"/>
      <c r="AP288" s="152"/>
      <c r="AQ288" s="152"/>
      <c r="AR288" s="152"/>
    </row>
    <row r="289" ht="12.75" customHeight="1">
      <c r="A289" s="244" t="s">
        <v>5158</v>
      </c>
      <c r="B289" s="244" t="s">
        <v>12721</v>
      </c>
      <c r="C289" s="244" t="s">
        <v>13472</v>
      </c>
      <c r="D289" s="154" t="s">
        <v>45</v>
      </c>
      <c r="E289" s="154"/>
      <c r="F289" s="154" t="str">
        <f t="array" ref="F289">XLOOKUP(Cover!$D$12,$P$1:$X$1,$P289:$X289)</f>
        <v>Information</v>
      </c>
      <c r="G289" s="154" t="s">
        <v>13473</v>
      </c>
      <c r="H289" s="154" t="s">
        <v>12950</v>
      </c>
      <c r="I289" s="154" t="s">
        <v>13469</v>
      </c>
      <c r="J289" s="154" t="s">
        <v>6126</v>
      </c>
      <c r="K289" s="154"/>
      <c r="L289" s="154" t="s">
        <v>759</v>
      </c>
      <c r="M289" s="247" t="s">
        <v>516</v>
      </c>
      <c r="N289" s="247" t="s">
        <v>12731</v>
      </c>
      <c r="O289" s="240" t="str">
        <f t="shared" si="1"/>
        <v/>
      </c>
      <c r="P289" s="154" t="s">
        <v>66</v>
      </c>
      <c r="Q289" s="154" t="s">
        <v>66</v>
      </c>
      <c r="R289" s="154" t="s">
        <v>66</v>
      </c>
      <c r="S289" s="154" t="s">
        <v>66</v>
      </c>
      <c r="T289" s="154" t="s">
        <v>66</v>
      </c>
      <c r="U289" s="154" t="s">
        <v>66</v>
      </c>
      <c r="V289" s="154" t="s">
        <v>66</v>
      </c>
      <c r="W289" s="154" t="s">
        <v>66</v>
      </c>
      <c r="X289" s="154" t="s">
        <v>66</v>
      </c>
      <c r="Y289" s="154"/>
      <c r="Z289" s="242" t="b">
        <f t="shared" si="2"/>
        <v>1</v>
      </c>
      <c r="AA289" s="154" t="s">
        <v>391</v>
      </c>
      <c r="AB289" s="242" t="b">
        <f t="shared" si="3"/>
        <v>0</v>
      </c>
      <c r="AC289" s="154"/>
      <c r="AD289" s="242" t="b">
        <f t="shared" si="4"/>
        <v>0</v>
      </c>
      <c r="AE289" s="154" t="s">
        <v>1610</v>
      </c>
      <c r="AF289" s="243" t="str">
        <f>IF(AE289="","N/A",INDIRECT("MTR!"&amp;ADDRESS(MATCH(LEFT(AE289,9),MTR!C:C,0),COLUMN(J289)),TRUE) &amp; "")</f>
        <v>Partially Complies</v>
      </c>
      <c r="AG289" s="157" t="str">
        <f t="shared" si="5"/>
        <v/>
      </c>
      <c r="AH289" s="152"/>
      <c r="AI289" s="152"/>
      <c r="AJ289" s="152"/>
      <c r="AK289" s="152"/>
      <c r="AL289" s="152"/>
      <c r="AM289" s="152"/>
      <c r="AN289" s="152"/>
      <c r="AO289" s="152"/>
      <c r="AP289" s="152"/>
      <c r="AQ289" s="152"/>
      <c r="AR289" s="152"/>
    </row>
    <row r="290" ht="12.75" customHeight="1">
      <c r="A290" s="244" t="s">
        <v>5158</v>
      </c>
      <c r="B290" s="244" t="s">
        <v>12721</v>
      </c>
      <c r="C290" s="244" t="s">
        <v>13474</v>
      </c>
      <c r="D290" s="154" t="s">
        <v>45</v>
      </c>
      <c r="E290" s="154"/>
      <c r="F290" s="154" t="str">
        <f t="array" ref="F290">XLOOKUP(Cover!$D$12,$P$1:$X$1,$P290:$X290)</f>
        <v>Information</v>
      </c>
      <c r="G290" s="154" t="s">
        <v>13475</v>
      </c>
      <c r="H290" s="154" t="s">
        <v>12951</v>
      </c>
      <c r="I290" s="154" t="s">
        <v>13469</v>
      </c>
      <c r="J290" s="154" t="s">
        <v>6126</v>
      </c>
      <c r="K290" s="154"/>
      <c r="L290" s="154" t="s">
        <v>759</v>
      </c>
      <c r="M290" s="247" t="s">
        <v>516</v>
      </c>
      <c r="N290" s="247" t="s">
        <v>12731</v>
      </c>
      <c r="O290" s="240" t="str">
        <f t="shared" si="1"/>
        <v/>
      </c>
      <c r="P290" s="154" t="s">
        <v>66</v>
      </c>
      <c r="Q290" s="154" t="s">
        <v>66</v>
      </c>
      <c r="R290" s="154" t="s">
        <v>66</v>
      </c>
      <c r="S290" s="154" t="s">
        <v>66</v>
      </c>
      <c r="T290" s="154" t="s">
        <v>66</v>
      </c>
      <c r="U290" s="154" t="s">
        <v>66</v>
      </c>
      <c r="V290" s="154" t="s">
        <v>66</v>
      </c>
      <c r="W290" s="154" t="s">
        <v>66</v>
      </c>
      <c r="X290" s="154" t="s">
        <v>66</v>
      </c>
      <c r="Y290" s="154"/>
      <c r="Z290" s="242" t="b">
        <f t="shared" si="2"/>
        <v>1</v>
      </c>
      <c r="AA290" s="154" t="s">
        <v>391</v>
      </c>
      <c r="AB290" s="242" t="b">
        <f t="shared" si="3"/>
        <v>0</v>
      </c>
      <c r="AC290" s="154"/>
      <c r="AD290" s="242" t="b">
        <f t="shared" si="4"/>
        <v>0</v>
      </c>
      <c r="AE290" s="154" t="s">
        <v>1610</v>
      </c>
      <c r="AF290" s="243" t="str">
        <f>IF(AE290="","N/A",INDIRECT("MTR!"&amp;ADDRESS(MATCH(LEFT(AE290,9),MTR!C:C,0),COLUMN(J290)),TRUE) &amp; "")</f>
        <v>Partially Complies</v>
      </c>
      <c r="AG290" s="157" t="str">
        <f t="shared" si="5"/>
        <v/>
      </c>
      <c r="AH290" s="152"/>
      <c r="AI290" s="152"/>
      <c r="AJ290" s="152"/>
      <c r="AK290" s="152"/>
      <c r="AL290" s="152"/>
      <c r="AM290" s="152"/>
      <c r="AN290" s="152"/>
      <c r="AO290" s="152"/>
      <c r="AP290" s="152"/>
      <c r="AQ290" s="152"/>
      <c r="AR290" s="152"/>
    </row>
    <row r="291" ht="12.75" customHeight="1">
      <c r="A291" s="244" t="s">
        <v>5158</v>
      </c>
      <c r="B291" s="244" t="s">
        <v>12721</v>
      </c>
      <c r="C291" s="244" t="s">
        <v>13476</v>
      </c>
      <c r="D291" s="154" t="s">
        <v>45</v>
      </c>
      <c r="E291" s="154"/>
      <c r="F291" s="154" t="str">
        <f t="array" ref="F291">XLOOKUP(Cover!$D$12,$P$1:$X$1,$P291:$X291)</f>
        <v>Information</v>
      </c>
      <c r="G291" s="154" t="s">
        <v>13477</v>
      </c>
      <c r="H291" s="154" t="s">
        <v>12950</v>
      </c>
      <c r="I291" s="154" t="s">
        <v>13469</v>
      </c>
      <c r="J291" s="154" t="s">
        <v>6655</v>
      </c>
      <c r="K291" s="154"/>
      <c r="L291" s="154" t="s">
        <v>759</v>
      </c>
      <c r="M291" s="247" t="s">
        <v>516</v>
      </c>
      <c r="N291" s="247" t="s">
        <v>12731</v>
      </c>
      <c r="O291" s="240" t="str">
        <f t="shared" si="1"/>
        <v/>
      </c>
      <c r="P291" s="154" t="s">
        <v>66</v>
      </c>
      <c r="Q291" s="154" t="s">
        <v>66</v>
      </c>
      <c r="R291" s="154" t="s">
        <v>66</v>
      </c>
      <c r="S291" s="154" t="s">
        <v>66</v>
      </c>
      <c r="T291" s="154" t="s">
        <v>66</v>
      </c>
      <c r="U291" s="154" t="s">
        <v>66</v>
      </c>
      <c r="V291" s="154" t="s">
        <v>66</v>
      </c>
      <c r="W291" s="154" t="s">
        <v>66</v>
      </c>
      <c r="X291" s="154" t="s">
        <v>66</v>
      </c>
      <c r="Y291" s="154"/>
      <c r="Z291" s="242" t="b">
        <f t="shared" si="2"/>
        <v>1</v>
      </c>
      <c r="AA291" s="154" t="s">
        <v>391</v>
      </c>
      <c r="AB291" s="242" t="b">
        <f t="shared" si="3"/>
        <v>0</v>
      </c>
      <c r="AC291" s="154"/>
      <c r="AD291" s="242" t="b">
        <f t="shared" si="4"/>
        <v>0</v>
      </c>
      <c r="AE291" s="154" t="s">
        <v>1610</v>
      </c>
      <c r="AF291" s="243" t="str">
        <f>IF(AE291="","N/A",INDIRECT("MTR!"&amp;ADDRESS(MATCH(LEFT(AE291,9),MTR!C:C,0),COLUMN(J291)),TRUE) &amp; "")</f>
        <v>Partially Complies</v>
      </c>
      <c r="AG291" s="157" t="str">
        <f t="shared" si="5"/>
        <v/>
      </c>
      <c r="AH291" s="152"/>
      <c r="AI291" s="152"/>
      <c r="AJ291" s="152"/>
      <c r="AK291" s="152"/>
      <c r="AL291" s="152"/>
      <c r="AM291" s="152"/>
      <c r="AN291" s="152"/>
      <c r="AO291" s="152"/>
      <c r="AP291" s="152"/>
      <c r="AQ291" s="152"/>
      <c r="AR291" s="152"/>
    </row>
    <row r="292" ht="12.75" customHeight="1">
      <c r="A292" s="244" t="s">
        <v>5158</v>
      </c>
      <c r="B292" s="244" t="s">
        <v>12721</v>
      </c>
      <c r="C292" s="244" t="s">
        <v>13478</v>
      </c>
      <c r="D292" s="154" t="s">
        <v>45</v>
      </c>
      <c r="E292" s="154"/>
      <c r="F292" s="154" t="str">
        <f t="array" ref="F292">XLOOKUP(Cover!$D$12,$P$1:$X$1,$P292:$X292)</f>
        <v>Information</v>
      </c>
      <c r="G292" s="154" t="s">
        <v>13479</v>
      </c>
      <c r="H292" s="154" t="s">
        <v>12951</v>
      </c>
      <c r="I292" s="154" t="s">
        <v>13469</v>
      </c>
      <c r="J292" s="154" t="s">
        <v>6655</v>
      </c>
      <c r="K292" s="154"/>
      <c r="L292" s="154" t="s">
        <v>759</v>
      </c>
      <c r="M292" s="247" t="s">
        <v>516</v>
      </c>
      <c r="N292" s="247" t="s">
        <v>12731</v>
      </c>
      <c r="O292" s="240" t="str">
        <f t="shared" si="1"/>
        <v/>
      </c>
      <c r="P292" s="154" t="s">
        <v>66</v>
      </c>
      <c r="Q292" s="154" t="s">
        <v>66</v>
      </c>
      <c r="R292" s="154" t="s">
        <v>66</v>
      </c>
      <c r="S292" s="154" t="s">
        <v>66</v>
      </c>
      <c r="T292" s="154" t="s">
        <v>66</v>
      </c>
      <c r="U292" s="154" t="s">
        <v>66</v>
      </c>
      <c r="V292" s="154" t="s">
        <v>66</v>
      </c>
      <c r="W292" s="154" t="s">
        <v>66</v>
      </c>
      <c r="X292" s="154" t="s">
        <v>66</v>
      </c>
      <c r="Y292" s="154"/>
      <c r="Z292" s="242" t="b">
        <f t="shared" si="2"/>
        <v>1</v>
      </c>
      <c r="AA292" s="154" t="s">
        <v>391</v>
      </c>
      <c r="AB292" s="242" t="b">
        <f t="shared" si="3"/>
        <v>0</v>
      </c>
      <c r="AC292" s="154"/>
      <c r="AD292" s="242" t="b">
        <f t="shared" si="4"/>
        <v>0</v>
      </c>
      <c r="AE292" s="154" t="s">
        <v>1610</v>
      </c>
      <c r="AF292" s="243" t="str">
        <f>IF(AE292="","N/A",INDIRECT("MTR!"&amp;ADDRESS(MATCH(LEFT(AE292,9),MTR!C:C,0),COLUMN(J292)),TRUE) &amp; "")</f>
        <v>Partially Complies</v>
      </c>
      <c r="AG292" s="157" t="str">
        <f t="shared" si="5"/>
        <v/>
      </c>
      <c r="AH292" s="152"/>
      <c r="AI292" s="152"/>
      <c r="AJ292" s="152"/>
      <c r="AK292" s="152"/>
      <c r="AL292" s="152"/>
      <c r="AM292" s="152"/>
      <c r="AN292" s="152"/>
      <c r="AO292" s="152"/>
      <c r="AP292" s="152"/>
      <c r="AQ292" s="152"/>
      <c r="AR292" s="152"/>
    </row>
    <row r="293" ht="12.75" customHeight="1">
      <c r="A293" s="244" t="s">
        <v>5158</v>
      </c>
      <c r="B293" s="244" t="s">
        <v>12721</v>
      </c>
      <c r="C293" s="244" t="s">
        <v>13480</v>
      </c>
      <c r="D293" s="154" t="s">
        <v>1773</v>
      </c>
      <c r="E293" s="154"/>
      <c r="F293" s="154" t="str">
        <f t="array" ref="F293">XLOOKUP(Cover!$D$12,$P$1:$X$1,$P293:$X293)</f>
        <v>Information</v>
      </c>
      <c r="G293" s="154" t="s">
        <v>13481</v>
      </c>
      <c r="H293" s="154" t="s">
        <v>13482</v>
      </c>
      <c r="I293" s="154" t="s">
        <v>13483</v>
      </c>
      <c r="J293" s="154" t="s">
        <v>6126</v>
      </c>
      <c r="K293" s="154"/>
      <c r="L293" s="154" t="s">
        <v>759</v>
      </c>
      <c r="M293" s="247" t="s">
        <v>516</v>
      </c>
      <c r="N293" s="247" t="s">
        <v>12731</v>
      </c>
      <c r="O293" s="240" t="str">
        <f t="shared" si="1"/>
        <v/>
      </c>
      <c r="P293" s="154" t="s">
        <v>66</v>
      </c>
      <c r="Q293" s="154" t="s">
        <v>66</v>
      </c>
      <c r="R293" s="154" t="s">
        <v>66</v>
      </c>
      <c r="S293" s="154" t="s">
        <v>66</v>
      </c>
      <c r="T293" s="154" t="s">
        <v>66</v>
      </c>
      <c r="U293" s="154" t="s">
        <v>66</v>
      </c>
      <c r="V293" s="154" t="s">
        <v>66</v>
      </c>
      <c r="W293" s="154" t="s">
        <v>66</v>
      </c>
      <c r="X293" s="154" t="s">
        <v>66</v>
      </c>
      <c r="Y293" s="154"/>
      <c r="Z293" s="242" t="b">
        <f t="shared" si="2"/>
        <v>1</v>
      </c>
      <c r="AA293" s="154" t="s">
        <v>391</v>
      </c>
      <c r="AB293" s="242" t="b">
        <f t="shared" si="3"/>
        <v>0</v>
      </c>
      <c r="AC293" s="154"/>
      <c r="AD293" s="242" t="b">
        <f t="shared" si="4"/>
        <v>0</v>
      </c>
      <c r="AE293" s="154" t="s">
        <v>1610</v>
      </c>
      <c r="AF293" s="243" t="str">
        <f>IF(AE293="","N/A",INDIRECT("MTR!"&amp;ADDRESS(MATCH(LEFT(AE293,9),MTR!C:C,0),COLUMN(J293)),TRUE) &amp; "")</f>
        <v>Partially Complies</v>
      </c>
      <c r="AG293" s="157" t="str">
        <f t="shared" si="5"/>
        <v/>
      </c>
      <c r="AH293" s="152"/>
      <c r="AI293" s="152"/>
      <c r="AJ293" s="152"/>
      <c r="AK293" s="152"/>
      <c r="AL293" s="152"/>
      <c r="AM293" s="152"/>
      <c r="AN293" s="152"/>
      <c r="AO293" s="152"/>
      <c r="AP293" s="152"/>
      <c r="AQ293" s="152"/>
      <c r="AR293" s="152"/>
    </row>
    <row r="294" ht="12.75" customHeight="1">
      <c r="A294" s="244" t="s">
        <v>5158</v>
      </c>
      <c r="B294" s="244" t="s">
        <v>12721</v>
      </c>
      <c r="C294" s="244" t="s">
        <v>13484</v>
      </c>
      <c r="D294" s="154" t="s">
        <v>1773</v>
      </c>
      <c r="E294" s="154"/>
      <c r="F294" s="154" t="str">
        <f t="array" ref="F294">XLOOKUP(Cover!$D$12,$P$1:$X$1,$P294:$X294)</f>
        <v>Information</v>
      </c>
      <c r="G294" s="154" t="s">
        <v>13485</v>
      </c>
      <c r="H294" s="154" t="s">
        <v>13486</v>
      </c>
      <c r="I294" s="154" t="s">
        <v>13487</v>
      </c>
      <c r="J294" s="154" t="s">
        <v>6126</v>
      </c>
      <c r="K294" s="154"/>
      <c r="L294" s="154" t="s">
        <v>759</v>
      </c>
      <c r="M294" s="247" t="s">
        <v>516</v>
      </c>
      <c r="N294" s="247" t="s">
        <v>12731</v>
      </c>
      <c r="O294" s="240" t="str">
        <f t="shared" si="1"/>
        <v/>
      </c>
      <c r="P294" s="154" t="s">
        <v>66</v>
      </c>
      <c r="Q294" s="154" t="s">
        <v>66</v>
      </c>
      <c r="R294" s="154" t="s">
        <v>66</v>
      </c>
      <c r="S294" s="154" t="s">
        <v>66</v>
      </c>
      <c r="T294" s="154" t="s">
        <v>66</v>
      </c>
      <c r="U294" s="154" t="s">
        <v>66</v>
      </c>
      <c r="V294" s="154" t="s">
        <v>66</v>
      </c>
      <c r="W294" s="154" t="s">
        <v>66</v>
      </c>
      <c r="X294" s="154" t="s">
        <v>66</v>
      </c>
      <c r="Y294" s="154"/>
      <c r="Z294" s="242" t="b">
        <f t="shared" si="2"/>
        <v>1</v>
      </c>
      <c r="AA294" s="154" t="s">
        <v>391</v>
      </c>
      <c r="AB294" s="242" t="b">
        <f t="shared" si="3"/>
        <v>0</v>
      </c>
      <c r="AC294" s="154"/>
      <c r="AD294" s="242" t="b">
        <f t="shared" si="4"/>
        <v>0</v>
      </c>
      <c r="AE294" s="154" t="s">
        <v>1610</v>
      </c>
      <c r="AF294" s="243" t="str">
        <f>IF(AE294="","N/A",INDIRECT("MTR!"&amp;ADDRESS(MATCH(LEFT(AE294,9),MTR!C:C,0),COLUMN(J294)),TRUE) &amp; "")</f>
        <v>Partially Complies</v>
      </c>
      <c r="AG294" s="157" t="str">
        <f t="shared" si="5"/>
        <v/>
      </c>
      <c r="AH294" s="152"/>
      <c r="AI294" s="152"/>
      <c r="AJ294" s="152"/>
      <c r="AK294" s="152"/>
      <c r="AL294" s="152"/>
      <c r="AM294" s="152"/>
      <c r="AN294" s="152"/>
      <c r="AO294" s="152"/>
      <c r="AP294" s="152"/>
      <c r="AQ294" s="152"/>
      <c r="AR294" s="152"/>
    </row>
    <row r="295" ht="12.75" customHeight="1">
      <c r="A295" s="244" t="s">
        <v>5158</v>
      </c>
      <c r="B295" s="244" t="s">
        <v>12721</v>
      </c>
      <c r="C295" s="244" t="s">
        <v>13488</v>
      </c>
      <c r="D295" s="154" t="s">
        <v>1069</v>
      </c>
      <c r="E295" s="154"/>
      <c r="F295" s="154" t="str">
        <f t="array" ref="F295">XLOOKUP(Cover!$D$12,$P$1:$X$1,$P295:$X295)</f>
        <v>Information</v>
      </c>
      <c r="G295" s="154" t="s">
        <v>13489</v>
      </c>
      <c r="H295" s="154" t="s">
        <v>13490</v>
      </c>
      <c r="I295" s="154" t="s">
        <v>13487</v>
      </c>
      <c r="J295" s="154" t="s">
        <v>6126</v>
      </c>
      <c r="K295" s="154"/>
      <c r="L295" s="154" t="s">
        <v>759</v>
      </c>
      <c r="M295" s="247" t="s">
        <v>516</v>
      </c>
      <c r="N295" s="247" t="s">
        <v>12731</v>
      </c>
      <c r="O295" s="240" t="str">
        <f t="shared" si="1"/>
        <v/>
      </c>
      <c r="P295" s="154" t="s">
        <v>66</v>
      </c>
      <c r="Q295" s="154" t="s">
        <v>66</v>
      </c>
      <c r="R295" s="154" t="s">
        <v>66</v>
      </c>
      <c r="S295" s="154" t="s">
        <v>66</v>
      </c>
      <c r="T295" s="154" t="s">
        <v>66</v>
      </c>
      <c r="U295" s="154" t="s">
        <v>66</v>
      </c>
      <c r="V295" s="154" t="s">
        <v>66</v>
      </c>
      <c r="W295" s="154" t="s">
        <v>66</v>
      </c>
      <c r="X295" s="154" t="s">
        <v>66</v>
      </c>
      <c r="Y295" s="154"/>
      <c r="Z295" s="242" t="b">
        <f t="shared" si="2"/>
        <v>1</v>
      </c>
      <c r="AA295" s="154" t="s">
        <v>391</v>
      </c>
      <c r="AB295" s="242" t="b">
        <f t="shared" si="3"/>
        <v>0</v>
      </c>
      <c r="AC295" s="154"/>
      <c r="AD295" s="242" t="b">
        <f t="shared" si="4"/>
        <v>0</v>
      </c>
      <c r="AE295" s="154" t="s">
        <v>1610</v>
      </c>
      <c r="AF295" s="243" t="str">
        <f>IF(AE295="","N/A",INDIRECT("MTR!"&amp;ADDRESS(MATCH(LEFT(AE295,9),MTR!C:C,0),COLUMN(J295)),TRUE) &amp; "")</f>
        <v>Partially Complies</v>
      </c>
      <c r="AG295" s="157" t="str">
        <f t="shared" si="5"/>
        <v/>
      </c>
      <c r="AH295" s="152"/>
      <c r="AI295" s="152"/>
      <c r="AJ295" s="152"/>
      <c r="AK295" s="152"/>
      <c r="AL295" s="152"/>
      <c r="AM295" s="152"/>
      <c r="AN295" s="152"/>
      <c r="AO295" s="152"/>
      <c r="AP295" s="152"/>
      <c r="AQ295" s="152"/>
      <c r="AR295" s="152"/>
    </row>
    <row r="296" ht="12.75" customHeight="1">
      <c r="A296" s="244" t="s">
        <v>5158</v>
      </c>
      <c r="B296" s="244" t="s">
        <v>12721</v>
      </c>
      <c r="C296" s="255" t="s">
        <v>13491</v>
      </c>
      <c r="D296" s="256" t="s">
        <v>42</v>
      </c>
      <c r="E296" s="256" t="s">
        <v>489</v>
      </c>
      <c r="F296" s="154" t="str">
        <f t="array" ref="F296">XLOOKUP(Cover!$D$12,$P$1:$X$1,$P296:$X296)</f>
        <v>Information</v>
      </c>
      <c r="G296" s="154" t="s">
        <v>13492</v>
      </c>
      <c r="H296" s="154" t="s">
        <v>13493</v>
      </c>
      <c r="I296" s="154" t="s">
        <v>13494</v>
      </c>
      <c r="J296" s="154" t="s">
        <v>5931</v>
      </c>
      <c r="K296" s="154"/>
      <c r="L296" s="154" t="s">
        <v>759</v>
      </c>
      <c r="M296" s="247" t="s">
        <v>516</v>
      </c>
      <c r="N296" s="247" t="s">
        <v>12731</v>
      </c>
      <c r="O296" s="240" t="str">
        <f t="shared" si="1"/>
        <v/>
      </c>
      <c r="P296" s="154" t="s">
        <v>66</v>
      </c>
      <c r="Q296" s="154" t="s">
        <v>66</v>
      </c>
      <c r="R296" s="154" t="s">
        <v>66</v>
      </c>
      <c r="S296" s="154" t="s">
        <v>66</v>
      </c>
      <c r="T296" s="154" t="s">
        <v>66</v>
      </c>
      <c r="U296" s="154" t="s">
        <v>66</v>
      </c>
      <c r="V296" s="154" t="s">
        <v>66</v>
      </c>
      <c r="W296" s="154" t="s">
        <v>66</v>
      </c>
      <c r="X296" s="154" t="s">
        <v>66</v>
      </c>
      <c r="Y296" s="154"/>
      <c r="Z296" s="242" t="b">
        <f t="shared" si="2"/>
        <v>1</v>
      </c>
      <c r="AA296" s="154" t="s">
        <v>391</v>
      </c>
      <c r="AB296" s="242" t="b">
        <f t="shared" si="3"/>
        <v>0</v>
      </c>
      <c r="AC296" s="154"/>
      <c r="AD296" s="242" t="b">
        <f t="shared" si="4"/>
        <v>0</v>
      </c>
      <c r="AE296" s="154" t="s">
        <v>1610</v>
      </c>
      <c r="AF296" s="243" t="str">
        <f>IF(AE296="","N/A",INDIRECT("MTR!"&amp;ADDRESS(MATCH(LEFT(AE296,9),MTR!C:C,0),COLUMN(J296)),TRUE) &amp; "")</f>
        <v>Partially Complies</v>
      </c>
      <c r="AG296" s="157" t="str">
        <f t="shared" si="5"/>
        <v/>
      </c>
      <c r="AH296" s="152"/>
      <c r="AI296" s="152"/>
      <c r="AJ296" s="152"/>
      <c r="AK296" s="152"/>
      <c r="AL296" s="152"/>
      <c r="AM296" s="152"/>
      <c r="AN296" s="152"/>
      <c r="AO296" s="152"/>
      <c r="AP296" s="152"/>
      <c r="AQ296" s="152"/>
      <c r="AR296" s="152"/>
    </row>
    <row r="297" ht="12.75" customHeight="1">
      <c r="A297" s="244" t="s">
        <v>5158</v>
      </c>
      <c r="B297" s="244" t="s">
        <v>12721</v>
      </c>
      <c r="C297" s="255" t="s">
        <v>13495</v>
      </c>
      <c r="D297" s="256" t="s">
        <v>42</v>
      </c>
      <c r="E297" s="256" t="s">
        <v>489</v>
      </c>
      <c r="F297" s="154" t="str">
        <f t="array" ref="F297">XLOOKUP(Cover!$D$12,$P$1:$X$1,$P297:$X297)</f>
        <v>Information</v>
      </c>
      <c r="G297" s="154" t="s">
        <v>13496</v>
      </c>
      <c r="H297" s="154" t="s">
        <v>13497</v>
      </c>
      <c r="I297" s="154" t="s">
        <v>13494</v>
      </c>
      <c r="J297" s="154" t="s">
        <v>5931</v>
      </c>
      <c r="K297" s="154"/>
      <c r="L297" s="154" t="s">
        <v>759</v>
      </c>
      <c r="M297" s="247" t="s">
        <v>516</v>
      </c>
      <c r="N297" s="247" t="s">
        <v>12731</v>
      </c>
      <c r="O297" s="240" t="str">
        <f t="shared" si="1"/>
        <v/>
      </c>
      <c r="P297" s="154" t="s">
        <v>66</v>
      </c>
      <c r="Q297" s="154" t="s">
        <v>66</v>
      </c>
      <c r="R297" s="154" t="s">
        <v>66</v>
      </c>
      <c r="S297" s="154" t="s">
        <v>66</v>
      </c>
      <c r="T297" s="154" t="s">
        <v>66</v>
      </c>
      <c r="U297" s="154" t="s">
        <v>66</v>
      </c>
      <c r="V297" s="154" t="s">
        <v>66</v>
      </c>
      <c r="W297" s="154" t="s">
        <v>66</v>
      </c>
      <c r="X297" s="154" t="s">
        <v>66</v>
      </c>
      <c r="Y297" s="154"/>
      <c r="Z297" s="242" t="b">
        <f t="shared" si="2"/>
        <v>1</v>
      </c>
      <c r="AA297" s="154" t="s">
        <v>391</v>
      </c>
      <c r="AB297" s="242" t="b">
        <f t="shared" si="3"/>
        <v>0</v>
      </c>
      <c r="AC297" s="154"/>
      <c r="AD297" s="242" t="b">
        <f t="shared" si="4"/>
        <v>0</v>
      </c>
      <c r="AE297" s="154" t="s">
        <v>1610</v>
      </c>
      <c r="AF297" s="243" t="str">
        <f>IF(AE297="","N/A",INDIRECT("MTR!"&amp;ADDRESS(MATCH(LEFT(AE297,9),MTR!C:C,0),COLUMN(J297)),TRUE) &amp; "")</f>
        <v>Partially Complies</v>
      </c>
      <c r="AG297" s="157" t="str">
        <f t="shared" si="5"/>
        <v/>
      </c>
      <c r="AH297" s="152"/>
      <c r="AI297" s="152"/>
      <c r="AJ297" s="152"/>
      <c r="AK297" s="152"/>
      <c r="AL297" s="152"/>
      <c r="AM297" s="152"/>
      <c r="AN297" s="152"/>
      <c r="AO297" s="152"/>
      <c r="AP297" s="152"/>
      <c r="AQ297" s="152"/>
      <c r="AR297" s="152"/>
    </row>
    <row r="298" ht="12.75" customHeight="1">
      <c r="A298" s="244" t="s">
        <v>5158</v>
      </c>
      <c r="B298" s="244" t="s">
        <v>12721</v>
      </c>
      <c r="C298" s="244" t="s">
        <v>13498</v>
      </c>
      <c r="D298" s="154" t="s">
        <v>1315</v>
      </c>
      <c r="E298" s="154"/>
      <c r="F298" s="154" t="str">
        <f t="array" ref="F298">XLOOKUP(Cover!$D$12,$P$1:$X$1,$P298:$X298)</f>
        <v>Mandatory</v>
      </c>
      <c r="G298" s="154" t="s">
        <v>13499</v>
      </c>
      <c r="H298" s="154" t="s">
        <v>13500</v>
      </c>
      <c r="I298" s="154" t="s">
        <v>13501</v>
      </c>
      <c r="J298" s="154" t="s">
        <v>6529</v>
      </c>
      <c r="K298" s="154" t="s">
        <v>1018</v>
      </c>
      <c r="L298" s="154" t="s">
        <v>759</v>
      </c>
      <c r="M298" s="247" t="s">
        <v>506</v>
      </c>
      <c r="N298" s="247" t="s">
        <v>12738</v>
      </c>
      <c r="O298" s="240" t="str">
        <f t="shared" si="1"/>
        <v/>
      </c>
      <c r="P298" s="154" t="s">
        <v>66</v>
      </c>
      <c r="Q298" s="154" t="s">
        <v>66</v>
      </c>
      <c r="R298" s="154" t="s">
        <v>60</v>
      </c>
      <c r="S298" s="154" t="s">
        <v>60</v>
      </c>
      <c r="T298" s="154" t="s">
        <v>60</v>
      </c>
      <c r="U298" s="154" t="s">
        <v>60</v>
      </c>
      <c r="V298" s="154" t="s">
        <v>66</v>
      </c>
      <c r="W298" s="154" t="s">
        <v>60</v>
      </c>
      <c r="X298" s="154" t="s">
        <v>60</v>
      </c>
      <c r="Y298" s="154"/>
      <c r="Z298" s="242" t="b">
        <f t="shared" si="2"/>
        <v>1</v>
      </c>
      <c r="AA298" s="154" t="s">
        <v>391</v>
      </c>
      <c r="AB298" s="242" t="b">
        <f t="shared" si="3"/>
        <v>0</v>
      </c>
      <c r="AC298" s="154"/>
      <c r="AD298" s="242" t="b">
        <f t="shared" si="4"/>
        <v>0</v>
      </c>
      <c r="AE298" s="154" t="s">
        <v>1610</v>
      </c>
      <c r="AF298" s="243" t="str">
        <f>IF(AE298="","N/A",INDIRECT("MTR!"&amp;ADDRESS(MATCH(LEFT(AE298,9),MTR!C:C,0),COLUMN(J298)),TRUE) &amp; "")</f>
        <v>Partially Complies</v>
      </c>
      <c r="AG298" s="157" t="str">
        <f t="shared" si="5"/>
        <v/>
      </c>
      <c r="AH298" s="152"/>
      <c r="AI298" s="152"/>
      <c r="AJ298" s="152"/>
      <c r="AK298" s="152"/>
      <c r="AL298" s="152"/>
      <c r="AM298" s="152"/>
      <c r="AN298" s="152"/>
      <c r="AO298" s="152"/>
      <c r="AP298" s="152"/>
      <c r="AQ298" s="152"/>
      <c r="AR298" s="152"/>
    </row>
    <row r="299" ht="12.75" customHeight="1">
      <c r="A299" s="244" t="s">
        <v>5158</v>
      </c>
      <c r="B299" s="244" t="s">
        <v>12721</v>
      </c>
      <c r="C299" s="244" t="s">
        <v>13502</v>
      </c>
      <c r="D299" s="154" t="s">
        <v>1773</v>
      </c>
      <c r="E299" s="154"/>
      <c r="F299" s="154" t="str">
        <f t="array" ref="F299">XLOOKUP(Cover!$D$12,$P$1:$X$1,$P299:$X299)</f>
        <v>Mandatory</v>
      </c>
      <c r="G299" s="154" t="s">
        <v>13503</v>
      </c>
      <c r="H299" s="154" t="s">
        <v>13504</v>
      </c>
      <c r="I299" s="154" t="s">
        <v>13501</v>
      </c>
      <c r="J299" s="154" t="s">
        <v>7175</v>
      </c>
      <c r="K299" s="154" t="s">
        <v>1018</v>
      </c>
      <c r="L299" s="154" t="s">
        <v>759</v>
      </c>
      <c r="M299" s="247" t="s">
        <v>516</v>
      </c>
      <c r="N299" s="247" t="s">
        <v>12741</v>
      </c>
      <c r="O299" s="240" t="str">
        <f t="shared" si="1"/>
        <v/>
      </c>
      <c r="P299" s="154" t="s">
        <v>66</v>
      </c>
      <c r="Q299" s="154" t="s">
        <v>66</v>
      </c>
      <c r="R299" s="155" t="s">
        <v>64</v>
      </c>
      <c r="S299" s="155" t="s">
        <v>64</v>
      </c>
      <c r="T299" s="154" t="s">
        <v>60</v>
      </c>
      <c r="U299" s="154" t="s">
        <v>60</v>
      </c>
      <c r="V299" s="154" t="s">
        <v>66</v>
      </c>
      <c r="W299" s="155" t="s">
        <v>64</v>
      </c>
      <c r="X299" s="154" t="s">
        <v>60</v>
      </c>
      <c r="Y299" s="154"/>
      <c r="Z299" s="242" t="b">
        <f t="shared" si="2"/>
        <v>1</v>
      </c>
      <c r="AA299" s="154" t="s">
        <v>391</v>
      </c>
      <c r="AB299" s="242" t="b">
        <f t="shared" si="3"/>
        <v>0</v>
      </c>
      <c r="AC299" s="154"/>
      <c r="AD299" s="242" t="b">
        <f t="shared" si="4"/>
        <v>0</v>
      </c>
      <c r="AE299" s="154" t="s">
        <v>1610</v>
      </c>
      <c r="AF299" s="243" t="str">
        <f>IF(AE299="","N/A",INDIRECT("MTR!"&amp;ADDRESS(MATCH(LEFT(AE299,9),MTR!C:C,0),COLUMN(J299)),TRUE) &amp; "")</f>
        <v>Partially Complies</v>
      </c>
      <c r="AG299" s="157" t="str">
        <f t="shared" si="5"/>
        <v/>
      </c>
      <c r="AH299" s="152"/>
      <c r="AI299" s="152"/>
      <c r="AJ299" s="152"/>
      <c r="AK299" s="152"/>
      <c r="AL299" s="152"/>
      <c r="AM299" s="152"/>
      <c r="AN299" s="152"/>
      <c r="AO299" s="152"/>
      <c r="AP299" s="152"/>
      <c r="AQ299" s="152"/>
      <c r="AR299" s="152"/>
    </row>
    <row r="300" ht="12.75" customHeight="1">
      <c r="A300" s="244" t="s">
        <v>5158</v>
      </c>
      <c r="B300" s="244" t="s">
        <v>12721</v>
      </c>
      <c r="C300" s="244" t="s">
        <v>13505</v>
      </c>
      <c r="D300" s="154" t="s">
        <v>1315</v>
      </c>
      <c r="E300" s="154"/>
      <c r="F300" s="154" t="str">
        <f t="array" ref="F300">XLOOKUP(Cover!$D$12,$P$1:$X$1,$P300:$X300)</f>
        <v>Mandatory</v>
      </c>
      <c r="G300" s="154" t="s">
        <v>13506</v>
      </c>
      <c r="H300" s="154" t="s">
        <v>13500</v>
      </c>
      <c r="I300" s="154" t="s">
        <v>13501</v>
      </c>
      <c r="J300" s="154" t="s">
        <v>6905</v>
      </c>
      <c r="K300" s="154" t="s">
        <v>1018</v>
      </c>
      <c r="L300" s="154" t="s">
        <v>759</v>
      </c>
      <c r="M300" s="247" t="s">
        <v>506</v>
      </c>
      <c r="N300" s="247" t="s">
        <v>12738</v>
      </c>
      <c r="O300" s="240" t="str">
        <f t="shared" si="1"/>
        <v/>
      </c>
      <c r="P300" s="154" t="s">
        <v>66</v>
      </c>
      <c r="Q300" s="154" t="s">
        <v>66</v>
      </c>
      <c r="R300" s="154" t="s">
        <v>60</v>
      </c>
      <c r="S300" s="154" t="s">
        <v>60</v>
      </c>
      <c r="T300" s="154" t="s">
        <v>60</v>
      </c>
      <c r="U300" s="154" t="s">
        <v>60</v>
      </c>
      <c r="V300" s="154" t="s">
        <v>66</v>
      </c>
      <c r="W300" s="154" t="s">
        <v>60</v>
      </c>
      <c r="X300" s="154" t="s">
        <v>60</v>
      </c>
      <c r="Y300" s="154"/>
      <c r="Z300" s="242" t="b">
        <f t="shared" si="2"/>
        <v>1</v>
      </c>
      <c r="AA300" s="154" t="s">
        <v>391</v>
      </c>
      <c r="AB300" s="242" t="b">
        <f t="shared" si="3"/>
        <v>0</v>
      </c>
      <c r="AC300" s="154"/>
      <c r="AD300" s="242" t="b">
        <f t="shared" si="4"/>
        <v>0</v>
      </c>
      <c r="AE300" s="154" t="s">
        <v>1610</v>
      </c>
      <c r="AF300" s="243" t="str">
        <f>IF(AE300="","N/A",INDIRECT("MTR!"&amp;ADDRESS(MATCH(LEFT(AE300,9),MTR!C:C,0),COLUMN(J300)),TRUE) &amp; "")</f>
        <v>Partially Complies</v>
      </c>
      <c r="AG300" s="157" t="str">
        <f t="shared" si="5"/>
        <v/>
      </c>
      <c r="AH300" s="152"/>
      <c r="AI300" s="152"/>
      <c r="AJ300" s="152"/>
      <c r="AK300" s="152"/>
      <c r="AL300" s="152"/>
      <c r="AM300" s="152"/>
      <c r="AN300" s="152"/>
      <c r="AO300" s="152"/>
      <c r="AP300" s="152"/>
      <c r="AQ300" s="152"/>
      <c r="AR300" s="152"/>
    </row>
    <row r="301" ht="12.75" customHeight="1">
      <c r="A301" s="244" t="s">
        <v>5158</v>
      </c>
      <c r="B301" s="244" t="s">
        <v>12721</v>
      </c>
      <c r="C301" s="244" t="s">
        <v>13507</v>
      </c>
      <c r="D301" s="154" t="s">
        <v>1315</v>
      </c>
      <c r="E301" s="154"/>
      <c r="F301" s="154" t="str">
        <f t="array" ref="F301">XLOOKUP(Cover!$D$12,$P$1:$X$1,$P301:$X301)</f>
        <v>Mandatory</v>
      </c>
      <c r="G301" s="154" t="s">
        <v>13508</v>
      </c>
      <c r="H301" s="154" t="s">
        <v>13509</v>
      </c>
      <c r="I301" s="154" t="s">
        <v>13501</v>
      </c>
      <c r="J301" s="154" t="s">
        <v>6905</v>
      </c>
      <c r="K301" s="154" t="s">
        <v>1018</v>
      </c>
      <c r="L301" s="154" t="s">
        <v>759</v>
      </c>
      <c r="M301" s="247" t="s">
        <v>516</v>
      </c>
      <c r="N301" s="247" t="s">
        <v>12741</v>
      </c>
      <c r="O301" s="240" t="str">
        <f t="shared" si="1"/>
        <v/>
      </c>
      <c r="P301" s="154" t="s">
        <v>66</v>
      </c>
      <c r="Q301" s="154" t="s">
        <v>66</v>
      </c>
      <c r="R301" s="155" t="s">
        <v>64</v>
      </c>
      <c r="S301" s="155" t="s">
        <v>64</v>
      </c>
      <c r="T301" s="154" t="s">
        <v>60</v>
      </c>
      <c r="U301" s="154" t="s">
        <v>60</v>
      </c>
      <c r="V301" s="154" t="s">
        <v>66</v>
      </c>
      <c r="W301" s="155" t="s">
        <v>64</v>
      </c>
      <c r="X301" s="154" t="s">
        <v>60</v>
      </c>
      <c r="Y301" s="154"/>
      <c r="Z301" s="242" t="b">
        <f t="shared" si="2"/>
        <v>1</v>
      </c>
      <c r="AA301" s="154" t="s">
        <v>391</v>
      </c>
      <c r="AB301" s="242" t="b">
        <f t="shared" si="3"/>
        <v>0</v>
      </c>
      <c r="AC301" s="154"/>
      <c r="AD301" s="242" t="b">
        <f t="shared" si="4"/>
        <v>0</v>
      </c>
      <c r="AE301" s="154" t="s">
        <v>1610</v>
      </c>
      <c r="AF301" s="243" t="str">
        <f>IF(AE301="","N/A",INDIRECT("MTR!"&amp;ADDRESS(MATCH(LEFT(AE301,9),MTR!C:C,0),COLUMN(J301)),TRUE) &amp; "")</f>
        <v>Partially Complies</v>
      </c>
      <c r="AG301" s="157" t="str">
        <f t="shared" si="5"/>
        <v/>
      </c>
      <c r="AH301" s="152"/>
      <c r="AI301" s="152"/>
      <c r="AJ301" s="152"/>
      <c r="AK301" s="152"/>
      <c r="AL301" s="152"/>
      <c r="AM301" s="152"/>
      <c r="AN301" s="152"/>
      <c r="AO301" s="152"/>
      <c r="AP301" s="152"/>
      <c r="AQ301" s="152"/>
      <c r="AR301" s="152"/>
    </row>
    <row r="302" ht="12.75" customHeight="1">
      <c r="A302" s="244" t="s">
        <v>5158</v>
      </c>
      <c r="B302" s="244" t="s">
        <v>12721</v>
      </c>
      <c r="C302" s="244" t="s">
        <v>13510</v>
      </c>
      <c r="D302" s="154" t="s">
        <v>45</v>
      </c>
      <c r="E302" s="154"/>
      <c r="F302" s="154" t="str">
        <f t="array" ref="F302">XLOOKUP(Cover!$D$12,$P$1:$X$1,$P302:$X302)</f>
        <v>Recommended</v>
      </c>
      <c r="G302" s="154" t="s">
        <v>13511</v>
      </c>
      <c r="H302" s="154" t="s">
        <v>12950</v>
      </c>
      <c r="I302" s="154" t="s">
        <v>13512</v>
      </c>
      <c r="J302" s="154" t="s">
        <v>10718</v>
      </c>
      <c r="K302" s="154"/>
      <c r="L302" s="154" t="s">
        <v>759</v>
      </c>
      <c r="M302" s="247" t="s">
        <v>516</v>
      </c>
      <c r="N302" s="247" t="s">
        <v>12731</v>
      </c>
      <c r="O302" s="240" t="str">
        <f t="shared" si="1"/>
        <v/>
      </c>
      <c r="P302" s="154" t="s">
        <v>66</v>
      </c>
      <c r="Q302" s="154" t="s">
        <v>66</v>
      </c>
      <c r="R302" s="154" t="s">
        <v>64</v>
      </c>
      <c r="S302" s="154" t="s">
        <v>64</v>
      </c>
      <c r="T302" s="154" t="s">
        <v>64</v>
      </c>
      <c r="U302" s="154" t="s">
        <v>64</v>
      </c>
      <c r="V302" s="154" t="s">
        <v>66</v>
      </c>
      <c r="W302" s="154" t="s">
        <v>64</v>
      </c>
      <c r="X302" s="154" t="s">
        <v>64</v>
      </c>
      <c r="Y302" s="154"/>
      <c r="Z302" s="242" t="b">
        <f t="shared" si="2"/>
        <v>1</v>
      </c>
      <c r="AA302" s="154" t="s">
        <v>391</v>
      </c>
      <c r="AB302" s="242" t="b">
        <f t="shared" si="3"/>
        <v>0</v>
      </c>
      <c r="AC302" s="154"/>
      <c r="AD302" s="242" t="b">
        <f t="shared" si="4"/>
        <v>0</v>
      </c>
      <c r="AE302" s="154" t="s">
        <v>1610</v>
      </c>
      <c r="AF302" s="243" t="str">
        <f>IF(AE302="","N/A",INDIRECT("MTR!"&amp;ADDRESS(MATCH(LEFT(AE302,9),MTR!C:C,0),COLUMN(J302)),TRUE) &amp; "")</f>
        <v>Partially Complies</v>
      </c>
      <c r="AG302" s="157" t="str">
        <f t="shared" si="5"/>
        <v/>
      </c>
      <c r="AH302" s="152"/>
      <c r="AI302" s="152"/>
      <c r="AJ302" s="152"/>
      <c r="AK302" s="152"/>
      <c r="AL302" s="152"/>
      <c r="AM302" s="152"/>
      <c r="AN302" s="152"/>
      <c r="AO302" s="152"/>
      <c r="AP302" s="152"/>
      <c r="AQ302" s="152"/>
      <c r="AR302" s="152"/>
    </row>
    <row r="303" ht="12.75" customHeight="1">
      <c r="A303" s="244" t="s">
        <v>5158</v>
      </c>
      <c r="B303" s="244" t="s">
        <v>12721</v>
      </c>
      <c r="C303" s="244" t="s">
        <v>13513</v>
      </c>
      <c r="D303" s="154" t="s">
        <v>503</v>
      </c>
      <c r="E303" s="154"/>
      <c r="F303" s="154" t="str">
        <f t="array" ref="F303">XLOOKUP(Cover!$D$12,$P$1:$X$1,$P303:$X303)</f>
        <v>Recommended</v>
      </c>
      <c r="G303" s="154" t="s">
        <v>13514</v>
      </c>
      <c r="H303" s="154" t="s">
        <v>12950</v>
      </c>
      <c r="I303" s="154" t="s">
        <v>13515</v>
      </c>
      <c r="J303" s="154" t="s">
        <v>7431</v>
      </c>
      <c r="K303" s="154"/>
      <c r="L303" s="154" t="s">
        <v>759</v>
      </c>
      <c r="M303" s="247" t="s">
        <v>516</v>
      </c>
      <c r="N303" s="247" t="s">
        <v>12731</v>
      </c>
      <c r="O303" s="240" t="str">
        <f t="shared" si="1"/>
        <v/>
      </c>
      <c r="P303" s="154" t="s">
        <v>66</v>
      </c>
      <c r="Q303" s="154" t="s">
        <v>66</v>
      </c>
      <c r="R303" s="154" t="s">
        <v>64</v>
      </c>
      <c r="S303" s="154" t="s">
        <v>64</v>
      </c>
      <c r="T303" s="154" t="s">
        <v>64</v>
      </c>
      <c r="U303" s="154" t="s">
        <v>64</v>
      </c>
      <c r="V303" s="154" t="s">
        <v>66</v>
      </c>
      <c r="W303" s="154" t="s">
        <v>64</v>
      </c>
      <c r="X303" s="154" t="s">
        <v>64</v>
      </c>
      <c r="Y303" s="154"/>
      <c r="Z303" s="242" t="b">
        <f t="shared" si="2"/>
        <v>1</v>
      </c>
      <c r="AA303" s="154" t="s">
        <v>391</v>
      </c>
      <c r="AB303" s="242" t="b">
        <f t="shared" si="3"/>
        <v>0</v>
      </c>
      <c r="AC303" s="154"/>
      <c r="AD303" s="242" t="b">
        <f t="shared" si="4"/>
        <v>0</v>
      </c>
      <c r="AE303" s="154" t="s">
        <v>1610</v>
      </c>
      <c r="AF303" s="243" t="str">
        <f>IF(AE303="","N/A",INDIRECT("MTR!"&amp;ADDRESS(MATCH(LEFT(AE303,9),MTR!C:C,0),COLUMN(J303)),TRUE) &amp; "")</f>
        <v>Partially Complies</v>
      </c>
      <c r="AG303" s="157" t="str">
        <f t="shared" si="5"/>
        <v/>
      </c>
      <c r="AH303" s="152"/>
      <c r="AI303" s="152"/>
      <c r="AJ303" s="152"/>
      <c r="AK303" s="152"/>
      <c r="AL303" s="152"/>
      <c r="AM303" s="152"/>
      <c r="AN303" s="152"/>
      <c r="AO303" s="152"/>
      <c r="AP303" s="152"/>
      <c r="AQ303" s="152"/>
      <c r="AR303" s="152"/>
    </row>
    <row r="304" ht="12.75" customHeight="1">
      <c r="A304" s="244" t="s">
        <v>5158</v>
      </c>
      <c r="B304" s="244" t="s">
        <v>12721</v>
      </c>
      <c r="C304" s="244" t="s">
        <v>13516</v>
      </c>
      <c r="D304" s="154" t="s">
        <v>503</v>
      </c>
      <c r="E304" s="154"/>
      <c r="F304" s="154" t="str">
        <f t="array" ref="F304">XLOOKUP(Cover!$D$12,$P$1:$X$1,$P304:$X304)</f>
        <v>Recommended</v>
      </c>
      <c r="G304" s="154" t="s">
        <v>13517</v>
      </c>
      <c r="H304" s="154" t="s">
        <v>12951</v>
      </c>
      <c r="I304" s="154" t="s">
        <v>13515</v>
      </c>
      <c r="J304" s="154" t="s">
        <v>7431</v>
      </c>
      <c r="K304" s="154"/>
      <c r="L304" s="154" t="s">
        <v>759</v>
      </c>
      <c r="M304" s="247" t="s">
        <v>516</v>
      </c>
      <c r="N304" s="247" t="s">
        <v>12731</v>
      </c>
      <c r="O304" s="240" t="str">
        <f t="shared" si="1"/>
        <v/>
      </c>
      <c r="P304" s="154" t="s">
        <v>66</v>
      </c>
      <c r="Q304" s="154" t="s">
        <v>66</v>
      </c>
      <c r="R304" s="154" t="s">
        <v>64</v>
      </c>
      <c r="S304" s="154" t="s">
        <v>64</v>
      </c>
      <c r="T304" s="154" t="s">
        <v>64</v>
      </c>
      <c r="U304" s="154" t="s">
        <v>64</v>
      </c>
      <c r="V304" s="154" t="s">
        <v>66</v>
      </c>
      <c r="W304" s="154" t="s">
        <v>64</v>
      </c>
      <c r="X304" s="154" t="s">
        <v>64</v>
      </c>
      <c r="Y304" s="154"/>
      <c r="Z304" s="242" t="b">
        <f t="shared" si="2"/>
        <v>1</v>
      </c>
      <c r="AA304" s="154" t="s">
        <v>391</v>
      </c>
      <c r="AB304" s="242" t="b">
        <f t="shared" si="3"/>
        <v>0</v>
      </c>
      <c r="AC304" s="154"/>
      <c r="AD304" s="242" t="b">
        <f t="shared" si="4"/>
        <v>0</v>
      </c>
      <c r="AE304" s="154" t="s">
        <v>1610</v>
      </c>
      <c r="AF304" s="243" t="str">
        <f>IF(AE304="","N/A",INDIRECT("MTR!"&amp;ADDRESS(MATCH(LEFT(AE304,9),MTR!C:C,0),COLUMN(J304)),TRUE) &amp; "")</f>
        <v>Partially Complies</v>
      </c>
      <c r="AG304" s="157" t="str">
        <f t="shared" si="5"/>
        <v/>
      </c>
      <c r="AH304" s="152"/>
      <c r="AI304" s="152"/>
      <c r="AJ304" s="152"/>
      <c r="AK304" s="152"/>
      <c r="AL304" s="152"/>
      <c r="AM304" s="152"/>
      <c r="AN304" s="152"/>
      <c r="AO304" s="152"/>
      <c r="AP304" s="152"/>
      <c r="AQ304" s="152"/>
      <c r="AR304" s="152"/>
    </row>
    <row r="305" ht="12.75" customHeight="1">
      <c r="A305" s="244" t="s">
        <v>5158</v>
      </c>
      <c r="B305" s="244" t="s">
        <v>12721</v>
      </c>
      <c r="C305" s="244" t="s">
        <v>13518</v>
      </c>
      <c r="D305" s="154" t="s">
        <v>1315</v>
      </c>
      <c r="E305" s="154"/>
      <c r="F305" s="154" t="str">
        <f t="array" ref="F305">XLOOKUP(Cover!$D$12,$P$1:$X$1,$P305:$X305)</f>
        <v>Recommended</v>
      </c>
      <c r="G305" s="154" t="s">
        <v>13519</v>
      </c>
      <c r="H305" s="154" t="s">
        <v>12950</v>
      </c>
      <c r="I305" s="154" t="s">
        <v>13520</v>
      </c>
      <c r="J305" s="154" t="s">
        <v>6140</v>
      </c>
      <c r="K305" s="154"/>
      <c r="L305" s="154" t="s">
        <v>759</v>
      </c>
      <c r="M305" s="247" t="s">
        <v>506</v>
      </c>
      <c r="N305" s="247" t="s">
        <v>12738</v>
      </c>
      <c r="O305" s="240" t="str">
        <f t="shared" si="1"/>
        <v/>
      </c>
      <c r="P305" s="154" t="s">
        <v>66</v>
      </c>
      <c r="Q305" s="154" t="s">
        <v>66</v>
      </c>
      <c r="R305" s="154" t="s">
        <v>64</v>
      </c>
      <c r="S305" s="154" t="s">
        <v>64</v>
      </c>
      <c r="T305" s="154" t="s">
        <v>64</v>
      </c>
      <c r="U305" s="154" t="s">
        <v>64</v>
      </c>
      <c r="V305" s="154" t="s">
        <v>66</v>
      </c>
      <c r="W305" s="154" t="s">
        <v>64</v>
      </c>
      <c r="X305" s="154" t="s">
        <v>64</v>
      </c>
      <c r="Y305" s="154"/>
      <c r="Z305" s="242" t="b">
        <f t="shared" si="2"/>
        <v>1</v>
      </c>
      <c r="AA305" s="154" t="s">
        <v>391</v>
      </c>
      <c r="AB305" s="242" t="b">
        <f t="shared" si="3"/>
        <v>0</v>
      </c>
      <c r="AC305" s="154"/>
      <c r="AD305" s="242" t="b">
        <f t="shared" si="4"/>
        <v>0</v>
      </c>
      <c r="AE305" s="154" t="s">
        <v>1610</v>
      </c>
      <c r="AF305" s="243" t="str">
        <f>IF(AE305="","N/A",INDIRECT("MTR!"&amp;ADDRESS(MATCH(LEFT(AE305,9),MTR!C:C,0),COLUMN(J305)),TRUE) &amp; "")</f>
        <v>Partially Complies</v>
      </c>
      <c r="AG305" s="157" t="str">
        <f t="shared" si="5"/>
        <v/>
      </c>
      <c r="AH305" s="152"/>
      <c r="AI305" s="152"/>
      <c r="AJ305" s="152"/>
      <c r="AK305" s="152"/>
      <c r="AL305" s="152"/>
      <c r="AM305" s="152"/>
      <c r="AN305" s="152"/>
      <c r="AO305" s="152"/>
      <c r="AP305" s="152"/>
      <c r="AQ305" s="152"/>
      <c r="AR305" s="152"/>
    </row>
    <row r="306" ht="12.75" customHeight="1">
      <c r="A306" s="244" t="s">
        <v>5158</v>
      </c>
      <c r="B306" s="244" t="s">
        <v>12721</v>
      </c>
      <c r="C306" s="245" t="s">
        <v>13521</v>
      </c>
      <c r="D306" s="155" t="s">
        <v>1315</v>
      </c>
      <c r="E306" s="155" t="s">
        <v>92</v>
      </c>
      <c r="F306" s="154" t="str">
        <f t="array" ref="F306">XLOOKUP(Cover!$D$12,$P$1:$X$1,$P306:$X306)</f>
        <v>Recommended</v>
      </c>
      <c r="G306" s="154" t="s">
        <v>13522</v>
      </c>
      <c r="H306" s="154" t="s">
        <v>13523</v>
      </c>
      <c r="I306" s="154" t="s">
        <v>13520</v>
      </c>
      <c r="J306" s="154" t="s">
        <v>6140</v>
      </c>
      <c r="K306" s="154"/>
      <c r="L306" s="154" t="s">
        <v>759</v>
      </c>
      <c r="M306" s="247" t="s">
        <v>516</v>
      </c>
      <c r="N306" s="247" t="s">
        <v>12741</v>
      </c>
      <c r="O306" s="240" t="str">
        <f t="shared" si="1"/>
        <v/>
      </c>
      <c r="P306" s="154" t="s">
        <v>66</v>
      </c>
      <c r="Q306" s="154" t="s">
        <v>66</v>
      </c>
      <c r="R306" s="154" t="s">
        <v>64</v>
      </c>
      <c r="S306" s="154" t="s">
        <v>64</v>
      </c>
      <c r="T306" s="154" t="s">
        <v>64</v>
      </c>
      <c r="U306" s="154" t="s">
        <v>64</v>
      </c>
      <c r="V306" s="154" t="s">
        <v>66</v>
      </c>
      <c r="W306" s="154" t="s">
        <v>64</v>
      </c>
      <c r="X306" s="154" t="s">
        <v>64</v>
      </c>
      <c r="Y306" s="154"/>
      <c r="Z306" s="242" t="b">
        <f t="shared" si="2"/>
        <v>1</v>
      </c>
      <c r="AA306" s="154" t="s">
        <v>391</v>
      </c>
      <c r="AB306" s="242" t="b">
        <f t="shared" si="3"/>
        <v>0</v>
      </c>
      <c r="AC306" s="154"/>
      <c r="AD306" s="242" t="b">
        <f t="shared" si="4"/>
        <v>0</v>
      </c>
      <c r="AE306" s="154" t="s">
        <v>1610</v>
      </c>
      <c r="AF306" s="243" t="str">
        <f>IF(AE306="","N/A",INDIRECT("MTR!"&amp;ADDRESS(MATCH(LEFT(AE306,9),MTR!C:C,0),COLUMN(J306)),TRUE) &amp; "")</f>
        <v>Partially Complies</v>
      </c>
      <c r="AG306" s="157" t="str">
        <f t="shared" si="5"/>
        <v/>
      </c>
      <c r="AH306" s="152"/>
      <c r="AI306" s="152"/>
      <c r="AJ306" s="152"/>
      <c r="AK306" s="152"/>
      <c r="AL306" s="152"/>
      <c r="AM306" s="152"/>
      <c r="AN306" s="152"/>
      <c r="AO306" s="152"/>
      <c r="AP306" s="152"/>
      <c r="AQ306" s="152"/>
      <c r="AR306" s="152"/>
    </row>
    <row r="307" ht="12.75" customHeight="1">
      <c r="A307" s="244" t="s">
        <v>5158</v>
      </c>
      <c r="B307" s="244" t="s">
        <v>12721</v>
      </c>
      <c r="C307" s="244" t="s">
        <v>13524</v>
      </c>
      <c r="D307" s="154" t="s">
        <v>1315</v>
      </c>
      <c r="E307" s="154"/>
      <c r="F307" s="154" t="str">
        <f t="array" ref="F307">XLOOKUP(Cover!$D$12,$P$1:$X$1,$P307:$X307)</f>
        <v>Recommended</v>
      </c>
      <c r="G307" s="154" t="s">
        <v>13525</v>
      </c>
      <c r="H307" s="154" t="s">
        <v>12950</v>
      </c>
      <c r="I307" s="154" t="s">
        <v>13520</v>
      </c>
      <c r="J307" s="154" t="s">
        <v>6884</v>
      </c>
      <c r="K307" s="154"/>
      <c r="L307" s="154" t="s">
        <v>759</v>
      </c>
      <c r="M307" s="247" t="s">
        <v>506</v>
      </c>
      <c r="N307" s="247" t="s">
        <v>12738</v>
      </c>
      <c r="O307" s="240" t="str">
        <f t="shared" si="1"/>
        <v/>
      </c>
      <c r="P307" s="154" t="s">
        <v>66</v>
      </c>
      <c r="Q307" s="154" t="s">
        <v>66</v>
      </c>
      <c r="R307" s="154" t="s">
        <v>64</v>
      </c>
      <c r="S307" s="154" t="s">
        <v>64</v>
      </c>
      <c r="T307" s="154" t="s">
        <v>64</v>
      </c>
      <c r="U307" s="154" t="s">
        <v>64</v>
      </c>
      <c r="V307" s="154" t="s">
        <v>66</v>
      </c>
      <c r="W307" s="154" t="s">
        <v>64</v>
      </c>
      <c r="X307" s="154" t="s">
        <v>64</v>
      </c>
      <c r="Y307" s="154"/>
      <c r="Z307" s="242" t="b">
        <f t="shared" si="2"/>
        <v>1</v>
      </c>
      <c r="AA307" s="154" t="s">
        <v>391</v>
      </c>
      <c r="AB307" s="242" t="b">
        <f t="shared" si="3"/>
        <v>0</v>
      </c>
      <c r="AC307" s="154"/>
      <c r="AD307" s="242" t="b">
        <f t="shared" si="4"/>
        <v>0</v>
      </c>
      <c r="AE307" s="154" t="s">
        <v>1610</v>
      </c>
      <c r="AF307" s="243" t="str">
        <f>IF(AE307="","N/A",INDIRECT("MTR!"&amp;ADDRESS(MATCH(LEFT(AE307,9),MTR!C:C,0),COLUMN(J307)),TRUE) &amp; "")</f>
        <v>Partially Complies</v>
      </c>
      <c r="AG307" s="157" t="str">
        <f t="shared" si="5"/>
        <v/>
      </c>
      <c r="AH307" s="152"/>
      <c r="AI307" s="152"/>
      <c r="AJ307" s="152"/>
      <c r="AK307" s="152"/>
      <c r="AL307" s="152"/>
      <c r="AM307" s="152"/>
      <c r="AN307" s="152"/>
      <c r="AO307" s="152"/>
      <c r="AP307" s="152"/>
      <c r="AQ307" s="152"/>
      <c r="AR307" s="152"/>
    </row>
    <row r="308" ht="12.75" customHeight="1">
      <c r="A308" s="244" t="s">
        <v>5158</v>
      </c>
      <c r="B308" s="244" t="s">
        <v>12721</v>
      </c>
      <c r="C308" s="245" t="s">
        <v>13526</v>
      </c>
      <c r="D308" s="155" t="s">
        <v>1315</v>
      </c>
      <c r="E308" s="155" t="s">
        <v>92</v>
      </c>
      <c r="F308" s="154" t="str">
        <f t="array" ref="F308">XLOOKUP(Cover!$D$12,$P$1:$X$1,$P308:$X308)</f>
        <v>Recommended</v>
      </c>
      <c r="G308" s="154" t="s">
        <v>13527</v>
      </c>
      <c r="H308" s="154" t="s">
        <v>13523</v>
      </c>
      <c r="I308" s="154" t="s">
        <v>13520</v>
      </c>
      <c r="J308" s="154" t="s">
        <v>6884</v>
      </c>
      <c r="K308" s="154"/>
      <c r="L308" s="154" t="s">
        <v>759</v>
      </c>
      <c r="M308" s="247" t="s">
        <v>516</v>
      </c>
      <c r="N308" s="247" t="s">
        <v>12741</v>
      </c>
      <c r="O308" s="240" t="str">
        <f t="shared" si="1"/>
        <v/>
      </c>
      <c r="P308" s="154" t="s">
        <v>66</v>
      </c>
      <c r="Q308" s="154" t="s">
        <v>66</v>
      </c>
      <c r="R308" s="154" t="s">
        <v>64</v>
      </c>
      <c r="S308" s="154" t="s">
        <v>64</v>
      </c>
      <c r="T308" s="154" t="s">
        <v>64</v>
      </c>
      <c r="U308" s="154" t="s">
        <v>64</v>
      </c>
      <c r="V308" s="154" t="s">
        <v>66</v>
      </c>
      <c r="W308" s="154" t="s">
        <v>64</v>
      </c>
      <c r="X308" s="154" t="s">
        <v>64</v>
      </c>
      <c r="Y308" s="154"/>
      <c r="Z308" s="242" t="b">
        <f t="shared" si="2"/>
        <v>1</v>
      </c>
      <c r="AA308" s="154" t="s">
        <v>391</v>
      </c>
      <c r="AB308" s="242" t="b">
        <f t="shared" si="3"/>
        <v>0</v>
      </c>
      <c r="AC308" s="154"/>
      <c r="AD308" s="242" t="b">
        <f t="shared" si="4"/>
        <v>0</v>
      </c>
      <c r="AE308" s="154" t="s">
        <v>1610</v>
      </c>
      <c r="AF308" s="243" t="str">
        <f>IF(AE308="","N/A",INDIRECT("MTR!"&amp;ADDRESS(MATCH(LEFT(AE308,9),MTR!C:C,0),COLUMN(J308)),TRUE) &amp; "")</f>
        <v>Partially Complies</v>
      </c>
      <c r="AG308" s="157" t="str">
        <f t="shared" si="5"/>
        <v/>
      </c>
      <c r="AH308" s="152"/>
      <c r="AI308" s="152"/>
      <c r="AJ308" s="152"/>
      <c r="AK308" s="152"/>
      <c r="AL308" s="152"/>
      <c r="AM308" s="152"/>
      <c r="AN308" s="152"/>
      <c r="AO308" s="152"/>
      <c r="AP308" s="152"/>
      <c r="AQ308" s="152"/>
      <c r="AR308" s="152"/>
    </row>
    <row r="309" ht="12.75" customHeight="1">
      <c r="A309" s="244" t="s">
        <v>5158</v>
      </c>
      <c r="B309" s="244" t="s">
        <v>12721</v>
      </c>
      <c r="C309" s="244" t="s">
        <v>13528</v>
      </c>
      <c r="D309" s="154" t="s">
        <v>45</v>
      </c>
      <c r="E309" s="154"/>
      <c r="F309" s="154" t="str">
        <f t="array" ref="F309">XLOOKUP(Cover!$D$12,$P$1:$X$1,$P309:$X309)</f>
        <v>Recommended</v>
      </c>
      <c r="G309" s="154" t="s">
        <v>13529</v>
      </c>
      <c r="H309" s="154" t="s">
        <v>12950</v>
      </c>
      <c r="I309" s="154" t="s">
        <v>13520</v>
      </c>
      <c r="J309" s="154" t="s">
        <v>10718</v>
      </c>
      <c r="K309" s="154"/>
      <c r="L309" s="154" t="s">
        <v>759</v>
      </c>
      <c r="M309" s="247" t="s">
        <v>516</v>
      </c>
      <c r="N309" s="247" t="s">
        <v>12748</v>
      </c>
      <c r="O309" s="240" t="str">
        <f t="shared" si="1"/>
        <v/>
      </c>
      <c r="P309" s="154" t="s">
        <v>66</v>
      </c>
      <c r="Q309" s="154" t="s">
        <v>66</v>
      </c>
      <c r="R309" s="154" t="s">
        <v>64</v>
      </c>
      <c r="S309" s="154" t="s">
        <v>64</v>
      </c>
      <c r="T309" s="154" t="s">
        <v>64</v>
      </c>
      <c r="U309" s="154" t="s">
        <v>64</v>
      </c>
      <c r="V309" s="154" t="s">
        <v>66</v>
      </c>
      <c r="W309" s="154" t="s">
        <v>64</v>
      </c>
      <c r="X309" s="154" t="s">
        <v>64</v>
      </c>
      <c r="Y309" s="154"/>
      <c r="Z309" s="242" t="b">
        <f t="shared" si="2"/>
        <v>1</v>
      </c>
      <c r="AA309" s="154" t="s">
        <v>391</v>
      </c>
      <c r="AB309" s="242" t="b">
        <f t="shared" si="3"/>
        <v>0</v>
      </c>
      <c r="AC309" s="154"/>
      <c r="AD309" s="242" t="b">
        <f t="shared" si="4"/>
        <v>0</v>
      </c>
      <c r="AE309" s="154" t="s">
        <v>1610</v>
      </c>
      <c r="AF309" s="243" t="str">
        <f>IF(AE309="","N/A",INDIRECT("MTR!"&amp;ADDRESS(MATCH(LEFT(AE309,9),MTR!C:C,0),COLUMN(J309)),TRUE) &amp; "")</f>
        <v>Partially Complies</v>
      </c>
      <c r="AG309" s="157" t="str">
        <f t="shared" si="5"/>
        <v/>
      </c>
      <c r="AH309" s="152"/>
      <c r="AI309" s="152"/>
      <c r="AJ309" s="152"/>
      <c r="AK309" s="152"/>
      <c r="AL309" s="152"/>
      <c r="AM309" s="152"/>
      <c r="AN309" s="152"/>
      <c r="AO309" s="152"/>
      <c r="AP309" s="152"/>
      <c r="AQ309" s="152"/>
      <c r="AR309" s="152"/>
    </row>
    <row r="310" ht="12.75" customHeight="1">
      <c r="A310" s="244" t="s">
        <v>5158</v>
      </c>
      <c r="B310" s="244" t="s">
        <v>12721</v>
      </c>
      <c r="C310" s="245" t="s">
        <v>13530</v>
      </c>
      <c r="D310" s="155" t="s">
        <v>45</v>
      </c>
      <c r="E310" s="155" t="s">
        <v>92</v>
      </c>
      <c r="F310" s="154" t="str">
        <f t="array" ref="F310">XLOOKUP(Cover!$D$12,$P$1:$X$1,$P310:$X310)</f>
        <v>Recommended</v>
      </c>
      <c r="G310" s="154" t="s">
        <v>13531</v>
      </c>
      <c r="H310" s="154" t="s">
        <v>13523</v>
      </c>
      <c r="I310" s="154" t="s">
        <v>13520</v>
      </c>
      <c r="J310" s="154" t="s">
        <v>10718</v>
      </c>
      <c r="K310" s="154"/>
      <c r="L310" s="154" t="s">
        <v>759</v>
      </c>
      <c r="M310" s="247" t="s">
        <v>516</v>
      </c>
      <c r="N310" s="247" t="s">
        <v>12751</v>
      </c>
      <c r="O310" s="240" t="str">
        <f t="shared" si="1"/>
        <v/>
      </c>
      <c r="P310" s="154" t="s">
        <v>66</v>
      </c>
      <c r="Q310" s="154" t="s">
        <v>66</v>
      </c>
      <c r="R310" s="154" t="s">
        <v>64</v>
      </c>
      <c r="S310" s="154" t="s">
        <v>64</v>
      </c>
      <c r="T310" s="154" t="s">
        <v>64</v>
      </c>
      <c r="U310" s="154" t="s">
        <v>64</v>
      </c>
      <c r="V310" s="154" t="s">
        <v>66</v>
      </c>
      <c r="W310" s="154" t="s">
        <v>64</v>
      </c>
      <c r="X310" s="154" t="s">
        <v>64</v>
      </c>
      <c r="Y310" s="154"/>
      <c r="Z310" s="242" t="b">
        <f t="shared" si="2"/>
        <v>1</v>
      </c>
      <c r="AA310" s="154" t="s">
        <v>391</v>
      </c>
      <c r="AB310" s="242" t="b">
        <f t="shared" si="3"/>
        <v>0</v>
      </c>
      <c r="AC310" s="154"/>
      <c r="AD310" s="242" t="b">
        <f t="shared" si="4"/>
        <v>0</v>
      </c>
      <c r="AE310" s="154" t="s">
        <v>1610</v>
      </c>
      <c r="AF310" s="243" t="str">
        <f>IF(AE310="","N/A",INDIRECT("MTR!"&amp;ADDRESS(MATCH(LEFT(AE310,9),MTR!C:C,0),COLUMN(J310)),TRUE) &amp; "")</f>
        <v>Partially Complies</v>
      </c>
      <c r="AG310" s="157" t="str">
        <f t="shared" si="5"/>
        <v/>
      </c>
      <c r="AH310" s="152"/>
      <c r="AI310" s="152"/>
      <c r="AJ310" s="152"/>
      <c r="AK310" s="152"/>
      <c r="AL310" s="152"/>
      <c r="AM310" s="152"/>
      <c r="AN310" s="152"/>
      <c r="AO310" s="152"/>
      <c r="AP310" s="152"/>
      <c r="AQ310" s="152"/>
      <c r="AR310" s="152"/>
    </row>
    <row r="311" ht="12.75" customHeight="1">
      <c r="A311" s="244" t="s">
        <v>5158</v>
      </c>
      <c r="B311" s="244" t="s">
        <v>12721</v>
      </c>
      <c r="C311" s="255" t="s">
        <v>13532</v>
      </c>
      <c r="D311" s="256" t="s">
        <v>42</v>
      </c>
      <c r="E311" s="256" t="s">
        <v>489</v>
      </c>
      <c r="F311" s="154" t="str">
        <f t="array" ref="F311">XLOOKUP(Cover!$D$12,$P$1:$X$1,$P311:$X311)</f>
        <v>Information</v>
      </c>
      <c r="G311" s="154" t="s">
        <v>13533</v>
      </c>
      <c r="H311" s="154" t="s">
        <v>13534</v>
      </c>
      <c r="I311" s="154" t="s">
        <v>13535</v>
      </c>
      <c r="J311" s="154" t="s">
        <v>5931</v>
      </c>
      <c r="K311" s="154"/>
      <c r="L311" s="154" t="s">
        <v>759</v>
      </c>
      <c r="M311" s="247" t="s">
        <v>516</v>
      </c>
      <c r="N311" s="247" t="s">
        <v>12731</v>
      </c>
      <c r="O311" s="240" t="str">
        <f t="shared" si="1"/>
        <v/>
      </c>
      <c r="P311" s="154" t="s">
        <v>66</v>
      </c>
      <c r="Q311" s="154" t="s">
        <v>66</v>
      </c>
      <c r="R311" s="154" t="s">
        <v>66</v>
      </c>
      <c r="S311" s="154" t="s">
        <v>66</v>
      </c>
      <c r="T311" s="154" t="s">
        <v>66</v>
      </c>
      <c r="U311" s="154" t="s">
        <v>66</v>
      </c>
      <c r="V311" s="154" t="s">
        <v>66</v>
      </c>
      <c r="W311" s="154" t="s">
        <v>66</v>
      </c>
      <c r="X311" s="154" t="s">
        <v>66</v>
      </c>
      <c r="Y311" s="154"/>
      <c r="Z311" s="242" t="b">
        <f t="shared" si="2"/>
        <v>1</v>
      </c>
      <c r="AA311" s="154" t="s">
        <v>391</v>
      </c>
      <c r="AB311" s="242" t="b">
        <f t="shared" si="3"/>
        <v>0</v>
      </c>
      <c r="AC311" s="154"/>
      <c r="AD311" s="242" t="b">
        <f t="shared" si="4"/>
        <v>0</v>
      </c>
      <c r="AE311" s="154" t="s">
        <v>1610</v>
      </c>
      <c r="AF311" s="243" t="str">
        <f>IF(AE311="","N/A",INDIRECT("MTR!"&amp;ADDRESS(MATCH(LEFT(AE311,9),MTR!C:C,0),COLUMN(J311)),TRUE) &amp; "")</f>
        <v>Partially Complies</v>
      </c>
      <c r="AG311" s="157" t="str">
        <f t="shared" si="5"/>
        <v/>
      </c>
      <c r="AH311" s="152"/>
      <c r="AI311" s="152"/>
      <c r="AJ311" s="152"/>
      <c r="AK311" s="152"/>
      <c r="AL311" s="152"/>
      <c r="AM311" s="152"/>
      <c r="AN311" s="152"/>
      <c r="AO311" s="152"/>
      <c r="AP311" s="152"/>
      <c r="AQ311" s="152"/>
      <c r="AR311" s="152"/>
    </row>
    <row r="312" ht="12.75" customHeight="1">
      <c r="A312" s="244" t="s">
        <v>5158</v>
      </c>
      <c r="B312" s="244" t="s">
        <v>12721</v>
      </c>
      <c r="C312" s="255" t="s">
        <v>13536</v>
      </c>
      <c r="D312" s="256" t="s">
        <v>42</v>
      </c>
      <c r="E312" s="256" t="s">
        <v>489</v>
      </c>
      <c r="F312" s="154" t="str">
        <f t="array" ref="F312">XLOOKUP(Cover!$D$12,$P$1:$X$1,$P312:$X312)</f>
        <v>Information</v>
      </c>
      <c r="G312" s="154" t="s">
        <v>13537</v>
      </c>
      <c r="H312" s="154" t="s">
        <v>13538</v>
      </c>
      <c r="I312" s="154" t="s">
        <v>13535</v>
      </c>
      <c r="J312" s="154" t="s">
        <v>5931</v>
      </c>
      <c r="K312" s="154"/>
      <c r="L312" s="154" t="s">
        <v>759</v>
      </c>
      <c r="M312" s="247" t="s">
        <v>516</v>
      </c>
      <c r="N312" s="247" t="s">
        <v>12731</v>
      </c>
      <c r="O312" s="240" t="str">
        <f t="shared" si="1"/>
        <v/>
      </c>
      <c r="P312" s="154" t="s">
        <v>66</v>
      </c>
      <c r="Q312" s="154" t="s">
        <v>66</v>
      </c>
      <c r="R312" s="154" t="s">
        <v>66</v>
      </c>
      <c r="S312" s="154" t="s">
        <v>66</v>
      </c>
      <c r="T312" s="154" t="s">
        <v>66</v>
      </c>
      <c r="U312" s="154" t="s">
        <v>66</v>
      </c>
      <c r="V312" s="154" t="s">
        <v>66</v>
      </c>
      <c r="W312" s="154" t="s">
        <v>66</v>
      </c>
      <c r="X312" s="154" t="s">
        <v>66</v>
      </c>
      <c r="Y312" s="154"/>
      <c r="Z312" s="242" t="b">
        <f t="shared" si="2"/>
        <v>1</v>
      </c>
      <c r="AA312" s="154" t="s">
        <v>391</v>
      </c>
      <c r="AB312" s="242" t="b">
        <f t="shared" si="3"/>
        <v>0</v>
      </c>
      <c r="AC312" s="154"/>
      <c r="AD312" s="242" t="b">
        <f t="shared" si="4"/>
        <v>0</v>
      </c>
      <c r="AE312" s="154" t="s">
        <v>1610</v>
      </c>
      <c r="AF312" s="243" t="str">
        <f>IF(AE312="","N/A",INDIRECT("MTR!"&amp;ADDRESS(MATCH(LEFT(AE312,9),MTR!C:C,0),COLUMN(J312)),TRUE) &amp; "")</f>
        <v>Partially Complies</v>
      </c>
      <c r="AG312" s="157" t="str">
        <f t="shared" si="5"/>
        <v/>
      </c>
      <c r="AH312" s="152"/>
      <c r="AI312" s="152"/>
      <c r="AJ312" s="152"/>
      <c r="AK312" s="152"/>
      <c r="AL312" s="152"/>
      <c r="AM312" s="152"/>
      <c r="AN312" s="152"/>
      <c r="AO312" s="152"/>
      <c r="AP312" s="152"/>
      <c r="AQ312" s="152"/>
      <c r="AR312" s="152"/>
    </row>
    <row r="313" ht="12.75" customHeight="1">
      <c r="A313" s="244" t="s">
        <v>5158</v>
      </c>
      <c r="B313" s="244" t="s">
        <v>12721</v>
      </c>
      <c r="C313" s="244" t="s">
        <v>13539</v>
      </c>
      <c r="D313" s="154" t="s">
        <v>45</v>
      </c>
      <c r="E313" s="154"/>
      <c r="F313" s="154" t="str">
        <f t="array" ref="F313">XLOOKUP(Cover!$D$12,$P$1:$X$1,$P313:$X313)</f>
        <v>Information</v>
      </c>
      <c r="G313" s="154" t="s">
        <v>13540</v>
      </c>
      <c r="H313" s="154" t="s">
        <v>12964</v>
      </c>
      <c r="I313" s="154" t="s">
        <v>13541</v>
      </c>
      <c r="J313" s="154" t="s">
        <v>10718</v>
      </c>
      <c r="K313" s="154"/>
      <c r="L313" s="154" t="s">
        <v>759</v>
      </c>
      <c r="M313" s="247" t="s">
        <v>516</v>
      </c>
      <c r="N313" s="247" t="s">
        <v>12731</v>
      </c>
      <c r="O313" s="240" t="str">
        <f t="shared" si="1"/>
        <v/>
      </c>
      <c r="P313" s="154" t="s">
        <v>66</v>
      </c>
      <c r="Q313" s="154" t="s">
        <v>66</v>
      </c>
      <c r="R313" s="154" t="s">
        <v>66</v>
      </c>
      <c r="S313" s="154" t="s">
        <v>66</v>
      </c>
      <c r="T313" s="154" t="s">
        <v>66</v>
      </c>
      <c r="U313" s="154" t="s">
        <v>66</v>
      </c>
      <c r="V313" s="154" t="s">
        <v>66</v>
      </c>
      <c r="W313" s="154" t="s">
        <v>66</v>
      </c>
      <c r="X313" s="154" t="s">
        <v>66</v>
      </c>
      <c r="Y313" s="154"/>
      <c r="Z313" s="242" t="b">
        <f t="shared" si="2"/>
        <v>1</v>
      </c>
      <c r="AA313" s="154" t="s">
        <v>391</v>
      </c>
      <c r="AB313" s="242" t="b">
        <f t="shared" si="3"/>
        <v>0</v>
      </c>
      <c r="AC313" s="154"/>
      <c r="AD313" s="242" t="b">
        <f t="shared" si="4"/>
        <v>0</v>
      </c>
      <c r="AE313" s="154" t="s">
        <v>1610</v>
      </c>
      <c r="AF313" s="243" t="str">
        <f>IF(AE313="","N/A",INDIRECT("MTR!"&amp;ADDRESS(MATCH(LEFT(AE313,9),MTR!C:C,0),COLUMN(J313)),TRUE) &amp; "")</f>
        <v>Partially Complies</v>
      </c>
      <c r="AG313" s="157" t="str">
        <f t="shared" si="5"/>
        <v/>
      </c>
      <c r="AH313" s="152"/>
      <c r="AI313" s="152"/>
      <c r="AJ313" s="152"/>
      <c r="AK313" s="152"/>
      <c r="AL313" s="152"/>
      <c r="AM313" s="152"/>
      <c r="AN313" s="152"/>
      <c r="AO313" s="152"/>
      <c r="AP313" s="152"/>
      <c r="AQ313" s="152"/>
      <c r="AR313" s="152"/>
    </row>
    <row r="314" ht="12.75" customHeight="1">
      <c r="A314" s="244" t="s">
        <v>5158</v>
      </c>
      <c r="B314" s="244" t="s">
        <v>12721</v>
      </c>
      <c r="C314" s="244" t="s">
        <v>13542</v>
      </c>
      <c r="D314" s="154" t="s">
        <v>45</v>
      </c>
      <c r="E314" s="154"/>
      <c r="F314" s="154" t="str">
        <f t="array" ref="F314">XLOOKUP(Cover!$D$12,$P$1:$X$1,$P314:$X314)</f>
        <v>Information</v>
      </c>
      <c r="G314" s="154" t="s">
        <v>13543</v>
      </c>
      <c r="H314" s="154" t="s">
        <v>12970</v>
      </c>
      <c r="I314" s="154" t="s">
        <v>13544</v>
      </c>
      <c r="J314" s="154" t="s">
        <v>10718</v>
      </c>
      <c r="K314" s="154"/>
      <c r="L314" s="154" t="s">
        <v>759</v>
      </c>
      <c r="M314" s="247" t="s">
        <v>516</v>
      </c>
      <c r="N314" s="247" t="s">
        <v>12731</v>
      </c>
      <c r="O314" s="240" t="str">
        <f t="shared" si="1"/>
        <v/>
      </c>
      <c r="P314" s="154" t="s">
        <v>66</v>
      </c>
      <c r="Q314" s="154" t="s">
        <v>66</v>
      </c>
      <c r="R314" s="154" t="s">
        <v>66</v>
      </c>
      <c r="S314" s="154" t="s">
        <v>66</v>
      </c>
      <c r="T314" s="154" t="s">
        <v>66</v>
      </c>
      <c r="U314" s="154" t="s">
        <v>66</v>
      </c>
      <c r="V314" s="154" t="s">
        <v>66</v>
      </c>
      <c r="W314" s="154" t="s">
        <v>66</v>
      </c>
      <c r="X314" s="154" t="s">
        <v>66</v>
      </c>
      <c r="Y314" s="154"/>
      <c r="Z314" s="242" t="b">
        <f t="shared" si="2"/>
        <v>1</v>
      </c>
      <c r="AA314" s="154" t="s">
        <v>391</v>
      </c>
      <c r="AB314" s="242" t="b">
        <f t="shared" si="3"/>
        <v>0</v>
      </c>
      <c r="AC314" s="154"/>
      <c r="AD314" s="242" t="b">
        <f t="shared" si="4"/>
        <v>0</v>
      </c>
      <c r="AE314" s="154" t="s">
        <v>1610</v>
      </c>
      <c r="AF314" s="243" t="str">
        <f>IF(AE314="","N/A",INDIRECT("MTR!"&amp;ADDRESS(MATCH(LEFT(AE314,9),MTR!C:C,0),COLUMN(J314)),TRUE) &amp; "")</f>
        <v>Partially Complies</v>
      </c>
      <c r="AG314" s="157" t="str">
        <f t="shared" si="5"/>
        <v/>
      </c>
      <c r="AH314" s="152"/>
      <c r="AI314" s="152"/>
      <c r="AJ314" s="152"/>
      <c r="AK314" s="152"/>
      <c r="AL314" s="152"/>
      <c r="AM314" s="152"/>
      <c r="AN314" s="152"/>
      <c r="AO314" s="152"/>
      <c r="AP314" s="152"/>
      <c r="AQ314" s="152"/>
      <c r="AR314" s="152"/>
    </row>
    <row r="315" ht="12.75" customHeight="1">
      <c r="A315" s="244" t="s">
        <v>5158</v>
      </c>
      <c r="B315" s="244" t="s">
        <v>12721</v>
      </c>
      <c r="C315" s="244" t="s">
        <v>13545</v>
      </c>
      <c r="D315" s="154" t="s">
        <v>1315</v>
      </c>
      <c r="E315" s="154"/>
      <c r="F315" s="154" t="str">
        <f t="array" ref="F315">XLOOKUP(Cover!$D$12,$P$1:$X$1,$P315:$X315)</f>
        <v>Information</v>
      </c>
      <c r="G315" s="154" t="s">
        <v>13546</v>
      </c>
      <c r="H315" s="154" t="s">
        <v>13547</v>
      </c>
      <c r="I315" s="154" t="s">
        <v>13548</v>
      </c>
      <c r="J315" s="154" t="s">
        <v>6884</v>
      </c>
      <c r="K315" s="154"/>
      <c r="L315" s="154" t="s">
        <v>759</v>
      </c>
      <c r="M315" s="247" t="s">
        <v>516</v>
      </c>
      <c r="N315" s="247" t="s">
        <v>12731</v>
      </c>
      <c r="O315" s="240" t="str">
        <f t="shared" si="1"/>
        <v/>
      </c>
      <c r="P315" s="154" t="s">
        <v>66</v>
      </c>
      <c r="Q315" s="154" t="s">
        <v>66</v>
      </c>
      <c r="R315" s="154" t="s">
        <v>66</v>
      </c>
      <c r="S315" s="154" t="s">
        <v>66</v>
      </c>
      <c r="T315" s="154" t="s">
        <v>66</v>
      </c>
      <c r="U315" s="154" t="s">
        <v>66</v>
      </c>
      <c r="V315" s="154" t="s">
        <v>66</v>
      </c>
      <c r="W315" s="154" t="s">
        <v>66</v>
      </c>
      <c r="X315" s="154" t="s">
        <v>66</v>
      </c>
      <c r="Y315" s="154"/>
      <c r="Z315" s="242" t="b">
        <f t="shared" si="2"/>
        <v>1</v>
      </c>
      <c r="AA315" s="154" t="s">
        <v>391</v>
      </c>
      <c r="AB315" s="242" t="b">
        <f t="shared" si="3"/>
        <v>0</v>
      </c>
      <c r="AC315" s="154"/>
      <c r="AD315" s="242" t="b">
        <f t="shared" si="4"/>
        <v>0</v>
      </c>
      <c r="AE315" s="154" t="s">
        <v>1610</v>
      </c>
      <c r="AF315" s="243" t="str">
        <f>IF(AE315="","N/A",INDIRECT("MTR!"&amp;ADDRESS(MATCH(LEFT(AE315,9),MTR!C:C,0),COLUMN(J315)),TRUE) &amp; "")</f>
        <v>Partially Complies</v>
      </c>
      <c r="AG315" s="157" t="str">
        <f t="shared" si="5"/>
        <v/>
      </c>
      <c r="AH315" s="152"/>
      <c r="AI315" s="152"/>
      <c r="AJ315" s="152"/>
      <c r="AK315" s="152"/>
      <c r="AL315" s="152"/>
      <c r="AM315" s="152"/>
      <c r="AN315" s="152"/>
      <c r="AO315" s="152"/>
      <c r="AP315" s="152"/>
      <c r="AQ315" s="152"/>
      <c r="AR315" s="152"/>
    </row>
    <row r="316" ht="12.75" customHeight="1">
      <c r="A316" s="244" t="s">
        <v>5158</v>
      </c>
      <c r="B316" s="244" t="s">
        <v>12721</v>
      </c>
      <c r="C316" s="244" t="s">
        <v>13549</v>
      </c>
      <c r="D316" s="154" t="s">
        <v>503</v>
      </c>
      <c r="E316" s="154"/>
      <c r="F316" s="154" t="str">
        <f t="array" ref="F316">XLOOKUP(Cover!$D$12,$P$1:$X$1,$P316:$X316)</f>
        <v>Information</v>
      </c>
      <c r="G316" s="154" t="s">
        <v>13550</v>
      </c>
      <c r="H316" s="154" t="s">
        <v>12988</v>
      </c>
      <c r="I316" s="154" t="s">
        <v>13551</v>
      </c>
      <c r="J316" s="154" t="s">
        <v>6463</v>
      </c>
      <c r="K316" s="154"/>
      <c r="L316" s="154" t="s">
        <v>759</v>
      </c>
      <c r="M316" s="247" t="s">
        <v>516</v>
      </c>
      <c r="N316" s="247" t="s">
        <v>12731</v>
      </c>
      <c r="O316" s="240" t="str">
        <f t="shared" si="1"/>
        <v/>
      </c>
      <c r="P316" s="154" t="s">
        <v>66</v>
      </c>
      <c r="Q316" s="154" t="s">
        <v>66</v>
      </c>
      <c r="R316" s="154" t="s">
        <v>66</v>
      </c>
      <c r="S316" s="154" t="s">
        <v>66</v>
      </c>
      <c r="T316" s="154" t="s">
        <v>66</v>
      </c>
      <c r="U316" s="154" t="s">
        <v>66</v>
      </c>
      <c r="V316" s="154" t="s">
        <v>66</v>
      </c>
      <c r="W316" s="154" t="s">
        <v>66</v>
      </c>
      <c r="X316" s="154" t="s">
        <v>66</v>
      </c>
      <c r="Y316" s="154"/>
      <c r="Z316" s="242" t="b">
        <f t="shared" si="2"/>
        <v>1</v>
      </c>
      <c r="AA316" s="154" t="s">
        <v>391</v>
      </c>
      <c r="AB316" s="242" t="b">
        <f t="shared" si="3"/>
        <v>0</v>
      </c>
      <c r="AC316" s="154"/>
      <c r="AD316" s="242" t="b">
        <f t="shared" si="4"/>
        <v>0</v>
      </c>
      <c r="AE316" s="154" t="s">
        <v>1610</v>
      </c>
      <c r="AF316" s="243" t="str">
        <f>IF(AE316="","N/A",INDIRECT("MTR!"&amp;ADDRESS(MATCH(LEFT(AE316,9),MTR!C:C,0),COLUMN(J316)),TRUE) &amp; "")</f>
        <v>Partially Complies</v>
      </c>
      <c r="AG316" s="157" t="str">
        <f t="shared" si="5"/>
        <v/>
      </c>
      <c r="AH316" s="152"/>
      <c r="AI316" s="152"/>
      <c r="AJ316" s="152"/>
      <c r="AK316" s="152"/>
      <c r="AL316" s="152"/>
      <c r="AM316" s="152"/>
      <c r="AN316" s="152"/>
      <c r="AO316" s="152"/>
      <c r="AP316" s="152"/>
      <c r="AQ316" s="152"/>
      <c r="AR316" s="152"/>
    </row>
    <row r="317" ht="12.75" customHeight="1">
      <c r="A317" s="244" t="s">
        <v>5158</v>
      </c>
      <c r="B317" s="244" t="s">
        <v>12721</v>
      </c>
      <c r="C317" s="244" t="s">
        <v>13552</v>
      </c>
      <c r="D317" s="154" t="s">
        <v>503</v>
      </c>
      <c r="E317" s="154"/>
      <c r="F317" s="154" t="str">
        <f t="array" ref="F317">XLOOKUP(Cover!$D$12,$P$1:$X$1,$P317:$X317)</f>
        <v>Information</v>
      </c>
      <c r="G317" s="154" t="s">
        <v>13553</v>
      </c>
      <c r="H317" s="154" t="s">
        <v>12989</v>
      </c>
      <c r="I317" s="154" t="s">
        <v>13551</v>
      </c>
      <c r="J317" s="154" t="s">
        <v>6463</v>
      </c>
      <c r="K317" s="154"/>
      <c r="L317" s="154" t="s">
        <v>759</v>
      </c>
      <c r="M317" s="247" t="s">
        <v>516</v>
      </c>
      <c r="N317" s="247" t="s">
        <v>12731</v>
      </c>
      <c r="O317" s="240" t="str">
        <f t="shared" si="1"/>
        <v/>
      </c>
      <c r="P317" s="154" t="s">
        <v>66</v>
      </c>
      <c r="Q317" s="154" t="s">
        <v>66</v>
      </c>
      <c r="R317" s="154" t="s">
        <v>66</v>
      </c>
      <c r="S317" s="154" t="s">
        <v>66</v>
      </c>
      <c r="T317" s="154" t="s">
        <v>66</v>
      </c>
      <c r="U317" s="154" t="s">
        <v>66</v>
      </c>
      <c r="V317" s="154" t="s">
        <v>66</v>
      </c>
      <c r="W317" s="154" t="s">
        <v>66</v>
      </c>
      <c r="X317" s="154" t="s">
        <v>66</v>
      </c>
      <c r="Y317" s="154"/>
      <c r="Z317" s="242" t="b">
        <f t="shared" si="2"/>
        <v>1</v>
      </c>
      <c r="AA317" s="154" t="s">
        <v>391</v>
      </c>
      <c r="AB317" s="242" t="b">
        <f t="shared" si="3"/>
        <v>0</v>
      </c>
      <c r="AC317" s="154"/>
      <c r="AD317" s="242" t="b">
        <f t="shared" si="4"/>
        <v>0</v>
      </c>
      <c r="AE317" s="154" t="s">
        <v>1610</v>
      </c>
      <c r="AF317" s="243" t="str">
        <f>IF(AE317="","N/A",INDIRECT("MTR!"&amp;ADDRESS(MATCH(LEFT(AE317,9),MTR!C:C,0),COLUMN(J317)),TRUE) &amp; "")</f>
        <v>Partially Complies</v>
      </c>
      <c r="AG317" s="157" t="str">
        <f t="shared" si="5"/>
        <v/>
      </c>
      <c r="AH317" s="152"/>
      <c r="AI317" s="152"/>
      <c r="AJ317" s="152"/>
      <c r="AK317" s="152"/>
      <c r="AL317" s="152"/>
      <c r="AM317" s="152"/>
      <c r="AN317" s="152"/>
      <c r="AO317" s="152"/>
      <c r="AP317" s="152"/>
      <c r="AQ317" s="152"/>
      <c r="AR317" s="152"/>
    </row>
    <row r="318" ht="12.75" customHeight="1">
      <c r="A318" s="244" t="s">
        <v>5158</v>
      </c>
      <c r="B318" s="244" t="s">
        <v>12721</v>
      </c>
      <c r="C318" s="244" t="s">
        <v>13554</v>
      </c>
      <c r="D318" s="154" t="s">
        <v>45</v>
      </c>
      <c r="E318" s="154"/>
      <c r="F318" s="154" t="str">
        <f t="array" ref="F318">XLOOKUP(Cover!$D$12,$P$1:$X$1,$P318:$X318)</f>
        <v>Information</v>
      </c>
      <c r="G318" s="154" t="s">
        <v>13555</v>
      </c>
      <c r="H318" s="154" t="s">
        <v>12988</v>
      </c>
      <c r="I318" s="154" t="s">
        <v>13551</v>
      </c>
      <c r="J318" s="154" t="s">
        <v>10718</v>
      </c>
      <c r="K318" s="154"/>
      <c r="L318" s="154" t="s">
        <v>759</v>
      </c>
      <c r="M318" s="247" t="s">
        <v>516</v>
      </c>
      <c r="N318" s="247" t="s">
        <v>12731</v>
      </c>
      <c r="O318" s="240" t="str">
        <f t="shared" si="1"/>
        <v/>
      </c>
      <c r="P318" s="154" t="s">
        <v>66</v>
      </c>
      <c r="Q318" s="154" t="s">
        <v>66</v>
      </c>
      <c r="R318" s="154" t="s">
        <v>66</v>
      </c>
      <c r="S318" s="154" t="s">
        <v>66</v>
      </c>
      <c r="T318" s="154" t="s">
        <v>66</v>
      </c>
      <c r="U318" s="154" t="s">
        <v>66</v>
      </c>
      <c r="V318" s="154" t="s">
        <v>66</v>
      </c>
      <c r="W318" s="154" t="s">
        <v>66</v>
      </c>
      <c r="X318" s="154" t="s">
        <v>66</v>
      </c>
      <c r="Y318" s="154"/>
      <c r="Z318" s="242" t="b">
        <f t="shared" si="2"/>
        <v>1</v>
      </c>
      <c r="AA318" s="154" t="s">
        <v>391</v>
      </c>
      <c r="AB318" s="242" t="b">
        <f t="shared" si="3"/>
        <v>0</v>
      </c>
      <c r="AC318" s="154"/>
      <c r="AD318" s="242" t="b">
        <f t="shared" si="4"/>
        <v>0</v>
      </c>
      <c r="AE318" s="154" t="s">
        <v>1610</v>
      </c>
      <c r="AF318" s="243" t="str">
        <f>IF(AE318="","N/A",INDIRECT("MTR!"&amp;ADDRESS(MATCH(LEFT(AE318,9),MTR!C:C,0),COLUMN(J318)),TRUE) &amp; "")</f>
        <v>Partially Complies</v>
      </c>
      <c r="AG318" s="157" t="str">
        <f t="shared" si="5"/>
        <v/>
      </c>
      <c r="AH318" s="152"/>
      <c r="AI318" s="152"/>
      <c r="AJ318" s="152"/>
      <c r="AK318" s="152"/>
      <c r="AL318" s="152"/>
      <c r="AM318" s="152"/>
      <c r="AN318" s="152"/>
      <c r="AO318" s="152"/>
      <c r="AP318" s="152"/>
      <c r="AQ318" s="152"/>
      <c r="AR318" s="152"/>
    </row>
    <row r="319" ht="12.75" customHeight="1">
      <c r="A319" s="244" t="s">
        <v>5158</v>
      </c>
      <c r="B319" s="244" t="s">
        <v>12721</v>
      </c>
      <c r="C319" s="245" t="s">
        <v>13556</v>
      </c>
      <c r="D319" s="155" t="s">
        <v>45</v>
      </c>
      <c r="E319" s="155" t="s">
        <v>92</v>
      </c>
      <c r="F319" s="154" t="str">
        <f t="array" ref="F319">XLOOKUP(Cover!$D$12,$P$1:$X$1,$P319:$X319)</f>
        <v>Information</v>
      </c>
      <c r="G319" s="154" t="s">
        <v>13557</v>
      </c>
      <c r="H319" s="154" t="s">
        <v>13558</v>
      </c>
      <c r="I319" s="154" t="s">
        <v>13551</v>
      </c>
      <c r="J319" s="154" t="s">
        <v>10718</v>
      </c>
      <c r="K319" s="154"/>
      <c r="L319" s="154" t="s">
        <v>759</v>
      </c>
      <c r="M319" s="247" t="s">
        <v>516</v>
      </c>
      <c r="N319" s="247" t="s">
        <v>12731</v>
      </c>
      <c r="O319" s="240" t="str">
        <f t="shared" si="1"/>
        <v/>
      </c>
      <c r="P319" s="154" t="s">
        <v>66</v>
      </c>
      <c r="Q319" s="154" t="s">
        <v>66</v>
      </c>
      <c r="R319" s="154" t="s">
        <v>66</v>
      </c>
      <c r="S319" s="154" t="s">
        <v>66</v>
      </c>
      <c r="T319" s="154" t="s">
        <v>66</v>
      </c>
      <c r="U319" s="154" t="s">
        <v>66</v>
      </c>
      <c r="V319" s="154" t="s">
        <v>66</v>
      </c>
      <c r="W319" s="154" t="s">
        <v>66</v>
      </c>
      <c r="X319" s="154" t="s">
        <v>66</v>
      </c>
      <c r="Y319" s="154"/>
      <c r="Z319" s="242" t="b">
        <f t="shared" si="2"/>
        <v>1</v>
      </c>
      <c r="AA319" s="154" t="s">
        <v>391</v>
      </c>
      <c r="AB319" s="242" t="b">
        <f t="shared" si="3"/>
        <v>0</v>
      </c>
      <c r="AC319" s="154"/>
      <c r="AD319" s="242" t="b">
        <f t="shared" si="4"/>
        <v>0</v>
      </c>
      <c r="AE319" s="154" t="s">
        <v>1610</v>
      </c>
      <c r="AF319" s="243" t="str">
        <f>IF(AE319="","N/A",INDIRECT("MTR!"&amp;ADDRESS(MATCH(LEFT(AE319,9),MTR!C:C,0),COLUMN(J319)),TRUE) &amp; "")</f>
        <v>Partially Complies</v>
      </c>
      <c r="AG319" s="157" t="str">
        <f t="shared" si="5"/>
        <v/>
      </c>
      <c r="AH319" s="152"/>
      <c r="AI319" s="152"/>
      <c r="AJ319" s="152"/>
      <c r="AK319" s="152"/>
      <c r="AL319" s="152"/>
      <c r="AM319" s="152"/>
      <c r="AN319" s="152"/>
      <c r="AO319" s="152"/>
      <c r="AP319" s="152"/>
      <c r="AQ319" s="152"/>
      <c r="AR319" s="152"/>
    </row>
    <row r="320" ht="12.75" customHeight="1">
      <c r="A320" s="244" t="s">
        <v>5158</v>
      </c>
      <c r="B320" s="244" t="s">
        <v>12721</v>
      </c>
      <c r="C320" s="244" t="s">
        <v>13559</v>
      </c>
      <c r="D320" s="154" t="s">
        <v>1315</v>
      </c>
      <c r="E320" s="154"/>
      <c r="F320" s="154" t="str">
        <f t="array" ref="F320">XLOOKUP(Cover!$D$12,$P$1:$X$1,$P320:$X320)</f>
        <v>Information</v>
      </c>
      <c r="G320" s="154" t="s">
        <v>13560</v>
      </c>
      <c r="H320" s="154" t="s">
        <v>12988</v>
      </c>
      <c r="I320" s="154" t="s">
        <v>13561</v>
      </c>
      <c r="J320" s="154" t="s">
        <v>6428</v>
      </c>
      <c r="K320" s="154"/>
      <c r="L320" s="154" t="s">
        <v>759</v>
      </c>
      <c r="M320" s="247" t="s">
        <v>506</v>
      </c>
      <c r="N320" s="247" t="s">
        <v>12738</v>
      </c>
      <c r="O320" s="240" t="str">
        <f t="shared" si="1"/>
        <v/>
      </c>
      <c r="P320" s="154" t="s">
        <v>66</v>
      </c>
      <c r="Q320" s="154" t="s">
        <v>66</v>
      </c>
      <c r="R320" s="154" t="s">
        <v>66</v>
      </c>
      <c r="S320" s="154" t="s">
        <v>66</v>
      </c>
      <c r="T320" s="154" t="s">
        <v>66</v>
      </c>
      <c r="U320" s="154" t="s">
        <v>66</v>
      </c>
      <c r="V320" s="154" t="s">
        <v>66</v>
      </c>
      <c r="W320" s="154" t="s">
        <v>66</v>
      </c>
      <c r="X320" s="154" t="s">
        <v>66</v>
      </c>
      <c r="Y320" s="154"/>
      <c r="Z320" s="242" t="b">
        <f t="shared" si="2"/>
        <v>1</v>
      </c>
      <c r="AA320" s="154" t="s">
        <v>391</v>
      </c>
      <c r="AB320" s="242" t="b">
        <f t="shared" si="3"/>
        <v>0</v>
      </c>
      <c r="AC320" s="154"/>
      <c r="AD320" s="242" t="b">
        <f t="shared" si="4"/>
        <v>0</v>
      </c>
      <c r="AE320" s="154" t="s">
        <v>1610</v>
      </c>
      <c r="AF320" s="243" t="str">
        <f>IF(AE320="","N/A",INDIRECT("MTR!"&amp;ADDRESS(MATCH(LEFT(AE320,9),MTR!C:C,0),COLUMN(J320)),TRUE) &amp; "")</f>
        <v>Partially Complies</v>
      </c>
      <c r="AG320" s="157" t="str">
        <f t="shared" si="5"/>
        <v/>
      </c>
      <c r="AH320" s="152"/>
      <c r="AI320" s="152"/>
      <c r="AJ320" s="152"/>
      <c r="AK320" s="152"/>
      <c r="AL320" s="152"/>
      <c r="AM320" s="152"/>
      <c r="AN320" s="152"/>
      <c r="AO320" s="152"/>
      <c r="AP320" s="152"/>
      <c r="AQ320" s="152"/>
      <c r="AR320" s="152"/>
    </row>
    <row r="321" ht="12.75" customHeight="1">
      <c r="A321" s="244" t="s">
        <v>5158</v>
      </c>
      <c r="B321" s="244" t="s">
        <v>12721</v>
      </c>
      <c r="C321" s="244" t="s">
        <v>13562</v>
      </c>
      <c r="D321" s="154" t="s">
        <v>1315</v>
      </c>
      <c r="E321" s="154"/>
      <c r="F321" s="154" t="str">
        <f t="array" ref="F321">XLOOKUP(Cover!$D$12,$P$1:$X$1,$P321:$X321)</f>
        <v>Information</v>
      </c>
      <c r="G321" s="154" t="s">
        <v>13563</v>
      </c>
      <c r="H321" s="154" t="s">
        <v>12989</v>
      </c>
      <c r="I321" s="154" t="s">
        <v>13561</v>
      </c>
      <c r="J321" s="154" t="s">
        <v>6428</v>
      </c>
      <c r="K321" s="154"/>
      <c r="L321" s="154" t="s">
        <v>759</v>
      </c>
      <c r="M321" s="247" t="s">
        <v>516</v>
      </c>
      <c r="N321" s="247" t="s">
        <v>12741</v>
      </c>
      <c r="O321" s="240" t="str">
        <f t="shared" si="1"/>
        <v/>
      </c>
      <c r="P321" s="154" t="s">
        <v>66</v>
      </c>
      <c r="Q321" s="154" t="s">
        <v>66</v>
      </c>
      <c r="R321" s="154" t="s">
        <v>66</v>
      </c>
      <c r="S321" s="154" t="s">
        <v>66</v>
      </c>
      <c r="T321" s="154" t="s">
        <v>66</v>
      </c>
      <c r="U321" s="154" t="s">
        <v>66</v>
      </c>
      <c r="V321" s="154" t="s">
        <v>66</v>
      </c>
      <c r="W321" s="154" t="s">
        <v>66</v>
      </c>
      <c r="X321" s="154" t="s">
        <v>66</v>
      </c>
      <c r="Y321" s="154"/>
      <c r="Z321" s="242" t="b">
        <f t="shared" si="2"/>
        <v>1</v>
      </c>
      <c r="AA321" s="154" t="s">
        <v>391</v>
      </c>
      <c r="AB321" s="242" t="b">
        <f t="shared" si="3"/>
        <v>0</v>
      </c>
      <c r="AC321" s="154"/>
      <c r="AD321" s="242" t="b">
        <f t="shared" si="4"/>
        <v>0</v>
      </c>
      <c r="AE321" s="154" t="s">
        <v>1610</v>
      </c>
      <c r="AF321" s="243" t="str">
        <f>IF(AE321="","N/A",INDIRECT("MTR!"&amp;ADDRESS(MATCH(LEFT(AE321,9),MTR!C:C,0),COLUMN(J321)),TRUE) &amp; "")</f>
        <v>Partially Complies</v>
      </c>
      <c r="AG321" s="157" t="str">
        <f t="shared" si="5"/>
        <v/>
      </c>
      <c r="AH321" s="152"/>
      <c r="AI321" s="152"/>
      <c r="AJ321" s="152"/>
      <c r="AK321" s="152"/>
      <c r="AL321" s="152"/>
      <c r="AM321" s="152"/>
      <c r="AN321" s="152"/>
      <c r="AO321" s="152"/>
      <c r="AP321" s="152"/>
      <c r="AQ321" s="152"/>
      <c r="AR321" s="152"/>
    </row>
    <row r="322" ht="12.75" customHeight="1">
      <c r="A322" s="244" t="s">
        <v>5158</v>
      </c>
      <c r="B322" s="244" t="s">
        <v>12721</v>
      </c>
      <c r="C322" s="244" t="s">
        <v>13564</v>
      </c>
      <c r="D322" s="154" t="s">
        <v>45</v>
      </c>
      <c r="E322" s="154"/>
      <c r="F322" s="154" t="str">
        <f t="array" ref="F322">XLOOKUP(Cover!$D$12,$P$1:$X$1,$P322:$X322)</f>
        <v>Information</v>
      </c>
      <c r="G322" s="154" t="s">
        <v>13565</v>
      </c>
      <c r="H322" s="154" t="s">
        <v>12988</v>
      </c>
      <c r="I322" s="154" t="s">
        <v>13561</v>
      </c>
      <c r="J322" s="154" t="s">
        <v>10718</v>
      </c>
      <c r="K322" s="154"/>
      <c r="L322" s="154" t="s">
        <v>759</v>
      </c>
      <c r="M322" s="247" t="s">
        <v>516</v>
      </c>
      <c r="N322" s="247" t="s">
        <v>12792</v>
      </c>
      <c r="O322" s="240" t="str">
        <f t="shared" si="1"/>
        <v/>
      </c>
      <c r="P322" s="154" t="s">
        <v>66</v>
      </c>
      <c r="Q322" s="154" t="s">
        <v>66</v>
      </c>
      <c r="R322" s="154" t="s">
        <v>66</v>
      </c>
      <c r="S322" s="154" t="s">
        <v>66</v>
      </c>
      <c r="T322" s="154" t="s">
        <v>66</v>
      </c>
      <c r="U322" s="154" t="s">
        <v>66</v>
      </c>
      <c r="V322" s="154" t="s">
        <v>66</v>
      </c>
      <c r="W322" s="154" t="s">
        <v>66</v>
      </c>
      <c r="X322" s="154" t="s">
        <v>66</v>
      </c>
      <c r="Y322" s="154"/>
      <c r="Z322" s="242" t="b">
        <f t="shared" si="2"/>
        <v>1</v>
      </c>
      <c r="AA322" s="154" t="s">
        <v>391</v>
      </c>
      <c r="AB322" s="242" t="b">
        <f t="shared" si="3"/>
        <v>0</v>
      </c>
      <c r="AC322" s="154"/>
      <c r="AD322" s="242" t="b">
        <f t="shared" si="4"/>
        <v>0</v>
      </c>
      <c r="AE322" s="154" t="s">
        <v>1610</v>
      </c>
      <c r="AF322" s="243" t="str">
        <f>IF(AE322="","N/A",INDIRECT("MTR!"&amp;ADDRESS(MATCH(LEFT(AE322,9),MTR!C:C,0),COLUMN(J322)),TRUE) &amp; "")</f>
        <v>Partially Complies</v>
      </c>
      <c r="AG322" s="157" t="str">
        <f t="shared" si="5"/>
        <v/>
      </c>
      <c r="AH322" s="152"/>
      <c r="AI322" s="152"/>
      <c r="AJ322" s="152"/>
      <c r="AK322" s="152"/>
      <c r="AL322" s="152"/>
      <c r="AM322" s="152"/>
      <c r="AN322" s="152"/>
      <c r="AO322" s="152"/>
      <c r="AP322" s="152"/>
      <c r="AQ322" s="152"/>
      <c r="AR322" s="152"/>
    </row>
    <row r="323" ht="12.75" customHeight="1">
      <c r="A323" s="244" t="s">
        <v>5158</v>
      </c>
      <c r="B323" s="244" t="s">
        <v>12721</v>
      </c>
      <c r="C323" s="244" t="s">
        <v>13566</v>
      </c>
      <c r="D323" s="154" t="s">
        <v>45</v>
      </c>
      <c r="E323" s="154"/>
      <c r="F323" s="154" t="str">
        <f t="array" ref="F323">XLOOKUP(Cover!$D$12,$P$1:$X$1,$P323:$X323)</f>
        <v>Information</v>
      </c>
      <c r="G323" s="154" t="s">
        <v>13567</v>
      </c>
      <c r="H323" s="154" t="s">
        <v>12989</v>
      </c>
      <c r="I323" s="154" t="s">
        <v>13561</v>
      </c>
      <c r="J323" s="154" t="s">
        <v>10718</v>
      </c>
      <c r="K323" s="154"/>
      <c r="L323" s="154" t="s">
        <v>759</v>
      </c>
      <c r="M323" s="247" t="s">
        <v>516</v>
      </c>
      <c r="N323" s="247" t="s">
        <v>12795</v>
      </c>
      <c r="O323" s="240" t="str">
        <f t="shared" si="1"/>
        <v/>
      </c>
      <c r="P323" s="154" t="s">
        <v>66</v>
      </c>
      <c r="Q323" s="154" t="s">
        <v>66</v>
      </c>
      <c r="R323" s="154" t="s">
        <v>66</v>
      </c>
      <c r="S323" s="154" t="s">
        <v>66</v>
      </c>
      <c r="T323" s="154" t="s">
        <v>66</v>
      </c>
      <c r="U323" s="154" t="s">
        <v>66</v>
      </c>
      <c r="V323" s="154" t="s">
        <v>66</v>
      </c>
      <c r="W323" s="154" t="s">
        <v>66</v>
      </c>
      <c r="X323" s="154" t="s">
        <v>66</v>
      </c>
      <c r="Y323" s="154"/>
      <c r="Z323" s="242" t="b">
        <f t="shared" si="2"/>
        <v>1</v>
      </c>
      <c r="AA323" s="154" t="s">
        <v>391</v>
      </c>
      <c r="AB323" s="242" t="b">
        <f t="shared" si="3"/>
        <v>0</v>
      </c>
      <c r="AC323" s="154"/>
      <c r="AD323" s="242" t="b">
        <f t="shared" si="4"/>
        <v>0</v>
      </c>
      <c r="AE323" s="154" t="s">
        <v>1610</v>
      </c>
      <c r="AF323" s="243" t="str">
        <f>IF(AE323="","N/A",INDIRECT("MTR!"&amp;ADDRESS(MATCH(LEFT(AE323,9),MTR!C:C,0),COLUMN(J323)),TRUE) &amp; "")</f>
        <v>Partially Complies</v>
      </c>
      <c r="AG323" s="157" t="str">
        <f t="shared" si="5"/>
        <v/>
      </c>
      <c r="AH323" s="152"/>
      <c r="AI323" s="152"/>
      <c r="AJ323" s="152"/>
      <c r="AK323" s="152"/>
      <c r="AL323" s="152"/>
      <c r="AM323" s="152"/>
      <c r="AN323" s="152"/>
      <c r="AO323" s="152"/>
      <c r="AP323" s="152"/>
      <c r="AQ323" s="152"/>
      <c r="AR323" s="152"/>
    </row>
    <row r="324" ht="12.75" customHeight="1">
      <c r="A324" s="244" t="s">
        <v>5158</v>
      </c>
      <c r="B324" s="244" t="s">
        <v>12721</v>
      </c>
      <c r="C324" s="245" t="s">
        <v>13568</v>
      </c>
      <c r="D324" s="155" t="s">
        <v>45</v>
      </c>
      <c r="E324" s="155" t="s">
        <v>92</v>
      </c>
      <c r="F324" s="154" t="str">
        <f t="array" ref="F324">XLOOKUP(Cover!$D$12,$P$1:$X$1,$P324:$X324)</f>
        <v>Information</v>
      </c>
      <c r="G324" s="154" t="s">
        <v>13569</v>
      </c>
      <c r="H324" s="154" t="s">
        <v>13002</v>
      </c>
      <c r="I324" s="154" t="s">
        <v>13570</v>
      </c>
      <c r="J324" s="154" t="s">
        <v>10718</v>
      </c>
      <c r="K324" s="154"/>
      <c r="L324" s="154" t="s">
        <v>759</v>
      </c>
      <c r="M324" s="247" t="s">
        <v>516</v>
      </c>
      <c r="N324" s="247" t="s">
        <v>12731</v>
      </c>
      <c r="O324" s="240" t="str">
        <f t="shared" si="1"/>
        <v/>
      </c>
      <c r="P324" s="154" t="s">
        <v>66</v>
      </c>
      <c r="Q324" s="154" t="s">
        <v>66</v>
      </c>
      <c r="R324" s="154" t="s">
        <v>66</v>
      </c>
      <c r="S324" s="154" t="s">
        <v>66</v>
      </c>
      <c r="T324" s="154" t="s">
        <v>66</v>
      </c>
      <c r="U324" s="154" t="s">
        <v>66</v>
      </c>
      <c r="V324" s="154" t="s">
        <v>66</v>
      </c>
      <c r="W324" s="154" t="s">
        <v>66</v>
      </c>
      <c r="X324" s="154" t="s">
        <v>66</v>
      </c>
      <c r="Y324" s="154"/>
      <c r="Z324" s="242" t="b">
        <f t="shared" si="2"/>
        <v>1</v>
      </c>
      <c r="AA324" s="154" t="s">
        <v>391</v>
      </c>
      <c r="AB324" s="242" t="b">
        <f t="shared" si="3"/>
        <v>0</v>
      </c>
      <c r="AC324" s="154"/>
      <c r="AD324" s="242" t="b">
        <f t="shared" si="4"/>
        <v>0</v>
      </c>
      <c r="AE324" s="154" t="s">
        <v>1610</v>
      </c>
      <c r="AF324" s="243" t="str">
        <f>IF(AE324="","N/A",INDIRECT("MTR!"&amp;ADDRESS(MATCH(LEFT(AE324,9),MTR!C:C,0),COLUMN(J324)),TRUE) &amp; "")</f>
        <v>Partially Complies</v>
      </c>
      <c r="AG324" s="157" t="str">
        <f t="shared" si="5"/>
        <v/>
      </c>
      <c r="AH324" s="152"/>
      <c r="AI324" s="152"/>
      <c r="AJ324" s="152"/>
      <c r="AK324" s="152"/>
      <c r="AL324" s="152"/>
      <c r="AM324" s="152"/>
      <c r="AN324" s="152"/>
      <c r="AO324" s="152"/>
      <c r="AP324" s="152"/>
      <c r="AQ324" s="152"/>
      <c r="AR324" s="152"/>
    </row>
    <row r="325" ht="12.75" customHeight="1">
      <c r="A325" s="244" t="s">
        <v>5158</v>
      </c>
      <c r="B325" s="244" t="s">
        <v>12721</v>
      </c>
      <c r="C325" s="245" t="s">
        <v>13571</v>
      </c>
      <c r="D325" s="155" t="s">
        <v>1315</v>
      </c>
      <c r="E325" s="155" t="s">
        <v>92</v>
      </c>
      <c r="F325" s="154" t="str">
        <f t="array" ref="F325">XLOOKUP(Cover!$D$12,$P$1:$X$1,$P325:$X325)</f>
        <v>Information</v>
      </c>
      <c r="G325" s="154" t="s">
        <v>13572</v>
      </c>
      <c r="H325" s="154" t="s">
        <v>13573</v>
      </c>
      <c r="I325" s="154" t="s">
        <v>13574</v>
      </c>
      <c r="J325" s="154" t="s">
        <v>6942</v>
      </c>
      <c r="K325" s="154"/>
      <c r="L325" s="154" t="s">
        <v>759</v>
      </c>
      <c r="M325" s="247" t="s">
        <v>516</v>
      </c>
      <c r="N325" s="247" t="s">
        <v>12731</v>
      </c>
      <c r="O325" s="240" t="str">
        <f t="shared" si="1"/>
        <v/>
      </c>
      <c r="P325" s="154" t="s">
        <v>66</v>
      </c>
      <c r="Q325" s="154" t="s">
        <v>66</v>
      </c>
      <c r="R325" s="154" t="s">
        <v>66</v>
      </c>
      <c r="S325" s="154" t="s">
        <v>66</v>
      </c>
      <c r="T325" s="154" t="s">
        <v>66</v>
      </c>
      <c r="U325" s="154" t="s">
        <v>66</v>
      </c>
      <c r="V325" s="154" t="s">
        <v>66</v>
      </c>
      <c r="W325" s="154" t="s">
        <v>66</v>
      </c>
      <c r="X325" s="154" t="s">
        <v>66</v>
      </c>
      <c r="Y325" s="154"/>
      <c r="Z325" s="242" t="b">
        <f t="shared" si="2"/>
        <v>1</v>
      </c>
      <c r="AA325" s="154" t="s">
        <v>391</v>
      </c>
      <c r="AB325" s="242" t="b">
        <f t="shared" si="3"/>
        <v>0</v>
      </c>
      <c r="AC325" s="154"/>
      <c r="AD325" s="242" t="b">
        <f t="shared" si="4"/>
        <v>0</v>
      </c>
      <c r="AE325" s="154" t="s">
        <v>1610</v>
      </c>
      <c r="AF325" s="243" t="str">
        <f>IF(AE325="","N/A",INDIRECT("MTR!"&amp;ADDRESS(MATCH(LEFT(AE325,9),MTR!C:C,0),COLUMN(J325)),TRUE) &amp; "")</f>
        <v>Partially Complies</v>
      </c>
      <c r="AG325" s="157" t="str">
        <f t="shared" si="5"/>
        <v/>
      </c>
      <c r="AH325" s="152"/>
      <c r="AI325" s="152"/>
      <c r="AJ325" s="152"/>
      <c r="AK325" s="152"/>
      <c r="AL325" s="152"/>
      <c r="AM325" s="152"/>
      <c r="AN325" s="152"/>
      <c r="AO325" s="152"/>
      <c r="AP325" s="152"/>
      <c r="AQ325" s="152"/>
      <c r="AR325" s="152"/>
    </row>
    <row r="326" ht="12.75" customHeight="1">
      <c r="A326" s="244" t="s">
        <v>5158</v>
      </c>
      <c r="B326" s="244" t="s">
        <v>12721</v>
      </c>
      <c r="C326" s="244" t="s">
        <v>13575</v>
      </c>
      <c r="D326" s="154" t="s">
        <v>503</v>
      </c>
      <c r="E326" s="154"/>
      <c r="F326" s="154" t="str">
        <f t="array" ref="F326">XLOOKUP(Cover!$D$12,$P$1:$X$1,$P326:$X326)</f>
        <v>Information</v>
      </c>
      <c r="G326" s="154" t="s">
        <v>13576</v>
      </c>
      <c r="H326" s="154" t="s">
        <v>13021</v>
      </c>
      <c r="I326" s="154" t="s">
        <v>13577</v>
      </c>
      <c r="J326" s="154" t="s">
        <v>7431</v>
      </c>
      <c r="K326" s="154"/>
      <c r="L326" s="154" t="s">
        <v>759</v>
      </c>
      <c r="M326" s="247" t="s">
        <v>516</v>
      </c>
      <c r="N326" s="247" t="s">
        <v>12731</v>
      </c>
      <c r="O326" s="240" t="str">
        <f t="shared" si="1"/>
        <v/>
      </c>
      <c r="P326" s="154" t="s">
        <v>66</v>
      </c>
      <c r="Q326" s="154" t="s">
        <v>66</v>
      </c>
      <c r="R326" s="154" t="s">
        <v>66</v>
      </c>
      <c r="S326" s="154" t="s">
        <v>66</v>
      </c>
      <c r="T326" s="154" t="s">
        <v>66</v>
      </c>
      <c r="U326" s="154" t="s">
        <v>66</v>
      </c>
      <c r="V326" s="154" t="s">
        <v>66</v>
      </c>
      <c r="W326" s="154" t="s">
        <v>66</v>
      </c>
      <c r="X326" s="154" t="s">
        <v>66</v>
      </c>
      <c r="Y326" s="154"/>
      <c r="Z326" s="242" t="b">
        <f t="shared" si="2"/>
        <v>1</v>
      </c>
      <c r="AA326" s="154" t="s">
        <v>391</v>
      </c>
      <c r="AB326" s="242" t="b">
        <f t="shared" si="3"/>
        <v>0</v>
      </c>
      <c r="AC326" s="154"/>
      <c r="AD326" s="242" t="b">
        <f t="shared" si="4"/>
        <v>0</v>
      </c>
      <c r="AE326" s="154" t="s">
        <v>1610</v>
      </c>
      <c r="AF326" s="243" t="str">
        <f>IF(AE326="","N/A",INDIRECT("MTR!"&amp;ADDRESS(MATCH(LEFT(AE326,9),MTR!C:C,0),COLUMN(J326)),TRUE) &amp; "")</f>
        <v>Partially Complies</v>
      </c>
      <c r="AG326" s="157" t="str">
        <f t="shared" si="5"/>
        <v/>
      </c>
      <c r="AH326" s="152"/>
      <c r="AI326" s="152"/>
      <c r="AJ326" s="152"/>
      <c r="AK326" s="152"/>
      <c r="AL326" s="152"/>
      <c r="AM326" s="152"/>
      <c r="AN326" s="152"/>
      <c r="AO326" s="152"/>
      <c r="AP326" s="152"/>
      <c r="AQ326" s="152"/>
      <c r="AR326" s="152"/>
    </row>
    <row r="327" ht="12.75" customHeight="1">
      <c r="A327" s="244" t="s">
        <v>5158</v>
      </c>
      <c r="B327" s="244" t="s">
        <v>12721</v>
      </c>
      <c r="C327" s="255" t="s">
        <v>13578</v>
      </c>
      <c r="D327" s="256" t="s">
        <v>42</v>
      </c>
      <c r="E327" s="256" t="s">
        <v>489</v>
      </c>
      <c r="F327" s="154" t="str">
        <f t="array" ref="F327">XLOOKUP(Cover!$D$12,$P$1:$X$1,$P327:$X327)</f>
        <v>Information</v>
      </c>
      <c r="G327" s="154" t="s">
        <v>13579</v>
      </c>
      <c r="H327" s="154" t="s">
        <v>13021</v>
      </c>
      <c r="I327" s="154" t="s">
        <v>13580</v>
      </c>
      <c r="J327" s="154" t="s">
        <v>5931</v>
      </c>
      <c r="K327" s="154"/>
      <c r="L327" s="154" t="s">
        <v>759</v>
      </c>
      <c r="M327" s="247" t="s">
        <v>516</v>
      </c>
      <c r="N327" s="247" t="s">
        <v>12731</v>
      </c>
      <c r="O327" s="240" t="str">
        <f t="shared" si="1"/>
        <v/>
      </c>
      <c r="P327" s="154" t="s">
        <v>66</v>
      </c>
      <c r="Q327" s="154" t="s">
        <v>66</v>
      </c>
      <c r="R327" s="154" t="s">
        <v>66</v>
      </c>
      <c r="S327" s="154" t="s">
        <v>66</v>
      </c>
      <c r="T327" s="154" t="s">
        <v>66</v>
      </c>
      <c r="U327" s="154" t="s">
        <v>66</v>
      </c>
      <c r="V327" s="154" t="s">
        <v>66</v>
      </c>
      <c r="W327" s="154" t="s">
        <v>66</v>
      </c>
      <c r="X327" s="154" t="s">
        <v>66</v>
      </c>
      <c r="Y327" s="154"/>
      <c r="Z327" s="242" t="b">
        <f t="shared" si="2"/>
        <v>1</v>
      </c>
      <c r="AA327" s="154" t="s">
        <v>391</v>
      </c>
      <c r="AB327" s="242" t="b">
        <f t="shared" si="3"/>
        <v>0</v>
      </c>
      <c r="AC327" s="154"/>
      <c r="AD327" s="242" t="b">
        <f t="shared" si="4"/>
        <v>0</v>
      </c>
      <c r="AE327" s="154" t="s">
        <v>1610</v>
      </c>
      <c r="AF327" s="243" t="str">
        <f>IF(AE327="","N/A",INDIRECT("MTR!"&amp;ADDRESS(MATCH(LEFT(AE327,9),MTR!C:C,0),COLUMN(J327)),TRUE) &amp; "")</f>
        <v>Partially Complies</v>
      </c>
      <c r="AG327" s="157" t="str">
        <f t="shared" si="5"/>
        <v/>
      </c>
      <c r="AH327" s="152"/>
      <c r="AI327" s="152"/>
      <c r="AJ327" s="152"/>
      <c r="AK327" s="152"/>
      <c r="AL327" s="152"/>
      <c r="AM327" s="152"/>
      <c r="AN327" s="152"/>
      <c r="AO327" s="152"/>
      <c r="AP327" s="152"/>
      <c r="AQ327" s="152"/>
      <c r="AR327" s="152"/>
    </row>
    <row r="328" ht="12.75" customHeight="1">
      <c r="A328" s="244" t="s">
        <v>5158</v>
      </c>
      <c r="B328" s="244" t="s">
        <v>12721</v>
      </c>
      <c r="C328" s="255" t="s">
        <v>13581</v>
      </c>
      <c r="D328" s="256" t="s">
        <v>42</v>
      </c>
      <c r="E328" s="256" t="s">
        <v>489</v>
      </c>
      <c r="F328" s="154" t="str">
        <f t="array" ref="F328">XLOOKUP(Cover!$D$12,$P$1:$X$1,$P328:$X328)</f>
        <v>Information</v>
      </c>
      <c r="G328" s="154" t="s">
        <v>13582</v>
      </c>
      <c r="H328" s="154" t="s">
        <v>13583</v>
      </c>
      <c r="I328" s="154" t="s">
        <v>13580</v>
      </c>
      <c r="J328" s="154" t="s">
        <v>5931</v>
      </c>
      <c r="K328" s="154"/>
      <c r="L328" s="154" t="s">
        <v>759</v>
      </c>
      <c r="M328" s="247" t="s">
        <v>516</v>
      </c>
      <c r="N328" s="247" t="s">
        <v>12731</v>
      </c>
      <c r="O328" s="240" t="str">
        <f t="shared" si="1"/>
        <v/>
      </c>
      <c r="P328" s="154" t="s">
        <v>66</v>
      </c>
      <c r="Q328" s="154" t="s">
        <v>66</v>
      </c>
      <c r="R328" s="154" t="s">
        <v>66</v>
      </c>
      <c r="S328" s="154" t="s">
        <v>66</v>
      </c>
      <c r="T328" s="154" t="s">
        <v>66</v>
      </c>
      <c r="U328" s="154" t="s">
        <v>66</v>
      </c>
      <c r="V328" s="154" t="s">
        <v>66</v>
      </c>
      <c r="W328" s="154" t="s">
        <v>66</v>
      </c>
      <c r="X328" s="154" t="s">
        <v>66</v>
      </c>
      <c r="Y328" s="154"/>
      <c r="Z328" s="242" t="b">
        <f t="shared" si="2"/>
        <v>1</v>
      </c>
      <c r="AA328" s="154" t="s">
        <v>391</v>
      </c>
      <c r="AB328" s="242" t="b">
        <f t="shared" si="3"/>
        <v>0</v>
      </c>
      <c r="AC328" s="154"/>
      <c r="AD328" s="242" t="b">
        <f t="shared" si="4"/>
        <v>0</v>
      </c>
      <c r="AE328" s="154" t="s">
        <v>1610</v>
      </c>
      <c r="AF328" s="243" t="str">
        <f>IF(AE328="","N/A",INDIRECT("MTR!"&amp;ADDRESS(MATCH(LEFT(AE328,9),MTR!C:C,0),COLUMN(J328)),TRUE) &amp; "")</f>
        <v>Partially Complies</v>
      </c>
      <c r="AG328" s="157" t="str">
        <f t="shared" si="5"/>
        <v/>
      </c>
      <c r="AH328" s="152"/>
      <c r="AI328" s="152"/>
      <c r="AJ328" s="152"/>
      <c r="AK328" s="152"/>
      <c r="AL328" s="152"/>
      <c r="AM328" s="152"/>
      <c r="AN328" s="152"/>
      <c r="AO328" s="152"/>
      <c r="AP328" s="152"/>
      <c r="AQ328" s="152"/>
      <c r="AR328" s="152"/>
    </row>
    <row r="329" ht="12.75" customHeight="1">
      <c r="A329" s="244" t="s">
        <v>5158</v>
      </c>
      <c r="B329" s="244" t="s">
        <v>12721</v>
      </c>
      <c r="C329" s="244" t="s">
        <v>13584</v>
      </c>
      <c r="D329" s="154" t="s">
        <v>45</v>
      </c>
      <c r="E329" s="154"/>
      <c r="F329" s="154" t="str">
        <f t="array" ref="F329">XLOOKUP(Cover!$D$12,$P$1:$X$1,$P329:$X329)</f>
        <v>Mandatory</v>
      </c>
      <c r="G329" s="154" t="s">
        <v>13585</v>
      </c>
      <c r="H329" s="154" t="s">
        <v>13040</v>
      </c>
      <c r="I329" s="154" t="s">
        <v>13586</v>
      </c>
      <c r="J329" s="154" t="s">
        <v>7431</v>
      </c>
      <c r="K329" s="154" t="s">
        <v>1018</v>
      </c>
      <c r="L329" s="154" t="s">
        <v>759</v>
      </c>
      <c r="M329" s="247" t="s">
        <v>516</v>
      </c>
      <c r="N329" s="247" t="s">
        <v>12731</v>
      </c>
      <c r="O329" s="240" t="str">
        <f t="shared" si="1"/>
        <v/>
      </c>
      <c r="P329" s="154" t="s">
        <v>66</v>
      </c>
      <c r="Q329" s="154" t="s">
        <v>66</v>
      </c>
      <c r="R329" s="154" t="s">
        <v>60</v>
      </c>
      <c r="S329" s="154" t="s">
        <v>60</v>
      </c>
      <c r="T329" s="154" t="s">
        <v>60</v>
      </c>
      <c r="U329" s="154" t="s">
        <v>60</v>
      </c>
      <c r="V329" s="154" t="s">
        <v>66</v>
      </c>
      <c r="W329" s="154" t="s">
        <v>60</v>
      </c>
      <c r="X329" s="154" t="s">
        <v>60</v>
      </c>
      <c r="Y329" s="154"/>
      <c r="Z329" s="242" t="b">
        <f t="shared" si="2"/>
        <v>1</v>
      </c>
      <c r="AA329" s="154" t="s">
        <v>391</v>
      </c>
      <c r="AB329" s="242" t="b">
        <f t="shared" si="3"/>
        <v>0</v>
      </c>
      <c r="AC329" s="154"/>
      <c r="AD329" s="242" t="b">
        <f t="shared" si="4"/>
        <v>0</v>
      </c>
      <c r="AE329" s="154" t="s">
        <v>1610</v>
      </c>
      <c r="AF329" s="243" t="str">
        <f>IF(AE329="","N/A",INDIRECT("MTR!"&amp;ADDRESS(MATCH(LEFT(AE329,9),MTR!C:C,0),COLUMN(J329)),TRUE) &amp; "")</f>
        <v>Partially Complies</v>
      </c>
      <c r="AG329" s="157" t="str">
        <f t="shared" si="5"/>
        <v/>
      </c>
      <c r="AH329" s="152"/>
      <c r="AI329" s="152"/>
      <c r="AJ329" s="152"/>
      <c r="AK329" s="152"/>
      <c r="AL329" s="152"/>
      <c r="AM329" s="152"/>
      <c r="AN329" s="152"/>
      <c r="AO329" s="152"/>
      <c r="AP329" s="152"/>
      <c r="AQ329" s="152"/>
      <c r="AR329" s="152"/>
    </row>
    <row r="330" ht="12.75" customHeight="1">
      <c r="A330" s="244" t="s">
        <v>5158</v>
      </c>
      <c r="B330" s="244" t="s">
        <v>12721</v>
      </c>
      <c r="C330" s="244" t="s">
        <v>13587</v>
      </c>
      <c r="D330" s="154" t="s">
        <v>503</v>
      </c>
      <c r="E330" s="154"/>
      <c r="F330" s="154" t="str">
        <f t="array" ref="F330">XLOOKUP(Cover!$D$12,$P$1:$X$1,$P330:$X330)</f>
        <v>Mandatory</v>
      </c>
      <c r="G330" s="154" t="s">
        <v>13588</v>
      </c>
      <c r="H330" s="154" t="s">
        <v>13040</v>
      </c>
      <c r="I330" s="154" t="s">
        <v>13589</v>
      </c>
      <c r="J330" s="154" t="s">
        <v>7431</v>
      </c>
      <c r="K330" s="154" t="s">
        <v>1018</v>
      </c>
      <c r="L330" s="154" t="s">
        <v>759</v>
      </c>
      <c r="M330" s="247" t="s">
        <v>516</v>
      </c>
      <c r="N330" s="247" t="s">
        <v>12731</v>
      </c>
      <c r="O330" s="240" t="str">
        <f t="shared" si="1"/>
        <v/>
      </c>
      <c r="P330" s="154" t="s">
        <v>66</v>
      </c>
      <c r="Q330" s="154" t="s">
        <v>66</v>
      </c>
      <c r="R330" s="154" t="s">
        <v>60</v>
      </c>
      <c r="S330" s="154" t="s">
        <v>60</v>
      </c>
      <c r="T330" s="154" t="s">
        <v>60</v>
      </c>
      <c r="U330" s="154" t="s">
        <v>60</v>
      </c>
      <c r="V330" s="154" t="s">
        <v>66</v>
      </c>
      <c r="W330" s="154" t="s">
        <v>60</v>
      </c>
      <c r="X330" s="154" t="s">
        <v>60</v>
      </c>
      <c r="Y330" s="154"/>
      <c r="Z330" s="242" t="b">
        <f t="shared" si="2"/>
        <v>1</v>
      </c>
      <c r="AA330" s="154" t="s">
        <v>391</v>
      </c>
      <c r="AB330" s="242" t="b">
        <f t="shared" si="3"/>
        <v>0</v>
      </c>
      <c r="AC330" s="154"/>
      <c r="AD330" s="242" t="b">
        <f t="shared" si="4"/>
        <v>0</v>
      </c>
      <c r="AE330" s="154" t="s">
        <v>1610</v>
      </c>
      <c r="AF330" s="243" t="str">
        <f>IF(AE330="","N/A",INDIRECT("MTR!"&amp;ADDRESS(MATCH(LEFT(AE330,9),MTR!C:C,0),COLUMN(J330)),TRUE) &amp; "")</f>
        <v>Partially Complies</v>
      </c>
      <c r="AG330" s="157" t="str">
        <f t="shared" si="5"/>
        <v/>
      </c>
      <c r="AH330" s="152"/>
      <c r="AI330" s="152"/>
      <c r="AJ330" s="152"/>
      <c r="AK330" s="152"/>
      <c r="AL330" s="152"/>
      <c r="AM330" s="152"/>
      <c r="AN330" s="152"/>
      <c r="AO330" s="152"/>
      <c r="AP330" s="152"/>
      <c r="AQ330" s="152"/>
      <c r="AR330" s="152"/>
    </row>
    <row r="331" ht="12.75" customHeight="1">
      <c r="A331" s="244" t="s">
        <v>5158</v>
      </c>
      <c r="B331" s="244" t="s">
        <v>12721</v>
      </c>
      <c r="C331" s="244" t="s">
        <v>13590</v>
      </c>
      <c r="D331" s="154" t="s">
        <v>503</v>
      </c>
      <c r="E331" s="154"/>
      <c r="F331" s="154" t="str">
        <f t="array" ref="F331">XLOOKUP(Cover!$D$12,$P$1:$X$1,$P331:$X331)</f>
        <v>Mandatory</v>
      </c>
      <c r="G331" s="154" t="s">
        <v>13591</v>
      </c>
      <c r="H331" s="154" t="s">
        <v>13041</v>
      </c>
      <c r="I331" s="154" t="s">
        <v>13589</v>
      </c>
      <c r="J331" s="154" t="s">
        <v>7431</v>
      </c>
      <c r="K331" s="154" t="s">
        <v>1018</v>
      </c>
      <c r="L331" s="154" t="s">
        <v>759</v>
      </c>
      <c r="M331" s="247" t="s">
        <v>516</v>
      </c>
      <c r="N331" s="247" t="s">
        <v>12731</v>
      </c>
      <c r="O331" s="240" t="str">
        <f t="shared" si="1"/>
        <v/>
      </c>
      <c r="P331" s="154" t="s">
        <v>66</v>
      </c>
      <c r="Q331" s="154" t="s">
        <v>66</v>
      </c>
      <c r="R331" s="155" t="s">
        <v>64</v>
      </c>
      <c r="S331" s="155" t="s">
        <v>64</v>
      </c>
      <c r="T331" s="154" t="s">
        <v>60</v>
      </c>
      <c r="U331" s="154" t="s">
        <v>60</v>
      </c>
      <c r="V331" s="154" t="s">
        <v>66</v>
      </c>
      <c r="W331" s="155" t="s">
        <v>64</v>
      </c>
      <c r="X331" s="154" t="s">
        <v>60</v>
      </c>
      <c r="Y331" s="154"/>
      <c r="Z331" s="242" t="b">
        <f t="shared" si="2"/>
        <v>1</v>
      </c>
      <c r="AA331" s="154" t="s">
        <v>391</v>
      </c>
      <c r="AB331" s="242" t="b">
        <f t="shared" si="3"/>
        <v>0</v>
      </c>
      <c r="AC331" s="154"/>
      <c r="AD331" s="242" t="b">
        <f t="shared" si="4"/>
        <v>0</v>
      </c>
      <c r="AE331" s="154" t="s">
        <v>1610</v>
      </c>
      <c r="AF331" s="243" t="str">
        <f>IF(AE331="","N/A",INDIRECT("MTR!"&amp;ADDRESS(MATCH(LEFT(AE331,9),MTR!C:C,0),COLUMN(J331)),TRUE) &amp; "")</f>
        <v>Partially Complies</v>
      </c>
      <c r="AG331" s="157" t="str">
        <f t="shared" si="5"/>
        <v/>
      </c>
      <c r="AH331" s="152"/>
      <c r="AI331" s="152"/>
      <c r="AJ331" s="152"/>
      <c r="AK331" s="152"/>
      <c r="AL331" s="152"/>
      <c r="AM331" s="152"/>
      <c r="AN331" s="152"/>
      <c r="AO331" s="152"/>
      <c r="AP331" s="152"/>
      <c r="AQ331" s="152"/>
      <c r="AR331" s="152"/>
    </row>
    <row r="332" ht="12.75" customHeight="1">
      <c r="A332" s="244" t="s">
        <v>5158</v>
      </c>
      <c r="B332" s="244" t="s">
        <v>12721</v>
      </c>
      <c r="C332" s="244" t="s">
        <v>13592</v>
      </c>
      <c r="D332" s="154" t="s">
        <v>1315</v>
      </c>
      <c r="E332" s="154"/>
      <c r="F332" s="154" t="str">
        <f t="array" ref="F332">XLOOKUP(Cover!$D$12,$P$1:$X$1,$P332:$X332)</f>
        <v>Mandatory</v>
      </c>
      <c r="G332" s="154" t="s">
        <v>13593</v>
      </c>
      <c r="H332" s="154" t="s">
        <v>13040</v>
      </c>
      <c r="I332" s="154" t="s">
        <v>13594</v>
      </c>
      <c r="J332" s="154" t="s">
        <v>6942</v>
      </c>
      <c r="K332" s="154" t="s">
        <v>1018</v>
      </c>
      <c r="L332" s="154" t="s">
        <v>759</v>
      </c>
      <c r="M332" s="247" t="s">
        <v>506</v>
      </c>
      <c r="N332" s="247" t="s">
        <v>12738</v>
      </c>
      <c r="O332" s="240" t="str">
        <f t="shared" si="1"/>
        <v/>
      </c>
      <c r="P332" s="154" t="s">
        <v>66</v>
      </c>
      <c r="Q332" s="154" t="s">
        <v>66</v>
      </c>
      <c r="R332" s="154" t="s">
        <v>60</v>
      </c>
      <c r="S332" s="154" t="s">
        <v>60</v>
      </c>
      <c r="T332" s="154" t="s">
        <v>60</v>
      </c>
      <c r="U332" s="154" t="s">
        <v>60</v>
      </c>
      <c r="V332" s="154" t="s">
        <v>66</v>
      </c>
      <c r="W332" s="154" t="s">
        <v>60</v>
      </c>
      <c r="X332" s="154" t="s">
        <v>60</v>
      </c>
      <c r="Y332" s="154"/>
      <c r="Z332" s="242" t="b">
        <f t="shared" si="2"/>
        <v>1</v>
      </c>
      <c r="AA332" s="154" t="s">
        <v>391</v>
      </c>
      <c r="AB332" s="242" t="b">
        <f t="shared" si="3"/>
        <v>0</v>
      </c>
      <c r="AC332" s="154"/>
      <c r="AD332" s="242" t="b">
        <f t="shared" si="4"/>
        <v>0</v>
      </c>
      <c r="AE332" s="154" t="s">
        <v>1610</v>
      </c>
      <c r="AF332" s="243" t="str">
        <f>IF(AE332="","N/A",INDIRECT("MTR!"&amp;ADDRESS(MATCH(LEFT(AE332,9),MTR!C:C,0),COLUMN(J332)),TRUE) &amp; "")</f>
        <v>Partially Complies</v>
      </c>
      <c r="AG332" s="157" t="str">
        <f t="shared" si="5"/>
        <v/>
      </c>
      <c r="AH332" s="152"/>
      <c r="AI332" s="152"/>
      <c r="AJ332" s="152"/>
      <c r="AK332" s="152"/>
      <c r="AL332" s="152"/>
      <c r="AM332" s="152"/>
      <c r="AN332" s="152"/>
      <c r="AO332" s="152"/>
      <c r="AP332" s="152"/>
      <c r="AQ332" s="152"/>
      <c r="AR332" s="152"/>
    </row>
    <row r="333" ht="12.75" customHeight="1">
      <c r="A333" s="244" t="s">
        <v>5158</v>
      </c>
      <c r="B333" s="244" t="s">
        <v>12721</v>
      </c>
      <c r="C333" s="244" t="s">
        <v>13595</v>
      </c>
      <c r="D333" s="154" t="s">
        <v>1315</v>
      </c>
      <c r="E333" s="154"/>
      <c r="F333" s="154" t="str">
        <f t="array" ref="F333">XLOOKUP(Cover!$D$12,$P$1:$X$1,$P333:$X333)</f>
        <v>Mandatory</v>
      </c>
      <c r="G333" s="154" t="s">
        <v>13596</v>
      </c>
      <c r="H333" s="154" t="s">
        <v>13597</v>
      </c>
      <c r="I333" s="154" t="s">
        <v>13594</v>
      </c>
      <c r="J333" s="154" t="s">
        <v>6942</v>
      </c>
      <c r="K333" s="154" t="s">
        <v>1018</v>
      </c>
      <c r="L333" s="154" t="s">
        <v>759</v>
      </c>
      <c r="M333" s="247" t="s">
        <v>516</v>
      </c>
      <c r="N333" s="247" t="s">
        <v>12741</v>
      </c>
      <c r="O333" s="240" t="str">
        <f t="shared" si="1"/>
        <v/>
      </c>
      <c r="P333" s="154" t="s">
        <v>66</v>
      </c>
      <c r="Q333" s="154" t="s">
        <v>66</v>
      </c>
      <c r="R333" s="155" t="s">
        <v>64</v>
      </c>
      <c r="S333" s="155" t="s">
        <v>64</v>
      </c>
      <c r="T333" s="154" t="s">
        <v>60</v>
      </c>
      <c r="U333" s="154" t="s">
        <v>60</v>
      </c>
      <c r="V333" s="154" t="s">
        <v>66</v>
      </c>
      <c r="W333" s="155" t="s">
        <v>64</v>
      </c>
      <c r="X333" s="154" t="s">
        <v>60</v>
      </c>
      <c r="Y333" s="154"/>
      <c r="Z333" s="242" t="b">
        <f t="shared" si="2"/>
        <v>1</v>
      </c>
      <c r="AA333" s="154" t="s">
        <v>391</v>
      </c>
      <c r="AB333" s="242" t="b">
        <f t="shared" si="3"/>
        <v>0</v>
      </c>
      <c r="AC333" s="154"/>
      <c r="AD333" s="242" t="b">
        <f t="shared" si="4"/>
        <v>0</v>
      </c>
      <c r="AE333" s="154" t="s">
        <v>1610</v>
      </c>
      <c r="AF333" s="243" t="str">
        <f>IF(AE333="","N/A",INDIRECT("MTR!"&amp;ADDRESS(MATCH(LEFT(AE333,9),MTR!C:C,0),COLUMN(J333)),TRUE) &amp; "")</f>
        <v>Partially Complies</v>
      </c>
      <c r="AG333" s="157" t="str">
        <f t="shared" si="5"/>
        <v/>
      </c>
      <c r="AH333" s="152"/>
      <c r="AI333" s="152"/>
      <c r="AJ333" s="152"/>
      <c r="AK333" s="152"/>
      <c r="AL333" s="152"/>
      <c r="AM333" s="152"/>
      <c r="AN333" s="152"/>
      <c r="AO333" s="152"/>
      <c r="AP333" s="152"/>
      <c r="AQ333" s="152"/>
      <c r="AR333" s="152"/>
    </row>
    <row r="334" ht="12.75" customHeight="1">
      <c r="A334" s="244" t="s">
        <v>5158</v>
      </c>
      <c r="B334" s="244" t="s">
        <v>12721</v>
      </c>
      <c r="C334" s="244" t="s">
        <v>13598</v>
      </c>
      <c r="D334" s="154" t="s">
        <v>1315</v>
      </c>
      <c r="E334" s="154"/>
      <c r="F334" s="154" t="str">
        <f t="array" ref="F334">XLOOKUP(Cover!$D$12,$P$1:$X$1,$P334:$X334)</f>
        <v>Mandatory</v>
      </c>
      <c r="G334" s="154" t="s">
        <v>13599</v>
      </c>
      <c r="H334" s="154" t="s">
        <v>13040</v>
      </c>
      <c r="I334" s="154" t="s">
        <v>13594</v>
      </c>
      <c r="J334" s="154" t="s">
        <v>6905</v>
      </c>
      <c r="K334" s="154" t="s">
        <v>1018</v>
      </c>
      <c r="L334" s="154" t="s">
        <v>759</v>
      </c>
      <c r="M334" s="247" t="s">
        <v>506</v>
      </c>
      <c r="N334" s="247" t="s">
        <v>12738</v>
      </c>
      <c r="O334" s="240" t="str">
        <f t="shared" si="1"/>
        <v/>
      </c>
      <c r="P334" s="154" t="s">
        <v>66</v>
      </c>
      <c r="Q334" s="154" t="s">
        <v>66</v>
      </c>
      <c r="R334" s="154" t="s">
        <v>60</v>
      </c>
      <c r="S334" s="154" t="s">
        <v>60</v>
      </c>
      <c r="T334" s="154" t="s">
        <v>60</v>
      </c>
      <c r="U334" s="154" t="s">
        <v>60</v>
      </c>
      <c r="V334" s="154" t="s">
        <v>66</v>
      </c>
      <c r="W334" s="154" t="s">
        <v>60</v>
      </c>
      <c r="X334" s="154" t="s">
        <v>60</v>
      </c>
      <c r="Y334" s="154"/>
      <c r="Z334" s="242" t="b">
        <f t="shared" si="2"/>
        <v>1</v>
      </c>
      <c r="AA334" s="154" t="s">
        <v>391</v>
      </c>
      <c r="AB334" s="242" t="b">
        <f t="shared" si="3"/>
        <v>0</v>
      </c>
      <c r="AC334" s="154"/>
      <c r="AD334" s="242" t="b">
        <f t="shared" si="4"/>
        <v>0</v>
      </c>
      <c r="AE334" s="154" t="s">
        <v>1610</v>
      </c>
      <c r="AF334" s="243" t="str">
        <f>IF(AE334="","N/A",INDIRECT("MTR!"&amp;ADDRESS(MATCH(LEFT(AE334,9),MTR!C:C,0),COLUMN(J334)),TRUE) &amp; "")</f>
        <v>Partially Complies</v>
      </c>
      <c r="AG334" s="157" t="str">
        <f t="shared" si="5"/>
        <v/>
      </c>
      <c r="AH334" s="152"/>
      <c r="AI334" s="152"/>
      <c r="AJ334" s="152"/>
      <c r="AK334" s="152"/>
      <c r="AL334" s="152"/>
      <c r="AM334" s="152"/>
      <c r="AN334" s="152"/>
      <c r="AO334" s="152"/>
      <c r="AP334" s="152"/>
      <c r="AQ334" s="152"/>
      <c r="AR334" s="152"/>
    </row>
    <row r="335" ht="12.75" customHeight="1">
      <c r="A335" s="244" t="s">
        <v>5158</v>
      </c>
      <c r="B335" s="244" t="s">
        <v>12721</v>
      </c>
      <c r="C335" s="244" t="s">
        <v>13600</v>
      </c>
      <c r="D335" s="154" t="s">
        <v>1315</v>
      </c>
      <c r="E335" s="154"/>
      <c r="F335" s="154" t="str">
        <f t="array" ref="F335">XLOOKUP(Cover!$D$12,$P$1:$X$1,$P335:$X335)</f>
        <v>Mandatory</v>
      </c>
      <c r="G335" s="154" t="s">
        <v>13601</v>
      </c>
      <c r="H335" s="154" t="s">
        <v>13597</v>
      </c>
      <c r="I335" s="154" t="s">
        <v>13594</v>
      </c>
      <c r="J335" s="154" t="s">
        <v>6905</v>
      </c>
      <c r="K335" s="154" t="s">
        <v>1018</v>
      </c>
      <c r="L335" s="154" t="s">
        <v>759</v>
      </c>
      <c r="M335" s="247" t="s">
        <v>516</v>
      </c>
      <c r="N335" s="247" t="s">
        <v>12741</v>
      </c>
      <c r="O335" s="240" t="str">
        <f t="shared" si="1"/>
        <v/>
      </c>
      <c r="P335" s="154" t="s">
        <v>66</v>
      </c>
      <c r="Q335" s="154" t="s">
        <v>66</v>
      </c>
      <c r="R335" s="155" t="s">
        <v>64</v>
      </c>
      <c r="S335" s="155" t="s">
        <v>64</v>
      </c>
      <c r="T335" s="154" t="s">
        <v>60</v>
      </c>
      <c r="U335" s="154" t="s">
        <v>60</v>
      </c>
      <c r="V335" s="154" t="s">
        <v>66</v>
      </c>
      <c r="W335" s="155" t="s">
        <v>64</v>
      </c>
      <c r="X335" s="154" t="s">
        <v>60</v>
      </c>
      <c r="Y335" s="154"/>
      <c r="Z335" s="242" t="b">
        <f t="shared" si="2"/>
        <v>1</v>
      </c>
      <c r="AA335" s="154" t="s">
        <v>391</v>
      </c>
      <c r="AB335" s="242" t="b">
        <f t="shared" si="3"/>
        <v>0</v>
      </c>
      <c r="AC335" s="154"/>
      <c r="AD335" s="242" t="b">
        <f t="shared" si="4"/>
        <v>0</v>
      </c>
      <c r="AE335" s="154" t="s">
        <v>1610</v>
      </c>
      <c r="AF335" s="243" t="str">
        <f>IF(AE335="","N/A",INDIRECT("MTR!"&amp;ADDRESS(MATCH(LEFT(AE335,9),MTR!C:C,0),COLUMN(J335)),TRUE) &amp; "")</f>
        <v>Partially Complies</v>
      </c>
      <c r="AG335" s="157" t="str">
        <f t="shared" si="5"/>
        <v/>
      </c>
      <c r="AH335" s="152"/>
      <c r="AI335" s="152"/>
      <c r="AJ335" s="152"/>
      <c r="AK335" s="152"/>
      <c r="AL335" s="152"/>
      <c r="AM335" s="152"/>
      <c r="AN335" s="152"/>
      <c r="AO335" s="152"/>
      <c r="AP335" s="152"/>
      <c r="AQ335" s="152"/>
      <c r="AR335" s="152"/>
    </row>
    <row r="336" ht="12.75" customHeight="1">
      <c r="A336" s="244" t="s">
        <v>5158</v>
      </c>
      <c r="B336" s="244" t="s">
        <v>12721</v>
      </c>
      <c r="C336" s="244" t="s">
        <v>13602</v>
      </c>
      <c r="D336" s="154" t="s">
        <v>45</v>
      </c>
      <c r="E336" s="154"/>
      <c r="F336" s="154" t="str">
        <f t="array" ref="F336">XLOOKUP(Cover!$D$12,$P$1:$X$1,$P336:$X336)</f>
        <v>Mandatory</v>
      </c>
      <c r="G336" s="154" t="s">
        <v>13603</v>
      </c>
      <c r="H336" s="154" t="s">
        <v>13040</v>
      </c>
      <c r="I336" s="154" t="s">
        <v>13594</v>
      </c>
      <c r="J336" s="154" t="s">
        <v>10718</v>
      </c>
      <c r="K336" s="154" t="s">
        <v>1018</v>
      </c>
      <c r="L336" s="154" t="s">
        <v>759</v>
      </c>
      <c r="M336" s="247" t="s">
        <v>516</v>
      </c>
      <c r="N336" s="247" t="s">
        <v>12748</v>
      </c>
      <c r="O336" s="240" t="str">
        <f t="shared" si="1"/>
        <v/>
      </c>
      <c r="P336" s="154" t="s">
        <v>66</v>
      </c>
      <c r="Q336" s="154" t="s">
        <v>66</v>
      </c>
      <c r="R336" s="154" t="s">
        <v>60</v>
      </c>
      <c r="S336" s="154" t="s">
        <v>60</v>
      </c>
      <c r="T336" s="154" t="s">
        <v>60</v>
      </c>
      <c r="U336" s="154" t="s">
        <v>60</v>
      </c>
      <c r="V336" s="154" t="s">
        <v>66</v>
      </c>
      <c r="W336" s="154" t="s">
        <v>60</v>
      </c>
      <c r="X336" s="154" t="s">
        <v>60</v>
      </c>
      <c r="Y336" s="154"/>
      <c r="Z336" s="242" t="b">
        <f t="shared" si="2"/>
        <v>1</v>
      </c>
      <c r="AA336" s="154" t="s">
        <v>391</v>
      </c>
      <c r="AB336" s="242" t="b">
        <f t="shared" si="3"/>
        <v>0</v>
      </c>
      <c r="AC336" s="154"/>
      <c r="AD336" s="242" t="b">
        <f t="shared" si="4"/>
        <v>0</v>
      </c>
      <c r="AE336" s="154" t="s">
        <v>1610</v>
      </c>
      <c r="AF336" s="243" t="str">
        <f>IF(AE336="","N/A",INDIRECT("MTR!"&amp;ADDRESS(MATCH(LEFT(AE336,9),MTR!C:C,0),COLUMN(J336)),TRUE) &amp; "")</f>
        <v>Partially Complies</v>
      </c>
      <c r="AG336" s="157" t="str">
        <f t="shared" si="5"/>
        <v/>
      </c>
      <c r="AH336" s="152"/>
      <c r="AI336" s="152"/>
      <c r="AJ336" s="152"/>
      <c r="AK336" s="152"/>
      <c r="AL336" s="152"/>
      <c r="AM336" s="152"/>
      <c r="AN336" s="152"/>
      <c r="AO336" s="152"/>
      <c r="AP336" s="152"/>
      <c r="AQ336" s="152"/>
      <c r="AR336" s="152"/>
    </row>
    <row r="337" ht="12.75" customHeight="1">
      <c r="A337" s="244" t="s">
        <v>5158</v>
      </c>
      <c r="B337" s="244" t="s">
        <v>12721</v>
      </c>
      <c r="C337" s="244" t="s">
        <v>13604</v>
      </c>
      <c r="D337" s="154" t="s">
        <v>45</v>
      </c>
      <c r="E337" s="154"/>
      <c r="F337" s="154" t="str">
        <f t="array" ref="F337">XLOOKUP(Cover!$D$12,$P$1:$X$1,$P337:$X337)</f>
        <v>Mandatory</v>
      </c>
      <c r="G337" s="154" t="s">
        <v>13605</v>
      </c>
      <c r="H337" s="154" t="s">
        <v>13597</v>
      </c>
      <c r="I337" s="154" t="s">
        <v>13594</v>
      </c>
      <c r="J337" s="154" t="s">
        <v>10718</v>
      </c>
      <c r="K337" s="154" t="s">
        <v>1018</v>
      </c>
      <c r="L337" s="154" t="s">
        <v>759</v>
      </c>
      <c r="M337" s="247" t="s">
        <v>516</v>
      </c>
      <c r="N337" s="247" t="s">
        <v>12751</v>
      </c>
      <c r="O337" s="240" t="str">
        <f t="shared" si="1"/>
        <v/>
      </c>
      <c r="P337" s="154" t="s">
        <v>66</v>
      </c>
      <c r="Q337" s="154" t="s">
        <v>66</v>
      </c>
      <c r="R337" s="155" t="s">
        <v>64</v>
      </c>
      <c r="S337" s="155" t="s">
        <v>64</v>
      </c>
      <c r="T337" s="154" t="s">
        <v>60</v>
      </c>
      <c r="U337" s="154" t="s">
        <v>60</v>
      </c>
      <c r="V337" s="154" t="s">
        <v>66</v>
      </c>
      <c r="W337" s="155" t="s">
        <v>64</v>
      </c>
      <c r="X337" s="154" t="s">
        <v>60</v>
      </c>
      <c r="Y337" s="154"/>
      <c r="Z337" s="242" t="b">
        <f t="shared" si="2"/>
        <v>1</v>
      </c>
      <c r="AA337" s="154" t="s">
        <v>391</v>
      </c>
      <c r="AB337" s="242" t="b">
        <f t="shared" si="3"/>
        <v>0</v>
      </c>
      <c r="AC337" s="154"/>
      <c r="AD337" s="242" t="b">
        <f t="shared" si="4"/>
        <v>0</v>
      </c>
      <c r="AE337" s="154" t="s">
        <v>1610</v>
      </c>
      <c r="AF337" s="243" t="str">
        <f>IF(AE337="","N/A",INDIRECT("MTR!"&amp;ADDRESS(MATCH(LEFT(AE337,9),MTR!C:C,0),COLUMN(J337)),TRUE) &amp; "")</f>
        <v>Partially Complies</v>
      </c>
      <c r="AG337" s="157" t="str">
        <f t="shared" si="5"/>
        <v/>
      </c>
      <c r="AH337" s="152"/>
      <c r="AI337" s="152"/>
      <c r="AJ337" s="152"/>
      <c r="AK337" s="152"/>
      <c r="AL337" s="152"/>
      <c r="AM337" s="152"/>
      <c r="AN337" s="152"/>
      <c r="AO337" s="152"/>
      <c r="AP337" s="152"/>
      <c r="AQ337" s="152"/>
      <c r="AR337" s="152"/>
    </row>
    <row r="338" ht="12.75" customHeight="1">
      <c r="A338" s="244" t="s">
        <v>5158</v>
      </c>
      <c r="B338" s="244" t="s">
        <v>12721</v>
      </c>
      <c r="C338" s="244" t="s">
        <v>13606</v>
      </c>
      <c r="D338" s="154" t="s">
        <v>1315</v>
      </c>
      <c r="E338" s="154"/>
      <c r="F338" s="154" t="str">
        <f t="array" ref="F338">XLOOKUP(Cover!$D$12,$P$1:$X$1,$P338:$X338)</f>
        <v>Mandatory</v>
      </c>
      <c r="G338" s="154" t="s">
        <v>13607</v>
      </c>
      <c r="H338" s="154" t="s">
        <v>9003</v>
      </c>
      <c r="I338" s="154" t="s">
        <v>13608</v>
      </c>
      <c r="J338" s="154" t="s">
        <v>6529</v>
      </c>
      <c r="K338" s="154" t="s">
        <v>1018</v>
      </c>
      <c r="L338" s="154" t="s">
        <v>759</v>
      </c>
      <c r="M338" s="247" t="s">
        <v>516</v>
      </c>
      <c r="N338" s="247" t="s">
        <v>12731</v>
      </c>
      <c r="O338" s="240" t="str">
        <f t="shared" si="1"/>
        <v/>
      </c>
      <c r="P338" s="154" t="s">
        <v>66</v>
      </c>
      <c r="Q338" s="154" t="s">
        <v>66</v>
      </c>
      <c r="R338" s="154" t="s">
        <v>60</v>
      </c>
      <c r="S338" s="154" t="s">
        <v>60</v>
      </c>
      <c r="T338" s="154" t="s">
        <v>60</v>
      </c>
      <c r="U338" s="154" t="s">
        <v>60</v>
      </c>
      <c r="V338" s="154" t="s">
        <v>66</v>
      </c>
      <c r="W338" s="154" t="s">
        <v>60</v>
      </c>
      <c r="X338" s="154" t="s">
        <v>60</v>
      </c>
      <c r="Y338" s="154"/>
      <c r="Z338" s="242" t="b">
        <f t="shared" si="2"/>
        <v>1</v>
      </c>
      <c r="AA338" s="154" t="s">
        <v>391</v>
      </c>
      <c r="AB338" s="242" t="b">
        <f t="shared" si="3"/>
        <v>0</v>
      </c>
      <c r="AC338" s="154"/>
      <c r="AD338" s="242" t="b">
        <f t="shared" si="4"/>
        <v>0</v>
      </c>
      <c r="AE338" s="154" t="s">
        <v>1610</v>
      </c>
      <c r="AF338" s="243" t="str">
        <f>IF(AE338="","N/A",INDIRECT("MTR!"&amp;ADDRESS(MATCH(LEFT(AE338,9),MTR!C:C,0),COLUMN(J338)),TRUE) &amp; "")</f>
        <v>Partially Complies</v>
      </c>
      <c r="AG338" s="157" t="str">
        <f t="shared" si="5"/>
        <v/>
      </c>
      <c r="AH338" s="152"/>
      <c r="AI338" s="152"/>
      <c r="AJ338" s="152"/>
      <c r="AK338" s="152"/>
      <c r="AL338" s="152"/>
      <c r="AM338" s="152"/>
      <c r="AN338" s="152"/>
      <c r="AO338" s="152"/>
      <c r="AP338" s="152"/>
      <c r="AQ338" s="152"/>
      <c r="AR338" s="152"/>
    </row>
    <row r="339" ht="12.75" customHeight="1">
      <c r="A339" s="244" t="s">
        <v>5158</v>
      </c>
      <c r="B339" s="244" t="s">
        <v>12721</v>
      </c>
      <c r="C339" s="244" t="s">
        <v>13609</v>
      </c>
      <c r="D339" s="154" t="s">
        <v>45</v>
      </c>
      <c r="E339" s="154"/>
      <c r="F339" s="154" t="str">
        <f t="array" ref="F339">XLOOKUP(Cover!$D$12,$P$1:$X$1,$P339:$X339)</f>
        <v>Mandatory</v>
      </c>
      <c r="G339" s="154" t="s">
        <v>13610</v>
      </c>
      <c r="H339" s="154" t="s">
        <v>9003</v>
      </c>
      <c r="I339" s="154" t="s">
        <v>13608</v>
      </c>
      <c r="J339" s="154" t="s">
        <v>10718</v>
      </c>
      <c r="K339" s="154" t="s">
        <v>1018</v>
      </c>
      <c r="L339" s="154" t="s">
        <v>759</v>
      </c>
      <c r="M339" s="247" t="s">
        <v>516</v>
      </c>
      <c r="N339" s="247" t="s">
        <v>12731</v>
      </c>
      <c r="O339" s="240" t="str">
        <f t="shared" si="1"/>
        <v/>
      </c>
      <c r="P339" s="154" t="s">
        <v>66</v>
      </c>
      <c r="Q339" s="154" t="s">
        <v>66</v>
      </c>
      <c r="R339" s="154" t="s">
        <v>60</v>
      </c>
      <c r="S339" s="154" t="s">
        <v>60</v>
      </c>
      <c r="T339" s="154" t="s">
        <v>60</v>
      </c>
      <c r="U339" s="154" t="s">
        <v>60</v>
      </c>
      <c r="V339" s="154" t="s">
        <v>66</v>
      </c>
      <c r="W339" s="154" t="s">
        <v>60</v>
      </c>
      <c r="X339" s="154" t="s">
        <v>60</v>
      </c>
      <c r="Y339" s="154"/>
      <c r="Z339" s="242" t="b">
        <f t="shared" si="2"/>
        <v>1</v>
      </c>
      <c r="AA339" s="154" t="s">
        <v>391</v>
      </c>
      <c r="AB339" s="242" t="b">
        <f t="shared" si="3"/>
        <v>0</v>
      </c>
      <c r="AC339" s="154"/>
      <c r="AD339" s="242" t="b">
        <f t="shared" si="4"/>
        <v>0</v>
      </c>
      <c r="AE339" s="154" t="s">
        <v>1610</v>
      </c>
      <c r="AF339" s="243" t="str">
        <f>IF(AE339="","N/A",INDIRECT("MTR!"&amp;ADDRESS(MATCH(LEFT(AE339,9),MTR!C:C,0),COLUMN(J339)),TRUE) &amp; "")</f>
        <v>Partially Complies</v>
      </c>
      <c r="AG339" s="157" t="str">
        <f t="shared" si="5"/>
        <v/>
      </c>
      <c r="AH339" s="152"/>
      <c r="AI339" s="152"/>
      <c r="AJ339" s="152"/>
      <c r="AK339" s="152"/>
      <c r="AL339" s="152"/>
      <c r="AM339" s="152"/>
      <c r="AN339" s="152"/>
      <c r="AO339" s="152"/>
      <c r="AP339" s="152"/>
      <c r="AQ339" s="152"/>
      <c r="AR339" s="152"/>
    </row>
    <row r="340" ht="12.75" customHeight="1">
      <c r="A340" s="244" t="s">
        <v>5158</v>
      </c>
      <c r="B340" s="244" t="s">
        <v>12721</v>
      </c>
      <c r="C340" s="244" t="s">
        <v>13611</v>
      </c>
      <c r="D340" s="154" t="s">
        <v>1315</v>
      </c>
      <c r="E340" s="154"/>
      <c r="F340" s="154" t="str">
        <f t="array" ref="F340">XLOOKUP(Cover!$D$12,$P$1:$X$1,$P340:$X340)</f>
        <v>Information</v>
      </c>
      <c r="G340" s="154" t="s">
        <v>13612</v>
      </c>
      <c r="H340" s="154" t="s">
        <v>13095</v>
      </c>
      <c r="I340" s="154" t="s">
        <v>13613</v>
      </c>
      <c r="J340" s="154" t="s">
        <v>6529</v>
      </c>
      <c r="K340" s="154"/>
      <c r="L340" s="154" t="s">
        <v>759</v>
      </c>
      <c r="M340" s="247" t="s">
        <v>516</v>
      </c>
      <c r="N340" s="247" t="s">
        <v>12731</v>
      </c>
      <c r="O340" s="240" t="str">
        <f t="shared" si="1"/>
        <v/>
      </c>
      <c r="P340" s="154" t="s">
        <v>66</v>
      </c>
      <c r="Q340" s="154" t="s">
        <v>66</v>
      </c>
      <c r="R340" s="154" t="s">
        <v>66</v>
      </c>
      <c r="S340" s="154" t="s">
        <v>66</v>
      </c>
      <c r="T340" s="154" t="s">
        <v>66</v>
      </c>
      <c r="U340" s="154" t="s">
        <v>66</v>
      </c>
      <c r="V340" s="154" t="s">
        <v>66</v>
      </c>
      <c r="W340" s="154" t="s">
        <v>66</v>
      </c>
      <c r="X340" s="154" t="s">
        <v>66</v>
      </c>
      <c r="Y340" s="154"/>
      <c r="Z340" s="242" t="b">
        <f t="shared" si="2"/>
        <v>1</v>
      </c>
      <c r="AA340" s="154" t="s">
        <v>391</v>
      </c>
      <c r="AB340" s="242" t="b">
        <f t="shared" si="3"/>
        <v>0</v>
      </c>
      <c r="AC340" s="154"/>
      <c r="AD340" s="242" t="b">
        <f t="shared" si="4"/>
        <v>0</v>
      </c>
      <c r="AE340" s="154" t="s">
        <v>1610</v>
      </c>
      <c r="AF340" s="243" t="str">
        <f>IF(AE340="","N/A",INDIRECT("MTR!"&amp;ADDRESS(MATCH(LEFT(AE340,9),MTR!C:C,0),COLUMN(J340)),TRUE) &amp; "")</f>
        <v>Partially Complies</v>
      </c>
      <c r="AG340" s="157" t="str">
        <f t="shared" si="5"/>
        <v/>
      </c>
      <c r="AH340" s="152"/>
      <c r="AI340" s="152"/>
      <c r="AJ340" s="152"/>
      <c r="AK340" s="152"/>
      <c r="AL340" s="152"/>
      <c r="AM340" s="152"/>
      <c r="AN340" s="152"/>
      <c r="AO340" s="152"/>
      <c r="AP340" s="152"/>
      <c r="AQ340" s="152"/>
      <c r="AR340" s="152"/>
    </row>
    <row r="341" ht="12.75" customHeight="1">
      <c r="A341" s="244" t="s">
        <v>5158</v>
      </c>
      <c r="B341" s="244" t="s">
        <v>12721</v>
      </c>
      <c r="C341" s="244" t="s">
        <v>13614</v>
      </c>
      <c r="D341" s="154" t="s">
        <v>1315</v>
      </c>
      <c r="E341" s="154"/>
      <c r="F341" s="154" t="str">
        <f t="array" ref="F341">XLOOKUP(Cover!$D$12,$P$1:$X$1,$P341:$X341)</f>
        <v>Information</v>
      </c>
      <c r="G341" s="154" t="s">
        <v>13615</v>
      </c>
      <c r="H341" s="154" t="s">
        <v>13096</v>
      </c>
      <c r="I341" s="154" t="s">
        <v>13613</v>
      </c>
      <c r="J341" s="154" t="s">
        <v>6529</v>
      </c>
      <c r="K341" s="154"/>
      <c r="L341" s="154" t="s">
        <v>759</v>
      </c>
      <c r="M341" s="247" t="s">
        <v>516</v>
      </c>
      <c r="N341" s="247" t="s">
        <v>12731</v>
      </c>
      <c r="O341" s="240" t="str">
        <f t="shared" si="1"/>
        <v/>
      </c>
      <c r="P341" s="154" t="s">
        <v>66</v>
      </c>
      <c r="Q341" s="154" t="s">
        <v>66</v>
      </c>
      <c r="R341" s="154" t="s">
        <v>66</v>
      </c>
      <c r="S341" s="154" t="s">
        <v>66</v>
      </c>
      <c r="T341" s="154" t="s">
        <v>66</v>
      </c>
      <c r="U341" s="154" t="s">
        <v>66</v>
      </c>
      <c r="V341" s="154" t="s">
        <v>66</v>
      </c>
      <c r="W341" s="154" t="s">
        <v>66</v>
      </c>
      <c r="X341" s="154" t="s">
        <v>66</v>
      </c>
      <c r="Y341" s="154"/>
      <c r="Z341" s="242" t="b">
        <f t="shared" si="2"/>
        <v>1</v>
      </c>
      <c r="AA341" s="154" t="s">
        <v>391</v>
      </c>
      <c r="AB341" s="242" t="b">
        <f t="shared" si="3"/>
        <v>0</v>
      </c>
      <c r="AC341" s="154"/>
      <c r="AD341" s="242" t="b">
        <f t="shared" si="4"/>
        <v>0</v>
      </c>
      <c r="AE341" s="154" t="s">
        <v>1610</v>
      </c>
      <c r="AF341" s="243" t="str">
        <f>IF(AE341="","N/A",INDIRECT("MTR!"&amp;ADDRESS(MATCH(LEFT(AE341,9),MTR!C:C,0),COLUMN(J341)),TRUE) &amp; "")</f>
        <v>Partially Complies</v>
      </c>
      <c r="AG341" s="157" t="str">
        <f t="shared" si="5"/>
        <v/>
      </c>
      <c r="AH341" s="152"/>
      <c r="AI341" s="152"/>
      <c r="AJ341" s="152"/>
      <c r="AK341" s="152"/>
      <c r="AL341" s="152"/>
      <c r="AM341" s="152"/>
      <c r="AN341" s="152"/>
      <c r="AO341" s="152"/>
      <c r="AP341" s="152"/>
      <c r="AQ341" s="152"/>
      <c r="AR341" s="152"/>
    </row>
    <row r="342" ht="12.75" customHeight="1">
      <c r="A342" s="244" t="s">
        <v>5158</v>
      </c>
      <c r="B342" s="244" t="s">
        <v>12721</v>
      </c>
      <c r="C342" s="244" t="s">
        <v>13616</v>
      </c>
      <c r="D342" s="154" t="s">
        <v>45</v>
      </c>
      <c r="E342" s="154"/>
      <c r="F342" s="154" t="str">
        <f t="array" ref="F342">XLOOKUP(Cover!$D$12,$P$1:$X$1,$P342:$X342)</f>
        <v>Information</v>
      </c>
      <c r="G342" s="154" t="s">
        <v>13617</v>
      </c>
      <c r="H342" s="154" t="s">
        <v>13095</v>
      </c>
      <c r="I342" s="154" t="s">
        <v>13613</v>
      </c>
      <c r="J342" s="154" t="s">
        <v>10718</v>
      </c>
      <c r="K342" s="154"/>
      <c r="L342" s="154" t="s">
        <v>759</v>
      </c>
      <c r="M342" s="247" t="s">
        <v>516</v>
      </c>
      <c r="N342" s="247" t="s">
        <v>12731</v>
      </c>
      <c r="O342" s="240" t="str">
        <f t="shared" si="1"/>
        <v/>
      </c>
      <c r="P342" s="154" t="s">
        <v>66</v>
      </c>
      <c r="Q342" s="154" t="s">
        <v>66</v>
      </c>
      <c r="R342" s="154" t="s">
        <v>66</v>
      </c>
      <c r="S342" s="154" t="s">
        <v>66</v>
      </c>
      <c r="T342" s="154" t="s">
        <v>66</v>
      </c>
      <c r="U342" s="154" t="s">
        <v>66</v>
      </c>
      <c r="V342" s="154" t="s">
        <v>66</v>
      </c>
      <c r="W342" s="154" t="s">
        <v>66</v>
      </c>
      <c r="X342" s="154" t="s">
        <v>66</v>
      </c>
      <c r="Y342" s="154"/>
      <c r="Z342" s="242" t="b">
        <f t="shared" si="2"/>
        <v>1</v>
      </c>
      <c r="AA342" s="154" t="s">
        <v>391</v>
      </c>
      <c r="AB342" s="242" t="b">
        <f t="shared" si="3"/>
        <v>0</v>
      </c>
      <c r="AC342" s="154"/>
      <c r="AD342" s="242" t="b">
        <f t="shared" si="4"/>
        <v>0</v>
      </c>
      <c r="AE342" s="154" t="s">
        <v>1610</v>
      </c>
      <c r="AF342" s="243" t="str">
        <f>IF(AE342="","N/A",INDIRECT("MTR!"&amp;ADDRESS(MATCH(LEFT(AE342,9),MTR!C:C,0),COLUMN(J342)),TRUE) &amp; "")</f>
        <v>Partially Complies</v>
      </c>
      <c r="AG342" s="157" t="str">
        <f t="shared" si="5"/>
        <v/>
      </c>
      <c r="AH342" s="152"/>
      <c r="AI342" s="152"/>
      <c r="AJ342" s="152"/>
      <c r="AK342" s="152"/>
      <c r="AL342" s="152"/>
      <c r="AM342" s="152"/>
      <c r="AN342" s="152"/>
      <c r="AO342" s="152"/>
      <c r="AP342" s="152"/>
      <c r="AQ342" s="152"/>
      <c r="AR342" s="152"/>
    </row>
    <row r="343" ht="12.75" customHeight="1">
      <c r="A343" s="244" t="s">
        <v>5158</v>
      </c>
      <c r="B343" s="244" t="s">
        <v>12721</v>
      </c>
      <c r="C343" s="244" t="s">
        <v>13618</v>
      </c>
      <c r="D343" s="154" t="s">
        <v>45</v>
      </c>
      <c r="E343" s="154"/>
      <c r="F343" s="154" t="str">
        <f t="array" ref="F343">XLOOKUP(Cover!$D$12,$P$1:$X$1,$P343:$X343)</f>
        <v>Information</v>
      </c>
      <c r="G343" s="154" t="s">
        <v>13619</v>
      </c>
      <c r="H343" s="154" t="s">
        <v>13096</v>
      </c>
      <c r="I343" s="154" t="s">
        <v>13613</v>
      </c>
      <c r="J343" s="154" t="s">
        <v>10718</v>
      </c>
      <c r="K343" s="154"/>
      <c r="L343" s="154" t="s">
        <v>759</v>
      </c>
      <c r="M343" s="247" t="s">
        <v>516</v>
      </c>
      <c r="N343" s="247" t="s">
        <v>12731</v>
      </c>
      <c r="O343" s="240" t="str">
        <f t="shared" si="1"/>
        <v/>
      </c>
      <c r="P343" s="154" t="s">
        <v>66</v>
      </c>
      <c r="Q343" s="154" t="s">
        <v>66</v>
      </c>
      <c r="R343" s="154" t="s">
        <v>66</v>
      </c>
      <c r="S343" s="154" t="s">
        <v>66</v>
      </c>
      <c r="T343" s="154" t="s">
        <v>66</v>
      </c>
      <c r="U343" s="154" t="s">
        <v>66</v>
      </c>
      <c r="V343" s="154" t="s">
        <v>66</v>
      </c>
      <c r="W343" s="154" t="s">
        <v>66</v>
      </c>
      <c r="X343" s="154" t="s">
        <v>66</v>
      </c>
      <c r="Y343" s="154"/>
      <c r="Z343" s="242" t="b">
        <f t="shared" si="2"/>
        <v>1</v>
      </c>
      <c r="AA343" s="154" t="s">
        <v>391</v>
      </c>
      <c r="AB343" s="242" t="b">
        <f t="shared" si="3"/>
        <v>0</v>
      </c>
      <c r="AC343" s="154"/>
      <c r="AD343" s="242" t="b">
        <f t="shared" si="4"/>
        <v>0</v>
      </c>
      <c r="AE343" s="154" t="s">
        <v>1610</v>
      </c>
      <c r="AF343" s="243" t="str">
        <f>IF(AE343="","N/A",INDIRECT("MTR!"&amp;ADDRESS(MATCH(LEFT(AE343,9),MTR!C:C,0),COLUMN(J343)),TRUE) &amp; "")</f>
        <v>Partially Complies</v>
      </c>
      <c r="AG343" s="157" t="str">
        <f t="shared" si="5"/>
        <v/>
      </c>
      <c r="AH343" s="152"/>
      <c r="AI343" s="152"/>
      <c r="AJ343" s="152"/>
      <c r="AK343" s="152"/>
      <c r="AL343" s="152"/>
      <c r="AM343" s="152"/>
      <c r="AN343" s="152"/>
      <c r="AO343" s="152"/>
      <c r="AP343" s="152"/>
      <c r="AQ343" s="152"/>
      <c r="AR343" s="152"/>
    </row>
    <row r="344" ht="12.75" customHeight="1">
      <c r="A344" s="238" t="s">
        <v>5158</v>
      </c>
      <c r="B344" s="238" t="s">
        <v>12721</v>
      </c>
      <c r="C344" s="238" t="s">
        <v>13620</v>
      </c>
      <c r="D344" s="240"/>
      <c r="E344" s="240" t="s">
        <v>92</v>
      </c>
      <c r="F344" s="240" t="str">
        <f t="array" ref="F344">XLOOKUP(Cover!$D$12,$P$1:$X$1,$P344:$X344)</f>
        <v>Heading</v>
      </c>
      <c r="G344" s="239" t="s">
        <v>13621</v>
      </c>
      <c r="H344" s="240"/>
      <c r="I344" s="240"/>
      <c r="J344" s="240"/>
      <c r="K344" s="240"/>
      <c r="L344" s="240" t="s">
        <v>759</v>
      </c>
      <c r="M344" s="240"/>
      <c r="N344" s="240"/>
      <c r="O344" s="240" t="str">
        <f t="shared" si="1"/>
        <v/>
      </c>
      <c r="P344" s="240" t="s">
        <v>390</v>
      </c>
      <c r="Q344" s="240" t="s">
        <v>390</v>
      </c>
      <c r="R344" s="240" t="s">
        <v>390</v>
      </c>
      <c r="S344" s="240" t="s">
        <v>390</v>
      </c>
      <c r="T344" s="240" t="s">
        <v>390</v>
      </c>
      <c r="U344" s="240" t="s">
        <v>390</v>
      </c>
      <c r="V344" s="240" t="s">
        <v>390</v>
      </c>
      <c r="W344" s="240" t="s">
        <v>390</v>
      </c>
      <c r="X344" s="240" t="s">
        <v>390</v>
      </c>
      <c r="Y344" s="240"/>
      <c r="Z344" s="242" t="b">
        <f t="shared" si="2"/>
        <v>0</v>
      </c>
      <c r="AA344" s="240" t="s">
        <v>391</v>
      </c>
      <c r="AB344" s="242" t="b">
        <f t="shared" si="3"/>
        <v>0</v>
      </c>
      <c r="AC344" s="240"/>
      <c r="AD344" s="242" t="b">
        <f t="shared" si="4"/>
        <v>0</v>
      </c>
      <c r="AE344" s="240"/>
      <c r="AF344" s="243" t="str">
        <f>IF(AE344="","N/A",INDIRECT("MTR!"&amp;ADDRESS(MATCH(LEFT(AE344,9),MTR!C:C,0),COLUMN(J344)),TRUE) &amp; "")</f>
        <v>N/A</v>
      </c>
      <c r="AG344" s="157" t="str">
        <f t="shared" si="5"/>
        <v/>
      </c>
      <c r="AH344" s="152"/>
      <c r="AI344" s="152"/>
      <c r="AJ344" s="152"/>
      <c r="AK344" s="152"/>
      <c r="AL344" s="152"/>
      <c r="AM344" s="152"/>
      <c r="AN344" s="152"/>
      <c r="AO344" s="152"/>
      <c r="AP344" s="152"/>
      <c r="AQ344" s="152"/>
      <c r="AR344" s="152"/>
    </row>
    <row r="345" ht="12.75" customHeight="1">
      <c r="A345" s="244" t="s">
        <v>5158</v>
      </c>
      <c r="B345" s="244" t="s">
        <v>12721</v>
      </c>
      <c r="C345" s="244" t="s">
        <v>13622</v>
      </c>
      <c r="D345" s="154" t="s">
        <v>45</v>
      </c>
      <c r="E345" s="154"/>
      <c r="F345" s="154" t="str">
        <f t="array" ref="F345">XLOOKUP(Cover!$D$12,$P$1:$X$1,$P345:$X345)</f>
        <v>Information</v>
      </c>
      <c r="G345" s="154" t="s">
        <v>13623</v>
      </c>
      <c r="H345" s="154" t="s">
        <v>12736</v>
      </c>
      <c r="I345" s="154" t="s">
        <v>13624</v>
      </c>
      <c r="J345" s="154" t="s">
        <v>6126</v>
      </c>
      <c r="K345" s="154"/>
      <c r="L345" s="154" t="s">
        <v>759</v>
      </c>
      <c r="M345" s="247" t="s">
        <v>516</v>
      </c>
      <c r="N345" s="247" t="s">
        <v>12731</v>
      </c>
      <c r="O345" s="240" t="str">
        <f t="shared" si="1"/>
        <v/>
      </c>
      <c r="P345" s="154" t="s">
        <v>66</v>
      </c>
      <c r="Q345" s="154" t="s">
        <v>66</v>
      </c>
      <c r="R345" s="154" t="s">
        <v>66</v>
      </c>
      <c r="S345" s="154" t="s">
        <v>66</v>
      </c>
      <c r="T345" s="154" t="s">
        <v>66</v>
      </c>
      <c r="U345" s="154" t="s">
        <v>66</v>
      </c>
      <c r="V345" s="154" t="s">
        <v>66</v>
      </c>
      <c r="W345" s="154" t="s">
        <v>66</v>
      </c>
      <c r="X345" s="154" t="s">
        <v>66</v>
      </c>
      <c r="Y345" s="154"/>
      <c r="Z345" s="242" t="b">
        <f t="shared" si="2"/>
        <v>1</v>
      </c>
      <c r="AA345" s="154" t="s">
        <v>391</v>
      </c>
      <c r="AB345" s="242" t="b">
        <f t="shared" si="3"/>
        <v>0</v>
      </c>
      <c r="AC345" s="154"/>
      <c r="AD345" s="242" t="b">
        <f t="shared" si="4"/>
        <v>0</v>
      </c>
      <c r="AE345" s="154" t="s">
        <v>1621</v>
      </c>
      <c r="AF345" s="243" t="str">
        <f>IF(AE345="","N/A",INDIRECT("MTR!"&amp;ADDRESS(MATCH(LEFT(AE345,9),MTR!C:C,0),COLUMN(J345)),TRUE) &amp; "")</f>
        <v>Partially Complies</v>
      </c>
      <c r="AG345" s="157" t="str">
        <f t="shared" si="5"/>
        <v/>
      </c>
      <c r="AH345" s="152"/>
      <c r="AI345" s="152"/>
      <c r="AJ345" s="152"/>
      <c r="AK345" s="152"/>
      <c r="AL345" s="152"/>
      <c r="AM345" s="152"/>
      <c r="AN345" s="152"/>
      <c r="AO345" s="152"/>
      <c r="AP345" s="152"/>
      <c r="AQ345" s="152"/>
      <c r="AR345" s="152"/>
    </row>
    <row r="346" ht="12.75" customHeight="1">
      <c r="A346" s="244" t="s">
        <v>5158</v>
      </c>
      <c r="B346" s="244" t="s">
        <v>12721</v>
      </c>
      <c r="C346" s="244" t="s">
        <v>13625</v>
      </c>
      <c r="D346" s="154" t="s">
        <v>45</v>
      </c>
      <c r="E346" s="154"/>
      <c r="F346" s="154" t="str">
        <f t="array" ref="F346">XLOOKUP(Cover!$D$12,$P$1:$X$1,$P346:$X346)</f>
        <v>Information</v>
      </c>
      <c r="G346" s="154" t="s">
        <v>13626</v>
      </c>
      <c r="H346" s="154" t="s">
        <v>13139</v>
      </c>
      <c r="I346" s="154" t="s">
        <v>13627</v>
      </c>
      <c r="J346" s="154" t="s">
        <v>5927</v>
      </c>
      <c r="K346" s="154"/>
      <c r="L346" s="154" t="s">
        <v>759</v>
      </c>
      <c r="M346" s="247" t="s">
        <v>516</v>
      </c>
      <c r="N346" s="247" t="s">
        <v>12731</v>
      </c>
      <c r="O346" s="240" t="str">
        <f t="shared" si="1"/>
        <v/>
      </c>
      <c r="P346" s="154" t="s">
        <v>66</v>
      </c>
      <c r="Q346" s="154" t="s">
        <v>66</v>
      </c>
      <c r="R346" s="154" t="s">
        <v>66</v>
      </c>
      <c r="S346" s="154" t="s">
        <v>66</v>
      </c>
      <c r="T346" s="154" t="s">
        <v>66</v>
      </c>
      <c r="U346" s="154" t="s">
        <v>66</v>
      </c>
      <c r="V346" s="154" t="s">
        <v>66</v>
      </c>
      <c r="W346" s="154" t="s">
        <v>66</v>
      </c>
      <c r="X346" s="154" t="s">
        <v>66</v>
      </c>
      <c r="Y346" s="154"/>
      <c r="Z346" s="242" t="b">
        <f t="shared" si="2"/>
        <v>1</v>
      </c>
      <c r="AA346" s="154" t="s">
        <v>391</v>
      </c>
      <c r="AB346" s="242" t="b">
        <f t="shared" si="3"/>
        <v>0</v>
      </c>
      <c r="AC346" s="154"/>
      <c r="AD346" s="242" t="b">
        <f t="shared" si="4"/>
        <v>0</v>
      </c>
      <c r="AE346" s="154" t="s">
        <v>1621</v>
      </c>
      <c r="AF346" s="243" t="str">
        <f>IF(AE346="","N/A",INDIRECT("MTR!"&amp;ADDRESS(MATCH(LEFT(AE346,9),MTR!C:C,0),COLUMN(J346)),TRUE) &amp; "")</f>
        <v>Partially Complies</v>
      </c>
      <c r="AG346" s="157" t="str">
        <f t="shared" si="5"/>
        <v/>
      </c>
      <c r="AH346" s="152"/>
      <c r="AI346" s="152"/>
      <c r="AJ346" s="152"/>
      <c r="AK346" s="152"/>
      <c r="AL346" s="152"/>
      <c r="AM346" s="152"/>
      <c r="AN346" s="152"/>
      <c r="AO346" s="152"/>
      <c r="AP346" s="152"/>
      <c r="AQ346" s="152"/>
      <c r="AR346" s="152"/>
    </row>
    <row r="347" ht="12.75" customHeight="1">
      <c r="A347" s="244" t="s">
        <v>5158</v>
      </c>
      <c r="B347" s="244" t="s">
        <v>12721</v>
      </c>
      <c r="C347" s="244" t="s">
        <v>13628</v>
      </c>
      <c r="D347" s="154" t="s">
        <v>45</v>
      </c>
      <c r="E347" s="154"/>
      <c r="F347" s="154" t="str">
        <f t="array" ref="F347">XLOOKUP(Cover!$D$12,$P$1:$X$1,$P347:$X347)</f>
        <v>Information</v>
      </c>
      <c r="G347" s="154" t="s">
        <v>13629</v>
      </c>
      <c r="H347" s="154" t="s">
        <v>13139</v>
      </c>
      <c r="I347" s="154" t="s">
        <v>13630</v>
      </c>
      <c r="J347" s="154" t="s">
        <v>5927</v>
      </c>
      <c r="K347" s="154"/>
      <c r="L347" s="154" t="s">
        <v>759</v>
      </c>
      <c r="M347" s="247" t="s">
        <v>516</v>
      </c>
      <c r="N347" s="247" t="s">
        <v>12731</v>
      </c>
      <c r="O347" s="240" t="str">
        <f t="shared" si="1"/>
        <v/>
      </c>
      <c r="P347" s="154" t="s">
        <v>66</v>
      </c>
      <c r="Q347" s="154" t="s">
        <v>66</v>
      </c>
      <c r="R347" s="154" t="s">
        <v>66</v>
      </c>
      <c r="S347" s="154" t="s">
        <v>66</v>
      </c>
      <c r="T347" s="154" t="s">
        <v>66</v>
      </c>
      <c r="U347" s="154" t="s">
        <v>66</v>
      </c>
      <c r="V347" s="154" t="s">
        <v>66</v>
      </c>
      <c r="W347" s="154" t="s">
        <v>66</v>
      </c>
      <c r="X347" s="154" t="s">
        <v>66</v>
      </c>
      <c r="Y347" s="154"/>
      <c r="Z347" s="242" t="b">
        <f t="shared" si="2"/>
        <v>1</v>
      </c>
      <c r="AA347" s="154" t="s">
        <v>391</v>
      </c>
      <c r="AB347" s="242" t="b">
        <f t="shared" si="3"/>
        <v>0</v>
      </c>
      <c r="AC347" s="154"/>
      <c r="AD347" s="242" t="b">
        <f t="shared" si="4"/>
        <v>0</v>
      </c>
      <c r="AE347" s="154" t="s">
        <v>1621</v>
      </c>
      <c r="AF347" s="243" t="str">
        <f>IF(AE347="","N/A",INDIRECT("MTR!"&amp;ADDRESS(MATCH(LEFT(AE347,9),MTR!C:C,0),COLUMN(J347)),TRUE) &amp; "")</f>
        <v>Partially Complies</v>
      </c>
      <c r="AG347" s="157" t="str">
        <f t="shared" si="5"/>
        <v/>
      </c>
      <c r="AH347" s="152"/>
      <c r="AI347" s="152"/>
      <c r="AJ347" s="152"/>
      <c r="AK347" s="152"/>
      <c r="AL347" s="152"/>
      <c r="AM347" s="152"/>
      <c r="AN347" s="152"/>
      <c r="AO347" s="152"/>
      <c r="AP347" s="152"/>
      <c r="AQ347" s="152"/>
      <c r="AR347" s="152"/>
    </row>
    <row r="348" ht="12.75" customHeight="1">
      <c r="A348" s="244" t="s">
        <v>5158</v>
      </c>
      <c r="B348" s="244" t="s">
        <v>12721</v>
      </c>
      <c r="C348" s="244" t="s">
        <v>13631</v>
      </c>
      <c r="D348" s="154" t="s">
        <v>503</v>
      </c>
      <c r="E348" s="154"/>
      <c r="F348" s="154" t="str">
        <f t="array" ref="F348">XLOOKUP(Cover!$D$12,$P$1:$X$1,$P348:$X348)</f>
        <v>Information</v>
      </c>
      <c r="G348" s="154" t="s">
        <v>13632</v>
      </c>
      <c r="H348" s="154" t="s">
        <v>13633</v>
      </c>
      <c r="I348" s="154" t="s">
        <v>13634</v>
      </c>
      <c r="J348" s="154" t="s">
        <v>6463</v>
      </c>
      <c r="K348" s="154"/>
      <c r="L348" s="154" t="s">
        <v>759</v>
      </c>
      <c r="M348" s="247" t="s">
        <v>516</v>
      </c>
      <c r="N348" s="247" t="s">
        <v>12731</v>
      </c>
      <c r="O348" s="240" t="str">
        <f t="shared" si="1"/>
        <v/>
      </c>
      <c r="P348" s="154" t="s">
        <v>66</v>
      </c>
      <c r="Q348" s="154" t="s">
        <v>66</v>
      </c>
      <c r="R348" s="154" t="s">
        <v>66</v>
      </c>
      <c r="S348" s="154" t="s">
        <v>66</v>
      </c>
      <c r="T348" s="154" t="s">
        <v>66</v>
      </c>
      <c r="U348" s="154" t="s">
        <v>66</v>
      </c>
      <c r="V348" s="154" t="s">
        <v>66</v>
      </c>
      <c r="W348" s="154" t="s">
        <v>66</v>
      </c>
      <c r="X348" s="154" t="s">
        <v>66</v>
      </c>
      <c r="Y348" s="154"/>
      <c r="Z348" s="242" t="b">
        <f t="shared" si="2"/>
        <v>1</v>
      </c>
      <c r="AA348" s="154" t="s">
        <v>391</v>
      </c>
      <c r="AB348" s="242" t="b">
        <f t="shared" si="3"/>
        <v>0</v>
      </c>
      <c r="AC348" s="154"/>
      <c r="AD348" s="242" t="b">
        <f t="shared" si="4"/>
        <v>0</v>
      </c>
      <c r="AE348" s="154" t="s">
        <v>1621</v>
      </c>
      <c r="AF348" s="243" t="str">
        <f>IF(AE348="","N/A",INDIRECT("MTR!"&amp;ADDRESS(MATCH(LEFT(AE348,9),MTR!C:C,0),COLUMN(J348)),TRUE) &amp; "")</f>
        <v>Partially Complies</v>
      </c>
      <c r="AG348" s="157" t="str">
        <f t="shared" si="5"/>
        <v/>
      </c>
      <c r="AH348" s="152"/>
      <c r="AI348" s="152"/>
      <c r="AJ348" s="152"/>
      <c r="AK348" s="152"/>
      <c r="AL348" s="152"/>
      <c r="AM348" s="152"/>
      <c r="AN348" s="152"/>
      <c r="AO348" s="152"/>
      <c r="AP348" s="152"/>
      <c r="AQ348" s="152"/>
      <c r="AR348" s="152"/>
    </row>
    <row r="349" ht="12.75" customHeight="1">
      <c r="A349" s="244" t="s">
        <v>5158</v>
      </c>
      <c r="B349" s="244" t="s">
        <v>12721</v>
      </c>
      <c r="C349" s="244" t="s">
        <v>13635</v>
      </c>
      <c r="D349" s="154" t="s">
        <v>45</v>
      </c>
      <c r="E349" s="154"/>
      <c r="F349" s="154" t="str">
        <f t="array" ref="F349">XLOOKUP(Cover!$D$12,$P$1:$X$1,$P349:$X349)</f>
        <v>Information</v>
      </c>
      <c r="G349" s="154" t="s">
        <v>13636</v>
      </c>
      <c r="H349" s="154" t="s">
        <v>13637</v>
      </c>
      <c r="I349" s="154" t="s">
        <v>13634</v>
      </c>
      <c r="J349" s="154" t="s">
        <v>6463</v>
      </c>
      <c r="K349" s="154"/>
      <c r="L349" s="154" t="s">
        <v>759</v>
      </c>
      <c r="M349" s="247" t="s">
        <v>516</v>
      </c>
      <c r="N349" s="247" t="s">
        <v>12731</v>
      </c>
      <c r="O349" s="240" t="str">
        <f t="shared" si="1"/>
        <v/>
      </c>
      <c r="P349" s="154" t="s">
        <v>66</v>
      </c>
      <c r="Q349" s="154" t="s">
        <v>66</v>
      </c>
      <c r="R349" s="154" t="s">
        <v>66</v>
      </c>
      <c r="S349" s="154" t="s">
        <v>66</v>
      </c>
      <c r="T349" s="154" t="s">
        <v>66</v>
      </c>
      <c r="U349" s="154" t="s">
        <v>66</v>
      </c>
      <c r="V349" s="154" t="s">
        <v>66</v>
      </c>
      <c r="W349" s="154" t="s">
        <v>66</v>
      </c>
      <c r="X349" s="154" t="s">
        <v>66</v>
      </c>
      <c r="Y349" s="154"/>
      <c r="Z349" s="242" t="b">
        <f t="shared" si="2"/>
        <v>1</v>
      </c>
      <c r="AA349" s="154" t="s">
        <v>391</v>
      </c>
      <c r="AB349" s="242" t="b">
        <f t="shared" si="3"/>
        <v>0</v>
      </c>
      <c r="AC349" s="154"/>
      <c r="AD349" s="242" t="b">
        <f t="shared" si="4"/>
        <v>0</v>
      </c>
      <c r="AE349" s="154" t="s">
        <v>1621</v>
      </c>
      <c r="AF349" s="243" t="str">
        <f>IF(AE349="","N/A",INDIRECT("MTR!"&amp;ADDRESS(MATCH(LEFT(AE349,9),MTR!C:C,0),COLUMN(J349)),TRUE) &amp; "")</f>
        <v>Partially Complies</v>
      </c>
      <c r="AG349" s="157" t="str">
        <f t="shared" si="5"/>
        <v/>
      </c>
      <c r="AH349" s="152"/>
      <c r="AI349" s="152"/>
      <c r="AJ349" s="152"/>
      <c r="AK349" s="152"/>
      <c r="AL349" s="152"/>
      <c r="AM349" s="152"/>
      <c r="AN349" s="152"/>
      <c r="AO349" s="152"/>
      <c r="AP349" s="152"/>
      <c r="AQ349" s="152"/>
      <c r="AR349" s="152"/>
    </row>
    <row r="350" ht="12.75" customHeight="1">
      <c r="A350" s="244" t="s">
        <v>5158</v>
      </c>
      <c r="B350" s="244" t="s">
        <v>12721</v>
      </c>
      <c r="C350" s="244" t="s">
        <v>13638</v>
      </c>
      <c r="D350" s="154" t="s">
        <v>1315</v>
      </c>
      <c r="E350" s="154"/>
      <c r="F350" s="154" t="str">
        <f t="array" ref="F350">XLOOKUP(Cover!$D$12,$P$1:$X$1,$P350:$X350)</f>
        <v>Recommended</v>
      </c>
      <c r="G350" s="154" t="s">
        <v>13639</v>
      </c>
      <c r="H350" s="154" t="s">
        <v>13640</v>
      </c>
      <c r="I350" s="154" t="s">
        <v>13641</v>
      </c>
      <c r="J350" s="154" t="s">
        <v>6529</v>
      </c>
      <c r="K350" s="154"/>
      <c r="L350" s="154" t="s">
        <v>759</v>
      </c>
      <c r="M350" s="247" t="s">
        <v>516</v>
      </c>
      <c r="N350" s="247" t="s">
        <v>12731</v>
      </c>
      <c r="O350" s="240" t="str">
        <f t="shared" si="1"/>
        <v/>
      </c>
      <c r="P350" s="154" t="s">
        <v>66</v>
      </c>
      <c r="Q350" s="154" t="s">
        <v>66</v>
      </c>
      <c r="R350" s="154" t="s">
        <v>64</v>
      </c>
      <c r="S350" s="154" t="s">
        <v>64</v>
      </c>
      <c r="T350" s="154" t="s">
        <v>64</v>
      </c>
      <c r="U350" s="154" t="s">
        <v>64</v>
      </c>
      <c r="V350" s="154" t="s">
        <v>66</v>
      </c>
      <c r="W350" s="154" t="s">
        <v>64</v>
      </c>
      <c r="X350" s="154" t="s">
        <v>64</v>
      </c>
      <c r="Y350" s="154"/>
      <c r="Z350" s="242" t="b">
        <f t="shared" si="2"/>
        <v>1</v>
      </c>
      <c r="AA350" s="154" t="s">
        <v>391</v>
      </c>
      <c r="AB350" s="242" t="b">
        <f t="shared" si="3"/>
        <v>0</v>
      </c>
      <c r="AC350" s="154"/>
      <c r="AD350" s="242" t="b">
        <f t="shared" si="4"/>
        <v>0</v>
      </c>
      <c r="AE350" s="154" t="s">
        <v>1621</v>
      </c>
      <c r="AF350" s="243" t="str">
        <f>IF(AE350="","N/A",INDIRECT("MTR!"&amp;ADDRESS(MATCH(LEFT(AE350,9),MTR!C:C,0),COLUMN(J350)),TRUE) &amp; "")</f>
        <v>Partially Complies</v>
      </c>
      <c r="AG350" s="157" t="str">
        <f t="shared" si="5"/>
        <v/>
      </c>
      <c r="AH350" s="152"/>
      <c r="AI350" s="152"/>
      <c r="AJ350" s="152"/>
      <c r="AK350" s="152"/>
      <c r="AL350" s="152"/>
      <c r="AM350" s="152"/>
      <c r="AN350" s="152"/>
      <c r="AO350" s="152"/>
      <c r="AP350" s="152"/>
      <c r="AQ350" s="152"/>
      <c r="AR350" s="152"/>
    </row>
    <row r="351" ht="12.75" customHeight="1">
      <c r="A351" s="244" t="s">
        <v>5158</v>
      </c>
      <c r="B351" s="244" t="s">
        <v>12721</v>
      </c>
      <c r="C351" s="244" t="s">
        <v>13642</v>
      </c>
      <c r="D351" s="154" t="s">
        <v>1315</v>
      </c>
      <c r="E351" s="154"/>
      <c r="F351" s="154" t="str">
        <f t="array" ref="F351">XLOOKUP(Cover!$D$12,$P$1:$X$1,$P351:$X351)</f>
        <v>Recommended</v>
      </c>
      <c r="G351" s="154" t="s">
        <v>13643</v>
      </c>
      <c r="H351" s="154" t="s">
        <v>13640</v>
      </c>
      <c r="I351" s="154" t="s">
        <v>13641</v>
      </c>
      <c r="J351" s="154" t="s">
        <v>6905</v>
      </c>
      <c r="K351" s="154"/>
      <c r="L351" s="154" t="s">
        <v>759</v>
      </c>
      <c r="M351" s="247" t="s">
        <v>516</v>
      </c>
      <c r="N351" s="247" t="s">
        <v>12731</v>
      </c>
      <c r="O351" s="240" t="str">
        <f t="shared" si="1"/>
        <v/>
      </c>
      <c r="P351" s="154" t="s">
        <v>66</v>
      </c>
      <c r="Q351" s="154" t="s">
        <v>66</v>
      </c>
      <c r="R351" s="154" t="s">
        <v>64</v>
      </c>
      <c r="S351" s="154" t="s">
        <v>64</v>
      </c>
      <c r="T351" s="154" t="s">
        <v>64</v>
      </c>
      <c r="U351" s="154" t="s">
        <v>64</v>
      </c>
      <c r="V351" s="154" t="s">
        <v>66</v>
      </c>
      <c r="W351" s="154" t="s">
        <v>64</v>
      </c>
      <c r="X351" s="154" t="s">
        <v>64</v>
      </c>
      <c r="Y351" s="154"/>
      <c r="Z351" s="242" t="b">
        <f t="shared" si="2"/>
        <v>1</v>
      </c>
      <c r="AA351" s="154" t="s">
        <v>391</v>
      </c>
      <c r="AB351" s="242" t="b">
        <f t="shared" si="3"/>
        <v>0</v>
      </c>
      <c r="AC351" s="154"/>
      <c r="AD351" s="242" t="b">
        <f t="shared" si="4"/>
        <v>0</v>
      </c>
      <c r="AE351" s="154" t="s">
        <v>1621</v>
      </c>
      <c r="AF351" s="243" t="str">
        <f>IF(AE351="","N/A",INDIRECT("MTR!"&amp;ADDRESS(MATCH(LEFT(AE351,9),MTR!C:C,0),COLUMN(J351)),TRUE) &amp; "")</f>
        <v>Partially Complies</v>
      </c>
      <c r="AG351" s="157" t="str">
        <f t="shared" si="5"/>
        <v/>
      </c>
      <c r="AH351" s="152"/>
      <c r="AI351" s="152"/>
      <c r="AJ351" s="152"/>
      <c r="AK351" s="152"/>
      <c r="AL351" s="152"/>
      <c r="AM351" s="152"/>
      <c r="AN351" s="152"/>
      <c r="AO351" s="152"/>
      <c r="AP351" s="152"/>
      <c r="AQ351" s="152"/>
      <c r="AR351" s="152"/>
    </row>
    <row r="352" ht="12.75" customHeight="1">
      <c r="A352" s="244" t="s">
        <v>5158</v>
      </c>
      <c r="B352" s="244" t="s">
        <v>12721</v>
      </c>
      <c r="C352" s="244" t="s">
        <v>13644</v>
      </c>
      <c r="D352" s="154" t="s">
        <v>1315</v>
      </c>
      <c r="E352" s="154"/>
      <c r="F352" s="154" t="str">
        <f t="array" ref="F352">XLOOKUP(Cover!$D$12,$P$1:$X$1,$P352:$X352)</f>
        <v>Recommended</v>
      </c>
      <c r="G352" s="154" t="s">
        <v>13645</v>
      </c>
      <c r="H352" s="154" t="s">
        <v>13646</v>
      </c>
      <c r="I352" s="154" t="s">
        <v>13641</v>
      </c>
      <c r="J352" s="154" t="s">
        <v>6905</v>
      </c>
      <c r="K352" s="154"/>
      <c r="L352" s="154" t="s">
        <v>759</v>
      </c>
      <c r="M352" s="247" t="s">
        <v>516</v>
      </c>
      <c r="N352" s="247" t="s">
        <v>12731</v>
      </c>
      <c r="O352" s="240" t="str">
        <f t="shared" si="1"/>
        <v/>
      </c>
      <c r="P352" s="154" t="s">
        <v>66</v>
      </c>
      <c r="Q352" s="154" t="s">
        <v>66</v>
      </c>
      <c r="R352" s="154" t="s">
        <v>64</v>
      </c>
      <c r="S352" s="154" t="s">
        <v>64</v>
      </c>
      <c r="T352" s="154" t="s">
        <v>64</v>
      </c>
      <c r="U352" s="154" t="s">
        <v>64</v>
      </c>
      <c r="V352" s="154" t="s">
        <v>66</v>
      </c>
      <c r="W352" s="154" t="s">
        <v>64</v>
      </c>
      <c r="X352" s="154" t="s">
        <v>64</v>
      </c>
      <c r="Y352" s="154"/>
      <c r="Z352" s="242" t="b">
        <f t="shared" si="2"/>
        <v>1</v>
      </c>
      <c r="AA352" s="154" t="s">
        <v>391</v>
      </c>
      <c r="AB352" s="242" t="b">
        <f t="shared" si="3"/>
        <v>0</v>
      </c>
      <c r="AC352" s="154"/>
      <c r="AD352" s="242" t="b">
        <f t="shared" si="4"/>
        <v>0</v>
      </c>
      <c r="AE352" s="154" t="s">
        <v>1621</v>
      </c>
      <c r="AF352" s="243" t="str">
        <f>IF(AE352="","N/A",INDIRECT("MTR!"&amp;ADDRESS(MATCH(LEFT(AE352,9),MTR!C:C,0),COLUMN(J352)),TRUE) &amp; "")</f>
        <v>Partially Complies</v>
      </c>
      <c r="AG352" s="157" t="str">
        <f t="shared" si="5"/>
        <v/>
      </c>
      <c r="AH352" s="152"/>
      <c r="AI352" s="152"/>
      <c r="AJ352" s="152"/>
      <c r="AK352" s="152"/>
      <c r="AL352" s="152"/>
      <c r="AM352" s="152"/>
      <c r="AN352" s="152"/>
      <c r="AO352" s="152"/>
      <c r="AP352" s="152"/>
      <c r="AQ352" s="152"/>
      <c r="AR352" s="152"/>
    </row>
    <row r="353" ht="12.75" customHeight="1">
      <c r="A353" s="244" t="s">
        <v>5158</v>
      </c>
      <c r="B353" s="244" t="s">
        <v>12721</v>
      </c>
      <c r="C353" s="255" t="s">
        <v>13647</v>
      </c>
      <c r="D353" s="256" t="s">
        <v>42</v>
      </c>
      <c r="E353" s="256" t="s">
        <v>489</v>
      </c>
      <c r="F353" s="154" t="str">
        <f t="array" ref="F353">XLOOKUP(Cover!$D$12,$P$1:$X$1,$P353:$X353)</f>
        <v>Information</v>
      </c>
      <c r="G353" s="154" t="s">
        <v>13648</v>
      </c>
      <c r="H353" s="154" t="s">
        <v>13139</v>
      </c>
      <c r="I353" s="154" t="s">
        <v>13649</v>
      </c>
      <c r="J353" s="154" t="s">
        <v>5931</v>
      </c>
      <c r="K353" s="154"/>
      <c r="L353" s="154" t="s">
        <v>759</v>
      </c>
      <c r="M353" s="247" t="s">
        <v>516</v>
      </c>
      <c r="N353" s="247" t="s">
        <v>12731</v>
      </c>
      <c r="O353" s="240" t="str">
        <f t="shared" si="1"/>
        <v/>
      </c>
      <c r="P353" s="154" t="s">
        <v>66</v>
      </c>
      <c r="Q353" s="154" t="s">
        <v>66</v>
      </c>
      <c r="R353" s="154" t="s">
        <v>66</v>
      </c>
      <c r="S353" s="154" t="s">
        <v>66</v>
      </c>
      <c r="T353" s="154" t="s">
        <v>66</v>
      </c>
      <c r="U353" s="154" t="s">
        <v>66</v>
      </c>
      <c r="V353" s="154" t="s">
        <v>66</v>
      </c>
      <c r="W353" s="154" t="s">
        <v>66</v>
      </c>
      <c r="X353" s="154" t="s">
        <v>66</v>
      </c>
      <c r="Y353" s="154"/>
      <c r="Z353" s="242" t="b">
        <f t="shared" si="2"/>
        <v>1</v>
      </c>
      <c r="AA353" s="154" t="s">
        <v>391</v>
      </c>
      <c r="AB353" s="242" t="b">
        <f t="shared" si="3"/>
        <v>0</v>
      </c>
      <c r="AC353" s="154"/>
      <c r="AD353" s="242" t="b">
        <f t="shared" si="4"/>
        <v>0</v>
      </c>
      <c r="AE353" s="154" t="s">
        <v>1621</v>
      </c>
      <c r="AF353" s="243" t="str">
        <f>IF(AE353="","N/A",INDIRECT("MTR!"&amp;ADDRESS(MATCH(LEFT(AE353,9),MTR!C:C,0),COLUMN(J353)),TRUE) &amp; "")</f>
        <v>Partially Complies</v>
      </c>
      <c r="AG353" s="157" t="str">
        <f t="shared" si="5"/>
        <v/>
      </c>
      <c r="AH353" s="152"/>
      <c r="AI353" s="152"/>
      <c r="AJ353" s="152"/>
      <c r="AK353" s="152"/>
      <c r="AL353" s="152"/>
      <c r="AM353" s="152"/>
      <c r="AN353" s="152"/>
      <c r="AO353" s="152"/>
      <c r="AP353" s="152"/>
      <c r="AQ353" s="152"/>
      <c r="AR353" s="152"/>
    </row>
    <row r="354" ht="12.75" customHeight="1">
      <c r="A354" s="244" t="s">
        <v>5158</v>
      </c>
      <c r="B354" s="244" t="s">
        <v>12721</v>
      </c>
      <c r="C354" s="244" t="s">
        <v>13650</v>
      </c>
      <c r="D354" s="154" t="s">
        <v>1315</v>
      </c>
      <c r="E354" s="154"/>
      <c r="F354" s="154" t="str">
        <f t="array" ref="F354">XLOOKUP(Cover!$D$12,$P$1:$X$1,$P354:$X354)</f>
        <v>Recommended</v>
      </c>
      <c r="G354" s="154" t="s">
        <v>13651</v>
      </c>
      <c r="H354" s="154" t="s">
        <v>13652</v>
      </c>
      <c r="I354" s="154" t="s">
        <v>13653</v>
      </c>
      <c r="J354" s="154" t="s">
        <v>6529</v>
      </c>
      <c r="K354" s="154"/>
      <c r="L354" s="154" t="s">
        <v>759</v>
      </c>
      <c r="M354" s="247" t="s">
        <v>516</v>
      </c>
      <c r="N354" s="247" t="s">
        <v>12731</v>
      </c>
      <c r="O354" s="240" t="str">
        <f t="shared" si="1"/>
        <v/>
      </c>
      <c r="P354" s="154" t="s">
        <v>66</v>
      </c>
      <c r="Q354" s="154" t="s">
        <v>66</v>
      </c>
      <c r="R354" s="154" t="s">
        <v>64</v>
      </c>
      <c r="S354" s="154" t="s">
        <v>64</v>
      </c>
      <c r="T354" s="154" t="s">
        <v>64</v>
      </c>
      <c r="U354" s="154" t="s">
        <v>64</v>
      </c>
      <c r="V354" s="154" t="s">
        <v>66</v>
      </c>
      <c r="W354" s="154" t="s">
        <v>64</v>
      </c>
      <c r="X354" s="154" t="s">
        <v>64</v>
      </c>
      <c r="Y354" s="154"/>
      <c r="Z354" s="242" t="b">
        <f t="shared" si="2"/>
        <v>1</v>
      </c>
      <c r="AA354" s="154" t="s">
        <v>391</v>
      </c>
      <c r="AB354" s="242" t="b">
        <f t="shared" si="3"/>
        <v>0</v>
      </c>
      <c r="AC354" s="154"/>
      <c r="AD354" s="242" t="b">
        <f t="shared" si="4"/>
        <v>0</v>
      </c>
      <c r="AE354" s="154" t="s">
        <v>1621</v>
      </c>
      <c r="AF354" s="243" t="str">
        <f>IF(AE354="","N/A",INDIRECT("MTR!"&amp;ADDRESS(MATCH(LEFT(AE354,9),MTR!C:C,0),COLUMN(J354)),TRUE) &amp; "")</f>
        <v>Partially Complies</v>
      </c>
      <c r="AG354" s="157" t="str">
        <f t="shared" si="5"/>
        <v/>
      </c>
      <c r="AH354" s="152"/>
      <c r="AI354" s="152"/>
      <c r="AJ354" s="152"/>
      <c r="AK354" s="152"/>
      <c r="AL354" s="152"/>
      <c r="AM354" s="152"/>
      <c r="AN354" s="152"/>
      <c r="AO354" s="152"/>
      <c r="AP354" s="152"/>
      <c r="AQ354" s="152"/>
      <c r="AR354" s="152"/>
    </row>
    <row r="355" ht="12.75" customHeight="1">
      <c r="A355" s="244" t="s">
        <v>5158</v>
      </c>
      <c r="B355" s="244" t="s">
        <v>12721</v>
      </c>
      <c r="C355" s="244" t="s">
        <v>13654</v>
      </c>
      <c r="D355" s="154" t="s">
        <v>45</v>
      </c>
      <c r="E355" s="154"/>
      <c r="F355" s="154" t="str">
        <f t="array" ref="F355">XLOOKUP(Cover!$D$12,$P$1:$X$1,$P355:$X355)</f>
        <v>Recommended</v>
      </c>
      <c r="G355" s="154" t="s">
        <v>13655</v>
      </c>
      <c r="H355" s="154" t="s">
        <v>13656</v>
      </c>
      <c r="I355" s="154" t="s">
        <v>13653</v>
      </c>
      <c r="J355" s="154" t="s">
        <v>10718</v>
      </c>
      <c r="K355" s="154"/>
      <c r="L355" s="154" t="s">
        <v>759</v>
      </c>
      <c r="M355" s="247" t="s">
        <v>516</v>
      </c>
      <c r="N355" s="247" t="s">
        <v>12731</v>
      </c>
      <c r="O355" s="240" t="str">
        <f t="shared" si="1"/>
        <v/>
      </c>
      <c r="P355" s="154" t="s">
        <v>66</v>
      </c>
      <c r="Q355" s="154" t="s">
        <v>66</v>
      </c>
      <c r="R355" s="154" t="s">
        <v>64</v>
      </c>
      <c r="S355" s="154" t="s">
        <v>64</v>
      </c>
      <c r="T355" s="154" t="s">
        <v>64</v>
      </c>
      <c r="U355" s="154" t="s">
        <v>64</v>
      </c>
      <c r="V355" s="154" t="s">
        <v>66</v>
      </c>
      <c r="W355" s="154" t="s">
        <v>64</v>
      </c>
      <c r="X355" s="154" t="s">
        <v>64</v>
      </c>
      <c r="Y355" s="154"/>
      <c r="Z355" s="242" t="b">
        <f t="shared" si="2"/>
        <v>1</v>
      </c>
      <c r="AA355" s="154" t="s">
        <v>391</v>
      </c>
      <c r="AB355" s="242" t="b">
        <f t="shared" si="3"/>
        <v>0</v>
      </c>
      <c r="AC355" s="154"/>
      <c r="AD355" s="242" t="b">
        <f t="shared" si="4"/>
        <v>0</v>
      </c>
      <c r="AE355" s="154" t="s">
        <v>1621</v>
      </c>
      <c r="AF355" s="243" t="str">
        <f>IF(AE355="","N/A",INDIRECT("MTR!"&amp;ADDRESS(MATCH(LEFT(AE355,9),MTR!C:C,0),COLUMN(J355)),TRUE) &amp; "")</f>
        <v>Partially Complies</v>
      </c>
      <c r="AG355" s="157" t="str">
        <f t="shared" si="5"/>
        <v/>
      </c>
      <c r="AH355" s="152"/>
      <c r="AI355" s="152"/>
      <c r="AJ355" s="152"/>
      <c r="AK355" s="152"/>
      <c r="AL355" s="152"/>
      <c r="AM355" s="152"/>
      <c r="AN355" s="152"/>
      <c r="AO355" s="152"/>
      <c r="AP355" s="152"/>
      <c r="AQ355" s="152"/>
      <c r="AR355" s="152"/>
    </row>
    <row r="356" ht="12.75" customHeight="1">
      <c r="A356" s="244" t="s">
        <v>5158</v>
      </c>
      <c r="B356" s="244" t="s">
        <v>12721</v>
      </c>
      <c r="C356" s="244" t="s">
        <v>13657</v>
      </c>
      <c r="D356" s="154" t="s">
        <v>1315</v>
      </c>
      <c r="E356" s="154"/>
      <c r="F356" s="154" t="str">
        <f t="array" ref="F356">XLOOKUP(Cover!$D$12,$P$1:$X$1,$P356:$X356)</f>
        <v>Recommended</v>
      </c>
      <c r="G356" s="154" t="s">
        <v>13658</v>
      </c>
      <c r="H356" s="154" t="s">
        <v>13652</v>
      </c>
      <c r="I356" s="154" t="s">
        <v>13653</v>
      </c>
      <c r="J356" s="154" t="s">
        <v>6905</v>
      </c>
      <c r="K356" s="154"/>
      <c r="L356" s="154" t="s">
        <v>759</v>
      </c>
      <c r="M356" s="247" t="s">
        <v>516</v>
      </c>
      <c r="N356" s="247" t="s">
        <v>12731</v>
      </c>
      <c r="O356" s="240" t="str">
        <f t="shared" si="1"/>
        <v/>
      </c>
      <c r="P356" s="154" t="s">
        <v>66</v>
      </c>
      <c r="Q356" s="154" t="s">
        <v>66</v>
      </c>
      <c r="R356" s="154" t="s">
        <v>64</v>
      </c>
      <c r="S356" s="154" t="s">
        <v>64</v>
      </c>
      <c r="T356" s="154" t="s">
        <v>64</v>
      </c>
      <c r="U356" s="154" t="s">
        <v>64</v>
      </c>
      <c r="V356" s="154" t="s">
        <v>66</v>
      </c>
      <c r="W356" s="154" t="s">
        <v>64</v>
      </c>
      <c r="X356" s="154" t="s">
        <v>64</v>
      </c>
      <c r="Y356" s="154"/>
      <c r="Z356" s="242" t="b">
        <f t="shared" si="2"/>
        <v>1</v>
      </c>
      <c r="AA356" s="154" t="s">
        <v>391</v>
      </c>
      <c r="AB356" s="242" t="b">
        <f t="shared" si="3"/>
        <v>0</v>
      </c>
      <c r="AC356" s="154"/>
      <c r="AD356" s="242" t="b">
        <f t="shared" si="4"/>
        <v>0</v>
      </c>
      <c r="AE356" s="154" t="s">
        <v>1621</v>
      </c>
      <c r="AF356" s="243" t="str">
        <f>IF(AE356="","N/A",INDIRECT("MTR!"&amp;ADDRESS(MATCH(LEFT(AE356,9),MTR!C:C,0),COLUMN(J356)),TRUE) &amp; "")</f>
        <v>Partially Complies</v>
      </c>
      <c r="AG356" s="157" t="str">
        <f t="shared" si="5"/>
        <v/>
      </c>
      <c r="AH356" s="152"/>
      <c r="AI356" s="152"/>
      <c r="AJ356" s="152"/>
      <c r="AK356" s="152"/>
      <c r="AL356" s="152"/>
      <c r="AM356" s="152"/>
      <c r="AN356" s="152"/>
      <c r="AO356" s="152"/>
      <c r="AP356" s="152"/>
      <c r="AQ356" s="152"/>
      <c r="AR356" s="152"/>
    </row>
    <row r="357" ht="12.75" customHeight="1">
      <c r="A357" s="244" t="s">
        <v>5158</v>
      </c>
      <c r="B357" s="244" t="s">
        <v>12721</v>
      </c>
      <c r="C357" s="244" t="s">
        <v>13659</v>
      </c>
      <c r="D357" s="154" t="s">
        <v>1315</v>
      </c>
      <c r="E357" s="154"/>
      <c r="F357" s="154" t="str">
        <f t="array" ref="F357">XLOOKUP(Cover!$D$12,$P$1:$X$1,$P357:$X357)</f>
        <v>Recommended</v>
      </c>
      <c r="G357" s="154" t="s">
        <v>13660</v>
      </c>
      <c r="H357" s="154" t="s">
        <v>13656</v>
      </c>
      <c r="I357" s="154" t="s">
        <v>13653</v>
      </c>
      <c r="J357" s="154" t="s">
        <v>6905</v>
      </c>
      <c r="K357" s="154"/>
      <c r="L357" s="154" t="s">
        <v>759</v>
      </c>
      <c r="M357" s="247" t="s">
        <v>516</v>
      </c>
      <c r="N357" s="247" t="s">
        <v>12731</v>
      </c>
      <c r="O357" s="240" t="str">
        <f t="shared" si="1"/>
        <v/>
      </c>
      <c r="P357" s="154" t="s">
        <v>66</v>
      </c>
      <c r="Q357" s="154" t="s">
        <v>66</v>
      </c>
      <c r="R357" s="154" t="s">
        <v>64</v>
      </c>
      <c r="S357" s="154" t="s">
        <v>64</v>
      </c>
      <c r="T357" s="154" t="s">
        <v>64</v>
      </c>
      <c r="U357" s="154" t="s">
        <v>64</v>
      </c>
      <c r="V357" s="154" t="s">
        <v>66</v>
      </c>
      <c r="W357" s="154" t="s">
        <v>64</v>
      </c>
      <c r="X357" s="154" t="s">
        <v>64</v>
      </c>
      <c r="Y357" s="154"/>
      <c r="Z357" s="242" t="b">
        <f t="shared" si="2"/>
        <v>1</v>
      </c>
      <c r="AA357" s="154" t="s">
        <v>391</v>
      </c>
      <c r="AB357" s="242" t="b">
        <f t="shared" si="3"/>
        <v>0</v>
      </c>
      <c r="AC357" s="154"/>
      <c r="AD357" s="242" t="b">
        <f t="shared" si="4"/>
        <v>0</v>
      </c>
      <c r="AE357" s="154" t="s">
        <v>1621</v>
      </c>
      <c r="AF357" s="243" t="str">
        <f>IF(AE357="","N/A",INDIRECT("MTR!"&amp;ADDRESS(MATCH(LEFT(AE357,9),MTR!C:C,0),COLUMN(J357)),TRUE) &amp; "")</f>
        <v>Partially Complies</v>
      </c>
      <c r="AG357" s="157" t="str">
        <f t="shared" si="5"/>
        <v/>
      </c>
      <c r="AH357" s="152"/>
      <c r="AI357" s="152"/>
      <c r="AJ357" s="152"/>
      <c r="AK357" s="152"/>
      <c r="AL357" s="152"/>
      <c r="AM357" s="152"/>
      <c r="AN357" s="152"/>
      <c r="AO357" s="152"/>
      <c r="AP357" s="152"/>
      <c r="AQ357" s="152"/>
      <c r="AR357" s="152"/>
    </row>
    <row r="358" ht="12.75" customHeight="1">
      <c r="A358" s="244" t="s">
        <v>5158</v>
      </c>
      <c r="B358" s="244" t="s">
        <v>12721</v>
      </c>
      <c r="C358" s="244" t="s">
        <v>13661</v>
      </c>
      <c r="D358" s="154" t="s">
        <v>1315</v>
      </c>
      <c r="E358" s="154"/>
      <c r="F358" s="154" t="str">
        <f t="array" ref="F358">XLOOKUP(Cover!$D$12,$P$1:$X$1,$P358:$X358)</f>
        <v>Recommended</v>
      </c>
      <c r="G358" s="154" t="s">
        <v>13662</v>
      </c>
      <c r="H358" s="154" t="s">
        <v>13652</v>
      </c>
      <c r="I358" s="154" t="s">
        <v>13653</v>
      </c>
      <c r="J358" s="154" t="s">
        <v>6905</v>
      </c>
      <c r="K358" s="154"/>
      <c r="L358" s="154" t="s">
        <v>759</v>
      </c>
      <c r="M358" s="247" t="s">
        <v>516</v>
      </c>
      <c r="N358" s="247" t="s">
        <v>12731</v>
      </c>
      <c r="O358" s="240" t="str">
        <f t="shared" si="1"/>
        <v/>
      </c>
      <c r="P358" s="154" t="s">
        <v>66</v>
      </c>
      <c r="Q358" s="154" t="s">
        <v>66</v>
      </c>
      <c r="R358" s="154" t="s">
        <v>64</v>
      </c>
      <c r="S358" s="154" t="s">
        <v>64</v>
      </c>
      <c r="T358" s="154" t="s">
        <v>64</v>
      </c>
      <c r="U358" s="154" t="s">
        <v>64</v>
      </c>
      <c r="V358" s="154" t="s">
        <v>66</v>
      </c>
      <c r="W358" s="154" t="s">
        <v>64</v>
      </c>
      <c r="X358" s="154" t="s">
        <v>64</v>
      </c>
      <c r="Y358" s="154"/>
      <c r="Z358" s="242" t="b">
        <f t="shared" si="2"/>
        <v>1</v>
      </c>
      <c r="AA358" s="154" t="s">
        <v>391</v>
      </c>
      <c r="AB358" s="242" t="b">
        <f t="shared" si="3"/>
        <v>0</v>
      </c>
      <c r="AC358" s="154"/>
      <c r="AD358" s="242" t="b">
        <f t="shared" si="4"/>
        <v>0</v>
      </c>
      <c r="AE358" s="154" t="s">
        <v>1621</v>
      </c>
      <c r="AF358" s="243" t="str">
        <f>IF(AE358="","N/A",INDIRECT("MTR!"&amp;ADDRESS(MATCH(LEFT(AE358,9),MTR!C:C,0),COLUMN(J358)),TRUE) &amp; "")</f>
        <v>Partially Complies</v>
      </c>
      <c r="AG358" s="157" t="str">
        <f t="shared" si="5"/>
        <v/>
      </c>
      <c r="AH358" s="152"/>
      <c r="AI358" s="152"/>
      <c r="AJ358" s="152"/>
      <c r="AK358" s="152"/>
      <c r="AL358" s="152"/>
      <c r="AM358" s="152"/>
      <c r="AN358" s="152"/>
      <c r="AO358" s="152"/>
      <c r="AP358" s="152"/>
      <c r="AQ358" s="152"/>
      <c r="AR358" s="152"/>
    </row>
    <row r="359" ht="12.75" customHeight="1">
      <c r="A359" s="244" t="s">
        <v>5158</v>
      </c>
      <c r="B359" s="244" t="s">
        <v>12721</v>
      </c>
      <c r="C359" s="244" t="s">
        <v>13663</v>
      </c>
      <c r="D359" s="154" t="s">
        <v>1315</v>
      </c>
      <c r="E359" s="154"/>
      <c r="F359" s="154" t="str">
        <f t="array" ref="F359">XLOOKUP(Cover!$D$12,$P$1:$X$1,$P359:$X359)</f>
        <v>Recommended</v>
      </c>
      <c r="G359" s="154" t="s">
        <v>13664</v>
      </c>
      <c r="H359" s="154" t="s">
        <v>13656</v>
      </c>
      <c r="I359" s="154" t="s">
        <v>13653</v>
      </c>
      <c r="J359" s="154" t="s">
        <v>6905</v>
      </c>
      <c r="K359" s="154"/>
      <c r="L359" s="154" t="s">
        <v>759</v>
      </c>
      <c r="M359" s="247" t="s">
        <v>516</v>
      </c>
      <c r="N359" s="247" t="s">
        <v>12731</v>
      </c>
      <c r="O359" s="240" t="str">
        <f t="shared" si="1"/>
        <v/>
      </c>
      <c r="P359" s="154" t="s">
        <v>66</v>
      </c>
      <c r="Q359" s="154" t="s">
        <v>66</v>
      </c>
      <c r="R359" s="154" t="s">
        <v>64</v>
      </c>
      <c r="S359" s="154" t="s">
        <v>64</v>
      </c>
      <c r="T359" s="154" t="s">
        <v>64</v>
      </c>
      <c r="U359" s="154" t="s">
        <v>64</v>
      </c>
      <c r="V359" s="154" t="s">
        <v>66</v>
      </c>
      <c r="W359" s="154" t="s">
        <v>64</v>
      </c>
      <c r="X359" s="154" t="s">
        <v>64</v>
      </c>
      <c r="Y359" s="154"/>
      <c r="Z359" s="242" t="b">
        <f t="shared" si="2"/>
        <v>1</v>
      </c>
      <c r="AA359" s="154" t="s">
        <v>391</v>
      </c>
      <c r="AB359" s="242" t="b">
        <f t="shared" si="3"/>
        <v>0</v>
      </c>
      <c r="AC359" s="154"/>
      <c r="AD359" s="242" t="b">
        <f t="shared" si="4"/>
        <v>0</v>
      </c>
      <c r="AE359" s="154" t="s">
        <v>1621</v>
      </c>
      <c r="AF359" s="243" t="str">
        <f>IF(AE359="","N/A",INDIRECT("MTR!"&amp;ADDRESS(MATCH(LEFT(AE359,9),MTR!C:C,0),COLUMN(J359)),TRUE) &amp; "")</f>
        <v>Partially Complies</v>
      </c>
      <c r="AG359" s="157" t="str">
        <f t="shared" si="5"/>
        <v/>
      </c>
      <c r="AH359" s="152"/>
      <c r="AI359" s="152"/>
      <c r="AJ359" s="152"/>
      <c r="AK359" s="152"/>
      <c r="AL359" s="152"/>
      <c r="AM359" s="152"/>
      <c r="AN359" s="152"/>
      <c r="AO359" s="152"/>
      <c r="AP359" s="152"/>
      <c r="AQ359" s="152"/>
      <c r="AR359" s="152"/>
    </row>
    <row r="360" ht="12.75" customHeight="1">
      <c r="A360" s="244" t="s">
        <v>5158</v>
      </c>
      <c r="B360" s="244" t="s">
        <v>12721</v>
      </c>
      <c r="C360" s="255" t="s">
        <v>13665</v>
      </c>
      <c r="D360" s="256" t="s">
        <v>42</v>
      </c>
      <c r="E360" s="256" t="s">
        <v>489</v>
      </c>
      <c r="F360" s="154" t="str">
        <f t="array" ref="F360">XLOOKUP(Cover!$D$12,$P$1:$X$1,$P360:$X360)</f>
        <v>Recommended</v>
      </c>
      <c r="G360" s="154" t="s">
        <v>13666</v>
      </c>
      <c r="H360" s="154" t="s">
        <v>13652</v>
      </c>
      <c r="I360" s="154" t="s">
        <v>13653</v>
      </c>
      <c r="J360" s="154" t="s">
        <v>5931</v>
      </c>
      <c r="K360" s="154"/>
      <c r="L360" s="154" t="s">
        <v>759</v>
      </c>
      <c r="M360" s="247" t="s">
        <v>516</v>
      </c>
      <c r="N360" s="247" t="s">
        <v>12731</v>
      </c>
      <c r="O360" s="240" t="str">
        <f t="shared" si="1"/>
        <v/>
      </c>
      <c r="P360" s="154" t="s">
        <v>66</v>
      </c>
      <c r="Q360" s="154" t="s">
        <v>66</v>
      </c>
      <c r="R360" s="154" t="s">
        <v>64</v>
      </c>
      <c r="S360" s="154" t="s">
        <v>64</v>
      </c>
      <c r="T360" s="154" t="s">
        <v>64</v>
      </c>
      <c r="U360" s="154" t="s">
        <v>64</v>
      </c>
      <c r="V360" s="154" t="s">
        <v>66</v>
      </c>
      <c r="W360" s="154" t="s">
        <v>64</v>
      </c>
      <c r="X360" s="154" t="s">
        <v>64</v>
      </c>
      <c r="Y360" s="154"/>
      <c r="Z360" s="242" t="b">
        <f t="shared" si="2"/>
        <v>1</v>
      </c>
      <c r="AA360" s="154" t="s">
        <v>391</v>
      </c>
      <c r="AB360" s="242" t="b">
        <f t="shared" si="3"/>
        <v>0</v>
      </c>
      <c r="AC360" s="154"/>
      <c r="AD360" s="242" t="b">
        <f t="shared" si="4"/>
        <v>0</v>
      </c>
      <c r="AE360" s="154" t="s">
        <v>1621</v>
      </c>
      <c r="AF360" s="243" t="str">
        <f>IF(AE360="","N/A",INDIRECT("MTR!"&amp;ADDRESS(MATCH(LEFT(AE360,9),MTR!C:C,0),COLUMN(J360)),TRUE) &amp; "")</f>
        <v>Partially Complies</v>
      </c>
      <c r="AG360" s="157" t="str">
        <f t="shared" si="5"/>
        <v/>
      </c>
      <c r="AH360" s="152"/>
      <c r="AI360" s="152"/>
      <c r="AJ360" s="152"/>
      <c r="AK360" s="152"/>
      <c r="AL360" s="152"/>
      <c r="AM360" s="152"/>
      <c r="AN360" s="152"/>
      <c r="AO360" s="152"/>
      <c r="AP360" s="152"/>
      <c r="AQ360" s="152"/>
      <c r="AR360" s="152"/>
    </row>
    <row r="361" ht="12.75" customHeight="1">
      <c r="A361" s="244" t="s">
        <v>5158</v>
      </c>
      <c r="B361" s="244" t="s">
        <v>12721</v>
      </c>
      <c r="C361" s="255" t="s">
        <v>13667</v>
      </c>
      <c r="D361" s="256" t="s">
        <v>42</v>
      </c>
      <c r="E361" s="256" t="s">
        <v>489</v>
      </c>
      <c r="F361" s="154" t="str">
        <f t="array" ref="F361">XLOOKUP(Cover!$D$12,$P$1:$X$1,$P361:$X361)</f>
        <v>Recommended</v>
      </c>
      <c r="G361" s="154" t="s">
        <v>13668</v>
      </c>
      <c r="H361" s="154" t="s">
        <v>13656</v>
      </c>
      <c r="I361" s="154" t="s">
        <v>13653</v>
      </c>
      <c r="J361" s="154" t="s">
        <v>5931</v>
      </c>
      <c r="K361" s="154"/>
      <c r="L361" s="154" t="s">
        <v>759</v>
      </c>
      <c r="M361" s="247" t="s">
        <v>516</v>
      </c>
      <c r="N361" s="247" t="s">
        <v>12731</v>
      </c>
      <c r="O361" s="240" t="str">
        <f t="shared" si="1"/>
        <v/>
      </c>
      <c r="P361" s="154" t="s">
        <v>66</v>
      </c>
      <c r="Q361" s="154" t="s">
        <v>66</v>
      </c>
      <c r="R361" s="154" t="s">
        <v>64</v>
      </c>
      <c r="S361" s="154" t="s">
        <v>64</v>
      </c>
      <c r="T361" s="154" t="s">
        <v>64</v>
      </c>
      <c r="U361" s="154" t="s">
        <v>64</v>
      </c>
      <c r="V361" s="154" t="s">
        <v>66</v>
      </c>
      <c r="W361" s="154" t="s">
        <v>64</v>
      </c>
      <c r="X361" s="154" t="s">
        <v>64</v>
      </c>
      <c r="Y361" s="154"/>
      <c r="Z361" s="242" t="b">
        <f t="shared" si="2"/>
        <v>1</v>
      </c>
      <c r="AA361" s="154" t="s">
        <v>391</v>
      </c>
      <c r="AB361" s="242" t="b">
        <f t="shared" si="3"/>
        <v>0</v>
      </c>
      <c r="AC361" s="154"/>
      <c r="AD361" s="242" t="b">
        <f t="shared" si="4"/>
        <v>0</v>
      </c>
      <c r="AE361" s="154" t="s">
        <v>1621</v>
      </c>
      <c r="AF361" s="243" t="str">
        <f>IF(AE361="","N/A",INDIRECT("MTR!"&amp;ADDRESS(MATCH(LEFT(AE361,9),MTR!C:C,0),COLUMN(J361)),TRUE) &amp; "")</f>
        <v>Partially Complies</v>
      </c>
      <c r="AG361" s="157" t="str">
        <f t="shared" si="5"/>
        <v/>
      </c>
      <c r="AH361" s="152"/>
      <c r="AI361" s="152"/>
      <c r="AJ361" s="152"/>
      <c r="AK361" s="152"/>
      <c r="AL361" s="152"/>
      <c r="AM361" s="152"/>
      <c r="AN361" s="152"/>
      <c r="AO361" s="152"/>
      <c r="AP361" s="152"/>
      <c r="AQ361" s="152"/>
      <c r="AR361" s="152"/>
    </row>
    <row r="362" ht="12.75" customHeight="1">
      <c r="A362" s="244" t="s">
        <v>5158</v>
      </c>
      <c r="B362" s="244" t="s">
        <v>12721</v>
      </c>
      <c r="C362" s="244" t="s">
        <v>13669</v>
      </c>
      <c r="D362" s="154" t="s">
        <v>1315</v>
      </c>
      <c r="E362" s="154"/>
      <c r="F362" s="154" t="str">
        <f t="array" ref="F362">XLOOKUP(Cover!$D$12,$P$1:$X$1,$P362:$X362)</f>
        <v>Information</v>
      </c>
      <c r="G362" s="154" t="s">
        <v>13670</v>
      </c>
      <c r="H362" s="154" t="s">
        <v>13671</v>
      </c>
      <c r="I362" s="154" t="s">
        <v>13672</v>
      </c>
      <c r="J362" s="154" t="s">
        <v>6140</v>
      </c>
      <c r="K362" s="154"/>
      <c r="L362" s="154" t="s">
        <v>759</v>
      </c>
      <c r="M362" s="247" t="s">
        <v>516</v>
      </c>
      <c r="N362" s="247" t="s">
        <v>12731</v>
      </c>
      <c r="O362" s="240" t="str">
        <f t="shared" si="1"/>
        <v/>
      </c>
      <c r="P362" s="154" t="s">
        <v>66</v>
      </c>
      <c r="Q362" s="154" t="s">
        <v>66</v>
      </c>
      <c r="R362" s="154" t="s">
        <v>66</v>
      </c>
      <c r="S362" s="154" t="s">
        <v>66</v>
      </c>
      <c r="T362" s="154" t="s">
        <v>66</v>
      </c>
      <c r="U362" s="154" t="s">
        <v>66</v>
      </c>
      <c r="V362" s="154" t="s">
        <v>66</v>
      </c>
      <c r="W362" s="154" t="s">
        <v>66</v>
      </c>
      <c r="X362" s="154" t="s">
        <v>66</v>
      </c>
      <c r="Y362" s="154"/>
      <c r="Z362" s="242" t="b">
        <f t="shared" si="2"/>
        <v>1</v>
      </c>
      <c r="AA362" s="154" t="s">
        <v>391</v>
      </c>
      <c r="AB362" s="242" t="b">
        <f t="shared" si="3"/>
        <v>0</v>
      </c>
      <c r="AC362" s="154"/>
      <c r="AD362" s="242" t="b">
        <f t="shared" si="4"/>
        <v>0</v>
      </c>
      <c r="AE362" s="154" t="s">
        <v>1621</v>
      </c>
      <c r="AF362" s="243" t="str">
        <f>IF(AE362="","N/A",INDIRECT("MTR!"&amp;ADDRESS(MATCH(LEFT(AE362,9),MTR!C:C,0),COLUMN(J362)),TRUE) &amp; "")</f>
        <v>Partially Complies</v>
      </c>
      <c r="AG362" s="157" t="str">
        <f t="shared" si="5"/>
        <v/>
      </c>
      <c r="AH362" s="152"/>
      <c r="AI362" s="152"/>
      <c r="AJ362" s="152"/>
      <c r="AK362" s="152"/>
      <c r="AL362" s="152"/>
      <c r="AM362" s="152"/>
      <c r="AN362" s="152"/>
      <c r="AO362" s="152"/>
      <c r="AP362" s="152"/>
      <c r="AQ362" s="152"/>
      <c r="AR362" s="152"/>
    </row>
    <row r="363" ht="12.75" customHeight="1">
      <c r="A363" s="244" t="s">
        <v>5158</v>
      </c>
      <c r="B363" s="244" t="s">
        <v>12721</v>
      </c>
      <c r="C363" s="244" t="s">
        <v>13673</v>
      </c>
      <c r="D363" s="154" t="s">
        <v>45</v>
      </c>
      <c r="E363" s="154"/>
      <c r="F363" s="154" t="str">
        <f t="array" ref="F363">XLOOKUP(Cover!$D$12,$P$1:$X$1,$P363:$X363)</f>
        <v>Information</v>
      </c>
      <c r="G363" s="154" t="s">
        <v>13674</v>
      </c>
      <c r="H363" s="154" t="s">
        <v>13675</v>
      </c>
      <c r="I363" s="154" t="s">
        <v>13672</v>
      </c>
      <c r="J363" s="154" t="s">
        <v>10718</v>
      </c>
      <c r="K363" s="154"/>
      <c r="L363" s="154" t="s">
        <v>759</v>
      </c>
      <c r="M363" s="247" t="s">
        <v>516</v>
      </c>
      <c r="N363" s="247" t="s">
        <v>12731</v>
      </c>
      <c r="O363" s="240" t="str">
        <f t="shared" si="1"/>
        <v/>
      </c>
      <c r="P363" s="154" t="s">
        <v>66</v>
      </c>
      <c r="Q363" s="154" t="s">
        <v>66</v>
      </c>
      <c r="R363" s="154" t="s">
        <v>66</v>
      </c>
      <c r="S363" s="154" t="s">
        <v>66</v>
      </c>
      <c r="T363" s="154" t="s">
        <v>66</v>
      </c>
      <c r="U363" s="154" t="s">
        <v>66</v>
      </c>
      <c r="V363" s="154" t="s">
        <v>66</v>
      </c>
      <c r="W363" s="154" t="s">
        <v>66</v>
      </c>
      <c r="X363" s="154" t="s">
        <v>66</v>
      </c>
      <c r="Y363" s="154"/>
      <c r="Z363" s="242" t="b">
        <f t="shared" si="2"/>
        <v>1</v>
      </c>
      <c r="AA363" s="154" t="s">
        <v>391</v>
      </c>
      <c r="AB363" s="242" t="b">
        <f t="shared" si="3"/>
        <v>0</v>
      </c>
      <c r="AC363" s="154"/>
      <c r="AD363" s="242" t="b">
        <f t="shared" si="4"/>
        <v>0</v>
      </c>
      <c r="AE363" s="154" t="s">
        <v>1621</v>
      </c>
      <c r="AF363" s="243" t="str">
        <f>IF(AE363="","N/A",INDIRECT("MTR!"&amp;ADDRESS(MATCH(LEFT(AE363,9),MTR!C:C,0),COLUMN(J363)),TRUE) &amp; "")</f>
        <v>Partially Complies</v>
      </c>
      <c r="AG363" s="157" t="str">
        <f t="shared" si="5"/>
        <v/>
      </c>
      <c r="AH363" s="152"/>
      <c r="AI363" s="152"/>
      <c r="AJ363" s="152"/>
      <c r="AK363" s="152"/>
      <c r="AL363" s="152"/>
      <c r="AM363" s="152"/>
      <c r="AN363" s="152"/>
      <c r="AO363" s="152"/>
      <c r="AP363" s="152"/>
      <c r="AQ363" s="152"/>
      <c r="AR363" s="152"/>
    </row>
    <row r="364" ht="12.75" customHeight="1">
      <c r="A364" s="244" t="s">
        <v>5158</v>
      </c>
      <c r="B364" s="244" t="s">
        <v>12721</v>
      </c>
      <c r="C364" s="244" t="s">
        <v>13676</v>
      </c>
      <c r="D364" s="154" t="s">
        <v>1315</v>
      </c>
      <c r="E364" s="154"/>
      <c r="F364" s="154" t="str">
        <f t="array" ref="F364">XLOOKUP(Cover!$D$12,$P$1:$X$1,$P364:$X364)</f>
        <v>Mandatory</v>
      </c>
      <c r="G364" s="154" t="s">
        <v>13677</v>
      </c>
      <c r="H364" s="154" t="s">
        <v>13678</v>
      </c>
      <c r="I364" s="154" t="s">
        <v>13679</v>
      </c>
      <c r="J364" s="154" t="s">
        <v>6140</v>
      </c>
      <c r="K364" s="154" t="s">
        <v>175</v>
      </c>
      <c r="L364" s="154" t="s">
        <v>759</v>
      </c>
      <c r="M364" s="247" t="s">
        <v>516</v>
      </c>
      <c r="N364" s="247" t="s">
        <v>12731</v>
      </c>
      <c r="O364" s="240" t="str">
        <f t="shared" si="1"/>
        <v/>
      </c>
      <c r="P364" s="154" t="s">
        <v>66</v>
      </c>
      <c r="Q364" s="154" t="s">
        <v>66</v>
      </c>
      <c r="R364" s="154" t="s">
        <v>60</v>
      </c>
      <c r="S364" s="154" t="s">
        <v>60</v>
      </c>
      <c r="T364" s="154" t="s">
        <v>60</v>
      </c>
      <c r="U364" s="154" t="s">
        <v>60</v>
      </c>
      <c r="V364" s="154" t="s">
        <v>66</v>
      </c>
      <c r="W364" s="154" t="s">
        <v>60</v>
      </c>
      <c r="X364" s="154" t="s">
        <v>60</v>
      </c>
      <c r="Y364" s="154"/>
      <c r="Z364" s="242" t="b">
        <f t="shared" si="2"/>
        <v>1</v>
      </c>
      <c r="AA364" s="154" t="s">
        <v>391</v>
      </c>
      <c r="AB364" s="242" t="b">
        <f t="shared" si="3"/>
        <v>0</v>
      </c>
      <c r="AC364" s="154"/>
      <c r="AD364" s="242" t="b">
        <f t="shared" si="4"/>
        <v>0</v>
      </c>
      <c r="AE364" s="154" t="s">
        <v>1621</v>
      </c>
      <c r="AF364" s="243" t="str">
        <f>IF(AE364="","N/A",INDIRECT("MTR!"&amp;ADDRESS(MATCH(LEFT(AE364,9),MTR!C:C,0),COLUMN(J364)),TRUE) &amp; "")</f>
        <v>Partially Complies</v>
      </c>
      <c r="AG364" s="157" t="str">
        <f t="shared" si="5"/>
        <v/>
      </c>
      <c r="AH364" s="152"/>
      <c r="AI364" s="152"/>
      <c r="AJ364" s="152"/>
      <c r="AK364" s="152"/>
      <c r="AL364" s="152"/>
      <c r="AM364" s="152"/>
      <c r="AN364" s="152"/>
      <c r="AO364" s="152"/>
      <c r="AP364" s="152"/>
      <c r="AQ364" s="152"/>
      <c r="AR364" s="152"/>
    </row>
    <row r="365" ht="12.75" customHeight="1">
      <c r="A365" s="244" t="s">
        <v>5158</v>
      </c>
      <c r="B365" s="244" t="s">
        <v>12721</v>
      </c>
      <c r="C365" s="244" t="s">
        <v>13680</v>
      </c>
      <c r="D365" s="154" t="s">
        <v>1315</v>
      </c>
      <c r="E365" s="154"/>
      <c r="F365" s="154" t="str">
        <f t="array" ref="F365">XLOOKUP(Cover!$D$12,$P$1:$X$1,$P365:$X365)</f>
        <v>Mandatory</v>
      </c>
      <c r="G365" s="154" t="s">
        <v>13681</v>
      </c>
      <c r="H365" s="154" t="s">
        <v>13678</v>
      </c>
      <c r="I365" s="154" t="s">
        <v>13679</v>
      </c>
      <c r="J365" s="154" t="s">
        <v>6905</v>
      </c>
      <c r="K365" s="154" t="s">
        <v>175</v>
      </c>
      <c r="L365" s="154" t="s">
        <v>759</v>
      </c>
      <c r="M365" s="247" t="s">
        <v>516</v>
      </c>
      <c r="N365" s="247" t="s">
        <v>12731</v>
      </c>
      <c r="O365" s="240" t="str">
        <f t="shared" si="1"/>
        <v/>
      </c>
      <c r="P365" s="154" t="s">
        <v>66</v>
      </c>
      <c r="Q365" s="154" t="s">
        <v>66</v>
      </c>
      <c r="R365" s="154" t="s">
        <v>60</v>
      </c>
      <c r="S365" s="154" t="s">
        <v>60</v>
      </c>
      <c r="T365" s="154" t="s">
        <v>60</v>
      </c>
      <c r="U365" s="154" t="s">
        <v>60</v>
      </c>
      <c r="V365" s="154" t="s">
        <v>66</v>
      </c>
      <c r="W365" s="154" t="s">
        <v>60</v>
      </c>
      <c r="X365" s="154" t="s">
        <v>60</v>
      </c>
      <c r="Y365" s="154"/>
      <c r="Z365" s="242" t="b">
        <f t="shared" si="2"/>
        <v>1</v>
      </c>
      <c r="AA365" s="154" t="s">
        <v>391</v>
      </c>
      <c r="AB365" s="242" t="b">
        <f t="shared" si="3"/>
        <v>0</v>
      </c>
      <c r="AC365" s="154"/>
      <c r="AD365" s="242" t="b">
        <f t="shared" si="4"/>
        <v>0</v>
      </c>
      <c r="AE365" s="154" t="s">
        <v>1621</v>
      </c>
      <c r="AF365" s="243" t="str">
        <f>IF(AE365="","N/A",INDIRECT("MTR!"&amp;ADDRESS(MATCH(LEFT(AE365,9),MTR!C:C,0),COLUMN(J365)),TRUE) &amp; "")</f>
        <v>Partially Complies</v>
      </c>
      <c r="AG365" s="157" t="str">
        <f t="shared" si="5"/>
        <v/>
      </c>
      <c r="AH365" s="152"/>
      <c r="AI365" s="152"/>
      <c r="AJ365" s="152"/>
      <c r="AK365" s="152"/>
      <c r="AL365" s="152"/>
      <c r="AM365" s="152"/>
      <c r="AN365" s="152"/>
      <c r="AO365" s="152"/>
      <c r="AP365" s="152"/>
      <c r="AQ365" s="152"/>
      <c r="AR365" s="152"/>
    </row>
    <row r="366" ht="12.75" customHeight="1">
      <c r="A366" s="244" t="s">
        <v>5158</v>
      </c>
      <c r="B366" s="244" t="s">
        <v>12721</v>
      </c>
      <c r="C366" s="244" t="s">
        <v>13682</v>
      </c>
      <c r="D366" s="154" t="s">
        <v>1315</v>
      </c>
      <c r="E366" s="154"/>
      <c r="F366" s="154" t="str">
        <f t="array" ref="F366">XLOOKUP(Cover!$D$12,$P$1:$X$1,$P366:$X366)</f>
        <v>Mandatory</v>
      </c>
      <c r="G366" s="154" t="s">
        <v>13683</v>
      </c>
      <c r="H366" s="154" t="s">
        <v>13684</v>
      </c>
      <c r="I366" s="154" t="s">
        <v>13679</v>
      </c>
      <c r="J366" s="154" t="s">
        <v>6905</v>
      </c>
      <c r="K366" s="154" t="s">
        <v>175</v>
      </c>
      <c r="L366" s="154" t="s">
        <v>759</v>
      </c>
      <c r="M366" s="247" t="s">
        <v>516</v>
      </c>
      <c r="N366" s="247" t="s">
        <v>12731</v>
      </c>
      <c r="O366" s="240" t="str">
        <f t="shared" si="1"/>
        <v/>
      </c>
      <c r="P366" s="154" t="s">
        <v>66</v>
      </c>
      <c r="Q366" s="154" t="s">
        <v>66</v>
      </c>
      <c r="R366" s="155" t="s">
        <v>64</v>
      </c>
      <c r="S366" s="155" t="s">
        <v>64</v>
      </c>
      <c r="T366" s="154" t="s">
        <v>60</v>
      </c>
      <c r="U366" s="154" t="s">
        <v>60</v>
      </c>
      <c r="V366" s="154" t="s">
        <v>66</v>
      </c>
      <c r="W366" s="155" t="s">
        <v>64</v>
      </c>
      <c r="X366" s="154" t="s">
        <v>60</v>
      </c>
      <c r="Y366" s="154"/>
      <c r="Z366" s="242" t="b">
        <f t="shared" si="2"/>
        <v>1</v>
      </c>
      <c r="AA366" s="154" t="s">
        <v>391</v>
      </c>
      <c r="AB366" s="242" t="b">
        <f t="shared" si="3"/>
        <v>0</v>
      </c>
      <c r="AC366" s="154"/>
      <c r="AD366" s="242" t="b">
        <f t="shared" si="4"/>
        <v>0</v>
      </c>
      <c r="AE366" s="154" t="s">
        <v>1621</v>
      </c>
      <c r="AF366" s="243" t="str">
        <f>IF(AE366="","N/A",INDIRECT("MTR!"&amp;ADDRESS(MATCH(LEFT(AE366,9),MTR!C:C,0),COLUMN(J366)),TRUE) &amp; "")</f>
        <v>Partially Complies</v>
      </c>
      <c r="AG366" s="157" t="str">
        <f t="shared" si="5"/>
        <v/>
      </c>
      <c r="AH366" s="152"/>
      <c r="AI366" s="152"/>
      <c r="AJ366" s="152"/>
      <c r="AK366" s="152"/>
      <c r="AL366" s="152"/>
      <c r="AM366" s="152"/>
      <c r="AN366" s="152"/>
      <c r="AO366" s="152"/>
      <c r="AP366" s="152"/>
      <c r="AQ366" s="152"/>
      <c r="AR366" s="152"/>
    </row>
    <row r="367" ht="12.75" customHeight="1">
      <c r="A367" s="244" t="s">
        <v>5158</v>
      </c>
      <c r="B367" s="244" t="s">
        <v>12721</v>
      </c>
      <c r="C367" s="244" t="s">
        <v>13685</v>
      </c>
      <c r="D367" s="154" t="s">
        <v>1315</v>
      </c>
      <c r="E367" s="154"/>
      <c r="F367" s="154" t="str">
        <f t="array" ref="F367">XLOOKUP(Cover!$D$12,$P$1:$X$1,$P367:$X367)</f>
        <v>Mandatory</v>
      </c>
      <c r="G367" s="154" t="s">
        <v>13686</v>
      </c>
      <c r="H367" s="154" t="s">
        <v>13678</v>
      </c>
      <c r="I367" s="154" t="s">
        <v>13679</v>
      </c>
      <c r="J367" s="154" t="s">
        <v>6905</v>
      </c>
      <c r="K367" s="154" t="s">
        <v>175</v>
      </c>
      <c r="L367" s="154" t="s">
        <v>759</v>
      </c>
      <c r="M367" s="247" t="s">
        <v>516</v>
      </c>
      <c r="N367" s="247" t="s">
        <v>12731</v>
      </c>
      <c r="O367" s="240" t="str">
        <f t="shared" si="1"/>
        <v/>
      </c>
      <c r="P367" s="154" t="s">
        <v>66</v>
      </c>
      <c r="Q367" s="154" t="s">
        <v>66</v>
      </c>
      <c r="R367" s="154" t="s">
        <v>60</v>
      </c>
      <c r="S367" s="154" t="s">
        <v>60</v>
      </c>
      <c r="T367" s="154" t="s">
        <v>60</v>
      </c>
      <c r="U367" s="154" t="s">
        <v>60</v>
      </c>
      <c r="V367" s="154" t="s">
        <v>66</v>
      </c>
      <c r="W367" s="154" t="s">
        <v>60</v>
      </c>
      <c r="X367" s="154" t="s">
        <v>60</v>
      </c>
      <c r="Y367" s="154"/>
      <c r="Z367" s="242" t="b">
        <f t="shared" si="2"/>
        <v>1</v>
      </c>
      <c r="AA367" s="154" t="s">
        <v>391</v>
      </c>
      <c r="AB367" s="242" t="b">
        <f t="shared" si="3"/>
        <v>0</v>
      </c>
      <c r="AC367" s="154"/>
      <c r="AD367" s="242" t="b">
        <f t="shared" si="4"/>
        <v>0</v>
      </c>
      <c r="AE367" s="154" t="s">
        <v>1621</v>
      </c>
      <c r="AF367" s="243" t="str">
        <f>IF(AE367="","N/A",INDIRECT("MTR!"&amp;ADDRESS(MATCH(LEFT(AE367,9),MTR!C:C,0),COLUMN(J367)),TRUE) &amp; "")</f>
        <v>Partially Complies</v>
      </c>
      <c r="AG367" s="157" t="str">
        <f t="shared" si="5"/>
        <v/>
      </c>
      <c r="AH367" s="152"/>
      <c r="AI367" s="152"/>
      <c r="AJ367" s="152"/>
      <c r="AK367" s="152"/>
      <c r="AL367" s="152"/>
      <c r="AM367" s="152"/>
      <c r="AN367" s="152"/>
      <c r="AO367" s="152"/>
      <c r="AP367" s="152"/>
      <c r="AQ367" s="152"/>
      <c r="AR367" s="152"/>
    </row>
    <row r="368" ht="12.75" customHeight="1">
      <c r="A368" s="244" t="s">
        <v>5158</v>
      </c>
      <c r="B368" s="244" t="s">
        <v>12721</v>
      </c>
      <c r="C368" s="244" t="s">
        <v>13687</v>
      </c>
      <c r="D368" s="154" t="s">
        <v>1315</v>
      </c>
      <c r="E368" s="154"/>
      <c r="F368" s="154" t="str">
        <f t="array" ref="F368">XLOOKUP(Cover!$D$12,$P$1:$X$1,$P368:$X368)</f>
        <v>Mandatory</v>
      </c>
      <c r="G368" s="154" t="s">
        <v>13688</v>
      </c>
      <c r="H368" s="154" t="s">
        <v>13684</v>
      </c>
      <c r="I368" s="154" t="s">
        <v>13679</v>
      </c>
      <c r="J368" s="154" t="s">
        <v>6905</v>
      </c>
      <c r="K368" s="154" t="s">
        <v>175</v>
      </c>
      <c r="L368" s="154" t="s">
        <v>759</v>
      </c>
      <c r="M368" s="247" t="s">
        <v>516</v>
      </c>
      <c r="N368" s="247" t="s">
        <v>12731</v>
      </c>
      <c r="O368" s="240" t="str">
        <f t="shared" si="1"/>
        <v/>
      </c>
      <c r="P368" s="154" t="s">
        <v>66</v>
      </c>
      <c r="Q368" s="154" t="s">
        <v>66</v>
      </c>
      <c r="R368" s="155" t="s">
        <v>64</v>
      </c>
      <c r="S368" s="155" t="s">
        <v>64</v>
      </c>
      <c r="T368" s="154" t="s">
        <v>60</v>
      </c>
      <c r="U368" s="154" t="s">
        <v>60</v>
      </c>
      <c r="V368" s="154" t="s">
        <v>66</v>
      </c>
      <c r="W368" s="155" t="s">
        <v>64</v>
      </c>
      <c r="X368" s="154" t="s">
        <v>60</v>
      </c>
      <c r="Y368" s="154"/>
      <c r="Z368" s="242" t="b">
        <f t="shared" si="2"/>
        <v>1</v>
      </c>
      <c r="AA368" s="154" t="s">
        <v>391</v>
      </c>
      <c r="AB368" s="242" t="b">
        <f t="shared" si="3"/>
        <v>0</v>
      </c>
      <c r="AC368" s="154"/>
      <c r="AD368" s="242" t="b">
        <f t="shared" si="4"/>
        <v>0</v>
      </c>
      <c r="AE368" s="154" t="s">
        <v>1621</v>
      </c>
      <c r="AF368" s="243" t="str">
        <f>IF(AE368="","N/A",INDIRECT("MTR!"&amp;ADDRESS(MATCH(LEFT(AE368,9),MTR!C:C,0),COLUMN(J368)),TRUE) &amp; "")</f>
        <v>Partially Complies</v>
      </c>
      <c r="AG368" s="157" t="str">
        <f t="shared" si="5"/>
        <v/>
      </c>
      <c r="AH368" s="152"/>
      <c r="AI368" s="152"/>
      <c r="AJ368" s="152"/>
      <c r="AK368" s="152"/>
      <c r="AL368" s="152"/>
      <c r="AM368" s="152"/>
      <c r="AN368" s="152"/>
      <c r="AO368" s="152"/>
      <c r="AP368" s="152"/>
      <c r="AQ368" s="152"/>
      <c r="AR368" s="152"/>
    </row>
    <row r="369" ht="12.75" customHeight="1">
      <c r="A369" s="244" t="s">
        <v>5158</v>
      </c>
      <c r="B369" s="244" t="s">
        <v>12721</v>
      </c>
      <c r="C369" s="255" t="s">
        <v>13689</v>
      </c>
      <c r="D369" s="256" t="s">
        <v>42</v>
      </c>
      <c r="E369" s="256" t="s">
        <v>489</v>
      </c>
      <c r="F369" s="154" t="str">
        <f t="array" ref="F369">XLOOKUP(Cover!$D$12,$P$1:$X$1,$P369:$X369)</f>
        <v>Mandatory</v>
      </c>
      <c r="G369" s="154" t="s">
        <v>13690</v>
      </c>
      <c r="H369" s="154" t="s">
        <v>13190</v>
      </c>
      <c r="I369" s="154" t="s">
        <v>13691</v>
      </c>
      <c r="J369" s="154" t="s">
        <v>5931</v>
      </c>
      <c r="K369" s="154" t="s">
        <v>175</v>
      </c>
      <c r="L369" s="154" t="s">
        <v>759</v>
      </c>
      <c r="M369" s="247" t="s">
        <v>516</v>
      </c>
      <c r="N369" s="247" t="s">
        <v>12731</v>
      </c>
      <c r="O369" s="240" t="str">
        <f t="shared" si="1"/>
        <v/>
      </c>
      <c r="P369" s="154" t="s">
        <v>66</v>
      </c>
      <c r="Q369" s="154" t="s">
        <v>66</v>
      </c>
      <c r="R369" s="154" t="s">
        <v>60</v>
      </c>
      <c r="S369" s="154" t="s">
        <v>60</v>
      </c>
      <c r="T369" s="154" t="s">
        <v>60</v>
      </c>
      <c r="U369" s="154" t="s">
        <v>60</v>
      </c>
      <c r="V369" s="154" t="s">
        <v>66</v>
      </c>
      <c r="W369" s="154" t="s">
        <v>60</v>
      </c>
      <c r="X369" s="154" t="s">
        <v>60</v>
      </c>
      <c r="Y369" s="154"/>
      <c r="Z369" s="242" t="b">
        <f t="shared" si="2"/>
        <v>1</v>
      </c>
      <c r="AA369" s="154" t="s">
        <v>391</v>
      </c>
      <c r="AB369" s="242" t="b">
        <f t="shared" si="3"/>
        <v>0</v>
      </c>
      <c r="AC369" s="154"/>
      <c r="AD369" s="242" t="b">
        <f t="shared" si="4"/>
        <v>0</v>
      </c>
      <c r="AE369" s="154" t="s">
        <v>1621</v>
      </c>
      <c r="AF369" s="243" t="str">
        <f>IF(AE369="","N/A",INDIRECT("MTR!"&amp;ADDRESS(MATCH(LEFT(AE369,9),MTR!C:C,0),COLUMN(J369)),TRUE) &amp; "")</f>
        <v>Partially Complies</v>
      </c>
      <c r="AG369" s="157" t="str">
        <f t="shared" si="5"/>
        <v/>
      </c>
      <c r="AH369" s="152"/>
      <c r="AI369" s="152"/>
      <c r="AJ369" s="152"/>
      <c r="AK369" s="152"/>
      <c r="AL369" s="152"/>
      <c r="AM369" s="152"/>
      <c r="AN369" s="152"/>
      <c r="AO369" s="152"/>
      <c r="AP369" s="152"/>
      <c r="AQ369" s="152"/>
      <c r="AR369" s="152"/>
    </row>
    <row r="370" ht="12.75" customHeight="1">
      <c r="A370" s="244" t="s">
        <v>5158</v>
      </c>
      <c r="B370" s="244" t="s">
        <v>12721</v>
      </c>
      <c r="C370" s="245" t="s">
        <v>13692</v>
      </c>
      <c r="D370" s="155" t="s">
        <v>503</v>
      </c>
      <c r="E370" s="155" t="s">
        <v>92</v>
      </c>
      <c r="F370" s="154" t="str">
        <f t="array" ref="F370">XLOOKUP(Cover!$D$12,$P$1:$X$1,$P370:$X370)</f>
        <v>Mandatory</v>
      </c>
      <c r="G370" s="154" t="s">
        <v>13693</v>
      </c>
      <c r="H370" s="154" t="s">
        <v>13190</v>
      </c>
      <c r="I370" s="154" t="s">
        <v>13694</v>
      </c>
      <c r="J370" s="154" t="s">
        <v>7431</v>
      </c>
      <c r="K370" s="154" t="s">
        <v>175</v>
      </c>
      <c r="L370" s="154" t="s">
        <v>759</v>
      </c>
      <c r="M370" s="247" t="s">
        <v>516</v>
      </c>
      <c r="N370" s="247" t="s">
        <v>12731</v>
      </c>
      <c r="O370" s="240" t="str">
        <f t="shared" si="1"/>
        <v/>
      </c>
      <c r="P370" s="154" t="s">
        <v>66</v>
      </c>
      <c r="Q370" s="154" t="s">
        <v>66</v>
      </c>
      <c r="R370" s="154" t="s">
        <v>60</v>
      </c>
      <c r="S370" s="154" t="s">
        <v>60</v>
      </c>
      <c r="T370" s="154" t="s">
        <v>60</v>
      </c>
      <c r="U370" s="154" t="s">
        <v>60</v>
      </c>
      <c r="V370" s="154" t="s">
        <v>66</v>
      </c>
      <c r="W370" s="154" t="s">
        <v>60</v>
      </c>
      <c r="X370" s="154" t="s">
        <v>60</v>
      </c>
      <c r="Y370" s="154"/>
      <c r="Z370" s="242" t="b">
        <f t="shared" si="2"/>
        <v>1</v>
      </c>
      <c r="AA370" s="154" t="s">
        <v>391</v>
      </c>
      <c r="AB370" s="242" t="b">
        <f t="shared" si="3"/>
        <v>0</v>
      </c>
      <c r="AC370" s="154"/>
      <c r="AD370" s="242" t="b">
        <f t="shared" si="4"/>
        <v>0</v>
      </c>
      <c r="AE370" s="154" t="s">
        <v>1621</v>
      </c>
      <c r="AF370" s="243" t="str">
        <f>IF(AE370="","N/A",INDIRECT("MTR!"&amp;ADDRESS(MATCH(LEFT(AE370,9),MTR!C:C,0),COLUMN(J370)),TRUE) &amp; "")</f>
        <v>Partially Complies</v>
      </c>
      <c r="AG370" s="157" t="str">
        <f t="shared" si="5"/>
        <v/>
      </c>
      <c r="AH370" s="152"/>
      <c r="AI370" s="152"/>
      <c r="AJ370" s="152"/>
      <c r="AK370" s="152"/>
      <c r="AL370" s="152"/>
      <c r="AM370" s="152"/>
      <c r="AN370" s="152"/>
      <c r="AO370" s="152"/>
      <c r="AP370" s="152"/>
      <c r="AQ370" s="152"/>
      <c r="AR370" s="152"/>
    </row>
    <row r="371" ht="12.75" customHeight="1">
      <c r="A371" s="244" t="s">
        <v>5158</v>
      </c>
      <c r="B371" s="244" t="s">
        <v>12721</v>
      </c>
      <c r="C371" s="245" t="s">
        <v>13695</v>
      </c>
      <c r="D371" s="155" t="s">
        <v>503</v>
      </c>
      <c r="E371" s="155" t="s">
        <v>92</v>
      </c>
      <c r="F371" s="154" t="str">
        <f t="array" ref="F371">XLOOKUP(Cover!$D$12,$P$1:$X$1,$P371:$X371)</f>
        <v>Mandatory</v>
      </c>
      <c r="G371" s="154" t="s">
        <v>13696</v>
      </c>
      <c r="H371" s="154" t="s">
        <v>13194</v>
      </c>
      <c r="I371" s="154" t="s">
        <v>13694</v>
      </c>
      <c r="J371" s="154" t="s">
        <v>7431</v>
      </c>
      <c r="K371" s="154" t="s">
        <v>175</v>
      </c>
      <c r="L371" s="154" t="s">
        <v>759</v>
      </c>
      <c r="M371" s="247" t="s">
        <v>516</v>
      </c>
      <c r="N371" s="247" t="s">
        <v>12731</v>
      </c>
      <c r="O371" s="240" t="str">
        <f t="shared" si="1"/>
        <v/>
      </c>
      <c r="P371" s="154" t="s">
        <v>66</v>
      </c>
      <c r="Q371" s="154" t="s">
        <v>66</v>
      </c>
      <c r="R371" s="155" t="s">
        <v>64</v>
      </c>
      <c r="S371" s="155" t="s">
        <v>64</v>
      </c>
      <c r="T371" s="154" t="s">
        <v>60</v>
      </c>
      <c r="U371" s="154" t="s">
        <v>60</v>
      </c>
      <c r="V371" s="154" t="s">
        <v>66</v>
      </c>
      <c r="W371" s="155" t="s">
        <v>64</v>
      </c>
      <c r="X371" s="154" t="s">
        <v>60</v>
      </c>
      <c r="Y371" s="154"/>
      <c r="Z371" s="242" t="b">
        <f t="shared" si="2"/>
        <v>1</v>
      </c>
      <c r="AA371" s="154" t="s">
        <v>391</v>
      </c>
      <c r="AB371" s="242" t="b">
        <f t="shared" si="3"/>
        <v>0</v>
      </c>
      <c r="AC371" s="154"/>
      <c r="AD371" s="242" t="b">
        <f t="shared" si="4"/>
        <v>0</v>
      </c>
      <c r="AE371" s="154" t="s">
        <v>1621</v>
      </c>
      <c r="AF371" s="243" t="str">
        <f>IF(AE371="","N/A",INDIRECT("MTR!"&amp;ADDRESS(MATCH(LEFT(AE371,9),MTR!C:C,0),COLUMN(J371)),TRUE) &amp; "")</f>
        <v>Partially Complies</v>
      </c>
      <c r="AG371" s="157" t="str">
        <f t="shared" si="5"/>
        <v/>
      </c>
      <c r="AH371" s="152"/>
      <c r="AI371" s="152"/>
      <c r="AJ371" s="152"/>
      <c r="AK371" s="152"/>
      <c r="AL371" s="152"/>
      <c r="AM371" s="152"/>
      <c r="AN371" s="152"/>
      <c r="AO371" s="152"/>
      <c r="AP371" s="152"/>
      <c r="AQ371" s="152"/>
      <c r="AR371" s="152"/>
    </row>
    <row r="372" ht="12.75" customHeight="1">
      <c r="A372" s="244" t="s">
        <v>5158</v>
      </c>
      <c r="B372" s="244" t="s">
        <v>12721</v>
      </c>
      <c r="C372" s="245" t="s">
        <v>13697</v>
      </c>
      <c r="D372" s="155" t="s">
        <v>1315</v>
      </c>
      <c r="E372" s="155" t="s">
        <v>92</v>
      </c>
      <c r="F372" s="154" t="str">
        <f t="array" ref="F372">XLOOKUP(Cover!$D$12,$P$1:$X$1,$P372:$X372)</f>
        <v>Mandatory</v>
      </c>
      <c r="G372" s="154" t="s">
        <v>13698</v>
      </c>
      <c r="H372" s="154" t="s">
        <v>13190</v>
      </c>
      <c r="I372" s="154" t="s">
        <v>13699</v>
      </c>
      <c r="J372" s="154" t="s">
        <v>6905</v>
      </c>
      <c r="K372" s="154" t="s">
        <v>175</v>
      </c>
      <c r="L372" s="154" t="s">
        <v>759</v>
      </c>
      <c r="M372" s="247" t="s">
        <v>506</v>
      </c>
      <c r="N372" s="247" t="s">
        <v>12738</v>
      </c>
      <c r="O372" s="240" t="str">
        <f t="shared" si="1"/>
        <v/>
      </c>
      <c r="P372" s="154" t="s">
        <v>66</v>
      </c>
      <c r="Q372" s="154" t="s">
        <v>66</v>
      </c>
      <c r="R372" s="154" t="s">
        <v>60</v>
      </c>
      <c r="S372" s="154" t="s">
        <v>60</v>
      </c>
      <c r="T372" s="154" t="s">
        <v>60</v>
      </c>
      <c r="U372" s="154" t="s">
        <v>60</v>
      </c>
      <c r="V372" s="154" t="s">
        <v>66</v>
      </c>
      <c r="W372" s="154" t="s">
        <v>60</v>
      </c>
      <c r="X372" s="154" t="s">
        <v>60</v>
      </c>
      <c r="Y372" s="154"/>
      <c r="Z372" s="242" t="b">
        <f t="shared" si="2"/>
        <v>1</v>
      </c>
      <c r="AA372" s="154" t="s">
        <v>391</v>
      </c>
      <c r="AB372" s="242" t="b">
        <f t="shared" si="3"/>
        <v>0</v>
      </c>
      <c r="AC372" s="154"/>
      <c r="AD372" s="242" t="b">
        <f t="shared" si="4"/>
        <v>0</v>
      </c>
      <c r="AE372" s="154" t="s">
        <v>1621</v>
      </c>
      <c r="AF372" s="243" t="str">
        <f>IF(AE372="","N/A",INDIRECT("MTR!"&amp;ADDRESS(MATCH(LEFT(AE372,9),MTR!C:C,0),COLUMN(J372)),TRUE) &amp; "")</f>
        <v>Partially Complies</v>
      </c>
      <c r="AG372" s="157" t="str">
        <f t="shared" si="5"/>
        <v/>
      </c>
      <c r="AH372" s="152"/>
      <c r="AI372" s="152"/>
      <c r="AJ372" s="152"/>
      <c r="AK372" s="152"/>
      <c r="AL372" s="152"/>
      <c r="AM372" s="152"/>
      <c r="AN372" s="152"/>
      <c r="AO372" s="152"/>
      <c r="AP372" s="152"/>
      <c r="AQ372" s="152"/>
      <c r="AR372" s="152"/>
    </row>
    <row r="373" ht="12.75" customHeight="1">
      <c r="A373" s="244" t="s">
        <v>5158</v>
      </c>
      <c r="B373" s="244" t="s">
        <v>12721</v>
      </c>
      <c r="C373" s="245" t="s">
        <v>13700</v>
      </c>
      <c r="D373" s="155" t="s">
        <v>1315</v>
      </c>
      <c r="E373" s="155" t="s">
        <v>92</v>
      </c>
      <c r="F373" s="154" t="str">
        <f t="array" ref="F373">XLOOKUP(Cover!$D$12,$P$1:$X$1,$P373:$X373)</f>
        <v>Mandatory</v>
      </c>
      <c r="G373" s="154" t="s">
        <v>13701</v>
      </c>
      <c r="H373" s="154" t="s">
        <v>13702</v>
      </c>
      <c r="I373" s="154" t="s">
        <v>13699</v>
      </c>
      <c r="J373" s="154" t="s">
        <v>6905</v>
      </c>
      <c r="K373" s="154" t="s">
        <v>175</v>
      </c>
      <c r="L373" s="154" t="s">
        <v>759</v>
      </c>
      <c r="M373" s="247" t="s">
        <v>516</v>
      </c>
      <c r="N373" s="247" t="s">
        <v>12741</v>
      </c>
      <c r="O373" s="240" t="str">
        <f t="shared" si="1"/>
        <v/>
      </c>
      <c r="P373" s="154" t="s">
        <v>66</v>
      </c>
      <c r="Q373" s="154" t="s">
        <v>66</v>
      </c>
      <c r="R373" s="155" t="s">
        <v>64</v>
      </c>
      <c r="S373" s="155" t="s">
        <v>64</v>
      </c>
      <c r="T373" s="154" t="s">
        <v>60</v>
      </c>
      <c r="U373" s="154" t="s">
        <v>60</v>
      </c>
      <c r="V373" s="154" t="s">
        <v>66</v>
      </c>
      <c r="W373" s="155" t="s">
        <v>64</v>
      </c>
      <c r="X373" s="154" t="s">
        <v>60</v>
      </c>
      <c r="Y373" s="154"/>
      <c r="Z373" s="242" t="b">
        <f t="shared" si="2"/>
        <v>1</v>
      </c>
      <c r="AA373" s="154" t="s">
        <v>391</v>
      </c>
      <c r="AB373" s="242" t="b">
        <f t="shared" si="3"/>
        <v>0</v>
      </c>
      <c r="AC373" s="154"/>
      <c r="AD373" s="242" t="b">
        <f t="shared" si="4"/>
        <v>0</v>
      </c>
      <c r="AE373" s="154" t="s">
        <v>1621</v>
      </c>
      <c r="AF373" s="243" t="str">
        <f>IF(AE373="","N/A",INDIRECT("MTR!"&amp;ADDRESS(MATCH(LEFT(AE373,9),MTR!C:C,0),COLUMN(J373)),TRUE) &amp; "")</f>
        <v>Partially Complies</v>
      </c>
      <c r="AG373" s="157" t="str">
        <f t="shared" si="5"/>
        <v/>
      </c>
      <c r="AH373" s="152"/>
      <c r="AI373" s="152"/>
      <c r="AJ373" s="152"/>
      <c r="AK373" s="152"/>
      <c r="AL373" s="152"/>
      <c r="AM373" s="152"/>
      <c r="AN373" s="152"/>
      <c r="AO373" s="152"/>
      <c r="AP373" s="152"/>
      <c r="AQ373" s="152"/>
      <c r="AR373" s="152"/>
    </row>
    <row r="374" ht="12.75" customHeight="1">
      <c r="A374" s="244" t="s">
        <v>5158</v>
      </c>
      <c r="B374" s="244" t="s">
        <v>12721</v>
      </c>
      <c r="C374" s="244" t="s">
        <v>13703</v>
      </c>
      <c r="D374" s="154" t="s">
        <v>1069</v>
      </c>
      <c r="E374" s="154"/>
      <c r="F374" s="154" t="str">
        <f t="array" ref="F374">XLOOKUP(Cover!$D$12,$P$1:$X$1,$P374:$X374)</f>
        <v>Information</v>
      </c>
      <c r="G374" s="154" t="s">
        <v>13704</v>
      </c>
      <c r="H374" s="154" t="s">
        <v>13705</v>
      </c>
      <c r="I374" s="154" t="s">
        <v>13706</v>
      </c>
      <c r="J374" s="154" t="s">
        <v>5927</v>
      </c>
      <c r="K374" s="154"/>
      <c r="L374" s="154" t="s">
        <v>759</v>
      </c>
      <c r="M374" s="247" t="s">
        <v>516</v>
      </c>
      <c r="N374" s="247" t="s">
        <v>12731</v>
      </c>
      <c r="O374" s="240" t="str">
        <f t="shared" si="1"/>
        <v/>
      </c>
      <c r="P374" s="154" t="s">
        <v>66</v>
      </c>
      <c r="Q374" s="154" t="s">
        <v>66</v>
      </c>
      <c r="R374" s="154" t="s">
        <v>66</v>
      </c>
      <c r="S374" s="154" t="s">
        <v>66</v>
      </c>
      <c r="T374" s="154" t="s">
        <v>66</v>
      </c>
      <c r="U374" s="154" t="s">
        <v>66</v>
      </c>
      <c r="V374" s="154" t="s">
        <v>66</v>
      </c>
      <c r="W374" s="154" t="s">
        <v>66</v>
      </c>
      <c r="X374" s="154" t="s">
        <v>66</v>
      </c>
      <c r="Y374" s="154"/>
      <c r="Z374" s="242" t="b">
        <f t="shared" si="2"/>
        <v>1</v>
      </c>
      <c r="AA374" s="154" t="s">
        <v>391</v>
      </c>
      <c r="AB374" s="242" t="b">
        <f t="shared" si="3"/>
        <v>0</v>
      </c>
      <c r="AC374" s="154"/>
      <c r="AD374" s="242" t="b">
        <f t="shared" si="4"/>
        <v>0</v>
      </c>
      <c r="AE374" s="154" t="s">
        <v>1621</v>
      </c>
      <c r="AF374" s="243" t="str">
        <f>IF(AE374="","N/A",INDIRECT("MTR!"&amp;ADDRESS(MATCH(LEFT(AE374,9),MTR!C:C,0),COLUMN(J374)),TRUE) &amp; "")</f>
        <v>Partially Complies</v>
      </c>
      <c r="AG374" s="157" t="str">
        <f t="shared" si="5"/>
        <v/>
      </c>
      <c r="AH374" s="152"/>
      <c r="AI374" s="152"/>
      <c r="AJ374" s="152"/>
      <c r="AK374" s="152"/>
      <c r="AL374" s="152"/>
      <c r="AM374" s="152"/>
      <c r="AN374" s="152"/>
      <c r="AO374" s="152"/>
      <c r="AP374" s="152"/>
      <c r="AQ374" s="152"/>
      <c r="AR374" s="152"/>
    </row>
    <row r="375" ht="12.75" customHeight="1">
      <c r="A375" s="244" t="s">
        <v>5158</v>
      </c>
      <c r="B375" s="244" t="s">
        <v>12721</v>
      </c>
      <c r="C375" s="244" t="s">
        <v>13707</v>
      </c>
      <c r="D375" s="154" t="s">
        <v>1069</v>
      </c>
      <c r="E375" s="154"/>
      <c r="F375" s="154" t="str">
        <f t="array" ref="F375">XLOOKUP(Cover!$D$12,$P$1:$X$1,$P375:$X375)</f>
        <v>Information</v>
      </c>
      <c r="G375" s="154" t="s">
        <v>13708</v>
      </c>
      <c r="H375" s="154" t="s">
        <v>13709</v>
      </c>
      <c r="I375" s="154" t="s">
        <v>13706</v>
      </c>
      <c r="J375" s="154" t="s">
        <v>5927</v>
      </c>
      <c r="K375" s="154"/>
      <c r="L375" s="154" t="s">
        <v>759</v>
      </c>
      <c r="M375" s="247" t="s">
        <v>516</v>
      </c>
      <c r="N375" s="247" t="s">
        <v>12731</v>
      </c>
      <c r="O375" s="240" t="str">
        <f t="shared" si="1"/>
        <v/>
      </c>
      <c r="P375" s="154" t="s">
        <v>66</v>
      </c>
      <c r="Q375" s="154" t="s">
        <v>66</v>
      </c>
      <c r="R375" s="154" t="s">
        <v>66</v>
      </c>
      <c r="S375" s="154" t="s">
        <v>66</v>
      </c>
      <c r="T375" s="154" t="s">
        <v>66</v>
      </c>
      <c r="U375" s="154" t="s">
        <v>66</v>
      </c>
      <c r="V375" s="154" t="s">
        <v>66</v>
      </c>
      <c r="W375" s="154" t="s">
        <v>66</v>
      </c>
      <c r="X375" s="154" t="s">
        <v>66</v>
      </c>
      <c r="Y375" s="154"/>
      <c r="Z375" s="242" t="b">
        <f t="shared" si="2"/>
        <v>1</v>
      </c>
      <c r="AA375" s="154" t="s">
        <v>391</v>
      </c>
      <c r="AB375" s="242" t="b">
        <f t="shared" si="3"/>
        <v>0</v>
      </c>
      <c r="AC375" s="154"/>
      <c r="AD375" s="242" t="b">
        <f t="shared" si="4"/>
        <v>0</v>
      </c>
      <c r="AE375" s="154" t="s">
        <v>1621</v>
      </c>
      <c r="AF375" s="243" t="str">
        <f>IF(AE375="","N/A",INDIRECT("MTR!"&amp;ADDRESS(MATCH(LEFT(AE375,9),MTR!C:C,0),COLUMN(J375)),TRUE) &amp; "")</f>
        <v>Partially Complies</v>
      </c>
      <c r="AG375" s="157" t="str">
        <f t="shared" si="5"/>
        <v/>
      </c>
      <c r="AH375" s="152"/>
      <c r="AI375" s="152"/>
      <c r="AJ375" s="152"/>
      <c r="AK375" s="152"/>
      <c r="AL375" s="152"/>
      <c r="AM375" s="152"/>
      <c r="AN375" s="152"/>
      <c r="AO375" s="152"/>
      <c r="AP375" s="152"/>
      <c r="AQ375" s="152"/>
      <c r="AR375" s="152"/>
    </row>
    <row r="376" ht="12.75" customHeight="1">
      <c r="A376" s="244" t="s">
        <v>5158</v>
      </c>
      <c r="B376" s="244" t="s">
        <v>12721</v>
      </c>
      <c r="C376" s="244" t="s">
        <v>13710</v>
      </c>
      <c r="D376" s="154" t="s">
        <v>1315</v>
      </c>
      <c r="E376" s="154"/>
      <c r="F376" s="154" t="str">
        <f t="array" ref="F376">XLOOKUP(Cover!$D$12,$P$1:$X$1,$P376:$X376)</f>
        <v>Mandatory</v>
      </c>
      <c r="G376" s="154" t="s">
        <v>13711</v>
      </c>
      <c r="H376" s="154" t="s">
        <v>13712</v>
      </c>
      <c r="I376" s="154" t="s">
        <v>13713</v>
      </c>
      <c r="J376" s="154" t="s">
        <v>6905</v>
      </c>
      <c r="K376" s="154" t="s">
        <v>175</v>
      </c>
      <c r="L376" s="154" t="s">
        <v>759</v>
      </c>
      <c r="M376" s="247" t="s">
        <v>516</v>
      </c>
      <c r="N376" s="247" t="s">
        <v>12731</v>
      </c>
      <c r="O376" s="240" t="str">
        <f t="shared" si="1"/>
        <v/>
      </c>
      <c r="P376" s="154" t="s">
        <v>66</v>
      </c>
      <c r="Q376" s="154" t="s">
        <v>66</v>
      </c>
      <c r="R376" s="154" t="s">
        <v>60</v>
      </c>
      <c r="S376" s="154" t="s">
        <v>60</v>
      </c>
      <c r="T376" s="154" t="s">
        <v>60</v>
      </c>
      <c r="U376" s="154" t="s">
        <v>60</v>
      </c>
      <c r="V376" s="154" t="s">
        <v>66</v>
      </c>
      <c r="W376" s="154" t="s">
        <v>60</v>
      </c>
      <c r="X376" s="154" t="s">
        <v>60</v>
      </c>
      <c r="Y376" s="154"/>
      <c r="Z376" s="242" t="b">
        <f t="shared" si="2"/>
        <v>1</v>
      </c>
      <c r="AA376" s="154" t="s">
        <v>391</v>
      </c>
      <c r="AB376" s="242" t="b">
        <f t="shared" si="3"/>
        <v>0</v>
      </c>
      <c r="AC376" s="154"/>
      <c r="AD376" s="242" t="b">
        <f t="shared" si="4"/>
        <v>0</v>
      </c>
      <c r="AE376" s="154" t="s">
        <v>1621</v>
      </c>
      <c r="AF376" s="243" t="str">
        <f>IF(AE376="","N/A",INDIRECT("MTR!"&amp;ADDRESS(MATCH(LEFT(AE376,9),MTR!C:C,0),COLUMN(J376)),TRUE) &amp; "")</f>
        <v>Partially Complies</v>
      </c>
      <c r="AG376" s="157" t="str">
        <f t="shared" si="5"/>
        <v/>
      </c>
      <c r="AH376" s="152"/>
      <c r="AI376" s="152"/>
      <c r="AJ376" s="152"/>
      <c r="AK376" s="152"/>
      <c r="AL376" s="152"/>
      <c r="AM376" s="152"/>
      <c r="AN376" s="152"/>
      <c r="AO376" s="152"/>
      <c r="AP376" s="152"/>
      <c r="AQ376" s="152"/>
      <c r="AR376" s="152"/>
    </row>
    <row r="377" ht="12.75" customHeight="1">
      <c r="A377" s="244" t="s">
        <v>5158</v>
      </c>
      <c r="B377" s="244" t="s">
        <v>12721</v>
      </c>
      <c r="C377" s="244" t="s">
        <v>13714</v>
      </c>
      <c r="D377" s="154" t="s">
        <v>1315</v>
      </c>
      <c r="E377" s="154"/>
      <c r="F377" s="154" t="str">
        <f t="array" ref="F377">XLOOKUP(Cover!$D$12,$P$1:$X$1,$P377:$X377)</f>
        <v>Mandatory</v>
      </c>
      <c r="G377" s="154" t="s">
        <v>13715</v>
      </c>
      <c r="H377" s="154" t="s">
        <v>13716</v>
      </c>
      <c r="I377" s="154" t="s">
        <v>13713</v>
      </c>
      <c r="J377" s="154" t="s">
        <v>6905</v>
      </c>
      <c r="K377" s="154" t="s">
        <v>175</v>
      </c>
      <c r="L377" s="154" t="s">
        <v>759</v>
      </c>
      <c r="M377" s="247" t="s">
        <v>516</v>
      </c>
      <c r="N377" s="247" t="s">
        <v>12731</v>
      </c>
      <c r="O377" s="240" t="str">
        <f t="shared" si="1"/>
        <v/>
      </c>
      <c r="P377" s="154" t="s">
        <v>66</v>
      </c>
      <c r="Q377" s="154" t="s">
        <v>66</v>
      </c>
      <c r="R377" s="155" t="s">
        <v>64</v>
      </c>
      <c r="S377" s="155" t="s">
        <v>64</v>
      </c>
      <c r="T377" s="154" t="s">
        <v>60</v>
      </c>
      <c r="U377" s="154" t="s">
        <v>60</v>
      </c>
      <c r="V377" s="154" t="s">
        <v>66</v>
      </c>
      <c r="W377" s="155" t="s">
        <v>64</v>
      </c>
      <c r="X377" s="154" t="s">
        <v>60</v>
      </c>
      <c r="Y377" s="154"/>
      <c r="Z377" s="242" t="b">
        <f t="shared" si="2"/>
        <v>1</v>
      </c>
      <c r="AA377" s="154" t="s">
        <v>391</v>
      </c>
      <c r="AB377" s="242" t="b">
        <f t="shared" si="3"/>
        <v>0</v>
      </c>
      <c r="AC377" s="154"/>
      <c r="AD377" s="242" t="b">
        <f t="shared" si="4"/>
        <v>0</v>
      </c>
      <c r="AE377" s="154" t="s">
        <v>1621</v>
      </c>
      <c r="AF377" s="243" t="str">
        <f>IF(AE377="","N/A",INDIRECT("MTR!"&amp;ADDRESS(MATCH(LEFT(AE377,9),MTR!C:C,0),COLUMN(J377)),TRUE) &amp; "")</f>
        <v>Partially Complies</v>
      </c>
      <c r="AG377" s="157" t="str">
        <f t="shared" si="5"/>
        <v/>
      </c>
      <c r="AH377" s="152"/>
      <c r="AI377" s="152"/>
      <c r="AJ377" s="152"/>
      <c r="AK377" s="152"/>
      <c r="AL377" s="152"/>
      <c r="AM377" s="152"/>
      <c r="AN377" s="152"/>
      <c r="AO377" s="152"/>
      <c r="AP377" s="152"/>
      <c r="AQ377" s="152"/>
      <c r="AR377" s="152"/>
    </row>
    <row r="378" ht="12.75" customHeight="1">
      <c r="A378" s="244" t="s">
        <v>5158</v>
      </c>
      <c r="B378" s="244" t="s">
        <v>12721</v>
      </c>
      <c r="C378" s="255" t="s">
        <v>13717</v>
      </c>
      <c r="D378" s="256" t="s">
        <v>42</v>
      </c>
      <c r="E378" s="256" t="s">
        <v>489</v>
      </c>
      <c r="F378" s="154" t="str">
        <f t="array" ref="F378">XLOOKUP(Cover!$D$12,$P$1:$X$1,$P378:$X378)</f>
        <v>Recommended</v>
      </c>
      <c r="G378" s="154" t="s">
        <v>13718</v>
      </c>
      <c r="H378" s="154" t="s">
        <v>13228</v>
      </c>
      <c r="I378" s="154" t="s">
        <v>13719</v>
      </c>
      <c r="J378" s="154" t="s">
        <v>5931</v>
      </c>
      <c r="K378" s="154"/>
      <c r="L378" s="154" t="s">
        <v>759</v>
      </c>
      <c r="M378" s="247" t="s">
        <v>516</v>
      </c>
      <c r="N378" s="247" t="s">
        <v>12731</v>
      </c>
      <c r="O378" s="240" t="str">
        <f t="shared" si="1"/>
        <v/>
      </c>
      <c r="P378" s="154" t="s">
        <v>66</v>
      </c>
      <c r="Q378" s="154" t="s">
        <v>66</v>
      </c>
      <c r="R378" s="154" t="s">
        <v>64</v>
      </c>
      <c r="S378" s="154" t="s">
        <v>64</v>
      </c>
      <c r="T378" s="154" t="s">
        <v>64</v>
      </c>
      <c r="U378" s="154" t="s">
        <v>64</v>
      </c>
      <c r="V378" s="154" t="s">
        <v>66</v>
      </c>
      <c r="W378" s="154" t="s">
        <v>64</v>
      </c>
      <c r="X378" s="154" t="s">
        <v>64</v>
      </c>
      <c r="Y378" s="154"/>
      <c r="Z378" s="242" t="b">
        <f t="shared" si="2"/>
        <v>1</v>
      </c>
      <c r="AA378" s="154" t="s">
        <v>391</v>
      </c>
      <c r="AB378" s="242" t="b">
        <f t="shared" si="3"/>
        <v>0</v>
      </c>
      <c r="AC378" s="154"/>
      <c r="AD378" s="242" t="b">
        <f t="shared" si="4"/>
        <v>0</v>
      </c>
      <c r="AE378" s="154" t="s">
        <v>1621</v>
      </c>
      <c r="AF378" s="243" t="str">
        <f>IF(AE378="","N/A",INDIRECT("MTR!"&amp;ADDRESS(MATCH(LEFT(AE378,9),MTR!C:C,0),COLUMN(J378)),TRUE) &amp; "")</f>
        <v>Partially Complies</v>
      </c>
      <c r="AG378" s="157" t="str">
        <f t="shared" si="5"/>
        <v/>
      </c>
      <c r="AH378" s="152"/>
      <c r="AI378" s="152"/>
      <c r="AJ378" s="152"/>
      <c r="AK378" s="152"/>
      <c r="AL378" s="152"/>
      <c r="AM378" s="152"/>
      <c r="AN378" s="152"/>
      <c r="AO378" s="152"/>
      <c r="AP378" s="152"/>
      <c r="AQ378" s="152"/>
      <c r="AR378" s="152"/>
    </row>
    <row r="379" ht="12.75" customHeight="1">
      <c r="A379" s="244" t="s">
        <v>5158</v>
      </c>
      <c r="B379" s="244" t="s">
        <v>12721</v>
      </c>
      <c r="C379" s="244" t="s">
        <v>13720</v>
      </c>
      <c r="D379" s="154" t="s">
        <v>503</v>
      </c>
      <c r="E379" s="154"/>
      <c r="F379" s="154" t="str">
        <f t="array" ref="F379">XLOOKUP(Cover!$D$12,$P$1:$X$1,$P379:$X379)</f>
        <v>Recommended</v>
      </c>
      <c r="G379" s="154" t="s">
        <v>13721</v>
      </c>
      <c r="H379" s="154" t="s">
        <v>13228</v>
      </c>
      <c r="I379" s="154" t="s">
        <v>13722</v>
      </c>
      <c r="J379" s="154" t="s">
        <v>7431</v>
      </c>
      <c r="K379" s="154"/>
      <c r="L379" s="154" t="s">
        <v>759</v>
      </c>
      <c r="M379" s="247" t="s">
        <v>516</v>
      </c>
      <c r="N379" s="247" t="s">
        <v>12731</v>
      </c>
      <c r="O379" s="240" t="str">
        <f t="shared" si="1"/>
        <v/>
      </c>
      <c r="P379" s="154" t="s">
        <v>66</v>
      </c>
      <c r="Q379" s="154" t="s">
        <v>66</v>
      </c>
      <c r="R379" s="154" t="s">
        <v>64</v>
      </c>
      <c r="S379" s="154" t="s">
        <v>64</v>
      </c>
      <c r="T379" s="154" t="s">
        <v>64</v>
      </c>
      <c r="U379" s="154" t="s">
        <v>64</v>
      </c>
      <c r="V379" s="154" t="s">
        <v>66</v>
      </c>
      <c r="W379" s="154" t="s">
        <v>64</v>
      </c>
      <c r="X379" s="154" t="s">
        <v>64</v>
      </c>
      <c r="Y379" s="154"/>
      <c r="Z379" s="242" t="b">
        <f t="shared" si="2"/>
        <v>1</v>
      </c>
      <c r="AA379" s="154" t="s">
        <v>391</v>
      </c>
      <c r="AB379" s="242" t="b">
        <f t="shared" si="3"/>
        <v>0</v>
      </c>
      <c r="AC379" s="154"/>
      <c r="AD379" s="242" t="b">
        <f t="shared" si="4"/>
        <v>0</v>
      </c>
      <c r="AE379" s="154" t="s">
        <v>1621</v>
      </c>
      <c r="AF379" s="243" t="str">
        <f>IF(AE379="","N/A",INDIRECT("MTR!"&amp;ADDRESS(MATCH(LEFT(AE379,9),MTR!C:C,0),COLUMN(J379)),TRUE) &amp; "")</f>
        <v>Partially Complies</v>
      </c>
      <c r="AG379" s="157" t="str">
        <f t="shared" si="5"/>
        <v/>
      </c>
      <c r="AH379" s="152"/>
      <c r="AI379" s="152"/>
      <c r="AJ379" s="152"/>
      <c r="AK379" s="152"/>
      <c r="AL379" s="152"/>
      <c r="AM379" s="152"/>
      <c r="AN379" s="152"/>
      <c r="AO379" s="152"/>
      <c r="AP379" s="152"/>
      <c r="AQ379" s="152"/>
      <c r="AR379" s="152"/>
    </row>
    <row r="380" ht="12.75" customHeight="1">
      <c r="A380" s="244" t="s">
        <v>5158</v>
      </c>
      <c r="B380" s="244" t="s">
        <v>12721</v>
      </c>
      <c r="C380" s="244" t="s">
        <v>13723</v>
      </c>
      <c r="D380" s="154" t="s">
        <v>503</v>
      </c>
      <c r="E380" s="154"/>
      <c r="F380" s="154" t="str">
        <f t="array" ref="F380">XLOOKUP(Cover!$D$12,$P$1:$X$1,$P380:$X380)</f>
        <v>Recommended</v>
      </c>
      <c r="G380" s="154" t="s">
        <v>13724</v>
      </c>
      <c r="H380" s="154" t="s">
        <v>13233</v>
      </c>
      <c r="I380" s="154" t="s">
        <v>13722</v>
      </c>
      <c r="J380" s="154" t="s">
        <v>7431</v>
      </c>
      <c r="K380" s="154"/>
      <c r="L380" s="154" t="s">
        <v>759</v>
      </c>
      <c r="M380" s="247" t="s">
        <v>516</v>
      </c>
      <c r="N380" s="247" t="s">
        <v>12731</v>
      </c>
      <c r="O380" s="240" t="str">
        <f t="shared" si="1"/>
        <v/>
      </c>
      <c r="P380" s="154" t="s">
        <v>66</v>
      </c>
      <c r="Q380" s="154" t="s">
        <v>66</v>
      </c>
      <c r="R380" s="154" t="s">
        <v>64</v>
      </c>
      <c r="S380" s="154" t="s">
        <v>64</v>
      </c>
      <c r="T380" s="154" t="s">
        <v>64</v>
      </c>
      <c r="U380" s="154" t="s">
        <v>64</v>
      </c>
      <c r="V380" s="154" t="s">
        <v>66</v>
      </c>
      <c r="W380" s="154" t="s">
        <v>64</v>
      </c>
      <c r="X380" s="154" t="s">
        <v>64</v>
      </c>
      <c r="Y380" s="154"/>
      <c r="Z380" s="242" t="b">
        <f t="shared" si="2"/>
        <v>1</v>
      </c>
      <c r="AA380" s="154" t="s">
        <v>391</v>
      </c>
      <c r="AB380" s="242" t="b">
        <f t="shared" si="3"/>
        <v>0</v>
      </c>
      <c r="AC380" s="154"/>
      <c r="AD380" s="242" t="b">
        <f t="shared" si="4"/>
        <v>0</v>
      </c>
      <c r="AE380" s="154" t="s">
        <v>1621</v>
      </c>
      <c r="AF380" s="243" t="str">
        <f>IF(AE380="","N/A",INDIRECT("MTR!"&amp;ADDRESS(MATCH(LEFT(AE380,9),MTR!C:C,0),COLUMN(J380)),TRUE) &amp; "")</f>
        <v>Partially Complies</v>
      </c>
      <c r="AG380" s="157" t="str">
        <f t="shared" si="5"/>
        <v/>
      </c>
      <c r="AH380" s="152"/>
      <c r="AI380" s="152"/>
      <c r="AJ380" s="152"/>
      <c r="AK380" s="152"/>
      <c r="AL380" s="152"/>
      <c r="AM380" s="152"/>
      <c r="AN380" s="152"/>
      <c r="AO380" s="152"/>
      <c r="AP380" s="152"/>
      <c r="AQ380" s="152"/>
      <c r="AR380" s="152"/>
    </row>
    <row r="381" ht="12.75" customHeight="1">
      <c r="A381" s="244" t="s">
        <v>5158</v>
      </c>
      <c r="B381" s="244" t="s">
        <v>12721</v>
      </c>
      <c r="C381" s="244" t="s">
        <v>13725</v>
      </c>
      <c r="D381" s="154" t="s">
        <v>1315</v>
      </c>
      <c r="E381" s="154"/>
      <c r="F381" s="154" t="str">
        <f t="array" ref="F381">XLOOKUP(Cover!$D$12,$P$1:$X$1,$P381:$X381)</f>
        <v>Recommended</v>
      </c>
      <c r="G381" s="154" t="s">
        <v>13726</v>
      </c>
      <c r="H381" s="154" t="s">
        <v>13228</v>
      </c>
      <c r="I381" s="154" t="s">
        <v>13727</v>
      </c>
      <c r="J381" s="154" t="s">
        <v>6942</v>
      </c>
      <c r="K381" s="154"/>
      <c r="L381" s="154" t="s">
        <v>759</v>
      </c>
      <c r="M381" s="247" t="s">
        <v>506</v>
      </c>
      <c r="N381" s="247" t="s">
        <v>13728</v>
      </c>
      <c r="O381" s="240" t="str">
        <f t="shared" si="1"/>
        <v/>
      </c>
      <c r="P381" s="154" t="s">
        <v>66</v>
      </c>
      <c r="Q381" s="154" t="s">
        <v>66</v>
      </c>
      <c r="R381" s="154" t="s">
        <v>64</v>
      </c>
      <c r="S381" s="154" t="s">
        <v>64</v>
      </c>
      <c r="T381" s="154" t="s">
        <v>64</v>
      </c>
      <c r="U381" s="154" t="s">
        <v>64</v>
      </c>
      <c r="V381" s="154" t="s">
        <v>66</v>
      </c>
      <c r="W381" s="154" t="s">
        <v>64</v>
      </c>
      <c r="X381" s="154" t="s">
        <v>64</v>
      </c>
      <c r="Y381" s="154"/>
      <c r="Z381" s="242" t="b">
        <f t="shared" si="2"/>
        <v>1</v>
      </c>
      <c r="AA381" s="154" t="s">
        <v>391</v>
      </c>
      <c r="AB381" s="242" t="b">
        <f t="shared" si="3"/>
        <v>0</v>
      </c>
      <c r="AC381" s="154"/>
      <c r="AD381" s="242" t="b">
        <f t="shared" si="4"/>
        <v>0</v>
      </c>
      <c r="AE381" s="154" t="s">
        <v>1621</v>
      </c>
      <c r="AF381" s="243" t="str">
        <f>IF(AE381="","N/A",INDIRECT("MTR!"&amp;ADDRESS(MATCH(LEFT(AE381,9),MTR!C:C,0),COLUMN(J381)),TRUE) &amp; "")</f>
        <v>Partially Complies</v>
      </c>
      <c r="AG381" s="157" t="str">
        <f t="shared" si="5"/>
        <v/>
      </c>
      <c r="AH381" s="152"/>
      <c r="AI381" s="152"/>
      <c r="AJ381" s="152"/>
      <c r="AK381" s="152"/>
      <c r="AL381" s="152"/>
      <c r="AM381" s="152"/>
      <c r="AN381" s="152"/>
      <c r="AO381" s="152"/>
      <c r="AP381" s="152"/>
      <c r="AQ381" s="152"/>
      <c r="AR381" s="152"/>
    </row>
    <row r="382" ht="12.75" customHeight="1">
      <c r="A382" s="244" t="s">
        <v>5158</v>
      </c>
      <c r="B382" s="244" t="s">
        <v>12721</v>
      </c>
      <c r="C382" s="244" t="s">
        <v>13729</v>
      </c>
      <c r="D382" s="154" t="s">
        <v>1315</v>
      </c>
      <c r="E382" s="154"/>
      <c r="F382" s="154" t="str">
        <f t="array" ref="F382">XLOOKUP(Cover!$D$12,$P$1:$X$1,$P382:$X382)</f>
        <v>Recommended</v>
      </c>
      <c r="G382" s="154" t="s">
        <v>13730</v>
      </c>
      <c r="H382" s="154" t="s">
        <v>13233</v>
      </c>
      <c r="I382" s="154" t="s">
        <v>13727</v>
      </c>
      <c r="J382" s="154" t="s">
        <v>6942</v>
      </c>
      <c r="K382" s="154"/>
      <c r="L382" s="154" t="s">
        <v>759</v>
      </c>
      <c r="M382" s="247" t="s">
        <v>516</v>
      </c>
      <c r="N382" s="247" t="s">
        <v>13731</v>
      </c>
      <c r="O382" s="240" t="str">
        <f t="shared" si="1"/>
        <v/>
      </c>
      <c r="P382" s="154" t="s">
        <v>66</v>
      </c>
      <c r="Q382" s="154" t="s">
        <v>66</v>
      </c>
      <c r="R382" s="154" t="s">
        <v>64</v>
      </c>
      <c r="S382" s="154" t="s">
        <v>64</v>
      </c>
      <c r="T382" s="154" t="s">
        <v>64</v>
      </c>
      <c r="U382" s="154" t="s">
        <v>64</v>
      </c>
      <c r="V382" s="154" t="s">
        <v>66</v>
      </c>
      <c r="W382" s="154" t="s">
        <v>64</v>
      </c>
      <c r="X382" s="154" t="s">
        <v>64</v>
      </c>
      <c r="Y382" s="154"/>
      <c r="Z382" s="242" t="b">
        <f t="shared" si="2"/>
        <v>1</v>
      </c>
      <c r="AA382" s="154" t="s">
        <v>391</v>
      </c>
      <c r="AB382" s="242" t="b">
        <f t="shared" si="3"/>
        <v>0</v>
      </c>
      <c r="AC382" s="154"/>
      <c r="AD382" s="242" t="b">
        <f t="shared" si="4"/>
        <v>0</v>
      </c>
      <c r="AE382" s="154" t="s">
        <v>1621</v>
      </c>
      <c r="AF382" s="243" t="str">
        <f>IF(AE382="","N/A",INDIRECT("MTR!"&amp;ADDRESS(MATCH(LEFT(AE382,9),MTR!C:C,0),COLUMN(J382)),TRUE) &amp; "")</f>
        <v>Partially Complies</v>
      </c>
      <c r="AG382" s="157" t="str">
        <f t="shared" si="5"/>
        <v/>
      </c>
      <c r="AH382" s="152"/>
      <c r="AI382" s="152"/>
      <c r="AJ382" s="152"/>
      <c r="AK382" s="152"/>
      <c r="AL382" s="152"/>
      <c r="AM382" s="152"/>
      <c r="AN382" s="152"/>
      <c r="AO382" s="152"/>
      <c r="AP382" s="152"/>
      <c r="AQ382" s="152"/>
      <c r="AR382" s="152"/>
    </row>
    <row r="383" ht="12.75" customHeight="1">
      <c r="A383" s="244" t="s">
        <v>5158</v>
      </c>
      <c r="B383" s="244" t="s">
        <v>12721</v>
      </c>
      <c r="C383" s="244" t="s">
        <v>13732</v>
      </c>
      <c r="D383" s="154" t="s">
        <v>1315</v>
      </c>
      <c r="E383" s="154"/>
      <c r="F383" s="154" t="str">
        <f t="array" ref="F383">XLOOKUP(Cover!$D$12,$P$1:$X$1,$P383:$X383)</f>
        <v>Recommended</v>
      </c>
      <c r="G383" s="154" t="s">
        <v>13733</v>
      </c>
      <c r="H383" s="154" t="s">
        <v>13228</v>
      </c>
      <c r="I383" s="154" t="s">
        <v>13727</v>
      </c>
      <c r="J383" s="154" t="s">
        <v>6905</v>
      </c>
      <c r="K383" s="154"/>
      <c r="L383" s="154" t="s">
        <v>759</v>
      </c>
      <c r="M383" s="247" t="s">
        <v>506</v>
      </c>
      <c r="N383" s="247" t="s">
        <v>13728</v>
      </c>
      <c r="O383" s="240" t="str">
        <f t="shared" si="1"/>
        <v/>
      </c>
      <c r="P383" s="154" t="s">
        <v>66</v>
      </c>
      <c r="Q383" s="154" t="s">
        <v>66</v>
      </c>
      <c r="R383" s="154" t="s">
        <v>64</v>
      </c>
      <c r="S383" s="154" t="s">
        <v>64</v>
      </c>
      <c r="T383" s="154" t="s">
        <v>64</v>
      </c>
      <c r="U383" s="154" t="s">
        <v>64</v>
      </c>
      <c r="V383" s="154" t="s">
        <v>66</v>
      </c>
      <c r="W383" s="154" t="s">
        <v>64</v>
      </c>
      <c r="X383" s="154" t="s">
        <v>64</v>
      </c>
      <c r="Y383" s="154"/>
      <c r="Z383" s="242" t="b">
        <f t="shared" si="2"/>
        <v>1</v>
      </c>
      <c r="AA383" s="154" t="s">
        <v>391</v>
      </c>
      <c r="AB383" s="242" t="b">
        <f t="shared" si="3"/>
        <v>0</v>
      </c>
      <c r="AC383" s="154"/>
      <c r="AD383" s="242" t="b">
        <f t="shared" si="4"/>
        <v>0</v>
      </c>
      <c r="AE383" s="154" t="s">
        <v>1621</v>
      </c>
      <c r="AF383" s="243" t="str">
        <f>IF(AE383="","N/A",INDIRECT("MTR!"&amp;ADDRESS(MATCH(LEFT(AE383,9),MTR!C:C,0),COLUMN(J383)),TRUE) &amp; "")</f>
        <v>Partially Complies</v>
      </c>
      <c r="AG383" s="157" t="str">
        <f t="shared" si="5"/>
        <v/>
      </c>
      <c r="AH383" s="152"/>
      <c r="AI383" s="152"/>
      <c r="AJ383" s="152"/>
      <c r="AK383" s="152"/>
      <c r="AL383" s="152"/>
      <c r="AM383" s="152"/>
      <c r="AN383" s="152"/>
      <c r="AO383" s="152"/>
      <c r="AP383" s="152"/>
      <c r="AQ383" s="152"/>
      <c r="AR383" s="152"/>
    </row>
    <row r="384" ht="12.75" customHeight="1">
      <c r="A384" s="244" t="s">
        <v>5158</v>
      </c>
      <c r="B384" s="244" t="s">
        <v>12721</v>
      </c>
      <c r="C384" s="244" t="s">
        <v>13734</v>
      </c>
      <c r="D384" s="154" t="s">
        <v>1315</v>
      </c>
      <c r="E384" s="154"/>
      <c r="F384" s="154" t="str">
        <f t="array" ref="F384">XLOOKUP(Cover!$D$12,$P$1:$X$1,$P384:$X384)</f>
        <v>Recommended</v>
      </c>
      <c r="G384" s="154" t="s">
        <v>13735</v>
      </c>
      <c r="H384" s="154" t="s">
        <v>13736</v>
      </c>
      <c r="I384" s="154" t="s">
        <v>13727</v>
      </c>
      <c r="J384" s="154" t="s">
        <v>6905</v>
      </c>
      <c r="K384" s="154"/>
      <c r="L384" s="154" t="s">
        <v>759</v>
      </c>
      <c r="M384" s="247" t="s">
        <v>516</v>
      </c>
      <c r="N384" s="247" t="s">
        <v>13731</v>
      </c>
      <c r="O384" s="240" t="str">
        <f t="shared" si="1"/>
        <v/>
      </c>
      <c r="P384" s="154" t="s">
        <v>66</v>
      </c>
      <c r="Q384" s="154" t="s">
        <v>66</v>
      </c>
      <c r="R384" s="154" t="s">
        <v>64</v>
      </c>
      <c r="S384" s="154" t="s">
        <v>64</v>
      </c>
      <c r="T384" s="154" t="s">
        <v>64</v>
      </c>
      <c r="U384" s="154" t="s">
        <v>64</v>
      </c>
      <c r="V384" s="154" t="s">
        <v>66</v>
      </c>
      <c r="W384" s="154" t="s">
        <v>64</v>
      </c>
      <c r="X384" s="154" t="s">
        <v>64</v>
      </c>
      <c r="Y384" s="154"/>
      <c r="Z384" s="242" t="b">
        <f t="shared" si="2"/>
        <v>1</v>
      </c>
      <c r="AA384" s="154" t="s">
        <v>391</v>
      </c>
      <c r="AB384" s="242" t="b">
        <f t="shared" si="3"/>
        <v>0</v>
      </c>
      <c r="AC384" s="154"/>
      <c r="AD384" s="242" t="b">
        <f t="shared" si="4"/>
        <v>0</v>
      </c>
      <c r="AE384" s="154" t="s">
        <v>1621</v>
      </c>
      <c r="AF384" s="243" t="str">
        <f>IF(AE384="","N/A",INDIRECT("MTR!"&amp;ADDRESS(MATCH(LEFT(AE384,9),MTR!C:C,0),COLUMN(J384)),TRUE) &amp; "")</f>
        <v>Partially Complies</v>
      </c>
      <c r="AG384" s="157" t="str">
        <f t="shared" si="5"/>
        <v/>
      </c>
      <c r="AH384" s="152"/>
      <c r="AI384" s="152"/>
      <c r="AJ384" s="152"/>
      <c r="AK384" s="152"/>
      <c r="AL384" s="152"/>
      <c r="AM384" s="152"/>
      <c r="AN384" s="152"/>
      <c r="AO384" s="152"/>
      <c r="AP384" s="152"/>
      <c r="AQ384" s="152"/>
      <c r="AR384" s="152"/>
    </row>
    <row r="385" ht="12.75" customHeight="1">
      <c r="A385" s="244" t="s">
        <v>5158</v>
      </c>
      <c r="B385" s="244" t="s">
        <v>12721</v>
      </c>
      <c r="C385" s="255" t="s">
        <v>13737</v>
      </c>
      <c r="D385" s="256" t="s">
        <v>42</v>
      </c>
      <c r="E385" s="256" t="s">
        <v>489</v>
      </c>
      <c r="F385" s="154" t="str">
        <f t="array" ref="F385">XLOOKUP(Cover!$D$12,$P$1:$X$1,$P385:$X385)</f>
        <v>Information</v>
      </c>
      <c r="G385" s="154" t="s">
        <v>13738</v>
      </c>
      <c r="H385" s="154" t="s">
        <v>13248</v>
      </c>
      <c r="I385" s="154" t="s">
        <v>13739</v>
      </c>
      <c r="J385" s="154" t="s">
        <v>6220</v>
      </c>
      <c r="K385" s="154"/>
      <c r="L385" s="154" t="s">
        <v>759</v>
      </c>
      <c r="M385" s="247" t="s">
        <v>516</v>
      </c>
      <c r="N385" s="247" t="s">
        <v>12731</v>
      </c>
      <c r="O385" s="240" t="str">
        <f t="shared" si="1"/>
        <v/>
      </c>
      <c r="P385" s="154" t="s">
        <v>66</v>
      </c>
      <c r="Q385" s="154" t="s">
        <v>66</v>
      </c>
      <c r="R385" s="154" t="s">
        <v>66</v>
      </c>
      <c r="S385" s="154" t="s">
        <v>66</v>
      </c>
      <c r="T385" s="154" t="s">
        <v>66</v>
      </c>
      <c r="U385" s="154" t="s">
        <v>66</v>
      </c>
      <c r="V385" s="154" t="s">
        <v>66</v>
      </c>
      <c r="W385" s="154" t="s">
        <v>66</v>
      </c>
      <c r="X385" s="154" t="s">
        <v>66</v>
      </c>
      <c r="Y385" s="154"/>
      <c r="Z385" s="242" t="b">
        <f t="shared" si="2"/>
        <v>1</v>
      </c>
      <c r="AA385" s="154" t="s">
        <v>391</v>
      </c>
      <c r="AB385" s="242" t="b">
        <f t="shared" si="3"/>
        <v>0</v>
      </c>
      <c r="AC385" s="154"/>
      <c r="AD385" s="242" t="b">
        <f t="shared" si="4"/>
        <v>0</v>
      </c>
      <c r="AE385" s="154" t="s">
        <v>1621</v>
      </c>
      <c r="AF385" s="243" t="str">
        <f>IF(AE385="","N/A",INDIRECT("MTR!"&amp;ADDRESS(MATCH(LEFT(AE385,9),MTR!C:C,0),COLUMN(J385)),TRUE) &amp; "")</f>
        <v>Partially Complies</v>
      </c>
      <c r="AG385" s="157" t="str">
        <f t="shared" si="5"/>
        <v/>
      </c>
      <c r="AH385" s="152"/>
      <c r="AI385" s="152"/>
      <c r="AJ385" s="152"/>
      <c r="AK385" s="152"/>
      <c r="AL385" s="152"/>
      <c r="AM385" s="152"/>
      <c r="AN385" s="152"/>
      <c r="AO385" s="152"/>
      <c r="AP385" s="152"/>
      <c r="AQ385" s="152"/>
      <c r="AR385" s="152"/>
    </row>
    <row r="386" ht="12.75" customHeight="1">
      <c r="A386" s="244" t="s">
        <v>5158</v>
      </c>
      <c r="B386" s="244" t="s">
        <v>12721</v>
      </c>
      <c r="C386" s="255" t="s">
        <v>13740</v>
      </c>
      <c r="D386" s="256" t="s">
        <v>42</v>
      </c>
      <c r="E386" s="256" t="s">
        <v>489</v>
      </c>
      <c r="F386" s="154" t="str">
        <f t="array" ref="F386">XLOOKUP(Cover!$D$12,$P$1:$X$1,$P386:$X386)</f>
        <v>Information</v>
      </c>
      <c r="G386" s="154" t="s">
        <v>13741</v>
      </c>
      <c r="H386" s="154" t="s">
        <v>13252</v>
      </c>
      <c r="I386" s="154" t="s">
        <v>13739</v>
      </c>
      <c r="J386" s="154" t="s">
        <v>6220</v>
      </c>
      <c r="K386" s="154"/>
      <c r="L386" s="154" t="s">
        <v>759</v>
      </c>
      <c r="M386" s="247" t="s">
        <v>516</v>
      </c>
      <c r="N386" s="247" t="s">
        <v>12731</v>
      </c>
      <c r="O386" s="240" t="str">
        <f t="shared" si="1"/>
        <v/>
      </c>
      <c r="P386" s="154" t="s">
        <v>66</v>
      </c>
      <c r="Q386" s="154" t="s">
        <v>66</v>
      </c>
      <c r="R386" s="154" t="s">
        <v>66</v>
      </c>
      <c r="S386" s="154" t="s">
        <v>66</v>
      </c>
      <c r="T386" s="154" t="s">
        <v>66</v>
      </c>
      <c r="U386" s="154" t="s">
        <v>66</v>
      </c>
      <c r="V386" s="154" t="s">
        <v>66</v>
      </c>
      <c r="W386" s="154" t="s">
        <v>66</v>
      </c>
      <c r="X386" s="154" t="s">
        <v>66</v>
      </c>
      <c r="Y386" s="154"/>
      <c r="Z386" s="242" t="b">
        <f t="shared" si="2"/>
        <v>1</v>
      </c>
      <c r="AA386" s="154" t="s">
        <v>391</v>
      </c>
      <c r="AB386" s="242" t="b">
        <f t="shared" si="3"/>
        <v>0</v>
      </c>
      <c r="AC386" s="154"/>
      <c r="AD386" s="242" t="b">
        <f t="shared" si="4"/>
        <v>0</v>
      </c>
      <c r="AE386" s="154" t="s">
        <v>1621</v>
      </c>
      <c r="AF386" s="243" t="str">
        <f>IF(AE386="","N/A",INDIRECT("MTR!"&amp;ADDRESS(MATCH(LEFT(AE386,9),MTR!C:C,0),COLUMN(J386)),TRUE) &amp; "")</f>
        <v>Partially Complies</v>
      </c>
      <c r="AG386" s="157" t="str">
        <f t="shared" si="5"/>
        <v/>
      </c>
      <c r="AH386" s="152"/>
      <c r="AI386" s="152"/>
      <c r="AJ386" s="152"/>
      <c r="AK386" s="152"/>
      <c r="AL386" s="152"/>
      <c r="AM386" s="152"/>
      <c r="AN386" s="152"/>
      <c r="AO386" s="152"/>
      <c r="AP386" s="152"/>
      <c r="AQ386" s="152"/>
      <c r="AR386" s="152"/>
    </row>
    <row r="387" ht="12.75" customHeight="1">
      <c r="A387" s="244" t="s">
        <v>5158</v>
      </c>
      <c r="B387" s="244" t="s">
        <v>12721</v>
      </c>
      <c r="C387" s="244" t="s">
        <v>13742</v>
      </c>
      <c r="D387" s="154" t="s">
        <v>1315</v>
      </c>
      <c r="E387" s="154"/>
      <c r="F387" s="154" t="str">
        <f t="array" ref="F387">XLOOKUP(Cover!$D$12,$P$1:$X$1,$P387:$X387)</f>
        <v>Information</v>
      </c>
      <c r="G387" s="154" t="s">
        <v>13743</v>
      </c>
      <c r="H387" s="154" t="s">
        <v>13248</v>
      </c>
      <c r="I387" s="154" t="s">
        <v>13744</v>
      </c>
      <c r="J387" s="154" t="s">
        <v>6428</v>
      </c>
      <c r="K387" s="154"/>
      <c r="L387" s="154" t="s">
        <v>759</v>
      </c>
      <c r="M387" s="247" t="s">
        <v>506</v>
      </c>
      <c r="N387" s="247" t="s">
        <v>12738</v>
      </c>
      <c r="O387" s="240" t="str">
        <f t="shared" si="1"/>
        <v/>
      </c>
      <c r="P387" s="154" t="s">
        <v>66</v>
      </c>
      <c r="Q387" s="154" t="s">
        <v>66</v>
      </c>
      <c r="R387" s="154" t="s">
        <v>66</v>
      </c>
      <c r="S387" s="154" t="s">
        <v>66</v>
      </c>
      <c r="T387" s="154" t="s">
        <v>66</v>
      </c>
      <c r="U387" s="154" t="s">
        <v>66</v>
      </c>
      <c r="V387" s="154" t="s">
        <v>66</v>
      </c>
      <c r="W387" s="154" t="s">
        <v>66</v>
      </c>
      <c r="X387" s="154" t="s">
        <v>66</v>
      </c>
      <c r="Y387" s="154"/>
      <c r="Z387" s="242" t="b">
        <f t="shared" si="2"/>
        <v>1</v>
      </c>
      <c r="AA387" s="154" t="s">
        <v>391</v>
      </c>
      <c r="AB387" s="242" t="b">
        <f t="shared" si="3"/>
        <v>0</v>
      </c>
      <c r="AC387" s="154"/>
      <c r="AD387" s="242" t="b">
        <f t="shared" si="4"/>
        <v>0</v>
      </c>
      <c r="AE387" s="154" t="s">
        <v>1621</v>
      </c>
      <c r="AF387" s="243" t="str">
        <f>IF(AE387="","N/A",INDIRECT("MTR!"&amp;ADDRESS(MATCH(LEFT(AE387,9),MTR!C:C,0),COLUMN(J387)),TRUE) &amp; "")</f>
        <v>Partially Complies</v>
      </c>
      <c r="AG387" s="157" t="str">
        <f t="shared" si="5"/>
        <v/>
      </c>
      <c r="AH387" s="152"/>
      <c r="AI387" s="152"/>
      <c r="AJ387" s="152"/>
      <c r="AK387" s="152"/>
      <c r="AL387" s="152"/>
      <c r="AM387" s="152"/>
      <c r="AN387" s="152"/>
      <c r="AO387" s="152"/>
      <c r="AP387" s="152"/>
      <c r="AQ387" s="152"/>
      <c r="AR387" s="152"/>
    </row>
    <row r="388" ht="12.75" customHeight="1">
      <c r="A388" s="244" t="s">
        <v>5158</v>
      </c>
      <c r="B388" s="244" t="s">
        <v>12721</v>
      </c>
      <c r="C388" s="255" t="s">
        <v>13745</v>
      </c>
      <c r="D388" s="256" t="s">
        <v>42</v>
      </c>
      <c r="E388" s="256" t="s">
        <v>489</v>
      </c>
      <c r="F388" s="154" t="str">
        <f t="array" ref="F388">XLOOKUP(Cover!$D$12,$P$1:$X$1,$P388:$X388)</f>
        <v>Mandatory</v>
      </c>
      <c r="G388" s="154" t="s">
        <v>13746</v>
      </c>
      <c r="H388" s="154" t="s">
        <v>13268</v>
      </c>
      <c r="I388" s="154" t="s">
        <v>13747</v>
      </c>
      <c r="J388" s="154" t="s">
        <v>5931</v>
      </c>
      <c r="K388" s="154" t="s">
        <v>175</v>
      </c>
      <c r="L388" s="154" t="s">
        <v>759</v>
      </c>
      <c r="M388" s="247" t="s">
        <v>516</v>
      </c>
      <c r="N388" s="247" t="s">
        <v>12731</v>
      </c>
      <c r="O388" s="240" t="str">
        <f t="shared" si="1"/>
        <v/>
      </c>
      <c r="P388" s="154" t="s">
        <v>66</v>
      </c>
      <c r="Q388" s="154" t="s">
        <v>66</v>
      </c>
      <c r="R388" s="154" t="s">
        <v>60</v>
      </c>
      <c r="S388" s="154" t="s">
        <v>60</v>
      </c>
      <c r="T388" s="154" t="s">
        <v>60</v>
      </c>
      <c r="U388" s="154" t="s">
        <v>60</v>
      </c>
      <c r="V388" s="154" t="s">
        <v>66</v>
      </c>
      <c r="W388" s="154" t="s">
        <v>60</v>
      </c>
      <c r="X388" s="154" t="s">
        <v>60</v>
      </c>
      <c r="Y388" s="154"/>
      <c r="Z388" s="242" t="b">
        <f t="shared" si="2"/>
        <v>1</v>
      </c>
      <c r="AA388" s="154" t="s">
        <v>391</v>
      </c>
      <c r="AB388" s="242" t="b">
        <f t="shared" si="3"/>
        <v>0</v>
      </c>
      <c r="AC388" s="154"/>
      <c r="AD388" s="242" t="b">
        <f t="shared" si="4"/>
        <v>0</v>
      </c>
      <c r="AE388" s="154" t="s">
        <v>1621</v>
      </c>
      <c r="AF388" s="243" t="str">
        <f>IF(AE388="","N/A",INDIRECT("MTR!"&amp;ADDRESS(MATCH(LEFT(AE388,9),MTR!C:C,0),COLUMN(J388)),TRUE) &amp; "")</f>
        <v>Partially Complies</v>
      </c>
      <c r="AG388" s="157" t="str">
        <f t="shared" si="5"/>
        <v/>
      </c>
      <c r="AH388" s="152"/>
      <c r="AI388" s="152"/>
      <c r="AJ388" s="152"/>
      <c r="AK388" s="152"/>
      <c r="AL388" s="152"/>
      <c r="AM388" s="152"/>
      <c r="AN388" s="152"/>
      <c r="AO388" s="152"/>
      <c r="AP388" s="152"/>
      <c r="AQ388" s="152"/>
      <c r="AR388" s="152"/>
    </row>
    <row r="389" ht="12.75" customHeight="1">
      <c r="A389" s="244" t="s">
        <v>5158</v>
      </c>
      <c r="B389" s="244" t="s">
        <v>12721</v>
      </c>
      <c r="C389" s="244" t="s">
        <v>13748</v>
      </c>
      <c r="D389" s="154" t="s">
        <v>503</v>
      </c>
      <c r="E389" s="154"/>
      <c r="F389" s="154" t="str">
        <f t="array" ref="F389">XLOOKUP(Cover!$D$12,$P$1:$X$1,$P389:$X389)</f>
        <v>Mandatory</v>
      </c>
      <c r="G389" s="154" t="s">
        <v>13749</v>
      </c>
      <c r="H389" s="154" t="s">
        <v>13268</v>
      </c>
      <c r="I389" s="154" t="s">
        <v>13750</v>
      </c>
      <c r="J389" s="154" t="s">
        <v>7431</v>
      </c>
      <c r="K389" s="154" t="s">
        <v>175</v>
      </c>
      <c r="L389" s="154" t="s">
        <v>759</v>
      </c>
      <c r="M389" s="247" t="s">
        <v>516</v>
      </c>
      <c r="N389" s="247" t="s">
        <v>12731</v>
      </c>
      <c r="O389" s="240" t="str">
        <f t="shared" si="1"/>
        <v/>
      </c>
      <c r="P389" s="154" t="s">
        <v>66</v>
      </c>
      <c r="Q389" s="154" t="s">
        <v>66</v>
      </c>
      <c r="R389" s="154" t="s">
        <v>60</v>
      </c>
      <c r="S389" s="154" t="s">
        <v>60</v>
      </c>
      <c r="T389" s="154" t="s">
        <v>60</v>
      </c>
      <c r="U389" s="154" t="s">
        <v>60</v>
      </c>
      <c r="V389" s="154" t="s">
        <v>66</v>
      </c>
      <c r="W389" s="154" t="s">
        <v>60</v>
      </c>
      <c r="X389" s="154" t="s">
        <v>60</v>
      </c>
      <c r="Y389" s="154"/>
      <c r="Z389" s="242" t="b">
        <f t="shared" si="2"/>
        <v>1</v>
      </c>
      <c r="AA389" s="154" t="s">
        <v>391</v>
      </c>
      <c r="AB389" s="242" t="b">
        <f t="shared" si="3"/>
        <v>0</v>
      </c>
      <c r="AC389" s="154"/>
      <c r="AD389" s="242" t="b">
        <f t="shared" si="4"/>
        <v>0</v>
      </c>
      <c r="AE389" s="154" t="s">
        <v>1621</v>
      </c>
      <c r="AF389" s="243" t="str">
        <f>IF(AE389="","N/A",INDIRECT("MTR!"&amp;ADDRESS(MATCH(LEFT(AE389,9),MTR!C:C,0),COLUMN(J389)),TRUE) &amp; "")</f>
        <v>Partially Complies</v>
      </c>
      <c r="AG389" s="157" t="str">
        <f t="shared" si="5"/>
        <v/>
      </c>
      <c r="AH389" s="152"/>
      <c r="AI389" s="152"/>
      <c r="AJ389" s="152"/>
      <c r="AK389" s="152"/>
      <c r="AL389" s="152"/>
      <c r="AM389" s="152"/>
      <c r="AN389" s="152"/>
      <c r="AO389" s="152"/>
      <c r="AP389" s="152"/>
      <c r="AQ389" s="152"/>
      <c r="AR389" s="152"/>
    </row>
    <row r="390" ht="12.75" customHeight="1">
      <c r="A390" s="244" t="s">
        <v>5158</v>
      </c>
      <c r="B390" s="244" t="s">
        <v>12721</v>
      </c>
      <c r="C390" s="244" t="s">
        <v>13751</v>
      </c>
      <c r="D390" s="154" t="s">
        <v>503</v>
      </c>
      <c r="E390" s="154"/>
      <c r="F390" s="154" t="str">
        <f t="array" ref="F390">XLOOKUP(Cover!$D$12,$P$1:$X$1,$P390:$X390)</f>
        <v>Mandatory</v>
      </c>
      <c r="G390" s="154" t="s">
        <v>13752</v>
      </c>
      <c r="H390" s="154" t="s">
        <v>13272</v>
      </c>
      <c r="I390" s="154" t="s">
        <v>13750</v>
      </c>
      <c r="J390" s="154" t="s">
        <v>7431</v>
      </c>
      <c r="K390" s="154" t="s">
        <v>175</v>
      </c>
      <c r="L390" s="154" t="s">
        <v>759</v>
      </c>
      <c r="M390" s="247" t="s">
        <v>516</v>
      </c>
      <c r="N390" s="247" t="s">
        <v>12731</v>
      </c>
      <c r="O390" s="240" t="str">
        <f t="shared" si="1"/>
        <v/>
      </c>
      <c r="P390" s="154" t="s">
        <v>66</v>
      </c>
      <c r="Q390" s="154" t="s">
        <v>66</v>
      </c>
      <c r="R390" s="155" t="s">
        <v>64</v>
      </c>
      <c r="S390" s="155" t="s">
        <v>64</v>
      </c>
      <c r="T390" s="154" t="s">
        <v>60</v>
      </c>
      <c r="U390" s="154" t="s">
        <v>60</v>
      </c>
      <c r="V390" s="154" t="s">
        <v>66</v>
      </c>
      <c r="W390" s="155" t="s">
        <v>64</v>
      </c>
      <c r="X390" s="154" t="s">
        <v>60</v>
      </c>
      <c r="Y390" s="154"/>
      <c r="Z390" s="242" t="b">
        <f t="shared" si="2"/>
        <v>1</v>
      </c>
      <c r="AA390" s="154" t="s">
        <v>391</v>
      </c>
      <c r="AB390" s="242" t="b">
        <f t="shared" si="3"/>
        <v>0</v>
      </c>
      <c r="AC390" s="154"/>
      <c r="AD390" s="242" t="b">
        <f t="shared" si="4"/>
        <v>0</v>
      </c>
      <c r="AE390" s="154" t="s">
        <v>1621</v>
      </c>
      <c r="AF390" s="243" t="str">
        <f>IF(AE390="","N/A",INDIRECT("MTR!"&amp;ADDRESS(MATCH(LEFT(AE390,9),MTR!C:C,0),COLUMN(J390)),TRUE) &amp; "")</f>
        <v>Partially Complies</v>
      </c>
      <c r="AG390" s="157" t="str">
        <f t="shared" si="5"/>
        <v/>
      </c>
      <c r="AH390" s="152"/>
      <c r="AI390" s="152"/>
      <c r="AJ390" s="152"/>
      <c r="AK390" s="152"/>
      <c r="AL390" s="152"/>
      <c r="AM390" s="152"/>
      <c r="AN390" s="152"/>
      <c r="AO390" s="152"/>
      <c r="AP390" s="152"/>
      <c r="AQ390" s="152"/>
      <c r="AR390" s="152"/>
    </row>
    <row r="391" ht="12.75" customHeight="1">
      <c r="A391" s="244" t="s">
        <v>5158</v>
      </c>
      <c r="B391" s="244" t="s">
        <v>12721</v>
      </c>
      <c r="C391" s="244" t="s">
        <v>13753</v>
      </c>
      <c r="D391" s="154" t="s">
        <v>1315</v>
      </c>
      <c r="E391" s="154"/>
      <c r="F391" s="154" t="str">
        <f t="array" ref="F391">XLOOKUP(Cover!$D$12,$P$1:$X$1,$P391:$X391)</f>
        <v>Mandatory</v>
      </c>
      <c r="G391" s="154" t="s">
        <v>13754</v>
      </c>
      <c r="H391" s="154" t="s">
        <v>13268</v>
      </c>
      <c r="I391" s="154" t="s">
        <v>13755</v>
      </c>
      <c r="J391" s="154" t="s">
        <v>6905</v>
      </c>
      <c r="K391" s="154" t="s">
        <v>175</v>
      </c>
      <c r="L391" s="154" t="s">
        <v>759</v>
      </c>
      <c r="M391" s="247" t="s">
        <v>516</v>
      </c>
      <c r="N391" s="247" t="s">
        <v>12731</v>
      </c>
      <c r="O391" s="240" t="str">
        <f t="shared" si="1"/>
        <v/>
      </c>
      <c r="P391" s="154" t="s">
        <v>66</v>
      </c>
      <c r="Q391" s="154" t="s">
        <v>66</v>
      </c>
      <c r="R391" s="154" t="s">
        <v>60</v>
      </c>
      <c r="S391" s="154" t="s">
        <v>60</v>
      </c>
      <c r="T391" s="154" t="s">
        <v>60</v>
      </c>
      <c r="U391" s="154" t="s">
        <v>60</v>
      </c>
      <c r="V391" s="154" t="s">
        <v>66</v>
      </c>
      <c r="W391" s="154" t="s">
        <v>60</v>
      </c>
      <c r="X391" s="154" t="s">
        <v>60</v>
      </c>
      <c r="Y391" s="154"/>
      <c r="Z391" s="242" t="b">
        <f t="shared" si="2"/>
        <v>1</v>
      </c>
      <c r="AA391" s="154" t="s">
        <v>391</v>
      </c>
      <c r="AB391" s="242" t="b">
        <f t="shared" si="3"/>
        <v>0</v>
      </c>
      <c r="AC391" s="154"/>
      <c r="AD391" s="242" t="b">
        <f t="shared" si="4"/>
        <v>0</v>
      </c>
      <c r="AE391" s="154" t="s">
        <v>1621</v>
      </c>
      <c r="AF391" s="243" t="str">
        <f>IF(AE391="","N/A",INDIRECT("MTR!"&amp;ADDRESS(MATCH(LEFT(AE391,9),MTR!C:C,0),COLUMN(J391)),TRUE) &amp; "")</f>
        <v>Partially Complies</v>
      </c>
      <c r="AG391" s="157" t="str">
        <f t="shared" si="5"/>
        <v/>
      </c>
      <c r="AH391" s="152"/>
      <c r="AI391" s="152"/>
      <c r="AJ391" s="152"/>
      <c r="AK391" s="152"/>
      <c r="AL391" s="152"/>
      <c r="AM391" s="152"/>
      <c r="AN391" s="152"/>
      <c r="AO391" s="152"/>
      <c r="AP391" s="152"/>
      <c r="AQ391" s="152"/>
      <c r="AR391" s="152"/>
    </row>
    <row r="392" ht="12.75" customHeight="1">
      <c r="A392" s="244" t="s">
        <v>5158</v>
      </c>
      <c r="B392" s="244" t="s">
        <v>12721</v>
      </c>
      <c r="C392" s="244" t="s">
        <v>13756</v>
      </c>
      <c r="D392" s="154" t="s">
        <v>1315</v>
      </c>
      <c r="E392" s="154"/>
      <c r="F392" s="154" t="str">
        <f t="array" ref="F392">XLOOKUP(Cover!$D$12,$P$1:$X$1,$P392:$X392)</f>
        <v>Mandatory</v>
      </c>
      <c r="G392" s="154" t="s">
        <v>13757</v>
      </c>
      <c r="H392" s="154" t="s">
        <v>13758</v>
      </c>
      <c r="I392" s="154" t="s">
        <v>13755</v>
      </c>
      <c r="J392" s="154" t="s">
        <v>6905</v>
      </c>
      <c r="K392" s="154" t="s">
        <v>175</v>
      </c>
      <c r="L392" s="154" t="s">
        <v>759</v>
      </c>
      <c r="M392" s="247" t="s">
        <v>516</v>
      </c>
      <c r="N392" s="247" t="s">
        <v>12731</v>
      </c>
      <c r="O392" s="240" t="str">
        <f t="shared" si="1"/>
        <v/>
      </c>
      <c r="P392" s="154" t="s">
        <v>66</v>
      </c>
      <c r="Q392" s="154" t="s">
        <v>66</v>
      </c>
      <c r="R392" s="155" t="s">
        <v>64</v>
      </c>
      <c r="S392" s="155" t="s">
        <v>64</v>
      </c>
      <c r="T392" s="154" t="s">
        <v>60</v>
      </c>
      <c r="U392" s="154" t="s">
        <v>60</v>
      </c>
      <c r="V392" s="154" t="s">
        <v>66</v>
      </c>
      <c r="W392" s="155" t="s">
        <v>64</v>
      </c>
      <c r="X392" s="154" t="s">
        <v>60</v>
      </c>
      <c r="Y392" s="154"/>
      <c r="Z392" s="242" t="b">
        <f t="shared" si="2"/>
        <v>1</v>
      </c>
      <c r="AA392" s="154" t="s">
        <v>391</v>
      </c>
      <c r="AB392" s="242" t="b">
        <f t="shared" si="3"/>
        <v>0</v>
      </c>
      <c r="AC392" s="154"/>
      <c r="AD392" s="242" t="b">
        <f t="shared" si="4"/>
        <v>0</v>
      </c>
      <c r="AE392" s="154" t="s">
        <v>1621</v>
      </c>
      <c r="AF392" s="243" t="str">
        <f>IF(AE392="","N/A",INDIRECT("MTR!"&amp;ADDRESS(MATCH(LEFT(AE392,9),MTR!C:C,0),COLUMN(J392)),TRUE) &amp; "")</f>
        <v>Partially Complies</v>
      </c>
      <c r="AG392" s="157" t="str">
        <f t="shared" si="5"/>
        <v/>
      </c>
      <c r="AH392" s="152"/>
      <c r="AI392" s="152"/>
      <c r="AJ392" s="152"/>
      <c r="AK392" s="152"/>
      <c r="AL392" s="152"/>
      <c r="AM392" s="152"/>
      <c r="AN392" s="152"/>
      <c r="AO392" s="152"/>
      <c r="AP392" s="152"/>
      <c r="AQ392" s="152"/>
      <c r="AR392" s="152"/>
    </row>
    <row r="393" ht="12.75" customHeight="1">
      <c r="A393" s="244" t="s">
        <v>5158</v>
      </c>
      <c r="B393" s="244" t="s">
        <v>12721</v>
      </c>
      <c r="C393" s="244" t="s">
        <v>13759</v>
      </c>
      <c r="D393" s="154" t="s">
        <v>503</v>
      </c>
      <c r="E393" s="154"/>
      <c r="F393" s="154" t="str">
        <f t="array" ref="F393">XLOOKUP(Cover!$D$12,$P$1:$X$1,$P393:$X393)</f>
        <v>Information</v>
      </c>
      <c r="G393" s="154" t="s">
        <v>13760</v>
      </c>
      <c r="H393" s="154" t="s">
        <v>13761</v>
      </c>
      <c r="I393" s="154" t="s">
        <v>13762</v>
      </c>
      <c r="J393" s="154" t="s">
        <v>6463</v>
      </c>
      <c r="K393" s="154"/>
      <c r="L393" s="154" t="s">
        <v>759</v>
      </c>
      <c r="M393" s="247" t="s">
        <v>516</v>
      </c>
      <c r="N393" s="247" t="s">
        <v>12731</v>
      </c>
      <c r="O393" s="240" t="str">
        <f t="shared" si="1"/>
        <v/>
      </c>
      <c r="P393" s="154" t="s">
        <v>66</v>
      </c>
      <c r="Q393" s="154" t="s">
        <v>66</v>
      </c>
      <c r="R393" s="154" t="s">
        <v>66</v>
      </c>
      <c r="S393" s="154" t="s">
        <v>66</v>
      </c>
      <c r="T393" s="154" t="s">
        <v>66</v>
      </c>
      <c r="U393" s="154" t="s">
        <v>66</v>
      </c>
      <c r="V393" s="154" t="s">
        <v>66</v>
      </c>
      <c r="W393" s="154" t="s">
        <v>66</v>
      </c>
      <c r="X393" s="154" t="s">
        <v>66</v>
      </c>
      <c r="Y393" s="154"/>
      <c r="Z393" s="242" t="b">
        <f t="shared" si="2"/>
        <v>1</v>
      </c>
      <c r="AA393" s="154" t="s">
        <v>391</v>
      </c>
      <c r="AB393" s="242" t="b">
        <f t="shared" si="3"/>
        <v>0</v>
      </c>
      <c r="AC393" s="154"/>
      <c r="AD393" s="242" t="b">
        <f t="shared" si="4"/>
        <v>0</v>
      </c>
      <c r="AE393" s="154" t="s">
        <v>1621</v>
      </c>
      <c r="AF393" s="243" t="str">
        <f>IF(AE393="","N/A",INDIRECT("MTR!"&amp;ADDRESS(MATCH(LEFT(AE393,9),MTR!C:C,0),COLUMN(J393)),TRUE) &amp; "")</f>
        <v>Partially Complies</v>
      </c>
      <c r="AG393" s="157" t="str">
        <f t="shared" si="5"/>
        <v/>
      </c>
      <c r="AH393" s="152"/>
      <c r="AI393" s="152"/>
      <c r="AJ393" s="152"/>
      <c r="AK393" s="152"/>
      <c r="AL393" s="152"/>
      <c r="AM393" s="152"/>
      <c r="AN393" s="152"/>
      <c r="AO393" s="152"/>
      <c r="AP393" s="152"/>
      <c r="AQ393" s="152"/>
      <c r="AR393" s="152"/>
    </row>
    <row r="394" ht="12.75" customHeight="1">
      <c r="A394" s="244" t="s">
        <v>5158</v>
      </c>
      <c r="B394" s="244" t="s">
        <v>12721</v>
      </c>
      <c r="C394" s="244" t="s">
        <v>13763</v>
      </c>
      <c r="D394" s="154" t="s">
        <v>45</v>
      </c>
      <c r="E394" s="154"/>
      <c r="F394" s="154" t="str">
        <f t="array" ref="F394">XLOOKUP(Cover!$D$12,$P$1:$X$1,$P394:$X394)</f>
        <v>Information</v>
      </c>
      <c r="G394" s="154" t="s">
        <v>13764</v>
      </c>
      <c r="H394" s="154" t="s">
        <v>13765</v>
      </c>
      <c r="I394" s="154" t="s">
        <v>13762</v>
      </c>
      <c r="J394" s="154" t="s">
        <v>10718</v>
      </c>
      <c r="K394" s="154"/>
      <c r="L394" s="154" t="s">
        <v>759</v>
      </c>
      <c r="M394" s="247" t="s">
        <v>516</v>
      </c>
      <c r="N394" s="247" t="s">
        <v>12731</v>
      </c>
      <c r="O394" s="240" t="str">
        <f t="shared" si="1"/>
        <v/>
      </c>
      <c r="P394" s="154" t="s">
        <v>66</v>
      </c>
      <c r="Q394" s="154" t="s">
        <v>66</v>
      </c>
      <c r="R394" s="154" t="s">
        <v>66</v>
      </c>
      <c r="S394" s="154" t="s">
        <v>66</v>
      </c>
      <c r="T394" s="154" t="s">
        <v>66</v>
      </c>
      <c r="U394" s="154" t="s">
        <v>66</v>
      </c>
      <c r="V394" s="154" t="s">
        <v>66</v>
      </c>
      <c r="W394" s="154" t="s">
        <v>66</v>
      </c>
      <c r="X394" s="154" t="s">
        <v>66</v>
      </c>
      <c r="Y394" s="154"/>
      <c r="Z394" s="242" t="b">
        <f t="shared" si="2"/>
        <v>1</v>
      </c>
      <c r="AA394" s="154" t="s">
        <v>391</v>
      </c>
      <c r="AB394" s="242" t="b">
        <f t="shared" si="3"/>
        <v>0</v>
      </c>
      <c r="AC394" s="154"/>
      <c r="AD394" s="242" t="b">
        <f t="shared" si="4"/>
        <v>0</v>
      </c>
      <c r="AE394" s="154" t="s">
        <v>1621</v>
      </c>
      <c r="AF394" s="243" t="str">
        <f>IF(AE394="","N/A",INDIRECT("MTR!"&amp;ADDRESS(MATCH(LEFT(AE394,9),MTR!C:C,0),COLUMN(J394)),TRUE) &amp; "")</f>
        <v>Partially Complies</v>
      </c>
      <c r="AG394" s="157" t="str">
        <f t="shared" si="5"/>
        <v/>
      </c>
      <c r="AH394" s="152"/>
      <c r="AI394" s="152"/>
      <c r="AJ394" s="152"/>
      <c r="AK394" s="152"/>
      <c r="AL394" s="152"/>
      <c r="AM394" s="152"/>
      <c r="AN394" s="152"/>
      <c r="AO394" s="152"/>
      <c r="AP394" s="152"/>
      <c r="AQ394" s="152"/>
      <c r="AR394" s="152"/>
    </row>
    <row r="395" ht="12.75" customHeight="1">
      <c r="A395" s="244" t="s">
        <v>5158</v>
      </c>
      <c r="B395" s="244" t="s">
        <v>12721</v>
      </c>
      <c r="C395" s="255" t="s">
        <v>13766</v>
      </c>
      <c r="D395" s="256" t="s">
        <v>42</v>
      </c>
      <c r="E395" s="256" t="s">
        <v>489</v>
      </c>
      <c r="F395" s="154" t="str">
        <f t="array" ref="F395">XLOOKUP(Cover!$D$12,$P$1:$X$1,$P395:$X395)</f>
        <v>Information</v>
      </c>
      <c r="G395" s="154" t="s">
        <v>13767</v>
      </c>
      <c r="H395" s="154" t="s">
        <v>13768</v>
      </c>
      <c r="I395" s="154" t="s">
        <v>13769</v>
      </c>
      <c r="J395" s="154" t="s">
        <v>5931</v>
      </c>
      <c r="K395" s="154"/>
      <c r="L395" s="154" t="s">
        <v>759</v>
      </c>
      <c r="M395" s="247" t="s">
        <v>516</v>
      </c>
      <c r="N395" s="247" t="s">
        <v>12731</v>
      </c>
      <c r="O395" s="240" t="str">
        <f t="shared" si="1"/>
        <v/>
      </c>
      <c r="P395" s="154" t="s">
        <v>66</v>
      </c>
      <c r="Q395" s="154" t="s">
        <v>66</v>
      </c>
      <c r="R395" s="154" t="s">
        <v>66</v>
      </c>
      <c r="S395" s="154" t="s">
        <v>66</v>
      </c>
      <c r="T395" s="154" t="s">
        <v>66</v>
      </c>
      <c r="U395" s="154" t="s">
        <v>66</v>
      </c>
      <c r="V395" s="154" t="s">
        <v>66</v>
      </c>
      <c r="W395" s="154" t="s">
        <v>66</v>
      </c>
      <c r="X395" s="154" t="s">
        <v>66</v>
      </c>
      <c r="Y395" s="154"/>
      <c r="Z395" s="242" t="b">
        <f t="shared" si="2"/>
        <v>1</v>
      </c>
      <c r="AA395" s="154" t="s">
        <v>391</v>
      </c>
      <c r="AB395" s="242" t="b">
        <f t="shared" si="3"/>
        <v>0</v>
      </c>
      <c r="AC395" s="154"/>
      <c r="AD395" s="242" t="b">
        <f t="shared" si="4"/>
        <v>0</v>
      </c>
      <c r="AE395" s="154" t="s">
        <v>1621</v>
      </c>
      <c r="AF395" s="243" t="str">
        <f>IF(AE395="","N/A",INDIRECT("MTR!"&amp;ADDRESS(MATCH(LEFT(AE395,9),MTR!C:C,0),COLUMN(J395)),TRUE) &amp; "")</f>
        <v>Partially Complies</v>
      </c>
      <c r="AG395" s="157" t="str">
        <f t="shared" si="5"/>
        <v/>
      </c>
      <c r="AH395" s="152"/>
      <c r="AI395" s="152"/>
      <c r="AJ395" s="152"/>
      <c r="AK395" s="152"/>
      <c r="AL395" s="152"/>
      <c r="AM395" s="152"/>
      <c r="AN395" s="152"/>
      <c r="AO395" s="152"/>
      <c r="AP395" s="152"/>
      <c r="AQ395" s="152"/>
      <c r="AR395" s="152"/>
    </row>
    <row r="396" ht="12.75" customHeight="1">
      <c r="A396" s="244" t="s">
        <v>5158</v>
      </c>
      <c r="B396" s="244" t="s">
        <v>12721</v>
      </c>
      <c r="C396" s="255" t="s">
        <v>13770</v>
      </c>
      <c r="D396" s="256" t="s">
        <v>42</v>
      </c>
      <c r="E396" s="256" t="s">
        <v>489</v>
      </c>
      <c r="F396" s="154" t="str">
        <f t="array" ref="F396">XLOOKUP(Cover!$D$12,$P$1:$X$1,$P396:$X396)</f>
        <v>Information</v>
      </c>
      <c r="G396" s="154" t="s">
        <v>13771</v>
      </c>
      <c r="H396" s="154" t="s">
        <v>13772</v>
      </c>
      <c r="I396" s="154" t="s">
        <v>13769</v>
      </c>
      <c r="J396" s="154" t="s">
        <v>5931</v>
      </c>
      <c r="K396" s="154"/>
      <c r="L396" s="154" t="s">
        <v>759</v>
      </c>
      <c r="M396" s="247" t="s">
        <v>516</v>
      </c>
      <c r="N396" s="247" t="s">
        <v>12731</v>
      </c>
      <c r="O396" s="240" t="str">
        <f t="shared" si="1"/>
        <v/>
      </c>
      <c r="P396" s="154" t="s">
        <v>66</v>
      </c>
      <c r="Q396" s="154" t="s">
        <v>66</v>
      </c>
      <c r="R396" s="154" t="s">
        <v>66</v>
      </c>
      <c r="S396" s="154" t="s">
        <v>66</v>
      </c>
      <c r="T396" s="154" t="s">
        <v>66</v>
      </c>
      <c r="U396" s="154" t="s">
        <v>66</v>
      </c>
      <c r="V396" s="154" t="s">
        <v>66</v>
      </c>
      <c r="W396" s="154" t="s">
        <v>66</v>
      </c>
      <c r="X396" s="154" t="s">
        <v>66</v>
      </c>
      <c r="Y396" s="154"/>
      <c r="Z396" s="242" t="b">
        <f t="shared" si="2"/>
        <v>1</v>
      </c>
      <c r="AA396" s="154" t="s">
        <v>391</v>
      </c>
      <c r="AB396" s="242" t="b">
        <f t="shared" si="3"/>
        <v>0</v>
      </c>
      <c r="AC396" s="154"/>
      <c r="AD396" s="242" t="b">
        <f t="shared" si="4"/>
        <v>0</v>
      </c>
      <c r="AE396" s="154" t="s">
        <v>1621</v>
      </c>
      <c r="AF396" s="243" t="str">
        <f>IF(AE396="","N/A",INDIRECT("MTR!"&amp;ADDRESS(MATCH(LEFT(AE396,9),MTR!C:C,0),COLUMN(J396)),TRUE) &amp; "")</f>
        <v>Partially Complies</v>
      </c>
      <c r="AG396" s="157" t="str">
        <f t="shared" si="5"/>
        <v/>
      </c>
      <c r="AH396" s="152"/>
      <c r="AI396" s="152"/>
      <c r="AJ396" s="152"/>
      <c r="AK396" s="152"/>
      <c r="AL396" s="152"/>
      <c r="AM396" s="152"/>
      <c r="AN396" s="152"/>
      <c r="AO396" s="152"/>
      <c r="AP396" s="152"/>
      <c r="AQ396" s="152"/>
      <c r="AR396" s="152"/>
    </row>
    <row r="397" ht="12.75" customHeight="1">
      <c r="A397" s="244" t="s">
        <v>5158</v>
      </c>
      <c r="B397" s="244" t="s">
        <v>12721</v>
      </c>
      <c r="C397" s="244" t="s">
        <v>13773</v>
      </c>
      <c r="D397" s="154" t="s">
        <v>1315</v>
      </c>
      <c r="E397" s="154"/>
      <c r="F397" s="154" t="str">
        <f t="array" ref="F397">XLOOKUP(Cover!$D$12,$P$1:$X$1,$P397:$X397)</f>
        <v>Recommended</v>
      </c>
      <c r="G397" s="154" t="s">
        <v>13774</v>
      </c>
      <c r="H397" s="154" t="s">
        <v>13775</v>
      </c>
      <c r="I397" s="154" t="s">
        <v>13776</v>
      </c>
      <c r="J397" s="154" t="s">
        <v>6529</v>
      </c>
      <c r="K397" s="154"/>
      <c r="L397" s="154" t="s">
        <v>759</v>
      </c>
      <c r="M397" s="247" t="s">
        <v>516</v>
      </c>
      <c r="N397" s="247" t="s">
        <v>12731</v>
      </c>
      <c r="O397" s="240" t="str">
        <f t="shared" si="1"/>
        <v/>
      </c>
      <c r="P397" s="154" t="s">
        <v>66</v>
      </c>
      <c r="Q397" s="154" t="s">
        <v>66</v>
      </c>
      <c r="R397" s="154" t="s">
        <v>64</v>
      </c>
      <c r="S397" s="154" t="s">
        <v>64</v>
      </c>
      <c r="T397" s="154" t="s">
        <v>64</v>
      </c>
      <c r="U397" s="154" t="s">
        <v>64</v>
      </c>
      <c r="V397" s="154" t="s">
        <v>66</v>
      </c>
      <c r="W397" s="154" t="s">
        <v>64</v>
      </c>
      <c r="X397" s="154" t="s">
        <v>64</v>
      </c>
      <c r="Y397" s="154"/>
      <c r="Z397" s="242" t="b">
        <f t="shared" si="2"/>
        <v>1</v>
      </c>
      <c r="AA397" s="154" t="s">
        <v>391</v>
      </c>
      <c r="AB397" s="242" t="b">
        <f t="shared" si="3"/>
        <v>0</v>
      </c>
      <c r="AC397" s="154"/>
      <c r="AD397" s="242" t="b">
        <f t="shared" si="4"/>
        <v>0</v>
      </c>
      <c r="AE397" s="154" t="s">
        <v>1621</v>
      </c>
      <c r="AF397" s="243" t="str">
        <f>IF(AE397="","N/A",INDIRECT("MTR!"&amp;ADDRESS(MATCH(LEFT(AE397,9),MTR!C:C,0),COLUMN(J397)),TRUE) &amp; "")</f>
        <v>Partially Complies</v>
      </c>
      <c r="AG397" s="157" t="str">
        <f t="shared" si="5"/>
        <v/>
      </c>
      <c r="AH397" s="152"/>
      <c r="AI397" s="152"/>
      <c r="AJ397" s="152"/>
      <c r="AK397" s="152"/>
      <c r="AL397" s="152"/>
      <c r="AM397" s="152"/>
      <c r="AN397" s="152"/>
      <c r="AO397" s="152"/>
      <c r="AP397" s="152"/>
      <c r="AQ397" s="152"/>
      <c r="AR397" s="152"/>
    </row>
    <row r="398" ht="12.75" customHeight="1">
      <c r="A398" s="244" t="s">
        <v>5158</v>
      </c>
      <c r="B398" s="244" t="s">
        <v>12721</v>
      </c>
      <c r="C398" s="244" t="s">
        <v>13777</v>
      </c>
      <c r="D398" s="154" t="s">
        <v>1315</v>
      </c>
      <c r="E398" s="154"/>
      <c r="F398" s="154" t="str">
        <f t="array" ref="F398">XLOOKUP(Cover!$D$12,$P$1:$X$1,$P398:$X398)</f>
        <v>Recommended</v>
      </c>
      <c r="G398" s="154" t="s">
        <v>13778</v>
      </c>
      <c r="H398" s="154" t="s">
        <v>13775</v>
      </c>
      <c r="I398" s="154" t="s">
        <v>13776</v>
      </c>
      <c r="J398" s="154" t="s">
        <v>6905</v>
      </c>
      <c r="K398" s="154"/>
      <c r="L398" s="154" t="s">
        <v>759</v>
      </c>
      <c r="M398" s="247" t="s">
        <v>516</v>
      </c>
      <c r="N398" s="247" t="s">
        <v>12731</v>
      </c>
      <c r="O398" s="240" t="str">
        <f t="shared" si="1"/>
        <v/>
      </c>
      <c r="P398" s="154" t="s">
        <v>66</v>
      </c>
      <c r="Q398" s="154" t="s">
        <v>66</v>
      </c>
      <c r="R398" s="154" t="s">
        <v>64</v>
      </c>
      <c r="S398" s="154" t="s">
        <v>64</v>
      </c>
      <c r="T398" s="154" t="s">
        <v>64</v>
      </c>
      <c r="U398" s="154" t="s">
        <v>64</v>
      </c>
      <c r="V398" s="154" t="s">
        <v>66</v>
      </c>
      <c r="W398" s="154" t="s">
        <v>64</v>
      </c>
      <c r="X398" s="154" t="s">
        <v>64</v>
      </c>
      <c r="Y398" s="154"/>
      <c r="Z398" s="242" t="b">
        <f t="shared" si="2"/>
        <v>1</v>
      </c>
      <c r="AA398" s="154" t="s">
        <v>391</v>
      </c>
      <c r="AB398" s="242" t="b">
        <f t="shared" si="3"/>
        <v>0</v>
      </c>
      <c r="AC398" s="154"/>
      <c r="AD398" s="242" t="b">
        <f t="shared" si="4"/>
        <v>0</v>
      </c>
      <c r="AE398" s="154" t="s">
        <v>1621</v>
      </c>
      <c r="AF398" s="243" t="str">
        <f>IF(AE398="","N/A",INDIRECT("MTR!"&amp;ADDRESS(MATCH(LEFT(AE398,9),MTR!C:C,0),COLUMN(J398)),TRUE) &amp; "")</f>
        <v>Partially Complies</v>
      </c>
      <c r="AG398" s="157" t="str">
        <f t="shared" si="5"/>
        <v/>
      </c>
      <c r="AH398" s="152"/>
      <c r="AI398" s="152"/>
      <c r="AJ398" s="152"/>
      <c r="AK398" s="152"/>
      <c r="AL398" s="152"/>
      <c r="AM398" s="152"/>
      <c r="AN398" s="152"/>
      <c r="AO398" s="152"/>
      <c r="AP398" s="152"/>
      <c r="AQ398" s="152"/>
      <c r="AR398" s="152"/>
    </row>
    <row r="399" ht="12.75" customHeight="1">
      <c r="A399" s="244" t="s">
        <v>5158</v>
      </c>
      <c r="B399" s="244" t="s">
        <v>12721</v>
      </c>
      <c r="C399" s="244" t="s">
        <v>13779</v>
      </c>
      <c r="D399" s="154" t="s">
        <v>1315</v>
      </c>
      <c r="E399" s="154"/>
      <c r="F399" s="154" t="str">
        <f t="array" ref="F399">XLOOKUP(Cover!$D$12,$P$1:$X$1,$P399:$X399)</f>
        <v>Recommended</v>
      </c>
      <c r="G399" s="154" t="s">
        <v>13780</v>
      </c>
      <c r="H399" s="154" t="s">
        <v>13781</v>
      </c>
      <c r="I399" s="154" t="s">
        <v>13776</v>
      </c>
      <c r="J399" s="154" t="s">
        <v>6905</v>
      </c>
      <c r="K399" s="154"/>
      <c r="L399" s="154" t="s">
        <v>759</v>
      </c>
      <c r="M399" s="247" t="s">
        <v>516</v>
      </c>
      <c r="N399" s="247" t="s">
        <v>12731</v>
      </c>
      <c r="O399" s="240" t="str">
        <f t="shared" si="1"/>
        <v/>
      </c>
      <c r="P399" s="154" t="s">
        <v>66</v>
      </c>
      <c r="Q399" s="154" t="s">
        <v>66</v>
      </c>
      <c r="R399" s="154" t="s">
        <v>64</v>
      </c>
      <c r="S399" s="154" t="s">
        <v>64</v>
      </c>
      <c r="T399" s="154" t="s">
        <v>64</v>
      </c>
      <c r="U399" s="154" t="s">
        <v>64</v>
      </c>
      <c r="V399" s="154" t="s">
        <v>66</v>
      </c>
      <c r="W399" s="154" t="s">
        <v>64</v>
      </c>
      <c r="X399" s="154" t="s">
        <v>64</v>
      </c>
      <c r="Y399" s="154"/>
      <c r="Z399" s="242" t="b">
        <f t="shared" si="2"/>
        <v>1</v>
      </c>
      <c r="AA399" s="154" t="s">
        <v>391</v>
      </c>
      <c r="AB399" s="242" t="b">
        <f t="shared" si="3"/>
        <v>0</v>
      </c>
      <c r="AC399" s="154"/>
      <c r="AD399" s="242" t="b">
        <f t="shared" si="4"/>
        <v>0</v>
      </c>
      <c r="AE399" s="154" t="s">
        <v>1621</v>
      </c>
      <c r="AF399" s="243" t="str">
        <f>IF(AE399="","N/A",INDIRECT("MTR!"&amp;ADDRESS(MATCH(LEFT(AE399,9),MTR!C:C,0),COLUMN(J399)),TRUE) &amp; "")</f>
        <v>Partially Complies</v>
      </c>
      <c r="AG399" s="157" t="str">
        <f t="shared" si="5"/>
        <v/>
      </c>
      <c r="AH399" s="152"/>
      <c r="AI399" s="152"/>
      <c r="AJ399" s="152"/>
      <c r="AK399" s="152"/>
      <c r="AL399" s="152"/>
      <c r="AM399" s="152"/>
      <c r="AN399" s="152"/>
      <c r="AO399" s="152"/>
      <c r="AP399" s="152"/>
      <c r="AQ399" s="152"/>
      <c r="AR399" s="152"/>
    </row>
    <row r="400" ht="12.75" customHeight="1">
      <c r="A400" s="244" t="s">
        <v>5158</v>
      </c>
      <c r="B400" s="244" t="s">
        <v>12721</v>
      </c>
      <c r="C400" s="245" t="s">
        <v>13782</v>
      </c>
      <c r="D400" s="155" t="s">
        <v>503</v>
      </c>
      <c r="E400" s="155" t="s">
        <v>92</v>
      </c>
      <c r="F400" s="154" t="str">
        <f t="array" ref="F400">XLOOKUP(Cover!$D$12,$P$1:$X$1,$P400:$X400)</f>
        <v>Recommended</v>
      </c>
      <c r="G400" s="154" t="s">
        <v>13783</v>
      </c>
      <c r="H400" s="154" t="s">
        <v>13373</v>
      </c>
      <c r="I400" s="154" t="s">
        <v>13784</v>
      </c>
      <c r="J400" s="154" t="s">
        <v>7431</v>
      </c>
      <c r="K400" s="154"/>
      <c r="L400" s="154" t="s">
        <v>759</v>
      </c>
      <c r="M400" s="247" t="s">
        <v>516</v>
      </c>
      <c r="N400" s="247" t="s">
        <v>12731</v>
      </c>
      <c r="O400" s="240" t="str">
        <f t="shared" si="1"/>
        <v/>
      </c>
      <c r="P400" s="154" t="s">
        <v>66</v>
      </c>
      <c r="Q400" s="154" t="s">
        <v>66</v>
      </c>
      <c r="R400" s="154" t="s">
        <v>64</v>
      </c>
      <c r="S400" s="154" t="s">
        <v>64</v>
      </c>
      <c r="T400" s="154" t="s">
        <v>64</v>
      </c>
      <c r="U400" s="154" t="s">
        <v>64</v>
      </c>
      <c r="V400" s="154" t="s">
        <v>66</v>
      </c>
      <c r="W400" s="154" t="s">
        <v>64</v>
      </c>
      <c r="X400" s="154" t="s">
        <v>64</v>
      </c>
      <c r="Y400" s="154"/>
      <c r="Z400" s="242" t="b">
        <f t="shared" si="2"/>
        <v>1</v>
      </c>
      <c r="AA400" s="154" t="s">
        <v>391</v>
      </c>
      <c r="AB400" s="242" t="b">
        <f t="shared" si="3"/>
        <v>0</v>
      </c>
      <c r="AC400" s="154"/>
      <c r="AD400" s="242" t="b">
        <f t="shared" si="4"/>
        <v>0</v>
      </c>
      <c r="AE400" s="154" t="s">
        <v>1621</v>
      </c>
      <c r="AF400" s="243" t="str">
        <f>IF(AE400="","N/A",INDIRECT("MTR!"&amp;ADDRESS(MATCH(LEFT(AE400,9),MTR!C:C,0),COLUMN(J400)),TRUE) &amp; "")</f>
        <v>Partially Complies</v>
      </c>
      <c r="AG400" s="157" t="str">
        <f t="shared" si="5"/>
        <v/>
      </c>
      <c r="AH400" s="152"/>
      <c r="AI400" s="152"/>
      <c r="AJ400" s="152"/>
      <c r="AK400" s="152"/>
      <c r="AL400" s="152"/>
      <c r="AM400" s="152"/>
      <c r="AN400" s="152"/>
      <c r="AO400" s="152"/>
      <c r="AP400" s="152"/>
      <c r="AQ400" s="152"/>
      <c r="AR400" s="152"/>
    </row>
    <row r="401" ht="12.75" customHeight="1">
      <c r="A401" s="244" t="s">
        <v>5158</v>
      </c>
      <c r="B401" s="244" t="s">
        <v>12721</v>
      </c>
      <c r="C401" s="245" t="s">
        <v>13785</v>
      </c>
      <c r="D401" s="155" t="s">
        <v>1773</v>
      </c>
      <c r="E401" s="155" t="s">
        <v>92</v>
      </c>
      <c r="F401" s="154" t="str">
        <f t="array" ref="F401">XLOOKUP(Cover!$D$12,$P$1:$X$1,$P401:$X401)</f>
        <v>Recommended</v>
      </c>
      <c r="G401" s="154" t="s">
        <v>13786</v>
      </c>
      <c r="H401" s="154" t="s">
        <v>13373</v>
      </c>
      <c r="I401" s="154" t="s">
        <v>13787</v>
      </c>
      <c r="J401" s="154" t="s">
        <v>7175</v>
      </c>
      <c r="K401" s="154"/>
      <c r="L401" s="154" t="s">
        <v>759</v>
      </c>
      <c r="M401" s="247" t="s">
        <v>506</v>
      </c>
      <c r="N401" s="247" t="s">
        <v>13728</v>
      </c>
      <c r="O401" s="240" t="str">
        <f t="shared" si="1"/>
        <v/>
      </c>
      <c r="P401" s="154" t="s">
        <v>66</v>
      </c>
      <c r="Q401" s="154" t="s">
        <v>66</v>
      </c>
      <c r="R401" s="154" t="s">
        <v>64</v>
      </c>
      <c r="S401" s="154" t="s">
        <v>64</v>
      </c>
      <c r="T401" s="154" t="s">
        <v>64</v>
      </c>
      <c r="U401" s="154" t="s">
        <v>64</v>
      </c>
      <c r="V401" s="154" t="s">
        <v>66</v>
      </c>
      <c r="W401" s="154" t="s">
        <v>64</v>
      </c>
      <c r="X401" s="154" t="s">
        <v>64</v>
      </c>
      <c r="Y401" s="154"/>
      <c r="Z401" s="242" t="b">
        <f t="shared" si="2"/>
        <v>1</v>
      </c>
      <c r="AA401" s="154" t="s">
        <v>391</v>
      </c>
      <c r="AB401" s="242" t="b">
        <f t="shared" si="3"/>
        <v>0</v>
      </c>
      <c r="AC401" s="154"/>
      <c r="AD401" s="242" t="b">
        <f t="shared" si="4"/>
        <v>0</v>
      </c>
      <c r="AE401" s="154" t="s">
        <v>1621</v>
      </c>
      <c r="AF401" s="243" t="str">
        <f>IF(AE401="","N/A",INDIRECT("MTR!"&amp;ADDRESS(MATCH(LEFT(AE401,9),MTR!C:C,0),COLUMN(J401)),TRUE) &amp; "")</f>
        <v>Partially Complies</v>
      </c>
      <c r="AG401" s="157" t="str">
        <f t="shared" si="5"/>
        <v/>
      </c>
      <c r="AH401" s="152"/>
      <c r="AI401" s="152"/>
      <c r="AJ401" s="152"/>
      <c r="AK401" s="152"/>
      <c r="AL401" s="152"/>
      <c r="AM401" s="152"/>
      <c r="AN401" s="152"/>
      <c r="AO401" s="152"/>
      <c r="AP401" s="152"/>
      <c r="AQ401" s="152"/>
      <c r="AR401" s="152"/>
    </row>
    <row r="402" ht="12.75" customHeight="1">
      <c r="A402" s="244" t="s">
        <v>5158</v>
      </c>
      <c r="B402" s="244" t="s">
        <v>12721</v>
      </c>
      <c r="C402" s="245" t="s">
        <v>13788</v>
      </c>
      <c r="D402" s="155" t="s">
        <v>1773</v>
      </c>
      <c r="E402" s="155" t="s">
        <v>92</v>
      </c>
      <c r="F402" s="154" t="str">
        <f t="array" ref="F402">XLOOKUP(Cover!$D$12,$P$1:$X$1,$P402:$X402)</f>
        <v>Recommended</v>
      </c>
      <c r="G402" s="154" t="s">
        <v>13789</v>
      </c>
      <c r="H402" s="154" t="s">
        <v>13790</v>
      </c>
      <c r="I402" s="154" t="s">
        <v>13787</v>
      </c>
      <c r="J402" s="154" t="s">
        <v>7175</v>
      </c>
      <c r="K402" s="154"/>
      <c r="L402" s="154" t="s">
        <v>759</v>
      </c>
      <c r="M402" s="247" t="s">
        <v>516</v>
      </c>
      <c r="N402" s="247" t="s">
        <v>13731</v>
      </c>
      <c r="O402" s="240" t="str">
        <f t="shared" si="1"/>
        <v/>
      </c>
      <c r="P402" s="154" t="s">
        <v>66</v>
      </c>
      <c r="Q402" s="154" t="s">
        <v>66</v>
      </c>
      <c r="R402" s="154" t="s">
        <v>64</v>
      </c>
      <c r="S402" s="154" t="s">
        <v>64</v>
      </c>
      <c r="T402" s="154" t="s">
        <v>64</v>
      </c>
      <c r="U402" s="154" t="s">
        <v>64</v>
      </c>
      <c r="V402" s="154" t="s">
        <v>66</v>
      </c>
      <c r="W402" s="154" t="s">
        <v>64</v>
      </c>
      <c r="X402" s="154" t="s">
        <v>64</v>
      </c>
      <c r="Y402" s="154"/>
      <c r="Z402" s="242" t="b">
        <f t="shared" si="2"/>
        <v>1</v>
      </c>
      <c r="AA402" s="154" t="s">
        <v>391</v>
      </c>
      <c r="AB402" s="242" t="b">
        <f t="shared" si="3"/>
        <v>0</v>
      </c>
      <c r="AC402" s="154"/>
      <c r="AD402" s="242" t="b">
        <f t="shared" si="4"/>
        <v>0</v>
      </c>
      <c r="AE402" s="154" t="s">
        <v>1621</v>
      </c>
      <c r="AF402" s="243" t="str">
        <f>IF(AE402="","N/A",INDIRECT("MTR!"&amp;ADDRESS(MATCH(LEFT(AE402,9),MTR!C:C,0),COLUMN(J402)),TRUE) &amp; "")</f>
        <v>Partially Complies</v>
      </c>
      <c r="AG402" s="157" t="str">
        <f t="shared" si="5"/>
        <v/>
      </c>
      <c r="AH402" s="152"/>
      <c r="AI402" s="152"/>
      <c r="AJ402" s="152"/>
      <c r="AK402" s="152"/>
      <c r="AL402" s="152"/>
      <c r="AM402" s="152"/>
      <c r="AN402" s="152"/>
      <c r="AO402" s="152"/>
      <c r="AP402" s="152"/>
      <c r="AQ402" s="152"/>
      <c r="AR402" s="152"/>
    </row>
    <row r="403" ht="12.75" customHeight="1">
      <c r="A403" s="244" t="s">
        <v>5158</v>
      </c>
      <c r="B403" s="244" t="s">
        <v>12721</v>
      </c>
      <c r="C403" s="255" t="s">
        <v>13791</v>
      </c>
      <c r="D403" s="256" t="s">
        <v>42</v>
      </c>
      <c r="E403" s="256" t="s">
        <v>489</v>
      </c>
      <c r="F403" s="154" t="str">
        <f t="array" ref="F403">XLOOKUP(Cover!$D$12,$P$1:$X$1,$P403:$X403)</f>
        <v>Information</v>
      </c>
      <c r="G403" s="154" t="s">
        <v>13792</v>
      </c>
      <c r="H403" s="154" t="s">
        <v>13407</v>
      </c>
      <c r="I403" s="154" t="s">
        <v>13793</v>
      </c>
      <c r="J403" s="154" t="s">
        <v>5931</v>
      </c>
      <c r="K403" s="154"/>
      <c r="L403" s="154" t="s">
        <v>759</v>
      </c>
      <c r="M403" s="247" t="s">
        <v>516</v>
      </c>
      <c r="N403" s="247" t="s">
        <v>12731</v>
      </c>
      <c r="O403" s="240" t="str">
        <f t="shared" si="1"/>
        <v/>
      </c>
      <c r="P403" s="154" t="s">
        <v>66</v>
      </c>
      <c r="Q403" s="154" t="s">
        <v>66</v>
      </c>
      <c r="R403" s="154" t="s">
        <v>66</v>
      </c>
      <c r="S403" s="154" t="s">
        <v>66</v>
      </c>
      <c r="T403" s="154" t="s">
        <v>66</v>
      </c>
      <c r="U403" s="154" t="s">
        <v>66</v>
      </c>
      <c r="V403" s="154" t="s">
        <v>66</v>
      </c>
      <c r="W403" s="154" t="s">
        <v>66</v>
      </c>
      <c r="X403" s="154" t="s">
        <v>66</v>
      </c>
      <c r="Y403" s="154"/>
      <c r="Z403" s="242" t="b">
        <f t="shared" si="2"/>
        <v>1</v>
      </c>
      <c r="AA403" s="154" t="s">
        <v>391</v>
      </c>
      <c r="AB403" s="242" t="b">
        <f t="shared" si="3"/>
        <v>0</v>
      </c>
      <c r="AC403" s="154"/>
      <c r="AD403" s="242" t="b">
        <f t="shared" si="4"/>
        <v>0</v>
      </c>
      <c r="AE403" s="154" t="s">
        <v>1621</v>
      </c>
      <c r="AF403" s="243" t="str">
        <f>IF(AE403="","N/A",INDIRECT("MTR!"&amp;ADDRESS(MATCH(LEFT(AE403,9),MTR!C:C,0),COLUMN(J403)),TRUE) &amp; "")</f>
        <v>Partially Complies</v>
      </c>
      <c r="AG403" s="157" t="str">
        <f t="shared" si="5"/>
        <v/>
      </c>
      <c r="AH403" s="152"/>
      <c r="AI403" s="152"/>
      <c r="AJ403" s="152"/>
      <c r="AK403" s="152"/>
      <c r="AL403" s="152"/>
      <c r="AM403" s="152"/>
      <c r="AN403" s="152"/>
      <c r="AO403" s="152"/>
      <c r="AP403" s="152"/>
      <c r="AQ403" s="152"/>
      <c r="AR403" s="152"/>
    </row>
    <row r="404" ht="12.75" customHeight="1">
      <c r="A404" s="244" t="s">
        <v>5158</v>
      </c>
      <c r="B404" s="244" t="s">
        <v>12721</v>
      </c>
      <c r="C404" s="255" t="s">
        <v>13794</v>
      </c>
      <c r="D404" s="256" t="s">
        <v>42</v>
      </c>
      <c r="E404" s="256" t="s">
        <v>489</v>
      </c>
      <c r="F404" s="154" t="str">
        <f t="array" ref="F404">XLOOKUP(Cover!$D$12,$P$1:$X$1,$P404:$X404)</f>
        <v>Information</v>
      </c>
      <c r="G404" s="154" t="s">
        <v>13795</v>
      </c>
      <c r="H404" s="154" t="s">
        <v>13796</v>
      </c>
      <c r="I404" s="154" t="s">
        <v>13793</v>
      </c>
      <c r="J404" s="154" t="s">
        <v>5931</v>
      </c>
      <c r="K404" s="154"/>
      <c r="L404" s="154" t="s">
        <v>759</v>
      </c>
      <c r="M404" s="247" t="s">
        <v>516</v>
      </c>
      <c r="N404" s="247" t="s">
        <v>12731</v>
      </c>
      <c r="O404" s="240" t="str">
        <f t="shared" si="1"/>
        <v/>
      </c>
      <c r="P404" s="154" t="s">
        <v>66</v>
      </c>
      <c r="Q404" s="154" t="s">
        <v>66</v>
      </c>
      <c r="R404" s="154" t="s">
        <v>66</v>
      </c>
      <c r="S404" s="154" t="s">
        <v>66</v>
      </c>
      <c r="T404" s="154" t="s">
        <v>66</v>
      </c>
      <c r="U404" s="154" t="s">
        <v>66</v>
      </c>
      <c r="V404" s="154" t="s">
        <v>66</v>
      </c>
      <c r="W404" s="154" t="s">
        <v>66</v>
      </c>
      <c r="X404" s="154" t="s">
        <v>66</v>
      </c>
      <c r="Y404" s="154"/>
      <c r="Z404" s="242" t="b">
        <f t="shared" si="2"/>
        <v>1</v>
      </c>
      <c r="AA404" s="154" t="s">
        <v>391</v>
      </c>
      <c r="AB404" s="242" t="b">
        <f t="shared" si="3"/>
        <v>0</v>
      </c>
      <c r="AC404" s="154"/>
      <c r="AD404" s="242" t="b">
        <f t="shared" si="4"/>
        <v>0</v>
      </c>
      <c r="AE404" s="154" t="s">
        <v>1621</v>
      </c>
      <c r="AF404" s="243" t="str">
        <f>IF(AE404="","N/A",INDIRECT("MTR!"&amp;ADDRESS(MATCH(LEFT(AE404,9),MTR!C:C,0),COLUMN(J404)),TRUE) &amp; "")</f>
        <v>Partially Complies</v>
      </c>
      <c r="AG404" s="157" t="str">
        <f t="shared" si="5"/>
        <v/>
      </c>
      <c r="AH404" s="152"/>
      <c r="AI404" s="152"/>
      <c r="AJ404" s="152"/>
      <c r="AK404" s="152"/>
      <c r="AL404" s="152"/>
      <c r="AM404" s="152"/>
      <c r="AN404" s="152"/>
      <c r="AO404" s="152"/>
      <c r="AP404" s="152"/>
      <c r="AQ404" s="152"/>
      <c r="AR404" s="152"/>
    </row>
    <row r="405" ht="12.75" customHeight="1">
      <c r="A405" s="244" t="s">
        <v>5158</v>
      </c>
      <c r="B405" s="244" t="s">
        <v>12721</v>
      </c>
      <c r="C405" s="245" t="s">
        <v>13797</v>
      </c>
      <c r="D405" s="155" t="s">
        <v>503</v>
      </c>
      <c r="E405" s="155" t="s">
        <v>92</v>
      </c>
      <c r="F405" s="154" t="str">
        <f t="array" ref="F405">XLOOKUP(Cover!$D$12,$P$1:$X$1,$P405:$X405)</f>
        <v>Mandatory</v>
      </c>
      <c r="G405" s="154" t="s">
        <v>13798</v>
      </c>
      <c r="H405" s="154" t="s">
        <v>13418</v>
      </c>
      <c r="I405" s="154" t="s">
        <v>13799</v>
      </c>
      <c r="J405" s="154" t="s">
        <v>7431</v>
      </c>
      <c r="K405" s="154" t="s">
        <v>175</v>
      </c>
      <c r="L405" s="154" t="s">
        <v>759</v>
      </c>
      <c r="M405" s="247" t="s">
        <v>516</v>
      </c>
      <c r="N405" s="247" t="s">
        <v>12731</v>
      </c>
      <c r="O405" s="240" t="str">
        <f t="shared" si="1"/>
        <v/>
      </c>
      <c r="P405" s="154" t="s">
        <v>66</v>
      </c>
      <c r="Q405" s="154" t="s">
        <v>66</v>
      </c>
      <c r="R405" s="154" t="s">
        <v>60</v>
      </c>
      <c r="S405" s="154" t="s">
        <v>60</v>
      </c>
      <c r="T405" s="154" t="s">
        <v>60</v>
      </c>
      <c r="U405" s="154" t="s">
        <v>60</v>
      </c>
      <c r="V405" s="154" t="s">
        <v>66</v>
      </c>
      <c r="W405" s="154" t="s">
        <v>60</v>
      </c>
      <c r="X405" s="154" t="s">
        <v>60</v>
      </c>
      <c r="Y405" s="154"/>
      <c r="Z405" s="242" t="b">
        <f t="shared" si="2"/>
        <v>1</v>
      </c>
      <c r="AA405" s="154" t="s">
        <v>391</v>
      </c>
      <c r="AB405" s="242" t="b">
        <f t="shared" si="3"/>
        <v>0</v>
      </c>
      <c r="AC405" s="154"/>
      <c r="AD405" s="242" t="b">
        <f t="shared" si="4"/>
        <v>0</v>
      </c>
      <c r="AE405" s="154" t="s">
        <v>1621</v>
      </c>
      <c r="AF405" s="243" t="str">
        <f>IF(AE405="","N/A",INDIRECT("MTR!"&amp;ADDRESS(MATCH(LEFT(AE405,9),MTR!C:C,0),COLUMN(J405)),TRUE) &amp; "")</f>
        <v>Partially Complies</v>
      </c>
      <c r="AG405" s="157" t="str">
        <f t="shared" si="5"/>
        <v/>
      </c>
      <c r="AH405" s="152"/>
      <c r="AI405" s="152"/>
      <c r="AJ405" s="152"/>
      <c r="AK405" s="152"/>
      <c r="AL405" s="152"/>
      <c r="AM405" s="152"/>
      <c r="AN405" s="152"/>
      <c r="AO405" s="152"/>
      <c r="AP405" s="152"/>
      <c r="AQ405" s="152"/>
      <c r="AR405" s="152"/>
    </row>
    <row r="406" ht="12.75" customHeight="1">
      <c r="A406" s="244" t="s">
        <v>5158</v>
      </c>
      <c r="B406" s="244" t="s">
        <v>12721</v>
      </c>
      <c r="C406" s="245" t="s">
        <v>13800</v>
      </c>
      <c r="D406" s="155" t="s">
        <v>1315</v>
      </c>
      <c r="E406" s="155" t="s">
        <v>92</v>
      </c>
      <c r="F406" s="154" t="str">
        <f t="array" ref="F406">XLOOKUP(Cover!$D$12,$P$1:$X$1,$P406:$X406)</f>
        <v>Mandatory</v>
      </c>
      <c r="G406" s="154" t="s">
        <v>13801</v>
      </c>
      <c r="H406" s="154" t="s">
        <v>13418</v>
      </c>
      <c r="I406" s="154" t="s">
        <v>13802</v>
      </c>
      <c r="J406" s="154" t="s">
        <v>6140</v>
      </c>
      <c r="K406" s="154" t="s">
        <v>175</v>
      </c>
      <c r="L406" s="154" t="s">
        <v>759</v>
      </c>
      <c r="M406" s="247" t="s">
        <v>506</v>
      </c>
      <c r="N406" s="247" t="s">
        <v>12738</v>
      </c>
      <c r="O406" s="240" t="str">
        <f t="shared" si="1"/>
        <v/>
      </c>
      <c r="P406" s="154" t="s">
        <v>66</v>
      </c>
      <c r="Q406" s="154" t="s">
        <v>66</v>
      </c>
      <c r="R406" s="154" t="s">
        <v>60</v>
      </c>
      <c r="S406" s="154" t="s">
        <v>60</v>
      </c>
      <c r="T406" s="154" t="s">
        <v>60</v>
      </c>
      <c r="U406" s="154" t="s">
        <v>60</v>
      </c>
      <c r="V406" s="154" t="s">
        <v>66</v>
      </c>
      <c r="W406" s="154" t="s">
        <v>60</v>
      </c>
      <c r="X406" s="154" t="s">
        <v>60</v>
      </c>
      <c r="Y406" s="154"/>
      <c r="Z406" s="242" t="b">
        <f t="shared" si="2"/>
        <v>1</v>
      </c>
      <c r="AA406" s="154" t="s">
        <v>391</v>
      </c>
      <c r="AB406" s="242" t="b">
        <f t="shared" si="3"/>
        <v>0</v>
      </c>
      <c r="AC406" s="154"/>
      <c r="AD406" s="242" t="b">
        <f t="shared" si="4"/>
        <v>0</v>
      </c>
      <c r="AE406" s="154" t="s">
        <v>1621</v>
      </c>
      <c r="AF406" s="243" t="str">
        <f>IF(AE406="","N/A",INDIRECT("MTR!"&amp;ADDRESS(MATCH(LEFT(AE406,9),MTR!C:C,0),COLUMN(J406)),TRUE) &amp; "")</f>
        <v>Partially Complies</v>
      </c>
      <c r="AG406" s="157" t="str">
        <f t="shared" si="5"/>
        <v/>
      </c>
      <c r="AH406" s="152"/>
      <c r="AI406" s="152"/>
      <c r="AJ406" s="152"/>
      <c r="AK406" s="152"/>
      <c r="AL406" s="152"/>
      <c r="AM406" s="152"/>
      <c r="AN406" s="152"/>
      <c r="AO406" s="152"/>
      <c r="AP406" s="152"/>
      <c r="AQ406" s="152"/>
      <c r="AR406" s="152"/>
    </row>
    <row r="407" ht="12.75" customHeight="1">
      <c r="A407" s="244" t="s">
        <v>5158</v>
      </c>
      <c r="B407" s="244" t="s">
        <v>12721</v>
      </c>
      <c r="C407" s="245" t="s">
        <v>13803</v>
      </c>
      <c r="D407" s="155" t="s">
        <v>1315</v>
      </c>
      <c r="E407" s="155" t="s">
        <v>92</v>
      </c>
      <c r="F407" s="154" t="str">
        <f t="array" ref="F407">XLOOKUP(Cover!$D$12,$P$1:$X$1,$P407:$X407)</f>
        <v>Mandatory</v>
      </c>
      <c r="G407" s="154" t="s">
        <v>13804</v>
      </c>
      <c r="H407" s="154" t="s">
        <v>13422</v>
      </c>
      <c r="I407" s="154" t="s">
        <v>13802</v>
      </c>
      <c r="J407" s="154" t="s">
        <v>6022</v>
      </c>
      <c r="K407" s="154" t="s">
        <v>175</v>
      </c>
      <c r="L407" s="154" t="s">
        <v>759</v>
      </c>
      <c r="M407" s="247" t="s">
        <v>516</v>
      </c>
      <c r="N407" s="247" t="s">
        <v>12741</v>
      </c>
      <c r="O407" s="240" t="str">
        <f t="shared" si="1"/>
        <v/>
      </c>
      <c r="P407" s="154" t="s">
        <v>66</v>
      </c>
      <c r="Q407" s="154" t="s">
        <v>66</v>
      </c>
      <c r="R407" s="155" t="s">
        <v>64</v>
      </c>
      <c r="S407" s="155" t="s">
        <v>64</v>
      </c>
      <c r="T407" s="154" t="s">
        <v>60</v>
      </c>
      <c r="U407" s="154" t="s">
        <v>60</v>
      </c>
      <c r="V407" s="154" t="s">
        <v>66</v>
      </c>
      <c r="W407" s="155" t="s">
        <v>64</v>
      </c>
      <c r="X407" s="154" t="s">
        <v>60</v>
      </c>
      <c r="Y407" s="154"/>
      <c r="Z407" s="242" t="b">
        <f t="shared" si="2"/>
        <v>1</v>
      </c>
      <c r="AA407" s="154" t="s">
        <v>391</v>
      </c>
      <c r="AB407" s="242" t="b">
        <f t="shared" si="3"/>
        <v>0</v>
      </c>
      <c r="AC407" s="154"/>
      <c r="AD407" s="242" t="b">
        <f t="shared" si="4"/>
        <v>0</v>
      </c>
      <c r="AE407" s="154" t="s">
        <v>1621</v>
      </c>
      <c r="AF407" s="243" t="str">
        <f>IF(AE407="","N/A",INDIRECT("MTR!"&amp;ADDRESS(MATCH(LEFT(AE407,9),MTR!C:C,0),COLUMN(J407)),TRUE) &amp; "")</f>
        <v>Partially Complies</v>
      </c>
      <c r="AG407" s="157" t="str">
        <f t="shared" si="5"/>
        <v/>
      </c>
      <c r="AH407" s="152"/>
      <c r="AI407" s="152"/>
      <c r="AJ407" s="152"/>
      <c r="AK407" s="152"/>
      <c r="AL407" s="152"/>
      <c r="AM407" s="152"/>
      <c r="AN407" s="152"/>
      <c r="AO407" s="152"/>
      <c r="AP407" s="152"/>
      <c r="AQ407" s="152"/>
      <c r="AR407" s="152"/>
    </row>
    <row r="408" ht="12.75" customHeight="1">
      <c r="A408" s="244" t="s">
        <v>5158</v>
      </c>
      <c r="B408" s="244" t="s">
        <v>12721</v>
      </c>
      <c r="C408" s="245" t="s">
        <v>13805</v>
      </c>
      <c r="D408" s="155" t="s">
        <v>1315</v>
      </c>
      <c r="E408" s="155" t="s">
        <v>92</v>
      </c>
      <c r="F408" s="154" t="str">
        <f t="array" ref="F408">XLOOKUP(Cover!$D$12,$P$1:$X$1,$P408:$X408)</f>
        <v>Mandatory</v>
      </c>
      <c r="G408" s="154" t="s">
        <v>13806</v>
      </c>
      <c r="H408" s="154" t="s">
        <v>13418</v>
      </c>
      <c r="I408" s="154" t="s">
        <v>13802</v>
      </c>
      <c r="J408" s="154" t="s">
        <v>6905</v>
      </c>
      <c r="K408" s="154" t="s">
        <v>175</v>
      </c>
      <c r="L408" s="154" t="s">
        <v>759</v>
      </c>
      <c r="M408" s="247" t="s">
        <v>506</v>
      </c>
      <c r="N408" s="247" t="s">
        <v>12738</v>
      </c>
      <c r="O408" s="240" t="str">
        <f t="shared" si="1"/>
        <v/>
      </c>
      <c r="P408" s="154" t="s">
        <v>66</v>
      </c>
      <c r="Q408" s="154" t="s">
        <v>66</v>
      </c>
      <c r="R408" s="154" t="s">
        <v>60</v>
      </c>
      <c r="S408" s="154" t="s">
        <v>60</v>
      </c>
      <c r="T408" s="154" t="s">
        <v>60</v>
      </c>
      <c r="U408" s="154" t="s">
        <v>60</v>
      </c>
      <c r="V408" s="154" t="s">
        <v>66</v>
      </c>
      <c r="W408" s="154" t="s">
        <v>60</v>
      </c>
      <c r="X408" s="154" t="s">
        <v>60</v>
      </c>
      <c r="Y408" s="154"/>
      <c r="Z408" s="242" t="b">
        <f t="shared" si="2"/>
        <v>1</v>
      </c>
      <c r="AA408" s="154" t="s">
        <v>391</v>
      </c>
      <c r="AB408" s="242" t="b">
        <f t="shared" si="3"/>
        <v>0</v>
      </c>
      <c r="AC408" s="154"/>
      <c r="AD408" s="242" t="b">
        <f t="shared" si="4"/>
        <v>0</v>
      </c>
      <c r="AE408" s="154" t="s">
        <v>1621</v>
      </c>
      <c r="AF408" s="243" t="str">
        <f>IF(AE408="","N/A",INDIRECT("MTR!"&amp;ADDRESS(MATCH(LEFT(AE408,9),MTR!C:C,0),COLUMN(J408)),TRUE) &amp; "")</f>
        <v>Partially Complies</v>
      </c>
      <c r="AG408" s="157" t="str">
        <f t="shared" si="5"/>
        <v/>
      </c>
      <c r="AH408" s="152"/>
      <c r="AI408" s="152"/>
      <c r="AJ408" s="152"/>
      <c r="AK408" s="152"/>
      <c r="AL408" s="152"/>
      <c r="AM408" s="152"/>
      <c r="AN408" s="152"/>
      <c r="AO408" s="152"/>
      <c r="AP408" s="152"/>
      <c r="AQ408" s="152"/>
      <c r="AR408" s="152"/>
    </row>
    <row r="409" ht="12.75" customHeight="1">
      <c r="A409" s="244" t="s">
        <v>5158</v>
      </c>
      <c r="B409" s="244" t="s">
        <v>12721</v>
      </c>
      <c r="C409" s="245" t="s">
        <v>13807</v>
      </c>
      <c r="D409" s="155" t="s">
        <v>1315</v>
      </c>
      <c r="E409" s="155" t="s">
        <v>92</v>
      </c>
      <c r="F409" s="154" t="str">
        <f t="array" ref="F409">XLOOKUP(Cover!$D$12,$P$1:$X$1,$P409:$X409)</f>
        <v>Mandatory</v>
      </c>
      <c r="G409" s="154" t="s">
        <v>13808</v>
      </c>
      <c r="H409" s="154" t="s">
        <v>13422</v>
      </c>
      <c r="I409" s="154" t="s">
        <v>13802</v>
      </c>
      <c r="J409" s="154" t="s">
        <v>6905</v>
      </c>
      <c r="K409" s="154" t="s">
        <v>175</v>
      </c>
      <c r="L409" s="154" t="s">
        <v>759</v>
      </c>
      <c r="M409" s="247" t="s">
        <v>516</v>
      </c>
      <c r="N409" s="247" t="s">
        <v>12741</v>
      </c>
      <c r="O409" s="240" t="str">
        <f t="shared" si="1"/>
        <v/>
      </c>
      <c r="P409" s="154" t="s">
        <v>66</v>
      </c>
      <c r="Q409" s="154" t="s">
        <v>66</v>
      </c>
      <c r="R409" s="155" t="s">
        <v>64</v>
      </c>
      <c r="S409" s="155" t="s">
        <v>64</v>
      </c>
      <c r="T409" s="154" t="s">
        <v>60</v>
      </c>
      <c r="U409" s="154" t="s">
        <v>60</v>
      </c>
      <c r="V409" s="154" t="s">
        <v>66</v>
      </c>
      <c r="W409" s="155" t="s">
        <v>64</v>
      </c>
      <c r="X409" s="154" t="s">
        <v>60</v>
      </c>
      <c r="Y409" s="154"/>
      <c r="Z409" s="242" t="b">
        <f t="shared" si="2"/>
        <v>1</v>
      </c>
      <c r="AA409" s="154" t="s">
        <v>391</v>
      </c>
      <c r="AB409" s="242" t="b">
        <f t="shared" si="3"/>
        <v>0</v>
      </c>
      <c r="AC409" s="154"/>
      <c r="AD409" s="242" t="b">
        <f t="shared" si="4"/>
        <v>0</v>
      </c>
      <c r="AE409" s="154" t="s">
        <v>1621</v>
      </c>
      <c r="AF409" s="243" t="str">
        <f>IF(AE409="","N/A",INDIRECT("MTR!"&amp;ADDRESS(MATCH(LEFT(AE409,9),MTR!C:C,0),COLUMN(J409)),TRUE) &amp; "")</f>
        <v>Partially Complies</v>
      </c>
      <c r="AG409" s="157" t="str">
        <f t="shared" si="5"/>
        <v/>
      </c>
      <c r="AH409" s="152"/>
      <c r="AI409" s="152"/>
      <c r="AJ409" s="152"/>
      <c r="AK409" s="152"/>
      <c r="AL409" s="152"/>
      <c r="AM409" s="152"/>
      <c r="AN409" s="152"/>
      <c r="AO409" s="152"/>
      <c r="AP409" s="152"/>
      <c r="AQ409" s="152"/>
      <c r="AR409" s="152"/>
    </row>
    <row r="410" ht="12.75" customHeight="1">
      <c r="A410" s="244" t="s">
        <v>5158</v>
      </c>
      <c r="B410" s="244" t="s">
        <v>12721</v>
      </c>
      <c r="C410" s="245" t="s">
        <v>13809</v>
      </c>
      <c r="D410" s="155" t="s">
        <v>1773</v>
      </c>
      <c r="E410" s="155" t="s">
        <v>92</v>
      </c>
      <c r="F410" s="154" t="str">
        <f t="array" ref="F410">XLOOKUP(Cover!$D$12,$P$1:$X$1,$P410:$X410)</f>
        <v>Mandatory</v>
      </c>
      <c r="G410" s="154" t="s">
        <v>13810</v>
      </c>
      <c r="H410" s="154" t="s">
        <v>13418</v>
      </c>
      <c r="I410" s="154" t="s">
        <v>13802</v>
      </c>
      <c r="J410" s="154" t="s">
        <v>7175</v>
      </c>
      <c r="K410" s="154" t="s">
        <v>175</v>
      </c>
      <c r="L410" s="154" t="s">
        <v>759</v>
      </c>
      <c r="M410" s="247" t="s">
        <v>506</v>
      </c>
      <c r="N410" s="247" t="s">
        <v>12738</v>
      </c>
      <c r="O410" s="240" t="str">
        <f t="shared" si="1"/>
        <v/>
      </c>
      <c r="P410" s="154" t="s">
        <v>66</v>
      </c>
      <c r="Q410" s="154" t="s">
        <v>66</v>
      </c>
      <c r="R410" s="154" t="s">
        <v>60</v>
      </c>
      <c r="S410" s="154" t="s">
        <v>60</v>
      </c>
      <c r="T410" s="154" t="s">
        <v>60</v>
      </c>
      <c r="U410" s="154" t="s">
        <v>60</v>
      </c>
      <c r="V410" s="154" t="s">
        <v>66</v>
      </c>
      <c r="W410" s="154" t="s">
        <v>60</v>
      </c>
      <c r="X410" s="154" t="s">
        <v>60</v>
      </c>
      <c r="Y410" s="154"/>
      <c r="Z410" s="242" t="b">
        <f t="shared" si="2"/>
        <v>1</v>
      </c>
      <c r="AA410" s="154" t="s">
        <v>391</v>
      </c>
      <c r="AB410" s="242" t="b">
        <f t="shared" si="3"/>
        <v>0</v>
      </c>
      <c r="AC410" s="154"/>
      <c r="AD410" s="242" t="b">
        <f t="shared" si="4"/>
        <v>0</v>
      </c>
      <c r="AE410" s="154" t="s">
        <v>1621</v>
      </c>
      <c r="AF410" s="243" t="str">
        <f>IF(AE410="","N/A",INDIRECT("MTR!"&amp;ADDRESS(MATCH(LEFT(AE410,9),MTR!C:C,0),COLUMN(J410)),TRUE) &amp; "")</f>
        <v>Partially Complies</v>
      </c>
      <c r="AG410" s="157" t="str">
        <f t="shared" si="5"/>
        <v/>
      </c>
      <c r="AH410" s="152"/>
      <c r="AI410" s="152"/>
      <c r="AJ410" s="152"/>
      <c r="AK410" s="152"/>
      <c r="AL410" s="152"/>
      <c r="AM410" s="152"/>
      <c r="AN410" s="152"/>
      <c r="AO410" s="152"/>
      <c r="AP410" s="152"/>
      <c r="AQ410" s="152"/>
      <c r="AR410" s="152"/>
    </row>
    <row r="411" ht="12.75" customHeight="1">
      <c r="A411" s="244" t="s">
        <v>5158</v>
      </c>
      <c r="B411" s="244" t="s">
        <v>12721</v>
      </c>
      <c r="C411" s="245" t="s">
        <v>13811</v>
      </c>
      <c r="D411" s="155" t="s">
        <v>1773</v>
      </c>
      <c r="E411" s="155" t="s">
        <v>92</v>
      </c>
      <c r="F411" s="154" t="str">
        <f t="array" ref="F411">XLOOKUP(Cover!$D$12,$P$1:$X$1,$P411:$X411)</f>
        <v>Mandatory</v>
      </c>
      <c r="G411" s="154" t="s">
        <v>13812</v>
      </c>
      <c r="H411" s="154" t="s">
        <v>13813</v>
      </c>
      <c r="I411" s="154" t="s">
        <v>13802</v>
      </c>
      <c r="J411" s="154" t="s">
        <v>7175</v>
      </c>
      <c r="K411" s="154" t="s">
        <v>175</v>
      </c>
      <c r="L411" s="154" t="s">
        <v>759</v>
      </c>
      <c r="M411" s="247" t="s">
        <v>516</v>
      </c>
      <c r="N411" s="247" t="s">
        <v>12741</v>
      </c>
      <c r="O411" s="240" t="str">
        <f t="shared" si="1"/>
        <v/>
      </c>
      <c r="P411" s="154" t="s">
        <v>66</v>
      </c>
      <c r="Q411" s="154" t="s">
        <v>66</v>
      </c>
      <c r="R411" s="155" t="s">
        <v>64</v>
      </c>
      <c r="S411" s="155" t="s">
        <v>64</v>
      </c>
      <c r="T411" s="154" t="s">
        <v>60</v>
      </c>
      <c r="U411" s="154" t="s">
        <v>60</v>
      </c>
      <c r="V411" s="154" t="s">
        <v>66</v>
      </c>
      <c r="W411" s="155" t="s">
        <v>64</v>
      </c>
      <c r="X411" s="154" t="s">
        <v>60</v>
      </c>
      <c r="Y411" s="154"/>
      <c r="Z411" s="242" t="b">
        <f t="shared" si="2"/>
        <v>1</v>
      </c>
      <c r="AA411" s="154" t="s">
        <v>391</v>
      </c>
      <c r="AB411" s="242" t="b">
        <f t="shared" si="3"/>
        <v>0</v>
      </c>
      <c r="AC411" s="154"/>
      <c r="AD411" s="242" t="b">
        <f t="shared" si="4"/>
        <v>0</v>
      </c>
      <c r="AE411" s="154" t="s">
        <v>1621</v>
      </c>
      <c r="AF411" s="243" t="str">
        <f>IF(AE411="","N/A",INDIRECT("MTR!"&amp;ADDRESS(MATCH(LEFT(AE411,9),MTR!C:C,0),COLUMN(J411)),TRUE) &amp; "")</f>
        <v>Partially Complies</v>
      </c>
      <c r="AG411" s="157" t="str">
        <f t="shared" si="5"/>
        <v/>
      </c>
      <c r="AH411" s="152"/>
      <c r="AI411" s="152"/>
      <c r="AJ411" s="152"/>
      <c r="AK411" s="152"/>
      <c r="AL411" s="152"/>
      <c r="AM411" s="152"/>
      <c r="AN411" s="152"/>
      <c r="AO411" s="152"/>
      <c r="AP411" s="152"/>
      <c r="AQ411" s="152"/>
      <c r="AR411" s="152"/>
    </row>
    <row r="412" ht="12.75" customHeight="1">
      <c r="A412" s="244" t="s">
        <v>5158</v>
      </c>
      <c r="B412" s="244" t="s">
        <v>12721</v>
      </c>
      <c r="C412" s="244" t="s">
        <v>13814</v>
      </c>
      <c r="D412" s="154" t="s">
        <v>45</v>
      </c>
      <c r="E412" s="154"/>
      <c r="F412" s="154" t="str">
        <f t="array" ref="F412">XLOOKUP(Cover!$D$12,$P$1:$X$1,$P412:$X412)</f>
        <v>Information</v>
      </c>
      <c r="G412" s="154" t="s">
        <v>13815</v>
      </c>
      <c r="H412" s="154" t="s">
        <v>12950</v>
      </c>
      <c r="I412" s="154" t="s">
        <v>13816</v>
      </c>
      <c r="J412" s="154" t="s">
        <v>6126</v>
      </c>
      <c r="K412" s="154"/>
      <c r="L412" s="154" t="s">
        <v>759</v>
      </c>
      <c r="M412" s="247" t="s">
        <v>516</v>
      </c>
      <c r="N412" s="247" t="s">
        <v>12731</v>
      </c>
      <c r="O412" s="240" t="str">
        <f t="shared" si="1"/>
        <v/>
      </c>
      <c r="P412" s="154" t="s">
        <v>66</v>
      </c>
      <c r="Q412" s="154" t="s">
        <v>66</v>
      </c>
      <c r="R412" s="154" t="s">
        <v>66</v>
      </c>
      <c r="S412" s="154" t="s">
        <v>66</v>
      </c>
      <c r="T412" s="154" t="s">
        <v>66</v>
      </c>
      <c r="U412" s="154" t="s">
        <v>66</v>
      </c>
      <c r="V412" s="154" t="s">
        <v>66</v>
      </c>
      <c r="W412" s="154" t="s">
        <v>66</v>
      </c>
      <c r="X412" s="154" t="s">
        <v>66</v>
      </c>
      <c r="Y412" s="154"/>
      <c r="Z412" s="242" t="b">
        <f t="shared" si="2"/>
        <v>1</v>
      </c>
      <c r="AA412" s="154" t="s">
        <v>391</v>
      </c>
      <c r="AB412" s="242" t="b">
        <f t="shared" si="3"/>
        <v>0</v>
      </c>
      <c r="AC412" s="154"/>
      <c r="AD412" s="242" t="b">
        <f t="shared" si="4"/>
        <v>0</v>
      </c>
      <c r="AE412" s="154" t="s">
        <v>1621</v>
      </c>
      <c r="AF412" s="243" t="str">
        <f>IF(AE412="","N/A",INDIRECT("MTR!"&amp;ADDRESS(MATCH(LEFT(AE412,9),MTR!C:C,0),COLUMN(J412)),TRUE) &amp; "")</f>
        <v>Partially Complies</v>
      </c>
      <c r="AG412" s="157" t="str">
        <f t="shared" si="5"/>
        <v/>
      </c>
      <c r="AH412" s="152"/>
      <c r="AI412" s="152"/>
      <c r="AJ412" s="152"/>
      <c r="AK412" s="152"/>
      <c r="AL412" s="152"/>
      <c r="AM412" s="152"/>
      <c r="AN412" s="152"/>
      <c r="AO412" s="152"/>
      <c r="AP412" s="152"/>
      <c r="AQ412" s="152"/>
      <c r="AR412" s="152"/>
    </row>
    <row r="413" ht="12.75" customHeight="1">
      <c r="A413" s="244" t="s">
        <v>5158</v>
      </c>
      <c r="B413" s="244" t="s">
        <v>12721</v>
      </c>
      <c r="C413" s="244" t="s">
        <v>13817</v>
      </c>
      <c r="D413" s="154" t="s">
        <v>45</v>
      </c>
      <c r="E413" s="154"/>
      <c r="F413" s="154" t="str">
        <f t="array" ref="F413">XLOOKUP(Cover!$D$12,$P$1:$X$1,$P413:$X413)</f>
        <v>Information</v>
      </c>
      <c r="G413" s="154" t="s">
        <v>13818</v>
      </c>
      <c r="H413" s="154" t="s">
        <v>13523</v>
      </c>
      <c r="I413" s="154" t="s">
        <v>13816</v>
      </c>
      <c r="J413" s="154" t="s">
        <v>6126</v>
      </c>
      <c r="K413" s="154"/>
      <c r="L413" s="154" t="s">
        <v>759</v>
      </c>
      <c r="M413" s="247" t="s">
        <v>516</v>
      </c>
      <c r="N413" s="247" t="s">
        <v>12731</v>
      </c>
      <c r="O413" s="240" t="str">
        <f t="shared" si="1"/>
        <v/>
      </c>
      <c r="P413" s="154" t="s">
        <v>66</v>
      </c>
      <c r="Q413" s="154" t="s">
        <v>66</v>
      </c>
      <c r="R413" s="154" t="s">
        <v>66</v>
      </c>
      <c r="S413" s="154" t="s">
        <v>66</v>
      </c>
      <c r="T413" s="154" t="s">
        <v>66</v>
      </c>
      <c r="U413" s="154" t="s">
        <v>66</v>
      </c>
      <c r="V413" s="154" t="s">
        <v>66</v>
      </c>
      <c r="W413" s="154" t="s">
        <v>66</v>
      </c>
      <c r="X413" s="154" t="s">
        <v>66</v>
      </c>
      <c r="Y413" s="154"/>
      <c r="Z413" s="242" t="b">
        <f t="shared" si="2"/>
        <v>1</v>
      </c>
      <c r="AA413" s="154" t="s">
        <v>391</v>
      </c>
      <c r="AB413" s="242" t="b">
        <f t="shared" si="3"/>
        <v>0</v>
      </c>
      <c r="AC413" s="154"/>
      <c r="AD413" s="242" t="b">
        <f t="shared" si="4"/>
        <v>0</v>
      </c>
      <c r="AE413" s="154" t="s">
        <v>1621</v>
      </c>
      <c r="AF413" s="243" t="str">
        <f>IF(AE413="","N/A",INDIRECT("MTR!"&amp;ADDRESS(MATCH(LEFT(AE413,9),MTR!C:C,0),COLUMN(J413)),TRUE) &amp; "")</f>
        <v>Partially Complies</v>
      </c>
      <c r="AG413" s="157" t="str">
        <f t="shared" si="5"/>
        <v/>
      </c>
      <c r="AH413" s="152"/>
      <c r="AI413" s="152"/>
      <c r="AJ413" s="152"/>
      <c r="AK413" s="152"/>
      <c r="AL413" s="152"/>
      <c r="AM413" s="152"/>
      <c r="AN413" s="152"/>
      <c r="AO413" s="152"/>
      <c r="AP413" s="152"/>
      <c r="AQ413" s="152"/>
      <c r="AR413" s="152"/>
    </row>
    <row r="414" ht="12.75" customHeight="1">
      <c r="A414" s="244" t="s">
        <v>5158</v>
      </c>
      <c r="B414" s="244" t="s">
        <v>12721</v>
      </c>
      <c r="C414" s="244" t="s">
        <v>13819</v>
      </c>
      <c r="D414" s="154" t="s">
        <v>45</v>
      </c>
      <c r="E414" s="154"/>
      <c r="F414" s="154" t="str">
        <f t="array" ref="F414">XLOOKUP(Cover!$D$12,$P$1:$X$1,$P414:$X414)</f>
        <v>Information</v>
      </c>
      <c r="G414" s="154" t="s">
        <v>13820</v>
      </c>
      <c r="H414" s="154" t="s">
        <v>12950</v>
      </c>
      <c r="I414" s="154" t="s">
        <v>13821</v>
      </c>
      <c r="J414" s="154" t="s">
        <v>6126</v>
      </c>
      <c r="K414" s="154"/>
      <c r="L414" s="154" t="s">
        <v>759</v>
      </c>
      <c r="M414" s="247" t="s">
        <v>516</v>
      </c>
      <c r="N414" s="247" t="s">
        <v>12731</v>
      </c>
      <c r="O414" s="240" t="str">
        <f t="shared" si="1"/>
        <v/>
      </c>
      <c r="P414" s="154" t="s">
        <v>66</v>
      </c>
      <c r="Q414" s="154" t="s">
        <v>66</v>
      </c>
      <c r="R414" s="154" t="s">
        <v>66</v>
      </c>
      <c r="S414" s="154" t="s">
        <v>66</v>
      </c>
      <c r="T414" s="154" t="s">
        <v>66</v>
      </c>
      <c r="U414" s="154" t="s">
        <v>66</v>
      </c>
      <c r="V414" s="154" t="s">
        <v>66</v>
      </c>
      <c r="W414" s="154" t="s">
        <v>66</v>
      </c>
      <c r="X414" s="154" t="s">
        <v>66</v>
      </c>
      <c r="Y414" s="154"/>
      <c r="Z414" s="242" t="b">
        <f t="shared" si="2"/>
        <v>1</v>
      </c>
      <c r="AA414" s="154" t="s">
        <v>391</v>
      </c>
      <c r="AB414" s="242" t="b">
        <f t="shared" si="3"/>
        <v>0</v>
      </c>
      <c r="AC414" s="154"/>
      <c r="AD414" s="242" t="b">
        <f t="shared" si="4"/>
        <v>0</v>
      </c>
      <c r="AE414" s="154" t="s">
        <v>1621</v>
      </c>
      <c r="AF414" s="243" t="str">
        <f>IF(AE414="","N/A",INDIRECT("MTR!"&amp;ADDRESS(MATCH(LEFT(AE414,9),MTR!C:C,0),COLUMN(J414)),TRUE) &amp; "")</f>
        <v>Partially Complies</v>
      </c>
      <c r="AG414" s="157" t="str">
        <f t="shared" si="5"/>
        <v/>
      </c>
      <c r="AH414" s="152"/>
      <c r="AI414" s="152"/>
      <c r="AJ414" s="152"/>
      <c r="AK414" s="152"/>
      <c r="AL414" s="152"/>
      <c r="AM414" s="152"/>
      <c r="AN414" s="152"/>
      <c r="AO414" s="152"/>
      <c r="AP414" s="152"/>
      <c r="AQ414" s="152"/>
      <c r="AR414" s="152"/>
    </row>
    <row r="415" ht="12.75" customHeight="1">
      <c r="A415" s="244" t="s">
        <v>5158</v>
      </c>
      <c r="B415" s="244" t="s">
        <v>12721</v>
      </c>
      <c r="C415" s="244" t="s">
        <v>13822</v>
      </c>
      <c r="D415" s="154" t="s">
        <v>45</v>
      </c>
      <c r="E415" s="154"/>
      <c r="F415" s="154" t="str">
        <f t="array" ref="F415">XLOOKUP(Cover!$D$12,$P$1:$X$1,$P415:$X415)</f>
        <v>Information</v>
      </c>
      <c r="G415" s="154" t="s">
        <v>13823</v>
      </c>
      <c r="H415" s="154" t="s">
        <v>13523</v>
      </c>
      <c r="I415" s="154" t="s">
        <v>13816</v>
      </c>
      <c r="J415" s="154" t="s">
        <v>6126</v>
      </c>
      <c r="K415" s="154"/>
      <c r="L415" s="154" t="s">
        <v>759</v>
      </c>
      <c r="M415" s="247" t="s">
        <v>516</v>
      </c>
      <c r="N415" s="247" t="s">
        <v>12731</v>
      </c>
      <c r="O415" s="240" t="str">
        <f t="shared" si="1"/>
        <v/>
      </c>
      <c r="P415" s="154" t="s">
        <v>66</v>
      </c>
      <c r="Q415" s="154" t="s">
        <v>66</v>
      </c>
      <c r="R415" s="154" t="s">
        <v>66</v>
      </c>
      <c r="S415" s="154" t="s">
        <v>66</v>
      </c>
      <c r="T415" s="154" t="s">
        <v>66</v>
      </c>
      <c r="U415" s="154" t="s">
        <v>66</v>
      </c>
      <c r="V415" s="154" t="s">
        <v>66</v>
      </c>
      <c r="W415" s="154" t="s">
        <v>66</v>
      </c>
      <c r="X415" s="154" t="s">
        <v>66</v>
      </c>
      <c r="Y415" s="154"/>
      <c r="Z415" s="242" t="b">
        <f t="shared" si="2"/>
        <v>1</v>
      </c>
      <c r="AA415" s="154" t="s">
        <v>391</v>
      </c>
      <c r="AB415" s="242" t="b">
        <f t="shared" si="3"/>
        <v>0</v>
      </c>
      <c r="AC415" s="154"/>
      <c r="AD415" s="242" t="b">
        <f t="shared" si="4"/>
        <v>0</v>
      </c>
      <c r="AE415" s="154" t="s">
        <v>1621</v>
      </c>
      <c r="AF415" s="243" t="str">
        <f>IF(AE415="","N/A",INDIRECT("MTR!"&amp;ADDRESS(MATCH(LEFT(AE415,9),MTR!C:C,0),COLUMN(J415)),TRUE) &amp; "")</f>
        <v>Partially Complies</v>
      </c>
      <c r="AG415" s="157" t="str">
        <f t="shared" si="5"/>
        <v/>
      </c>
      <c r="AH415" s="152"/>
      <c r="AI415" s="152"/>
      <c r="AJ415" s="152"/>
      <c r="AK415" s="152"/>
      <c r="AL415" s="152"/>
      <c r="AM415" s="152"/>
      <c r="AN415" s="152"/>
      <c r="AO415" s="152"/>
      <c r="AP415" s="152"/>
      <c r="AQ415" s="152"/>
      <c r="AR415" s="152"/>
    </row>
    <row r="416" ht="12.75" customHeight="1">
      <c r="A416" s="244" t="s">
        <v>5158</v>
      </c>
      <c r="B416" s="244" t="s">
        <v>12721</v>
      </c>
      <c r="C416" s="244" t="s">
        <v>13824</v>
      </c>
      <c r="D416" s="154" t="s">
        <v>45</v>
      </c>
      <c r="E416" s="154"/>
      <c r="F416" s="154" t="str">
        <f t="array" ref="F416">XLOOKUP(Cover!$D$12,$P$1:$X$1,$P416:$X416)</f>
        <v>Information</v>
      </c>
      <c r="G416" s="154" t="s">
        <v>13825</v>
      </c>
      <c r="H416" s="154" t="s">
        <v>12950</v>
      </c>
      <c r="I416" s="154" t="s">
        <v>13816</v>
      </c>
      <c r="J416" s="154" t="s">
        <v>6126</v>
      </c>
      <c r="K416" s="154"/>
      <c r="L416" s="154" t="s">
        <v>759</v>
      </c>
      <c r="M416" s="247" t="s">
        <v>516</v>
      </c>
      <c r="N416" s="247" t="s">
        <v>12731</v>
      </c>
      <c r="O416" s="240" t="str">
        <f t="shared" si="1"/>
        <v/>
      </c>
      <c r="P416" s="154" t="s">
        <v>66</v>
      </c>
      <c r="Q416" s="154" t="s">
        <v>66</v>
      </c>
      <c r="R416" s="154" t="s">
        <v>66</v>
      </c>
      <c r="S416" s="154" t="s">
        <v>66</v>
      </c>
      <c r="T416" s="154" t="s">
        <v>66</v>
      </c>
      <c r="U416" s="154" t="s">
        <v>66</v>
      </c>
      <c r="V416" s="154" t="s">
        <v>66</v>
      </c>
      <c r="W416" s="154" t="s">
        <v>66</v>
      </c>
      <c r="X416" s="154" t="s">
        <v>66</v>
      </c>
      <c r="Y416" s="154"/>
      <c r="Z416" s="242" t="b">
        <f t="shared" si="2"/>
        <v>1</v>
      </c>
      <c r="AA416" s="154" t="s">
        <v>391</v>
      </c>
      <c r="AB416" s="242" t="b">
        <f t="shared" si="3"/>
        <v>0</v>
      </c>
      <c r="AC416" s="154"/>
      <c r="AD416" s="242" t="b">
        <f t="shared" si="4"/>
        <v>0</v>
      </c>
      <c r="AE416" s="154" t="s">
        <v>1621</v>
      </c>
      <c r="AF416" s="243" t="str">
        <f>IF(AE416="","N/A",INDIRECT("MTR!"&amp;ADDRESS(MATCH(LEFT(AE416,9),MTR!C:C,0),COLUMN(J416)),TRUE) &amp; "")</f>
        <v>Partially Complies</v>
      </c>
      <c r="AG416" s="157" t="str">
        <f t="shared" si="5"/>
        <v/>
      </c>
      <c r="AH416" s="152"/>
      <c r="AI416" s="152"/>
      <c r="AJ416" s="152"/>
      <c r="AK416" s="152"/>
      <c r="AL416" s="152"/>
      <c r="AM416" s="152"/>
      <c r="AN416" s="152"/>
      <c r="AO416" s="152"/>
      <c r="AP416" s="152"/>
      <c r="AQ416" s="152"/>
      <c r="AR416" s="152"/>
    </row>
    <row r="417" ht="12.75" customHeight="1">
      <c r="A417" s="244" t="s">
        <v>5158</v>
      </c>
      <c r="B417" s="244" t="s">
        <v>12721</v>
      </c>
      <c r="C417" s="244" t="s">
        <v>13826</v>
      </c>
      <c r="D417" s="154" t="s">
        <v>45</v>
      </c>
      <c r="E417" s="154"/>
      <c r="F417" s="154" t="str">
        <f t="array" ref="F417">XLOOKUP(Cover!$D$12,$P$1:$X$1,$P417:$X417)</f>
        <v>Information</v>
      </c>
      <c r="G417" s="154" t="s">
        <v>13827</v>
      </c>
      <c r="H417" s="154" t="s">
        <v>13523</v>
      </c>
      <c r="I417" s="154" t="s">
        <v>13816</v>
      </c>
      <c r="J417" s="154" t="s">
        <v>6126</v>
      </c>
      <c r="K417" s="154"/>
      <c r="L417" s="154" t="s">
        <v>759</v>
      </c>
      <c r="M417" s="247" t="s">
        <v>516</v>
      </c>
      <c r="N417" s="247" t="s">
        <v>12731</v>
      </c>
      <c r="O417" s="240" t="str">
        <f t="shared" si="1"/>
        <v/>
      </c>
      <c r="P417" s="154" t="s">
        <v>66</v>
      </c>
      <c r="Q417" s="154" t="s">
        <v>66</v>
      </c>
      <c r="R417" s="154" t="s">
        <v>66</v>
      </c>
      <c r="S417" s="154" t="s">
        <v>66</v>
      </c>
      <c r="T417" s="154" t="s">
        <v>66</v>
      </c>
      <c r="U417" s="154" t="s">
        <v>66</v>
      </c>
      <c r="V417" s="154" t="s">
        <v>66</v>
      </c>
      <c r="W417" s="154" t="s">
        <v>66</v>
      </c>
      <c r="X417" s="154" t="s">
        <v>66</v>
      </c>
      <c r="Y417" s="154"/>
      <c r="Z417" s="242" t="b">
        <f t="shared" si="2"/>
        <v>1</v>
      </c>
      <c r="AA417" s="154" t="s">
        <v>391</v>
      </c>
      <c r="AB417" s="242" t="b">
        <f t="shared" si="3"/>
        <v>0</v>
      </c>
      <c r="AC417" s="154"/>
      <c r="AD417" s="242" t="b">
        <f t="shared" si="4"/>
        <v>0</v>
      </c>
      <c r="AE417" s="154" t="s">
        <v>1621</v>
      </c>
      <c r="AF417" s="243" t="str">
        <f>IF(AE417="","N/A",INDIRECT("MTR!"&amp;ADDRESS(MATCH(LEFT(AE417,9),MTR!C:C,0),COLUMN(J417)),TRUE) &amp; "")</f>
        <v>Partially Complies</v>
      </c>
      <c r="AG417" s="157" t="str">
        <f t="shared" si="5"/>
        <v/>
      </c>
      <c r="AH417" s="152"/>
      <c r="AI417" s="152"/>
      <c r="AJ417" s="152"/>
      <c r="AK417" s="152"/>
      <c r="AL417" s="152"/>
      <c r="AM417" s="152"/>
      <c r="AN417" s="152"/>
      <c r="AO417" s="152"/>
      <c r="AP417" s="152"/>
      <c r="AQ417" s="152"/>
      <c r="AR417" s="152"/>
    </row>
    <row r="418" ht="12.75" customHeight="1">
      <c r="A418" s="244" t="s">
        <v>5158</v>
      </c>
      <c r="B418" s="244" t="s">
        <v>12721</v>
      </c>
      <c r="C418" s="255" t="s">
        <v>13828</v>
      </c>
      <c r="D418" s="256" t="s">
        <v>42</v>
      </c>
      <c r="E418" s="256" t="s">
        <v>489</v>
      </c>
      <c r="F418" s="154" t="str">
        <f t="array" ref="F418">XLOOKUP(Cover!$D$12,$P$1:$X$1,$P418:$X418)</f>
        <v>Information</v>
      </c>
      <c r="G418" s="154" t="s">
        <v>13829</v>
      </c>
      <c r="H418" s="154" t="s">
        <v>13493</v>
      </c>
      <c r="I418" s="154" t="s">
        <v>13830</v>
      </c>
      <c r="J418" s="154" t="s">
        <v>5931</v>
      </c>
      <c r="K418" s="154"/>
      <c r="L418" s="154" t="s">
        <v>759</v>
      </c>
      <c r="M418" s="247" t="s">
        <v>516</v>
      </c>
      <c r="N418" s="247" t="s">
        <v>12731</v>
      </c>
      <c r="O418" s="240" t="str">
        <f t="shared" si="1"/>
        <v/>
      </c>
      <c r="P418" s="154" t="s">
        <v>66</v>
      </c>
      <c r="Q418" s="154" t="s">
        <v>66</v>
      </c>
      <c r="R418" s="154" t="s">
        <v>66</v>
      </c>
      <c r="S418" s="154" t="s">
        <v>66</v>
      </c>
      <c r="T418" s="154" t="s">
        <v>66</v>
      </c>
      <c r="U418" s="154" t="s">
        <v>66</v>
      </c>
      <c r="V418" s="154" t="s">
        <v>66</v>
      </c>
      <c r="W418" s="154" t="s">
        <v>66</v>
      </c>
      <c r="X418" s="154" t="s">
        <v>66</v>
      </c>
      <c r="Y418" s="154"/>
      <c r="Z418" s="242" t="b">
        <f t="shared" si="2"/>
        <v>1</v>
      </c>
      <c r="AA418" s="154" t="s">
        <v>391</v>
      </c>
      <c r="AB418" s="242" t="b">
        <f t="shared" si="3"/>
        <v>0</v>
      </c>
      <c r="AC418" s="154"/>
      <c r="AD418" s="242" t="b">
        <f t="shared" si="4"/>
        <v>0</v>
      </c>
      <c r="AE418" s="154" t="s">
        <v>1621</v>
      </c>
      <c r="AF418" s="243" t="str">
        <f>IF(AE418="","N/A",INDIRECT("MTR!"&amp;ADDRESS(MATCH(LEFT(AE418,9),MTR!C:C,0),COLUMN(J418)),TRUE) &amp; "")</f>
        <v>Partially Complies</v>
      </c>
      <c r="AG418" s="157" t="str">
        <f t="shared" si="5"/>
        <v/>
      </c>
      <c r="AH418" s="152"/>
      <c r="AI418" s="152"/>
      <c r="AJ418" s="152"/>
      <c r="AK418" s="152"/>
      <c r="AL418" s="152"/>
      <c r="AM418" s="152"/>
      <c r="AN418" s="152"/>
      <c r="AO418" s="152"/>
      <c r="AP418" s="152"/>
      <c r="AQ418" s="152"/>
      <c r="AR418" s="152"/>
    </row>
    <row r="419" ht="12.75" customHeight="1">
      <c r="A419" s="244" t="s">
        <v>5158</v>
      </c>
      <c r="B419" s="244" t="s">
        <v>12721</v>
      </c>
      <c r="C419" s="255" t="s">
        <v>13831</v>
      </c>
      <c r="D419" s="256" t="s">
        <v>42</v>
      </c>
      <c r="E419" s="256" t="s">
        <v>489</v>
      </c>
      <c r="F419" s="154" t="str">
        <f t="array" ref="F419">XLOOKUP(Cover!$D$12,$P$1:$X$1,$P419:$X419)</f>
        <v>Information</v>
      </c>
      <c r="G419" s="154" t="s">
        <v>13832</v>
      </c>
      <c r="H419" s="154" t="s">
        <v>13833</v>
      </c>
      <c r="I419" s="154" t="s">
        <v>13830</v>
      </c>
      <c r="J419" s="154" t="s">
        <v>6463</v>
      </c>
      <c r="K419" s="154"/>
      <c r="L419" s="154" t="s">
        <v>759</v>
      </c>
      <c r="M419" s="247" t="s">
        <v>516</v>
      </c>
      <c r="N419" s="247" t="s">
        <v>12731</v>
      </c>
      <c r="O419" s="240" t="str">
        <f t="shared" si="1"/>
        <v/>
      </c>
      <c r="P419" s="154" t="s">
        <v>66</v>
      </c>
      <c r="Q419" s="154" t="s">
        <v>66</v>
      </c>
      <c r="R419" s="154" t="s">
        <v>66</v>
      </c>
      <c r="S419" s="154" t="s">
        <v>66</v>
      </c>
      <c r="T419" s="154" t="s">
        <v>66</v>
      </c>
      <c r="U419" s="154" t="s">
        <v>66</v>
      </c>
      <c r="V419" s="154" t="s">
        <v>66</v>
      </c>
      <c r="W419" s="154" t="s">
        <v>66</v>
      </c>
      <c r="X419" s="154" t="s">
        <v>66</v>
      </c>
      <c r="Y419" s="154"/>
      <c r="Z419" s="242" t="b">
        <f t="shared" si="2"/>
        <v>1</v>
      </c>
      <c r="AA419" s="154" t="s">
        <v>391</v>
      </c>
      <c r="AB419" s="242" t="b">
        <f t="shared" si="3"/>
        <v>0</v>
      </c>
      <c r="AC419" s="154"/>
      <c r="AD419" s="242" t="b">
        <f t="shared" si="4"/>
        <v>0</v>
      </c>
      <c r="AE419" s="154" t="s">
        <v>1621</v>
      </c>
      <c r="AF419" s="243" t="str">
        <f>IF(AE419="","N/A",INDIRECT("MTR!"&amp;ADDRESS(MATCH(LEFT(AE419,9),MTR!C:C,0),COLUMN(J419)),TRUE) &amp; "")</f>
        <v>Partially Complies</v>
      </c>
      <c r="AG419" s="157" t="str">
        <f t="shared" si="5"/>
        <v/>
      </c>
      <c r="AH419" s="152"/>
      <c r="AI419" s="152"/>
      <c r="AJ419" s="152"/>
      <c r="AK419" s="152"/>
      <c r="AL419" s="152"/>
      <c r="AM419" s="152"/>
      <c r="AN419" s="152"/>
      <c r="AO419" s="152"/>
      <c r="AP419" s="152"/>
      <c r="AQ419" s="152"/>
      <c r="AR419" s="152"/>
    </row>
    <row r="420" ht="12.75" customHeight="1">
      <c r="A420" s="244" t="s">
        <v>5158</v>
      </c>
      <c r="B420" s="244" t="s">
        <v>12721</v>
      </c>
      <c r="C420" s="244" t="s">
        <v>13834</v>
      </c>
      <c r="D420" s="154" t="s">
        <v>503</v>
      </c>
      <c r="E420" s="154"/>
      <c r="F420" s="154" t="str">
        <f t="array" ref="F420">XLOOKUP(Cover!$D$12,$P$1:$X$1,$P420:$X420)</f>
        <v>Recommended</v>
      </c>
      <c r="G420" s="154" t="s">
        <v>13835</v>
      </c>
      <c r="H420" s="154" t="s">
        <v>13500</v>
      </c>
      <c r="I420" s="154" t="s">
        <v>13836</v>
      </c>
      <c r="J420" s="154" t="s">
        <v>7431</v>
      </c>
      <c r="K420" s="154"/>
      <c r="L420" s="154" t="s">
        <v>759</v>
      </c>
      <c r="M420" s="247" t="s">
        <v>516</v>
      </c>
      <c r="N420" s="247" t="s">
        <v>12731</v>
      </c>
      <c r="O420" s="240" t="str">
        <f t="shared" si="1"/>
        <v/>
      </c>
      <c r="P420" s="154" t="s">
        <v>66</v>
      </c>
      <c r="Q420" s="154" t="s">
        <v>66</v>
      </c>
      <c r="R420" s="154" t="s">
        <v>64</v>
      </c>
      <c r="S420" s="154" t="s">
        <v>64</v>
      </c>
      <c r="T420" s="154" t="s">
        <v>64</v>
      </c>
      <c r="U420" s="154" t="s">
        <v>64</v>
      </c>
      <c r="V420" s="154" t="s">
        <v>66</v>
      </c>
      <c r="W420" s="154" t="s">
        <v>64</v>
      </c>
      <c r="X420" s="154" t="s">
        <v>64</v>
      </c>
      <c r="Y420" s="154"/>
      <c r="Z420" s="242" t="b">
        <f t="shared" si="2"/>
        <v>1</v>
      </c>
      <c r="AA420" s="154" t="s">
        <v>391</v>
      </c>
      <c r="AB420" s="242" t="b">
        <f t="shared" si="3"/>
        <v>0</v>
      </c>
      <c r="AC420" s="154"/>
      <c r="AD420" s="242" t="b">
        <f t="shared" si="4"/>
        <v>0</v>
      </c>
      <c r="AE420" s="154" t="s">
        <v>1621</v>
      </c>
      <c r="AF420" s="243" t="str">
        <f>IF(AE420="","N/A",INDIRECT("MTR!"&amp;ADDRESS(MATCH(LEFT(AE420,9),MTR!C:C,0),COLUMN(J420)),TRUE) &amp; "")</f>
        <v>Partially Complies</v>
      </c>
      <c r="AG420" s="157" t="str">
        <f t="shared" si="5"/>
        <v/>
      </c>
      <c r="AH420" s="152"/>
      <c r="AI420" s="152"/>
      <c r="AJ420" s="152"/>
      <c r="AK420" s="152"/>
      <c r="AL420" s="152"/>
      <c r="AM420" s="152"/>
      <c r="AN420" s="152"/>
      <c r="AO420" s="152"/>
      <c r="AP420" s="152"/>
      <c r="AQ420" s="152"/>
      <c r="AR420" s="152"/>
    </row>
    <row r="421" ht="12.75" customHeight="1">
      <c r="A421" s="244" t="s">
        <v>5158</v>
      </c>
      <c r="B421" s="244" t="s">
        <v>12721</v>
      </c>
      <c r="C421" s="244" t="s">
        <v>13837</v>
      </c>
      <c r="D421" s="154" t="s">
        <v>1773</v>
      </c>
      <c r="E421" s="154"/>
      <c r="F421" s="154" t="str">
        <f t="array" ref="F421">XLOOKUP(Cover!$D$12,$P$1:$X$1,$P421:$X421)</f>
        <v>Recommended</v>
      </c>
      <c r="G421" s="154" t="s">
        <v>13838</v>
      </c>
      <c r="H421" s="154" t="s">
        <v>13500</v>
      </c>
      <c r="I421" s="154" t="s">
        <v>13839</v>
      </c>
      <c r="J421" s="154" t="s">
        <v>7175</v>
      </c>
      <c r="K421" s="154"/>
      <c r="L421" s="154" t="s">
        <v>759</v>
      </c>
      <c r="M421" s="247" t="s">
        <v>506</v>
      </c>
      <c r="N421" s="247" t="s">
        <v>12738</v>
      </c>
      <c r="O421" s="240" t="str">
        <f t="shared" si="1"/>
        <v/>
      </c>
      <c r="P421" s="154" t="s">
        <v>66</v>
      </c>
      <c r="Q421" s="154" t="s">
        <v>66</v>
      </c>
      <c r="R421" s="154" t="s">
        <v>64</v>
      </c>
      <c r="S421" s="154" t="s">
        <v>64</v>
      </c>
      <c r="T421" s="154" t="s">
        <v>64</v>
      </c>
      <c r="U421" s="154" t="s">
        <v>64</v>
      </c>
      <c r="V421" s="154" t="s">
        <v>66</v>
      </c>
      <c r="W421" s="154" t="s">
        <v>64</v>
      </c>
      <c r="X421" s="154" t="s">
        <v>64</v>
      </c>
      <c r="Y421" s="154"/>
      <c r="Z421" s="242" t="b">
        <f t="shared" si="2"/>
        <v>1</v>
      </c>
      <c r="AA421" s="154" t="s">
        <v>391</v>
      </c>
      <c r="AB421" s="242" t="b">
        <f t="shared" si="3"/>
        <v>0</v>
      </c>
      <c r="AC421" s="154"/>
      <c r="AD421" s="242" t="b">
        <f t="shared" si="4"/>
        <v>0</v>
      </c>
      <c r="AE421" s="154" t="s">
        <v>1621</v>
      </c>
      <c r="AF421" s="243" t="str">
        <f>IF(AE421="","N/A",INDIRECT("MTR!"&amp;ADDRESS(MATCH(LEFT(AE421,9),MTR!C:C,0),COLUMN(J421)),TRUE) &amp; "")</f>
        <v>Partially Complies</v>
      </c>
      <c r="AG421" s="157" t="str">
        <f t="shared" si="5"/>
        <v/>
      </c>
      <c r="AH421" s="152"/>
      <c r="AI421" s="152"/>
      <c r="AJ421" s="152"/>
      <c r="AK421" s="152"/>
      <c r="AL421" s="152"/>
      <c r="AM421" s="152"/>
      <c r="AN421" s="152"/>
      <c r="AO421" s="152"/>
      <c r="AP421" s="152"/>
      <c r="AQ421" s="152"/>
      <c r="AR421" s="152"/>
    </row>
    <row r="422" ht="12.75" customHeight="1">
      <c r="A422" s="244" t="s">
        <v>5158</v>
      </c>
      <c r="B422" s="244" t="s">
        <v>12721</v>
      </c>
      <c r="C422" s="244" t="s">
        <v>13840</v>
      </c>
      <c r="D422" s="154" t="s">
        <v>1773</v>
      </c>
      <c r="E422" s="154"/>
      <c r="F422" s="154" t="str">
        <f t="array" ref="F422">XLOOKUP(Cover!$D$12,$P$1:$X$1,$P422:$X422)</f>
        <v>Recommended</v>
      </c>
      <c r="G422" s="154" t="s">
        <v>13841</v>
      </c>
      <c r="H422" s="154" t="s">
        <v>13842</v>
      </c>
      <c r="I422" s="154" t="s">
        <v>13839</v>
      </c>
      <c r="J422" s="154" t="s">
        <v>7175</v>
      </c>
      <c r="K422" s="154"/>
      <c r="L422" s="154" t="s">
        <v>759</v>
      </c>
      <c r="M422" s="247" t="s">
        <v>516</v>
      </c>
      <c r="N422" s="247" t="s">
        <v>12741</v>
      </c>
      <c r="O422" s="240" t="str">
        <f t="shared" si="1"/>
        <v/>
      </c>
      <c r="P422" s="154" t="s">
        <v>66</v>
      </c>
      <c r="Q422" s="154" t="s">
        <v>66</v>
      </c>
      <c r="R422" s="154" t="s">
        <v>64</v>
      </c>
      <c r="S422" s="154" t="s">
        <v>64</v>
      </c>
      <c r="T422" s="154" t="s">
        <v>64</v>
      </c>
      <c r="U422" s="154" t="s">
        <v>64</v>
      </c>
      <c r="V422" s="154" t="s">
        <v>66</v>
      </c>
      <c r="W422" s="154" t="s">
        <v>64</v>
      </c>
      <c r="X422" s="154" t="s">
        <v>64</v>
      </c>
      <c r="Y422" s="154"/>
      <c r="Z422" s="242" t="b">
        <f t="shared" si="2"/>
        <v>1</v>
      </c>
      <c r="AA422" s="154" t="s">
        <v>391</v>
      </c>
      <c r="AB422" s="242" t="b">
        <f t="shared" si="3"/>
        <v>0</v>
      </c>
      <c r="AC422" s="154"/>
      <c r="AD422" s="242" t="b">
        <f t="shared" si="4"/>
        <v>0</v>
      </c>
      <c r="AE422" s="154" t="s">
        <v>1621</v>
      </c>
      <c r="AF422" s="243" t="str">
        <f>IF(AE422="","N/A",INDIRECT("MTR!"&amp;ADDRESS(MATCH(LEFT(AE422,9),MTR!C:C,0),COLUMN(J422)),TRUE) &amp; "")</f>
        <v>Partially Complies</v>
      </c>
      <c r="AG422" s="157" t="str">
        <f t="shared" si="5"/>
        <v/>
      </c>
      <c r="AH422" s="152"/>
      <c r="AI422" s="152"/>
      <c r="AJ422" s="152"/>
      <c r="AK422" s="152"/>
      <c r="AL422" s="152"/>
      <c r="AM422" s="152"/>
      <c r="AN422" s="152"/>
      <c r="AO422" s="152"/>
      <c r="AP422" s="152"/>
      <c r="AQ422" s="152"/>
      <c r="AR422" s="152"/>
    </row>
    <row r="423" ht="12.75" customHeight="1">
      <c r="A423" s="244" t="s">
        <v>5158</v>
      </c>
      <c r="B423" s="244" t="s">
        <v>12721</v>
      </c>
      <c r="C423" s="255" t="s">
        <v>13843</v>
      </c>
      <c r="D423" s="256" t="s">
        <v>42</v>
      </c>
      <c r="E423" s="256" t="s">
        <v>489</v>
      </c>
      <c r="F423" s="154" t="str">
        <f t="array" ref="F423">XLOOKUP(Cover!$D$12,$P$1:$X$1,$P423:$X423)</f>
        <v>Information</v>
      </c>
      <c r="G423" s="154" t="s">
        <v>13844</v>
      </c>
      <c r="H423" s="154" t="s">
        <v>13534</v>
      </c>
      <c r="I423" s="154" t="s">
        <v>13845</v>
      </c>
      <c r="J423" s="154" t="s">
        <v>5931</v>
      </c>
      <c r="K423" s="154"/>
      <c r="L423" s="154" t="s">
        <v>759</v>
      </c>
      <c r="M423" s="247" t="s">
        <v>516</v>
      </c>
      <c r="N423" s="247" t="s">
        <v>12731</v>
      </c>
      <c r="O423" s="240" t="str">
        <f t="shared" si="1"/>
        <v/>
      </c>
      <c r="P423" s="154" t="s">
        <v>66</v>
      </c>
      <c r="Q423" s="154" t="s">
        <v>66</v>
      </c>
      <c r="R423" s="154" t="s">
        <v>66</v>
      </c>
      <c r="S423" s="154" t="s">
        <v>66</v>
      </c>
      <c r="T423" s="154" t="s">
        <v>66</v>
      </c>
      <c r="U423" s="154" t="s">
        <v>66</v>
      </c>
      <c r="V423" s="154" t="s">
        <v>66</v>
      </c>
      <c r="W423" s="154" t="s">
        <v>66</v>
      </c>
      <c r="X423" s="154" t="s">
        <v>66</v>
      </c>
      <c r="Y423" s="154"/>
      <c r="Z423" s="242" t="b">
        <f t="shared" si="2"/>
        <v>1</v>
      </c>
      <c r="AA423" s="154" t="s">
        <v>391</v>
      </c>
      <c r="AB423" s="242" t="b">
        <f t="shared" si="3"/>
        <v>0</v>
      </c>
      <c r="AC423" s="154"/>
      <c r="AD423" s="242" t="b">
        <f t="shared" si="4"/>
        <v>0</v>
      </c>
      <c r="AE423" s="154" t="s">
        <v>1621</v>
      </c>
      <c r="AF423" s="243" t="str">
        <f>IF(AE423="","N/A",INDIRECT("MTR!"&amp;ADDRESS(MATCH(LEFT(AE423,9),MTR!C:C,0),COLUMN(J423)),TRUE) &amp; "")</f>
        <v>Partially Complies</v>
      </c>
      <c r="AG423" s="157" t="str">
        <f t="shared" si="5"/>
        <v/>
      </c>
      <c r="AH423" s="152"/>
      <c r="AI423" s="152"/>
      <c r="AJ423" s="152"/>
      <c r="AK423" s="152"/>
      <c r="AL423" s="152"/>
      <c r="AM423" s="152"/>
      <c r="AN423" s="152"/>
      <c r="AO423" s="152"/>
      <c r="AP423" s="152"/>
      <c r="AQ423" s="152"/>
      <c r="AR423" s="152"/>
    </row>
    <row r="424" ht="12.75" customHeight="1">
      <c r="A424" s="244" t="s">
        <v>5158</v>
      </c>
      <c r="B424" s="244" t="s">
        <v>12721</v>
      </c>
      <c r="C424" s="244" t="s">
        <v>13846</v>
      </c>
      <c r="D424" s="154" t="s">
        <v>503</v>
      </c>
      <c r="E424" s="154"/>
      <c r="F424" s="154" t="str">
        <f t="array" ref="F424">XLOOKUP(Cover!$D$12,$P$1:$X$1,$P424:$X424)</f>
        <v>Information</v>
      </c>
      <c r="G424" s="154" t="s">
        <v>13847</v>
      </c>
      <c r="H424" s="154" t="s">
        <v>13573</v>
      </c>
      <c r="I424" s="154" t="s">
        <v>13848</v>
      </c>
      <c r="J424" s="154" t="s">
        <v>7431</v>
      </c>
      <c r="K424" s="154"/>
      <c r="L424" s="154" t="s">
        <v>759</v>
      </c>
      <c r="M424" s="247" t="s">
        <v>516</v>
      </c>
      <c r="N424" s="247" t="s">
        <v>12731</v>
      </c>
      <c r="O424" s="240" t="str">
        <f t="shared" si="1"/>
        <v/>
      </c>
      <c r="P424" s="154" t="s">
        <v>66</v>
      </c>
      <c r="Q424" s="154" t="s">
        <v>66</v>
      </c>
      <c r="R424" s="154" t="s">
        <v>66</v>
      </c>
      <c r="S424" s="154" t="s">
        <v>66</v>
      </c>
      <c r="T424" s="154" t="s">
        <v>66</v>
      </c>
      <c r="U424" s="154" t="s">
        <v>66</v>
      </c>
      <c r="V424" s="154" t="s">
        <v>66</v>
      </c>
      <c r="W424" s="154" t="s">
        <v>66</v>
      </c>
      <c r="X424" s="154" t="s">
        <v>66</v>
      </c>
      <c r="Y424" s="154"/>
      <c r="Z424" s="242" t="b">
        <f t="shared" si="2"/>
        <v>1</v>
      </c>
      <c r="AA424" s="154" t="s">
        <v>391</v>
      </c>
      <c r="AB424" s="242" t="b">
        <f t="shared" si="3"/>
        <v>0</v>
      </c>
      <c r="AC424" s="154"/>
      <c r="AD424" s="242" t="b">
        <f t="shared" si="4"/>
        <v>0</v>
      </c>
      <c r="AE424" s="154" t="s">
        <v>1621</v>
      </c>
      <c r="AF424" s="243" t="str">
        <f>IF(AE424="","N/A",INDIRECT("MTR!"&amp;ADDRESS(MATCH(LEFT(AE424,9),MTR!C:C,0),COLUMN(J424)),TRUE) &amp; "")</f>
        <v>Partially Complies</v>
      </c>
      <c r="AG424" s="157" t="str">
        <f t="shared" si="5"/>
        <v/>
      </c>
      <c r="AH424" s="152"/>
      <c r="AI424" s="152"/>
      <c r="AJ424" s="152"/>
      <c r="AK424" s="152"/>
      <c r="AL424" s="152"/>
      <c r="AM424" s="152"/>
      <c r="AN424" s="152"/>
      <c r="AO424" s="152"/>
      <c r="AP424" s="152"/>
      <c r="AQ424" s="152"/>
      <c r="AR424" s="152"/>
    </row>
    <row r="425" ht="12.75" customHeight="1">
      <c r="A425" s="238" t="s">
        <v>5158</v>
      </c>
      <c r="B425" s="238" t="s">
        <v>12721</v>
      </c>
      <c r="C425" s="238" t="s">
        <v>13849</v>
      </c>
      <c r="D425" s="240"/>
      <c r="E425" s="240" t="s">
        <v>92</v>
      </c>
      <c r="F425" s="240" t="str">
        <f t="array" ref="F425">XLOOKUP(Cover!$D$12,$P$1:$X$1,$P425:$X425)</f>
        <v>Heading</v>
      </c>
      <c r="G425" s="239" t="s">
        <v>13850</v>
      </c>
      <c r="H425" s="240"/>
      <c r="I425" s="240"/>
      <c r="J425" s="240"/>
      <c r="K425" s="240"/>
      <c r="L425" s="240" t="s">
        <v>759</v>
      </c>
      <c r="M425" s="240"/>
      <c r="N425" s="240"/>
      <c r="O425" s="240" t="str">
        <f t="shared" si="1"/>
        <v/>
      </c>
      <c r="P425" s="240" t="s">
        <v>390</v>
      </c>
      <c r="Q425" s="240" t="s">
        <v>390</v>
      </c>
      <c r="R425" s="240" t="s">
        <v>390</v>
      </c>
      <c r="S425" s="240" t="s">
        <v>390</v>
      </c>
      <c r="T425" s="240" t="s">
        <v>390</v>
      </c>
      <c r="U425" s="240" t="s">
        <v>390</v>
      </c>
      <c r="V425" s="240" t="s">
        <v>390</v>
      </c>
      <c r="W425" s="240" t="s">
        <v>390</v>
      </c>
      <c r="X425" s="240" t="s">
        <v>390</v>
      </c>
      <c r="Y425" s="240"/>
      <c r="Z425" s="242" t="b">
        <f t="shared" si="2"/>
        <v>0</v>
      </c>
      <c r="AA425" s="240" t="s">
        <v>391</v>
      </c>
      <c r="AB425" s="242" t="b">
        <f t="shared" si="3"/>
        <v>0</v>
      </c>
      <c r="AC425" s="240"/>
      <c r="AD425" s="242" t="b">
        <f t="shared" si="4"/>
        <v>0</v>
      </c>
      <c r="AE425" s="240"/>
      <c r="AF425" s="243" t="str">
        <f>IF(AE425="","N/A",INDIRECT("MTR!"&amp;ADDRESS(MATCH(LEFT(AE425,9),MTR!C:C,0),COLUMN(J425)),TRUE) &amp; "")</f>
        <v>N/A</v>
      </c>
      <c r="AG425" s="157" t="str">
        <f t="shared" si="5"/>
        <v/>
      </c>
      <c r="AH425" s="152"/>
      <c r="AI425" s="152"/>
      <c r="AJ425" s="152"/>
      <c r="AK425" s="152"/>
      <c r="AL425" s="152"/>
      <c r="AM425" s="152"/>
      <c r="AN425" s="152"/>
      <c r="AO425" s="152"/>
      <c r="AP425" s="152"/>
      <c r="AQ425" s="152"/>
      <c r="AR425" s="152"/>
    </row>
    <row r="426" ht="12.75" customHeight="1">
      <c r="A426" s="244" t="s">
        <v>5158</v>
      </c>
      <c r="B426" s="244" t="s">
        <v>12721</v>
      </c>
      <c r="C426" s="244" t="s">
        <v>13851</v>
      </c>
      <c r="D426" s="154" t="s">
        <v>45</v>
      </c>
      <c r="E426" s="154"/>
      <c r="F426" s="154" t="str">
        <f t="array" ref="F426">XLOOKUP(Cover!$D$12,$P$1:$X$1,$P426:$X426)</f>
        <v>Information</v>
      </c>
      <c r="G426" s="154" t="s">
        <v>13852</v>
      </c>
      <c r="H426" s="154" t="s">
        <v>13139</v>
      </c>
      <c r="I426" s="154" t="s">
        <v>13853</v>
      </c>
      <c r="J426" s="154" t="s">
        <v>5927</v>
      </c>
      <c r="K426" s="154"/>
      <c r="L426" s="154" t="s">
        <v>759</v>
      </c>
      <c r="M426" s="247" t="s">
        <v>516</v>
      </c>
      <c r="N426" s="247" t="s">
        <v>12731</v>
      </c>
      <c r="O426" s="240" t="str">
        <f t="shared" si="1"/>
        <v/>
      </c>
      <c r="P426" s="154" t="s">
        <v>66</v>
      </c>
      <c r="Q426" s="154" t="s">
        <v>66</v>
      </c>
      <c r="R426" s="154" t="s">
        <v>66</v>
      </c>
      <c r="S426" s="154" t="s">
        <v>66</v>
      </c>
      <c r="T426" s="154" t="s">
        <v>66</v>
      </c>
      <c r="U426" s="154" t="s">
        <v>66</v>
      </c>
      <c r="V426" s="154" t="s">
        <v>66</v>
      </c>
      <c r="W426" s="154" t="s">
        <v>66</v>
      </c>
      <c r="X426" s="154" t="s">
        <v>66</v>
      </c>
      <c r="Y426" s="154"/>
      <c r="Z426" s="242" t="b">
        <f t="shared" si="2"/>
        <v>1</v>
      </c>
      <c r="AA426" s="154" t="s">
        <v>391</v>
      </c>
      <c r="AB426" s="242" t="b">
        <f t="shared" si="3"/>
        <v>0</v>
      </c>
      <c r="AC426" s="154"/>
      <c r="AD426" s="242" t="b">
        <f t="shared" si="4"/>
        <v>0</v>
      </c>
      <c r="AE426" s="154" t="s">
        <v>1631</v>
      </c>
      <c r="AF426" s="243" t="str">
        <f>IF(AE426="","N/A",INDIRECT("MTR!"&amp;ADDRESS(MATCH(LEFT(AE426,9),MTR!C:C,0),COLUMN(J426)),TRUE) &amp; "")</f>
        <v>Partially Complies</v>
      </c>
      <c r="AG426" s="157" t="str">
        <f t="shared" si="5"/>
        <v/>
      </c>
      <c r="AH426" s="152"/>
      <c r="AI426" s="152"/>
      <c r="AJ426" s="152"/>
      <c r="AK426" s="152"/>
      <c r="AL426" s="152"/>
      <c r="AM426" s="152"/>
      <c r="AN426" s="152"/>
      <c r="AO426" s="152"/>
      <c r="AP426" s="152"/>
      <c r="AQ426" s="152"/>
      <c r="AR426" s="152"/>
    </row>
    <row r="427" ht="12.75" customHeight="1">
      <c r="A427" s="244" t="s">
        <v>5158</v>
      </c>
      <c r="B427" s="244" t="s">
        <v>12721</v>
      </c>
      <c r="C427" s="244" t="s">
        <v>13854</v>
      </c>
      <c r="D427" s="154" t="s">
        <v>503</v>
      </c>
      <c r="E427" s="154"/>
      <c r="F427" s="154" t="str">
        <f t="array" ref="F427">XLOOKUP(Cover!$D$12,$P$1:$X$1,$P427:$X427)</f>
        <v>Information</v>
      </c>
      <c r="G427" s="154" t="s">
        <v>13855</v>
      </c>
      <c r="H427" s="154" t="s">
        <v>13856</v>
      </c>
      <c r="I427" s="154" t="s">
        <v>13857</v>
      </c>
      <c r="J427" s="154" t="s">
        <v>6463</v>
      </c>
      <c r="K427" s="154"/>
      <c r="L427" s="154" t="s">
        <v>759</v>
      </c>
      <c r="M427" s="247" t="s">
        <v>516</v>
      </c>
      <c r="N427" s="247" t="s">
        <v>12731</v>
      </c>
      <c r="O427" s="240" t="str">
        <f t="shared" si="1"/>
        <v/>
      </c>
      <c r="P427" s="154" t="s">
        <v>66</v>
      </c>
      <c r="Q427" s="154" t="s">
        <v>66</v>
      </c>
      <c r="R427" s="154" t="s">
        <v>66</v>
      </c>
      <c r="S427" s="154" t="s">
        <v>66</v>
      </c>
      <c r="T427" s="154" t="s">
        <v>66</v>
      </c>
      <c r="U427" s="154" t="s">
        <v>66</v>
      </c>
      <c r="V427" s="154" t="s">
        <v>66</v>
      </c>
      <c r="W427" s="154" t="s">
        <v>66</v>
      </c>
      <c r="X427" s="154" t="s">
        <v>66</v>
      </c>
      <c r="Y427" s="154"/>
      <c r="Z427" s="242" t="b">
        <f t="shared" si="2"/>
        <v>1</v>
      </c>
      <c r="AA427" s="154" t="s">
        <v>391</v>
      </c>
      <c r="AB427" s="242" t="b">
        <f t="shared" si="3"/>
        <v>0</v>
      </c>
      <c r="AC427" s="154"/>
      <c r="AD427" s="242" t="b">
        <f t="shared" si="4"/>
        <v>0</v>
      </c>
      <c r="AE427" s="154" t="s">
        <v>1631</v>
      </c>
      <c r="AF427" s="243" t="str">
        <f>IF(AE427="","N/A",INDIRECT("MTR!"&amp;ADDRESS(MATCH(LEFT(AE427,9),MTR!C:C,0),COLUMN(J427)),TRUE) &amp; "")</f>
        <v>Partially Complies</v>
      </c>
      <c r="AG427" s="157" t="str">
        <f t="shared" si="5"/>
        <v/>
      </c>
      <c r="AH427" s="152"/>
      <c r="AI427" s="152"/>
      <c r="AJ427" s="152"/>
      <c r="AK427" s="152"/>
      <c r="AL427" s="152"/>
      <c r="AM427" s="152"/>
      <c r="AN427" s="152"/>
      <c r="AO427" s="152"/>
      <c r="AP427" s="152"/>
      <c r="AQ427" s="152"/>
      <c r="AR427" s="152"/>
    </row>
    <row r="428" ht="12.75" customHeight="1">
      <c r="A428" s="244" t="s">
        <v>5158</v>
      </c>
      <c r="B428" s="244" t="s">
        <v>12721</v>
      </c>
      <c r="C428" s="244" t="s">
        <v>13858</v>
      </c>
      <c r="D428" s="154" t="s">
        <v>45</v>
      </c>
      <c r="E428" s="154"/>
      <c r="F428" s="154" t="str">
        <f t="array" ref="F428">XLOOKUP(Cover!$D$12,$P$1:$X$1,$P428:$X428)</f>
        <v>Information</v>
      </c>
      <c r="G428" s="154" t="s">
        <v>13859</v>
      </c>
      <c r="H428" s="154" t="s">
        <v>13860</v>
      </c>
      <c r="I428" s="154" t="s">
        <v>13857</v>
      </c>
      <c r="J428" s="154" t="s">
        <v>10718</v>
      </c>
      <c r="K428" s="154"/>
      <c r="L428" s="154" t="s">
        <v>759</v>
      </c>
      <c r="M428" s="247" t="s">
        <v>516</v>
      </c>
      <c r="N428" s="247" t="s">
        <v>12731</v>
      </c>
      <c r="O428" s="240" t="str">
        <f t="shared" si="1"/>
        <v/>
      </c>
      <c r="P428" s="154" t="s">
        <v>66</v>
      </c>
      <c r="Q428" s="154" t="s">
        <v>66</v>
      </c>
      <c r="R428" s="154" t="s">
        <v>66</v>
      </c>
      <c r="S428" s="154" t="s">
        <v>66</v>
      </c>
      <c r="T428" s="154" t="s">
        <v>66</v>
      </c>
      <c r="U428" s="154" t="s">
        <v>66</v>
      </c>
      <c r="V428" s="154" t="s">
        <v>66</v>
      </c>
      <c r="W428" s="154" t="s">
        <v>66</v>
      </c>
      <c r="X428" s="154" t="s">
        <v>66</v>
      </c>
      <c r="Y428" s="154"/>
      <c r="Z428" s="242" t="b">
        <f t="shared" si="2"/>
        <v>1</v>
      </c>
      <c r="AA428" s="154" t="s">
        <v>391</v>
      </c>
      <c r="AB428" s="242" t="b">
        <f t="shared" si="3"/>
        <v>0</v>
      </c>
      <c r="AC428" s="154"/>
      <c r="AD428" s="242" t="b">
        <f t="shared" si="4"/>
        <v>0</v>
      </c>
      <c r="AE428" s="154" t="s">
        <v>1631</v>
      </c>
      <c r="AF428" s="243" t="str">
        <f>IF(AE428="","N/A",INDIRECT("MTR!"&amp;ADDRESS(MATCH(LEFT(AE428,9),MTR!C:C,0),COLUMN(J428)),TRUE) &amp; "")</f>
        <v>Partially Complies</v>
      </c>
      <c r="AG428" s="157" t="str">
        <f t="shared" si="5"/>
        <v/>
      </c>
      <c r="AH428" s="152"/>
      <c r="AI428" s="152"/>
      <c r="AJ428" s="152"/>
      <c r="AK428" s="152"/>
      <c r="AL428" s="152"/>
      <c r="AM428" s="152"/>
      <c r="AN428" s="152"/>
      <c r="AO428" s="152"/>
      <c r="AP428" s="152"/>
      <c r="AQ428" s="152"/>
      <c r="AR428" s="152"/>
    </row>
    <row r="429" ht="12.75" customHeight="1">
      <c r="A429" s="244" t="s">
        <v>5158</v>
      </c>
      <c r="B429" s="244" t="s">
        <v>12721</v>
      </c>
      <c r="C429" s="244" t="s">
        <v>13861</v>
      </c>
      <c r="D429" s="154" t="s">
        <v>1315</v>
      </c>
      <c r="E429" s="154"/>
      <c r="F429" s="154" t="str">
        <f t="array" ref="F429">XLOOKUP(Cover!$D$12,$P$1:$X$1,$P429:$X429)</f>
        <v>Recommended</v>
      </c>
      <c r="G429" s="154" t="s">
        <v>13862</v>
      </c>
      <c r="H429" s="154" t="s">
        <v>13863</v>
      </c>
      <c r="I429" s="154" t="s">
        <v>13864</v>
      </c>
      <c r="J429" s="154" t="s">
        <v>6884</v>
      </c>
      <c r="K429" s="154"/>
      <c r="L429" s="154" t="s">
        <v>759</v>
      </c>
      <c r="M429" s="247" t="s">
        <v>516</v>
      </c>
      <c r="N429" s="247" t="s">
        <v>12731</v>
      </c>
      <c r="O429" s="240" t="str">
        <f t="shared" si="1"/>
        <v/>
      </c>
      <c r="P429" s="154" t="s">
        <v>66</v>
      </c>
      <c r="Q429" s="154" t="s">
        <v>66</v>
      </c>
      <c r="R429" s="154" t="s">
        <v>64</v>
      </c>
      <c r="S429" s="154" t="s">
        <v>64</v>
      </c>
      <c r="T429" s="154" t="s">
        <v>64</v>
      </c>
      <c r="U429" s="154" t="s">
        <v>64</v>
      </c>
      <c r="V429" s="154" t="s">
        <v>66</v>
      </c>
      <c r="W429" s="154" t="s">
        <v>64</v>
      </c>
      <c r="X429" s="154" t="s">
        <v>64</v>
      </c>
      <c r="Y429" s="154"/>
      <c r="Z429" s="242" t="b">
        <f t="shared" si="2"/>
        <v>1</v>
      </c>
      <c r="AA429" s="154" t="s">
        <v>391</v>
      </c>
      <c r="AB429" s="242" t="b">
        <f t="shared" si="3"/>
        <v>0</v>
      </c>
      <c r="AC429" s="154"/>
      <c r="AD429" s="242" t="b">
        <f t="shared" si="4"/>
        <v>0</v>
      </c>
      <c r="AE429" s="154" t="s">
        <v>1631</v>
      </c>
      <c r="AF429" s="243" t="str">
        <f>IF(AE429="","N/A",INDIRECT("MTR!"&amp;ADDRESS(MATCH(LEFT(AE429,9),MTR!C:C,0),COLUMN(J429)),TRUE) &amp; "")</f>
        <v>Partially Complies</v>
      </c>
      <c r="AG429" s="157" t="str">
        <f t="shared" si="5"/>
        <v/>
      </c>
      <c r="AH429" s="152"/>
      <c r="AI429" s="152"/>
      <c r="AJ429" s="152"/>
      <c r="AK429" s="152"/>
      <c r="AL429" s="152"/>
      <c r="AM429" s="152"/>
      <c r="AN429" s="152"/>
      <c r="AO429" s="152"/>
      <c r="AP429" s="152"/>
      <c r="AQ429" s="152"/>
      <c r="AR429" s="152"/>
    </row>
    <row r="430" ht="12.75" customHeight="1">
      <c r="A430" s="244" t="s">
        <v>5158</v>
      </c>
      <c r="B430" s="244" t="s">
        <v>12721</v>
      </c>
      <c r="C430" s="244" t="s">
        <v>13865</v>
      </c>
      <c r="D430" s="154" t="s">
        <v>1315</v>
      </c>
      <c r="E430" s="154"/>
      <c r="F430" s="154" t="str">
        <f t="array" ref="F430">XLOOKUP(Cover!$D$12,$P$1:$X$1,$P430:$X430)</f>
        <v>Recommended</v>
      </c>
      <c r="G430" s="154" t="s">
        <v>13866</v>
      </c>
      <c r="H430" s="154" t="s">
        <v>13863</v>
      </c>
      <c r="I430" s="154" t="s">
        <v>13864</v>
      </c>
      <c r="J430" s="154" t="s">
        <v>6905</v>
      </c>
      <c r="K430" s="154"/>
      <c r="L430" s="154" t="s">
        <v>759</v>
      </c>
      <c r="M430" s="247" t="s">
        <v>516</v>
      </c>
      <c r="N430" s="247" t="s">
        <v>12731</v>
      </c>
      <c r="O430" s="240" t="str">
        <f t="shared" si="1"/>
        <v/>
      </c>
      <c r="P430" s="154" t="s">
        <v>66</v>
      </c>
      <c r="Q430" s="154" t="s">
        <v>66</v>
      </c>
      <c r="R430" s="154" t="s">
        <v>64</v>
      </c>
      <c r="S430" s="154" t="s">
        <v>64</v>
      </c>
      <c r="T430" s="154" t="s">
        <v>64</v>
      </c>
      <c r="U430" s="154" t="s">
        <v>64</v>
      </c>
      <c r="V430" s="154" t="s">
        <v>66</v>
      </c>
      <c r="W430" s="154" t="s">
        <v>64</v>
      </c>
      <c r="X430" s="154" t="s">
        <v>64</v>
      </c>
      <c r="Y430" s="154"/>
      <c r="Z430" s="242" t="b">
        <f t="shared" si="2"/>
        <v>1</v>
      </c>
      <c r="AA430" s="154" t="s">
        <v>391</v>
      </c>
      <c r="AB430" s="242" t="b">
        <f t="shared" si="3"/>
        <v>0</v>
      </c>
      <c r="AC430" s="154"/>
      <c r="AD430" s="242" t="b">
        <f t="shared" si="4"/>
        <v>0</v>
      </c>
      <c r="AE430" s="154" t="s">
        <v>1631</v>
      </c>
      <c r="AF430" s="243" t="str">
        <f>IF(AE430="","N/A",INDIRECT("MTR!"&amp;ADDRESS(MATCH(LEFT(AE430,9),MTR!C:C,0),COLUMN(J430)),TRUE) &amp; "")</f>
        <v>Partially Complies</v>
      </c>
      <c r="AG430" s="157" t="str">
        <f t="shared" si="5"/>
        <v/>
      </c>
      <c r="AH430" s="152"/>
      <c r="AI430" s="152"/>
      <c r="AJ430" s="152"/>
      <c r="AK430" s="152"/>
      <c r="AL430" s="152"/>
      <c r="AM430" s="152"/>
      <c r="AN430" s="152"/>
      <c r="AO430" s="152"/>
      <c r="AP430" s="152"/>
      <c r="AQ430" s="152"/>
      <c r="AR430" s="152"/>
    </row>
    <row r="431" ht="12.75" customHeight="1">
      <c r="A431" s="244" t="s">
        <v>5158</v>
      </c>
      <c r="B431" s="244" t="s">
        <v>12721</v>
      </c>
      <c r="C431" s="244" t="s">
        <v>13867</v>
      </c>
      <c r="D431" s="154" t="s">
        <v>1315</v>
      </c>
      <c r="E431" s="154"/>
      <c r="F431" s="154" t="str">
        <f t="array" ref="F431">XLOOKUP(Cover!$D$12,$P$1:$X$1,$P431:$X431)</f>
        <v>Recommended</v>
      </c>
      <c r="G431" s="154" t="s">
        <v>13868</v>
      </c>
      <c r="H431" s="154" t="s">
        <v>13869</v>
      </c>
      <c r="I431" s="154" t="s">
        <v>13864</v>
      </c>
      <c r="J431" s="154" t="s">
        <v>6905</v>
      </c>
      <c r="K431" s="154"/>
      <c r="L431" s="154" t="s">
        <v>759</v>
      </c>
      <c r="M431" s="247" t="s">
        <v>516</v>
      </c>
      <c r="N431" s="247" t="s">
        <v>12731</v>
      </c>
      <c r="O431" s="240" t="str">
        <f t="shared" si="1"/>
        <v/>
      </c>
      <c r="P431" s="154" t="s">
        <v>66</v>
      </c>
      <c r="Q431" s="154" t="s">
        <v>66</v>
      </c>
      <c r="R431" s="154" t="s">
        <v>64</v>
      </c>
      <c r="S431" s="154" t="s">
        <v>64</v>
      </c>
      <c r="T431" s="154" t="s">
        <v>64</v>
      </c>
      <c r="U431" s="154" t="s">
        <v>64</v>
      </c>
      <c r="V431" s="154" t="s">
        <v>66</v>
      </c>
      <c r="W431" s="154" t="s">
        <v>64</v>
      </c>
      <c r="X431" s="154" t="s">
        <v>64</v>
      </c>
      <c r="Y431" s="154"/>
      <c r="Z431" s="242" t="b">
        <f t="shared" si="2"/>
        <v>1</v>
      </c>
      <c r="AA431" s="154" t="s">
        <v>391</v>
      </c>
      <c r="AB431" s="242" t="b">
        <f t="shared" si="3"/>
        <v>0</v>
      </c>
      <c r="AC431" s="154"/>
      <c r="AD431" s="242" t="b">
        <f t="shared" si="4"/>
        <v>0</v>
      </c>
      <c r="AE431" s="154" t="s">
        <v>1631</v>
      </c>
      <c r="AF431" s="243" t="str">
        <f>IF(AE431="","N/A",INDIRECT("MTR!"&amp;ADDRESS(MATCH(LEFT(AE431,9),MTR!C:C,0),COLUMN(J431)),TRUE) &amp; "")</f>
        <v>Partially Complies</v>
      </c>
      <c r="AG431" s="157" t="str">
        <f t="shared" si="5"/>
        <v/>
      </c>
      <c r="AH431" s="152"/>
      <c r="AI431" s="152"/>
      <c r="AJ431" s="152"/>
      <c r="AK431" s="152"/>
      <c r="AL431" s="152"/>
      <c r="AM431" s="152"/>
      <c r="AN431" s="152"/>
      <c r="AO431" s="152"/>
      <c r="AP431" s="152"/>
      <c r="AQ431" s="152"/>
      <c r="AR431" s="152"/>
    </row>
    <row r="432" ht="12.75" customHeight="1">
      <c r="A432" s="244" t="s">
        <v>5158</v>
      </c>
      <c r="B432" s="244" t="s">
        <v>12721</v>
      </c>
      <c r="C432" s="255" t="s">
        <v>13870</v>
      </c>
      <c r="D432" s="256" t="s">
        <v>42</v>
      </c>
      <c r="E432" s="256" t="s">
        <v>489</v>
      </c>
      <c r="F432" s="154" t="str">
        <f t="array" ref="F432">XLOOKUP(Cover!$D$12,$P$1:$X$1,$P432:$X432)</f>
        <v>Information</v>
      </c>
      <c r="G432" s="154" t="s">
        <v>13871</v>
      </c>
      <c r="H432" s="154" t="s">
        <v>13652</v>
      </c>
      <c r="I432" s="154" t="s">
        <v>13872</v>
      </c>
      <c r="J432" s="154" t="s">
        <v>5931</v>
      </c>
      <c r="K432" s="154"/>
      <c r="L432" s="154" t="s">
        <v>759</v>
      </c>
      <c r="M432" s="247" t="s">
        <v>516</v>
      </c>
      <c r="N432" s="247" t="s">
        <v>12731</v>
      </c>
      <c r="O432" s="240" t="str">
        <f t="shared" si="1"/>
        <v/>
      </c>
      <c r="P432" s="154" t="s">
        <v>66</v>
      </c>
      <c r="Q432" s="154" t="s">
        <v>66</v>
      </c>
      <c r="R432" s="154" t="s">
        <v>66</v>
      </c>
      <c r="S432" s="154" t="s">
        <v>66</v>
      </c>
      <c r="T432" s="154" t="s">
        <v>66</v>
      </c>
      <c r="U432" s="154" t="s">
        <v>66</v>
      </c>
      <c r="V432" s="154" t="s">
        <v>66</v>
      </c>
      <c r="W432" s="154" t="s">
        <v>66</v>
      </c>
      <c r="X432" s="154" t="s">
        <v>66</v>
      </c>
      <c r="Y432" s="154"/>
      <c r="Z432" s="242" t="b">
        <f t="shared" si="2"/>
        <v>1</v>
      </c>
      <c r="AA432" s="154" t="s">
        <v>391</v>
      </c>
      <c r="AB432" s="242" t="b">
        <f t="shared" si="3"/>
        <v>0</v>
      </c>
      <c r="AC432" s="154"/>
      <c r="AD432" s="242" t="b">
        <f t="shared" si="4"/>
        <v>0</v>
      </c>
      <c r="AE432" s="154" t="s">
        <v>1631</v>
      </c>
      <c r="AF432" s="243" t="str">
        <f>IF(AE432="","N/A",INDIRECT("MTR!"&amp;ADDRESS(MATCH(LEFT(AE432,9),MTR!C:C,0),COLUMN(J432)),TRUE) &amp; "")</f>
        <v>Partially Complies</v>
      </c>
      <c r="AG432" s="157" t="str">
        <f t="shared" si="5"/>
        <v/>
      </c>
      <c r="AH432" s="152"/>
      <c r="AI432" s="152"/>
      <c r="AJ432" s="152"/>
      <c r="AK432" s="152"/>
      <c r="AL432" s="152"/>
      <c r="AM432" s="152"/>
      <c r="AN432" s="152"/>
      <c r="AO432" s="152"/>
      <c r="AP432" s="152"/>
      <c r="AQ432" s="152"/>
      <c r="AR432" s="152"/>
    </row>
    <row r="433" ht="12.75" customHeight="1">
      <c r="A433" s="244" t="s">
        <v>5158</v>
      </c>
      <c r="B433" s="244" t="s">
        <v>12721</v>
      </c>
      <c r="C433" s="245" t="s">
        <v>13873</v>
      </c>
      <c r="D433" s="155" t="s">
        <v>1315</v>
      </c>
      <c r="E433" s="155" t="s">
        <v>92</v>
      </c>
      <c r="F433" s="154" t="str">
        <f t="array" ref="F433">XLOOKUP(Cover!$D$12,$P$1:$X$1,$P433:$X433)</f>
        <v>Recommended</v>
      </c>
      <c r="G433" s="154" t="s">
        <v>13874</v>
      </c>
      <c r="H433" s="154" t="s">
        <v>13652</v>
      </c>
      <c r="I433" s="154" t="s">
        <v>13875</v>
      </c>
      <c r="J433" s="154" t="s">
        <v>6905</v>
      </c>
      <c r="K433" s="154"/>
      <c r="L433" s="154" t="s">
        <v>759</v>
      </c>
      <c r="M433" s="247" t="s">
        <v>516</v>
      </c>
      <c r="N433" s="247" t="s">
        <v>12731</v>
      </c>
      <c r="O433" s="240" t="str">
        <f t="shared" si="1"/>
        <v/>
      </c>
      <c r="P433" s="154" t="s">
        <v>66</v>
      </c>
      <c r="Q433" s="154" t="s">
        <v>66</v>
      </c>
      <c r="R433" s="154" t="s">
        <v>64</v>
      </c>
      <c r="S433" s="154" t="s">
        <v>64</v>
      </c>
      <c r="T433" s="154" t="s">
        <v>64</v>
      </c>
      <c r="U433" s="154" t="s">
        <v>64</v>
      </c>
      <c r="V433" s="154" t="s">
        <v>66</v>
      </c>
      <c r="W433" s="154" t="s">
        <v>64</v>
      </c>
      <c r="X433" s="154" t="s">
        <v>64</v>
      </c>
      <c r="Y433" s="154"/>
      <c r="Z433" s="242" t="b">
        <f t="shared" si="2"/>
        <v>1</v>
      </c>
      <c r="AA433" s="154" t="s">
        <v>391</v>
      </c>
      <c r="AB433" s="242" t="b">
        <f t="shared" si="3"/>
        <v>0</v>
      </c>
      <c r="AC433" s="154"/>
      <c r="AD433" s="242" t="b">
        <f t="shared" si="4"/>
        <v>0</v>
      </c>
      <c r="AE433" s="154" t="s">
        <v>1631</v>
      </c>
      <c r="AF433" s="243" t="str">
        <f>IF(AE433="","N/A",INDIRECT("MTR!"&amp;ADDRESS(MATCH(LEFT(AE433,9),MTR!C:C,0),COLUMN(J433)),TRUE) &amp; "")</f>
        <v>Partially Complies</v>
      </c>
      <c r="AG433" s="157" t="str">
        <f t="shared" si="5"/>
        <v/>
      </c>
      <c r="AH433" s="152"/>
      <c r="AI433" s="152"/>
      <c r="AJ433" s="152"/>
      <c r="AK433" s="152"/>
      <c r="AL433" s="152"/>
      <c r="AM433" s="152"/>
      <c r="AN433" s="152"/>
      <c r="AO433" s="152"/>
      <c r="AP433" s="152"/>
      <c r="AQ433" s="152"/>
      <c r="AR433" s="152"/>
    </row>
    <row r="434" ht="12.75" customHeight="1">
      <c r="A434" s="244" t="s">
        <v>5158</v>
      </c>
      <c r="B434" s="244" t="s">
        <v>12721</v>
      </c>
      <c r="C434" s="245" t="s">
        <v>13876</v>
      </c>
      <c r="D434" s="155" t="s">
        <v>1315</v>
      </c>
      <c r="E434" s="155" t="s">
        <v>92</v>
      </c>
      <c r="F434" s="154" t="str">
        <f t="array" ref="F434">XLOOKUP(Cover!$D$12,$P$1:$X$1,$P434:$X434)</f>
        <v>Recommended</v>
      </c>
      <c r="G434" s="154" t="s">
        <v>13877</v>
      </c>
      <c r="H434" s="154" t="s">
        <v>13878</v>
      </c>
      <c r="I434" s="154" t="s">
        <v>13875</v>
      </c>
      <c r="J434" s="154" t="s">
        <v>6905</v>
      </c>
      <c r="K434" s="154"/>
      <c r="L434" s="154" t="s">
        <v>759</v>
      </c>
      <c r="M434" s="247" t="s">
        <v>516</v>
      </c>
      <c r="N434" s="247" t="s">
        <v>12731</v>
      </c>
      <c r="O434" s="240" t="str">
        <f t="shared" si="1"/>
        <v/>
      </c>
      <c r="P434" s="154" t="s">
        <v>66</v>
      </c>
      <c r="Q434" s="154" t="s">
        <v>66</v>
      </c>
      <c r="R434" s="154" t="s">
        <v>64</v>
      </c>
      <c r="S434" s="154" t="s">
        <v>64</v>
      </c>
      <c r="T434" s="154" t="s">
        <v>64</v>
      </c>
      <c r="U434" s="154" t="s">
        <v>64</v>
      </c>
      <c r="V434" s="154" t="s">
        <v>66</v>
      </c>
      <c r="W434" s="154" t="s">
        <v>64</v>
      </c>
      <c r="X434" s="154" t="s">
        <v>64</v>
      </c>
      <c r="Y434" s="154"/>
      <c r="Z434" s="242" t="b">
        <f t="shared" si="2"/>
        <v>1</v>
      </c>
      <c r="AA434" s="154" t="s">
        <v>391</v>
      </c>
      <c r="AB434" s="242" t="b">
        <f t="shared" si="3"/>
        <v>0</v>
      </c>
      <c r="AC434" s="154"/>
      <c r="AD434" s="242" t="b">
        <f t="shared" si="4"/>
        <v>0</v>
      </c>
      <c r="AE434" s="154" t="s">
        <v>1631</v>
      </c>
      <c r="AF434" s="243" t="str">
        <f>IF(AE434="","N/A",INDIRECT("MTR!"&amp;ADDRESS(MATCH(LEFT(AE434,9),MTR!C:C,0),COLUMN(J434)),TRUE) &amp; "")</f>
        <v>Partially Complies</v>
      </c>
      <c r="AG434" s="157" t="str">
        <f t="shared" si="5"/>
        <v/>
      </c>
      <c r="AH434" s="152"/>
      <c r="AI434" s="152"/>
      <c r="AJ434" s="152"/>
      <c r="AK434" s="152"/>
      <c r="AL434" s="152"/>
      <c r="AM434" s="152"/>
      <c r="AN434" s="152"/>
      <c r="AO434" s="152"/>
      <c r="AP434" s="152"/>
      <c r="AQ434" s="152"/>
      <c r="AR434" s="152"/>
    </row>
    <row r="435" ht="12.75" customHeight="1">
      <c r="A435" s="244" t="s">
        <v>5158</v>
      </c>
      <c r="B435" s="244" t="s">
        <v>12721</v>
      </c>
      <c r="C435" s="244" t="s">
        <v>13879</v>
      </c>
      <c r="D435" s="154" t="s">
        <v>1773</v>
      </c>
      <c r="E435" s="154"/>
      <c r="F435" s="154" t="str">
        <f t="array" ref="F435">XLOOKUP(Cover!$D$12,$P$1:$X$1,$P435:$X435)</f>
        <v>Recommended</v>
      </c>
      <c r="G435" s="154" t="s">
        <v>13880</v>
      </c>
      <c r="H435" s="154" t="s">
        <v>13678</v>
      </c>
      <c r="I435" s="154" t="s">
        <v>13881</v>
      </c>
      <c r="J435" s="154" t="s">
        <v>7175</v>
      </c>
      <c r="K435" s="154"/>
      <c r="L435" s="154" t="s">
        <v>759</v>
      </c>
      <c r="M435" s="247" t="s">
        <v>516</v>
      </c>
      <c r="N435" s="247" t="s">
        <v>12731</v>
      </c>
      <c r="O435" s="240" t="str">
        <f t="shared" si="1"/>
        <v/>
      </c>
      <c r="P435" s="154" t="s">
        <v>66</v>
      </c>
      <c r="Q435" s="154" t="s">
        <v>66</v>
      </c>
      <c r="R435" s="154" t="s">
        <v>64</v>
      </c>
      <c r="S435" s="154" t="s">
        <v>64</v>
      </c>
      <c r="T435" s="154" t="s">
        <v>64</v>
      </c>
      <c r="U435" s="154" t="s">
        <v>64</v>
      </c>
      <c r="V435" s="154" t="s">
        <v>66</v>
      </c>
      <c r="W435" s="154" t="s">
        <v>64</v>
      </c>
      <c r="X435" s="154" t="s">
        <v>64</v>
      </c>
      <c r="Y435" s="154"/>
      <c r="Z435" s="242" t="b">
        <f t="shared" si="2"/>
        <v>1</v>
      </c>
      <c r="AA435" s="154" t="s">
        <v>391</v>
      </c>
      <c r="AB435" s="242" t="b">
        <f t="shared" si="3"/>
        <v>0</v>
      </c>
      <c r="AC435" s="154"/>
      <c r="AD435" s="242" t="b">
        <f t="shared" si="4"/>
        <v>0</v>
      </c>
      <c r="AE435" s="154" t="s">
        <v>1631</v>
      </c>
      <c r="AF435" s="243" t="str">
        <f>IF(AE435="","N/A",INDIRECT("MTR!"&amp;ADDRESS(MATCH(LEFT(AE435,9),MTR!C:C,0),COLUMN(J435)),TRUE) &amp; "")</f>
        <v>Partially Complies</v>
      </c>
      <c r="AG435" s="157" t="str">
        <f t="shared" si="5"/>
        <v/>
      </c>
      <c r="AH435" s="152"/>
      <c r="AI435" s="152"/>
      <c r="AJ435" s="152"/>
      <c r="AK435" s="152"/>
      <c r="AL435" s="152"/>
      <c r="AM435" s="152"/>
      <c r="AN435" s="152"/>
      <c r="AO435" s="152"/>
      <c r="AP435" s="152"/>
      <c r="AQ435" s="152"/>
      <c r="AR435" s="152"/>
    </row>
    <row r="436" ht="12.75" customHeight="1">
      <c r="A436" s="244" t="s">
        <v>5158</v>
      </c>
      <c r="B436" s="244" t="s">
        <v>12721</v>
      </c>
      <c r="C436" s="244" t="s">
        <v>13882</v>
      </c>
      <c r="D436" s="154" t="s">
        <v>1773</v>
      </c>
      <c r="E436" s="154"/>
      <c r="F436" s="154" t="str">
        <f t="array" ref="F436">XLOOKUP(Cover!$D$12,$P$1:$X$1,$P436:$X436)</f>
        <v>Recommended</v>
      </c>
      <c r="G436" s="154" t="s">
        <v>13883</v>
      </c>
      <c r="H436" s="154" t="s">
        <v>13884</v>
      </c>
      <c r="I436" s="154" t="s">
        <v>13881</v>
      </c>
      <c r="J436" s="154" t="s">
        <v>7175</v>
      </c>
      <c r="K436" s="154"/>
      <c r="L436" s="154" t="s">
        <v>759</v>
      </c>
      <c r="M436" s="247" t="s">
        <v>516</v>
      </c>
      <c r="N436" s="247" t="s">
        <v>12731</v>
      </c>
      <c r="O436" s="240" t="str">
        <f t="shared" si="1"/>
        <v/>
      </c>
      <c r="P436" s="154" t="s">
        <v>66</v>
      </c>
      <c r="Q436" s="154" t="s">
        <v>66</v>
      </c>
      <c r="R436" s="154" t="s">
        <v>64</v>
      </c>
      <c r="S436" s="154" t="s">
        <v>64</v>
      </c>
      <c r="T436" s="154" t="s">
        <v>64</v>
      </c>
      <c r="U436" s="154" t="s">
        <v>64</v>
      </c>
      <c r="V436" s="154" t="s">
        <v>66</v>
      </c>
      <c r="W436" s="154" t="s">
        <v>64</v>
      </c>
      <c r="X436" s="154" t="s">
        <v>64</v>
      </c>
      <c r="Y436" s="154"/>
      <c r="Z436" s="242" t="b">
        <f t="shared" si="2"/>
        <v>1</v>
      </c>
      <c r="AA436" s="154" t="s">
        <v>391</v>
      </c>
      <c r="AB436" s="242" t="b">
        <f t="shared" si="3"/>
        <v>0</v>
      </c>
      <c r="AC436" s="154"/>
      <c r="AD436" s="242" t="b">
        <f t="shared" si="4"/>
        <v>0</v>
      </c>
      <c r="AE436" s="154" t="s">
        <v>1631</v>
      </c>
      <c r="AF436" s="243" t="str">
        <f>IF(AE436="","N/A",INDIRECT("MTR!"&amp;ADDRESS(MATCH(LEFT(AE436,9),MTR!C:C,0),COLUMN(J436)),TRUE) &amp; "")</f>
        <v>Partially Complies</v>
      </c>
      <c r="AG436" s="157" t="str">
        <f t="shared" si="5"/>
        <v/>
      </c>
      <c r="AH436" s="152"/>
      <c r="AI436" s="152"/>
      <c r="AJ436" s="152"/>
      <c r="AK436" s="152"/>
      <c r="AL436" s="152"/>
      <c r="AM436" s="152"/>
      <c r="AN436" s="152"/>
      <c r="AO436" s="152"/>
      <c r="AP436" s="152"/>
      <c r="AQ436" s="152"/>
      <c r="AR436" s="152"/>
    </row>
    <row r="437" ht="12.75" customHeight="1">
      <c r="A437" s="244" t="s">
        <v>5158</v>
      </c>
      <c r="B437" s="244" t="s">
        <v>12721</v>
      </c>
      <c r="C437" s="244" t="s">
        <v>13885</v>
      </c>
      <c r="D437" s="154" t="s">
        <v>1773</v>
      </c>
      <c r="E437" s="154"/>
      <c r="F437" s="154" t="str">
        <f t="array" ref="F437">XLOOKUP(Cover!$D$12,$P$1:$X$1,$P437:$X437)</f>
        <v>Recommended</v>
      </c>
      <c r="G437" s="154" t="s">
        <v>13886</v>
      </c>
      <c r="H437" s="154" t="s">
        <v>13712</v>
      </c>
      <c r="I437" s="154" t="s">
        <v>13887</v>
      </c>
      <c r="J437" s="154" t="s">
        <v>7175</v>
      </c>
      <c r="K437" s="154"/>
      <c r="L437" s="154" t="s">
        <v>759</v>
      </c>
      <c r="M437" s="247" t="s">
        <v>516</v>
      </c>
      <c r="N437" s="247" t="s">
        <v>12731</v>
      </c>
      <c r="O437" s="240" t="str">
        <f t="shared" si="1"/>
        <v/>
      </c>
      <c r="P437" s="154" t="s">
        <v>66</v>
      </c>
      <c r="Q437" s="154" t="s">
        <v>66</v>
      </c>
      <c r="R437" s="154" t="s">
        <v>64</v>
      </c>
      <c r="S437" s="154" t="s">
        <v>64</v>
      </c>
      <c r="T437" s="154" t="s">
        <v>64</v>
      </c>
      <c r="U437" s="154" t="s">
        <v>64</v>
      </c>
      <c r="V437" s="154" t="s">
        <v>66</v>
      </c>
      <c r="W437" s="154" t="s">
        <v>64</v>
      </c>
      <c r="X437" s="154" t="s">
        <v>64</v>
      </c>
      <c r="Y437" s="154"/>
      <c r="Z437" s="242" t="b">
        <f t="shared" si="2"/>
        <v>1</v>
      </c>
      <c r="AA437" s="154" t="s">
        <v>391</v>
      </c>
      <c r="AB437" s="242" t="b">
        <f t="shared" si="3"/>
        <v>0</v>
      </c>
      <c r="AC437" s="154"/>
      <c r="AD437" s="242" t="b">
        <f t="shared" si="4"/>
        <v>0</v>
      </c>
      <c r="AE437" s="154" t="s">
        <v>1631</v>
      </c>
      <c r="AF437" s="243" t="str">
        <f>IF(AE437="","N/A",INDIRECT("MTR!"&amp;ADDRESS(MATCH(LEFT(AE437,9),MTR!C:C,0),COLUMN(J437)),TRUE) &amp; "")</f>
        <v>Partially Complies</v>
      </c>
      <c r="AG437" s="157" t="str">
        <f t="shared" si="5"/>
        <v/>
      </c>
      <c r="AH437" s="152"/>
      <c r="AI437" s="152"/>
      <c r="AJ437" s="152"/>
      <c r="AK437" s="152"/>
      <c r="AL437" s="152"/>
      <c r="AM437" s="152"/>
      <c r="AN437" s="152"/>
      <c r="AO437" s="152"/>
      <c r="AP437" s="152"/>
      <c r="AQ437" s="152"/>
      <c r="AR437" s="152"/>
    </row>
    <row r="438" ht="12.75" customHeight="1">
      <c r="A438" s="244" t="s">
        <v>5158</v>
      </c>
      <c r="B438" s="244" t="s">
        <v>12721</v>
      </c>
      <c r="C438" s="244" t="s">
        <v>13888</v>
      </c>
      <c r="D438" s="154" t="s">
        <v>1773</v>
      </c>
      <c r="E438" s="154"/>
      <c r="F438" s="154" t="str">
        <f t="array" ref="F438">XLOOKUP(Cover!$D$12,$P$1:$X$1,$P438:$X438)</f>
        <v>Recommended</v>
      </c>
      <c r="G438" s="154" t="s">
        <v>13889</v>
      </c>
      <c r="H438" s="154" t="s">
        <v>13890</v>
      </c>
      <c r="I438" s="154" t="s">
        <v>13887</v>
      </c>
      <c r="J438" s="154" t="s">
        <v>7175</v>
      </c>
      <c r="K438" s="154"/>
      <c r="L438" s="154" t="s">
        <v>759</v>
      </c>
      <c r="M438" s="247" t="s">
        <v>516</v>
      </c>
      <c r="N438" s="247" t="s">
        <v>12731</v>
      </c>
      <c r="O438" s="240" t="str">
        <f t="shared" si="1"/>
        <v/>
      </c>
      <c r="P438" s="154" t="s">
        <v>66</v>
      </c>
      <c r="Q438" s="154" t="s">
        <v>66</v>
      </c>
      <c r="R438" s="154" t="s">
        <v>64</v>
      </c>
      <c r="S438" s="154" t="s">
        <v>64</v>
      </c>
      <c r="T438" s="154" t="s">
        <v>64</v>
      </c>
      <c r="U438" s="154" t="s">
        <v>64</v>
      </c>
      <c r="V438" s="154" t="s">
        <v>66</v>
      </c>
      <c r="W438" s="154" t="s">
        <v>64</v>
      </c>
      <c r="X438" s="154" t="s">
        <v>64</v>
      </c>
      <c r="Y438" s="154"/>
      <c r="Z438" s="242" t="b">
        <f t="shared" si="2"/>
        <v>1</v>
      </c>
      <c r="AA438" s="154" t="s">
        <v>391</v>
      </c>
      <c r="AB438" s="242" t="b">
        <f t="shared" si="3"/>
        <v>0</v>
      </c>
      <c r="AC438" s="154"/>
      <c r="AD438" s="242" t="b">
        <f t="shared" si="4"/>
        <v>0</v>
      </c>
      <c r="AE438" s="154" t="s">
        <v>1631</v>
      </c>
      <c r="AF438" s="243" t="str">
        <f>IF(AE438="","N/A",INDIRECT("MTR!"&amp;ADDRESS(MATCH(LEFT(AE438,9),MTR!C:C,0),COLUMN(J438)),TRUE) &amp; "")</f>
        <v>Partially Complies</v>
      </c>
      <c r="AG438" s="157" t="str">
        <f t="shared" si="5"/>
        <v/>
      </c>
      <c r="AH438" s="152"/>
      <c r="AI438" s="152"/>
      <c r="AJ438" s="152"/>
      <c r="AK438" s="152"/>
      <c r="AL438" s="152"/>
      <c r="AM438" s="152"/>
      <c r="AN438" s="152"/>
      <c r="AO438" s="152"/>
      <c r="AP438" s="152"/>
      <c r="AQ438" s="152"/>
      <c r="AR438" s="152"/>
    </row>
    <row r="439" ht="12.75" customHeight="1">
      <c r="A439" s="244" t="s">
        <v>5158</v>
      </c>
      <c r="B439" s="244" t="s">
        <v>12721</v>
      </c>
      <c r="C439" s="255" t="s">
        <v>13891</v>
      </c>
      <c r="D439" s="256" t="s">
        <v>42</v>
      </c>
      <c r="E439" s="256" t="s">
        <v>489</v>
      </c>
      <c r="F439" s="154" t="str">
        <f t="array" ref="F439">XLOOKUP(Cover!$D$12,$P$1:$X$1,$P439:$X439)</f>
        <v>Information</v>
      </c>
      <c r="G439" s="154" t="s">
        <v>13892</v>
      </c>
      <c r="H439" s="154" t="s">
        <v>13768</v>
      </c>
      <c r="I439" s="154" t="s">
        <v>13893</v>
      </c>
      <c r="J439" s="154" t="s">
        <v>5931</v>
      </c>
      <c r="K439" s="154"/>
      <c r="L439" s="154" t="s">
        <v>759</v>
      </c>
      <c r="M439" s="247" t="s">
        <v>516</v>
      </c>
      <c r="N439" s="247" t="s">
        <v>12731</v>
      </c>
      <c r="O439" s="240" t="str">
        <f t="shared" si="1"/>
        <v/>
      </c>
      <c r="P439" s="154" t="s">
        <v>66</v>
      </c>
      <c r="Q439" s="154" t="s">
        <v>66</v>
      </c>
      <c r="R439" s="154" t="s">
        <v>66</v>
      </c>
      <c r="S439" s="154" t="s">
        <v>66</v>
      </c>
      <c r="T439" s="154" t="s">
        <v>66</v>
      </c>
      <c r="U439" s="154" t="s">
        <v>66</v>
      </c>
      <c r="V439" s="154" t="s">
        <v>66</v>
      </c>
      <c r="W439" s="154" t="s">
        <v>66</v>
      </c>
      <c r="X439" s="154" t="s">
        <v>66</v>
      </c>
      <c r="Y439" s="154"/>
      <c r="Z439" s="242" t="b">
        <f t="shared" si="2"/>
        <v>1</v>
      </c>
      <c r="AA439" s="154" t="s">
        <v>391</v>
      </c>
      <c r="AB439" s="242" t="b">
        <f t="shared" si="3"/>
        <v>0</v>
      </c>
      <c r="AC439" s="154"/>
      <c r="AD439" s="242" t="b">
        <f t="shared" si="4"/>
        <v>0</v>
      </c>
      <c r="AE439" s="154" t="s">
        <v>1631</v>
      </c>
      <c r="AF439" s="243" t="str">
        <f>IF(AE439="","N/A",INDIRECT("MTR!"&amp;ADDRESS(MATCH(LEFT(AE439,9),MTR!C:C,0),COLUMN(J439)),TRUE) &amp; "")</f>
        <v>Partially Complies</v>
      </c>
      <c r="AG439" s="157" t="str">
        <f t="shared" si="5"/>
        <v/>
      </c>
      <c r="AH439" s="152"/>
      <c r="AI439" s="152"/>
      <c r="AJ439" s="152"/>
      <c r="AK439" s="152"/>
      <c r="AL439" s="152"/>
      <c r="AM439" s="152"/>
      <c r="AN439" s="152"/>
      <c r="AO439" s="152"/>
      <c r="AP439" s="152"/>
      <c r="AQ439" s="152"/>
      <c r="AR439" s="152"/>
    </row>
    <row r="440" ht="12.75" customHeight="1">
      <c r="A440" s="244" t="s">
        <v>5158</v>
      </c>
      <c r="B440" s="244" t="s">
        <v>12721</v>
      </c>
      <c r="C440" s="255" t="s">
        <v>13894</v>
      </c>
      <c r="D440" s="256" t="s">
        <v>42</v>
      </c>
      <c r="E440" s="256" t="s">
        <v>489</v>
      </c>
      <c r="F440" s="154" t="str">
        <f t="array" ref="F440">XLOOKUP(Cover!$D$12,$P$1:$X$1,$P440:$X440)</f>
        <v>Information</v>
      </c>
      <c r="G440" s="154" t="s">
        <v>13895</v>
      </c>
      <c r="H440" s="154" t="s">
        <v>13896</v>
      </c>
      <c r="I440" s="154" t="s">
        <v>13893</v>
      </c>
      <c r="J440" s="154" t="s">
        <v>5931</v>
      </c>
      <c r="K440" s="154"/>
      <c r="L440" s="154" t="s">
        <v>759</v>
      </c>
      <c r="M440" s="247" t="s">
        <v>516</v>
      </c>
      <c r="N440" s="247" t="s">
        <v>12731</v>
      </c>
      <c r="O440" s="240" t="str">
        <f t="shared" si="1"/>
        <v/>
      </c>
      <c r="P440" s="154" t="s">
        <v>66</v>
      </c>
      <c r="Q440" s="154" t="s">
        <v>66</v>
      </c>
      <c r="R440" s="154" t="s">
        <v>66</v>
      </c>
      <c r="S440" s="154" t="s">
        <v>66</v>
      </c>
      <c r="T440" s="154" t="s">
        <v>66</v>
      </c>
      <c r="U440" s="154" t="s">
        <v>66</v>
      </c>
      <c r="V440" s="154" t="s">
        <v>66</v>
      </c>
      <c r="W440" s="154" t="s">
        <v>66</v>
      </c>
      <c r="X440" s="154" t="s">
        <v>66</v>
      </c>
      <c r="Y440" s="154"/>
      <c r="Z440" s="242" t="b">
        <f t="shared" si="2"/>
        <v>1</v>
      </c>
      <c r="AA440" s="154" t="s">
        <v>391</v>
      </c>
      <c r="AB440" s="242" t="b">
        <f t="shared" si="3"/>
        <v>0</v>
      </c>
      <c r="AC440" s="154"/>
      <c r="AD440" s="242" t="b">
        <f t="shared" si="4"/>
        <v>0</v>
      </c>
      <c r="AE440" s="154" t="s">
        <v>1631</v>
      </c>
      <c r="AF440" s="243" t="str">
        <f>IF(AE440="","N/A",INDIRECT("MTR!"&amp;ADDRESS(MATCH(LEFT(AE440,9),MTR!C:C,0),COLUMN(J440)),TRUE) &amp; "")</f>
        <v>Partially Complies</v>
      </c>
      <c r="AG440" s="157" t="str">
        <f t="shared" si="5"/>
        <v/>
      </c>
      <c r="AH440" s="152"/>
      <c r="AI440" s="152"/>
      <c r="AJ440" s="152"/>
      <c r="AK440" s="152"/>
      <c r="AL440" s="152"/>
      <c r="AM440" s="152"/>
      <c r="AN440" s="152"/>
      <c r="AO440" s="152"/>
      <c r="AP440" s="152"/>
      <c r="AQ440" s="152"/>
      <c r="AR440" s="152"/>
    </row>
    <row r="441" ht="12.75" customHeight="1">
      <c r="A441" s="244" t="s">
        <v>5158</v>
      </c>
      <c r="B441" s="244" t="s">
        <v>12721</v>
      </c>
      <c r="C441" s="245" t="s">
        <v>13897</v>
      </c>
      <c r="D441" s="155" t="s">
        <v>1773</v>
      </c>
      <c r="E441" s="155" t="s">
        <v>92</v>
      </c>
      <c r="F441" s="154" t="str">
        <f t="array" ref="F441">XLOOKUP(Cover!$D$12,$P$1:$X$1,$P441:$X441)</f>
        <v>Recommended</v>
      </c>
      <c r="G441" s="154" t="s">
        <v>13898</v>
      </c>
      <c r="H441" s="154" t="s">
        <v>13775</v>
      </c>
      <c r="I441" s="154" t="s">
        <v>13899</v>
      </c>
      <c r="J441" s="154" t="s">
        <v>7175</v>
      </c>
      <c r="K441" s="154"/>
      <c r="L441" s="154" t="s">
        <v>759</v>
      </c>
      <c r="M441" s="247" t="s">
        <v>516</v>
      </c>
      <c r="N441" s="247" t="s">
        <v>12731</v>
      </c>
      <c r="O441" s="240" t="str">
        <f t="shared" si="1"/>
        <v/>
      </c>
      <c r="P441" s="154" t="s">
        <v>66</v>
      </c>
      <c r="Q441" s="154" t="s">
        <v>66</v>
      </c>
      <c r="R441" s="154" t="s">
        <v>64</v>
      </c>
      <c r="S441" s="154" t="s">
        <v>64</v>
      </c>
      <c r="T441" s="154" t="s">
        <v>64</v>
      </c>
      <c r="U441" s="154" t="s">
        <v>64</v>
      </c>
      <c r="V441" s="154" t="s">
        <v>66</v>
      </c>
      <c r="W441" s="154" t="s">
        <v>64</v>
      </c>
      <c r="X441" s="154" t="s">
        <v>64</v>
      </c>
      <c r="Y441" s="154"/>
      <c r="Z441" s="242" t="b">
        <f t="shared" si="2"/>
        <v>1</v>
      </c>
      <c r="AA441" s="154" t="s">
        <v>391</v>
      </c>
      <c r="AB441" s="242" t="b">
        <f t="shared" si="3"/>
        <v>0</v>
      </c>
      <c r="AC441" s="154"/>
      <c r="AD441" s="242" t="b">
        <f t="shared" si="4"/>
        <v>0</v>
      </c>
      <c r="AE441" s="154" t="s">
        <v>1631</v>
      </c>
      <c r="AF441" s="243" t="str">
        <f>IF(AE441="","N/A",INDIRECT("MTR!"&amp;ADDRESS(MATCH(LEFT(AE441,9),MTR!C:C,0),COLUMN(J441)),TRUE) &amp; "")</f>
        <v>Partially Complies</v>
      </c>
      <c r="AG441" s="157" t="str">
        <f t="shared" si="5"/>
        <v/>
      </c>
      <c r="AH441" s="152"/>
      <c r="AI441" s="152"/>
      <c r="AJ441" s="152"/>
      <c r="AK441" s="152"/>
      <c r="AL441" s="152"/>
      <c r="AM441" s="152"/>
      <c r="AN441" s="152"/>
      <c r="AO441" s="152"/>
      <c r="AP441" s="152"/>
      <c r="AQ441" s="152"/>
      <c r="AR441" s="152"/>
    </row>
    <row r="442" ht="12.75" customHeight="1">
      <c r="A442" s="244" t="s">
        <v>5158</v>
      </c>
      <c r="B442" s="244" t="s">
        <v>12721</v>
      </c>
      <c r="C442" s="245" t="s">
        <v>13900</v>
      </c>
      <c r="D442" s="155" t="s">
        <v>1773</v>
      </c>
      <c r="E442" s="155" t="s">
        <v>92</v>
      </c>
      <c r="F442" s="154" t="str">
        <f t="array" ref="F442">XLOOKUP(Cover!$D$12,$P$1:$X$1,$P442:$X442)</f>
        <v>Recommended</v>
      </c>
      <c r="G442" s="154" t="s">
        <v>13901</v>
      </c>
      <c r="H442" s="154" t="s">
        <v>13902</v>
      </c>
      <c r="I442" s="154" t="s">
        <v>13899</v>
      </c>
      <c r="J442" s="154" t="s">
        <v>7175</v>
      </c>
      <c r="K442" s="154"/>
      <c r="L442" s="154" t="s">
        <v>759</v>
      </c>
      <c r="M442" s="247" t="s">
        <v>516</v>
      </c>
      <c r="N442" s="247" t="s">
        <v>12731</v>
      </c>
      <c r="O442" s="240" t="str">
        <f t="shared" si="1"/>
        <v/>
      </c>
      <c r="P442" s="154" t="s">
        <v>66</v>
      </c>
      <c r="Q442" s="154" t="s">
        <v>66</v>
      </c>
      <c r="R442" s="154" t="s">
        <v>64</v>
      </c>
      <c r="S442" s="154" t="s">
        <v>64</v>
      </c>
      <c r="T442" s="154" t="s">
        <v>64</v>
      </c>
      <c r="U442" s="154" t="s">
        <v>64</v>
      </c>
      <c r="V442" s="154" t="s">
        <v>66</v>
      </c>
      <c r="W442" s="154" t="s">
        <v>64</v>
      </c>
      <c r="X442" s="154" t="s">
        <v>64</v>
      </c>
      <c r="Y442" s="154"/>
      <c r="Z442" s="242" t="b">
        <f t="shared" si="2"/>
        <v>1</v>
      </c>
      <c r="AA442" s="154" t="s">
        <v>391</v>
      </c>
      <c r="AB442" s="242" t="b">
        <f t="shared" si="3"/>
        <v>0</v>
      </c>
      <c r="AC442" s="154"/>
      <c r="AD442" s="242" t="b">
        <f t="shared" si="4"/>
        <v>0</v>
      </c>
      <c r="AE442" s="154" t="s">
        <v>1631</v>
      </c>
      <c r="AF442" s="243" t="str">
        <f>IF(AE442="","N/A",INDIRECT("MTR!"&amp;ADDRESS(MATCH(LEFT(AE442,9),MTR!C:C,0),COLUMN(J442)),TRUE) &amp; "")</f>
        <v>Partially Complies</v>
      </c>
      <c r="AG442" s="157" t="str">
        <f t="shared" si="5"/>
        <v/>
      </c>
      <c r="AH442" s="152"/>
      <c r="AI442" s="152"/>
      <c r="AJ442" s="152"/>
      <c r="AK442" s="152"/>
      <c r="AL442" s="152"/>
      <c r="AM442" s="152"/>
      <c r="AN442" s="152"/>
      <c r="AO442" s="152"/>
      <c r="AP442" s="152"/>
      <c r="AQ442" s="152"/>
      <c r="AR442" s="152"/>
    </row>
    <row r="443" ht="12.75" customHeight="1">
      <c r="A443" s="238" t="s">
        <v>5158</v>
      </c>
      <c r="B443" s="238" t="s">
        <v>12721</v>
      </c>
      <c r="C443" s="238" t="s">
        <v>13903</v>
      </c>
      <c r="D443" s="240"/>
      <c r="E443" s="240" t="s">
        <v>92</v>
      </c>
      <c r="F443" s="240" t="str">
        <f t="array" ref="F443">XLOOKUP(Cover!$D$12,$P$1:$X$1,$P443:$X443)</f>
        <v>Heading</v>
      </c>
      <c r="G443" s="239" t="s">
        <v>13904</v>
      </c>
      <c r="H443" s="240"/>
      <c r="I443" s="240"/>
      <c r="J443" s="240"/>
      <c r="K443" s="240"/>
      <c r="L443" s="240" t="s">
        <v>759</v>
      </c>
      <c r="M443" s="240"/>
      <c r="N443" s="240"/>
      <c r="O443" s="240" t="str">
        <f t="shared" si="1"/>
        <v/>
      </c>
      <c r="P443" s="240" t="s">
        <v>390</v>
      </c>
      <c r="Q443" s="240" t="s">
        <v>390</v>
      </c>
      <c r="R443" s="240" t="s">
        <v>390</v>
      </c>
      <c r="S443" s="240" t="s">
        <v>390</v>
      </c>
      <c r="T443" s="240" t="s">
        <v>390</v>
      </c>
      <c r="U443" s="240" t="s">
        <v>390</v>
      </c>
      <c r="V443" s="240" t="s">
        <v>390</v>
      </c>
      <c r="W443" s="240" t="s">
        <v>390</v>
      </c>
      <c r="X443" s="240" t="s">
        <v>390</v>
      </c>
      <c r="Y443" s="240"/>
      <c r="Z443" s="242" t="b">
        <f t="shared" si="2"/>
        <v>0</v>
      </c>
      <c r="AA443" s="240" t="s">
        <v>391</v>
      </c>
      <c r="AB443" s="242" t="b">
        <f t="shared" si="3"/>
        <v>0</v>
      </c>
      <c r="AC443" s="240"/>
      <c r="AD443" s="242" t="b">
        <f t="shared" si="4"/>
        <v>0</v>
      </c>
      <c r="AE443" s="240"/>
      <c r="AF443" s="243" t="str">
        <f>IF(AE443="","N/A",INDIRECT("MTR!"&amp;ADDRESS(MATCH(LEFT(AE443,9),MTR!C:C,0),COLUMN(J443)),TRUE) &amp; "")</f>
        <v>N/A</v>
      </c>
      <c r="AG443" s="157" t="str">
        <f t="shared" si="5"/>
        <v/>
      </c>
      <c r="AH443" s="152"/>
      <c r="AI443" s="152"/>
      <c r="AJ443" s="152"/>
      <c r="AK443" s="152"/>
      <c r="AL443" s="152"/>
      <c r="AM443" s="152"/>
      <c r="AN443" s="152"/>
      <c r="AO443" s="152"/>
      <c r="AP443" s="152"/>
      <c r="AQ443" s="152"/>
      <c r="AR443" s="152"/>
    </row>
    <row r="444" ht="12.75" customHeight="1">
      <c r="A444" s="244" t="s">
        <v>5158</v>
      </c>
      <c r="B444" s="244" t="s">
        <v>12721</v>
      </c>
      <c r="C444" s="245" t="s">
        <v>13905</v>
      </c>
      <c r="D444" s="155" t="s">
        <v>1773</v>
      </c>
      <c r="E444" s="155" t="s">
        <v>92</v>
      </c>
      <c r="F444" s="154" t="str">
        <f t="array" ref="F444">XLOOKUP(Cover!$D$12,$P$1:$X$1,$P444:$X444)</f>
        <v>Recommended</v>
      </c>
      <c r="G444" s="154" t="s">
        <v>13906</v>
      </c>
      <c r="H444" s="154" t="s">
        <v>13863</v>
      </c>
      <c r="I444" s="154" t="s">
        <v>13907</v>
      </c>
      <c r="J444" s="154" t="s">
        <v>7175</v>
      </c>
      <c r="K444" s="154"/>
      <c r="L444" s="154" t="s">
        <v>759</v>
      </c>
      <c r="M444" s="247" t="s">
        <v>516</v>
      </c>
      <c r="N444" s="247" t="s">
        <v>12731</v>
      </c>
      <c r="O444" s="240" t="str">
        <f t="shared" si="1"/>
        <v/>
      </c>
      <c r="P444" s="154" t="s">
        <v>66</v>
      </c>
      <c r="Q444" s="154" t="s">
        <v>66</v>
      </c>
      <c r="R444" s="154" t="s">
        <v>64</v>
      </c>
      <c r="S444" s="154" t="s">
        <v>64</v>
      </c>
      <c r="T444" s="154" t="s">
        <v>64</v>
      </c>
      <c r="U444" s="154" t="s">
        <v>64</v>
      </c>
      <c r="V444" s="154" t="s">
        <v>66</v>
      </c>
      <c r="W444" s="154" t="s">
        <v>64</v>
      </c>
      <c r="X444" s="154" t="s">
        <v>64</v>
      </c>
      <c r="Y444" s="154"/>
      <c r="Z444" s="242" t="b">
        <f t="shared" si="2"/>
        <v>1</v>
      </c>
      <c r="AA444" s="154" t="s">
        <v>391</v>
      </c>
      <c r="AB444" s="242" t="b">
        <f t="shared" si="3"/>
        <v>0</v>
      </c>
      <c r="AC444" s="154"/>
      <c r="AD444" s="242" t="b">
        <f t="shared" si="4"/>
        <v>0</v>
      </c>
      <c r="AE444" s="154" t="s">
        <v>1631</v>
      </c>
      <c r="AF444" s="243" t="str">
        <f>IF(AE444="","N/A",INDIRECT("MTR!"&amp;ADDRESS(MATCH(LEFT(AE444,9),MTR!C:C,0),COLUMN(J444)),TRUE) &amp; "")</f>
        <v>Partially Complies</v>
      </c>
      <c r="AG444" s="157" t="str">
        <f t="shared" si="5"/>
        <v/>
      </c>
      <c r="AH444" s="152"/>
      <c r="AI444" s="152"/>
      <c r="AJ444" s="152"/>
      <c r="AK444" s="152"/>
      <c r="AL444" s="152"/>
      <c r="AM444" s="152"/>
      <c r="AN444" s="152"/>
      <c r="AO444" s="152"/>
      <c r="AP444" s="152"/>
      <c r="AQ444" s="152"/>
      <c r="AR444" s="152"/>
    </row>
    <row r="445" ht="12.75" customHeight="1">
      <c r="A445" s="244" t="s">
        <v>5158</v>
      </c>
      <c r="B445" s="244" t="s">
        <v>12721</v>
      </c>
      <c r="C445" s="245" t="s">
        <v>13908</v>
      </c>
      <c r="D445" s="155" t="s">
        <v>1773</v>
      </c>
      <c r="E445" s="155" t="s">
        <v>92</v>
      </c>
      <c r="F445" s="154" t="str">
        <f t="array" ref="F445">XLOOKUP(Cover!$D$12,$P$1:$X$1,$P445:$X445)</f>
        <v>Recommended</v>
      </c>
      <c r="G445" s="154" t="s">
        <v>13909</v>
      </c>
      <c r="H445" s="154" t="s">
        <v>13910</v>
      </c>
      <c r="I445" s="154" t="s">
        <v>13907</v>
      </c>
      <c r="J445" s="154" t="s">
        <v>7175</v>
      </c>
      <c r="K445" s="154"/>
      <c r="L445" s="154" t="s">
        <v>759</v>
      </c>
      <c r="M445" s="247" t="s">
        <v>516</v>
      </c>
      <c r="N445" s="247" t="s">
        <v>12731</v>
      </c>
      <c r="O445" s="240" t="str">
        <f t="shared" si="1"/>
        <v/>
      </c>
      <c r="P445" s="154" t="s">
        <v>66</v>
      </c>
      <c r="Q445" s="154" t="s">
        <v>66</v>
      </c>
      <c r="R445" s="154" t="s">
        <v>64</v>
      </c>
      <c r="S445" s="154" t="s">
        <v>64</v>
      </c>
      <c r="T445" s="154" t="s">
        <v>64</v>
      </c>
      <c r="U445" s="154" t="s">
        <v>64</v>
      </c>
      <c r="V445" s="154" t="s">
        <v>66</v>
      </c>
      <c r="W445" s="154" t="s">
        <v>64</v>
      </c>
      <c r="X445" s="154" t="s">
        <v>64</v>
      </c>
      <c r="Y445" s="154"/>
      <c r="Z445" s="242" t="b">
        <f t="shared" si="2"/>
        <v>1</v>
      </c>
      <c r="AA445" s="154" t="s">
        <v>391</v>
      </c>
      <c r="AB445" s="242" t="b">
        <f t="shared" si="3"/>
        <v>0</v>
      </c>
      <c r="AC445" s="154"/>
      <c r="AD445" s="242" t="b">
        <f t="shared" si="4"/>
        <v>0</v>
      </c>
      <c r="AE445" s="154" t="s">
        <v>1631</v>
      </c>
      <c r="AF445" s="243" t="str">
        <f>IF(AE445="","N/A",INDIRECT("MTR!"&amp;ADDRESS(MATCH(LEFT(AE445,9),MTR!C:C,0),COLUMN(J445)),TRUE) &amp; "")</f>
        <v>Partially Complies</v>
      </c>
      <c r="AG445" s="157" t="str">
        <f t="shared" si="5"/>
        <v/>
      </c>
      <c r="AH445" s="152"/>
      <c r="AI445" s="152"/>
      <c r="AJ445" s="152"/>
      <c r="AK445" s="152"/>
      <c r="AL445" s="152"/>
      <c r="AM445" s="152"/>
      <c r="AN445" s="152"/>
      <c r="AO445" s="152"/>
      <c r="AP445" s="152"/>
      <c r="AQ445" s="152"/>
      <c r="AR445" s="152"/>
    </row>
    <row r="446" ht="12.75" customHeight="1">
      <c r="A446" s="288"/>
      <c r="B446" s="288"/>
      <c r="C446" s="288"/>
      <c r="D446" s="152"/>
      <c r="E446" s="289"/>
      <c r="F446" s="289"/>
      <c r="G446" s="152"/>
      <c r="H446" s="152"/>
      <c r="I446" s="152"/>
      <c r="J446" s="152"/>
      <c r="K446" s="289"/>
      <c r="L446" s="289"/>
      <c r="M446" s="152"/>
      <c r="N446" s="152"/>
      <c r="O446" s="156"/>
      <c r="P446" s="152"/>
      <c r="Q446" s="152"/>
      <c r="R446" s="152"/>
      <c r="S446" s="152"/>
      <c r="T446" s="152"/>
      <c r="U446" s="152"/>
      <c r="V446" s="152"/>
      <c r="W446" s="152"/>
      <c r="X446" s="152"/>
      <c r="Y446" s="152"/>
      <c r="Z446" s="281"/>
      <c r="AA446" s="281"/>
      <c r="AB446" s="281"/>
      <c r="AC446" s="281"/>
      <c r="AD446" s="281"/>
      <c r="AE446" s="281"/>
      <c r="AF446" s="282"/>
      <c r="AG446" s="170"/>
      <c r="AH446" s="152"/>
      <c r="AI446" s="152"/>
      <c r="AJ446" s="152"/>
      <c r="AK446" s="152"/>
      <c r="AL446" s="152"/>
      <c r="AM446" s="152"/>
      <c r="AN446" s="152"/>
      <c r="AO446" s="152"/>
      <c r="AP446" s="152"/>
      <c r="AQ446" s="152"/>
      <c r="AR446" s="152"/>
    </row>
    <row r="447" ht="12.75" customHeight="1">
      <c r="A447" s="288"/>
      <c r="B447" s="288"/>
      <c r="C447" s="288"/>
      <c r="D447" s="152"/>
      <c r="E447" s="289"/>
      <c r="F447" s="289"/>
      <c r="G447" s="152"/>
      <c r="H447" s="152"/>
      <c r="I447" s="152"/>
      <c r="J447" s="152"/>
      <c r="K447" s="289"/>
      <c r="L447" s="289"/>
      <c r="M447" s="152"/>
      <c r="N447" s="152"/>
      <c r="O447" s="156"/>
      <c r="P447" s="152"/>
      <c r="Q447" s="152"/>
      <c r="R447" s="152"/>
      <c r="S447" s="152"/>
      <c r="T447" s="152"/>
      <c r="U447" s="152"/>
      <c r="V447" s="152"/>
      <c r="W447" s="152"/>
      <c r="X447" s="152"/>
      <c r="Y447" s="152"/>
      <c r="Z447" s="281"/>
      <c r="AA447" s="281"/>
      <c r="AB447" s="281"/>
      <c r="AC447" s="281"/>
      <c r="AD447" s="281"/>
      <c r="AE447" s="281"/>
      <c r="AF447" s="282"/>
      <c r="AG447" s="170"/>
      <c r="AH447" s="152"/>
      <c r="AI447" s="152"/>
      <c r="AJ447" s="152"/>
      <c r="AK447" s="152"/>
      <c r="AL447" s="152"/>
      <c r="AM447" s="152"/>
      <c r="AN447" s="152"/>
      <c r="AO447" s="152"/>
      <c r="AP447" s="152"/>
      <c r="AQ447" s="152"/>
      <c r="AR447" s="152"/>
    </row>
    <row r="448" ht="12.75" customHeight="1">
      <c r="A448" s="288"/>
      <c r="B448" s="288"/>
      <c r="C448" s="288"/>
      <c r="D448" s="152"/>
      <c r="E448" s="289"/>
      <c r="F448" s="289"/>
      <c r="G448" s="152"/>
      <c r="H448" s="152"/>
      <c r="I448" s="152"/>
      <c r="J448" s="152"/>
      <c r="K448" s="289"/>
      <c r="L448" s="289"/>
      <c r="M448" s="152"/>
      <c r="N448" s="152"/>
      <c r="O448" s="156"/>
      <c r="P448" s="152"/>
      <c r="Q448" s="152"/>
      <c r="R448" s="152"/>
      <c r="S448" s="152"/>
      <c r="T448" s="152"/>
      <c r="U448" s="152"/>
      <c r="V448" s="152"/>
      <c r="W448" s="152"/>
      <c r="X448" s="152"/>
      <c r="Y448" s="152"/>
      <c r="Z448" s="281"/>
      <c r="AA448" s="281"/>
      <c r="AB448" s="281"/>
      <c r="AC448" s="281"/>
      <c r="AD448" s="281"/>
      <c r="AE448" s="281"/>
      <c r="AF448" s="282"/>
      <c r="AG448" s="170"/>
      <c r="AH448" s="152"/>
      <c r="AI448" s="152"/>
      <c r="AJ448" s="152"/>
      <c r="AK448" s="152"/>
      <c r="AL448" s="152"/>
      <c r="AM448" s="152"/>
      <c r="AN448" s="152"/>
      <c r="AO448" s="152"/>
      <c r="AP448" s="152"/>
      <c r="AQ448" s="152"/>
      <c r="AR448" s="152"/>
    </row>
    <row r="449" ht="12.75" customHeight="1">
      <c r="A449" s="288"/>
      <c r="B449" s="288"/>
      <c r="C449" s="288"/>
      <c r="D449" s="152"/>
      <c r="E449" s="289"/>
      <c r="F449" s="289"/>
      <c r="G449" s="152"/>
      <c r="H449" s="152"/>
      <c r="I449" s="152"/>
      <c r="J449" s="152"/>
      <c r="K449" s="289"/>
      <c r="L449" s="289"/>
      <c r="M449" s="152"/>
      <c r="N449" s="152"/>
      <c r="O449" s="156"/>
      <c r="P449" s="152"/>
      <c r="Q449" s="152"/>
      <c r="R449" s="152"/>
      <c r="S449" s="152"/>
      <c r="T449" s="152"/>
      <c r="U449" s="152"/>
      <c r="V449" s="152"/>
      <c r="W449" s="152"/>
      <c r="X449" s="152"/>
      <c r="Y449" s="152"/>
      <c r="Z449" s="281"/>
      <c r="AA449" s="281"/>
      <c r="AB449" s="281"/>
      <c r="AC449" s="281"/>
      <c r="AD449" s="281"/>
      <c r="AE449" s="281"/>
      <c r="AF449" s="282"/>
      <c r="AG449" s="170"/>
      <c r="AH449" s="152"/>
      <c r="AI449" s="152"/>
      <c r="AJ449" s="152"/>
      <c r="AK449" s="152"/>
      <c r="AL449" s="152"/>
      <c r="AM449" s="152"/>
      <c r="AN449" s="152"/>
      <c r="AO449" s="152"/>
      <c r="AP449" s="152"/>
      <c r="AQ449" s="152"/>
      <c r="AR449" s="152"/>
    </row>
    <row r="450" ht="12.75" customHeight="1">
      <c r="A450" s="288"/>
      <c r="B450" s="288"/>
      <c r="C450" s="288"/>
      <c r="D450" s="152"/>
      <c r="E450" s="289"/>
      <c r="F450" s="289"/>
      <c r="G450" s="152"/>
      <c r="H450" s="152"/>
      <c r="I450" s="152"/>
      <c r="J450" s="152"/>
      <c r="K450" s="289"/>
      <c r="L450" s="289"/>
      <c r="M450" s="152"/>
      <c r="N450" s="152"/>
      <c r="O450" s="156"/>
      <c r="P450" s="152"/>
      <c r="Q450" s="152"/>
      <c r="R450" s="152"/>
      <c r="S450" s="152"/>
      <c r="T450" s="152"/>
      <c r="U450" s="152"/>
      <c r="V450" s="152"/>
      <c r="W450" s="152"/>
      <c r="X450" s="152"/>
      <c r="Y450" s="152"/>
      <c r="Z450" s="281"/>
      <c r="AA450" s="281"/>
      <c r="AB450" s="281"/>
      <c r="AC450" s="281"/>
      <c r="AD450" s="281"/>
      <c r="AE450" s="281"/>
      <c r="AF450" s="282"/>
      <c r="AG450" s="170"/>
      <c r="AH450" s="152"/>
      <c r="AI450" s="152"/>
      <c r="AJ450" s="152"/>
      <c r="AK450" s="152"/>
      <c r="AL450" s="152"/>
      <c r="AM450" s="152"/>
      <c r="AN450" s="152"/>
      <c r="AO450" s="152"/>
      <c r="AP450" s="152"/>
      <c r="AQ450" s="152"/>
      <c r="AR450" s="152"/>
    </row>
    <row r="451" ht="12.75" customHeight="1">
      <c r="A451" s="288"/>
      <c r="B451" s="288"/>
      <c r="C451" s="288"/>
      <c r="D451" s="152"/>
      <c r="E451" s="289"/>
      <c r="F451" s="289"/>
      <c r="G451" s="152"/>
      <c r="H451" s="152"/>
      <c r="I451" s="152"/>
      <c r="J451" s="152"/>
      <c r="K451" s="289"/>
      <c r="L451" s="289"/>
      <c r="M451" s="152"/>
      <c r="N451" s="152"/>
      <c r="O451" s="156"/>
      <c r="P451" s="152"/>
      <c r="Q451" s="152"/>
      <c r="R451" s="152"/>
      <c r="S451" s="152"/>
      <c r="T451" s="152"/>
      <c r="U451" s="152"/>
      <c r="V451" s="152"/>
      <c r="W451" s="152"/>
      <c r="X451" s="152"/>
      <c r="Y451" s="152"/>
      <c r="Z451" s="281"/>
      <c r="AA451" s="281"/>
      <c r="AB451" s="281"/>
      <c r="AC451" s="281"/>
      <c r="AD451" s="281"/>
      <c r="AE451" s="281"/>
      <c r="AF451" s="282"/>
      <c r="AG451" s="170"/>
      <c r="AH451" s="152"/>
      <c r="AI451" s="152"/>
      <c r="AJ451" s="152"/>
      <c r="AK451" s="152"/>
      <c r="AL451" s="152"/>
      <c r="AM451" s="152"/>
      <c r="AN451" s="152"/>
      <c r="AO451" s="152"/>
      <c r="AP451" s="152"/>
      <c r="AQ451" s="152"/>
      <c r="AR451" s="152"/>
    </row>
    <row r="452" ht="12.75" customHeight="1">
      <c r="A452" s="288"/>
      <c r="B452" s="288"/>
      <c r="C452" s="288"/>
      <c r="D452" s="152"/>
      <c r="E452" s="289"/>
      <c r="F452" s="289"/>
      <c r="G452" s="152"/>
      <c r="H452" s="152"/>
      <c r="I452" s="152"/>
      <c r="J452" s="152"/>
      <c r="K452" s="289"/>
      <c r="L452" s="289"/>
      <c r="M452" s="152"/>
      <c r="N452" s="152"/>
      <c r="O452" s="156"/>
      <c r="P452" s="152"/>
      <c r="Q452" s="152"/>
      <c r="R452" s="152"/>
      <c r="S452" s="152"/>
      <c r="T452" s="152"/>
      <c r="U452" s="152"/>
      <c r="V452" s="152"/>
      <c r="W452" s="152"/>
      <c r="X452" s="152"/>
      <c r="Y452" s="152"/>
      <c r="Z452" s="281"/>
      <c r="AA452" s="281"/>
      <c r="AB452" s="281"/>
      <c r="AC452" s="281"/>
      <c r="AD452" s="281"/>
      <c r="AE452" s="281"/>
      <c r="AF452" s="282"/>
      <c r="AG452" s="170"/>
      <c r="AH452" s="152"/>
      <c r="AI452" s="152"/>
      <c r="AJ452" s="152"/>
      <c r="AK452" s="152"/>
      <c r="AL452" s="152"/>
      <c r="AM452" s="152"/>
      <c r="AN452" s="152"/>
      <c r="AO452" s="152"/>
      <c r="AP452" s="152"/>
      <c r="AQ452" s="152"/>
      <c r="AR452" s="152"/>
    </row>
    <row r="453" ht="12.75" customHeight="1">
      <c r="A453" s="288"/>
      <c r="B453" s="288"/>
      <c r="C453" s="288"/>
      <c r="D453" s="152"/>
      <c r="E453" s="289"/>
      <c r="F453" s="289"/>
      <c r="G453" s="152"/>
      <c r="H453" s="152"/>
      <c r="I453" s="152"/>
      <c r="J453" s="152"/>
      <c r="K453" s="289"/>
      <c r="L453" s="289"/>
      <c r="M453" s="152"/>
      <c r="N453" s="152"/>
      <c r="O453" s="156"/>
      <c r="P453" s="152"/>
      <c r="Q453" s="152"/>
      <c r="R453" s="152"/>
      <c r="S453" s="152"/>
      <c r="T453" s="152"/>
      <c r="U453" s="152"/>
      <c r="V453" s="152"/>
      <c r="W453" s="152"/>
      <c r="X453" s="152"/>
      <c r="Y453" s="152"/>
      <c r="Z453" s="281"/>
      <c r="AA453" s="281"/>
      <c r="AB453" s="281"/>
      <c r="AC453" s="281"/>
      <c r="AD453" s="281"/>
      <c r="AE453" s="281"/>
      <c r="AF453" s="282"/>
      <c r="AG453" s="170"/>
      <c r="AH453" s="152"/>
      <c r="AI453" s="152"/>
      <c r="AJ453" s="152"/>
      <c r="AK453" s="152"/>
      <c r="AL453" s="152"/>
      <c r="AM453" s="152"/>
      <c r="AN453" s="152"/>
      <c r="AO453" s="152"/>
      <c r="AP453" s="152"/>
      <c r="AQ453" s="152"/>
      <c r="AR453" s="152"/>
    </row>
    <row r="454" ht="12.75" customHeight="1">
      <c r="A454" s="288"/>
      <c r="B454" s="288"/>
      <c r="C454" s="288"/>
      <c r="D454" s="152"/>
      <c r="E454" s="289"/>
      <c r="F454" s="289"/>
      <c r="G454" s="152"/>
      <c r="H454" s="152"/>
      <c r="I454" s="152"/>
      <c r="J454" s="152"/>
      <c r="K454" s="289"/>
      <c r="L454" s="289"/>
      <c r="M454" s="152"/>
      <c r="N454" s="152"/>
      <c r="O454" s="156"/>
      <c r="P454" s="152"/>
      <c r="Q454" s="152"/>
      <c r="R454" s="152"/>
      <c r="S454" s="152"/>
      <c r="T454" s="152"/>
      <c r="U454" s="152"/>
      <c r="V454" s="152"/>
      <c r="W454" s="152"/>
      <c r="X454" s="152"/>
      <c r="Y454" s="152"/>
      <c r="Z454" s="281"/>
      <c r="AA454" s="281"/>
      <c r="AB454" s="281"/>
      <c r="AC454" s="281"/>
      <c r="AD454" s="281"/>
      <c r="AE454" s="281"/>
      <c r="AF454" s="282"/>
      <c r="AG454" s="170"/>
      <c r="AH454" s="152"/>
      <c r="AI454" s="152"/>
      <c r="AJ454" s="152"/>
      <c r="AK454" s="152"/>
      <c r="AL454" s="152"/>
      <c r="AM454" s="152"/>
      <c r="AN454" s="152"/>
      <c r="AO454" s="152"/>
      <c r="AP454" s="152"/>
      <c r="AQ454" s="152"/>
      <c r="AR454" s="152"/>
    </row>
    <row r="455" ht="12.75" customHeight="1">
      <c r="A455" s="288"/>
      <c r="B455" s="288"/>
      <c r="C455" s="288"/>
      <c r="D455" s="152"/>
      <c r="E455" s="289"/>
      <c r="F455" s="289"/>
      <c r="G455" s="152"/>
      <c r="H455" s="152"/>
      <c r="I455" s="152"/>
      <c r="J455" s="152"/>
      <c r="K455" s="289"/>
      <c r="L455" s="289"/>
      <c r="M455" s="152"/>
      <c r="N455" s="152"/>
      <c r="O455" s="156"/>
      <c r="P455" s="152"/>
      <c r="Q455" s="152"/>
      <c r="R455" s="152"/>
      <c r="S455" s="152"/>
      <c r="T455" s="152"/>
      <c r="U455" s="152"/>
      <c r="V455" s="152"/>
      <c r="W455" s="152"/>
      <c r="X455" s="152"/>
      <c r="Y455" s="152"/>
      <c r="Z455" s="281"/>
      <c r="AA455" s="281"/>
      <c r="AB455" s="281"/>
      <c r="AC455" s="281"/>
      <c r="AD455" s="281"/>
      <c r="AE455" s="281"/>
      <c r="AF455" s="282"/>
      <c r="AG455" s="170"/>
      <c r="AH455" s="152"/>
      <c r="AI455" s="152"/>
      <c r="AJ455" s="152"/>
      <c r="AK455" s="152"/>
      <c r="AL455" s="152"/>
      <c r="AM455" s="152"/>
      <c r="AN455" s="152"/>
      <c r="AO455" s="152"/>
      <c r="AP455" s="152"/>
      <c r="AQ455" s="152"/>
      <c r="AR455" s="152"/>
    </row>
    <row r="456" ht="12.75" customHeight="1">
      <c r="A456" s="288"/>
      <c r="B456" s="288"/>
      <c r="C456" s="288"/>
      <c r="D456" s="152"/>
      <c r="E456" s="289"/>
      <c r="F456" s="289"/>
      <c r="G456" s="152"/>
      <c r="H456" s="152"/>
      <c r="I456" s="152"/>
      <c r="J456" s="152"/>
      <c r="K456" s="289"/>
      <c r="L456" s="289"/>
      <c r="M456" s="152"/>
      <c r="N456" s="152"/>
      <c r="O456" s="156"/>
      <c r="P456" s="152"/>
      <c r="Q456" s="152"/>
      <c r="R456" s="152"/>
      <c r="S456" s="152"/>
      <c r="T456" s="152"/>
      <c r="U456" s="152"/>
      <c r="V456" s="152"/>
      <c r="W456" s="152"/>
      <c r="X456" s="152"/>
      <c r="Y456" s="152"/>
      <c r="Z456" s="281"/>
      <c r="AA456" s="281"/>
      <c r="AB456" s="281"/>
      <c r="AC456" s="281"/>
      <c r="AD456" s="281"/>
      <c r="AE456" s="281"/>
      <c r="AF456" s="282"/>
      <c r="AG456" s="170"/>
      <c r="AH456" s="152"/>
      <c r="AI456" s="152"/>
      <c r="AJ456" s="152"/>
      <c r="AK456" s="152"/>
      <c r="AL456" s="152"/>
      <c r="AM456" s="152"/>
      <c r="AN456" s="152"/>
      <c r="AO456" s="152"/>
      <c r="AP456" s="152"/>
      <c r="AQ456" s="152"/>
      <c r="AR456" s="152"/>
    </row>
    <row r="457" ht="12.75" customHeight="1">
      <c r="A457" s="288"/>
      <c r="B457" s="288"/>
      <c r="C457" s="288"/>
      <c r="D457" s="152"/>
      <c r="E457" s="289"/>
      <c r="F457" s="289"/>
      <c r="G457" s="152"/>
      <c r="H457" s="152"/>
      <c r="I457" s="152"/>
      <c r="J457" s="152"/>
      <c r="K457" s="289"/>
      <c r="L457" s="289"/>
      <c r="M457" s="152"/>
      <c r="N457" s="152"/>
      <c r="O457" s="156"/>
      <c r="P457" s="152"/>
      <c r="Q457" s="152"/>
      <c r="R457" s="152"/>
      <c r="S457" s="152"/>
      <c r="T457" s="152"/>
      <c r="U457" s="152"/>
      <c r="V457" s="152"/>
      <c r="W457" s="152"/>
      <c r="X457" s="152"/>
      <c r="Y457" s="152"/>
      <c r="Z457" s="281"/>
      <c r="AA457" s="281"/>
      <c r="AB457" s="281"/>
      <c r="AC457" s="281"/>
      <c r="AD457" s="281"/>
      <c r="AE457" s="281"/>
      <c r="AF457" s="282"/>
      <c r="AG457" s="170"/>
      <c r="AH457" s="152"/>
      <c r="AI457" s="152"/>
      <c r="AJ457" s="152"/>
      <c r="AK457" s="152"/>
      <c r="AL457" s="152"/>
      <c r="AM457" s="152"/>
      <c r="AN457" s="152"/>
      <c r="AO457" s="152"/>
      <c r="AP457" s="152"/>
      <c r="AQ457" s="152"/>
      <c r="AR457" s="152"/>
    </row>
    <row r="458" ht="12.75" customHeight="1">
      <c r="A458" s="288"/>
      <c r="B458" s="288"/>
      <c r="C458" s="288"/>
      <c r="D458" s="152"/>
      <c r="E458" s="289"/>
      <c r="F458" s="289"/>
      <c r="G458" s="152"/>
      <c r="H458" s="152"/>
      <c r="I458" s="152"/>
      <c r="J458" s="152"/>
      <c r="K458" s="289"/>
      <c r="L458" s="289"/>
      <c r="M458" s="152"/>
      <c r="N458" s="152"/>
      <c r="O458" s="156"/>
      <c r="P458" s="152"/>
      <c r="Q458" s="152"/>
      <c r="R458" s="152"/>
      <c r="S458" s="152"/>
      <c r="T458" s="152"/>
      <c r="U458" s="152"/>
      <c r="V458" s="152"/>
      <c r="W458" s="152"/>
      <c r="X458" s="152"/>
      <c r="Y458" s="152"/>
      <c r="Z458" s="281"/>
      <c r="AA458" s="281"/>
      <c r="AB458" s="281"/>
      <c r="AC458" s="281"/>
      <c r="AD458" s="281"/>
      <c r="AE458" s="281"/>
      <c r="AF458" s="282"/>
      <c r="AG458" s="170"/>
      <c r="AH458" s="152"/>
      <c r="AI458" s="152"/>
      <c r="AJ458" s="152"/>
      <c r="AK458" s="152"/>
      <c r="AL458" s="152"/>
      <c r="AM458" s="152"/>
      <c r="AN458" s="152"/>
      <c r="AO458" s="152"/>
      <c r="AP458" s="152"/>
      <c r="AQ458" s="152"/>
      <c r="AR458" s="152"/>
    </row>
    <row r="459" ht="12.75" customHeight="1">
      <c r="A459" s="288"/>
      <c r="B459" s="288"/>
      <c r="C459" s="288"/>
      <c r="D459" s="152"/>
      <c r="E459" s="289"/>
      <c r="F459" s="289"/>
      <c r="G459" s="152"/>
      <c r="H459" s="152"/>
      <c r="I459" s="152"/>
      <c r="J459" s="152"/>
      <c r="K459" s="289"/>
      <c r="L459" s="289"/>
      <c r="M459" s="152"/>
      <c r="N459" s="152"/>
      <c r="O459" s="156"/>
      <c r="P459" s="152"/>
      <c r="Q459" s="152"/>
      <c r="R459" s="152"/>
      <c r="S459" s="152"/>
      <c r="T459" s="152"/>
      <c r="U459" s="152"/>
      <c r="V459" s="152"/>
      <c r="W459" s="152"/>
      <c r="X459" s="152"/>
      <c r="Y459" s="152"/>
      <c r="Z459" s="281"/>
      <c r="AA459" s="281"/>
      <c r="AB459" s="281"/>
      <c r="AC459" s="281"/>
      <c r="AD459" s="281"/>
      <c r="AE459" s="281"/>
      <c r="AF459" s="282"/>
      <c r="AG459" s="170"/>
      <c r="AH459" s="152"/>
      <c r="AI459" s="152"/>
      <c r="AJ459" s="152"/>
      <c r="AK459" s="152"/>
      <c r="AL459" s="152"/>
      <c r="AM459" s="152"/>
      <c r="AN459" s="152"/>
      <c r="AO459" s="152"/>
      <c r="AP459" s="152"/>
      <c r="AQ459" s="152"/>
      <c r="AR459" s="152"/>
    </row>
    <row r="460" ht="12.75" customHeight="1">
      <c r="A460" s="288"/>
      <c r="B460" s="288"/>
      <c r="C460" s="288"/>
      <c r="D460" s="152"/>
      <c r="E460" s="289"/>
      <c r="F460" s="289"/>
      <c r="G460" s="152"/>
      <c r="H460" s="152"/>
      <c r="I460" s="152"/>
      <c r="J460" s="152"/>
      <c r="K460" s="289"/>
      <c r="L460" s="289"/>
      <c r="M460" s="152"/>
      <c r="N460" s="152"/>
      <c r="O460" s="156"/>
      <c r="P460" s="152"/>
      <c r="Q460" s="152"/>
      <c r="R460" s="152"/>
      <c r="S460" s="152"/>
      <c r="T460" s="152"/>
      <c r="U460" s="152"/>
      <c r="V460" s="152"/>
      <c r="W460" s="152"/>
      <c r="X460" s="152"/>
      <c r="Y460" s="152"/>
      <c r="Z460" s="281"/>
      <c r="AA460" s="281"/>
      <c r="AB460" s="281"/>
      <c r="AC460" s="281"/>
      <c r="AD460" s="281"/>
      <c r="AE460" s="281"/>
      <c r="AF460" s="282"/>
      <c r="AG460" s="170"/>
      <c r="AH460" s="152"/>
      <c r="AI460" s="152"/>
      <c r="AJ460" s="152"/>
      <c r="AK460" s="152"/>
      <c r="AL460" s="152"/>
      <c r="AM460" s="152"/>
      <c r="AN460" s="152"/>
      <c r="AO460" s="152"/>
      <c r="AP460" s="152"/>
      <c r="AQ460" s="152"/>
      <c r="AR460" s="152"/>
    </row>
    <row r="461" ht="12.75" customHeight="1">
      <c r="A461" s="288"/>
      <c r="B461" s="288"/>
      <c r="C461" s="288"/>
      <c r="D461" s="152"/>
      <c r="E461" s="289"/>
      <c r="F461" s="289"/>
      <c r="G461" s="152"/>
      <c r="H461" s="152"/>
      <c r="I461" s="152"/>
      <c r="J461" s="152"/>
      <c r="K461" s="289"/>
      <c r="L461" s="289"/>
      <c r="M461" s="152"/>
      <c r="N461" s="152"/>
      <c r="O461" s="156"/>
      <c r="P461" s="152"/>
      <c r="Q461" s="152"/>
      <c r="R461" s="152"/>
      <c r="S461" s="152"/>
      <c r="T461" s="152"/>
      <c r="U461" s="152"/>
      <c r="V461" s="152"/>
      <c r="W461" s="152"/>
      <c r="X461" s="152"/>
      <c r="Y461" s="152"/>
      <c r="Z461" s="281"/>
      <c r="AA461" s="281"/>
      <c r="AB461" s="281"/>
      <c r="AC461" s="281"/>
      <c r="AD461" s="281"/>
      <c r="AE461" s="281"/>
      <c r="AF461" s="282"/>
      <c r="AG461" s="170"/>
      <c r="AH461" s="152"/>
      <c r="AI461" s="152"/>
      <c r="AJ461" s="152"/>
      <c r="AK461" s="152"/>
      <c r="AL461" s="152"/>
      <c r="AM461" s="152"/>
      <c r="AN461" s="152"/>
      <c r="AO461" s="152"/>
      <c r="AP461" s="152"/>
      <c r="AQ461" s="152"/>
      <c r="AR461" s="152"/>
    </row>
    <row r="462" ht="12.75" customHeight="1">
      <c r="A462" s="288"/>
      <c r="B462" s="288"/>
      <c r="C462" s="288"/>
      <c r="D462" s="152"/>
      <c r="E462" s="289"/>
      <c r="F462" s="289"/>
      <c r="G462" s="152"/>
      <c r="H462" s="152"/>
      <c r="I462" s="152"/>
      <c r="J462" s="152"/>
      <c r="K462" s="289"/>
      <c r="L462" s="289"/>
      <c r="M462" s="152"/>
      <c r="N462" s="152"/>
      <c r="O462" s="156"/>
      <c r="P462" s="152"/>
      <c r="Q462" s="152"/>
      <c r="R462" s="152"/>
      <c r="S462" s="152"/>
      <c r="T462" s="152"/>
      <c r="U462" s="152"/>
      <c r="V462" s="152"/>
      <c r="W462" s="152"/>
      <c r="X462" s="152"/>
      <c r="Y462" s="152"/>
      <c r="Z462" s="281"/>
      <c r="AA462" s="281"/>
      <c r="AB462" s="281"/>
      <c r="AC462" s="281"/>
      <c r="AD462" s="281"/>
      <c r="AE462" s="281"/>
      <c r="AF462" s="282"/>
      <c r="AG462" s="170"/>
      <c r="AH462" s="152"/>
      <c r="AI462" s="152"/>
      <c r="AJ462" s="152"/>
      <c r="AK462" s="152"/>
      <c r="AL462" s="152"/>
      <c r="AM462" s="152"/>
      <c r="AN462" s="152"/>
      <c r="AO462" s="152"/>
      <c r="AP462" s="152"/>
      <c r="AQ462" s="152"/>
      <c r="AR462" s="152"/>
    </row>
    <row r="463" ht="12.75" customHeight="1">
      <c r="A463" s="288"/>
      <c r="B463" s="288"/>
      <c r="C463" s="288"/>
      <c r="D463" s="152"/>
      <c r="E463" s="289"/>
      <c r="F463" s="289"/>
      <c r="G463" s="152"/>
      <c r="H463" s="152"/>
      <c r="I463" s="152"/>
      <c r="J463" s="152"/>
      <c r="K463" s="289"/>
      <c r="L463" s="289"/>
      <c r="M463" s="152"/>
      <c r="N463" s="152"/>
      <c r="O463" s="156"/>
      <c r="P463" s="152"/>
      <c r="Q463" s="152"/>
      <c r="R463" s="152"/>
      <c r="S463" s="152"/>
      <c r="T463" s="152"/>
      <c r="U463" s="152"/>
      <c r="V463" s="152"/>
      <c r="W463" s="152"/>
      <c r="X463" s="152"/>
      <c r="Y463" s="152"/>
      <c r="Z463" s="281"/>
      <c r="AA463" s="281"/>
      <c r="AB463" s="281"/>
      <c r="AC463" s="281"/>
      <c r="AD463" s="281"/>
      <c r="AE463" s="281"/>
      <c r="AF463" s="282"/>
      <c r="AG463" s="170"/>
      <c r="AH463" s="152"/>
      <c r="AI463" s="152"/>
      <c r="AJ463" s="152"/>
      <c r="AK463" s="152"/>
      <c r="AL463" s="152"/>
      <c r="AM463" s="152"/>
      <c r="AN463" s="152"/>
      <c r="AO463" s="152"/>
      <c r="AP463" s="152"/>
      <c r="AQ463" s="152"/>
      <c r="AR463" s="152"/>
    </row>
    <row r="464" ht="12.75" customHeight="1">
      <c r="A464" s="288"/>
      <c r="B464" s="288"/>
      <c r="C464" s="288"/>
      <c r="D464" s="152"/>
      <c r="E464" s="289"/>
      <c r="F464" s="289"/>
      <c r="G464" s="152"/>
      <c r="H464" s="152"/>
      <c r="I464" s="152"/>
      <c r="J464" s="152"/>
      <c r="K464" s="289"/>
      <c r="L464" s="289"/>
      <c r="M464" s="152"/>
      <c r="N464" s="152"/>
      <c r="O464" s="156"/>
      <c r="P464" s="152"/>
      <c r="Q464" s="152"/>
      <c r="R464" s="152"/>
      <c r="S464" s="152"/>
      <c r="T464" s="152"/>
      <c r="U464" s="152"/>
      <c r="V464" s="152"/>
      <c r="W464" s="152"/>
      <c r="X464" s="152"/>
      <c r="Y464" s="152"/>
      <c r="Z464" s="281"/>
      <c r="AA464" s="281"/>
      <c r="AB464" s="281"/>
      <c r="AC464" s="281"/>
      <c r="AD464" s="281"/>
      <c r="AE464" s="281"/>
      <c r="AF464" s="282"/>
      <c r="AG464" s="170"/>
      <c r="AH464" s="152"/>
      <c r="AI464" s="152"/>
      <c r="AJ464" s="152"/>
      <c r="AK464" s="152"/>
      <c r="AL464" s="152"/>
      <c r="AM464" s="152"/>
      <c r="AN464" s="152"/>
      <c r="AO464" s="152"/>
      <c r="AP464" s="152"/>
      <c r="AQ464" s="152"/>
      <c r="AR464" s="152"/>
    </row>
    <row r="465" ht="12.75" customHeight="1">
      <c r="A465" s="288"/>
      <c r="B465" s="288"/>
      <c r="C465" s="288"/>
      <c r="D465" s="152"/>
      <c r="E465" s="289"/>
      <c r="F465" s="289"/>
      <c r="G465" s="152"/>
      <c r="H465" s="152"/>
      <c r="I465" s="152"/>
      <c r="J465" s="152"/>
      <c r="K465" s="289"/>
      <c r="L465" s="289"/>
      <c r="M465" s="152"/>
      <c r="N465" s="152"/>
      <c r="O465" s="156"/>
      <c r="P465" s="152"/>
      <c r="Q465" s="152"/>
      <c r="R465" s="152"/>
      <c r="S465" s="152"/>
      <c r="T465" s="152"/>
      <c r="U465" s="152"/>
      <c r="V465" s="152"/>
      <c r="W465" s="152"/>
      <c r="X465" s="152"/>
      <c r="Y465" s="152"/>
      <c r="Z465" s="281"/>
      <c r="AA465" s="281"/>
      <c r="AB465" s="281"/>
      <c r="AC465" s="281"/>
      <c r="AD465" s="281"/>
      <c r="AE465" s="281"/>
      <c r="AF465" s="282"/>
      <c r="AG465" s="170"/>
      <c r="AH465" s="152"/>
      <c r="AI465" s="152"/>
      <c r="AJ465" s="152"/>
      <c r="AK465" s="152"/>
      <c r="AL465" s="152"/>
      <c r="AM465" s="152"/>
      <c r="AN465" s="152"/>
      <c r="AO465" s="152"/>
      <c r="AP465" s="152"/>
      <c r="AQ465" s="152"/>
      <c r="AR465" s="152"/>
    </row>
    <row r="466" ht="12.75" customHeight="1">
      <c r="A466" s="288"/>
      <c r="B466" s="288"/>
      <c r="C466" s="288"/>
      <c r="D466" s="152"/>
      <c r="E466" s="289"/>
      <c r="F466" s="289"/>
      <c r="G466" s="152"/>
      <c r="H466" s="152"/>
      <c r="I466" s="152"/>
      <c r="J466" s="152"/>
      <c r="K466" s="289"/>
      <c r="L466" s="289"/>
      <c r="M466" s="152"/>
      <c r="N466" s="152"/>
      <c r="O466" s="156"/>
      <c r="P466" s="152"/>
      <c r="Q466" s="152"/>
      <c r="R466" s="152"/>
      <c r="S466" s="152"/>
      <c r="T466" s="152"/>
      <c r="U466" s="152"/>
      <c r="V466" s="152"/>
      <c r="W466" s="152"/>
      <c r="X466" s="152"/>
      <c r="Y466" s="152"/>
      <c r="Z466" s="281"/>
      <c r="AA466" s="281"/>
      <c r="AB466" s="281"/>
      <c r="AC466" s="281"/>
      <c r="AD466" s="281"/>
      <c r="AE466" s="281"/>
      <c r="AF466" s="282"/>
      <c r="AG466" s="170"/>
      <c r="AH466" s="152"/>
      <c r="AI466" s="152"/>
      <c r="AJ466" s="152"/>
      <c r="AK466" s="152"/>
      <c r="AL466" s="152"/>
      <c r="AM466" s="152"/>
      <c r="AN466" s="152"/>
      <c r="AO466" s="152"/>
      <c r="AP466" s="152"/>
      <c r="AQ466" s="152"/>
      <c r="AR466" s="152"/>
    </row>
    <row r="467" ht="12.75" customHeight="1">
      <c r="A467" s="288"/>
      <c r="B467" s="288"/>
      <c r="C467" s="288"/>
      <c r="D467" s="152"/>
      <c r="E467" s="289"/>
      <c r="F467" s="289"/>
      <c r="G467" s="152"/>
      <c r="H467" s="152"/>
      <c r="I467" s="152"/>
      <c r="J467" s="152"/>
      <c r="K467" s="289"/>
      <c r="L467" s="289"/>
      <c r="M467" s="152"/>
      <c r="N467" s="152"/>
      <c r="O467" s="156"/>
      <c r="P467" s="152"/>
      <c r="Q467" s="152"/>
      <c r="R467" s="152"/>
      <c r="S467" s="152"/>
      <c r="T467" s="152"/>
      <c r="U467" s="152"/>
      <c r="V467" s="152"/>
      <c r="W467" s="152"/>
      <c r="X467" s="152"/>
      <c r="Y467" s="152"/>
      <c r="Z467" s="281"/>
      <c r="AA467" s="281"/>
      <c r="AB467" s="281"/>
      <c r="AC467" s="281"/>
      <c r="AD467" s="281"/>
      <c r="AE467" s="281"/>
      <c r="AF467" s="282"/>
      <c r="AG467" s="170"/>
      <c r="AH467" s="152"/>
      <c r="AI467" s="152"/>
      <c r="AJ467" s="152"/>
      <c r="AK467" s="152"/>
      <c r="AL467" s="152"/>
      <c r="AM467" s="152"/>
      <c r="AN467" s="152"/>
      <c r="AO467" s="152"/>
      <c r="AP467" s="152"/>
      <c r="AQ467" s="152"/>
      <c r="AR467" s="152"/>
    </row>
    <row r="468" ht="12.75" customHeight="1">
      <c r="A468" s="288"/>
      <c r="B468" s="288"/>
      <c r="C468" s="288"/>
      <c r="D468" s="152"/>
      <c r="E468" s="289"/>
      <c r="F468" s="289"/>
      <c r="G468" s="152"/>
      <c r="H468" s="152"/>
      <c r="I468" s="152"/>
      <c r="J468" s="152"/>
      <c r="K468" s="289"/>
      <c r="L468" s="289"/>
      <c r="M468" s="152"/>
      <c r="N468" s="152"/>
      <c r="O468" s="156"/>
      <c r="P468" s="152"/>
      <c r="Q468" s="152"/>
      <c r="R468" s="152"/>
      <c r="S468" s="152"/>
      <c r="T468" s="152"/>
      <c r="U468" s="152"/>
      <c r="V468" s="152"/>
      <c r="W468" s="152"/>
      <c r="X468" s="152"/>
      <c r="Y468" s="152"/>
      <c r="Z468" s="281"/>
      <c r="AA468" s="281"/>
      <c r="AB468" s="281"/>
      <c r="AC468" s="281"/>
      <c r="AD468" s="281"/>
      <c r="AE468" s="281"/>
      <c r="AF468" s="282"/>
      <c r="AG468" s="170"/>
      <c r="AH468" s="152"/>
      <c r="AI468" s="152"/>
      <c r="AJ468" s="152"/>
      <c r="AK468" s="152"/>
      <c r="AL468" s="152"/>
      <c r="AM468" s="152"/>
      <c r="AN468" s="152"/>
      <c r="AO468" s="152"/>
      <c r="AP468" s="152"/>
      <c r="AQ468" s="152"/>
      <c r="AR468" s="152"/>
    </row>
    <row r="469" ht="12.75" customHeight="1">
      <c r="A469" s="288"/>
      <c r="B469" s="288"/>
      <c r="C469" s="288"/>
      <c r="D469" s="152"/>
      <c r="E469" s="289"/>
      <c r="F469" s="289"/>
      <c r="G469" s="152"/>
      <c r="H469" s="152"/>
      <c r="I469" s="152"/>
      <c r="J469" s="152"/>
      <c r="K469" s="289"/>
      <c r="L469" s="289"/>
      <c r="M469" s="152"/>
      <c r="N469" s="152"/>
      <c r="O469" s="156"/>
      <c r="P469" s="152"/>
      <c r="Q469" s="152"/>
      <c r="R469" s="152"/>
      <c r="S469" s="152"/>
      <c r="T469" s="152"/>
      <c r="U469" s="152"/>
      <c r="V469" s="152"/>
      <c r="W469" s="152"/>
      <c r="X469" s="152"/>
      <c r="Y469" s="152"/>
      <c r="Z469" s="281"/>
      <c r="AA469" s="281"/>
      <c r="AB469" s="281"/>
      <c r="AC469" s="281"/>
      <c r="AD469" s="281"/>
      <c r="AE469" s="281"/>
      <c r="AF469" s="282"/>
      <c r="AG469" s="170"/>
      <c r="AH469" s="152"/>
      <c r="AI469" s="152"/>
      <c r="AJ469" s="152"/>
      <c r="AK469" s="152"/>
      <c r="AL469" s="152"/>
      <c r="AM469" s="152"/>
      <c r="AN469" s="152"/>
      <c r="AO469" s="152"/>
      <c r="AP469" s="152"/>
      <c r="AQ469" s="152"/>
      <c r="AR469" s="152"/>
    </row>
    <row r="470" ht="12.75" customHeight="1">
      <c r="A470" s="288"/>
      <c r="B470" s="288"/>
      <c r="C470" s="288"/>
      <c r="D470" s="152"/>
      <c r="E470" s="289"/>
      <c r="F470" s="289"/>
      <c r="G470" s="152"/>
      <c r="H470" s="152"/>
      <c r="I470" s="152"/>
      <c r="J470" s="152"/>
      <c r="K470" s="289"/>
      <c r="L470" s="289"/>
      <c r="M470" s="152"/>
      <c r="N470" s="152"/>
      <c r="O470" s="156"/>
      <c r="P470" s="152"/>
      <c r="Q470" s="152"/>
      <c r="R470" s="152"/>
      <c r="S470" s="152"/>
      <c r="T470" s="152"/>
      <c r="U470" s="152"/>
      <c r="V470" s="152"/>
      <c r="W470" s="152"/>
      <c r="X470" s="152"/>
      <c r="Y470" s="152"/>
      <c r="Z470" s="281"/>
      <c r="AA470" s="281"/>
      <c r="AB470" s="281"/>
      <c r="AC470" s="281"/>
      <c r="AD470" s="281"/>
      <c r="AE470" s="281"/>
      <c r="AF470" s="282"/>
      <c r="AG470" s="170"/>
      <c r="AH470" s="152"/>
      <c r="AI470" s="152"/>
      <c r="AJ470" s="152"/>
      <c r="AK470" s="152"/>
      <c r="AL470" s="152"/>
      <c r="AM470" s="152"/>
      <c r="AN470" s="152"/>
      <c r="AO470" s="152"/>
      <c r="AP470" s="152"/>
      <c r="AQ470" s="152"/>
      <c r="AR470" s="152"/>
    </row>
    <row r="471" ht="12.75" customHeight="1">
      <c r="A471" s="288"/>
      <c r="B471" s="288"/>
      <c r="C471" s="288"/>
      <c r="D471" s="152"/>
      <c r="E471" s="289"/>
      <c r="F471" s="289"/>
      <c r="G471" s="152"/>
      <c r="H471" s="152"/>
      <c r="I471" s="152"/>
      <c r="J471" s="152"/>
      <c r="K471" s="289"/>
      <c r="L471" s="289"/>
      <c r="M471" s="152"/>
      <c r="N471" s="152"/>
      <c r="O471" s="156"/>
      <c r="P471" s="152"/>
      <c r="Q471" s="152"/>
      <c r="R471" s="152"/>
      <c r="S471" s="152"/>
      <c r="T471" s="152"/>
      <c r="U471" s="152"/>
      <c r="V471" s="152"/>
      <c r="W471" s="152"/>
      <c r="X471" s="152"/>
      <c r="Y471" s="152"/>
      <c r="Z471" s="281"/>
      <c r="AA471" s="281"/>
      <c r="AB471" s="281"/>
      <c r="AC471" s="281"/>
      <c r="AD471" s="281"/>
      <c r="AE471" s="281"/>
      <c r="AF471" s="282"/>
      <c r="AG471" s="170"/>
      <c r="AH471" s="152"/>
      <c r="AI471" s="152"/>
      <c r="AJ471" s="152"/>
      <c r="AK471" s="152"/>
      <c r="AL471" s="152"/>
      <c r="AM471" s="152"/>
      <c r="AN471" s="152"/>
      <c r="AO471" s="152"/>
      <c r="AP471" s="152"/>
      <c r="AQ471" s="152"/>
      <c r="AR471" s="152"/>
    </row>
    <row r="472" ht="12.75" customHeight="1">
      <c r="A472" s="288"/>
      <c r="B472" s="288"/>
      <c r="C472" s="288"/>
      <c r="D472" s="152"/>
      <c r="E472" s="289"/>
      <c r="F472" s="289"/>
      <c r="G472" s="152"/>
      <c r="H472" s="152"/>
      <c r="I472" s="152"/>
      <c r="J472" s="152"/>
      <c r="K472" s="289"/>
      <c r="L472" s="289"/>
      <c r="M472" s="152"/>
      <c r="N472" s="152"/>
      <c r="O472" s="156"/>
      <c r="P472" s="152"/>
      <c r="Q472" s="152"/>
      <c r="R472" s="152"/>
      <c r="S472" s="152"/>
      <c r="T472" s="152"/>
      <c r="U472" s="152"/>
      <c r="V472" s="152"/>
      <c r="W472" s="152"/>
      <c r="X472" s="152"/>
      <c r="Y472" s="152"/>
      <c r="Z472" s="281"/>
      <c r="AA472" s="281"/>
      <c r="AB472" s="281"/>
      <c r="AC472" s="281"/>
      <c r="AD472" s="281"/>
      <c r="AE472" s="281"/>
      <c r="AF472" s="282"/>
      <c r="AG472" s="170"/>
      <c r="AH472" s="152"/>
      <c r="AI472" s="152"/>
      <c r="AJ472" s="152"/>
      <c r="AK472" s="152"/>
      <c r="AL472" s="152"/>
      <c r="AM472" s="152"/>
      <c r="AN472" s="152"/>
      <c r="AO472" s="152"/>
      <c r="AP472" s="152"/>
      <c r="AQ472" s="152"/>
      <c r="AR472" s="152"/>
    </row>
    <row r="473" ht="12.75" customHeight="1">
      <c r="A473" s="288"/>
      <c r="B473" s="288"/>
      <c r="C473" s="288"/>
      <c r="D473" s="152"/>
      <c r="E473" s="289"/>
      <c r="F473" s="289"/>
      <c r="G473" s="152"/>
      <c r="H473" s="152"/>
      <c r="I473" s="152"/>
      <c r="J473" s="152"/>
      <c r="K473" s="289"/>
      <c r="L473" s="289"/>
      <c r="M473" s="152"/>
      <c r="N473" s="152"/>
      <c r="O473" s="156"/>
      <c r="P473" s="152"/>
      <c r="Q473" s="152"/>
      <c r="R473" s="152"/>
      <c r="S473" s="152"/>
      <c r="T473" s="152"/>
      <c r="U473" s="152"/>
      <c r="V473" s="152"/>
      <c r="W473" s="152"/>
      <c r="X473" s="152"/>
      <c r="Y473" s="152"/>
      <c r="Z473" s="281"/>
      <c r="AA473" s="281"/>
      <c r="AB473" s="281"/>
      <c r="AC473" s="281"/>
      <c r="AD473" s="281"/>
      <c r="AE473" s="281"/>
      <c r="AF473" s="282"/>
      <c r="AG473" s="170"/>
      <c r="AH473" s="152"/>
      <c r="AI473" s="152"/>
      <c r="AJ473" s="152"/>
      <c r="AK473" s="152"/>
      <c r="AL473" s="152"/>
      <c r="AM473" s="152"/>
      <c r="AN473" s="152"/>
      <c r="AO473" s="152"/>
      <c r="AP473" s="152"/>
      <c r="AQ473" s="152"/>
      <c r="AR473" s="152"/>
    </row>
    <row r="474" ht="12.75" customHeight="1">
      <c r="A474" s="288"/>
      <c r="B474" s="288"/>
      <c r="C474" s="288"/>
      <c r="D474" s="152"/>
      <c r="E474" s="289"/>
      <c r="F474" s="289"/>
      <c r="G474" s="152"/>
      <c r="H474" s="152"/>
      <c r="I474" s="152"/>
      <c r="J474" s="152"/>
      <c r="K474" s="289"/>
      <c r="L474" s="289"/>
      <c r="M474" s="152"/>
      <c r="N474" s="152"/>
      <c r="O474" s="156"/>
      <c r="P474" s="152"/>
      <c r="Q474" s="152"/>
      <c r="R474" s="152"/>
      <c r="S474" s="152"/>
      <c r="T474" s="152"/>
      <c r="U474" s="152"/>
      <c r="V474" s="152"/>
      <c r="W474" s="152"/>
      <c r="X474" s="152"/>
      <c r="Y474" s="152"/>
      <c r="Z474" s="281"/>
      <c r="AA474" s="281"/>
      <c r="AB474" s="281"/>
      <c r="AC474" s="281"/>
      <c r="AD474" s="281"/>
      <c r="AE474" s="281"/>
      <c r="AF474" s="282"/>
      <c r="AG474" s="170"/>
      <c r="AH474" s="152"/>
      <c r="AI474" s="152"/>
      <c r="AJ474" s="152"/>
      <c r="AK474" s="152"/>
      <c r="AL474" s="152"/>
      <c r="AM474" s="152"/>
      <c r="AN474" s="152"/>
      <c r="AO474" s="152"/>
      <c r="AP474" s="152"/>
      <c r="AQ474" s="152"/>
      <c r="AR474" s="152"/>
    </row>
    <row r="475" ht="12.75" customHeight="1">
      <c r="A475" s="288"/>
      <c r="B475" s="288"/>
      <c r="C475" s="288"/>
      <c r="D475" s="152"/>
      <c r="E475" s="289"/>
      <c r="F475" s="289"/>
      <c r="G475" s="152"/>
      <c r="H475" s="152"/>
      <c r="I475" s="152"/>
      <c r="J475" s="152"/>
      <c r="K475" s="289"/>
      <c r="L475" s="289"/>
      <c r="M475" s="152"/>
      <c r="N475" s="152"/>
      <c r="O475" s="156"/>
      <c r="P475" s="152"/>
      <c r="Q475" s="152"/>
      <c r="R475" s="152"/>
      <c r="S475" s="152"/>
      <c r="T475" s="152"/>
      <c r="U475" s="152"/>
      <c r="V475" s="152"/>
      <c r="W475" s="152"/>
      <c r="X475" s="152"/>
      <c r="Y475" s="152"/>
      <c r="Z475" s="281"/>
      <c r="AA475" s="281"/>
      <c r="AB475" s="281"/>
      <c r="AC475" s="281"/>
      <c r="AD475" s="281"/>
      <c r="AE475" s="281"/>
      <c r="AF475" s="282"/>
      <c r="AG475" s="170"/>
      <c r="AH475" s="152"/>
      <c r="AI475" s="152"/>
      <c r="AJ475" s="152"/>
      <c r="AK475" s="152"/>
      <c r="AL475" s="152"/>
      <c r="AM475" s="152"/>
      <c r="AN475" s="152"/>
      <c r="AO475" s="152"/>
      <c r="AP475" s="152"/>
      <c r="AQ475" s="152"/>
      <c r="AR475" s="152"/>
    </row>
    <row r="476" ht="12.75" customHeight="1">
      <c r="A476" s="288"/>
      <c r="B476" s="288"/>
      <c r="C476" s="288"/>
      <c r="D476" s="152"/>
      <c r="E476" s="289"/>
      <c r="F476" s="289"/>
      <c r="G476" s="152"/>
      <c r="H476" s="152"/>
      <c r="I476" s="152"/>
      <c r="J476" s="152"/>
      <c r="K476" s="289"/>
      <c r="L476" s="289"/>
      <c r="M476" s="152"/>
      <c r="N476" s="152"/>
      <c r="O476" s="156"/>
      <c r="P476" s="152"/>
      <c r="Q476" s="152"/>
      <c r="R476" s="152"/>
      <c r="S476" s="152"/>
      <c r="T476" s="152"/>
      <c r="U476" s="152"/>
      <c r="V476" s="152"/>
      <c r="W476" s="152"/>
      <c r="X476" s="152"/>
      <c r="Y476" s="152"/>
      <c r="Z476" s="281"/>
      <c r="AA476" s="281"/>
      <c r="AB476" s="281"/>
      <c r="AC476" s="281"/>
      <c r="AD476" s="281"/>
      <c r="AE476" s="281"/>
      <c r="AF476" s="282"/>
      <c r="AG476" s="170"/>
      <c r="AH476" s="152"/>
      <c r="AI476" s="152"/>
      <c r="AJ476" s="152"/>
      <c r="AK476" s="152"/>
      <c r="AL476" s="152"/>
      <c r="AM476" s="152"/>
      <c r="AN476" s="152"/>
      <c r="AO476" s="152"/>
      <c r="AP476" s="152"/>
      <c r="AQ476" s="152"/>
      <c r="AR476" s="152"/>
    </row>
    <row r="477" ht="12.75" customHeight="1">
      <c r="A477" s="288"/>
      <c r="B477" s="288"/>
      <c r="C477" s="288"/>
      <c r="D477" s="152"/>
      <c r="E477" s="289"/>
      <c r="F477" s="289"/>
      <c r="G477" s="152"/>
      <c r="H477" s="152"/>
      <c r="I477" s="152"/>
      <c r="J477" s="152"/>
      <c r="K477" s="289"/>
      <c r="L477" s="289"/>
      <c r="M477" s="152"/>
      <c r="N477" s="152"/>
      <c r="O477" s="156"/>
      <c r="P477" s="152"/>
      <c r="Q477" s="152"/>
      <c r="R477" s="152"/>
      <c r="S477" s="152"/>
      <c r="T477" s="152"/>
      <c r="U477" s="152"/>
      <c r="V477" s="152"/>
      <c r="W477" s="152"/>
      <c r="X477" s="152"/>
      <c r="Y477" s="152"/>
      <c r="Z477" s="281"/>
      <c r="AA477" s="281"/>
      <c r="AB477" s="281"/>
      <c r="AC477" s="281"/>
      <c r="AD477" s="281"/>
      <c r="AE477" s="281"/>
      <c r="AF477" s="282"/>
      <c r="AG477" s="170"/>
      <c r="AH477" s="152"/>
      <c r="AI477" s="152"/>
      <c r="AJ477" s="152"/>
      <c r="AK477" s="152"/>
      <c r="AL477" s="152"/>
      <c r="AM477" s="152"/>
      <c r="AN477" s="152"/>
      <c r="AO477" s="152"/>
      <c r="AP477" s="152"/>
      <c r="AQ477" s="152"/>
      <c r="AR477" s="152"/>
    </row>
    <row r="478" ht="12.75" customHeight="1">
      <c r="A478" s="288"/>
      <c r="B478" s="288"/>
      <c r="C478" s="288"/>
      <c r="D478" s="152"/>
      <c r="E478" s="289"/>
      <c r="F478" s="289"/>
      <c r="G478" s="152"/>
      <c r="H478" s="152"/>
      <c r="I478" s="152"/>
      <c r="J478" s="152"/>
      <c r="K478" s="289"/>
      <c r="L478" s="289"/>
      <c r="M478" s="152"/>
      <c r="N478" s="152"/>
      <c r="O478" s="156"/>
      <c r="P478" s="152"/>
      <c r="Q478" s="152"/>
      <c r="R478" s="152"/>
      <c r="S478" s="152"/>
      <c r="T478" s="152"/>
      <c r="U478" s="152"/>
      <c r="V478" s="152"/>
      <c r="W478" s="152"/>
      <c r="X478" s="152"/>
      <c r="Y478" s="152"/>
      <c r="Z478" s="281"/>
      <c r="AA478" s="281"/>
      <c r="AB478" s="281"/>
      <c r="AC478" s="281"/>
      <c r="AD478" s="281"/>
      <c r="AE478" s="281"/>
      <c r="AF478" s="282"/>
      <c r="AG478" s="170"/>
      <c r="AH478" s="152"/>
      <c r="AI478" s="152"/>
      <c r="AJ478" s="152"/>
      <c r="AK478" s="152"/>
      <c r="AL478" s="152"/>
      <c r="AM478" s="152"/>
      <c r="AN478" s="152"/>
      <c r="AO478" s="152"/>
      <c r="AP478" s="152"/>
      <c r="AQ478" s="152"/>
      <c r="AR478" s="152"/>
    </row>
    <row r="479" ht="12.75" customHeight="1">
      <c r="A479" s="288"/>
      <c r="B479" s="288"/>
      <c r="C479" s="288"/>
      <c r="D479" s="152"/>
      <c r="E479" s="289"/>
      <c r="F479" s="289"/>
      <c r="G479" s="152"/>
      <c r="H479" s="152"/>
      <c r="I479" s="152"/>
      <c r="J479" s="152"/>
      <c r="K479" s="289"/>
      <c r="L479" s="289"/>
      <c r="M479" s="152"/>
      <c r="N479" s="152"/>
      <c r="O479" s="156"/>
      <c r="P479" s="152"/>
      <c r="Q479" s="152"/>
      <c r="R479" s="152"/>
      <c r="S479" s="152"/>
      <c r="T479" s="152"/>
      <c r="U479" s="152"/>
      <c r="V479" s="152"/>
      <c r="W479" s="152"/>
      <c r="X479" s="152"/>
      <c r="Y479" s="152"/>
      <c r="Z479" s="281"/>
      <c r="AA479" s="281"/>
      <c r="AB479" s="281"/>
      <c r="AC479" s="281"/>
      <c r="AD479" s="281"/>
      <c r="AE479" s="281"/>
      <c r="AF479" s="282"/>
      <c r="AG479" s="170"/>
      <c r="AH479" s="152"/>
      <c r="AI479" s="152"/>
      <c r="AJ479" s="152"/>
      <c r="AK479" s="152"/>
      <c r="AL479" s="152"/>
      <c r="AM479" s="152"/>
      <c r="AN479" s="152"/>
      <c r="AO479" s="152"/>
      <c r="AP479" s="152"/>
      <c r="AQ479" s="152"/>
      <c r="AR479" s="152"/>
    </row>
    <row r="480" ht="12.75" customHeight="1">
      <c r="A480" s="288"/>
      <c r="B480" s="288"/>
      <c r="C480" s="288"/>
      <c r="D480" s="152"/>
      <c r="E480" s="289"/>
      <c r="F480" s="289"/>
      <c r="G480" s="152"/>
      <c r="H480" s="152"/>
      <c r="I480" s="152"/>
      <c r="J480" s="152"/>
      <c r="K480" s="289"/>
      <c r="L480" s="289"/>
      <c r="M480" s="152"/>
      <c r="N480" s="152"/>
      <c r="O480" s="156"/>
      <c r="P480" s="152"/>
      <c r="Q480" s="152"/>
      <c r="R480" s="152"/>
      <c r="S480" s="152"/>
      <c r="T480" s="152"/>
      <c r="U480" s="152"/>
      <c r="V480" s="152"/>
      <c r="W480" s="152"/>
      <c r="X480" s="152"/>
      <c r="Y480" s="152"/>
      <c r="Z480" s="281"/>
      <c r="AA480" s="281"/>
      <c r="AB480" s="281"/>
      <c r="AC480" s="281"/>
      <c r="AD480" s="281"/>
      <c r="AE480" s="281"/>
      <c r="AF480" s="282"/>
      <c r="AG480" s="170"/>
      <c r="AH480" s="152"/>
      <c r="AI480" s="152"/>
      <c r="AJ480" s="152"/>
      <c r="AK480" s="152"/>
      <c r="AL480" s="152"/>
      <c r="AM480" s="152"/>
      <c r="AN480" s="152"/>
      <c r="AO480" s="152"/>
      <c r="AP480" s="152"/>
      <c r="AQ480" s="152"/>
      <c r="AR480" s="152"/>
    </row>
    <row r="481" ht="12.75" customHeight="1">
      <c r="A481" s="288"/>
      <c r="B481" s="288"/>
      <c r="C481" s="288"/>
      <c r="D481" s="152"/>
      <c r="E481" s="289"/>
      <c r="F481" s="289"/>
      <c r="G481" s="152"/>
      <c r="H481" s="152"/>
      <c r="I481" s="152"/>
      <c r="J481" s="152"/>
      <c r="K481" s="289"/>
      <c r="L481" s="289"/>
      <c r="M481" s="152"/>
      <c r="N481" s="152"/>
      <c r="O481" s="156"/>
      <c r="P481" s="152"/>
      <c r="Q481" s="152"/>
      <c r="R481" s="152"/>
      <c r="S481" s="152"/>
      <c r="T481" s="152"/>
      <c r="U481" s="152"/>
      <c r="V481" s="152"/>
      <c r="W481" s="152"/>
      <c r="X481" s="152"/>
      <c r="Y481" s="152"/>
      <c r="Z481" s="281"/>
      <c r="AA481" s="281"/>
      <c r="AB481" s="281"/>
      <c r="AC481" s="281"/>
      <c r="AD481" s="281"/>
      <c r="AE481" s="281"/>
      <c r="AF481" s="282"/>
      <c r="AG481" s="170"/>
      <c r="AH481" s="152"/>
      <c r="AI481" s="152"/>
      <c r="AJ481" s="152"/>
      <c r="AK481" s="152"/>
      <c r="AL481" s="152"/>
      <c r="AM481" s="152"/>
      <c r="AN481" s="152"/>
      <c r="AO481" s="152"/>
      <c r="AP481" s="152"/>
      <c r="AQ481" s="152"/>
      <c r="AR481" s="152"/>
    </row>
    <row r="482" ht="12.75" customHeight="1">
      <c r="A482" s="288"/>
      <c r="B482" s="288"/>
      <c r="C482" s="288"/>
      <c r="D482" s="152"/>
      <c r="E482" s="289"/>
      <c r="F482" s="289"/>
      <c r="G482" s="152"/>
      <c r="H482" s="152"/>
      <c r="I482" s="152"/>
      <c r="J482" s="152"/>
      <c r="K482" s="289"/>
      <c r="L482" s="289"/>
      <c r="M482" s="152"/>
      <c r="N482" s="152"/>
      <c r="O482" s="156"/>
      <c r="P482" s="152"/>
      <c r="Q482" s="152"/>
      <c r="R482" s="152"/>
      <c r="S482" s="152"/>
      <c r="T482" s="152"/>
      <c r="U482" s="152"/>
      <c r="V482" s="152"/>
      <c r="W482" s="152"/>
      <c r="X482" s="152"/>
      <c r="Y482" s="152"/>
      <c r="Z482" s="281"/>
      <c r="AA482" s="281"/>
      <c r="AB482" s="281"/>
      <c r="AC482" s="281"/>
      <c r="AD482" s="281"/>
      <c r="AE482" s="281"/>
      <c r="AF482" s="282"/>
      <c r="AG482" s="170"/>
      <c r="AH482" s="152"/>
      <c r="AI482" s="152"/>
      <c r="AJ482" s="152"/>
      <c r="AK482" s="152"/>
      <c r="AL482" s="152"/>
      <c r="AM482" s="152"/>
      <c r="AN482" s="152"/>
      <c r="AO482" s="152"/>
      <c r="AP482" s="152"/>
      <c r="AQ482" s="152"/>
      <c r="AR482" s="152"/>
    </row>
    <row r="483" ht="12.75" customHeight="1">
      <c r="A483" s="288"/>
      <c r="B483" s="288"/>
      <c r="C483" s="288"/>
      <c r="D483" s="152"/>
      <c r="E483" s="289"/>
      <c r="F483" s="289"/>
      <c r="G483" s="152"/>
      <c r="H483" s="152"/>
      <c r="I483" s="152"/>
      <c r="J483" s="152"/>
      <c r="K483" s="289"/>
      <c r="L483" s="289"/>
      <c r="M483" s="152"/>
      <c r="N483" s="152"/>
      <c r="O483" s="156"/>
      <c r="P483" s="152"/>
      <c r="Q483" s="152"/>
      <c r="R483" s="152"/>
      <c r="S483" s="152"/>
      <c r="T483" s="152"/>
      <c r="U483" s="152"/>
      <c r="V483" s="152"/>
      <c r="W483" s="152"/>
      <c r="X483" s="152"/>
      <c r="Y483" s="152"/>
      <c r="Z483" s="281"/>
      <c r="AA483" s="281"/>
      <c r="AB483" s="281"/>
      <c r="AC483" s="281"/>
      <c r="AD483" s="281"/>
      <c r="AE483" s="281"/>
      <c r="AF483" s="282"/>
      <c r="AG483" s="170"/>
      <c r="AH483" s="152"/>
      <c r="AI483" s="152"/>
      <c r="AJ483" s="152"/>
      <c r="AK483" s="152"/>
      <c r="AL483" s="152"/>
      <c r="AM483" s="152"/>
      <c r="AN483" s="152"/>
      <c r="AO483" s="152"/>
      <c r="AP483" s="152"/>
      <c r="AQ483" s="152"/>
      <c r="AR483" s="152"/>
    </row>
    <row r="484" ht="12.75" customHeight="1">
      <c r="A484" s="288"/>
      <c r="B484" s="288"/>
      <c r="C484" s="288"/>
      <c r="D484" s="152"/>
      <c r="E484" s="289"/>
      <c r="F484" s="289"/>
      <c r="G484" s="152"/>
      <c r="H484" s="152"/>
      <c r="I484" s="152"/>
      <c r="J484" s="152"/>
      <c r="K484" s="289"/>
      <c r="L484" s="289"/>
      <c r="M484" s="152"/>
      <c r="N484" s="152"/>
      <c r="O484" s="156"/>
      <c r="P484" s="152"/>
      <c r="Q484" s="152"/>
      <c r="R484" s="152"/>
      <c r="S484" s="152"/>
      <c r="T484" s="152"/>
      <c r="U484" s="152"/>
      <c r="V484" s="152"/>
      <c r="W484" s="152"/>
      <c r="X484" s="152"/>
      <c r="Y484" s="152"/>
      <c r="Z484" s="281"/>
      <c r="AA484" s="281"/>
      <c r="AB484" s="281"/>
      <c r="AC484" s="281"/>
      <c r="AD484" s="281"/>
      <c r="AE484" s="281"/>
      <c r="AF484" s="282"/>
      <c r="AG484" s="170"/>
      <c r="AH484" s="152"/>
      <c r="AI484" s="152"/>
      <c r="AJ484" s="152"/>
      <c r="AK484" s="152"/>
      <c r="AL484" s="152"/>
      <c r="AM484" s="152"/>
      <c r="AN484" s="152"/>
      <c r="AO484" s="152"/>
      <c r="AP484" s="152"/>
      <c r="AQ484" s="152"/>
      <c r="AR484" s="152"/>
    </row>
    <row r="485" ht="12.75" customHeight="1">
      <c r="A485" s="288"/>
      <c r="B485" s="288"/>
      <c r="C485" s="288"/>
      <c r="D485" s="152"/>
      <c r="E485" s="289"/>
      <c r="F485" s="289"/>
      <c r="G485" s="152"/>
      <c r="H485" s="152"/>
      <c r="I485" s="152"/>
      <c r="J485" s="152"/>
      <c r="K485" s="289"/>
      <c r="L485" s="289"/>
      <c r="M485" s="152"/>
      <c r="N485" s="152"/>
      <c r="O485" s="156"/>
      <c r="P485" s="152"/>
      <c r="Q485" s="152"/>
      <c r="R485" s="152"/>
      <c r="S485" s="152"/>
      <c r="T485" s="152"/>
      <c r="U485" s="152"/>
      <c r="V485" s="152"/>
      <c r="W485" s="152"/>
      <c r="X485" s="152"/>
      <c r="Y485" s="152"/>
      <c r="Z485" s="281"/>
      <c r="AA485" s="281"/>
      <c r="AB485" s="281"/>
      <c r="AC485" s="281"/>
      <c r="AD485" s="281"/>
      <c r="AE485" s="281"/>
      <c r="AF485" s="282"/>
      <c r="AG485" s="170"/>
      <c r="AH485" s="152"/>
      <c r="AI485" s="152"/>
      <c r="AJ485" s="152"/>
      <c r="AK485" s="152"/>
      <c r="AL485" s="152"/>
      <c r="AM485" s="152"/>
      <c r="AN485" s="152"/>
      <c r="AO485" s="152"/>
      <c r="AP485" s="152"/>
      <c r="AQ485" s="152"/>
      <c r="AR485" s="152"/>
    </row>
    <row r="486" ht="12.75" customHeight="1">
      <c r="A486" s="288"/>
      <c r="B486" s="288"/>
      <c r="C486" s="288"/>
      <c r="D486" s="152"/>
      <c r="E486" s="289"/>
      <c r="F486" s="289"/>
      <c r="G486" s="152"/>
      <c r="H486" s="152"/>
      <c r="I486" s="152"/>
      <c r="J486" s="152"/>
      <c r="K486" s="289"/>
      <c r="L486" s="289"/>
      <c r="M486" s="152"/>
      <c r="N486" s="152"/>
      <c r="O486" s="156"/>
      <c r="P486" s="152"/>
      <c r="Q486" s="152"/>
      <c r="R486" s="152"/>
      <c r="S486" s="152"/>
      <c r="T486" s="152"/>
      <c r="U486" s="152"/>
      <c r="V486" s="152"/>
      <c r="W486" s="152"/>
      <c r="X486" s="152"/>
      <c r="Y486" s="152"/>
      <c r="Z486" s="281"/>
      <c r="AA486" s="281"/>
      <c r="AB486" s="281"/>
      <c r="AC486" s="281"/>
      <c r="AD486" s="281"/>
      <c r="AE486" s="281"/>
      <c r="AF486" s="282"/>
      <c r="AG486" s="170"/>
      <c r="AH486" s="152"/>
      <c r="AI486" s="152"/>
      <c r="AJ486" s="152"/>
      <c r="AK486" s="152"/>
      <c r="AL486" s="152"/>
      <c r="AM486" s="152"/>
      <c r="AN486" s="152"/>
      <c r="AO486" s="152"/>
      <c r="AP486" s="152"/>
      <c r="AQ486" s="152"/>
      <c r="AR486" s="152"/>
    </row>
    <row r="487" ht="12.75" customHeight="1">
      <c r="A487" s="288"/>
      <c r="B487" s="288"/>
      <c r="C487" s="288"/>
      <c r="D487" s="152"/>
      <c r="E487" s="289"/>
      <c r="F487" s="289"/>
      <c r="G487" s="152"/>
      <c r="H487" s="152"/>
      <c r="I487" s="152"/>
      <c r="J487" s="152"/>
      <c r="K487" s="289"/>
      <c r="L487" s="289"/>
      <c r="M487" s="152"/>
      <c r="N487" s="152"/>
      <c r="O487" s="156"/>
      <c r="P487" s="152"/>
      <c r="Q487" s="152"/>
      <c r="R487" s="152"/>
      <c r="S487" s="152"/>
      <c r="T487" s="152"/>
      <c r="U487" s="152"/>
      <c r="V487" s="152"/>
      <c r="W487" s="152"/>
      <c r="X487" s="152"/>
      <c r="Y487" s="152"/>
      <c r="Z487" s="281"/>
      <c r="AA487" s="281"/>
      <c r="AB487" s="281"/>
      <c r="AC487" s="281"/>
      <c r="AD487" s="281"/>
      <c r="AE487" s="281"/>
      <c r="AF487" s="282"/>
      <c r="AG487" s="170"/>
      <c r="AH487" s="152"/>
      <c r="AI487" s="152"/>
      <c r="AJ487" s="152"/>
      <c r="AK487" s="152"/>
      <c r="AL487" s="152"/>
      <c r="AM487" s="152"/>
      <c r="AN487" s="152"/>
      <c r="AO487" s="152"/>
      <c r="AP487" s="152"/>
      <c r="AQ487" s="152"/>
      <c r="AR487" s="152"/>
    </row>
    <row r="488" ht="12.75" customHeight="1">
      <c r="A488" s="288"/>
      <c r="B488" s="288"/>
      <c r="C488" s="288"/>
      <c r="D488" s="152"/>
      <c r="E488" s="289"/>
      <c r="F488" s="289"/>
      <c r="G488" s="152"/>
      <c r="H488" s="152"/>
      <c r="I488" s="152"/>
      <c r="J488" s="152"/>
      <c r="K488" s="289"/>
      <c r="L488" s="289"/>
      <c r="M488" s="152"/>
      <c r="N488" s="152"/>
      <c r="O488" s="156"/>
      <c r="P488" s="152"/>
      <c r="Q488" s="152"/>
      <c r="R488" s="152"/>
      <c r="S488" s="152"/>
      <c r="T488" s="152"/>
      <c r="U488" s="152"/>
      <c r="V488" s="152"/>
      <c r="W488" s="152"/>
      <c r="X488" s="152"/>
      <c r="Y488" s="152"/>
      <c r="Z488" s="281"/>
      <c r="AA488" s="281"/>
      <c r="AB488" s="281"/>
      <c r="AC488" s="281"/>
      <c r="AD488" s="281"/>
      <c r="AE488" s="281"/>
      <c r="AF488" s="282"/>
      <c r="AG488" s="170"/>
      <c r="AH488" s="152"/>
      <c r="AI488" s="152"/>
      <c r="AJ488" s="152"/>
      <c r="AK488" s="152"/>
      <c r="AL488" s="152"/>
      <c r="AM488" s="152"/>
      <c r="AN488" s="152"/>
      <c r="AO488" s="152"/>
      <c r="AP488" s="152"/>
      <c r="AQ488" s="152"/>
      <c r="AR488" s="152"/>
    </row>
    <row r="489" ht="12.75" customHeight="1">
      <c r="A489" s="288"/>
      <c r="B489" s="288"/>
      <c r="C489" s="288"/>
      <c r="D489" s="152"/>
      <c r="E489" s="289"/>
      <c r="F489" s="289"/>
      <c r="G489" s="152"/>
      <c r="H489" s="152"/>
      <c r="I489" s="152"/>
      <c r="J489" s="152"/>
      <c r="K489" s="289"/>
      <c r="L489" s="289"/>
      <c r="M489" s="152"/>
      <c r="N489" s="152"/>
      <c r="O489" s="156"/>
      <c r="P489" s="152"/>
      <c r="Q489" s="152"/>
      <c r="R489" s="152"/>
      <c r="S489" s="152"/>
      <c r="T489" s="152"/>
      <c r="U489" s="152"/>
      <c r="V489" s="152"/>
      <c r="W489" s="152"/>
      <c r="X489" s="152"/>
      <c r="Y489" s="152"/>
      <c r="Z489" s="281"/>
      <c r="AA489" s="281"/>
      <c r="AB489" s="281"/>
      <c r="AC489" s="281"/>
      <c r="AD489" s="281"/>
      <c r="AE489" s="281"/>
      <c r="AF489" s="282"/>
      <c r="AG489" s="170"/>
      <c r="AH489" s="152"/>
      <c r="AI489" s="152"/>
      <c r="AJ489" s="152"/>
      <c r="AK489" s="152"/>
      <c r="AL489" s="152"/>
      <c r="AM489" s="152"/>
      <c r="AN489" s="152"/>
      <c r="AO489" s="152"/>
      <c r="AP489" s="152"/>
      <c r="AQ489" s="152"/>
      <c r="AR489" s="152"/>
    </row>
    <row r="490" ht="12.75" customHeight="1">
      <c r="A490" s="288"/>
      <c r="B490" s="288"/>
      <c r="C490" s="288"/>
      <c r="D490" s="152"/>
      <c r="E490" s="289"/>
      <c r="F490" s="289"/>
      <c r="G490" s="152"/>
      <c r="H490" s="152"/>
      <c r="I490" s="152"/>
      <c r="J490" s="152"/>
      <c r="K490" s="289"/>
      <c r="L490" s="289"/>
      <c r="M490" s="152"/>
      <c r="N490" s="152"/>
      <c r="O490" s="156"/>
      <c r="P490" s="152"/>
      <c r="Q490" s="152"/>
      <c r="R490" s="152"/>
      <c r="S490" s="152"/>
      <c r="T490" s="152"/>
      <c r="U490" s="152"/>
      <c r="V490" s="152"/>
      <c r="W490" s="152"/>
      <c r="X490" s="152"/>
      <c r="Y490" s="152"/>
      <c r="Z490" s="281"/>
      <c r="AA490" s="281"/>
      <c r="AB490" s="281"/>
      <c r="AC490" s="281"/>
      <c r="AD490" s="281"/>
      <c r="AE490" s="281"/>
      <c r="AF490" s="282"/>
      <c r="AG490" s="170"/>
      <c r="AH490" s="152"/>
      <c r="AI490" s="152"/>
      <c r="AJ490" s="152"/>
      <c r="AK490" s="152"/>
      <c r="AL490" s="152"/>
      <c r="AM490" s="152"/>
      <c r="AN490" s="152"/>
      <c r="AO490" s="152"/>
      <c r="AP490" s="152"/>
      <c r="AQ490" s="152"/>
      <c r="AR490" s="152"/>
    </row>
    <row r="491" ht="12.75" customHeight="1">
      <c r="A491" s="288"/>
      <c r="B491" s="288"/>
      <c r="C491" s="288"/>
      <c r="D491" s="152"/>
      <c r="E491" s="289"/>
      <c r="F491" s="289"/>
      <c r="G491" s="152"/>
      <c r="H491" s="152"/>
      <c r="I491" s="152"/>
      <c r="J491" s="152"/>
      <c r="K491" s="289"/>
      <c r="L491" s="289"/>
      <c r="M491" s="152"/>
      <c r="N491" s="152"/>
      <c r="O491" s="156"/>
      <c r="P491" s="152"/>
      <c r="Q491" s="152"/>
      <c r="R491" s="152"/>
      <c r="S491" s="152"/>
      <c r="T491" s="152"/>
      <c r="U491" s="152"/>
      <c r="V491" s="152"/>
      <c r="W491" s="152"/>
      <c r="X491" s="152"/>
      <c r="Y491" s="152"/>
      <c r="Z491" s="281"/>
      <c r="AA491" s="281"/>
      <c r="AB491" s="281"/>
      <c r="AC491" s="281"/>
      <c r="AD491" s="281"/>
      <c r="AE491" s="281"/>
      <c r="AF491" s="282"/>
      <c r="AG491" s="170"/>
      <c r="AH491" s="152"/>
      <c r="AI491" s="152"/>
      <c r="AJ491" s="152"/>
      <c r="AK491" s="152"/>
      <c r="AL491" s="152"/>
      <c r="AM491" s="152"/>
      <c r="AN491" s="152"/>
      <c r="AO491" s="152"/>
      <c r="AP491" s="152"/>
      <c r="AQ491" s="152"/>
      <c r="AR491" s="152"/>
    </row>
    <row r="492" ht="12.75" customHeight="1">
      <c r="A492" s="288"/>
      <c r="B492" s="288"/>
      <c r="C492" s="288"/>
      <c r="D492" s="152"/>
      <c r="E492" s="289"/>
      <c r="F492" s="289"/>
      <c r="G492" s="152"/>
      <c r="H492" s="152"/>
      <c r="I492" s="152"/>
      <c r="J492" s="152"/>
      <c r="K492" s="289"/>
      <c r="L492" s="289"/>
      <c r="M492" s="152"/>
      <c r="N492" s="152"/>
      <c r="O492" s="156"/>
      <c r="P492" s="152"/>
      <c r="Q492" s="152"/>
      <c r="R492" s="152"/>
      <c r="S492" s="152"/>
      <c r="T492" s="152"/>
      <c r="U492" s="152"/>
      <c r="V492" s="152"/>
      <c r="W492" s="152"/>
      <c r="X492" s="152"/>
      <c r="Y492" s="152"/>
      <c r="Z492" s="281"/>
      <c r="AA492" s="281"/>
      <c r="AB492" s="281"/>
      <c r="AC492" s="281"/>
      <c r="AD492" s="281"/>
      <c r="AE492" s="281"/>
      <c r="AF492" s="282"/>
      <c r="AG492" s="170"/>
      <c r="AH492" s="152"/>
      <c r="AI492" s="152"/>
      <c r="AJ492" s="152"/>
      <c r="AK492" s="152"/>
      <c r="AL492" s="152"/>
      <c r="AM492" s="152"/>
      <c r="AN492" s="152"/>
      <c r="AO492" s="152"/>
      <c r="AP492" s="152"/>
      <c r="AQ492" s="152"/>
      <c r="AR492" s="152"/>
    </row>
    <row r="493" ht="12.75" customHeight="1">
      <c r="A493" s="288"/>
      <c r="B493" s="288"/>
      <c r="C493" s="288"/>
      <c r="D493" s="152"/>
      <c r="E493" s="289"/>
      <c r="F493" s="289"/>
      <c r="G493" s="152"/>
      <c r="H493" s="152"/>
      <c r="I493" s="152"/>
      <c r="J493" s="152"/>
      <c r="K493" s="289"/>
      <c r="L493" s="289"/>
      <c r="M493" s="152"/>
      <c r="N493" s="152"/>
      <c r="O493" s="156"/>
      <c r="P493" s="152"/>
      <c r="Q493" s="152"/>
      <c r="R493" s="152"/>
      <c r="S493" s="152"/>
      <c r="T493" s="152"/>
      <c r="U493" s="152"/>
      <c r="V493" s="152"/>
      <c r="W493" s="152"/>
      <c r="X493" s="152"/>
      <c r="Y493" s="152"/>
      <c r="Z493" s="281"/>
      <c r="AA493" s="281"/>
      <c r="AB493" s="281"/>
      <c r="AC493" s="281"/>
      <c r="AD493" s="281"/>
      <c r="AE493" s="281"/>
      <c r="AF493" s="282"/>
      <c r="AG493" s="170"/>
      <c r="AH493" s="152"/>
      <c r="AI493" s="152"/>
      <c r="AJ493" s="152"/>
      <c r="AK493" s="152"/>
      <c r="AL493" s="152"/>
      <c r="AM493" s="152"/>
      <c r="AN493" s="152"/>
      <c r="AO493" s="152"/>
      <c r="AP493" s="152"/>
      <c r="AQ493" s="152"/>
      <c r="AR493" s="152"/>
    </row>
    <row r="494" ht="12.75" customHeight="1">
      <c r="A494" s="288"/>
      <c r="B494" s="288"/>
      <c r="C494" s="288"/>
      <c r="D494" s="152"/>
      <c r="E494" s="289"/>
      <c r="F494" s="289"/>
      <c r="G494" s="152"/>
      <c r="H494" s="152"/>
      <c r="I494" s="152"/>
      <c r="J494" s="152"/>
      <c r="K494" s="289"/>
      <c r="L494" s="289"/>
      <c r="M494" s="152"/>
      <c r="N494" s="152"/>
      <c r="O494" s="156"/>
      <c r="P494" s="152"/>
      <c r="Q494" s="152"/>
      <c r="R494" s="152"/>
      <c r="S494" s="152"/>
      <c r="T494" s="152"/>
      <c r="U494" s="152"/>
      <c r="V494" s="152"/>
      <c r="W494" s="152"/>
      <c r="X494" s="152"/>
      <c r="Y494" s="152"/>
      <c r="Z494" s="281"/>
      <c r="AA494" s="281"/>
      <c r="AB494" s="281"/>
      <c r="AC494" s="281"/>
      <c r="AD494" s="281"/>
      <c r="AE494" s="281"/>
      <c r="AF494" s="282"/>
      <c r="AG494" s="170"/>
      <c r="AH494" s="152"/>
      <c r="AI494" s="152"/>
      <c r="AJ494" s="152"/>
      <c r="AK494" s="152"/>
      <c r="AL494" s="152"/>
      <c r="AM494" s="152"/>
      <c r="AN494" s="152"/>
      <c r="AO494" s="152"/>
      <c r="AP494" s="152"/>
      <c r="AQ494" s="152"/>
      <c r="AR494" s="152"/>
    </row>
    <row r="495" ht="12.75" customHeight="1">
      <c r="A495" s="288"/>
      <c r="B495" s="288"/>
      <c r="C495" s="288"/>
      <c r="D495" s="152"/>
      <c r="E495" s="289"/>
      <c r="F495" s="289"/>
      <c r="G495" s="152"/>
      <c r="H495" s="152"/>
      <c r="I495" s="152"/>
      <c r="J495" s="152"/>
      <c r="K495" s="289"/>
      <c r="L495" s="289"/>
      <c r="M495" s="152"/>
      <c r="N495" s="152"/>
      <c r="O495" s="156"/>
      <c r="P495" s="152"/>
      <c r="Q495" s="152"/>
      <c r="R495" s="152"/>
      <c r="S495" s="152"/>
      <c r="T495" s="152"/>
      <c r="U495" s="152"/>
      <c r="V495" s="152"/>
      <c r="W495" s="152"/>
      <c r="X495" s="152"/>
      <c r="Y495" s="152"/>
      <c r="Z495" s="281"/>
      <c r="AA495" s="281"/>
      <c r="AB495" s="281"/>
      <c r="AC495" s="281"/>
      <c r="AD495" s="281"/>
      <c r="AE495" s="281"/>
      <c r="AF495" s="282"/>
      <c r="AG495" s="170"/>
      <c r="AH495" s="152"/>
      <c r="AI495" s="152"/>
      <c r="AJ495" s="152"/>
      <c r="AK495" s="152"/>
      <c r="AL495" s="152"/>
      <c r="AM495" s="152"/>
      <c r="AN495" s="152"/>
      <c r="AO495" s="152"/>
      <c r="AP495" s="152"/>
      <c r="AQ495" s="152"/>
      <c r="AR495" s="152"/>
    </row>
    <row r="496" ht="12.75" customHeight="1">
      <c r="A496" s="288"/>
      <c r="B496" s="288"/>
      <c r="C496" s="288"/>
      <c r="D496" s="152"/>
      <c r="E496" s="289"/>
      <c r="F496" s="289"/>
      <c r="G496" s="152"/>
      <c r="H496" s="152"/>
      <c r="I496" s="152"/>
      <c r="J496" s="152"/>
      <c r="K496" s="289"/>
      <c r="L496" s="289"/>
      <c r="M496" s="152"/>
      <c r="N496" s="152"/>
      <c r="O496" s="156"/>
      <c r="P496" s="152"/>
      <c r="Q496" s="152"/>
      <c r="R496" s="152"/>
      <c r="S496" s="152"/>
      <c r="T496" s="152"/>
      <c r="U496" s="152"/>
      <c r="V496" s="152"/>
      <c r="W496" s="152"/>
      <c r="X496" s="152"/>
      <c r="Y496" s="152"/>
      <c r="Z496" s="281"/>
      <c r="AA496" s="281"/>
      <c r="AB496" s="281"/>
      <c r="AC496" s="281"/>
      <c r="AD496" s="281"/>
      <c r="AE496" s="281"/>
      <c r="AF496" s="282"/>
      <c r="AG496" s="170"/>
      <c r="AH496" s="152"/>
      <c r="AI496" s="152"/>
      <c r="AJ496" s="152"/>
      <c r="AK496" s="152"/>
      <c r="AL496" s="152"/>
      <c r="AM496" s="152"/>
      <c r="AN496" s="152"/>
      <c r="AO496" s="152"/>
      <c r="AP496" s="152"/>
      <c r="AQ496" s="152"/>
      <c r="AR496" s="152"/>
    </row>
    <row r="497" ht="12.75" customHeight="1">
      <c r="A497" s="288"/>
      <c r="B497" s="288"/>
      <c r="C497" s="288"/>
      <c r="D497" s="152"/>
      <c r="E497" s="289"/>
      <c r="F497" s="289"/>
      <c r="G497" s="152"/>
      <c r="H497" s="152"/>
      <c r="I497" s="152"/>
      <c r="J497" s="152"/>
      <c r="K497" s="289"/>
      <c r="L497" s="289"/>
      <c r="M497" s="152"/>
      <c r="N497" s="152"/>
      <c r="O497" s="156"/>
      <c r="P497" s="152"/>
      <c r="Q497" s="152"/>
      <c r="R497" s="152"/>
      <c r="S497" s="152"/>
      <c r="T497" s="152"/>
      <c r="U497" s="152"/>
      <c r="V497" s="152"/>
      <c r="W497" s="152"/>
      <c r="X497" s="152"/>
      <c r="Y497" s="152"/>
      <c r="Z497" s="281"/>
      <c r="AA497" s="281"/>
      <c r="AB497" s="281"/>
      <c r="AC497" s="281"/>
      <c r="AD497" s="281"/>
      <c r="AE497" s="281"/>
      <c r="AF497" s="282"/>
      <c r="AG497" s="170"/>
      <c r="AH497" s="152"/>
      <c r="AI497" s="152"/>
      <c r="AJ497" s="152"/>
      <c r="AK497" s="152"/>
      <c r="AL497" s="152"/>
      <c r="AM497" s="152"/>
      <c r="AN497" s="152"/>
      <c r="AO497" s="152"/>
      <c r="AP497" s="152"/>
      <c r="AQ497" s="152"/>
      <c r="AR497" s="152"/>
    </row>
    <row r="498" ht="12.75" customHeight="1">
      <c r="A498" s="288"/>
      <c r="B498" s="288"/>
      <c r="C498" s="288"/>
      <c r="D498" s="152"/>
      <c r="E498" s="289"/>
      <c r="F498" s="289"/>
      <c r="G498" s="152"/>
      <c r="H498" s="152"/>
      <c r="I498" s="152"/>
      <c r="J498" s="152"/>
      <c r="K498" s="289"/>
      <c r="L498" s="289"/>
      <c r="M498" s="152"/>
      <c r="N498" s="152"/>
      <c r="O498" s="156"/>
      <c r="P498" s="152"/>
      <c r="Q498" s="152"/>
      <c r="R498" s="152"/>
      <c r="S498" s="152"/>
      <c r="T498" s="152"/>
      <c r="U498" s="152"/>
      <c r="V498" s="152"/>
      <c r="W498" s="152"/>
      <c r="X498" s="152"/>
      <c r="Y498" s="152"/>
      <c r="Z498" s="281"/>
      <c r="AA498" s="281"/>
      <c r="AB498" s="281"/>
      <c r="AC498" s="281"/>
      <c r="AD498" s="281"/>
      <c r="AE498" s="281"/>
      <c r="AF498" s="282"/>
      <c r="AG498" s="170"/>
      <c r="AH498" s="152"/>
      <c r="AI498" s="152"/>
      <c r="AJ498" s="152"/>
      <c r="AK498" s="152"/>
      <c r="AL498" s="152"/>
      <c r="AM498" s="152"/>
      <c r="AN498" s="152"/>
      <c r="AO498" s="152"/>
      <c r="AP498" s="152"/>
      <c r="AQ498" s="152"/>
      <c r="AR498" s="152"/>
    </row>
    <row r="499" ht="12.75" customHeight="1">
      <c r="A499" s="288"/>
      <c r="B499" s="288"/>
      <c r="C499" s="288"/>
      <c r="D499" s="152"/>
      <c r="E499" s="289"/>
      <c r="F499" s="289"/>
      <c r="G499" s="152"/>
      <c r="H499" s="152"/>
      <c r="I499" s="152"/>
      <c r="J499" s="152"/>
      <c r="K499" s="289"/>
      <c r="L499" s="289"/>
      <c r="M499" s="152"/>
      <c r="N499" s="152"/>
      <c r="O499" s="156"/>
      <c r="P499" s="152"/>
      <c r="Q499" s="152"/>
      <c r="R499" s="152"/>
      <c r="S499" s="152"/>
      <c r="T499" s="152"/>
      <c r="U499" s="152"/>
      <c r="V499" s="152"/>
      <c r="W499" s="152"/>
      <c r="X499" s="152"/>
      <c r="Y499" s="152"/>
      <c r="Z499" s="281"/>
      <c r="AA499" s="281"/>
      <c r="AB499" s="281"/>
      <c r="AC499" s="281"/>
      <c r="AD499" s="281"/>
      <c r="AE499" s="281"/>
      <c r="AF499" s="282"/>
      <c r="AG499" s="170"/>
      <c r="AH499" s="152"/>
      <c r="AI499" s="152"/>
      <c r="AJ499" s="152"/>
      <c r="AK499" s="152"/>
      <c r="AL499" s="152"/>
      <c r="AM499" s="152"/>
      <c r="AN499" s="152"/>
      <c r="AO499" s="152"/>
      <c r="AP499" s="152"/>
      <c r="AQ499" s="152"/>
      <c r="AR499" s="152"/>
    </row>
    <row r="500" ht="12.75" customHeight="1">
      <c r="A500" s="288"/>
      <c r="B500" s="288"/>
      <c r="C500" s="288"/>
      <c r="D500" s="152"/>
      <c r="E500" s="289"/>
      <c r="F500" s="289"/>
      <c r="G500" s="152"/>
      <c r="H500" s="152"/>
      <c r="I500" s="152"/>
      <c r="J500" s="152"/>
      <c r="K500" s="289"/>
      <c r="L500" s="289"/>
      <c r="M500" s="152"/>
      <c r="N500" s="152"/>
      <c r="O500" s="156"/>
      <c r="P500" s="152"/>
      <c r="Q500" s="152"/>
      <c r="R500" s="152"/>
      <c r="S500" s="152"/>
      <c r="T500" s="152"/>
      <c r="U500" s="152"/>
      <c r="V500" s="152"/>
      <c r="W500" s="152"/>
      <c r="X500" s="152"/>
      <c r="Y500" s="152"/>
      <c r="Z500" s="281"/>
      <c r="AA500" s="281"/>
      <c r="AB500" s="281"/>
      <c r="AC500" s="281"/>
      <c r="AD500" s="281"/>
      <c r="AE500" s="281"/>
      <c r="AF500" s="282"/>
      <c r="AG500" s="170"/>
      <c r="AH500" s="152"/>
      <c r="AI500" s="152"/>
      <c r="AJ500" s="152"/>
      <c r="AK500" s="152"/>
      <c r="AL500" s="152"/>
      <c r="AM500" s="152"/>
      <c r="AN500" s="152"/>
      <c r="AO500" s="152"/>
      <c r="AP500" s="152"/>
      <c r="AQ500" s="152"/>
      <c r="AR500" s="152"/>
    </row>
    <row r="501" ht="12.75" customHeight="1">
      <c r="A501" s="288"/>
      <c r="B501" s="288"/>
      <c r="C501" s="288"/>
      <c r="D501" s="152"/>
      <c r="E501" s="289"/>
      <c r="F501" s="289"/>
      <c r="G501" s="152"/>
      <c r="H501" s="152"/>
      <c r="I501" s="152"/>
      <c r="J501" s="152"/>
      <c r="K501" s="289"/>
      <c r="L501" s="289"/>
      <c r="M501" s="152"/>
      <c r="N501" s="152"/>
      <c r="O501" s="156"/>
      <c r="P501" s="152"/>
      <c r="Q501" s="152"/>
      <c r="R501" s="152"/>
      <c r="S501" s="152"/>
      <c r="T501" s="152"/>
      <c r="U501" s="152"/>
      <c r="V501" s="152"/>
      <c r="W501" s="152"/>
      <c r="X501" s="152"/>
      <c r="Y501" s="152"/>
      <c r="Z501" s="281"/>
      <c r="AA501" s="281"/>
      <c r="AB501" s="281"/>
      <c r="AC501" s="281"/>
      <c r="AD501" s="281"/>
      <c r="AE501" s="281"/>
      <c r="AF501" s="282"/>
      <c r="AG501" s="170"/>
      <c r="AH501" s="152"/>
      <c r="AI501" s="152"/>
      <c r="AJ501" s="152"/>
      <c r="AK501" s="152"/>
      <c r="AL501" s="152"/>
      <c r="AM501" s="152"/>
      <c r="AN501" s="152"/>
      <c r="AO501" s="152"/>
      <c r="AP501" s="152"/>
      <c r="AQ501" s="152"/>
      <c r="AR501" s="152"/>
    </row>
    <row r="502" ht="12.75" customHeight="1">
      <c r="A502" s="288"/>
      <c r="B502" s="288"/>
      <c r="C502" s="288"/>
      <c r="D502" s="152"/>
      <c r="E502" s="289"/>
      <c r="F502" s="289"/>
      <c r="G502" s="152"/>
      <c r="H502" s="152"/>
      <c r="I502" s="152"/>
      <c r="J502" s="152"/>
      <c r="K502" s="289"/>
      <c r="L502" s="289"/>
      <c r="M502" s="152"/>
      <c r="N502" s="152"/>
      <c r="O502" s="156"/>
      <c r="P502" s="152"/>
      <c r="Q502" s="152"/>
      <c r="R502" s="152"/>
      <c r="S502" s="152"/>
      <c r="T502" s="152"/>
      <c r="U502" s="152"/>
      <c r="V502" s="152"/>
      <c r="W502" s="152"/>
      <c r="X502" s="152"/>
      <c r="Y502" s="152"/>
      <c r="Z502" s="281"/>
      <c r="AA502" s="281"/>
      <c r="AB502" s="281"/>
      <c r="AC502" s="281"/>
      <c r="AD502" s="281"/>
      <c r="AE502" s="281"/>
      <c r="AF502" s="282"/>
      <c r="AG502" s="170"/>
      <c r="AH502" s="152"/>
      <c r="AI502" s="152"/>
      <c r="AJ502" s="152"/>
      <c r="AK502" s="152"/>
      <c r="AL502" s="152"/>
      <c r="AM502" s="152"/>
      <c r="AN502" s="152"/>
      <c r="AO502" s="152"/>
      <c r="AP502" s="152"/>
      <c r="AQ502" s="152"/>
      <c r="AR502" s="152"/>
    </row>
    <row r="503" ht="12.75" customHeight="1">
      <c r="A503" s="288"/>
      <c r="B503" s="288"/>
      <c r="C503" s="288"/>
      <c r="D503" s="152"/>
      <c r="E503" s="289"/>
      <c r="F503" s="289"/>
      <c r="G503" s="152"/>
      <c r="H503" s="152"/>
      <c r="I503" s="152"/>
      <c r="J503" s="152"/>
      <c r="K503" s="289"/>
      <c r="L503" s="289"/>
      <c r="M503" s="152"/>
      <c r="N503" s="152"/>
      <c r="O503" s="156"/>
      <c r="P503" s="152"/>
      <c r="Q503" s="152"/>
      <c r="R503" s="152"/>
      <c r="S503" s="152"/>
      <c r="T503" s="152"/>
      <c r="U503" s="152"/>
      <c r="V503" s="152"/>
      <c r="W503" s="152"/>
      <c r="X503" s="152"/>
      <c r="Y503" s="152"/>
      <c r="Z503" s="281"/>
      <c r="AA503" s="281"/>
      <c r="AB503" s="281"/>
      <c r="AC503" s="281"/>
      <c r="AD503" s="281"/>
      <c r="AE503" s="281"/>
      <c r="AF503" s="282"/>
      <c r="AG503" s="170"/>
      <c r="AH503" s="152"/>
      <c r="AI503" s="152"/>
      <c r="AJ503" s="152"/>
      <c r="AK503" s="152"/>
      <c r="AL503" s="152"/>
      <c r="AM503" s="152"/>
      <c r="AN503" s="152"/>
      <c r="AO503" s="152"/>
      <c r="AP503" s="152"/>
      <c r="AQ503" s="152"/>
      <c r="AR503" s="152"/>
    </row>
    <row r="504" ht="12.75" customHeight="1">
      <c r="A504" s="288"/>
      <c r="B504" s="288"/>
      <c r="C504" s="288"/>
      <c r="D504" s="152"/>
      <c r="E504" s="289"/>
      <c r="F504" s="289"/>
      <c r="G504" s="152"/>
      <c r="H504" s="152"/>
      <c r="I504" s="152"/>
      <c r="J504" s="152"/>
      <c r="K504" s="289"/>
      <c r="L504" s="289"/>
      <c r="M504" s="152"/>
      <c r="N504" s="152"/>
      <c r="O504" s="156"/>
      <c r="P504" s="152"/>
      <c r="Q504" s="152"/>
      <c r="R504" s="152"/>
      <c r="S504" s="152"/>
      <c r="T504" s="152"/>
      <c r="U504" s="152"/>
      <c r="V504" s="152"/>
      <c r="W504" s="152"/>
      <c r="X504" s="152"/>
      <c r="Y504" s="152"/>
      <c r="Z504" s="281"/>
      <c r="AA504" s="281"/>
      <c r="AB504" s="281"/>
      <c r="AC504" s="281"/>
      <c r="AD504" s="281"/>
      <c r="AE504" s="281"/>
      <c r="AF504" s="282"/>
      <c r="AG504" s="170"/>
      <c r="AH504" s="152"/>
      <c r="AI504" s="152"/>
      <c r="AJ504" s="152"/>
      <c r="AK504" s="152"/>
      <c r="AL504" s="152"/>
      <c r="AM504" s="152"/>
      <c r="AN504" s="152"/>
      <c r="AO504" s="152"/>
      <c r="AP504" s="152"/>
      <c r="AQ504" s="152"/>
      <c r="AR504" s="152"/>
    </row>
    <row r="505" ht="12.75" customHeight="1">
      <c r="A505" s="288"/>
      <c r="B505" s="288"/>
      <c r="C505" s="288"/>
      <c r="D505" s="152"/>
      <c r="E505" s="289"/>
      <c r="F505" s="289"/>
      <c r="G505" s="152"/>
      <c r="H505" s="152"/>
      <c r="I505" s="152"/>
      <c r="J505" s="152"/>
      <c r="K505" s="289"/>
      <c r="L505" s="289"/>
      <c r="M505" s="152"/>
      <c r="N505" s="152"/>
      <c r="O505" s="156"/>
      <c r="P505" s="152"/>
      <c r="Q505" s="152"/>
      <c r="R505" s="152"/>
      <c r="S505" s="152"/>
      <c r="T505" s="152"/>
      <c r="U505" s="152"/>
      <c r="V505" s="152"/>
      <c r="W505" s="152"/>
      <c r="X505" s="152"/>
      <c r="Y505" s="152"/>
      <c r="Z505" s="281"/>
      <c r="AA505" s="281"/>
      <c r="AB505" s="281"/>
      <c r="AC505" s="281"/>
      <c r="AD505" s="281"/>
      <c r="AE505" s="281"/>
      <c r="AF505" s="282"/>
      <c r="AG505" s="170"/>
      <c r="AH505" s="152"/>
      <c r="AI505" s="152"/>
      <c r="AJ505" s="152"/>
      <c r="AK505" s="152"/>
      <c r="AL505" s="152"/>
      <c r="AM505" s="152"/>
      <c r="AN505" s="152"/>
      <c r="AO505" s="152"/>
      <c r="AP505" s="152"/>
      <c r="AQ505" s="152"/>
      <c r="AR505" s="152"/>
    </row>
    <row r="506" ht="12.75" customHeight="1">
      <c r="A506" s="288"/>
      <c r="B506" s="288"/>
      <c r="C506" s="288"/>
      <c r="D506" s="152"/>
      <c r="E506" s="289"/>
      <c r="F506" s="289"/>
      <c r="G506" s="152"/>
      <c r="H506" s="152"/>
      <c r="I506" s="152"/>
      <c r="J506" s="152"/>
      <c r="K506" s="289"/>
      <c r="L506" s="289"/>
      <c r="M506" s="152"/>
      <c r="N506" s="152"/>
      <c r="O506" s="156"/>
      <c r="P506" s="152"/>
      <c r="Q506" s="152"/>
      <c r="R506" s="152"/>
      <c r="S506" s="152"/>
      <c r="T506" s="152"/>
      <c r="U506" s="152"/>
      <c r="V506" s="152"/>
      <c r="W506" s="152"/>
      <c r="X506" s="152"/>
      <c r="Y506" s="152"/>
      <c r="Z506" s="281"/>
      <c r="AA506" s="281"/>
      <c r="AB506" s="281"/>
      <c r="AC506" s="281"/>
      <c r="AD506" s="281"/>
      <c r="AE506" s="281"/>
      <c r="AF506" s="282"/>
      <c r="AG506" s="170"/>
      <c r="AH506" s="152"/>
      <c r="AI506" s="152"/>
      <c r="AJ506" s="152"/>
      <c r="AK506" s="152"/>
      <c r="AL506" s="152"/>
      <c r="AM506" s="152"/>
      <c r="AN506" s="152"/>
      <c r="AO506" s="152"/>
      <c r="AP506" s="152"/>
      <c r="AQ506" s="152"/>
      <c r="AR506" s="152"/>
    </row>
    <row r="507" ht="12.75" customHeight="1">
      <c r="A507" s="288"/>
      <c r="B507" s="288"/>
      <c r="C507" s="288"/>
      <c r="D507" s="152"/>
      <c r="E507" s="289"/>
      <c r="F507" s="289"/>
      <c r="G507" s="152"/>
      <c r="H507" s="152"/>
      <c r="I507" s="152"/>
      <c r="J507" s="152"/>
      <c r="K507" s="289"/>
      <c r="L507" s="289"/>
      <c r="M507" s="152"/>
      <c r="N507" s="152"/>
      <c r="O507" s="156"/>
      <c r="P507" s="152"/>
      <c r="Q507" s="152"/>
      <c r="R507" s="152"/>
      <c r="S507" s="152"/>
      <c r="T507" s="152"/>
      <c r="U507" s="152"/>
      <c r="V507" s="152"/>
      <c r="W507" s="152"/>
      <c r="X507" s="152"/>
      <c r="Y507" s="152"/>
      <c r="Z507" s="281"/>
      <c r="AA507" s="281"/>
      <c r="AB507" s="281"/>
      <c r="AC507" s="281"/>
      <c r="AD507" s="281"/>
      <c r="AE507" s="281"/>
      <c r="AF507" s="282"/>
      <c r="AG507" s="170"/>
      <c r="AH507" s="152"/>
      <c r="AI507" s="152"/>
      <c r="AJ507" s="152"/>
      <c r="AK507" s="152"/>
      <c r="AL507" s="152"/>
      <c r="AM507" s="152"/>
      <c r="AN507" s="152"/>
      <c r="AO507" s="152"/>
      <c r="AP507" s="152"/>
      <c r="AQ507" s="152"/>
      <c r="AR507" s="152"/>
    </row>
    <row r="508" ht="12.75" customHeight="1">
      <c r="A508" s="288"/>
      <c r="B508" s="288"/>
      <c r="C508" s="288"/>
      <c r="D508" s="152"/>
      <c r="E508" s="289"/>
      <c r="F508" s="289"/>
      <c r="G508" s="152"/>
      <c r="H508" s="152"/>
      <c r="I508" s="152"/>
      <c r="J508" s="152"/>
      <c r="K508" s="289"/>
      <c r="L508" s="289"/>
      <c r="M508" s="152"/>
      <c r="N508" s="152"/>
      <c r="O508" s="156"/>
      <c r="P508" s="152"/>
      <c r="Q508" s="152"/>
      <c r="R508" s="152"/>
      <c r="S508" s="152"/>
      <c r="T508" s="152"/>
      <c r="U508" s="152"/>
      <c r="V508" s="152"/>
      <c r="W508" s="152"/>
      <c r="X508" s="152"/>
      <c r="Y508" s="152"/>
      <c r="Z508" s="281"/>
      <c r="AA508" s="281"/>
      <c r="AB508" s="281"/>
      <c r="AC508" s="281"/>
      <c r="AD508" s="281"/>
      <c r="AE508" s="281"/>
      <c r="AF508" s="282"/>
      <c r="AG508" s="170"/>
      <c r="AH508" s="152"/>
      <c r="AI508" s="152"/>
      <c r="AJ508" s="152"/>
      <c r="AK508" s="152"/>
      <c r="AL508" s="152"/>
      <c r="AM508" s="152"/>
      <c r="AN508" s="152"/>
      <c r="AO508" s="152"/>
      <c r="AP508" s="152"/>
      <c r="AQ508" s="152"/>
      <c r="AR508" s="152"/>
    </row>
    <row r="509" ht="12.75" customHeight="1">
      <c r="A509" s="288"/>
      <c r="B509" s="288"/>
      <c r="C509" s="288"/>
      <c r="D509" s="152"/>
      <c r="E509" s="289"/>
      <c r="F509" s="289"/>
      <c r="G509" s="152"/>
      <c r="H509" s="152"/>
      <c r="I509" s="152"/>
      <c r="J509" s="152"/>
      <c r="K509" s="289"/>
      <c r="L509" s="289"/>
      <c r="M509" s="152"/>
      <c r="N509" s="152"/>
      <c r="O509" s="156"/>
      <c r="P509" s="152"/>
      <c r="Q509" s="152"/>
      <c r="R509" s="152"/>
      <c r="S509" s="152"/>
      <c r="T509" s="152"/>
      <c r="U509" s="152"/>
      <c r="V509" s="152"/>
      <c r="W509" s="152"/>
      <c r="X509" s="152"/>
      <c r="Y509" s="152"/>
      <c r="Z509" s="281"/>
      <c r="AA509" s="281"/>
      <c r="AB509" s="281"/>
      <c r="AC509" s="281"/>
      <c r="AD509" s="281"/>
      <c r="AE509" s="281"/>
      <c r="AF509" s="282"/>
      <c r="AG509" s="170"/>
      <c r="AH509" s="152"/>
      <c r="AI509" s="152"/>
      <c r="AJ509" s="152"/>
      <c r="AK509" s="152"/>
      <c r="AL509" s="152"/>
      <c r="AM509" s="152"/>
      <c r="AN509" s="152"/>
      <c r="AO509" s="152"/>
      <c r="AP509" s="152"/>
      <c r="AQ509" s="152"/>
      <c r="AR509" s="152"/>
    </row>
    <row r="510" ht="12.75" customHeight="1">
      <c r="A510" s="288"/>
      <c r="B510" s="288"/>
      <c r="C510" s="288"/>
      <c r="D510" s="152"/>
      <c r="E510" s="289"/>
      <c r="F510" s="289"/>
      <c r="G510" s="152"/>
      <c r="H510" s="152"/>
      <c r="I510" s="152"/>
      <c r="J510" s="152"/>
      <c r="K510" s="289"/>
      <c r="L510" s="289"/>
      <c r="M510" s="152"/>
      <c r="N510" s="152"/>
      <c r="O510" s="156"/>
      <c r="P510" s="152"/>
      <c r="Q510" s="152"/>
      <c r="R510" s="152"/>
      <c r="S510" s="152"/>
      <c r="T510" s="152"/>
      <c r="U510" s="152"/>
      <c r="V510" s="152"/>
      <c r="W510" s="152"/>
      <c r="X510" s="152"/>
      <c r="Y510" s="152"/>
      <c r="Z510" s="281"/>
      <c r="AA510" s="281"/>
      <c r="AB510" s="281"/>
      <c r="AC510" s="281"/>
      <c r="AD510" s="281"/>
      <c r="AE510" s="281"/>
      <c r="AF510" s="282"/>
      <c r="AG510" s="170"/>
      <c r="AH510" s="152"/>
      <c r="AI510" s="152"/>
      <c r="AJ510" s="152"/>
      <c r="AK510" s="152"/>
      <c r="AL510" s="152"/>
      <c r="AM510" s="152"/>
      <c r="AN510" s="152"/>
      <c r="AO510" s="152"/>
      <c r="AP510" s="152"/>
      <c r="AQ510" s="152"/>
      <c r="AR510" s="152"/>
    </row>
    <row r="511" ht="12.75" customHeight="1">
      <c r="A511" s="288"/>
      <c r="B511" s="288"/>
      <c r="C511" s="288"/>
      <c r="D511" s="152"/>
      <c r="E511" s="289"/>
      <c r="F511" s="289"/>
      <c r="G511" s="152"/>
      <c r="H511" s="152"/>
      <c r="I511" s="152"/>
      <c r="J511" s="152"/>
      <c r="K511" s="289"/>
      <c r="L511" s="289"/>
      <c r="M511" s="152"/>
      <c r="N511" s="152"/>
      <c r="O511" s="156"/>
      <c r="P511" s="152"/>
      <c r="Q511" s="152"/>
      <c r="R511" s="152"/>
      <c r="S511" s="152"/>
      <c r="T511" s="152"/>
      <c r="U511" s="152"/>
      <c r="V511" s="152"/>
      <c r="W511" s="152"/>
      <c r="X511" s="152"/>
      <c r="Y511" s="152"/>
      <c r="Z511" s="281"/>
      <c r="AA511" s="281"/>
      <c r="AB511" s="281"/>
      <c r="AC511" s="281"/>
      <c r="AD511" s="281"/>
      <c r="AE511" s="281"/>
      <c r="AF511" s="282"/>
      <c r="AG511" s="170"/>
      <c r="AH511" s="152"/>
      <c r="AI511" s="152"/>
      <c r="AJ511" s="152"/>
      <c r="AK511" s="152"/>
      <c r="AL511" s="152"/>
      <c r="AM511" s="152"/>
      <c r="AN511" s="152"/>
      <c r="AO511" s="152"/>
      <c r="AP511" s="152"/>
      <c r="AQ511" s="152"/>
      <c r="AR511" s="152"/>
    </row>
    <row r="512" ht="12.75" customHeight="1">
      <c r="A512" s="288"/>
      <c r="B512" s="288"/>
      <c r="C512" s="288"/>
      <c r="D512" s="152"/>
      <c r="E512" s="289"/>
      <c r="F512" s="289"/>
      <c r="G512" s="152"/>
      <c r="H512" s="152"/>
      <c r="I512" s="152"/>
      <c r="J512" s="152"/>
      <c r="K512" s="289"/>
      <c r="L512" s="289"/>
      <c r="M512" s="152"/>
      <c r="N512" s="152"/>
      <c r="O512" s="156"/>
      <c r="P512" s="152"/>
      <c r="Q512" s="152"/>
      <c r="R512" s="152"/>
      <c r="S512" s="152"/>
      <c r="T512" s="152"/>
      <c r="U512" s="152"/>
      <c r="V512" s="152"/>
      <c r="W512" s="152"/>
      <c r="X512" s="152"/>
      <c r="Y512" s="152"/>
      <c r="Z512" s="281"/>
      <c r="AA512" s="281"/>
      <c r="AB512" s="281"/>
      <c r="AC512" s="281"/>
      <c r="AD512" s="281"/>
      <c r="AE512" s="281"/>
      <c r="AF512" s="282"/>
      <c r="AG512" s="170"/>
      <c r="AH512" s="152"/>
      <c r="AI512" s="152"/>
      <c r="AJ512" s="152"/>
      <c r="AK512" s="152"/>
      <c r="AL512" s="152"/>
      <c r="AM512" s="152"/>
      <c r="AN512" s="152"/>
      <c r="AO512" s="152"/>
      <c r="AP512" s="152"/>
      <c r="AQ512" s="152"/>
      <c r="AR512" s="152"/>
    </row>
    <row r="513" ht="12.75" customHeight="1">
      <c r="A513" s="288"/>
      <c r="B513" s="288"/>
      <c r="C513" s="288"/>
      <c r="D513" s="152"/>
      <c r="E513" s="289"/>
      <c r="F513" s="289"/>
      <c r="G513" s="152"/>
      <c r="H513" s="152"/>
      <c r="I513" s="152"/>
      <c r="J513" s="152"/>
      <c r="K513" s="289"/>
      <c r="L513" s="289"/>
      <c r="M513" s="152"/>
      <c r="N513" s="152"/>
      <c r="O513" s="156"/>
      <c r="P513" s="152"/>
      <c r="Q513" s="152"/>
      <c r="R513" s="152"/>
      <c r="S513" s="152"/>
      <c r="T513" s="152"/>
      <c r="U513" s="152"/>
      <c r="V513" s="152"/>
      <c r="W513" s="152"/>
      <c r="X513" s="152"/>
      <c r="Y513" s="152"/>
      <c r="Z513" s="281"/>
      <c r="AA513" s="281"/>
      <c r="AB513" s="281"/>
      <c r="AC513" s="281"/>
      <c r="AD513" s="281"/>
      <c r="AE513" s="281"/>
      <c r="AF513" s="282"/>
      <c r="AG513" s="170"/>
      <c r="AH513" s="152"/>
      <c r="AI513" s="152"/>
      <c r="AJ513" s="152"/>
      <c r="AK513" s="152"/>
      <c r="AL513" s="152"/>
      <c r="AM513" s="152"/>
      <c r="AN513" s="152"/>
      <c r="AO513" s="152"/>
      <c r="AP513" s="152"/>
      <c r="AQ513" s="152"/>
      <c r="AR513" s="152"/>
    </row>
    <row r="514" ht="12.75" customHeight="1">
      <c r="A514" s="288"/>
      <c r="B514" s="288"/>
      <c r="C514" s="288"/>
      <c r="D514" s="152"/>
      <c r="E514" s="289"/>
      <c r="F514" s="289"/>
      <c r="G514" s="152"/>
      <c r="H514" s="152"/>
      <c r="I514" s="152"/>
      <c r="J514" s="152"/>
      <c r="K514" s="289"/>
      <c r="L514" s="289"/>
      <c r="M514" s="152"/>
      <c r="N514" s="152"/>
      <c r="O514" s="156"/>
      <c r="P514" s="152"/>
      <c r="Q514" s="152"/>
      <c r="R514" s="152"/>
      <c r="S514" s="152"/>
      <c r="T514" s="152"/>
      <c r="U514" s="152"/>
      <c r="V514" s="152"/>
      <c r="W514" s="152"/>
      <c r="X514" s="152"/>
      <c r="Y514" s="152"/>
      <c r="Z514" s="281"/>
      <c r="AA514" s="281"/>
      <c r="AB514" s="281"/>
      <c r="AC514" s="281"/>
      <c r="AD514" s="281"/>
      <c r="AE514" s="281"/>
      <c r="AF514" s="282"/>
      <c r="AG514" s="170"/>
      <c r="AH514" s="152"/>
      <c r="AI514" s="152"/>
      <c r="AJ514" s="152"/>
      <c r="AK514" s="152"/>
      <c r="AL514" s="152"/>
      <c r="AM514" s="152"/>
      <c r="AN514" s="152"/>
      <c r="AO514" s="152"/>
      <c r="AP514" s="152"/>
      <c r="AQ514" s="152"/>
      <c r="AR514" s="152"/>
    </row>
    <row r="515" ht="12.75" customHeight="1">
      <c r="A515" s="288"/>
      <c r="B515" s="288"/>
      <c r="C515" s="288"/>
      <c r="D515" s="152"/>
      <c r="E515" s="289"/>
      <c r="F515" s="289"/>
      <c r="G515" s="152"/>
      <c r="H515" s="152"/>
      <c r="I515" s="152"/>
      <c r="J515" s="152"/>
      <c r="K515" s="289"/>
      <c r="L515" s="289"/>
      <c r="M515" s="152"/>
      <c r="N515" s="152"/>
      <c r="O515" s="156"/>
      <c r="P515" s="152"/>
      <c r="Q515" s="152"/>
      <c r="R515" s="152"/>
      <c r="S515" s="152"/>
      <c r="T515" s="152"/>
      <c r="U515" s="152"/>
      <c r="V515" s="152"/>
      <c r="W515" s="152"/>
      <c r="X515" s="152"/>
      <c r="Y515" s="152"/>
      <c r="Z515" s="281"/>
      <c r="AA515" s="281"/>
      <c r="AB515" s="281"/>
      <c r="AC515" s="281"/>
      <c r="AD515" s="281"/>
      <c r="AE515" s="281"/>
      <c r="AF515" s="282"/>
      <c r="AG515" s="170"/>
      <c r="AH515" s="152"/>
      <c r="AI515" s="152"/>
      <c r="AJ515" s="152"/>
      <c r="AK515" s="152"/>
      <c r="AL515" s="152"/>
      <c r="AM515" s="152"/>
      <c r="AN515" s="152"/>
      <c r="AO515" s="152"/>
      <c r="AP515" s="152"/>
      <c r="AQ515" s="152"/>
      <c r="AR515" s="152"/>
    </row>
    <row r="516" ht="12.75" customHeight="1">
      <c r="A516" s="288"/>
      <c r="B516" s="288"/>
      <c r="C516" s="288"/>
      <c r="D516" s="152"/>
      <c r="E516" s="289"/>
      <c r="F516" s="289"/>
      <c r="G516" s="152"/>
      <c r="H516" s="152"/>
      <c r="I516" s="152"/>
      <c r="J516" s="152"/>
      <c r="K516" s="289"/>
      <c r="L516" s="289"/>
      <c r="M516" s="152"/>
      <c r="N516" s="152"/>
      <c r="O516" s="156"/>
      <c r="P516" s="152"/>
      <c r="Q516" s="152"/>
      <c r="R516" s="152"/>
      <c r="S516" s="152"/>
      <c r="T516" s="152"/>
      <c r="U516" s="152"/>
      <c r="V516" s="152"/>
      <c r="W516" s="152"/>
      <c r="X516" s="152"/>
      <c r="Y516" s="152"/>
      <c r="Z516" s="281"/>
      <c r="AA516" s="281"/>
      <c r="AB516" s="281"/>
      <c r="AC516" s="281"/>
      <c r="AD516" s="281"/>
      <c r="AE516" s="281"/>
      <c r="AF516" s="282"/>
      <c r="AG516" s="170"/>
      <c r="AH516" s="152"/>
      <c r="AI516" s="152"/>
      <c r="AJ516" s="152"/>
      <c r="AK516" s="152"/>
      <c r="AL516" s="152"/>
      <c r="AM516" s="152"/>
      <c r="AN516" s="152"/>
      <c r="AO516" s="152"/>
      <c r="AP516" s="152"/>
      <c r="AQ516" s="152"/>
      <c r="AR516" s="152"/>
    </row>
    <row r="517" ht="12.75" customHeight="1">
      <c r="A517" s="288"/>
      <c r="B517" s="288"/>
      <c r="C517" s="288"/>
      <c r="D517" s="152"/>
      <c r="E517" s="289"/>
      <c r="F517" s="289"/>
      <c r="G517" s="152"/>
      <c r="H517" s="152"/>
      <c r="I517" s="152"/>
      <c r="J517" s="152"/>
      <c r="K517" s="289"/>
      <c r="L517" s="289"/>
      <c r="M517" s="152"/>
      <c r="N517" s="152"/>
      <c r="O517" s="156"/>
      <c r="P517" s="152"/>
      <c r="Q517" s="152"/>
      <c r="R517" s="152"/>
      <c r="S517" s="152"/>
      <c r="T517" s="152"/>
      <c r="U517" s="152"/>
      <c r="V517" s="152"/>
      <c r="W517" s="152"/>
      <c r="X517" s="152"/>
      <c r="Y517" s="152"/>
      <c r="Z517" s="281"/>
      <c r="AA517" s="281"/>
      <c r="AB517" s="281"/>
      <c r="AC517" s="281"/>
      <c r="AD517" s="281"/>
      <c r="AE517" s="281"/>
      <c r="AF517" s="282"/>
      <c r="AG517" s="170"/>
      <c r="AH517" s="152"/>
      <c r="AI517" s="152"/>
      <c r="AJ517" s="152"/>
      <c r="AK517" s="152"/>
      <c r="AL517" s="152"/>
      <c r="AM517" s="152"/>
      <c r="AN517" s="152"/>
      <c r="AO517" s="152"/>
      <c r="AP517" s="152"/>
      <c r="AQ517" s="152"/>
      <c r="AR517" s="152"/>
    </row>
    <row r="518" ht="12.75" customHeight="1">
      <c r="A518" s="288"/>
      <c r="B518" s="288"/>
      <c r="C518" s="288"/>
      <c r="D518" s="152"/>
      <c r="E518" s="289"/>
      <c r="F518" s="289"/>
      <c r="G518" s="152"/>
      <c r="H518" s="152"/>
      <c r="I518" s="152"/>
      <c r="J518" s="152"/>
      <c r="K518" s="289"/>
      <c r="L518" s="289"/>
      <c r="M518" s="152"/>
      <c r="N518" s="152"/>
      <c r="O518" s="156"/>
      <c r="P518" s="152"/>
      <c r="Q518" s="152"/>
      <c r="R518" s="152"/>
      <c r="S518" s="152"/>
      <c r="T518" s="152"/>
      <c r="U518" s="152"/>
      <c r="V518" s="152"/>
      <c r="W518" s="152"/>
      <c r="X518" s="152"/>
      <c r="Y518" s="152"/>
      <c r="Z518" s="281"/>
      <c r="AA518" s="281"/>
      <c r="AB518" s="281"/>
      <c r="AC518" s="281"/>
      <c r="AD518" s="281"/>
      <c r="AE518" s="281"/>
      <c r="AF518" s="282"/>
      <c r="AG518" s="170"/>
      <c r="AH518" s="152"/>
      <c r="AI518" s="152"/>
      <c r="AJ518" s="152"/>
      <c r="AK518" s="152"/>
      <c r="AL518" s="152"/>
      <c r="AM518" s="152"/>
      <c r="AN518" s="152"/>
      <c r="AO518" s="152"/>
      <c r="AP518" s="152"/>
      <c r="AQ518" s="152"/>
      <c r="AR518" s="152"/>
    </row>
    <row r="519" ht="12.75" customHeight="1">
      <c r="A519" s="288"/>
      <c r="B519" s="288"/>
      <c r="C519" s="288"/>
      <c r="D519" s="152"/>
      <c r="E519" s="289"/>
      <c r="F519" s="289"/>
      <c r="G519" s="152"/>
      <c r="H519" s="152"/>
      <c r="I519" s="152"/>
      <c r="J519" s="152"/>
      <c r="K519" s="289"/>
      <c r="L519" s="289"/>
      <c r="M519" s="152"/>
      <c r="N519" s="152"/>
      <c r="O519" s="156"/>
      <c r="P519" s="152"/>
      <c r="Q519" s="152"/>
      <c r="R519" s="152"/>
      <c r="S519" s="152"/>
      <c r="T519" s="152"/>
      <c r="U519" s="152"/>
      <c r="V519" s="152"/>
      <c r="W519" s="152"/>
      <c r="X519" s="152"/>
      <c r="Y519" s="152"/>
      <c r="Z519" s="281"/>
      <c r="AA519" s="281"/>
      <c r="AB519" s="281"/>
      <c r="AC519" s="281"/>
      <c r="AD519" s="281"/>
      <c r="AE519" s="281"/>
      <c r="AF519" s="282"/>
      <c r="AG519" s="170"/>
      <c r="AH519" s="152"/>
      <c r="AI519" s="152"/>
      <c r="AJ519" s="152"/>
      <c r="AK519" s="152"/>
      <c r="AL519" s="152"/>
      <c r="AM519" s="152"/>
      <c r="AN519" s="152"/>
      <c r="AO519" s="152"/>
      <c r="AP519" s="152"/>
      <c r="AQ519" s="152"/>
      <c r="AR519" s="152"/>
    </row>
    <row r="520" ht="12.75" customHeight="1">
      <c r="A520" s="288"/>
      <c r="B520" s="288"/>
      <c r="C520" s="288"/>
      <c r="D520" s="152"/>
      <c r="E520" s="289"/>
      <c r="F520" s="289"/>
      <c r="G520" s="152"/>
      <c r="H520" s="152"/>
      <c r="I520" s="152"/>
      <c r="J520" s="152"/>
      <c r="K520" s="289"/>
      <c r="L520" s="289"/>
      <c r="M520" s="152"/>
      <c r="N520" s="152"/>
      <c r="O520" s="156"/>
      <c r="P520" s="152"/>
      <c r="Q520" s="152"/>
      <c r="R520" s="152"/>
      <c r="S520" s="152"/>
      <c r="T520" s="152"/>
      <c r="U520" s="152"/>
      <c r="V520" s="152"/>
      <c r="W520" s="152"/>
      <c r="X520" s="152"/>
      <c r="Y520" s="152"/>
      <c r="Z520" s="281"/>
      <c r="AA520" s="281"/>
      <c r="AB520" s="281"/>
      <c r="AC520" s="281"/>
      <c r="AD520" s="281"/>
      <c r="AE520" s="281"/>
      <c r="AF520" s="282"/>
      <c r="AG520" s="170"/>
      <c r="AH520" s="152"/>
      <c r="AI520" s="152"/>
      <c r="AJ520" s="152"/>
      <c r="AK520" s="152"/>
      <c r="AL520" s="152"/>
      <c r="AM520" s="152"/>
      <c r="AN520" s="152"/>
      <c r="AO520" s="152"/>
      <c r="AP520" s="152"/>
      <c r="AQ520" s="152"/>
      <c r="AR520" s="152"/>
    </row>
    <row r="521" ht="12.75" customHeight="1">
      <c r="A521" s="288"/>
      <c r="B521" s="288"/>
      <c r="C521" s="288"/>
      <c r="D521" s="152"/>
      <c r="E521" s="289"/>
      <c r="F521" s="289"/>
      <c r="G521" s="152"/>
      <c r="H521" s="152"/>
      <c r="I521" s="152"/>
      <c r="J521" s="152"/>
      <c r="K521" s="289"/>
      <c r="L521" s="289"/>
      <c r="M521" s="152"/>
      <c r="N521" s="152"/>
      <c r="O521" s="156"/>
      <c r="P521" s="152"/>
      <c r="Q521" s="152"/>
      <c r="R521" s="152"/>
      <c r="S521" s="152"/>
      <c r="T521" s="152"/>
      <c r="U521" s="152"/>
      <c r="V521" s="152"/>
      <c r="W521" s="152"/>
      <c r="X521" s="152"/>
      <c r="Y521" s="152"/>
      <c r="Z521" s="281"/>
      <c r="AA521" s="281"/>
      <c r="AB521" s="281"/>
      <c r="AC521" s="281"/>
      <c r="AD521" s="281"/>
      <c r="AE521" s="281"/>
      <c r="AF521" s="282"/>
      <c r="AG521" s="170"/>
      <c r="AH521" s="152"/>
      <c r="AI521" s="152"/>
      <c r="AJ521" s="152"/>
      <c r="AK521" s="152"/>
      <c r="AL521" s="152"/>
      <c r="AM521" s="152"/>
      <c r="AN521" s="152"/>
      <c r="AO521" s="152"/>
      <c r="AP521" s="152"/>
      <c r="AQ521" s="152"/>
      <c r="AR521" s="152"/>
    </row>
    <row r="522" ht="12.75" customHeight="1">
      <c r="A522" s="288"/>
      <c r="B522" s="288"/>
      <c r="C522" s="288"/>
      <c r="D522" s="152"/>
      <c r="E522" s="289"/>
      <c r="F522" s="289"/>
      <c r="G522" s="152"/>
      <c r="H522" s="152"/>
      <c r="I522" s="152"/>
      <c r="J522" s="152"/>
      <c r="K522" s="289"/>
      <c r="L522" s="289"/>
      <c r="M522" s="152"/>
      <c r="N522" s="152"/>
      <c r="O522" s="156"/>
      <c r="P522" s="152"/>
      <c r="Q522" s="152"/>
      <c r="R522" s="152"/>
      <c r="S522" s="152"/>
      <c r="T522" s="152"/>
      <c r="U522" s="152"/>
      <c r="V522" s="152"/>
      <c r="W522" s="152"/>
      <c r="X522" s="152"/>
      <c r="Y522" s="152"/>
      <c r="Z522" s="281"/>
      <c r="AA522" s="281"/>
      <c r="AB522" s="281"/>
      <c r="AC522" s="281"/>
      <c r="AD522" s="281"/>
      <c r="AE522" s="281"/>
      <c r="AF522" s="282"/>
      <c r="AG522" s="170"/>
      <c r="AH522" s="152"/>
      <c r="AI522" s="152"/>
      <c r="AJ522" s="152"/>
      <c r="AK522" s="152"/>
      <c r="AL522" s="152"/>
      <c r="AM522" s="152"/>
      <c r="AN522" s="152"/>
      <c r="AO522" s="152"/>
      <c r="AP522" s="152"/>
      <c r="AQ522" s="152"/>
      <c r="AR522" s="152"/>
    </row>
    <row r="523" ht="12.75" customHeight="1">
      <c r="A523" s="288"/>
      <c r="B523" s="288"/>
      <c r="C523" s="288"/>
      <c r="D523" s="152"/>
      <c r="E523" s="289"/>
      <c r="F523" s="289"/>
      <c r="G523" s="152"/>
      <c r="H523" s="152"/>
      <c r="I523" s="152"/>
      <c r="J523" s="152"/>
      <c r="K523" s="289"/>
      <c r="L523" s="289"/>
      <c r="M523" s="152"/>
      <c r="N523" s="152"/>
      <c r="O523" s="156"/>
      <c r="P523" s="152"/>
      <c r="Q523" s="152"/>
      <c r="R523" s="152"/>
      <c r="S523" s="152"/>
      <c r="T523" s="152"/>
      <c r="U523" s="152"/>
      <c r="V523" s="152"/>
      <c r="W523" s="152"/>
      <c r="X523" s="152"/>
      <c r="Y523" s="152"/>
      <c r="Z523" s="281"/>
      <c r="AA523" s="281"/>
      <c r="AB523" s="281"/>
      <c r="AC523" s="281"/>
      <c r="AD523" s="281"/>
      <c r="AE523" s="281"/>
      <c r="AF523" s="282"/>
      <c r="AG523" s="170"/>
      <c r="AH523" s="152"/>
      <c r="AI523" s="152"/>
      <c r="AJ523" s="152"/>
      <c r="AK523" s="152"/>
      <c r="AL523" s="152"/>
      <c r="AM523" s="152"/>
      <c r="AN523" s="152"/>
      <c r="AO523" s="152"/>
      <c r="AP523" s="152"/>
      <c r="AQ523" s="152"/>
      <c r="AR523" s="152"/>
    </row>
    <row r="524" ht="12.75" customHeight="1">
      <c r="A524" s="288"/>
      <c r="B524" s="288"/>
      <c r="C524" s="288"/>
      <c r="D524" s="152"/>
      <c r="E524" s="289"/>
      <c r="F524" s="289"/>
      <c r="G524" s="152"/>
      <c r="H524" s="152"/>
      <c r="I524" s="152"/>
      <c r="J524" s="152"/>
      <c r="K524" s="289"/>
      <c r="L524" s="289"/>
      <c r="M524" s="152"/>
      <c r="N524" s="152"/>
      <c r="O524" s="156"/>
      <c r="P524" s="152"/>
      <c r="Q524" s="152"/>
      <c r="R524" s="152"/>
      <c r="S524" s="152"/>
      <c r="T524" s="152"/>
      <c r="U524" s="152"/>
      <c r="V524" s="152"/>
      <c r="W524" s="152"/>
      <c r="X524" s="152"/>
      <c r="Y524" s="152"/>
      <c r="Z524" s="281"/>
      <c r="AA524" s="281"/>
      <c r="AB524" s="281"/>
      <c r="AC524" s="281"/>
      <c r="AD524" s="281"/>
      <c r="AE524" s="281"/>
      <c r="AF524" s="282"/>
      <c r="AG524" s="170"/>
      <c r="AH524" s="152"/>
      <c r="AI524" s="152"/>
      <c r="AJ524" s="152"/>
      <c r="AK524" s="152"/>
      <c r="AL524" s="152"/>
      <c r="AM524" s="152"/>
      <c r="AN524" s="152"/>
      <c r="AO524" s="152"/>
      <c r="AP524" s="152"/>
      <c r="AQ524" s="152"/>
      <c r="AR524" s="152"/>
    </row>
    <row r="525" ht="12.75" customHeight="1">
      <c r="A525" s="288"/>
      <c r="B525" s="288"/>
      <c r="C525" s="288"/>
      <c r="D525" s="152"/>
      <c r="E525" s="289"/>
      <c r="F525" s="289"/>
      <c r="G525" s="152"/>
      <c r="H525" s="152"/>
      <c r="I525" s="152"/>
      <c r="J525" s="152"/>
      <c r="K525" s="289"/>
      <c r="L525" s="289"/>
      <c r="M525" s="152"/>
      <c r="N525" s="152"/>
      <c r="O525" s="156"/>
      <c r="P525" s="152"/>
      <c r="Q525" s="152"/>
      <c r="R525" s="152"/>
      <c r="S525" s="152"/>
      <c r="T525" s="152"/>
      <c r="U525" s="152"/>
      <c r="V525" s="152"/>
      <c r="W525" s="152"/>
      <c r="X525" s="152"/>
      <c r="Y525" s="152"/>
      <c r="Z525" s="281"/>
      <c r="AA525" s="281"/>
      <c r="AB525" s="281"/>
      <c r="AC525" s="281"/>
      <c r="AD525" s="281"/>
      <c r="AE525" s="281"/>
      <c r="AF525" s="282"/>
      <c r="AG525" s="170"/>
      <c r="AH525" s="152"/>
      <c r="AI525" s="152"/>
      <c r="AJ525" s="152"/>
      <c r="AK525" s="152"/>
      <c r="AL525" s="152"/>
      <c r="AM525" s="152"/>
      <c r="AN525" s="152"/>
      <c r="AO525" s="152"/>
      <c r="AP525" s="152"/>
      <c r="AQ525" s="152"/>
      <c r="AR525" s="152"/>
    </row>
    <row r="526" ht="12.75" customHeight="1">
      <c r="A526" s="288"/>
      <c r="B526" s="288"/>
      <c r="C526" s="288"/>
      <c r="D526" s="152"/>
      <c r="E526" s="289"/>
      <c r="F526" s="289"/>
      <c r="G526" s="152"/>
      <c r="H526" s="152"/>
      <c r="I526" s="152"/>
      <c r="J526" s="152"/>
      <c r="K526" s="289"/>
      <c r="L526" s="289"/>
      <c r="M526" s="152"/>
      <c r="N526" s="152"/>
      <c r="O526" s="156"/>
      <c r="P526" s="152"/>
      <c r="Q526" s="152"/>
      <c r="R526" s="152"/>
      <c r="S526" s="152"/>
      <c r="T526" s="152"/>
      <c r="U526" s="152"/>
      <c r="V526" s="152"/>
      <c r="W526" s="152"/>
      <c r="X526" s="152"/>
      <c r="Y526" s="152"/>
      <c r="Z526" s="281"/>
      <c r="AA526" s="281"/>
      <c r="AB526" s="281"/>
      <c r="AC526" s="281"/>
      <c r="AD526" s="281"/>
      <c r="AE526" s="281"/>
      <c r="AF526" s="282"/>
      <c r="AG526" s="170"/>
      <c r="AH526" s="152"/>
      <c r="AI526" s="152"/>
      <c r="AJ526" s="152"/>
      <c r="AK526" s="152"/>
      <c r="AL526" s="152"/>
      <c r="AM526" s="152"/>
      <c r="AN526" s="152"/>
      <c r="AO526" s="152"/>
      <c r="AP526" s="152"/>
      <c r="AQ526" s="152"/>
      <c r="AR526" s="152"/>
    </row>
    <row r="527" ht="12.75" customHeight="1">
      <c r="A527" s="288"/>
      <c r="B527" s="288"/>
      <c r="C527" s="288"/>
      <c r="D527" s="152"/>
      <c r="E527" s="289"/>
      <c r="F527" s="289"/>
      <c r="G527" s="152"/>
      <c r="H527" s="152"/>
      <c r="I527" s="152"/>
      <c r="J527" s="152"/>
      <c r="K527" s="289"/>
      <c r="L527" s="289"/>
      <c r="M527" s="152"/>
      <c r="N527" s="152"/>
      <c r="O527" s="156"/>
      <c r="P527" s="152"/>
      <c r="Q527" s="152"/>
      <c r="R527" s="152"/>
      <c r="S527" s="152"/>
      <c r="T527" s="152"/>
      <c r="U527" s="152"/>
      <c r="V527" s="152"/>
      <c r="W527" s="152"/>
      <c r="X527" s="152"/>
      <c r="Y527" s="152"/>
      <c r="Z527" s="281"/>
      <c r="AA527" s="281"/>
      <c r="AB527" s="281"/>
      <c r="AC527" s="281"/>
      <c r="AD527" s="281"/>
      <c r="AE527" s="281"/>
      <c r="AF527" s="282"/>
      <c r="AG527" s="170"/>
      <c r="AH527" s="152"/>
      <c r="AI527" s="152"/>
      <c r="AJ527" s="152"/>
      <c r="AK527" s="152"/>
      <c r="AL527" s="152"/>
      <c r="AM527" s="152"/>
      <c r="AN527" s="152"/>
      <c r="AO527" s="152"/>
      <c r="AP527" s="152"/>
      <c r="AQ527" s="152"/>
      <c r="AR527" s="152"/>
    </row>
    <row r="528" ht="12.75" customHeight="1">
      <c r="A528" s="288"/>
      <c r="B528" s="288"/>
      <c r="C528" s="288"/>
      <c r="D528" s="152"/>
      <c r="E528" s="289"/>
      <c r="F528" s="289"/>
      <c r="G528" s="152"/>
      <c r="H528" s="152"/>
      <c r="I528" s="152"/>
      <c r="J528" s="152"/>
      <c r="K528" s="289"/>
      <c r="L528" s="289"/>
      <c r="M528" s="152"/>
      <c r="N528" s="152"/>
      <c r="O528" s="156"/>
      <c r="P528" s="152"/>
      <c r="Q528" s="152"/>
      <c r="R528" s="152"/>
      <c r="S528" s="152"/>
      <c r="T528" s="152"/>
      <c r="U528" s="152"/>
      <c r="V528" s="152"/>
      <c r="W528" s="152"/>
      <c r="X528" s="152"/>
      <c r="Y528" s="152"/>
      <c r="Z528" s="281"/>
      <c r="AA528" s="281"/>
      <c r="AB528" s="281"/>
      <c r="AC528" s="281"/>
      <c r="AD528" s="281"/>
      <c r="AE528" s="281"/>
      <c r="AF528" s="282"/>
      <c r="AG528" s="170"/>
      <c r="AH528" s="152"/>
      <c r="AI528" s="152"/>
      <c r="AJ528" s="152"/>
      <c r="AK528" s="152"/>
      <c r="AL528" s="152"/>
      <c r="AM528" s="152"/>
      <c r="AN528" s="152"/>
      <c r="AO528" s="152"/>
      <c r="AP528" s="152"/>
      <c r="AQ528" s="152"/>
      <c r="AR528" s="152"/>
    </row>
    <row r="529" ht="12.75" customHeight="1">
      <c r="A529" s="288"/>
      <c r="B529" s="288"/>
      <c r="C529" s="288"/>
      <c r="D529" s="152"/>
      <c r="E529" s="289"/>
      <c r="F529" s="289"/>
      <c r="G529" s="152"/>
      <c r="H529" s="152"/>
      <c r="I529" s="152"/>
      <c r="J529" s="152"/>
      <c r="K529" s="289"/>
      <c r="L529" s="289"/>
      <c r="M529" s="152"/>
      <c r="N529" s="152"/>
      <c r="O529" s="156"/>
      <c r="P529" s="152"/>
      <c r="Q529" s="152"/>
      <c r="R529" s="152"/>
      <c r="S529" s="152"/>
      <c r="T529" s="152"/>
      <c r="U529" s="152"/>
      <c r="V529" s="152"/>
      <c r="W529" s="152"/>
      <c r="X529" s="152"/>
      <c r="Y529" s="152"/>
      <c r="Z529" s="281"/>
      <c r="AA529" s="281"/>
      <c r="AB529" s="281"/>
      <c r="AC529" s="281"/>
      <c r="AD529" s="281"/>
      <c r="AE529" s="281"/>
      <c r="AF529" s="282"/>
      <c r="AG529" s="170"/>
      <c r="AH529" s="152"/>
      <c r="AI529" s="152"/>
      <c r="AJ529" s="152"/>
      <c r="AK529" s="152"/>
      <c r="AL529" s="152"/>
      <c r="AM529" s="152"/>
      <c r="AN529" s="152"/>
      <c r="AO529" s="152"/>
      <c r="AP529" s="152"/>
      <c r="AQ529" s="152"/>
      <c r="AR529" s="152"/>
    </row>
    <row r="530" ht="12.75" customHeight="1">
      <c r="A530" s="288"/>
      <c r="B530" s="288"/>
      <c r="C530" s="288"/>
      <c r="D530" s="152"/>
      <c r="E530" s="289"/>
      <c r="F530" s="289"/>
      <c r="G530" s="152"/>
      <c r="H530" s="152"/>
      <c r="I530" s="152"/>
      <c r="J530" s="152"/>
      <c r="K530" s="289"/>
      <c r="L530" s="289"/>
      <c r="M530" s="152"/>
      <c r="N530" s="152"/>
      <c r="O530" s="156"/>
      <c r="P530" s="152"/>
      <c r="Q530" s="152"/>
      <c r="R530" s="152"/>
      <c r="S530" s="152"/>
      <c r="T530" s="152"/>
      <c r="U530" s="152"/>
      <c r="V530" s="152"/>
      <c r="W530" s="152"/>
      <c r="X530" s="152"/>
      <c r="Y530" s="152"/>
      <c r="Z530" s="281"/>
      <c r="AA530" s="281"/>
      <c r="AB530" s="281"/>
      <c r="AC530" s="281"/>
      <c r="AD530" s="281"/>
      <c r="AE530" s="281"/>
      <c r="AF530" s="282"/>
      <c r="AG530" s="170"/>
      <c r="AH530" s="152"/>
      <c r="AI530" s="152"/>
      <c r="AJ530" s="152"/>
      <c r="AK530" s="152"/>
      <c r="AL530" s="152"/>
      <c r="AM530" s="152"/>
      <c r="AN530" s="152"/>
      <c r="AO530" s="152"/>
      <c r="AP530" s="152"/>
      <c r="AQ530" s="152"/>
      <c r="AR530" s="152"/>
    </row>
    <row r="531" ht="12.75" customHeight="1">
      <c r="A531" s="288"/>
      <c r="B531" s="288"/>
      <c r="C531" s="288"/>
      <c r="D531" s="152"/>
      <c r="E531" s="289"/>
      <c r="F531" s="289"/>
      <c r="G531" s="152"/>
      <c r="H531" s="152"/>
      <c r="I531" s="152"/>
      <c r="J531" s="152"/>
      <c r="K531" s="289"/>
      <c r="L531" s="289"/>
      <c r="M531" s="152"/>
      <c r="N531" s="152"/>
      <c r="O531" s="156"/>
      <c r="P531" s="152"/>
      <c r="Q531" s="152"/>
      <c r="R531" s="152"/>
      <c r="S531" s="152"/>
      <c r="T531" s="152"/>
      <c r="U531" s="152"/>
      <c r="V531" s="152"/>
      <c r="W531" s="152"/>
      <c r="X531" s="152"/>
      <c r="Y531" s="152"/>
      <c r="Z531" s="281"/>
      <c r="AA531" s="281"/>
      <c r="AB531" s="281"/>
      <c r="AC531" s="281"/>
      <c r="AD531" s="281"/>
      <c r="AE531" s="281"/>
      <c r="AF531" s="282"/>
      <c r="AG531" s="170"/>
      <c r="AH531" s="152"/>
      <c r="AI531" s="152"/>
      <c r="AJ531" s="152"/>
      <c r="AK531" s="152"/>
      <c r="AL531" s="152"/>
      <c r="AM531" s="152"/>
      <c r="AN531" s="152"/>
      <c r="AO531" s="152"/>
      <c r="AP531" s="152"/>
      <c r="AQ531" s="152"/>
      <c r="AR531" s="152"/>
    </row>
    <row r="532" ht="12.75" customHeight="1">
      <c r="A532" s="288"/>
      <c r="B532" s="288"/>
      <c r="C532" s="288"/>
      <c r="D532" s="152"/>
      <c r="E532" s="289"/>
      <c r="F532" s="289"/>
      <c r="G532" s="152"/>
      <c r="H532" s="152"/>
      <c r="I532" s="152"/>
      <c r="J532" s="152"/>
      <c r="K532" s="289"/>
      <c r="L532" s="289"/>
      <c r="M532" s="152"/>
      <c r="N532" s="152"/>
      <c r="O532" s="156"/>
      <c r="P532" s="152"/>
      <c r="Q532" s="152"/>
      <c r="R532" s="152"/>
      <c r="S532" s="152"/>
      <c r="T532" s="152"/>
      <c r="U532" s="152"/>
      <c r="V532" s="152"/>
      <c r="W532" s="152"/>
      <c r="X532" s="152"/>
      <c r="Y532" s="152"/>
      <c r="Z532" s="281"/>
      <c r="AA532" s="281"/>
      <c r="AB532" s="281"/>
      <c r="AC532" s="281"/>
      <c r="AD532" s="281"/>
      <c r="AE532" s="281"/>
      <c r="AF532" s="282"/>
      <c r="AG532" s="170"/>
      <c r="AH532" s="152"/>
      <c r="AI532" s="152"/>
      <c r="AJ532" s="152"/>
      <c r="AK532" s="152"/>
      <c r="AL532" s="152"/>
      <c r="AM532" s="152"/>
      <c r="AN532" s="152"/>
      <c r="AO532" s="152"/>
      <c r="AP532" s="152"/>
      <c r="AQ532" s="152"/>
      <c r="AR532" s="152"/>
    </row>
    <row r="533" ht="12.75" customHeight="1">
      <c r="A533" s="288"/>
      <c r="B533" s="288"/>
      <c r="C533" s="288"/>
      <c r="D533" s="152"/>
      <c r="E533" s="289"/>
      <c r="F533" s="289"/>
      <c r="G533" s="152"/>
      <c r="H533" s="152"/>
      <c r="I533" s="152"/>
      <c r="J533" s="152"/>
      <c r="K533" s="289"/>
      <c r="L533" s="289"/>
      <c r="M533" s="152"/>
      <c r="N533" s="152"/>
      <c r="O533" s="156"/>
      <c r="P533" s="152"/>
      <c r="Q533" s="152"/>
      <c r="R533" s="152"/>
      <c r="S533" s="152"/>
      <c r="T533" s="152"/>
      <c r="U533" s="152"/>
      <c r="V533" s="152"/>
      <c r="W533" s="152"/>
      <c r="X533" s="152"/>
      <c r="Y533" s="152"/>
      <c r="Z533" s="281"/>
      <c r="AA533" s="281"/>
      <c r="AB533" s="281"/>
      <c r="AC533" s="281"/>
      <c r="AD533" s="281"/>
      <c r="AE533" s="281"/>
      <c r="AF533" s="282"/>
      <c r="AG533" s="170"/>
      <c r="AH533" s="152"/>
      <c r="AI533" s="152"/>
      <c r="AJ533" s="152"/>
      <c r="AK533" s="152"/>
      <c r="AL533" s="152"/>
      <c r="AM533" s="152"/>
      <c r="AN533" s="152"/>
      <c r="AO533" s="152"/>
      <c r="AP533" s="152"/>
      <c r="AQ533" s="152"/>
      <c r="AR533" s="152"/>
    </row>
    <row r="534" ht="12.75" customHeight="1">
      <c r="A534" s="288"/>
      <c r="B534" s="288"/>
      <c r="C534" s="288"/>
      <c r="D534" s="152"/>
      <c r="E534" s="289"/>
      <c r="F534" s="289"/>
      <c r="G534" s="152"/>
      <c r="H534" s="152"/>
      <c r="I534" s="152"/>
      <c r="J534" s="152"/>
      <c r="K534" s="289"/>
      <c r="L534" s="289"/>
      <c r="M534" s="152"/>
      <c r="N534" s="152"/>
      <c r="O534" s="156"/>
      <c r="P534" s="152"/>
      <c r="Q534" s="152"/>
      <c r="R534" s="152"/>
      <c r="S534" s="152"/>
      <c r="T534" s="152"/>
      <c r="U534" s="152"/>
      <c r="V534" s="152"/>
      <c r="W534" s="152"/>
      <c r="X534" s="152"/>
      <c r="Y534" s="152"/>
      <c r="Z534" s="281"/>
      <c r="AA534" s="281"/>
      <c r="AB534" s="281"/>
      <c r="AC534" s="281"/>
      <c r="AD534" s="281"/>
      <c r="AE534" s="281"/>
      <c r="AF534" s="282"/>
      <c r="AG534" s="170"/>
      <c r="AH534" s="152"/>
      <c r="AI534" s="152"/>
      <c r="AJ534" s="152"/>
      <c r="AK534" s="152"/>
      <c r="AL534" s="152"/>
      <c r="AM534" s="152"/>
      <c r="AN534" s="152"/>
      <c r="AO534" s="152"/>
      <c r="AP534" s="152"/>
      <c r="AQ534" s="152"/>
      <c r="AR534" s="152"/>
    </row>
    <row r="535" ht="12.75" customHeight="1">
      <c r="A535" s="288"/>
      <c r="B535" s="288"/>
      <c r="C535" s="288"/>
      <c r="D535" s="152"/>
      <c r="E535" s="289"/>
      <c r="F535" s="289"/>
      <c r="G535" s="152"/>
      <c r="H535" s="152"/>
      <c r="I535" s="152"/>
      <c r="J535" s="152"/>
      <c r="K535" s="289"/>
      <c r="L535" s="289"/>
      <c r="M535" s="152"/>
      <c r="N535" s="152"/>
      <c r="O535" s="156"/>
      <c r="P535" s="152"/>
      <c r="Q535" s="152"/>
      <c r="R535" s="152"/>
      <c r="S535" s="152"/>
      <c r="T535" s="152"/>
      <c r="U535" s="152"/>
      <c r="V535" s="152"/>
      <c r="W535" s="152"/>
      <c r="X535" s="152"/>
      <c r="Y535" s="152"/>
      <c r="Z535" s="281"/>
      <c r="AA535" s="281"/>
      <c r="AB535" s="281"/>
      <c r="AC535" s="281"/>
      <c r="AD535" s="281"/>
      <c r="AE535" s="281"/>
      <c r="AF535" s="282"/>
      <c r="AG535" s="170"/>
      <c r="AH535" s="152"/>
      <c r="AI535" s="152"/>
      <c r="AJ535" s="152"/>
      <c r="AK535" s="152"/>
      <c r="AL535" s="152"/>
      <c r="AM535" s="152"/>
      <c r="AN535" s="152"/>
      <c r="AO535" s="152"/>
      <c r="AP535" s="152"/>
      <c r="AQ535" s="152"/>
      <c r="AR535" s="152"/>
    </row>
    <row r="536" ht="12.75" customHeight="1">
      <c r="A536" s="288"/>
      <c r="B536" s="288"/>
      <c r="C536" s="288"/>
      <c r="D536" s="152"/>
      <c r="E536" s="289"/>
      <c r="F536" s="289"/>
      <c r="G536" s="152"/>
      <c r="H536" s="152"/>
      <c r="I536" s="152"/>
      <c r="J536" s="152"/>
      <c r="K536" s="289"/>
      <c r="L536" s="289"/>
      <c r="M536" s="152"/>
      <c r="N536" s="152"/>
      <c r="O536" s="156"/>
      <c r="P536" s="152"/>
      <c r="Q536" s="152"/>
      <c r="R536" s="152"/>
      <c r="S536" s="152"/>
      <c r="T536" s="152"/>
      <c r="U536" s="152"/>
      <c r="V536" s="152"/>
      <c r="W536" s="152"/>
      <c r="X536" s="152"/>
      <c r="Y536" s="152"/>
      <c r="Z536" s="281"/>
      <c r="AA536" s="281"/>
      <c r="AB536" s="281"/>
      <c r="AC536" s="281"/>
      <c r="AD536" s="281"/>
      <c r="AE536" s="281"/>
      <c r="AF536" s="282"/>
      <c r="AG536" s="170"/>
      <c r="AH536" s="152"/>
      <c r="AI536" s="152"/>
      <c r="AJ536" s="152"/>
      <c r="AK536" s="152"/>
      <c r="AL536" s="152"/>
      <c r="AM536" s="152"/>
      <c r="AN536" s="152"/>
      <c r="AO536" s="152"/>
      <c r="AP536" s="152"/>
      <c r="AQ536" s="152"/>
      <c r="AR536" s="152"/>
    </row>
    <row r="537" ht="12.75" customHeight="1">
      <c r="A537" s="288"/>
      <c r="B537" s="288"/>
      <c r="C537" s="288"/>
      <c r="D537" s="152"/>
      <c r="E537" s="289"/>
      <c r="F537" s="289"/>
      <c r="G537" s="152"/>
      <c r="H537" s="152"/>
      <c r="I537" s="152"/>
      <c r="J537" s="152"/>
      <c r="K537" s="289"/>
      <c r="L537" s="289"/>
      <c r="M537" s="152"/>
      <c r="N537" s="152"/>
      <c r="O537" s="156"/>
      <c r="P537" s="152"/>
      <c r="Q537" s="152"/>
      <c r="R537" s="152"/>
      <c r="S537" s="152"/>
      <c r="T537" s="152"/>
      <c r="U537" s="152"/>
      <c r="V537" s="152"/>
      <c r="W537" s="152"/>
      <c r="X537" s="152"/>
      <c r="Y537" s="152"/>
      <c r="Z537" s="281"/>
      <c r="AA537" s="281"/>
      <c r="AB537" s="281"/>
      <c r="AC537" s="281"/>
      <c r="AD537" s="281"/>
      <c r="AE537" s="281"/>
      <c r="AF537" s="282"/>
      <c r="AG537" s="170"/>
      <c r="AH537" s="152"/>
      <c r="AI537" s="152"/>
      <c r="AJ537" s="152"/>
      <c r="AK537" s="152"/>
      <c r="AL537" s="152"/>
      <c r="AM537" s="152"/>
      <c r="AN537" s="152"/>
      <c r="AO537" s="152"/>
      <c r="AP537" s="152"/>
      <c r="AQ537" s="152"/>
      <c r="AR537" s="152"/>
    </row>
    <row r="538" ht="12.75" customHeight="1">
      <c r="A538" s="288"/>
      <c r="B538" s="288"/>
      <c r="C538" s="288"/>
      <c r="D538" s="152"/>
      <c r="E538" s="289"/>
      <c r="F538" s="289"/>
      <c r="G538" s="152"/>
      <c r="H538" s="152"/>
      <c r="I538" s="152"/>
      <c r="J538" s="152"/>
      <c r="K538" s="289"/>
      <c r="L538" s="289"/>
      <c r="M538" s="152"/>
      <c r="N538" s="152"/>
      <c r="O538" s="156"/>
      <c r="P538" s="152"/>
      <c r="Q538" s="152"/>
      <c r="R538" s="152"/>
      <c r="S538" s="152"/>
      <c r="T538" s="152"/>
      <c r="U538" s="152"/>
      <c r="V538" s="152"/>
      <c r="W538" s="152"/>
      <c r="X538" s="152"/>
      <c r="Y538" s="152"/>
      <c r="Z538" s="281"/>
      <c r="AA538" s="281"/>
      <c r="AB538" s="281"/>
      <c r="AC538" s="281"/>
      <c r="AD538" s="281"/>
      <c r="AE538" s="281"/>
      <c r="AF538" s="282"/>
      <c r="AG538" s="170"/>
      <c r="AH538" s="152"/>
      <c r="AI538" s="152"/>
      <c r="AJ538" s="152"/>
      <c r="AK538" s="152"/>
      <c r="AL538" s="152"/>
      <c r="AM538" s="152"/>
      <c r="AN538" s="152"/>
      <c r="AO538" s="152"/>
      <c r="AP538" s="152"/>
      <c r="AQ538" s="152"/>
      <c r="AR538" s="152"/>
    </row>
    <row r="539" ht="12.75" customHeight="1">
      <c r="A539" s="288"/>
      <c r="B539" s="288"/>
      <c r="C539" s="288"/>
      <c r="D539" s="152"/>
      <c r="E539" s="289"/>
      <c r="F539" s="289"/>
      <c r="G539" s="152"/>
      <c r="H539" s="152"/>
      <c r="I539" s="152"/>
      <c r="J539" s="152"/>
      <c r="K539" s="289"/>
      <c r="L539" s="289"/>
      <c r="M539" s="152"/>
      <c r="N539" s="152"/>
      <c r="O539" s="156"/>
      <c r="P539" s="152"/>
      <c r="Q539" s="152"/>
      <c r="R539" s="152"/>
      <c r="S539" s="152"/>
      <c r="T539" s="152"/>
      <c r="U539" s="152"/>
      <c r="V539" s="152"/>
      <c r="W539" s="152"/>
      <c r="X539" s="152"/>
      <c r="Y539" s="152"/>
      <c r="Z539" s="281"/>
      <c r="AA539" s="281"/>
      <c r="AB539" s="281"/>
      <c r="AC539" s="281"/>
      <c r="AD539" s="281"/>
      <c r="AE539" s="281"/>
      <c r="AF539" s="282"/>
      <c r="AG539" s="170"/>
      <c r="AH539" s="152"/>
      <c r="AI539" s="152"/>
      <c r="AJ539" s="152"/>
      <c r="AK539" s="152"/>
      <c r="AL539" s="152"/>
      <c r="AM539" s="152"/>
      <c r="AN539" s="152"/>
      <c r="AO539" s="152"/>
      <c r="AP539" s="152"/>
      <c r="AQ539" s="152"/>
      <c r="AR539" s="152"/>
    </row>
    <row r="540" ht="12.75" customHeight="1">
      <c r="A540" s="288"/>
      <c r="B540" s="288"/>
      <c r="C540" s="288"/>
      <c r="D540" s="152"/>
      <c r="E540" s="289"/>
      <c r="F540" s="289"/>
      <c r="G540" s="152"/>
      <c r="H540" s="152"/>
      <c r="I540" s="152"/>
      <c r="J540" s="152"/>
      <c r="K540" s="289"/>
      <c r="L540" s="289"/>
      <c r="M540" s="152"/>
      <c r="N540" s="152"/>
      <c r="O540" s="156"/>
      <c r="P540" s="152"/>
      <c r="Q540" s="152"/>
      <c r="R540" s="152"/>
      <c r="S540" s="152"/>
      <c r="T540" s="152"/>
      <c r="U540" s="152"/>
      <c r="V540" s="152"/>
      <c r="W540" s="152"/>
      <c r="X540" s="152"/>
      <c r="Y540" s="152"/>
      <c r="Z540" s="281"/>
      <c r="AA540" s="281"/>
      <c r="AB540" s="281"/>
      <c r="AC540" s="281"/>
      <c r="AD540" s="281"/>
      <c r="AE540" s="281"/>
      <c r="AF540" s="282"/>
      <c r="AG540" s="170"/>
      <c r="AH540" s="152"/>
      <c r="AI540" s="152"/>
      <c r="AJ540" s="152"/>
      <c r="AK540" s="152"/>
      <c r="AL540" s="152"/>
      <c r="AM540" s="152"/>
      <c r="AN540" s="152"/>
      <c r="AO540" s="152"/>
      <c r="AP540" s="152"/>
      <c r="AQ540" s="152"/>
      <c r="AR540" s="152"/>
    </row>
    <row r="541" ht="12.75" customHeight="1">
      <c r="A541" s="288"/>
      <c r="B541" s="288"/>
      <c r="C541" s="288"/>
      <c r="D541" s="152"/>
      <c r="E541" s="289"/>
      <c r="F541" s="289"/>
      <c r="G541" s="152"/>
      <c r="H541" s="152"/>
      <c r="I541" s="152"/>
      <c r="J541" s="152"/>
      <c r="K541" s="289"/>
      <c r="L541" s="289"/>
      <c r="M541" s="152"/>
      <c r="N541" s="152"/>
      <c r="O541" s="156"/>
      <c r="P541" s="152"/>
      <c r="Q541" s="152"/>
      <c r="R541" s="152"/>
      <c r="S541" s="152"/>
      <c r="T541" s="152"/>
      <c r="U541" s="152"/>
      <c r="V541" s="152"/>
      <c r="W541" s="152"/>
      <c r="X541" s="152"/>
      <c r="Y541" s="152"/>
      <c r="Z541" s="281"/>
      <c r="AA541" s="281"/>
      <c r="AB541" s="281"/>
      <c r="AC541" s="281"/>
      <c r="AD541" s="281"/>
      <c r="AE541" s="281"/>
      <c r="AF541" s="282"/>
      <c r="AG541" s="170"/>
      <c r="AH541" s="152"/>
      <c r="AI541" s="152"/>
      <c r="AJ541" s="152"/>
      <c r="AK541" s="152"/>
      <c r="AL541" s="152"/>
      <c r="AM541" s="152"/>
      <c r="AN541" s="152"/>
      <c r="AO541" s="152"/>
      <c r="AP541" s="152"/>
      <c r="AQ541" s="152"/>
      <c r="AR541" s="152"/>
    </row>
    <row r="542" ht="12.75" customHeight="1">
      <c r="A542" s="288"/>
      <c r="B542" s="288"/>
      <c r="C542" s="288"/>
      <c r="D542" s="152"/>
      <c r="E542" s="289"/>
      <c r="F542" s="289"/>
      <c r="G542" s="152"/>
      <c r="H542" s="152"/>
      <c r="I542" s="152"/>
      <c r="J542" s="152"/>
      <c r="K542" s="289"/>
      <c r="L542" s="289"/>
      <c r="M542" s="152"/>
      <c r="N542" s="152"/>
      <c r="O542" s="156"/>
      <c r="P542" s="152"/>
      <c r="Q542" s="152"/>
      <c r="R542" s="152"/>
      <c r="S542" s="152"/>
      <c r="T542" s="152"/>
      <c r="U542" s="152"/>
      <c r="V542" s="152"/>
      <c r="W542" s="152"/>
      <c r="X542" s="152"/>
      <c r="Y542" s="152"/>
      <c r="Z542" s="281"/>
      <c r="AA542" s="281"/>
      <c r="AB542" s="281"/>
      <c r="AC542" s="281"/>
      <c r="AD542" s="281"/>
      <c r="AE542" s="281"/>
      <c r="AF542" s="282"/>
      <c r="AG542" s="170"/>
      <c r="AH542" s="152"/>
      <c r="AI542" s="152"/>
      <c r="AJ542" s="152"/>
      <c r="AK542" s="152"/>
      <c r="AL542" s="152"/>
      <c r="AM542" s="152"/>
      <c r="AN542" s="152"/>
      <c r="AO542" s="152"/>
      <c r="AP542" s="152"/>
      <c r="AQ542" s="152"/>
      <c r="AR542" s="152"/>
    </row>
    <row r="543" ht="12.75" customHeight="1">
      <c r="A543" s="288"/>
      <c r="B543" s="288"/>
      <c r="C543" s="288"/>
      <c r="D543" s="152"/>
      <c r="E543" s="289"/>
      <c r="F543" s="289"/>
      <c r="G543" s="152"/>
      <c r="H543" s="152"/>
      <c r="I543" s="152"/>
      <c r="J543" s="152"/>
      <c r="K543" s="289"/>
      <c r="L543" s="289"/>
      <c r="M543" s="152"/>
      <c r="N543" s="152"/>
      <c r="O543" s="156"/>
      <c r="P543" s="152"/>
      <c r="Q543" s="152"/>
      <c r="R543" s="152"/>
      <c r="S543" s="152"/>
      <c r="T543" s="152"/>
      <c r="U543" s="152"/>
      <c r="V543" s="152"/>
      <c r="W543" s="152"/>
      <c r="X543" s="152"/>
      <c r="Y543" s="152"/>
      <c r="Z543" s="281"/>
      <c r="AA543" s="281"/>
      <c r="AB543" s="281"/>
      <c r="AC543" s="281"/>
      <c r="AD543" s="281"/>
      <c r="AE543" s="281"/>
      <c r="AF543" s="282"/>
      <c r="AG543" s="170"/>
      <c r="AH543" s="152"/>
      <c r="AI543" s="152"/>
      <c r="AJ543" s="152"/>
      <c r="AK543" s="152"/>
      <c r="AL543" s="152"/>
      <c r="AM543" s="152"/>
      <c r="AN543" s="152"/>
      <c r="AO543" s="152"/>
      <c r="AP543" s="152"/>
      <c r="AQ543" s="152"/>
      <c r="AR543" s="152"/>
    </row>
    <row r="544" ht="12.75" customHeight="1">
      <c r="A544" s="288"/>
      <c r="B544" s="288"/>
      <c r="C544" s="288"/>
      <c r="D544" s="152"/>
      <c r="E544" s="289"/>
      <c r="F544" s="289"/>
      <c r="G544" s="152"/>
      <c r="H544" s="152"/>
      <c r="I544" s="152"/>
      <c r="J544" s="152"/>
      <c r="K544" s="289"/>
      <c r="L544" s="289"/>
      <c r="M544" s="152"/>
      <c r="N544" s="152"/>
      <c r="O544" s="156"/>
      <c r="P544" s="152"/>
      <c r="Q544" s="152"/>
      <c r="R544" s="152"/>
      <c r="S544" s="152"/>
      <c r="T544" s="152"/>
      <c r="U544" s="152"/>
      <c r="V544" s="152"/>
      <c r="W544" s="152"/>
      <c r="X544" s="152"/>
      <c r="Y544" s="152"/>
      <c r="Z544" s="281"/>
      <c r="AA544" s="281"/>
      <c r="AB544" s="281"/>
      <c r="AC544" s="281"/>
      <c r="AD544" s="281"/>
      <c r="AE544" s="281"/>
      <c r="AF544" s="282"/>
      <c r="AG544" s="170"/>
      <c r="AH544" s="152"/>
      <c r="AI544" s="152"/>
      <c r="AJ544" s="152"/>
      <c r="AK544" s="152"/>
      <c r="AL544" s="152"/>
      <c r="AM544" s="152"/>
      <c r="AN544" s="152"/>
      <c r="AO544" s="152"/>
      <c r="AP544" s="152"/>
      <c r="AQ544" s="152"/>
      <c r="AR544" s="152"/>
    </row>
    <row r="545" ht="12.75" customHeight="1">
      <c r="A545" s="288"/>
      <c r="B545" s="288"/>
      <c r="C545" s="288"/>
      <c r="D545" s="152"/>
      <c r="E545" s="289"/>
      <c r="F545" s="289"/>
      <c r="G545" s="152"/>
      <c r="H545" s="152"/>
      <c r="I545" s="152"/>
      <c r="J545" s="152"/>
      <c r="K545" s="289"/>
      <c r="L545" s="289"/>
      <c r="M545" s="152"/>
      <c r="N545" s="152"/>
      <c r="O545" s="156"/>
      <c r="P545" s="152"/>
      <c r="Q545" s="152"/>
      <c r="R545" s="152"/>
      <c r="S545" s="152"/>
      <c r="T545" s="152"/>
      <c r="U545" s="152"/>
      <c r="V545" s="152"/>
      <c r="W545" s="152"/>
      <c r="X545" s="152"/>
      <c r="Y545" s="152"/>
      <c r="Z545" s="281"/>
      <c r="AA545" s="281"/>
      <c r="AB545" s="281"/>
      <c r="AC545" s="281"/>
      <c r="AD545" s="281"/>
      <c r="AE545" s="281"/>
      <c r="AF545" s="282"/>
      <c r="AG545" s="170"/>
      <c r="AH545" s="152"/>
      <c r="AI545" s="152"/>
      <c r="AJ545" s="152"/>
      <c r="AK545" s="152"/>
      <c r="AL545" s="152"/>
      <c r="AM545" s="152"/>
      <c r="AN545" s="152"/>
      <c r="AO545" s="152"/>
      <c r="AP545" s="152"/>
      <c r="AQ545" s="152"/>
      <c r="AR545" s="152"/>
    </row>
    <row r="546" ht="12.75" customHeight="1">
      <c r="A546" s="288"/>
      <c r="B546" s="288"/>
      <c r="C546" s="288"/>
      <c r="D546" s="152"/>
      <c r="E546" s="289"/>
      <c r="F546" s="289"/>
      <c r="G546" s="152"/>
      <c r="H546" s="152"/>
      <c r="I546" s="152"/>
      <c r="J546" s="152"/>
      <c r="K546" s="289"/>
      <c r="L546" s="289"/>
      <c r="M546" s="152"/>
      <c r="N546" s="152"/>
      <c r="O546" s="156"/>
      <c r="P546" s="152"/>
      <c r="Q546" s="152"/>
      <c r="R546" s="152"/>
      <c r="S546" s="152"/>
      <c r="T546" s="152"/>
      <c r="U546" s="152"/>
      <c r="V546" s="152"/>
      <c r="W546" s="152"/>
      <c r="X546" s="152"/>
      <c r="Y546" s="152"/>
      <c r="Z546" s="281"/>
      <c r="AA546" s="281"/>
      <c r="AB546" s="281"/>
      <c r="AC546" s="281"/>
      <c r="AD546" s="281"/>
      <c r="AE546" s="281"/>
      <c r="AF546" s="282"/>
      <c r="AG546" s="170"/>
      <c r="AH546" s="152"/>
      <c r="AI546" s="152"/>
      <c r="AJ546" s="152"/>
      <c r="AK546" s="152"/>
      <c r="AL546" s="152"/>
      <c r="AM546" s="152"/>
      <c r="AN546" s="152"/>
      <c r="AO546" s="152"/>
      <c r="AP546" s="152"/>
      <c r="AQ546" s="152"/>
      <c r="AR546" s="152"/>
    </row>
    <row r="547" ht="12.75" customHeight="1">
      <c r="A547" s="288"/>
      <c r="B547" s="288"/>
      <c r="C547" s="288"/>
      <c r="D547" s="152"/>
      <c r="E547" s="289"/>
      <c r="F547" s="289"/>
      <c r="G547" s="152"/>
      <c r="H547" s="152"/>
      <c r="I547" s="152"/>
      <c r="J547" s="152"/>
      <c r="K547" s="289"/>
      <c r="L547" s="289"/>
      <c r="M547" s="152"/>
      <c r="N547" s="152"/>
      <c r="O547" s="156"/>
      <c r="P547" s="152"/>
      <c r="Q547" s="152"/>
      <c r="R547" s="152"/>
      <c r="S547" s="152"/>
      <c r="T547" s="152"/>
      <c r="U547" s="152"/>
      <c r="V547" s="152"/>
      <c r="W547" s="152"/>
      <c r="X547" s="152"/>
      <c r="Y547" s="152"/>
      <c r="Z547" s="281"/>
      <c r="AA547" s="281"/>
      <c r="AB547" s="281"/>
      <c r="AC547" s="281"/>
      <c r="AD547" s="281"/>
      <c r="AE547" s="281"/>
      <c r="AF547" s="282"/>
      <c r="AG547" s="170"/>
      <c r="AH547" s="152"/>
      <c r="AI547" s="152"/>
      <c r="AJ547" s="152"/>
      <c r="AK547" s="152"/>
      <c r="AL547" s="152"/>
      <c r="AM547" s="152"/>
      <c r="AN547" s="152"/>
      <c r="AO547" s="152"/>
      <c r="AP547" s="152"/>
      <c r="AQ547" s="152"/>
      <c r="AR547" s="152"/>
    </row>
    <row r="548" ht="12.75" customHeight="1">
      <c r="A548" s="288"/>
      <c r="B548" s="288"/>
      <c r="C548" s="288"/>
      <c r="D548" s="152"/>
      <c r="E548" s="289"/>
      <c r="F548" s="289"/>
      <c r="G548" s="152"/>
      <c r="H548" s="152"/>
      <c r="I548" s="152"/>
      <c r="J548" s="152"/>
      <c r="K548" s="289"/>
      <c r="L548" s="289"/>
      <c r="M548" s="152"/>
      <c r="N548" s="152"/>
      <c r="O548" s="156"/>
      <c r="P548" s="152"/>
      <c r="Q548" s="152"/>
      <c r="R548" s="152"/>
      <c r="S548" s="152"/>
      <c r="T548" s="152"/>
      <c r="U548" s="152"/>
      <c r="V548" s="152"/>
      <c r="W548" s="152"/>
      <c r="X548" s="152"/>
      <c r="Y548" s="152"/>
      <c r="Z548" s="281"/>
      <c r="AA548" s="281"/>
      <c r="AB548" s="281"/>
      <c r="AC548" s="281"/>
      <c r="AD548" s="281"/>
      <c r="AE548" s="281"/>
      <c r="AF548" s="282"/>
      <c r="AG548" s="170"/>
      <c r="AH548" s="152"/>
      <c r="AI548" s="152"/>
      <c r="AJ548" s="152"/>
      <c r="AK548" s="152"/>
      <c r="AL548" s="152"/>
      <c r="AM548" s="152"/>
      <c r="AN548" s="152"/>
      <c r="AO548" s="152"/>
      <c r="AP548" s="152"/>
      <c r="AQ548" s="152"/>
      <c r="AR548" s="152"/>
    </row>
    <row r="549" ht="12.75" customHeight="1">
      <c r="A549" s="288"/>
      <c r="B549" s="288"/>
      <c r="C549" s="288"/>
      <c r="D549" s="152"/>
      <c r="E549" s="289"/>
      <c r="F549" s="289"/>
      <c r="G549" s="152"/>
      <c r="H549" s="152"/>
      <c r="I549" s="152"/>
      <c r="J549" s="152"/>
      <c r="K549" s="289"/>
      <c r="L549" s="289"/>
      <c r="M549" s="152"/>
      <c r="N549" s="152"/>
      <c r="O549" s="156"/>
      <c r="P549" s="152"/>
      <c r="Q549" s="152"/>
      <c r="R549" s="152"/>
      <c r="S549" s="152"/>
      <c r="T549" s="152"/>
      <c r="U549" s="152"/>
      <c r="V549" s="152"/>
      <c r="W549" s="152"/>
      <c r="X549" s="152"/>
      <c r="Y549" s="152"/>
      <c r="Z549" s="281"/>
      <c r="AA549" s="281"/>
      <c r="AB549" s="281"/>
      <c r="AC549" s="281"/>
      <c r="AD549" s="281"/>
      <c r="AE549" s="281"/>
      <c r="AF549" s="282"/>
      <c r="AG549" s="170"/>
      <c r="AH549" s="152"/>
      <c r="AI549" s="152"/>
      <c r="AJ549" s="152"/>
      <c r="AK549" s="152"/>
      <c r="AL549" s="152"/>
      <c r="AM549" s="152"/>
      <c r="AN549" s="152"/>
      <c r="AO549" s="152"/>
      <c r="AP549" s="152"/>
      <c r="AQ549" s="152"/>
      <c r="AR549" s="152"/>
    </row>
    <row r="550" ht="12.75" customHeight="1">
      <c r="A550" s="288"/>
      <c r="B550" s="288"/>
      <c r="C550" s="288"/>
      <c r="D550" s="152"/>
      <c r="E550" s="289"/>
      <c r="F550" s="289"/>
      <c r="G550" s="152"/>
      <c r="H550" s="152"/>
      <c r="I550" s="152"/>
      <c r="J550" s="152"/>
      <c r="K550" s="289"/>
      <c r="L550" s="289"/>
      <c r="M550" s="152"/>
      <c r="N550" s="152"/>
      <c r="O550" s="156"/>
      <c r="P550" s="152"/>
      <c r="Q550" s="152"/>
      <c r="R550" s="152"/>
      <c r="S550" s="152"/>
      <c r="T550" s="152"/>
      <c r="U550" s="152"/>
      <c r="V550" s="152"/>
      <c r="W550" s="152"/>
      <c r="X550" s="152"/>
      <c r="Y550" s="152"/>
      <c r="Z550" s="281"/>
      <c r="AA550" s="281"/>
      <c r="AB550" s="281"/>
      <c r="AC550" s="281"/>
      <c r="AD550" s="281"/>
      <c r="AE550" s="281"/>
      <c r="AF550" s="282"/>
      <c r="AG550" s="170"/>
      <c r="AH550" s="152"/>
      <c r="AI550" s="152"/>
      <c r="AJ550" s="152"/>
      <c r="AK550" s="152"/>
      <c r="AL550" s="152"/>
      <c r="AM550" s="152"/>
      <c r="AN550" s="152"/>
      <c r="AO550" s="152"/>
      <c r="AP550" s="152"/>
      <c r="AQ550" s="152"/>
      <c r="AR550" s="152"/>
    </row>
    <row r="551" ht="12.75" customHeight="1">
      <c r="A551" s="288"/>
      <c r="B551" s="288"/>
      <c r="C551" s="288"/>
      <c r="D551" s="152"/>
      <c r="E551" s="289"/>
      <c r="F551" s="289"/>
      <c r="G551" s="152"/>
      <c r="H551" s="152"/>
      <c r="I551" s="152"/>
      <c r="J551" s="152"/>
      <c r="K551" s="289"/>
      <c r="L551" s="289"/>
      <c r="M551" s="152"/>
      <c r="N551" s="152"/>
      <c r="O551" s="156"/>
      <c r="P551" s="152"/>
      <c r="Q551" s="152"/>
      <c r="R551" s="152"/>
      <c r="S551" s="152"/>
      <c r="T551" s="152"/>
      <c r="U551" s="152"/>
      <c r="V551" s="152"/>
      <c r="W551" s="152"/>
      <c r="X551" s="152"/>
      <c r="Y551" s="152"/>
      <c r="Z551" s="281"/>
      <c r="AA551" s="281"/>
      <c r="AB551" s="281"/>
      <c r="AC551" s="281"/>
      <c r="AD551" s="281"/>
      <c r="AE551" s="281"/>
      <c r="AF551" s="282"/>
      <c r="AG551" s="170"/>
      <c r="AH551" s="152"/>
      <c r="AI551" s="152"/>
      <c r="AJ551" s="152"/>
      <c r="AK551" s="152"/>
      <c r="AL551" s="152"/>
      <c r="AM551" s="152"/>
      <c r="AN551" s="152"/>
      <c r="AO551" s="152"/>
      <c r="AP551" s="152"/>
      <c r="AQ551" s="152"/>
      <c r="AR551" s="152"/>
    </row>
    <row r="552" ht="12.75" customHeight="1">
      <c r="A552" s="288"/>
      <c r="B552" s="288"/>
      <c r="C552" s="288"/>
      <c r="D552" s="152"/>
      <c r="E552" s="289"/>
      <c r="F552" s="289"/>
      <c r="G552" s="152"/>
      <c r="H552" s="152"/>
      <c r="I552" s="152"/>
      <c r="J552" s="152"/>
      <c r="K552" s="289"/>
      <c r="L552" s="289"/>
      <c r="M552" s="152"/>
      <c r="N552" s="152"/>
      <c r="O552" s="156"/>
      <c r="P552" s="152"/>
      <c r="Q552" s="152"/>
      <c r="R552" s="152"/>
      <c r="S552" s="152"/>
      <c r="T552" s="152"/>
      <c r="U552" s="152"/>
      <c r="V552" s="152"/>
      <c r="W552" s="152"/>
      <c r="X552" s="152"/>
      <c r="Y552" s="152"/>
      <c r="Z552" s="281"/>
      <c r="AA552" s="281"/>
      <c r="AB552" s="281"/>
      <c r="AC552" s="281"/>
      <c r="AD552" s="281"/>
      <c r="AE552" s="281"/>
      <c r="AF552" s="282"/>
      <c r="AG552" s="170"/>
      <c r="AH552" s="152"/>
      <c r="AI552" s="152"/>
      <c r="AJ552" s="152"/>
      <c r="AK552" s="152"/>
      <c r="AL552" s="152"/>
      <c r="AM552" s="152"/>
      <c r="AN552" s="152"/>
      <c r="AO552" s="152"/>
      <c r="AP552" s="152"/>
      <c r="AQ552" s="152"/>
      <c r="AR552" s="152"/>
    </row>
    <row r="553" ht="12.75" customHeight="1">
      <c r="A553" s="288"/>
      <c r="B553" s="288"/>
      <c r="C553" s="288"/>
      <c r="D553" s="152"/>
      <c r="E553" s="289"/>
      <c r="F553" s="289"/>
      <c r="G553" s="152"/>
      <c r="H553" s="152"/>
      <c r="I553" s="152"/>
      <c r="J553" s="152"/>
      <c r="K553" s="289"/>
      <c r="L553" s="289"/>
      <c r="M553" s="152"/>
      <c r="N553" s="152"/>
      <c r="O553" s="156"/>
      <c r="P553" s="152"/>
      <c r="Q553" s="152"/>
      <c r="R553" s="152"/>
      <c r="S553" s="152"/>
      <c r="T553" s="152"/>
      <c r="U553" s="152"/>
      <c r="V553" s="152"/>
      <c r="W553" s="152"/>
      <c r="X553" s="152"/>
      <c r="Y553" s="152"/>
      <c r="Z553" s="281"/>
      <c r="AA553" s="281"/>
      <c r="AB553" s="281"/>
      <c r="AC553" s="281"/>
      <c r="AD553" s="281"/>
      <c r="AE553" s="281"/>
      <c r="AF553" s="282"/>
      <c r="AG553" s="170"/>
      <c r="AH553" s="152"/>
      <c r="AI553" s="152"/>
      <c r="AJ553" s="152"/>
      <c r="AK553" s="152"/>
      <c r="AL553" s="152"/>
      <c r="AM553" s="152"/>
      <c r="AN553" s="152"/>
      <c r="AO553" s="152"/>
      <c r="AP553" s="152"/>
      <c r="AQ553" s="152"/>
      <c r="AR553" s="152"/>
    </row>
    <row r="554" ht="12.75" customHeight="1">
      <c r="A554" s="288"/>
      <c r="B554" s="288"/>
      <c r="C554" s="288"/>
      <c r="D554" s="152"/>
      <c r="E554" s="289"/>
      <c r="F554" s="289"/>
      <c r="G554" s="152"/>
      <c r="H554" s="152"/>
      <c r="I554" s="152"/>
      <c r="J554" s="152"/>
      <c r="K554" s="289"/>
      <c r="L554" s="289"/>
      <c r="M554" s="152"/>
      <c r="N554" s="152"/>
      <c r="O554" s="156"/>
      <c r="P554" s="152"/>
      <c r="Q554" s="152"/>
      <c r="R554" s="152"/>
      <c r="S554" s="152"/>
      <c r="T554" s="152"/>
      <c r="U554" s="152"/>
      <c r="V554" s="152"/>
      <c r="W554" s="152"/>
      <c r="X554" s="152"/>
      <c r="Y554" s="152"/>
      <c r="Z554" s="281"/>
      <c r="AA554" s="281"/>
      <c r="AB554" s="281"/>
      <c r="AC554" s="281"/>
      <c r="AD554" s="281"/>
      <c r="AE554" s="281"/>
      <c r="AF554" s="282"/>
      <c r="AG554" s="170"/>
      <c r="AH554" s="152"/>
      <c r="AI554" s="152"/>
      <c r="AJ554" s="152"/>
      <c r="AK554" s="152"/>
      <c r="AL554" s="152"/>
      <c r="AM554" s="152"/>
      <c r="AN554" s="152"/>
      <c r="AO554" s="152"/>
      <c r="AP554" s="152"/>
      <c r="AQ554" s="152"/>
      <c r="AR554" s="152"/>
    </row>
    <row r="555" ht="12.75" customHeight="1">
      <c r="A555" s="288"/>
      <c r="B555" s="288"/>
      <c r="C555" s="288"/>
      <c r="D555" s="152"/>
      <c r="E555" s="289"/>
      <c r="F555" s="289"/>
      <c r="G555" s="152"/>
      <c r="H555" s="152"/>
      <c r="I555" s="152"/>
      <c r="J555" s="152"/>
      <c r="K555" s="289"/>
      <c r="L555" s="289"/>
      <c r="M555" s="152"/>
      <c r="N555" s="152"/>
      <c r="O555" s="156"/>
      <c r="P555" s="152"/>
      <c r="Q555" s="152"/>
      <c r="R555" s="152"/>
      <c r="S555" s="152"/>
      <c r="T555" s="152"/>
      <c r="U555" s="152"/>
      <c r="V555" s="152"/>
      <c r="W555" s="152"/>
      <c r="X555" s="152"/>
      <c r="Y555" s="152"/>
      <c r="Z555" s="281"/>
      <c r="AA555" s="281"/>
      <c r="AB555" s="281"/>
      <c r="AC555" s="281"/>
      <c r="AD555" s="281"/>
      <c r="AE555" s="281"/>
      <c r="AF555" s="282"/>
      <c r="AG555" s="170"/>
      <c r="AH555" s="152"/>
      <c r="AI555" s="152"/>
      <c r="AJ555" s="152"/>
      <c r="AK555" s="152"/>
      <c r="AL555" s="152"/>
      <c r="AM555" s="152"/>
      <c r="AN555" s="152"/>
      <c r="AO555" s="152"/>
      <c r="AP555" s="152"/>
      <c r="AQ555" s="152"/>
      <c r="AR555" s="152"/>
    </row>
    <row r="556" ht="12.75" customHeight="1">
      <c r="A556" s="288"/>
      <c r="B556" s="288"/>
      <c r="C556" s="288"/>
      <c r="D556" s="152"/>
      <c r="E556" s="289"/>
      <c r="F556" s="289"/>
      <c r="G556" s="152"/>
      <c r="H556" s="152"/>
      <c r="I556" s="152"/>
      <c r="J556" s="152"/>
      <c r="K556" s="289"/>
      <c r="L556" s="289"/>
      <c r="M556" s="152"/>
      <c r="N556" s="152"/>
      <c r="O556" s="156"/>
      <c r="P556" s="152"/>
      <c r="Q556" s="152"/>
      <c r="R556" s="152"/>
      <c r="S556" s="152"/>
      <c r="T556" s="152"/>
      <c r="U556" s="152"/>
      <c r="V556" s="152"/>
      <c r="W556" s="152"/>
      <c r="X556" s="152"/>
      <c r="Y556" s="152"/>
      <c r="Z556" s="281"/>
      <c r="AA556" s="281"/>
      <c r="AB556" s="281"/>
      <c r="AC556" s="281"/>
      <c r="AD556" s="281"/>
      <c r="AE556" s="281"/>
      <c r="AF556" s="282"/>
      <c r="AG556" s="170"/>
      <c r="AH556" s="152"/>
      <c r="AI556" s="152"/>
      <c r="AJ556" s="152"/>
      <c r="AK556" s="152"/>
      <c r="AL556" s="152"/>
      <c r="AM556" s="152"/>
      <c r="AN556" s="152"/>
      <c r="AO556" s="152"/>
      <c r="AP556" s="152"/>
      <c r="AQ556" s="152"/>
      <c r="AR556" s="152"/>
    </row>
    <row r="557" ht="12.75" customHeight="1">
      <c r="A557" s="288"/>
      <c r="B557" s="288"/>
      <c r="C557" s="288"/>
      <c r="D557" s="152"/>
      <c r="E557" s="289"/>
      <c r="F557" s="289"/>
      <c r="G557" s="152"/>
      <c r="H557" s="152"/>
      <c r="I557" s="152"/>
      <c r="J557" s="152"/>
      <c r="K557" s="289"/>
      <c r="L557" s="289"/>
      <c r="M557" s="152"/>
      <c r="N557" s="152"/>
      <c r="O557" s="156"/>
      <c r="P557" s="152"/>
      <c r="Q557" s="152"/>
      <c r="R557" s="152"/>
      <c r="S557" s="152"/>
      <c r="T557" s="152"/>
      <c r="U557" s="152"/>
      <c r="V557" s="152"/>
      <c r="W557" s="152"/>
      <c r="X557" s="152"/>
      <c r="Y557" s="152"/>
      <c r="Z557" s="281"/>
      <c r="AA557" s="281"/>
      <c r="AB557" s="281"/>
      <c r="AC557" s="281"/>
      <c r="AD557" s="281"/>
      <c r="AE557" s="281"/>
      <c r="AF557" s="282"/>
      <c r="AG557" s="170"/>
      <c r="AH557" s="152"/>
      <c r="AI557" s="152"/>
      <c r="AJ557" s="152"/>
      <c r="AK557" s="152"/>
      <c r="AL557" s="152"/>
      <c r="AM557" s="152"/>
      <c r="AN557" s="152"/>
      <c r="AO557" s="152"/>
      <c r="AP557" s="152"/>
      <c r="AQ557" s="152"/>
      <c r="AR557" s="152"/>
    </row>
    <row r="558" ht="12.75" customHeight="1">
      <c r="A558" s="288"/>
      <c r="B558" s="288"/>
      <c r="C558" s="288"/>
      <c r="D558" s="152"/>
      <c r="E558" s="289"/>
      <c r="F558" s="289"/>
      <c r="G558" s="152"/>
      <c r="H558" s="152"/>
      <c r="I558" s="152"/>
      <c r="J558" s="152"/>
      <c r="K558" s="289"/>
      <c r="L558" s="289"/>
      <c r="M558" s="152"/>
      <c r="N558" s="152"/>
      <c r="O558" s="156"/>
      <c r="P558" s="152"/>
      <c r="Q558" s="152"/>
      <c r="R558" s="152"/>
      <c r="S558" s="152"/>
      <c r="T558" s="152"/>
      <c r="U558" s="152"/>
      <c r="V558" s="152"/>
      <c r="W558" s="152"/>
      <c r="X558" s="152"/>
      <c r="Y558" s="152"/>
      <c r="Z558" s="281"/>
      <c r="AA558" s="281"/>
      <c r="AB558" s="281"/>
      <c r="AC558" s="281"/>
      <c r="AD558" s="281"/>
      <c r="AE558" s="281"/>
      <c r="AF558" s="282"/>
      <c r="AG558" s="170"/>
      <c r="AH558" s="152"/>
      <c r="AI558" s="152"/>
      <c r="AJ558" s="152"/>
      <c r="AK558" s="152"/>
      <c r="AL558" s="152"/>
      <c r="AM558" s="152"/>
      <c r="AN558" s="152"/>
      <c r="AO558" s="152"/>
      <c r="AP558" s="152"/>
      <c r="AQ558" s="152"/>
      <c r="AR558" s="152"/>
    </row>
    <row r="559" ht="12.75" customHeight="1">
      <c r="A559" s="288"/>
      <c r="B559" s="288"/>
      <c r="C559" s="288"/>
      <c r="D559" s="152"/>
      <c r="E559" s="289"/>
      <c r="F559" s="289"/>
      <c r="G559" s="152"/>
      <c r="H559" s="152"/>
      <c r="I559" s="152"/>
      <c r="J559" s="152"/>
      <c r="K559" s="289"/>
      <c r="L559" s="289"/>
      <c r="M559" s="152"/>
      <c r="N559" s="152"/>
      <c r="O559" s="156"/>
      <c r="P559" s="152"/>
      <c r="Q559" s="152"/>
      <c r="R559" s="152"/>
      <c r="S559" s="152"/>
      <c r="T559" s="152"/>
      <c r="U559" s="152"/>
      <c r="V559" s="152"/>
      <c r="W559" s="152"/>
      <c r="X559" s="152"/>
      <c r="Y559" s="152"/>
      <c r="Z559" s="281"/>
      <c r="AA559" s="281"/>
      <c r="AB559" s="281"/>
      <c r="AC559" s="281"/>
      <c r="AD559" s="281"/>
      <c r="AE559" s="281"/>
      <c r="AF559" s="282"/>
      <c r="AG559" s="170"/>
      <c r="AH559" s="152"/>
      <c r="AI559" s="152"/>
      <c r="AJ559" s="152"/>
      <c r="AK559" s="152"/>
      <c r="AL559" s="152"/>
      <c r="AM559" s="152"/>
      <c r="AN559" s="152"/>
      <c r="AO559" s="152"/>
      <c r="AP559" s="152"/>
      <c r="AQ559" s="152"/>
      <c r="AR559" s="152"/>
    </row>
    <row r="560" ht="12.75" customHeight="1">
      <c r="A560" s="288"/>
      <c r="B560" s="288"/>
      <c r="C560" s="288"/>
      <c r="D560" s="152"/>
      <c r="E560" s="289"/>
      <c r="F560" s="289"/>
      <c r="G560" s="152"/>
      <c r="H560" s="152"/>
      <c r="I560" s="152"/>
      <c r="J560" s="152"/>
      <c r="K560" s="289"/>
      <c r="L560" s="289"/>
      <c r="M560" s="152"/>
      <c r="N560" s="152"/>
      <c r="O560" s="156"/>
      <c r="P560" s="152"/>
      <c r="Q560" s="152"/>
      <c r="R560" s="152"/>
      <c r="S560" s="152"/>
      <c r="T560" s="152"/>
      <c r="U560" s="152"/>
      <c r="V560" s="152"/>
      <c r="W560" s="152"/>
      <c r="X560" s="152"/>
      <c r="Y560" s="152"/>
      <c r="Z560" s="281"/>
      <c r="AA560" s="281"/>
      <c r="AB560" s="281"/>
      <c r="AC560" s="281"/>
      <c r="AD560" s="281"/>
      <c r="AE560" s="281"/>
      <c r="AF560" s="282"/>
      <c r="AG560" s="170"/>
      <c r="AH560" s="152"/>
      <c r="AI560" s="152"/>
      <c r="AJ560" s="152"/>
      <c r="AK560" s="152"/>
      <c r="AL560" s="152"/>
      <c r="AM560" s="152"/>
      <c r="AN560" s="152"/>
      <c r="AO560" s="152"/>
      <c r="AP560" s="152"/>
      <c r="AQ560" s="152"/>
      <c r="AR560" s="152"/>
    </row>
    <row r="561" ht="12.75" customHeight="1">
      <c r="A561" s="288"/>
      <c r="B561" s="288"/>
      <c r="C561" s="288"/>
      <c r="D561" s="152"/>
      <c r="E561" s="289"/>
      <c r="F561" s="289"/>
      <c r="G561" s="152"/>
      <c r="H561" s="152"/>
      <c r="I561" s="152"/>
      <c r="J561" s="152"/>
      <c r="K561" s="289"/>
      <c r="L561" s="289"/>
      <c r="M561" s="152"/>
      <c r="N561" s="152"/>
      <c r="O561" s="156"/>
      <c r="P561" s="152"/>
      <c r="Q561" s="152"/>
      <c r="R561" s="152"/>
      <c r="S561" s="152"/>
      <c r="T561" s="152"/>
      <c r="U561" s="152"/>
      <c r="V561" s="152"/>
      <c r="W561" s="152"/>
      <c r="X561" s="152"/>
      <c r="Y561" s="152"/>
      <c r="Z561" s="281"/>
      <c r="AA561" s="281"/>
      <c r="AB561" s="281"/>
      <c r="AC561" s="281"/>
      <c r="AD561" s="281"/>
      <c r="AE561" s="281"/>
      <c r="AF561" s="282"/>
      <c r="AG561" s="170"/>
      <c r="AH561" s="152"/>
      <c r="AI561" s="152"/>
      <c r="AJ561" s="152"/>
      <c r="AK561" s="152"/>
      <c r="AL561" s="152"/>
      <c r="AM561" s="152"/>
      <c r="AN561" s="152"/>
      <c r="AO561" s="152"/>
      <c r="AP561" s="152"/>
      <c r="AQ561" s="152"/>
      <c r="AR561" s="152"/>
    </row>
    <row r="562" ht="12.75" customHeight="1">
      <c r="A562" s="288"/>
      <c r="B562" s="288"/>
      <c r="C562" s="288"/>
      <c r="D562" s="152"/>
      <c r="E562" s="289"/>
      <c r="F562" s="289"/>
      <c r="G562" s="152"/>
      <c r="H562" s="152"/>
      <c r="I562" s="152"/>
      <c r="J562" s="152"/>
      <c r="K562" s="289"/>
      <c r="L562" s="289"/>
      <c r="M562" s="152"/>
      <c r="N562" s="152"/>
      <c r="O562" s="156"/>
      <c r="P562" s="152"/>
      <c r="Q562" s="152"/>
      <c r="R562" s="152"/>
      <c r="S562" s="152"/>
      <c r="T562" s="152"/>
      <c r="U562" s="152"/>
      <c r="V562" s="152"/>
      <c r="W562" s="152"/>
      <c r="X562" s="152"/>
      <c r="Y562" s="152"/>
      <c r="Z562" s="281"/>
      <c r="AA562" s="281"/>
      <c r="AB562" s="281"/>
      <c r="AC562" s="281"/>
      <c r="AD562" s="281"/>
      <c r="AE562" s="281"/>
      <c r="AF562" s="282"/>
      <c r="AG562" s="170"/>
      <c r="AH562" s="152"/>
      <c r="AI562" s="152"/>
      <c r="AJ562" s="152"/>
      <c r="AK562" s="152"/>
      <c r="AL562" s="152"/>
      <c r="AM562" s="152"/>
      <c r="AN562" s="152"/>
      <c r="AO562" s="152"/>
      <c r="AP562" s="152"/>
      <c r="AQ562" s="152"/>
      <c r="AR562" s="152"/>
    </row>
    <row r="563" ht="12.75" customHeight="1">
      <c r="A563" s="288"/>
      <c r="B563" s="288"/>
      <c r="C563" s="288"/>
      <c r="D563" s="152"/>
      <c r="E563" s="289"/>
      <c r="F563" s="289"/>
      <c r="G563" s="152"/>
      <c r="H563" s="152"/>
      <c r="I563" s="152"/>
      <c r="J563" s="152"/>
      <c r="K563" s="289"/>
      <c r="L563" s="289"/>
      <c r="M563" s="152"/>
      <c r="N563" s="152"/>
      <c r="O563" s="156"/>
      <c r="P563" s="152"/>
      <c r="Q563" s="152"/>
      <c r="R563" s="152"/>
      <c r="S563" s="152"/>
      <c r="T563" s="152"/>
      <c r="U563" s="152"/>
      <c r="V563" s="152"/>
      <c r="W563" s="152"/>
      <c r="X563" s="152"/>
      <c r="Y563" s="152"/>
      <c r="Z563" s="281"/>
      <c r="AA563" s="281"/>
      <c r="AB563" s="281"/>
      <c r="AC563" s="281"/>
      <c r="AD563" s="281"/>
      <c r="AE563" s="281"/>
      <c r="AF563" s="282"/>
      <c r="AG563" s="170"/>
      <c r="AH563" s="152"/>
      <c r="AI563" s="152"/>
      <c r="AJ563" s="152"/>
      <c r="AK563" s="152"/>
      <c r="AL563" s="152"/>
      <c r="AM563" s="152"/>
      <c r="AN563" s="152"/>
      <c r="AO563" s="152"/>
      <c r="AP563" s="152"/>
      <c r="AQ563" s="152"/>
      <c r="AR563" s="152"/>
    </row>
    <row r="564" ht="12.75" customHeight="1">
      <c r="A564" s="288"/>
      <c r="B564" s="288"/>
      <c r="C564" s="288"/>
      <c r="D564" s="152"/>
      <c r="E564" s="289"/>
      <c r="F564" s="289"/>
      <c r="G564" s="152"/>
      <c r="H564" s="152"/>
      <c r="I564" s="152"/>
      <c r="J564" s="152"/>
      <c r="K564" s="289"/>
      <c r="L564" s="289"/>
      <c r="M564" s="152"/>
      <c r="N564" s="152"/>
      <c r="O564" s="156"/>
      <c r="P564" s="152"/>
      <c r="Q564" s="152"/>
      <c r="R564" s="152"/>
      <c r="S564" s="152"/>
      <c r="T564" s="152"/>
      <c r="U564" s="152"/>
      <c r="V564" s="152"/>
      <c r="W564" s="152"/>
      <c r="X564" s="152"/>
      <c r="Y564" s="152"/>
      <c r="Z564" s="281"/>
      <c r="AA564" s="281"/>
      <c r="AB564" s="281"/>
      <c r="AC564" s="281"/>
      <c r="AD564" s="281"/>
      <c r="AE564" s="281"/>
      <c r="AF564" s="282"/>
      <c r="AG564" s="170"/>
      <c r="AH564" s="152"/>
      <c r="AI564" s="152"/>
      <c r="AJ564" s="152"/>
      <c r="AK564" s="152"/>
      <c r="AL564" s="152"/>
      <c r="AM564" s="152"/>
      <c r="AN564" s="152"/>
      <c r="AO564" s="152"/>
      <c r="AP564" s="152"/>
      <c r="AQ564" s="152"/>
      <c r="AR564" s="152"/>
    </row>
    <row r="565" ht="12.75" customHeight="1">
      <c r="A565" s="288"/>
      <c r="B565" s="288"/>
      <c r="C565" s="288"/>
      <c r="D565" s="152"/>
      <c r="E565" s="289"/>
      <c r="F565" s="289"/>
      <c r="G565" s="152"/>
      <c r="H565" s="152"/>
      <c r="I565" s="152"/>
      <c r="J565" s="152"/>
      <c r="K565" s="289"/>
      <c r="L565" s="289"/>
      <c r="M565" s="152"/>
      <c r="N565" s="152"/>
      <c r="O565" s="156"/>
      <c r="P565" s="152"/>
      <c r="Q565" s="152"/>
      <c r="R565" s="152"/>
      <c r="S565" s="152"/>
      <c r="T565" s="152"/>
      <c r="U565" s="152"/>
      <c r="V565" s="152"/>
      <c r="W565" s="152"/>
      <c r="X565" s="152"/>
      <c r="Y565" s="152"/>
      <c r="Z565" s="281"/>
      <c r="AA565" s="281"/>
      <c r="AB565" s="281"/>
      <c r="AC565" s="281"/>
      <c r="AD565" s="281"/>
      <c r="AE565" s="281"/>
      <c r="AF565" s="282"/>
      <c r="AG565" s="170"/>
      <c r="AH565" s="152"/>
      <c r="AI565" s="152"/>
      <c r="AJ565" s="152"/>
      <c r="AK565" s="152"/>
      <c r="AL565" s="152"/>
      <c r="AM565" s="152"/>
      <c r="AN565" s="152"/>
      <c r="AO565" s="152"/>
      <c r="AP565" s="152"/>
      <c r="AQ565" s="152"/>
      <c r="AR565" s="152"/>
    </row>
    <row r="566" ht="12.75" customHeight="1">
      <c r="A566" s="288"/>
      <c r="B566" s="288"/>
      <c r="C566" s="288"/>
      <c r="D566" s="152"/>
      <c r="E566" s="289"/>
      <c r="F566" s="289"/>
      <c r="G566" s="152"/>
      <c r="H566" s="152"/>
      <c r="I566" s="152"/>
      <c r="J566" s="152"/>
      <c r="K566" s="289"/>
      <c r="L566" s="289"/>
      <c r="M566" s="152"/>
      <c r="N566" s="152"/>
      <c r="O566" s="156"/>
      <c r="P566" s="152"/>
      <c r="Q566" s="152"/>
      <c r="R566" s="152"/>
      <c r="S566" s="152"/>
      <c r="T566" s="152"/>
      <c r="U566" s="152"/>
      <c r="V566" s="152"/>
      <c r="W566" s="152"/>
      <c r="X566" s="152"/>
      <c r="Y566" s="152"/>
      <c r="Z566" s="281"/>
      <c r="AA566" s="281"/>
      <c r="AB566" s="281"/>
      <c r="AC566" s="281"/>
      <c r="AD566" s="281"/>
      <c r="AE566" s="281"/>
      <c r="AF566" s="282"/>
      <c r="AG566" s="170"/>
      <c r="AH566" s="152"/>
      <c r="AI566" s="152"/>
      <c r="AJ566" s="152"/>
      <c r="AK566" s="152"/>
      <c r="AL566" s="152"/>
      <c r="AM566" s="152"/>
      <c r="AN566" s="152"/>
      <c r="AO566" s="152"/>
      <c r="AP566" s="152"/>
      <c r="AQ566" s="152"/>
      <c r="AR566" s="152"/>
    </row>
    <row r="567" ht="12.75" customHeight="1">
      <c r="A567" s="288"/>
      <c r="B567" s="288"/>
      <c r="C567" s="288"/>
      <c r="D567" s="152"/>
      <c r="E567" s="289"/>
      <c r="F567" s="289"/>
      <c r="G567" s="152"/>
      <c r="H567" s="152"/>
      <c r="I567" s="152"/>
      <c r="J567" s="152"/>
      <c r="K567" s="289"/>
      <c r="L567" s="289"/>
      <c r="M567" s="152"/>
      <c r="N567" s="152"/>
      <c r="O567" s="156"/>
      <c r="P567" s="152"/>
      <c r="Q567" s="152"/>
      <c r="R567" s="152"/>
      <c r="S567" s="152"/>
      <c r="T567" s="152"/>
      <c r="U567" s="152"/>
      <c r="V567" s="152"/>
      <c r="W567" s="152"/>
      <c r="X567" s="152"/>
      <c r="Y567" s="152"/>
      <c r="Z567" s="281"/>
      <c r="AA567" s="281"/>
      <c r="AB567" s="281"/>
      <c r="AC567" s="281"/>
      <c r="AD567" s="281"/>
      <c r="AE567" s="281"/>
      <c r="AF567" s="282"/>
      <c r="AG567" s="170"/>
      <c r="AH567" s="152"/>
      <c r="AI567" s="152"/>
      <c r="AJ567" s="152"/>
      <c r="AK567" s="152"/>
      <c r="AL567" s="152"/>
      <c r="AM567" s="152"/>
      <c r="AN567" s="152"/>
      <c r="AO567" s="152"/>
      <c r="AP567" s="152"/>
      <c r="AQ567" s="152"/>
      <c r="AR567" s="152"/>
    </row>
    <row r="568" ht="12.75" customHeight="1">
      <c r="A568" s="288"/>
      <c r="B568" s="288"/>
      <c r="C568" s="288"/>
      <c r="D568" s="152"/>
      <c r="E568" s="289"/>
      <c r="F568" s="289"/>
      <c r="G568" s="152"/>
      <c r="H568" s="152"/>
      <c r="I568" s="152"/>
      <c r="J568" s="152"/>
      <c r="K568" s="289"/>
      <c r="L568" s="289"/>
      <c r="M568" s="152"/>
      <c r="N568" s="152"/>
      <c r="O568" s="156"/>
      <c r="P568" s="152"/>
      <c r="Q568" s="152"/>
      <c r="R568" s="152"/>
      <c r="S568" s="152"/>
      <c r="T568" s="152"/>
      <c r="U568" s="152"/>
      <c r="V568" s="152"/>
      <c r="W568" s="152"/>
      <c r="X568" s="152"/>
      <c r="Y568" s="152"/>
      <c r="Z568" s="281"/>
      <c r="AA568" s="281"/>
      <c r="AB568" s="281"/>
      <c r="AC568" s="281"/>
      <c r="AD568" s="281"/>
      <c r="AE568" s="281"/>
      <c r="AF568" s="282"/>
      <c r="AG568" s="170"/>
      <c r="AH568" s="152"/>
      <c r="AI568" s="152"/>
      <c r="AJ568" s="152"/>
      <c r="AK568" s="152"/>
      <c r="AL568" s="152"/>
      <c r="AM568" s="152"/>
      <c r="AN568" s="152"/>
      <c r="AO568" s="152"/>
      <c r="AP568" s="152"/>
      <c r="AQ568" s="152"/>
      <c r="AR568" s="152"/>
    </row>
    <row r="569" ht="12.75" customHeight="1">
      <c r="A569" s="288"/>
      <c r="B569" s="288"/>
      <c r="C569" s="288"/>
      <c r="D569" s="152"/>
      <c r="E569" s="289"/>
      <c r="F569" s="289"/>
      <c r="G569" s="152"/>
      <c r="H569" s="152"/>
      <c r="I569" s="152"/>
      <c r="J569" s="152"/>
      <c r="K569" s="289"/>
      <c r="L569" s="289"/>
      <c r="M569" s="152"/>
      <c r="N569" s="152"/>
      <c r="O569" s="156"/>
      <c r="P569" s="152"/>
      <c r="Q569" s="152"/>
      <c r="R569" s="152"/>
      <c r="S569" s="152"/>
      <c r="T569" s="152"/>
      <c r="U569" s="152"/>
      <c r="V569" s="152"/>
      <c r="W569" s="152"/>
      <c r="X569" s="152"/>
      <c r="Y569" s="152"/>
      <c r="Z569" s="281"/>
      <c r="AA569" s="281"/>
      <c r="AB569" s="281"/>
      <c r="AC569" s="281"/>
      <c r="AD569" s="281"/>
      <c r="AE569" s="281"/>
      <c r="AF569" s="282"/>
      <c r="AG569" s="170"/>
      <c r="AH569" s="152"/>
      <c r="AI569" s="152"/>
      <c r="AJ569" s="152"/>
      <c r="AK569" s="152"/>
      <c r="AL569" s="152"/>
      <c r="AM569" s="152"/>
      <c r="AN569" s="152"/>
      <c r="AO569" s="152"/>
      <c r="AP569" s="152"/>
      <c r="AQ569" s="152"/>
      <c r="AR569" s="152"/>
    </row>
    <row r="570" ht="12.75" customHeight="1">
      <c r="A570" s="288"/>
      <c r="B570" s="288"/>
      <c r="C570" s="288"/>
      <c r="D570" s="152"/>
      <c r="E570" s="289"/>
      <c r="F570" s="289"/>
      <c r="G570" s="152"/>
      <c r="H570" s="152"/>
      <c r="I570" s="152"/>
      <c r="J570" s="152"/>
      <c r="K570" s="289"/>
      <c r="L570" s="289"/>
      <c r="M570" s="152"/>
      <c r="N570" s="152"/>
      <c r="O570" s="156"/>
      <c r="P570" s="152"/>
      <c r="Q570" s="152"/>
      <c r="R570" s="152"/>
      <c r="S570" s="152"/>
      <c r="T570" s="152"/>
      <c r="U570" s="152"/>
      <c r="V570" s="152"/>
      <c r="W570" s="152"/>
      <c r="X570" s="152"/>
      <c r="Y570" s="152"/>
      <c r="Z570" s="281"/>
      <c r="AA570" s="281"/>
      <c r="AB570" s="281"/>
      <c r="AC570" s="281"/>
      <c r="AD570" s="281"/>
      <c r="AE570" s="281"/>
      <c r="AF570" s="282"/>
      <c r="AG570" s="170"/>
      <c r="AH570" s="152"/>
      <c r="AI570" s="152"/>
      <c r="AJ570" s="152"/>
      <c r="AK570" s="152"/>
      <c r="AL570" s="152"/>
      <c r="AM570" s="152"/>
      <c r="AN570" s="152"/>
      <c r="AO570" s="152"/>
      <c r="AP570" s="152"/>
      <c r="AQ570" s="152"/>
      <c r="AR570" s="152"/>
    </row>
    <row r="571" ht="12.75" customHeight="1">
      <c r="A571" s="288"/>
      <c r="B571" s="288"/>
      <c r="C571" s="288"/>
      <c r="D571" s="152"/>
      <c r="E571" s="289"/>
      <c r="F571" s="289"/>
      <c r="G571" s="152"/>
      <c r="H571" s="152"/>
      <c r="I571" s="152"/>
      <c r="J571" s="152"/>
      <c r="K571" s="289"/>
      <c r="L571" s="289"/>
      <c r="M571" s="152"/>
      <c r="N571" s="152"/>
      <c r="O571" s="156"/>
      <c r="P571" s="152"/>
      <c r="Q571" s="152"/>
      <c r="R571" s="152"/>
      <c r="S571" s="152"/>
      <c r="T571" s="152"/>
      <c r="U571" s="152"/>
      <c r="V571" s="152"/>
      <c r="W571" s="152"/>
      <c r="X571" s="152"/>
      <c r="Y571" s="152"/>
      <c r="Z571" s="281"/>
      <c r="AA571" s="281"/>
      <c r="AB571" s="281"/>
      <c r="AC571" s="281"/>
      <c r="AD571" s="281"/>
      <c r="AE571" s="281"/>
      <c r="AF571" s="282"/>
      <c r="AG571" s="170"/>
      <c r="AH571" s="152"/>
      <c r="AI571" s="152"/>
      <c r="AJ571" s="152"/>
      <c r="AK571" s="152"/>
      <c r="AL571" s="152"/>
      <c r="AM571" s="152"/>
      <c r="AN571" s="152"/>
      <c r="AO571" s="152"/>
      <c r="AP571" s="152"/>
      <c r="AQ571" s="152"/>
      <c r="AR571" s="152"/>
    </row>
    <row r="572" ht="12.75" customHeight="1">
      <c r="A572" s="288"/>
      <c r="B572" s="288"/>
      <c r="C572" s="288"/>
      <c r="D572" s="152"/>
      <c r="E572" s="289"/>
      <c r="F572" s="289"/>
      <c r="G572" s="152"/>
      <c r="H572" s="152"/>
      <c r="I572" s="152"/>
      <c r="J572" s="152"/>
      <c r="K572" s="289"/>
      <c r="L572" s="289"/>
      <c r="M572" s="152"/>
      <c r="N572" s="152"/>
      <c r="O572" s="156"/>
      <c r="P572" s="152"/>
      <c r="Q572" s="152"/>
      <c r="R572" s="152"/>
      <c r="S572" s="152"/>
      <c r="T572" s="152"/>
      <c r="U572" s="152"/>
      <c r="V572" s="152"/>
      <c r="W572" s="152"/>
      <c r="X572" s="152"/>
      <c r="Y572" s="152"/>
      <c r="Z572" s="281"/>
      <c r="AA572" s="281"/>
      <c r="AB572" s="281"/>
      <c r="AC572" s="281"/>
      <c r="AD572" s="281"/>
      <c r="AE572" s="281"/>
      <c r="AF572" s="282"/>
      <c r="AG572" s="170"/>
      <c r="AH572" s="152"/>
      <c r="AI572" s="152"/>
      <c r="AJ572" s="152"/>
      <c r="AK572" s="152"/>
      <c r="AL572" s="152"/>
      <c r="AM572" s="152"/>
      <c r="AN572" s="152"/>
      <c r="AO572" s="152"/>
      <c r="AP572" s="152"/>
      <c r="AQ572" s="152"/>
      <c r="AR572" s="152"/>
    </row>
    <row r="573" ht="12.75" customHeight="1">
      <c r="A573" s="288"/>
      <c r="B573" s="288"/>
      <c r="C573" s="288"/>
      <c r="D573" s="152"/>
      <c r="E573" s="289"/>
      <c r="F573" s="289"/>
      <c r="G573" s="152"/>
      <c r="H573" s="152"/>
      <c r="I573" s="152"/>
      <c r="J573" s="152"/>
      <c r="K573" s="289"/>
      <c r="L573" s="289"/>
      <c r="M573" s="152"/>
      <c r="N573" s="152"/>
      <c r="O573" s="156"/>
      <c r="P573" s="152"/>
      <c r="Q573" s="152"/>
      <c r="R573" s="152"/>
      <c r="S573" s="152"/>
      <c r="T573" s="152"/>
      <c r="U573" s="152"/>
      <c r="V573" s="152"/>
      <c r="W573" s="152"/>
      <c r="X573" s="152"/>
      <c r="Y573" s="152"/>
      <c r="Z573" s="281"/>
      <c r="AA573" s="281"/>
      <c r="AB573" s="281"/>
      <c r="AC573" s="281"/>
      <c r="AD573" s="281"/>
      <c r="AE573" s="281"/>
      <c r="AF573" s="282"/>
      <c r="AG573" s="170"/>
      <c r="AH573" s="152"/>
      <c r="AI573" s="152"/>
      <c r="AJ573" s="152"/>
      <c r="AK573" s="152"/>
      <c r="AL573" s="152"/>
      <c r="AM573" s="152"/>
      <c r="AN573" s="152"/>
      <c r="AO573" s="152"/>
      <c r="AP573" s="152"/>
      <c r="AQ573" s="152"/>
      <c r="AR573" s="152"/>
    </row>
    <row r="574" ht="12.75" customHeight="1">
      <c r="A574" s="288"/>
      <c r="B574" s="288"/>
      <c r="C574" s="288"/>
      <c r="D574" s="152"/>
      <c r="E574" s="289"/>
      <c r="F574" s="289"/>
      <c r="G574" s="152"/>
      <c r="H574" s="152"/>
      <c r="I574" s="152"/>
      <c r="J574" s="152"/>
      <c r="K574" s="289"/>
      <c r="L574" s="289"/>
      <c r="M574" s="152"/>
      <c r="N574" s="152"/>
      <c r="O574" s="156"/>
      <c r="P574" s="152"/>
      <c r="Q574" s="152"/>
      <c r="R574" s="152"/>
      <c r="S574" s="152"/>
      <c r="T574" s="152"/>
      <c r="U574" s="152"/>
      <c r="V574" s="152"/>
      <c r="W574" s="152"/>
      <c r="X574" s="152"/>
      <c r="Y574" s="152"/>
      <c r="Z574" s="281"/>
      <c r="AA574" s="281"/>
      <c r="AB574" s="281"/>
      <c r="AC574" s="281"/>
      <c r="AD574" s="281"/>
      <c r="AE574" s="281"/>
      <c r="AF574" s="282"/>
      <c r="AG574" s="170"/>
      <c r="AH574" s="152"/>
      <c r="AI574" s="152"/>
      <c r="AJ574" s="152"/>
      <c r="AK574" s="152"/>
      <c r="AL574" s="152"/>
      <c r="AM574" s="152"/>
      <c r="AN574" s="152"/>
      <c r="AO574" s="152"/>
      <c r="AP574" s="152"/>
      <c r="AQ574" s="152"/>
      <c r="AR574" s="152"/>
    </row>
    <row r="575" ht="12.75" customHeight="1">
      <c r="A575" s="288"/>
      <c r="B575" s="288"/>
      <c r="C575" s="288"/>
      <c r="D575" s="152"/>
      <c r="E575" s="289"/>
      <c r="F575" s="289"/>
      <c r="G575" s="152"/>
      <c r="H575" s="152"/>
      <c r="I575" s="152"/>
      <c r="J575" s="152"/>
      <c r="K575" s="289"/>
      <c r="L575" s="289"/>
      <c r="M575" s="152"/>
      <c r="N575" s="152"/>
      <c r="O575" s="156"/>
      <c r="P575" s="152"/>
      <c r="Q575" s="152"/>
      <c r="R575" s="152"/>
      <c r="S575" s="152"/>
      <c r="T575" s="152"/>
      <c r="U575" s="152"/>
      <c r="V575" s="152"/>
      <c r="W575" s="152"/>
      <c r="X575" s="152"/>
      <c r="Y575" s="152"/>
      <c r="Z575" s="281"/>
      <c r="AA575" s="281"/>
      <c r="AB575" s="281"/>
      <c r="AC575" s="281"/>
      <c r="AD575" s="281"/>
      <c r="AE575" s="281"/>
      <c r="AF575" s="282"/>
      <c r="AG575" s="170"/>
      <c r="AH575" s="152"/>
      <c r="AI575" s="152"/>
      <c r="AJ575" s="152"/>
      <c r="AK575" s="152"/>
      <c r="AL575" s="152"/>
      <c r="AM575" s="152"/>
      <c r="AN575" s="152"/>
      <c r="AO575" s="152"/>
      <c r="AP575" s="152"/>
      <c r="AQ575" s="152"/>
      <c r="AR575" s="152"/>
    </row>
    <row r="576" ht="12.75" customHeight="1">
      <c r="A576" s="288"/>
      <c r="B576" s="288"/>
      <c r="C576" s="288"/>
      <c r="D576" s="152"/>
      <c r="E576" s="289"/>
      <c r="F576" s="289"/>
      <c r="G576" s="152"/>
      <c r="H576" s="152"/>
      <c r="I576" s="152"/>
      <c r="J576" s="152"/>
      <c r="K576" s="289"/>
      <c r="L576" s="289"/>
      <c r="M576" s="152"/>
      <c r="N576" s="152"/>
      <c r="O576" s="156"/>
      <c r="P576" s="152"/>
      <c r="Q576" s="152"/>
      <c r="R576" s="152"/>
      <c r="S576" s="152"/>
      <c r="T576" s="152"/>
      <c r="U576" s="152"/>
      <c r="V576" s="152"/>
      <c r="W576" s="152"/>
      <c r="X576" s="152"/>
      <c r="Y576" s="152"/>
      <c r="Z576" s="281"/>
      <c r="AA576" s="281"/>
      <c r="AB576" s="281"/>
      <c r="AC576" s="281"/>
      <c r="AD576" s="281"/>
      <c r="AE576" s="281"/>
      <c r="AF576" s="282"/>
      <c r="AG576" s="170"/>
      <c r="AH576" s="152"/>
      <c r="AI576" s="152"/>
      <c r="AJ576" s="152"/>
      <c r="AK576" s="152"/>
      <c r="AL576" s="152"/>
      <c r="AM576" s="152"/>
      <c r="AN576" s="152"/>
      <c r="AO576" s="152"/>
      <c r="AP576" s="152"/>
      <c r="AQ576" s="152"/>
      <c r="AR576" s="152"/>
    </row>
    <row r="577" ht="12.75" customHeight="1">
      <c r="A577" s="288"/>
      <c r="B577" s="288"/>
      <c r="C577" s="288"/>
      <c r="D577" s="152"/>
      <c r="E577" s="289"/>
      <c r="F577" s="289"/>
      <c r="G577" s="152"/>
      <c r="H577" s="152"/>
      <c r="I577" s="152"/>
      <c r="J577" s="152"/>
      <c r="K577" s="289"/>
      <c r="L577" s="289"/>
      <c r="M577" s="152"/>
      <c r="N577" s="152"/>
      <c r="O577" s="156"/>
      <c r="P577" s="152"/>
      <c r="Q577" s="152"/>
      <c r="R577" s="152"/>
      <c r="S577" s="152"/>
      <c r="T577" s="152"/>
      <c r="U577" s="152"/>
      <c r="V577" s="152"/>
      <c r="W577" s="152"/>
      <c r="X577" s="152"/>
      <c r="Y577" s="152"/>
      <c r="Z577" s="281"/>
      <c r="AA577" s="281"/>
      <c r="AB577" s="281"/>
      <c r="AC577" s="281"/>
      <c r="AD577" s="281"/>
      <c r="AE577" s="281"/>
      <c r="AF577" s="282"/>
      <c r="AG577" s="170"/>
      <c r="AH577" s="152"/>
      <c r="AI577" s="152"/>
      <c r="AJ577" s="152"/>
      <c r="AK577" s="152"/>
      <c r="AL577" s="152"/>
      <c r="AM577" s="152"/>
      <c r="AN577" s="152"/>
      <c r="AO577" s="152"/>
      <c r="AP577" s="152"/>
      <c r="AQ577" s="152"/>
      <c r="AR577" s="152"/>
    </row>
    <row r="578" ht="12.75" customHeight="1">
      <c r="A578" s="288"/>
      <c r="B578" s="288"/>
      <c r="C578" s="288"/>
      <c r="D578" s="152"/>
      <c r="E578" s="289"/>
      <c r="F578" s="289"/>
      <c r="G578" s="152"/>
      <c r="H578" s="152"/>
      <c r="I578" s="152"/>
      <c r="J578" s="152"/>
      <c r="K578" s="289"/>
      <c r="L578" s="289"/>
      <c r="M578" s="152"/>
      <c r="N578" s="152"/>
      <c r="O578" s="156"/>
      <c r="P578" s="152"/>
      <c r="Q578" s="152"/>
      <c r="R578" s="152"/>
      <c r="S578" s="152"/>
      <c r="T578" s="152"/>
      <c r="U578" s="152"/>
      <c r="V578" s="152"/>
      <c r="W578" s="152"/>
      <c r="X578" s="152"/>
      <c r="Y578" s="152"/>
      <c r="Z578" s="281"/>
      <c r="AA578" s="281"/>
      <c r="AB578" s="281"/>
      <c r="AC578" s="281"/>
      <c r="AD578" s="281"/>
      <c r="AE578" s="281"/>
      <c r="AF578" s="282"/>
      <c r="AG578" s="170"/>
      <c r="AH578" s="152"/>
      <c r="AI578" s="152"/>
      <c r="AJ578" s="152"/>
      <c r="AK578" s="152"/>
      <c r="AL578" s="152"/>
      <c r="AM578" s="152"/>
      <c r="AN578" s="152"/>
      <c r="AO578" s="152"/>
      <c r="AP578" s="152"/>
      <c r="AQ578" s="152"/>
      <c r="AR578" s="152"/>
    </row>
    <row r="579" ht="12.75" customHeight="1">
      <c r="A579" s="288"/>
      <c r="B579" s="288"/>
      <c r="C579" s="288"/>
      <c r="D579" s="152"/>
      <c r="E579" s="289"/>
      <c r="F579" s="289"/>
      <c r="G579" s="152"/>
      <c r="H579" s="152"/>
      <c r="I579" s="152"/>
      <c r="J579" s="152"/>
      <c r="K579" s="289"/>
      <c r="L579" s="289"/>
      <c r="M579" s="152"/>
      <c r="N579" s="152"/>
      <c r="O579" s="156"/>
      <c r="P579" s="152"/>
      <c r="Q579" s="152"/>
      <c r="R579" s="152"/>
      <c r="S579" s="152"/>
      <c r="T579" s="152"/>
      <c r="U579" s="152"/>
      <c r="V579" s="152"/>
      <c r="W579" s="152"/>
      <c r="X579" s="152"/>
      <c r="Y579" s="152"/>
      <c r="Z579" s="281"/>
      <c r="AA579" s="281"/>
      <c r="AB579" s="281"/>
      <c r="AC579" s="281"/>
      <c r="AD579" s="281"/>
      <c r="AE579" s="281"/>
      <c r="AF579" s="282"/>
      <c r="AG579" s="170"/>
      <c r="AH579" s="152"/>
      <c r="AI579" s="152"/>
      <c r="AJ579" s="152"/>
      <c r="AK579" s="152"/>
      <c r="AL579" s="152"/>
      <c r="AM579" s="152"/>
      <c r="AN579" s="152"/>
      <c r="AO579" s="152"/>
      <c r="AP579" s="152"/>
      <c r="AQ579" s="152"/>
      <c r="AR579" s="152"/>
    </row>
    <row r="580" ht="12.75" customHeight="1">
      <c r="A580" s="288"/>
      <c r="B580" s="288"/>
      <c r="C580" s="288"/>
      <c r="D580" s="152"/>
      <c r="E580" s="289"/>
      <c r="F580" s="289"/>
      <c r="G580" s="152"/>
      <c r="H580" s="152"/>
      <c r="I580" s="152"/>
      <c r="J580" s="152"/>
      <c r="K580" s="289"/>
      <c r="L580" s="289"/>
      <c r="M580" s="152"/>
      <c r="N580" s="152"/>
      <c r="O580" s="156"/>
      <c r="P580" s="152"/>
      <c r="Q580" s="152"/>
      <c r="R580" s="152"/>
      <c r="S580" s="152"/>
      <c r="T580" s="152"/>
      <c r="U580" s="152"/>
      <c r="V580" s="152"/>
      <c r="W580" s="152"/>
      <c r="X580" s="152"/>
      <c r="Y580" s="152"/>
      <c r="Z580" s="281"/>
      <c r="AA580" s="281"/>
      <c r="AB580" s="281"/>
      <c r="AC580" s="281"/>
      <c r="AD580" s="281"/>
      <c r="AE580" s="281"/>
      <c r="AF580" s="282"/>
      <c r="AG580" s="170"/>
      <c r="AH580" s="152"/>
      <c r="AI580" s="152"/>
      <c r="AJ580" s="152"/>
      <c r="AK580" s="152"/>
      <c r="AL580" s="152"/>
      <c r="AM580" s="152"/>
      <c r="AN580" s="152"/>
      <c r="AO580" s="152"/>
      <c r="AP580" s="152"/>
      <c r="AQ580" s="152"/>
      <c r="AR580" s="152"/>
    </row>
    <row r="581" ht="12.75" customHeight="1">
      <c r="A581" s="288"/>
      <c r="B581" s="288"/>
      <c r="C581" s="288"/>
      <c r="D581" s="152"/>
      <c r="E581" s="289"/>
      <c r="F581" s="289"/>
      <c r="G581" s="152"/>
      <c r="H581" s="152"/>
      <c r="I581" s="152"/>
      <c r="J581" s="152"/>
      <c r="K581" s="289"/>
      <c r="L581" s="289"/>
      <c r="M581" s="152"/>
      <c r="N581" s="152"/>
      <c r="O581" s="156"/>
      <c r="P581" s="152"/>
      <c r="Q581" s="152"/>
      <c r="R581" s="152"/>
      <c r="S581" s="152"/>
      <c r="T581" s="152"/>
      <c r="U581" s="152"/>
      <c r="V581" s="152"/>
      <c r="W581" s="152"/>
      <c r="X581" s="152"/>
      <c r="Y581" s="152"/>
      <c r="Z581" s="281"/>
      <c r="AA581" s="281"/>
      <c r="AB581" s="281"/>
      <c r="AC581" s="281"/>
      <c r="AD581" s="281"/>
      <c r="AE581" s="281"/>
      <c r="AF581" s="282"/>
      <c r="AG581" s="170"/>
      <c r="AH581" s="152"/>
      <c r="AI581" s="152"/>
      <c r="AJ581" s="152"/>
      <c r="AK581" s="152"/>
      <c r="AL581" s="152"/>
      <c r="AM581" s="152"/>
      <c r="AN581" s="152"/>
      <c r="AO581" s="152"/>
      <c r="AP581" s="152"/>
      <c r="AQ581" s="152"/>
      <c r="AR581" s="152"/>
    </row>
    <row r="582" ht="12.75" customHeight="1">
      <c r="A582" s="288"/>
      <c r="B582" s="288"/>
      <c r="C582" s="288"/>
      <c r="D582" s="152"/>
      <c r="E582" s="289"/>
      <c r="F582" s="289"/>
      <c r="G582" s="152"/>
      <c r="H582" s="152"/>
      <c r="I582" s="152"/>
      <c r="J582" s="152"/>
      <c r="K582" s="289"/>
      <c r="L582" s="289"/>
      <c r="M582" s="152"/>
      <c r="N582" s="152"/>
      <c r="O582" s="156"/>
      <c r="P582" s="152"/>
      <c r="Q582" s="152"/>
      <c r="R582" s="152"/>
      <c r="S582" s="152"/>
      <c r="T582" s="152"/>
      <c r="U582" s="152"/>
      <c r="V582" s="152"/>
      <c r="W582" s="152"/>
      <c r="X582" s="152"/>
      <c r="Y582" s="152"/>
      <c r="Z582" s="281"/>
      <c r="AA582" s="281"/>
      <c r="AB582" s="281"/>
      <c r="AC582" s="281"/>
      <c r="AD582" s="281"/>
      <c r="AE582" s="281"/>
      <c r="AF582" s="282"/>
      <c r="AG582" s="170"/>
      <c r="AH582" s="152"/>
      <c r="AI582" s="152"/>
      <c r="AJ582" s="152"/>
      <c r="AK582" s="152"/>
      <c r="AL582" s="152"/>
      <c r="AM582" s="152"/>
      <c r="AN582" s="152"/>
      <c r="AO582" s="152"/>
      <c r="AP582" s="152"/>
      <c r="AQ582" s="152"/>
      <c r="AR582" s="152"/>
    </row>
    <row r="583" ht="12.75" customHeight="1">
      <c r="A583" s="288"/>
      <c r="B583" s="288"/>
      <c r="C583" s="288"/>
      <c r="D583" s="152"/>
      <c r="E583" s="289"/>
      <c r="F583" s="289"/>
      <c r="G583" s="152"/>
      <c r="H583" s="152"/>
      <c r="I583" s="152"/>
      <c r="J583" s="152"/>
      <c r="K583" s="289"/>
      <c r="L583" s="289"/>
      <c r="M583" s="152"/>
      <c r="N583" s="152"/>
      <c r="O583" s="156"/>
      <c r="P583" s="152"/>
      <c r="Q583" s="152"/>
      <c r="R583" s="152"/>
      <c r="S583" s="152"/>
      <c r="T583" s="152"/>
      <c r="U583" s="152"/>
      <c r="V583" s="152"/>
      <c r="W583" s="152"/>
      <c r="X583" s="152"/>
      <c r="Y583" s="152"/>
      <c r="Z583" s="281"/>
      <c r="AA583" s="281"/>
      <c r="AB583" s="281"/>
      <c r="AC583" s="281"/>
      <c r="AD583" s="281"/>
      <c r="AE583" s="281"/>
      <c r="AF583" s="282"/>
      <c r="AG583" s="170"/>
      <c r="AH583" s="152"/>
      <c r="AI583" s="152"/>
      <c r="AJ583" s="152"/>
      <c r="AK583" s="152"/>
      <c r="AL583" s="152"/>
      <c r="AM583" s="152"/>
      <c r="AN583" s="152"/>
      <c r="AO583" s="152"/>
      <c r="AP583" s="152"/>
      <c r="AQ583" s="152"/>
      <c r="AR583" s="152"/>
    </row>
    <row r="584" ht="12.75" customHeight="1">
      <c r="A584" s="288"/>
      <c r="B584" s="288"/>
      <c r="C584" s="288"/>
      <c r="D584" s="152"/>
      <c r="E584" s="289"/>
      <c r="F584" s="289"/>
      <c r="G584" s="152"/>
      <c r="H584" s="152"/>
      <c r="I584" s="152"/>
      <c r="J584" s="152"/>
      <c r="K584" s="289"/>
      <c r="L584" s="289"/>
      <c r="M584" s="152"/>
      <c r="N584" s="152"/>
      <c r="O584" s="156"/>
      <c r="P584" s="152"/>
      <c r="Q584" s="152"/>
      <c r="R584" s="152"/>
      <c r="S584" s="152"/>
      <c r="T584" s="152"/>
      <c r="U584" s="152"/>
      <c r="V584" s="152"/>
      <c r="W584" s="152"/>
      <c r="X584" s="152"/>
      <c r="Y584" s="152"/>
      <c r="Z584" s="281"/>
      <c r="AA584" s="281"/>
      <c r="AB584" s="281"/>
      <c r="AC584" s="281"/>
      <c r="AD584" s="281"/>
      <c r="AE584" s="281"/>
      <c r="AF584" s="282"/>
      <c r="AG584" s="170"/>
      <c r="AH584" s="152"/>
      <c r="AI584" s="152"/>
      <c r="AJ584" s="152"/>
      <c r="AK584" s="152"/>
      <c r="AL584" s="152"/>
      <c r="AM584" s="152"/>
      <c r="AN584" s="152"/>
      <c r="AO584" s="152"/>
      <c r="AP584" s="152"/>
      <c r="AQ584" s="152"/>
      <c r="AR584" s="152"/>
    </row>
    <row r="585" ht="12.75" customHeight="1">
      <c r="A585" s="288"/>
      <c r="B585" s="288"/>
      <c r="C585" s="288"/>
      <c r="D585" s="152"/>
      <c r="E585" s="289"/>
      <c r="F585" s="289"/>
      <c r="G585" s="152"/>
      <c r="H585" s="152"/>
      <c r="I585" s="152"/>
      <c r="J585" s="152"/>
      <c r="K585" s="289"/>
      <c r="L585" s="289"/>
      <c r="M585" s="152"/>
      <c r="N585" s="152"/>
      <c r="O585" s="156"/>
      <c r="P585" s="152"/>
      <c r="Q585" s="152"/>
      <c r="R585" s="152"/>
      <c r="S585" s="152"/>
      <c r="T585" s="152"/>
      <c r="U585" s="152"/>
      <c r="V585" s="152"/>
      <c r="W585" s="152"/>
      <c r="X585" s="152"/>
      <c r="Y585" s="152"/>
      <c r="Z585" s="281"/>
      <c r="AA585" s="281"/>
      <c r="AB585" s="281"/>
      <c r="AC585" s="281"/>
      <c r="AD585" s="281"/>
      <c r="AE585" s="281"/>
      <c r="AF585" s="282"/>
      <c r="AG585" s="170"/>
      <c r="AH585" s="152"/>
      <c r="AI585" s="152"/>
      <c r="AJ585" s="152"/>
      <c r="AK585" s="152"/>
      <c r="AL585" s="152"/>
      <c r="AM585" s="152"/>
      <c r="AN585" s="152"/>
      <c r="AO585" s="152"/>
      <c r="AP585" s="152"/>
      <c r="AQ585" s="152"/>
      <c r="AR585" s="152"/>
    </row>
    <row r="586" ht="12.75" customHeight="1">
      <c r="A586" s="288"/>
      <c r="B586" s="288"/>
      <c r="C586" s="288"/>
      <c r="D586" s="152"/>
      <c r="E586" s="289"/>
      <c r="F586" s="289"/>
      <c r="G586" s="152"/>
      <c r="H586" s="152"/>
      <c r="I586" s="152"/>
      <c r="J586" s="152"/>
      <c r="K586" s="289"/>
      <c r="L586" s="289"/>
      <c r="M586" s="152"/>
      <c r="N586" s="152"/>
      <c r="O586" s="156"/>
      <c r="P586" s="152"/>
      <c r="Q586" s="152"/>
      <c r="R586" s="152"/>
      <c r="S586" s="152"/>
      <c r="T586" s="152"/>
      <c r="U586" s="152"/>
      <c r="V586" s="152"/>
      <c r="W586" s="152"/>
      <c r="X586" s="152"/>
      <c r="Y586" s="152"/>
      <c r="Z586" s="281"/>
      <c r="AA586" s="281"/>
      <c r="AB586" s="281"/>
      <c r="AC586" s="281"/>
      <c r="AD586" s="281"/>
      <c r="AE586" s="281"/>
      <c r="AF586" s="282"/>
      <c r="AG586" s="170"/>
      <c r="AH586" s="152"/>
      <c r="AI586" s="152"/>
      <c r="AJ586" s="152"/>
      <c r="AK586" s="152"/>
      <c r="AL586" s="152"/>
      <c r="AM586" s="152"/>
      <c r="AN586" s="152"/>
      <c r="AO586" s="152"/>
      <c r="AP586" s="152"/>
      <c r="AQ586" s="152"/>
      <c r="AR586" s="152"/>
    </row>
    <row r="587" ht="12.75" customHeight="1">
      <c r="A587" s="288"/>
      <c r="B587" s="288"/>
      <c r="C587" s="288"/>
      <c r="D587" s="152"/>
      <c r="E587" s="289"/>
      <c r="F587" s="289"/>
      <c r="G587" s="152"/>
      <c r="H587" s="152"/>
      <c r="I587" s="152"/>
      <c r="J587" s="152"/>
      <c r="K587" s="289"/>
      <c r="L587" s="289"/>
      <c r="M587" s="152"/>
      <c r="N587" s="152"/>
      <c r="O587" s="156"/>
      <c r="P587" s="152"/>
      <c r="Q587" s="152"/>
      <c r="R587" s="152"/>
      <c r="S587" s="152"/>
      <c r="T587" s="152"/>
      <c r="U587" s="152"/>
      <c r="V587" s="152"/>
      <c r="W587" s="152"/>
      <c r="X587" s="152"/>
      <c r="Y587" s="152"/>
      <c r="Z587" s="281"/>
      <c r="AA587" s="281"/>
      <c r="AB587" s="281"/>
      <c r="AC587" s="281"/>
      <c r="AD587" s="281"/>
      <c r="AE587" s="281"/>
      <c r="AF587" s="282"/>
      <c r="AG587" s="170"/>
      <c r="AH587" s="152"/>
      <c r="AI587" s="152"/>
      <c r="AJ587" s="152"/>
      <c r="AK587" s="152"/>
      <c r="AL587" s="152"/>
      <c r="AM587" s="152"/>
      <c r="AN587" s="152"/>
      <c r="AO587" s="152"/>
      <c r="AP587" s="152"/>
      <c r="AQ587" s="152"/>
      <c r="AR587" s="152"/>
    </row>
    <row r="588" ht="12.75" customHeight="1">
      <c r="A588" s="288"/>
      <c r="B588" s="288"/>
      <c r="C588" s="288"/>
      <c r="D588" s="152"/>
      <c r="E588" s="289"/>
      <c r="F588" s="289"/>
      <c r="G588" s="152"/>
      <c r="H588" s="152"/>
      <c r="I588" s="152"/>
      <c r="J588" s="152"/>
      <c r="K588" s="289"/>
      <c r="L588" s="289"/>
      <c r="M588" s="152"/>
      <c r="N588" s="152"/>
      <c r="O588" s="156"/>
      <c r="P588" s="152"/>
      <c r="Q588" s="152"/>
      <c r="R588" s="152"/>
      <c r="S588" s="152"/>
      <c r="T588" s="152"/>
      <c r="U588" s="152"/>
      <c r="V588" s="152"/>
      <c r="W588" s="152"/>
      <c r="X588" s="152"/>
      <c r="Y588" s="152"/>
      <c r="Z588" s="281"/>
      <c r="AA588" s="281"/>
      <c r="AB588" s="281"/>
      <c r="AC588" s="281"/>
      <c r="AD588" s="281"/>
      <c r="AE588" s="281"/>
      <c r="AF588" s="282"/>
      <c r="AG588" s="170"/>
      <c r="AH588" s="152"/>
      <c r="AI588" s="152"/>
      <c r="AJ588" s="152"/>
      <c r="AK588" s="152"/>
      <c r="AL588" s="152"/>
      <c r="AM588" s="152"/>
      <c r="AN588" s="152"/>
      <c r="AO588" s="152"/>
      <c r="AP588" s="152"/>
      <c r="AQ588" s="152"/>
      <c r="AR588" s="152"/>
    </row>
    <row r="589" ht="12.75" customHeight="1">
      <c r="A589" s="288"/>
      <c r="B589" s="288"/>
      <c r="C589" s="288"/>
      <c r="D589" s="152"/>
      <c r="E589" s="289"/>
      <c r="F589" s="289"/>
      <c r="G589" s="152"/>
      <c r="H589" s="152"/>
      <c r="I589" s="152"/>
      <c r="J589" s="152"/>
      <c r="K589" s="289"/>
      <c r="L589" s="289"/>
      <c r="M589" s="152"/>
      <c r="N589" s="152"/>
      <c r="O589" s="156"/>
      <c r="P589" s="152"/>
      <c r="Q589" s="152"/>
      <c r="R589" s="152"/>
      <c r="S589" s="152"/>
      <c r="T589" s="152"/>
      <c r="U589" s="152"/>
      <c r="V589" s="152"/>
      <c r="W589" s="152"/>
      <c r="X589" s="152"/>
      <c r="Y589" s="152"/>
      <c r="Z589" s="281"/>
      <c r="AA589" s="281"/>
      <c r="AB589" s="281"/>
      <c r="AC589" s="281"/>
      <c r="AD589" s="281"/>
      <c r="AE589" s="281"/>
      <c r="AF589" s="282"/>
      <c r="AG589" s="170"/>
      <c r="AH589" s="152"/>
      <c r="AI589" s="152"/>
      <c r="AJ589" s="152"/>
      <c r="AK589" s="152"/>
      <c r="AL589" s="152"/>
      <c r="AM589" s="152"/>
      <c r="AN589" s="152"/>
      <c r="AO589" s="152"/>
      <c r="AP589" s="152"/>
      <c r="AQ589" s="152"/>
      <c r="AR589" s="152"/>
    </row>
    <row r="590" ht="12.75" customHeight="1">
      <c r="A590" s="288"/>
      <c r="B590" s="288"/>
      <c r="C590" s="288"/>
      <c r="D590" s="152"/>
      <c r="E590" s="289"/>
      <c r="F590" s="289"/>
      <c r="G590" s="152"/>
      <c r="H590" s="152"/>
      <c r="I590" s="152"/>
      <c r="J590" s="152"/>
      <c r="K590" s="289"/>
      <c r="L590" s="289"/>
      <c r="M590" s="152"/>
      <c r="N590" s="152"/>
      <c r="O590" s="156"/>
      <c r="P590" s="152"/>
      <c r="Q590" s="152"/>
      <c r="R590" s="152"/>
      <c r="S590" s="152"/>
      <c r="T590" s="152"/>
      <c r="U590" s="152"/>
      <c r="V590" s="152"/>
      <c r="W590" s="152"/>
      <c r="X590" s="152"/>
      <c r="Y590" s="152"/>
      <c r="Z590" s="281"/>
      <c r="AA590" s="281"/>
      <c r="AB590" s="281"/>
      <c r="AC590" s="281"/>
      <c r="AD590" s="281"/>
      <c r="AE590" s="281"/>
      <c r="AF590" s="282"/>
      <c r="AG590" s="170"/>
      <c r="AH590" s="152"/>
      <c r="AI590" s="152"/>
      <c r="AJ590" s="152"/>
      <c r="AK590" s="152"/>
      <c r="AL590" s="152"/>
      <c r="AM590" s="152"/>
      <c r="AN590" s="152"/>
      <c r="AO590" s="152"/>
      <c r="AP590" s="152"/>
      <c r="AQ590" s="152"/>
      <c r="AR590" s="152"/>
    </row>
    <row r="591" ht="12.75" customHeight="1">
      <c r="A591" s="288"/>
      <c r="B591" s="288"/>
      <c r="C591" s="288"/>
      <c r="D591" s="152"/>
      <c r="E591" s="289"/>
      <c r="F591" s="289"/>
      <c r="G591" s="152"/>
      <c r="H591" s="152"/>
      <c r="I591" s="152"/>
      <c r="J591" s="152"/>
      <c r="K591" s="289"/>
      <c r="L591" s="289"/>
      <c r="M591" s="152"/>
      <c r="N591" s="152"/>
      <c r="O591" s="156"/>
      <c r="P591" s="152"/>
      <c r="Q591" s="152"/>
      <c r="R591" s="152"/>
      <c r="S591" s="152"/>
      <c r="T591" s="152"/>
      <c r="U591" s="152"/>
      <c r="V591" s="152"/>
      <c r="W591" s="152"/>
      <c r="X591" s="152"/>
      <c r="Y591" s="152"/>
      <c r="Z591" s="281"/>
      <c r="AA591" s="281"/>
      <c r="AB591" s="281"/>
      <c r="AC591" s="281"/>
      <c r="AD591" s="281"/>
      <c r="AE591" s="281"/>
      <c r="AF591" s="282"/>
      <c r="AG591" s="170"/>
      <c r="AH591" s="152"/>
      <c r="AI591" s="152"/>
      <c r="AJ591" s="152"/>
      <c r="AK591" s="152"/>
      <c r="AL591" s="152"/>
      <c r="AM591" s="152"/>
      <c r="AN591" s="152"/>
      <c r="AO591" s="152"/>
      <c r="AP591" s="152"/>
      <c r="AQ591" s="152"/>
      <c r="AR591" s="152"/>
    </row>
    <row r="592" ht="12.75" customHeight="1">
      <c r="A592" s="288"/>
      <c r="B592" s="288"/>
      <c r="C592" s="288"/>
      <c r="D592" s="152"/>
      <c r="E592" s="289"/>
      <c r="F592" s="289"/>
      <c r="G592" s="152"/>
      <c r="H592" s="152"/>
      <c r="I592" s="152"/>
      <c r="J592" s="152"/>
      <c r="K592" s="289"/>
      <c r="L592" s="289"/>
      <c r="M592" s="152"/>
      <c r="N592" s="152"/>
      <c r="O592" s="156"/>
      <c r="P592" s="152"/>
      <c r="Q592" s="152"/>
      <c r="R592" s="152"/>
      <c r="S592" s="152"/>
      <c r="T592" s="152"/>
      <c r="U592" s="152"/>
      <c r="V592" s="152"/>
      <c r="W592" s="152"/>
      <c r="X592" s="152"/>
      <c r="Y592" s="152"/>
      <c r="Z592" s="281"/>
      <c r="AA592" s="281"/>
      <c r="AB592" s="281"/>
      <c r="AC592" s="281"/>
      <c r="AD592" s="281"/>
      <c r="AE592" s="281"/>
      <c r="AF592" s="282"/>
      <c r="AG592" s="170"/>
      <c r="AH592" s="152"/>
      <c r="AI592" s="152"/>
      <c r="AJ592" s="152"/>
      <c r="AK592" s="152"/>
      <c r="AL592" s="152"/>
      <c r="AM592" s="152"/>
      <c r="AN592" s="152"/>
      <c r="AO592" s="152"/>
      <c r="AP592" s="152"/>
      <c r="AQ592" s="152"/>
      <c r="AR592" s="152"/>
    </row>
    <row r="593" ht="12.75" customHeight="1">
      <c r="A593" s="288"/>
      <c r="B593" s="288"/>
      <c r="C593" s="288"/>
      <c r="D593" s="152"/>
      <c r="E593" s="289"/>
      <c r="F593" s="289"/>
      <c r="G593" s="152"/>
      <c r="H593" s="152"/>
      <c r="I593" s="152"/>
      <c r="J593" s="152"/>
      <c r="K593" s="289"/>
      <c r="L593" s="289"/>
      <c r="M593" s="152"/>
      <c r="N593" s="152"/>
      <c r="O593" s="156"/>
      <c r="P593" s="152"/>
      <c r="Q593" s="152"/>
      <c r="R593" s="152"/>
      <c r="S593" s="152"/>
      <c r="T593" s="152"/>
      <c r="U593" s="152"/>
      <c r="V593" s="152"/>
      <c r="W593" s="152"/>
      <c r="X593" s="152"/>
      <c r="Y593" s="152"/>
      <c r="Z593" s="281"/>
      <c r="AA593" s="281"/>
      <c r="AB593" s="281"/>
      <c r="AC593" s="281"/>
      <c r="AD593" s="281"/>
      <c r="AE593" s="281"/>
      <c r="AF593" s="282"/>
      <c r="AG593" s="170"/>
      <c r="AH593" s="152"/>
      <c r="AI593" s="152"/>
      <c r="AJ593" s="152"/>
      <c r="AK593" s="152"/>
      <c r="AL593" s="152"/>
      <c r="AM593" s="152"/>
      <c r="AN593" s="152"/>
      <c r="AO593" s="152"/>
      <c r="AP593" s="152"/>
      <c r="AQ593" s="152"/>
      <c r="AR593" s="152"/>
    </row>
    <row r="594" ht="12.75" customHeight="1">
      <c r="A594" s="288"/>
      <c r="B594" s="288"/>
      <c r="C594" s="288"/>
      <c r="D594" s="152"/>
      <c r="E594" s="289"/>
      <c r="F594" s="289"/>
      <c r="G594" s="152"/>
      <c r="H594" s="152"/>
      <c r="I594" s="152"/>
      <c r="J594" s="152"/>
      <c r="K594" s="289"/>
      <c r="L594" s="289"/>
      <c r="M594" s="152"/>
      <c r="N594" s="152"/>
      <c r="O594" s="156"/>
      <c r="P594" s="152"/>
      <c r="Q594" s="152"/>
      <c r="R594" s="152"/>
      <c r="S594" s="152"/>
      <c r="T594" s="152"/>
      <c r="U594" s="152"/>
      <c r="V594" s="152"/>
      <c r="W594" s="152"/>
      <c r="X594" s="152"/>
      <c r="Y594" s="152"/>
      <c r="Z594" s="281"/>
      <c r="AA594" s="281"/>
      <c r="AB594" s="281"/>
      <c r="AC594" s="281"/>
      <c r="AD594" s="281"/>
      <c r="AE594" s="281"/>
      <c r="AF594" s="282"/>
      <c r="AG594" s="170"/>
      <c r="AH594" s="152"/>
      <c r="AI594" s="152"/>
      <c r="AJ594" s="152"/>
      <c r="AK594" s="152"/>
      <c r="AL594" s="152"/>
      <c r="AM594" s="152"/>
      <c r="AN594" s="152"/>
      <c r="AO594" s="152"/>
      <c r="AP594" s="152"/>
      <c r="AQ594" s="152"/>
      <c r="AR594" s="152"/>
    </row>
    <row r="595" ht="12.75" customHeight="1">
      <c r="A595" s="288"/>
      <c r="B595" s="288"/>
      <c r="C595" s="288"/>
      <c r="D595" s="152"/>
      <c r="E595" s="289"/>
      <c r="F595" s="289"/>
      <c r="G595" s="152"/>
      <c r="H595" s="152"/>
      <c r="I595" s="152"/>
      <c r="J595" s="152"/>
      <c r="K595" s="289"/>
      <c r="L595" s="289"/>
      <c r="M595" s="152"/>
      <c r="N595" s="152"/>
      <c r="O595" s="156"/>
      <c r="P595" s="152"/>
      <c r="Q595" s="152"/>
      <c r="R595" s="152"/>
      <c r="S595" s="152"/>
      <c r="T595" s="152"/>
      <c r="U595" s="152"/>
      <c r="V595" s="152"/>
      <c r="W595" s="152"/>
      <c r="X595" s="152"/>
      <c r="Y595" s="152"/>
      <c r="Z595" s="281"/>
      <c r="AA595" s="281"/>
      <c r="AB595" s="281"/>
      <c r="AC595" s="281"/>
      <c r="AD595" s="281"/>
      <c r="AE595" s="281"/>
      <c r="AF595" s="282"/>
      <c r="AG595" s="170"/>
      <c r="AH595" s="152"/>
      <c r="AI595" s="152"/>
      <c r="AJ595" s="152"/>
      <c r="AK595" s="152"/>
      <c r="AL595" s="152"/>
      <c r="AM595" s="152"/>
      <c r="AN595" s="152"/>
      <c r="AO595" s="152"/>
      <c r="AP595" s="152"/>
      <c r="AQ595" s="152"/>
      <c r="AR595" s="152"/>
    </row>
    <row r="596" ht="12.75" customHeight="1">
      <c r="A596" s="288"/>
      <c r="B596" s="288"/>
      <c r="C596" s="288"/>
      <c r="D596" s="152"/>
      <c r="E596" s="289"/>
      <c r="F596" s="289"/>
      <c r="G596" s="152"/>
      <c r="H596" s="152"/>
      <c r="I596" s="152"/>
      <c r="J596" s="152"/>
      <c r="K596" s="289"/>
      <c r="L596" s="289"/>
      <c r="M596" s="152"/>
      <c r="N596" s="152"/>
      <c r="O596" s="156"/>
      <c r="P596" s="152"/>
      <c r="Q596" s="152"/>
      <c r="R596" s="152"/>
      <c r="S596" s="152"/>
      <c r="T596" s="152"/>
      <c r="U596" s="152"/>
      <c r="V596" s="152"/>
      <c r="W596" s="152"/>
      <c r="X596" s="152"/>
      <c r="Y596" s="152"/>
      <c r="Z596" s="281"/>
      <c r="AA596" s="281"/>
      <c r="AB596" s="281"/>
      <c r="AC596" s="281"/>
      <c r="AD596" s="281"/>
      <c r="AE596" s="281"/>
      <c r="AF596" s="282"/>
      <c r="AG596" s="170"/>
      <c r="AH596" s="152"/>
      <c r="AI596" s="152"/>
      <c r="AJ596" s="152"/>
      <c r="AK596" s="152"/>
      <c r="AL596" s="152"/>
      <c r="AM596" s="152"/>
      <c r="AN596" s="152"/>
      <c r="AO596" s="152"/>
      <c r="AP596" s="152"/>
      <c r="AQ596" s="152"/>
      <c r="AR596" s="152"/>
    </row>
    <row r="597" ht="12.75" customHeight="1">
      <c r="A597" s="288"/>
      <c r="B597" s="288"/>
      <c r="C597" s="288"/>
      <c r="D597" s="152"/>
      <c r="E597" s="289"/>
      <c r="F597" s="289"/>
      <c r="G597" s="152"/>
      <c r="H597" s="152"/>
      <c r="I597" s="152"/>
      <c r="J597" s="152"/>
      <c r="K597" s="289"/>
      <c r="L597" s="289"/>
      <c r="M597" s="152"/>
      <c r="N597" s="152"/>
      <c r="O597" s="156"/>
      <c r="P597" s="152"/>
      <c r="Q597" s="152"/>
      <c r="R597" s="152"/>
      <c r="S597" s="152"/>
      <c r="T597" s="152"/>
      <c r="U597" s="152"/>
      <c r="V597" s="152"/>
      <c r="W597" s="152"/>
      <c r="X597" s="152"/>
      <c r="Y597" s="152"/>
      <c r="Z597" s="281"/>
      <c r="AA597" s="281"/>
      <c r="AB597" s="281"/>
      <c r="AC597" s="281"/>
      <c r="AD597" s="281"/>
      <c r="AE597" s="281"/>
      <c r="AF597" s="282"/>
      <c r="AG597" s="170"/>
      <c r="AH597" s="152"/>
      <c r="AI597" s="152"/>
      <c r="AJ597" s="152"/>
      <c r="AK597" s="152"/>
      <c r="AL597" s="152"/>
      <c r="AM597" s="152"/>
      <c r="AN597" s="152"/>
      <c r="AO597" s="152"/>
      <c r="AP597" s="152"/>
      <c r="AQ597" s="152"/>
      <c r="AR597" s="152"/>
    </row>
    <row r="598" ht="12.75" customHeight="1">
      <c r="A598" s="288"/>
      <c r="B598" s="288"/>
      <c r="C598" s="288"/>
      <c r="D598" s="152"/>
      <c r="E598" s="289"/>
      <c r="F598" s="289"/>
      <c r="G598" s="152"/>
      <c r="H598" s="152"/>
      <c r="I598" s="152"/>
      <c r="J598" s="152"/>
      <c r="K598" s="289"/>
      <c r="L598" s="289"/>
      <c r="M598" s="152"/>
      <c r="N598" s="152"/>
      <c r="O598" s="156"/>
      <c r="P598" s="152"/>
      <c r="Q598" s="152"/>
      <c r="R598" s="152"/>
      <c r="S598" s="152"/>
      <c r="T598" s="152"/>
      <c r="U598" s="152"/>
      <c r="V598" s="152"/>
      <c r="W598" s="152"/>
      <c r="X598" s="152"/>
      <c r="Y598" s="152"/>
      <c r="Z598" s="281"/>
      <c r="AA598" s="281"/>
      <c r="AB598" s="281"/>
      <c r="AC598" s="281"/>
      <c r="AD598" s="281"/>
      <c r="AE598" s="281"/>
      <c r="AF598" s="282"/>
      <c r="AG598" s="170"/>
      <c r="AH598" s="152"/>
      <c r="AI598" s="152"/>
      <c r="AJ598" s="152"/>
      <c r="AK598" s="152"/>
      <c r="AL598" s="152"/>
      <c r="AM598" s="152"/>
      <c r="AN598" s="152"/>
      <c r="AO598" s="152"/>
      <c r="AP598" s="152"/>
      <c r="AQ598" s="152"/>
      <c r="AR598" s="152"/>
    </row>
    <row r="599" ht="12.75" customHeight="1">
      <c r="A599" s="288"/>
      <c r="B599" s="288"/>
      <c r="C599" s="288"/>
      <c r="D599" s="152"/>
      <c r="E599" s="289"/>
      <c r="F599" s="289"/>
      <c r="G599" s="152"/>
      <c r="H599" s="152"/>
      <c r="I599" s="152"/>
      <c r="J599" s="152"/>
      <c r="K599" s="289"/>
      <c r="L599" s="289"/>
      <c r="M599" s="152"/>
      <c r="N599" s="152"/>
      <c r="O599" s="156"/>
      <c r="P599" s="152"/>
      <c r="Q599" s="152"/>
      <c r="R599" s="152"/>
      <c r="S599" s="152"/>
      <c r="T599" s="152"/>
      <c r="U599" s="152"/>
      <c r="V599" s="152"/>
      <c r="W599" s="152"/>
      <c r="X599" s="152"/>
      <c r="Y599" s="152"/>
      <c r="Z599" s="281"/>
      <c r="AA599" s="281"/>
      <c r="AB599" s="281"/>
      <c r="AC599" s="281"/>
      <c r="AD599" s="281"/>
      <c r="AE599" s="281"/>
      <c r="AF599" s="282"/>
      <c r="AG599" s="170"/>
      <c r="AH599" s="152"/>
      <c r="AI599" s="152"/>
      <c r="AJ599" s="152"/>
      <c r="AK599" s="152"/>
      <c r="AL599" s="152"/>
      <c r="AM599" s="152"/>
      <c r="AN599" s="152"/>
      <c r="AO599" s="152"/>
      <c r="AP599" s="152"/>
      <c r="AQ599" s="152"/>
      <c r="AR599" s="152"/>
    </row>
    <row r="600" ht="12.75" customHeight="1">
      <c r="A600" s="288"/>
      <c r="B600" s="288"/>
      <c r="C600" s="288"/>
      <c r="D600" s="152"/>
      <c r="E600" s="289"/>
      <c r="F600" s="289"/>
      <c r="G600" s="152"/>
      <c r="H600" s="152"/>
      <c r="I600" s="152"/>
      <c r="J600" s="152"/>
      <c r="K600" s="289"/>
      <c r="L600" s="289"/>
      <c r="M600" s="152"/>
      <c r="N600" s="152"/>
      <c r="O600" s="156"/>
      <c r="P600" s="152"/>
      <c r="Q600" s="152"/>
      <c r="R600" s="152"/>
      <c r="S600" s="152"/>
      <c r="T600" s="152"/>
      <c r="U600" s="152"/>
      <c r="V600" s="152"/>
      <c r="W600" s="152"/>
      <c r="X600" s="152"/>
      <c r="Y600" s="152"/>
      <c r="Z600" s="281"/>
      <c r="AA600" s="281"/>
      <c r="AB600" s="281"/>
      <c r="AC600" s="281"/>
      <c r="AD600" s="281"/>
      <c r="AE600" s="281"/>
      <c r="AF600" s="282"/>
      <c r="AG600" s="170"/>
      <c r="AH600" s="152"/>
      <c r="AI600" s="152"/>
      <c r="AJ600" s="152"/>
      <c r="AK600" s="152"/>
      <c r="AL600" s="152"/>
      <c r="AM600" s="152"/>
      <c r="AN600" s="152"/>
      <c r="AO600" s="152"/>
      <c r="AP600" s="152"/>
      <c r="AQ600" s="152"/>
      <c r="AR600" s="152"/>
    </row>
    <row r="601" ht="12.75" customHeight="1">
      <c r="A601" s="288"/>
      <c r="B601" s="288"/>
      <c r="C601" s="288"/>
      <c r="D601" s="152"/>
      <c r="E601" s="289"/>
      <c r="F601" s="289"/>
      <c r="G601" s="152"/>
      <c r="H601" s="152"/>
      <c r="I601" s="152"/>
      <c r="J601" s="152"/>
      <c r="K601" s="289"/>
      <c r="L601" s="289"/>
      <c r="M601" s="152"/>
      <c r="N601" s="152"/>
      <c r="O601" s="156"/>
      <c r="P601" s="152"/>
      <c r="Q601" s="152"/>
      <c r="R601" s="152"/>
      <c r="S601" s="152"/>
      <c r="T601" s="152"/>
      <c r="U601" s="152"/>
      <c r="V601" s="152"/>
      <c r="W601" s="152"/>
      <c r="X601" s="152"/>
      <c r="Y601" s="152"/>
      <c r="Z601" s="281"/>
      <c r="AA601" s="281"/>
      <c r="AB601" s="281"/>
      <c r="AC601" s="281"/>
      <c r="AD601" s="281"/>
      <c r="AE601" s="281"/>
      <c r="AF601" s="282"/>
      <c r="AG601" s="170"/>
      <c r="AH601" s="152"/>
      <c r="AI601" s="152"/>
      <c r="AJ601" s="152"/>
      <c r="AK601" s="152"/>
      <c r="AL601" s="152"/>
      <c r="AM601" s="152"/>
      <c r="AN601" s="152"/>
      <c r="AO601" s="152"/>
      <c r="AP601" s="152"/>
      <c r="AQ601" s="152"/>
      <c r="AR601" s="152"/>
    </row>
    <row r="602" ht="12.75" customHeight="1">
      <c r="A602" s="288"/>
      <c r="B602" s="288"/>
      <c r="C602" s="288"/>
      <c r="D602" s="152"/>
      <c r="E602" s="289"/>
      <c r="F602" s="289"/>
      <c r="G602" s="152"/>
      <c r="H602" s="152"/>
      <c r="I602" s="152"/>
      <c r="J602" s="152"/>
      <c r="K602" s="289"/>
      <c r="L602" s="289"/>
      <c r="M602" s="152"/>
      <c r="N602" s="152"/>
      <c r="O602" s="156"/>
      <c r="P602" s="152"/>
      <c r="Q602" s="152"/>
      <c r="R602" s="152"/>
      <c r="S602" s="152"/>
      <c r="T602" s="152"/>
      <c r="U602" s="152"/>
      <c r="V602" s="152"/>
      <c r="W602" s="152"/>
      <c r="X602" s="152"/>
      <c r="Y602" s="152"/>
      <c r="Z602" s="281"/>
      <c r="AA602" s="281"/>
      <c r="AB602" s="281"/>
      <c r="AC602" s="281"/>
      <c r="AD602" s="281"/>
      <c r="AE602" s="281"/>
      <c r="AF602" s="282"/>
      <c r="AG602" s="170"/>
      <c r="AH602" s="152"/>
      <c r="AI602" s="152"/>
      <c r="AJ602" s="152"/>
      <c r="AK602" s="152"/>
      <c r="AL602" s="152"/>
      <c r="AM602" s="152"/>
      <c r="AN602" s="152"/>
      <c r="AO602" s="152"/>
      <c r="AP602" s="152"/>
      <c r="AQ602" s="152"/>
      <c r="AR602" s="152"/>
    </row>
    <row r="603" ht="12.75" customHeight="1">
      <c r="A603" s="288"/>
      <c r="B603" s="288"/>
      <c r="C603" s="288"/>
      <c r="D603" s="152"/>
      <c r="E603" s="289"/>
      <c r="F603" s="289"/>
      <c r="G603" s="152"/>
      <c r="H603" s="152"/>
      <c r="I603" s="152"/>
      <c r="J603" s="152"/>
      <c r="K603" s="289"/>
      <c r="L603" s="289"/>
      <c r="M603" s="152"/>
      <c r="N603" s="152"/>
      <c r="O603" s="156"/>
      <c r="P603" s="152"/>
      <c r="Q603" s="152"/>
      <c r="R603" s="152"/>
      <c r="S603" s="152"/>
      <c r="T603" s="152"/>
      <c r="U603" s="152"/>
      <c r="V603" s="152"/>
      <c r="W603" s="152"/>
      <c r="X603" s="152"/>
      <c r="Y603" s="152"/>
      <c r="Z603" s="281"/>
      <c r="AA603" s="281"/>
      <c r="AB603" s="281"/>
      <c r="AC603" s="281"/>
      <c r="AD603" s="281"/>
      <c r="AE603" s="281"/>
      <c r="AF603" s="282"/>
      <c r="AG603" s="170"/>
      <c r="AH603" s="152"/>
      <c r="AI603" s="152"/>
      <c r="AJ603" s="152"/>
      <c r="AK603" s="152"/>
      <c r="AL603" s="152"/>
      <c r="AM603" s="152"/>
      <c r="AN603" s="152"/>
      <c r="AO603" s="152"/>
      <c r="AP603" s="152"/>
      <c r="AQ603" s="152"/>
      <c r="AR603" s="152"/>
    </row>
    <row r="604" ht="12.75" customHeight="1">
      <c r="A604" s="288"/>
      <c r="B604" s="288"/>
      <c r="C604" s="288"/>
      <c r="D604" s="152"/>
      <c r="E604" s="289"/>
      <c r="F604" s="289"/>
      <c r="G604" s="152"/>
      <c r="H604" s="152"/>
      <c r="I604" s="152"/>
      <c r="J604" s="152"/>
      <c r="K604" s="289"/>
      <c r="L604" s="289"/>
      <c r="M604" s="152"/>
      <c r="N604" s="152"/>
      <c r="O604" s="156"/>
      <c r="P604" s="152"/>
      <c r="Q604" s="152"/>
      <c r="R604" s="152"/>
      <c r="S604" s="152"/>
      <c r="T604" s="152"/>
      <c r="U604" s="152"/>
      <c r="V604" s="152"/>
      <c r="W604" s="152"/>
      <c r="X604" s="152"/>
      <c r="Y604" s="152"/>
      <c r="Z604" s="281"/>
      <c r="AA604" s="281"/>
      <c r="AB604" s="281"/>
      <c r="AC604" s="281"/>
      <c r="AD604" s="281"/>
      <c r="AE604" s="281"/>
      <c r="AF604" s="282"/>
      <c r="AG604" s="170"/>
      <c r="AH604" s="152"/>
      <c r="AI604" s="152"/>
      <c r="AJ604" s="152"/>
      <c r="AK604" s="152"/>
      <c r="AL604" s="152"/>
      <c r="AM604" s="152"/>
      <c r="AN604" s="152"/>
      <c r="AO604" s="152"/>
      <c r="AP604" s="152"/>
      <c r="AQ604" s="152"/>
      <c r="AR604" s="152"/>
    </row>
    <row r="605" ht="12.75" customHeight="1">
      <c r="A605" s="288"/>
      <c r="B605" s="288"/>
      <c r="C605" s="288"/>
      <c r="D605" s="152"/>
      <c r="E605" s="289"/>
      <c r="F605" s="289"/>
      <c r="G605" s="152"/>
      <c r="H605" s="152"/>
      <c r="I605" s="152"/>
      <c r="J605" s="152"/>
      <c r="K605" s="289"/>
      <c r="L605" s="289"/>
      <c r="M605" s="152"/>
      <c r="N605" s="152"/>
      <c r="O605" s="156"/>
      <c r="P605" s="152"/>
      <c r="Q605" s="152"/>
      <c r="R605" s="152"/>
      <c r="S605" s="152"/>
      <c r="T605" s="152"/>
      <c r="U605" s="152"/>
      <c r="V605" s="152"/>
      <c r="W605" s="152"/>
      <c r="X605" s="152"/>
      <c r="Y605" s="152"/>
      <c r="Z605" s="281"/>
      <c r="AA605" s="281"/>
      <c r="AB605" s="281"/>
      <c r="AC605" s="281"/>
      <c r="AD605" s="281"/>
      <c r="AE605" s="281"/>
      <c r="AF605" s="282"/>
      <c r="AG605" s="170"/>
      <c r="AH605" s="152"/>
      <c r="AI605" s="152"/>
      <c r="AJ605" s="152"/>
      <c r="AK605" s="152"/>
      <c r="AL605" s="152"/>
      <c r="AM605" s="152"/>
      <c r="AN605" s="152"/>
      <c r="AO605" s="152"/>
      <c r="AP605" s="152"/>
      <c r="AQ605" s="152"/>
      <c r="AR605" s="152"/>
    </row>
    <row r="606" ht="12.75" customHeight="1">
      <c r="A606" s="288"/>
      <c r="B606" s="288"/>
      <c r="C606" s="288"/>
      <c r="D606" s="152"/>
      <c r="E606" s="289"/>
      <c r="F606" s="289"/>
      <c r="G606" s="152"/>
      <c r="H606" s="152"/>
      <c r="I606" s="152"/>
      <c r="J606" s="152"/>
      <c r="K606" s="289"/>
      <c r="L606" s="289"/>
      <c r="M606" s="152"/>
      <c r="N606" s="152"/>
      <c r="O606" s="156"/>
      <c r="P606" s="152"/>
      <c r="Q606" s="152"/>
      <c r="R606" s="152"/>
      <c r="S606" s="152"/>
      <c r="T606" s="152"/>
      <c r="U606" s="152"/>
      <c r="V606" s="152"/>
      <c r="W606" s="152"/>
      <c r="X606" s="152"/>
      <c r="Y606" s="152"/>
      <c r="Z606" s="281"/>
      <c r="AA606" s="281"/>
      <c r="AB606" s="281"/>
      <c r="AC606" s="281"/>
      <c r="AD606" s="281"/>
      <c r="AE606" s="281"/>
      <c r="AF606" s="282"/>
      <c r="AG606" s="170"/>
      <c r="AH606" s="152"/>
      <c r="AI606" s="152"/>
      <c r="AJ606" s="152"/>
      <c r="AK606" s="152"/>
      <c r="AL606" s="152"/>
      <c r="AM606" s="152"/>
      <c r="AN606" s="152"/>
      <c r="AO606" s="152"/>
      <c r="AP606" s="152"/>
      <c r="AQ606" s="152"/>
      <c r="AR606" s="152"/>
    </row>
    <row r="607" ht="12.75" customHeight="1">
      <c r="A607" s="288"/>
      <c r="B607" s="288"/>
      <c r="C607" s="288"/>
      <c r="D607" s="152"/>
      <c r="E607" s="289"/>
      <c r="F607" s="289"/>
      <c r="G607" s="152"/>
      <c r="H607" s="152"/>
      <c r="I607" s="152"/>
      <c r="J607" s="152"/>
      <c r="K607" s="289"/>
      <c r="L607" s="289"/>
      <c r="M607" s="152"/>
      <c r="N607" s="152"/>
      <c r="O607" s="156"/>
      <c r="P607" s="152"/>
      <c r="Q607" s="152"/>
      <c r="R607" s="152"/>
      <c r="S607" s="152"/>
      <c r="T607" s="152"/>
      <c r="U607" s="152"/>
      <c r="V607" s="152"/>
      <c r="W607" s="152"/>
      <c r="X607" s="152"/>
      <c r="Y607" s="152"/>
      <c r="Z607" s="281"/>
      <c r="AA607" s="281"/>
      <c r="AB607" s="281"/>
      <c r="AC607" s="281"/>
      <c r="AD607" s="281"/>
      <c r="AE607" s="281"/>
      <c r="AF607" s="282"/>
      <c r="AG607" s="170"/>
      <c r="AH607" s="152"/>
      <c r="AI607" s="152"/>
      <c r="AJ607" s="152"/>
      <c r="AK607" s="152"/>
      <c r="AL607" s="152"/>
      <c r="AM607" s="152"/>
      <c r="AN607" s="152"/>
      <c r="AO607" s="152"/>
      <c r="AP607" s="152"/>
      <c r="AQ607" s="152"/>
      <c r="AR607" s="152"/>
    </row>
    <row r="608" ht="12.75" customHeight="1">
      <c r="A608" s="288"/>
      <c r="B608" s="288"/>
      <c r="C608" s="288"/>
      <c r="D608" s="152"/>
      <c r="E608" s="289"/>
      <c r="F608" s="289"/>
      <c r="G608" s="152"/>
      <c r="H608" s="152"/>
      <c r="I608" s="152"/>
      <c r="J608" s="152"/>
      <c r="K608" s="289"/>
      <c r="L608" s="289"/>
      <c r="M608" s="152"/>
      <c r="N608" s="152"/>
      <c r="O608" s="156"/>
      <c r="P608" s="152"/>
      <c r="Q608" s="152"/>
      <c r="R608" s="152"/>
      <c r="S608" s="152"/>
      <c r="T608" s="152"/>
      <c r="U608" s="152"/>
      <c r="V608" s="152"/>
      <c r="W608" s="152"/>
      <c r="X608" s="152"/>
      <c r="Y608" s="152"/>
      <c r="Z608" s="281"/>
      <c r="AA608" s="281"/>
      <c r="AB608" s="281"/>
      <c r="AC608" s="281"/>
      <c r="AD608" s="281"/>
      <c r="AE608" s="281"/>
      <c r="AF608" s="282"/>
      <c r="AG608" s="170"/>
      <c r="AH608" s="152"/>
      <c r="AI608" s="152"/>
      <c r="AJ608" s="152"/>
      <c r="AK608" s="152"/>
      <c r="AL608" s="152"/>
      <c r="AM608" s="152"/>
      <c r="AN608" s="152"/>
      <c r="AO608" s="152"/>
      <c r="AP608" s="152"/>
      <c r="AQ608" s="152"/>
      <c r="AR608" s="152"/>
    </row>
    <row r="609" ht="12.75" customHeight="1">
      <c r="A609" s="288"/>
      <c r="B609" s="288"/>
      <c r="C609" s="288"/>
      <c r="D609" s="152"/>
      <c r="E609" s="289"/>
      <c r="F609" s="289"/>
      <c r="G609" s="152"/>
      <c r="H609" s="152"/>
      <c r="I609" s="152"/>
      <c r="J609" s="152"/>
      <c r="K609" s="289"/>
      <c r="L609" s="289"/>
      <c r="M609" s="152"/>
      <c r="N609" s="152"/>
      <c r="O609" s="156"/>
      <c r="P609" s="152"/>
      <c r="Q609" s="152"/>
      <c r="R609" s="152"/>
      <c r="S609" s="152"/>
      <c r="T609" s="152"/>
      <c r="U609" s="152"/>
      <c r="V609" s="152"/>
      <c r="W609" s="152"/>
      <c r="X609" s="152"/>
      <c r="Y609" s="152"/>
      <c r="Z609" s="281"/>
      <c r="AA609" s="281"/>
      <c r="AB609" s="281"/>
      <c r="AC609" s="281"/>
      <c r="AD609" s="281"/>
      <c r="AE609" s="281"/>
      <c r="AF609" s="282"/>
      <c r="AG609" s="170"/>
      <c r="AH609" s="152"/>
      <c r="AI609" s="152"/>
      <c r="AJ609" s="152"/>
      <c r="AK609" s="152"/>
      <c r="AL609" s="152"/>
      <c r="AM609" s="152"/>
      <c r="AN609" s="152"/>
      <c r="AO609" s="152"/>
      <c r="AP609" s="152"/>
      <c r="AQ609" s="152"/>
      <c r="AR609" s="152"/>
    </row>
    <row r="610" ht="12.75" customHeight="1">
      <c r="A610" s="288"/>
      <c r="B610" s="288"/>
      <c r="C610" s="288"/>
      <c r="D610" s="152"/>
      <c r="E610" s="289"/>
      <c r="F610" s="289"/>
      <c r="G610" s="152"/>
      <c r="H610" s="152"/>
      <c r="I610" s="152"/>
      <c r="J610" s="152"/>
      <c r="K610" s="289"/>
      <c r="L610" s="289"/>
      <c r="M610" s="152"/>
      <c r="N610" s="152"/>
      <c r="O610" s="156"/>
      <c r="P610" s="152"/>
      <c r="Q610" s="152"/>
      <c r="R610" s="152"/>
      <c r="S610" s="152"/>
      <c r="T610" s="152"/>
      <c r="U610" s="152"/>
      <c r="V610" s="152"/>
      <c r="W610" s="152"/>
      <c r="X610" s="152"/>
      <c r="Y610" s="152"/>
      <c r="Z610" s="281"/>
      <c r="AA610" s="281"/>
      <c r="AB610" s="281"/>
      <c r="AC610" s="281"/>
      <c r="AD610" s="281"/>
      <c r="AE610" s="281"/>
      <c r="AF610" s="282"/>
      <c r="AG610" s="170"/>
      <c r="AH610" s="152"/>
      <c r="AI610" s="152"/>
      <c r="AJ610" s="152"/>
      <c r="AK610" s="152"/>
      <c r="AL610" s="152"/>
      <c r="AM610" s="152"/>
      <c r="AN610" s="152"/>
      <c r="AO610" s="152"/>
      <c r="AP610" s="152"/>
      <c r="AQ610" s="152"/>
      <c r="AR610" s="152"/>
    </row>
    <row r="611" ht="12.75" customHeight="1">
      <c r="A611" s="288"/>
      <c r="B611" s="288"/>
      <c r="C611" s="288"/>
      <c r="D611" s="152"/>
      <c r="E611" s="289"/>
      <c r="F611" s="289"/>
      <c r="G611" s="152"/>
      <c r="H611" s="152"/>
      <c r="I611" s="152"/>
      <c r="J611" s="152"/>
      <c r="K611" s="289"/>
      <c r="L611" s="289"/>
      <c r="M611" s="152"/>
      <c r="N611" s="152"/>
      <c r="O611" s="156"/>
      <c r="P611" s="152"/>
      <c r="Q611" s="152"/>
      <c r="R611" s="152"/>
      <c r="S611" s="152"/>
      <c r="T611" s="152"/>
      <c r="U611" s="152"/>
      <c r="V611" s="152"/>
      <c r="W611" s="152"/>
      <c r="X611" s="152"/>
      <c r="Y611" s="152"/>
      <c r="Z611" s="281"/>
      <c r="AA611" s="281"/>
      <c r="AB611" s="281"/>
      <c r="AC611" s="281"/>
      <c r="AD611" s="281"/>
      <c r="AE611" s="281"/>
      <c r="AF611" s="282"/>
      <c r="AG611" s="170"/>
      <c r="AH611" s="152"/>
      <c r="AI611" s="152"/>
      <c r="AJ611" s="152"/>
      <c r="AK611" s="152"/>
      <c r="AL611" s="152"/>
      <c r="AM611" s="152"/>
      <c r="AN611" s="152"/>
      <c r="AO611" s="152"/>
      <c r="AP611" s="152"/>
      <c r="AQ611" s="152"/>
      <c r="AR611" s="152"/>
    </row>
    <row r="612" ht="12.75" customHeight="1">
      <c r="A612" s="288"/>
      <c r="B612" s="288"/>
      <c r="C612" s="288"/>
      <c r="D612" s="152"/>
      <c r="E612" s="289"/>
      <c r="F612" s="289"/>
      <c r="G612" s="152"/>
      <c r="H612" s="152"/>
      <c r="I612" s="152"/>
      <c r="J612" s="152"/>
      <c r="K612" s="289"/>
      <c r="L612" s="289"/>
      <c r="M612" s="152"/>
      <c r="N612" s="152"/>
      <c r="O612" s="156"/>
      <c r="P612" s="152"/>
      <c r="Q612" s="152"/>
      <c r="R612" s="152"/>
      <c r="S612" s="152"/>
      <c r="T612" s="152"/>
      <c r="U612" s="152"/>
      <c r="V612" s="152"/>
      <c r="W612" s="152"/>
      <c r="X612" s="152"/>
      <c r="Y612" s="152"/>
      <c r="Z612" s="281"/>
      <c r="AA612" s="281"/>
      <c r="AB612" s="281"/>
      <c r="AC612" s="281"/>
      <c r="AD612" s="281"/>
      <c r="AE612" s="281"/>
      <c r="AF612" s="282"/>
      <c r="AG612" s="170"/>
      <c r="AH612" s="152"/>
      <c r="AI612" s="152"/>
      <c r="AJ612" s="152"/>
      <c r="AK612" s="152"/>
      <c r="AL612" s="152"/>
      <c r="AM612" s="152"/>
      <c r="AN612" s="152"/>
      <c r="AO612" s="152"/>
      <c r="AP612" s="152"/>
      <c r="AQ612" s="152"/>
      <c r="AR612" s="152"/>
    </row>
    <row r="613" ht="12.75" customHeight="1">
      <c r="A613" s="288"/>
      <c r="B613" s="288"/>
      <c r="C613" s="288"/>
      <c r="D613" s="152"/>
      <c r="E613" s="289"/>
      <c r="F613" s="289"/>
      <c r="G613" s="152"/>
      <c r="H613" s="152"/>
      <c r="I613" s="152"/>
      <c r="J613" s="152"/>
      <c r="K613" s="289"/>
      <c r="L613" s="289"/>
      <c r="M613" s="152"/>
      <c r="N613" s="152"/>
      <c r="O613" s="156"/>
      <c r="P613" s="152"/>
      <c r="Q613" s="152"/>
      <c r="R613" s="152"/>
      <c r="S613" s="152"/>
      <c r="T613" s="152"/>
      <c r="U613" s="152"/>
      <c r="V613" s="152"/>
      <c r="W613" s="152"/>
      <c r="X613" s="152"/>
      <c r="Y613" s="152"/>
      <c r="Z613" s="281"/>
      <c r="AA613" s="281"/>
      <c r="AB613" s="281"/>
      <c r="AC613" s="281"/>
      <c r="AD613" s="281"/>
      <c r="AE613" s="281"/>
      <c r="AF613" s="282"/>
      <c r="AG613" s="170"/>
      <c r="AH613" s="152"/>
      <c r="AI613" s="152"/>
      <c r="AJ613" s="152"/>
      <c r="AK613" s="152"/>
      <c r="AL613" s="152"/>
      <c r="AM613" s="152"/>
      <c r="AN613" s="152"/>
      <c r="AO613" s="152"/>
      <c r="AP613" s="152"/>
      <c r="AQ613" s="152"/>
      <c r="AR613" s="152"/>
    </row>
    <row r="614" ht="12.75" customHeight="1">
      <c r="A614" s="288"/>
      <c r="B614" s="288"/>
      <c r="C614" s="288"/>
      <c r="D614" s="152"/>
      <c r="E614" s="289"/>
      <c r="F614" s="289"/>
      <c r="G614" s="152"/>
      <c r="H614" s="152"/>
      <c r="I614" s="152"/>
      <c r="J614" s="152"/>
      <c r="K614" s="289"/>
      <c r="L614" s="289"/>
      <c r="M614" s="152"/>
      <c r="N614" s="152"/>
      <c r="O614" s="156"/>
      <c r="P614" s="152"/>
      <c r="Q614" s="152"/>
      <c r="R614" s="152"/>
      <c r="S614" s="152"/>
      <c r="T614" s="152"/>
      <c r="U614" s="152"/>
      <c r="V614" s="152"/>
      <c r="W614" s="152"/>
      <c r="X614" s="152"/>
      <c r="Y614" s="152"/>
      <c r="Z614" s="281"/>
      <c r="AA614" s="281"/>
      <c r="AB614" s="281"/>
      <c r="AC614" s="281"/>
      <c r="AD614" s="281"/>
      <c r="AE614" s="281"/>
      <c r="AF614" s="282"/>
      <c r="AG614" s="170"/>
      <c r="AH614" s="152"/>
      <c r="AI614" s="152"/>
      <c r="AJ614" s="152"/>
      <c r="AK614" s="152"/>
      <c r="AL614" s="152"/>
      <c r="AM614" s="152"/>
      <c r="AN614" s="152"/>
      <c r="AO614" s="152"/>
      <c r="AP614" s="152"/>
      <c r="AQ614" s="152"/>
      <c r="AR614" s="152"/>
    </row>
    <row r="615" ht="12.75" customHeight="1">
      <c r="A615" s="288"/>
      <c r="B615" s="288"/>
      <c r="C615" s="288"/>
      <c r="D615" s="152"/>
      <c r="E615" s="289"/>
      <c r="F615" s="289"/>
      <c r="G615" s="152"/>
      <c r="H615" s="152"/>
      <c r="I615" s="152"/>
      <c r="J615" s="152"/>
      <c r="K615" s="289"/>
      <c r="L615" s="289"/>
      <c r="M615" s="152"/>
      <c r="N615" s="152"/>
      <c r="O615" s="156"/>
      <c r="P615" s="152"/>
      <c r="Q615" s="152"/>
      <c r="R615" s="152"/>
      <c r="S615" s="152"/>
      <c r="T615" s="152"/>
      <c r="U615" s="152"/>
      <c r="V615" s="152"/>
      <c r="W615" s="152"/>
      <c r="X615" s="152"/>
      <c r="Y615" s="152"/>
      <c r="Z615" s="281"/>
      <c r="AA615" s="281"/>
      <c r="AB615" s="281"/>
      <c r="AC615" s="281"/>
      <c r="AD615" s="281"/>
      <c r="AE615" s="281"/>
      <c r="AF615" s="282"/>
      <c r="AG615" s="170"/>
      <c r="AH615" s="152"/>
      <c r="AI615" s="152"/>
      <c r="AJ615" s="152"/>
      <c r="AK615" s="152"/>
      <c r="AL615" s="152"/>
      <c r="AM615" s="152"/>
      <c r="AN615" s="152"/>
      <c r="AO615" s="152"/>
      <c r="AP615" s="152"/>
      <c r="AQ615" s="152"/>
      <c r="AR615" s="152"/>
    </row>
    <row r="616" ht="12.75" customHeight="1">
      <c r="A616" s="288"/>
      <c r="B616" s="288"/>
      <c r="C616" s="288"/>
      <c r="D616" s="152"/>
      <c r="E616" s="289"/>
      <c r="F616" s="289"/>
      <c r="G616" s="152"/>
      <c r="H616" s="152"/>
      <c r="I616" s="152"/>
      <c r="J616" s="152"/>
      <c r="K616" s="289"/>
      <c r="L616" s="289"/>
      <c r="M616" s="152"/>
      <c r="N616" s="152"/>
      <c r="O616" s="156"/>
      <c r="P616" s="152"/>
      <c r="Q616" s="152"/>
      <c r="R616" s="152"/>
      <c r="S616" s="152"/>
      <c r="T616" s="152"/>
      <c r="U616" s="152"/>
      <c r="V616" s="152"/>
      <c r="W616" s="152"/>
      <c r="X616" s="152"/>
      <c r="Y616" s="152"/>
      <c r="Z616" s="281"/>
      <c r="AA616" s="281"/>
      <c r="AB616" s="281"/>
      <c r="AC616" s="281"/>
      <c r="AD616" s="281"/>
      <c r="AE616" s="281"/>
      <c r="AF616" s="282"/>
      <c r="AG616" s="170"/>
      <c r="AH616" s="152"/>
      <c r="AI616" s="152"/>
      <c r="AJ616" s="152"/>
      <c r="AK616" s="152"/>
      <c r="AL616" s="152"/>
      <c r="AM616" s="152"/>
      <c r="AN616" s="152"/>
      <c r="AO616" s="152"/>
      <c r="AP616" s="152"/>
      <c r="AQ616" s="152"/>
      <c r="AR616" s="152"/>
    </row>
    <row r="617" ht="12.75" customHeight="1">
      <c r="A617" s="288"/>
      <c r="B617" s="288"/>
      <c r="C617" s="288"/>
      <c r="D617" s="152"/>
      <c r="E617" s="289"/>
      <c r="F617" s="289"/>
      <c r="G617" s="152"/>
      <c r="H617" s="152"/>
      <c r="I617" s="152"/>
      <c r="J617" s="152"/>
      <c r="K617" s="289"/>
      <c r="L617" s="289"/>
      <c r="M617" s="152"/>
      <c r="N617" s="152"/>
      <c r="O617" s="156"/>
      <c r="P617" s="152"/>
      <c r="Q617" s="152"/>
      <c r="R617" s="152"/>
      <c r="S617" s="152"/>
      <c r="T617" s="152"/>
      <c r="U617" s="152"/>
      <c r="V617" s="152"/>
      <c r="W617" s="152"/>
      <c r="X617" s="152"/>
      <c r="Y617" s="152"/>
      <c r="Z617" s="281"/>
      <c r="AA617" s="281"/>
      <c r="AB617" s="281"/>
      <c r="AC617" s="281"/>
      <c r="AD617" s="281"/>
      <c r="AE617" s="281"/>
      <c r="AF617" s="282"/>
      <c r="AG617" s="170"/>
      <c r="AH617" s="152"/>
      <c r="AI617" s="152"/>
      <c r="AJ617" s="152"/>
      <c r="AK617" s="152"/>
      <c r="AL617" s="152"/>
      <c r="AM617" s="152"/>
      <c r="AN617" s="152"/>
      <c r="AO617" s="152"/>
      <c r="AP617" s="152"/>
      <c r="AQ617" s="152"/>
      <c r="AR617" s="152"/>
    </row>
    <row r="618" ht="12.75" customHeight="1">
      <c r="A618" s="288"/>
      <c r="B618" s="288"/>
      <c r="C618" s="288"/>
      <c r="D618" s="152"/>
      <c r="E618" s="289"/>
      <c r="F618" s="289"/>
      <c r="G618" s="152"/>
      <c r="H618" s="152"/>
      <c r="I618" s="152"/>
      <c r="J618" s="152"/>
      <c r="K618" s="289"/>
      <c r="L618" s="289"/>
      <c r="M618" s="152"/>
      <c r="N618" s="152"/>
      <c r="O618" s="156"/>
      <c r="P618" s="152"/>
      <c r="Q618" s="152"/>
      <c r="R618" s="152"/>
      <c r="S618" s="152"/>
      <c r="T618" s="152"/>
      <c r="U618" s="152"/>
      <c r="V618" s="152"/>
      <c r="W618" s="152"/>
      <c r="X618" s="152"/>
      <c r="Y618" s="152"/>
      <c r="Z618" s="281"/>
      <c r="AA618" s="281"/>
      <c r="AB618" s="281"/>
      <c r="AC618" s="281"/>
      <c r="AD618" s="281"/>
      <c r="AE618" s="281"/>
      <c r="AF618" s="282"/>
      <c r="AG618" s="170"/>
      <c r="AH618" s="152"/>
      <c r="AI618" s="152"/>
      <c r="AJ618" s="152"/>
      <c r="AK618" s="152"/>
      <c r="AL618" s="152"/>
      <c r="AM618" s="152"/>
      <c r="AN618" s="152"/>
      <c r="AO618" s="152"/>
      <c r="AP618" s="152"/>
      <c r="AQ618" s="152"/>
      <c r="AR618" s="152"/>
    </row>
    <row r="619" ht="12.75" customHeight="1">
      <c r="A619" s="288"/>
      <c r="B619" s="288"/>
      <c r="C619" s="288"/>
      <c r="D619" s="152"/>
      <c r="E619" s="289"/>
      <c r="F619" s="289"/>
      <c r="G619" s="152"/>
      <c r="H619" s="152"/>
      <c r="I619" s="152"/>
      <c r="J619" s="152"/>
      <c r="K619" s="289"/>
      <c r="L619" s="289"/>
      <c r="M619" s="152"/>
      <c r="N619" s="152"/>
      <c r="O619" s="156"/>
      <c r="P619" s="152"/>
      <c r="Q619" s="152"/>
      <c r="R619" s="152"/>
      <c r="S619" s="152"/>
      <c r="T619" s="152"/>
      <c r="U619" s="152"/>
      <c r="V619" s="152"/>
      <c r="W619" s="152"/>
      <c r="X619" s="152"/>
      <c r="Y619" s="152"/>
      <c r="Z619" s="281"/>
      <c r="AA619" s="281"/>
      <c r="AB619" s="281"/>
      <c r="AC619" s="281"/>
      <c r="AD619" s="281"/>
      <c r="AE619" s="281"/>
      <c r="AF619" s="282"/>
      <c r="AG619" s="170"/>
      <c r="AH619" s="152"/>
      <c r="AI619" s="152"/>
      <c r="AJ619" s="152"/>
      <c r="AK619" s="152"/>
      <c r="AL619" s="152"/>
      <c r="AM619" s="152"/>
      <c r="AN619" s="152"/>
      <c r="AO619" s="152"/>
      <c r="AP619" s="152"/>
      <c r="AQ619" s="152"/>
      <c r="AR619" s="152"/>
    </row>
    <row r="620" ht="12.75" customHeight="1">
      <c r="A620" s="288"/>
      <c r="B620" s="288"/>
      <c r="C620" s="288"/>
      <c r="D620" s="152"/>
      <c r="E620" s="289"/>
      <c r="F620" s="289"/>
      <c r="G620" s="152"/>
      <c r="H620" s="152"/>
      <c r="I620" s="152"/>
      <c r="J620" s="152"/>
      <c r="K620" s="289"/>
      <c r="L620" s="289"/>
      <c r="M620" s="152"/>
      <c r="N620" s="152"/>
      <c r="O620" s="156"/>
      <c r="P620" s="152"/>
      <c r="Q620" s="152"/>
      <c r="R620" s="152"/>
      <c r="S620" s="152"/>
      <c r="T620" s="152"/>
      <c r="U620" s="152"/>
      <c r="V620" s="152"/>
      <c r="W620" s="152"/>
      <c r="X620" s="152"/>
      <c r="Y620" s="152"/>
      <c r="Z620" s="281"/>
      <c r="AA620" s="281"/>
      <c r="AB620" s="281"/>
      <c r="AC620" s="281"/>
      <c r="AD620" s="281"/>
      <c r="AE620" s="281"/>
      <c r="AF620" s="282"/>
      <c r="AG620" s="170"/>
      <c r="AH620" s="152"/>
      <c r="AI620" s="152"/>
      <c r="AJ620" s="152"/>
      <c r="AK620" s="152"/>
      <c r="AL620" s="152"/>
      <c r="AM620" s="152"/>
      <c r="AN620" s="152"/>
      <c r="AO620" s="152"/>
      <c r="AP620" s="152"/>
      <c r="AQ620" s="152"/>
      <c r="AR620" s="152"/>
    </row>
    <row r="621" ht="12.75" customHeight="1">
      <c r="A621" s="288"/>
      <c r="B621" s="288"/>
      <c r="C621" s="288"/>
      <c r="D621" s="152"/>
      <c r="E621" s="289"/>
      <c r="F621" s="289"/>
      <c r="G621" s="152"/>
      <c r="H621" s="152"/>
      <c r="I621" s="152"/>
      <c r="J621" s="152"/>
      <c r="K621" s="289"/>
      <c r="L621" s="289"/>
      <c r="M621" s="152"/>
      <c r="N621" s="152"/>
      <c r="O621" s="156"/>
      <c r="P621" s="152"/>
      <c r="Q621" s="152"/>
      <c r="R621" s="152"/>
      <c r="S621" s="152"/>
      <c r="T621" s="152"/>
      <c r="U621" s="152"/>
      <c r="V621" s="152"/>
      <c r="W621" s="152"/>
      <c r="X621" s="152"/>
      <c r="Y621" s="152"/>
      <c r="Z621" s="281"/>
      <c r="AA621" s="281"/>
      <c r="AB621" s="281"/>
      <c r="AC621" s="281"/>
      <c r="AD621" s="281"/>
      <c r="AE621" s="281"/>
      <c r="AF621" s="282"/>
      <c r="AG621" s="170"/>
      <c r="AH621" s="152"/>
      <c r="AI621" s="152"/>
      <c r="AJ621" s="152"/>
      <c r="AK621" s="152"/>
      <c r="AL621" s="152"/>
      <c r="AM621" s="152"/>
      <c r="AN621" s="152"/>
      <c r="AO621" s="152"/>
      <c r="AP621" s="152"/>
      <c r="AQ621" s="152"/>
      <c r="AR621" s="152"/>
    </row>
    <row r="622" ht="12.75" customHeight="1">
      <c r="A622" s="288"/>
      <c r="B622" s="288"/>
      <c r="C622" s="288"/>
      <c r="D622" s="152"/>
      <c r="E622" s="289"/>
      <c r="F622" s="289"/>
      <c r="G622" s="152"/>
      <c r="H622" s="152"/>
      <c r="I622" s="152"/>
      <c r="J622" s="152"/>
      <c r="K622" s="289"/>
      <c r="L622" s="289"/>
      <c r="M622" s="152"/>
      <c r="N622" s="152"/>
      <c r="O622" s="156"/>
      <c r="P622" s="152"/>
      <c r="Q622" s="152"/>
      <c r="R622" s="152"/>
      <c r="S622" s="152"/>
      <c r="T622" s="152"/>
      <c r="U622" s="152"/>
      <c r="V622" s="152"/>
      <c r="W622" s="152"/>
      <c r="X622" s="152"/>
      <c r="Y622" s="152"/>
      <c r="Z622" s="281"/>
      <c r="AA622" s="281"/>
      <c r="AB622" s="281"/>
      <c r="AC622" s="281"/>
      <c r="AD622" s="281"/>
      <c r="AE622" s="281"/>
      <c r="AF622" s="282"/>
      <c r="AG622" s="170"/>
      <c r="AH622" s="152"/>
      <c r="AI622" s="152"/>
      <c r="AJ622" s="152"/>
      <c r="AK622" s="152"/>
      <c r="AL622" s="152"/>
      <c r="AM622" s="152"/>
      <c r="AN622" s="152"/>
      <c r="AO622" s="152"/>
      <c r="AP622" s="152"/>
      <c r="AQ622" s="152"/>
      <c r="AR622" s="152"/>
    </row>
    <row r="623" ht="12.75" customHeight="1">
      <c r="A623" s="288"/>
      <c r="B623" s="288"/>
      <c r="C623" s="288"/>
      <c r="D623" s="152"/>
      <c r="E623" s="289"/>
      <c r="F623" s="289"/>
      <c r="G623" s="152"/>
      <c r="H623" s="152"/>
      <c r="I623" s="152"/>
      <c r="J623" s="152"/>
      <c r="K623" s="289"/>
      <c r="L623" s="289"/>
      <c r="M623" s="152"/>
      <c r="N623" s="152"/>
      <c r="O623" s="156"/>
      <c r="P623" s="152"/>
      <c r="Q623" s="152"/>
      <c r="R623" s="152"/>
      <c r="S623" s="152"/>
      <c r="T623" s="152"/>
      <c r="U623" s="152"/>
      <c r="V623" s="152"/>
      <c r="W623" s="152"/>
      <c r="X623" s="152"/>
      <c r="Y623" s="152"/>
      <c r="Z623" s="281"/>
      <c r="AA623" s="281"/>
      <c r="AB623" s="281"/>
      <c r="AC623" s="281"/>
      <c r="AD623" s="281"/>
      <c r="AE623" s="281"/>
      <c r="AF623" s="282"/>
      <c r="AG623" s="170"/>
      <c r="AH623" s="152"/>
      <c r="AI623" s="152"/>
      <c r="AJ623" s="152"/>
      <c r="AK623" s="152"/>
      <c r="AL623" s="152"/>
      <c r="AM623" s="152"/>
      <c r="AN623" s="152"/>
      <c r="AO623" s="152"/>
      <c r="AP623" s="152"/>
      <c r="AQ623" s="152"/>
      <c r="AR623" s="152"/>
    </row>
    <row r="624" ht="12.75" customHeight="1">
      <c r="A624" s="288"/>
      <c r="B624" s="288"/>
      <c r="C624" s="288"/>
      <c r="D624" s="152"/>
      <c r="E624" s="289"/>
      <c r="F624" s="289"/>
      <c r="G624" s="152"/>
      <c r="H624" s="152"/>
      <c r="I624" s="152"/>
      <c r="J624" s="152"/>
      <c r="K624" s="289"/>
      <c r="L624" s="289"/>
      <c r="M624" s="152"/>
      <c r="N624" s="152"/>
      <c r="O624" s="156"/>
      <c r="P624" s="152"/>
      <c r="Q624" s="152"/>
      <c r="R624" s="152"/>
      <c r="S624" s="152"/>
      <c r="T624" s="152"/>
      <c r="U624" s="152"/>
      <c r="V624" s="152"/>
      <c r="W624" s="152"/>
      <c r="X624" s="152"/>
      <c r="Y624" s="152"/>
      <c r="Z624" s="281"/>
      <c r="AA624" s="281"/>
      <c r="AB624" s="281"/>
      <c r="AC624" s="281"/>
      <c r="AD624" s="281"/>
      <c r="AE624" s="281"/>
      <c r="AF624" s="282"/>
      <c r="AG624" s="170"/>
      <c r="AH624" s="152"/>
      <c r="AI624" s="152"/>
      <c r="AJ624" s="152"/>
      <c r="AK624" s="152"/>
      <c r="AL624" s="152"/>
      <c r="AM624" s="152"/>
      <c r="AN624" s="152"/>
      <c r="AO624" s="152"/>
      <c r="AP624" s="152"/>
      <c r="AQ624" s="152"/>
      <c r="AR624" s="152"/>
    </row>
    <row r="625" ht="12.75" customHeight="1">
      <c r="A625" s="288"/>
      <c r="B625" s="288"/>
      <c r="C625" s="288"/>
      <c r="D625" s="152"/>
      <c r="E625" s="289"/>
      <c r="F625" s="289"/>
      <c r="G625" s="152"/>
      <c r="H625" s="152"/>
      <c r="I625" s="152"/>
      <c r="J625" s="152"/>
      <c r="K625" s="289"/>
      <c r="L625" s="289"/>
      <c r="M625" s="152"/>
      <c r="N625" s="152"/>
      <c r="O625" s="156"/>
      <c r="P625" s="152"/>
      <c r="Q625" s="152"/>
      <c r="R625" s="152"/>
      <c r="S625" s="152"/>
      <c r="T625" s="152"/>
      <c r="U625" s="152"/>
      <c r="V625" s="152"/>
      <c r="W625" s="152"/>
      <c r="X625" s="152"/>
      <c r="Y625" s="152"/>
      <c r="Z625" s="281"/>
      <c r="AA625" s="281"/>
      <c r="AB625" s="281"/>
      <c r="AC625" s="281"/>
      <c r="AD625" s="281"/>
      <c r="AE625" s="281"/>
      <c r="AF625" s="282"/>
      <c r="AG625" s="170"/>
      <c r="AH625" s="152"/>
      <c r="AI625" s="152"/>
      <c r="AJ625" s="152"/>
      <c r="AK625" s="152"/>
      <c r="AL625" s="152"/>
      <c r="AM625" s="152"/>
      <c r="AN625" s="152"/>
      <c r="AO625" s="152"/>
      <c r="AP625" s="152"/>
      <c r="AQ625" s="152"/>
      <c r="AR625" s="152"/>
    </row>
    <row r="626" ht="12.75" customHeight="1">
      <c r="A626" s="288"/>
      <c r="B626" s="288"/>
      <c r="C626" s="288"/>
      <c r="D626" s="152"/>
      <c r="E626" s="289"/>
      <c r="F626" s="289"/>
      <c r="G626" s="152"/>
      <c r="H626" s="152"/>
      <c r="I626" s="152"/>
      <c r="J626" s="152"/>
      <c r="K626" s="289"/>
      <c r="L626" s="289"/>
      <c r="M626" s="152"/>
      <c r="N626" s="152"/>
      <c r="O626" s="156"/>
      <c r="P626" s="152"/>
      <c r="Q626" s="152"/>
      <c r="R626" s="152"/>
      <c r="S626" s="152"/>
      <c r="T626" s="152"/>
      <c r="U626" s="152"/>
      <c r="V626" s="152"/>
      <c r="W626" s="152"/>
      <c r="X626" s="152"/>
      <c r="Y626" s="152"/>
      <c r="Z626" s="281"/>
      <c r="AA626" s="281"/>
      <c r="AB626" s="281"/>
      <c r="AC626" s="281"/>
      <c r="AD626" s="281"/>
      <c r="AE626" s="281"/>
      <c r="AF626" s="282"/>
      <c r="AG626" s="170"/>
      <c r="AH626" s="152"/>
      <c r="AI626" s="152"/>
      <c r="AJ626" s="152"/>
      <c r="AK626" s="152"/>
      <c r="AL626" s="152"/>
      <c r="AM626" s="152"/>
      <c r="AN626" s="152"/>
      <c r="AO626" s="152"/>
      <c r="AP626" s="152"/>
      <c r="AQ626" s="152"/>
      <c r="AR626" s="152"/>
    </row>
    <row r="627" ht="12.75" customHeight="1">
      <c r="A627" s="288"/>
      <c r="B627" s="288"/>
      <c r="C627" s="288"/>
      <c r="D627" s="152"/>
      <c r="E627" s="289"/>
      <c r="F627" s="289"/>
      <c r="G627" s="152"/>
      <c r="H627" s="152"/>
      <c r="I627" s="152"/>
      <c r="J627" s="152"/>
      <c r="K627" s="289"/>
      <c r="L627" s="289"/>
      <c r="M627" s="152"/>
      <c r="N627" s="152"/>
      <c r="O627" s="156"/>
      <c r="P627" s="152"/>
      <c r="Q627" s="152"/>
      <c r="R627" s="152"/>
      <c r="S627" s="152"/>
      <c r="T627" s="152"/>
      <c r="U627" s="152"/>
      <c r="V627" s="152"/>
      <c r="W627" s="152"/>
      <c r="X627" s="152"/>
      <c r="Y627" s="152"/>
      <c r="Z627" s="281"/>
      <c r="AA627" s="281"/>
      <c r="AB627" s="281"/>
      <c r="AC627" s="281"/>
      <c r="AD627" s="281"/>
      <c r="AE627" s="281"/>
      <c r="AF627" s="282"/>
      <c r="AG627" s="170"/>
      <c r="AH627" s="152"/>
      <c r="AI627" s="152"/>
      <c r="AJ627" s="152"/>
      <c r="AK627" s="152"/>
      <c r="AL627" s="152"/>
      <c r="AM627" s="152"/>
      <c r="AN627" s="152"/>
      <c r="AO627" s="152"/>
      <c r="AP627" s="152"/>
      <c r="AQ627" s="152"/>
      <c r="AR627" s="152"/>
    </row>
    <row r="628" ht="12.75" customHeight="1">
      <c r="A628" s="288"/>
      <c r="B628" s="288"/>
      <c r="C628" s="288"/>
      <c r="D628" s="152"/>
      <c r="E628" s="289"/>
      <c r="F628" s="289"/>
      <c r="G628" s="152"/>
      <c r="H628" s="152"/>
      <c r="I628" s="152"/>
      <c r="J628" s="152"/>
      <c r="K628" s="289"/>
      <c r="L628" s="289"/>
      <c r="M628" s="152"/>
      <c r="N628" s="152"/>
      <c r="O628" s="156"/>
      <c r="P628" s="152"/>
      <c r="Q628" s="152"/>
      <c r="R628" s="152"/>
      <c r="S628" s="152"/>
      <c r="T628" s="152"/>
      <c r="U628" s="152"/>
      <c r="V628" s="152"/>
      <c r="W628" s="152"/>
      <c r="X628" s="152"/>
      <c r="Y628" s="152"/>
      <c r="Z628" s="281"/>
      <c r="AA628" s="281"/>
      <c r="AB628" s="281"/>
      <c r="AC628" s="281"/>
      <c r="AD628" s="281"/>
      <c r="AE628" s="281"/>
      <c r="AF628" s="282"/>
      <c r="AG628" s="170"/>
      <c r="AH628" s="152"/>
      <c r="AI628" s="152"/>
      <c r="AJ628" s="152"/>
      <c r="AK628" s="152"/>
      <c r="AL628" s="152"/>
      <c r="AM628" s="152"/>
      <c r="AN628" s="152"/>
      <c r="AO628" s="152"/>
      <c r="AP628" s="152"/>
      <c r="AQ628" s="152"/>
      <c r="AR628" s="152"/>
    </row>
    <row r="629" ht="12.75" customHeight="1">
      <c r="A629" s="288"/>
      <c r="B629" s="288"/>
      <c r="C629" s="288"/>
      <c r="D629" s="152"/>
      <c r="E629" s="289"/>
      <c r="F629" s="289"/>
      <c r="G629" s="152"/>
      <c r="H629" s="152"/>
      <c r="I629" s="152"/>
      <c r="J629" s="152"/>
      <c r="K629" s="289"/>
      <c r="L629" s="289"/>
      <c r="M629" s="152"/>
      <c r="N629" s="152"/>
      <c r="O629" s="156"/>
      <c r="P629" s="152"/>
      <c r="Q629" s="152"/>
      <c r="R629" s="152"/>
      <c r="S629" s="152"/>
      <c r="T629" s="152"/>
      <c r="U629" s="152"/>
      <c r="V629" s="152"/>
      <c r="W629" s="152"/>
      <c r="X629" s="152"/>
      <c r="Y629" s="152"/>
      <c r="Z629" s="281"/>
      <c r="AA629" s="281"/>
      <c r="AB629" s="281"/>
      <c r="AC629" s="281"/>
      <c r="AD629" s="281"/>
      <c r="AE629" s="281"/>
      <c r="AF629" s="282"/>
      <c r="AG629" s="170"/>
      <c r="AH629" s="152"/>
      <c r="AI629" s="152"/>
      <c r="AJ629" s="152"/>
      <c r="AK629" s="152"/>
      <c r="AL629" s="152"/>
      <c r="AM629" s="152"/>
      <c r="AN629" s="152"/>
      <c r="AO629" s="152"/>
      <c r="AP629" s="152"/>
      <c r="AQ629" s="152"/>
      <c r="AR629" s="152"/>
    </row>
    <row r="630" ht="12.75" customHeight="1">
      <c r="A630" s="288"/>
      <c r="B630" s="288"/>
      <c r="C630" s="288"/>
      <c r="D630" s="152"/>
      <c r="E630" s="289"/>
      <c r="F630" s="289"/>
      <c r="G630" s="152"/>
      <c r="H630" s="152"/>
      <c r="I630" s="152"/>
      <c r="J630" s="152"/>
      <c r="K630" s="289"/>
      <c r="L630" s="289"/>
      <c r="M630" s="152"/>
      <c r="N630" s="152"/>
      <c r="O630" s="156"/>
      <c r="P630" s="152"/>
      <c r="Q630" s="152"/>
      <c r="R630" s="152"/>
      <c r="S630" s="152"/>
      <c r="T630" s="152"/>
      <c r="U630" s="152"/>
      <c r="V630" s="152"/>
      <c r="W630" s="152"/>
      <c r="X630" s="152"/>
      <c r="Y630" s="152"/>
      <c r="Z630" s="281"/>
      <c r="AA630" s="281"/>
      <c r="AB630" s="281"/>
      <c r="AC630" s="281"/>
      <c r="AD630" s="281"/>
      <c r="AE630" s="281"/>
      <c r="AF630" s="282"/>
      <c r="AG630" s="170"/>
      <c r="AH630" s="152"/>
      <c r="AI630" s="152"/>
      <c r="AJ630" s="152"/>
      <c r="AK630" s="152"/>
      <c r="AL630" s="152"/>
      <c r="AM630" s="152"/>
      <c r="AN630" s="152"/>
      <c r="AO630" s="152"/>
      <c r="AP630" s="152"/>
      <c r="AQ630" s="152"/>
      <c r="AR630" s="152"/>
    </row>
    <row r="631" ht="12.75" customHeight="1">
      <c r="A631" s="288"/>
      <c r="B631" s="288"/>
      <c r="C631" s="288"/>
      <c r="D631" s="152"/>
      <c r="E631" s="289"/>
      <c r="F631" s="289"/>
      <c r="G631" s="152"/>
      <c r="H631" s="152"/>
      <c r="I631" s="152"/>
      <c r="J631" s="152"/>
      <c r="K631" s="289"/>
      <c r="L631" s="289"/>
      <c r="M631" s="152"/>
      <c r="N631" s="152"/>
      <c r="O631" s="156"/>
      <c r="P631" s="152"/>
      <c r="Q631" s="152"/>
      <c r="R631" s="152"/>
      <c r="S631" s="152"/>
      <c r="T631" s="152"/>
      <c r="U631" s="152"/>
      <c r="V631" s="152"/>
      <c r="W631" s="152"/>
      <c r="X631" s="152"/>
      <c r="Y631" s="152"/>
      <c r="Z631" s="281"/>
      <c r="AA631" s="281"/>
      <c r="AB631" s="281"/>
      <c r="AC631" s="281"/>
      <c r="AD631" s="281"/>
      <c r="AE631" s="281"/>
      <c r="AF631" s="282"/>
      <c r="AG631" s="170"/>
      <c r="AH631" s="152"/>
      <c r="AI631" s="152"/>
      <c r="AJ631" s="152"/>
      <c r="AK631" s="152"/>
      <c r="AL631" s="152"/>
      <c r="AM631" s="152"/>
      <c r="AN631" s="152"/>
      <c r="AO631" s="152"/>
      <c r="AP631" s="152"/>
      <c r="AQ631" s="152"/>
      <c r="AR631" s="152"/>
    </row>
    <row r="632" ht="12.75" customHeight="1">
      <c r="A632" s="288"/>
      <c r="B632" s="288"/>
      <c r="C632" s="288"/>
      <c r="D632" s="152"/>
      <c r="E632" s="289"/>
      <c r="F632" s="289"/>
      <c r="G632" s="152"/>
      <c r="H632" s="152"/>
      <c r="I632" s="152"/>
      <c r="J632" s="152"/>
      <c r="K632" s="289"/>
      <c r="L632" s="289"/>
      <c r="M632" s="152"/>
      <c r="N632" s="152"/>
      <c r="O632" s="156"/>
      <c r="P632" s="152"/>
      <c r="Q632" s="152"/>
      <c r="R632" s="152"/>
      <c r="S632" s="152"/>
      <c r="T632" s="152"/>
      <c r="U632" s="152"/>
      <c r="V632" s="152"/>
      <c r="W632" s="152"/>
      <c r="X632" s="152"/>
      <c r="Y632" s="152"/>
      <c r="Z632" s="281"/>
      <c r="AA632" s="281"/>
      <c r="AB632" s="281"/>
      <c r="AC632" s="281"/>
      <c r="AD632" s="281"/>
      <c r="AE632" s="281"/>
      <c r="AF632" s="282"/>
      <c r="AG632" s="170"/>
      <c r="AH632" s="152"/>
      <c r="AI632" s="152"/>
      <c r="AJ632" s="152"/>
      <c r="AK632" s="152"/>
      <c r="AL632" s="152"/>
      <c r="AM632" s="152"/>
      <c r="AN632" s="152"/>
      <c r="AO632" s="152"/>
      <c r="AP632" s="152"/>
      <c r="AQ632" s="152"/>
      <c r="AR632" s="152"/>
    </row>
    <row r="633" ht="12.75" customHeight="1">
      <c r="A633" s="288"/>
      <c r="B633" s="288"/>
      <c r="C633" s="288"/>
      <c r="D633" s="152"/>
      <c r="E633" s="289"/>
      <c r="F633" s="289"/>
      <c r="G633" s="152"/>
      <c r="H633" s="152"/>
      <c r="I633" s="152"/>
      <c r="J633" s="152"/>
      <c r="K633" s="289"/>
      <c r="L633" s="289"/>
      <c r="M633" s="152"/>
      <c r="N633" s="152"/>
      <c r="O633" s="156"/>
      <c r="P633" s="152"/>
      <c r="Q633" s="152"/>
      <c r="R633" s="152"/>
      <c r="S633" s="152"/>
      <c r="T633" s="152"/>
      <c r="U633" s="152"/>
      <c r="V633" s="152"/>
      <c r="W633" s="152"/>
      <c r="X633" s="152"/>
      <c r="Y633" s="152"/>
      <c r="Z633" s="281"/>
      <c r="AA633" s="281"/>
      <c r="AB633" s="281"/>
      <c r="AC633" s="281"/>
      <c r="AD633" s="281"/>
      <c r="AE633" s="281"/>
      <c r="AF633" s="282"/>
      <c r="AG633" s="170"/>
      <c r="AH633" s="152"/>
      <c r="AI633" s="152"/>
      <c r="AJ633" s="152"/>
      <c r="AK633" s="152"/>
      <c r="AL633" s="152"/>
      <c r="AM633" s="152"/>
      <c r="AN633" s="152"/>
      <c r="AO633" s="152"/>
      <c r="AP633" s="152"/>
      <c r="AQ633" s="152"/>
      <c r="AR633" s="152"/>
    </row>
    <row r="634" ht="12.75" customHeight="1">
      <c r="A634" s="288"/>
      <c r="B634" s="288"/>
      <c r="C634" s="288"/>
      <c r="D634" s="152"/>
      <c r="E634" s="289"/>
      <c r="F634" s="289"/>
      <c r="G634" s="152"/>
      <c r="H634" s="152"/>
      <c r="I634" s="152"/>
      <c r="J634" s="152"/>
      <c r="K634" s="289"/>
      <c r="L634" s="289"/>
      <c r="M634" s="152"/>
      <c r="N634" s="152"/>
      <c r="O634" s="156"/>
      <c r="P634" s="152"/>
      <c r="Q634" s="152"/>
      <c r="R634" s="152"/>
      <c r="S634" s="152"/>
      <c r="T634" s="152"/>
      <c r="U634" s="152"/>
      <c r="V634" s="152"/>
      <c r="W634" s="152"/>
      <c r="X634" s="152"/>
      <c r="Y634" s="152"/>
      <c r="Z634" s="281"/>
      <c r="AA634" s="281"/>
      <c r="AB634" s="281"/>
      <c r="AC634" s="281"/>
      <c r="AD634" s="281"/>
      <c r="AE634" s="281"/>
      <c r="AF634" s="282"/>
      <c r="AG634" s="170"/>
      <c r="AH634" s="152"/>
      <c r="AI634" s="152"/>
      <c r="AJ634" s="152"/>
      <c r="AK634" s="152"/>
      <c r="AL634" s="152"/>
      <c r="AM634" s="152"/>
      <c r="AN634" s="152"/>
      <c r="AO634" s="152"/>
      <c r="AP634" s="152"/>
      <c r="AQ634" s="152"/>
      <c r="AR634" s="152"/>
    </row>
    <row r="635" ht="12.75" customHeight="1">
      <c r="A635" s="288"/>
      <c r="B635" s="288"/>
      <c r="C635" s="288"/>
      <c r="D635" s="152"/>
      <c r="E635" s="289"/>
      <c r="F635" s="289"/>
      <c r="G635" s="152"/>
      <c r="H635" s="152"/>
      <c r="I635" s="152"/>
      <c r="J635" s="152"/>
      <c r="K635" s="289"/>
      <c r="L635" s="289"/>
      <c r="M635" s="152"/>
      <c r="N635" s="152"/>
      <c r="O635" s="156"/>
      <c r="P635" s="152"/>
      <c r="Q635" s="152"/>
      <c r="R635" s="152"/>
      <c r="S635" s="152"/>
      <c r="T635" s="152"/>
      <c r="U635" s="152"/>
      <c r="V635" s="152"/>
      <c r="W635" s="152"/>
      <c r="X635" s="152"/>
      <c r="Y635" s="152"/>
      <c r="Z635" s="281"/>
      <c r="AA635" s="281"/>
      <c r="AB635" s="281"/>
      <c r="AC635" s="281"/>
      <c r="AD635" s="281"/>
      <c r="AE635" s="281"/>
      <c r="AF635" s="282"/>
      <c r="AG635" s="170"/>
      <c r="AH635" s="152"/>
      <c r="AI635" s="152"/>
      <c r="AJ635" s="152"/>
      <c r="AK635" s="152"/>
      <c r="AL635" s="152"/>
      <c r="AM635" s="152"/>
      <c r="AN635" s="152"/>
      <c r="AO635" s="152"/>
      <c r="AP635" s="152"/>
      <c r="AQ635" s="152"/>
      <c r="AR635" s="152"/>
    </row>
    <row r="636" ht="12.75" customHeight="1">
      <c r="A636" s="288"/>
      <c r="B636" s="288"/>
      <c r="C636" s="288"/>
      <c r="D636" s="152"/>
      <c r="E636" s="289"/>
      <c r="F636" s="289"/>
      <c r="G636" s="152"/>
      <c r="H636" s="152"/>
      <c r="I636" s="152"/>
      <c r="J636" s="152"/>
      <c r="K636" s="289"/>
      <c r="L636" s="289"/>
      <c r="M636" s="152"/>
      <c r="N636" s="152"/>
      <c r="O636" s="156"/>
      <c r="P636" s="152"/>
      <c r="Q636" s="152"/>
      <c r="R636" s="152"/>
      <c r="S636" s="152"/>
      <c r="T636" s="152"/>
      <c r="U636" s="152"/>
      <c r="V636" s="152"/>
      <c r="W636" s="152"/>
      <c r="X636" s="152"/>
      <c r="Y636" s="152"/>
      <c r="Z636" s="281"/>
      <c r="AA636" s="281"/>
      <c r="AB636" s="281"/>
      <c r="AC636" s="281"/>
      <c r="AD636" s="281"/>
      <c r="AE636" s="281"/>
      <c r="AF636" s="282"/>
      <c r="AG636" s="170"/>
      <c r="AH636" s="152"/>
      <c r="AI636" s="152"/>
      <c r="AJ636" s="152"/>
      <c r="AK636" s="152"/>
      <c r="AL636" s="152"/>
      <c r="AM636" s="152"/>
      <c r="AN636" s="152"/>
      <c r="AO636" s="152"/>
      <c r="AP636" s="152"/>
      <c r="AQ636" s="152"/>
      <c r="AR636" s="152"/>
    </row>
    <row r="637" ht="12.75" customHeight="1">
      <c r="A637" s="288"/>
      <c r="B637" s="288"/>
      <c r="C637" s="288"/>
      <c r="D637" s="152"/>
      <c r="E637" s="289"/>
      <c r="F637" s="289"/>
      <c r="G637" s="152"/>
      <c r="H637" s="152"/>
      <c r="I637" s="152"/>
      <c r="J637" s="152"/>
      <c r="K637" s="289"/>
      <c r="L637" s="289"/>
      <c r="M637" s="152"/>
      <c r="N637" s="152"/>
      <c r="O637" s="156"/>
      <c r="P637" s="152"/>
      <c r="Q637" s="152"/>
      <c r="R637" s="152"/>
      <c r="S637" s="152"/>
      <c r="T637" s="152"/>
      <c r="U637" s="152"/>
      <c r="V637" s="152"/>
      <c r="W637" s="152"/>
      <c r="X637" s="152"/>
      <c r="Y637" s="152"/>
      <c r="Z637" s="281"/>
      <c r="AA637" s="281"/>
      <c r="AB637" s="281"/>
      <c r="AC637" s="281"/>
      <c r="AD637" s="281"/>
      <c r="AE637" s="281"/>
      <c r="AF637" s="282"/>
      <c r="AG637" s="170"/>
      <c r="AH637" s="152"/>
      <c r="AI637" s="152"/>
      <c r="AJ637" s="152"/>
      <c r="AK637" s="152"/>
      <c r="AL637" s="152"/>
      <c r="AM637" s="152"/>
      <c r="AN637" s="152"/>
      <c r="AO637" s="152"/>
      <c r="AP637" s="152"/>
      <c r="AQ637" s="152"/>
      <c r="AR637" s="152"/>
    </row>
    <row r="638" ht="12.75" customHeight="1">
      <c r="A638" s="288"/>
      <c r="B638" s="288"/>
      <c r="C638" s="288"/>
      <c r="D638" s="152"/>
      <c r="E638" s="289"/>
      <c r="F638" s="289"/>
      <c r="G638" s="152"/>
      <c r="H638" s="152"/>
      <c r="I638" s="152"/>
      <c r="J638" s="152"/>
      <c r="K638" s="289"/>
      <c r="L638" s="289"/>
      <c r="M638" s="152"/>
      <c r="N638" s="152"/>
      <c r="O638" s="156"/>
      <c r="P638" s="152"/>
      <c r="Q638" s="152"/>
      <c r="R638" s="152"/>
      <c r="S638" s="152"/>
      <c r="T638" s="152"/>
      <c r="U638" s="152"/>
      <c r="V638" s="152"/>
      <c r="W638" s="152"/>
      <c r="X638" s="152"/>
      <c r="Y638" s="152"/>
      <c r="Z638" s="281"/>
      <c r="AA638" s="281"/>
      <c r="AB638" s="281"/>
      <c r="AC638" s="281"/>
      <c r="AD638" s="281"/>
      <c r="AE638" s="281"/>
      <c r="AF638" s="282"/>
      <c r="AG638" s="170"/>
      <c r="AH638" s="152"/>
      <c r="AI638" s="152"/>
      <c r="AJ638" s="152"/>
      <c r="AK638" s="152"/>
      <c r="AL638" s="152"/>
      <c r="AM638" s="152"/>
      <c r="AN638" s="152"/>
      <c r="AO638" s="152"/>
      <c r="AP638" s="152"/>
      <c r="AQ638" s="152"/>
      <c r="AR638" s="152"/>
    </row>
    <row r="639" ht="12.75" customHeight="1">
      <c r="A639" s="288"/>
      <c r="B639" s="288"/>
      <c r="C639" s="288"/>
      <c r="D639" s="152"/>
      <c r="E639" s="289"/>
      <c r="F639" s="289"/>
      <c r="G639" s="152"/>
      <c r="H639" s="152"/>
      <c r="I639" s="152"/>
      <c r="J639" s="152"/>
      <c r="K639" s="289"/>
      <c r="L639" s="289"/>
      <c r="M639" s="152"/>
      <c r="N639" s="152"/>
      <c r="O639" s="156"/>
      <c r="P639" s="152"/>
      <c r="Q639" s="152"/>
      <c r="R639" s="152"/>
      <c r="S639" s="152"/>
      <c r="T639" s="152"/>
      <c r="U639" s="152"/>
      <c r="V639" s="152"/>
      <c r="W639" s="152"/>
      <c r="X639" s="152"/>
      <c r="Y639" s="152"/>
      <c r="Z639" s="281"/>
      <c r="AA639" s="281"/>
      <c r="AB639" s="281"/>
      <c r="AC639" s="281"/>
      <c r="AD639" s="281"/>
      <c r="AE639" s="281"/>
      <c r="AF639" s="282"/>
      <c r="AG639" s="170"/>
      <c r="AH639" s="152"/>
      <c r="AI639" s="152"/>
      <c r="AJ639" s="152"/>
      <c r="AK639" s="152"/>
      <c r="AL639" s="152"/>
      <c r="AM639" s="152"/>
      <c r="AN639" s="152"/>
      <c r="AO639" s="152"/>
      <c r="AP639" s="152"/>
      <c r="AQ639" s="152"/>
      <c r="AR639" s="152"/>
    </row>
    <row r="640" ht="12.75" customHeight="1">
      <c r="A640" s="288"/>
      <c r="B640" s="288"/>
      <c r="C640" s="288"/>
      <c r="D640" s="152"/>
      <c r="E640" s="289"/>
      <c r="F640" s="289"/>
      <c r="G640" s="152"/>
      <c r="H640" s="152"/>
      <c r="I640" s="152"/>
      <c r="J640" s="152"/>
      <c r="K640" s="289"/>
      <c r="L640" s="289"/>
      <c r="M640" s="152"/>
      <c r="N640" s="152"/>
      <c r="O640" s="156"/>
      <c r="P640" s="152"/>
      <c r="Q640" s="152"/>
      <c r="R640" s="152"/>
      <c r="S640" s="152"/>
      <c r="T640" s="152"/>
      <c r="U640" s="152"/>
      <c r="V640" s="152"/>
      <c r="W640" s="152"/>
      <c r="X640" s="152"/>
      <c r="Y640" s="152"/>
      <c r="Z640" s="281"/>
      <c r="AA640" s="281"/>
      <c r="AB640" s="281"/>
      <c r="AC640" s="281"/>
      <c r="AD640" s="281"/>
      <c r="AE640" s="281"/>
      <c r="AF640" s="282"/>
      <c r="AG640" s="170"/>
      <c r="AH640" s="152"/>
      <c r="AI640" s="152"/>
      <c r="AJ640" s="152"/>
      <c r="AK640" s="152"/>
      <c r="AL640" s="152"/>
      <c r="AM640" s="152"/>
      <c r="AN640" s="152"/>
      <c r="AO640" s="152"/>
      <c r="AP640" s="152"/>
      <c r="AQ640" s="152"/>
      <c r="AR640" s="152"/>
    </row>
    <row r="641" ht="12.75" customHeight="1">
      <c r="A641" s="288"/>
      <c r="B641" s="288"/>
      <c r="C641" s="288"/>
      <c r="D641" s="152"/>
      <c r="E641" s="289"/>
      <c r="F641" s="289"/>
      <c r="G641" s="152"/>
      <c r="H641" s="152"/>
      <c r="I641" s="152"/>
      <c r="J641" s="152"/>
      <c r="K641" s="289"/>
      <c r="L641" s="289"/>
      <c r="M641" s="152"/>
      <c r="N641" s="152"/>
      <c r="O641" s="156"/>
      <c r="P641" s="152"/>
      <c r="Q641" s="152"/>
      <c r="R641" s="152"/>
      <c r="S641" s="152"/>
      <c r="T641" s="152"/>
      <c r="U641" s="152"/>
      <c r="V641" s="152"/>
      <c r="W641" s="152"/>
      <c r="X641" s="152"/>
      <c r="Y641" s="152"/>
      <c r="Z641" s="281"/>
      <c r="AA641" s="281"/>
      <c r="AB641" s="281"/>
      <c r="AC641" s="281"/>
      <c r="AD641" s="281"/>
      <c r="AE641" s="281"/>
      <c r="AF641" s="282"/>
      <c r="AG641" s="170"/>
      <c r="AH641" s="152"/>
      <c r="AI641" s="152"/>
      <c r="AJ641" s="152"/>
      <c r="AK641" s="152"/>
      <c r="AL641" s="152"/>
      <c r="AM641" s="152"/>
      <c r="AN641" s="152"/>
      <c r="AO641" s="152"/>
      <c r="AP641" s="152"/>
      <c r="AQ641" s="152"/>
      <c r="AR641" s="152"/>
    </row>
    <row r="642" ht="12.75" customHeight="1">
      <c r="A642" s="288"/>
      <c r="B642" s="288"/>
      <c r="C642" s="288"/>
      <c r="D642" s="152"/>
      <c r="E642" s="289"/>
      <c r="F642" s="289"/>
      <c r="G642" s="152"/>
      <c r="H642" s="152"/>
      <c r="I642" s="152"/>
      <c r="J642" s="152"/>
      <c r="K642" s="289"/>
      <c r="L642" s="289"/>
      <c r="M642" s="152"/>
      <c r="N642" s="152"/>
      <c r="O642" s="156"/>
      <c r="P642" s="152"/>
      <c r="Q642" s="152"/>
      <c r="R642" s="152"/>
      <c r="S642" s="152"/>
      <c r="T642" s="152"/>
      <c r="U642" s="152"/>
      <c r="V642" s="152"/>
      <c r="W642" s="152"/>
      <c r="X642" s="152"/>
      <c r="Y642" s="152"/>
      <c r="Z642" s="281"/>
      <c r="AA642" s="281"/>
      <c r="AB642" s="281"/>
      <c r="AC642" s="281"/>
      <c r="AD642" s="281"/>
      <c r="AE642" s="281"/>
      <c r="AF642" s="282"/>
      <c r="AG642" s="170"/>
      <c r="AH642" s="152"/>
      <c r="AI642" s="152"/>
      <c r="AJ642" s="152"/>
      <c r="AK642" s="152"/>
      <c r="AL642" s="152"/>
      <c r="AM642" s="152"/>
      <c r="AN642" s="152"/>
      <c r="AO642" s="152"/>
      <c r="AP642" s="152"/>
      <c r="AQ642" s="152"/>
      <c r="AR642" s="152"/>
    </row>
    <row r="643" ht="12.75" customHeight="1">
      <c r="A643" s="288"/>
      <c r="B643" s="288"/>
      <c r="C643" s="288"/>
      <c r="D643" s="152"/>
      <c r="E643" s="289"/>
      <c r="F643" s="289"/>
      <c r="G643" s="152"/>
      <c r="H643" s="152"/>
      <c r="I643" s="152"/>
      <c r="J643" s="152"/>
      <c r="K643" s="289"/>
      <c r="L643" s="289"/>
      <c r="M643" s="152"/>
      <c r="N643" s="152"/>
      <c r="O643" s="156"/>
      <c r="P643" s="152"/>
      <c r="Q643" s="152"/>
      <c r="R643" s="152"/>
      <c r="S643" s="152"/>
      <c r="T643" s="152"/>
      <c r="U643" s="152"/>
      <c r="V643" s="152"/>
      <c r="W643" s="152"/>
      <c r="X643" s="152"/>
      <c r="Y643" s="152"/>
      <c r="Z643" s="281"/>
      <c r="AA643" s="281"/>
      <c r="AB643" s="281"/>
      <c r="AC643" s="281"/>
      <c r="AD643" s="281"/>
      <c r="AE643" s="281"/>
      <c r="AF643" s="282"/>
      <c r="AG643" s="170"/>
      <c r="AH643" s="152"/>
      <c r="AI643" s="152"/>
      <c r="AJ643" s="152"/>
      <c r="AK643" s="152"/>
      <c r="AL643" s="152"/>
      <c r="AM643" s="152"/>
      <c r="AN643" s="152"/>
      <c r="AO643" s="152"/>
      <c r="AP643" s="152"/>
      <c r="AQ643" s="152"/>
      <c r="AR643" s="152"/>
    </row>
    <row r="644" ht="12.75" customHeight="1">
      <c r="A644" s="288"/>
      <c r="B644" s="288"/>
      <c r="C644" s="288"/>
      <c r="D644" s="152"/>
      <c r="E644" s="289"/>
      <c r="F644" s="289"/>
      <c r="G644" s="152"/>
      <c r="H644" s="152"/>
      <c r="I644" s="152"/>
      <c r="J644" s="152"/>
      <c r="K644" s="289"/>
      <c r="L644" s="289"/>
      <c r="M644" s="152"/>
      <c r="N644" s="152"/>
      <c r="O644" s="156"/>
      <c r="P644" s="152"/>
      <c r="Q644" s="152"/>
      <c r="R644" s="152"/>
      <c r="S644" s="152"/>
      <c r="T644" s="152"/>
      <c r="U644" s="152"/>
      <c r="V644" s="152"/>
      <c r="W644" s="152"/>
      <c r="X644" s="152"/>
      <c r="Y644" s="152"/>
      <c r="Z644" s="281"/>
      <c r="AA644" s="281"/>
      <c r="AB644" s="281"/>
      <c r="AC644" s="281"/>
      <c r="AD644" s="281"/>
      <c r="AE644" s="281"/>
      <c r="AF644" s="282"/>
      <c r="AG644" s="170"/>
      <c r="AH644" s="152"/>
      <c r="AI644" s="152"/>
      <c r="AJ644" s="152"/>
      <c r="AK644" s="152"/>
      <c r="AL644" s="152"/>
      <c r="AM644" s="152"/>
      <c r="AN644" s="152"/>
      <c r="AO644" s="152"/>
      <c r="AP644" s="152"/>
      <c r="AQ644" s="152"/>
      <c r="AR644" s="152"/>
    </row>
    <row r="645" ht="12.75" customHeight="1">
      <c r="A645" s="288"/>
      <c r="B645" s="288"/>
      <c r="C645" s="288"/>
      <c r="D645" s="152"/>
      <c r="E645" s="289"/>
      <c r="F645" s="289"/>
      <c r="G645" s="152"/>
      <c r="H645" s="152"/>
      <c r="I645" s="152"/>
      <c r="J645" s="152"/>
      <c r="K645" s="289"/>
      <c r="L645" s="289"/>
      <c r="M645" s="152"/>
      <c r="N645" s="152"/>
      <c r="O645" s="156"/>
      <c r="P645" s="152"/>
      <c r="Q645" s="152"/>
      <c r="R645" s="152"/>
      <c r="S645" s="152"/>
      <c r="T645" s="152"/>
      <c r="U645" s="152"/>
      <c r="V645" s="152"/>
      <c r="W645" s="152"/>
      <c r="X645" s="152"/>
      <c r="Y645" s="152"/>
      <c r="Z645" s="281"/>
      <c r="AA645" s="281"/>
      <c r="AB645" s="281"/>
      <c r="AC645" s="281"/>
      <c r="AD645" s="281"/>
      <c r="AE645" s="281"/>
      <c r="AF645" s="282"/>
      <c r="AG645" s="170"/>
      <c r="AH645" s="152"/>
      <c r="AI645" s="152"/>
      <c r="AJ645" s="152"/>
      <c r="AK645" s="152"/>
      <c r="AL645" s="152"/>
      <c r="AM645" s="152"/>
      <c r="AN645" s="152"/>
      <c r="AO645" s="152"/>
      <c r="AP645" s="152"/>
      <c r="AQ645" s="152"/>
      <c r="AR645" s="152"/>
    </row>
    <row r="646" ht="12.75" customHeight="1">
      <c r="A646" s="288"/>
      <c r="B646" s="288"/>
      <c r="C646" s="288"/>
      <c r="D646" s="152"/>
      <c r="E646" s="289"/>
      <c r="F646" s="289"/>
      <c r="G646" s="152"/>
      <c r="H646" s="152"/>
      <c r="I646" s="152"/>
      <c r="J646" s="152"/>
      <c r="K646" s="289"/>
      <c r="L646" s="289"/>
      <c r="M646" s="152"/>
      <c r="N646" s="152"/>
      <c r="O646" s="156"/>
      <c r="P646" s="152"/>
      <c r="Q646" s="152"/>
      <c r="R646" s="152"/>
      <c r="S646" s="152"/>
      <c r="T646" s="152"/>
      <c r="U646" s="152"/>
      <c r="V646" s="152"/>
      <c r="W646" s="152"/>
      <c r="X646" s="152"/>
      <c r="Y646" s="152"/>
      <c r="Z646" s="281"/>
      <c r="AA646" s="281"/>
      <c r="AB646" s="281"/>
      <c r="AC646" s="281"/>
      <c r="AD646" s="281"/>
      <c r="AE646" s="281"/>
      <c r="AF646" s="282"/>
      <c r="AG646" s="170"/>
      <c r="AH646" s="152"/>
      <c r="AI646" s="152"/>
      <c r="AJ646" s="152"/>
      <c r="AK646" s="152"/>
      <c r="AL646" s="152"/>
      <c r="AM646" s="152"/>
      <c r="AN646" s="152"/>
      <c r="AO646" s="152"/>
      <c r="AP646" s="152"/>
      <c r="AQ646" s="152"/>
      <c r="AR646" s="152"/>
    </row>
    <row r="647" ht="12.75" customHeight="1">
      <c r="A647" s="288"/>
      <c r="B647" s="288"/>
      <c r="C647" s="288"/>
      <c r="D647" s="152"/>
      <c r="E647" s="289"/>
      <c r="F647" s="289"/>
      <c r="G647" s="152"/>
      <c r="H647" s="152"/>
      <c r="I647" s="152"/>
      <c r="J647" s="152"/>
      <c r="K647" s="289"/>
      <c r="L647" s="289"/>
      <c r="M647" s="152"/>
      <c r="N647" s="152"/>
      <c r="O647" s="156"/>
      <c r="P647" s="152"/>
      <c r="Q647" s="152"/>
      <c r="R647" s="152"/>
      <c r="S647" s="152"/>
      <c r="T647" s="152"/>
      <c r="U647" s="152"/>
      <c r="V647" s="152"/>
      <c r="W647" s="152"/>
      <c r="X647" s="152"/>
      <c r="Y647" s="152"/>
      <c r="Z647" s="281"/>
      <c r="AA647" s="281"/>
      <c r="AB647" s="281"/>
      <c r="AC647" s="281"/>
      <c r="AD647" s="281"/>
      <c r="AE647" s="281"/>
      <c r="AF647" s="282"/>
      <c r="AG647" s="170"/>
      <c r="AH647" s="152"/>
      <c r="AI647" s="152"/>
      <c r="AJ647" s="152"/>
      <c r="AK647" s="152"/>
      <c r="AL647" s="152"/>
      <c r="AM647" s="152"/>
      <c r="AN647" s="152"/>
      <c r="AO647" s="152"/>
      <c r="AP647" s="152"/>
      <c r="AQ647" s="152"/>
      <c r="AR647" s="152"/>
    </row>
    <row r="648" ht="12.75" customHeight="1">
      <c r="A648" s="288"/>
      <c r="B648" s="288"/>
      <c r="C648" s="288"/>
      <c r="D648" s="152"/>
      <c r="E648" s="289"/>
      <c r="F648" s="289"/>
      <c r="G648" s="152"/>
      <c r="H648" s="152"/>
      <c r="I648" s="152"/>
      <c r="J648" s="152"/>
      <c r="K648" s="289"/>
      <c r="L648" s="289"/>
      <c r="M648" s="152"/>
      <c r="N648" s="152"/>
      <c r="O648" s="156"/>
      <c r="P648" s="152"/>
      <c r="Q648" s="152"/>
      <c r="R648" s="152"/>
      <c r="S648" s="152"/>
      <c r="T648" s="152"/>
      <c r="U648" s="152"/>
      <c r="V648" s="152"/>
      <c r="W648" s="152"/>
      <c r="X648" s="152"/>
      <c r="Y648" s="152"/>
      <c r="Z648" s="281"/>
      <c r="AA648" s="281"/>
      <c r="AB648" s="281"/>
      <c r="AC648" s="281"/>
      <c r="AD648" s="281"/>
      <c r="AE648" s="281"/>
      <c r="AF648" s="282"/>
      <c r="AG648" s="170"/>
      <c r="AH648" s="152"/>
      <c r="AI648" s="152"/>
      <c r="AJ648" s="152"/>
      <c r="AK648" s="152"/>
      <c r="AL648" s="152"/>
      <c r="AM648" s="152"/>
      <c r="AN648" s="152"/>
      <c r="AO648" s="152"/>
      <c r="AP648" s="152"/>
      <c r="AQ648" s="152"/>
      <c r="AR648" s="152"/>
    </row>
    <row r="649" ht="12.75" customHeight="1">
      <c r="A649" s="288"/>
      <c r="B649" s="288"/>
      <c r="C649" s="288"/>
      <c r="D649" s="152"/>
      <c r="E649" s="289"/>
      <c r="F649" s="289"/>
      <c r="G649" s="152"/>
      <c r="H649" s="152"/>
      <c r="I649" s="152"/>
      <c r="J649" s="152"/>
      <c r="K649" s="289"/>
      <c r="L649" s="289"/>
      <c r="M649" s="152"/>
      <c r="N649" s="152"/>
      <c r="O649" s="156"/>
      <c r="P649" s="152"/>
      <c r="Q649" s="152"/>
      <c r="R649" s="152"/>
      <c r="S649" s="152"/>
      <c r="T649" s="152"/>
      <c r="U649" s="152"/>
      <c r="V649" s="152"/>
      <c r="W649" s="152"/>
      <c r="X649" s="152"/>
      <c r="Y649" s="152"/>
      <c r="Z649" s="281"/>
      <c r="AA649" s="281"/>
      <c r="AB649" s="281"/>
      <c r="AC649" s="281"/>
      <c r="AD649" s="281"/>
      <c r="AE649" s="281"/>
      <c r="AF649" s="282"/>
      <c r="AG649" s="170"/>
      <c r="AH649" s="152"/>
      <c r="AI649" s="152"/>
      <c r="AJ649" s="152"/>
      <c r="AK649" s="152"/>
      <c r="AL649" s="152"/>
      <c r="AM649" s="152"/>
      <c r="AN649" s="152"/>
      <c r="AO649" s="152"/>
      <c r="AP649" s="152"/>
      <c r="AQ649" s="152"/>
      <c r="AR649" s="152"/>
    </row>
    <row r="650" ht="12.75" customHeight="1">
      <c r="A650" s="288"/>
      <c r="B650" s="288"/>
      <c r="C650" s="288"/>
      <c r="D650" s="152"/>
      <c r="E650" s="289"/>
      <c r="F650" s="289"/>
      <c r="G650" s="152"/>
      <c r="H650" s="152"/>
      <c r="I650" s="152"/>
      <c r="J650" s="152"/>
      <c r="K650" s="289"/>
      <c r="L650" s="289"/>
      <c r="M650" s="152"/>
      <c r="N650" s="152"/>
      <c r="O650" s="156"/>
      <c r="P650" s="152"/>
      <c r="Q650" s="152"/>
      <c r="R650" s="152"/>
      <c r="S650" s="152"/>
      <c r="T650" s="152"/>
      <c r="U650" s="152"/>
      <c r="V650" s="152"/>
      <c r="W650" s="152"/>
      <c r="X650" s="152"/>
      <c r="Y650" s="152"/>
      <c r="Z650" s="281"/>
      <c r="AA650" s="281"/>
      <c r="AB650" s="281"/>
      <c r="AC650" s="281"/>
      <c r="AD650" s="281"/>
      <c r="AE650" s="281"/>
      <c r="AF650" s="282"/>
      <c r="AG650" s="170"/>
      <c r="AH650" s="152"/>
      <c r="AI650" s="152"/>
      <c r="AJ650" s="152"/>
      <c r="AK650" s="152"/>
      <c r="AL650" s="152"/>
      <c r="AM650" s="152"/>
      <c r="AN650" s="152"/>
      <c r="AO650" s="152"/>
      <c r="AP650" s="152"/>
      <c r="AQ650" s="152"/>
      <c r="AR650" s="152"/>
    </row>
    <row r="651" ht="12.75" customHeight="1">
      <c r="A651" s="288"/>
      <c r="B651" s="288"/>
      <c r="C651" s="288"/>
      <c r="D651" s="152"/>
      <c r="E651" s="289"/>
      <c r="F651" s="289"/>
      <c r="G651" s="152"/>
      <c r="H651" s="152"/>
      <c r="I651" s="152"/>
      <c r="J651" s="152"/>
      <c r="K651" s="289"/>
      <c r="L651" s="289"/>
      <c r="M651" s="152"/>
      <c r="N651" s="152"/>
      <c r="O651" s="156"/>
      <c r="P651" s="152"/>
      <c r="Q651" s="152"/>
      <c r="R651" s="152"/>
      <c r="S651" s="152"/>
      <c r="T651" s="152"/>
      <c r="U651" s="152"/>
      <c r="V651" s="152"/>
      <c r="W651" s="152"/>
      <c r="X651" s="152"/>
      <c r="Y651" s="152"/>
      <c r="Z651" s="281"/>
      <c r="AA651" s="281"/>
      <c r="AB651" s="281"/>
      <c r="AC651" s="281"/>
      <c r="AD651" s="281"/>
      <c r="AE651" s="281"/>
      <c r="AF651" s="282"/>
      <c r="AG651" s="170"/>
      <c r="AH651" s="152"/>
      <c r="AI651" s="152"/>
      <c r="AJ651" s="152"/>
      <c r="AK651" s="152"/>
      <c r="AL651" s="152"/>
      <c r="AM651" s="152"/>
      <c r="AN651" s="152"/>
      <c r="AO651" s="152"/>
      <c r="AP651" s="152"/>
      <c r="AQ651" s="152"/>
      <c r="AR651" s="152"/>
    </row>
    <row r="652" ht="12.75" customHeight="1">
      <c r="A652" s="288"/>
      <c r="B652" s="288"/>
      <c r="C652" s="288"/>
      <c r="D652" s="152"/>
      <c r="E652" s="289"/>
      <c r="F652" s="289"/>
      <c r="G652" s="152"/>
      <c r="H652" s="152"/>
      <c r="I652" s="152"/>
      <c r="J652" s="152"/>
      <c r="K652" s="289"/>
      <c r="L652" s="289"/>
      <c r="M652" s="152"/>
      <c r="N652" s="152"/>
      <c r="O652" s="156"/>
      <c r="P652" s="152"/>
      <c r="Q652" s="152"/>
      <c r="R652" s="152"/>
      <c r="S652" s="152"/>
      <c r="T652" s="152"/>
      <c r="U652" s="152"/>
      <c r="V652" s="152"/>
      <c r="W652" s="152"/>
      <c r="X652" s="152"/>
      <c r="Y652" s="152"/>
      <c r="Z652" s="281"/>
      <c r="AA652" s="281"/>
      <c r="AB652" s="281"/>
      <c r="AC652" s="281"/>
      <c r="AD652" s="281"/>
      <c r="AE652" s="281"/>
      <c r="AF652" s="282"/>
      <c r="AG652" s="170"/>
      <c r="AH652" s="152"/>
      <c r="AI652" s="152"/>
      <c r="AJ652" s="152"/>
      <c r="AK652" s="152"/>
      <c r="AL652" s="152"/>
      <c r="AM652" s="152"/>
      <c r="AN652" s="152"/>
      <c r="AO652" s="152"/>
      <c r="AP652" s="152"/>
      <c r="AQ652" s="152"/>
      <c r="AR652" s="152"/>
    </row>
    <row r="653" ht="12.75" customHeight="1">
      <c r="A653" s="288"/>
      <c r="B653" s="288"/>
      <c r="C653" s="288"/>
      <c r="D653" s="152"/>
      <c r="E653" s="289"/>
      <c r="F653" s="289"/>
      <c r="G653" s="152"/>
      <c r="H653" s="152"/>
      <c r="I653" s="152"/>
      <c r="J653" s="152"/>
      <c r="K653" s="289"/>
      <c r="L653" s="289"/>
      <c r="M653" s="152"/>
      <c r="N653" s="152"/>
      <c r="O653" s="156"/>
      <c r="P653" s="152"/>
      <c r="Q653" s="152"/>
      <c r="R653" s="152"/>
      <c r="S653" s="152"/>
      <c r="T653" s="152"/>
      <c r="U653" s="152"/>
      <c r="V653" s="152"/>
      <c r="W653" s="152"/>
      <c r="X653" s="152"/>
      <c r="Y653" s="152"/>
      <c r="Z653" s="281"/>
      <c r="AA653" s="281"/>
      <c r="AB653" s="281"/>
      <c r="AC653" s="281"/>
      <c r="AD653" s="281"/>
      <c r="AE653" s="281"/>
      <c r="AF653" s="282"/>
      <c r="AG653" s="170"/>
      <c r="AH653" s="152"/>
      <c r="AI653" s="152"/>
      <c r="AJ653" s="152"/>
      <c r="AK653" s="152"/>
      <c r="AL653" s="152"/>
      <c r="AM653" s="152"/>
      <c r="AN653" s="152"/>
      <c r="AO653" s="152"/>
      <c r="AP653" s="152"/>
      <c r="AQ653" s="152"/>
      <c r="AR653" s="152"/>
    </row>
    <row r="654" ht="12.75" customHeight="1">
      <c r="A654" s="288"/>
      <c r="B654" s="288"/>
      <c r="C654" s="288"/>
      <c r="D654" s="152"/>
      <c r="E654" s="289"/>
      <c r="F654" s="289"/>
      <c r="G654" s="152"/>
      <c r="H654" s="152"/>
      <c r="I654" s="152"/>
      <c r="J654" s="152"/>
      <c r="K654" s="289"/>
      <c r="L654" s="289"/>
      <c r="M654" s="152"/>
      <c r="N654" s="152"/>
      <c r="O654" s="156"/>
      <c r="P654" s="152"/>
      <c r="Q654" s="152"/>
      <c r="R654" s="152"/>
      <c r="S654" s="152"/>
      <c r="T654" s="152"/>
      <c r="U654" s="152"/>
      <c r="V654" s="152"/>
      <c r="W654" s="152"/>
      <c r="X654" s="152"/>
      <c r="Y654" s="152"/>
      <c r="Z654" s="281"/>
      <c r="AA654" s="281"/>
      <c r="AB654" s="281"/>
      <c r="AC654" s="281"/>
      <c r="AD654" s="281"/>
      <c r="AE654" s="281"/>
      <c r="AF654" s="282"/>
      <c r="AG654" s="170"/>
      <c r="AH654" s="152"/>
      <c r="AI654" s="152"/>
      <c r="AJ654" s="152"/>
      <c r="AK654" s="152"/>
      <c r="AL654" s="152"/>
      <c r="AM654" s="152"/>
      <c r="AN654" s="152"/>
      <c r="AO654" s="152"/>
      <c r="AP654" s="152"/>
      <c r="AQ654" s="152"/>
      <c r="AR654" s="152"/>
    </row>
    <row r="655" ht="12.75" customHeight="1">
      <c r="A655" s="288"/>
      <c r="B655" s="288"/>
      <c r="C655" s="288"/>
      <c r="D655" s="152"/>
      <c r="E655" s="289"/>
      <c r="F655" s="289"/>
      <c r="G655" s="152"/>
      <c r="H655" s="152"/>
      <c r="I655" s="152"/>
      <c r="J655" s="152"/>
      <c r="K655" s="289"/>
      <c r="L655" s="289"/>
      <c r="M655" s="152"/>
      <c r="N655" s="152"/>
      <c r="O655" s="156"/>
      <c r="P655" s="152"/>
      <c r="Q655" s="152"/>
      <c r="R655" s="152"/>
      <c r="S655" s="152"/>
      <c r="T655" s="152"/>
      <c r="U655" s="152"/>
      <c r="V655" s="152"/>
      <c r="W655" s="152"/>
      <c r="X655" s="152"/>
      <c r="Y655" s="152"/>
      <c r="Z655" s="281"/>
      <c r="AA655" s="281"/>
      <c r="AB655" s="281"/>
      <c r="AC655" s="281"/>
      <c r="AD655" s="281"/>
      <c r="AE655" s="281"/>
      <c r="AF655" s="282"/>
      <c r="AG655" s="170"/>
      <c r="AH655" s="152"/>
      <c r="AI655" s="152"/>
      <c r="AJ655" s="152"/>
      <c r="AK655" s="152"/>
      <c r="AL655" s="152"/>
      <c r="AM655" s="152"/>
      <c r="AN655" s="152"/>
      <c r="AO655" s="152"/>
      <c r="AP655" s="152"/>
      <c r="AQ655" s="152"/>
      <c r="AR655" s="152"/>
    </row>
    <row r="656" ht="12.75" customHeight="1">
      <c r="A656" s="288"/>
      <c r="B656" s="288"/>
      <c r="C656" s="288"/>
      <c r="D656" s="152"/>
      <c r="E656" s="289"/>
      <c r="F656" s="289"/>
      <c r="G656" s="152"/>
      <c r="H656" s="152"/>
      <c r="I656" s="152"/>
      <c r="J656" s="152"/>
      <c r="K656" s="289"/>
      <c r="L656" s="289"/>
      <c r="M656" s="152"/>
      <c r="N656" s="152"/>
      <c r="O656" s="156"/>
      <c r="P656" s="152"/>
      <c r="Q656" s="152"/>
      <c r="R656" s="152"/>
      <c r="S656" s="152"/>
      <c r="T656" s="152"/>
      <c r="U656" s="152"/>
      <c r="V656" s="152"/>
      <c r="W656" s="152"/>
      <c r="X656" s="152"/>
      <c r="Y656" s="152"/>
      <c r="Z656" s="281"/>
      <c r="AA656" s="281"/>
      <c r="AB656" s="281"/>
      <c r="AC656" s="281"/>
      <c r="AD656" s="281"/>
      <c r="AE656" s="281"/>
      <c r="AF656" s="282"/>
      <c r="AG656" s="170"/>
      <c r="AH656" s="152"/>
      <c r="AI656" s="152"/>
      <c r="AJ656" s="152"/>
      <c r="AK656" s="152"/>
      <c r="AL656" s="152"/>
      <c r="AM656" s="152"/>
      <c r="AN656" s="152"/>
      <c r="AO656" s="152"/>
      <c r="AP656" s="152"/>
      <c r="AQ656" s="152"/>
      <c r="AR656" s="152"/>
    </row>
    <row r="657" ht="12.75" customHeight="1">
      <c r="A657" s="288"/>
      <c r="B657" s="288"/>
      <c r="C657" s="288"/>
      <c r="D657" s="152"/>
      <c r="E657" s="289"/>
      <c r="F657" s="289"/>
      <c r="G657" s="152"/>
      <c r="H657" s="152"/>
      <c r="I657" s="152"/>
      <c r="J657" s="152"/>
      <c r="K657" s="289"/>
      <c r="L657" s="289"/>
      <c r="M657" s="152"/>
      <c r="N657" s="152"/>
      <c r="O657" s="156"/>
      <c r="P657" s="152"/>
      <c r="Q657" s="152"/>
      <c r="R657" s="152"/>
      <c r="S657" s="152"/>
      <c r="T657" s="152"/>
      <c r="U657" s="152"/>
      <c r="V657" s="152"/>
      <c r="W657" s="152"/>
      <c r="X657" s="152"/>
      <c r="Y657" s="152"/>
      <c r="Z657" s="281"/>
      <c r="AA657" s="281"/>
      <c r="AB657" s="281"/>
      <c r="AC657" s="281"/>
      <c r="AD657" s="281"/>
      <c r="AE657" s="281"/>
      <c r="AF657" s="282"/>
      <c r="AG657" s="170"/>
      <c r="AH657" s="152"/>
      <c r="AI657" s="152"/>
      <c r="AJ657" s="152"/>
      <c r="AK657" s="152"/>
      <c r="AL657" s="152"/>
      <c r="AM657" s="152"/>
      <c r="AN657" s="152"/>
      <c r="AO657" s="152"/>
      <c r="AP657" s="152"/>
      <c r="AQ657" s="152"/>
      <c r="AR657" s="152"/>
    </row>
    <row r="658" ht="12.75" customHeight="1">
      <c r="A658" s="288"/>
      <c r="B658" s="288"/>
      <c r="C658" s="288"/>
      <c r="D658" s="152"/>
      <c r="E658" s="289"/>
      <c r="F658" s="289"/>
      <c r="G658" s="152"/>
      <c r="H658" s="152"/>
      <c r="I658" s="152"/>
      <c r="J658" s="152"/>
      <c r="K658" s="289"/>
      <c r="L658" s="289"/>
      <c r="M658" s="152"/>
      <c r="N658" s="152"/>
      <c r="O658" s="156"/>
      <c r="P658" s="152"/>
      <c r="Q658" s="152"/>
      <c r="R658" s="152"/>
      <c r="S658" s="152"/>
      <c r="T658" s="152"/>
      <c r="U658" s="152"/>
      <c r="V658" s="152"/>
      <c r="W658" s="152"/>
      <c r="X658" s="152"/>
      <c r="Y658" s="152"/>
      <c r="Z658" s="281"/>
      <c r="AA658" s="281"/>
      <c r="AB658" s="281"/>
      <c r="AC658" s="281"/>
      <c r="AD658" s="281"/>
      <c r="AE658" s="281"/>
      <c r="AF658" s="282"/>
      <c r="AG658" s="170"/>
      <c r="AH658" s="152"/>
      <c r="AI658" s="152"/>
      <c r="AJ658" s="152"/>
      <c r="AK658" s="152"/>
      <c r="AL658" s="152"/>
      <c r="AM658" s="152"/>
      <c r="AN658" s="152"/>
      <c r="AO658" s="152"/>
      <c r="AP658" s="152"/>
      <c r="AQ658" s="152"/>
      <c r="AR658" s="152"/>
    </row>
    <row r="659" ht="12.75" customHeight="1">
      <c r="A659" s="288"/>
      <c r="B659" s="288"/>
      <c r="C659" s="288"/>
      <c r="D659" s="152"/>
      <c r="E659" s="289"/>
      <c r="F659" s="289"/>
      <c r="G659" s="152"/>
      <c r="H659" s="152"/>
      <c r="I659" s="152"/>
      <c r="J659" s="152"/>
      <c r="K659" s="289"/>
      <c r="L659" s="289"/>
      <c r="M659" s="152"/>
      <c r="N659" s="152"/>
      <c r="O659" s="156"/>
      <c r="P659" s="152"/>
      <c r="Q659" s="152"/>
      <c r="R659" s="152"/>
      <c r="S659" s="152"/>
      <c r="T659" s="152"/>
      <c r="U659" s="152"/>
      <c r="V659" s="152"/>
      <c r="W659" s="152"/>
      <c r="X659" s="152"/>
      <c r="Y659" s="152"/>
      <c r="Z659" s="281"/>
      <c r="AA659" s="281"/>
      <c r="AB659" s="281"/>
      <c r="AC659" s="281"/>
      <c r="AD659" s="281"/>
      <c r="AE659" s="281"/>
      <c r="AF659" s="282"/>
      <c r="AG659" s="170"/>
      <c r="AH659" s="152"/>
      <c r="AI659" s="152"/>
      <c r="AJ659" s="152"/>
      <c r="AK659" s="152"/>
      <c r="AL659" s="152"/>
      <c r="AM659" s="152"/>
      <c r="AN659" s="152"/>
      <c r="AO659" s="152"/>
      <c r="AP659" s="152"/>
      <c r="AQ659" s="152"/>
      <c r="AR659" s="152"/>
    </row>
    <row r="660" ht="12.75" customHeight="1">
      <c r="A660" s="288"/>
      <c r="B660" s="288"/>
      <c r="C660" s="288"/>
      <c r="D660" s="152"/>
      <c r="E660" s="289"/>
      <c r="F660" s="289"/>
      <c r="G660" s="152"/>
      <c r="H660" s="152"/>
      <c r="I660" s="152"/>
      <c r="J660" s="152"/>
      <c r="K660" s="289"/>
      <c r="L660" s="289"/>
      <c r="M660" s="152"/>
      <c r="N660" s="152"/>
      <c r="O660" s="156"/>
      <c r="P660" s="152"/>
      <c r="Q660" s="152"/>
      <c r="R660" s="152"/>
      <c r="S660" s="152"/>
      <c r="T660" s="152"/>
      <c r="U660" s="152"/>
      <c r="V660" s="152"/>
      <c r="W660" s="152"/>
      <c r="X660" s="152"/>
      <c r="Y660" s="152"/>
      <c r="Z660" s="281"/>
      <c r="AA660" s="281"/>
      <c r="AB660" s="281"/>
      <c r="AC660" s="281"/>
      <c r="AD660" s="281"/>
      <c r="AE660" s="281"/>
      <c r="AF660" s="282"/>
      <c r="AG660" s="170"/>
      <c r="AH660" s="152"/>
      <c r="AI660" s="152"/>
      <c r="AJ660" s="152"/>
      <c r="AK660" s="152"/>
      <c r="AL660" s="152"/>
      <c r="AM660" s="152"/>
      <c r="AN660" s="152"/>
      <c r="AO660" s="152"/>
      <c r="AP660" s="152"/>
      <c r="AQ660" s="152"/>
      <c r="AR660" s="152"/>
    </row>
    <row r="661" ht="12.75" customHeight="1">
      <c r="A661" s="288"/>
      <c r="B661" s="288"/>
      <c r="C661" s="288"/>
      <c r="D661" s="152"/>
      <c r="E661" s="289"/>
      <c r="F661" s="289"/>
      <c r="G661" s="152"/>
      <c r="H661" s="152"/>
      <c r="I661" s="152"/>
      <c r="J661" s="152"/>
      <c r="K661" s="289"/>
      <c r="L661" s="289"/>
      <c r="M661" s="152"/>
      <c r="N661" s="152"/>
      <c r="O661" s="156"/>
      <c r="P661" s="152"/>
      <c r="Q661" s="152"/>
      <c r="R661" s="152"/>
      <c r="S661" s="152"/>
      <c r="T661" s="152"/>
      <c r="U661" s="152"/>
      <c r="V661" s="152"/>
      <c r="W661" s="152"/>
      <c r="X661" s="152"/>
      <c r="Y661" s="152"/>
      <c r="Z661" s="281"/>
      <c r="AA661" s="281"/>
      <c r="AB661" s="281"/>
      <c r="AC661" s="281"/>
      <c r="AD661" s="281"/>
      <c r="AE661" s="281"/>
      <c r="AF661" s="282"/>
      <c r="AG661" s="170"/>
      <c r="AH661" s="152"/>
      <c r="AI661" s="152"/>
      <c r="AJ661" s="152"/>
      <c r="AK661" s="152"/>
      <c r="AL661" s="152"/>
      <c r="AM661" s="152"/>
      <c r="AN661" s="152"/>
      <c r="AO661" s="152"/>
      <c r="AP661" s="152"/>
      <c r="AQ661" s="152"/>
      <c r="AR661" s="152"/>
    </row>
    <row r="662" ht="12.75" customHeight="1">
      <c r="A662" s="288"/>
      <c r="B662" s="288"/>
      <c r="C662" s="288"/>
      <c r="D662" s="152"/>
      <c r="E662" s="289"/>
      <c r="F662" s="289"/>
      <c r="G662" s="152"/>
      <c r="H662" s="152"/>
      <c r="I662" s="152"/>
      <c r="J662" s="152"/>
      <c r="K662" s="289"/>
      <c r="L662" s="289"/>
      <c r="M662" s="152"/>
      <c r="N662" s="152"/>
      <c r="O662" s="156"/>
      <c r="P662" s="152"/>
      <c r="Q662" s="152"/>
      <c r="R662" s="152"/>
      <c r="S662" s="152"/>
      <c r="T662" s="152"/>
      <c r="U662" s="152"/>
      <c r="V662" s="152"/>
      <c r="W662" s="152"/>
      <c r="X662" s="152"/>
      <c r="Y662" s="152"/>
      <c r="Z662" s="281"/>
      <c r="AA662" s="281"/>
      <c r="AB662" s="281"/>
      <c r="AC662" s="281"/>
      <c r="AD662" s="281"/>
      <c r="AE662" s="281"/>
      <c r="AF662" s="282"/>
      <c r="AG662" s="170"/>
      <c r="AH662" s="152"/>
      <c r="AI662" s="152"/>
      <c r="AJ662" s="152"/>
      <c r="AK662" s="152"/>
      <c r="AL662" s="152"/>
      <c r="AM662" s="152"/>
      <c r="AN662" s="152"/>
      <c r="AO662" s="152"/>
      <c r="AP662" s="152"/>
      <c r="AQ662" s="152"/>
      <c r="AR662" s="152"/>
    </row>
    <row r="663" ht="12.75" customHeight="1">
      <c r="A663" s="288"/>
      <c r="B663" s="288"/>
      <c r="C663" s="288"/>
      <c r="D663" s="152"/>
      <c r="E663" s="289"/>
      <c r="F663" s="289"/>
      <c r="G663" s="152"/>
      <c r="H663" s="152"/>
      <c r="I663" s="152"/>
      <c r="J663" s="152"/>
      <c r="K663" s="289"/>
      <c r="L663" s="289"/>
      <c r="M663" s="152"/>
      <c r="N663" s="152"/>
      <c r="O663" s="156"/>
      <c r="P663" s="152"/>
      <c r="Q663" s="152"/>
      <c r="R663" s="152"/>
      <c r="S663" s="152"/>
      <c r="T663" s="152"/>
      <c r="U663" s="152"/>
      <c r="V663" s="152"/>
      <c r="W663" s="152"/>
      <c r="X663" s="152"/>
      <c r="Y663" s="152"/>
      <c r="Z663" s="281"/>
      <c r="AA663" s="281"/>
      <c r="AB663" s="281"/>
      <c r="AC663" s="281"/>
      <c r="AD663" s="281"/>
      <c r="AE663" s="281"/>
      <c r="AF663" s="282"/>
      <c r="AG663" s="170"/>
      <c r="AH663" s="152"/>
      <c r="AI663" s="152"/>
      <c r="AJ663" s="152"/>
      <c r="AK663" s="152"/>
      <c r="AL663" s="152"/>
      <c r="AM663" s="152"/>
      <c r="AN663" s="152"/>
      <c r="AO663" s="152"/>
      <c r="AP663" s="152"/>
      <c r="AQ663" s="152"/>
      <c r="AR663" s="152"/>
    </row>
    <row r="664" ht="12.75" customHeight="1">
      <c r="A664" s="288"/>
      <c r="B664" s="288"/>
      <c r="C664" s="288"/>
      <c r="D664" s="152"/>
      <c r="E664" s="289"/>
      <c r="F664" s="289"/>
      <c r="G664" s="152"/>
      <c r="H664" s="152"/>
      <c r="I664" s="152"/>
      <c r="J664" s="152"/>
      <c r="K664" s="289"/>
      <c r="L664" s="289"/>
      <c r="M664" s="152"/>
      <c r="N664" s="152"/>
      <c r="O664" s="156"/>
      <c r="P664" s="152"/>
      <c r="Q664" s="152"/>
      <c r="R664" s="152"/>
      <c r="S664" s="152"/>
      <c r="T664" s="152"/>
      <c r="U664" s="152"/>
      <c r="V664" s="152"/>
      <c r="W664" s="152"/>
      <c r="X664" s="152"/>
      <c r="Y664" s="152"/>
      <c r="Z664" s="281"/>
      <c r="AA664" s="281"/>
      <c r="AB664" s="281"/>
      <c r="AC664" s="281"/>
      <c r="AD664" s="281"/>
      <c r="AE664" s="281"/>
      <c r="AF664" s="282"/>
      <c r="AG664" s="170"/>
      <c r="AH664" s="152"/>
      <c r="AI664" s="152"/>
      <c r="AJ664" s="152"/>
      <c r="AK664" s="152"/>
      <c r="AL664" s="152"/>
      <c r="AM664" s="152"/>
      <c r="AN664" s="152"/>
      <c r="AO664" s="152"/>
      <c r="AP664" s="152"/>
      <c r="AQ664" s="152"/>
      <c r="AR664" s="152"/>
    </row>
    <row r="665" ht="12.75" customHeight="1">
      <c r="A665" s="288"/>
      <c r="B665" s="288"/>
      <c r="C665" s="288"/>
      <c r="D665" s="152"/>
      <c r="E665" s="289"/>
      <c r="F665" s="289"/>
      <c r="G665" s="152"/>
      <c r="H665" s="152"/>
      <c r="I665" s="152"/>
      <c r="J665" s="152"/>
      <c r="K665" s="289"/>
      <c r="L665" s="289"/>
      <c r="M665" s="152"/>
      <c r="N665" s="152"/>
      <c r="O665" s="156"/>
      <c r="P665" s="152"/>
      <c r="Q665" s="152"/>
      <c r="R665" s="152"/>
      <c r="S665" s="152"/>
      <c r="T665" s="152"/>
      <c r="U665" s="152"/>
      <c r="V665" s="152"/>
      <c r="W665" s="152"/>
      <c r="X665" s="152"/>
      <c r="Y665" s="152"/>
      <c r="Z665" s="281"/>
      <c r="AA665" s="281"/>
      <c r="AB665" s="281"/>
      <c r="AC665" s="281"/>
      <c r="AD665" s="281"/>
      <c r="AE665" s="281"/>
      <c r="AF665" s="282"/>
      <c r="AG665" s="170"/>
      <c r="AH665" s="152"/>
      <c r="AI665" s="152"/>
      <c r="AJ665" s="152"/>
      <c r="AK665" s="152"/>
      <c r="AL665" s="152"/>
      <c r="AM665" s="152"/>
      <c r="AN665" s="152"/>
      <c r="AO665" s="152"/>
      <c r="AP665" s="152"/>
      <c r="AQ665" s="152"/>
      <c r="AR665" s="152"/>
    </row>
    <row r="666" ht="12.75" customHeight="1">
      <c r="A666" s="288"/>
      <c r="B666" s="288"/>
      <c r="C666" s="288"/>
      <c r="D666" s="152"/>
      <c r="E666" s="289"/>
      <c r="F666" s="289"/>
      <c r="G666" s="152"/>
      <c r="H666" s="152"/>
      <c r="I666" s="152"/>
      <c r="J666" s="152"/>
      <c r="K666" s="289"/>
      <c r="L666" s="289"/>
      <c r="M666" s="152"/>
      <c r="N666" s="152"/>
      <c r="O666" s="156"/>
      <c r="P666" s="152"/>
      <c r="Q666" s="152"/>
      <c r="R666" s="152"/>
      <c r="S666" s="152"/>
      <c r="T666" s="152"/>
      <c r="U666" s="152"/>
      <c r="V666" s="152"/>
      <c r="W666" s="152"/>
      <c r="X666" s="152"/>
      <c r="Y666" s="152"/>
      <c r="Z666" s="281"/>
      <c r="AA666" s="281"/>
      <c r="AB666" s="281"/>
      <c r="AC666" s="281"/>
      <c r="AD666" s="281"/>
      <c r="AE666" s="281"/>
      <c r="AF666" s="282"/>
      <c r="AG666" s="170"/>
      <c r="AH666" s="152"/>
      <c r="AI666" s="152"/>
      <c r="AJ666" s="152"/>
      <c r="AK666" s="152"/>
      <c r="AL666" s="152"/>
      <c r="AM666" s="152"/>
      <c r="AN666" s="152"/>
      <c r="AO666" s="152"/>
      <c r="AP666" s="152"/>
      <c r="AQ666" s="152"/>
      <c r="AR666" s="152"/>
    </row>
    <row r="667" ht="12.75" customHeight="1">
      <c r="A667" s="288"/>
      <c r="B667" s="288"/>
      <c r="C667" s="288"/>
      <c r="D667" s="152"/>
      <c r="E667" s="289"/>
      <c r="F667" s="289"/>
      <c r="G667" s="152"/>
      <c r="H667" s="152"/>
      <c r="I667" s="152"/>
      <c r="J667" s="152"/>
      <c r="K667" s="289"/>
      <c r="L667" s="289"/>
      <c r="M667" s="152"/>
      <c r="N667" s="152"/>
      <c r="O667" s="156"/>
      <c r="P667" s="152"/>
      <c r="Q667" s="152"/>
      <c r="R667" s="152"/>
      <c r="S667" s="152"/>
      <c r="T667" s="152"/>
      <c r="U667" s="152"/>
      <c r="V667" s="152"/>
      <c r="W667" s="152"/>
      <c r="X667" s="152"/>
      <c r="Y667" s="152"/>
      <c r="Z667" s="281"/>
      <c r="AA667" s="281"/>
      <c r="AB667" s="281"/>
      <c r="AC667" s="281"/>
      <c r="AD667" s="281"/>
      <c r="AE667" s="281"/>
      <c r="AF667" s="282"/>
      <c r="AG667" s="170"/>
      <c r="AH667" s="152"/>
      <c r="AI667" s="152"/>
      <c r="AJ667" s="152"/>
      <c r="AK667" s="152"/>
      <c r="AL667" s="152"/>
      <c r="AM667" s="152"/>
      <c r="AN667" s="152"/>
      <c r="AO667" s="152"/>
      <c r="AP667" s="152"/>
      <c r="AQ667" s="152"/>
      <c r="AR667" s="152"/>
    </row>
    <row r="668" ht="12.75" customHeight="1">
      <c r="A668" s="288"/>
      <c r="B668" s="288"/>
      <c r="C668" s="288"/>
      <c r="D668" s="152"/>
      <c r="E668" s="289"/>
      <c r="F668" s="289"/>
      <c r="G668" s="152"/>
      <c r="H668" s="152"/>
      <c r="I668" s="152"/>
      <c r="J668" s="152"/>
      <c r="K668" s="289"/>
      <c r="L668" s="289"/>
      <c r="M668" s="152"/>
      <c r="N668" s="152"/>
      <c r="O668" s="156"/>
      <c r="P668" s="152"/>
      <c r="Q668" s="152"/>
      <c r="R668" s="152"/>
      <c r="S668" s="152"/>
      <c r="T668" s="152"/>
      <c r="U668" s="152"/>
      <c r="V668" s="152"/>
      <c r="W668" s="152"/>
      <c r="X668" s="152"/>
      <c r="Y668" s="152"/>
      <c r="Z668" s="281"/>
      <c r="AA668" s="281"/>
      <c r="AB668" s="281"/>
      <c r="AC668" s="281"/>
      <c r="AD668" s="281"/>
      <c r="AE668" s="281"/>
      <c r="AF668" s="282"/>
      <c r="AG668" s="170"/>
      <c r="AH668" s="152"/>
      <c r="AI668" s="152"/>
      <c r="AJ668" s="152"/>
      <c r="AK668" s="152"/>
      <c r="AL668" s="152"/>
      <c r="AM668" s="152"/>
      <c r="AN668" s="152"/>
      <c r="AO668" s="152"/>
      <c r="AP668" s="152"/>
      <c r="AQ668" s="152"/>
      <c r="AR668" s="152"/>
    </row>
    <row r="669" ht="12.75" customHeight="1">
      <c r="A669" s="288"/>
      <c r="B669" s="288"/>
      <c r="C669" s="288"/>
      <c r="D669" s="152"/>
      <c r="E669" s="289"/>
      <c r="F669" s="289"/>
      <c r="G669" s="152"/>
      <c r="H669" s="152"/>
      <c r="I669" s="152"/>
      <c r="J669" s="152"/>
      <c r="K669" s="289"/>
      <c r="L669" s="289"/>
      <c r="M669" s="152"/>
      <c r="N669" s="152"/>
      <c r="O669" s="156"/>
      <c r="P669" s="152"/>
      <c r="Q669" s="152"/>
      <c r="R669" s="152"/>
      <c r="S669" s="152"/>
      <c r="T669" s="152"/>
      <c r="U669" s="152"/>
      <c r="V669" s="152"/>
      <c r="W669" s="152"/>
      <c r="X669" s="152"/>
      <c r="Y669" s="152"/>
      <c r="Z669" s="281"/>
      <c r="AA669" s="281"/>
      <c r="AB669" s="281"/>
      <c r="AC669" s="281"/>
      <c r="AD669" s="281"/>
      <c r="AE669" s="281"/>
      <c r="AF669" s="282"/>
      <c r="AG669" s="170"/>
      <c r="AH669" s="152"/>
      <c r="AI669" s="152"/>
      <c r="AJ669" s="152"/>
      <c r="AK669" s="152"/>
      <c r="AL669" s="152"/>
      <c r="AM669" s="152"/>
      <c r="AN669" s="152"/>
      <c r="AO669" s="152"/>
      <c r="AP669" s="152"/>
      <c r="AQ669" s="152"/>
      <c r="AR669" s="152"/>
    </row>
    <row r="670" ht="12.75" customHeight="1">
      <c r="A670" s="288"/>
      <c r="B670" s="288"/>
      <c r="C670" s="288"/>
      <c r="D670" s="152"/>
      <c r="E670" s="289"/>
      <c r="F670" s="289"/>
      <c r="G670" s="152"/>
      <c r="H670" s="152"/>
      <c r="I670" s="152"/>
      <c r="J670" s="152"/>
      <c r="K670" s="289"/>
      <c r="L670" s="289"/>
      <c r="M670" s="152"/>
      <c r="N670" s="152"/>
      <c r="O670" s="156"/>
      <c r="P670" s="152"/>
      <c r="Q670" s="152"/>
      <c r="R670" s="152"/>
      <c r="S670" s="152"/>
      <c r="T670" s="152"/>
      <c r="U670" s="152"/>
      <c r="V670" s="152"/>
      <c r="W670" s="152"/>
      <c r="X670" s="152"/>
      <c r="Y670" s="152"/>
      <c r="Z670" s="281"/>
      <c r="AA670" s="281"/>
      <c r="AB670" s="281"/>
      <c r="AC670" s="281"/>
      <c r="AD670" s="281"/>
      <c r="AE670" s="281"/>
      <c r="AF670" s="282"/>
      <c r="AG670" s="170"/>
      <c r="AH670" s="152"/>
      <c r="AI670" s="152"/>
      <c r="AJ670" s="152"/>
      <c r="AK670" s="152"/>
      <c r="AL670" s="152"/>
      <c r="AM670" s="152"/>
      <c r="AN670" s="152"/>
      <c r="AO670" s="152"/>
      <c r="AP670" s="152"/>
      <c r="AQ670" s="152"/>
      <c r="AR670" s="152"/>
    </row>
    <row r="671" ht="12.75" customHeight="1">
      <c r="A671" s="288"/>
      <c r="B671" s="288"/>
      <c r="C671" s="288"/>
      <c r="D671" s="152"/>
      <c r="E671" s="289"/>
      <c r="F671" s="289"/>
      <c r="G671" s="152"/>
      <c r="H671" s="152"/>
      <c r="I671" s="152"/>
      <c r="J671" s="152"/>
      <c r="K671" s="289"/>
      <c r="L671" s="289"/>
      <c r="M671" s="152"/>
      <c r="N671" s="152"/>
      <c r="O671" s="156"/>
      <c r="P671" s="152"/>
      <c r="Q671" s="152"/>
      <c r="R671" s="152"/>
      <c r="S671" s="152"/>
      <c r="T671" s="152"/>
      <c r="U671" s="152"/>
      <c r="V671" s="152"/>
      <c r="W671" s="152"/>
      <c r="X671" s="152"/>
      <c r="Y671" s="152"/>
      <c r="Z671" s="281"/>
      <c r="AA671" s="281"/>
      <c r="AB671" s="281"/>
      <c r="AC671" s="281"/>
      <c r="AD671" s="281"/>
      <c r="AE671" s="281"/>
      <c r="AF671" s="282"/>
      <c r="AG671" s="170"/>
      <c r="AH671" s="152"/>
      <c r="AI671" s="152"/>
      <c r="AJ671" s="152"/>
      <c r="AK671" s="152"/>
      <c r="AL671" s="152"/>
      <c r="AM671" s="152"/>
      <c r="AN671" s="152"/>
      <c r="AO671" s="152"/>
      <c r="AP671" s="152"/>
      <c r="AQ671" s="152"/>
      <c r="AR671" s="152"/>
    </row>
    <row r="672" ht="12.75" customHeight="1">
      <c r="A672" s="288"/>
      <c r="B672" s="288"/>
      <c r="C672" s="288"/>
      <c r="D672" s="152"/>
      <c r="E672" s="289"/>
      <c r="F672" s="289"/>
      <c r="G672" s="152"/>
      <c r="H672" s="152"/>
      <c r="I672" s="152"/>
      <c r="J672" s="152"/>
      <c r="K672" s="289"/>
      <c r="L672" s="289"/>
      <c r="M672" s="152"/>
      <c r="N672" s="152"/>
      <c r="O672" s="156"/>
      <c r="P672" s="152"/>
      <c r="Q672" s="152"/>
      <c r="R672" s="152"/>
      <c r="S672" s="152"/>
      <c r="T672" s="152"/>
      <c r="U672" s="152"/>
      <c r="V672" s="152"/>
      <c r="W672" s="152"/>
      <c r="X672" s="152"/>
      <c r="Y672" s="152"/>
      <c r="Z672" s="281"/>
      <c r="AA672" s="281"/>
      <c r="AB672" s="281"/>
      <c r="AC672" s="281"/>
      <c r="AD672" s="281"/>
      <c r="AE672" s="281"/>
      <c r="AF672" s="282"/>
      <c r="AG672" s="170"/>
      <c r="AH672" s="152"/>
      <c r="AI672" s="152"/>
      <c r="AJ672" s="152"/>
      <c r="AK672" s="152"/>
      <c r="AL672" s="152"/>
      <c r="AM672" s="152"/>
      <c r="AN672" s="152"/>
      <c r="AO672" s="152"/>
      <c r="AP672" s="152"/>
      <c r="AQ672" s="152"/>
      <c r="AR672" s="152"/>
    </row>
    <row r="673" ht="12.75" customHeight="1">
      <c r="A673" s="288"/>
      <c r="B673" s="288"/>
      <c r="C673" s="288"/>
      <c r="D673" s="152"/>
      <c r="E673" s="289"/>
      <c r="F673" s="289"/>
      <c r="G673" s="152"/>
      <c r="H673" s="152"/>
      <c r="I673" s="152"/>
      <c r="J673" s="152"/>
      <c r="K673" s="289"/>
      <c r="L673" s="289"/>
      <c r="M673" s="152"/>
      <c r="N673" s="152"/>
      <c r="O673" s="156"/>
      <c r="P673" s="152"/>
      <c r="Q673" s="152"/>
      <c r="R673" s="152"/>
      <c r="S673" s="152"/>
      <c r="T673" s="152"/>
      <c r="U673" s="152"/>
      <c r="V673" s="152"/>
      <c r="W673" s="152"/>
      <c r="X673" s="152"/>
      <c r="Y673" s="152"/>
      <c r="Z673" s="281"/>
      <c r="AA673" s="281"/>
      <c r="AB673" s="281"/>
      <c r="AC673" s="281"/>
      <c r="AD673" s="281"/>
      <c r="AE673" s="281"/>
      <c r="AF673" s="282"/>
      <c r="AG673" s="170"/>
      <c r="AH673" s="152"/>
      <c r="AI673" s="152"/>
      <c r="AJ673" s="152"/>
      <c r="AK673" s="152"/>
      <c r="AL673" s="152"/>
      <c r="AM673" s="152"/>
      <c r="AN673" s="152"/>
      <c r="AO673" s="152"/>
      <c r="AP673" s="152"/>
      <c r="AQ673" s="152"/>
      <c r="AR673" s="152"/>
    </row>
    <row r="674" ht="12.75" customHeight="1">
      <c r="A674" s="288"/>
      <c r="B674" s="288"/>
      <c r="C674" s="288"/>
      <c r="D674" s="152"/>
      <c r="E674" s="289"/>
      <c r="F674" s="289"/>
      <c r="G674" s="152"/>
      <c r="H674" s="152"/>
      <c r="I674" s="152"/>
      <c r="J674" s="152"/>
      <c r="K674" s="289"/>
      <c r="L674" s="289"/>
      <c r="M674" s="152"/>
      <c r="N674" s="152"/>
      <c r="O674" s="156"/>
      <c r="P674" s="152"/>
      <c r="Q674" s="152"/>
      <c r="R674" s="152"/>
      <c r="S674" s="152"/>
      <c r="T674" s="152"/>
      <c r="U674" s="152"/>
      <c r="V674" s="152"/>
      <c r="W674" s="152"/>
      <c r="X674" s="152"/>
      <c r="Y674" s="152"/>
      <c r="Z674" s="281"/>
      <c r="AA674" s="281"/>
      <c r="AB674" s="281"/>
      <c r="AC674" s="281"/>
      <c r="AD674" s="281"/>
      <c r="AE674" s="281"/>
      <c r="AF674" s="282"/>
      <c r="AG674" s="170"/>
      <c r="AH674" s="152"/>
      <c r="AI674" s="152"/>
      <c r="AJ674" s="152"/>
      <c r="AK674" s="152"/>
      <c r="AL674" s="152"/>
      <c r="AM674" s="152"/>
      <c r="AN674" s="152"/>
      <c r="AO674" s="152"/>
      <c r="AP674" s="152"/>
      <c r="AQ674" s="152"/>
      <c r="AR674" s="152"/>
    </row>
    <row r="675" ht="12.75" customHeight="1">
      <c r="A675" s="288"/>
      <c r="B675" s="288"/>
      <c r="C675" s="288"/>
      <c r="D675" s="152"/>
      <c r="E675" s="289"/>
      <c r="F675" s="289"/>
      <c r="G675" s="152"/>
      <c r="H675" s="152"/>
      <c r="I675" s="152"/>
      <c r="J675" s="152"/>
      <c r="K675" s="289"/>
      <c r="L675" s="289"/>
      <c r="M675" s="152"/>
      <c r="N675" s="152"/>
      <c r="O675" s="156"/>
      <c r="P675" s="152"/>
      <c r="Q675" s="152"/>
      <c r="R675" s="152"/>
      <c r="S675" s="152"/>
      <c r="T675" s="152"/>
      <c r="U675" s="152"/>
      <c r="V675" s="152"/>
      <c r="W675" s="152"/>
      <c r="X675" s="152"/>
      <c r="Y675" s="152"/>
      <c r="Z675" s="281"/>
      <c r="AA675" s="281"/>
      <c r="AB675" s="281"/>
      <c r="AC675" s="281"/>
      <c r="AD675" s="281"/>
      <c r="AE675" s="281"/>
      <c r="AF675" s="282"/>
      <c r="AG675" s="170"/>
      <c r="AH675" s="152"/>
      <c r="AI675" s="152"/>
      <c r="AJ675" s="152"/>
      <c r="AK675" s="152"/>
      <c r="AL675" s="152"/>
      <c r="AM675" s="152"/>
      <c r="AN675" s="152"/>
      <c r="AO675" s="152"/>
      <c r="AP675" s="152"/>
      <c r="AQ675" s="152"/>
      <c r="AR675" s="152"/>
    </row>
    <row r="676" ht="12.75" customHeight="1">
      <c r="A676" s="288"/>
      <c r="B676" s="288"/>
      <c r="C676" s="288"/>
      <c r="D676" s="152"/>
      <c r="E676" s="289"/>
      <c r="F676" s="289"/>
      <c r="G676" s="152"/>
      <c r="H676" s="152"/>
      <c r="I676" s="152"/>
      <c r="J676" s="152"/>
      <c r="K676" s="289"/>
      <c r="L676" s="289"/>
      <c r="M676" s="152"/>
      <c r="N676" s="152"/>
      <c r="O676" s="156"/>
      <c r="P676" s="152"/>
      <c r="Q676" s="152"/>
      <c r="R676" s="152"/>
      <c r="S676" s="152"/>
      <c r="T676" s="152"/>
      <c r="U676" s="152"/>
      <c r="V676" s="152"/>
      <c r="W676" s="152"/>
      <c r="X676" s="152"/>
      <c r="Y676" s="152"/>
      <c r="Z676" s="281"/>
      <c r="AA676" s="281"/>
      <c r="AB676" s="281"/>
      <c r="AC676" s="281"/>
      <c r="AD676" s="281"/>
      <c r="AE676" s="281"/>
      <c r="AF676" s="282"/>
      <c r="AG676" s="170"/>
      <c r="AH676" s="152"/>
      <c r="AI676" s="152"/>
      <c r="AJ676" s="152"/>
      <c r="AK676" s="152"/>
      <c r="AL676" s="152"/>
      <c r="AM676" s="152"/>
      <c r="AN676" s="152"/>
      <c r="AO676" s="152"/>
      <c r="AP676" s="152"/>
      <c r="AQ676" s="152"/>
      <c r="AR676" s="152"/>
    </row>
    <row r="677" ht="12.75" customHeight="1">
      <c r="A677" s="288"/>
      <c r="B677" s="288"/>
      <c r="C677" s="288"/>
      <c r="D677" s="152"/>
      <c r="E677" s="289"/>
      <c r="F677" s="289"/>
      <c r="G677" s="152"/>
      <c r="H677" s="152"/>
      <c r="I677" s="152"/>
      <c r="J677" s="152"/>
      <c r="K677" s="289"/>
      <c r="L677" s="289"/>
      <c r="M677" s="152"/>
      <c r="N677" s="152"/>
      <c r="O677" s="156"/>
      <c r="P677" s="152"/>
      <c r="Q677" s="152"/>
      <c r="R677" s="152"/>
      <c r="S677" s="152"/>
      <c r="T677" s="152"/>
      <c r="U677" s="152"/>
      <c r="V677" s="152"/>
      <c r="W677" s="152"/>
      <c r="X677" s="152"/>
      <c r="Y677" s="152"/>
      <c r="Z677" s="281"/>
      <c r="AA677" s="281"/>
      <c r="AB677" s="281"/>
      <c r="AC677" s="281"/>
      <c r="AD677" s="281"/>
      <c r="AE677" s="281"/>
      <c r="AF677" s="282"/>
      <c r="AG677" s="170"/>
      <c r="AH677" s="152"/>
      <c r="AI677" s="152"/>
      <c r="AJ677" s="152"/>
      <c r="AK677" s="152"/>
      <c r="AL677" s="152"/>
      <c r="AM677" s="152"/>
      <c r="AN677" s="152"/>
      <c r="AO677" s="152"/>
      <c r="AP677" s="152"/>
      <c r="AQ677" s="152"/>
      <c r="AR677" s="152"/>
    </row>
    <row r="678" ht="12.75" customHeight="1">
      <c r="A678" s="288"/>
      <c r="B678" s="288"/>
      <c r="C678" s="288"/>
      <c r="D678" s="152"/>
      <c r="E678" s="289"/>
      <c r="F678" s="289"/>
      <c r="G678" s="152"/>
      <c r="H678" s="152"/>
      <c r="I678" s="152"/>
      <c r="J678" s="152"/>
      <c r="K678" s="289"/>
      <c r="L678" s="289"/>
      <c r="M678" s="152"/>
      <c r="N678" s="152"/>
      <c r="O678" s="156"/>
      <c r="P678" s="152"/>
      <c r="Q678" s="152"/>
      <c r="R678" s="152"/>
      <c r="S678" s="152"/>
      <c r="T678" s="152"/>
      <c r="U678" s="152"/>
      <c r="V678" s="152"/>
      <c r="W678" s="152"/>
      <c r="X678" s="152"/>
      <c r="Y678" s="152"/>
      <c r="Z678" s="281"/>
      <c r="AA678" s="281"/>
      <c r="AB678" s="281"/>
      <c r="AC678" s="281"/>
      <c r="AD678" s="281"/>
      <c r="AE678" s="281"/>
      <c r="AF678" s="282"/>
      <c r="AG678" s="170"/>
      <c r="AH678" s="152"/>
      <c r="AI678" s="152"/>
      <c r="AJ678" s="152"/>
      <c r="AK678" s="152"/>
      <c r="AL678" s="152"/>
      <c r="AM678" s="152"/>
      <c r="AN678" s="152"/>
      <c r="AO678" s="152"/>
      <c r="AP678" s="152"/>
      <c r="AQ678" s="152"/>
      <c r="AR678" s="152"/>
    </row>
    <row r="679" ht="12.75" customHeight="1">
      <c r="A679" s="288"/>
      <c r="B679" s="288"/>
      <c r="C679" s="288"/>
      <c r="D679" s="152"/>
      <c r="E679" s="289"/>
      <c r="F679" s="289"/>
      <c r="G679" s="152"/>
      <c r="H679" s="152"/>
      <c r="I679" s="152"/>
      <c r="J679" s="152"/>
      <c r="K679" s="289"/>
      <c r="L679" s="289"/>
      <c r="M679" s="152"/>
      <c r="N679" s="152"/>
      <c r="O679" s="156"/>
      <c r="P679" s="152"/>
      <c r="Q679" s="152"/>
      <c r="R679" s="152"/>
      <c r="S679" s="152"/>
      <c r="T679" s="152"/>
      <c r="U679" s="152"/>
      <c r="V679" s="152"/>
      <c r="W679" s="152"/>
      <c r="X679" s="152"/>
      <c r="Y679" s="152"/>
      <c r="Z679" s="281"/>
      <c r="AA679" s="281"/>
      <c r="AB679" s="281"/>
      <c r="AC679" s="281"/>
      <c r="AD679" s="281"/>
      <c r="AE679" s="281"/>
      <c r="AF679" s="282"/>
      <c r="AG679" s="170"/>
      <c r="AH679" s="152"/>
      <c r="AI679" s="152"/>
      <c r="AJ679" s="152"/>
      <c r="AK679" s="152"/>
      <c r="AL679" s="152"/>
      <c r="AM679" s="152"/>
      <c r="AN679" s="152"/>
      <c r="AO679" s="152"/>
      <c r="AP679" s="152"/>
      <c r="AQ679" s="152"/>
      <c r="AR679" s="152"/>
    </row>
    <row r="680" ht="12.75" customHeight="1">
      <c r="A680" s="288"/>
      <c r="B680" s="288"/>
      <c r="C680" s="288"/>
      <c r="D680" s="152"/>
      <c r="E680" s="289"/>
      <c r="F680" s="289"/>
      <c r="G680" s="152"/>
      <c r="H680" s="152"/>
      <c r="I680" s="152"/>
      <c r="J680" s="152"/>
      <c r="K680" s="289"/>
      <c r="L680" s="289"/>
      <c r="M680" s="152"/>
      <c r="N680" s="152"/>
      <c r="O680" s="156"/>
      <c r="P680" s="152"/>
      <c r="Q680" s="152"/>
      <c r="R680" s="152"/>
      <c r="S680" s="152"/>
      <c r="T680" s="152"/>
      <c r="U680" s="152"/>
      <c r="V680" s="152"/>
      <c r="W680" s="152"/>
      <c r="X680" s="152"/>
      <c r="Y680" s="152"/>
      <c r="Z680" s="281"/>
      <c r="AA680" s="281"/>
      <c r="AB680" s="281"/>
      <c r="AC680" s="281"/>
      <c r="AD680" s="281"/>
      <c r="AE680" s="281"/>
      <c r="AF680" s="282"/>
      <c r="AG680" s="170"/>
      <c r="AH680" s="152"/>
      <c r="AI680" s="152"/>
      <c r="AJ680" s="152"/>
      <c r="AK680" s="152"/>
      <c r="AL680" s="152"/>
      <c r="AM680" s="152"/>
      <c r="AN680" s="152"/>
      <c r="AO680" s="152"/>
      <c r="AP680" s="152"/>
      <c r="AQ680" s="152"/>
      <c r="AR680" s="152"/>
    </row>
    <row r="681" ht="12.75" customHeight="1">
      <c r="A681" s="288"/>
      <c r="B681" s="288"/>
      <c r="C681" s="288"/>
      <c r="D681" s="152"/>
      <c r="E681" s="289"/>
      <c r="F681" s="289"/>
      <c r="G681" s="152"/>
      <c r="H681" s="152"/>
      <c r="I681" s="152"/>
      <c r="J681" s="152"/>
      <c r="K681" s="289"/>
      <c r="L681" s="289"/>
      <c r="M681" s="152"/>
      <c r="N681" s="152"/>
      <c r="O681" s="156"/>
      <c r="P681" s="152"/>
      <c r="Q681" s="152"/>
      <c r="R681" s="152"/>
      <c r="S681" s="152"/>
      <c r="T681" s="152"/>
      <c r="U681" s="152"/>
      <c r="V681" s="152"/>
      <c r="W681" s="152"/>
      <c r="X681" s="152"/>
      <c r="Y681" s="152"/>
      <c r="Z681" s="281"/>
      <c r="AA681" s="281"/>
      <c r="AB681" s="281"/>
      <c r="AC681" s="281"/>
      <c r="AD681" s="281"/>
      <c r="AE681" s="281"/>
      <c r="AF681" s="282"/>
      <c r="AG681" s="170"/>
      <c r="AH681" s="152"/>
      <c r="AI681" s="152"/>
      <c r="AJ681" s="152"/>
      <c r="AK681" s="152"/>
      <c r="AL681" s="152"/>
      <c r="AM681" s="152"/>
      <c r="AN681" s="152"/>
      <c r="AO681" s="152"/>
      <c r="AP681" s="152"/>
      <c r="AQ681" s="152"/>
      <c r="AR681" s="152"/>
    </row>
    <row r="682" ht="12.75" customHeight="1">
      <c r="A682" s="288"/>
      <c r="B682" s="288"/>
      <c r="C682" s="288"/>
      <c r="D682" s="152"/>
      <c r="E682" s="289"/>
      <c r="F682" s="289"/>
      <c r="G682" s="152"/>
      <c r="H682" s="152"/>
      <c r="I682" s="152"/>
      <c r="J682" s="152"/>
      <c r="K682" s="289"/>
      <c r="L682" s="289"/>
      <c r="M682" s="152"/>
      <c r="N682" s="152"/>
      <c r="O682" s="156"/>
      <c r="P682" s="152"/>
      <c r="Q682" s="152"/>
      <c r="R682" s="152"/>
      <c r="S682" s="152"/>
      <c r="T682" s="152"/>
      <c r="U682" s="152"/>
      <c r="V682" s="152"/>
      <c r="W682" s="152"/>
      <c r="X682" s="152"/>
      <c r="Y682" s="152"/>
      <c r="Z682" s="281"/>
      <c r="AA682" s="281"/>
      <c r="AB682" s="281"/>
      <c r="AC682" s="281"/>
      <c r="AD682" s="281"/>
      <c r="AE682" s="281"/>
      <c r="AF682" s="282"/>
      <c r="AG682" s="170"/>
      <c r="AH682" s="152"/>
      <c r="AI682" s="152"/>
      <c r="AJ682" s="152"/>
      <c r="AK682" s="152"/>
      <c r="AL682" s="152"/>
      <c r="AM682" s="152"/>
      <c r="AN682" s="152"/>
      <c r="AO682" s="152"/>
      <c r="AP682" s="152"/>
      <c r="AQ682" s="152"/>
      <c r="AR682" s="152"/>
    </row>
    <row r="683" ht="12.75" customHeight="1">
      <c r="A683" s="288"/>
      <c r="B683" s="288"/>
      <c r="C683" s="288"/>
      <c r="D683" s="152"/>
      <c r="E683" s="289"/>
      <c r="F683" s="289"/>
      <c r="G683" s="152"/>
      <c r="H683" s="152"/>
      <c r="I683" s="152"/>
      <c r="J683" s="152"/>
      <c r="K683" s="289"/>
      <c r="L683" s="289"/>
      <c r="M683" s="152"/>
      <c r="N683" s="152"/>
      <c r="O683" s="156"/>
      <c r="P683" s="152"/>
      <c r="Q683" s="152"/>
      <c r="R683" s="152"/>
      <c r="S683" s="152"/>
      <c r="T683" s="152"/>
      <c r="U683" s="152"/>
      <c r="V683" s="152"/>
      <c r="W683" s="152"/>
      <c r="X683" s="152"/>
      <c r="Y683" s="152"/>
      <c r="Z683" s="281"/>
      <c r="AA683" s="281"/>
      <c r="AB683" s="281"/>
      <c r="AC683" s="281"/>
      <c r="AD683" s="281"/>
      <c r="AE683" s="281"/>
      <c r="AF683" s="282"/>
      <c r="AG683" s="170"/>
      <c r="AH683" s="152"/>
      <c r="AI683" s="152"/>
      <c r="AJ683" s="152"/>
      <c r="AK683" s="152"/>
      <c r="AL683" s="152"/>
      <c r="AM683" s="152"/>
      <c r="AN683" s="152"/>
      <c r="AO683" s="152"/>
      <c r="AP683" s="152"/>
      <c r="AQ683" s="152"/>
      <c r="AR683" s="152"/>
    </row>
    <row r="684" ht="12.75" customHeight="1">
      <c r="A684" s="288"/>
      <c r="B684" s="288"/>
      <c r="C684" s="288"/>
      <c r="D684" s="152"/>
      <c r="E684" s="289"/>
      <c r="F684" s="289"/>
      <c r="G684" s="152"/>
      <c r="H684" s="152"/>
      <c r="I684" s="152"/>
      <c r="J684" s="152"/>
      <c r="K684" s="289"/>
      <c r="L684" s="289"/>
      <c r="M684" s="152"/>
      <c r="N684" s="152"/>
      <c r="O684" s="156"/>
      <c r="P684" s="152"/>
      <c r="Q684" s="152"/>
      <c r="R684" s="152"/>
      <c r="S684" s="152"/>
      <c r="T684" s="152"/>
      <c r="U684" s="152"/>
      <c r="V684" s="152"/>
      <c r="W684" s="152"/>
      <c r="X684" s="152"/>
      <c r="Y684" s="152"/>
      <c r="Z684" s="281"/>
      <c r="AA684" s="281"/>
      <c r="AB684" s="281"/>
      <c r="AC684" s="281"/>
      <c r="AD684" s="281"/>
      <c r="AE684" s="281"/>
      <c r="AF684" s="282"/>
      <c r="AG684" s="170"/>
      <c r="AH684" s="152"/>
      <c r="AI684" s="152"/>
      <c r="AJ684" s="152"/>
      <c r="AK684" s="152"/>
      <c r="AL684" s="152"/>
      <c r="AM684" s="152"/>
      <c r="AN684" s="152"/>
      <c r="AO684" s="152"/>
      <c r="AP684" s="152"/>
      <c r="AQ684" s="152"/>
      <c r="AR684" s="152"/>
    </row>
    <row r="685" ht="12.75" customHeight="1">
      <c r="A685" s="288"/>
      <c r="B685" s="288"/>
      <c r="C685" s="288"/>
      <c r="D685" s="152"/>
      <c r="E685" s="289"/>
      <c r="F685" s="289"/>
      <c r="G685" s="152"/>
      <c r="H685" s="152"/>
      <c r="I685" s="152"/>
      <c r="J685" s="152"/>
      <c r="K685" s="289"/>
      <c r="L685" s="289"/>
      <c r="M685" s="152"/>
      <c r="N685" s="152"/>
      <c r="O685" s="156"/>
      <c r="P685" s="152"/>
      <c r="Q685" s="152"/>
      <c r="R685" s="152"/>
      <c r="S685" s="152"/>
      <c r="T685" s="152"/>
      <c r="U685" s="152"/>
      <c r="V685" s="152"/>
      <c r="W685" s="152"/>
      <c r="X685" s="152"/>
      <c r="Y685" s="152"/>
      <c r="Z685" s="281"/>
      <c r="AA685" s="281"/>
      <c r="AB685" s="281"/>
      <c r="AC685" s="281"/>
      <c r="AD685" s="281"/>
      <c r="AE685" s="281"/>
      <c r="AF685" s="282"/>
      <c r="AG685" s="170"/>
      <c r="AH685" s="152"/>
      <c r="AI685" s="152"/>
      <c r="AJ685" s="152"/>
      <c r="AK685" s="152"/>
      <c r="AL685" s="152"/>
      <c r="AM685" s="152"/>
      <c r="AN685" s="152"/>
      <c r="AO685" s="152"/>
      <c r="AP685" s="152"/>
      <c r="AQ685" s="152"/>
      <c r="AR685" s="152"/>
    </row>
    <row r="686" ht="12.75" customHeight="1">
      <c r="A686" s="288"/>
      <c r="B686" s="288"/>
      <c r="C686" s="288"/>
      <c r="D686" s="152"/>
      <c r="E686" s="289"/>
      <c r="F686" s="289"/>
      <c r="G686" s="152"/>
      <c r="H686" s="152"/>
      <c r="I686" s="152"/>
      <c r="J686" s="152"/>
      <c r="K686" s="289"/>
      <c r="L686" s="289"/>
      <c r="M686" s="152"/>
      <c r="N686" s="152"/>
      <c r="O686" s="156"/>
      <c r="P686" s="152"/>
      <c r="Q686" s="152"/>
      <c r="R686" s="152"/>
      <c r="S686" s="152"/>
      <c r="T686" s="152"/>
      <c r="U686" s="152"/>
      <c r="V686" s="152"/>
      <c r="W686" s="152"/>
      <c r="X686" s="152"/>
      <c r="Y686" s="152"/>
      <c r="Z686" s="281"/>
      <c r="AA686" s="281"/>
      <c r="AB686" s="281"/>
      <c r="AC686" s="281"/>
      <c r="AD686" s="281"/>
      <c r="AE686" s="281"/>
      <c r="AF686" s="282"/>
      <c r="AG686" s="170"/>
      <c r="AH686" s="152"/>
      <c r="AI686" s="152"/>
      <c r="AJ686" s="152"/>
      <c r="AK686" s="152"/>
      <c r="AL686" s="152"/>
      <c r="AM686" s="152"/>
      <c r="AN686" s="152"/>
      <c r="AO686" s="152"/>
      <c r="AP686" s="152"/>
      <c r="AQ686" s="152"/>
      <c r="AR686" s="152"/>
    </row>
    <row r="687" ht="12.75" customHeight="1">
      <c r="A687" s="288"/>
      <c r="B687" s="288"/>
      <c r="C687" s="288"/>
      <c r="D687" s="152"/>
      <c r="E687" s="289"/>
      <c r="F687" s="289"/>
      <c r="G687" s="152"/>
      <c r="H687" s="152"/>
      <c r="I687" s="152"/>
      <c r="J687" s="152"/>
      <c r="K687" s="289"/>
      <c r="L687" s="289"/>
      <c r="M687" s="152"/>
      <c r="N687" s="152"/>
      <c r="O687" s="156"/>
      <c r="P687" s="152"/>
      <c r="Q687" s="152"/>
      <c r="R687" s="152"/>
      <c r="S687" s="152"/>
      <c r="T687" s="152"/>
      <c r="U687" s="152"/>
      <c r="V687" s="152"/>
      <c r="W687" s="152"/>
      <c r="X687" s="152"/>
      <c r="Y687" s="152"/>
      <c r="Z687" s="281"/>
      <c r="AA687" s="281"/>
      <c r="AB687" s="281"/>
      <c r="AC687" s="281"/>
      <c r="AD687" s="281"/>
      <c r="AE687" s="281"/>
      <c r="AF687" s="282"/>
      <c r="AG687" s="170"/>
      <c r="AH687" s="152"/>
      <c r="AI687" s="152"/>
      <c r="AJ687" s="152"/>
      <c r="AK687" s="152"/>
      <c r="AL687" s="152"/>
      <c r="AM687" s="152"/>
      <c r="AN687" s="152"/>
      <c r="AO687" s="152"/>
      <c r="AP687" s="152"/>
      <c r="AQ687" s="152"/>
      <c r="AR687" s="152"/>
    </row>
    <row r="688" ht="12.75" customHeight="1">
      <c r="A688" s="288"/>
      <c r="B688" s="288"/>
      <c r="C688" s="288"/>
      <c r="D688" s="152"/>
      <c r="E688" s="289"/>
      <c r="F688" s="289"/>
      <c r="G688" s="152"/>
      <c r="H688" s="152"/>
      <c r="I688" s="152"/>
      <c r="J688" s="152"/>
      <c r="K688" s="289"/>
      <c r="L688" s="289"/>
      <c r="M688" s="152"/>
      <c r="N688" s="152"/>
      <c r="O688" s="156"/>
      <c r="P688" s="152"/>
      <c r="Q688" s="152"/>
      <c r="R688" s="152"/>
      <c r="S688" s="152"/>
      <c r="T688" s="152"/>
      <c r="U688" s="152"/>
      <c r="V688" s="152"/>
      <c r="W688" s="152"/>
      <c r="X688" s="152"/>
      <c r="Y688" s="152"/>
      <c r="Z688" s="281"/>
      <c r="AA688" s="281"/>
      <c r="AB688" s="281"/>
      <c r="AC688" s="281"/>
      <c r="AD688" s="281"/>
      <c r="AE688" s="281"/>
      <c r="AF688" s="282"/>
      <c r="AG688" s="170"/>
      <c r="AH688" s="152"/>
      <c r="AI688" s="152"/>
      <c r="AJ688" s="152"/>
      <c r="AK688" s="152"/>
      <c r="AL688" s="152"/>
      <c r="AM688" s="152"/>
      <c r="AN688" s="152"/>
      <c r="AO688" s="152"/>
      <c r="AP688" s="152"/>
      <c r="AQ688" s="152"/>
      <c r="AR688" s="152"/>
    </row>
    <row r="689" ht="12.75" customHeight="1">
      <c r="A689" s="288"/>
      <c r="B689" s="288"/>
      <c r="C689" s="288"/>
      <c r="D689" s="152"/>
      <c r="E689" s="289"/>
      <c r="F689" s="289"/>
      <c r="G689" s="152"/>
      <c r="H689" s="152"/>
      <c r="I689" s="152"/>
      <c r="J689" s="152"/>
      <c r="K689" s="289"/>
      <c r="L689" s="289"/>
      <c r="M689" s="152"/>
      <c r="N689" s="152"/>
      <c r="O689" s="156"/>
      <c r="P689" s="152"/>
      <c r="Q689" s="152"/>
      <c r="R689" s="152"/>
      <c r="S689" s="152"/>
      <c r="T689" s="152"/>
      <c r="U689" s="152"/>
      <c r="V689" s="152"/>
      <c r="W689" s="152"/>
      <c r="X689" s="152"/>
      <c r="Y689" s="152"/>
      <c r="Z689" s="281"/>
      <c r="AA689" s="281"/>
      <c r="AB689" s="281"/>
      <c r="AC689" s="281"/>
      <c r="AD689" s="281"/>
      <c r="AE689" s="281"/>
      <c r="AF689" s="282"/>
      <c r="AG689" s="170"/>
      <c r="AH689" s="152"/>
      <c r="AI689" s="152"/>
      <c r="AJ689" s="152"/>
      <c r="AK689" s="152"/>
      <c r="AL689" s="152"/>
      <c r="AM689" s="152"/>
      <c r="AN689" s="152"/>
      <c r="AO689" s="152"/>
      <c r="AP689" s="152"/>
      <c r="AQ689" s="152"/>
      <c r="AR689" s="152"/>
    </row>
    <row r="690" ht="12.75" customHeight="1">
      <c r="A690" s="288"/>
      <c r="B690" s="288"/>
      <c r="C690" s="288"/>
      <c r="D690" s="152"/>
      <c r="E690" s="289"/>
      <c r="F690" s="289"/>
      <c r="G690" s="152"/>
      <c r="H690" s="152"/>
      <c r="I690" s="152"/>
      <c r="J690" s="152"/>
      <c r="K690" s="289"/>
      <c r="L690" s="289"/>
      <c r="M690" s="152"/>
      <c r="N690" s="152"/>
      <c r="O690" s="156"/>
      <c r="P690" s="152"/>
      <c r="Q690" s="152"/>
      <c r="R690" s="152"/>
      <c r="S690" s="152"/>
      <c r="T690" s="152"/>
      <c r="U690" s="152"/>
      <c r="V690" s="152"/>
      <c r="W690" s="152"/>
      <c r="X690" s="152"/>
      <c r="Y690" s="152"/>
      <c r="Z690" s="281"/>
      <c r="AA690" s="281"/>
      <c r="AB690" s="281"/>
      <c r="AC690" s="281"/>
      <c r="AD690" s="281"/>
      <c r="AE690" s="281"/>
      <c r="AF690" s="282"/>
      <c r="AG690" s="170"/>
      <c r="AH690" s="152"/>
      <c r="AI690" s="152"/>
      <c r="AJ690" s="152"/>
      <c r="AK690" s="152"/>
      <c r="AL690" s="152"/>
      <c r="AM690" s="152"/>
      <c r="AN690" s="152"/>
      <c r="AO690" s="152"/>
      <c r="AP690" s="152"/>
      <c r="AQ690" s="152"/>
      <c r="AR690" s="152"/>
    </row>
    <row r="691" ht="12.75" customHeight="1">
      <c r="A691" s="288"/>
      <c r="B691" s="288"/>
      <c r="C691" s="288"/>
      <c r="D691" s="152"/>
      <c r="E691" s="289"/>
      <c r="F691" s="289"/>
      <c r="G691" s="152"/>
      <c r="H691" s="152"/>
      <c r="I691" s="152"/>
      <c r="J691" s="152"/>
      <c r="K691" s="289"/>
      <c r="L691" s="289"/>
      <c r="M691" s="152"/>
      <c r="N691" s="152"/>
      <c r="O691" s="156"/>
      <c r="P691" s="152"/>
      <c r="Q691" s="152"/>
      <c r="R691" s="152"/>
      <c r="S691" s="152"/>
      <c r="T691" s="152"/>
      <c r="U691" s="152"/>
      <c r="V691" s="152"/>
      <c r="W691" s="152"/>
      <c r="X691" s="152"/>
      <c r="Y691" s="152"/>
      <c r="Z691" s="281"/>
      <c r="AA691" s="281"/>
      <c r="AB691" s="281"/>
      <c r="AC691" s="281"/>
      <c r="AD691" s="281"/>
      <c r="AE691" s="281"/>
      <c r="AF691" s="282"/>
      <c r="AG691" s="170"/>
      <c r="AH691" s="152"/>
      <c r="AI691" s="152"/>
      <c r="AJ691" s="152"/>
      <c r="AK691" s="152"/>
      <c r="AL691" s="152"/>
      <c r="AM691" s="152"/>
      <c r="AN691" s="152"/>
      <c r="AO691" s="152"/>
      <c r="AP691" s="152"/>
      <c r="AQ691" s="152"/>
      <c r="AR691" s="152"/>
    </row>
    <row r="692" ht="12.75" customHeight="1">
      <c r="A692" s="288"/>
      <c r="B692" s="288"/>
      <c r="C692" s="288"/>
      <c r="D692" s="152"/>
      <c r="E692" s="289"/>
      <c r="F692" s="289"/>
      <c r="G692" s="152"/>
      <c r="H692" s="152"/>
      <c r="I692" s="152"/>
      <c r="J692" s="152"/>
      <c r="K692" s="289"/>
      <c r="L692" s="289"/>
      <c r="M692" s="152"/>
      <c r="N692" s="152"/>
      <c r="O692" s="156"/>
      <c r="P692" s="152"/>
      <c r="Q692" s="152"/>
      <c r="R692" s="152"/>
      <c r="S692" s="152"/>
      <c r="T692" s="152"/>
      <c r="U692" s="152"/>
      <c r="V692" s="152"/>
      <c r="W692" s="152"/>
      <c r="X692" s="152"/>
      <c r="Y692" s="152"/>
      <c r="Z692" s="281"/>
      <c r="AA692" s="281"/>
      <c r="AB692" s="281"/>
      <c r="AC692" s="281"/>
      <c r="AD692" s="281"/>
      <c r="AE692" s="281"/>
      <c r="AF692" s="282"/>
      <c r="AG692" s="170"/>
      <c r="AH692" s="152"/>
      <c r="AI692" s="152"/>
      <c r="AJ692" s="152"/>
      <c r="AK692" s="152"/>
      <c r="AL692" s="152"/>
      <c r="AM692" s="152"/>
      <c r="AN692" s="152"/>
      <c r="AO692" s="152"/>
      <c r="AP692" s="152"/>
      <c r="AQ692" s="152"/>
      <c r="AR692" s="152"/>
    </row>
    <row r="693" ht="12.75" customHeight="1">
      <c r="A693" s="288"/>
      <c r="B693" s="288"/>
      <c r="C693" s="288"/>
      <c r="D693" s="152"/>
      <c r="E693" s="289"/>
      <c r="F693" s="289"/>
      <c r="G693" s="152"/>
      <c r="H693" s="152"/>
      <c r="I693" s="152"/>
      <c r="J693" s="152"/>
      <c r="K693" s="289"/>
      <c r="L693" s="289"/>
      <c r="M693" s="152"/>
      <c r="N693" s="152"/>
      <c r="O693" s="156"/>
      <c r="P693" s="152"/>
      <c r="Q693" s="152"/>
      <c r="R693" s="152"/>
      <c r="S693" s="152"/>
      <c r="T693" s="152"/>
      <c r="U693" s="152"/>
      <c r="V693" s="152"/>
      <c r="W693" s="152"/>
      <c r="X693" s="152"/>
      <c r="Y693" s="152"/>
      <c r="Z693" s="281"/>
      <c r="AA693" s="281"/>
      <c r="AB693" s="281"/>
      <c r="AC693" s="281"/>
      <c r="AD693" s="281"/>
      <c r="AE693" s="281"/>
      <c r="AF693" s="282"/>
      <c r="AG693" s="170"/>
      <c r="AH693" s="152"/>
      <c r="AI693" s="152"/>
      <c r="AJ693" s="152"/>
      <c r="AK693" s="152"/>
      <c r="AL693" s="152"/>
      <c r="AM693" s="152"/>
      <c r="AN693" s="152"/>
      <c r="AO693" s="152"/>
      <c r="AP693" s="152"/>
      <c r="AQ693" s="152"/>
      <c r="AR693" s="152"/>
    </row>
    <row r="694" ht="12.75" customHeight="1">
      <c r="A694" s="288"/>
      <c r="B694" s="288"/>
      <c r="C694" s="288"/>
      <c r="D694" s="152"/>
      <c r="E694" s="289"/>
      <c r="F694" s="289"/>
      <c r="G694" s="152"/>
      <c r="H694" s="152"/>
      <c r="I694" s="152"/>
      <c r="J694" s="152"/>
      <c r="K694" s="289"/>
      <c r="L694" s="289"/>
      <c r="M694" s="152"/>
      <c r="N694" s="152"/>
      <c r="O694" s="156"/>
      <c r="P694" s="152"/>
      <c r="Q694" s="152"/>
      <c r="R694" s="152"/>
      <c r="S694" s="152"/>
      <c r="T694" s="152"/>
      <c r="U694" s="152"/>
      <c r="V694" s="152"/>
      <c r="W694" s="152"/>
      <c r="X694" s="152"/>
      <c r="Y694" s="152"/>
      <c r="Z694" s="281"/>
      <c r="AA694" s="281"/>
      <c r="AB694" s="281"/>
      <c r="AC694" s="281"/>
      <c r="AD694" s="281"/>
      <c r="AE694" s="281"/>
      <c r="AF694" s="282"/>
      <c r="AG694" s="170"/>
      <c r="AH694" s="152"/>
      <c r="AI694" s="152"/>
      <c r="AJ694" s="152"/>
      <c r="AK694" s="152"/>
      <c r="AL694" s="152"/>
      <c r="AM694" s="152"/>
      <c r="AN694" s="152"/>
      <c r="AO694" s="152"/>
      <c r="AP694" s="152"/>
      <c r="AQ694" s="152"/>
      <c r="AR694" s="152"/>
    </row>
    <row r="695" ht="12.75" customHeight="1">
      <c r="A695" s="288"/>
      <c r="B695" s="288"/>
      <c r="C695" s="288"/>
      <c r="D695" s="152"/>
      <c r="E695" s="289"/>
      <c r="F695" s="289"/>
      <c r="G695" s="152"/>
      <c r="H695" s="152"/>
      <c r="I695" s="152"/>
      <c r="J695" s="152"/>
      <c r="K695" s="289"/>
      <c r="L695" s="289"/>
      <c r="M695" s="152"/>
      <c r="N695" s="152"/>
      <c r="O695" s="156"/>
      <c r="P695" s="152"/>
      <c r="Q695" s="152"/>
      <c r="R695" s="152"/>
      <c r="S695" s="152"/>
      <c r="T695" s="152"/>
      <c r="U695" s="152"/>
      <c r="V695" s="152"/>
      <c r="W695" s="152"/>
      <c r="X695" s="152"/>
      <c r="Y695" s="152"/>
      <c r="Z695" s="281"/>
      <c r="AA695" s="281"/>
      <c r="AB695" s="281"/>
      <c r="AC695" s="281"/>
      <c r="AD695" s="281"/>
      <c r="AE695" s="281"/>
      <c r="AF695" s="282"/>
      <c r="AG695" s="170"/>
      <c r="AH695" s="152"/>
      <c r="AI695" s="152"/>
      <c r="AJ695" s="152"/>
      <c r="AK695" s="152"/>
      <c r="AL695" s="152"/>
      <c r="AM695" s="152"/>
      <c r="AN695" s="152"/>
      <c r="AO695" s="152"/>
      <c r="AP695" s="152"/>
      <c r="AQ695" s="152"/>
      <c r="AR695" s="152"/>
    </row>
    <row r="696" ht="12.75" customHeight="1">
      <c r="A696" s="288"/>
      <c r="B696" s="288"/>
      <c r="C696" s="288"/>
      <c r="D696" s="152"/>
      <c r="E696" s="289"/>
      <c r="F696" s="289"/>
      <c r="G696" s="152"/>
      <c r="H696" s="152"/>
      <c r="I696" s="152"/>
      <c r="J696" s="152"/>
      <c r="K696" s="289"/>
      <c r="L696" s="289"/>
      <c r="M696" s="152"/>
      <c r="N696" s="152"/>
      <c r="O696" s="156"/>
      <c r="P696" s="152"/>
      <c r="Q696" s="152"/>
      <c r="R696" s="152"/>
      <c r="S696" s="152"/>
      <c r="T696" s="152"/>
      <c r="U696" s="152"/>
      <c r="V696" s="152"/>
      <c r="W696" s="152"/>
      <c r="X696" s="152"/>
      <c r="Y696" s="152"/>
      <c r="Z696" s="281"/>
      <c r="AA696" s="281"/>
      <c r="AB696" s="281"/>
      <c r="AC696" s="281"/>
      <c r="AD696" s="281"/>
      <c r="AE696" s="281"/>
      <c r="AF696" s="282"/>
      <c r="AG696" s="170"/>
      <c r="AH696" s="152"/>
      <c r="AI696" s="152"/>
      <c r="AJ696" s="152"/>
      <c r="AK696" s="152"/>
      <c r="AL696" s="152"/>
      <c r="AM696" s="152"/>
      <c r="AN696" s="152"/>
      <c r="AO696" s="152"/>
      <c r="AP696" s="152"/>
      <c r="AQ696" s="152"/>
      <c r="AR696" s="152"/>
    </row>
    <row r="697" ht="12.75" customHeight="1">
      <c r="A697" s="288"/>
      <c r="B697" s="288"/>
      <c r="C697" s="288"/>
      <c r="D697" s="152"/>
      <c r="E697" s="289"/>
      <c r="F697" s="289"/>
      <c r="G697" s="152"/>
      <c r="H697" s="152"/>
      <c r="I697" s="152"/>
      <c r="J697" s="152"/>
      <c r="K697" s="289"/>
      <c r="L697" s="289"/>
      <c r="M697" s="152"/>
      <c r="N697" s="152"/>
      <c r="O697" s="156"/>
      <c r="P697" s="152"/>
      <c r="Q697" s="152"/>
      <c r="R697" s="152"/>
      <c r="S697" s="152"/>
      <c r="T697" s="152"/>
      <c r="U697" s="152"/>
      <c r="V697" s="152"/>
      <c r="W697" s="152"/>
      <c r="X697" s="152"/>
      <c r="Y697" s="152"/>
      <c r="Z697" s="281"/>
      <c r="AA697" s="281"/>
      <c r="AB697" s="281"/>
      <c r="AC697" s="281"/>
      <c r="AD697" s="281"/>
      <c r="AE697" s="281"/>
      <c r="AF697" s="282"/>
      <c r="AG697" s="170"/>
      <c r="AH697" s="152"/>
      <c r="AI697" s="152"/>
      <c r="AJ697" s="152"/>
      <c r="AK697" s="152"/>
      <c r="AL697" s="152"/>
      <c r="AM697" s="152"/>
      <c r="AN697" s="152"/>
      <c r="AO697" s="152"/>
      <c r="AP697" s="152"/>
      <c r="AQ697" s="152"/>
      <c r="AR697" s="152"/>
    </row>
    <row r="698" ht="12.75" customHeight="1">
      <c r="A698" s="288"/>
      <c r="B698" s="288"/>
      <c r="C698" s="288"/>
      <c r="D698" s="152"/>
      <c r="E698" s="289"/>
      <c r="F698" s="289"/>
      <c r="G698" s="152"/>
      <c r="H698" s="152"/>
      <c r="I698" s="152"/>
      <c r="J698" s="152"/>
      <c r="K698" s="289"/>
      <c r="L698" s="289"/>
      <c r="M698" s="152"/>
      <c r="N698" s="152"/>
      <c r="O698" s="156"/>
      <c r="P698" s="152"/>
      <c r="Q698" s="152"/>
      <c r="R698" s="152"/>
      <c r="S698" s="152"/>
      <c r="T698" s="152"/>
      <c r="U698" s="152"/>
      <c r="V698" s="152"/>
      <c r="W698" s="152"/>
      <c r="X698" s="152"/>
      <c r="Y698" s="152"/>
      <c r="Z698" s="281"/>
      <c r="AA698" s="281"/>
      <c r="AB698" s="281"/>
      <c r="AC698" s="281"/>
      <c r="AD698" s="281"/>
      <c r="AE698" s="281"/>
      <c r="AF698" s="282"/>
      <c r="AG698" s="170"/>
      <c r="AH698" s="152"/>
      <c r="AI698" s="152"/>
      <c r="AJ698" s="152"/>
      <c r="AK698" s="152"/>
      <c r="AL698" s="152"/>
      <c r="AM698" s="152"/>
      <c r="AN698" s="152"/>
      <c r="AO698" s="152"/>
      <c r="AP698" s="152"/>
      <c r="AQ698" s="152"/>
      <c r="AR698" s="152"/>
    </row>
    <row r="699" ht="12.75" customHeight="1">
      <c r="A699" s="288"/>
      <c r="B699" s="288"/>
      <c r="C699" s="288"/>
      <c r="D699" s="152"/>
      <c r="E699" s="289"/>
      <c r="F699" s="289"/>
      <c r="G699" s="152"/>
      <c r="H699" s="152"/>
      <c r="I699" s="152"/>
      <c r="J699" s="152"/>
      <c r="K699" s="289"/>
      <c r="L699" s="289"/>
      <c r="M699" s="152"/>
      <c r="N699" s="152"/>
      <c r="O699" s="156"/>
      <c r="P699" s="152"/>
      <c r="Q699" s="152"/>
      <c r="R699" s="152"/>
      <c r="S699" s="152"/>
      <c r="T699" s="152"/>
      <c r="U699" s="152"/>
      <c r="V699" s="152"/>
      <c r="W699" s="152"/>
      <c r="X699" s="152"/>
      <c r="Y699" s="152"/>
      <c r="Z699" s="281"/>
      <c r="AA699" s="281"/>
      <c r="AB699" s="281"/>
      <c r="AC699" s="281"/>
      <c r="AD699" s="281"/>
      <c r="AE699" s="281"/>
      <c r="AF699" s="282"/>
      <c r="AG699" s="170"/>
      <c r="AH699" s="152"/>
      <c r="AI699" s="152"/>
      <c r="AJ699" s="152"/>
      <c r="AK699" s="152"/>
      <c r="AL699" s="152"/>
      <c r="AM699" s="152"/>
      <c r="AN699" s="152"/>
      <c r="AO699" s="152"/>
      <c r="AP699" s="152"/>
      <c r="AQ699" s="152"/>
      <c r="AR699" s="152"/>
    </row>
    <row r="700" ht="12.75" customHeight="1">
      <c r="A700" s="288"/>
      <c r="B700" s="288"/>
      <c r="C700" s="288"/>
      <c r="D700" s="152"/>
      <c r="E700" s="289"/>
      <c r="F700" s="289"/>
      <c r="G700" s="152"/>
      <c r="H700" s="152"/>
      <c r="I700" s="152"/>
      <c r="J700" s="152"/>
      <c r="K700" s="289"/>
      <c r="L700" s="289"/>
      <c r="M700" s="152"/>
      <c r="N700" s="152"/>
      <c r="O700" s="156"/>
      <c r="P700" s="152"/>
      <c r="Q700" s="152"/>
      <c r="R700" s="152"/>
      <c r="S700" s="152"/>
      <c r="T700" s="152"/>
      <c r="U700" s="152"/>
      <c r="V700" s="152"/>
      <c r="W700" s="152"/>
      <c r="X700" s="152"/>
      <c r="Y700" s="152"/>
      <c r="Z700" s="281"/>
      <c r="AA700" s="281"/>
      <c r="AB700" s="281"/>
      <c r="AC700" s="281"/>
      <c r="AD700" s="281"/>
      <c r="AE700" s="281"/>
      <c r="AF700" s="282"/>
      <c r="AG700" s="170"/>
      <c r="AH700" s="152"/>
      <c r="AI700" s="152"/>
      <c r="AJ700" s="152"/>
      <c r="AK700" s="152"/>
      <c r="AL700" s="152"/>
      <c r="AM700" s="152"/>
      <c r="AN700" s="152"/>
      <c r="AO700" s="152"/>
      <c r="AP700" s="152"/>
      <c r="AQ700" s="152"/>
      <c r="AR700" s="152"/>
    </row>
    <row r="701" ht="12.75" customHeight="1">
      <c r="A701" s="288"/>
      <c r="B701" s="288"/>
      <c r="C701" s="288"/>
      <c r="D701" s="152"/>
      <c r="E701" s="289"/>
      <c r="F701" s="289"/>
      <c r="G701" s="152"/>
      <c r="H701" s="152"/>
      <c r="I701" s="152"/>
      <c r="J701" s="152"/>
      <c r="K701" s="289"/>
      <c r="L701" s="289"/>
      <c r="M701" s="152"/>
      <c r="N701" s="152"/>
      <c r="O701" s="156"/>
      <c r="P701" s="152"/>
      <c r="Q701" s="152"/>
      <c r="R701" s="152"/>
      <c r="S701" s="152"/>
      <c r="T701" s="152"/>
      <c r="U701" s="152"/>
      <c r="V701" s="152"/>
      <c r="W701" s="152"/>
      <c r="X701" s="152"/>
      <c r="Y701" s="152"/>
      <c r="Z701" s="281"/>
      <c r="AA701" s="281"/>
      <c r="AB701" s="281"/>
      <c r="AC701" s="281"/>
      <c r="AD701" s="281"/>
      <c r="AE701" s="281"/>
      <c r="AF701" s="282"/>
      <c r="AG701" s="170"/>
      <c r="AH701" s="152"/>
      <c r="AI701" s="152"/>
      <c r="AJ701" s="152"/>
      <c r="AK701" s="152"/>
      <c r="AL701" s="152"/>
      <c r="AM701" s="152"/>
      <c r="AN701" s="152"/>
      <c r="AO701" s="152"/>
      <c r="AP701" s="152"/>
      <c r="AQ701" s="152"/>
      <c r="AR701" s="152"/>
    </row>
    <row r="702" ht="12.75" customHeight="1">
      <c r="A702" s="288"/>
      <c r="B702" s="288"/>
      <c r="C702" s="288"/>
      <c r="D702" s="152"/>
      <c r="E702" s="289"/>
      <c r="F702" s="289"/>
      <c r="G702" s="152"/>
      <c r="H702" s="152"/>
      <c r="I702" s="152"/>
      <c r="J702" s="152"/>
      <c r="K702" s="289"/>
      <c r="L702" s="289"/>
      <c r="M702" s="152"/>
      <c r="N702" s="152"/>
      <c r="O702" s="156"/>
      <c r="P702" s="152"/>
      <c r="Q702" s="152"/>
      <c r="R702" s="152"/>
      <c r="S702" s="152"/>
      <c r="T702" s="152"/>
      <c r="U702" s="152"/>
      <c r="V702" s="152"/>
      <c r="W702" s="152"/>
      <c r="X702" s="152"/>
      <c r="Y702" s="152"/>
      <c r="Z702" s="281"/>
      <c r="AA702" s="281"/>
      <c r="AB702" s="281"/>
      <c r="AC702" s="281"/>
      <c r="AD702" s="281"/>
      <c r="AE702" s="281"/>
      <c r="AF702" s="282"/>
      <c r="AG702" s="170"/>
      <c r="AH702" s="152"/>
      <c r="AI702" s="152"/>
      <c r="AJ702" s="152"/>
      <c r="AK702" s="152"/>
      <c r="AL702" s="152"/>
      <c r="AM702" s="152"/>
      <c r="AN702" s="152"/>
      <c r="AO702" s="152"/>
      <c r="AP702" s="152"/>
      <c r="AQ702" s="152"/>
      <c r="AR702" s="152"/>
    </row>
    <row r="703" ht="12.75" customHeight="1">
      <c r="A703" s="288"/>
      <c r="B703" s="288"/>
      <c r="C703" s="288"/>
      <c r="D703" s="152"/>
      <c r="E703" s="289"/>
      <c r="F703" s="289"/>
      <c r="G703" s="152"/>
      <c r="H703" s="152"/>
      <c r="I703" s="152"/>
      <c r="J703" s="152"/>
      <c r="K703" s="289"/>
      <c r="L703" s="289"/>
      <c r="M703" s="152"/>
      <c r="N703" s="152"/>
      <c r="O703" s="156"/>
      <c r="P703" s="152"/>
      <c r="Q703" s="152"/>
      <c r="R703" s="152"/>
      <c r="S703" s="152"/>
      <c r="T703" s="152"/>
      <c r="U703" s="152"/>
      <c r="V703" s="152"/>
      <c r="W703" s="152"/>
      <c r="X703" s="152"/>
      <c r="Y703" s="152"/>
      <c r="Z703" s="281"/>
      <c r="AA703" s="281"/>
      <c r="AB703" s="281"/>
      <c r="AC703" s="281"/>
      <c r="AD703" s="281"/>
      <c r="AE703" s="281"/>
      <c r="AF703" s="282"/>
      <c r="AG703" s="170"/>
      <c r="AH703" s="152"/>
      <c r="AI703" s="152"/>
      <c r="AJ703" s="152"/>
      <c r="AK703" s="152"/>
      <c r="AL703" s="152"/>
      <c r="AM703" s="152"/>
      <c r="AN703" s="152"/>
      <c r="AO703" s="152"/>
      <c r="AP703" s="152"/>
      <c r="AQ703" s="152"/>
      <c r="AR703" s="152"/>
    </row>
    <row r="704" ht="12.75" customHeight="1">
      <c r="A704" s="288"/>
      <c r="B704" s="288"/>
      <c r="C704" s="288"/>
      <c r="D704" s="152"/>
      <c r="E704" s="289"/>
      <c r="F704" s="289"/>
      <c r="G704" s="152"/>
      <c r="H704" s="152"/>
      <c r="I704" s="152"/>
      <c r="J704" s="152"/>
      <c r="K704" s="289"/>
      <c r="L704" s="289"/>
      <c r="M704" s="152"/>
      <c r="N704" s="152"/>
      <c r="O704" s="156"/>
      <c r="P704" s="152"/>
      <c r="Q704" s="152"/>
      <c r="R704" s="152"/>
      <c r="S704" s="152"/>
      <c r="T704" s="152"/>
      <c r="U704" s="152"/>
      <c r="V704" s="152"/>
      <c r="W704" s="152"/>
      <c r="X704" s="152"/>
      <c r="Y704" s="152"/>
      <c r="Z704" s="281"/>
      <c r="AA704" s="281"/>
      <c r="AB704" s="281"/>
      <c r="AC704" s="281"/>
      <c r="AD704" s="281"/>
      <c r="AE704" s="281"/>
      <c r="AF704" s="282"/>
      <c r="AG704" s="170"/>
      <c r="AH704" s="152"/>
      <c r="AI704" s="152"/>
      <c r="AJ704" s="152"/>
      <c r="AK704" s="152"/>
      <c r="AL704" s="152"/>
      <c r="AM704" s="152"/>
      <c r="AN704" s="152"/>
      <c r="AO704" s="152"/>
      <c r="AP704" s="152"/>
      <c r="AQ704" s="152"/>
      <c r="AR704" s="152"/>
    </row>
    <row r="705" ht="12.75" customHeight="1">
      <c r="A705" s="288"/>
      <c r="B705" s="288"/>
      <c r="C705" s="288"/>
      <c r="D705" s="152"/>
      <c r="E705" s="289"/>
      <c r="F705" s="289"/>
      <c r="G705" s="152"/>
      <c r="H705" s="152"/>
      <c r="I705" s="152"/>
      <c r="J705" s="152"/>
      <c r="K705" s="289"/>
      <c r="L705" s="289"/>
      <c r="M705" s="152"/>
      <c r="N705" s="152"/>
      <c r="O705" s="156"/>
      <c r="P705" s="152"/>
      <c r="Q705" s="152"/>
      <c r="R705" s="152"/>
      <c r="S705" s="152"/>
      <c r="T705" s="152"/>
      <c r="U705" s="152"/>
      <c r="V705" s="152"/>
      <c r="W705" s="152"/>
      <c r="X705" s="152"/>
      <c r="Y705" s="152"/>
      <c r="Z705" s="281"/>
      <c r="AA705" s="281"/>
      <c r="AB705" s="281"/>
      <c r="AC705" s="281"/>
      <c r="AD705" s="281"/>
      <c r="AE705" s="281"/>
      <c r="AF705" s="282"/>
      <c r="AG705" s="170"/>
      <c r="AH705" s="152"/>
      <c r="AI705" s="152"/>
      <c r="AJ705" s="152"/>
      <c r="AK705" s="152"/>
      <c r="AL705" s="152"/>
      <c r="AM705" s="152"/>
      <c r="AN705" s="152"/>
      <c r="AO705" s="152"/>
      <c r="AP705" s="152"/>
      <c r="AQ705" s="152"/>
      <c r="AR705" s="152"/>
    </row>
    <row r="706" ht="12.75" customHeight="1">
      <c r="A706" s="288"/>
      <c r="B706" s="288"/>
      <c r="C706" s="288"/>
      <c r="D706" s="152"/>
      <c r="E706" s="289"/>
      <c r="F706" s="289"/>
      <c r="G706" s="152"/>
      <c r="H706" s="152"/>
      <c r="I706" s="152"/>
      <c r="J706" s="152"/>
      <c r="K706" s="289"/>
      <c r="L706" s="289"/>
      <c r="M706" s="152"/>
      <c r="N706" s="152"/>
      <c r="O706" s="156"/>
      <c r="P706" s="152"/>
      <c r="Q706" s="152"/>
      <c r="R706" s="152"/>
      <c r="S706" s="152"/>
      <c r="T706" s="152"/>
      <c r="U706" s="152"/>
      <c r="V706" s="152"/>
      <c r="W706" s="152"/>
      <c r="X706" s="152"/>
      <c r="Y706" s="152"/>
      <c r="Z706" s="281"/>
      <c r="AA706" s="281"/>
      <c r="AB706" s="281"/>
      <c r="AC706" s="281"/>
      <c r="AD706" s="281"/>
      <c r="AE706" s="281"/>
      <c r="AF706" s="282"/>
      <c r="AG706" s="170"/>
      <c r="AH706" s="152"/>
      <c r="AI706" s="152"/>
      <c r="AJ706" s="152"/>
      <c r="AK706" s="152"/>
      <c r="AL706" s="152"/>
      <c r="AM706" s="152"/>
      <c r="AN706" s="152"/>
      <c r="AO706" s="152"/>
      <c r="AP706" s="152"/>
      <c r="AQ706" s="152"/>
      <c r="AR706" s="152"/>
    </row>
    <row r="707" ht="12.75" customHeight="1">
      <c r="A707" s="288"/>
      <c r="B707" s="288"/>
      <c r="C707" s="288"/>
      <c r="D707" s="152"/>
      <c r="E707" s="289"/>
      <c r="F707" s="289"/>
      <c r="G707" s="152"/>
      <c r="H707" s="152"/>
      <c r="I707" s="152"/>
      <c r="J707" s="152"/>
      <c r="K707" s="289"/>
      <c r="L707" s="289"/>
      <c r="M707" s="152"/>
      <c r="N707" s="152"/>
      <c r="O707" s="156"/>
      <c r="P707" s="152"/>
      <c r="Q707" s="152"/>
      <c r="R707" s="152"/>
      <c r="S707" s="152"/>
      <c r="T707" s="152"/>
      <c r="U707" s="152"/>
      <c r="V707" s="152"/>
      <c r="W707" s="152"/>
      <c r="X707" s="152"/>
      <c r="Y707" s="152"/>
      <c r="Z707" s="281"/>
      <c r="AA707" s="281"/>
      <c r="AB707" s="281"/>
      <c r="AC707" s="281"/>
      <c r="AD707" s="281"/>
      <c r="AE707" s="281"/>
      <c r="AF707" s="282"/>
      <c r="AG707" s="170"/>
      <c r="AH707" s="152"/>
      <c r="AI707" s="152"/>
      <c r="AJ707" s="152"/>
      <c r="AK707" s="152"/>
      <c r="AL707" s="152"/>
      <c r="AM707" s="152"/>
      <c r="AN707" s="152"/>
      <c r="AO707" s="152"/>
      <c r="AP707" s="152"/>
      <c r="AQ707" s="152"/>
      <c r="AR707" s="152"/>
    </row>
    <row r="708" ht="12.75" customHeight="1">
      <c r="A708" s="288"/>
      <c r="B708" s="288"/>
      <c r="C708" s="288"/>
      <c r="D708" s="152"/>
      <c r="E708" s="289"/>
      <c r="F708" s="289"/>
      <c r="G708" s="152"/>
      <c r="H708" s="152"/>
      <c r="I708" s="152"/>
      <c r="J708" s="152"/>
      <c r="K708" s="289"/>
      <c r="L708" s="289"/>
      <c r="M708" s="152"/>
      <c r="N708" s="152"/>
      <c r="O708" s="156"/>
      <c r="P708" s="152"/>
      <c r="Q708" s="152"/>
      <c r="R708" s="152"/>
      <c r="S708" s="152"/>
      <c r="T708" s="152"/>
      <c r="U708" s="152"/>
      <c r="V708" s="152"/>
      <c r="W708" s="152"/>
      <c r="X708" s="152"/>
      <c r="Y708" s="152"/>
      <c r="Z708" s="281"/>
      <c r="AA708" s="281"/>
      <c r="AB708" s="281"/>
      <c r="AC708" s="281"/>
      <c r="AD708" s="281"/>
      <c r="AE708" s="281"/>
      <c r="AF708" s="282"/>
      <c r="AG708" s="170"/>
      <c r="AH708" s="152"/>
      <c r="AI708" s="152"/>
      <c r="AJ708" s="152"/>
      <c r="AK708" s="152"/>
      <c r="AL708" s="152"/>
      <c r="AM708" s="152"/>
      <c r="AN708" s="152"/>
      <c r="AO708" s="152"/>
      <c r="AP708" s="152"/>
      <c r="AQ708" s="152"/>
      <c r="AR708" s="152"/>
    </row>
    <row r="709" ht="12.75" customHeight="1">
      <c r="A709" s="288"/>
      <c r="B709" s="288"/>
      <c r="C709" s="288"/>
      <c r="D709" s="152"/>
      <c r="E709" s="289"/>
      <c r="F709" s="289"/>
      <c r="G709" s="152"/>
      <c r="H709" s="152"/>
      <c r="I709" s="152"/>
      <c r="J709" s="152"/>
      <c r="K709" s="289"/>
      <c r="L709" s="289"/>
      <c r="M709" s="152"/>
      <c r="N709" s="152"/>
      <c r="O709" s="156"/>
      <c r="P709" s="152"/>
      <c r="Q709" s="152"/>
      <c r="R709" s="152"/>
      <c r="S709" s="152"/>
      <c r="T709" s="152"/>
      <c r="U709" s="152"/>
      <c r="V709" s="152"/>
      <c r="W709" s="152"/>
      <c r="X709" s="152"/>
      <c r="Y709" s="152"/>
      <c r="Z709" s="281"/>
      <c r="AA709" s="281"/>
      <c r="AB709" s="281"/>
      <c r="AC709" s="281"/>
      <c r="AD709" s="281"/>
      <c r="AE709" s="281"/>
      <c r="AF709" s="282"/>
      <c r="AG709" s="170"/>
      <c r="AH709" s="152"/>
      <c r="AI709" s="152"/>
      <c r="AJ709" s="152"/>
      <c r="AK709" s="152"/>
      <c r="AL709" s="152"/>
      <c r="AM709" s="152"/>
      <c r="AN709" s="152"/>
      <c r="AO709" s="152"/>
      <c r="AP709" s="152"/>
      <c r="AQ709" s="152"/>
      <c r="AR709" s="152"/>
    </row>
    <row r="710" ht="12.75" customHeight="1">
      <c r="A710" s="288"/>
      <c r="B710" s="288"/>
      <c r="C710" s="288"/>
      <c r="D710" s="152"/>
      <c r="E710" s="289"/>
      <c r="F710" s="289"/>
      <c r="G710" s="152"/>
      <c r="H710" s="152"/>
      <c r="I710" s="152"/>
      <c r="J710" s="152"/>
      <c r="K710" s="289"/>
      <c r="L710" s="289"/>
      <c r="M710" s="152"/>
      <c r="N710" s="152"/>
      <c r="O710" s="156"/>
      <c r="P710" s="152"/>
      <c r="Q710" s="152"/>
      <c r="R710" s="152"/>
      <c r="S710" s="152"/>
      <c r="T710" s="152"/>
      <c r="U710" s="152"/>
      <c r="V710" s="152"/>
      <c r="W710" s="152"/>
      <c r="X710" s="152"/>
      <c r="Y710" s="152"/>
      <c r="Z710" s="281"/>
      <c r="AA710" s="281"/>
      <c r="AB710" s="281"/>
      <c r="AC710" s="281"/>
      <c r="AD710" s="281"/>
      <c r="AE710" s="281"/>
      <c r="AF710" s="282"/>
      <c r="AG710" s="170"/>
      <c r="AH710" s="152"/>
      <c r="AI710" s="152"/>
      <c r="AJ710" s="152"/>
      <c r="AK710" s="152"/>
      <c r="AL710" s="152"/>
      <c r="AM710" s="152"/>
      <c r="AN710" s="152"/>
      <c r="AO710" s="152"/>
      <c r="AP710" s="152"/>
      <c r="AQ710" s="152"/>
      <c r="AR710" s="152"/>
    </row>
    <row r="711" ht="12.75" customHeight="1">
      <c r="A711" s="288"/>
      <c r="B711" s="288"/>
      <c r="C711" s="288"/>
      <c r="D711" s="152"/>
      <c r="E711" s="289"/>
      <c r="F711" s="289"/>
      <c r="G711" s="152"/>
      <c r="H711" s="152"/>
      <c r="I711" s="152"/>
      <c r="J711" s="152"/>
      <c r="K711" s="289"/>
      <c r="L711" s="289"/>
      <c r="M711" s="152"/>
      <c r="N711" s="152"/>
      <c r="O711" s="156"/>
      <c r="P711" s="152"/>
      <c r="Q711" s="152"/>
      <c r="R711" s="152"/>
      <c r="S711" s="152"/>
      <c r="T711" s="152"/>
      <c r="U711" s="152"/>
      <c r="V711" s="152"/>
      <c r="W711" s="152"/>
      <c r="X711" s="152"/>
      <c r="Y711" s="152"/>
      <c r="Z711" s="281"/>
      <c r="AA711" s="281"/>
      <c r="AB711" s="281"/>
      <c r="AC711" s="281"/>
      <c r="AD711" s="281"/>
      <c r="AE711" s="281"/>
      <c r="AF711" s="282"/>
      <c r="AG711" s="170"/>
      <c r="AH711" s="152"/>
      <c r="AI711" s="152"/>
      <c r="AJ711" s="152"/>
      <c r="AK711" s="152"/>
      <c r="AL711" s="152"/>
      <c r="AM711" s="152"/>
      <c r="AN711" s="152"/>
      <c r="AO711" s="152"/>
      <c r="AP711" s="152"/>
      <c r="AQ711" s="152"/>
      <c r="AR711" s="152"/>
    </row>
    <row r="712" ht="12.75" customHeight="1">
      <c r="A712" s="288"/>
      <c r="B712" s="288"/>
      <c r="C712" s="288"/>
      <c r="D712" s="152"/>
      <c r="E712" s="289"/>
      <c r="F712" s="289"/>
      <c r="G712" s="152"/>
      <c r="H712" s="152"/>
      <c r="I712" s="152"/>
      <c r="J712" s="152"/>
      <c r="K712" s="289"/>
      <c r="L712" s="289"/>
      <c r="M712" s="152"/>
      <c r="N712" s="152"/>
      <c r="O712" s="156"/>
      <c r="P712" s="152"/>
      <c r="Q712" s="152"/>
      <c r="R712" s="152"/>
      <c r="S712" s="152"/>
      <c r="T712" s="152"/>
      <c r="U712" s="152"/>
      <c r="V712" s="152"/>
      <c r="W712" s="152"/>
      <c r="X712" s="152"/>
      <c r="Y712" s="152"/>
      <c r="Z712" s="281"/>
      <c r="AA712" s="281"/>
      <c r="AB712" s="281"/>
      <c r="AC712" s="281"/>
      <c r="AD712" s="281"/>
      <c r="AE712" s="281"/>
      <c r="AF712" s="282"/>
      <c r="AG712" s="170"/>
      <c r="AH712" s="152"/>
      <c r="AI712" s="152"/>
      <c r="AJ712" s="152"/>
      <c r="AK712" s="152"/>
      <c r="AL712" s="152"/>
      <c r="AM712" s="152"/>
      <c r="AN712" s="152"/>
      <c r="AO712" s="152"/>
      <c r="AP712" s="152"/>
      <c r="AQ712" s="152"/>
      <c r="AR712" s="152"/>
    </row>
    <row r="713" ht="12.75" customHeight="1">
      <c r="A713" s="288"/>
      <c r="B713" s="288"/>
      <c r="C713" s="288"/>
      <c r="D713" s="152"/>
      <c r="E713" s="289"/>
      <c r="F713" s="289"/>
      <c r="G713" s="152"/>
      <c r="H713" s="152"/>
      <c r="I713" s="152"/>
      <c r="J713" s="152"/>
      <c r="K713" s="289"/>
      <c r="L713" s="289"/>
      <c r="M713" s="152"/>
      <c r="N713" s="152"/>
      <c r="O713" s="156"/>
      <c r="P713" s="152"/>
      <c r="Q713" s="152"/>
      <c r="R713" s="152"/>
      <c r="S713" s="152"/>
      <c r="T713" s="152"/>
      <c r="U713" s="152"/>
      <c r="V713" s="152"/>
      <c r="W713" s="152"/>
      <c r="X713" s="152"/>
      <c r="Y713" s="152"/>
      <c r="Z713" s="281"/>
      <c r="AA713" s="281"/>
      <c r="AB713" s="281"/>
      <c r="AC713" s="281"/>
      <c r="AD713" s="281"/>
      <c r="AE713" s="281"/>
      <c r="AF713" s="282"/>
      <c r="AG713" s="170"/>
      <c r="AH713" s="152"/>
      <c r="AI713" s="152"/>
      <c r="AJ713" s="152"/>
      <c r="AK713" s="152"/>
      <c r="AL713" s="152"/>
      <c r="AM713" s="152"/>
      <c r="AN713" s="152"/>
      <c r="AO713" s="152"/>
      <c r="AP713" s="152"/>
      <c r="AQ713" s="152"/>
      <c r="AR713" s="152"/>
    </row>
    <row r="714" ht="12.75" customHeight="1">
      <c r="A714" s="288"/>
      <c r="B714" s="288"/>
      <c r="C714" s="288"/>
      <c r="D714" s="152"/>
      <c r="E714" s="289"/>
      <c r="F714" s="289"/>
      <c r="G714" s="152"/>
      <c r="H714" s="152"/>
      <c r="I714" s="152"/>
      <c r="J714" s="152"/>
      <c r="K714" s="289"/>
      <c r="L714" s="289"/>
      <c r="M714" s="152"/>
      <c r="N714" s="152"/>
      <c r="O714" s="156"/>
      <c r="P714" s="152"/>
      <c r="Q714" s="152"/>
      <c r="R714" s="152"/>
      <c r="S714" s="152"/>
      <c r="T714" s="152"/>
      <c r="U714" s="152"/>
      <c r="V714" s="152"/>
      <c r="W714" s="152"/>
      <c r="X714" s="152"/>
      <c r="Y714" s="152"/>
      <c r="Z714" s="281"/>
      <c r="AA714" s="281"/>
      <c r="AB714" s="281"/>
      <c r="AC714" s="281"/>
      <c r="AD714" s="281"/>
      <c r="AE714" s="281"/>
      <c r="AF714" s="282"/>
      <c r="AG714" s="170"/>
      <c r="AH714" s="152"/>
      <c r="AI714" s="152"/>
      <c r="AJ714" s="152"/>
      <c r="AK714" s="152"/>
      <c r="AL714" s="152"/>
      <c r="AM714" s="152"/>
      <c r="AN714" s="152"/>
      <c r="AO714" s="152"/>
      <c r="AP714" s="152"/>
      <c r="AQ714" s="152"/>
      <c r="AR714" s="152"/>
    </row>
    <row r="715" ht="12.75" customHeight="1">
      <c r="A715" s="288"/>
      <c r="B715" s="288"/>
      <c r="C715" s="288"/>
      <c r="D715" s="152"/>
      <c r="E715" s="289"/>
      <c r="F715" s="289"/>
      <c r="G715" s="152"/>
      <c r="H715" s="152"/>
      <c r="I715" s="152"/>
      <c r="J715" s="152"/>
      <c r="K715" s="289"/>
      <c r="L715" s="289"/>
      <c r="M715" s="152"/>
      <c r="N715" s="152"/>
      <c r="O715" s="156"/>
      <c r="P715" s="152"/>
      <c r="Q715" s="152"/>
      <c r="R715" s="152"/>
      <c r="S715" s="152"/>
      <c r="T715" s="152"/>
      <c r="U715" s="152"/>
      <c r="V715" s="152"/>
      <c r="W715" s="152"/>
      <c r="X715" s="152"/>
      <c r="Y715" s="152"/>
      <c r="Z715" s="281"/>
      <c r="AA715" s="281"/>
      <c r="AB715" s="281"/>
      <c r="AC715" s="281"/>
      <c r="AD715" s="281"/>
      <c r="AE715" s="281"/>
      <c r="AF715" s="282"/>
      <c r="AG715" s="170"/>
      <c r="AH715" s="152"/>
      <c r="AI715" s="152"/>
      <c r="AJ715" s="152"/>
      <c r="AK715" s="152"/>
      <c r="AL715" s="152"/>
      <c r="AM715" s="152"/>
      <c r="AN715" s="152"/>
      <c r="AO715" s="152"/>
      <c r="AP715" s="152"/>
      <c r="AQ715" s="152"/>
      <c r="AR715" s="152"/>
    </row>
    <row r="716" ht="12.75" customHeight="1">
      <c r="A716" s="288"/>
      <c r="B716" s="288"/>
      <c r="C716" s="288"/>
      <c r="D716" s="152"/>
      <c r="E716" s="289"/>
      <c r="F716" s="289"/>
      <c r="G716" s="152"/>
      <c r="H716" s="152"/>
      <c r="I716" s="152"/>
      <c r="J716" s="152"/>
      <c r="K716" s="289"/>
      <c r="L716" s="289"/>
      <c r="M716" s="152"/>
      <c r="N716" s="152"/>
      <c r="O716" s="156"/>
      <c r="P716" s="152"/>
      <c r="Q716" s="152"/>
      <c r="R716" s="152"/>
      <c r="S716" s="152"/>
      <c r="T716" s="152"/>
      <c r="U716" s="152"/>
      <c r="V716" s="152"/>
      <c r="W716" s="152"/>
      <c r="X716" s="152"/>
      <c r="Y716" s="152"/>
      <c r="Z716" s="281"/>
      <c r="AA716" s="281"/>
      <c r="AB716" s="281"/>
      <c r="AC716" s="281"/>
      <c r="AD716" s="281"/>
      <c r="AE716" s="281"/>
      <c r="AF716" s="282"/>
      <c r="AG716" s="170"/>
      <c r="AH716" s="152"/>
      <c r="AI716" s="152"/>
      <c r="AJ716" s="152"/>
      <c r="AK716" s="152"/>
      <c r="AL716" s="152"/>
      <c r="AM716" s="152"/>
      <c r="AN716" s="152"/>
      <c r="AO716" s="152"/>
      <c r="AP716" s="152"/>
      <c r="AQ716" s="152"/>
      <c r="AR716" s="152"/>
    </row>
    <row r="717" ht="12.75" customHeight="1">
      <c r="A717" s="288"/>
      <c r="B717" s="288"/>
      <c r="C717" s="288"/>
      <c r="D717" s="152"/>
      <c r="E717" s="289"/>
      <c r="F717" s="289"/>
      <c r="G717" s="152"/>
      <c r="H717" s="152"/>
      <c r="I717" s="152"/>
      <c r="J717" s="152"/>
      <c r="K717" s="289"/>
      <c r="L717" s="289"/>
      <c r="M717" s="152"/>
      <c r="N717" s="152"/>
      <c r="O717" s="156"/>
      <c r="P717" s="152"/>
      <c r="Q717" s="152"/>
      <c r="R717" s="152"/>
      <c r="S717" s="152"/>
      <c r="T717" s="152"/>
      <c r="U717" s="152"/>
      <c r="V717" s="152"/>
      <c r="W717" s="152"/>
      <c r="X717" s="152"/>
      <c r="Y717" s="152"/>
      <c r="Z717" s="281"/>
      <c r="AA717" s="281"/>
      <c r="AB717" s="281"/>
      <c r="AC717" s="281"/>
      <c r="AD717" s="281"/>
      <c r="AE717" s="281"/>
      <c r="AF717" s="282"/>
      <c r="AG717" s="170"/>
      <c r="AH717" s="152"/>
      <c r="AI717" s="152"/>
      <c r="AJ717" s="152"/>
      <c r="AK717" s="152"/>
      <c r="AL717" s="152"/>
      <c r="AM717" s="152"/>
      <c r="AN717" s="152"/>
      <c r="AO717" s="152"/>
      <c r="AP717" s="152"/>
      <c r="AQ717" s="152"/>
      <c r="AR717" s="152"/>
    </row>
    <row r="718" ht="12.75" customHeight="1">
      <c r="A718" s="288"/>
      <c r="B718" s="288"/>
      <c r="C718" s="288"/>
      <c r="D718" s="152"/>
      <c r="E718" s="289"/>
      <c r="F718" s="289"/>
      <c r="G718" s="152"/>
      <c r="H718" s="152"/>
      <c r="I718" s="152"/>
      <c r="J718" s="152"/>
      <c r="K718" s="289"/>
      <c r="L718" s="289"/>
      <c r="M718" s="152"/>
      <c r="N718" s="152"/>
      <c r="O718" s="156"/>
      <c r="P718" s="152"/>
      <c r="Q718" s="152"/>
      <c r="R718" s="152"/>
      <c r="S718" s="152"/>
      <c r="T718" s="152"/>
      <c r="U718" s="152"/>
      <c r="V718" s="152"/>
      <c r="W718" s="152"/>
      <c r="X718" s="152"/>
      <c r="Y718" s="152"/>
      <c r="Z718" s="281"/>
      <c r="AA718" s="281"/>
      <c r="AB718" s="281"/>
      <c r="AC718" s="281"/>
      <c r="AD718" s="281"/>
      <c r="AE718" s="281"/>
      <c r="AF718" s="282"/>
      <c r="AG718" s="170"/>
      <c r="AH718" s="152"/>
      <c r="AI718" s="152"/>
      <c r="AJ718" s="152"/>
      <c r="AK718" s="152"/>
      <c r="AL718" s="152"/>
      <c r="AM718" s="152"/>
      <c r="AN718" s="152"/>
      <c r="AO718" s="152"/>
      <c r="AP718" s="152"/>
      <c r="AQ718" s="152"/>
      <c r="AR718" s="152"/>
    </row>
    <row r="719" ht="12.75" customHeight="1">
      <c r="A719" s="288"/>
      <c r="B719" s="288"/>
      <c r="C719" s="288"/>
      <c r="D719" s="152"/>
      <c r="E719" s="289"/>
      <c r="F719" s="289"/>
      <c r="G719" s="152"/>
      <c r="H719" s="152"/>
      <c r="I719" s="152"/>
      <c r="J719" s="152"/>
      <c r="K719" s="289"/>
      <c r="L719" s="289"/>
      <c r="M719" s="152"/>
      <c r="N719" s="152"/>
      <c r="O719" s="156"/>
      <c r="P719" s="152"/>
      <c r="Q719" s="152"/>
      <c r="R719" s="152"/>
      <c r="S719" s="152"/>
      <c r="T719" s="152"/>
      <c r="U719" s="152"/>
      <c r="V719" s="152"/>
      <c r="W719" s="152"/>
      <c r="X719" s="152"/>
      <c r="Y719" s="152"/>
      <c r="Z719" s="281"/>
      <c r="AA719" s="281"/>
      <c r="AB719" s="281"/>
      <c r="AC719" s="281"/>
      <c r="AD719" s="281"/>
      <c r="AE719" s="281"/>
      <c r="AF719" s="282"/>
      <c r="AG719" s="170"/>
      <c r="AH719" s="152"/>
      <c r="AI719" s="152"/>
      <c r="AJ719" s="152"/>
      <c r="AK719" s="152"/>
      <c r="AL719" s="152"/>
      <c r="AM719" s="152"/>
      <c r="AN719" s="152"/>
      <c r="AO719" s="152"/>
      <c r="AP719" s="152"/>
      <c r="AQ719" s="152"/>
      <c r="AR719" s="152"/>
    </row>
    <row r="720" ht="12.75" customHeight="1">
      <c r="A720" s="288"/>
      <c r="B720" s="288"/>
      <c r="C720" s="288"/>
      <c r="D720" s="152"/>
      <c r="E720" s="289"/>
      <c r="F720" s="289"/>
      <c r="G720" s="152"/>
      <c r="H720" s="152"/>
      <c r="I720" s="152"/>
      <c r="J720" s="152"/>
      <c r="K720" s="289"/>
      <c r="L720" s="289"/>
      <c r="M720" s="152"/>
      <c r="N720" s="152"/>
      <c r="O720" s="156"/>
      <c r="P720" s="152"/>
      <c r="Q720" s="152"/>
      <c r="R720" s="152"/>
      <c r="S720" s="152"/>
      <c r="T720" s="152"/>
      <c r="U720" s="152"/>
      <c r="V720" s="152"/>
      <c r="W720" s="152"/>
      <c r="X720" s="152"/>
      <c r="Y720" s="152"/>
      <c r="Z720" s="281"/>
      <c r="AA720" s="281"/>
      <c r="AB720" s="281"/>
      <c r="AC720" s="281"/>
      <c r="AD720" s="281"/>
      <c r="AE720" s="281"/>
      <c r="AF720" s="282"/>
      <c r="AG720" s="170"/>
      <c r="AH720" s="152"/>
      <c r="AI720" s="152"/>
      <c r="AJ720" s="152"/>
      <c r="AK720" s="152"/>
      <c r="AL720" s="152"/>
      <c r="AM720" s="152"/>
      <c r="AN720" s="152"/>
      <c r="AO720" s="152"/>
      <c r="AP720" s="152"/>
      <c r="AQ720" s="152"/>
      <c r="AR720" s="152"/>
    </row>
    <row r="721" ht="12.75" customHeight="1">
      <c r="A721" s="288"/>
      <c r="B721" s="288"/>
      <c r="C721" s="288"/>
      <c r="D721" s="152"/>
      <c r="E721" s="289"/>
      <c r="F721" s="289"/>
      <c r="G721" s="152"/>
      <c r="H721" s="152"/>
      <c r="I721" s="152"/>
      <c r="J721" s="152"/>
      <c r="K721" s="289"/>
      <c r="L721" s="289"/>
      <c r="M721" s="152"/>
      <c r="N721" s="152"/>
      <c r="O721" s="156"/>
      <c r="P721" s="152"/>
      <c r="Q721" s="152"/>
      <c r="R721" s="152"/>
      <c r="S721" s="152"/>
      <c r="T721" s="152"/>
      <c r="U721" s="152"/>
      <c r="V721" s="152"/>
      <c r="W721" s="152"/>
      <c r="X721" s="152"/>
      <c r="Y721" s="152"/>
      <c r="Z721" s="281"/>
      <c r="AA721" s="281"/>
      <c r="AB721" s="281"/>
      <c r="AC721" s="281"/>
      <c r="AD721" s="281"/>
      <c r="AE721" s="281"/>
      <c r="AF721" s="282"/>
      <c r="AG721" s="170"/>
      <c r="AH721" s="152"/>
      <c r="AI721" s="152"/>
      <c r="AJ721" s="152"/>
      <c r="AK721" s="152"/>
      <c r="AL721" s="152"/>
      <c r="AM721" s="152"/>
      <c r="AN721" s="152"/>
      <c r="AO721" s="152"/>
      <c r="AP721" s="152"/>
      <c r="AQ721" s="152"/>
      <c r="AR721" s="152"/>
    </row>
    <row r="722" ht="12.75" customHeight="1">
      <c r="A722" s="288"/>
      <c r="B722" s="288"/>
      <c r="C722" s="288"/>
      <c r="D722" s="152"/>
      <c r="E722" s="289"/>
      <c r="F722" s="289"/>
      <c r="G722" s="152"/>
      <c r="H722" s="152"/>
      <c r="I722" s="152"/>
      <c r="J722" s="152"/>
      <c r="K722" s="289"/>
      <c r="L722" s="289"/>
      <c r="M722" s="152"/>
      <c r="N722" s="152"/>
      <c r="O722" s="156"/>
      <c r="P722" s="152"/>
      <c r="Q722" s="152"/>
      <c r="R722" s="152"/>
      <c r="S722" s="152"/>
      <c r="T722" s="152"/>
      <c r="U722" s="152"/>
      <c r="V722" s="152"/>
      <c r="W722" s="152"/>
      <c r="X722" s="152"/>
      <c r="Y722" s="152"/>
      <c r="Z722" s="281"/>
      <c r="AA722" s="281"/>
      <c r="AB722" s="281"/>
      <c r="AC722" s="281"/>
      <c r="AD722" s="281"/>
      <c r="AE722" s="281"/>
      <c r="AF722" s="282"/>
      <c r="AG722" s="170"/>
      <c r="AH722" s="152"/>
      <c r="AI722" s="152"/>
      <c r="AJ722" s="152"/>
      <c r="AK722" s="152"/>
      <c r="AL722" s="152"/>
      <c r="AM722" s="152"/>
      <c r="AN722" s="152"/>
      <c r="AO722" s="152"/>
      <c r="AP722" s="152"/>
      <c r="AQ722" s="152"/>
      <c r="AR722" s="152"/>
    </row>
    <row r="723" ht="12.75" customHeight="1">
      <c r="A723" s="288"/>
      <c r="B723" s="288"/>
      <c r="C723" s="288"/>
      <c r="D723" s="152"/>
      <c r="E723" s="289"/>
      <c r="F723" s="289"/>
      <c r="G723" s="152"/>
      <c r="H723" s="152"/>
      <c r="I723" s="152"/>
      <c r="J723" s="152"/>
      <c r="K723" s="289"/>
      <c r="L723" s="289"/>
      <c r="M723" s="152"/>
      <c r="N723" s="152"/>
      <c r="O723" s="156"/>
      <c r="P723" s="152"/>
      <c r="Q723" s="152"/>
      <c r="R723" s="152"/>
      <c r="S723" s="152"/>
      <c r="T723" s="152"/>
      <c r="U723" s="152"/>
      <c r="V723" s="152"/>
      <c r="W723" s="152"/>
      <c r="X723" s="152"/>
      <c r="Y723" s="152"/>
      <c r="Z723" s="281"/>
      <c r="AA723" s="281"/>
      <c r="AB723" s="281"/>
      <c r="AC723" s="281"/>
      <c r="AD723" s="281"/>
      <c r="AE723" s="281"/>
      <c r="AF723" s="282"/>
      <c r="AG723" s="170"/>
      <c r="AH723" s="152"/>
      <c r="AI723" s="152"/>
      <c r="AJ723" s="152"/>
      <c r="AK723" s="152"/>
      <c r="AL723" s="152"/>
      <c r="AM723" s="152"/>
      <c r="AN723" s="152"/>
      <c r="AO723" s="152"/>
      <c r="AP723" s="152"/>
      <c r="AQ723" s="152"/>
      <c r="AR723" s="152"/>
    </row>
    <row r="724" ht="12.75" customHeight="1">
      <c r="A724" s="288"/>
      <c r="B724" s="288"/>
      <c r="C724" s="288"/>
      <c r="D724" s="152"/>
      <c r="E724" s="289"/>
      <c r="F724" s="289"/>
      <c r="G724" s="152"/>
      <c r="H724" s="152"/>
      <c r="I724" s="152"/>
      <c r="J724" s="152"/>
      <c r="K724" s="289"/>
      <c r="L724" s="289"/>
      <c r="M724" s="152"/>
      <c r="N724" s="152"/>
      <c r="O724" s="156"/>
      <c r="P724" s="152"/>
      <c r="Q724" s="152"/>
      <c r="R724" s="152"/>
      <c r="S724" s="152"/>
      <c r="T724" s="152"/>
      <c r="U724" s="152"/>
      <c r="V724" s="152"/>
      <c r="W724" s="152"/>
      <c r="X724" s="152"/>
      <c r="Y724" s="152"/>
      <c r="Z724" s="281"/>
      <c r="AA724" s="281"/>
      <c r="AB724" s="281"/>
      <c r="AC724" s="281"/>
      <c r="AD724" s="281"/>
      <c r="AE724" s="281"/>
      <c r="AF724" s="282"/>
      <c r="AG724" s="170"/>
      <c r="AH724" s="152"/>
      <c r="AI724" s="152"/>
      <c r="AJ724" s="152"/>
      <c r="AK724" s="152"/>
      <c r="AL724" s="152"/>
      <c r="AM724" s="152"/>
      <c r="AN724" s="152"/>
      <c r="AO724" s="152"/>
      <c r="AP724" s="152"/>
      <c r="AQ724" s="152"/>
      <c r="AR724" s="152"/>
    </row>
    <row r="725" ht="12.75" customHeight="1">
      <c r="A725" s="288"/>
      <c r="B725" s="288"/>
      <c r="C725" s="288"/>
      <c r="D725" s="152"/>
      <c r="E725" s="289"/>
      <c r="F725" s="289"/>
      <c r="G725" s="152"/>
      <c r="H725" s="152"/>
      <c r="I725" s="152"/>
      <c r="J725" s="152"/>
      <c r="K725" s="289"/>
      <c r="L725" s="289"/>
      <c r="M725" s="152"/>
      <c r="N725" s="152"/>
      <c r="O725" s="156"/>
      <c r="P725" s="152"/>
      <c r="Q725" s="152"/>
      <c r="R725" s="152"/>
      <c r="S725" s="152"/>
      <c r="T725" s="152"/>
      <c r="U725" s="152"/>
      <c r="V725" s="152"/>
      <c r="W725" s="152"/>
      <c r="X725" s="152"/>
      <c r="Y725" s="152"/>
      <c r="Z725" s="281"/>
      <c r="AA725" s="281"/>
      <c r="AB725" s="281"/>
      <c r="AC725" s="281"/>
      <c r="AD725" s="281"/>
      <c r="AE725" s="281"/>
      <c r="AF725" s="282"/>
      <c r="AG725" s="170"/>
      <c r="AH725" s="152"/>
      <c r="AI725" s="152"/>
      <c r="AJ725" s="152"/>
      <c r="AK725" s="152"/>
      <c r="AL725" s="152"/>
      <c r="AM725" s="152"/>
      <c r="AN725" s="152"/>
      <c r="AO725" s="152"/>
      <c r="AP725" s="152"/>
      <c r="AQ725" s="152"/>
      <c r="AR725" s="152"/>
    </row>
    <row r="726" ht="12.75" customHeight="1">
      <c r="A726" s="288"/>
      <c r="B726" s="288"/>
      <c r="C726" s="288"/>
      <c r="D726" s="152"/>
      <c r="E726" s="289"/>
      <c r="F726" s="289"/>
      <c r="G726" s="152"/>
      <c r="H726" s="152"/>
      <c r="I726" s="152"/>
      <c r="J726" s="152"/>
      <c r="K726" s="289"/>
      <c r="L726" s="289"/>
      <c r="M726" s="152"/>
      <c r="N726" s="152"/>
      <c r="O726" s="156"/>
      <c r="P726" s="152"/>
      <c r="Q726" s="152"/>
      <c r="R726" s="152"/>
      <c r="S726" s="152"/>
      <c r="T726" s="152"/>
      <c r="U726" s="152"/>
      <c r="V726" s="152"/>
      <c r="W726" s="152"/>
      <c r="X726" s="152"/>
      <c r="Y726" s="152"/>
      <c r="Z726" s="281"/>
      <c r="AA726" s="281"/>
      <c r="AB726" s="281"/>
      <c r="AC726" s="281"/>
      <c r="AD726" s="281"/>
      <c r="AE726" s="281"/>
      <c r="AF726" s="282"/>
      <c r="AG726" s="170"/>
      <c r="AH726" s="152"/>
      <c r="AI726" s="152"/>
      <c r="AJ726" s="152"/>
      <c r="AK726" s="152"/>
      <c r="AL726" s="152"/>
      <c r="AM726" s="152"/>
      <c r="AN726" s="152"/>
      <c r="AO726" s="152"/>
      <c r="AP726" s="152"/>
      <c r="AQ726" s="152"/>
      <c r="AR726" s="152"/>
    </row>
    <row r="727" ht="12.75" customHeight="1">
      <c r="A727" s="288"/>
      <c r="B727" s="288"/>
      <c r="C727" s="288"/>
      <c r="D727" s="152"/>
      <c r="E727" s="289"/>
      <c r="F727" s="289"/>
      <c r="G727" s="152"/>
      <c r="H727" s="152"/>
      <c r="I727" s="152"/>
      <c r="J727" s="152"/>
      <c r="K727" s="289"/>
      <c r="L727" s="289"/>
      <c r="M727" s="152"/>
      <c r="N727" s="152"/>
      <c r="O727" s="156"/>
      <c r="P727" s="152"/>
      <c r="Q727" s="152"/>
      <c r="R727" s="152"/>
      <c r="S727" s="152"/>
      <c r="T727" s="152"/>
      <c r="U727" s="152"/>
      <c r="V727" s="152"/>
      <c r="W727" s="152"/>
      <c r="X727" s="152"/>
      <c r="Y727" s="152"/>
      <c r="Z727" s="281"/>
      <c r="AA727" s="281"/>
      <c r="AB727" s="281"/>
      <c r="AC727" s="281"/>
      <c r="AD727" s="281"/>
      <c r="AE727" s="281"/>
      <c r="AF727" s="282"/>
      <c r="AG727" s="170"/>
      <c r="AH727" s="152"/>
      <c r="AI727" s="152"/>
      <c r="AJ727" s="152"/>
      <c r="AK727" s="152"/>
      <c r="AL727" s="152"/>
      <c r="AM727" s="152"/>
      <c r="AN727" s="152"/>
      <c r="AO727" s="152"/>
      <c r="AP727" s="152"/>
      <c r="AQ727" s="152"/>
      <c r="AR727" s="152"/>
    </row>
    <row r="728" ht="12.75" customHeight="1">
      <c r="A728" s="288"/>
      <c r="B728" s="288"/>
      <c r="C728" s="288"/>
      <c r="D728" s="152"/>
      <c r="E728" s="289"/>
      <c r="F728" s="289"/>
      <c r="G728" s="152"/>
      <c r="H728" s="152"/>
      <c r="I728" s="152"/>
      <c r="J728" s="152"/>
      <c r="K728" s="289"/>
      <c r="L728" s="289"/>
      <c r="M728" s="152"/>
      <c r="N728" s="152"/>
      <c r="O728" s="156"/>
      <c r="P728" s="152"/>
      <c r="Q728" s="152"/>
      <c r="R728" s="152"/>
      <c r="S728" s="152"/>
      <c r="T728" s="152"/>
      <c r="U728" s="152"/>
      <c r="V728" s="152"/>
      <c r="W728" s="152"/>
      <c r="X728" s="152"/>
      <c r="Y728" s="152"/>
      <c r="Z728" s="281"/>
      <c r="AA728" s="281"/>
      <c r="AB728" s="281"/>
      <c r="AC728" s="281"/>
      <c r="AD728" s="281"/>
      <c r="AE728" s="281"/>
      <c r="AF728" s="282"/>
      <c r="AG728" s="170"/>
      <c r="AH728" s="152"/>
      <c r="AI728" s="152"/>
      <c r="AJ728" s="152"/>
      <c r="AK728" s="152"/>
      <c r="AL728" s="152"/>
      <c r="AM728" s="152"/>
      <c r="AN728" s="152"/>
      <c r="AO728" s="152"/>
      <c r="AP728" s="152"/>
      <c r="AQ728" s="152"/>
      <c r="AR728" s="152"/>
    </row>
    <row r="729" ht="12.75" customHeight="1">
      <c r="A729" s="288"/>
      <c r="B729" s="288"/>
      <c r="C729" s="288"/>
      <c r="D729" s="152"/>
      <c r="E729" s="289"/>
      <c r="F729" s="289"/>
      <c r="G729" s="152"/>
      <c r="H729" s="152"/>
      <c r="I729" s="152"/>
      <c r="J729" s="152"/>
      <c r="K729" s="289"/>
      <c r="L729" s="289"/>
      <c r="M729" s="152"/>
      <c r="N729" s="152"/>
      <c r="O729" s="156"/>
      <c r="P729" s="152"/>
      <c r="Q729" s="152"/>
      <c r="R729" s="152"/>
      <c r="S729" s="152"/>
      <c r="T729" s="152"/>
      <c r="U729" s="152"/>
      <c r="V729" s="152"/>
      <c r="W729" s="152"/>
      <c r="X729" s="152"/>
      <c r="Y729" s="152"/>
      <c r="Z729" s="281"/>
      <c r="AA729" s="281"/>
      <c r="AB729" s="281"/>
      <c r="AC729" s="281"/>
      <c r="AD729" s="281"/>
      <c r="AE729" s="281"/>
      <c r="AF729" s="282"/>
      <c r="AG729" s="170"/>
      <c r="AH729" s="152"/>
      <c r="AI729" s="152"/>
      <c r="AJ729" s="152"/>
      <c r="AK729" s="152"/>
      <c r="AL729" s="152"/>
      <c r="AM729" s="152"/>
      <c r="AN729" s="152"/>
      <c r="AO729" s="152"/>
      <c r="AP729" s="152"/>
      <c r="AQ729" s="152"/>
      <c r="AR729" s="152"/>
    </row>
    <row r="730" ht="12.75" customHeight="1">
      <c r="A730" s="288"/>
      <c r="B730" s="288"/>
      <c r="C730" s="288"/>
      <c r="D730" s="152"/>
      <c r="E730" s="289"/>
      <c r="F730" s="289"/>
      <c r="G730" s="152"/>
      <c r="H730" s="152"/>
      <c r="I730" s="152"/>
      <c r="J730" s="152"/>
      <c r="K730" s="289"/>
      <c r="L730" s="289"/>
      <c r="M730" s="152"/>
      <c r="N730" s="152"/>
      <c r="O730" s="156"/>
      <c r="P730" s="152"/>
      <c r="Q730" s="152"/>
      <c r="R730" s="152"/>
      <c r="S730" s="152"/>
      <c r="T730" s="152"/>
      <c r="U730" s="152"/>
      <c r="V730" s="152"/>
      <c r="W730" s="152"/>
      <c r="X730" s="152"/>
      <c r="Y730" s="152"/>
      <c r="Z730" s="281"/>
      <c r="AA730" s="281"/>
      <c r="AB730" s="281"/>
      <c r="AC730" s="281"/>
      <c r="AD730" s="281"/>
      <c r="AE730" s="281"/>
      <c r="AF730" s="282"/>
      <c r="AG730" s="170"/>
      <c r="AH730" s="152"/>
      <c r="AI730" s="152"/>
      <c r="AJ730" s="152"/>
      <c r="AK730" s="152"/>
      <c r="AL730" s="152"/>
      <c r="AM730" s="152"/>
      <c r="AN730" s="152"/>
      <c r="AO730" s="152"/>
      <c r="AP730" s="152"/>
      <c r="AQ730" s="152"/>
      <c r="AR730" s="152"/>
    </row>
    <row r="731" ht="12.75" customHeight="1">
      <c r="A731" s="288"/>
      <c r="B731" s="288"/>
      <c r="C731" s="288"/>
      <c r="D731" s="152"/>
      <c r="E731" s="289"/>
      <c r="F731" s="289"/>
      <c r="G731" s="152"/>
      <c r="H731" s="152"/>
      <c r="I731" s="152"/>
      <c r="J731" s="152"/>
      <c r="K731" s="289"/>
      <c r="L731" s="289"/>
      <c r="M731" s="152"/>
      <c r="N731" s="152"/>
      <c r="O731" s="156"/>
      <c r="P731" s="152"/>
      <c r="Q731" s="152"/>
      <c r="R731" s="152"/>
      <c r="S731" s="152"/>
      <c r="T731" s="152"/>
      <c r="U731" s="152"/>
      <c r="V731" s="152"/>
      <c r="W731" s="152"/>
      <c r="X731" s="152"/>
      <c r="Y731" s="152"/>
      <c r="Z731" s="281"/>
      <c r="AA731" s="281"/>
      <c r="AB731" s="281"/>
      <c r="AC731" s="281"/>
      <c r="AD731" s="281"/>
      <c r="AE731" s="281"/>
      <c r="AF731" s="282"/>
      <c r="AG731" s="170"/>
      <c r="AH731" s="152"/>
      <c r="AI731" s="152"/>
      <c r="AJ731" s="152"/>
      <c r="AK731" s="152"/>
      <c r="AL731" s="152"/>
      <c r="AM731" s="152"/>
      <c r="AN731" s="152"/>
      <c r="AO731" s="152"/>
      <c r="AP731" s="152"/>
      <c r="AQ731" s="152"/>
      <c r="AR731" s="152"/>
    </row>
    <row r="732" ht="12.75" customHeight="1">
      <c r="A732" s="288"/>
      <c r="B732" s="288"/>
      <c r="C732" s="288"/>
      <c r="D732" s="152"/>
      <c r="E732" s="289"/>
      <c r="F732" s="289"/>
      <c r="G732" s="152"/>
      <c r="H732" s="152"/>
      <c r="I732" s="152"/>
      <c r="J732" s="152"/>
      <c r="K732" s="289"/>
      <c r="L732" s="289"/>
      <c r="M732" s="152"/>
      <c r="N732" s="152"/>
      <c r="O732" s="156"/>
      <c r="P732" s="152"/>
      <c r="Q732" s="152"/>
      <c r="R732" s="152"/>
      <c r="S732" s="152"/>
      <c r="T732" s="152"/>
      <c r="U732" s="152"/>
      <c r="V732" s="152"/>
      <c r="W732" s="152"/>
      <c r="X732" s="152"/>
      <c r="Y732" s="152"/>
      <c r="Z732" s="281"/>
      <c r="AA732" s="281"/>
      <c r="AB732" s="281"/>
      <c r="AC732" s="281"/>
      <c r="AD732" s="281"/>
      <c r="AE732" s="281"/>
      <c r="AF732" s="282"/>
      <c r="AG732" s="170"/>
      <c r="AH732" s="152"/>
      <c r="AI732" s="152"/>
      <c r="AJ732" s="152"/>
      <c r="AK732" s="152"/>
      <c r="AL732" s="152"/>
      <c r="AM732" s="152"/>
      <c r="AN732" s="152"/>
      <c r="AO732" s="152"/>
      <c r="AP732" s="152"/>
      <c r="AQ732" s="152"/>
      <c r="AR732" s="152"/>
    </row>
    <row r="733" ht="12.75" customHeight="1">
      <c r="A733" s="288"/>
      <c r="B733" s="288"/>
      <c r="C733" s="288"/>
      <c r="D733" s="152"/>
      <c r="E733" s="289"/>
      <c r="F733" s="289"/>
      <c r="G733" s="152"/>
      <c r="H733" s="152"/>
      <c r="I733" s="152"/>
      <c r="J733" s="152"/>
      <c r="K733" s="289"/>
      <c r="L733" s="289"/>
      <c r="M733" s="152"/>
      <c r="N733" s="152"/>
      <c r="O733" s="156"/>
      <c r="P733" s="152"/>
      <c r="Q733" s="152"/>
      <c r="R733" s="152"/>
      <c r="S733" s="152"/>
      <c r="T733" s="152"/>
      <c r="U733" s="152"/>
      <c r="V733" s="152"/>
      <c r="W733" s="152"/>
      <c r="X733" s="152"/>
      <c r="Y733" s="152"/>
      <c r="Z733" s="281"/>
      <c r="AA733" s="281"/>
      <c r="AB733" s="281"/>
      <c r="AC733" s="281"/>
      <c r="AD733" s="281"/>
      <c r="AE733" s="281"/>
      <c r="AF733" s="282"/>
      <c r="AG733" s="170"/>
      <c r="AH733" s="152"/>
      <c r="AI733" s="152"/>
      <c r="AJ733" s="152"/>
      <c r="AK733" s="152"/>
      <c r="AL733" s="152"/>
      <c r="AM733" s="152"/>
      <c r="AN733" s="152"/>
      <c r="AO733" s="152"/>
      <c r="AP733" s="152"/>
      <c r="AQ733" s="152"/>
      <c r="AR733" s="152"/>
    </row>
    <row r="734" ht="12.75" customHeight="1">
      <c r="A734" s="288"/>
      <c r="B734" s="288"/>
      <c r="C734" s="288"/>
      <c r="D734" s="152"/>
      <c r="E734" s="289"/>
      <c r="F734" s="289"/>
      <c r="G734" s="152"/>
      <c r="H734" s="152"/>
      <c r="I734" s="152"/>
      <c r="J734" s="152"/>
      <c r="K734" s="289"/>
      <c r="L734" s="289"/>
      <c r="M734" s="152"/>
      <c r="N734" s="152"/>
      <c r="O734" s="156"/>
      <c r="P734" s="152"/>
      <c r="Q734" s="152"/>
      <c r="R734" s="152"/>
      <c r="S734" s="152"/>
      <c r="T734" s="152"/>
      <c r="U734" s="152"/>
      <c r="V734" s="152"/>
      <c r="W734" s="152"/>
      <c r="X734" s="152"/>
      <c r="Y734" s="152"/>
      <c r="Z734" s="281"/>
      <c r="AA734" s="281"/>
      <c r="AB734" s="281"/>
      <c r="AC734" s="281"/>
      <c r="AD734" s="281"/>
      <c r="AE734" s="281"/>
      <c r="AF734" s="282"/>
      <c r="AG734" s="170"/>
      <c r="AH734" s="152"/>
      <c r="AI734" s="152"/>
      <c r="AJ734" s="152"/>
      <c r="AK734" s="152"/>
      <c r="AL734" s="152"/>
      <c r="AM734" s="152"/>
      <c r="AN734" s="152"/>
      <c r="AO734" s="152"/>
      <c r="AP734" s="152"/>
      <c r="AQ734" s="152"/>
      <c r="AR734" s="152"/>
    </row>
    <row r="735" ht="12.75" customHeight="1">
      <c r="A735" s="288"/>
      <c r="B735" s="288"/>
      <c r="C735" s="288"/>
      <c r="D735" s="152"/>
      <c r="E735" s="289"/>
      <c r="F735" s="289"/>
      <c r="G735" s="152"/>
      <c r="H735" s="152"/>
      <c r="I735" s="152"/>
      <c r="J735" s="152"/>
      <c r="K735" s="289"/>
      <c r="L735" s="289"/>
      <c r="M735" s="152"/>
      <c r="N735" s="152"/>
      <c r="O735" s="156"/>
      <c r="P735" s="152"/>
      <c r="Q735" s="152"/>
      <c r="R735" s="152"/>
      <c r="S735" s="152"/>
      <c r="T735" s="152"/>
      <c r="U735" s="152"/>
      <c r="V735" s="152"/>
      <c r="W735" s="152"/>
      <c r="X735" s="152"/>
      <c r="Y735" s="152"/>
      <c r="Z735" s="281"/>
      <c r="AA735" s="281"/>
      <c r="AB735" s="281"/>
      <c r="AC735" s="281"/>
      <c r="AD735" s="281"/>
      <c r="AE735" s="281"/>
      <c r="AF735" s="282"/>
      <c r="AG735" s="170"/>
      <c r="AH735" s="152"/>
      <c r="AI735" s="152"/>
      <c r="AJ735" s="152"/>
      <c r="AK735" s="152"/>
      <c r="AL735" s="152"/>
      <c r="AM735" s="152"/>
      <c r="AN735" s="152"/>
      <c r="AO735" s="152"/>
      <c r="AP735" s="152"/>
      <c r="AQ735" s="152"/>
      <c r="AR735" s="152"/>
    </row>
    <row r="736" ht="12.75" customHeight="1">
      <c r="A736" s="288"/>
      <c r="B736" s="288"/>
      <c r="C736" s="288"/>
      <c r="D736" s="152"/>
      <c r="E736" s="289"/>
      <c r="F736" s="289"/>
      <c r="G736" s="152"/>
      <c r="H736" s="152"/>
      <c r="I736" s="152"/>
      <c r="J736" s="152"/>
      <c r="K736" s="289"/>
      <c r="L736" s="289"/>
      <c r="M736" s="152"/>
      <c r="N736" s="152"/>
      <c r="O736" s="156"/>
      <c r="P736" s="152"/>
      <c r="Q736" s="152"/>
      <c r="R736" s="152"/>
      <c r="S736" s="152"/>
      <c r="T736" s="152"/>
      <c r="U736" s="152"/>
      <c r="V736" s="152"/>
      <c r="W736" s="152"/>
      <c r="X736" s="152"/>
      <c r="Y736" s="152"/>
      <c r="Z736" s="281"/>
      <c r="AA736" s="281"/>
      <c r="AB736" s="281"/>
      <c r="AC736" s="281"/>
      <c r="AD736" s="281"/>
      <c r="AE736" s="281"/>
      <c r="AF736" s="282"/>
      <c r="AG736" s="170"/>
      <c r="AH736" s="152"/>
      <c r="AI736" s="152"/>
      <c r="AJ736" s="152"/>
      <c r="AK736" s="152"/>
      <c r="AL736" s="152"/>
      <c r="AM736" s="152"/>
      <c r="AN736" s="152"/>
      <c r="AO736" s="152"/>
      <c r="AP736" s="152"/>
      <c r="AQ736" s="152"/>
      <c r="AR736" s="152"/>
    </row>
    <row r="737" ht="12.75" customHeight="1">
      <c r="A737" s="288"/>
      <c r="B737" s="288"/>
      <c r="C737" s="288"/>
      <c r="D737" s="152"/>
      <c r="E737" s="289"/>
      <c r="F737" s="289"/>
      <c r="G737" s="152"/>
      <c r="H737" s="152"/>
      <c r="I737" s="152"/>
      <c r="J737" s="152"/>
      <c r="K737" s="289"/>
      <c r="L737" s="289"/>
      <c r="M737" s="152"/>
      <c r="N737" s="152"/>
      <c r="O737" s="156"/>
      <c r="P737" s="152"/>
      <c r="Q737" s="152"/>
      <c r="R737" s="152"/>
      <c r="S737" s="152"/>
      <c r="T737" s="152"/>
      <c r="U737" s="152"/>
      <c r="V737" s="152"/>
      <c r="W737" s="152"/>
      <c r="X737" s="152"/>
      <c r="Y737" s="152"/>
      <c r="Z737" s="281"/>
      <c r="AA737" s="281"/>
      <c r="AB737" s="281"/>
      <c r="AC737" s="281"/>
      <c r="AD737" s="281"/>
      <c r="AE737" s="281"/>
      <c r="AF737" s="282"/>
      <c r="AG737" s="170"/>
      <c r="AH737" s="152"/>
      <c r="AI737" s="152"/>
      <c r="AJ737" s="152"/>
      <c r="AK737" s="152"/>
      <c r="AL737" s="152"/>
      <c r="AM737" s="152"/>
      <c r="AN737" s="152"/>
      <c r="AO737" s="152"/>
      <c r="AP737" s="152"/>
      <c r="AQ737" s="152"/>
      <c r="AR737" s="152"/>
    </row>
    <row r="738" ht="12.75" customHeight="1">
      <c r="A738" s="288"/>
      <c r="B738" s="288"/>
      <c r="C738" s="288"/>
      <c r="D738" s="152"/>
      <c r="E738" s="289"/>
      <c r="F738" s="289"/>
      <c r="G738" s="152"/>
      <c r="H738" s="152"/>
      <c r="I738" s="152"/>
      <c r="J738" s="152"/>
      <c r="K738" s="289"/>
      <c r="L738" s="289"/>
      <c r="M738" s="152"/>
      <c r="N738" s="152"/>
      <c r="O738" s="156"/>
      <c r="P738" s="152"/>
      <c r="Q738" s="152"/>
      <c r="R738" s="152"/>
      <c r="S738" s="152"/>
      <c r="T738" s="152"/>
      <c r="U738" s="152"/>
      <c r="V738" s="152"/>
      <c r="W738" s="152"/>
      <c r="X738" s="152"/>
      <c r="Y738" s="152"/>
      <c r="Z738" s="281"/>
      <c r="AA738" s="281"/>
      <c r="AB738" s="281"/>
      <c r="AC738" s="281"/>
      <c r="AD738" s="281"/>
      <c r="AE738" s="281"/>
      <c r="AF738" s="282"/>
      <c r="AG738" s="170"/>
      <c r="AH738" s="152"/>
      <c r="AI738" s="152"/>
      <c r="AJ738" s="152"/>
      <c r="AK738" s="152"/>
      <c r="AL738" s="152"/>
      <c r="AM738" s="152"/>
      <c r="AN738" s="152"/>
      <c r="AO738" s="152"/>
      <c r="AP738" s="152"/>
      <c r="AQ738" s="152"/>
      <c r="AR738" s="152"/>
    </row>
    <row r="739" ht="12.75" customHeight="1">
      <c r="A739" s="288"/>
      <c r="B739" s="288"/>
      <c r="C739" s="288"/>
      <c r="D739" s="152"/>
      <c r="E739" s="289"/>
      <c r="F739" s="289"/>
      <c r="G739" s="152"/>
      <c r="H739" s="152"/>
      <c r="I739" s="152"/>
      <c r="J739" s="152"/>
      <c r="K739" s="289"/>
      <c r="L739" s="289"/>
      <c r="M739" s="152"/>
      <c r="N739" s="152"/>
      <c r="O739" s="156"/>
      <c r="P739" s="152"/>
      <c r="Q739" s="152"/>
      <c r="R739" s="152"/>
      <c r="S739" s="152"/>
      <c r="T739" s="152"/>
      <c r="U739" s="152"/>
      <c r="V739" s="152"/>
      <c r="W739" s="152"/>
      <c r="X739" s="152"/>
      <c r="Y739" s="152"/>
      <c r="Z739" s="281"/>
      <c r="AA739" s="281"/>
      <c r="AB739" s="281"/>
      <c r="AC739" s="281"/>
      <c r="AD739" s="281"/>
      <c r="AE739" s="281"/>
      <c r="AF739" s="282"/>
      <c r="AG739" s="170"/>
      <c r="AH739" s="152"/>
      <c r="AI739" s="152"/>
      <c r="AJ739" s="152"/>
      <c r="AK739" s="152"/>
      <c r="AL739" s="152"/>
      <c r="AM739" s="152"/>
      <c r="AN739" s="152"/>
      <c r="AO739" s="152"/>
      <c r="AP739" s="152"/>
      <c r="AQ739" s="152"/>
      <c r="AR739" s="152"/>
    </row>
    <row r="740" ht="12.75" customHeight="1">
      <c r="A740" s="288"/>
      <c r="B740" s="288"/>
      <c r="C740" s="288"/>
      <c r="D740" s="152"/>
      <c r="E740" s="289"/>
      <c r="F740" s="289"/>
      <c r="G740" s="152"/>
      <c r="H740" s="152"/>
      <c r="I740" s="152"/>
      <c r="J740" s="152"/>
      <c r="K740" s="289"/>
      <c r="L740" s="289"/>
      <c r="M740" s="152"/>
      <c r="N740" s="152"/>
      <c r="O740" s="156"/>
      <c r="P740" s="152"/>
      <c r="Q740" s="152"/>
      <c r="R740" s="152"/>
      <c r="S740" s="152"/>
      <c r="T740" s="152"/>
      <c r="U740" s="152"/>
      <c r="V740" s="152"/>
      <c r="W740" s="152"/>
      <c r="X740" s="152"/>
      <c r="Y740" s="152"/>
      <c r="Z740" s="281"/>
      <c r="AA740" s="281"/>
      <c r="AB740" s="281"/>
      <c r="AC740" s="281"/>
      <c r="AD740" s="281"/>
      <c r="AE740" s="281"/>
      <c r="AF740" s="282"/>
      <c r="AG740" s="170"/>
      <c r="AH740" s="152"/>
      <c r="AI740" s="152"/>
      <c r="AJ740" s="152"/>
      <c r="AK740" s="152"/>
      <c r="AL740" s="152"/>
      <c r="AM740" s="152"/>
      <c r="AN740" s="152"/>
      <c r="AO740" s="152"/>
      <c r="AP740" s="152"/>
      <c r="AQ740" s="152"/>
      <c r="AR740" s="152"/>
    </row>
    <row r="741" ht="12.75" customHeight="1">
      <c r="A741" s="288"/>
      <c r="B741" s="288"/>
      <c r="C741" s="288"/>
      <c r="D741" s="152"/>
      <c r="E741" s="289"/>
      <c r="F741" s="289"/>
      <c r="G741" s="152"/>
      <c r="H741" s="152"/>
      <c r="I741" s="152"/>
      <c r="J741" s="152"/>
      <c r="K741" s="289"/>
      <c r="L741" s="289"/>
      <c r="M741" s="152"/>
      <c r="N741" s="152"/>
      <c r="O741" s="156"/>
      <c r="P741" s="152"/>
      <c r="Q741" s="152"/>
      <c r="R741" s="152"/>
      <c r="S741" s="152"/>
      <c r="T741" s="152"/>
      <c r="U741" s="152"/>
      <c r="V741" s="152"/>
      <c r="W741" s="152"/>
      <c r="X741" s="152"/>
      <c r="Y741" s="152"/>
      <c r="Z741" s="281"/>
      <c r="AA741" s="281"/>
      <c r="AB741" s="281"/>
      <c r="AC741" s="281"/>
      <c r="AD741" s="281"/>
      <c r="AE741" s="281"/>
      <c r="AF741" s="282"/>
      <c r="AG741" s="170"/>
      <c r="AH741" s="152"/>
      <c r="AI741" s="152"/>
      <c r="AJ741" s="152"/>
      <c r="AK741" s="152"/>
      <c r="AL741" s="152"/>
      <c r="AM741" s="152"/>
      <c r="AN741" s="152"/>
      <c r="AO741" s="152"/>
      <c r="AP741" s="152"/>
      <c r="AQ741" s="152"/>
      <c r="AR741" s="152"/>
    </row>
    <row r="742" ht="12.75" customHeight="1">
      <c r="A742" s="288"/>
      <c r="B742" s="288"/>
      <c r="C742" s="288"/>
      <c r="D742" s="152"/>
      <c r="E742" s="289"/>
      <c r="F742" s="289"/>
      <c r="G742" s="152"/>
      <c r="H742" s="152"/>
      <c r="I742" s="152"/>
      <c r="J742" s="152"/>
      <c r="K742" s="289"/>
      <c r="L742" s="289"/>
      <c r="M742" s="152"/>
      <c r="N742" s="152"/>
      <c r="O742" s="156"/>
      <c r="P742" s="152"/>
      <c r="Q742" s="152"/>
      <c r="R742" s="152"/>
      <c r="S742" s="152"/>
      <c r="T742" s="152"/>
      <c r="U742" s="152"/>
      <c r="V742" s="152"/>
      <c r="W742" s="152"/>
      <c r="X742" s="152"/>
      <c r="Y742" s="152"/>
      <c r="Z742" s="281"/>
      <c r="AA742" s="281"/>
      <c r="AB742" s="281"/>
      <c r="AC742" s="281"/>
      <c r="AD742" s="281"/>
      <c r="AE742" s="281"/>
      <c r="AF742" s="282"/>
      <c r="AG742" s="170"/>
      <c r="AH742" s="152"/>
      <c r="AI742" s="152"/>
      <c r="AJ742" s="152"/>
      <c r="AK742" s="152"/>
      <c r="AL742" s="152"/>
      <c r="AM742" s="152"/>
      <c r="AN742" s="152"/>
      <c r="AO742" s="152"/>
      <c r="AP742" s="152"/>
      <c r="AQ742" s="152"/>
      <c r="AR742" s="152"/>
    </row>
    <row r="743" ht="12.75" customHeight="1">
      <c r="A743" s="288"/>
      <c r="B743" s="288"/>
      <c r="C743" s="288"/>
      <c r="D743" s="152"/>
      <c r="E743" s="289"/>
      <c r="F743" s="289"/>
      <c r="G743" s="152"/>
      <c r="H743" s="152"/>
      <c r="I743" s="152"/>
      <c r="J743" s="152"/>
      <c r="K743" s="289"/>
      <c r="L743" s="289"/>
      <c r="M743" s="152"/>
      <c r="N743" s="152"/>
      <c r="O743" s="156"/>
      <c r="P743" s="152"/>
      <c r="Q743" s="152"/>
      <c r="R743" s="152"/>
      <c r="S743" s="152"/>
      <c r="T743" s="152"/>
      <c r="U743" s="152"/>
      <c r="V743" s="152"/>
      <c r="W743" s="152"/>
      <c r="X743" s="152"/>
      <c r="Y743" s="152"/>
      <c r="Z743" s="281"/>
      <c r="AA743" s="281"/>
      <c r="AB743" s="281"/>
      <c r="AC743" s="281"/>
      <c r="AD743" s="281"/>
      <c r="AE743" s="281"/>
      <c r="AF743" s="282"/>
      <c r="AG743" s="170"/>
      <c r="AH743" s="152"/>
      <c r="AI743" s="152"/>
      <c r="AJ743" s="152"/>
      <c r="AK743" s="152"/>
      <c r="AL743" s="152"/>
      <c r="AM743" s="152"/>
      <c r="AN743" s="152"/>
      <c r="AO743" s="152"/>
      <c r="AP743" s="152"/>
      <c r="AQ743" s="152"/>
      <c r="AR743" s="152"/>
    </row>
    <row r="744" ht="12.75" customHeight="1">
      <c r="A744" s="288"/>
      <c r="B744" s="288"/>
      <c r="C744" s="288"/>
      <c r="D744" s="152"/>
      <c r="E744" s="289"/>
      <c r="F744" s="289"/>
      <c r="G744" s="152"/>
      <c r="H744" s="152"/>
      <c r="I744" s="152"/>
      <c r="J744" s="152"/>
      <c r="K744" s="289"/>
      <c r="L744" s="289"/>
      <c r="M744" s="152"/>
      <c r="N744" s="152"/>
      <c r="O744" s="156"/>
      <c r="P744" s="152"/>
      <c r="Q744" s="152"/>
      <c r="R744" s="152"/>
      <c r="S744" s="152"/>
      <c r="T744" s="152"/>
      <c r="U744" s="152"/>
      <c r="V744" s="152"/>
      <c r="W744" s="152"/>
      <c r="X744" s="152"/>
      <c r="Y744" s="152"/>
      <c r="Z744" s="281"/>
      <c r="AA744" s="281"/>
      <c r="AB744" s="281"/>
      <c r="AC744" s="281"/>
      <c r="AD744" s="281"/>
      <c r="AE744" s="281"/>
      <c r="AF744" s="282"/>
      <c r="AG744" s="170"/>
      <c r="AH744" s="152"/>
      <c r="AI744" s="152"/>
      <c r="AJ744" s="152"/>
      <c r="AK744" s="152"/>
      <c r="AL744" s="152"/>
      <c r="AM744" s="152"/>
      <c r="AN744" s="152"/>
      <c r="AO744" s="152"/>
      <c r="AP744" s="152"/>
      <c r="AQ744" s="152"/>
      <c r="AR744" s="152"/>
    </row>
    <row r="745" ht="12.75" customHeight="1">
      <c r="A745" s="288"/>
      <c r="B745" s="288"/>
      <c r="C745" s="288"/>
      <c r="D745" s="152"/>
      <c r="E745" s="289"/>
      <c r="F745" s="289"/>
      <c r="G745" s="152"/>
      <c r="H745" s="152"/>
      <c r="I745" s="152"/>
      <c r="J745" s="152"/>
      <c r="K745" s="289"/>
      <c r="L745" s="289"/>
      <c r="M745" s="152"/>
      <c r="N745" s="152"/>
      <c r="O745" s="156"/>
      <c r="P745" s="152"/>
      <c r="Q745" s="152"/>
      <c r="R745" s="152"/>
      <c r="S745" s="152"/>
      <c r="T745" s="152"/>
      <c r="U745" s="152"/>
      <c r="V745" s="152"/>
      <c r="W745" s="152"/>
      <c r="X745" s="152"/>
      <c r="Y745" s="152"/>
      <c r="Z745" s="281"/>
      <c r="AA745" s="281"/>
      <c r="AB745" s="281"/>
      <c r="AC745" s="281"/>
      <c r="AD745" s="281"/>
      <c r="AE745" s="281"/>
      <c r="AF745" s="282"/>
      <c r="AG745" s="170"/>
      <c r="AH745" s="152"/>
      <c r="AI745" s="152"/>
      <c r="AJ745" s="152"/>
      <c r="AK745" s="152"/>
      <c r="AL745" s="152"/>
      <c r="AM745" s="152"/>
      <c r="AN745" s="152"/>
      <c r="AO745" s="152"/>
      <c r="AP745" s="152"/>
      <c r="AQ745" s="152"/>
      <c r="AR745" s="152"/>
    </row>
    <row r="746" ht="12.75" customHeight="1">
      <c r="A746" s="288"/>
      <c r="B746" s="288"/>
      <c r="C746" s="288"/>
      <c r="D746" s="152"/>
      <c r="E746" s="289"/>
      <c r="F746" s="289"/>
      <c r="G746" s="152"/>
      <c r="H746" s="152"/>
      <c r="I746" s="152"/>
      <c r="J746" s="152"/>
      <c r="K746" s="289"/>
      <c r="L746" s="289"/>
      <c r="M746" s="152"/>
      <c r="N746" s="152"/>
      <c r="O746" s="156"/>
      <c r="P746" s="152"/>
      <c r="Q746" s="152"/>
      <c r="R746" s="152"/>
      <c r="S746" s="152"/>
      <c r="T746" s="152"/>
      <c r="U746" s="152"/>
      <c r="V746" s="152"/>
      <c r="W746" s="152"/>
      <c r="X746" s="152"/>
      <c r="Y746" s="152"/>
      <c r="Z746" s="281"/>
      <c r="AA746" s="281"/>
      <c r="AB746" s="281"/>
      <c r="AC746" s="281"/>
      <c r="AD746" s="281"/>
      <c r="AE746" s="281"/>
      <c r="AF746" s="282"/>
      <c r="AG746" s="170"/>
      <c r="AH746" s="152"/>
      <c r="AI746" s="152"/>
      <c r="AJ746" s="152"/>
      <c r="AK746" s="152"/>
      <c r="AL746" s="152"/>
      <c r="AM746" s="152"/>
      <c r="AN746" s="152"/>
      <c r="AO746" s="152"/>
      <c r="AP746" s="152"/>
      <c r="AQ746" s="152"/>
      <c r="AR746" s="152"/>
    </row>
    <row r="747" ht="12.75" customHeight="1">
      <c r="A747" s="288"/>
      <c r="B747" s="288"/>
      <c r="C747" s="288"/>
      <c r="D747" s="152"/>
      <c r="E747" s="289"/>
      <c r="F747" s="289"/>
      <c r="G747" s="152"/>
      <c r="H747" s="152"/>
      <c r="I747" s="152"/>
      <c r="J747" s="152"/>
      <c r="K747" s="289"/>
      <c r="L747" s="289"/>
      <c r="M747" s="152"/>
      <c r="N747" s="152"/>
      <c r="O747" s="156"/>
      <c r="P747" s="152"/>
      <c r="Q747" s="152"/>
      <c r="R747" s="152"/>
      <c r="S747" s="152"/>
      <c r="T747" s="152"/>
      <c r="U747" s="152"/>
      <c r="V747" s="152"/>
      <c r="W747" s="152"/>
      <c r="X747" s="152"/>
      <c r="Y747" s="152"/>
      <c r="Z747" s="281"/>
      <c r="AA747" s="281"/>
      <c r="AB747" s="281"/>
      <c r="AC747" s="281"/>
      <c r="AD747" s="281"/>
      <c r="AE747" s="281"/>
      <c r="AF747" s="282"/>
      <c r="AG747" s="170"/>
      <c r="AH747" s="152"/>
      <c r="AI747" s="152"/>
      <c r="AJ747" s="152"/>
      <c r="AK747" s="152"/>
      <c r="AL747" s="152"/>
      <c r="AM747" s="152"/>
      <c r="AN747" s="152"/>
      <c r="AO747" s="152"/>
      <c r="AP747" s="152"/>
      <c r="AQ747" s="152"/>
      <c r="AR747" s="152"/>
    </row>
    <row r="748" ht="12.75" customHeight="1">
      <c r="A748" s="288"/>
      <c r="B748" s="288"/>
      <c r="C748" s="288"/>
      <c r="D748" s="152"/>
      <c r="E748" s="289"/>
      <c r="F748" s="289"/>
      <c r="G748" s="152"/>
      <c r="H748" s="152"/>
      <c r="I748" s="152"/>
      <c r="J748" s="152"/>
      <c r="K748" s="289"/>
      <c r="L748" s="289"/>
      <c r="M748" s="152"/>
      <c r="N748" s="152"/>
      <c r="O748" s="156"/>
      <c r="P748" s="152"/>
      <c r="Q748" s="152"/>
      <c r="R748" s="152"/>
      <c r="S748" s="152"/>
      <c r="T748" s="152"/>
      <c r="U748" s="152"/>
      <c r="V748" s="152"/>
      <c r="W748" s="152"/>
      <c r="X748" s="152"/>
      <c r="Y748" s="152"/>
      <c r="Z748" s="281"/>
      <c r="AA748" s="281"/>
      <c r="AB748" s="281"/>
      <c r="AC748" s="281"/>
      <c r="AD748" s="281"/>
      <c r="AE748" s="281"/>
      <c r="AF748" s="282"/>
      <c r="AG748" s="170"/>
      <c r="AH748" s="152"/>
      <c r="AI748" s="152"/>
      <c r="AJ748" s="152"/>
      <c r="AK748" s="152"/>
      <c r="AL748" s="152"/>
      <c r="AM748" s="152"/>
      <c r="AN748" s="152"/>
      <c r="AO748" s="152"/>
      <c r="AP748" s="152"/>
      <c r="AQ748" s="152"/>
      <c r="AR748" s="152"/>
    </row>
    <row r="749" ht="12.75" customHeight="1">
      <c r="A749" s="288"/>
      <c r="B749" s="288"/>
      <c r="C749" s="288"/>
      <c r="D749" s="152"/>
      <c r="E749" s="289"/>
      <c r="F749" s="289"/>
      <c r="G749" s="152"/>
      <c r="H749" s="152"/>
      <c r="I749" s="152"/>
      <c r="J749" s="152"/>
      <c r="K749" s="289"/>
      <c r="L749" s="289"/>
      <c r="M749" s="152"/>
      <c r="N749" s="152"/>
      <c r="O749" s="156"/>
      <c r="P749" s="152"/>
      <c r="Q749" s="152"/>
      <c r="R749" s="152"/>
      <c r="S749" s="152"/>
      <c r="T749" s="152"/>
      <c r="U749" s="152"/>
      <c r="V749" s="152"/>
      <c r="W749" s="152"/>
      <c r="X749" s="152"/>
      <c r="Y749" s="152"/>
      <c r="Z749" s="281"/>
      <c r="AA749" s="281"/>
      <c r="AB749" s="281"/>
      <c r="AC749" s="281"/>
      <c r="AD749" s="281"/>
      <c r="AE749" s="281"/>
      <c r="AF749" s="282"/>
      <c r="AG749" s="170"/>
      <c r="AH749" s="152"/>
      <c r="AI749" s="152"/>
      <c r="AJ749" s="152"/>
      <c r="AK749" s="152"/>
      <c r="AL749" s="152"/>
      <c r="AM749" s="152"/>
      <c r="AN749" s="152"/>
      <c r="AO749" s="152"/>
      <c r="AP749" s="152"/>
      <c r="AQ749" s="152"/>
      <c r="AR749" s="152"/>
    </row>
    <row r="750" ht="12.75" customHeight="1">
      <c r="A750" s="288"/>
      <c r="B750" s="288"/>
      <c r="C750" s="288"/>
      <c r="D750" s="152"/>
      <c r="E750" s="289"/>
      <c r="F750" s="289"/>
      <c r="G750" s="152"/>
      <c r="H750" s="152"/>
      <c r="I750" s="152"/>
      <c r="J750" s="152"/>
      <c r="K750" s="289"/>
      <c r="L750" s="289"/>
      <c r="M750" s="152"/>
      <c r="N750" s="152"/>
      <c r="O750" s="156"/>
      <c r="P750" s="152"/>
      <c r="Q750" s="152"/>
      <c r="R750" s="152"/>
      <c r="S750" s="152"/>
      <c r="T750" s="152"/>
      <c r="U750" s="152"/>
      <c r="V750" s="152"/>
      <c r="W750" s="152"/>
      <c r="X750" s="152"/>
      <c r="Y750" s="152"/>
      <c r="Z750" s="281"/>
      <c r="AA750" s="281"/>
      <c r="AB750" s="281"/>
      <c r="AC750" s="281"/>
      <c r="AD750" s="281"/>
      <c r="AE750" s="281"/>
      <c r="AF750" s="282"/>
      <c r="AG750" s="170"/>
      <c r="AH750" s="152"/>
      <c r="AI750" s="152"/>
      <c r="AJ750" s="152"/>
      <c r="AK750" s="152"/>
      <c r="AL750" s="152"/>
      <c r="AM750" s="152"/>
      <c r="AN750" s="152"/>
      <c r="AO750" s="152"/>
      <c r="AP750" s="152"/>
      <c r="AQ750" s="152"/>
      <c r="AR750" s="152"/>
    </row>
    <row r="751" ht="12.75" customHeight="1">
      <c r="A751" s="288"/>
      <c r="B751" s="288"/>
      <c r="C751" s="288"/>
      <c r="D751" s="152"/>
      <c r="E751" s="289"/>
      <c r="F751" s="289"/>
      <c r="G751" s="152"/>
      <c r="H751" s="152"/>
      <c r="I751" s="152"/>
      <c r="J751" s="152"/>
      <c r="K751" s="289"/>
      <c r="L751" s="289"/>
      <c r="M751" s="152"/>
      <c r="N751" s="152"/>
      <c r="O751" s="156"/>
      <c r="P751" s="152"/>
      <c r="Q751" s="152"/>
      <c r="R751" s="152"/>
      <c r="S751" s="152"/>
      <c r="T751" s="152"/>
      <c r="U751" s="152"/>
      <c r="V751" s="152"/>
      <c r="W751" s="152"/>
      <c r="X751" s="152"/>
      <c r="Y751" s="152"/>
      <c r="Z751" s="281"/>
      <c r="AA751" s="281"/>
      <c r="AB751" s="281"/>
      <c r="AC751" s="281"/>
      <c r="AD751" s="281"/>
      <c r="AE751" s="281"/>
      <c r="AF751" s="282"/>
      <c r="AG751" s="170"/>
      <c r="AH751" s="152"/>
      <c r="AI751" s="152"/>
      <c r="AJ751" s="152"/>
      <c r="AK751" s="152"/>
      <c r="AL751" s="152"/>
      <c r="AM751" s="152"/>
      <c r="AN751" s="152"/>
      <c r="AO751" s="152"/>
      <c r="AP751" s="152"/>
      <c r="AQ751" s="152"/>
      <c r="AR751" s="152"/>
    </row>
    <row r="752" ht="12.75" customHeight="1">
      <c r="A752" s="288"/>
      <c r="B752" s="288"/>
      <c r="C752" s="288"/>
      <c r="D752" s="152"/>
      <c r="E752" s="289"/>
      <c r="F752" s="289"/>
      <c r="G752" s="152"/>
      <c r="H752" s="152"/>
      <c r="I752" s="152"/>
      <c r="J752" s="152"/>
      <c r="K752" s="289"/>
      <c r="L752" s="289"/>
      <c r="M752" s="152"/>
      <c r="N752" s="152"/>
      <c r="O752" s="156"/>
      <c r="P752" s="152"/>
      <c r="Q752" s="152"/>
      <c r="R752" s="152"/>
      <c r="S752" s="152"/>
      <c r="T752" s="152"/>
      <c r="U752" s="152"/>
      <c r="V752" s="152"/>
      <c r="W752" s="152"/>
      <c r="X752" s="152"/>
      <c r="Y752" s="152"/>
      <c r="Z752" s="281"/>
      <c r="AA752" s="281"/>
      <c r="AB752" s="281"/>
      <c r="AC752" s="281"/>
      <c r="AD752" s="281"/>
      <c r="AE752" s="281"/>
      <c r="AF752" s="282"/>
      <c r="AG752" s="170"/>
      <c r="AH752" s="152"/>
      <c r="AI752" s="152"/>
      <c r="AJ752" s="152"/>
      <c r="AK752" s="152"/>
      <c r="AL752" s="152"/>
      <c r="AM752" s="152"/>
      <c r="AN752" s="152"/>
      <c r="AO752" s="152"/>
      <c r="AP752" s="152"/>
      <c r="AQ752" s="152"/>
      <c r="AR752" s="152"/>
    </row>
    <row r="753" ht="12.75" customHeight="1">
      <c r="A753" s="288"/>
      <c r="B753" s="288"/>
      <c r="C753" s="288"/>
      <c r="D753" s="152"/>
      <c r="E753" s="289"/>
      <c r="F753" s="289"/>
      <c r="G753" s="152"/>
      <c r="H753" s="152"/>
      <c r="I753" s="152"/>
      <c r="J753" s="152"/>
      <c r="K753" s="289"/>
      <c r="L753" s="289"/>
      <c r="M753" s="152"/>
      <c r="N753" s="152"/>
      <c r="O753" s="156"/>
      <c r="P753" s="152"/>
      <c r="Q753" s="152"/>
      <c r="R753" s="152"/>
      <c r="S753" s="152"/>
      <c r="T753" s="152"/>
      <c r="U753" s="152"/>
      <c r="V753" s="152"/>
      <c r="W753" s="152"/>
      <c r="X753" s="152"/>
      <c r="Y753" s="152"/>
      <c r="Z753" s="281"/>
      <c r="AA753" s="281"/>
      <c r="AB753" s="281"/>
      <c r="AC753" s="281"/>
      <c r="AD753" s="281"/>
      <c r="AE753" s="281"/>
      <c r="AF753" s="282"/>
      <c r="AG753" s="170"/>
      <c r="AH753" s="152"/>
      <c r="AI753" s="152"/>
      <c r="AJ753" s="152"/>
      <c r="AK753" s="152"/>
      <c r="AL753" s="152"/>
      <c r="AM753" s="152"/>
      <c r="AN753" s="152"/>
      <c r="AO753" s="152"/>
      <c r="AP753" s="152"/>
      <c r="AQ753" s="152"/>
      <c r="AR753" s="152"/>
    </row>
    <row r="754" ht="12.75" customHeight="1">
      <c r="A754" s="288"/>
      <c r="B754" s="288"/>
      <c r="C754" s="288"/>
      <c r="D754" s="152"/>
      <c r="E754" s="289"/>
      <c r="F754" s="289"/>
      <c r="G754" s="152"/>
      <c r="H754" s="152"/>
      <c r="I754" s="152"/>
      <c r="J754" s="152"/>
      <c r="K754" s="289"/>
      <c r="L754" s="289"/>
      <c r="M754" s="152"/>
      <c r="N754" s="152"/>
      <c r="O754" s="156"/>
      <c r="P754" s="152"/>
      <c r="Q754" s="152"/>
      <c r="R754" s="152"/>
      <c r="S754" s="152"/>
      <c r="T754" s="152"/>
      <c r="U754" s="152"/>
      <c r="V754" s="152"/>
      <c r="W754" s="152"/>
      <c r="X754" s="152"/>
      <c r="Y754" s="152"/>
      <c r="Z754" s="281"/>
      <c r="AA754" s="281"/>
      <c r="AB754" s="281"/>
      <c r="AC754" s="281"/>
      <c r="AD754" s="281"/>
      <c r="AE754" s="281"/>
      <c r="AF754" s="282"/>
      <c r="AG754" s="170"/>
      <c r="AH754" s="152"/>
      <c r="AI754" s="152"/>
      <c r="AJ754" s="152"/>
      <c r="AK754" s="152"/>
      <c r="AL754" s="152"/>
      <c r="AM754" s="152"/>
      <c r="AN754" s="152"/>
      <c r="AO754" s="152"/>
      <c r="AP754" s="152"/>
      <c r="AQ754" s="152"/>
      <c r="AR754" s="152"/>
    </row>
    <row r="755" ht="12.75" customHeight="1">
      <c r="A755" s="288"/>
      <c r="B755" s="288"/>
      <c r="C755" s="288"/>
      <c r="D755" s="152"/>
      <c r="E755" s="289"/>
      <c r="F755" s="289"/>
      <c r="G755" s="152"/>
      <c r="H755" s="152"/>
      <c r="I755" s="152"/>
      <c r="J755" s="152"/>
      <c r="K755" s="289"/>
      <c r="L755" s="289"/>
      <c r="M755" s="152"/>
      <c r="N755" s="152"/>
      <c r="O755" s="156"/>
      <c r="P755" s="152"/>
      <c r="Q755" s="152"/>
      <c r="R755" s="152"/>
      <c r="S755" s="152"/>
      <c r="T755" s="152"/>
      <c r="U755" s="152"/>
      <c r="V755" s="152"/>
      <c r="W755" s="152"/>
      <c r="X755" s="152"/>
      <c r="Y755" s="152"/>
      <c r="Z755" s="281"/>
      <c r="AA755" s="281"/>
      <c r="AB755" s="281"/>
      <c r="AC755" s="281"/>
      <c r="AD755" s="281"/>
      <c r="AE755" s="281"/>
      <c r="AF755" s="282"/>
      <c r="AG755" s="170"/>
      <c r="AH755" s="152"/>
      <c r="AI755" s="152"/>
      <c r="AJ755" s="152"/>
      <c r="AK755" s="152"/>
      <c r="AL755" s="152"/>
      <c r="AM755" s="152"/>
      <c r="AN755" s="152"/>
      <c r="AO755" s="152"/>
      <c r="AP755" s="152"/>
      <c r="AQ755" s="152"/>
      <c r="AR755" s="152"/>
    </row>
    <row r="756" ht="12.75" customHeight="1">
      <c r="A756" s="288"/>
      <c r="B756" s="288"/>
      <c r="C756" s="288"/>
      <c r="D756" s="152"/>
      <c r="E756" s="289"/>
      <c r="F756" s="289"/>
      <c r="G756" s="152"/>
      <c r="H756" s="152"/>
      <c r="I756" s="152"/>
      <c r="J756" s="152"/>
      <c r="K756" s="289"/>
      <c r="L756" s="289"/>
      <c r="M756" s="152"/>
      <c r="N756" s="152"/>
      <c r="O756" s="156"/>
      <c r="P756" s="152"/>
      <c r="Q756" s="152"/>
      <c r="R756" s="152"/>
      <c r="S756" s="152"/>
      <c r="T756" s="152"/>
      <c r="U756" s="152"/>
      <c r="V756" s="152"/>
      <c r="W756" s="152"/>
      <c r="X756" s="152"/>
      <c r="Y756" s="152"/>
      <c r="Z756" s="281"/>
      <c r="AA756" s="281"/>
      <c r="AB756" s="281"/>
      <c r="AC756" s="281"/>
      <c r="AD756" s="281"/>
      <c r="AE756" s="281"/>
      <c r="AF756" s="282"/>
      <c r="AG756" s="170"/>
      <c r="AH756" s="152"/>
      <c r="AI756" s="152"/>
      <c r="AJ756" s="152"/>
      <c r="AK756" s="152"/>
      <c r="AL756" s="152"/>
      <c r="AM756" s="152"/>
      <c r="AN756" s="152"/>
      <c r="AO756" s="152"/>
      <c r="AP756" s="152"/>
      <c r="AQ756" s="152"/>
      <c r="AR756" s="152"/>
    </row>
    <row r="757" ht="12.75" customHeight="1">
      <c r="A757" s="288"/>
      <c r="B757" s="288"/>
      <c r="C757" s="288"/>
      <c r="D757" s="152"/>
      <c r="E757" s="289"/>
      <c r="F757" s="289"/>
      <c r="G757" s="152"/>
      <c r="H757" s="152"/>
      <c r="I757" s="152"/>
      <c r="J757" s="152"/>
      <c r="K757" s="289"/>
      <c r="L757" s="289"/>
      <c r="M757" s="152"/>
      <c r="N757" s="152"/>
      <c r="O757" s="156"/>
      <c r="P757" s="152"/>
      <c r="Q757" s="152"/>
      <c r="R757" s="152"/>
      <c r="S757" s="152"/>
      <c r="T757" s="152"/>
      <c r="U757" s="152"/>
      <c r="V757" s="152"/>
      <c r="W757" s="152"/>
      <c r="X757" s="152"/>
      <c r="Y757" s="152"/>
      <c r="Z757" s="281"/>
      <c r="AA757" s="281"/>
      <c r="AB757" s="281"/>
      <c r="AC757" s="281"/>
      <c r="AD757" s="281"/>
      <c r="AE757" s="281"/>
      <c r="AF757" s="282"/>
      <c r="AG757" s="170"/>
      <c r="AH757" s="152"/>
      <c r="AI757" s="152"/>
      <c r="AJ757" s="152"/>
      <c r="AK757" s="152"/>
      <c r="AL757" s="152"/>
      <c r="AM757" s="152"/>
      <c r="AN757" s="152"/>
      <c r="AO757" s="152"/>
      <c r="AP757" s="152"/>
      <c r="AQ757" s="152"/>
      <c r="AR757" s="152"/>
    </row>
    <row r="758" ht="12.75" customHeight="1">
      <c r="A758" s="288"/>
      <c r="B758" s="288"/>
      <c r="C758" s="288"/>
      <c r="D758" s="152"/>
      <c r="E758" s="289"/>
      <c r="F758" s="289"/>
      <c r="G758" s="152"/>
      <c r="H758" s="152"/>
      <c r="I758" s="152"/>
      <c r="J758" s="152"/>
      <c r="K758" s="289"/>
      <c r="L758" s="289"/>
      <c r="M758" s="152"/>
      <c r="N758" s="152"/>
      <c r="O758" s="156"/>
      <c r="P758" s="152"/>
      <c r="Q758" s="152"/>
      <c r="R758" s="152"/>
      <c r="S758" s="152"/>
      <c r="T758" s="152"/>
      <c r="U758" s="152"/>
      <c r="V758" s="152"/>
      <c r="W758" s="152"/>
      <c r="X758" s="152"/>
      <c r="Y758" s="152"/>
      <c r="Z758" s="281"/>
      <c r="AA758" s="281"/>
      <c r="AB758" s="281"/>
      <c r="AC758" s="281"/>
      <c r="AD758" s="281"/>
      <c r="AE758" s="281"/>
      <c r="AF758" s="282"/>
      <c r="AG758" s="170"/>
      <c r="AH758" s="152"/>
      <c r="AI758" s="152"/>
      <c r="AJ758" s="152"/>
      <c r="AK758" s="152"/>
      <c r="AL758" s="152"/>
      <c r="AM758" s="152"/>
      <c r="AN758" s="152"/>
      <c r="AO758" s="152"/>
      <c r="AP758" s="152"/>
      <c r="AQ758" s="152"/>
      <c r="AR758" s="152"/>
    </row>
    <row r="759" ht="12.75" customHeight="1">
      <c r="A759" s="288"/>
      <c r="B759" s="288"/>
      <c r="C759" s="288"/>
      <c r="D759" s="152"/>
      <c r="E759" s="289"/>
      <c r="F759" s="289"/>
      <c r="G759" s="152"/>
      <c r="H759" s="152"/>
      <c r="I759" s="152"/>
      <c r="J759" s="152"/>
      <c r="K759" s="289"/>
      <c r="L759" s="289"/>
      <c r="M759" s="152"/>
      <c r="N759" s="152"/>
      <c r="O759" s="156"/>
      <c r="P759" s="152"/>
      <c r="Q759" s="152"/>
      <c r="R759" s="152"/>
      <c r="S759" s="152"/>
      <c r="T759" s="152"/>
      <c r="U759" s="152"/>
      <c r="V759" s="152"/>
      <c r="W759" s="152"/>
      <c r="X759" s="152"/>
      <c r="Y759" s="152"/>
      <c r="Z759" s="281"/>
      <c r="AA759" s="281"/>
      <c r="AB759" s="281"/>
      <c r="AC759" s="281"/>
      <c r="AD759" s="281"/>
      <c r="AE759" s="281"/>
      <c r="AF759" s="282"/>
      <c r="AG759" s="170"/>
      <c r="AH759" s="152"/>
      <c r="AI759" s="152"/>
      <c r="AJ759" s="152"/>
      <c r="AK759" s="152"/>
      <c r="AL759" s="152"/>
      <c r="AM759" s="152"/>
      <c r="AN759" s="152"/>
      <c r="AO759" s="152"/>
      <c r="AP759" s="152"/>
      <c r="AQ759" s="152"/>
      <c r="AR759" s="152"/>
    </row>
    <row r="760" ht="12.75" customHeight="1">
      <c r="A760" s="288"/>
      <c r="B760" s="288"/>
      <c r="C760" s="288"/>
      <c r="D760" s="152"/>
      <c r="E760" s="289"/>
      <c r="F760" s="289"/>
      <c r="G760" s="152"/>
      <c r="H760" s="152"/>
      <c r="I760" s="152"/>
      <c r="J760" s="152"/>
      <c r="K760" s="289"/>
      <c r="L760" s="289"/>
      <c r="M760" s="152"/>
      <c r="N760" s="152"/>
      <c r="O760" s="156"/>
      <c r="P760" s="152"/>
      <c r="Q760" s="152"/>
      <c r="R760" s="152"/>
      <c r="S760" s="152"/>
      <c r="T760" s="152"/>
      <c r="U760" s="152"/>
      <c r="V760" s="152"/>
      <c r="W760" s="152"/>
      <c r="X760" s="152"/>
      <c r="Y760" s="152"/>
      <c r="Z760" s="281"/>
      <c r="AA760" s="281"/>
      <c r="AB760" s="281"/>
      <c r="AC760" s="281"/>
      <c r="AD760" s="281"/>
      <c r="AE760" s="281"/>
      <c r="AF760" s="282"/>
      <c r="AG760" s="170"/>
      <c r="AH760" s="152"/>
      <c r="AI760" s="152"/>
      <c r="AJ760" s="152"/>
      <c r="AK760" s="152"/>
      <c r="AL760" s="152"/>
      <c r="AM760" s="152"/>
      <c r="AN760" s="152"/>
      <c r="AO760" s="152"/>
      <c r="AP760" s="152"/>
      <c r="AQ760" s="152"/>
      <c r="AR760" s="152"/>
    </row>
    <row r="761" ht="12.75" customHeight="1">
      <c r="A761" s="288"/>
      <c r="B761" s="288"/>
      <c r="C761" s="288"/>
      <c r="D761" s="152"/>
      <c r="E761" s="289"/>
      <c r="F761" s="289"/>
      <c r="G761" s="152"/>
      <c r="H761" s="152"/>
      <c r="I761" s="152"/>
      <c r="J761" s="152"/>
      <c r="K761" s="289"/>
      <c r="L761" s="289"/>
      <c r="M761" s="152"/>
      <c r="N761" s="152"/>
      <c r="O761" s="156"/>
      <c r="P761" s="152"/>
      <c r="Q761" s="152"/>
      <c r="R761" s="152"/>
      <c r="S761" s="152"/>
      <c r="T761" s="152"/>
      <c r="U761" s="152"/>
      <c r="V761" s="152"/>
      <c r="W761" s="152"/>
      <c r="X761" s="152"/>
      <c r="Y761" s="152"/>
      <c r="Z761" s="281"/>
      <c r="AA761" s="281"/>
      <c r="AB761" s="281"/>
      <c r="AC761" s="281"/>
      <c r="AD761" s="281"/>
      <c r="AE761" s="281"/>
      <c r="AF761" s="282"/>
      <c r="AG761" s="170"/>
      <c r="AH761" s="152"/>
      <c r="AI761" s="152"/>
      <c r="AJ761" s="152"/>
      <c r="AK761" s="152"/>
      <c r="AL761" s="152"/>
      <c r="AM761" s="152"/>
      <c r="AN761" s="152"/>
      <c r="AO761" s="152"/>
      <c r="AP761" s="152"/>
      <c r="AQ761" s="152"/>
      <c r="AR761" s="152"/>
    </row>
    <row r="762" ht="12.75" customHeight="1">
      <c r="A762" s="288"/>
      <c r="B762" s="288"/>
      <c r="C762" s="288"/>
      <c r="D762" s="152"/>
      <c r="E762" s="289"/>
      <c r="F762" s="289"/>
      <c r="G762" s="152"/>
      <c r="H762" s="152"/>
      <c r="I762" s="152"/>
      <c r="J762" s="152"/>
      <c r="K762" s="289"/>
      <c r="L762" s="289"/>
      <c r="M762" s="152"/>
      <c r="N762" s="152"/>
      <c r="O762" s="156"/>
      <c r="P762" s="152"/>
      <c r="Q762" s="152"/>
      <c r="R762" s="152"/>
      <c r="S762" s="152"/>
      <c r="T762" s="152"/>
      <c r="U762" s="152"/>
      <c r="V762" s="152"/>
      <c r="W762" s="152"/>
      <c r="X762" s="152"/>
      <c r="Y762" s="152"/>
      <c r="Z762" s="281"/>
      <c r="AA762" s="281"/>
      <c r="AB762" s="281"/>
      <c r="AC762" s="281"/>
      <c r="AD762" s="281"/>
      <c r="AE762" s="281"/>
      <c r="AF762" s="282"/>
      <c r="AG762" s="170"/>
      <c r="AH762" s="152"/>
      <c r="AI762" s="152"/>
      <c r="AJ762" s="152"/>
      <c r="AK762" s="152"/>
      <c r="AL762" s="152"/>
      <c r="AM762" s="152"/>
      <c r="AN762" s="152"/>
      <c r="AO762" s="152"/>
      <c r="AP762" s="152"/>
      <c r="AQ762" s="152"/>
      <c r="AR762" s="152"/>
    </row>
    <row r="763" ht="12.75" customHeight="1">
      <c r="A763" s="288"/>
      <c r="B763" s="288"/>
      <c r="C763" s="288"/>
      <c r="D763" s="152"/>
      <c r="E763" s="289"/>
      <c r="F763" s="289"/>
      <c r="G763" s="152"/>
      <c r="H763" s="152"/>
      <c r="I763" s="152"/>
      <c r="J763" s="152"/>
      <c r="K763" s="289"/>
      <c r="L763" s="289"/>
      <c r="M763" s="152"/>
      <c r="N763" s="152"/>
      <c r="O763" s="156"/>
      <c r="P763" s="152"/>
      <c r="Q763" s="152"/>
      <c r="R763" s="152"/>
      <c r="S763" s="152"/>
      <c r="T763" s="152"/>
      <c r="U763" s="152"/>
      <c r="V763" s="152"/>
      <c r="W763" s="152"/>
      <c r="X763" s="152"/>
      <c r="Y763" s="152"/>
      <c r="Z763" s="281"/>
      <c r="AA763" s="281"/>
      <c r="AB763" s="281"/>
      <c r="AC763" s="281"/>
      <c r="AD763" s="281"/>
      <c r="AE763" s="281"/>
      <c r="AF763" s="282"/>
      <c r="AG763" s="170"/>
      <c r="AH763" s="152"/>
      <c r="AI763" s="152"/>
      <c r="AJ763" s="152"/>
      <c r="AK763" s="152"/>
      <c r="AL763" s="152"/>
      <c r="AM763" s="152"/>
      <c r="AN763" s="152"/>
      <c r="AO763" s="152"/>
      <c r="AP763" s="152"/>
      <c r="AQ763" s="152"/>
      <c r="AR763" s="152"/>
    </row>
    <row r="764" ht="12.75" customHeight="1">
      <c r="A764" s="288"/>
      <c r="B764" s="288"/>
      <c r="C764" s="288"/>
      <c r="D764" s="152"/>
      <c r="E764" s="289"/>
      <c r="F764" s="289"/>
      <c r="G764" s="152"/>
      <c r="H764" s="152"/>
      <c r="I764" s="152"/>
      <c r="J764" s="152"/>
      <c r="K764" s="289"/>
      <c r="L764" s="289"/>
      <c r="M764" s="152"/>
      <c r="N764" s="152"/>
      <c r="O764" s="156"/>
      <c r="P764" s="152"/>
      <c r="Q764" s="152"/>
      <c r="R764" s="152"/>
      <c r="S764" s="152"/>
      <c r="T764" s="152"/>
      <c r="U764" s="152"/>
      <c r="V764" s="152"/>
      <c r="W764" s="152"/>
      <c r="X764" s="152"/>
      <c r="Y764" s="152"/>
      <c r="Z764" s="281"/>
      <c r="AA764" s="281"/>
      <c r="AB764" s="281"/>
      <c r="AC764" s="281"/>
      <c r="AD764" s="281"/>
      <c r="AE764" s="281"/>
      <c r="AF764" s="282"/>
      <c r="AG764" s="170"/>
      <c r="AH764" s="152"/>
      <c r="AI764" s="152"/>
      <c r="AJ764" s="152"/>
      <c r="AK764" s="152"/>
      <c r="AL764" s="152"/>
      <c r="AM764" s="152"/>
      <c r="AN764" s="152"/>
      <c r="AO764" s="152"/>
      <c r="AP764" s="152"/>
      <c r="AQ764" s="152"/>
      <c r="AR764" s="152"/>
    </row>
    <row r="765" ht="12.75" customHeight="1">
      <c r="A765" s="288"/>
      <c r="B765" s="288"/>
      <c r="C765" s="288"/>
      <c r="D765" s="152"/>
      <c r="E765" s="289"/>
      <c r="F765" s="289"/>
      <c r="G765" s="152"/>
      <c r="H765" s="152"/>
      <c r="I765" s="152"/>
      <c r="J765" s="152"/>
      <c r="K765" s="289"/>
      <c r="L765" s="289"/>
      <c r="M765" s="152"/>
      <c r="N765" s="152"/>
      <c r="O765" s="156"/>
      <c r="P765" s="152"/>
      <c r="Q765" s="152"/>
      <c r="R765" s="152"/>
      <c r="S765" s="152"/>
      <c r="T765" s="152"/>
      <c r="U765" s="152"/>
      <c r="V765" s="152"/>
      <c r="W765" s="152"/>
      <c r="X765" s="152"/>
      <c r="Y765" s="152"/>
      <c r="Z765" s="281"/>
      <c r="AA765" s="281"/>
      <c r="AB765" s="281"/>
      <c r="AC765" s="281"/>
      <c r="AD765" s="281"/>
      <c r="AE765" s="281"/>
      <c r="AF765" s="282"/>
      <c r="AG765" s="170"/>
      <c r="AH765" s="152"/>
      <c r="AI765" s="152"/>
      <c r="AJ765" s="152"/>
      <c r="AK765" s="152"/>
      <c r="AL765" s="152"/>
      <c r="AM765" s="152"/>
      <c r="AN765" s="152"/>
      <c r="AO765" s="152"/>
      <c r="AP765" s="152"/>
      <c r="AQ765" s="152"/>
      <c r="AR765" s="152"/>
    </row>
    <row r="766" ht="12.75" customHeight="1">
      <c r="A766" s="288"/>
      <c r="B766" s="288"/>
      <c r="C766" s="288"/>
      <c r="D766" s="152"/>
      <c r="E766" s="289"/>
      <c r="F766" s="289"/>
      <c r="G766" s="152"/>
      <c r="H766" s="152"/>
      <c r="I766" s="152"/>
      <c r="J766" s="152"/>
      <c r="K766" s="289"/>
      <c r="L766" s="289"/>
      <c r="M766" s="152"/>
      <c r="N766" s="152"/>
      <c r="O766" s="156"/>
      <c r="P766" s="152"/>
      <c r="Q766" s="152"/>
      <c r="R766" s="152"/>
      <c r="S766" s="152"/>
      <c r="T766" s="152"/>
      <c r="U766" s="152"/>
      <c r="V766" s="152"/>
      <c r="W766" s="152"/>
      <c r="X766" s="152"/>
      <c r="Y766" s="152"/>
      <c r="Z766" s="281"/>
      <c r="AA766" s="281"/>
      <c r="AB766" s="281"/>
      <c r="AC766" s="281"/>
      <c r="AD766" s="281"/>
      <c r="AE766" s="281"/>
      <c r="AF766" s="282"/>
      <c r="AG766" s="170"/>
      <c r="AH766" s="152"/>
      <c r="AI766" s="152"/>
      <c r="AJ766" s="152"/>
      <c r="AK766" s="152"/>
      <c r="AL766" s="152"/>
      <c r="AM766" s="152"/>
      <c r="AN766" s="152"/>
      <c r="AO766" s="152"/>
      <c r="AP766" s="152"/>
      <c r="AQ766" s="152"/>
      <c r="AR766" s="152"/>
    </row>
    <row r="767" ht="12.75" customHeight="1">
      <c r="A767" s="288"/>
      <c r="B767" s="288"/>
      <c r="C767" s="288"/>
      <c r="D767" s="152"/>
      <c r="E767" s="289"/>
      <c r="F767" s="289"/>
      <c r="G767" s="152"/>
      <c r="H767" s="152"/>
      <c r="I767" s="152"/>
      <c r="J767" s="152"/>
      <c r="K767" s="289"/>
      <c r="L767" s="289"/>
      <c r="M767" s="152"/>
      <c r="N767" s="152"/>
      <c r="O767" s="156"/>
      <c r="P767" s="152"/>
      <c r="Q767" s="152"/>
      <c r="R767" s="152"/>
      <c r="S767" s="152"/>
      <c r="T767" s="152"/>
      <c r="U767" s="152"/>
      <c r="V767" s="152"/>
      <c r="W767" s="152"/>
      <c r="X767" s="152"/>
      <c r="Y767" s="152"/>
      <c r="Z767" s="281"/>
      <c r="AA767" s="281"/>
      <c r="AB767" s="281"/>
      <c r="AC767" s="281"/>
      <c r="AD767" s="281"/>
      <c r="AE767" s="281"/>
      <c r="AF767" s="282"/>
      <c r="AG767" s="170"/>
      <c r="AH767" s="152"/>
      <c r="AI767" s="152"/>
      <c r="AJ767" s="152"/>
      <c r="AK767" s="152"/>
      <c r="AL767" s="152"/>
      <c r="AM767" s="152"/>
      <c r="AN767" s="152"/>
      <c r="AO767" s="152"/>
      <c r="AP767" s="152"/>
      <c r="AQ767" s="152"/>
      <c r="AR767" s="152"/>
    </row>
    <row r="768" ht="12.75" customHeight="1">
      <c r="A768" s="288"/>
      <c r="B768" s="288"/>
      <c r="C768" s="288"/>
      <c r="D768" s="152"/>
      <c r="E768" s="289"/>
      <c r="F768" s="289"/>
      <c r="G768" s="152"/>
      <c r="H768" s="152"/>
      <c r="I768" s="152"/>
      <c r="J768" s="152"/>
      <c r="K768" s="289"/>
      <c r="L768" s="289"/>
      <c r="M768" s="152"/>
      <c r="N768" s="152"/>
      <c r="O768" s="156"/>
      <c r="P768" s="152"/>
      <c r="Q768" s="152"/>
      <c r="R768" s="152"/>
      <c r="S768" s="152"/>
      <c r="T768" s="152"/>
      <c r="U768" s="152"/>
      <c r="V768" s="152"/>
      <c r="W768" s="152"/>
      <c r="X768" s="152"/>
      <c r="Y768" s="152"/>
      <c r="Z768" s="281"/>
      <c r="AA768" s="281"/>
      <c r="AB768" s="281"/>
      <c r="AC768" s="281"/>
      <c r="AD768" s="281"/>
      <c r="AE768" s="281"/>
      <c r="AF768" s="282"/>
      <c r="AG768" s="170"/>
      <c r="AH768" s="152"/>
      <c r="AI768" s="152"/>
      <c r="AJ768" s="152"/>
      <c r="AK768" s="152"/>
      <c r="AL768" s="152"/>
      <c r="AM768" s="152"/>
      <c r="AN768" s="152"/>
      <c r="AO768" s="152"/>
      <c r="AP768" s="152"/>
      <c r="AQ768" s="152"/>
      <c r="AR768" s="152"/>
    </row>
    <row r="769" ht="12.75" customHeight="1">
      <c r="A769" s="288"/>
      <c r="B769" s="288"/>
      <c r="C769" s="288"/>
      <c r="D769" s="152"/>
      <c r="E769" s="289"/>
      <c r="F769" s="289"/>
      <c r="G769" s="152"/>
      <c r="H769" s="152"/>
      <c r="I769" s="152"/>
      <c r="J769" s="152"/>
      <c r="K769" s="289"/>
      <c r="L769" s="289"/>
      <c r="M769" s="152"/>
      <c r="N769" s="152"/>
      <c r="O769" s="156"/>
      <c r="P769" s="152"/>
      <c r="Q769" s="152"/>
      <c r="R769" s="152"/>
      <c r="S769" s="152"/>
      <c r="T769" s="152"/>
      <c r="U769" s="152"/>
      <c r="V769" s="152"/>
      <c r="W769" s="152"/>
      <c r="X769" s="152"/>
      <c r="Y769" s="152"/>
      <c r="Z769" s="281"/>
      <c r="AA769" s="281"/>
      <c r="AB769" s="281"/>
      <c r="AC769" s="281"/>
      <c r="AD769" s="281"/>
      <c r="AE769" s="281"/>
      <c r="AF769" s="282"/>
      <c r="AG769" s="170"/>
      <c r="AH769" s="152"/>
      <c r="AI769" s="152"/>
      <c r="AJ769" s="152"/>
      <c r="AK769" s="152"/>
      <c r="AL769" s="152"/>
      <c r="AM769" s="152"/>
      <c r="AN769" s="152"/>
      <c r="AO769" s="152"/>
      <c r="AP769" s="152"/>
      <c r="AQ769" s="152"/>
      <c r="AR769" s="152"/>
    </row>
    <row r="770" ht="12.75" customHeight="1">
      <c r="A770" s="288"/>
      <c r="B770" s="288"/>
      <c r="C770" s="288"/>
      <c r="D770" s="152"/>
      <c r="E770" s="289"/>
      <c r="F770" s="289"/>
      <c r="G770" s="152"/>
      <c r="H770" s="152"/>
      <c r="I770" s="152"/>
      <c r="J770" s="152"/>
      <c r="K770" s="289"/>
      <c r="L770" s="289"/>
      <c r="M770" s="152"/>
      <c r="N770" s="152"/>
      <c r="O770" s="156"/>
      <c r="P770" s="152"/>
      <c r="Q770" s="152"/>
      <c r="R770" s="152"/>
      <c r="S770" s="152"/>
      <c r="T770" s="152"/>
      <c r="U770" s="152"/>
      <c r="V770" s="152"/>
      <c r="W770" s="152"/>
      <c r="X770" s="152"/>
      <c r="Y770" s="152"/>
      <c r="Z770" s="281"/>
      <c r="AA770" s="281"/>
      <c r="AB770" s="281"/>
      <c r="AC770" s="281"/>
      <c r="AD770" s="281"/>
      <c r="AE770" s="281"/>
      <c r="AF770" s="282"/>
      <c r="AG770" s="170"/>
      <c r="AH770" s="152"/>
      <c r="AI770" s="152"/>
      <c r="AJ770" s="152"/>
      <c r="AK770" s="152"/>
      <c r="AL770" s="152"/>
      <c r="AM770" s="152"/>
      <c r="AN770" s="152"/>
      <c r="AO770" s="152"/>
      <c r="AP770" s="152"/>
      <c r="AQ770" s="152"/>
      <c r="AR770" s="152"/>
    </row>
    <row r="771" ht="12.75" customHeight="1">
      <c r="A771" s="288"/>
      <c r="B771" s="288"/>
      <c r="C771" s="288"/>
      <c r="D771" s="152"/>
      <c r="E771" s="289"/>
      <c r="F771" s="289"/>
      <c r="G771" s="152"/>
      <c r="H771" s="152"/>
      <c r="I771" s="152"/>
      <c r="J771" s="152"/>
      <c r="K771" s="289"/>
      <c r="L771" s="289"/>
      <c r="M771" s="152"/>
      <c r="N771" s="152"/>
      <c r="O771" s="156"/>
      <c r="P771" s="152"/>
      <c r="Q771" s="152"/>
      <c r="R771" s="152"/>
      <c r="S771" s="152"/>
      <c r="T771" s="152"/>
      <c r="U771" s="152"/>
      <c r="V771" s="152"/>
      <c r="W771" s="152"/>
      <c r="X771" s="152"/>
      <c r="Y771" s="152"/>
      <c r="Z771" s="281"/>
      <c r="AA771" s="281"/>
      <c r="AB771" s="281"/>
      <c r="AC771" s="281"/>
      <c r="AD771" s="281"/>
      <c r="AE771" s="281"/>
      <c r="AF771" s="282"/>
      <c r="AG771" s="170"/>
      <c r="AH771" s="152"/>
      <c r="AI771" s="152"/>
      <c r="AJ771" s="152"/>
      <c r="AK771" s="152"/>
      <c r="AL771" s="152"/>
      <c r="AM771" s="152"/>
      <c r="AN771" s="152"/>
      <c r="AO771" s="152"/>
      <c r="AP771" s="152"/>
      <c r="AQ771" s="152"/>
      <c r="AR771" s="152"/>
    </row>
    <row r="772" ht="12.75" customHeight="1">
      <c r="A772" s="288"/>
      <c r="B772" s="288"/>
      <c r="C772" s="288"/>
      <c r="D772" s="152"/>
      <c r="E772" s="289"/>
      <c r="F772" s="289"/>
      <c r="G772" s="152"/>
      <c r="H772" s="152"/>
      <c r="I772" s="152"/>
      <c r="J772" s="152"/>
      <c r="K772" s="289"/>
      <c r="L772" s="289"/>
      <c r="M772" s="152"/>
      <c r="N772" s="152"/>
      <c r="O772" s="156"/>
      <c r="P772" s="152"/>
      <c r="Q772" s="152"/>
      <c r="R772" s="152"/>
      <c r="S772" s="152"/>
      <c r="T772" s="152"/>
      <c r="U772" s="152"/>
      <c r="V772" s="152"/>
      <c r="W772" s="152"/>
      <c r="X772" s="152"/>
      <c r="Y772" s="152"/>
      <c r="Z772" s="281"/>
      <c r="AA772" s="281"/>
      <c r="AB772" s="281"/>
      <c r="AC772" s="281"/>
      <c r="AD772" s="281"/>
      <c r="AE772" s="281"/>
      <c r="AF772" s="282"/>
      <c r="AG772" s="170"/>
      <c r="AH772" s="152"/>
      <c r="AI772" s="152"/>
      <c r="AJ772" s="152"/>
      <c r="AK772" s="152"/>
      <c r="AL772" s="152"/>
      <c r="AM772" s="152"/>
      <c r="AN772" s="152"/>
      <c r="AO772" s="152"/>
      <c r="AP772" s="152"/>
      <c r="AQ772" s="152"/>
      <c r="AR772" s="152"/>
    </row>
    <row r="773" ht="12.75" customHeight="1">
      <c r="A773" s="288"/>
      <c r="B773" s="288"/>
      <c r="C773" s="288"/>
      <c r="D773" s="152"/>
      <c r="E773" s="289"/>
      <c r="F773" s="289"/>
      <c r="G773" s="152"/>
      <c r="H773" s="152"/>
      <c r="I773" s="152"/>
      <c r="J773" s="152"/>
      <c r="K773" s="289"/>
      <c r="L773" s="289"/>
      <c r="M773" s="152"/>
      <c r="N773" s="152"/>
      <c r="O773" s="156"/>
      <c r="P773" s="152"/>
      <c r="Q773" s="152"/>
      <c r="R773" s="152"/>
      <c r="S773" s="152"/>
      <c r="T773" s="152"/>
      <c r="U773" s="152"/>
      <c r="V773" s="152"/>
      <c r="W773" s="152"/>
      <c r="X773" s="152"/>
      <c r="Y773" s="152"/>
      <c r="Z773" s="281"/>
      <c r="AA773" s="281"/>
      <c r="AB773" s="281"/>
      <c r="AC773" s="281"/>
      <c r="AD773" s="281"/>
      <c r="AE773" s="281"/>
      <c r="AF773" s="282"/>
      <c r="AG773" s="170"/>
      <c r="AH773" s="152"/>
      <c r="AI773" s="152"/>
      <c r="AJ773" s="152"/>
      <c r="AK773" s="152"/>
      <c r="AL773" s="152"/>
      <c r="AM773" s="152"/>
      <c r="AN773" s="152"/>
      <c r="AO773" s="152"/>
      <c r="AP773" s="152"/>
      <c r="AQ773" s="152"/>
      <c r="AR773" s="152"/>
    </row>
    <row r="774" ht="12.75" customHeight="1">
      <c r="A774" s="288"/>
      <c r="B774" s="288"/>
      <c r="C774" s="288"/>
      <c r="D774" s="152"/>
      <c r="E774" s="289"/>
      <c r="F774" s="289"/>
      <c r="G774" s="152"/>
      <c r="H774" s="152"/>
      <c r="I774" s="152"/>
      <c r="J774" s="152"/>
      <c r="K774" s="289"/>
      <c r="L774" s="289"/>
      <c r="M774" s="152"/>
      <c r="N774" s="152"/>
      <c r="O774" s="156"/>
      <c r="P774" s="152"/>
      <c r="Q774" s="152"/>
      <c r="R774" s="152"/>
      <c r="S774" s="152"/>
      <c r="T774" s="152"/>
      <c r="U774" s="152"/>
      <c r="V774" s="152"/>
      <c r="W774" s="152"/>
      <c r="X774" s="152"/>
      <c r="Y774" s="152"/>
      <c r="Z774" s="281"/>
      <c r="AA774" s="281"/>
      <c r="AB774" s="281"/>
      <c r="AC774" s="281"/>
      <c r="AD774" s="281"/>
      <c r="AE774" s="281"/>
      <c r="AF774" s="282"/>
      <c r="AG774" s="170"/>
      <c r="AH774" s="152"/>
      <c r="AI774" s="152"/>
      <c r="AJ774" s="152"/>
      <c r="AK774" s="152"/>
      <c r="AL774" s="152"/>
      <c r="AM774" s="152"/>
      <c r="AN774" s="152"/>
      <c r="AO774" s="152"/>
      <c r="AP774" s="152"/>
      <c r="AQ774" s="152"/>
      <c r="AR774" s="152"/>
    </row>
    <row r="775" ht="12.75" customHeight="1">
      <c r="A775" s="288"/>
      <c r="B775" s="288"/>
      <c r="C775" s="288"/>
      <c r="D775" s="152"/>
      <c r="E775" s="289"/>
      <c r="F775" s="289"/>
      <c r="G775" s="152"/>
      <c r="H775" s="152"/>
      <c r="I775" s="152"/>
      <c r="J775" s="152"/>
      <c r="K775" s="289"/>
      <c r="L775" s="289"/>
      <c r="M775" s="152"/>
      <c r="N775" s="152"/>
      <c r="O775" s="156"/>
      <c r="P775" s="152"/>
      <c r="Q775" s="152"/>
      <c r="R775" s="152"/>
      <c r="S775" s="152"/>
      <c r="T775" s="152"/>
      <c r="U775" s="152"/>
      <c r="V775" s="152"/>
      <c r="W775" s="152"/>
      <c r="X775" s="152"/>
      <c r="Y775" s="152"/>
      <c r="Z775" s="281"/>
      <c r="AA775" s="281"/>
      <c r="AB775" s="281"/>
      <c r="AC775" s="281"/>
      <c r="AD775" s="281"/>
      <c r="AE775" s="281"/>
      <c r="AF775" s="282"/>
      <c r="AG775" s="170"/>
      <c r="AH775" s="152"/>
      <c r="AI775" s="152"/>
      <c r="AJ775" s="152"/>
      <c r="AK775" s="152"/>
      <c r="AL775" s="152"/>
      <c r="AM775" s="152"/>
      <c r="AN775" s="152"/>
      <c r="AO775" s="152"/>
      <c r="AP775" s="152"/>
      <c r="AQ775" s="152"/>
      <c r="AR775" s="152"/>
    </row>
    <row r="776" ht="12.75" customHeight="1">
      <c r="A776" s="288"/>
      <c r="B776" s="288"/>
      <c r="C776" s="288"/>
      <c r="D776" s="152"/>
      <c r="E776" s="289"/>
      <c r="F776" s="289"/>
      <c r="G776" s="152"/>
      <c r="H776" s="152"/>
      <c r="I776" s="152"/>
      <c r="J776" s="152"/>
      <c r="K776" s="289"/>
      <c r="L776" s="289"/>
      <c r="M776" s="152"/>
      <c r="N776" s="152"/>
      <c r="O776" s="156"/>
      <c r="P776" s="152"/>
      <c r="Q776" s="152"/>
      <c r="R776" s="152"/>
      <c r="S776" s="152"/>
      <c r="T776" s="152"/>
      <c r="U776" s="152"/>
      <c r="V776" s="152"/>
      <c r="W776" s="152"/>
      <c r="X776" s="152"/>
      <c r="Y776" s="152"/>
      <c r="Z776" s="281"/>
      <c r="AA776" s="281"/>
      <c r="AB776" s="281"/>
      <c r="AC776" s="281"/>
      <c r="AD776" s="281"/>
      <c r="AE776" s="281"/>
      <c r="AF776" s="282"/>
      <c r="AG776" s="170"/>
      <c r="AH776" s="152"/>
      <c r="AI776" s="152"/>
      <c r="AJ776" s="152"/>
      <c r="AK776" s="152"/>
      <c r="AL776" s="152"/>
      <c r="AM776" s="152"/>
      <c r="AN776" s="152"/>
      <c r="AO776" s="152"/>
      <c r="AP776" s="152"/>
      <c r="AQ776" s="152"/>
      <c r="AR776" s="152"/>
    </row>
    <row r="777" ht="12.75" customHeight="1">
      <c r="A777" s="288"/>
      <c r="B777" s="288"/>
      <c r="C777" s="288"/>
      <c r="D777" s="152"/>
      <c r="E777" s="289"/>
      <c r="F777" s="289"/>
      <c r="G777" s="152"/>
      <c r="H777" s="152"/>
      <c r="I777" s="152"/>
      <c r="J777" s="152"/>
      <c r="K777" s="289"/>
      <c r="L777" s="289"/>
      <c r="M777" s="152"/>
      <c r="N777" s="152"/>
      <c r="O777" s="156"/>
      <c r="P777" s="152"/>
      <c r="Q777" s="152"/>
      <c r="R777" s="152"/>
      <c r="S777" s="152"/>
      <c r="T777" s="152"/>
      <c r="U777" s="152"/>
      <c r="V777" s="152"/>
      <c r="W777" s="152"/>
      <c r="X777" s="152"/>
      <c r="Y777" s="152"/>
      <c r="Z777" s="281"/>
      <c r="AA777" s="281"/>
      <c r="AB777" s="281"/>
      <c r="AC777" s="281"/>
      <c r="AD777" s="281"/>
      <c r="AE777" s="281"/>
      <c r="AF777" s="282"/>
      <c r="AG777" s="170"/>
      <c r="AH777" s="152"/>
      <c r="AI777" s="152"/>
      <c r="AJ777" s="152"/>
      <c r="AK777" s="152"/>
      <c r="AL777" s="152"/>
      <c r="AM777" s="152"/>
      <c r="AN777" s="152"/>
      <c r="AO777" s="152"/>
      <c r="AP777" s="152"/>
      <c r="AQ777" s="152"/>
      <c r="AR777" s="152"/>
    </row>
    <row r="778" ht="12.75" customHeight="1">
      <c r="A778" s="288"/>
      <c r="B778" s="288"/>
      <c r="C778" s="288"/>
      <c r="D778" s="152"/>
      <c r="E778" s="289"/>
      <c r="F778" s="289"/>
      <c r="G778" s="152"/>
      <c r="H778" s="152"/>
      <c r="I778" s="152"/>
      <c r="J778" s="152"/>
      <c r="K778" s="289"/>
      <c r="L778" s="289"/>
      <c r="M778" s="152"/>
      <c r="N778" s="152"/>
      <c r="O778" s="156"/>
      <c r="P778" s="152"/>
      <c r="Q778" s="152"/>
      <c r="R778" s="152"/>
      <c r="S778" s="152"/>
      <c r="T778" s="152"/>
      <c r="U778" s="152"/>
      <c r="V778" s="152"/>
      <c r="W778" s="152"/>
      <c r="X778" s="152"/>
      <c r="Y778" s="152"/>
      <c r="Z778" s="281"/>
      <c r="AA778" s="281"/>
      <c r="AB778" s="281"/>
      <c r="AC778" s="281"/>
      <c r="AD778" s="281"/>
      <c r="AE778" s="281"/>
      <c r="AF778" s="282"/>
      <c r="AG778" s="170"/>
      <c r="AH778" s="152"/>
      <c r="AI778" s="152"/>
      <c r="AJ778" s="152"/>
      <c r="AK778" s="152"/>
      <c r="AL778" s="152"/>
      <c r="AM778" s="152"/>
      <c r="AN778" s="152"/>
      <c r="AO778" s="152"/>
      <c r="AP778" s="152"/>
      <c r="AQ778" s="152"/>
      <c r="AR778" s="152"/>
    </row>
    <row r="779" ht="12.75" customHeight="1">
      <c r="A779" s="288"/>
      <c r="B779" s="288"/>
      <c r="C779" s="288"/>
      <c r="D779" s="152"/>
      <c r="E779" s="289"/>
      <c r="F779" s="289"/>
      <c r="G779" s="152"/>
      <c r="H779" s="152"/>
      <c r="I779" s="152"/>
      <c r="J779" s="152"/>
      <c r="K779" s="289"/>
      <c r="L779" s="289"/>
      <c r="M779" s="152"/>
      <c r="N779" s="152"/>
      <c r="O779" s="156"/>
      <c r="P779" s="152"/>
      <c r="Q779" s="152"/>
      <c r="R779" s="152"/>
      <c r="S779" s="152"/>
      <c r="T779" s="152"/>
      <c r="U779" s="152"/>
      <c r="V779" s="152"/>
      <c r="W779" s="152"/>
      <c r="X779" s="152"/>
      <c r="Y779" s="152"/>
      <c r="Z779" s="281"/>
      <c r="AA779" s="281"/>
      <c r="AB779" s="281"/>
      <c r="AC779" s="281"/>
      <c r="AD779" s="281"/>
      <c r="AE779" s="281"/>
      <c r="AF779" s="282"/>
      <c r="AG779" s="170"/>
      <c r="AH779" s="152"/>
      <c r="AI779" s="152"/>
      <c r="AJ779" s="152"/>
      <c r="AK779" s="152"/>
      <c r="AL779" s="152"/>
      <c r="AM779" s="152"/>
      <c r="AN779" s="152"/>
      <c r="AO779" s="152"/>
      <c r="AP779" s="152"/>
      <c r="AQ779" s="152"/>
      <c r="AR779" s="152"/>
    </row>
    <row r="780" ht="12.75" customHeight="1">
      <c r="A780" s="288"/>
      <c r="B780" s="288"/>
      <c r="C780" s="288"/>
      <c r="D780" s="152"/>
      <c r="E780" s="289"/>
      <c r="F780" s="289"/>
      <c r="G780" s="152"/>
      <c r="H780" s="152"/>
      <c r="I780" s="152"/>
      <c r="J780" s="152"/>
      <c r="K780" s="289"/>
      <c r="L780" s="289"/>
      <c r="M780" s="152"/>
      <c r="N780" s="152"/>
      <c r="O780" s="156"/>
      <c r="P780" s="152"/>
      <c r="Q780" s="152"/>
      <c r="R780" s="152"/>
      <c r="S780" s="152"/>
      <c r="T780" s="152"/>
      <c r="U780" s="152"/>
      <c r="V780" s="152"/>
      <c r="W780" s="152"/>
      <c r="X780" s="152"/>
      <c r="Y780" s="152"/>
      <c r="Z780" s="281"/>
      <c r="AA780" s="281"/>
      <c r="AB780" s="281"/>
      <c r="AC780" s="281"/>
      <c r="AD780" s="281"/>
      <c r="AE780" s="281"/>
      <c r="AF780" s="282"/>
      <c r="AG780" s="170"/>
      <c r="AH780" s="152"/>
      <c r="AI780" s="152"/>
      <c r="AJ780" s="152"/>
      <c r="AK780" s="152"/>
      <c r="AL780" s="152"/>
      <c r="AM780" s="152"/>
      <c r="AN780" s="152"/>
      <c r="AO780" s="152"/>
      <c r="AP780" s="152"/>
      <c r="AQ780" s="152"/>
      <c r="AR780" s="152"/>
    </row>
    <row r="781" ht="12.75" customHeight="1">
      <c r="A781" s="288"/>
      <c r="B781" s="288"/>
      <c r="C781" s="288"/>
      <c r="D781" s="152"/>
      <c r="E781" s="289"/>
      <c r="F781" s="289"/>
      <c r="G781" s="152"/>
      <c r="H781" s="152"/>
      <c r="I781" s="152"/>
      <c r="J781" s="152"/>
      <c r="K781" s="289"/>
      <c r="L781" s="289"/>
      <c r="M781" s="152"/>
      <c r="N781" s="152"/>
      <c r="O781" s="156"/>
      <c r="P781" s="152"/>
      <c r="Q781" s="152"/>
      <c r="R781" s="152"/>
      <c r="S781" s="152"/>
      <c r="T781" s="152"/>
      <c r="U781" s="152"/>
      <c r="V781" s="152"/>
      <c r="W781" s="152"/>
      <c r="X781" s="152"/>
      <c r="Y781" s="152"/>
      <c r="Z781" s="281"/>
      <c r="AA781" s="281"/>
      <c r="AB781" s="281"/>
      <c r="AC781" s="281"/>
      <c r="AD781" s="281"/>
      <c r="AE781" s="281"/>
      <c r="AF781" s="282"/>
      <c r="AG781" s="170"/>
      <c r="AH781" s="152"/>
      <c r="AI781" s="152"/>
      <c r="AJ781" s="152"/>
      <c r="AK781" s="152"/>
      <c r="AL781" s="152"/>
      <c r="AM781" s="152"/>
      <c r="AN781" s="152"/>
      <c r="AO781" s="152"/>
      <c r="AP781" s="152"/>
      <c r="AQ781" s="152"/>
      <c r="AR781" s="152"/>
    </row>
    <row r="782" ht="12.75" customHeight="1">
      <c r="A782" s="288"/>
      <c r="B782" s="288"/>
      <c r="C782" s="288"/>
      <c r="D782" s="152"/>
      <c r="E782" s="289"/>
      <c r="F782" s="289"/>
      <c r="G782" s="152"/>
      <c r="H782" s="152"/>
      <c r="I782" s="152"/>
      <c r="J782" s="152"/>
      <c r="K782" s="289"/>
      <c r="L782" s="289"/>
      <c r="M782" s="152"/>
      <c r="N782" s="152"/>
      <c r="O782" s="156"/>
      <c r="P782" s="152"/>
      <c r="Q782" s="152"/>
      <c r="R782" s="152"/>
      <c r="S782" s="152"/>
      <c r="T782" s="152"/>
      <c r="U782" s="152"/>
      <c r="V782" s="152"/>
      <c r="W782" s="152"/>
      <c r="X782" s="152"/>
      <c r="Y782" s="152"/>
      <c r="Z782" s="281"/>
      <c r="AA782" s="281"/>
      <c r="AB782" s="281"/>
      <c r="AC782" s="281"/>
      <c r="AD782" s="281"/>
      <c r="AE782" s="281"/>
      <c r="AF782" s="282"/>
      <c r="AG782" s="170"/>
      <c r="AH782" s="152"/>
      <c r="AI782" s="152"/>
      <c r="AJ782" s="152"/>
      <c r="AK782" s="152"/>
      <c r="AL782" s="152"/>
      <c r="AM782" s="152"/>
      <c r="AN782" s="152"/>
      <c r="AO782" s="152"/>
      <c r="AP782" s="152"/>
      <c r="AQ782" s="152"/>
      <c r="AR782" s="152"/>
    </row>
    <row r="783" ht="12.75" customHeight="1">
      <c r="A783" s="288"/>
      <c r="B783" s="288"/>
      <c r="C783" s="288"/>
      <c r="D783" s="152"/>
      <c r="E783" s="289"/>
      <c r="F783" s="289"/>
      <c r="G783" s="152"/>
      <c r="H783" s="152"/>
      <c r="I783" s="152"/>
      <c r="J783" s="152"/>
      <c r="K783" s="289"/>
      <c r="L783" s="289"/>
      <c r="M783" s="152"/>
      <c r="N783" s="152"/>
      <c r="O783" s="156"/>
      <c r="P783" s="152"/>
      <c r="Q783" s="152"/>
      <c r="R783" s="152"/>
      <c r="S783" s="152"/>
      <c r="T783" s="152"/>
      <c r="U783" s="152"/>
      <c r="V783" s="152"/>
      <c r="W783" s="152"/>
      <c r="X783" s="152"/>
      <c r="Y783" s="152"/>
      <c r="Z783" s="281"/>
      <c r="AA783" s="281"/>
      <c r="AB783" s="281"/>
      <c r="AC783" s="281"/>
      <c r="AD783" s="281"/>
      <c r="AE783" s="281"/>
      <c r="AF783" s="282"/>
      <c r="AG783" s="170"/>
      <c r="AH783" s="152"/>
      <c r="AI783" s="152"/>
      <c r="AJ783" s="152"/>
      <c r="AK783" s="152"/>
      <c r="AL783" s="152"/>
      <c r="AM783" s="152"/>
      <c r="AN783" s="152"/>
      <c r="AO783" s="152"/>
      <c r="AP783" s="152"/>
      <c r="AQ783" s="152"/>
      <c r="AR783" s="152"/>
    </row>
    <row r="784" ht="12.75" customHeight="1">
      <c r="A784" s="288"/>
      <c r="B784" s="288"/>
      <c r="C784" s="288"/>
      <c r="D784" s="152"/>
      <c r="E784" s="289"/>
      <c r="F784" s="289"/>
      <c r="G784" s="152"/>
      <c r="H784" s="152"/>
      <c r="I784" s="152"/>
      <c r="J784" s="152"/>
      <c r="K784" s="289"/>
      <c r="L784" s="289"/>
      <c r="M784" s="152"/>
      <c r="N784" s="152"/>
      <c r="O784" s="156"/>
      <c r="P784" s="152"/>
      <c r="Q784" s="152"/>
      <c r="R784" s="152"/>
      <c r="S784" s="152"/>
      <c r="T784" s="152"/>
      <c r="U784" s="152"/>
      <c r="V784" s="152"/>
      <c r="W784" s="152"/>
      <c r="X784" s="152"/>
      <c r="Y784" s="152"/>
      <c r="Z784" s="281"/>
      <c r="AA784" s="281"/>
      <c r="AB784" s="281"/>
      <c r="AC784" s="281"/>
      <c r="AD784" s="281"/>
      <c r="AE784" s="281"/>
      <c r="AF784" s="282"/>
      <c r="AG784" s="170"/>
      <c r="AH784" s="152"/>
      <c r="AI784" s="152"/>
      <c r="AJ784" s="152"/>
      <c r="AK784" s="152"/>
      <c r="AL784" s="152"/>
      <c r="AM784" s="152"/>
      <c r="AN784" s="152"/>
      <c r="AO784" s="152"/>
      <c r="AP784" s="152"/>
      <c r="AQ784" s="152"/>
      <c r="AR784" s="152"/>
    </row>
    <row r="785" ht="12.75" customHeight="1">
      <c r="A785" s="288"/>
      <c r="B785" s="288"/>
      <c r="C785" s="288"/>
      <c r="D785" s="152"/>
      <c r="E785" s="289"/>
      <c r="F785" s="289"/>
      <c r="G785" s="152"/>
      <c r="H785" s="152"/>
      <c r="I785" s="152"/>
      <c r="J785" s="152"/>
      <c r="K785" s="289"/>
      <c r="L785" s="289"/>
      <c r="M785" s="152"/>
      <c r="N785" s="152"/>
      <c r="O785" s="156"/>
      <c r="P785" s="152"/>
      <c r="Q785" s="152"/>
      <c r="R785" s="152"/>
      <c r="S785" s="152"/>
      <c r="T785" s="152"/>
      <c r="U785" s="152"/>
      <c r="V785" s="152"/>
      <c r="W785" s="152"/>
      <c r="X785" s="152"/>
      <c r="Y785" s="152"/>
      <c r="Z785" s="281"/>
      <c r="AA785" s="281"/>
      <c r="AB785" s="281"/>
      <c r="AC785" s="281"/>
      <c r="AD785" s="281"/>
      <c r="AE785" s="281"/>
      <c r="AF785" s="282"/>
      <c r="AG785" s="170"/>
      <c r="AH785" s="152"/>
      <c r="AI785" s="152"/>
      <c r="AJ785" s="152"/>
      <c r="AK785" s="152"/>
      <c r="AL785" s="152"/>
      <c r="AM785" s="152"/>
      <c r="AN785" s="152"/>
      <c r="AO785" s="152"/>
      <c r="AP785" s="152"/>
      <c r="AQ785" s="152"/>
      <c r="AR785" s="152"/>
    </row>
    <row r="786" ht="12.75" customHeight="1">
      <c r="A786" s="288"/>
      <c r="B786" s="288"/>
      <c r="C786" s="288"/>
      <c r="D786" s="152"/>
      <c r="E786" s="289"/>
      <c r="F786" s="289"/>
      <c r="G786" s="152"/>
      <c r="H786" s="152"/>
      <c r="I786" s="152"/>
      <c r="J786" s="152"/>
      <c r="K786" s="289"/>
      <c r="L786" s="289"/>
      <c r="M786" s="152"/>
      <c r="N786" s="152"/>
      <c r="O786" s="156"/>
      <c r="P786" s="152"/>
      <c r="Q786" s="152"/>
      <c r="R786" s="152"/>
      <c r="S786" s="152"/>
      <c r="T786" s="152"/>
      <c r="U786" s="152"/>
      <c r="V786" s="152"/>
      <c r="W786" s="152"/>
      <c r="X786" s="152"/>
      <c r="Y786" s="152"/>
      <c r="Z786" s="281"/>
      <c r="AA786" s="281"/>
      <c r="AB786" s="281"/>
      <c r="AC786" s="281"/>
      <c r="AD786" s="281"/>
      <c r="AE786" s="281"/>
      <c r="AF786" s="282"/>
      <c r="AG786" s="170"/>
      <c r="AH786" s="152"/>
      <c r="AI786" s="152"/>
      <c r="AJ786" s="152"/>
      <c r="AK786" s="152"/>
      <c r="AL786" s="152"/>
      <c r="AM786" s="152"/>
      <c r="AN786" s="152"/>
      <c r="AO786" s="152"/>
      <c r="AP786" s="152"/>
      <c r="AQ786" s="152"/>
      <c r="AR786" s="152"/>
    </row>
    <row r="787" ht="12.75" customHeight="1">
      <c r="A787" s="288"/>
      <c r="B787" s="288"/>
      <c r="C787" s="288"/>
      <c r="D787" s="152"/>
      <c r="E787" s="289"/>
      <c r="F787" s="289"/>
      <c r="G787" s="152"/>
      <c r="H787" s="152"/>
      <c r="I787" s="152"/>
      <c r="J787" s="152"/>
      <c r="K787" s="289"/>
      <c r="L787" s="289"/>
      <c r="M787" s="152"/>
      <c r="N787" s="152"/>
      <c r="O787" s="156"/>
      <c r="P787" s="152"/>
      <c r="Q787" s="152"/>
      <c r="R787" s="152"/>
      <c r="S787" s="152"/>
      <c r="T787" s="152"/>
      <c r="U787" s="152"/>
      <c r="V787" s="152"/>
      <c r="W787" s="152"/>
      <c r="X787" s="152"/>
      <c r="Y787" s="152"/>
      <c r="Z787" s="281"/>
      <c r="AA787" s="281"/>
      <c r="AB787" s="281"/>
      <c r="AC787" s="281"/>
      <c r="AD787" s="281"/>
      <c r="AE787" s="281"/>
      <c r="AF787" s="282"/>
      <c r="AG787" s="170"/>
      <c r="AH787" s="152"/>
      <c r="AI787" s="152"/>
      <c r="AJ787" s="152"/>
      <c r="AK787" s="152"/>
      <c r="AL787" s="152"/>
      <c r="AM787" s="152"/>
      <c r="AN787" s="152"/>
      <c r="AO787" s="152"/>
      <c r="AP787" s="152"/>
      <c r="AQ787" s="152"/>
      <c r="AR787" s="152"/>
    </row>
    <row r="788" ht="12.75" customHeight="1">
      <c r="A788" s="288"/>
      <c r="B788" s="288"/>
      <c r="C788" s="288"/>
      <c r="D788" s="152"/>
      <c r="E788" s="289"/>
      <c r="F788" s="289"/>
      <c r="G788" s="152"/>
      <c r="H788" s="152"/>
      <c r="I788" s="152"/>
      <c r="J788" s="152"/>
      <c r="K788" s="289"/>
      <c r="L788" s="289"/>
      <c r="M788" s="152"/>
      <c r="N788" s="152"/>
      <c r="O788" s="156"/>
      <c r="P788" s="152"/>
      <c r="Q788" s="152"/>
      <c r="R788" s="152"/>
      <c r="S788" s="152"/>
      <c r="T788" s="152"/>
      <c r="U788" s="152"/>
      <c r="V788" s="152"/>
      <c r="W788" s="152"/>
      <c r="X788" s="152"/>
      <c r="Y788" s="152"/>
      <c r="Z788" s="281"/>
      <c r="AA788" s="281"/>
      <c r="AB788" s="281"/>
      <c r="AC788" s="281"/>
      <c r="AD788" s="281"/>
      <c r="AE788" s="281"/>
      <c r="AF788" s="282"/>
      <c r="AG788" s="170"/>
      <c r="AH788" s="152"/>
      <c r="AI788" s="152"/>
      <c r="AJ788" s="152"/>
      <c r="AK788" s="152"/>
      <c r="AL788" s="152"/>
      <c r="AM788" s="152"/>
      <c r="AN788" s="152"/>
      <c r="AO788" s="152"/>
      <c r="AP788" s="152"/>
      <c r="AQ788" s="152"/>
      <c r="AR788" s="152"/>
    </row>
    <row r="789" ht="12.75" customHeight="1">
      <c r="A789" s="288"/>
      <c r="B789" s="288"/>
      <c r="C789" s="288"/>
      <c r="D789" s="152"/>
      <c r="E789" s="289"/>
      <c r="F789" s="289"/>
      <c r="G789" s="152"/>
      <c r="H789" s="152"/>
      <c r="I789" s="152"/>
      <c r="J789" s="152"/>
      <c r="K789" s="289"/>
      <c r="L789" s="289"/>
      <c r="M789" s="152"/>
      <c r="N789" s="152"/>
      <c r="O789" s="156"/>
      <c r="P789" s="152"/>
      <c r="Q789" s="152"/>
      <c r="R789" s="152"/>
      <c r="S789" s="152"/>
      <c r="T789" s="152"/>
      <c r="U789" s="152"/>
      <c r="V789" s="152"/>
      <c r="W789" s="152"/>
      <c r="X789" s="152"/>
      <c r="Y789" s="152"/>
      <c r="Z789" s="281"/>
      <c r="AA789" s="281"/>
      <c r="AB789" s="281"/>
      <c r="AC789" s="281"/>
      <c r="AD789" s="281"/>
      <c r="AE789" s="281"/>
      <c r="AF789" s="282"/>
      <c r="AG789" s="170"/>
      <c r="AH789" s="152"/>
      <c r="AI789" s="152"/>
      <c r="AJ789" s="152"/>
      <c r="AK789" s="152"/>
      <c r="AL789" s="152"/>
      <c r="AM789" s="152"/>
      <c r="AN789" s="152"/>
      <c r="AO789" s="152"/>
      <c r="AP789" s="152"/>
      <c r="AQ789" s="152"/>
      <c r="AR789" s="152"/>
    </row>
    <row r="790" ht="12.75" customHeight="1">
      <c r="A790" s="288"/>
      <c r="B790" s="288"/>
      <c r="C790" s="288"/>
      <c r="D790" s="152"/>
      <c r="E790" s="289"/>
      <c r="F790" s="289"/>
      <c r="G790" s="152"/>
      <c r="H790" s="152"/>
      <c r="I790" s="152"/>
      <c r="J790" s="152"/>
      <c r="K790" s="289"/>
      <c r="L790" s="289"/>
      <c r="M790" s="152"/>
      <c r="N790" s="152"/>
      <c r="O790" s="156"/>
      <c r="P790" s="152"/>
      <c r="Q790" s="152"/>
      <c r="R790" s="152"/>
      <c r="S790" s="152"/>
      <c r="T790" s="152"/>
      <c r="U790" s="152"/>
      <c r="V790" s="152"/>
      <c r="W790" s="152"/>
      <c r="X790" s="152"/>
      <c r="Y790" s="152"/>
      <c r="Z790" s="281"/>
      <c r="AA790" s="281"/>
      <c r="AB790" s="281"/>
      <c r="AC790" s="281"/>
      <c r="AD790" s="281"/>
      <c r="AE790" s="281"/>
      <c r="AF790" s="282"/>
      <c r="AG790" s="170"/>
      <c r="AH790" s="152"/>
      <c r="AI790" s="152"/>
      <c r="AJ790" s="152"/>
      <c r="AK790" s="152"/>
      <c r="AL790" s="152"/>
      <c r="AM790" s="152"/>
      <c r="AN790" s="152"/>
      <c r="AO790" s="152"/>
      <c r="AP790" s="152"/>
      <c r="AQ790" s="152"/>
      <c r="AR790" s="152"/>
    </row>
    <row r="791" ht="12.75" customHeight="1">
      <c r="A791" s="288"/>
      <c r="B791" s="288"/>
      <c r="C791" s="288"/>
      <c r="D791" s="152"/>
      <c r="E791" s="289"/>
      <c r="F791" s="289"/>
      <c r="G791" s="152"/>
      <c r="H791" s="152"/>
      <c r="I791" s="152"/>
      <c r="J791" s="152"/>
      <c r="K791" s="289"/>
      <c r="L791" s="289"/>
      <c r="M791" s="152"/>
      <c r="N791" s="152"/>
      <c r="O791" s="156"/>
      <c r="P791" s="152"/>
      <c r="Q791" s="152"/>
      <c r="R791" s="152"/>
      <c r="S791" s="152"/>
      <c r="T791" s="152"/>
      <c r="U791" s="152"/>
      <c r="V791" s="152"/>
      <c r="W791" s="152"/>
      <c r="X791" s="152"/>
      <c r="Y791" s="152"/>
      <c r="Z791" s="281"/>
      <c r="AA791" s="281"/>
      <c r="AB791" s="281"/>
      <c r="AC791" s="281"/>
      <c r="AD791" s="281"/>
      <c r="AE791" s="281"/>
      <c r="AF791" s="282"/>
      <c r="AG791" s="170"/>
      <c r="AH791" s="152"/>
      <c r="AI791" s="152"/>
      <c r="AJ791" s="152"/>
      <c r="AK791" s="152"/>
      <c r="AL791" s="152"/>
      <c r="AM791" s="152"/>
      <c r="AN791" s="152"/>
      <c r="AO791" s="152"/>
      <c r="AP791" s="152"/>
      <c r="AQ791" s="152"/>
      <c r="AR791" s="152"/>
    </row>
    <row r="792" ht="12.75" customHeight="1">
      <c r="A792" s="288"/>
      <c r="B792" s="288"/>
      <c r="C792" s="288"/>
      <c r="D792" s="152"/>
      <c r="E792" s="289"/>
      <c r="F792" s="289"/>
      <c r="G792" s="152"/>
      <c r="H792" s="152"/>
      <c r="I792" s="152"/>
      <c r="J792" s="152"/>
      <c r="K792" s="289"/>
      <c r="L792" s="289"/>
      <c r="M792" s="152"/>
      <c r="N792" s="152"/>
      <c r="O792" s="156"/>
      <c r="P792" s="152"/>
      <c r="Q792" s="152"/>
      <c r="R792" s="152"/>
      <c r="S792" s="152"/>
      <c r="T792" s="152"/>
      <c r="U792" s="152"/>
      <c r="V792" s="152"/>
      <c r="W792" s="152"/>
      <c r="X792" s="152"/>
      <c r="Y792" s="152"/>
      <c r="Z792" s="281"/>
      <c r="AA792" s="281"/>
      <c r="AB792" s="281"/>
      <c r="AC792" s="281"/>
      <c r="AD792" s="281"/>
      <c r="AE792" s="281"/>
      <c r="AF792" s="282"/>
      <c r="AG792" s="170"/>
      <c r="AH792" s="152"/>
      <c r="AI792" s="152"/>
      <c r="AJ792" s="152"/>
      <c r="AK792" s="152"/>
      <c r="AL792" s="152"/>
      <c r="AM792" s="152"/>
      <c r="AN792" s="152"/>
      <c r="AO792" s="152"/>
      <c r="AP792" s="152"/>
      <c r="AQ792" s="152"/>
      <c r="AR792" s="152"/>
    </row>
    <row r="793" ht="12.75" customHeight="1">
      <c r="A793" s="288"/>
      <c r="B793" s="288"/>
      <c r="C793" s="288"/>
      <c r="D793" s="152"/>
      <c r="E793" s="289"/>
      <c r="F793" s="289"/>
      <c r="G793" s="152"/>
      <c r="H793" s="152"/>
      <c r="I793" s="152"/>
      <c r="J793" s="152"/>
      <c r="K793" s="289"/>
      <c r="L793" s="289"/>
      <c r="M793" s="152"/>
      <c r="N793" s="152"/>
      <c r="O793" s="156"/>
      <c r="P793" s="152"/>
      <c r="Q793" s="152"/>
      <c r="R793" s="152"/>
      <c r="S793" s="152"/>
      <c r="T793" s="152"/>
      <c r="U793" s="152"/>
      <c r="V793" s="152"/>
      <c r="W793" s="152"/>
      <c r="X793" s="152"/>
      <c r="Y793" s="152"/>
      <c r="Z793" s="281"/>
      <c r="AA793" s="281"/>
      <c r="AB793" s="281"/>
      <c r="AC793" s="281"/>
      <c r="AD793" s="281"/>
      <c r="AE793" s="281"/>
      <c r="AF793" s="282"/>
      <c r="AG793" s="170"/>
      <c r="AH793" s="152"/>
      <c r="AI793" s="152"/>
      <c r="AJ793" s="152"/>
      <c r="AK793" s="152"/>
      <c r="AL793" s="152"/>
      <c r="AM793" s="152"/>
      <c r="AN793" s="152"/>
      <c r="AO793" s="152"/>
      <c r="AP793" s="152"/>
      <c r="AQ793" s="152"/>
      <c r="AR793" s="152"/>
    </row>
    <row r="794" ht="12.75" customHeight="1">
      <c r="A794" s="288"/>
      <c r="B794" s="288"/>
      <c r="C794" s="288"/>
      <c r="D794" s="152"/>
      <c r="E794" s="289"/>
      <c r="F794" s="289"/>
      <c r="G794" s="152"/>
      <c r="H794" s="152"/>
      <c r="I794" s="152"/>
      <c r="J794" s="152"/>
      <c r="K794" s="289"/>
      <c r="L794" s="289"/>
      <c r="M794" s="152"/>
      <c r="N794" s="152"/>
      <c r="O794" s="156"/>
      <c r="P794" s="152"/>
      <c r="Q794" s="152"/>
      <c r="R794" s="152"/>
      <c r="S794" s="152"/>
      <c r="T794" s="152"/>
      <c r="U794" s="152"/>
      <c r="V794" s="152"/>
      <c r="W794" s="152"/>
      <c r="X794" s="152"/>
      <c r="Y794" s="152"/>
      <c r="Z794" s="281"/>
      <c r="AA794" s="281"/>
      <c r="AB794" s="281"/>
      <c r="AC794" s="281"/>
      <c r="AD794" s="281"/>
      <c r="AE794" s="281"/>
      <c r="AF794" s="282"/>
      <c r="AG794" s="170"/>
      <c r="AH794" s="152"/>
      <c r="AI794" s="152"/>
      <c r="AJ794" s="152"/>
      <c r="AK794" s="152"/>
      <c r="AL794" s="152"/>
      <c r="AM794" s="152"/>
      <c r="AN794" s="152"/>
      <c r="AO794" s="152"/>
      <c r="AP794" s="152"/>
      <c r="AQ794" s="152"/>
      <c r="AR794" s="152"/>
    </row>
    <row r="795" ht="12.75" customHeight="1">
      <c r="A795" s="288"/>
      <c r="B795" s="288"/>
      <c r="C795" s="288"/>
      <c r="D795" s="152"/>
      <c r="E795" s="289"/>
      <c r="F795" s="289"/>
      <c r="G795" s="152"/>
      <c r="H795" s="152"/>
      <c r="I795" s="152"/>
      <c r="J795" s="152"/>
      <c r="K795" s="289"/>
      <c r="L795" s="289"/>
      <c r="M795" s="152"/>
      <c r="N795" s="152"/>
      <c r="O795" s="156"/>
      <c r="P795" s="152"/>
      <c r="Q795" s="152"/>
      <c r="R795" s="152"/>
      <c r="S795" s="152"/>
      <c r="T795" s="152"/>
      <c r="U795" s="152"/>
      <c r="V795" s="152"/>
      <c r="W795" s="152"/>
      <c r="X795" s="152"/>
      <c r="Y795" s="152"/>
      <c r="Z795" s="281"/>
      <c r="AA795" s="281"/>
      <c r="AB795" s="281"/>
      <c r="AC795" s="281"/>
      <c r="AD795" s="281"/>
      <c r="AE795" s="281"/>
      <c r="AF795" s="282"/>
      <c r="AG795" s="170"/>
      <c r="AH795" s="152"/>
      <c r="AI795" s="152"/>
      <c r="AJ795" s="152"/>
      <c r="AK795" s="152"/>
      <c r="AL795" s="152"/>
      <c r="AM795" s="152"/>
      <c r="AN795" s="152"/>
      <c r="AO795" s="152"/>
      <c r="AP795" s="152"/>
      <c r="AQ795" s="152"/>
      <c r="AR795" s="152"/>
    </row>
    <row r="796" ht="12.75" customHeight="1">
      <c r="A796" s="288"/>
      <c r="B796" s="288"/>
      <c r="C796" s="288"/>
      <c r="D796" s="152"/>
      <c r="E796" s="289"/>
      <c r="F796" s="289"/>
      <c r="G796" s="152"/>
      <c r="H796" s="152"/>
      <c r="I796" s="152"/>
      <c r="J796" s="152"/>
      <c r="K796" s="289"/>
      <c r="L796" s="289"/>
      <c r="M796" s="152"/>
      <c r="N796" s="152"/>
      <c r="O796" s="156"/>
      <c r="P796" s="152"/>
      <c r="Q796" s="152"/>
      <c r="R796" s="152"/>
      <c r="S796" s="152"/>
      <c r="T796" s="152"/>
      <c r="U796" s="152"/>
      <c r="V796" s="152"/>
      <c r="W796" s="152"/>
      <c r="X796" s="152"/>
      <c r="Y796" s="152"/>
      <c r="Z796" s="281"/>
      <c r="AA796" s="281"/>
      <c r="AB796" s="281"/>
      <c r="AC796" s="281"/>
      <c r="AD796" s="281"/>
      <c r="AE796" s="281"/>
      <c r="AF796" s="282"/>
      <c r="AG796" s="170"/>
      <c r="AH796" s="152"/>
      <c r="AI796" s="152"/>
      <c r="AJ796" s="152"/>
      <c r="AK796" s="152"/>
      <c r="AL796" s="152"/>
      <c r="AM796" s="152"/>
      <c r="AN796" s="152"/>
      <c r="AO796" s="152"/>
      <c r="AP796" s="152"/>
      <c r="AQ796" s="152"/>
      <c r="AR796" s="152"/>
    </row>
    <row r="797" ht="12.75" customHeight="1">
      <c r="A797" s="288"/>
      <c r="B797" s="288"/>
      <c r="C797" s="288"/>
      <c r="D797" s="152"/>
      <c r="E797" s="289"/>
      <c r="F797" s="289"/>
      <c r="G797" s="152"/>
      <c r="H797" s="152"/>
      <c r="I797" s="152"/>
      <c r="J797" s="152"/>
      <c r="K797" s="289"/>
      <c r="L797" s="289"/>
      <c r="M797" s="152"/>
      <c r="N797" s="152"/>
      <c r="O797" s="156"/>
      <c r="P797" s="152"/>
      <c r="Q797" s="152"/>
      <c r="R797" s="152"/>
      <c r="S797" s="152"/>
      <c r="T797" s="152"/>
      <c r="U797" s="152"/>
      <c r="V797" s="152"/>
      <c r="W797" s="152"/>
      <c r="X797" s="152"/>
      <c r="Y797" s="152"/>
      <c r="Z797" s="281"/>
      <c r="AA797" s="281"/>
      <c r="AB797" s="281"/>
      <c r="AC797" s="281"/>
      <c r="AD797" s="281"/>
      <c r="AE797" s="281"/>
      <c r="AF797" s="282"/>
      <c r="AG797" s="170"/>
      <c r="AH797" s="152"/>
      <c r="AI797" s="152"/>
      <c r="AJ797" s="152"/>
      <c r="AK797" s="152"/>
      <c r="AL797" s="152"/>
      <c r="AM797" s="152"/>
      <c r="AN797" s="152"/>
      <c r="AO797" s="152"/>
      <c r="AP797" s="152"/>
      <c r="AQ797" s="152"/>
      <c r="AR797" s="152"/>
    </row>
    <row r="798" ht="12.75" customHeight="1">
      <c r="A798" s="288"/>
      <c r="B798" s="288"/>
      <c r="C798" s="288"/>
      <c r="D798" s="152"/>
      <c r="E798" s="289"/>
      <c r="F798" s="289"/>
      <c r="G798" s="152"/>
      <c r="H798" s="152"/>
      <c r="I798" s="152"/>
      <c r="J798" s="152"/>
      <c r="K798" s="289"/>
      <c r="L798" s="289"/>
      <c r="M798" s="152"/>
      <c r="N798" s="152"/>
      <c r="O798" s="156"/>
      <c r="P798" s="152"/>
      <c r="Q798" s="152"/>
      <c r="R798" s="152"/>
      <c r="S798" s="152"/>
      <c r="T798" s="152"/>
      <c r="U798" s="152"/>
      <c r="V798" s="152"/>
      <c r="W798" s="152"/>
      <c r="X798" s="152"/>
      <c r="Y798" s="152"/>
      <c r="Z798" s="281"/>
      <c r="AA798" s="281"/>
      <c r="AB798" s="281"/>
      <c r="AC798" s="281"/>
      <c r="AD798" s="281"/>
      <c r="AE798" s="281"/>
      <c r="AF798" s="282"/>
      <c r="AG798" s="170"/>
      <c r="AH798" s="152"/>
      <c r="AI798" s="152"/>
      <c r="AJ798" s="152"/>
      <c r="AK798" s="152"/>
      <c r="AL798" s="152"/>
      <c r="AM798" s="152"/>
      <c r="AN798" s="152"/>
      <c r="AO798" s="152"/>
      <c r="AP798" s="152"/>
      <c r="AQ798" s="152"/>
      <c r="AR798" s="152"/>
    </row>
    <row r="799" ht="12.75" customHeight="1">
      <c r="A799" s="288"/>
      <c r="B799" s="288"/>
      <c r="C799" s="288"/>
      <c r="D799" s="152"/>
      <c r="E799" s="289"/>
      <c r="F799" s="289"/>
      <c r="G799" s="152"/>
      <c r="H799" s="152"/>
      <c r="I799" s="152"/>
      <c r="J799" s="152"/>
      <c r="K799" s="289"/>
      <c r="L799" s="289"/>
      <c r="M799" s="152"/>
      <c r="N799" s="152"/>
      <c r="O799" s="156"/>
      <c r="P799" s="152"/>
      <c r="Q799" s="152"/>
      <c r="R799" s="152"/>
      <c r="S799" s="152"/>
      <c r="T799" s="152"/>
      <c r="U799" s="152"/>
      <c r="V799" s="152"/>
      <c r="W799" s="152"/>
      <c r="X799" s="152"/>
      <c r="Y799" s="152"/>
      <c r="Z799" s="281"/>
      <c r="AA799" s="281"/>
      <c r="AB799" s="281"/>
      <c r="AC799" s="281"/>
      <c r="AD799" s="281"/>
      <c r="AE799" s="281"/>
      <c r="AF799" s="282"/>
      <c r="AG799" s="170"/>
      <c r="AH799" s="152"/>
      <c r="AI799" s="152"/>
      <c r="AJ799" s="152"/>
      <c r="AK799" s="152"/>
      <c r="AL799" s="152"/>
      <c r="AM799" s="152"/>
      <c r="AN799" s="152"/>
      <c r="AO799" s="152"/>
      <c r="AP799" s="152"/>
      <c r="AQ799" s="152"/>
      <c r="AR799" s="152"/>
    </row>
    <row r="800" ht="12.75" customHeight="1">
      <c r="A800" s="288"/>
      <c r="B800" s="288"/>
      <c r="C800" s="288"/>
      <c r="D800" s="152"/>
      <c r="E800" s="289"/>
      <c r="F800" s="289"/>
      <c r="G800" s="152"/>
      <c r="H800" s="152"/>
      <c r="I800" s="152"/>
      <c r="J800" s="152"/>
      <c r="K800" s="289"/>
      <c r="L800" s="289"/>
      <c r="M800" s="152"/>
      <c r="N800" s="152"/>
      <c r="O800" s="156"/>
      <c r="P800" s="152"/>
      <c r="Q800" s="152"/>
      <c r="R800" s="152"/>
      <c r="S800" s="152"/>
      <c r="T800" s="152"/>
      <c r="U800" s="152"/>
      <c r="V800" s="152"/>
      <c r="W800" s="152"/>
      <c r="X800" s="152"/>
      <c r="Y800" s="152"/>
      <c r="Z800" s="281"/>
      <c r="AA800" s="281"/>
      <c r="AB800" s="281"/>
      <c r="AC800" s="281"/>
      <c r="AD800" s="281"/>
      <c r="AE800" s="281"/>
      <c r="AF800" s="282"/>
      <c r="AG800" s="170"/>
      <c r="AH800" s="152"/>
      <c r="AI800" s="152"/>
      <c r="AJ800" s="152"/>
      <c r="AK800" s="152"/>
      <c r="AL800" s="152"/>
      <c r="AM800" s="152"/>
      <c r="AN800" s="152"/>
      <c r="AO800" s="152"/>
      <c r="AP800" s="152"/>
      <c r="AQ800" s="152"/>
      <c r="AR800" s="152"/>
    </row>
    <row r="801" ht="12.75" customHeight="1">
      <c r="A801" s="288"/>
      <c r="B801" s="288"/>
      <c r="C801" s="288"/>
      <c r="D801" s="152"/>
      <c r="E801" s="289"/>
      <c r="F801" s="289"/>
      <c r="G801" s="152"/>
      <c r="H801" s="152"/>
      <c r="I801" s="152"/>
      <c r="J801" s="152"/>
      <c r="K801" s="289"/>
      <c r="L801" s="289"/>
      <c r="M801" s="152"/>
      <c r="N801" s="152"/>
      <c r="O801" s="156"/>
      <c r="P801" s="152"/>
      <c r="Q801" s="152"/>
      <c r="R801" s="152"/>
      <c r="S801" s="152"/>
      <c r="T801" s="152"/>
      <c r="U801" s="152"/>
      <c r="V801" s="152"/>
      <c r="W801" s="152"/>
      <c r="X801" s="152"/>
      <c r="Y801" s="152"/>
      <c r="Z801" s="281"/>
      <c r="AA801" s="281"/>
      <c r="AB801" s="281"/>
      <c r="AC801" s="281"/>
      <c r="AD801" s="281"/>
      <c r="AE801" s="281"/>
      <c r="AF801" s="282"/>
      <c r="AG801" s="170"/>
      <c r="AH801" s="152"/>
      <c r="AI801" s="152"/>
      <c r="AJ801" s="152"/>
      <c r="AK801" s="152"/>
      <c r="AL801" s="152"/>
      <c r="AM801" s="152"/>
      <c r="AN801" s="152"/>
      <c r="AO801" s="152"/>
      <c r="AP801" s="152"/>
      <c r="AQ801" s="152"/>
      <c r="AR801" s="152"/>
    </row>
    <row r="802" ht="12.75" customHeight="1">
      <c r="A802" s="288"/>
      <c r="B802" s="288"/>
      <c r="C802" s="288"/>
      <c r="D802" s="152"/>
      <c r="E802" s="289"/>
      <c r="F802" s="289"/>
      <c r="G802" s="152"/>
      <c r="H802" s="152"/>
      <c r="I802" s="152"/>
      <c r="J802" s="152"/>
      <c r="K802" s="289"/>
      <c r="L802" s="289"/>
      <c r="M802" s="152"/>
      <c r="N802" s="152"/>
      <c r="O802" s="156"/>
      <c r="P802" s="152"/>
      <c r="Q802" s="152"/>
      <c r="R802" s="152"/>
      <c r="S802" s="152"/>
      <c r="T802" s="152"/>
      <c r="U802" s="152"/>
      <c r="V802" s="152"/>
      <c r="W802" s="152"/>
      <c r="X802" s="152"/>
      <c r="Y802" s="152"/>
      <c r="Z802" s="281"/>
      <c r="AA802" s="281"/>
      <c r="AB802" s="281"/>
      <c r="AC802" s="281"/>
      <c r="AD802" s="281"/>
      <c r="AE802" s="281"/>
      <c r="AF802" s="282"/>
      <c r="AG802" s="170"/>
      <c r="AH802" s="152"/>
      <c r="AI802" s="152"/>
      <c r="AJ802" s="152"/>
      <c r="AK802" s="152"/>
      <c r="AL802" s="152"/>
      <c r="AM802" s="152"/>
      <c r="AN802" s="152"/>
      <c r="AO802" s="152"/>
      <c r="AP802" s="152"/>
      <c r="AQ802" s="152"/>
      <c r="AR802" s="152"/>
    </row>
    <row r="803" ht="12.75" customHeight="1">
      <c r="A803" s="288"/>
      <c r="B803" s="288"/>
      <c r="C803" s="288"/>
      <c r="D803" s="152"/>
      <c r="E803" s="289"/>
      <c r="F803" s="289"/>
      <c r="G803" s="152"/>
      <c r="H803" s="152"/>
      <c r="I803" s="152"/>
      <c r="J803" s="152"/>
      <c r="K803" s="289"/>
      <c r="L803" s="289"/>
      <c r="M803" s="152"/>
      <c r="N803" s="152"/>
      <c r="O803" s="156"/>
      <c r="P803" s="152"/>
      <c r="Q803" s="152"/>
      <c r="R803" s="152"/>
      <c r="S803" s="152"/>
      <c r="T803" s="152"/>
      <c r="U803" s="152"/>
      <c r="V803" s="152"/>
      <c r="W803" s="152"/>
      <c r="X803" s="152"/>
      <c r="Y803" s="152"/>
      <c r="Z803" s="281"/>
      <c r="AA803" s="281"/>
      <c r="AB803" s="281"/>
      <c r="AC803" s="281"/>
      <c r="AD803" s="281"/>
      <c r="AE803" s="281"/>
      <c r="AF803" s="282"/>
      <c r="AG803" s="170"/>
      <c r="AH803" s="152"/>
      <c r="AI803" s="152"/>
      <c r="AJ803" s="152"/>
      <c r="AK803" s="152"/>
      <c r="AL803" s="152"/>
      <c r="AM803" s="152"/>
      <c r="AN803" s="152"/>
      <c r="AO803" s="152"/>
      <c r="AP803" s="152"/>
      <c r="AQ803" s="152"/>
      <c r="AR803" s="152"/>
    </row>
    <row r="804" ht="12.75" customHeight="1">
      <c r="A804" s="288"/>
      <c r="B804" s="288"/>
      <c r="C804" s="288"/>
      <c r="D804" s="152"/>
      <c r="E804" s="289"/>
      <c r="F804" s="289"/>
      <c r="G804" s="152"/>
      <c r="H804" s="152"/>
      <c r="I804" s="152"/>
      <c r="J804" s="152"/>
      <c r="K804" s="289"/>
      <c r="L804" s="289"/>
      <c r="M804" s="152"/>
      <c r="N804" s="152"/>
      <c r="O804" s="156"/>
      <c r="P804" s="152"/>
      <c r="Q804" s="152"/>
      <c r="R804" s="152"/>
      <c r="S804" s="152"/>
      <c r="T804" s="152"/>
      <c r="U804" s="152"/>
      <c r="V804" s="152"/>
      <c r="W804" s="152"/>
      <c r="X804" s="152"/>
      <c r="Y804" s="152"/>
      <c r="Z804" s="281"/>
      <c r="AA804" s="281"/>
      <c r="AB804" s="281"/>
      <c r="AC804" s="281"/>
      <c r="AD804" s="281"/>
      <c r="AE804" s="281"/>
      <c r="AF804" s="282"/>
      <c r="AG804" s="170"/>
      <c r="AH804" s="152"/>
      <c r="AI804" s="152"/>
      <c r="AJ804" s="152"/>
      <c r="AK804" s="152"/>
      <c r="AL804" s="152"/>
      <c r="AM804" s="152"/>
      <c r="AN804" s="152"/>
      <c r="AO804" s="152"/>
      <c r="AP804" s="152"/>
      <c r="AQ804" s="152"/>
      <c r="AR804" s="152"/>
    </row>
    <row r="805" ht="12.75" customHeight="1">
      <c r="A805" s="288"/>
      <c r="B805" s="288"/>
      <c r="C805" s="288"/>
      <c r="D805" s="152"/>
      <c r="E805" s="289"/>
      <c r="F805" s="289"/>
      <c r="G805" s="152"/>
      <c r="H805" s="152"/>
      <c r="I805" s="152"/>
      <c r="J805" s="152"/>
      <c r="K805" s="289"/>
      <c r="L805" s="289"/>
      <c r="M805" s="152"/>
      <c r="N805" s="152"/>
      <c r="O805" s="156"/>
      <c r="P805" s="152"/>
      <c r="Q805" s="152"/>
      <c r="R805" s="152"/>
      <c r="S805" s="152"/>
      <c r="T805" s="152"/>
      <c r="U805" s="152"/>
      <c r="V805" s="152"/>
      <c r="W805" s="152"/>
      <c r="X805" s="152"/>
      <c r="Y805" s="152"/>
      <c r="Z805" s="281"/>
      <c r="AA805" s="281"/>
      <c r="AB805" s="281"/>
      <c r="AC805" s="281"/>
      <c r="AD805" s="281"/>
      <c r="AE805" s="281"/>
      <c r="AF805" s="282"/>
      <c r="AG805" s="170"/>
      <c r="AH805" s="152"/>
      <c r="AI805" s="152"/>
      <c r="AJ805" s="152"/>
      <c r="AK805" s="152"/>
      <c r="AL805" s="152"/>
      <c r="AM805" s="152"/>
      <c r="AN805" s="152"/>
      <c r="AO805" s="152"/>
      <c r="AP805" s="152"/>
      <c r="AQ805" s="152"/>
      <c r="AR805" s="152"/>
    </row>
    <row r="806" ht="12.75" customHeight="1">
      <c r="A806" s="288"/>
      <c r="B806" s="288"/>
      <c r="C806" s="288"/>
      <c r="D806" s="152"/>
      <c r="E806" s="289"/>
      <c r="F806" s="289"/>
      <c r="G806" s="152"/>
      <c r="H806" s="152"/>
      <c r="I806" s="152"/>
      <c r="J806" s="152"/>
      <c r="K806" s="289"/>
      <c r="L806" s="289"/>
      <c r="M806" s="152"/>
      <c r="N806" s="152"/>
      <c r="O806" s="156"/>
      <c r="P806" s="152"/>
      <c r="Q806" s="152"/>
      <c r="R806" s="152"/>
      <c r="S806" s="152"/>
      <c r="T806" s="152"/>
      <c r="U806" s="152"/>
      <c r="V806" s="152"/>
      <c r="W806" s="152"/>
      <c r="X806" s="152"/>
      <c r="Y806" s="152"/>
      <c r="Z806" s="281"/>
      <c r="AA806" s="281"/>
      <c r="AB806" s="281"/>
      <c r="AC806" s="281"/>
      <c r="AD806" s="281"/>
      <c r="AE806" s="281"/>
      <c r="AF806" s="282"/>
      <c r="AG806" s="170"/>
      <c r="AH806" s="152"/>
      <c r="AI806" s="152"/>
      <c r="AJ806" s="152"/>
      <c r="AK806" s="152"/>
      <c r="AL806" s="152"/>
      <c r="AM806" s="152"/>
      <c r="AN806" s="152"/>
      <c r="AO806" s="152"/>
      <c r="AP806" s="152"/>
      <c r="AQ806" s="152"/>
      <c r="AR806" s="152"/>
    </row>
    <row r="807" ht="12.75" customHeight="1">
      <c r="A807" s="288"/>
      <c r="B807" s="288"/>
      <c r="C807" s="288"/>
      <c r="D807" s="152"/>
      <c r="E807" s="289"/>
      <c r="F807" s="289"/>
      <c r="G807" s="152"/>
      <c r="H807" s="152"/>
      <c r="I807" s="152"/>
      <c r="J807" s="152"/>
      <c r="K807" s="289"/>
      <c r="L807" s="289"/>
      <c r="M807" s="152"/>
      <c r="N807" s="152"/>
      <c r="O807" s="156"/>
      <c r="P807" s="152"/>
      <c r="Q807" s="152"/>
      <c r="R807" s="152"/>
      <c r="S807" s="152"/>
      <c r="T807" s="152"/>
      <c r="U807" s="152"/>
      <c r="V807" s="152"/>
      <c r="W807" s="152"/>
      <c r="X807" s="152"/>
      <c r="Y807" s="152"/>
      <c r="Z807" s="281"/>
      <c r="AA807" s="281"/>
      <c r="AB807" s="281"/>
      <c r="AC807" s="281"/>
      <c r="AD807" s="281"/>
      <c r="AE807" s="281"/>
      <c r="AF807" s="282"/>
      <c r="AG807" s="170"/>
      <c r="AH807" s="152"/>
      <c r="AI807" s="152"/>
      <c r="AJ807" s="152"/>
      <c r="AK807" s="152"/>
      <c r="AL807" s="152"/>
      <c r="AM807" s="152"/>
      <c r="AN807" s="152"/>
      <c r="AO807" s="152"/>
      <c r="AP807" s="152"/>
      <c r="AQ807" s="152"/>
      <c r="AR807" s="152"/>
    </row>
    <row r="808" ht="12.75" customHeight="1">
      <c r="A808" s="288"/>
      <c r="B808" s="288"/>
      <c r="C808" s="288"/>
      <c r="D808" s="152"/>
      <c r="E808" s="289"/>
      <c r="F808" s="289"/>
      <c r="G808" s="152"/>
      <c r="H808" s="152"/>
      <c r="I808" s="152"/>
      <c r="J808" s="152"/>
      <c r="K808" s="289"/>
      <c r="L808" s="289"/>
      <c r="M808" s="152"/>
      <c r="N808" s="152"/>
      <c r="O808" s="156"/>
      <c r="P808" s="152"/>
      <c r="Q808" s="152"/>
      <c r="R808" s="152"/>
      <c r="S808" s="152"/>
      <c r="T808" s="152"/>
      <c r="U808" s="152"/>
      <c r="V808" s="152"/>
      <c r="W808" s="152"/>
      <c r="X808" s="152"/>
      <c r="Y808" s="152"/>
      <c r="Z808" s="281"/>
      <c r="AA808" s="281"/>
      <c r="AB808" s="281"/>
      <c r="AC808" s="281"/>
      <c r="AD808" s="281"/>
      <c r="AE808" s="281"/>
      <c r="AF808" s="282"/>
      <c r="AG808" s="170"/>
      <c r="AH808" s="152"/>
      <c r="AI808" s="152"/>
      <c r="AJ808" s="152"/>
      <c r="AK808" s="152"/>
      <c r="AL808" s="152"/>
      <c r="AM808" s="152"/>
      <c r="AN808" s="152"/>
      <c r="AO808" s="152"/>
      <c r="AP808" s="152"/>
      <c r="AQ808" s="152"/>
      <c r="AR808" s="152"/>
    </row>
    <row r="809" ht="12.75" customHeight="1">
      <c r="A809" s="288"/>
      <c r="B809" s="288"/>
      <c r="C809" s="288"/>
      <c r="D809" s="152"/>
      <c r="E809" s="289"/>
      <c r="F809" s="289"/>
      <c r="G809" s="152"/>
      <c r="H809" s="152"/>
      <c r="I809" s="152"/>
      <c r="J809" s="152"/>
      <c r="K809" s="289"/>
      <c r="L809" s="289"/>
      <c r="M809" s="152"/>
      <c r="N809" s="152"/>
      <c r="O809" s="156"/>
      <c r="P809" s="152"/>
      <c r="Q809" s="152"/>
      <c r="R809" s="152"/>
      <c r="S809" s="152"/>
      <c r="T809" s="152"/>
      <c r="U809" s="152"/>
      <c r="V809" s="152"/>
      <c r="W809" s="152"/>
      <c r="X809" s="152"/>
      <c r="Y809" s="152"/>
      <c r="Z809" s="281"/>
      <c r="AA809" s="281"/>
      <c r="AB809" s="281"/>
      <c r="AC809" s="281"/>
      <c r="AD809" s="281"/>
      <c r="AE809" s="281"/>
      <c r="AF809" s="282"/>
      <c r="AG809" s="170"/>
      <c r="AH809" s="152"/>
      <c r="AI809" s="152"/>
      <c r="AJ809" s="152"/>
      <c r="AK809" s="152"/>
      <c r="AL809" s="152"/>
      <c r="AM809" s="152"/>
      <c r="AN809" s="152"/>
      <c r="AO809" s="152"/>
      <c r="AP809" s="152"/>
      <c r="AQ809" s="152"/>
      <c r="AR809" s="152"/>
    </row>
    <row r="810" ht="12.75" customHeight="1">
      <c r="A810" s="288"/>
      <c r="B810" s="288"/>
      <c r="C810" s="288"/>
      <c r="D810" s="152"/>
      <c r="E810" s="289"/>
      <c r="F810" s="289"/>
      <c r="G810" s="152"/>
      <c r="H810" s="152"/>
      <c r="I810" s="152"/>
      <c r="J810" s="152"/>
      <c r="K810" s="289"/>
      <c r="L810" s="289"/>
      <c r="M810" s="152"/>
      <c r="N810" s="152"/>
      <c r="O810" s="156"/>
      <c r="P810" s="152"/>
      <c r="Q810" s="152"/>
      <c r="R810" s="152"/>
      <c r="S810" s="152"/>
      <c r="T810" s="152"/>
      <c r="U810" s="152"/>
      <c r="V810" s="152"/>
      <c r="W810" s="152"/>
      <c r="X810" s="152"/>
      <c r="Y810" s="152"/>
      <c r="Z810" s="281"/>
      <c r="AA810" s="281"/>
      <c r="AB810" s="281"/>
      <c r="AC810" s="281"/>
      <c r="AD810" s="281"/>
      <c r="AE810" s="281"/>
      <c r="AF810" s="282"/>
      <c r="AG810" s="170"/>
      <c r="AH810" s="152"/>
      <c r="AI810" s="152"/>
      <c r="AJ810" s="152"/>
      <c r="AK810" s="152"/>
      <c r="AL810" s="152"/>
      <c r="AM810" s="152"/>
      <c r="AN810" s="152"/>
      <c r="AO810" s="152"/>
      <c r="AP810" s="152"/>
      <c r="AQ810" s="152"/>
      <c r="AR810" s="152"/>
    </row>
    <row r="811" ht="12.75" customHeight="1">
      <c r="A811" s="288"/>
      <c r="B811" s="288"/>
      <c r="C811" s="288"/>
      <c r="D811" s="152"/>
      <c r="E811" s="289"/>
      <c r="F811" s="289"/>
      <c r="G811" s="152"/>
      <c r="H811" s="152"/>
      <c r="I811" s="152"/>
      <c r="J811" s="152"/>
      <c r="K811" s="289"/>
      <c r="L811" s="289"/>
      <c r="M811" s="152"/>
      <c r="N811" s="152"/>
      <c r="O811" s="156"/>
      <c r="P811" s="152"/>
      <c r="Q811" s="152"/>
      <c r="R811" s="152"/>
      <c r="S811" s="152"/>
      <c r="T811" s="152"/>
      <c r="U811" s="152"/>
      <c r="V811" s="152"/>
      <c r="W811" s="152"/>
      <c r="X811" s="152"/>
      <c r="Y811" s="152"/>
      <c r="Z811" s="281"/>
      <c r="AA811" s="281"/>
      <c r="AB811" s="281"/>
      <c r="AC811" s="281"/>
      <c r="AD811" s="281"/>
      <c r="AE811" s="281"/>
      <c r="AF811" s="282"/>
      <c r="AG811" s="170"/>
      <c r="AH811" s="152"/>
      <c r="AI811" s="152"/>
      <c r="AJ811" s="152"/>
      <c r="AK811" s="152"/>
      <c r="AL811" s="152"/>
      <c r="AM811" s="152"/>
      <c r="AN811" s="152"/>
      <c r="AO811" s="152"/>
      <c r="AP811" s="152"/>
      <c r="AQ811" s="152"/>
      <c r="AR811" s="152"/>
    </row>
    <row r="812" ht="12.75" customHeight="1">
      <c r="A812" s="288"/>
      <c r="B812" s="288"/>
      <c r="C812" s="288"/>
      <c r="D812" s="152"/>
      <c r="E812" s="289"/>
      <c r="F812" s="289"/>
      <c r="G812" s="152"/>
      <c r="H812" s="152"/>
      <c r="I812" s="152"/>
      <c r="J812" s="152"/>
      <c r="K812" s="289"/>
      <c r="L812" s="289"/>
      <c r="M812" s="152"/>
      <c r="N812" s="152"/>
      <c r="O812" s="156"/>
      <c r="P812" s="152"/>
      <c r="Q812" s="152"/>
      <c r="R812" s="152"/>
      <c r="S812" s="152"/>
      <c r="T812" s="152"/>
      <c r="U812" s="152"/>
      <c r="V812" s="152"/>
      <c r="W812" s="152"/>
      <c r="X812" s="152"/>
      <c r="Y812" s="152"/>
      <c r="Z812" s="281"/>
      <c r="AA812" s="281"/>
      <c r="AB812" s="281"/>
      <c r="AC812" s="281"/>
      <c r="AD812" s="281"/>
      <c r="AE812" s="281"/>
      <c r="AF812" s="282"/>
      <c r="AG812" s="170"/>
      <c r="AH812" s="152"/>
      <c r="AI812" s="152"/>
      <c r="AJ812" s="152"/>
      <c r="AK812" s="152"/>
      <c r="AL812" s="152"/>
      <c r="AM812" s="152"/>
      <c r="AN812" s="152"/>
      <c r="AO812" s="152"/>
      <c r="AP812" s="152"/>
      <c r="AQ812" s="152"/>
      <c r="AR812" s="152"/>
    </row>
    <row r="813" ht="12.75" customHeight="1">
      <c r="A813" s="288"/>
      <c r="B813" s="288"/>
      <c r="C813" s="288"/>
      <c r="D813" s="152"/>
      <c r="E813" s="289"/>
      <c r="F813" s="289"/>
      <c r="G813" s="152"/>
      <c r="H813" s="152"/>
      <c r="I813" s="152"/>
      <c r="J813" s="152"/>
      <c r="K813" s="289"/>
      <c r="L813" s="289"/>
      <c r="M813" s="152"/>
      <c r="N813" s="152"/>
      <c r="O813" s="156"/>
      <c r="P813" s="152"/>
      <c r="Q813" s="152"/>
      <c r="R813" s="152"/>
      <c r="S813" s="152"/>
      <c r="T813" s="152"/>
      <c r="U813" s="152"/>
      <c r="V813" s="152"/>
      <c r="W813" s="152"/>
      <c r="X813" s="152"/>
      <c r="Y813" s="152"/>
      <c r="Z813" s="281"/>
      <c r="AA813" s="281"/>
      <c r="AB813" s="281"/>
      <c r="AC813" s="281"/>
      <c r="AD813" s="281"/>
      <c r="AE813" s="281"/>
      <c r="AF813" s="282"/>
      <c r="AG813" s="170"/>
      <c r="AH813" s="152"/>
      <c r="AI813" s="152"/>
      <c r="AJ813" s="152"/>
      <c r="AK813" s="152"/>
      <c r="AL813" s="152"/>
      <c r="AM813" s="152"/>
      <c r="AN813" s="152"/>
      <c r="AO813" s="152"/>
      <c r="AP813" s="152"/>
      <c r="AQ813" s="152"/>
      <c r="AR813" s="152"/>
    </row>
    <row r="814" ht="12.75" customHeight="1">
      <c r="A814" s="288"/>
      <c r="B814" s="288"/>
      <c r="C814" s="288"/>
      <c r="D814" s="152"/>
      <c r="E814" s="289"/>
      <c r="F814" s="289"/>
      <c r="G814" s="152"/>
      <c r="H814" s="152"/>
      <c r="I814" s="152"/>
      <c r="J814" s="152"/>
      <c r="K814" s="289"/>
      <c r="L814" s="289"/>
      <c r="M814" s="152"/>
      <c r="N814" s="152"/>
      <c r="O814" s="156"/>
      <c r="P814" s="152"/>
      <c r="Q814" s="152"/>
      <c r="R814" s="152"/>
      <c r="S814" s="152"/>
      <c r="T814" s="152"/>
      <c r="U814" s="152"/>
      <c r="V814" s="152"/>
      <c r="W814" s="152"/>
      <c r="X814" s="152"/>
      <c r="Y814" s="152"/>
      <c r="Z814" s="281"/>
      <c r="AA814" s="281"/>
      <c r="AB814" s="281"/>
      <c r="AC814" s="281"/>
      <c r="AD814" s="281"/>
      <c r="AE814" s="281"/>
      <c r="AF814" s="282"/>
      <c r="AG814" s="170"/>
      <c r="AH814" s="152"/>
      <c r="AI814" s="152"/>
      <c r="AJ814" s="152"/>
      <c r="AK814" s="152"/>
      <c r="AL814" s="152"/>
      <c r="AM814" s="152"/>
      <c r="AN814" s="152"/>
      <c r="AO814" s="152"/>
      <c r="AP814" s="152"/>
      <c r="AQ814" s="152"/>
      <c r="AR814" s="152"/>
    </row>
    <row r="815" ht="12.75" customHeight="1">
      <c r="A815" s="288"/>
      <c r="B815" s="288"/>
      <c r="C815" s="288"/>
      <c r="D815" s="152"/>
      <c r="E815" s="289"/>
      <c r="F815" s="289"/>
      <c r="G815" s="152"/>
      <c r="H815" s="152"/>
      <c r="I815" s="152"/>
      <c r="J815" s="152"/>
      <c r="K815" s="289"/>
      <c r="L815" s="289"/>
      <c r="M815" s="152"/>
      <c r="N815" s="152"/>
      <c r="O815" s="156"/>
      <c r="P815" s="152"/>
      <c r="Q815" s="152"/>
      <c r="R815" s="152"/>
      <c r="S815" s="152"/>
      <c r="T815" s="152"/>
      <c r="U815" s="152"/>
      <c r="V815" s="152"/>
      <c r="W815" s="152"/>
      <c r="X815" s="152"/>
      <c r="Y815" s="152"/>
      <c r="Z815" s="281"/>
      <c r="AA815" s="281"/>
      <c r="AB815" s="281"/>
      <c r="AC815" s="281"/>
      <c r="AD815" s="281"/>
      <c r="AE815" s="281"/>
      <c r="AF815" s="282"/>
      <c r="AG815" s="170"/>
      <c r="AH815" s="152"/>
      <c r="AI815" s="152"/>
      <c r="AJ815" s="152"/>
      <c r="AK815" s="152"/>
      <c r="AL815" s="152"/>
      <c r="AM815" s="152"/>
      <c r="AN815" s="152"/>
      <c r="AO815" s="152"/>
      <c r="AP815" s="152"/>
      <c r="AQ815" s="152"/>
      <c r="AR815" s="152"/>
    </row>
    <row r="816" ht="12.75" customHeight="1">
      <c r="A816" s="288"/>
      <c r="B816" s="288"/>
      <c r="C816" s="288"/>
      <c r="D816" s="152"/>
      <c r="E816" s="289"/>
      <c r="F816" s="289"/>
      <c r="G816" s="152"/>
      <c r="H816" s="152"/>
      <c r="I816" s="152"/>
      <c r="J816" s="152"/>
      <c r="K816" s="289"/>
      <c r="L816" s="289"/>
      <c r="M816" s="152"/>
      <c r="N816" s="152"/>
      <c r="O816" s="156"/>
      <c r="P816" s="152"/>
      <c r="Q816" s="152"/>
      <c r="R816" s="152"/>
      <c r="S816" s="152"/>
      <c r="T816" s="152"/>
      <c r="U816" s="152"/>
      <c r="V816" s="152"/>
      <c r="W816" s="152"/>
      <c r="X816" s="152"/>
      <c r="Y816" s="152"/>
      <c r="Z816" s="281"/>
      <c r="AA816" s="281"/>
      <c r="AB816" s="281"/>
      <c r="AC816" s="281"/>
      <c r="AD816" s="281"/>
      <c r="AE816" s="281"/>
      <c r="AF816" s="282"/>
      <c r="AG816" s="170"/>
      <c r="AH816" s="152"/>
      <c r="AI816" s="152"/>
      <c r="AJ816" s="152"/>
      <c r="AK816" s="152"/>
      <c r="AL816" s="152"/>
      <c r="AM816" s="152"/>
      <c r="AN816" s="152"/>
      <c r="AO816" s="152"/>
      <c r="AP816" s="152"/>
      <c r="AQ816" s="152"/>
      <c r="AR816" s="152"/>
    </row>
    <row r="817" ht="12.75" customHeight="1">
      <c r="A817" s="288"/>
      <c r="B817" s="288"/>
      <c r="C817" s="288"/>
      <c r="D817" s="152"/>
      <c r="E817" s="289"/>
      <c r="F817" s="289"/>
      <c r="G817" s="152"/>
      <c r="H817" s="152"/>
      <c r="I817" s="152"/>
      <c r="J817" s="152"/>
      <c r="K817" s="289"/>
      <c r="L817" s="289"/>
      <c r="M817" s="152"/>
      <c r="N817" s="152"/>
      <c r="O817" s="156"/>
      <c r="P817" s="152"/>
      <c r="Q817" s="152"/>
      <c r="R817" s="152"/>
      <c r="S817" s="152"/>
      <c r="T817" s="152"/>
      <c r="U817" s="152"/>
      <c r="V817" s="152"/>
      <c r="W817" s="152"/>
      <c r="X817" s="152"/>
      <c r="Y817" s="152"/>
      <c r="Z817" s="281"/>
      <c r="AA817" s="281"/>
      <c r="AB817" s="281"/>
      <c r="AC817" s="281"/>
      <c r="AD817" s="281"/>
      <c r="AE817" s="281"/>
      <c r="AF817" s="282"/>
      <c r="AG817" s="170"/>
      <c r="AH817" s="152"/>
      <c r="AI817" s="152"/>
      <c r="AJ817" s="152"/>
      <c r="AK817" s="152"/>
      <c r="AL817" s="152"/>
      <c r="AM817" s="152"/>
      <c r="AN817" s="152"/>
      <c r="AO817" s="152"/>
      <c r="AP817" s="152"/>
      <c r="AQ817" s="152"/>
      <c r="AR817" s="152"/>
    </row>
    <row r="818" ht="12.75" customHeight="1">
      <c r="A818" s="288"/>
      <c r="B818" s="288"/>
      <c r="C818" s="288"/>
      <c r="D818" s="152"/>
      <c r="E818" s="289"/>
      <c r="F818" s="289"/>
      <c r="G818" s="152"/>
      <c r="H818" s="152"/>
      <c r="I818" s="152"/>
      <c r="J818" s="152"/>
      <c r="K818" s="289"/>
      <c r="L818" s="289"/>
      <c r="M818" s="152"/>
      <c r="N818" s="152"/>
      <c r="O818" s="156"/>
      <c r="P818" s="152"/>
      <c r="Q818" s="152"/>
      <c r="R818" s="152"/>
      <c r="S818" s="152"/>
      <c r="T818" s="152"/>
      <c r="U818" s="152"/>
      <c r="V818" s="152"/>
      <c r="W818" s="152"/>
      <c r="X818" s="152"/>
      <c r="Y818" s="152"/>
      <c r="Z818" s="281"/>
      <c r="AA818" s="281"/>
      <c r="AB818" s="281"/>
      <c r="AC818" s="281"/>
      <c r="AD818" s="281"/>
      <c r="AE818" s="281"/>
      <c r="AF818" s="282"/>
      <c r="AG818" s="170"/>
      <c r="AH818" s="152"/>
      <c r="AI818" s="152"/>
      <c r="AJ818" s="152"/>
      <c r="AK818" s="152"/>
      <c r="AL818" s="152"/>
      <c r="AM818" s="152"/>
      <c r="AN818" s="152"/>
      <c r="AO818" s="152"/>
      <c r="AP818" s="152"/>
      <c r="AQ818" s="152"/>
      <c r="AR818" s="152"/>
    </row>
    <row r="819" ht="12.75" customHeight="1">
      <c r="A819" s="288"/>
      <c r="B819" s="288"/>
      <c r="C819" s="288"/>
      <c r="D819" s="152"/>
      <c r="E819" s="289"/>
      <c r="F819" s="289"/>
      <c r="G819" s="152"/>
      <c r="H819" s="152"/>
      <c r="I819" s="152"/>
      <c r="J819" s="152"/>
      <c r="K819" s="289"/>
      <c r="L819" s="289"/>
      <c r="M819" s="152"/>
      <c r="N819" s="152"/>
      <c r="O819" s="156"/>
      <c r="P819" s="152"/>
      <c r="Q819" s="152"/>
      <c r="R819" s="152"/>
      <c r="S819" s="152"/>
      <c r="T819" s="152"/>
      <c r="U819" s="152"/>
      <c r="V819" s="152"/>
      <c r="W819" s="152"/>
      <c r="X819" s="152"/>
      <c r="Y819" s="152"/>
      <c r="Z819" s="281"/>
      <c r="AA819" s="281"/>
      <c r="AB819" s="281"/>
      <c r="AC819" s="281"/>
      <c r="AD819" s="281"/>
      <c r="AE819" s="281"/>
      <c r="AF819" s="282"/>
      <c r="AG819" s="170"/>
      <c r="AH819" s="152"/>
      <c r="AI819" s="152"/>
      <c r="AJ819" s="152"/>
      <c r="AK819" s="152"/>
      <c r="AL819" s="152"/>
      <c r="AM819" s="152"/>
      <c r="AN819" s="152"/>
      <c r="AO819" s="152"/>
      <c r="AP819" s="152"/>
      <c r="AQ819" s="152"/>
      <c r="AR819" s="152"/>
    </row>
    <row r="820" ht="12.75" customHeight="1">
      <c r="A820" s="288"/>
      <c r="B820" s="288"/>
      <c r="C820" s="288"/>
      <c r="D820" s="152"/>
      <c r="E820" s="289"/>
      <c r="F820" s="289"/>
      <c r="G820" s="152"/>
      <c r="H820" s="152"/>
      <c r="I820" s="152"/>
      <c r="J820" s="152"/>
      <c r="K820" s="289"/>
      <c r="L820" s="289"/>
      <c r="M820" s="152"/>
      <c r="N820" s="152"/>
      <c r="O820" s="156"/>
      <c r="P820" s="152"/>
      <c r="Q820" s="152"/>
      <c r="R820" s="152"/>
      <c r="S820" s="152"/>
      <c r="T820" s="152"/>
      <c r="U820" s="152"/>
      <c r="V820" s="152"/>
      <c r="W820" s="152"/>
      <c r="X820" s="152"/>
      <c r="Y820" s="152"/>
      <c r="Z820" s="281"/>
      <c r="AA820" s="281"/>
      <c r="AB820" s="281"/>
      <c r="AC820" s="281"/>
      <c r="AD820" s="281"/>
      <c r="AE820" s="281"/>
      <c r="AF820" s="282"/>
      <c r="AG820" s="170"/>
      <c r="AH820" s="152"/>
      <c r="AI820" s="152"/>
      <c r="AJ820" s="152"/>
      <c r="AK820" s="152"/>
      <c r="AL820" s="152"/>
      <c r="AM820" s="152"/>
      <c r="AN820" s="152"/>
      <c r="AO820" s="152"/>
      <c r="AP820" s="152"/>
      <c r="AQ820" s="152"/>
      <c r="AR820" s="152"/>
    </row>
    <row r="821" ht="12.75" customHeight="1">
      <c r="A821" s="288"/>
      <c r="B821" s="288"/>
      <c r="C821" s="288"/>
      <c r="D821" s="152"/>
      <c r="E821" s="289"/>
      <c r="F821" s="289"/>
      <c r="G821" s="152"/>
      <c r="H821" s="152"/>
      <c r="I821" s="152"/>
      <c r="J821" s="152"/>
      <c r="K821" s="289"/>
      <c r="L821" s="289"/>
      <c r="M821" s="152"/>
      <c r="N821" s="152"/>
      <c r="O821" s="156"/>
      <c r="P821" s="152"/>
      <c r="Q821" s="152"/>
      <c r="R821" s="152"/>
      <c r="S821" s="152"/>
      <c r="T821" s="152"/>
      <c r="U821" s="152"/>
      <c r="V821" s="152"/>
      <c r="W821" s="152"/>
      <c r="X821" s="152"/>
      <c r="Y821" s="152"/>
      <c r="Z821" s="281"/>
      <c r="AA821" s="281"/>
      <c r="AB821" s="281"/>
      <c r="AC821" s="281"/>
      <c r="AD821" s="281"/>
      <c r="AE821" s="281"/>
      <c r="AF821" s="282"/>
      <c r="AG821" s="170"/>
      <c r="AH821" s="152"/>
      <c r="AI821" s="152"/>
      <c r="AJ821" s="152"/>
      <c r="AK821" s="152"/>
      <c r="AL821" s="152"/>
      <c r="AM821" s="152"/>
      <c r="AN821" s="152"/>
      <c r="AO821" s="152"/>
      <c r="AP821" s="152"/>
      <c r="AQ821" s="152"/>
      <c r="AR821" s="152"/>
    </row>
    <row r="822" ht="12.75" customHeight="1">
      <c r="A822" s="288"/>
      <c r="B822" s="288"/>
      <c r="C822" s="288"/>
      <c r="D822" s="152"/>
      <c r="E822" s="289"/>
      <c r="F822" s="289"/>
      <c r="G822" s="152"/>
      <c r="H822" s="152"/>
      <c r="I822" s="152"/>
      <c r="J822" s="152"/>
      <c r="K822" s="289"/>
      <c r="L822" s="289"/>
      <c r="M822" s="152"/>
      <c r="N822" s="152"/>
      <c r="O822" s="156"/>
      <c r="P822" s="152"/>
      <c r="Q822" s="152"/>
      <c r="R822" s="152"/>
      <c r="S822" s="152"/>
      <c r="T822" s="152"/>
      <c r="U822" s="152"/>
      <c r="V822" s="152"/>
      <c r="W822" s="152"/>
      <c r="X822" s="152"/>
      <c r="Y822" s="152"/>
      <c r="Z822" s="281"/>
      <c r="AA822" s="281"/>
      <c r="AB822" s="281"/>
      <c r="AC822" s="281"/>
      <c r="AD822" s="281"/>
      <c r="AE822" s="281"/>
      <c r="AF822" s="282"/>
      <c r="AG822" s="170"/>
      <c r="AH822" s="152"/>
      <c r="AI822" s="152"/>
      <c r="AJ822" s="152"/>
      <c r="AK822" s="152"/>
      <c r="AL822" s="152"/>
      <c r="AM822" s="152"/>
      <c r="AN822" s="152"/>
      <c r="AO822" s="152"/>
      <c r="AP822" s="152"/>
      <c r="AQ822" s="152"/>
      <c r="AR822" s="152"/>
    </row>
    <row r="823" ht="12.75" customHeight="1">
      <c r="A823" s="288"/>
      <c r="B823" s="288"/>
      <c r="C823" s="288"/>
      <c r="D823" s="152"/>
      <c r="E823" s="289"/>
      <c r="F823" s="289"/>
      <c r="G823" s="152"/>
      <c r="H823" s="152"/>
      <c r="I823" s="152"/>
      <c r="J823" s="152"/>
      <c r="K823" s="289"/>
      <c r="L823" s="289"/>
      <c r="M823" s="152"/>
      <c r="N823" s="152"/>
      <c r="O823" s="156"/>
      <c r="P823" s="152"/>
      <c r="Q823" s="152"/>
      <c r="R823" s="152"/>
      <c r="S823" s="152"/>
      <c r="T823" s="152"/>
      <c r="U823" s="152"/>
      <c r="V823" s="152"/>
      <c r="W823" s="152"/>
      <c r="X823" s="152"/>
      <c r="Y823" s="152"/>
      <c r="Z823" s="281"/>
      <c r="AA823" s="281"/>
      <c r="AB823" s="281"/>
      <c r="AC823" s="281"/>
      <c r="AD823" s="281"/>
      <c r="AE823" s="281"/>
      <c r="AF823" s="282"/>
      <c r="AG823" s="170"/>
      <c r="AH823" s="152"/>
      <c r="AI823" s="152"/>
      <c r="AJ823" s="152"/>
      <c r="AK823" s="152"/>
      <c r="AL823" s="152"/>
      <c r="AM823" s="152"/>
      <c r="AN823" s="152"/>
      <c r="AO823" s="152"/>
      <c r="AP823" s="152"/>
      <c r="AQ823" s="152"/>
      <c r="AR823" s="152"/>
    </row>
    <row r="824" ht="12.75" customHeight="1">
      <c r="A824" s="288"/>
      <c r="B824" s="288"/>
      <c r="C824" s="288"/>
      <c r="D824" s="152"/>
      <c r="E824" s="289"/>
      <c r="F824" s="289"/>
      <c r="G824" s="152"/>
      <c r="H824" s="152"/>
      <c r="I824" s="152"/>
      <c r="J824" s="152"/>
      <c r="K824" s="289"/>
      <c r="L824" s="289"/>
      <c r="M824" s="152"/>
      <c r="N824" s="152"/>
      <c r="O824" s="156"/>
      <c r="P824" s="152"/>
      <c r="Q824" s="152"/>
      <c r="R824" s="152"/>
      <c r="S824" s="152"/>
      <c r="T824" s="152"/>
      <c r="U824" s="152"/>
      <c r="V824" s="152"/>
      <c r="W824" s="152"/>
      <c r="X824" s="152"/>
      <c r="Y824" s="152"/>
      <c r="Z824" s="281"/>
      <c r="AA824" s="281"/>
      <c r="AB824" s="281"/>
      <c r="AC824" s="281"/>
      <c r="AD824" s="281"/>
      <c r="AE824" s="281"/>
      <c r="AF824" s="282"/>
      <c r="AG824" s="170"/>
      <c r="AH824" s="152"/>
      <c r="AI824" s="152"/>
      <c r="AJ824" s="152"/>
      <c r="AK824" s="152"/>
      <c r="AL824" s="152"/>
      <c r="AM824" s="152"/>
      <c r="AN824" s="152"/>
      <c r="AO824" s="152"/>
      <c r="AP824" s="152"/>
      <c r="AQ824" s="152"/>
      <c r="AR824" s="152"/>
    </row>
    <row r="825" ht="12.75" customHeight="1">
      <c r="A825" s="288"/>
      <c r="B825" s="288"/>
      <c r="C825" s="288"/>
      <c r="D825" s="152"/>
      <c r="E825" s="289"/>
      <c r="F825" s="289"/>
      <c r="G825" s="152"/>
      <c r="H825" s="152"/>
      <c r="I825" s="152"/>
      <c r="J825" s="152"/>
      <c r="K825" s="289"/>
      <c r="L825" s="289"/>
      <c r="M825" s="152"/>
      <c r="N825" s="152"/>
      <c r="O825" s="156"/>
      <c r="P825" s="152"/>
      <c r="Q825" s="152"/>
      <c r="R825" s="152"/>
      <c r="S825" s="152"/>
      <c r="T825" s="152"/>
      <c r="U825" s="152"/>
      <c r="V825" s="152"/>
      <c r="W825" s="152"/>
      <c r="X825" s="152"/>
      <c r="Y825" s="152"/>
      <c r="Z825" s="281"/>
      <c r="AA825" s="281"/>
      <c r="AB825" s="281"/>
      <c r="AC825" s="281"/>
      <c r="AD825" s="281"/>
      <c r="AE825" s="281"/>
      <c r="AF825" s="282"/>
      <c r="AG825" s="170"/>
      <c r="AH825" s="152"/>
      <c r="AI825" s="152"/>
      <c r="AJ825" s="152"/>
      <c r="AK825" s="152"/>
      <c r="AL825" s="152"/>
      <c r="AM825" s="152"/>
      <c r="AN825" s="152"/>
      <c r="AO825" s="152"/>
      <c r="AP825" s="152"/>
      <c r="AQ825" s="152"/>
      <c r="AR825" s="152"/>
    </row>
    <row r="826" ht="12.75" customHeight="1">
      <c r="A826" s="288"/>
      <c r="B826" s="288"/>
      <c r="C826" s="288"/>
      <c r="D826" s="152"/>
      <c r="E826" s="289"/>
      <c r="F826" s="289"/>
      <c r="G826" s="152"/>
      <c r="H826" s="152"/>
      <c r="I826" s="152"/>
      <c r="J826" s="152"/>
      <c r="K826" s="289"/>
      <c r="L826" s="289"/>
      <c r="M826" s="152"/>
      <c r="N826" s="152"/>
      <c r="O826" s="156"/>
      <c r="P826" s="152"/>
      <c r="Q826" s="152"/>
      <c r="R826" s="152"/>
      <c r="S826" s="152"/>
      <c r="T826" s="152"/>
      <c r="U826" s="152"/>
      <c r="V826" s="152"/>
      <c r="W826" s="152"/>
      <c r="X826" s="152"/>
      <c r="Y826" s="152"/>
      <c r="Z826" s="281"/>
      <c r="AA826" s="281"/>
      <c r="AB826" s="281"/>
      <c r="AC826" s="281"/>
      <c r="AD826" s="281"/>
      <c r="AE826" s="281"/>
      <c r="AF826" s="282"/>
      <c r="AG826" s="170"/>
      <c r="AH826" s="152"/>
      <c r="AI826" s="152"/>
      <c r="AJ826" s="152"/>
      <c r="AK826" s="152"/>
      <c r="AL826" s="152"/>
      <c r="AM826" s="152"/>
      <c r="AN826" s="152"/>
      <c r="AO826" s="152"/>
      <c r="AP826" s="152"/>
      <c r="AQ826" s="152"/>
      <c r="AR826" s="152"/>
    </row>
    <row r="827" ht="12.75" customHeight="1">
      <c r="A827" s="288"/>
      <c r="B827" s="288"/>
      <c r="C827" s="288"/>
      <c r="D827" s="152"/>
      <c r="E827" s="289"/>
      <c r="F827" s="289"/>
      <c r="G827" s="152"/>
      <c r="H827" s="152"/>
      <c r="I827" s="152"/>
      <c r="J827" s="152"/>
      <c r="K827" s="289"/>
      <c r="L827" s="289"/>
      <c r="M827" s="152"/>
      <c r="N827" s="152"/>
      <c r="O827" s="156"/>
      <c r="P827" s="152"/>
      <c r="Q827" s="152"/>
      <c r="R827" s="152"/>
      <c r="S827" s="152"/>
      <c r="T827" s="152"/>
      <c r="U827" s="152"/>
      <c r="V827" s="152"/>
      <c r="W827" s="152"/>
      <c r="X827" s="152"/>
      <c r="Y827" s="152"/>
      <c r="Z827" s="281"/>
      <c r="AA827" s="281"/>
      <c r="AB827" s="281"/>
      <c r="AC827" s="281"/>
      <c r="AD827" s="281"/>
      <c r="AE827" s="281"/>
      <c r="AF827" s="282"/>
      <c r="AG827" s="170"/>
      <c r="AH827" s="152"/>
      <c r="AI827" s="152"/>
      <c r="AJ827" s="152"/>
      <c r="AK827" s="152"/>
      <c r="AL827" s="152"/>
      <c r="AM827" s="152"/>
      <c r="AN827" s="152"/>
      <c r="AO827" s="152"/>
      <c r="AP827" s="152"/>
      <c r="AQ827" s="152"/>
      <c r="AR827" s="152"/>
    </row>
    <row r="828" ht="12.75" customHeight="1">
      <c r="A828" s="288"/>
      <c r="B828" s="288"/>
      <c r="C828" s="288"/>
      <c r="D828" s="152"/>
      <c r="E828" s="289"/>
      <c r="F828" s="289"/>
      <c r="G828" s="152"/>
      <c r="H828" s="152"/>
      <c r="I828" s="152"/>
      <c r="J828" s="152"/>
      <c r="K828" s="289"/>
      <c r="L828" s="289"/>
      <c r="M828" s="152"/>
      <c r="N828" s="152"/>
      <c r="O828" s="156"/>
      <c r="P828" s="152"/>
      <c r="Q828" s="152"/>
      <c r="R828" s="152"/>
      <c r="S828" s="152"/>
      <c r="T828" s="152"/>
      <c r="U828" s="152"/>
      <c r="V828" s="152"/>
      <c r="W828" s="152"/>
      <c r="X828" s="152"/>
      <c r="Y828" s="152"/>
      <c r="Z828" s="281"/>
      <c r="AA828" s="281"/>
      <c r="AB828" s="281"/>
      <c r="AC828" s="281"/>
      <c r="AD828" s="281"/>
      <c r="AE828" s="281"/>
      <c r="AF828" s="282"/>
      <c r="AG828" s="170"/>
      <c r="AH828" s="152"/>
      <c r="AI828" s="152"/>
      <c r="AJ828" s="152"/>
      <c r="AK828" s="152"/>
      <c r="AL828" s="152"/>
      <c r="AM828" s="152"/>
      <c r="AN828" s="152"/>
      <c r="AO828" s="152"/>
      <c r="AP828" s="152"/>
      <c r="AQ828" s="152"/>
      <c r="AR828" s="152"/>
    </row>
    <row r="829" ht="12.75" customHeight="1">
      <c r="A829" s="288"/>
      <c r="B829" s="288"/>
      <c r="C829" s="288"/>
      <c r="D829" s="152"/>
      <c r="E829" s="289"/>
      <c r="F829" s="289"/>
      <c r="G829" s="152"/>
      <c r="H829" s="152"/>
      <c r="I829" s="152"/>
      <c r="J829" s="152"/>
      <c r="K829" s="289"/>
      <c r="L829" s="289"/>
      <c r="M829" s="152"/>
      <c r="N829" s="152"/>
      <c r="O829" s="156"/>
      <c r="P829" s="152"/>
      <c r="Q829" s="152"/>
      <c r="R829" s="152"/>
      <c r="S829" s="152"/>
      <c r="T829" s="152"/>
      <c r="U829" s="152"/>
      <c r="V829" s="152"/>
      <c r="W829" s="152"/>
      <c r="X829" s="152"/>
      <c r="Y829" s="152"/>
      <c r="Z829" s="281"/>
      <c r="AA829" s="281"/>
      <c r="AB829" s="281"/>
      <c r="AC829" s="281"/>
      <c r="AD829" s="281"/>
      <c r="AE829" s="281"/>
      <c r="AF829" s="282"/>
      <c r="AG829" s="170"/>
      <c r="AH829" s="152"/>
      <c r="AI829" s="152"/>
      <c r="AJ829" s="152"/>
      <c r="AK829" s="152"/>
      <c r="AL829" s="152"/>
      <c r="AM829" s="152"/>
      <c r="AN829" s="152"/>
      <c r="AO829" s="152"/>
      <c r="AP829" s="152"/>
      <c r="AQ829" s="152"/>
      <c r="AR829" s="152"/>
    </row>
    <row r="830" ht="12.75" customHeight="1">
      <c r="A830" s="288"/>
      <c r="B830" s="288"/>
      <c r="C830" s="288"/>
      <c r="D830" s="152"/>
      <c r="E830" s="289"/>
      <c r="F830" s="289"/>
      <c r="G830" s="152"/>
      <c r="H830" s="152"/>
      <c r="I830" s="152"/>
      <c r="J830" s="152"/>
      <c r="K830" s="289"/>
      <c r="L830" s="289"/>
      <c r="M830" s="152"/>
      <c r="N830" s="152"/>
      <c r="O830" s="156"/>
      <c r="P830" s="152"/>
      <c r="Q830" s="152"/>
      <c r="R830" s="152"/>
      <c r="S830" s="152"/>
      <c r="T830" s="152"/>
      <c r="U830" s="152"/>
      <c r="V830" s="152"/>
      <c r="W830" s="152"/>
      <c r="X830" s="152"/>
      <c r="Y830" s="152"/>
      <c r="Z830" s="281"/>
      <c r="AA830" s="281"/>
      <c r="AB830" s="281"/>
      <c r="AC830" s="281"/>
      <c r="AD830" s="281"/>
      <c r="AE830" s="281"/>
      <c r="AF830" s="282"/>
      <c r="AG830" s="170"/>
      <c r="AH830" s="152"/>
      <c r="AI830" s="152"/>
      <c r="AJ830" s="152"/>
      <c r="AK830" s="152"/>
      <c r="AL830" s="152"/>
      <c r="AM830" s="152"/>
      <c r="AN830" s="152"/>
      <c r="AO830" s="152"/>
      <c r="AP830" s="152"/>
      <c r="AQ830" s="152"/>
      <c r="AR830" s="152"/>
    </row>
    <row r="831" ht="12.75" customHeight="1">
      <c r="A831" s="288"/>
      <c r="B831" s="288"/>
      <c r="C831" s="288"/>
      <c r="D831" s="152"/>
      <c r="E831" s="289"/>
      <c r="F831" s="289"/>
      <c r="G831" s="152"/>
      <c r="H831" s="152"/>
      <c r="I831" s="152"/>
      <c r="J831" s="152"/>
      <c r="K831" s="289"/>
      <c r="L831" s="289"/>
      <c r="M831" s="152"/>
      <c r="N831" s="152"/>
      <c r="O831" s="156"/>
      <c r="P831" s="152"/>
      <c r="Q831" s="152"/>
      <c r="R831" s="152"/>
      <c r="S831" s="152"/>
      <c r="T831" s="152"/>
      <c r="U831" s="152"/>
      <c r="V831" s="152"/>
      <c r="W831" s="152"/>
      <c r="X831" s="152"/>
      <c r="Y831" s="152"/>
      <c r="Z831" s="281"/>
      <c r="AA831" s="281"/>
      <c r="AB831" s="281"/>
      <c r="AC831" s="281"/>
      <c r="AD831" s="281"/>
      <c r="AE831" s="281"/>
      <c r="AF831" s="282"/>
      <c r="AG831" s="170"/>
      <c r="AH831" s="152"/>
      <c r="AI831" s="152"/>
      <c r="AJ831" s="152"/>
      <c r="AK831" s="152"/>
      <c r="AL831" s="152"/>
      <c r="AM831" s="152"/>
      <c r="AN831" s="152"/>
      <c r="AO831" s="152"/>
      <c r="AP831" s="152"/>
      <c r="AQ831" s="152"/>
      <c r="AR831" s="152"/>
    </row>
    <row r="832" ht="12.75" customHeight="1">
      <c r="A832" s="288"/>
      <c r="B832" s="288"/>
      <c r="C832" s="288"/>
      <c r="D832" s="152"/>
      <c r="E832" s="289"/>
      <c r="F832" s="289"/>
      <c r="G832" s="152"/>
      <c r="H832" s="152"/>
      <c r="I832" s="152"/>
      <c r="J832" s="152"/>
      <c r="K832" s="289"/>
      <c r="L832" s="289"/>
      <c r="M832" s="152"/>
      <c r="N832" s="152"/>
      <c r="O832" s="156"/>
      <c r="P832" s="152"/>
      <c r="Q832" s="152"/>
      <c r="R832" s="152"/>
      <c r="S832" s="152"/>
      <c r="T832" s="152"/>
      <c r="U832" s="152"/>
      <c r="V832" s="152"/>
      <c r="W832" s="152"/>
      <c r="X832" s="152"/>
      <c r="Y832" s="152"/>
      <c r="Z832" s="281"/>
      <c r="AA832" s="281"/>
      <c r="AB832" s="281"/>
      <c r="AC832" s="281"/>
      <c r="AD832" s="281"/>
      <c r="AE832" s="281"/>
      <c r="AF832" s="282"/>
      <c r="AG832" s="170"/>
      <c r="AH832" s="152"/>
      <c r="AI832" s="152"/>
      <c r="AJ832" s="152"/>
      <c r="AK832" s="152"/>
      <c r="AL832" s="152"/>
      <c r="AM832" s="152"/>
      <c r="AN832" s="152"/>
      <c r="AO832" s="152"/>
      <c r="AP832" s="152"/>
      <c r="AQ832" s="152"/>
      <c r="AR832" s="152"/>
    </row>
    <row r="833" ht="12.75" customHeight="1">
      <c r="A833" s="288"/>
      <c r="B833" s="288"/>
      <c r="C833" s="288"/>
      <c r="D833" s="152"/>
      <c r="E833" s="289"/>
      <c r="F833" s="289"/>
      <c r="G833" s="152"/>
      <c r="H833" s="152"/>
      <c r="I833" s="152"/>
      <c r="J833" s="152"/>
      <c r="K833" s="289"/>
      <c r="L833" s="289"/>
      <c r="M833" s="152"/>
      <c r="N833" s="152"/>
      <c r="O833" s="156"/>
      <c r="P833" s="152"/>
      <c r="Q833" s="152"/>
      <c r="R833" s="152"/>
      <c r="S833" s="152"/>
      <c r="T833" s="152"/>
      <c r="U833" s="152"/>
      <c r="V833" s="152"/>
      <c r="W833" s="152"/>
      <c r="X833" s="152"/>
      <c r="Y833" s="152"/>
      <c r="Z833" s="281"/>
      <c r="AA833" s="281"/>
      <c r="AB833" s="281"/>
      <c r="AC833" s="281"/>
      <c r="AD833" s="281"/>
      <c r="AE833" s="281"/>
      <c r="AF833" s="282"/>
      <c r="AG833" s="170"/>
      <c r="AH833" s="152"/>
      <c r="AI833" s="152"/>
      <c r="AJ833" s="152"/>
      <c r="AK833" s="152"/>
      <c r="AL833" s="152"/>
      <c r="AM833" s="152"/>
      <c r="AN833" s="152"/>
      <c r="AO833" s="152"/>
      <c r="AP833" s="152"/>
      <c r="AQ833" s="152"/>
      <c r="AR833" s="152"/>
    </row>
    <row r="834" ht="12.75" customHeight="1">
      <c r="A834" s="288"/>
      <c r="B834" s="288"/>
      <c r="C834" s="288"/>
      <c r="D834" s="152"/>
      <c r="E834" s="289"/>
      <c r="F834" s="289"/>
      <c r="G834" s="152"/>
      <c r="H834" s="152"/>
      <c r="I834" s="152"/>
      <c r="J834" s="152"/>
      <c r="K834" s="289"/>
      <c r="L834" s="289"/>
      <c r="M834" s="152"/>
      <c r="N834" s="152"/>
      <c r="O834" s="156"/>
      <c r="P834" s="152"/>
      <c r="Q834" s="152"/>
      <c r="R834" s="152"/>
      <c r="S834" s="152"/>
      <c r="T834" s="152"/>
      <c r="U834" s="152"/>
      <c r="V834" s="152"/>
      <c r="W834" s="152"/>
      <c r="X834" s="152"/>
      <c r="Y834" s="152"/>
      <c r="Z834" s="281"/>
      <c r="AA834" s="281"/>
      <c r="AB834" s="281"/>
      <c r="AC834" s="281"/>
      <c r="AD834" s="281"/>
      <c r="AE834" s="281"/>
      <c r="AF834" s="282"/>
      <c r="AG834" s="170"/>
      <c r="AH834" s="152"/>
      <c r="AI834" s="152"/>
      <c r="AJ834" s="152"/>
      <c r="AK834" s="152"/>
      <c r="AL834" s="152"/>
      <c r="AM834" s="152"/>
      <c r="AN834" s="152"/>
      <c r="AO834" s="152"/>
      <c r="AP834" s="152"/>
      <c r="AQ834" s="152"/>
      <c r="AR834" s="152"/>
    </row>
    <row r="835" ht="12.75" customHeight="1">
      <c r="A835" s="288"/>
      <c r="B835" s="288"/>
      <c r="C835" s="288"/>
      <c r="D835" s="152"/>
      <c r="E835" s="289"/>
      <c r="F835" s="289"/>
      <c r="G835" s="152"/>
      <c r="H835" s="152"/>
      <c r="I835" s="152"/>
      <c r="J835" s="152"/>
      <c r="K835" s="289"/>
      <c r="L835" s="289"/>
      <c r="M835" s="152"/>
      <c r="N835" s="152"/>
      <c r="O835" s="156"/>
      <c r="P835" s="152"/>
      <c r="Q835" s="152"/>
      <c r="R835" s="152"/>
      <c r="S835" s="152"/>
      <c r="T835" s="152"/>
      <c r="U835" s="152"/>
      <c r="V835" s="152"/>
      <c r="W835" s="152"/>
      <c r="X835" s="152"/>
      <c r="Y835" s="152"/>
      <c r="Z835" s="281"/>
      <c r="AA835" s="281"/>
      <c r="AB835" s="281"/>
      <c r="AC835" s="281"/>
      <c r="AD835" s="281"/>
      <c r="AE835" s="281"/>
      <c r="AF835" s="282"/>
      <c r="AG835" s="170"/>
      <c r="AH835" s="152"/>
      <c r="AI835" s="152"/>
      <c r="AJ835" s="152"/>
      <c r="AK835" s="152"/>
      <c r="AL835" s="152"/>
      <c r="AM835" s="152"/>
      <c r="AN835" s="152"/>
      <c r="AO835" s="152"/>
      <c r="AP835" s="152"/>
      <c r="AQ835" s="152"/>
      <c r="AR835" s="152"/>
    </row>
    <row r="836" ht="12.75" customHeight="1">
      <c r="A836" s="288"/>
      <c r="B836" s="288"/>
      <c r="C836" s="288"/>
      <c r="D836" s="152"/>
      <c r="E836" s="289"/>
      <c r="F836" s="289"/>
      <c r="G836" s="152"/>
      <c r="H836" s="152"/>
      <c r="I836" s="152"/>
      <c r="J836" s="152"/>
      <c r="K836" s="289"/>
      <c r="L836" s="289"/>
      <c r="M836" s="152"/>
      <c r="N836" s="152"/>
      <c r="O836" s="156"/>
      <c r="P836" s="152"/>
      <c r="Q836" s="152"/>
      <c r="R836" s="152"/>
      <c r="S836" s="152"/>
      <c r="T836" s="152"/>
      <c r="U836" s="152"/>
      <c r="V836" s="152"/>
      <c r="W836" s="152"/>
      <c r="X836" s="152"/>
      <c r="Y836" s="152"/>
      <c r="Z836" s="281"/>
      <c r="AA836" s="281"/>
      <c r="AB836" s="281"/>
      <c r="AC836" s="281"/>
      <c r="AD836" s="281"/>
      <c r="AE836" s="281"/>
      <c r="AF836" s="282"/>
      <c r="AG836" s="170"/>
      <c r="AH836" s="152"/>
      <c r="AI836" s="152"/>
      <c r="AJ836" s="152"/>
      <c r="AK836" s="152"/>
      <c r="AL836" s="152"/>
      <c r="AM836" s="152"/>
      <c r="AN836" s="152"/>
      <c r="AO836" s="152"/>
      <c r="AP836" s="152"/>
      <c r="AQ836" s="152"/>
      <c r="AR836" s="152"/>
    </row>
    <row r="837" ht="12.75" customHeight="1">
      <c r="A837" s="288"/>
      <c r="B837" s="288"/>
      <c r="C837" s="288"/>
      <c r="D837" s="152"/>
      <c r="E837" s="289"/>
      <c r="F837" s="289"/>
      <c r="G837" s="152"/>
      <c r="H837" s="152"/>
      <c r="I837" s="152"/>
      <c r="J837" s="152"/>
      <c r="K837" s="289"/>
      <c r="L837" s="289"/>
      <c r="M837" s="152"/>
      <c r="N837" s="152"/>
      <c r="O837" s="156"/>
      <c r="P837" s="152"/>
      <c r="Q837" s="152"/>
      <c r="R837" s="152"/>
      <c r="S837" s="152"/>
      <c r="T837" s="152"/>
      <c r="U837" s="152"/>
      <c r="V837" s="152"/>
      <c r="W837" s="152"/>
      <c r="X837" s="152"/>
      <c r="Y837" s="152"/>
      <c r="Z837" s="281"/>
      <c r="AA837" s="281"/>
      <c r="AB837" s="281"/>
      <c r="AC837" s="281"/>
      <c r="AD837" s="281"/>
      <c r="AE837" s="281"/>
      <c r="AF837" s="282"/>
      <c r="AG837" s="170"/>
      <c r="AH837" s="152"/>
      <c r="AI837" s="152"/>
      <c r="AJ837" s="152"/>
      <c r="AK837" s="152"/>
      <c r="AL837" s="152"/>
      <c r="AM837" s="152"/>
      <c r="AN837" s="152"/>
      <c r="AO837" s="152"/>
      <c r="AP837" s="152"/>
      <c r="AQ837" s="152"/>
      <c r="AR837" s="152"/>
    </row>
    <row r="838" ht="12.75" customHeight="1">
      <c r="A838" s="288"/>
      <c r="B838" s="288"/>
      <c r="C838" s="288"/>
      <c r="D838" s="152"/>
      <c r="E838" s="289"/>
      <c r="F838" s="289"/>
      <c r="G838" s="152"/>
      <c r="H838" s="152"/>
      <c r="I838" s="152"/>
      <c r="J838" s="152"/>
      <c r="K838" s="289"/>
      <c r="L838" s="289"/>
      <c r="M838" s="152"/>
      <c r="N838" s="152"/>
      <c r="O838" s="156"/>
      <c r="P838" s="152"/>
      <c r="Q838" s="152"/>
      <c r="R838" s="152"/>
      <c r="S838" s="152"/>
      <c r="T838" s="152"/>
      <c r="U838" s="152"/>
      <c r="V838" s="152"/>
      <c r="W838" s="152"/>
      <c r="X838" s="152"/>
      <c r="Y838" s="152"/>
      <c r="Z838" s="281"/>
      <c r="AA838" s="281"/>
      <c r="AB838" s="281"/>
      <c r="AC838" s="281"/>
      <c r="AD838" s="281"/>
      <c r="AE838" s="281"/>
      <c r="AF838" s="282"/>
      <c r="AG838" s="170"/>
      <c r="AH838" s="152"/>
      <c r="AI838" s="152"/>
      <c r="AJ838" s="152"/>
      <c r="AK838" s="152"/>
      <c r="AL838" s="152"/>
      <c r="AM838" s="152"/>
      <c r="AN838" s="152"/>
      <c r="AO838" s="152"/>
      <c r="AP838" s="152"/>
      <c r="AQ838" s="152"/>
      <c r="AR838" s="152"/>
    </row>
    <row r="839" ht="12.75" customHeight="1">
      <c r="A839" s="288"/>
      <c r="B839" s="288"/>
      <c r="C839" s="288"/>
      <c r="D839" s="152"/>
      <c r="E839" s="289"/>
      <c r="F839" s="289"/>
      <c r="G839" s="152"/>
      <c r="H839" s="152"/>
      <c r="I839" s="152"/>
      <c r="J839" s="152"/>
      <c r="K839" s="289"/>
      <c r="L839" s="289"/>
      <c r="M839" s="152"/>
      <c r="N839" s="152"/>
      <c r="O839" s="156"/>
      <c r="P839" s="152"/>
      <c r="Q839" s="152"/>
      <c r="R839" s="152"/>
      <c r="S839" s="152"/>
      <c r="T839" s="152"/>
      <c r="U839" s="152"/>
      <c r="V839" s="152"/>
      <c r="W839" s="152"/>
      <c r="X839" s="152"/>
      <c r="Y839" s="152"/>
      <c r="Z839" s="281"/>
      <c r="AA839" s="281"/>
      <c r="AB839" s="281"/>
      <c r="AC839" s="281"/>
      <c r="AD839" s="281"/>
      <c r="AE839" s="281"/>
      <c r="AF839" s="282"/>
      <c r="AG839" s="170"/>
      <c r="AH839" s="152"/>
      <c r="AI839" s="152"/>
      <c r="AJ839" s="152"/>
      <c r="AK839" s="152"/>
      <c r="AL839" s="152"/>
      <c r="AM839" s="152"/>
      <c r="AN839" s="152"/>
      <c r="AO839" s="152"/>
      <c r="AP839" s="152"/>
      <c r="AQ839" s="152"/>
      <c r="AR839" s="152"/>
    </row>
    <row r="840" ht="12.75" customHeight="1">
      <c r="A840" s="288"/>
      <c r="B840" s="288"/>
      <c r="C840" s="288"/>
      <c r="D840" s="152"/>
      <c r="E840" s="289"/>
      <c r="F840" s="289"/>
      <c r="G840" s="152"/>
      <c r="H840" s="152"/>
      <c r="I840" s="152"/>
      <c r="J840" s="152"/>
      <c r="K840" s="289"/>
      <c r="L840" s="289"/>
      <c r="M840" s="152"/>
      <c r="N840" s="152"/>
      <c r="O840" s="156"/>
      <c r="P840" s="152"/>
      <c r="Q840" s="152"/>
      <c r="R840" s="152"/>
      <c r="S840" s="152"/>
      <c r="T840" s="152"/>
      <c r="U840" s="152"/>
      <c r="V840" s="152"/>
      <c r="W840" s="152"/>
      <c r="X840" s="152"/>
      <c r="Y840" s="152"/>
      <c r="Z840" s="281"/>
      <c r="AA840" s="281"/>
      <c r="AB840" s="281"/>
      <c r="AC840" s="281"/>
      <c r="AD840" s="281"/>
      <c r="AE840" s="281"/>
      <c r="AF840" s="282"/>
      <c r="AG840" s="170"/>
      <c r="AH840" s="152"/>
      <c r="AI840" s="152"/>
      <c r="AJ840" s="152"/>
      <c r="AK840" s="152"/>
      <c r="AL840" s="152"/>
      <c r="AM840" s="152"/>
      <c r="AN840" s="152"/>
      <c r="AO840" s="152"/>
      <c r="AP840" s="152"/>
      <c r="AQ840" s="152"/>
      <c r="AR840" s="152"/>
    </row>
    <row r="841" ht="12.75" customHeight="1">
      <c r="A841" s="288"/>
      <c r="B841" s="288"/>
      <c r="C841" s="288"/>
      <c r="D841" s="152"/>
      <c r="E841" s="289"/>
      <c r="F841" s="289"/>
      <c r="G841" s="152"/>
      <c r="H841" s="152"/>
      <c r="I841" s="152"/>
      <c r="J841" s="152"/>
      <c r="K841" s="289"/>
      <c r="L841" s="289"/>
      <c r="M841" s="152"/>
      <c r="N841" s="152"/>
      <c r="O841" s="156"/>
      <c r="P841" s="152"/>
      <c r="Q841" s="152"/>
      <c r="R841" s="152"/>
      <c r="S841" s="152"/>
      <c r="T841" s="152"/>
      <c r="U841" s="152"/>
      <c r="V841" s="152"/>
      <c r="W841" s="152"/>
      <c r="X841" s="152"/>
      <c r="Y841" s="152"/>
      <c r="Z841" s="281"/>
      <c r="AA841" s="281"/>
      <c r="AB841" s="281"/>
      <c r="AC841" s="281"/>
      <c r="AD841" s="281"/>
      <c r="AE841" s="281"/>
      <c r="AF841" s="282"/>
      <c r="AG841" s="170"/>
      <c r="AH841" s="152"/>
      <c r="AI841" s="152"/>
      <c r="AJ841" s="152"/>
      <c r="AK841" s="152"/>
      <c r="AL841" s="152"/>
      <c r="AM841" s="152"/>
      <c r="AN841" s="152"/>
      <c r="AO841" s="152"/>
      <c r="AP841" s="152"/>
      <c r="AQ841" s="152"/>
      <c r="AR841" s="152"/>
    </row>
    <row r="842" ht="12.75" customHeight="1">
      <c r="A842" s="288"/>
      <c r="B842" s="288"/>
      <c r="C842" s="288"/>
      <c r="D842" s="152"/>
      <c r="E842" s="289"/>
      <c r="F842" s="289"/>
      <c r="G842" s="152"/>
      <c r="H842" s="152"/>
      <c r="I842" s="152"/>
      <c r="J842" s="152"/>
      <c r="K842" s="289"/>
      <c r="L842" s="289"/>
      <c r="M842" s="152"/>
      <c r="N842" s="152"/>
      <c r="O842" s="156"/>
      <c r="P842" s="152"/>
      <c r="Q842" s="152"/>
      <c r="R842" s="152"/>
      <c r="S842" s="152"/>
      <c r="T842" s="152"/>
      <c r="U842" s="152"/>
      <c r="V842" s="152"/>
      <c r="W842" s="152"/>
      <c r="X842" s="152"/>
      <c r="Y842" s="152"/>
      <c r="Z842" s="281"/>
      <c r="AA842" s="281"/>
      <c r="AB842" s="281"/>
      <c r="AC842" s="281"/>
      <c r="AD842" s="281"/>
      <c r="AE842" s="281"/>
      <c r="AF842" s="282"/>
      <c r="AG842" s="170"/>
      <c r="AH842" s="152"/>
      <c r="AI842" s="152"/>
      <c r="AJ842" s="152"/>
      <c r="AK842" s="152"/>
      <c r="AL842" s="152"/>
      <c r="AM842" s="152"/>
      <c r="AN842" s="152"/>
      <c r="AO842" s="152"/>
      <c r="AP842" s="152"/>
      <c r="AQ842" s="152"/>
      <c r="AR842" s="152"/>
    </row>
    <row r="843" ht="12.75" customHeight="1">
      <c r="A843" s="288"/>
      <c r="B843" s="288"/>
      <c r="C843" s="288"/>
      <c r="D843" s="152"/>
      <c r="E843" s="289"/>
      <c r="F843" s="289"/>
      <c r="G843" s="152"/>
      <c r="H843" s="152"/>
      <c r="I843" s="152"/>
      <c r="J843" s="152"/>
      <c r="K843" s="289"/>
      <c r="L843" s="289"/>
      <c r="M843" s="152"/>
      <c r="N843" s="152"/>
      <c r="O843" s="156"/>
      <c r="P843" s="152"/>
      <c r="Q843" s="152"/>
      <c r="R843" s="152"/>
      <c r="S843" s="152"/>
      <c r="T843" s="152"/>
      <c r="U843" s="152"/>
      <c r="V843" s="152"/>
      <c r="W843" s="152"/>
      <c r="X843" s="152"/>
      <c r="Y843" s="152"/>
      <c r="Z843" s="281"/>
      <c r="AA843" s="281"/>
      <c r="AB843" s="281"/>
      <c r="AC843" s="281"/>
      <c r="AD843" s="281"/>
      <c r="AE843" s="281"/>
      <c r="AF843" s="282"/>
      <c r="AG843" s="170"/>
      <c r="AH843" s="152"/>
      <c r="AI843" s="152"/>
      <c r="AJ843" s="152"/>
      <c r="AK843" s="152"/>
      <c r="AL843" s="152"/>
      <c r="AM843" s="152"/>
      <c r="AN843" s="152"/>
      <c r="AO843" s="152"/>
      <c r="AP843" s="152"/>
      <c r="AQ843" s="152"/>
      <c r="AR843" s="152"/>
    </row>
    <row r="844" ht="12.75" customHeight="1">
      <c r="A844" s="288"/>
      <c r="B844" s="288"/>
      <c r="C844" s="288"/>
      <c r="D844" s="152"/>
      <c r="E844" s="289"/>
      <c r="F844" s="289"/>
      <c r="G844" s="152"/>
      <c r="H844" s="152"/>
      <c r="I844" s="152"/>
      <c r="J844" s="152"/>
      <c r="K844" s="289"/>
      <c r="L844" s="289"/>
      <c r="M844" s="152"/>
      <c r="N844" s="152"/>
      <c r="O844" s="156"/>
      <c r="P844" s="152"/>
      <c r="Q844" s="152"/>
      <c r="R844" s="152"/>
      <c r="S844" s="152"/>
      <c r="T844" s="152"/>
      <c r="U844" s="152"/>
      <c r="V844" s="152"/>
      <c r="W844" s="152"/>
      <c r="X844" s="152"/>
      <c r="Y844" s="152"/>
      <c r="Z844" s="281"/>
      <c r="AA844" s="281"/>
      <c r="AB844" s="281"/>
      <c r="AC844" s="281"/>
      <c r="AD844" s="281"/>
      <c r="AE844" s="281"/>
      <c r="AF844" s="282"/>
      <c r="AG844" s="170"/>
      <c r="AH844" s="152"/>
      <c r="AI844" s="152"/>
      <c r="AJ844" s="152"/>
      <c r="AK844" s="152"/>
      <c r="AL844" s="152"/>
      <c r="AM844" s="152"/>
      <c r="AN844" s="152"/>
      <c r="AO844" s="152"/>
      <c r="AP844" s="152"/>
      <c r="AQ844" s="152"/>
      <c r="AR844" s="152"/>
    </row>
    <row r="845" ht="12.75" customHeight="1">
      <c r="A845" s="288"/>
      <c r="B845" s="288"/>
      <c r="C845" s="288"/>
      <c r="D845" s="152"/>
      <c r="E845" s="289"/>
      <c r="F845" s="289"/>
      <c r="G845" s="152"/>
      <c r="H845" s="152"/>
      <c r="I845" s="152"/>
      <c r="J845" s="152"/>
      <c r="K845" s="289"/>
      <c r="L845" s="289"/>
      <c r="M845" s="152"/>
      <c r="N845" s="152"/>
      <c r="O845" s="156"/>
      <c r="P845" s="152"/>
      <c r="Q845" s="152"/>
      <c r="R845" s="152"/>
      <c r="S845" s="152"/>
      <c r="T845" s="152"/>
      <c r="U845" s="152"/>
      <c r="V845" s="152"/>
      <c r="W845" s="152"/>
      <c r="X845" s="152"/>
      <c r="Y845" s="152"/>
      <c r="Z845" s="281"/>
      <c r="AA845" s="281"/>
      <c r="AB845" s="281"/>
      <c r="AC845" s="281"/>
      <c r="AD845" s="281"/>
      <c r="AE845" s="281"/>
      <c r="AF845" s="282"/>
      <c r="AG845" s="170"/>
      <c r="AH845" s="152"/>
      <c r="AI845" s="152"/>
      <c r="AJ845" s="152"/>
      <c r="AK845" s="152"/>
      <c r="AL845" s="152"/>
      <c r="AM845" s="152"/>
      <c r="AN845" s="152"/>
      <c r="AO845" s="152"/>
      <c r="AP845" s="152"/>
      <c r="AQ845" s="152"/>
      <c r="AR845" s="152"/>
    </row>
    <row r="846" ht="12.75" customHeight="1">
      <c r="A846" s="288"/>
      <c r="B846" s="288"/>
      <c r="C846" s="288"/>
      <c r="D846" s="152"/>
      <c r="E846" s="289"/>
      <c r="F846" s="289"/>
      <c r="G846" s="152"/>
      <c r="H846" s="152"/>
      <c r="I846" s="152"/>
      <c r="J846" s="152"/>
      <c r="K846" s="289"/>
      <c r="L846" s="289"/>
      <c r="M846" s="152"/>
      <c r="N846" s="152"/>
      <c r="O846" s="156"/>
      <c r="P846" s="152"/>
      <c r="Q846" s="152"/>
      <c r="R846" s="152"/>
      <c r="S846" s="152"/>
      <c r="T846" s="152"/>
      <c r="U846" s="152"/>
      <c r="V846" s="152"/>
      <c r="W846" s="152"/>
      <c r="X846" s="152"/>
      <c r="Y846" s="152"/>
      <c r="Z846" s="281"/>
      <c r="AA846" s="281"/>
      <c r="AB846" s="281"/>
      <c r="AC846" s="281"/>
      <c r="AD846" s="281"/>
      <c r="AE846" s="281"/>
      <c r="AF846" s="282"/>
      <c r="AG846" s="170"/>
      <c r="AH846" s="152"/>
      <c r="AI846" s="152"/>
      <c r="AJ846" s="152"/>
      <c r="AK846" s="152"/>
      <c r="AL846" s="152"/>
      <c r="AM846" s="152"/>
      <c r="AN846" s="152"/>
      <c r="AO846" s="152"/>
      <c r="AP846" s="152"/>
      <c r="AQ846" s="152"/>
      <c r="AR846" s="152"/>
    </row>
    <row r="847" ht="12.75" customHeight="1">
      <c r="A847" s="288"/>
      <c r="B847" s="288"/>
      <c r="C847" s="288"/>
      <c r="D847" s="152"/>
      <c r="E847" s="289"/>
      <c r="F847" s="289"/>
      <c r="G847" s="152"/>
      <c r="H847" s="152"/>
      <c r="I847" s="152"/>
      <c r="J847" s="152"/>
      <c r="K847" s="289"/>
      <c r="L847" s="289"/>
      <c r="M847" s="152"/>
      <c r="N847" s="152"/>
      <c r="O847" s="156"/>
      <c r="P847" s="152"/>
      <c r="Q847" s="152"/>
      <c r="R847" s="152"/>
      <c r="S847" s="152"/>
      <c r="T847" s="152"/>
      <c r="U847" s="152"/>
      <c r="V847" s="152"/>
      <c r="W847" s="152"/>
      <c r="X847" s="152"/>
      <c r="Y847" s="152"/>
      <c r="Z847" s="281"/>
      <c r="AA847" s="281"/>
      <c r="AB847" s="281"/>
      <c r="AC847" s="281"/>
      <c r="AD847" s="281"/>
      <c r="AE847" s="281"/>
      <c r="AF847" s="282"/>
      <c r="AG847" s="170"/>
      <c r="AH847" s="152"/>
      <c r="AI847" s="152"/>
      <c r="AJ847" s="152"/>
      <c r="AK847" s="152"/>
      <c r="AL847" s="152"/>
      <c r="AM847" s="152"/>
      <c r="AN847" s="152"/>
      <c r="AO847" s="152"/>
      <c r="AP847" s="152"/>
      <c r="AQ847" s="152"/>
      <c r="AR847" s="152"/>
    </row>
    <row r="848" ht="12.75" customHeight="1">
      <c r="A848" s="288"/>
      <c r="B848" s="288"/>
      <c r="C848" s="288"/>
      <c r="D848" s="152"/>
      <c r="E848" s="289"/>
      <c r="F848" s="289"/>
      <c r="G848" s="152"/>
      <c r="H848" s="152"/>
      <c r="I848" s="152"/>
      <c r="J848" s="152"/>
      <c r="K848" s="289"/>
      <c r="L848" s="289"/>
      <c r="M848" s="152"/>
      <c r="N848" s="152"/>
      <c r="O848" s="156"/>
      <c r="P848" s="152"/>
      <c r="Q848" s="152"/>
      <c r="R848" s="152"/>
      <c r="S848" s="152"/>
      <c r="T848" s="152"/>
      <c r="U848" s="152"/>
      <c r="V848" s="152"/>
      <c r="W848" s="152"/>
      <c r="X848" s="152"/>
      <c r="Y848" s="152"/>
      <c r="Z848" s="281"/>
      <c r="AA848" s="281"/>
      <c r="AB848" s="281"/>
      <c r="AC848" s="281"/>
      <c r="AD848" s="281"/>
      <c r="AE848" s="281"/>
      <c r="AF848" s="282"/>
      <c r="AG848" s="170"/>
      <c r="AH848" s="152"/>
      <c r="AI848" s="152"/>
      <c r="AJ848" s="152"/>
      <c r="AK848" s="152"/>
      <c r="AL848" s="152"/>
      <c r="AM848" s="152"/>
      <c r="AN848" s="152"/>
      <c r="AO848" s="152"/>
      <c r="AP848" s="152"/>
      <c r="AQ848" s="152"/>
      <c r="AR848" s="152"/>
    </row>
    <row r="849" ht="12.75" customHeight="1">
      <c r="A849" s="288"/>
      <c r="B849" s="288"/>
      <c r="C849" s="288"/>
      <c r="D849" s="152"/>
      <c r="E849" s="289"/>
      <c r="F849" s="289"/>
      <c r="G849" s="152"/>
      <c r="H849" s="152"/>
      <c r="I849" s="152"/>
      <c r="J849" s="152"/>
      <c r="K849" s="289"/>
      <c r="L849" s="289"/>
      <c r="M849" s="152"/>
      <c r="N849" s="152"/>
      <c r="O849" s="156"/>
      <c r="P849" s="152"/>
      <c r="Q849" s="152"/>
      <c r="R849" s="152"/>
      <c r="S849" s="152"/>
      <c r="T849" s="152"/>
      <c r="U849" s="152"/>
      <c r="V849" s="152"/>
      <c r="W849" s="152"/>
      <c r="X849" s="152"/>
      <c r="Y849" s="152"/>
      <c r="Z849" s="281"/>
      <c r="AA849" s="281"/>
      <c r="AB849" s="281"/>
      <c r="AC849" s="281"/>
      <c r="AD849" s="281"/>
      <c r="AE849" s="281"/>
      <c r="AF849" s="282"/>
      <c r="AG849" s="170"/>
      <c r="AH849" s="152"/>
      <c r="AI849" s="152"/>
      <c r="AJ849" s="152"/>
      <c r="AK849" s="152"/>
      <c r="AL849" s="152"/>
      <c r="AM849" s="152"/>
      <c r="AN849" s="152"/>
      <c r="AO849" s="152"/>
      <c r="AP849" s="152"/>
      <c r="AQ849" s="152"/>
      <c r="AR849" s="152"/>
    </row>
    <row r="850" ht="12.75" customHeight="1">
      <c r="A850" s="288"/>
      <c r="B850" s="288"/>
      <c r="C850" s="288"/>
      <c r="D850" s="152"/>
      <c r="E850" s="289"/>
      <c r="F850" s="289"/>
      <c r="G850" s="152"/>
      <c r="H850" s="152"/>
      <c r="I850" s="152"/>
      <c r="J850" s="152"/>
      <c r="K850" s="289"/>
      <c r="L850" s="289"/>
      <c r="M850" s="152"/>
      <c r="N850" s="152"/>
      <c r="O850" s="156"/>
      <c r="P850" s="152"/>
      <c r="Q850" s="152"/>
      <c r="R850" s="152"/>
      <c r="S850" s="152"/>
      <c r="T850" s="152"/>
      <c r="U850" s="152"/>
      <c r="V850" s="152"/>
      <c r="W850" s="152"/>
      <c r="X850" s="152"/>
      <c r="Y850" s="152"/>
      <c r="Z850" s="281"/>
      <c r="AA850" s="281"/>
      <c r="AB850" s="281"/>
      <c r="AC850" s="281"/>
      <c r="AD850" s="281"/>
      <c r="AE850" s="281"/>
      <c r="AF850" s="282"/>
      <c r="AG850" s="170"/>
      <c r="AH850" s="152"/>
      <c r="AI850" s="152"/>
      <c r="AJ850" s="152"/>
      <c r="AK850" s="152"/>
      <c r="AL850" s="152"/>
      <c r="AM850" s="152"/>
      <c r="AN850" s="152"/>
      <c r="AO850" s="152"/>
      <c r="AP850" s="152"/>
      <c r="AQ850" s="152"/>
      <c r="AR850" s="152"/>
    </row>
    <row r="851" ht="12.75" customHeight="1">
      <c r="A851" s="288"/>
      <c r="B851" s="288"/>
      <c r="C851" s="288"/>
      <c r="D851" s="152"/>
      <c r="E851" s="289"/>
      <c r="F851" s="289"/>
      <c r="G851" s="152"/>
      <c r="H851" s="152"/>
      <c r="I851" s="152"/>
      <c r="J851" s="152"/>
      <c r="K851" s="289"/>
      <c r="L851" s="289"/>
      <c r="M851" s="152"/>
      <c r="N851" s="152"/>
      <c r="O851" s="156"/>
      <c r="P851" s="152"/>
      <c r="Q851" s="152"/>
      <c r="R851" s="152"/>
      <c r="S851" s="152"/>
      <c r="T851" s="152"/>
      <c r="U851" s="152"/>
      <c r="V851" s="152"/>
      <c r="W851" s="152"/>
      <c r="X851" s="152"/>
      <c r="Y851" s="152"/>
      <c r="Z851" s="281"/>
      <c r="AA851" s="281"/>
      <c r="AB851" s="281"/>
      <c r="AC851" s="281"/>
      <c r="AD851" s="281"/>
      <c r="AE851" s="281"/>
      <c r="AF851" s="282"/>
      <c r="AG851" s="170"/>
      <c r="AH851" s="152"/>
      <c r="AI851" s="152"/>
      <c r="AJ851" s="152"/>
      <c r="AK851" s="152"/>
      <c r="AL851" s="152"/>
      <c r="AM851" s="152"/>
      <c r="AN851" s="152"/>
      <c r="AO851" s="152"/>
      <c r="AP851" s="152"/>
      <c r="AQ851" s="152"/>
      <c r="AR851" s="152"/>
    </row>
    <row r="852" ht="12.75" customHeight="1">
      <c r="A852" s="288"/>
      <c r="B852" s="288"/>
      <c r="C852" s="288"/>
      <c r="D852" s="152"/>
      <c r="E852" s="289"/>
      <c r="F852" s="289"/>
      <c r="G852" s="152"/>
      <c r="H852" s="152"/>
      <c r="I852" s="152"/>
      <c r="J852" s="152"/>
      <c r="K852" s="289"/>
      <c r="L852" s="289"/>
      <c r="M852" s="152"/>
      <c r="N852" s="152"/>
      <c r="O852" s="156"/>
      <c r="P852" s="152"/>
      <c r="Q852" s="152"/>
      <c r="R852" s="152"/>
      <c r="S852" s="152"/>
      <c r="T852" s="152"/>
      <c r="U852" s="152"/>
      <c r="V852" s="152"/>
      <c r="W852" s="152"/>
      <c r="X852" s="152"/>
      <c r="Y852" s="152"/>
      <c r="Z852" s="281"/>
      <c r="AA852" s="281"/>
      <c r="AB852" s="281"/>
      <c r="AC852" s="281"/>
      <c r="AD852" s="281"/>
      <c r="AE852" s="281"/>
      <c r="AF852" s="282"/>
      <c r="AG852" s="170"/>
      <c r="AH852" s="152"/>
      <c r="AI852" s="152"/>
      <c r="AJ852" s="152"/>
      <c r="AK852" s="152"/>
      <c r="AL852" s="152"/>
      <c r="AM852" s="152"/>
      <c r="AN852" s="152"/>
      <c r="AO852" s="152"/>
      <c r="AP852" s="152"/>
      <c r="AQ852" s="152"/>
      <c r="AR852" s="152"/>
    </row>
    <row r="853" ht="12.75" customHeight="1">
      <c r="A853" s="288"/>
      <c r="B853" s="288"/>
      <c r="C853" s="288"/>
      <c r="D853" s="152"/>
      <c r="E853" s="289"/>
      <c r="F853" s="289"/>
      <c r="G853" s="152"/>
      <c r="H853" s="152"/>
      <c r="I853" s="152"/>
      <c r="J853" s="152"/>
      <c r="K853" s="289"/>
      <c r="L853" s="289"/>
      <c r="M853" s="152"/>
      <c r="N853" s="152"/>
      <c r="O853" s="156"/>
      <c r="P853" s="152"/>
      <c r="Q853" s="152"/>
      <c r="R853" s="152"/>
      <c r="S853" s="152"/>
      <c r="T853" s="152"/>
      <c r="U853" s="152"/>
      <c r="V853" s="152"/>
      <c r="W853" s="152"/>
      <c r="X853" s="152"/>
      <c r="Y853" s="152"/>
      <c r="Z853" s="281"/>
      <c r="AA853" s="281"/>
      <c r="AB853" s="281"/>
      <c r="AC853" s="281"/>
      <c r="AD853" s="281"/>
      <c r="AE853" s="281"/>
      <c r="AF853" s="282"/>
      <c r="AG853" s="170"/>
      <c r="AH853" s="152"/>
      <c r="AI853" s="152"/>
      <c r="AJ853" s="152"/>
      <c r="AK853" s="152"/>
      <c r="AL853" s="152"/>
      <c r="AM853" s="152"/>
      <c r="AN853" s="152"/>
      <c r="AO853" s="152"/>
      <c r="AP853" s="152"/>
      <c r="AQ853" s="152"/>
      <c r="AR853" s="152"/>
    </row>
    <row r="854" ht="12.75" customHeight="1">
      <c r="A854" s="288"/>
      <c r="B854" s="288"/>
      <c r="C854" s="288"/>
      <c r="D854" s="152"/>
      <c r="E854" s="289"/>
      <c r="F854" s="289"/>
      <c r="G854" s="152"/>
      <c r="H854" s="152"/>
      <c r="I854" s="152"/>
      <c r="J854" s="152"/>
      <c r="K854" s="289"/>
      <c r="L854" s="289"/>
      <c r="M854" s="152"/>
      <c r="N854" s="152"/>
      <c r="O854" s="156"/>
      <c r="P854" s="152"/>
      <c r="Q854" s="152"/>
      <c r="R854" s="152"/>
      <c r="S854" s="152"/>
      <c r="T854" s="152"/>
      <c r="U854" s="152"/>
      <c r="V854" s="152"/>
      <c r="W854" s="152"/>
      <c r="X854" s="152"/>
      <c r="Y854" s="152"/>
      <c r="Z854" s="281"/>
      <c r="AA854" s="281"/>
      <c r="AB854" s="281"/>
      <c r="AC854" s="281"/>
      <c r="AD854" s="281"/>
      <c r="AE854" s="281"/>
      <c r="AF854" s="282"/>
      <c r="AG854" s="170"/>
      <c r="AH854" s="152"/>
      <c r="AI854" s="152"/>
      <c r="AJ854" s="152"/>
      <c r="AK854" s="152"/>
      <c r="AL854" s="152"/>
      <c r="AM854" s="152"/>
      <c r="AN854" s="152"/>
      <c r="AO854" s="152"/>
      <c r="AP854" s="152"/>
      <c r="AQ854" s="152"/>
      <c r="AR854" s="152"/>
    </row>
    <row r="855" ht="12.75" customHeight="1">
      <c r="A855" s="288"/>
      <c r="B855" s="288"/>
      <c r="C855" s="288"/>
      <c r="D855" s="152"/>
      <c r="E855" s="289"/>
      <c r="F855" s="289"/>
      <c r="G855" s="152"/>
      <c r="H855" s="152"/>
      <c r="I855" s="152"/>
      <c r="J855" s="152"/>
      <c r="K855" s="289"/>
      <c r="L855" s="289"/>
      <c r="M855" s="152"/>
      <c r="N855" s="152"/>
      <c r="O855" s="156"/>
      <c r="P855" s="152"/>
      <c r="Q855" s="152"/>
      <c r="R855" s="152"/>
      <c r="S855" s="152"/>
      <c r="T855" s="152"/>
      <c r="U855" s="152"/>
      <c r="V855" s="152"/>
      <c r="W855" s="152"/>
      <c r="X855" s="152"/>
      <c r="Y855" s="152"/>
      <c r="Z855" s="281"/>
      <c r="AA855" s="281"/>
      <c r="AB855" s="281"/>
      <c r="AC855" s="281"/>
      <c r="AD855" s="281"/>
      <c r="AE855" s="281"/>
      <c r="AF855" s="282"/>
      <c r="AG855" s="170"/>
      <c r="AH855" s="152"/>
      <c r="AI855" s="152"/>
      <c r="AJ855" s="152"/>
      <c r="AK855" s="152"/>
      <c r="AL855" s="152"/>
      <c r="AM855" s="152"/>
      <c r="AN855" s="152"/>
      <c r="AO855" s="152"/>
      <c r="AP855" s="152"/>
      <c r="AQ855" s="152"/>
      <c r="AR855" s="152"/>
    </row>
    <row r="856" ht="12.75" customHeight="1">
      <c r="A856" s="288"/>
      <c r="B856" s="288"/>
      <c r="C856" s="288"/>
      <c r="D856" s="152"/>
      <c r="E856" s="289"/>
      <c r="F856" s="289"/>
      <c r="G856" s="152"/>
      <c r="H856" s="152"/>
      <c r="I856" s="152"/>
      <c r="J856" s="152"/>
      <c r="K856" s="289"/>
      <c r="L856" s="289"/>
      <c r="M856" s="152"/>
      <c r="N856" s="152"/>
      <c r="O856" s="156"/>
      <c r="P856" s="152"/>
      <c r="Q856" s="152"/>
      <c r="R856" s="152"/>
      <c r="S856" s="152"/>
      <c r="T856" s="152"/>
      <c r="U856" s="152"/>
      <c r="V856" s="152"/>
      <c r="W856" s="152"/>
      <c r="X856" s="152"/>
      <c r="Y856" s="152"/>
      <c r="Z856" s="281"/>
      <c r="AA856" s="281"/>
      <c r="AB856" s="281"/>
      <c r="AC856" s="281"/>
      <c r="AD856" s="281"/>
      <c r="AE856" s="281"/>
      <c r="AF856" s="282"/>
      <c r="AG856" s="170"/>
      <c r="AH856" s="152"/>
      <c r="AI856" s="152"/>
      <c r="AJ856" s="152"/>
      <c r="AK856" s="152"/>
      <c r="AL856" s="152"/>
      <c r="AM856" s="152"/>
      <c r="AN856" s="152"/>
      <c r="AO856" s="152"/>
      <c r="AP856" s="152"/>
      <c r="AQ856" s="152"/>
      <c r="AR856" s="152"/>
    </row>
    <row r="857" ht="12.75" customHeight="1">
      <c r="A857" s="288"/>
      <c r="B857" s="288"/>
      <c r="C857" s="288"/>
      <c r="D857" s="152"/>
      <c r="E857" s="289"/>
      <c r="F857" s="289"/>
      <c r="G857" s="152"/>
      <c r="H857" s="152"/>
      <c r="I857" s="152"/>
      <c r="J857" s="152"/>
      <c r="K857" s="289"/>
      <c r="L857" s="289"/>
      <c r="M857" s="152"/>
      <c r="N857" s="152"/>
      <c r="O857" s="156"/>
      <c r="P857" s="152"/>
      <c r="Q857" s="152"/>
      <c r="R857" s="152"/>
      <c r="S857" s="152"/>
      <c r="T857" s="152"/>
      <c r="U857" s="152"/>
      <c r="V857" s="152"/>
      <c r="W857" s="152"/>
      <c r="X857" s="152"/>
      <c r="Y857" s="152"/>
      <c r="Z857" s="281"/>
      <c r="AA857" s="281"/>
      <c r="AB857" s="281"/>
      <c r="AC857" s="281"/>
      <c r="AD857" s="281"/>
      <c r="AE857" s="281"/>
      <c r="AF857" s="282"/>
      <c r="AG857" s="170"/>
      <c r="AH857" s="152"/>
      <c r="AI857" s="152"/>
      <c r="AJ857" s="152"/>
      <c r="AK857" s="152"/>
      <c r="AL857" s="152"/>
      <c r="AM857" s="152"/>
      <c r="AN857" s="152"/>
      <c r="AO857" s="152"/>
      <c r="AP857" s="152"/>
      <c r="AQ857" s="152"/>
      <c r="AR857" s="152"/>
    </row>
    <row r="858" ht="12.75" customHeight="1">
      <c r="A858" s="288"/>
      <c r="B858" s="288"/>
      <c r="C858" s="288"/>
      <c r="D858" s="152"/>
      <c r="E858" s="289"/>
      <c r="F858" s="289"/>
      <c r="G858" s="152"/>
      <c r="H858" s="152"/>
      <c r="I858" s="152"/>
      <c r="J858" s="152"/>
      <c r="K858" s="289"/>
      <c r="L858" s="289"/>
      <c r="M858" s="152"/>
      <c r="N858" s="152"/>
      <c r="O858" s="156"/>
      <c r="P858" s="152"/>
      <c r="Q858" s="152"/>
      <c r="R858" s="152"/>
      <c r="S858" s="152"/>
      <c r="T858" s="152"/>
      <c r="U858" s="152"/>
      <c r="V858" s="152"/>
      <c r="W858" s="152"/>
      <c r="X858" s="152"/>
      <c r="Y858" s="152"/>
      <c r="Z858" s="281"/>
      <c r="AA858" s="281"/>
      <c r="AB858" s="281"/>
      <c r="AC858" s="281"/>
      <c r="AD858" s="281"/>
      <c r="AE858" s="281"/>
      <c r="AF858" s="282"/>
      <c r="AG858" s="170"/>
      <c r="AH858" s="152"/>
      <c r="AI858" s="152"/>
      <c r="AJ858" s="152"/>
      <c r="AK858" s="152"/>
      <c r="AL858" s="152"/>
      <c r="AM858" s="152"/>
      <c r="AN858" s="152"/>
      <c r="AO858" s="152"/>
      <c r="AP858" s="152"/>
      <c r="AQ858" s="152"/>
      <c r="AR858" s="152"/>
    </row>
    <row r="859" ht="12.75" customHeight="1">
      <c r="A859" s="288"/>
      <c r="B859" s="288"/>
      <c r="C859" s="288"/>
      <c r="D859" s="152"/>
      <c r="E859" s="289"/>
      <c r="F859" s="289"/>
      <c r="G859" s="152"/>
      <c r="H859" s="152"/>
      <c r="I859" s="152"/>
      <c r="J859" s="152"/>
      <c r="K859" s="289"/>
      <c r="L859" s="289"/>
      <c r="M859" s="152"/>
      <c r="N859" s="152"/>
      <c r="O859" s="156"/>
      <c r="P859" s="152"/>
      <c r="Q859" s="152"/>
      <c r="R859" s="152"/>
      <c r="S859" s="152"/>
      <c r="T859" s="152"/>
      <c r="U859" s="152"/>
      <c r="V859" s="152"/>
      <c r="W859" s="152"/>
      <c r="X859" s="152"/>
      <c r="Y859" s="152"/>
      <c r="Z859" s="281"/>
      <c r="AA859" s="281"/>
      <c r="AB859" s="281"/>
      <c r="AC859" s="281"/>
      <c r="AD859" s="281"/>
      <c r="AE859" s="281"/>
      <c r="AF859" s="282"/>
      <c r="AG859" s="170"/>
      <c r="AH859" s="152"/>
      <c r="AI859" s="152"/>
      <c r="AJ859" s="152"/>
      <c r="AK859" s="152"/>
      <c r="AL859" s="152"/>
      <c r="AM859" s="152"/>
      <c r="AN859" s="152"/>
      <c r="AO859" s="152"/>
      <c r="AP859" s="152"/>
      <c r="AQ859" s="152"/>
      <c r="AR859" s="152"/>
    </row>
    <row r="860" ht="12.75" customHeight="1">
      <c r="A860" s="288"/>
      <c r="B860" s="288"/>
      <c r="C860" s="288"/>
      <c r="D860" s="152"/>
      <c r="E860" s="289"/>
      <c r="F860" s="289"/>
      <c r="G860" s="152"/>
      <c r="H860" s="152"/>
      <c r="I860" s="152"/>
      <c r="J860" s="152"/>
      <c r="K860" s="289"/>
      <c r="L860" s="289"/>
      <c r="M860" s="152"/>
      <c r="N860" s="152"/>
      <c r="O860" s="156"/>
      <c r="P860" s="152"/>
      <c r="Q860" s="152"/>
      <c r="R860" s="152"/>
      <c r="S860" s="152"/>
      <c r="T860" s="152"/>
      <c r="U860" s="152"/>
      <c r="V860" s="152"/>
      <c r="W860" s="152"/>
      <c r="X860" s="152"/>
      <c r="Y860" s="152"/>
      <c r="Z860" s="281"/>
      <c r="AA860" s="281"/>
      <c r="AB860" s="281"/>
      <c r="AC860" s="281"/>
      <c r="AD860" s="281"/>
      <c r="AE860" s="281"/>
      <c r="AF860" s="282"/>
      <c r="AG860" s="170"/>
      <c r="AH860" s="152"/>
      <c r="AI860" s="152"/>
      <c r="AJ860" s="152"/>
      <c r="AK860" s="152"/>
      <c r="AL860" s="152"/>
      <c r="AM860" s="152"/>
      <c r="AN860" s="152"/>
      <c r="AO860" s="152"/>
      <c r="AP860" s="152"/>
      <c r="AQ860" s="152"/>
      <c r="AR860" s="152"/>
    </row>
    <row r="861" ht="12.75" customHeight="1">
      <c r="A861" s="288"/>
      <c r="B861" s="288"/>
      <c r="C861" s="288"/>
      <c r="D861" s="152"/>
      <c r="E861" s="289"/>
      <c r="F861" s="289"/>
      <c r="G861" s="152"/>
      <c r="H861" s="152"/>
      <c r="I861" s="152"/>
      <c r="J861" s="152"/>
      <c r="K861" s="289"/>
      <c r="L861" s="289"/>
      <c r="M861" s="152"/>
      <c r="N861" s="152"/>
      <c r="O861" s="156"/>
      <c r="P861" s="152"/>
      <c r="Q861" s="152"/>
      <c r="R861" s="152"/>
      <c r="S861" s="152"/>
      <c r="T861" s="152"/>
      <c r="U861" s="152"/>
      <c r="V861" s="152"/>
      <c r="W861" s="152"/>
      <c r="X861" s="152"/>
      <c r="Y861" s="152"/>
      <c r="Z861" s="281"/>
      <c r="AA861" s="281"/>
      <c r="AB861" s="281"/>
      <c r="AC861" s="281"/>
      <c r="AD861" s="281"/>
      <c r="AE861" s="281"/>
      <c r="AF861" s="282"/>
      <c r="AG861" s="170"/>
      <c r="AH861" s="152"/>
      <c r="AI861" s="152"/>
      <c r="AJ861" s="152"/>
      <c r="AK861" s="152"/>
      <c r="AL861" s="152"/>
      <c r="AM861" s="152"/>
      <c r="AN861" s="152"/>
      <c r="AO861" s="152"/>
      <c r="AP861" s="152"/>
      <c r="AQ861" s="152"/>
      <c r="AR861" s="152"/>
    </row>
    <row r="862" ht="12.75" customHeight="1">
      <c r="A862" s="288"/>
      <c r="B862" s="288"/>
      <c r="C862" s="288"/>
      <c r="D862" s="152"/>
      <c r="E862" s="289"/>
      <c r="F862" s="289"/>
      <c r="G862" s="152"/>
      <c r="H862" s="152"/>
      <c r="I862" s="152"/>
      <c r="J862" s="152"/>
      <c r="K862" s="289"/>
      <c r="L862" s="289"/>
      <c r="M862" s="152"/>
      <c r="N862" s="152"/>
      <c r="O862" s="156"/>
      <c r="P862" s="152"/>
      <c r="Q862" s="152"/>
      <c r="R862" s="152"/>
      <c r="S862" s="152"/>
      <c r="T862" s="152"/>
      <c r="U862" s="152"/>
      <c r="V862" s="152"/>
      <c r="W862" s="152"/>
      <c r="X862" s="152"/>
      <c r="Y862" s="152"/>
      <c r="Z862" s="281"/>
      <c r="AA862" s="281"/>
      <c r="AB862" s="281"/>
      <c r="AC862" s="281"/>
      <c r="AD862" s="281"/>
      <c r="AE862" s="281"/>
      <c r="AF862" s="282"/>
      <c r="AG862" s="170"/>
      <c r="AH862" s="152"/>
      <c r="AI862" s="152"/>
      <c r="AJ862" s="152"/>
      <c r="AK862" s="152"/>
      <c r="AL862" s="152"/>
      <c r="AM862" s="152"/>
      <c r="AN862" s="152"/>
      <c r="AO862" s="152"/>
      <c r="AP862" s="152"/>
      <c r="AQ862" s="152"/>
      <c r="AR862" s="152"/>
    </row>
    <row r="863" ht="12.75" customHeight="1">
      <c r="A863" s="288"/>
      <c r="B863" s="288"/>
      <c r="C863" s="288"/>
      <c r="D863" s="152"/>
      <c r="E863" s="289"/>
      <c r="F863" s="289"/>
      <c r="G863" s="152"/>
      <c r="H863" s="152"/>
      <c r="I863" s="152"/>
      <c r="J863" s="152"/>
      <c r="K863" s="289"/>
      <c r="L863" s="289"/>
      <c r="M863" s="152"/>
      <c r="N863" s="152"/>
      <c r="O863" s="156"/>
      <c r="P863" s="152"/>
      <c r="Q863" s="152"/>
      <c r="R863" s="152"/>
      <c r="S863" s="152"/>
      <c r="T863" s="152"/>
      <c r="U863" s="152"/>
      <c r="V863" s="152"/>
      <c r="W863" s="152"/>
      <c r="X863" s="152"/>
      <c r="Y863" s="152"/>
      <c r="Z863" s="281"/>
      <c r="AA863" s="281"/>
      <c r="AB863" s="281"/>
      <c r="AC863" s="281"/>
      <c r="AD863" s="281"/>
      <c r="AE863" s="281"/>
      <c r="AF863" s="282"/>
      <c r="AG863" s="170"/>
      <c r="AH863" s="152"/>
      <c r="AI863" s="152"/>
      <c r="AJ863" s="152"/>
      <c r="AK863" s="152"/>
      <c r="AL863" s="152"/>
      <c r="AM863" s="152"/>
      <c r="AN863" s="152"/>
      <c r="AO863" s="152"/>
      <c r="AP863" s="152"/>
      <c r="AQ863" s="152"/>
      <c r="AR863" s="152"/>
    </row>
    <row r="864" ht="12.75" customHeight="1">
      <c r="A864" s="288"/>
      <c r="B864" s="288"/>
      <c r="C864" s="288"/>
      <c r="D864" s="152"/>
      <c r="E864" s="289"/>
      <c r="F864" s="289"/>
      <c r="G864" s="152"/>
      <c r="H864" s="152"/>
      <c r="I864" s="152"/>
      <c r="J864" s="152"/>
      <c r="K864" s="289"/>
      <c r="L864" s="289"/>
      <c r="M864" s="152"/>
      <c r="N864" s="152"/>
      <c r="O864" s="156"/>
      <c r="P864" s="152"/>
      <c r="Q864" s="152"/>
      <c r="R864" s="152"/>
      <c r="S864" s="152"/>
      <c r="T864" s="152"/>
      <c r="U864" s="152"/>
      <c r="V864" s="152"/>
      <c r="W864" s="152"/>
      <c r="X864" s="152"/>
      <c r="Y864" s="152"/>
      <c r="Z864" s="281"/>
      <c r="AA864" s="281"/>
      <c r="AB864" s="281"/>
      <c r="AC864" s="281"/>
      <c r="AD864" s="281"/>
      <c r="AE864" s="281"/>
      <c r="AF864" s="282"/>
      <c r="AG864" s="170"/>
      <c r="AH864" s="152"/>
      <c r="AI864" s="152"/>
      <c r="AJ864" s="152"/>
      <c r="AK864" s="152"/>
      <c r="AL864" s="152"/>
      <c r="AM864" s="152"/>
      <c r="AN864" s="152"/>
      <c r="AO864" s="152"/>
      <c r="AP864" s="152"/>
      <c r="AQ864" s="152"/>
      <c r="AR864" s="152"/>
    </row>
    <row r="865" ht="12.75" customHeight="1">
      <c r="A865" s="288"/>
      <c r="B865" s="288"/>
      <c r="C865" s="288"/>
      <c r="D865" s="152"/>
      <c r="E865" s="289"/>
      <c r="F865" s="289"/>
      <c r="G865" s="152"/>
      <c r="H865" s="152"/>
      <c r="I865" s="152"/>
      <c r="J865" s="152"/>
      <c r="K865" s="289"/>
      <c r="L865" s="289"/>
      <c r="M865" s="152"/>
      <c r="N865" s="152"/>
      <c r="O865" s="156"/>
      <c r="P865" s="152"/>
      <c r="Q865" s="152"/>
      <c r="R865" s="152"/>
      <c r="S865" s="152"/>
      <c r="T865" s="152"/>
      <c r="U865" s="152"/>
      <c r="V865" s="152"/>
      <c r="W865" s="152"/>
      <c r="X865" s="152"/>
      <c r="Y865" s="152"/>
      <c r="Z865" s="281"/>
      <c r="AA865" s="281"/>
      <c r="AB865" s="281"/>
      <c r="AC865" s="281"/>
      <c r="AD865" s="281"/>
      <c r="AE865" s="281"/>
      <c r="AF865" s="282"/>
      <c r="AG865" s="170"/>
      <c r="AH865" s="152"/>
      <c r="AI865" s="152"/>
      <c r="AJ865" s="152"/>
      <c r="AK865" s="152"/>
      <c r="AL865" s="152"/>
      <c r="AM865" s="152"/>
      <c r="AN865" s="152"/>
      <c r="AO865" s="152"/>
      <c r="AP865" s="152"/>
      <c r="AQ865" s="152"/>
      <c r="AR865" s="152"/>
    </row>
    <row r="866" ht="12.75" customHeight="1">
      <c r="A866" s="288"/>
      <c r="B866" s="288"/>
      <c r="C866" s="288"/>
      <c r="D866" s="152"/>
      <c r="E866" s="289"/>
      <c r="F866" s="289"/>
      <c r="G866" s="152"/>
      <c r="H866" s="152"/>
      <c r="I866" s="152"/>
      <c r="J866" s="152"/>
      <c r="K866" s="289"/>
      <c r="L866" s="289"/>
      <c r="M866" s="152"/>
      <c r="N866" s="152"/>
      <c r="O866" s="156"/>
      <c r="P866" s="152"/>
      <c r="Q866" s="152"/>
      <c r="R866" s="152"/>
      <c r="S866" s="152"/>
      <c r="T866" s="152"/>
      <c r="U866" s="152"/>
      <c r="V866" s="152"/>
      <c r="W866" s="152"/>
      <c r="X866" s="152"/>
      <c r="Y866" s="152"/>
      <c r="Z866" s="281"/>
      <c r="AA866" s="281"/>
      <c r="AB866" s="281"/>
      <c r="AC866" s="281"/>
      <c r="AD866" s="281"/>
      <c r="AE866" s="281"/>
      <c r="AF866" s="282"/>
      <c r="AG866" s="170"/>
      <c r="AH866" s="152"/>
      <c r="AI866" s="152"/>
      <c r="AJ866" s="152"/>
      <c r="AK866" s="152"/>
      <c r="AL866" s="152"/>
      <c r="AM866" s="152"/>
      <c r="AN866" s="152"/>
      <c r="AO866" s="152"/>
      <c r="AP866" s="152"/>
      <c r="AQ866" s="152"/>
      <c r="AR866" s="152"/>
    </row>
    <row r="867" ht="12.75" customHeight="1">
      <c r="A867" s="288"/>
      <c r="B867" s="288"/>
      <c r="C867" s="288"/>
      <c r="D867" s="152"/>
      <c r="E867" s="289"/>
      <c r="F867" s="289"/>
      <c r="G867" s="152"/>
      <c r="H867" s="152"/>
      <c r="I867" s="152"/>
      <c r="J867" s="152"/>
      <c r="K867" s="289"/>
      <c r="L867" s="289"/>
      <c r="M867" s="152"/>
      <c r="N867" s="152"/>
      <c r="O867" s="156"/>
      <c r="P867" s="152"/>
      <c r="Q867" s="152"/>
      <c r="R867" s="152"/>
      <c r="S867" s="152"/>
      <c r="T867" s="152"/>
      <c r="U867" s="152"/>
      <c r="V867" s="152"/>
      <c r="W867" s="152"/>
      <c r="X867" s="152"/>
      <c r="Y867" s="152"/>
      <c r="Z867" s="281"/>
      <c r="AA867" s="281"/>
      <c r="AB867" s="281"/>
      <c r="AC867" s="281"/>
      <c r="AD867" s="281"/>
      <c r="AE867" s="281"/>
      <c r="AF867" s="282"/>
      <c r="AG867" s="170"/>
      <c r="AH867" s="152"/>
      <c r="AI867" s="152"/>
      <c r="AJ867" s="152"/>
      <c r="AK867" s="152"/>
      <c r="AL867" s="152"/>
      <c r="AM867" s="152"/>
      <c r="AN867" s="152"/>
      <c r="AO867" s="152"/>
      <c r="AP867" s="152"/>
      <c r="AQ867" s="152"/>
      <c r="AR867" s="152"/>
    </row>
    <row r="868" ht="12.75" customHeight="1">
      <c r="A868" s="288"/>
      <c r="B868" s="288"/>
      <c r="C868" s="288"/>
      <c r="D868" s="152"/>
      <c r="E868" s="289"/>
      <c r="F868" s="289"/>
      <c r="G868" s="152"/>
      <c r="H868" s="152"/>
      <c r="I868" s="152"/>
      <c r="J868" s="152"/>
      <c r="K868" s="289"/>
      <c r="L868" s="289"/>
      <c r="M868" s="152"/>
      <c r="N868" s="152"/>
      <c r="O868" s="156"/>
      <c r="P868" s="152"/>
      <c r="Q868" s="152"/>
      <c r="R868" s="152"/>
      <c r="S868" s="152"/>
      <c r="T868" s="152"/>
      <c r="U868" s="152"/>
      <c r="V868" s="152"/>
      <c r="W868" s="152"/>
      <c r="X868" s="152"/>
      <c r="Y868" s="152"/>
      <c r="Z868" s="281"/>
      <c r="AA868" s="281"/>
      <c r="AB868" s="281"/>
      <c r="AC868" s="281"/>
      <c r="AD868" s="281"/>
      <c r="AE868" s="281"/>
      <c r="AF868" s="282"/>
      <c r="AG868" s="170"/>
      <c r="AH868" s="152"/>
      <c r="AI868" s="152"/>
      <c r="AJ868" s="152"/>
      <c r="AK868" s="152"/>
      <c r="AL868" s="152"/>
      <c r="AM868" s="152"/>
      <c r="AN868" s="152"/>
      <c r="AO868" s="152"/>
      <c r="AP868" s="152"/>
      <c r="AQ868" s="152"/>
      <c r="AR868" s="152"/>
    </row>
    <row r="869" ht="12.75" customHeight="1">
      <c r="A869" s="288"/>
      <c r="B869" s="288"/>
      <c r="C869" s="288"/>
      <c r="D869" s="152"/>
      <c r="E869" s="289"/>
      <c r="F869" s="289"/>
      <c r="G869" s="152"/>
      <c r="H869" s="152"/>
      <c r="I869" s="152"/>
      <c r="J869" s="152"/>
      <c r="K869" s="289"/>
      <c r="L869" s="289"/>
      <c r="M869" s="152"/>
      <c r="N869" s="152"/>
      <c r="O869" s="156"/>
      <c r="P869" s="152"/>
      <c r="Q869" s="152"/>
      <c r="R869" s="152"/>
      <c r="S869" s="152"/>
      <c r="T869" s="152"/>
      <c r="U869" s="152"/>
      <c r="V869" s="152"/>
      <c r="W869" s="152"/>
      <c r="X869" s="152"/>
      <c r="Y869" s="152"/>
      <c r="Z869" s="281"/>
      <c r="AA869" s="281"/>
      <c r="AB869" s="281"/>
      <c r="AC869" s="281"/>
      <c r="AD869" s="281"/>
      <c r="AE869" s="281"/>
      <c r="AF869" s="282"/>
      <c r="AG869" s="170"/>
      <c r="AH869" s="152"/>
      <c r="AI869" s="152"/>
      <c r="AJ869" s="152"/>
      <c r="AK869" s="152"/>
      <c r="AL869" s="152"/>
      <c r="AM869" s="152"/>
      <c r="AN869" s="152"/>
      <c r="AO869" s="152"/>
      <c r="AP869" s="152"/>
      <c r="AQ869" s="152"/>
      <c r="AR869" s="152"/>
    </row>
    <row r="870" ht="12.75" customHeight="1">
      <c r="A870" s="288"/>
      <c r="B870" s="288"/>
      <c r="C870" s="288"/>
      <c r="D870" s="152"/>
      <c r="E870" s="289"/>
      <c r="F870" s="289"/>
      <c r="G870" s="152"/>
      <c r="H870" s="152"/>
      <c r="I870" s="152"/>
      <c r="J870" s="152"/>
      <c r="K870" s="289"/>
      <c r="L870" s="289"/>
      <c r="M870" s="152"/>
      <c r="N870" s="152"/>
      <c r="O870" s="156"/>
      <c r="P870" s="152"/>
      <c r="Q870" s="152"/>
      <c r="R870" s="152"/>
      <c r="S870" s="152"/>
      <c r="T870" s="152"/>
      <c r="U870" s="152"/>
      <c r="V870" s="152"/>
      <c r="W870" s="152"/>
      <c r="X870" s="152"/>
      <c r="Y870" s="152"/>
      <c r="Z870" s="281"/>
      <c r="AA870" s="281"/>
      <c r="AB870" s="281"/>
      <c r="AC870" s="281"/>
      <c r="AD870" s="281"/>
      <c r="AE870" s="281"/>
      <c r="AF870" s="282"/>
      <c r="AG870" s="170"/>
      <c r="AH870" s="152"/>
      <c r="AI870" s="152"/>
      <c r="AJ870" s="152"/>
      <c r="AK870" s="152"/>
      <c r="AL870" s="152"/>
      <c r="AM870" s="152"/>
      <c r="AN870" s="152"/>
      <c r="AO870" s="152"/>
      <c r="AP870" s="152"/>
      <c r="AQ870" s="152"/>
      <c r="AR870" s="152"/>
    </row>
    <row r="871" ht="12.75" customHeight="1">
      <c r="A871" s="288"/>
      <c r="B871" s="288"/>
      <c r="C871" s="288"/>
      <c r="D871" s="152"/>
      <c r="E871" s="289"/>
      <c r="F871" s="289"/>
      <c r="G871" s="152"/>
      <c r="H871" s="152"/>
      <c r="I871" s="152"/>
      <c r="J871" s="152"/>
      <c r="K871" s="289"/>
      <c r="L871" s="289"/>
      <c r="M871" s="152"/>
      <c r="N871" s="152"/>
      <c r="O871" s="156"/>
      <c r="P871" s="152"/>
      <c r="Q871" s="152"/>
      <c r="R871" s="152"/>
      <c r="S871" s="152"/>
      <c r="T871" s="152"/>
      <c r="U871" s="152"/>
      <c r="V871" s="152"/>
      <c r="W871" s="152"/>
      <c r="X871" s="152"/>
      <c r="Y871" s="152"/>
      <c r="Z871" s="281"/>
      <c r="AA871" s="281"/>
      <c r="AB871" s="281"/>
      <c r="AC871" s="281"/>
      <c r="AD871" s="281"/>
      <c r="AE871" s="281"/>
      <c r="AF871" s="282"/>
      <c r="AG871" s="170"/>
      <c r="AH871" s="152"/>
      <c r="AI871" s="152"/>
      <c r="AJ871" s="152"/>
      <c r="AK871" s="152"/>
      <c r="AL871" s="152"/>
      <c r="AM871" s="152"/>
      <c r="AN871" s="152"/>
      <c r="AO871" s="152"/>
      <c r="AP871" s="152"/>
      <c r="AQ871" s="152"/>
      <c r="AR871" s="152"/>
    </row>
    <row r="872" ht="12.75" customHeight="1">
      <c r="A872" s="288"/>
      <c r="B872" s="288"/>
      <c r="C872" s="288"/>
      <c r="D872" s="152"/>
      <c r="E872" s="289"/>
      <c r="F872" s="289"/>
      <c r="G872" s="152"/>
      <c r="H872" s="152"/>
      <c r="I872" s="152"/>
      <c r="J872" s="152"/>
      <c r="K872" s="289"/>
      <c r="L872" s="289"/>
      <c r="M872" s="152"/>
      <c r="N872" s="152"/>
      <c r="O872" s="156"/>
      <c r="P872" s="152"/>
      <c r="Q872" s="152"/>
      <c r="R872" s="152"/>
      <c r="S872" s="152"/>
      <c r="T872" s="152"/>
      <c r="U872" s="152"/>
      <c r="V872" s="152"/>
      <c r="W872" s="152"/>
      <c r="X872" s="152"/>
      <c r="Y872" s="152"/>
      <c r="Z872" s="281"/>
      <c r="AA872" s="281"/>
      <c r="AB872" s="281"/>
      <c r="AC872" s="281"/>
      <c r="AD872" s="281"/>
      <c r="AE872" s="281"/>
      <c r="AF872" s="282"/>
      <c r="AG872" s="170"/>
      <c r="AH872" s="152"/>
      <c r="AI872" s="152"/>
      <c r="AJ872" s="152"/>
      <c r="AK872" s="152"/>
      <c r="AL872" s="152"/>
      <c r="AM872" s="152"/>
      <c r="AN872" s="152"/>
      <c r="AO872" s="152"/>
      <c r="AP872" s="152"/>
      <c r="AQ872" s="152"/>
      <c r="AR872" s="152"/>
    </row>
    <row r="873" ht="12.75" customHeight="1">
      <c r="A873" s="288"/>
      <c r="B873" s="288"/>
      <c r="C873" s="288"/>
      <c r="D873" s="152"/>
      <c r="E873" s="289"/>
      <c r="F873" s="289"/>
      <c r="G873" s="152"/>
      <c r="H873" s="152"/>
      <c r="I873" s="152"/>
      <c r="J873" s="152"/>
      <c r="K873" s="289"/>
      <c r="L873" s="289"/>
      <c r="M873" s="152"/>
      <c r="N873" s="152"/>
      <c r="O873" s="156"/>
      <c r="P873" s="152"/>
      <c r="Q873" s="152"/>
      <c r="R873" s="152"/>
      <c r="S873" s="152"/>
      <c r="T873" s="152"/>
      <c r="U873" s="152"/>
      <c r="V873" s="152"/>
      <c r="W873" s="152"/>
      <c r="X873" s="152"/>
      <c r="Y873" s="152"/>
      <c r="Z873" s="281"/>
      <c r="AA873" s="281"/>
      <c r="AB873" s="281"/>
      <c r="AC873" s="281"/>
      <c r="AD873" s="281"/>
      <c r="AE873" s="281"/>
      <c r="AF873" s="282"/>
      <c r="AG873" s="170"/>
      <c r="AH873" s="152"/>
      <c r="AI873" s="152"/>
      <c r="AJ873" s="152"/>
      <c r="AK873" s="152"/>
      <c r="AL873" s="152"/>
      <c r="AM873" s="152"/>
      <c r="AN873" s="152"/>
      <c r="AO873" s="152"/>
      <c r="AP873" s="152"/>
      <c r="AQ873" s="152"/>
      <c r="AR873" s="152"/>
    </row>
    <row r="874" ht="12.75" customHeight="1">
      <c r="A874" s="288"/>
      <c r="B874" s="288"/>
      <c r="C874" s="288"/>
      <c r="D874" s="152"/>
      <c r="E874" s="289"/>
      <c r="F874" s="289"/>
      <c r="G874" s="152"/>
      <c r="H874" s="152"/>
      <c r="I874" s="152"/>
      <c r="J874" s="152"/>
      <c r="K874" s="289"/>
      <c r="L874" s="289"/>
      <c r="M874" s="152"/>
      <c r="N874" s="152"/>
      <c r="O874" s="156"/>
      <c r="P874" s="152"/>
      <c r="Q874" s="152"/>
      <c r="R874" s="152"/>
      <c r="S874" s="152"/>
      <c r="T874" s="152"/>
      <c r="U874" s="152"/>
      <c r="V874" s="152"/>
      <c r="W874" s="152"/>
      <c r="X874" s="152"/>
      <c r="Y874" s="152"/>
      <c r="Z874" s="281"/>
      <c r="AA874" s="281"/>
      <c r="AB874" s="281"/>
      <c r="AC874" s="281"/>
      <c r="AD874" s="281"/>
      <c r="AE874" s="281"/>
      <c r="AF874" s="282"/>
      <c r="AG874" s="170"/>
      <c r="AH874" s="152"/>
      <c r="AI874" s="152"/>
      <c r="AJ874" s="152"/>
      <c r="AK874" s="152"/>
      <c r="AL874" s="152"/>
      <c r="AM874" s="152"/>
      <c r="AN874" s="152"/>
      <c r="AO874" s="152"/>
      <c r="AP874" s="152"/>
      <c r="AQ874" s="152"/>
      <c r="AR874" s="152"/>
    </row>
    <row r="875" ht="12.75" customHeight="1">
      <c r="A875" s="288"/>
      <c r="B875" s="288"/>
      <c r="C875" s="288"/>
      <c r="D875" s="152"/>
      <c r="E875" s="289"/>
      <c r="F875" s="289"/>
      <c r="G875" s="152"/>
      <c r="H875" s="152"/>
      <c r="I875" s="152"/>
      <c r="J875" s="152"/>
      <c r="K875" s="289"/>
      <c r="L875" s="289"/>
      <c r="M875" s="152"/>
      <c r="N875" s="152"/>
      <c r="O875" s="156"/>
      <c r="P875" s="152"/>
      <c r="Q875" s="152"/>
      <c r="R875" s="152"/>
      <c r="S875" s="152"/>
      <c r="T875" s="152"/>
      <c r="U875" s="152"/>
      <c r="V875" s="152"/>
      <c r="W875" s="152"/>
      <c r="X875" s="152"/>
      <c r="Y875" s="152"/>
      <c r="Z875" s="281"/>
      <c r="AA875" s="281"/>
      <c r="AB875" s="281"/>
      <c r="AC875" s="281"/>
      <c r="AD875" s="281"/>
      <c r="AE875" s="281"/>
      <c r="AF875" s="282"/>
      <c r="AG875" s="170"/>
      <c r="AH875" s="152"/>
      <c r="AI875" s="152"/>
      <c r="AJ875" s="152"/>
      <c r="AK875" s="152"/>
      <c r="AL875" s="152"/>
      <c r="AM875" s="152"/>
      <c r="AN875" s="152"/>
      <c r="AO875" s="152"/>
      <c r="AP875" s="152"/>
      <c r="AQ875" s="152"/>
      <c r="AR875" s="152"/>
    </row>
    <row r="876" ht="12.75" customHeight="1">
      <c r="A876" s="288"/>
      <c r="B876" s="288"/>
      <c r="C876" s="288"/>
      <c r="D876" s="152"/>
      <c r="E876" s="289"/>
      <c r="F876" s="289"/>
      <c r="G876" s="152"/>
      <c r="H876" s="152"/>
      <c r="I876" s="152"/>
      <c r="J876" s="152"/>
      <c r="K876" s="289"/>
      <c r="L876" s="289"/>
      <c r="M876" s="152"/>
      <c r="N876" s="152"/>
      <c r="O876" s="156"/>
      <c r="P876" s="152"/>
      <c r="Q876" s="152"/>
      <c r="R876" s="152"/>
      <c r="S876" s="152"/>
      <c r="T876" s="152"/>
      <c r="U876" s="152"/>
      <c r="V876" s="152"/>
      <c r="W876" s="152"/>
      <c r="X876" s="152"/>
      <c r="Y876" s="152"/>
      <c r="Z876" s="281"/>
      <c r="AA876" s="281"/>
      <c r="AB876" s="281"/>
      <c r="AC876" s="281"/>
      <c r="AD876" s="281"/>
      <c r="AE876" s="281"/>
      <c r="AF876" s="282"/>
      <c r="AG876" s="170"/>
      <c r="AH876" s="152"/>
      <c r="AI876" s="152"/>
      <c r="AJ876" s="152"/>
      <c r="AK876" s="152"/>
      <c r="AL876" s="152"/>
      <c r="AM876" s="152"/>
      <c r="AN876" s="152"/>
      <c r="AO876" s="152"/>
      <c r="AP876" s="152"/>
      <c r="AQ876" s="152"/>
      <c r="AR876" s="152"/>
    </row>
    <row r="877" ht="12.75" customHeight="1">
      <c r="A877" s="288"/>
      <c r="B877" s="288"/>
      <c r="C877" s="288"/>
      <c r="D877" s="152"/>
      <c r="E877" s="289"/>
      <c r="F877" s="289"/>
      <c r="G877" s="152"/>
      <c r="H877" s="152"/>
      <c r="I877" s="152"/>
      <c r="J877" s="152"/>
      <c r="K877" s="289"/>
      <c r="L877" s="289"/>
      <c r="M877" s="152"/>
      <c r="N877" s="152"/>
      <c r="O877" s="156"/>
      <c r="P877" s="152"/>
      <c r="Q877" s="152"/>
      <c r="R877" s="152"/>
      <c r="S877" s="152"/>
      <c r="T877" s="152"/>
      <c r="U877" s="152"/>
      <c r="V877" s="152"/>
      <c r="W877" s="152"/>
      <c r="X877" s="152"/>
      <c r="Y877" s="152"/>
      <c r="Z877" s="281"/>
      <c r="AA877" s="281"/>
      <c r="AB877" s="281"/>
      <c r="AC877" s="281"/>
      <c r="AD877" s="281"/>
      <c r="AE877" s="281"/>
      <c r="AF877" s="282"/>
      <c r="AG877" s="170"/>
      <c r="AH877" s="152"/>
      <c r="AI877" s="152"/>
      <c r="AJ877" s="152"/>
      <c r="AK877" s="152"/>
      <c r="AL877" s="152"/>
      <c r="AM877" s="152"/>
      <c r="AN877" s="152"/>
      <c r="AO877" s="152"/>
      <c r="AP877" s="152"/>
      <c r="AQ877" s="152"/>
      <c r="AR877" s="152"/>
    </row>
    <row r="878" ht="12.75" customHeight="1">
      <c r="A878" s="288"/>
      <c r="B878" s="288"/>
      <c r="C878" s="288"/>
      <c r="D878" s="152"/>
      <c r="E878" s="289"/>
      <c r="F878" s="289"/>
      <c r="G878" s="152"/>
      <c r="H878" s="152"/>
      <c r="I878" s="152"/>
      <c r="J878" s="152"/>
      <c r="K878" s="289"/>
      <c r="L878" s="289"/>
      <c r="M878" s="152"/>
      <c r="N878" s="152"/>
      <c r="O878" s="156"/>
      <c r="P878" s="152"/>
      <c r="Q878" s="152"/>
      <c r="R878" s="152"/>
      <c r="S878" s="152"/>
      <c r="T878" s="152"/>
      <c r="U878" s="152"/>
      <c r="V878" s="152"/>
      <c r="W878" s="152"/>
      <c r="X878" s="152"/>
      <c r="Y878" s="152"/>
      <c r="Z878" s="281"/>
      <c r="AA878" s="281"/>
      <c r="AB878" s="281"/>
      <c r="AC878" s="281"/>
      <c r="AD878" s="281"/>
      <c r="AE878" s="281"/>
      <c r="AF878" s="282"/>
      <c r="AG878" s="170"/>
      <c r="AH878" s="152"/>
      <c r="AI878" s="152"/>
      <c r="AJ878" s="152"/>
      <c r="AK878" s="152"/>
      <c r="AL878" s="152"/>
      <c r="AM878" s="152"/>
      <c r="AN878" s="152"/>
      <c r="AO878" s="152"/>
      <c r="AP878" s="152"/>
      <c r="AQ878" s="152"/>
      <c r="AR878" s="152"/>
    </row>
    <row r="879" ht="12.75" customHeight="1">
      <c r="A879" s="288"/>
      <c r="B879" s="288"/>
      <c r="C879" s="288"/>
      <c r="D879" s="152"/>
      <c r="E879" s="289"/>
      <c r="F879" s="289"/>
      <c r="G879" s="152"/>
      <c r="H879" s="152"/>
      <c r="I879" s="152"/>
      <c r="J879" s="152"/>
      <c r="K879" s="289"/>
      <c r="L879" s="289"/>
      <c r="M879" s="152"/>
      <c r="N879" s="152"/>
      <c r="O879" s="156"/>
      <c r="P879" s="152"/>
      <c r="Q879" s="152"/>
      <c r="R879" s="152"/>
      <c r="S879" s="152"/>
      <c r="T879" s="152"/>
      <c r="U879" s="152"/>
      <c r="V879" s="152"/>
      <c r="W879" s="152"/>
      <c r="X879" s="152"/>
      <c r="Y879" s="152"/>
      <c r="Z879" s="281"/>
      <c r="AA879" s="281"/>
      <c r="AB879" s="281"/>
      <c r="AC879" s="281"/>
      <c r="AD879" s="281"/>
      <c r="AE879" s="281"/>
      <c r="AF879" s="282"/>
      <c r="AG879" s="170"/>
      <c r="AH879" s="152"/>
      <c r="AI879" s="152"/>
      <c r="AJ879" s="152"/>
      <c r="AK879" s="152"/>
      <c r="AL879" s="152"/>
      <c r="AM879" s="152"/>
      <c r="AN879" s="152"/>
      <c r="AO879" s="152"/>
      <c r="AP879" s="152"/>
      <c r="AQ879" s="152"/>
      <c r="AR879" s="152"/>
    </row>
    <row r="880" ht="12.75" customHeight="1">
      <c r="A880" s="288"/>
      <c r="B880" s="288"/>
      <c r="C880" s="288"/>
      <c r="D880" s="152"/>
      <c r="E880" s="289"/>
      <c r="F880" s="289"/>
      <c r="G880" s="152"/>
      <c r="H880" s="152"/>
      <c r="I880" s="152"/>
      <c r="J880" s="152"/>
      <c r="K880" s="289"/>
      <c r="L880" s="289"/>
      <c r="M880" s="152"/>
      <c r="N880" s="152"/>
      <c r="O880" s="156"/>
      <c r="P880" s="152"/>
      <c r="Q880" s="152"/>
      <c r="R880" s="152"/>
      <c r="S880" s="152"/>
      <c r="T880" s="152"/>
      <c r="U880" s="152"/>
      <c r="V880" s="152"/>
      <c r="W880" s="152"/>
      <c r="X880" s="152"/>
      <c r="Y880" s="152"/>
      <c r="Z880" s="281"/>
      <c r="AA880" s="281"/>
      <c r="AB880" s="281"/>
      <c r="AC880" s="281"/>
      <c r="AD880" s="281"/>
      <c r="AE880" s="281"/>
      <c r="AF880" s="282"/>
      <c r="AG880" s="170"/>
      <c r="AH880" s="152"/>
      <c r="AI880" s="152"/>
      <c r="AJ880" s="152"/>
      <c r="AK880" s="152"/>
      <c r="AL880" s="152"/>
      <c r="AM880" s="152"/>
      <c r="AN880" s="152"/>
      <c r="AO880" s="152"/>
      <c r="AP880" s="152"/>
      <c r="AQ880" s="152"/>
      <c r="AR880" s="152"/>
    </row>
    <row r="881" ht="12.75" customHeight="1">
      <c r="A881" s="288"/>
      <c r="B881" s="288"/>
      <c r="C881" s="288"/>
      <c r="D881" s="152"/>
      <c r="E881" s="289"/>
      <c r="F881" s="289"/>
      <c r="G881" s="152"/>
      <c r="H881" s="152"/>
      <c r="I881" s="152"/>
      <c r="J881" s="152"/>
      <c r="K881" s="289"/>
      <c r="L881" s="289"/>
      <c r="M881" s="152"/>
      <c r="N881" s="152"/>
      <c r="O881" s="156"/>
      <c r="P881" s="152"/>
      <c r="Q881" s="152"/>
      <c r="R881" s="152"/>
      <c r="S881" s="152"/>
      <c r="T881" s="152"/>
      <c r="U881" s="152"/>
      <c r="V881" s="152"/>
      <c r="W881" s="152"/>
      <c r="X881" s="152"/>
      <c r="Y881" s="152"/>
      <c r="Z881" s="281"/>
      <c r="AA881" s="281"/>
      <c r="AB881" s="281"/>
      <c r="AC881" s="281"/>
      <c r="AD881" s="281"/>
      <c r="AE881" s="281"/>
      <c r="AF881" s="282"/>
      <c r="AG881" s="170"/>
      <c r="AH881" s="152"/>
      <c r="AI881" s="152"/>
      <c r="AJ881" s="152"/>
      <c r="AK881" s="152"/>
      <c r="AL881" s="152"/>
      <c r="AM881" s="152"/>
      <c r="AN881" s="152"/>
      <c r="AO881" s="152"/>
      <c r="AP881" s="152"/>
      <c r="AQ881" s="152"/>
      <c r="AR881" s="152"/>
    </row>
    <row r="882" ht="12.75" customHeight="1">
      <c r="A882" s="288"/>
      <c r="B882" s="288"/>
      <c r="C882" s="288"/>
      <c r="D882" s="152"/>
      <c r="E882" s="289"/>
      <c r="F882" s="289"/>
      <c r="G882" s="152"/>
      <c r="H882" s="152"/>
      <c r="I882" s="152"/>
      <c r="J882" s="152"/>
      <c r="K882" s="289"/>
      <c r="L882" s="289"/>
      <c r="M882" s="152"/>
      <c r="N882" s="152"/>
      <c r="O882" s="156"/>
      <c r="P882" s="152"/>
      <c r="Q882" s="152"/>
      <c r="R882" s="152"/>
      <c r="S882" s="152"/>
      <c r="T882" s="152"/>
      <c r="U882" s="152"/>
      <c r="V882" s="152"/>
      <c r="W882" s="152"/>
      <c r="X882" s="152"/>
      <c r="Y882" s="152"/>
      <c r="Z882" s="281"/>
      <c r="AA882" s="281"/>
      <c r="AB882" s="281"/>
      <c r="AC882" s="281"/>
      <c r="AD882" s="281"/>
      <c r="AE882" s="281"/>
      <c r="AF882" s="282"/>
      <c r="AG882" s="170"/>
      <c r="AH882" s="152"/>
      <c r="AI882" s="152"/>
      <c r="AJ882" s="152"/>
      <c r="AK882" s="152"/>
      <c r="AL882" s="152"/>
      <c r="AM882" s="152"/>
      <c r="AN882" s="152"/>
      <c r="AO882" s="152"/>
      <c r="AP882" s="152"/>
      <c r="AQ882" s="152"/>
      <c r="AR882" s="152"/>
    </row>
    <row r="883" ht="12.75" customHeight="1">
      <c r="A883" s="288"/>
      <c r="B883" s="288"/>
      <c r="C883" s="288"/>
      <c r="D883" s="152"/>
      <c r="E883" s="289"/>
      <c r="F883" s="289"/>
      <c r="G883" s="152"/>
      <c r="H883" s="152"/>
      <c r="I883" s="152"/>
      <c r="J883" s="152"/>
      <c r="K883" s="289"/>
      <c r="L883" s="289"/>
      <c r="M883" s="152"/>
      <c r="N883" s="152"/>
      <c r="O883" s="156"/>
      <c r="P883" s="152"/>
      <c r="Q883" s="152"/>
      <c r="R883" s="152"/>
      <c r="S883" s="152"/>
      <c r="T883" s="152"/>
      <c r="U883" s="152"/>
      <c r="V883" s="152"/>
      <c r="W883" s="152"/>
      <c r="X883" s="152"/>
      <c r="Y883" s="152"/>
      <c r="Z883" s="281"/>
      <c r="AA883" s="281"/>
      <c r="AB883" s="281"/>
      <c r="AC883" s="281"/>
      <c r="AD883" s="281"/>
      <c r="AE883" s="281"/>
      <c r="AF883" s="282"/>
      <c r="AG883" s="170"/>
      <c r="AH883" s="152"/>
      <c r="AI883" s="152"/>
      <c r="AJ883" s="152"/>
      <c r="AK883" s="152"/>
      <c r="AL883" s="152"/>
      <c r="AM883" s="152"/>
      <c r="AN883" s="152"/>
      <c r="AO883" s="152"/>
      <c r="AP883" s="152"/>
      <c r="AQ883" s="152"/>
      <c r="AR883" s="152"/>
    </row>
    <row r="884" ht="12.75" customHeight="1">
      <c r="A884" s="288"/>
      <c r="B884" s="288"/>
      <c r="C884" s="288"/>
      <c r="D884" s="152"/>
      <c r="E884" s="289"/>
      <c r="F884" s="289"/>
      <c r="G884" s="152"/>
      <c r="H884" s="152"/>
      <c r="I884" s="152"/>
      <c r="J884" s="152"/>
      <c r="K884" s="289"/>
      <c r="L884" s="289"/>
      <c r="M884" s="152"/>
      <c r="N884" s="152"/>
      <c r="O884" s="156"/>
      <c r="P884" s="152"/>
      <c r="Q884" s="152"/>
      <c r="R884" s="152"/>
      <c r="S884" s="152"/>
      <c r="T884" s="152"/>
      <c r="U884" s="152"/>
      <c r="V884" s="152"/>
      <c r="W884" s="152"/>
      <c r="X884" s="152"/>
      <c r="Y884" s="152"/>
      <c r="Z884" s="281"/>
      <c r="AA884" s="281"/>
      <c r="AB884" s="281"/>
      <c r="AC884" s="281"/>
      <c r="AD884" s="281"/>
      <c r="AE884" s="281"/>
      <c r="AF884" s="282"/>
      <c r="AG884" s="170"/>
      <c r="AH884" s="152"/>
      <c r="AI884" s="152"/>
      <c r="AJ884" s="152"/>
      <c r="AK884" s="152"/>
      <c r="AL884" s="152"/>
      <c r="AM884" s="152"/>
      <c r="AN884" s="152"/>
      <c r="AO884" s="152"/>
      <c r="AP884" s="152"/>
      <c r="AQ884" s="152"/>
      <c r="AR884" s="152"/>
    </row>
    <row r="885" ht="12.75" customHeight="1">
      <c r="A885" s="288"/>
      <c r="B885" s="288"/>
      <c r="C885" s="288"/>
      <c r="D885" s="152"/>
      <c r="E885" s="289"/>
      <c r="F885" s="289"/>
      <c r="G885" s="152"/>
      <c r="H885" s="152"/>
      <c r="I885" s="152"/>
      <c r="J885" s="152"/>
      <c r="K885" s="289"/>
      <c r="L885" s="289"/>
      <c r="M885" s="152"/>
      <c r="N885" s="152"/>
      <c r="O885" s="156"/>
      <c r="P885" s="152"/>
      <c r="Q885" s="152"/>
      <c r="R885" s="152"/>
      <c r="S885" s="152"/>
      <c r="T885" s="152"/>
      <c r="U885" s="152"/>
      <c r="V885" s="152"/>
      <c r="W885" s="152"/>
      <c r="X885" s="152"/>
      <c r="Y885" s="152"/>
      <c r="Z885" s="281"/>
      <c r="AA885" s="281"/>
      <c r="AB885" s="281"/>
      <c r="AC885" s="281"/>
      <c r="AD885" s="281"/>
      <c r="AE885" s="281"/>
      <c r="AF885" s="282"/>
      <c r="AG885" s="170"/>
      <c r="AH885" s="152"/>
      <c r="AI885" s="152"/>
      <c r="AJ885" s="152"/>
      <c r="AK885" s="152"/>
      <c r="AL885" s="152"/>
      <c r="AM885" s="152"/>
      <c r="AN885" s="152"/>
      <c r="AO885" s="152"/>
      <c r="AP885" s="152"/>
      <c r="AQ885" s="152"/>
      <c r="AR885" s="152"/>
    </row>
    <row r="886" ht="12.75" customHeight="1">
      <c r="A886" s="288"/>
      <c r="B886" s="288"/>
      <c r="C886" s="288"/>
      <c r="D886" s="152"/>
      <c r="E886" s="289"/>
      <c r="F886" s="289"/>
      <c r="G886" s="152"/>
      <c r="H886" s="152"/>
      <c r="I886" s="152"/>
      <c r="J886" s="152"/>
      <c r="K886" s="289"/>
      <c r="L886" s="289"/>
      <c r="M886" s="152"/>
      <c r="N886" s="152"/>
      <c r="O886" s="156"/>
      <c r="P886" s="152"/>
      <c r="Q886" s="152"/>
      <c r="R886" s="152"/>
      <c r="S886" s="152"/>
      <c r="T886" s="152"/>
      <c r="U886" s="152"/>
      <c r="V886" s="152"/>
      <c r="W886" s="152"/>
      <c r="X886" s="152"/>
      <c r="Y886" s="152"/>
      <c r="Z886" s="281"/>
      <c r="AA886" s="281"/>
      <c r="AB886" s="281"/>
      <c r="AC886" s="281"/>
      <c r="AD886" s="281"/>
      <c r="AE886" s="281"/>
      <c r="AF886" s="282"/>
      <c r="AG886" s="170"/>
      <c r="AH886" s="152"/>
      <c r="AI886" s="152"/>
      <c r="AJ886" s="152"/>
      <c r="AK886" s="152"/>
      <c r="AL886" s="152"/>
      <c r="AM886" s="152"/>
      <c r="AN886" s="152"/>
      <c r="AO886" s="152"/>
      <c r="AP886" s="152"/>
      <c r="AQ886" s="152"/>
      <c r="AR886" s="152"/>
    </row>
    <row r="887" ht="12.75" customHeight="1">
      <c r="A887" s="288"/>
      <c r="B887" s="288"/>
      <c r="C887" s="288"/>
      <c r="D887" s="152"/>
      <c r="E887" s="289"/>
      <c r="F887" s="289"/>
      <c r="G887" s="152"/>
      <c r="H887" s="152"/>
      <c r="I887" s="152"/>
      <c r="J887" s="152"/>
      <c r="K887" s="289"/>
      <c r="L887" s="289"/>
      <c r="M887" s="152"/>
      <c r="N887" s="152"/>
      <c r="O887" s="156"/>
      <c r="P887" s="152"/>
      <c r="Q887" s="152"/>
      <c r="R887" s="152"/>
      <c r="S887" s="152"/>
      <c r="T887" s="152"/>
      <c r="U887" s="152"/>
      <c r="V887" s="152"/>
      <c r="W887" s="152"/>
      <c r="X887" s="152"/>
      <c r="Y887" s="152"/>
      <c r="Z887" s="281"/>
      <c r="AA887" s="281"/>
      <c r="AB887" s="281"/>
      <c r="AC887" s="281"/>
      <c r="AD887" s="281"/>
      <c r="AE887" s="281"/>
      <c r="AF887" s="282"/>
      <c r="AG887" s="170"/>
      <c r="AH887" s="152"/>
      <c r="AI887" s="152"/>
      <c r="AJ887" s="152"/>
      <c r="AK887" s="152"/>
      <c r="AL887" s="152"/>
      <c r="AM887" s="152"/>
      <c r="AN887" s="152"/>
      <c r="AO887" s="152"/>
      <c r="AP887" s="152"/>
      <c r="AQ887" s="152"/>
      <c r="AR887" s="152"/>
    </row>
    <row r="888" ht="12.75" customHeight="1">
      <c r="A888" s="288"/>
      <c r="B888" s="288"/>
      <c r="C888" s="288"/>
      <c r="D888" s="152"/>
      <c r="E888" s="289"/>
      <c r="F888" s="289"/>
      <c r="G888" s="152"/>
      <c r="H888" s="152"/>
      <c r="I888" s="152"/>
      <c r="J888" s="152"/>
      <c r="K888" s="289"/>
      <c r="L888" s="289"/>
      <c r="M888" s="152"/>
      <c r="N888" s="152"/>
      <c r="O888" s="156"/>
      <c r="P888" s="152"/>
      <c r="Q888" s="152"/>
      <c r="R888" s="152"/>
      <c r="S888" s="152"/>
      <c r="T888" s="152"/>
      <c r="U888" s="152"/>
      <c r="V888" s="152"/>
      <c r="W888" s="152"/>
      <c r="X888" s="152"/>
      <c r="Y888" s="152"/>
      <c r="Z888" s="281"/>
      <c r="AA888" s="281"/>
      <c r="AB888" s="281"/>
      <c r="AC888" s="281"/>
      <c r="AD888" s="281"/>
      <c r="AE888" s="281"/>
      <c r="AF888" s="282"/>
      <c r="AG888" s="170"/>
      <c r="AH888" s="152"/>
      <c r="AI888" s="152"/>
      <c r="AJ888" s="152"/>
      <c r="AK888" s="152"/>
      <c r="AL888" s="152"/>
      <c r="AM888" s="152"/>
      <c r="AN888" s="152"/>
      <c r="AO888" s="152"/>
      <c r="AP888" s="152"/>
      <c r="AQ888" s="152"/>
      <c r="AR888" s="152"/>
    </row>
    <row r="889" ht="12.75" customHeight="1">
      <c r="A889" s="288"/>
      <c r="B889" s="288"/>
      <c r="C889" s="288"/>
      <c r="D889" s="152"/>
      <c r="E889" s="289"/>
      <c r="F889" s="289"/>
      <c r="G889" s="152"/>
      <c r="H889" s="152"/>
      <c r="I889" s="152"/>
      <c r="J889" s="152"/>
      <c r="K889" s="289"/>
      <c r="L889" s="289"/>
      <c r="M889" s="152"/>
      <c r="N889" s="152"/>
      <c r="O889" s="156"/>
      <c r="P889" s="152"/>
      <c r="Q889" s="152"/>
      <c r="R889" s="152"/>
      <c r="S889" s="152"/>
      <c r="T889" s="152"/>
      <c r="U889" s="152"/>
      <c r="V889" s="152"/>
      <c r="W889" s="152"/>
      <c r="X889" s="152"/>
      <c r="Y889" s="152"/>
      <c r="Z889" s="281"/>
      <c r="AA889" s="281"/>
      <c r="AB889" s="281"/>
      <c r="AC889" s="281"/>
      <c r="AD889" s="281"/>
      <c r="AE889" s="281"/>
      <c r="AF889" s="282"/>
      <c r="AG889" s="170"/>
      <c r="AH889" s="152"/>
      <c r="AI889" s="152"/>
      <c r="AJ889" s="152"/>
      <c r="AK889" s="152"/>
      <c r="AL889" s="152"/>
      <c r="AM889" s="152"/>
      <c r="AN889" s="152"/>
      <c r="AO889" s="152"/>
      <c r="AP889" s="152"/>
      <c r="AQ889" s="152"/>
      <c r="AR889" s="152"/>
    </row>
    <row r="890" ht="12.75" customHeight="1">
      <c r="A890" s="288"/>
      <c r="B890" s="288"/>
      <c r="C890" s="288"/>
      <c r="D890" s="152"/>
      <c r="E890" s="289"/>
      <c r="F890" s="289"/>
      <c r="G890" s="152"/>
      <c r="H890" s="152"/>
      <c r="I890" s="152"/>
      <c r="J890" s="152"/>
      <c r="K890" s="289"/>
      <c r="L890" s="289"/>
      <c r="M890" s="152"/>
      <c r="N890" s="152"/>
      <c r="O890" s="156"/>
      <c r="P890" s="152"/>
      <c r="Q890" s="152"/>
      <c r="R890" s="152"/>
      <c r="S890" s="152"/>
      <c r="T890" s="152"/>
      <c r="U890" s="152"/>
      <c r="V890" s="152"/>
      <c r="W890" s="152"/>
      <c r="X890" s="152"/>
      <c r="Y890" s="152"/>
      <c r="Z890" s="281"/>
      <c r="AA890" s="281"/>
      <c r="AB890" s="281"/>
      <c r="AC890" s="281"/>
      <c r="AD890" s="281"/>
      <c r="AE890" s="281"/>
      <c r="AF890" s="282"/>
      <c r="AG890" s="170"/>
      <c r="AH890" s="152"/>
      <c r="AI890" s="152"/>
      <c r="AJ890" s="152"/>
      <c r="AK890" s="152"/>
      <c r="AL890" s="152"/>
      <c r="AM890" s="152"/>
      <c r="AN890" s="152"/>
      <c r="AO890" s="152"/>
      <c r="AP890" s="152"/>
      <c r="AQ890" s="152"/>
      <c r="AR890" s="152"/>
    </row>
    <row r="891" ht="12.75" customHeight="1">
      <c r="A891" s="288"/>
      <c r="B891" s="288"/>
      <c r="C891" s="288"/>
      <c r="D891" s="152"/>
      <c r="E891" s="289"/>
      <c r="F891" s="289"/>
      <c r="G891" s="152"/>
      <c r="H891" s="152"/>
      <c r="I891" s="152"/>
      <c r="J891" s="152"/>
      <c r="K891" s="289"/>
      <c r="L891" s="289"/>
      <c r="M891" s="152"/>
      <c r="N891" s="152"/>
      <c r="O891" s="156"/>
      <c r="P891" s="152"/>
      <c r="Q891" s="152"/>
      <c r="R891" s="152"/>
      <c r="S891" s="152"/>
      <c r="T891" s="152"/>
      <c r="U891" s="152"/>
      <c r="V891" s="152"/>
      <c r="W891" s="152"/>
      <c r="X891" s="152"/>
      <c r="Y891" s="152"/>
      <c r="Z891" s="281"/>
      <c r="AA891" s="281"/>
      <c r="AB891" s="281"/>
      <c r="AC891" s="281"/>
      <c r="AD891" s="281"/>
      <c r="AE891" s="281"/>
      <c r="AF891" s="282"/>
      <c r="AG891" s="170"/>
      <c r="AH891" s="152"/>
      <c r="AI891" s="152"/>
      <c r="AJ891" s="152"/>
      <c r="AK891" s="152"/>
      <c r="AL891" s="152"/>
      <c r="AM891" s="152"/>
      <c r="AN891" s="152"/>
      <c r="AO891" s="152"/>
      <c r="AP891" s="152"/>
      <c r="AQ891" s="152"/>
      <c r="AR891" s="152"/>
    </row>
    <row r="892" ht="12.75" customHeight="1">
      <c r="A892" s="288"/>
      <c r="B892" s="288"/>
      <c r="C892" s="288"/>
      <c r="D892" s="152"/>
      <c r="E892" s="289"/>
      <c r="F892" s="289"/>
      <c r="G892" s="152"/>
      <c r="H892" s="152"/>
      <c r="I892" s="152"/>
      <c r="J892" s="152"/>
      <c r="K892" s="289"/>
      <c r="L892" s="289"/>
      <c r="M892" s="152"/>
      <c r="N892" s="152"/>
      <c r="O892" s="156"/>
      <c r="P892" s="152"/>
      <c r="Q892" s="152"/>
      <c r="R892" s="152"/>
      <c r="S892" s="152"/>
      <c r="T892" s="152"/>
      <c r="U892" s="152"/>
      <c r="V892" s="152"/>
      <c r="W892" s="152"/>
      <c r="X892" s="152"/>
      <c r="Y892" s="152"/>
      <c r="Z892" s="281"/>
      <c r="AA892" s="281"/>
      <c r="AB892" s="281"/>
      <c r="AC892" s="281"/>
      <c r="AD892" s="281"/>
      <c r="AE892" s="281"/>
      <c r="AF892" s="282"/>
      <c r="AG892" s="170"/>
      <c r="AH892" s="152"/>
      <c r="AI892" s="152"/>
      <c r="AJ892" s="152"/>
      <c r="AK892" s="152"/>
      <c r="AL892" s="152"/>
      <c r="AM892" s="152"/>
      <c r="AN892" s="152"/>
      <c r="AO892" s="152"/>
      <c r="AP892" s="152"/>
      <c r="AQ892" s="152"/>
      <c r="AR892" s="152"/>
    </row>
    <row r="893" ht="12.75" customHeight="1">
      <c r="A893" s="288"/>
      <c r="B893" s="288"/>
      <c r="C893" s="288"/>
      <c r="D893" s="152"/>
      <c r="E893" s="289"/>
      <c r="F893" s="289"/>
      <c r="G893" s="152"/>
      <c r="H893" s="152"/>
      <c r="I893" s="152"/>
      <c r="J893" s="152"/>
      <c r="K893" s="289"/>
      <c r="L893" s="289"/>
      <c r="M893" s="152"/>
      <c r="N893" s="152"/>
      <c r="O893" s="156"/>
      <c r="P893" s="152"/>
      <c r="Q893" s="152"/>
      <c r="R893" s="152"/>
      <c r="S893" s="152"/>
      <c r="T893" s="152"/>
      <c r="U893" s="152"/>
      <c r="V893" s="152"/>
      <c r="W893" s="152"/>
      <c r="X893" s="152"/>
      <c r="Y893" s="152"/>
      <c r="Z893" s="281"/>
      <c r="AA893" s="281"/>
      <c r="AB893" s="281"/>
      <c r="AC893" s="281"/>
      <c r="AD893" s="281"/>
      <c r="AE893" s="281"/>
      <c r="AF893" s="282"/>
      <c r="AG893" s="170"/>
      <c r="AH893" s="152"/>
      <c r="AI893" s="152"/>
      <c r="AJ893" s="152"/>
      <c r="AK893" s="152"/>
      <c r="AL893" s="152"/>
      <c r="AM893" s="152"/>
      <c r="AN893" s="152"/>
      <c r="AO893" s="152"/>
      <c r="AP893" s="152"/>
      <c r="AQ893" s="152"/>
      <c r="AR893" s="152"/>
    </row>
    <row r="894" ht="12.75" customHeight="1">
      <c r="A894" s="288"/>
      <c r="B894" s="288"/>
      <c r="C894" s="288"/>
      <c r="D894" s="152"/>
      <c r="E894" s="289"/>
      <c r="F894" s="289"/>
      <c r="G894" s="152"/>
      <c r="H894" s="152"/>
      <c r="I894" s="152"/>
      <c r="J894" s="152"/>
      <c r="K894" s="289"/>
      <c r="L894" s="289"/>
      <c r="M894" s="152"/>
      <c r="N894" s="152"/>
      <c r="O894" s="156"/>
      <c r="P894" s="152"/>
      <c r="Q894" s="152"/>
      <c r="R894" s="152"/>
      <c r="S894" s="152"/>
      <c r="T894" s="152"/>
      <c r="U894" s="152"/>
      <c r="V894" s="152"/>
      <c r="W894" s="152"/>
      <c r="X894" s="152"/>
      <c r="Y894" s="152"/>
      <c r="Z894" s="281"/>
      <c r="AA894" s="281"/>
      <c r="AB894" s="281"/>
      <c r="AC894" s="281"/>
      <c r="AD894" s="281"/>
      <c r="AE894" s="281"/>
      <c r="AF894" s="282"/>
      <c r="AG894" s="170"/>
      <c r="AH894" s="152"/>
      <c r="AI894" s="152"/>
      <c r="AJ894" s="152"/>
      <c r="AK894" s="152"/>
      <c r="AL894" s="152"/>
      <c r="AM894" s="152"/>
      <c r="AN894" s="152"/>
      <c r="AO894" s="152"/>
      <c r="AP894" s="152"/>
      <c r="AQ894" s="152"/>
      <c r="AR894" s="152"/>
    </row>
    <row r="895" ht="12.75" customHeight="1">
      <c r="A895" s="288"/>
      <c r="B895" s="288"/>
      <c r="C895" s="288"/>
      <c r="D895" s="152"/>
      <c r="E895" s="289"/>
      <c r="F895" s="289"/>
      <c r="G895" s="152"/>
      <c r="H895" s="152"/>
      <c r="I895" s="152"/>
      <c r="J895" s="152"/>
      <c r="K895" s="289"/>
      <c r="L895" s="289"/>
      <c r="M895" s="152"/>
      <c r="N895" s="152"/>
      <c r="O895" s="156"/>
      <c r="P895" s="152"/>
      <c r="Q895" s="152"/>
      <c r="R895" s="152"/>
      <c r="S895" s="152"/>
      <c r="T895" s="152"/>
      <c r="U895" s="152"/>
      <c r="V895" s="152"/>
      <c r="W895" s="152"/>
      <c r="X895" s="152"/>
      <c r="Y895" s="152"/>
      <c r="Z895" s="281"/>
      <c r="AA895" s="281"/>
      <c r="AB895" s="281"/>
      <c r="AC895" s="281"/>
      <c r="AD895" s="281"/>
      <c r="AE895" s="281"/>
      <c r="AF895" s="282"/>
      <c r="AG895" s="170"/>
      <c r="AH895" s="152"/>
      <c r="AI895" s="152"/>
      <c r="AJ895" s="152"/>
      <c r="AK895" s="152"/>
      <c r="AL895" s="152"/>
      <c r="AM895" s="152"/>
      <c r="AN895" s="152"/>
      <c r="AO895" s="152"/>
      <c r="AP895" s="152"/>
      <c r="AQ895" s="152"/>
      <c r="AR895" s="152"/>
    </row>
    <row r="896" ht="12.75" customHeight="1">
      <c r="A896" s="288"/>
      <c r="B896" s="288"/>
      <c r="C896" s="288"/>
      <c r="D896" s="152"/>
      <c r="E896" s="289"/>
      <c r="F896" s="289"/>
      <c r="G896" s="152"/>
      <c r="H896" s="152"/>
      <c r="I896" s="152"/>
      <c r="J896" s="152"/>
      <c r="K896" s="289"/>
      <c r="L896" s="289"/>
      <c r="M896" s="152"/>
      <c r="N896" s="152"/>
      <c r="O896" s="156"/>
      <c r="P896" s="152"/>
      <c r="Q896" s="152"/>
      <c r="R896" s="152"/>
      <c r="S896" s="152"/>
      <c r="T896" s="152"/>
      <c r="U896" s="152"/>
      <c r="V896" s="152"/>
      <c r="W896" s="152"/>
      <c r="X896" s="152"/>
      <c r="Y896" s="152"/>
      <c r="Z896" s="281"/>
      <c r="AA896" s="281"/>
      <c r="AB896" s="281"/>
      <c r="AC896" s="281"/>
      <c r="AD896" s="281"/>
      <c r="AE896" s="281"/>
      <c r="AF896" s="282"/>
      <c r="AG896" s="170"/>
      <c r="AH896" s="152"/>
      <c r="AI896" s="152"/>
      <c r="AJ896" s="152"/>
      <c r="AK896" s="152"/>
      <c r="AL896" s="152"/>
      <c r="AM896" s="152"/>
      <c r="AN896" s="152"/>
      <c r="AO896" s="152"/>
      <c r="AP896" s="152"/>
      <c r="AQ896" s="152"/>
      <c r="AR896" s="152"/>
    </row>
    <row r="897" ht="12.75" customHeight="1">
      <c r="A897" s="288"/>
      <c r="B897" s="288"/>
      <c r="C897" s="288"/>
      <c r="D897" s="152"/>
      <c r="E897" s="289"/>
      <c r="F897" s="289"/>
      <c r="G897" s="152"/>
      <c r="H897" s="152"/>
      <c r="I897" s="152"/>
      <c r="J897" s="152"/>
      <c r="K897" s="289"/>
      <c r="L897" s="289"/>
      <c r="M897" s="152"/>
      <c r="N897" s="152"/>
      <c r="O897" s="156"/>
      <c r="P897" s="152"/>
      <c r="Q897" s="152"/>
      <c r="R897" s="152"/>
      <c r="S897" s="152"/>
      <c r="T897" s="152"/>
      <c r="U897" s="152"/>
      <c r="V897" s="152"/>
      <c r="W897" s="152"/>
      <c r="X897" s="152"/>
      <c r="Y897" s="152"/>
      <c r="Z897" s="281"/>
      <c r="AA897" s="281"/>
      <c r="AB897" s="281"/>
      <c r="AC897" s="281"/>
      <c r="AD897" s="281"/>
      <c r="AE897" s="281"/>
      <c r="AF897" s="282"/>
      <c r="AG897" s="170"/>
      <c r="AH897" s="152"/>
      <c r="AI897" s="152"/>
      <c r="AJ897" s="152"/>
      <c r="AK897" s="152"/>
      <c r="AL897" s="152"/>
      <c r="AM897" s="152"/>
      <c r="AN897" s="152"/>
      <c r="AO897" s="152"/>
      <c r="AP897" s="152"/>
      <c r="AQ897" s="152"/>
      <c r="AR897" s="152"/>
    </row>
    <row r="898" ht="12.75" customHeight="1">
      <c r="A898" s="288"/>
      <c r="B898" s="288"/>
      <c r="C898" s="288"/>
      <c r="D898" s="152"/>
      <c r="E898" s="289"/>
      <c r="F898" s="289"/>
      <c r="G898" s="152"/>
      <c r="H898" s="152"/>
      <c r="I898" s="152"/>
      <c r="J898" s="152"/>
      <c r="K898" s="289"/>
      <c r="L898" s="289"/>
      <c r="M898" s="152"/>
      <c r="N898" s="152"/>
      <c r="O898" s="156"/>
      <c r="P898" s="152"/>
      <c r="Q898" s="152"/>
      <c r="R898" s="152"/>
      <c r="S898" s="152"/>
      <c r="T898" s="152"/>
      <c r="U898" s="152"/>
      <c r="V898" s="152"/>
      <c r="W898" s="152"/>
      <c r="X898" s="152"/>
      <c r="Y898" s="152"/>
      <c r="Z898" s="281"/>
      <c r="AA898" s="281"/>
      <c r="AB898" s="281"/>
      <c r="AC898" s="281"/>
      <c r="AD898" s="281"/>
      <c r="AE898" s="281"/>
      <c r="AF898" s="282"/>
      <c r="AG898" s="170"/>
      <c r="AH898" s="152"/>
      <c r="AI898" s="152"/>
      <c r="AJ898" s="152"/>
      <c r="AK898" s="152"/>
      <c r="AL898" s="152"/>
      <c r="AM898" s="152"/>
      <c r="AN898" s="152"/>
      <c r="AO898" s="152"/>
      <c r="AP898" s="152"/>
      <c r="AQ898" s="152"/>
      <c r="AR898" s="152"/>
    </row>
    <row r="899" ht="12.75" customHeight="1">
      <c r="A899" s="288"/>
      <c r="B899" s="288"/>
      <c r="C899" s="288"/>
      <c r="D899" s="152"/>
      <c r="E899" s="289"/>
      <c r="F899" s="289"/>
      <c r="G899" s="152"/>
      <c r="H899" s="152"/>
      <c r="I899" s="152"/>
      <c r="J899" s="152"/>
      <c r="K899" s="289"/>
      <c r="L899" s="289"/>
      <c r="M899" s="152"/>
      <c r="N899" s="152"/>
      <c r="O899" s="156"/>
      <c r="P899" s="152"/>
      <c r="Q899" s="152"/>
      <c r="R899" s="152"/>
      <c r="S899" s="152"/>
      <c r="T899" s="152"/>
      <c r="U899" s="152"/>
      <c r="V899" s="152"/>
      <c r="W899" s="152"/>
      <c r="X899" s="152"/>
      <c r="Y899" s="152"/>
      <c r="Z899" s="281"/>
      <c r="AA899" s="281"/>
      <c r="AB899" s="281"/>
      <c r="AC899" s="281"/>
      <c r="AD899" s="281"/>
      <c r="AE899" s="281"/>
      <c r="AF899" s="282"/>
      <c r="AG899" s="170"/>
      <c r="AH899" s="152"/>
      <c r="AI899" s="152"/>
      <c r="AJ899" s="152"/>
      <c r="AK899" s="152"/>
      <c r="AL899" s="152"/>
      <c r="AM899" s="152"/>
      <c r="AN899" s="152"/>
      <c r="AO899" s="152"/>
      <c r="AP899" s="152"/>
      <c r="AQ899" s="152"/>
      <c r="AR899" s="152"/>
    </row>
    <row r="900" ht="12.75" customHeight="1">
      <c r="A900" s="288"/>
      <c r="B900" s="288"/>
      <c r="C900" s="288"/>
      <c r="D900" s="152"/>
      <c r="E900" s="289"/>
      <c r="F900" s="289"/>
      <c r="G900" s="152"/>
      <c r="H900" s="152"/>
      <c r="I900" s="152"/>
      <c r="J900" s="152"/>
      <c r="K900" s="289"/>
      <c r="L900" s="289"/>
      <c r="M900" s="152"/>
      <c r="N900" s="152"/>
      <c r="O900" s="156"/>
      <c r="P900" s="152"/>
      <c r="Q900" s="152"/>
      <c r="R900" s="152"/>
      <c r="S900" s="152"/>
      <c r="T900" s="152"/>
      <c r="U900" s="152"/>
      <c r="V900" s="152"/>
      <c r="W900" s="152"/>
      <c r="X900" s="152"/>
      <c r="Y900" s="152"/>
      <c r="Z900" s="281"/>
      <c r="AA900" s="281"/>
      <c r="AB900" s="281"/>
      <c r="AC900" s="281"/>
      <c r="AD900" s="281"/>
      <c r="AE900" s="281"/>
      <c r="AF900" s="282"/>
      <c r="AG900" s="170"/>
      <c r="AH900" s="152"/>
      <c r="AI900" s="152"/>
      <c r="AJ900" s="152"/>
      <c r="AK900" s="152"/>
      <c r="AL900" s="152"/>
      <c r="AM900" s="152"/>
      <c r="AN900" s="152"/>
      <c r="AO900" s="152"/>
      <c r="AP900" s="152"/>
      <c r="AQ900" s="152"/>
      <c r="AR900" s="152"/>
    </row>
    <row r="901" ht="12.75" customHeight="1">
      <c r="A901" s="288"/>
      <c r="B901" s="288"/>
      <c r="C901" s="288"/>
      <c r="D901" s="152"/>
      <c r="E901" s="289"/>
      <c r="F901" s="289"/>
      <c r="G901" s="152"/>
      <c r="H901" s="152"/>
      <c r="I901" s="152"/>
      <c r="J901" s="152"/>
      <c r="K901" s="289"/>
      <c r="L901" s="289"/>
      <c r="M901" s="152"/>
      <c r="N901" s="152"/>
      <c r="O901" s="156"/>
      <c r="P901" s="152"/>
      <c r="Q901" s="152"/>
      <c r="R901" s="152"/>
      <c r="S901" s="152"/>
      <c r="T901" s="152"/>
      <c r="U901" s="152"/>
      <c r="V901" s="152"/>
      <c r="W901" s="152"/>
      <c r="X901" s="152"/>
      <c r="Y901" s="152"/>
      <c r="Z901" s="281"/>
      <c r="AA901" s="281"/>
      <c r="AB901" s="281"/>
      <c r="AC901" s="281"/>
      <c r="AD901" s="281"/>
      <c r="AE901" s="281"/>
      <c r="AF901" s="282"/>
      <c r="AG901" s="170"/>
      <c r="AH901" s="152"/>
      <c r="AI901" s="152"/>
      <c r="AJ901" s="152"/>
      <c r="AK901" s="152"/>
      <c r="AL901" s="152"/>
      <c r="AM901" s="152"/>
      <c r="AN901" s="152"/>
      <c r="AO901" s="152"/>
      <c r="AP901" s="152"/>
      <c r="AQ901" s="152"/>
      <c r="AR901" s="152"/>
    </row>
    <row r="902" ht="12.75" customHeight="1">
      <c r="A902" s="288"/>
      <c r="B902" s="288"/>
      <c r="C902" s="288"/>
      <c r="D902" s="152"/>
      <c r="E902" s="289"/>
      <c r="F902" s="289"/>
      <c r="G902" s="152"/>
      <c r="H902" s="152"/>
      <c r="I902" s="152"/>
      <c r="J902" s="152"/>
      <c r="K902" s="289"/>
      <c r="L902" s="289"/>
      <c r="M902" s="152"/>
      <c r="N902" s="152"/>
      <c r="O902" s="156"/>
      <c r="P902" s="152"/>
      <c r="Q902" s="152"/>
      <c r="R902" s="152"/>
      <c r="S902" s="152"/>
      <c r="T902" s="152"/>
      <c r="U902" s="152"/>
      <c r="V902" s="152"/>
      <c r="W902" s="152"/>
      <c r="X902" s="152"/>
      <c r="Y902" s="152"/>
      <c r="Z902" s="281"/>
      <c r="AA902" s="281"/>
      <c r="AB902" s="281"/>
      <c r="AC902" s="281"/>
      <c r="AD902" s="281"/>
      <c r="AE902" s="281"/>
      <c r="AF902" s="282"/>
      <c r="AG902" s="170"/>
      <c r="AH902" s="152"/>
      <c r="AI902" s="152"/>
      <c r="AJ902" s="152"/>
      <c r="AK902" s="152"/>
      <c r="AL902" s="152"/>
      <c r="AM902" s="152"/>
      <c r="AN902" s="152"/>
      <c r="AO902" s="152"/>
      <c r="AP902" s="152"/>
      <c r="AQ902" s="152"/>
      <c r="AR902" s="152"/>
    </row>
    <row r="903" ht="12.75" customHeight="1">
      <c r="A903" s="288"/>
      <c r="B903" s="288"/>
      <c r="C903" s="288"/>
      <c r="D903" s="152"/>
      <c r="E903" s="289"/>
      <c r="F903" s="289"/>
      <c r="G903" s="152"/>
      <c r="H903" s="152"/>
      <c r="I903" s="152"/>
      <c r="J903" s="152"/>
      <c r="K903" s="289"/>
      <c r="L903" s="289"/>
      <c r="M903" s="152"/>
      <c r="N903" s="152"/>
      <c r="O903" s="156"/>
      <c r="P903" s="152"/>
      <c r="Q903" s="152"/>
      <c r="R903" s="152"/>
      <c r="S903" s="152"/>
      <c r="T903" s="152"/>
      <c r="U903" s="152"/>
      <c r="V903" s="152"/>
      <c r="W903" s="152"/>
      <c r="X903" s="152"/>
      <c r="Y903" s="152"/>
      <c r="Z903" s="281"/>
      <c r="AA903" s="281"/>
      <c r="AB903" s="281"/>
      <c r="AC903" s="281"/>
      <c r="AD903" s="281"/>
      <c r="AE903" s="281"/>
      <c r="AF903" s="282"/>
      <c r="AG903" s="170"/>
      <c r="AH903" s="152"/>
      <c r="AI903" s="152"/>
      <c r="AJ903" s="152"/>
      <c r="AK903" s="152"/>
      <c r="AL903" s="152"/>
      <c r="AM903" s="152"/>
      <c r="AN903" s="152"/>
      <c r="AO903" s="152"/>
      <c r="AP903" s="152"/>
      <c r="AQ903" s="152"/>
      <c r="AR903" s="152"/>
    </row>
    <row r="904" ht="12.75" customHeight="1">
      <c r="A904" s="288"/>
      <c r="B904" s="288"/>
      <c r="C904" s="288"/>
      <c r="D904" s="152"/>
      <c r="E904" s="289"/>
      <c r="F904" s="289"/>
      <c r="G904" s="152"/>
      <c r="H904" s="152"/>
      <c r="I904" s="152"/>
      <c r="J904" s="152"/>
      <c r="K904" s="289"/>
      <c r="L904" s="289"/>
      <c r="M904" s="152"/>
      <c r="N904" s="152"/>
      <c r="O904" s="156"/>
      <c r="P904" s="152"/>
      <c r="Q904" s="152"/>
      <c r="R904" s="152"/>
      <c r="S904" s="152"/>
      <c r="T904" s="152"/>
      <c r="U904" s="152"/>
      <c r="V904" s="152"/>
      <c r="W904" s="152"/>
      <c r="X904" s="152"/>
      <c r="Y904" s="152"/>
      <c r="Z904" s="281"/>
      <c r="AA904" s="281"/>
      <c r="AB904" s="281"/>
      <c r="AC904" s="281"/>
      <c r="AD904" s="281"/>
      <c r="AE904" s="281"/>
      <c r="AF904" s="282"/>
      <c r="AG904" s="170"/>
      <c r="AH904" s="152"/>
      <c r="AI904" s="152"/>
      <c r="AJ904" s="152"/>
      <c r="AK904" s="152"/>
      <c r="AL904" s="152"/>
      <c r="AM904" s="152"/>
      <c r="AN904" s="152"/>
      <c r="AO904" s="152"/>
      <c r="AP904" s="152"/>
      <c r="AQ904" s="152"/>
      <c r="AR904" s="152"/>
    </row>
    <row r="905" ht="12.75" customHeight="1">
      <c r="A905" s="288"/>
      <c r="B905" s="288"/>
      <c r="C905" s="288"/>
      <c r="D905" s="152"/>
      <c r="E905" s="289"/>
      <c r="F905" s="289"/>
      <c r="G905" s="152"/>
      <c r="H905" s="152"/>
      <c r="I905" s="152"/>
      <c r="J905" s="152"/>
      <c r="K905" s="289"/>
      <c r="L905" s="289"/>
      <c r="M905" s="152"/>
      <c r="N905" s="152"/>
      <c r="O905" s="156"/>
      <c r="P905" s="152"/>
      <c r="Q905" s="152"/>
      <c r="R905" s="152"/>
      <c r="S905" s="152"/>
      <c r="T905" s="152"/>
      <c r="U905" s="152"/>
      <c r="V905" s="152"/>
      <c r="W905" s="152"/>
      <c r="X905" s="152"/>
      <c r="Y905" s="152"/>
      <c r="Z905" s="281"/>
      <c r="AA905" s="281"/>
      <c r="AB905" s="281"/>
      <c r="AC905" s="281"/>
      <c r="AD905" s="281"/>
      <c r="AE905" s="281"/>
      <c r="AF905" s="282"/>
      <c r="AG905" s="170"/>
      <c r="AH905" s="152"/>
      <c r="AI905" s="152"/>
      <c r="AJ905" s="152"/>
      <c r="AK905" s="152"/>
      <c r="AL905" s="152"/>
      <c r="AM905" s="152"/>
      <c r="AN905" s="152"/>
      <c r="AO905" s="152"/>
      <c r="AP905" s="152"/>
      <c r="AQ905" s="152"/>
      <c r="AR905" s="152"/>
    </row>
    <row r="906" ht="12.75" customHeight="1">
      <c r="A906" s="288"/>
      <c r="B906" s="288"/>
      <c r="C906" s="288"/>
      <c r="D906" s="152"/>
      <c r="E906" s="289"/>
      <c r="F906" s="289"/>
      <c r="G906" s="152"/>
      <c r="H906" s="152"/>
      <c r="I906" s="152"/>
      <c r="J906" s="152"/>
      <c r="K906" s="289"/>
      <c r="L906" s="289"/>
      <c r="M906" s="152"/>
      <c r="N906" s="152"/>
      <c r="O906" s="156"/>
      <c r="P906" s="152"/>
      <c r="Q906" s="152"/>
      <c r="R906" s="152"/>
      <c r="S906" s="152"/>
      <c r="T906" s="152"/>
      <c r="U906" s="152"/>
      <c r="V906" s="152"/>
      <c r="W906" s="152"/>
      <c r="X906" s="152"/>
      <c r="Y906" s="152"/>
      <c r="Z906" s="281"/>
      <c r="AA906" s="281"/>
      <c r="AB906" s="281"/>
      <c r="AC906" s="281"/>
      <c r="AD906" s="281"/>
      <c r="AE906" s="281"/>
      <c r="AF906" s="282"/>
      <c r="AG906" s="170"/>
      <c r="AH906" s="152"/>
      <c r="AI906" s="152"/>
      <c r="AJ906" s="152"/>
      <c r="AK906" s="152"/>
      <c r="AL906" s="152"/>
      <c r="AM906" s="152"/>
      <c r="AN906" s="152"/>
      <c r="AO906" s="152"/>
      <c r="AP906" s="152"/>
      <c r="AQ906" s="152"/>
      <c r="AR906" s="152"/>
    </row>
    <row r="907" ht="12.75" customHeight="1">
      <c r="A907" s="288"/>
      <c r="B907" s="288"/>
      <c r="C907" s="288"/>
      <c r="D907" s="152"/>
      <c r="E907" s="289"/>
      <c r="F907" s="289"/>
      <c r="G907" s="152"/>
      <c r="H907" s="152"/>
      <c r="I907" s="152"/>
      <c r="J907" s="152"/>
      <c r="K907" s="289"/>
      <c r="L907" s="289"/>
      <c r="M907" s="152"/>
      <c r="N907" s="152"/>
      <c r="O907" s="156"/>
      <c r="P907" s="152"/>
      <c r="Q907" s="152"/>
      <c r="R907" s="152"/>
      <c r="S907" s="152"/>
      <c r="T907" s="152"/>
      <c r="U907" s="152"/>
      <c r="V907" s="152"/>
      <c r="W907" s="152"/>
      <c r="X907" s="152"/>
      <c r="Y907" s="152"/>
      <c r="Z907" s="281"/>
      <c r="AA907" s="281"/>
      <c r="AB907" s="281"/>
      <c r="AC907" s="281"/>
      <c r="AD907" s="281"/>
      <c r="AE907" s="281"/>
      <c r="AF907" s="282"/>
      <c r="AG907" s="170"/>
      <c r="AH907" s="152"/>
      <c r="AI907" s="152"/>
      <c r="AJ907" s="152"/>
      <c r="AK907" s="152"/>
      <c r="AL907" s="152"/>
      <c r="AM907" s="152"/>
      <c r="AN907" s="152"/>
      <c r="AO907" s="152"/>
      <c r="AP907" s="152"/>
      <c r="AQ907" s="152"/>
      <c r="AR907" s="152"/>
    </row>
    <row r="908" ht="12.75" customHeight="1">
      <c r="A908" s="288"/>
      <c r="B908" s="288"/>
      <c r="C908" s="288"/>
      <c r="D908" s="152"/>
      <c r="E908" s="289"/>
      <c r="F908" s="289"/>
      <c r="G908" s="152"/>
      <c r="H908" s="152"/>
      <c r="I908" s="152"/>
      <c r="J908" s="152"/>
      <c r="K908" s="289"/>
      <c r="L908" s="289"/>
      <c r="M908" s="152"/>
      <c r="N908" s="152"/>
      <c r="O908" s="156"/>
      <c r="P908" s="152"/>
      <c r="Q908" s="152"/>
      <c r="R908" s="152"/>
      <c r="S908" s="152"/>
      <c r="T908" s="152"/>
      <c r="U908" s="152"/>
      <c r="V908" s="152"/>
      <c r="W908" s="152"/>
      <c r="X908" s="152"/>
      <c r="Y908" s="152"/>
      <c r="Z908" s="281"/>
      <c r="AA908" s="281"/>
      <c r="AB908" s="281"/>
      <c r="AC908" s="281"/>
      <c r="AD908" s="281"/>
      <c r="AE908" s="281"/>
      <c r="AF908" s="282"/>
      <c r="AG908" s="170"/>
      <c r="AH908" s="152"/>
      <c r="AI908" s="152"/>
      <c r="AJ908" s="152"/>
      <c r="AK908" s="152"/>
      <c r="AL908" s="152"/>
      <c r="AM908" s="152"/>
      <c r="AN908" s="152"/>
      <c r="AO908" s="152"/>
      <c r="AP908" s="152"/>
      <c r="AQ908" s="152"/>
      <c r="AR908" s="152"/>
    </row>
    <row r="909" ht="12.75" customHeight="1">
      <c r="A909" s="288"/>
      <c r="B909" s="288"/>
      <c r="C909" s="288"/>
      <c r="D909" s="152"/>
      <c r="E909" s="289"/>
      <c r="F909" s="289"/>
      <c r="G909" s="152"/>
      <c r="H909" s="152"/>
      <c r="I909" s="152"/>
      <c r="J909" s="152"/>
      <c r="K909" s="289"/>
      <c r="L909" s="289"/>
      <c r="M909" s="152"/>
      <c r="N909" s="152"/>
      <c r="O909" s="156"/>
      <c r="P909" s="152"/>
      <c r="Q909" s="152"/>
      <c r="R909" s="152"/>
      <c r="S909" s="152"/>
      <c r="T909" s="152"/>
      <c r="U909" s="152"/>
      <c r="V909" s="152"/>
      <c r="W909" s="152"/>
      <c r="X909" s="152"/>
      <c r="Y909" s="152"/>
      <c r="Z909" s="281"/>
      <c r="AA909" s="281"/>
      <c r="AB909" s="281"/>
      <c r="AC909" s="281"/>
      <c r="AD909" s="281"/>
      <c r="AE909" s="281"/>
      <c r="AF909" s="282"/>
      <c r="AG909" s="170"/>
      <c r="AH909" s="152"/>
      <c r="AI909" s="152"/>
      <c r="AJ909" s="152"/>
      <c r="AK909" s="152"/>
      <c r="AL909" s="152"/>
      <c r="AM909" s="152"/>
      <c r="AN909" s="152"/>
      <c r="AO909" s="152"/>
      <c r="AP909" s="152"/>
      <c r="AQ909" s="152"/>
      <c r="AR909" s="152"/>
    </row>
    <row r="910" ht="12.75" customHeight="1">
      <c r="A910" s="288"/>
      <c r="B910" s="288"/>
      <c r="C910" s="288"/>
      <c r="D910" s="152"/>
      <c r="E910" s="289"/>
      <c r="F910" s="289"/>
      <c r="G910" s="152"/>
      <c r="H910" s="152"/>
      <c r="I910" s="152"/>
      <c r="J910" s="152"/>
      <c r="K910" s="289"/>
      <c r="L910" s="289"/>
      <c r="M910" s="152"/>
      <c r="N910" s="152"/>
      <c r="O910" s="156"/>
      <c r="P910" s="152"/>
      <c r="Q910" s="152"/>
      <c r="R910" s="152"/>
      <c r="S910" s="152"/>
      <c r="T910" s="152"/>
      <c r="U910" s="152"/>
      <c r="V910" s="152"/>
      <c r="W910" s="152"/>
      <c r="X910" s="152"/>
      <c r="Y910" s="152"/>
      <c r="Z910" s="281"/>
      <c r="AA910" s="281"/>
      <c r="AB910" s="281"/>
      <c r="AC910" s="281"/>
      <c r="AD910" s="281"/>
      <c r="AE910" s="281"/>
      <c r="AF910" s="282"/>
      <c r="AG910" s="170"/>
      <c r="AH910" s="152"/>
      <c r="AI910" s="152"/>
      <c r="AJ910" s="152"/>
      <c r="AK910" s="152"/>
      <c r="AL910" s="152"/>
      <c r="AM910" s="152"/>
      <c r="AN910" s="152"/>
      <c r="AO910" s="152"/>
      <c r="AP910" s="152"/>
      <c r="AQ910" s="152"/>
      <c r="AR910" s="152"/>
    </row>
    <row r="911" ht="12.75" customHeight="1">
      <c r="A911" s="288"/>
      <c r="B911" s="288"/>
      <c r="C911" s="288"/>
      <c r="D911" s="152"/>
      <c r="E911" s="289"/>
      <c r="F911" s="289"/>
      <c r="G911" s="152"/>
      <c r="H911" s="152"/>
      <c r="I911" s="152"/>
      <c r="J911" s="152"/>
      <c r="K911" s="289"/>
      <c r="L911" s="289"/>
      <c r="M911" s="152"/>
      <c r="N911" s="152"/>
      <c r="O911" s="156"/>
      <c r="P911" s="152"/>
      <c r="Q911" s="152"/>
      <c r="R911" s="152"/>
      <c r="S911" s="152"/>
      <c r="T911" s="152"/>
      <c r="U911" s="152"/>
      <c r="V911" s="152"/>
      <c r="W911" s="152"/>
      <c r="X911" s="152"/>
      <c r="Y911" s="152"/>
      <c r="Z911" s="281"/>
      <c r="AA911" s="281"/>
      <c r="AB911" s="281"/>
      <c r="AC911" s="281"/>
      <c r="AD911" s="281"/>
      <c r="AE911" s="281"/>
      <c r="AF911" s="282"/>
      <c r="AG911" s="170"/>
      <c r="AH911" s="152"/>
      <c r="AI911" s="152"/>
      <c r="AJ911" s="152"/>
      <c r="AK911" s="152"/>
      <c r="AL911" s="152"/>
      <c r="AM911" s="152"/>
      <c r="AN911" s="152"/>
      <c r="AO911" s="152"/>
      <c r="AP911" s="152"/>
      <c r="AQ911" s="152"/>
      <c r="AR911" s="152"/>
    </row>
    <row r="912" ht="12.75" customHeight="1">
      <c r="A912" s="288"/>
      <c r="B912" s="288"/>
      <c r="C912" s="288"/>
      <c r="D912" s="152"/>
      <c r="E912" s="289"/>
      <c r="F912" s="289"/>
      <c r="G912" s="152"/>
      <c r="H912" s="152"/>
      <c r="I912" s="152"/>
      <c r="J912" s="152"/>
      <c r="K912" s="289"/>
      <c r="L912" s="289"/>
      <c r="M912" s="152"/>
      <c r="N912" s="152"/>
      <c r="O912" s="156"/>
      <c r="P912" s="152"/>
      <c r="Q912" s="152"/>
      <c r="R912" s="152"/>
      <c r="S912" s="152"/>
      <c r="T912" s="152"/>
      <c r="U912" s="152"/>
      <c r="V912" s="152"/>
      <c r="W912" s="152"/>
      <c r="X912" s="152"/>
      <c r="Y912" s="152"/>
      <c r="Z912" s="281"/>
      <c r="AA912" s="281"/>
      <c r="AB912" s="281"/>
      <c r="AC912" s="281"/>
      <c r="AD912" s="281"/>
      <c r="AE912" s="281"/>
      <c r="AF912" s="282"/>
      <c r="AG912" s="170"/>
      <c r="AH912" s="152"/>
      <c r="AI912" s="152"/>
      <c r="AJ912" s="152"/>
      <c r="AK912" s="152"/>
      <c r="AL912" s="152"/>
      <c r="AM912" s="152"/>
      <c r="AN912" s="152"/>
      <c r="AO912" s="152"/>
      <c r="AP912" s="152"/>
      <c r="AQ912" s="152"/>
      <c r="AR912" s="152"/>
    </row>
    <row r="913" ht="12.75" customHeight="1">
      <c r="A913" s="288"/>
      <c r="B913" s="288"/>
      <c r="C913" s="288"/>
      <c r="D913" s="152"/>
      <c r="E913" s="289"/>
      <c r="F913" s="289"/>
      <c r="G913" s="152"/>
      <c r="H913" s="152"/>
      <c r="I913" s="152"/>
      <c r="J913" s="152"/>
      <c r="K913" s="289"/>
      <c r="L913" s="289"/>
      <c r="M913" s="152"/>
      <c r="N913" s="152"/>
      <c r="O913" s="156"/>
      <c r="P913" s="152"/>
      <c r="Q913" s="152"/>
      <c r="R913" s="152"/>
      <c r="S913" s="152"/>
      <c r="T913" s="152"/>
      <c r="U913" s="152"/>
      <c r="V913" s="152"/>
      <c r="W913" s="152"/>
      <c r="X913" s="152"/>
      <c r="Y913" s="152"/>
      <c r="Z913" s="281"/>
      <c r="AA913" s="281"/>
      <c r="AB913" s="281"/>
      <c r="AC913" s="281"/>
      <c r="AD913" s="281"/>
      <c r="AE913" s="281"/>
      <c r="AF913" s="282"/>
      <c r="AG913" s="170"/>
      <c r="AH913" s="152"/>
      <c r="AI913" s="152"/>
      <c r="AJ913" s="152"/>
      <c r="AK913" s="152"/>
      <c r="AL913" s="152"/>
      <c r="AM913" s="152"/>
      <c r="AN913" s="152"/>
      <c r="AO913" s="152"/>
      <c r="AP913" s="152"/>
      <c r="AQ913" s="152"/>
      <c r="AR913" s="152"/>
    </row>
    <row r="914" ht="12.75" customHeight="1">
      <c r="A914" s="288"/>
      <c r="B914" s="288"/>
      <c r="C914" s="288"/>
      <c r="D914" s="152"/>
      <c r="E914" s="289"/>
      <c r="F914" s="289"/>
      <c r="G914" s="152"/>
      <c r="H914" s="152"/>
      <c r="I914" s="152"/>
      <c r="J914" s="152"/>
      <c r="K914" s="289"/>
      <c r="L914" s="289"/>
      <c r="M914" s="152"/>
      <c r="N914" s="152"/>
      <c r="O914" s="156"/>
      <c r="P914" s="152"/>
      <c r="Q914" s="152"/>
      <c r="R914" s="152"/>
      <c r="S914" s="152"/>
      <c r="T914" s="152"/>
      <c r="U914" s="152"/>
      <c r="V914" s="152"/>
      <c r="W914" s="152"/>
      <c r="X914" s="152"/>
      <c r="Y914" s="152"/>
      <c r="Z914" s="281"/>
      <c r="AA914" s="281"/>
      <c r="AB914" s="281"/>
      <c r="AC914" s="281"/>
      <c r="AD914" s="281"/>
      <c r="AE914" s="281"/>
      <c r="AF914" s="282"/>
      <c r="AG914" s="170"/>
      <c r="AH914" s="152"/>
      <c r="AI914" s="152"/>
      <c r="AJ914" s="152"/>
      <c r="AK914" s="152"/>
      <c r="AL914" s="152"/>
      <c r="AM914" s="152"/>
      <c r="AN914" s="152"/>
      <c r="AO914" s="152"/>
      <c r="AP914" s="152"/>
      <c r="AQ914" s="152"/>
      <c r="AR914" s="152"/>
    </row>
    <row r="915" ht="12.75" customHeight="1">
      <c r="A915" s="288"/>
      <c r="B915" s="288"/>
      <c r="C915" s="288"/>
      <c r="D915" s="152"/>
      <c r="E915" s="289"/>
      <c r="F915" s="289"/>
      <c r="G915" s="152"/>
      <c r="H915" s="152"/>
      <c r="I915" s="152"/>
      <c r="J915" s="152"/>
      <c r="K915" s="289"/>
      <c r="L915" s="289"/>
      <c r="M915" s="152"/>
      <c r="N915" s="152"/>
      <c r="O915" s="156"/>
      <c r="P915" s="152"/>
      <c r="Q915" s="152"/>
      <c r="R915" s="152"/>
      <c r="S915" s="152"/>
      <c r="T915" s="152"/>
      <c r="U915" s="152"/>
      <c r="V915" s="152"/>
      <c r="W915" s="152"/>
      <c r="X915" s="152"/>
      <c r="Y915" s="152"/>
      <c r="Z915" s="281"/>
      <c r="AA915" s="281"/>
      <c r="AB915" s="281"/>
      <c r="AC915" s="281"/>
      <c r="AD915" s="281"/>
      <c r="AE915" s="281"/>
      <c r="AF915" s="282"/>
      <c r="AG915" s="170"/>
      <c r="AH915" s="152"/>
      <c r="AI915" s="152"/>
      <c r="AJ915" s="152"/>
      <c r="AK915" s="152"/>
      <c r="AL915" s="152"/>
      <c r="AM915" s="152"/>
      <c r="AN915" s="152"/>
      <c r="AO915" s="152"/>
      <c r="AP915" s="152"/>
      <c r="AQ915" s="152"/>
      <c r="AR915" s="152"/>
    </row>
    <row r="916" ht="12.75" customHeight="1">
      <c r="A916" s="288"/>
      <c r="B916" s="288"/>
      <c r="C916" s="288"/>
      <c r="D916" s="152"/>
      <c r="E916" s="289"/>
      <c r="F916" s="289"/>
      <c r="G916" s="152"/>
      <c r="H916" s="152"/>
      <c r="I916" s="152"/>
      <c r="J916" s="152"/>
      <c r="K916" s="289"/>
      <c r="L916" s="289"/>
      <c r="M916" s="152"/>
      <c r="N916" s="152"/>
      <c r="O916" s="156"/>
      <c r="P916" s="152"/>
      <c r="Q916" s="152"/>
      <c r="R916" s="152"/>
      <c r="S916" s="152"/>
      <c r="T916" s="152"/>
      <c r="U916" s="152"/>
      <c r="V916" s="152"/>
      <c r="W916" s="152"/>
      <c r="X916" s="152"/>
      <c r="Y916" s="152"/>
      <c r="Z916" s="281"/>
      <c r="AA916" s="281"/>
      <c r="AB916" s="281"/>
      <c r="AC916" s="281"/>
      <c r="AD916" s="281"/>
      <c r="AE916" s="281"/>
      <c r="AF916" s="282"/>
      <c r="AG916" s="170"/>
      <c r="AH916" s="152"/>
      <c r="AI916" s="152"/>
      <c r="AJ916" s="152"/>
      <c r="AK916" s="152"/>
      <c r="AL916" s="152"/>
      <c r="AM916" s="152"/>
      <c r="AN916" s="152"/>
      <c r="AO916" s="152"/>
      <c r="AP916" s="152"/>
      <c r="AQ916" s="152"/>
      <c r="AR916" s="152"/>
    </row>
    <row r="917" ht="12.75" customHeight="1">
      <c r="A917" s="288"/>
      <c r="B917" s="288"/>
      <c r="C917" s="288"/>
      <c r="D917" s="152"/>
      <c r="E917" s="289"/>
      <c r="F917" s="289"/>
      <c r="G917" s="152"/>
      <c r="H917" s="152"/>
      <c r="I917" s="152"/>
      <c r="J917" s="152"/>
      <c r="K917" s="289"/>
      <c r="L917" s="289"/>
      <c r="M917" s="152"/>
      <c r="N917" s="152"/>
      <c r="O917" s="156"/>
      <c r="P917" s="152"/>
      <c r="Q917" s="152"/>
      <c r="R917" s="152"/>
      <c r="S917" s="152"/>
      <c r="T917" s="152"/>
      <c r="U917" s="152"/>
      <c r="V917" s="152"/>
      <c r="W917" s="152"/>
      <c r="X917" s="152"/>
      <c r="Y917" s="152"/>
      <c r="Z917" s="281"/>
      <c r="AA917" s="281"/>
      <c r="AB917" s="281"/>
      <c r="AC917" s="281"/>
      <c r="AD917" s="281"/>
      <c r="AE917" s="281"/>
      <c r="AF917" s="282"/>
      <c r="AG917" s="170"/>
      <c r="AH917" s="152"/>
      <c r="AI917" s="152"/>
      <c r="AJ917" s="152"/>
      <c r="AK917" s="152"/>
      <c r="AL917" s="152"/>
      <c r="AM917" s="152"/>
      <c r="AN917" s="152"/>
      <c r="AO917" s="152"/>
      <c r="AP917" s="152"/>
      <c r="AQ917" s="152"/>
      <c r="AR917" s="152"/>
    </row>
    <row r="918" ht="12.75" customHeight="1">
      <c r="A918" s="288"/>
      <c r="B918" s="288"/>
      <c r="C918" s="288"/>
      <c r="D918" s="152"/>
      <c r="E918" s="289"/>
      <c r="F918" s="289"/>
      <c r="G918" s="152"/>
      <c r="H918" s="152"/>
      <c r="I918" s="152"/>
      <c r="J918" s="152"/>
      <c r="K918" s="289"/>
      <c r="L918" s="289"/>
      <c r="M918" s="152"/>
      <c r="N918" s="152"/>
      <c r="O918" s="156"/>
      <c r="P918" s="152"/>
      <c r="Q918" s="152"/>
      <c r="R918" s="152"/>
      <c r="S918" s="152"/>
      <c r="T918" s="152"/>
      <c r="U918" s="152"/>
      <c r="V918" s="152"/>
      <c r="W918" s="152"/>
      <c r="X918" s="152"/>
      <c r="Y918" s="152"/>
      <c r="Z918" s="281"/>
      <c r="AA918" s="281"/>
      <c r="AB918" s="281"/>
      <c r="AC918" s="281"/>
      <c r="AD918" s="281"/>
      <c r="AE918" s="281"/>
      <c r="AF918" s="282"/>
      <c r="AG918" s="170"/>
      <c r="AH918" s="152"/>
      <c r="AI918" s="152"/>
      <c r="AJ918" s="152"/>
      <c r="AK918" s="152"/>
      <c r="AL918" s="152"/>
      <c r="AM918" s="152"/>
      <c r="AN918" s="152"/>
      <c r="AO918" s="152"/>
      <c r="AP918" s="152"/>
      <c r="AQ918" s="152"/>
      <c r="AR918" s="152"/>
    </row>
    <row r="919" ht="12.75" customHeight="1">
      <c r="A919" s="288"/>
      <c r="B919" s="288"/>
      <c r="C919" s="288"/>
      <c r="D919" s="152"/>
      <c r="E919" s="289"/>
      <c r="F919" s="289"/>
      <c r="G919" s="152"/>
      <c r="H919" s="152"/>
      <c r="I919" s="152"/>
      <c r="J919" s="152"/>
      <c r="K919" s="289"/>
      <c r="L919" s="289"/>
      <c r="M919" s="152"/>
      <c r="N919" s="152"/>
      <c r="O919" s="156"/>
      <c r="P919" s="152"/>
      <c r="Q919" s="152"/>
      <c r="R919" s="152"/>
      <c r="S919" s="152"/>
      <c r="T919" s="152"/>
      <c r="U919" s="152"/>
      <c r="V919" s="152"/>
      <c r="W919" s="152"/>
      <c r="X919" s="152"/>
      <c r="Y919" s="152"/>
      <c r="Z919" s="281"/>
      <c r="AA919" s="281"/>
      <c r="AB919" s="281"/>
      <c r="AC919" s="281"/>
      <c r="AD919" s="281"/>
      <c r="AE919" s="281"/>
      <c r="AF919" s="282"/>
      <c r="AG919" s="170"/>
      <c r="AH919" s="152"/>
      <c r="AI919" s="152"/>
      <c r="AJ919" s="152"/>
      <c r="AK919" s="152"/>
      <c r="AL919" s="152"/>
      <c r="AM919" s="152"/>
      <c r="AN919" s="152"/>
      <c r="AO919" s="152"/>
      <c r="AP919" s="152"/>
      <c r="AQ919" s="152"/>
      <c r="AR919" s="152"/>
    </row>
    <row r="920" ht="12.75" customHeight="1">
      <c r="A920" s="288"/>
      <c r="B920" s="288"/>
      <c r="C920" s="288"/>
      <c r="D920" s="152"/>
      <c r="E920" s="289"/>
      <c r="F920" s="289"/>
      <c r="G920" s="152"/>
      <c r="H920" s="152"/>
      <c r="I920" s="152"/>
      <c r="J920" s="152"/>
      <c r="K920" s="289"/>
      <c r="L920" s="289"/>
      <c r="M920" s="152"/>
      <c r="N920" s="152"/>
      <c r="O920" s="156"/>
      <c r="P920" s="152"/>
      <c r="Q920" s="152"/>
      <c r="R920" s="152"/>
      <c r="S920" s="152"/>
      <c r="T920" s="152"/>
      <c r="U920" s="152"/>
      <c r="V920" s="152"/>
      <c r="W920" s="152"/>
      <c r="X920" s="152"/>
      <c r="Y920" s="152"/>
      <c r="Z920" s="281"/>
      <c r="AA920" s="281"/>
      <c r="AB920" s="281"/>
      <c r="AC920" s="281"/>
      <c r="AD920" s="281"/>
      <c r="AE920" s="281"/>
      <c r="AF920" s="282"/>
      <c r="AG920" s="170"/>
      <c r="AH920" s="152"/>
      <c r="AI920" s="152"/>
      <c r="AJ920" s="152"/>
      <c r="AK920" s="152"/>
      <c r="AL920" s="152"/>
      <c r="AM920" s="152"/>
      <c r="AN920" s="152"/>
      <c r="AO920" s="152"/>
      <c r="AP920" s="152"/>
      <c r="AQ920" s="152"/>
      <c r="AR920" s="152"/>
    </row>
    <row r="921" ht="12.75" customHeight="1">
      <c r="A921" s="288"/>
      <c r="B921" s="288"/>
      <c r="C921" s="288"/>
      <c r="D921" s="152"/>
      <c r="E921" s="289"/>
      <c r="F921" s="289"/>
      <c r="G921" s="152"/>
      <c r="H921" s="152"/>
      <c r="I921" s="152"/>
      <c r="J921" s="152"/>
      <c r="K921" s="289"/>
      <c r="L921" s="289"/>
      <c r="M921" s="152"/>
      <c r="N921" s="152"/>
      <c r="O921" s="156"/>
      <c r="P921" s="152"/>
      <c r="Q921" s="152"/>
      <c r="R921" s="152"/>
      <c r="S921" s="152"/>
      <c r="T921" s="152"/>
      <c r="U921" s="152"/>
      <c r="V921" s="152"/>
      <c r="W921" s="152"/>
      <c r="X921" s="152"/>
      <c r="Y921" s="152"/>
      <c r="Z921" s="281"/>
      <c r="AA921" s="281"/>
      <c r="AB921" s="281"/>
      <c r="AC921" s="281"/>
      <c r="AD921" s="281"/>
      <c r="AE921" s="281"/>
      <c r="AF921" s="282"/>
      <c r="AG921" s="170"/>
      <c r="AH921" s="152"/>
      <c r="AI921" s="152"/>
      <c r="AJ921" s="152"/>
      <c r="AK921" s="152"/>
      <c r="AL921" s="152"/>
      <c r="AM921" s="152"/>
      <c r="AN921" s="152"/>
      <c r="AO921" s="152"/>
      <c r="AP921" s="152"/>
      <c r="AQ921" s="152"/>
      <c r="AR921" s="152"/>
    </row>
    <row r="922" ht="12.75" customHeight="1">
      <c r="A922" s="288"/>
      <c r="B922" s="288"/>
      <c r="C922" s="288"/>
      <c r="D922" s="152"/>
      <c r="E922" s="289"/>
      <c r="F922" s="289"/>
      <c r="G922" s="152"/>
      <c r="H922" s="152"/>
      <c r="I922" s="152"/>
      <c r="J922" s="152"/>
      <c r="K922" s="289"/>
      <c r="L922" s="289"/>
      <c r="M922" s="152"/>
      <c r="N922" s="152"/>
      <c r="O922" s="156"/>
      <c r="P922" s="152"/>
      <c r="Q922" s="152"/>
      <c r="R922" s="152"/>
      <c r="S922" s="152"/>
      <c r="T922" s="152"/>
      <c r="U922" s="152"/>
      <c r="V922" s="152"/>
      <c r="W922" s="152"/>
      <c r="X922" s="152"/>
      <c r="Y922" s="152"/>
      <c r="Z922" s="281"/>
      <c r="AA922" s="281"/>
      <c r="AB922" s="281"/>
      <c r="AC922" s="281"/>
      <c r="AD922" s="281"/>
      <c r="AE922" s="281"/>
      <c r="AF922" s="282"/>
      <c r="AG922" s="170"/>
      <c r="AH922" s="152"/>
      <c r="AI922" s="152"/>
      <c r="AJ922" s="152"/>
      <c r="AK922" s="152"/>
      <c r="AL922" s="152"/>
      <c r="AM922" s="152"/>
      <c r="AN922" s="152"/>
      <c r="AO922" s="152"/>
      <c r="AP922" s="152"/>
      <c r="AQ922" s="152"/>
      <c r="AR922" s="152"/>
    </row>
    <row r="923" ht="12.75" customHeight="1">
      <c r="A923" s="288"/>
      <c r="B923" s="288"/>
      <c r="C923" s="288"/>
      <c r="D923" s="152"/>
      <c r="E923" s="289"/>
      <c r="F923" s="289"/>
      <c r="G923" s="152"/>
      <c r="H923" s="152"/>
      <c r="I923" s="152"/>
      <c r="J923" s="152"/>
      <c r="K923" s="289"/>
      <c r="L923" s="289"/>
      <c r="M923" s="152"/>
      <c r="N923" s="152"/>
      <c r="O923" s="156"/>
      <c r="P923" s="152"/>
      <c r="Q923" s="152"/>
      <c r="R923" s="152"/>
      <c r="S923" s="152"/>
      <c r="T923" s="152"/>
      <c r="U923" s="152"/>
      <c r="V923" s="152"/>
      <c r="W923" s="152"/>
      <c r="X923" s="152"/>
      <c r="Y923" s="152"/>
      <c r="Z923" s="281"/>
      <c r="AA923" s="281"/>
      <c r="AB923" s="281"/>
      <c r="AC923" s="281"/>
      <c r="AD923" s="281"/>
      <c r="AE923" s="281"/>
      <c r="AF923" s="282"/>
      <c r="AG923" s="170"/>
      <c r="AH923" s="152"/>
      <c r="AI923" s="152"/>
      <c r="AJ923" s="152"/>
      <c r="AK923" s="152"/>
      <c r="AL923" s="152"/>
      <c r="AM923" s="152"/>
      <c r="AN923" s="152"/>
      <c r="AO923" s="152"/>
      <c r="AP923" s="152"/>
      <c r="AQ923" s="152"/>
      <c r="AR923" s="152"/>
    </row>
    <row r="924" ht="12.75" customHeight="1">
      <c r="A924" s="288"/>
      <c r="B924" s="288"/>
      <c r="C924" s="288"/>
      <c r="D924" s="152"/>
      <c r="E924" s="289"/>
      <c r="F924" s="289"/>
      <c r="G924" s="152"/>
      <c r="H924" s="152"/>
      <c r="I924" s="152"/>
      <c r="J924" s="152"/>
      <c r="K924" s="289"/>
      <c r="L924" s="289"/>
      <c r="M924" s="152"/>
      <c r="N924" s="152"/>
      <c r="O924" s="156"/>
      <c r="P924" s="152"/>
      <c r="Q924" s="152"/>
      <c r="R924" s="152"/>
      <c r="S924" s="152"/>
      <c r="T924" s="152"/>
      <c r="U924" s="152"/>
      <c r="V924" s="152"/>
      <c r="W924" s="152"/>
      <c r="X924" s="152"/>
      <c r="Y924" s="152"/>
      <c r="Z924" s="281"/>
      <c r="AA924" s="281"/>
      <c r="AB924" s="281"/>
      <c r="AC924" s="281"/>
      <c r="AD924" s="281"/>
      <c r="AE924" s="281"/>
      <c r="AF924" s="282"/>
      <c r="AG924" s="170"/>
      <c r="AH924" s="152"/>
      <c r="AI924" s="152"/>
      <c r="AJ924" s="152"/>
      <c r="AK924" s="152"/>
      <c r="AL924" s="152"/>
      <c r="AM924" s="152"/>
      <c r="AN924" s="152"/>
      <c r="AO924" s="152"/>
      <c r="AP924" s="152"/>
      <c r="AQ924" s="152"/>
      <c r="AR924" s="152"/>
    </row>
    <row r="925" ht="12.75" customHeight="1">
      <c r="A925" s="288"/>
      <c r="B925" s="288"/>
      <c r="C925" s="288"/>
      <c r="D925" s="152"/>
      <c r="E925" s="289"/>
      <c r="F925" s="289"/>
      <c r="G925" s="152"/>
      <c r="H925" s="152"/>
      <c r="I925" s="152"/>
      <c r="J925" s="152"/>
      <c r="K925" s="289"/>
      <c r="L925" s="289"/>
      <c r="M925" s="152"/>
      <c r="N925" s="152"/>
      <c r="O925" s="156"/>
      <c r="P925" s="152"/>
      <c r="Q925" s="152"/>
      <c r="R925" s="152"/>
      <c r="S925" s="152"/>
      <c r="T925" s="152"/>
      <c r="U925" s="152"/>
      <c r="V925" s="152"/>
      <c r="W925" s="152"/>
      <c r="X925" s="152"/>
      <c r="Y925" s="152"/>
      <c r="Z925" s="281"/>
      <c r="AA925" s="281"/>
      <c r="AB925" s="281"/>
      <c r="AC925" s="281"/>
      <c r="AD925" s="281"/>
      <c r="AE925" s="281"/>
      <c r="AF925" s="282"/>
      <c r="AG925" s="170"/>
      <c r="AH925" s="152"/>
      <c r="AI925" s="152"/>
      <c r="AJ925" s="152"/>
      <c r="AK925" s="152"/>
      <c r="AL925" s="152"/>
      <c r="AM925" s="152"/>
      <c r="AN925" s="152"/>
      <c r="AO925" s="152"/>
      <c r="AP925" s="152"/>
      <c r="AQ925" s="152"/>
      <c r="AR925" s="152"/>
    </row>
    <row r="926" ht="12.75" customHeight="1">
      <c r="A926" s="288"/>
      <c r="B926" s="288"/>
      <c r="C926" s="288"/>
      <c r="D926" s="152"/>
      <c r="E926" s="289"/>
      <c r="F926" s="289"/>
      <c r="G926" s="152"/>
      <c r="H926" s="152"/>
      <c r="I926" s="152"/>
      <c r="J926" s="152"/>
      <c r="K926" s="289"/>
      <c r="L926" s="289"/>
      <c r="M926" s="152"/>
      <c r="N926" s="152"/>
      <c r="O926" s="156"/>
      <c r="P926" s="152"/>
      <c r="Q926" s="152"/>
      <c r="R926" s="152"/>
      <c r="S926" s="152"/>
      <c r="T926" s="152"/>
      <c r="U926" s="152"/>
      <c r="V926" s="152"/>
      <c r="W926" s="152"/>
      <c r="X926" s="152"/>
      <c r="Y926" s="152"/>
      <c r="Z926" s="281"/>
      <c r="AA926" s="281"/>
      <c r="AB926" s="281"/>
      <c r="AC926" s="281"/>
      <c r="AD926" s="281"/>
      <c r="AE926" s="281"/>
      <c r="AF926" s="282"/>
      <c r="AG926" s="170"/>
      <c r="AH926" s="152"/>
      <c r="AI926" s="152"/>
      <c r="AJ926" s="152"/>
      <c r="AK926" s="152"/>
      <c r="AL926" s="152"/>
      <c r="AM926" s="152"/>
      <c r="AN926" s="152"/>
      <c r="AO926" s="152"/>
      <c r="AP926" s="152"/>
      <c r="AQ926" s="152"/>
      <c r="AR926" s="152"/>
    </row>
    <row r="927" ht="12.75" customHeight="1">
      <c r="A927" s="288"/>
      <c r="B927" s="288"/>
      <c r="C927" s="288"/>
      <c r="D927" s="152"/>
      <c r="E927" s="289"/>
      <c r="F927" s="289"/>
      <c r="G927" s="152"/>
      <c r="H927" s="152"/>
      <c r="I927" s="152"/>
      <c r="J927" s="152"/>
      <c r="K927" s="289"/>
      <c r="L927" s="289"/>
      <c r="M927" s="152"/>
      <c r="N927" s="152"/>
      <c r="O927" s="156"/>
      <c r="P927" s="152"/>
      <c r="Q927" s="152"/>
      <c r="R927" s="152"/>
      <c r="S927" s="152"/>
      <c r="T927" s="152"/>
      <c r="U927" s="152"/>
      <c r="V927" s="152"/>
      <c r="W927" s="152"/>
      <c r="X927" s="152"/>
      <c r="Y927" s="152"/>
      <c r="Z927" s="281"/>
      <c r="AA927" s="281"/>
      <c r="AB927" s="281"/>
      <c r="AC927" s="281"/>
      <c r="AD927" s="281"/>
      <c r="AE927" s="281"/>
      <c r="AF927" s="282"/>
      <c r="AG927" s="170"/>
      <c r="AH927" s="152"/>
      <c r="AI927" s="152"/>
      <c r="AJ927" s="152"/>
      <c r="AK927" s="152"/>
      <c r="AL927" s="152"/>
      <c r="AM927" s="152"/>
      <c r="AN927" s="152"/>
      <c r="AO927" s="152"/>
      <c r="AP927" s="152"/>
      <c r="AQ927" s="152"/>
      <c r="AR927" s="152"/>
    </row>
    <row r="928" ht="12.75" customHeight="1">
      <c r="A928" s="288"/>
      <c r="B928" s="288"/>
      <c r="C928" s="288"/>
      <c r="D928" s="152"/>
      <c r="E928" s="289"/>
      <c r="F928" s="289"/>
      <c r="G928" s="152"/>
      <c r="H928" s="152"/>
      <c r="I928" s="152"/>
      <c r="J928" s="152"/>
      <c r="K928" s="289"/>
      <c r="L928" s="289"/>
      <c r="M928" s="152"/>
      <c r="N928" s="152"/>
      <c r="O928" s="156"/>
      <c r="P928" s="152"/>
      <c r="Q928" s="152"/>
      <c r="R928" s="152"/>
      <c r="S928" s="152"/>
      <c r="T928" s="152"/>
      <c r="U928" s="152"/>
      <c r="V928" s="152"/>
      <c r="W928" s="152"/>
      <c r="X928" s="152"/>
      <c r="Y928" s="152"/>
      <c r="Z928" s="281"/>
      <c r="AA928" s="281"/>
      <c r="AB928" s="281"/>
      <c r="AC928" s="281"/>
      <c r="AD928" s="281"/>
      <c r="AE928" s="281"/>
      <c r="AF928" s="282"/>
      <c r="AG928" s="170"/>
      <c r="AH928" s="152"/>
      <c r="AI928" s="152"/>
      <c r="AJ928" s="152"/>
      <c r="AK928" s="152"/>
      <c r="AL928" s="152"/>
      <c r="AM928" s="152"/>
      <c r="AN928" s="152"/>
      <c r="AO928" s="152"/>
      <c r="AP928" s="152"/>
      <c r="AQ928" s="152"/>
      <c r="AR928" s="152"/>
    </row>
    <row r="929" ht="12.75" customHeight="1">
      <c r="A929" s="288"/>
      <c r="B929" s="288"/>
      <c r="C929" s="288"/>
      <c r="D929" s="152"/>
      <c r="E929" s="289"/>
      <c r="F929" s="289"/>
      <c r="G929" s="152"/>
      <c r="H929" s="152"/>
      <c r="I929" s="152"/>
      <c r="J929" s="152"/>
      <c r="K929" s="289"/>
      <c r="L929" s="289"/>
      <c r="M929" s="152"/>
      <c r="N929" s="152"/>
      <c r="O929" s="156"/>
      <c r="P929" s="152"/>
      <c r="Q929" s="152"/>
      <c r="R929" s="152"/>
      <c r="S929" s="152"/>
      <c r="T929" s="152"/>
      <c r="U929" s="152"/>
      <c r="V929" s="152"/>
      <c r="W929" s="152"/>
      <c r="X929" s="152"/>
      <c r="Y929" s="152"/>
      <c r="Z929" s="281"/>
      <c r="AA929" s="281"/>
      <c r="AB929" s="281"/>
      <c r="AC929" s="281"/>
      <c r="AD929" s="281"/>
      <c r="AE929" s="281"/>
      <c r="AF929" s="282"/>
      <c r="AG929" s="170"/>
      <c r="AH929" s="152"/>
      <c r="AI929" s="152"/>
      <c r="AJ929" s="152"/>
      <c r="AK929" s="152"/>
      <c r="AL929" s="152"/>
      <c r="AM929" s="152"/>
      <c r="AN929" s="152"/>
      <c r="AO929" s="152"/>
      <c r="AP929" s="152"/>
      <c r="AQ929" s="152"/>
      <c r="AR929" s="152"/>
    </row>
    <row r="930" ht="12.75" customHeight="1">
      <c r="A930" s="288"/>
      <c r="B930" s="288"/>
      <c r="C930" s="288"/>
      <c r="D930" s="152"/>
      <c r="E930" s="289"/>
      <c r="F930" s="289"/>
      <c r="G930" s="152"/>
      <c r="H930" s="152"/>
      <c r="I930" s="152"/>
      <c r="J930" s="152"/>
      <c r="K930" s="289"/>
      <c r="L930" s="289"/>
      <c r="M930" s="152"/>
      <c r="N930" s="152"/>
      <c r="O930" s="156"/>
      <c r="P930" s="152"/>
      <c r="Q930" s="152"/>
      <c r="R930" s="152"/>
      <c r="S930" s="152"/>
      <c r="T930" s="152"/>
      <c r="U930" s="152"/>
      <c r="V930" s="152"/>
      <c r="W930" s="152"/>
      <c r="X930" s="152"/>
      <c r="Y930" s="152"/>
      <c r="Z930" s="281"/>
      <c r="AA930" s="281"/>
      <c r="AB930" s="281"/>
      <c r="AC930" s="281"/>
      <c r="AD930" s="281"/>
      <c r="AE930" s="281"/>
      <c r="AF930" s="282"/>
      <c r="AG930" s="170"/>
      <c r="AH930" s="152"/>
      <c r="AI930" s="152"/>
      <c r="AJ930" s="152"/>
      <c r="AK930" s="152"/>
      <c r="AL930" s="152"/>
      <c r="AM930" s="152"/>
      <c r="AN930" s="152"/>
      <c r="AO930" s="152"/>
      <c r="AP930" s="152"/>
      <c r="AQ930" s="152"/>
      <c r="AR930" s="152"/>
    </row>
    <row r="931" ht="12.75" customHeight="1">
      <c r="A931" s="288"/>
      <c r="B931" s="288"/>
      <c r="C931" s="288"/>
      <c r="D931" s="152"/>
      <c r="E931" s="289"/>
      <c r="F931" s="289"/>
      <c r="G931" s="152"/>
      <c r="H931" s="152"/>
      <c r="I931" s="152"/>
      <c r="J931" s="152"/>
      <c r="K931" s="289"/>
      <c r="L931" s="289"/>
      <c r="M931" s="152"/>
      <c r="N931" s="152"/>
      <c r="O931" s="156"/>
      <c r="P931" s="152"/>
      <c r="Q931" s="152"/>
      <c r="R931" s="152"/>
      <c r="S931" s="152"/>
      <c r="T931" s="152"/>
      <c r="U931" s="152"/>
      <c r="V931" s="152"/>
      <c r="W931" s="152"/>
      <c r="X931" s="152"/>
      <c r="Y931" s="152"/>
      <c r="Z931" s="281"/>
      <c r="AA931" s="281"/>
      <c r="AB931" s="281"/>
      <c r="AC931" s="281"/>
      <c r="AD931" s="281"/>
      <c r="AE931" s="281"/>
      <c r="AF931" s="282"/>
      <c r="AG931" s="170"/>
      <c r="AH931" s="152"/>
      <c r="AI931" s="152"/>
      <c r="AJ931" s="152"/>
      <c r="AK931" s="152"/>
      <c r="AL931" s="152"/>
      <c r="AM931" s="152"/>
      <c r="AN931" s="152"/>
      <c r="AO931" s="152"/>
      <c r="AP931" s="152"/>
      <c r="AQ931" s="152"/>
      <c r="AR931" s="152"/>
    </row>
    <row r="932" ht="12.75" customHeight="1">
      <c r="A932" s="288"/>
      <c r="B932" s="288"/>
      <c r="C932" s="288"/>
      <c r="D932" s="152"/>
      <c r="E932" s="289"/>
      <c r="F932" s="289"/>
      <c r="G932" s="152"/>
      <c r="H932" s="152"/>
      <c r="I932" s="152"/>
      <c r="J932" s="152"/>
      <c r="K932" s="289"/>
      <c r="L932" s="289"/>
      <c r="M932" s="152"/>
      <c r="N932" s="152"/>
      <c r="O932" s="156"/>
      <c r="P932" s="152"/>
      <c r="Q932" s="152"/>
      <c r="R932" s="152"/>
      <c r="S932" s="152"/>
      <c r="T932" s="152"/>
      <c r="U932" s="152"/>
      <c r="V932" s="152"/>
      <c r="W932" s="152"/>
      <c r="X932" s="152"/>
      <c r="Y932" s="152"/>
      <c r="Z932" s="281"/>
      <c r="AA932" s="281"/>
      <c r="AB932" s="281"/>
      <c r="AC932" s="281"/>
      <c r="AD932" s="281"/>
      <c r="AE932" s="281"/>
      <c r="AF932" s="282"/>
      <c r="AG932" s="170"/>
      <c r="AH932" s="152"/>
      <c r="AI932" s="152"/>
      <c r="AJ932" s="152"/>
      <c r="AK932" s="152"/>
      <c r="AL932" s="152"/>
      <c r="AM932" s="152"/>
      <c r="AN932" s="152"/>
      <c r="AO932" s="152"/>
      <c r="AP932" s="152"/>
      <c r="AQ932" s="152"/>
      <c r="AR932" s="152"/>
    </row>
    <row r="933" ht="12.75" customHeight="1">
      <c r="A933" s="288"/>
      <c r="B933" s="288"/>
      <c r="C933" s="288"/>
      <c r="D933" s="152"/>
      <c r="E933" s="289"/>
      <c r="F933" s="289"/>
      <c r="G933" s="152"/>
      <c r="H933" s="152"/>
      <c r="I933" s="152"/>
      <c r="J933" s="152"/>
      <c r="K933" s="289"/>
      <c r="L933" s="289"/>
      <c r="M933" s="152"/>
      <c r="N933" s="152"/>
      <c r="O933" s="156"/>
      <c r="P933" s="152"/>
      <c r="Q933" s="152"/>
      <c r="R933" s="152"/>
      <c r="S933" s="152"/>
      <c r="T933" s="152"/>
      <c r="U933" s="152"/>
      <c r="V933" s="152"/>
      <c r="W933" s="152"/>
      <c r="X933" s="152"/>
      <c r="Y933" s="152"/>
      <c r="Z933" s="281"/>
      <c r="AA933" s="281"/>
      <c r="AB933" s="281"/>
      <c r="AC933" s="281"/>
      <c r="AD933" s="281"/>
      <c r="AE933" s="281"/>
      <c r="AF933" s="282"/>
      <c r="AG933" s="170"/>
      <c r="AH933" s="152"/>
      <c r="AI933" s="152"/>
      <c r="AJ933" s="152"/>
      <c r="AK933" s="152"/>
      <c r="AL933" s="152"/>
      <c r="AM933" s="152"/>
      <c r="AN933" s="152"/>
      <c r="AO933" s="152"/>
      <c r="AP933" s="152"/>
      <c r="AQ933" s="152"/>
      <c r="AR933" s="152"/>
    </row>
    <row r="934" ht="12.75" customHeight="1">
      <c r="A934" s="288"/>
      <c r="B934" s="288"/>
      <c r="C934" s="288"/>
      <c r="D934" s="152"/>
      <c r="E934" s="289"/>
      <c r="F934" s="289"/>
      <c r="G934" s="152"/>
      <c r="H934" s="152"/>
      <c r="I934" s="152"/>
      <c r="J934" s="152"/>
      <c r="K934" s="289"/>
      <c r="L934" s="289"/>
      <c r="M934" s="152"/>
      <c r="N934" s="152"/>
      <c r="O934" s="156"/>
      <c r="P934" s="152"/>
      <c r="Q934" s="152"/>
      <c r="R934" s="152"/>
      <c r="S934" s="152"/>
      <c r="T934" s="152"/>
      <c r="U934" s="152"/>
      <c r="V934" s="152"/>
      <c r="W934" s="152"/>
      <c r="X934" s="152"/>
      <c r="Y934" s="152"/>
      <c r="Z934" s="281"/>
      <c r="AA934" s="281"/>
      <c r="AB934" s="281"/>
      <c r="AC934" s="281"/>
      <c r="AD934" s="281"/>
      <c r="AE934" s="281"/>
      <c r="AF934" s="282"/>
      <c r="AG934" s="170"/>
      <c r="AH934" s="152"/>
      <c r="AI934" s="152"/>
      <c r="AJ934" s="152"/>
      <c r="AK934" s="152"/>
      <c r="AL934" s="152"/>
      <c r="AM934" s="152"/>
      <c r="AN934" s="152"/>
      <c r="AO934" s="152"/>
      <c r="AP934" s="152"/>
      <c r="AQ934" s="152"/>
      <c r="AR934" s="152"/>
    </row>
    <row r="935" ht="12.75" customHeight="1">
      <c r="A935" s="288"/>
      <c r="B935" s="288"/>
      <c r="C935" s="288"/>
      <c r="D935" s="152"/>
      <c r="E935" s="289"/>
      <c r="F935" s="289"/>
      <c r="G935" s="152"/>
      <c r="H935" s="152"/>
      <c r="I935" s="152"/>
      <c r="J935" s="152"/>
      <c r="K935" s="289"/>
      <c r="L935" s="289"/>
      <c r="M935" s="152"/>
      <c r="N935" s="152"/>
      <c r="O935" s="156"/>
      <c r="P935" s="152"/>
      <c r="Q935" s="152"/>
      <c r="R935" s="152"/>
      <c r="S935" s="152"/>
      <c r="T935" s="152"/>
      <c r="U935" s="152"/>
      <c r="V935" s="152"/>
      <c r="W935" s="152"/>
      <c r="X935" s="152"/>
      <c r="Y935" s="152"/>
      <c r="Z935" s="281"/>
      <c r="AA935" s="281"/>
      <c r="AB935" s="281"/>
      <c r="AC935" s="281"/>
      <c r="AD935" s="281"/>
      <c r="AE935" s="281"/>
      <c r="AF935" s="282"/>
      <c r="AG935" s="170"/>
      <c r="AH935" s="152"/>
      <c r="AI935" s="152"/>
      <c r="AJ935" s="152"/>
      <c r="AK935" s="152"/>
      <c r="AL935" s="152"/>
      <c r="AM935" s="152"/>
      <c r="AN935" s="152"/>
      <c r="AO935" s="152"/>
      <c r="AP935" s="152"/>
      <c r="AQ935" s="152"/>
      <c r="AR935" s="152"/>
    </row>
    <row r="936" ht="12.75" customHeight="1">
      <c r="A936" s="288"/>
      <c r="B936" s="288"/>
      <c r="C936" s="288"/>
      <c r="D936" s="152"/>
      <c r="E936" s="289"/>
      <c r="F936" s="289"/>
      <c r="G936" s="152"/>
      <c r="H936" s="152"/>
      <c r="I936" s="152"/>
      <c r="J936" s="152"/>
      <c r="K936" s="289"/>
      <c r="L936" s="289"/>
      <c r="M936" s="152"/>
      <c r="N936" s="152"/>
      <c r="O936" s="156"/>
      <c r="P936" s="152"/>
      <c r="Q936" s="152"/>
      <c r="R936" s="152"/>
      <c r="S936" s="152"/>
      <c r="T936" s="152"/>
      <c r="U936" s="152"/>
      <c r="V936" s="152"/>
      <c r="W936" s="152"/>
      <c r="X936" s="152"/>
      <c r="Y936" s="152"/>
      <c r="Z936" s="281"/>
      <c r="AA936" s="281"/>
      <c r="AB936" s="281"/>
      <c r="AC936" s="281"/>
      <c r="AD936" s="281"/>
      <c r="AE936" s="281"/>
      <c r="AF936" s="282"/>
      <c r="AG936" s="170"/>
      <c r="AH936" s="152"/>
      <c r="AI936" s="152"/>
      <c r="AJ936" s="152"/>
      <c r="AK936" s="152"/>
      <c r="AL936" s="152"/>
      <c r="AM936" s="152"/>
      <c r="AN936" s="152"/>
      <c r="AO936" s="152"/>
      <c r="AP936" s="152"/>
      <c r="AQ936" s="152"/>
      <c r="AR936" s="152"/>
    </row>
    <row r="937" ht="12.75" customHeight="1">
      <c r="A937" s="288"/>
      <c r="B937" s="288"/>
      <c r="C937" s="288"/>
      <c r="D937" s="152"/>
      <c r="E937" s="289"/>
      <c r="F937" s="289"/>
      <c r="G937" s="152"/>
      <c r="H937" s="152"/>
      <c r="I937" s="152"/>
      <c r="J937" s="152"/>
      <c r="K937" s="289"/>
      <c r="L937" s="289"/>
      <c r="M937" s="152"/>
      <c r="N937" s="152"/>
      <c r="O937" s="156"/>
      <c r="P937" s="152"/>
      <c r="Q937" s="152"/>
      <c r="R937" s="152"/>
      <c r="S937" s="152"/>
      <c r="T937" s="152"/>
      <c r="U937" s="152"/>
      <c r="V937" s="152"/>
      <c r="W937" s="152"/>
      <c r="X937" s="152"/>
      <c r="Y937" s="152"/>
      <c r="Z937" s="281"/>
      <c r="AA937" s="281"/>
      <c r="AB937" s="281"/>
      <c r="AC937" s="281"/>
      <c r="AD937" s="281"/>
      <c r="AE937" s="281"/>
      <c r="AF937" s="282"/>
      <c r="AG937" s="170"/>
      <c r="AH937" s="152"/>
      <c r="AI937" s="152"/>
      <c r="AJ937" s="152"/>
      <c r="AK937" s="152"/>
      <c r="AL937" s="152"/>
      <c r="AM937" s="152"/>
      <c r="AN937" s="152"/>
      <c r="AO937" s="152"/>
      <c r="AP937" s="152"/>
      <c r="AQ937" s="152"/>
      <c r="AR937" s="152"/>
    </row>
    <row r="938" ht="12.75" customHeight="1">
      <c r="A938" s="288"/>
      <c r="B938" s="288"/>
      <c r="C938" s="288"/>
      <c r="D938" s="152"/>
      <c r="E938" s="289"/>
      <c r="F938" s="289"/>
      <c r="G938" s="152"/>
      <c r="H938" s="152"/>
      <c r="I938" s="152"/>
      <c r="J938" s="152"/>
      <c r="K938" s="289"/>
      <c r="L938" s="289"/>
      <c r="M938" s="152"/>
      <c r="N938" s="152"/>
      <c r="O938" s="156"/>
      <c r="P938" s="152"/>
      <c r="Q938" s="152"/>
      <c r="R938" s="152"/>
      <c r="S938" s="152"/>
      <c r="T938" s="152"/>
      <c r="U938" s="152"/>
      <c r="V938" s="152"/>
      <c r="W938" s="152"/>
      <c r="X938" s="152"/>
      <c r="Y938" s="152"/>
      <c r="Z938" s="281"/>
      <c r="AA938" s="281"/>
      <c r="AB938" s="281"/>
      <c r="AC938" s="281"/>
      <c r="AD938" s="281"/>
      <c r="AE938" s="281"/>
      <c r="AF938" s="282"/>
      <c r="AG938" s="170"/>
      <c r="AH938" s="152"/>
      <c r="AI938" s="152"/>
      <c r="AJ938" s="152"/>
      <c r="AK938" s="152"/>
      <c r="AL938" s="152"/>
      <c r="AM938" s="152"/>
      <c r="AN938" s="152"/>
      <c r="AO938" s="152"/>
      <c r="AP938" s="152"/>
      <c r="AQ938" s="152"/>
      <c r="AR938" s="152"/>
    </row>
    <row r="939" ht="12.75" customHeight="1">
      <c r="A939" s="288"/>
      <c r="B939" s="288"/>
      <c r="C939" s="288"/>
      <c r="D939" s="152"/>
      <c r="E939" s="289"/>
      <c r="F939" s="289"/>
      <c r="G939" s="152"/>
      <c r="H939" s="152"/>
      <c r="I939" s="152"/>
      <c r="J939" s="152"/>
      <c r="K939" s="289"/>
      <c r="L939" s="289"/>
      <c r="M939" s="152"/>
      <c r="N939" s="152"/>
      <c r="O939" s="156"/>
      <c r="P939" s="152"/>
      <c r="Q939" s="152"/>
      <c r="R939" s="152"/>
      <c r="S939" s="152"/>
      <c r="T939" s="152"/>
      <c r="U939" s="152"/>
      <c r="V939" s="152"/>
      <c r="W939" s="152"/>
      <c r="X939" s="152"/>
      <c r="Y939" s="152"/>
      <c r="Z939" s="281"/>
      <c r="AA939" s="281"/>
      <c r="AB939" s="281"/>
      <c r="AC939" s="281"/>
      <c r="AD939" s="281"/>
      <c r="AE939" s="281"/>
      <c r="AF939" s="282"/>
      <c r="AG939" s="170"/>
      <c r="AH939" s="152"/>
      <c r="AI939" s="152"/>
      <c r="AJ939" s="152"/>
      <c r="AK939" s="152"/>
      <c r="AL939" s="152"/>
      <c r="AM939" s="152"/>
      <c r="AN939" s="152"/>
      <c r="AO939" s="152"/>
      <c r="AP939" s="152"/>
      <c r="AQ939" s="152"/>
      <c r="AR939" s="152"/>
    </row>
    <row r="940" ht="12.75" customHeight="1">
      <c r="A940" s="288"/>
      <c r="B940" s="288"/>
      <c r="C940" s="288"/>
      <c r="D940" s="152"/>
      <c r="E940" s="289"/>
      <c r="F940" s="289"/>
      <c r="G940" s="152"/>
      <c r="H940" s="152"/>
      <c r="I940" s="152"/>
      <c r="J940" s="152"/>
      <c r="K940" s="289"/>
      <c r="L940" s="289"/>
      <c r="M940" s="152"/>
      <c r="N940" s="152"/>
      <c r="O940" s="156"/>
      <c r="P940" s="152"/>
      <c r="Q940" s="152"/>
      <c r="R940" s="152"/>
      <c r="S940" s="152"/>
      <c r="T940" s="152"/>
      <c r="U940" s="152"/>
      <c r="V940" s="152"/>
      <c r="W940" s="152"/>
      <c r="X940" s="152"/>
      <c r="Y940" s="152"/>
      <c r="Z940" s="281"/>
      <c r="AA940" s="281"/>
      <c r="AB940" s="281"/>
      <c r="AC940" s="281"/>
      <c r="AD940" s="281"/>
      <c r="AE940" s="281"/>
      <c r="AF940" s="282"/>
      <c r="AG940" s="170"/>
      <c r="AH940" s="152"/>
      <c r="AI940" s="152"/>
      <c r="AJ940" s="152"/>
      <c r="AK940" s="152"/>
      <c r="AL940" s="152"/>
      <c r="AM940" s="152"/>
      <c r="AN940" s="152"/>
      <c r="AO940" s="152"/>
      <c r="AP940" s="152"/>
      <c r="AQ940" s="152"/>
      <c r="AR940" s="152"/>
    </row>
    <row r="941" ht="12.75" customHeight="1">
      <c r="A941" s="288"/>
      <c r="B941" s="288"/>
      <c r="C941" s="288"/>
      <c r="D941" s="152"/>
      <c r="E941" s="289"/>
      <c r="F941" s="289"/>
      <c r="G941" s="152"/>
      <c r="H941" s="152"/>
      <c r="I941" s="152"/>
      <c r="J941" s="152"/>
      <c r="K941" s="289"/>
      <c r="L941" s="289"/>
      <c r="M941" s="152"/>
      <c r="N941" s="152"/>
      <c r="O941" s="156"/>
      <c r="P941" s="152"/>
      <c r="Q941" s="152"/>
      <c r="R941" s="152"/>
      <c r="S941" s="152"/>
      <c r="T941" s="152"/>
      <c r="U941" s="152"/>
      <c r="V941" s="152"/>
      <c r="W941" s="152"/>
      <c r="X941" s="152"/>
      <c r="Y941" s="152"/>
      <c r="Z941" s="281"/>
      <c r="AA941" s="281"/>
      <c r="AB941" s="281"/>
      <c r="AC941" s="281"/>
      <c r="AD941" s="281"/>
      <c r="AE941" s="281"/>
      <c r="AF941" s="282"/>
      <c r="AG941" s="170"/>
      <c r="AH941" s="152"/>
      <c r="AI941" s="152"/>
      <c r="AJ941" s="152"/>
      <c r="AK941" s="152"/>
      <c r="AL941" s="152"/>
      <c r="AM941" s="152"/>
      <c r="AN941" s="152"/>
      <c r="AO941" s="152"/>
      <c r="AP941" s="152"/>
      <c r="AQ941" s="152"/>
      <c r="AR941" s="152"/>
    </row>
    <row r="942" ht="12.75" customHeight="1">
      <c r="A942" s="288"/>
      <c r="B942" s="288"/>
      <c r="C942" s="288"/>
      <c r="D942" s="152"/>
      <c r="E942" s="289"/>
      <c r="F942" s="289"/>
      <c r="G942" s="152"/>
      <c r="H942" s="152"/>
      <c r="I942" s="152"/>
      <c r="J942" s="152"/>
      <c r="K942" s="289"/>
      <c r="L942" s="289"/>
      <c r="M942" s="152"/>
      <c r="N942" s="152"/>
      <c r="O942" s="156"/>
      <c r="P942" s="152"/>
      <c r="Q942" s="152"/>
      <c r="R942" s="152"/>
      <c r="S942" s="152"/>
      <c r="T942" s="152"/>
      <c r="U942" s="152"/>
      <c r="V942" s="152"/>
      <c r="W942" s="152"/>
      <c r="X942" s="152"/>
      <c r="Y942" s="152"/>
      <c r="Z942" s="281"/>
      <c r="AA942" s="281"/>
      <c r="AB942" s="281"/>
      <c r="AC942" s="281"/>
      <c r="AD942" s="281"/>
      <c r="AE942" s="281"/>
      <c r="AF942" s="282"/>
      <c r="AG942" s="170"/>
      <c r="AH942" s="152"/>
      <c r="AI942" s="152"/>
      <c r="AJ942" s="152"/>
      <c r="AK942" s="152"/>
      <c r="AL942" s="152"/>
      <c r="AM942" s="152"/>
      <c r="AN942" s="152"/>
      <c r="AO942" s="152"/>
      <c r="AP942" s="152"/>
      <c r="AQ942" s="152"/>
      <c r="AR942" s="152"/>
    </row>
    <row r="943" ht="12.75" customHeight="1">
      <c r="A943" s="288"/>
      <c r="B943" s="288"/>
      <c r="C943" s="288"/>
      <c r="D943" s="152"/>
      <c r="E943" s="289"/>
      <c r="F943" s="289"/>
      <c r="G943" s="152"/>
      <c r="H943" s="152"/>
      <c r="I943" s="152"/>
      <c r="J943" s="152"/>
      <c r="K943" s="289"/>
      <c r="L943" s="289"/>
      <c r="M943" s="152"/>
      <c r="N943" s="152"/>
      <c r="O943" s="156"/>
      <c r="P943" s="152"/>
      <c r="Q943" s="152"/>
      <c r="R943" s="152"/>
      <c r="S943" s="152"/>
      <c r="T943" s="152"/>
      <c r="U943" s="152"/>
      <c r="V943" s="152"/>
      <c r="W943" s="152"/>
      <c r="X943" s="152"/>
      <c r="Y943" s="152"/>
      <c r="Z943" s="281"/>
      <c r="AA943" s="281"/>
      <c r="AB943" s="281"/>
      <c r="AC943" s="281"/>
      <c r="AD943" s="281"/>
      <c r="AE943" s="281"/>
      <c r="AF943" s="282"/>
      <c r="AG943" s="170"/>
      <c r="AH943" s="152"/>
      <c r="AI943" s="152"/>
      <c r="AJ943" s="152"/>
      <c r="AK943" s="152"/>
      <c r="AL943" s="152"/>
      <c r="AM943" s="152"/>
      <c r="AN943" s="152"/>
      <c r="AO943" s="152"/>
      <c r="AP943" s="152"/>
      <c r="AQ943" s="152"/>
      <c r="AR943" s="152"/>
    </row>
    <row r="944" ht="12.75" customHeight="1">
      <c r="A944" s="288"/>
      <c r="B944" s="288"/>
      <c r="C944" s="288"/>
      <c r="D944" s="152"/>
      <c r="E944" s="289"/>
      <c r="F944" s="289"/>
      <c r="G944" s="152"/>
      <c r="H944" s="152"/>
      <c r="I944" s="152"/>
      <c r="J944" s="152"/>
      <c r="K944" s="289"/>
      <c r="L944" s="289"/>
      <c r="M944" s="152"/>
      <c r="N944" s="152"/>
      <c r="O944" s="156"/>
      <c r="P944" s="152"/>
      <c r="Q944" s="152"/>
      <c r="R944" s="152"/>
      <c r="S944" s="152"/>
      <c r="T944" s="152"/>
      <c r="U944" s="152"/>
      <c r="V944" s="152"/>
      <c r="W944" s="152"/>
      <c r="X944" s="152"/>
      <c r="Y944" s="152"/>
      <c r="Z944" s="281"/>
      <c r="AA944" s="281"/>
      <c r="AB944" s="281"/>
      <c r="AC944" s="281"/>
      <c r="AD944" s="281"/>
      <c r="AE944" s="281"/>
      <c r="AF944" s="282"/>
      <c r="AG944" s="170"/>
      <c r="AH944" s="152"/>
      <c r="AI944" s="152"/>
      <c r="AJ944" s="152"/>
      <c r="AK944" s="152"/>
      <c r="AL944" s="152"/>
      <c r="AM944" s="152"/>
      <c r="AN944" s="152"/>
      <c r="AO944" s="152"/>
      <c r="AP944" s="152"/>
      <c r="AQ944" s="152"/>
      <c r="AR944" s="152"/>
    </row>
    <row r="945" ht="12.75" customHeight="1">
      <c r="A945" s="288"/>
      <c r="B945" s="288"/>
      <c r="C945" s="288"/>
      <c r="D945" s="152"/>
      <c r="E945" s="289"/>
      <c r="F945" s="289"/>
      <c r="G945" s="152"/>
      <c r="H945" s="152"/>
      <c r="I945" s="152"/>
      <c r="J945" s="152"/>
      <c r="K945" s="289"/>
      <c r="L945" s="289"/>
      <c r="M945" s="152"/>
      <c r="N945" s="152"/>
      <c r="O945" s="156"/>
      <c r="P945" s="152"/>
      <c r="Q945" s="152"/>
      <c r="R945" s="152"/>
      <c r="S945" s="152"/>
      <c r="T945" s="152"/>
      <c r="U945" s="152"/>
      <c r="V945" s="152"/>
      <c r="W945" s="152"/>
      <c r="X945" s="152"/>
      <c r="Y945" s="152"/>
      <c r="Z945" s="281"/>
      <c r="AA945" s="281"/>
      <c r="AB945" s="281"/>
      <c r="AC945" s="281"/>
      <c r="AD945" s="281"/>
      <c r="AE945" s="281"/>
      <c r="AF945" s="282"/>
      <c r="AG945" s="170"/>
      <c r="AH945" s="152"/>
      <c r="AI945" s="152"/>
      <c r="AJ945" s="152"/>
      <c r="AK945" s="152"/>
      <c r="AL945" s="152"/>
      <c r="AM945" s="152"/>
      <c r="AN945" s="152"/>
      <c r="AO945" s="152"/>
      <c r="AP945" s="152"/>
      <c r="AQ945" s="152"/>
      <c r="AR945" s="152"/>
    </row>
    <row r="946" ht="12.75" customHeight="1">
      <c r="A946" s="288"/>
      <c r="B946" s="288"/>
      <c r="C946" s="288"/>
      <c r="D946" s="152"/>
      <c r="E946" s="289"/>
      <c r="F946" s="289"/>
      <c r="G946" s="152"/>
      <c r="H946" s="152"/>
      <c r="I946" s="152"/>
      <c r="J946" s="152"/>
      <c r="K946" s="289"/>
      <c r="L946" s="289"/>
      <c r="M946" s="152"/>
      <c r="N946" s="152"/>
      <c r="O946" s="156"/>
      <c r="P946" s="152"/>
      <c r="Q946" s="152"/>
      <c r="R946" s="152"/>
      <c r="S946" s="152"/>
      <c r="T946" s="152"/>
      <c r="U946" s="152"/>
      <c r="V946" s="152"/>
      <c r="W946" s="152"/>
      <c r="X946" s="152"/>
      <c r="Y946" s="152"/>
      <c r="Z946" s="281"/>
      <c r="AA946" s="281"/>
      <c r="AB946" s="281"/>
      <c r="AC946" s="281"/>
      <c r="AD946" s="281"/>
      <c r="AE946" s="281"/>
      <c r="AF946" s="282"/>
      <c r="AG946" s="170"/>
      <c r="AH946" s="152"/>
      <c r="AI946" s="152"/>
      <c r="AJ946" s="152"/>
      <c r="AK946" s="152"/>
      <c r="AL946" s="152"/>
      <c r="AM946" s="152"/>
      <c r="AN946" s="152"/>
      <c r="AO946" s="152"/>
      <c r="AP946" s="152"/>
      <c r="AQ946" s="152"/>
      <c r="AR946" s="152"/>
    </row>
    <row r="947" ht="12.75" customHeight="1">
      <c r="A947" s="288"/>
      <c r="B947" s="288"/>
      <c r="C947" s="288"/>
      <c r="D947" s="152"/>
      <c r="E947" s="289"/>
      <c r="F947" s="289"/>
      <c r="G947" s="152"/>
      <c r="H947" s="152"/>
      <c r="I947" s="152"/>
      <c r="J947" s="152"/>
      <c r="K947" s="289"/>
      <c r="L947" s="289"/>
      <c r="M947" s="152"/>
      <c r="N947" s="152"/>
      <c r="O947" s="156"/>
      <c r="P947" s="152"/>
      <c r="Q947" s="152"/>
      <c r="R947" s="152"/>
      <c r="S947" s="152"/>
      <c r="T947" s="152"/>
      <c r="U947" s="152"/>
      <c r="V947" s="152"/>
      <c r="W947" s="152"/>
      <c r="X947" s="152"/>
      <c r="Y947" s="152"/>
      <c r="Z947" s="281"/>
      <c r="AA947" s="281"/>
      <c r="AB947" s="281"/>
      <c r="AC947" s="281"/>
      <c r="AD947" s="281"/>
      <c r="AE947" s="281"/>
      <c r="AF947" s="282"/>
      <c r="AG947" s="170"/>
      <c r="AH947" s="152"/>
      <c r="AI947" s="152"/>
      <c r="AJ947" s="152"/>
      <c r="AK947" s="152"/>
      <c r="AL947" s="152"/>
      <c r="AM947" s="152"/>
      <c r="AN947" s="152"/>
      <c r="AO947" s="152"/>
      <c r="AP947" s="152"/>
      <c r="AQ947" s="152"/>
      <c r="AR947" s="152"/>
    </row>
    <row r="948" ht="12.75" customHeight="1">
      <c r="A948" s="288"/>
      <c r="B948" s="288"/>
      <c r="C948" s="288"/>
      <c r="D948" s="152"/>
      <c r="E948" s="289"/>
      <c r="F948" s="289"/>
      <c r="G948" s="152"/>
      <c r="H948" s="152"/>
      <c r="I948" s="152"/>
      <c r="J948" s="152"/>
      <c r="K948" s="289"/>
      <c r="L948" s="289"/>
      <c r="M948" s="152"/>
      <c r="N948" s="152"/>
      <c r="O948" s="156"/>
      <c r="P948" s="152"/>
      <c r="Q948" s="152"/>
      <c r="R948" s="152"/>
      <c r="S948" s="152"/>
      <c r="T948" s="152"/>
      <c r="U948" s="152"/>
      <c r="V948" s="152"/>
      <c r="W948" s="152"/>
      <c r="X948" s="152"/>
      <c r="Y948" s="152"/>
      <c r="Z948" s="281"/>
      <c r="AA948" s="281"/>
      <c r="AB948" s="281"/>
      <c r="AC948" s="281"/>
      <c r="AD948" s="281"/>
      <c r="AE948" s="281"/>
      <c r="AF948" s="282"/>
      <c r="AG948" s="170"/>
      <c r="AH948" s="152"/>
      <c r="AI948" s="152"/>
      <c r="AJ948" s="152"/>
      <c r="AK948" s="152"/>
      <c r="AL948" s="152"/>
      <c r="AM948" s="152"/>
      <c r="AN948" s="152"/>
      <c r="AO948" s="152"/>
      <c r="AP948" s="152"/>
      <c r="AQ948" s="152"/>
      <c r="AR948" s="152"/>
    </row>
    <row r="949" ht="12.75" customHeight="1">
      <c r="A949" s="288"/>
      <c r="B949" s="288"/>
      <c r="C949" s="288"/>
      <c r="D949" s="152"/>
      <c r="E949" s="289"/>
      <c r="F949" s="289"/>
      <c r="G949" s="152"/>
      <c r="H949" s="152"/>
      <c r="I949" s="152"/>
      <c r="J949" s="152"/>
      <c r="K949" s="289"/>
      <c r="L949" s="289"/>
      <c r="M949" s="152"/>
      <c r="N949" s="152"/>
      <c r="O949" s="156"/>
      <c r="P949" s="152"/>
      <c r="Q949" s="152"/>
      <c r="R949" s="152"/>
      <c r="S949" s="152"/>
      <c r="T949" s="152"/>
      <c r="U949" s="152"/>
      <c r="V949" s="152"/>
      <c r="W949" s="152"/>
      <c r="X949" s="152"/>
      <c r="Y949" s="152"/>
      <c r="Z949" s="281"/>
      <c r="AA949" s="281"/>
      <c r="AB949" s="281"/>
      <c r="AC949" s="281"/>
      <c r="AD949" s="281"/>
      <c r="AE949" s="281"/>
      <c r="AF949" s="282"/>
      <c r="AG949" s="170"/>
      <c r="AH949" s="152"/>
      <c r="AI949" s="152"/>
      <c r="AJ949" s="152"/>
      <c r="AK949" s="152"/>
      <c r="AL949" s="152"/>
      <c r="AM949" s="152"/>
      <c r="AN949" s="152"/>
      <c r="AO949" s="152"/>
      <c r="AP949" s="152"/>
      <c r="AQ949" s="152"/>
      <c r="AR949" s="152"/>
    </row>
    <row r="950" ht="12.75" customHeight="1">
      <c r="A950" s="288"/>
      <c r="B950" s="288"/>
      <c r="C950" s="288"/>
      <c r="D950" s="152"/>
      <c r="E950" s="289"/>
      <c r="F950" s="289"/>
      <c r="G950" s="152"/>
      <c r="H950" s="152"/>
      <c r="I950" s="152"/>
      <c r="J950" s="152"/>
      <c r="K950" s="289"/>
      <c r="L950" s="289"/>
      <c r="M950" s="152"/>
      <c r="N950" s="152"/>
      <c r="O950" s="156"/>
      <c r="P950" s="152"/>
      <c r="Q950" s="152"/>
      <c r="R950" s="152"/>
      <c r="S950" s="152"/>
      <c r="T950" s="152"/>
      <c r="U950" s="152"/>
      <c r="V950" s="152"/>
      <c r="W950" s="152"/>
      <c r="X950" s="152"/>
      <c r="Y950" s="152"/>
      <c r="Z950" s="281"/>
      <c r="AA950" s="281"/>
      <c r="AB950" s="281"/>
      <c r="AC950" s="281"/>
      <c r="AD950" s="281"/>
      <c r="AE950" s="281"/>
      <c r="AF950" s="282"/>
      <c r="AG950" s="170"/>
      <c r="AH950" s="152"/>
      <c r="AI950" s="152"/>
      <c r="AJ950" s="152"/>
      <c r="AK950" s="152"/>
      <c r="AL950" s="152"/>
      <c r="AM950" s="152"/>
      <c r="AN950" s="152"/>
      <c r="AO950" s="152"/>
      <c r="AP950" s="152"/>
      <c r="AQ950" s="152"/>
      <c r="AR950" s="152"/>
    </row>
    <row r="951" ht="12.75" customHeight="1">
      <c r="A951" s="288"/>
      <c r="B951" s="288"/>
      <c r="C951" s="288"/>
      <c r="D951" s="152"/>
      <c r="E951" s="289"/>
      <c r="F951" s="289"/>
      <c r="G951" s="152"/>
      <c r="H951" s="152"/>
      <c r="I951" s="152"/>
      <c r="J951" s="152"/>
      <c r="K951" s="289"/>
      <c r="L951" s="289"/>
      <c r="M951" s="152"/>
      <c r="N951" s="152"/>
      <c r="O951" s="156"/>
      <c r="P951" s="152"/>
      <c r="Q951" s="152"/>
      <c r="R951" s="152"/>
      <c r="S951" s="152"/>
      <c r="T951" s="152"/>
      <c r="U951" s="152"/>
      <c r="V951" s="152"/>
      <c r="W951" s="152"/>
      <c r="X951" s="152"/>
      <c r="Y951" s="152"/>
      <c r="Z951" s="281"/>
      <c r="AA951" s="281"/>
      <c r="AB951" s="281"/>
      <c r="AC951" s="281"/>
      <c r="AD951" s="281"/>
      <c r="AE951" s="281"/>
      <c r="AF951" s="282"/>
      <c r="AG951" s="170"/>
      <c r="AH951" s="152"/>
      <c r="AI951" s="152"/>
      <c r="AJ951" s="152"/>
      <c r="AK951" s="152"/>
      <c r="AL951" s="152"/>
      <c r="AM951" s="152"/>
      <c r="AN951" s="152"/>
      <c r="AO951" s="152"/>
      <c r="AP951" s="152"/>
      <c r="AQ951" s="152"/>
      <c r="AR951" s="152"/>
    </row>
    <row r="952" ht="12.75" customHeight="1">
      <c r="A952" s="288"/>
      <c r="B952" s="288"/>
      <c r="C952" s="288"/>
      <c r="D952" s="152"/>
      <c r="E952" s="289"/>
      <c r="F952" s="289"/>
      <c r="G952" s="152"/>
      <c r="H952" s="152"/>
      <c r="I952" s="152"/>
      <c r="J952" s="152"/>
      <c r="K952" s="289"/>
      <c r="L952" s="289"/>
      <c r="M952" s="152"/>
      <c r="N952" s="152"/>
      <c r="O952" s="156"/>
      <c r="P952" s="152"/>
      <c r="Q952" s="152"/>
      <c r="R952" s="152"/>
      <c r="S952" s="152"/>
      <c r="T952" s="152"/>
      <c r="U952" s="152"/>
      <c r="V952" s="152"/>
      <c r="W952" s="152"/>
      <c r="X952" s="152"/>
      <c r="Y952" s="152"/>
      <c r="Z952" s="281"/>
      <c r="AA952" s="281"/>
      <c r="AB952" s="281"/>
      <c r="AC952" s="281"/>
      <c r="AD952" s="281"/>
      <c r="AE952" s="281"/>
      <c r="AF952" s="282"/>
      <c r="AG952" s="170"/>
      <c r="AH952" s="152"/>
      <c r="AI952" s="152"/>
      <c r="AJ952" s="152"/>
      <c r="AK952" s="152"/>
      <c r="AL952" s="152"/>
      <c r="AM952" s="152"/>
      <c r="AN952" s="152"/>
      <c r="AO952" s="152"/>
      <c r="AP952" s="152"/>
      <c r="AQ952" s="152"/>
      <c r="AR952" s="152"/>
    </row>
    <row r="953" ht="12.75" customHeight="1">
      <c r="A953" s="288"/>
      <c r="B953" s="288"/>
      <c r="C953" s="288"/>
      <c r="D953" s="152"/>
      <c r="E953" s="289"/>
      <c r="F953" s="289"/>
      <c r="G953" s="152"/>
      <c r="H953" s="152"/>
      <c r="I953" s="152"/>
      <c r="J953" s="152"/>
      <c r="K953" s="289"/>
      <c r="L953" s="289"/>
      <c r="M953" s="152"/>
      <c r="N953" s="152"/>
      <c r="O953" s="156"/>
      <c r="P953" s="152"/>
      <c r="Q953" s="152"/>
      <c r="R953" s="152"/>
      <c r="S953" s="152"/>
      <c r="T953" s="152"/>
      <c r="U953" s="152"/>
      <c r="V953" s="152"/>
      <c r="W953" s="152"/>
      <c r="X953" s="152"/>
      <c r="Y953" s="152"/>
      <c r="Z953" s="281"/>
      <c r="AA953" s="281"/>
      <c r="AB953" s="281"/>
      <c r="AC953" s="281"/>
      <c r="AD953" s="281"/>
      <c r="AE953" s="281"/>
      <c r="AF953" s="282"/>
      <c r="AG953" s="170"/>
      <c r="AH953" s="152"/>
      <c r="AI953" s="152"/>
      <c r="AJ953" s="152"/>
      <c r="AK953" s="152"/>
      <c r="AL953" s="152"/>
      <c r="AM953" s="152"/>
      <c r="AN953" s="152"/>
      <c r="AO953" s="152"/>
      <c r="AP953" s="152"/>
      <c r="AQ953" s="152"/>
      <c r="AR953" s="152"/>
    </row>
    <row r="954" ht="12.75" customHeight="1">
      <c r="A954" s="288"/>
      <c r="B954" s="288"/>
      <c r="C954" s="288"/>
      <c r="D954" s="152"/>
      <c r="E954" s="289"/>
      <c r="F954" s="289"/>
      <c r="G954" s="152"/>
      <c r="H954" s="152"/>
      <c r="I954" s="152"/>
      <c r="J954" s="152"/>
      <c r="K954" s="289"/>
      <c r="L954" s="289"/>
      <c r="M954" s="152"/>
      <c r="N954" s="152"/>
      <c r="O954" s="156"/>
      <c r="P954" s="152"/>
      <c r="Q954" s="152"/>
      <c r="R954" s="152"/>
      <c r="S954" s="152"/>
      <c r="T954" s="152"/>
      <c r="U954" s="152"/>
      <c r="V954" s="152"/>
      <c r="W954" s="152"/>
      <c r="X954" s="152"/>
      <c r="Y954" s="152"/>
      <c r="Z954" s="281"/>
      <c r="AA954" s="281"/>
      <c r="AB954" s="281"/>
      <c r="AC954" s="281"/>
      <c r="AD954" s="281"/>
      <c r="AE954" s="281"/>
      <c r="AF954" s="282"/>
      <c r="AG954" s="170"/>
      <c r="AH954" s="152"/>
      <c r="AI954" s="152"/>
      <c r="AJ954" s="152"/>
      <c r="AK954" s="152"/>
      <c r="AL954" s="152"/>
      <c r="AM954" s="152"/>
      <c r="AN954" s="152"/>
      <c r="AO954" s="152"/>
      <c r="AP954" s="152"/>
      <c r="AQ954" s="152"/>
      <c r="AR954" s="152"/>
    </row>
    <row r="955" ht="12.75" customHeight="1">
      <c r="A955" s="288"/>
      <c r="B955" s="288"/>
      <c r="C955" s="288"/>
      <c r="D955" s="152"/>
      <c r="E955" s="289"/>
      <c r="F955" s="289"/>
      <c r="G955" s="152"/>
      <c r="H955" s="152"/>
      <c r="I955" s="152"/>
      <c r="J955" s="152"/>
      <c r="K955" s="289"/>
      <c r="L955" s="289"/>
      <c r="M955" s="152"/>
      <c r="N955" s="152"/>
      <c r="O955" s="156"/>
      <c r="P955" s="152"/>
      <c r="Q955" s="152"/>
      <c r="R955" s="152"/>
      <c r="S955" s="152"/>
      <c r="T955" s="152"/>
      <c r="U955" s="152"/>
      <c r="V955" s="152"/>
      <c r="W955" s="152"/>
      <c r="X955" s="152"/>
      <c r="Y955" s="152"/>
      <c r="Z955" s="281"/>
      <c r="AA955" s="281"/>
      <c r="AB955" s="281"/>
      <c r="AC955" s="281"/>
      <c r="AD955" s="281"/>
      <c r="AE955" s="281"/>
      <c r="AF955" s="282"/>
      <c r="AG955" s="170"/>
      <c r="AH955" s="152"/>
      <c r="AI955" s="152"/>
      <c r="AJ955" s="152"/>
      <c r="AK955" s="152"/>
      <c r="AL955" s="152"/>
      <c r="AM955" s="152"/>
      <c r="AN955" s="152"/>
      <c r="AO955" s="152"/>
      <c r="AP955" s="152"/>
      <c r="AQ955" s="152"/>
      <c r="AR955" s="152"/>
    </row>
    <row r="956" ht="12.75" customHeight="1">
      <c r="A956" s="288"/>
      <c r="B956" s="288"/>
      <c r="C956" s="288"/>
      <c r="D956" s="152"/>
      <c r="E956" s="289"/>
      <c r="F956" s="289"/>
      <c r="G956" s="152"/>
      <c r="H956" s="152"/>
      <c r="I956" s="152"/>
      <c r="J956" s="152"/>
      <c r="K956" s="289"/>
      <c r="L956" s="289"/>
      <c r="M956" s="152"/>
      <c r="N956" s="152"/>
      <c r="O956" s="156"/>
      <c r="P956" s="152"/>
      <c r="Q956" s="152"/>
      <c r="R956" s="152"/>
      <c r="S956" s="152"/>
      <c r="T956" s="152"/>
      <c r="U956" s="152"/>
      <c r="V956" s="152"/>
      <c r="W956" s="152"/>
      <c r="X956" s="152"/>
      <c r="Y956" s="152"/>
      <c r="Z956" s="281"/>
      <c r="AA956" s="281"/>
      <c r="AB956" s="281"/>
      <c r="AC956" s="281"/>
      <c r="AD956" s="281"/>
      <c r="AE956" s="281"/>
      <c r="AF956" s="282"/>
      <c r="AG956" s="170"/>
      <c r="AH956" s="152"/>
      <c r="AI956" s="152"/>
      <c r="AJ956" s="152"/>
      <c r="AK956" s="152"/>
      <c r="AL956" s="152"/>
      <c r="AM956" s="152"/>
      <c r="AN956" s="152"/>
      <c r="AO956" s="152"/>
      <c r="AP956" s="152"/>
      <c r="AQ956" s="152"/>
      <c r="AR956" s="152"/>
    </row>
    <row r="957" ht="12.75" customHeight="1">
      <c r="A957" s="288"/>
      <c r="B957" s="288"/>
      <c r="C957" s="288"/>
      <c r="D957" s="152"/>
      <c r="E957" s="289"/>
      <c r="F957" s="289"/>
      <c r="G957" s="152"/>
      <c r="H957" s="152"/>
      <c r="I957" s="152"/>
      <c r="J957" s="152"/>
      <c r="K957" s="289"/>
      <c r="L957" s="289"/>
      <c r="M957" s="152"/>
      <c r="N957" s="152"/>
      <c r="O957" s="156"/>
      <c r="P957" s="152"/>
      <c r="Q957" s="152"/>
      <c r="R957" s="152"/>
      <c r="S957" s="152"/>
      <c r="T957" s="152"/>
      <c r="U957" s="152"/>
      <c r="V957" s="152"/>
      <c r="W957" s="152"/>
      <c r="X957" s="152"/>
      <c r="Y957" s="152"/>
      <c r="Z957" s="281"/>
      <c r="AA957" s="281"/>
      <c r="AB957" s="281"/>
      <c r="AC957" s="281"/>
      <c r="AD957" s="281"/>
      <c r="AE957" s="281"/>
      <c r="AF957" s="282"/>
      <c r="AG957" s="170"/>
      <c r="AH957" s="152"/>
      <c r="AI957" s="152"/>
      <c r="AJ957" s="152"/>
      <c r="AK957" s="152"/>
      <c r="AL957" s="152"/>
      <c r="AM957" s="152"/>
      <c r="AN957" s="152"/>
      <c r="AO957" s="152"/>
      <c r="AP957" s="152"/>
      <c r="AQ957" s="152"/>
      <c r="AR957" s="152"/>
    </row>
    <row r="958" ht="12.75" customHeight="1">
      <c r="A958" s="288"/>
      <c r="B958" s="288"/>
      <c r="C958" s="288"/>
      <c r="D958" s="152"/>
      <c r="E958" s="289"/>
      <c r="F958" s="289"/>
      <c r="G958" s="152"/>
      <c r="H958" s="152"/>
      <c r="I958" s="152"/>
      <c r="J958" s="152"/>
      <c r="K958" s="289"/>
      <c r="L958" s="289"/>
      <c r="M958" s="152"/>
      <c r="N958" s="152"/>
      <c r="O958" s="156"/>
      <c r="P958" s="152"/>
      <c r="Q958" s="152"/>
      <c r="R958" s="152"/>
      <c r="S958" s="152"/>
      <c r="T958" s="152"/>
      <c r="U958" s="152"/>
      <c r="V958" s="152"/>
      <c r="W958" s="152"/>
      <c r="X958" s="152"/>
      <c r="Y958" s="152"/>
      <c r="Z958" s="281"/>
      <c r="AA958" s="281"/>
      <c r="AB958" s="281"/>
      <c r="AC958" s="281"/>
      <c r="AD958" s="281"/>
      <c r="AE958" s="281"/>
      <c r="AF958" s="282"/>
      <c r="AG958" s="170"/>
      <c r="AH958" s="152"/>
      <c r="AI958" s="152"/>
      <c r="AJ958" s="152"/>
      <c r="AK958" s="152"/>
      <c r="AL958" s="152"/>
      <c r="AM958" s="152"/>
      <c r="AN958" s="152"/>
      <c r="AO958" s="152"/>
      <c r="AP958" s="152"/>
      <c r="AQ958" s="152"/>
      <c r="AR958" s="152"/>
    </row>
    <row r="959" ht="12.75" customHeight="1">
      <c r="A959" s="288"/>
      <c r="B959" s="288"/>
      <c r="C959" s="288"/>
      <c r="D959" s="152"/>
      <c r="E959" s="289"/>
      <c r="F959" s="289"/>
      <c r="G959" s="152"/>
      <c r="H959" s="152"/>
      <c r="I959" s="152"/>
      <c r="J959" s="152"/>
      <c r="K959" s="289"/>
      <c r="L959" s="289"/>
      <c r="M959" s="152"/>
      <c r="N959" s="152"/>
      <c r="O959" s="156"/>
      <c r="P959" s="152"/>
      <c r="Q959" s="152"/>
      <c r="R959" s="152"/>
      <c r="S959" s="152"/>
      <c r="T959" s="152"/>
      <c r="U959" s="152"/>
      <c r="V959" s="152"/>
      <c r="W959" s="152"/>
      <c r="X959" s="152"/>
      <c r="Y959" s="152"/>
      <c r="Z959" s="281"/>
      <c r="AA959" s="281"/>
      <c r="AB959" s="281"/>
      <c r="AC959" s="281"/>
      <c r="AD959" s="281"/>
      <c r="AE959" s="281"/>
      <c r="AF959" s="282"/>
      <c r="AG959" s="170"/>
      <c r="AH959" s="152"/>
      <c r="AI959" s="152"/>
      <c r="AJ959" s="152"/>
      <c r="AK959" s="152"/>
      <c r="AL959" s="152"/>
      <c r="AM959" s="152"/>
      <c r="AN959" s="152"/>
      <c r="AO959" s="152"/>
      <c r="AP959" s="152"/>
      <c r="AQ959" s="152"/>
      <c r="AR959" s="152"/>
    </row>
    <row r="960" ht="12.75" customHeight="1">
      <c r="A960" s="288"/>
      <c r="B960" s="288"/>
      <c r="C960" s="288"/>
      <c r="D960" s="152"/>
      <c r="E960" s="289"/>
      <c r="F960" s="289"/>
      <c r="G960" s="152"/>
      <c r="H960" s="152"/>
      <c r="I960" s="152"/>
      <c r="J960" s="152"/>
      <c r="K960" s="289"/>
      <c r="L960" s="289"/>
      <c r="M960" s="152"/>
      <c r="N960" s="152"/>
      <c r="O960" s="156"/>
      <c r="P960" s="152"/>
      <c r="Q960" s="152"/>
      <c r="R960" s="152"/>
      <c r="S960" s="152"/>
      <c r="T960" s="152"/>
      <c r="U960" s="152"/>
      <c r="V960" s="152"/>
      <c r="W960" s="152"/>
      <c r="X960" s="152"/>
      <c r="Y960" s="152"/>
      <c r="Z960" s="281"/>
      <c r="AA960" s="281"/>
      <c r="AB960" s="281"/>
      <c r="AC960" s="281"/>
      <c r="AD960" s="281"/>
      <c r="AE960" s="281"/>
      <c r="AF960" s="282"/>
      <c r="AG960" s="170"/>
      <c r="AH960" s="152"/>
      <c r="AI960" s="152"/>
      <c r="AJ960" s="152"/>
      <c r="AK960" s="152"/>
      <c r="AL960" s="152"/>
      <c r="AM960" s="152"/>
      <c r="AN960" s="152"/>
      <c r="AO960" s="152"/>
      <c r="AP960" s="152"/>
      <c r="AQ960" s="152"/>
      <c r="AR960" s="152"/>
    </row>
    <row r="961" ht="12.75" customHeight="1">
      <c r="A961" s="288"/>
      <c r="B961" s="288"/>
      <c r="C961" s="288"/>
      <c r="D961" s="152"/>
      <c r="E961" s="289"/>
      <c r="F961" s="289"/>
      <c r="G961" s="152"/>
      <c r="H961" s="152"/>
      <c r="I961" s="152"/>
      <c r="J961" s="152"/>
      <c r="K961" s="289"/>
      <c r="L961" s="289"/>
      <c r="M961" s="152"/>
      <c r="N961" s="152"/>
      <c r="O961" s="156"/>
      <c r="P961" s="152"/>
      <c r="Q961" s="152"/>
      <c r="R961" s="152"/>
      <c r="S961" s="152"/>
      <c r="T961" s="152"/>
      <c r="U961" s="152"/>
      <c r="V961" s="152"/>
      <c r="W961" s="152"/>
      <c r="X961" s="152"/>
      <c r="Y961" s="152"/>
      <c r="Z961" s="281"/>
      <c r="AA961" s="281"/>
      <c r="AB961" s="281"/>
      <c r="AC961" s="281"/>
      <c r="AD961" s="281"/>
      <c r="AE961" s="281"/>
      <c r="AF961" s="282"/>
      <c r="AG961" s="170"/>
      <c r="AH961" s="152"/>
      <c r="AI961" s="152"/>
      <c r="AJ961" s="152"/>
      <c r="AK961" s="152"/>
      <c r="AL961" s="152"/>
      <c r="AM961" s="152"/>
      <c r="AN961" s="152"/>
      <c r="AO961" s="152"/>
      <c r="AP961" s="152"/>
      <c r="AQ961" s="152"/>
      <c r="AR961" s="152"/>
    </row>
    <row r="962" ht="12.75" customHeight="1">
      <c r="A962" s="288"/>
      <c r="B962" s="288"/>
      <c r="C962" s="288"/>
      <c r="D962" s="152"/>
      <c r="E962" s="289"/>
      <c r="F962" s="289"/>
      <c r="G962" s="152"/>
      <c r="H962" s="152"/>
      <c r="I962" s="152"/>
      <c r="J962" s="152"/>
      <c r="K962" s="289"/>
      <c r="L962" s="289"/>
      <c r="M962" s="152"/>
      <c r="N962" s="152"/>
      <c r="O962" s="156"/>
      <c r="P962" s="152"/>
      <c r="Q962" s="152"/>
      <c r="R962" s="152"/>
      <c r="S962" s="152"/>
      <c r="T962" s="152"/>
      <c r="U962" s="152"/>
      <c r="V962" s="152"/>
      <c r="W962" s="152"/>
      <c r="X962" s="152"/>
      <c r="Y962" s="152"/>
      <c r="Z962" s="281"/>
      <c r="AA962" s="281"/>
      <c r="AB962" s="281"/>
      <c r="AC962" s="281"/>
      <c r="AD962" s="281"/>
      <c r="AE962" s="281"/>
      <c r="AF962" s="282"/>
      <c r="AG962" s="170"/>
      <c r="AH962" s="152"/>
      <c r="AI962" s="152"/>
      <c r="AJ962" s="152"/>
      <c r="AK962" s="152"/>
      <c r="AL962" s="152"/>
      <c r="AM962" s="152"/>
      <c r="AN962" s="152"/>
      <c r="AO962" s="152"/>
      <c r="AP962" s="152"/>
      <c r="AQ962" s="152"/>
      <c r="AR962" s="152"/>
    </row>
    <row r="963" ht="12.75" customHeight="1">
      <c r="A963" s="288"/>
      <c r="B963" s="288"/>
      <c r="C963" s="288"/>
      <c r="D963" s="152"/>
      <c r="E963" s="289"/>
      <c r="F963" s="289"/>
      <c r="G963" s="152"/>
      <c r="H963" s="152"/>
      <c r="I963" s="152"/>
      <c r="J963" s="152"/>
      <c r="K963" s="289"/>
      <c r="L963" s="289"/>
      <c r="M963" s="152"/>
      <c r="N963" s="152"/>
      <c r="O963" s="156"/>
      <c r="P963" s="152"/>
      <c r="Q963" s="152"/>
      <c r="R963" s="152"/>
      <c r="S963" s="152"/>
      <c r="T963" s="152"/>
      <c r="U963" s="152"/>
      <c r="V963" s="152"/>
      <c r="W963" s="152"/>
      <c r="X963" s="152"/>
      <c r="Y963" s="152"/>
      <c r="Z963" s="281"/>
      <c r="AA963" s="281"/>
      <c r="AB963" s="281"/>
      <c r="AC963" s="281"/>
      <c r="AD963" s="281"/>
      <c r="AE963" s="281"/>
      <c r="AF963" s="282"/>
      <c r="AG963" s="170"/>
      <c r="AH963" s="152"/>
      <c r="AI963" s="152"/>
      <c r="AJ963" s="152"/>
      <c r="AK963" s="152"/>
      <c r="AL963" s="152"/>
      <c r="AM963" s="152"/>
      <c r="AN963" s="152"/>
      <c r="AO963" s="152"/>
      <c r="AP963" s="152"/>
      <c r="AQ963" s="152"/>
      <c r="AR963" s="152"/>
    </row>
    <row r="964" ht="12.75" customHeight="1">
      <c r="A964" s="288"/>
      <c r="B964" s="288"/>
      <c r="C964" s="288"/>
      <c r="D964" s="152"/>
      <c r="E964" s="289"/>
      <c r="F964" s="289"/>
      <c r="G964" s="152"/>
      <c r="H964" s="152"/>
      <c r="I964" s="152"/>
      <c r="J964" s="152"/>
      <c r="K964" s="289"/>
      <c r="L964" s="289"/>
      <c r="M964" s="152"/>
      <c r="N964" s="152"/>
      <c r="O964" s="156"/>
      <c r="P964" s="152"/>
      <c r="Q964" s="152"/>
      <c r="R964" s="152"/>
      <c r="S964" s="152"/>
      <c r="T964" s="152"/>
      <c r="U964" s="152"/>
      <c r="V964" s="152"/>
      <c r="W964" s="152"/>
      <c r="X964" s="152"/>
      <c r="Y964" s="152"/>
      <c r="Z964" s="281"/>
      <c r="AA964" s="281"/>
      <c r="AB964" s="281"/>
      <c r="AC964" s="281"/>
      <c r="AD964" s="281"/>
      <c r="AE964" s="281"/>
      <c r="AF964" s="282"/>
      <c r="AG964" s="170"/>
      <c r="AH964" s="152"/>
      <c r="AI964" s="152"/>
      <c r="AJ964" s="152"/>
      <c r="AK964" s="152"/>
      <c r="AL964" s="152"/>
      <c r="AM964" s="152"/>
      <c r="AN964" s="152"/>
      <c r="AO964" s="152"/>
      <c r="AP964" s="152"/>
      <c r="AQ964" s="152"/>
      <c r="AR964" s="152"/>
    </row>
    <row r="965" ht="12.75" customHeight="1">
      <c r="A965" s="288"/>
      <c r="B965" s="288"/>
      <c r="C965" s="288"/>
      <c r="D965" s="152"/>
      <c r="E965" s="289"/>
      <c r="F965" s="289"/>
      <c r="G965" s="152"/>
      <c r="H965" s="152"/>
      <c r="I965" s="152"/>
      <c r="J965" s="152"/>
      <c r="K965" s="289"/>
      <c r="L965" s="289"/>
      <c r="M965" s="152"/>
      <c r="N965" s="152"/>
      <c r="O965" s="156"/>
      <c r="P965" s="152"/>
      <c r="Q965" s="152"/>
      <c r="R965" s="152"/>
      <c r="S965" s="152"/>
      <c r="T965" s="152"/>
      <c r="U965" s="152"/>
      <c r="V965" s="152"/>
      <c r="W965" s="152"/>
      <c r="X965" s="152"/>
      <c r="Y965" s="152"/>
      <c r="Z965" s="281"/>
      <c r="AA965" s="281"/>
      <c r="AB965" s="281"/>
      <c r="AC965" s="281"/>
      <c r="AD965" s="281"/>
      <c r="AE965" s="281"/>
      <c r="AF965" s="282"/>
      <c r="AG965" s="170"/>
      <c r="AH965" s="152"/>
      <c r="AI965" s="152"/>
      <c r="AJ965" s="152"/>
      <c r="AK965" s="152"/>
      <c r="AL965" s="152"/>
      <c r="AM965" s="152"/>
      <c r="AN965" s="152"/>
      <c r="AO965" s="152"/>
      <c r="AP965" s="152"/>
      <c r="AQ965" s="152"/>
      <c r="AR965" s="152"/>
    </row>
    <row r="966" ht="12.75" customHeight="1">
      <c r="A966" s="288"/>
      <c r="B966" s="288"/>
      <c r="C966" s="288"/>
      <c r="D966" s="152"/>
      <c r="E966" s="289"/>
      <c r="F966" s="289"/>
      <c r="G966" s="152"/>
      <c r="H966" s="152"/>
      <c r="I966" s="152"/>
      <c r="J966" s="152"/>
      <c r="K966" s="289"/>
      <c r="L966" s="289"/>
      <c r="M966" s="152"/>
      <c r="N966" s="152"/>
      <c r="O966" s="156"/>
      <c r="P966" s="152"/>
      <c r="Q966" s="152"/>
      <c r="R966" s="152"/>
      <c r="S966" s="152"/>
      <c r="T966" s="152"/>
      <c r="U966" s="152"/>
      <c r="V966" s="152"/>
      <c r="W966" s="152"/>
      <c r="X966" s="152"/>
      <c r="Y966" s="152"/>
      <c r="Z966" s="281"/>
      <c r="AA966" s="281"/>
      <c r="AB966" s="281"/>
      <c r="AC966" s="281"/>
      <c r="AD966" s="281"/>
      <c r="AE966" s="281"/>
      <c r="AF966" s="282"/>
      <c r="AG966" s="170"/>
      <c r="AH966" s="152"/>
      <c r="AI966" s="152"/>
      <c r="AJ966" s="152"/>
      <c r="AK966" s="152"/>
      <c r="AL966" s="152"/>
      <c r="AM966" s="152"/>
      <c r="AN966" s="152"/>
      <c r="AO966" s="152"/>
      <c r="AP966" s="152"/>
      <c r="AQ966" s="152"/>
      <c r="AR966" s="152"/>
    </row>
    <row r="967" ht="12.75" customHeight="1">
      <c r="A967" s="288"/>
      <c r="B967" s="288"/>
      <c r="C967" s="288"/>
      <c r="D967" s="152"/>
      <c r="E967" s="289"/>
      <c r="F967" s="289"/>
      <c r="G967" s="152"/>
      <c r="H967" s="152"/>
      <c r="I967" s="152"/>
      <c r="J967" s="152"/>
      <c r="K967" s="289"/>
      <c r="L967" s="289"/>
      <c r="M967" s="152"/>
      <c r="N967" s="152"/>
      <c r="O967" s="156"/>
      <c r="P967" s="152"/>
      <c r="Q967" s="152"/>
      <c r="R967" s="152"/>
      <c r="S967" s="152"/>
      <c r="T967" s="152"/>
      <c r="U967" s="152"/>
      <c r="V967" s="152"/>
      <c r="W967" s="152"/>
      <c r="X967" s="152"/>
      <c r="Y967" s="152"/>
      <c r="Z967" s="281"/>
      <c r="AA967" s="281"/>
      <c r="AB967" s="281"/>
      <c r="AC967" s="281"/>
      <c r="AD967" s="281"/>
      <c r="AE967" s="281"/>
      <c r="AF967" s="282"/>
      <c r="AG967" s="170"/>
      <c r="AH967" s="152"/>
      <c r="AI967" s="152"/>
      <c r="AJ967" s="152"/>
      <c r="AK967" s="152"/>
      <c r="AL967" s="152"/>
      <c r="AM967" s="152"/>
      <c r="AN967" s="152"/>
      <c r="AO967" s="152"/>
      <c r="AP967" s="152"/>
      <c r="AQ967" s="152"/>
      <c r="AR967" s="152"/>
    </row>
    <row r="968" ht="12.75" customHeight="1">
      <c r="A968" s="288"/>
      <c r="B968" s="288"/>
      <c r="C968" s="288"/>
      <c r="D968" s="152"/>
      <c r="E968" s="289"/>
      <c r="F968" s="289"/>
      <c r="G968" s="152"/>
      <c r="H968" s="152"/>
      <c r="I968" s="152"/>
      <c r="J968" s="152"/>
      <c r="K968" s="289"/>
      <c r="L968" s="289"/>
      <c r="M968" s="152"/>
      <c r="N968" s="152"/>
      <c r="O968" s="156"/>
      <c r="P968" s="152"/>
      <c r="Q968" s="152"/>
      <c r="R968" s="152"/>
      <c r="S968" s="152"/>
      <c r="T968" s="152"/>
      <c r="U968" s="152"/>
      <c r="V968" s="152"/>
      <c r="W968" s="152"/>
      <c r="X968" s="152"/>
      <c r="Y968" s="152"/>
      <c r="Z968" s="281"/>
      <c r="AA968" s="281"/>
      <c r="AB968" s="281"/>
      <c r="AC968" s="281"/>
      <c r="AD968" s="281"/>
      <c r="AE968" s="281"/>
      <c r="AF968" s="282"/>
      <c r="AG968" s="170"/>
      <c r="AH968" s="152"/>
      <c r="AI968" s="152"/>
      <c r="AJ968" s="152"/>
      <c r="AK968" s="152"/>
      <c r="AL968" s="152"/>
      <c r="AM968" s="152"/>
      <c r="AN968" s="152"/>
      <c r="AO968" s="152"/>
      <c r="AP968" s="152"/>
      <c r="AQ968" s="152"/>
      <c r="AR968" s="152"/>
    </row>
    <row r="969" ht="12.75" customHeight="1">
      <c r="A969" s="288"/>
      <c r="B969" s="288"/>
      <c r="C969" s="288"/>
      <c r="D969" s="152"/>
      <c r="E969" s="289"/>
      <c r="F969" s="289"/>
      <c r="G969" s="152"/>
      <c r="H969" s="152"/>
      <c r="I969" s="152"/>
      <c r="J969" s="152"/>
      <c r="K969" s="289"/>
      <c r="L969" s="289"/>
      <c r="M969" s="152"/>
      <c r="N969" s="152"/>
      <c r="O969" s="156"/>
      <c r="P969" s="152"/>
      <c r="Q969" s="152"/>
      <c r="R969" s="152"/>
      <c r="S969" s="152"/>
      <c r="T969" s="152"/>
      <c r="U969" s="152"/>
      <c r="V969" s="152"/>
      <c r="W969" s="152"/>
      <c r="X969" s="152"/>
      <c r="Y969" s="152"/>
      <c r="Z969" s="281"/>
      <c r="AA969" s="281"/>
      <c r="AB969" s="281"/>
      <c r="AC969" s="281"/>
      <c r="AD969" s="281"/>
      <c r="AE969" s="281"/>
      <c r="AF969" s="282"/>
      <c r="AG969" s="170"/>
      <c r="AH969" s="152"/>
      <c r="AI969" s="152"/>
      <c r="AJ969" s="152"/>
      <c r="AK969" s="152"/>
      <c r="AL969" s="152"/>
      <c r="AM969" s="152"/>
      <c r="AN969" s="152"/>
      <c r="AO969" s="152"/>
      <c r="AP969" s="152"/>
      <c r="AQ969" s="152"/>
      <c r="AR969" s="152"/>
    </row>
    <row r="970" ht="12.75" customHeight="1">
      <c r="A970" s="288"/>
      <c r="B970" s="288"/>
      <c r="C970" s="288"/>
      <c r="D970" s="152"/>
      <c r="E970" s="289"/>
      <c r="F970" s="289"/>
      <c r="G970" s="152"/>
      <c r="H970" s="152"/>
      <c r="I970" s="152"/>
      <c r="J970" s="152"/>
      <c r="K970" s="289"/>
      <c r="L970" s="289"/>
      <c r="M970" s="152"/>
      <c r="N970" s="152"/>
      <c r="O970" s="156"/>
      <c r="P970" s="152"/>
      <c r="Q970" s="152"/>
      <c r="R970" s="152"/>
      <c r="S970" s="152"/>
      <c r="T970" s="152"/>
      <c r="U970" s="152"/>
      <c r="V970" s="152"/>
      <c r="W970" s="152"/>
      <c r="X970" s="152"/>
      <c r="Y970" s="152"/>
      <c r="Z970" s="281"/>
      <c r="AA970" s="281"/>
      <c r="AB970" s="281"/>
      <c r="AC970" s="281"/>
      <c r="AD970" s="281"/>
      <c r="AE970" s="281"/>
      <c r="AF970" s="282"/>
      <c r="AG970" s="170"/>
      <c r="AH970" s="152"/>
      <c r="AI970" s="152"/>
      <c r="AJ970" s="152"/>
      <c r="AK970" s="152"/>
      <c r="AL970" s="152"/>
      <c r="AM970" s="152"/>
      <c r="AN970" s="152"/>
      <c r="AO970" s="152"/>
      <c r="AP970" s="152"/>
      <c r="AQ970" s="152"/>
      <c r="AR970" s="152"/>
    </row>
    <row r="971" ht="12.75" customHeight="1">
      <c r="A971" s="288"/>
      <c r="B971" s="288"/>
      <c r="C971" s="288"/>
      <c r="D971" s="152"/>
      <c r="E971" s="289"/>
      <c r="F971" s="289"/>
      <c r="G971" s="152"/>
      <c r="H971" s="152"/>
      <c r="I971" s="152"/>
      <c r="J971" s="152"/>
      <c r="K971" s="289"/>
      <c r="L971" s="289"/>
      <c r="M971" s="152"/>
      <c r="N971" s="152"/>
      <c r="O971" s="156"/>
      <c r="P971" s="152"/>
      <c r="Q971" s="152"/>
      <c r="R971" s="152"/>
      <c r="S971" s="152"/>
      <c r="T971" s="152"/>
      <c r="U971" s="152"/>
      <c r="V971" s="152"/>
      <c r="W971" s="152"/>
      <c r="X971" s="152"/>
      <c r="Y971" s="152"/>
      <c r="Z971" s="281"/>
      <c r="AA971" s="281"/>
      <c r="AB971" s="281"/>
      <c r="AC971" s="281"/>
      <c r="AD971" s="281"/>
      <c r="AE971" s="281"/>
      <c r="AF971" s="282"/>
      <c r="AG971" s="170"/>
      <c r="AH971" s="152"/>
      <c r="AI971" s="152"/>
      <c r="AJ971" s="152"/>
      <c r="AK971" s="152"/>
      <c r="AL971" s="152"/>
      <c r="AM971" s="152"/>
      <c r="AN971" s="152"/>
      <c r="AO971" s="152"/>
      <c r="AP971" s="152"/>
      <c r="AQ971" s="152"/>
      <c r="AR971" s="152"/>
    </row>
    <row r="972" ht="12.75" customHeight="1">
      <c r="A972" s="288"/>
      <c r="B972" s="288"/>
      <c r="C972" s="288"/>
      <c r="D972" s="152"/>
      <c r="E972" s="289"/>
      <c r="F972" s="289"/>
      <c r="G972" s="152"/>
      <c r="H972" s="152"/>
      <c r="I972" s="152"/>
      <c r="J972" s="152"/>
      <c r="K972" s="289"/>
      <c r="L972" s="289"/>
      <c r="M972" s="152"/>
      <c r="N972" s="152"/>
      <c r="O972" s="156"/>
      <c r="P972" s="152"/>
      <c r="Q972" s="152"/>
      <c r="R972" s="152"/>
      <c r="S972" s="152"/>
      <c r="T972" s="152"/>
      <c r="U972" s="152"/>
      <c r="V972" s="152"/>
      <c r="W972" s="152"/>
      <c r="X972" s="152"/>
      <c r="Y972" s="152"/>
      <c r="Z972" s="281"/>
      <c r="AA972" s="281"/>
      <c r="AB972" s="281"/>
      <c r="AC972" s="281"/>
      <c r="AD972" s="281"/>
      <c r="AE972" s="281"/>
      <c r="AF972" s="282"/>
      <c r="AG972" s="170"/>
      <c r="AH972" s="152"/>
      <c r="AI972" s="152"/>
      <c r="AJ972" s="152"/>
      <c r="AK972" s="152"/>
      <c r="AL972" s="152"/>
      <c r="AM972" s="152"/>
      <c r="AN972" s="152"/>
      <c r="AO972" s="152"/>
      <c r="AP972" s="152"/>
      <c r="AQ972" s="152"/>
      <c r="AR972" s="152"/>
    </row>
    <row r="973" ht="12.75" customHeight="1">
      <c r="A973" s="288"/>
      <c r="B973" s="288"/>
      <c r="C973" s="288"/>
      <c r="D973" s="152"/>
      <c r="E973" s="289"/>
      <c r="F973" s="289"/>
      <c r="G973" s="152"/>
      <c r="H973" s="152"/>
      <c r="I973" s="152"/>
      <c r="J973" s="152"/>
      <c r="K973" s="289"/>
      <c r="L973" s="289"/>
      <c r="M973" s="152"/>
      <c r="N973" s="152"/>
      <c r="O973" s="156"/>
      <c r="P973" s="152"/>
      <c r="Q973" s="152"/>
      <c r="R973" s="152"/>
      <c r="S973" s="152"/>
      <c r="T973" s="152"/>
      <c r="U973" s="152"/>
      <c r="V973" s="152"/>
      <c r="W973" s="152"/>
      <c r="X973" s="152"/>
      <c r="Y973" s="152"/>
      <c r="Z973" s="281"/>
      <c r="AA973" s="281"/>
      <c r="AB973" s="281"/>
      <c r="AC973" s="281"/>
      <c r="AD973" s="281"/>
      <c r="AE973" s="281"/>
      <c r="AF973" s="282"/>
      <c r="AG973" s="170"/>
      <c r="AH973" s="152"/>
      <c r="AI973" s="152"/>
      <c r="AJ973" s="152"/>
      <c r="AK973" s="152"/>
      <c r="AL973" s="152"/>
      <c r="AM973" s="152"/>
      <c r="AN973" s="152"/>
      <c r="AO973" s="152"/>
      <c r="AP973" s="152"/>
      <c r="AQ973" s="152"/>
      <c r="AR973" s="152"/>
    </row>
    <row r="974" ht="12.75" customHeight="1">
      <c r="A974" s="288"/>
      <c r="B974" s="288"/>
      <c r="C974" s="288"/>
      <c r="D974" s="152"/>
      <c r="E974" s="289"/>
      <c r="F974" s="289"/>
      <c r="G974" s="152"/>
      <c r="H974" s="152"/>
      <c r="I974" s="152"/>
      <c r="J974" s="152"/>
      <c r="K974" s="289"/>
      <c r="L974" s="289"/>
      <c r="M974" s="152"/>
      <c r="N974" s="152"/>
      <c r="O974" s="156"/>
      <c r="P974" s="152"/>
      <c r="Q974" s="152"/>
      <c r="R974" s="152"/>
      <c r="S974" s="152"/>
      <c r="T974" s="152"/>
      <c r="U974" s="152"/>
      <c r="V974" s="152"/>
      <c r="W974" s="152"/>
      <c r="X974" s="152"/>
      <c r="Y974" s="152"/>
      <c r="Z974" s="281"/>
      <c r="AA974" s="281"/>
      <c r="AB974" s="281"/>
      <c r="AC974" s="281"/>
      <c r="AD974" s="281"/>
      <c r="AE974" s="281"/>
      <c r="AF974" s="282"/>
      <c r="AG974" s="170"/>
      <c r="AH974" s="152"/>
      <c r="AI974" s="152"/>
      <c r="AJ974" s="152"/>
      <c r="AK974" s="152"/>
      <c r="AL974" s="152"/>
      <c r="AM974" s="152"/>
      <c r="AN974" s="152"/>
      <c r="AO974" s="152"/>
      <c r="AP974" s="152"/>
      <c r="AQ974" s="152"/>
      <c r="AR974" s="152"/>
    </row>
    <row r="975" ht="12.75" customHeight="1">
      <c r="A975" s="288"/>
      <c r="B975" s="288"/>
      <c r="C975" s="288"/>
      <c r="D975" s="152"/>
      <c r="E975" s="289"/>
      <c r="F975" s="289"/>
      <c r="G975" s="152"/>
      <c r="H975" s="152"/>
      <c r="I975" s="152"/>
      <c r="J975" s="152"/>
      <c r="K975" s="289"/>
      <c r="L975" s="289"/>
      <c r="M975" s="152"/>
      <c r="N975" s="152"/>
      <c r="O975" s="156"/>
      <c r="P975" s="152"/>
      <c r="Q975" s="152"/>
      <c r="R975" s="152"/>
      <c r="S975" s="152"/>
      <c r="T975" s="152"/>
      <c r="U975" s="152"/>
      <c r="V975" s="152"/>
      <c r="W975" s="152"/>
      <c r="X975" s="152"/>
      <c r="Y975" s="152"/>
      <c r="Z975" s="281"/>
      <c r="AA975" s="281"/>
      <c r="AB975" s="281"/>
      <c r="AC975" s="281"/>
      <c r="AD975" s="281"/>
      <c r="AE975" s="281"/>
      <c r="AF975" s="282"/>
      <c r="AG975" s="170"/>
      <c r="AH975" s="152"/>
      <c r="AI975" s="152"/>
      <c r="AJ975" s="152"/>
      <c r="AK975" s="152"/>
      <c r="AL975" s="152"/>
      <c r="AM975" s="152"/>
      <c r="AN975" s="152"/>
      <c r="AO975" s="152"/>
      <c r="AP975" s="152"/>
      <c r="AQ975" s="152"/>
      <c r="AR975" s="152"/>
    </row>
    <row r="976" ht="12.75" customHeight="1">
      <c r="A976" s="288"/>
      <c r="B976" s="288"/>
      <c r="C976" s="288"/>
      <c r="D976" s="152"/>
      <c r="E976" s="289"/>
      <c r="F976" s="289"/>
      <c r="G976" s="152"/>
      <c r="H976" s="152"/>
      <c r="I976" s="152"/>
      <c r="J976" s="152"/>
      <c r="K976" s="289"/>
      <c r="L976" s="289"/>
      <c r="M976" s="152"/>
      <c r="N976" s="152"/>
      <c r="O976" s="156"/>
      <c r="P976" s="152"/>
      <c r="Q976" s="152"/>
      <c r="R976" s="152"/>
      <c r="S976" s="152"/>
      <c r="T976" s="152"/>
      <c r="U976" s="152"/>
      <c r="V976" s="152"/>
      <c r="W976" s="152"/>
      <c r="X976" s="152"/>
      <c r="Y976" s="152"/>
      <c r="Z976" s="281"/>
      <c r="AA976" s="281"/>
      <c r="AB976" s="281"/>
      <c r="AC976" s="281"/>
      <c r="AD976" s="281"/>
      <c r="AE976" s="281"/>
      <c r="AF976" s="282"/>
      <c r="AG976" s="170"/>
      <c r="AH976" s="152"/>
      <c r="AI976" s="152"/>
      <c r="AJ976" s="152"/>
      <c r="AK976" s="152"/>
      <c r="AL976" s="152"/>
      <c r="AM976" s="152"/>
      <c r="AN976" s="152"/>
      <c r="AO976" s="152"/>
      <c r="AP976" s="152"/>
      <c r="AQ976" s="152"/>
      <c r="AR976" s="152"/>
    </row>
    <row r="977" ht="12.75" customHeight="1">
      <c r="A977" s="288"/>
      <c r="B977" s="288"/>
      <c r="C977" s="288"/>
      <c r="D977" s="152"/>
      <c r="E977" s="289"/>
      <c r="F977" s="289"/>
      <c r="G977" s="152"/>
      <c r="H977" s="152"/>
      <c r="I977" s="152"/>
      <c r="J977" s="152"/>
      <c r="K977" s="289"/>
      <c r="L977" s="289"/>
      <c r="M977" s="152"/>
      <c r="N977" s="152"/>
      <c r="O977" s="156"/>
      <c r="P977" s="152"/>
      <c r="Q977" s="152"/>
      <c r="R977" s="152"/>
      <c r="S977" s="152"/>
      <c r="T977" s="152"/>
      <c r="U977" s="152"/>
      <c r="V977" s="152"/>
      <c r="W977" s="152"/>
      <c r="X977" s="152"/>
      <c r="Y977" s="152"/>
      <c r="Z977" s="281"/>
      <c r="AA977" s="281"/>
      <c r="AB977" s="281"/>
      <c r="AC977" s="281"/>
      <c r="AD977" s="281"/>
      <c r="AE977" s="281"/>
      <c r="AF977" s="282"/>
      <c r="AG977" s="170"/>
      <c r="AH977" s="152"/>
      <c r="AI977" s="152"/>
      <c r="AJ977" s="152"/>
      <c r="AK977" s="152"/>
      <c r="AL977" s="152"/>
      <c r="AM977" s="152"/>
      <c r="AN977" s="152"/>
      <c r="AO977" s="152"/>
      <c r="AP977" s="152"/>
      <c r="AQ977" s="152"/>
      <c r="AR977" s="152"/>
    </row>
    <row r="978" ht="12.75" customHeight="1">
      <c r="A978" s="288"/>
      <c r="B978" s="288"/>
      <c r="C978" s="288"/>
      <c r="D978" s="152"/>
      <c r="E978" s="289"/>
      <c r="F978" s="289"/>
      <c r="G978" s="152"/>
      <c r="H978" s="152"/>
      <c r="I978" s="152"/>
      <c r="J978" s="152"/>
      <c r="K978" s="289"/>
      <c r="L978" s="289"/>
      <c r="M978" s="152"/>
      <c r="N978" s="152"/>
      <c r="O978" s="156"/>
      <c r="P978" s="152"/>
      <c r="Q978" s="152"/>
      <c r="R978" s="152"/>
      <c r="S978" s="152"/>
      <c r="T978" s="152"/>
      <c r="U978" s="152"/>
      <c r="V978" s="152"/>
      <c r="W978" s="152"/>
      <c r="X978" s="152"/>
      <c r="Y978" s="152"/>
      <c r="Z978" s="281"/>
      <c r="AA978" s="281"/>
      <c r="AB978" s="281"/>
      <c r="AC978" s="281"/>
      <c r="AD978" s="281"/>
      <c r="AE978" s="281"/>
      <c r="AF978" s="282"/>
      <c r="AG978" s="170"/>
      <c r="AH978" s="152"/>
      <c r="AI978" s="152"/>
      <c r="AJ978" s="152"/>
      <c r="AK978" s="152"/>
      <c r="AL978" s="152"/>
      <c r="AM978" s="152"/>
      <c r="AN978" s="152"/>
      <c r="AO978" s="152"/>
      <c r="AP978" s="152"/>
      <c r="AQ978" s="152"/>
      <c r="AR978" s="152"/>
    </row>
    <row r="979" ht="12.75" customHeight="1">
      <c r="A979" s="288"/>
      <c r="B979" s="288"/>
      <c r="C979" s="288"/>
      <c r="D979" s="152"/>
      <c r="E979" s="289"/>
      <c r="F979" s="289"/>
      <c r="G979" s="152"/>
      <c r="H979" s="152"/>
      <c r="I979" s="152"/>
      <c r="J979" s="152"/>
      <c r="K979" s="289"/>
      <c r="L979" s="289"/>
      <c r="M979" s="152"/>
      <c r="N979" s="152"/>
      <c r="O979" s="156"/>
      <c r="P979" s="152"/>
      <c r="Q979" s="152"/>
      <c r="R979" s="152"/>
      <c r="S979" s="152"/>
      <c r="T979" s="152"/>
      <c r="U979" s="152"/>
      <c r="V979" s="152"/>
      <c r="W979" s="152"/>
      <c r="X979" s="152"/>
      <c r="Y979" s="152"/>
      <c r="Z979" s="281"/>
      <c r="AA979" s="281"/>
      <c r="AB979" s="281"/>
      <c r="AC979" s="281"/>
      <c r="AD979" s="281"/>
      <c r="AE979" s="281"/>
      <c r="AF979" s="282"/>
      <c r="AG979" s="170"/>
      <c r="AH979" s="152"/>
      <c r="AI979" s="152"/>
      <c r="AJ979" s="152"/>
      <c r="AK979" s="152"/>
      <c r="AL979" s="152"/>
      <c r="AM979" s="152"/>
      <c r="AN979" s="152"/>
      <c r="AO979" s="152"/>
      <c r="AP979" s="152"/>
      <c r="AQ979" s="152"/>
      <c r="AR979" s="152"/>
    </row>
    <row r="980" ht="12.75" customHeight="1">
      <c r="A980" s="288"/>
      <c r="B980" s="288"/>
      <c r="C980" s="288"/>
      <c r="D980" s="152"/>
      <c r="E980" s="289"/>
      <c r="F980" s="289"/>
      <c r="G980" s="152"/>
      <c r="H980" s="152"/>
      <c r="I980" s="152"/>
      <c r="J980" s="152"/>
      <c r="K980" s="289"/>
      <c r="L980" s="289"/>
      <c r="M980" s="152"/>
      <c r="N980" s="152"/>
      <c r="O980" s="156"/>
      <c r="P980" s="152"/>
      <c r="Q980" s="152"/>
      <c r="R980" s="152"/>
      <c r="S980" s="152"/>
      <c r="T980" s="152"/>
      <c r="U980" s="152"/>
      <c r="V980" s="152"/>
      <c r="W980" s="152"/>
      <c r="X980" s="152"/>
      <c r="Y980" s="152"/>
      <c r="Z980" s="281"/>
      <c r="AA980" s="281"/>
      <c r="AB980" s="281"/>
      <c r="AC980" s="281"/>
      <c r="AD980" s="281"/>
      <c r="AE980" s="281"/>
      <c r="AF980" s="282"/>
      <c r="AG980" s="170"/>
      <c r="AH980" s="152"/>
      <c r="AI980" s="152"/>
      <c r="AJ980" s="152"/>
      <c r="AK980" s="152"/>
      <c r="AL980" s="152"/>
      <c r="AM980" s="152"/>
      <c r="AN980" s="152"/>
      <c r="AO980" s="152"/>
      <c r="AP980" s="152"/>
      <c r="AQ980" s="152"/>
      <c r="AR980" s="152"/>
    </row>
    <row r="981" ht="12.75" customHeight="1">
      <c r="A981" s="288"/>
      <c r="B981" s="288"/>
      <c r="C981" s="288"/>
      <c r="D981" s="152"/>
      <c r="E981" s="289"/>
      <c r="F981" s="289"/>
      <c r="G981" s="152"/>
      <c r="H981" s="152"/>
      <c r="I981" s="152"/>
      <c r="J981" s="152"/>
      <c r="K981" s="289"/>
      <c r="L981" s="289"/>
      <c r="M981" s="152"/>
      <c r="N981" s="152"/>
      <c r="O981" s="156"/>
      <c r="P981" s="152"/>
      <c r="Q981" s="152"/>
      <c r="R981" s="152"/>
      <c r="S981" s="152"/>
      <c r="T981" s="152"/>
      <c r="U981" s="152"/>
      <c r="V981" s="152"/>
      <c r="W981" s="152"/>
      <c r="X981" s="152"/>
      <c r="Y981" s="152"/>
      <c r="Z981" s="281"/>
      <c r="AA981" s="281"/>
      <c r="AB981" s="281"/>
      <c r="AC981" s="281"/>
      <c r="AD981" s="281"/>
      <c r="AE981" s="281"/>
      <c r="AF981" s="282"/>
      <c r="AG981" s="170"/>
      <c r="AH981" s="152"/>
      <c r="AI981" s="152"/>
      <c r="AJ981" s="152"/>
      <c r="AK981" s="152"/>
      <c r="AL981" s="152"/>
      <c r="AM981" s="152"/>
      <c r="AN981" s="152"/>
      <c r="AO981" s="152"/>
      <c r="AP981" s="152"/>
      <c r="AQ981" s="152"/>
      <c r="AR981" s="152"/>
    </row>
    <row r="982" ht="12.75" customHeight="1">
      <c r="A982" s="288"/>
      <c r="B982" s="288"/>
      <c r="C982" s="288"/>
      <c r="D982" s="152"/>
      <c r="E982" s="289"/>
      <c r="F982" s="289"/>
      <c r="G982" s="152"/>
      <c r="H982" s="152"/>
      <c r="I982" s="152"/>
      <c r="J982" s="152"/>
      <c r="K982" s="289"/>
      <c r="L982" s="289"/>
      <c r="M982" s="152"/>
      <c r="N982" s="152"/>
      <c r="O982" s="156"/>
      <c r="P982" s="152"/>
      <c r="Q982" s="152"/>
      <c r="R982" s="152"/>
      <c r="S982" s="152"/>
      <c r="T982" s="152"/>
      <c r="U982" s="152"/>
      <c r="V982" s="152"/>
      <c r="W982" s="152"/>
      <c r="X982" s="152"/>
      <c r="Y982" s="152"/>
      <c r="Z982" s="281"/>
      <c r="AA982" s="281"/>
      <c r="AB982" s="281"/>
      <c r="AC982" s="281"/>
      <c r="AD982" s="281"/>
      <c r="AE982" s="281"/>
      <c r="AF982" s="282"/>
      <c r="AG982" s="170"/>
      <c r="AH982" s="152"/>
      <c r="AI982" s="152"/>
      <c r="AJ982" s="152"/>
      <c r="AK982" s="152"/>
      <c r="AL982" s="152"/>
      <c r="AM982" s="152"/>
      <c r="AN982" s="152"/>
      <c r="AO982" s="152"/>
      <c r="AP982" s="152"/>
      <c r="AQ982" s="152"/>
      <c r="AR982" s="152"/>
    </row>
    <row r="983" ht="12.75" customHeight="1">
      <c r="A983" s="288"/>
      <c r="B983" s="288"/>
      <c r="C983" s="288"/>
      <c r="D983" s="152"/>
      <c r="E983" s="289"/>
      <c r="F983" s="289"/>
      <c r="G983" s="152"/>
      <c r="H983" s="152"/>
      <c r="I983" s="152"/>
      <c r="J983" s="152"/>
      <c r="K983" s="289"/>
      <c r="L983" s="289"/>
      <c r="M983" s="152"/>
      <c r="N983" s="152"/>
      <c r="O983" s="156"/>
      <c r="P983" s="152"/>
      <c r="Q983" s="152"/>
      <c r="R983" s="152"/>
      <c r="S983" s="152"/>
      <c r="T983" s="152"/>
      <c r="U983" s="152"/>
      <c r="V983" s="152"/>
      <c r="W983" s="152"/>
      <c r="X983" s="152"/>
      <c r="Y983" s="152"/>
      <c r="Z983" s="281"/>
      <c r="AA983" s="281"/>
      <c r="AB983" s="281"/>
      <c r="AC983" s="281"/>
      <c r="AD983" s="281"/>
      <c r="AE983" s="281"/>
      <c r="AF983" s="282"/>
      <c r="AG983" s="170"/>
      <c r="AH983" s="152"/>
      <c r="AI983" s="152"/>
      <c r="AJ983" s="152"/>
      <c r="AK983" s="152"/>
      <c r="AL983" s="152"/>
      <c r="AM983" s="152"/>
      <c r="AN983" s="152"/>
      <c r="AO983" s="152"/>
      <c r="AP983" s="152"/>
      <c r="AQ983" s="152"/>
      <c r="AR983" s="152"/>
    </row>
    <row r="984" ht="12.75" customHeight="1">
      <c r="A984" s="288"/>
      <c r="B984" s="288"/>
      <c r="C984" s="288"/>
      <c r="D984" s="152"/>
      <c r="E984" s="289"/>
      <c r="F984" s="289"/>
      <c r="G984" s="152"/>
      <c r="H984" s="152"/>
      <c r="I984" s="152"/>
      <c r="J984" s="152"/>
      <c r="K984" s="289"/>
      <c r="L984" s="289"/>
      <c r="M984" s="152"/>
      <c r="N984" s="152"/>
      <c r="O984" s="156"/>
      <c r="P984" s="152"/>
      <c r="Q984" s="152"/>
      <c r="R984" s="152"/>
      <c r="S984" s="152"/>
      <c r="T984" s="152"/>
      <c r="U984" s="152"/>
      <c r="V984" s="152"/>
      <c r="W984" s="152"/>
      <c r="X984" s="152"/>
      <c r="Y984" s="152"/>
      <c r="Z984" s="281"/>
      <c r="AA984" s="281"/>
      <c r="AB984" s="281"/>
      <c r="AC984" s="281"/>
      <c r="AD984" s="281"/>
      <c r="AE984" s="281"/>
      <c r="AF984" s="282"/>
      <c r="AG984" s="170"/>
      <c r="AH984" s="152"/>
      <c r="AI984" s="152"/>
      <c r="AJ984" s="152"/>
      <c r="AK984" s="152"/>
      <c r="AL984" s="152"/>
      <c r="AM984" s="152"/>
      <c r="AN984" s="152"/>
      <c r="AO984" s="152"/>
      <c r="AP984" s="152"/>
      <c r="AQ984" s="152"/>
      <c r="AR984" s="152"/>
    </row>
    <row r="985" ht="12.75" customHeight="1">
      <c r="A985" s="288"/>
      <c r="B985" s="288"/>
      <c r="C985" s="288"/>
      <c r="D985" s="152"/>
      <c r="E985" s="289"/>
      <c r="F985" s="289"/>
      <c r="G985" s="152"/>
      <c r="H985" s="152"/>
      <c r="I985" s="152"/>
      <c r="J985" s="152"/>
      <c r="K985" s="289"/>
      <c r="L985" s="289"/>
      <c r="M985" s="152"/>
      <c r="N985" s="152"/>
      <c r="O985" s="156"/>
      <c r="P985" s="152"/>
      <c r="Q985" s="152"/>
      <c r="R985" s="152"/>
      <c r="S985" s="152"/>
      <c r="T985" s="152"/>
      <c r="U985" s="152"/>
      <c r="V985" s="152"/>
      <c r="W985" s="152"/>
      <c r="X985" s="152"/>
      <c r="Y985" s="152"/>
      <c r="Z985" s="281"/>
      <c r="AA985" s="281"/>
      <c r="AB985" s="281"/>
      <c r="AC985" s="281"/>
      <c r="AD985" s="281"/>
      <c r="AE985" s="281"/>
      <c r="AF985" s="282"/>
      <c r="AG985" s="170"/>
      <c r="AH985" s="152"/>
      <c r="AI985" s="152"/>
      <c r="AJ985" s="152"/>
      <c r="AK985" s="152"/>
      <c r="AL985" s="152"/>
      <c r="AM985" s="152"/>
      <c r="AN985" s="152"/>
      <c r="AO985" s="152"/>
      <c r="AP985" s="152"/>
      <c r="AQ985" s="152"/>
      <c r="AR985" s="152"/>
    </row>
    <row r="986" ht="12.75" customHeight="1">
      <c r="A986" s="288"/>
      <c r="B986" s="288"/>
      <c r="C986" s="288"/>
      <c r="D986" s="152"/>
      <c r="E986" s="289"/>
      <c r="F986" s="289"/>
      <c r="G986" s="152"/>
      <c r="H986" s="152"/>
      <c r="I986" s="152"/>
      <c r="J986" s="152"/>
      <c r="K986" s="289"/>
      <c r="L986" s="289"/>
      <c r="M986" s="152"/>
      <c r="N986" s="152"/>
      <c r="O986" s="156"/>
      <c r="P986" s="152"/>
      <c r="Q986" s="152"/>
      <c r="R986" s="152"/>
      <c r="S986" s="152"/>
      <c r="T986" s="152"/>
      <c r="U986" s="152"/>
      <c r="V986" s="152"/>
      <c r="W986" s="152"/>
      <c r="X986" s="152"/>
      <c r="Y986" s="152"/>
      <c r="Z986" s="281"/>
      <c r="AA986" s="281"/>
      <c r="AB986" s="281"/>
      <c r="AC986" s="281"/>
      <c r="AD986" s="281"/>
      <c r="AE986" s="281"/>
      <c r="AF986" s="282"/>
      <c r="AG986" s="170"/>
      <c r="AH986" s="152"/>
      <c r="AI986" s="152"/>
      <c r="AJ986" s="152"/>
      <c r="AK986" s="152"/>
      <c r="AL986" s="152"/>
      <c r="AM986" s="152"/>
      <c r="AN986" s="152"/>
      <c r="AO986" s="152"/>
      <c r="AP986" s="152"/>
      <c r="AQ986" s="152"/>
      <c r="AR986" s="152"/>
    </row>
    <row r="987" ht="12.75" customHeight="1">
      <c r="A987" s="288"/>
      <c r="B987" s="288"/>
      <c r="C987" s="288"/>
      <c r="D987" s="152"/>
      <c r="E987" s="289"/>
      <c r="F987" s="289"/>
      <c r="G987" s="152"/>
      <c r="H987" s="152"/>
      <c r="I987" s="152"/>
      <c r="J987" s="152"/>
      <c r="K987" s="289"/>
      <c r="L987" s="289"/>
      <c r="M987" s="152"/>
      <c r="N987" s="152"/>
      <c r="O987" s="156"/>
      <c r="P987" s="152"/>
      <c r="Q987" s="152"/>
      <c r="R987" s="152"/>
      <c r="S987" s="152"/>
      <c r="T987" s="152"/>
      <c r="U987" s="152"/>
      <c r="V987" s="152"/>
      <c r="W987" s="152"/>
      <c r="X987" s="152"/>
      <c r="Y987" s="152"/>
      <c r="Z987" s="281"/>
      <c r="AA987" s="281"/>
      <c r="AB987" s="281"/>
      <c r="AC987" s="281"/>
      <c r="AD987" s="281"/>
      <c r="AE987" s="281"/>
      <c r="AF987" s="282"/>
      <c r="AG987" s="170"/>
      <c r="AH987" s="152"/>
      <c r="AI987" s="152"/>
      <c r="AJ987" s="152"/>
      <c r="AK987" s="152"/>
      <c r="AL987" s="152"/>
      <c r="AM987" s="152"/>
      <c r="AN987" s="152"/>
      <c r="AO987" s="152"/>
      <c r="AP987" s="152"/>
      <c r="AQ987" s="152"/>
      <c r="AR987" s="152"/>
    </row>
    <row r="988" ht="12.75" customHeight="1">
      <c r="A988" s="288"/>
      <c r="B988" s="288"/>
      <c r="C988" s="288"/>
      <c r="D988" s="152"/>
      <c r="E988" s="289"/>
      <c r="F988" s="289"/>
      <c r="G988" s="152"/>
      <c r="H988" s="152"/>
      <c r="I988" s="152"/>
      <c r="J988" s="152"/>
      <c r="K988" s="289"/>
      <c r="L988" s="289"/>
      <c r="M988" s="152"/>
      <c r="N988" s="152"/>
      <c r="O988" s="156"/>
      <c r="P988" s="152"/>
      <c r="Q988" s="152"/>
      <c r="R988" s="152"/>
      <c r="S988" s="152"/>
      <c r="T988" s="152"/>
      <c r="U988" s="152"/>
      <c r="V988" s="152"/>
      <c r="W988" s="152"/>
      <c r="X988" s="152"/>
      <c r="Y988" s="152"/>
      <c r="Z988" s="281"/>
      <c r="AA988" s="281"/>
      <c r="AB988" s="281"/>
      <c r="AC988" s="281"/>
      <c r="AD988" s="281"/>
      <c r="AE988" s="281"/>
      <c r="AF988" s="282"/>
      <c r="AG988" s="170"/>
      <c r="AH988" s="152"/>
      <c r="AI988" s="152"/>
      <c r="AJ988" s="152"/>
      <c r="AK988" s="152"/>
      <c r="AL988" s="152"/>
      <c r="AM988" s="152"/>
      <c r="AN988" s="152"/>
      <c r="AO988" s="152"/>
      <c r="AP988" s="152"/>
      <c r="AQ988" s="152"/>
      <c r="AR988" s="152"/>
    </row>
    <row r="989" ht="12.75" customHeight="1">
      <c r="A989" s="288"/>
      <c r="B989" s="288"/>
      <c r="C989" s="288"/>
      <c r="D989" s="152"/>
      <c r="E989" s="289"/>
      <c r="F989" s="289"/>
      <c r="G989" s="152"/>
      <c r="H989" s="152"/>
      <c r="I989" s="152"/>
      <c r="J989" s="152"/>
      <c r="K989" s="289"/>
      <c r="L989" s="289"/>
      <c r="M989" s="152"/>
      <c r="N989" s="152"/>
      <c r="O989" s="156"/>
      <c r="P989" s="152"/>
      <c r="Q989" s="152"/>
      <c r="R989" s="152"/>
      <c r="S989" s="152"/>
      <c r="T989" s="152"/>
      <c r="U989" s="152"/>
      <c r="V989" s="152"/>
      <c r="W989" s="152"/>
      <c r="X989" s="152"/>
      <c r="Y989" s="152"/>
      <c r="Z989" s="281"/>
      <c r="AA989" s="281"/>
      <c r="AB989" s="281"/>
      <c r="AC989" s="281"/>
      <c r="AD989" s="281"/>
      <c r="AE989" s="281"/>
      <c r="AF989" s="282"/>
      <c r="AG989" s="170"/>
      <c r="AH989" s="152"/>
      <c r="AI989" s="152"/>
      <c r="AJ989" s="152"/>
      <c r="AK989" s="152"/>
      <c r="AL989" s="152"/>
      <c r="AM989" s="152"/>
      <c r="AN989" s="152"/>
      <c r="AO989" s="152"/>
      <c r="AP989" s="152"/>
      <c r="AQ989" s="152"/>
      <c r="AR989" s="152"/>
    </row>
    <row r="990" ht="12.75" customHeight="1">
      <c r="A990" s="288"/>
      <c r="B990" s="288"/>
      <c r="C990" s="288"/>
      <c r="D990" s="152"/>
      <c r="E990" s="289"/>
      <c r="F990" s="289"/>
      <c r="G990" s="152"/>
      <c r="H990" s="152"/>
      <c r="I990" s="152"/>
      <c r="J990" s="152"/>
      <c r="K990" s="289"/>
      <c r="L990" s="289"/>
      <c r="M990" s="152"/>
      <c r="N990" s="152"/>
      <c r="O990" s="156"/>
      <c r="P990" s="152"/>
      <c r="Q990" s="152"/>
      <c r="R990" s="152"/>
      <c r="S990" s="152"/>
      <c r="T990" s="152"/>
      <c r="U990" s="152"/>
      <c r="V990" s="152"/>
      <c r="W990" s="152"/>
      <c r="X990" s="152"/>
      <c r="Y990" s="152"/>
      <c r="Z990" s="281"/>
      <c r="AA990" s="281"/>
      <c r="AB990" s="281"/>
      <c r="AC990" s="281"/>
      <c r="AD990" s="281"/>
      <c r="AE990" s="281"/>
      <c r="AF990" s="282"/>
      <c r="AG990" s="170"/>
      <c r="AH990" s="152"/>
      <c r="AI990" s="152"/>
      <c r="AJ990" s="152"/>
      <c r="AK990" s="152"/>
      <c r="AL990" s="152"/>
      <c r="AM990" s="152"/>
      <c r="AN990" s="152"/>
      <c r="AO990" s="152"/>
      <c r="AP990" s="152"/>
      <c r="AQ990" s="152"/>
      <c r="AR990" s="152"/>
    </row>
    <row r="991" ht="12.75" customHeight="1">
      <c r="A991" s="288"/>
      <c r="B991" s="288"/>
      <c r="C991" s="288"/>
      <c r="D991" s="152"/>
      <c r="E991" s="289"/>
      <c r="F991" s="289"/>
      <c r="G991" s="152"/>
      <c r="H991" s="152"/>
      <c r="I991" s="152"/>
      <c r="J991" s="152"/>
      <c r="K991" s="289"/>
      <c r="L991" s="289"/>
      <c r="M991" s="152"/>
      <c r="N991" s="152"/>
      <c r="O991" s="156"/>
      <c r="P991" s="152"/>
      <c r="Q991" s="152"/>
      <c r="R991" s="152"/>
      <c r="S991" s="152"/>
      <c r="T991" s="152"/>
      <c r="U991" s="152"/>
      <c r="V991" s="152"/>
      <c r="W991" s="152"/>
      <c r="X991" s="152"/>
      <c r="Y991" s="152"/>
      <c r="Z991" s="281"/>
      <c r="AA991" s="281"/>
      <c r="AB991" s="281"/>
      <c r="AC991" s="281"/>
      <c r="AD991" s="281"/>
      <c r="AE991" s="281"/>
      <c r="AF991" s="282"/>
      <c r="AG991" s="170"/>
      <c r="AH991" s="152"/>
      <c r="AI991" s="152"/>
      <c r="AJ991" s="152"/>
      <c r="AK991" s="152"/>
      <c r="AL991" s="152"/>
      <c r="AM991" s="152"/>
      <c r="AN991" s="152"/>
      <c r="AO991" s="152"/>
      <c r="AP991" s="152"/>
      <c r="AQ991" s="152"/>
      <c r="AR991" s="152"/>
    </row>
    <row r="992" ht="12.75" customHeight="1">
      <c r="A992" s="288"/>
      <c r="B992" s="288"/>
      <c r="C992" s="288"/>
      <c r="D992" s="152"/>
      <c r="E992" s="289"/>
      <c r="F992" s="289"/>
      <c r="G992" s="152"/>
      <c r="H992" s="152"/>
      <c r="I992" s="152"/>
      <c r="J992" s="152"/>
      <c r="K992" s="289"/>
      <c r="L992" s="289"/>
      <c r="M992" s="152"/>
      <c r="N992" s="152"/>
      <c r="O992" s="156"/>
      <c r="P992" s="152"/>
      <c r="Q992" s="152"/>
      <c r="R992" s="152"/>
      <c r="S992" s="152"/>
      <c r="T992" s="152"/>
      <c r="U992" s="152"/>
      <c r="V992" s="152"/>
      <c r="W992" s="152"/>
      <c r="X992" s="152"/>
      <c r="Y992" s="152"/>
      <c r="Z992" s="281"/>
      <c r="AA992" s="281"/>
      <c r="AB992" s="281"/>
      <c r="AC992" s="281"/>
      <c r="AD992" s="281"/>
      <c r="AE992" s="281"/>
      <c r="AF992" s="282"/>
      <c r="AG992" s="170"/>
      <c r="AH992" s="152"/>
      <c r="AI992" s="152"/>
      <c r="AJ992" s="152"/>
      <c r="AK992" s="152"/>
      <c r="AL992" s="152"/>
      <c r="AM992" s="152"/>
      <c r="AN992" s="152"/>
      <c r="AO992" s="152"/>
      <c r="AP992" s="152"/>
      <c r="AQ992" s="152"/>
      <c r="AR992" s="152"/>
    </row>
    <row r="993" ht="12.75" customHeight="1">
      <c r="A993" s="288"/>
      <c r="B993" s="288"/>
      <c r="C993" s="288"/>
      <c r="D993" s="152"/>
      <c r="E993" s="289"/>
      <c r="F993" s="289"/>
      <c r="G993" s="152"/>
      <c r="H993" s="152"/>
      <c r="I993" s="152"/>
      <c r="J993" s="152"/>
      <c r="K993" s="289"/>
      <c r="L993" s="289"/>
      <c r="M993" s="152"/>
      <c r="N993" s="152"/>
      <c r="O993" s="156"/>
      <c r="P993" s="152"/>
      <c r="Q993" s="152"/>
      <c r="R993" s="152"/>
      <c r="S993" s="152"/>
      <c r="T993" s="152"/>
      <c r="U993" s="152"/>
      <c r="V993" s="152"/>
      <c r="W993" s="152"/>
      <c r="X993" s="152"/>
      <c r="Y993" s="152"/>
      <c r="Z993" s="281"/>
      <c r="AA993" s="281"/>
      <c r="AB993" s="281"/>
      <c r="AC993" s="281"/>
      <c r="AD993" s="281"/>
      <c r="AE993" s="281"/>
      <c r="AF993" s="282"/>
      <c r="AG993" s="170"/>
      <c r="AH993" s="152"/>
      <c r="AI993" s="152"/>
      <c r="AJ993" s="152"/>
      <c r="AK993" s="152"/>
      <c r="AL993" s="152"/>
      <c r="AM993" s="152"/>
      <c r="AN993" s="152"/>
      <c r="AO993" s="152"/>
      <c r="AP993" s="152"/>
      <c r="AQ993" s="152"/>
      <c r="AR993" s="152"/>
    </row>
    <row r="994" ht="12.75" customHeight="1">
      <c r="A994" s="288"/>
      <c r="B994" s="288"/>
      <c r="C994" s="288"/>
      <c r="D994" s="152"/>
      <c r="E994" s="289"/>
      <c r="F994" s="289"/>
      <c r="G994" s="152"/>
      <c r="H994" s="152"/>
      <c r="I994" s="152"/>
      <c r="J994" s="152"/>
      <c r="K994" s="289"/>
      <c r="L994" s="289"/>
      <c r="M994" s="152"/>
      <c r="N994" s="152"/>
      <c r="O994" s="156"/>
      <c r="P994" s="152"/>
      <c r="Q994" s="152"/>
      <c r="R994" s="152"/>
      <c r="S994" s="152"/>
      <c r="T994" s="152"/>
      <c r="U994" s="152"/>
      <c r="V994" s="152"/>
      <c r="W994" s="152"/>
      <c r="X994" s="152"/>
      <c r="Y994" s="152"/>
      <c r="Z994" s="281"/>
      <c r="AA994" s="281"/>
      <c r="AB994" s="281"/>
      <c r="AC994" s="281"/>
      <c r="AD994" s="281"/>
      <c r="AE994" s="281"/>
      <c r="AF994" s="282"/>
      <c r="AG994" s="170"/>
      <c r="AH994" s="152"/>
      <c r="AI994" s="152"/>
      <c r="AJ994" s="152"/>
      <c r="AK994" s="152"/>
      <c r="AL994" s="152"/>
      <c r="AM994" s="152"/>
      <c r="AN994" s="152"/>
      <c r="AO994" s="152"/>
      <c r="AP994" s="152"/>
      <c r="AQ994" s="152"/>
      <c r="AR994" s="152"/>
    </row>
    <row r="995" ht="12.75" customHeight="1">
      <c r="A995" s="288"/>
      <c r="B995" s="288"/>
      <c r="C995" s="288"/>
      <c r="D995" s="152"/>
      <c r="E995" s="289"/>
      <c r="F995" s="289"/>
      <c r="G995" s="152"/>
      <c r="H995" s="152"/>
      <c r="I995" s="152"/>
      <c r="J995" s="152"/>
      <c r="K995" s="289"/>
      <c r="L995" s="289"/>
      <c r="M995" s="152"/>
      <c r="N995" s="152"/>
      <c r="O995" s="156"/>
      <c r="P995" s="152"/>
      <c r="Q995" s="152"/>
      <c r="R995" s="152"/>
      <c r="S995" s="152"/>
      <c r="T995" s="152"/>
      <c r="U995" s="152"/>
      <c r="V995" s="152"/>
      <c r="W995" s="152"/>
      <c r="X995" s="152"/>
      <c r="Y995" s="152"/>
      <c r="Z995" s="281"/>
      <c r="AA995" s="281"/>
      <c r="AB995" s="281"/>
      <c r="AC995" s="281"/>
      <c r="AD995" s="281"/>
      <c r="AE995" s="281"/>
      <c r="AF995" s="282"/>
      <c r="AG995" s="170"/>
      <c r="AH995" s="152"/>
      <c r="AI995" s="152"/>
      <c r="AJ995" s="152"/>
      <c r="AK995" s="152"/>
      <c r="AL995" s="152"/>
      <c r="AM995" s="152"/>
      <c r="AN995" s="152"/>
      <c r="AO995" s="152"/>
      <c r="AP995" s="152"/>
      <c r="AQ995" s="152"/>
      <c r="AR995" s="152"/>
    </row>
    <row r="996" ht="12.75" customHeight="1">
      <c r="A996" s="288"/>
      <c r="B996" s="288"/>
      <c r="C996" s="288"/>
      <c r="D996" s="152"/>
      <c r="E996" s="289"/>
      <c r="F996" s="289"/>
      <c r="G996" s="152"/>
      <c r="H996" s="152"/>
      <c r="I996" s="152"/>
      <c r="J996" s="152"/>
      <c r="K996" s="289"/>
      <c r="L996" s="289"/>
      <c r="M996" s="152"/>
      <c r="N996" s="152"/>
      <c r="O996" s="156"/>
      <c r="P996" s="152"/>
      <c r="Q996" s="152"/>
      <c r="R996" s="152"/>
      <c r="S996" s="152"/>
      <c r="T996" s="152"/>
      <c r="U996" s="152"/>
      <c r="V996" s="152"/>
      <c r="W996" s="152"/>
      <c r="X996" s="152"/>
      <c r="Y996" s="152"/>
      <c r="Z996" s="281"/>
      <c r="AA996" s="281"/>
      <c r="AB996" s="281"/>
      <c r="AC996" s="281"/>
      <c r="AD996" s="281"/>
      <c r="AE996" s="281"/>
      <c r="AF996" s="282"/>
      <c r="AG996" s="170"/>
      <c r="AH996" s="152"/>
      <c r="AI996" s="152"/>
      <c r="AJ996" s="152"/>
      <c r="AK996" s="152"/>
      <c r="AL996" s="152"/>
      <c r="AM996" s="152"/>
      <c r="AN996" s="152"/>
      <c r="AO996" s="152"/>
      <c r="AP996" s="152"/>
      <c r="AQ996" s="152"/>
      <c r="AR996" s="152"/>
    </row>
    <row r="997" ht="12.75" customHeight="1">
      <c r="A997" s="288"/>
      <c r="B997" s="288"/>
      <c r="C997" s="288"/>
      <c r="D997" s="152"/>
      <c r="E997" s="289"/>
      <c r="F997" s="289"/>
      <c r="G997" s="152"/>
      <c r="H997" s="152"/>
      <c r="I997" s="152"/>
      <c r="J997" s="152"/>
      <c r="K997" s="289"/>
      <c r="L997" s="289"/>
      <c r="M997" s="152"/>
      <c r="N997" s="152"/>
      <c r="O997" s="156"/>
      <c r="P997" s="152"/>
      <c r="Q997" s="152"/>
      <c r="R997" s="152"/>
      <c r="S997" s="152"/>
      <c r="T997" s="152"/>
      <c r="U997" s="152"/>
      <c r="V997" s="152"/>
      <c r="W997" s="152"/>
      <c r="X997" s="152"/>
      <c r="Y997" s="152"/>
      <c r="Z997" s="281"/>
      <c r="AA997" s="281"/>
      <c r="AB997" s="281"/>
      <c r="AC997" s="281"/>
      <c r="AD997" s="281"/>
      <c r="AE997" s="281"/>
      <c r="AF997" s="282"/>
      <c r="AG997" s="170"/>
      <c r="AH997" s="152"/>
      <c r="AI997" s="152"/>
      <c r="AJ997" s="152"/>
      <c r="AK997" s="152"/>
      <c r="AL997" s="152"/>
      <c r="AM997" s="152"/>
      <c r="AN997" s="152"/>
      <c r="AO997" s="152"/>
      <c r="AP997" s="152"/>
      <c r="AQ997" s="152"/>
      <c r="AR997" s="152"/>
    </row>
    <row r="998" ht="12.75" customHeight="1">
      <c r="A998" s="288"/>
      <c r="B998" s="288"/>
      <c r="C998" s="288"/>
      <c r="D998" s="152"/>
      <c r="E998" s="289"/>
      <c r="F998" s="289"/>
      <c r="G998" s="152"/>
      <c r="H998" s="152"/>
      <c r="I998" s="152"/>
      <c r="J998" s="152"/>
      <c r="K998" s="289"/>
      <c r="L998" s="289"/>
      <c r="M998" s="152"/>
      <c r="N998" s="152"/>
      <c r="O998" s="156"/>
      <c r="P998" s="152"/>
      <c r="Q998" s="152"/>
      <c r="R998" s="152"/>
      <c r="S998" s="152"/>
      <c r="T998" s="152"/>
      <c r="U998" s="152"/>
      <c r="V998" s="152"/>
      <c r="W998" s="152"/>
      <c r="X998" s="152"/>
      <c r="Y998" s="152"/>
      <c r="Z998" s="281"/>
      <c r="AA998" s="281"/>
      <c r="AB998" s="281"/>
      <c r="AC998" s="281"/>
      <c r="AD998" s="281"/>
      <c r="AE998" s="281"/>
      <c r="AF998" s="282"/>
      <c r="AG998" s="170"/>
      <c r="AH998" s="152"/>
      <c r="AI998" s="152"/>
      <c r="AJ998" s="152"/>
      <c r="AK998" s="152"/>
      <c r="AL998" s="152"/>
      <c r="AM998" s="152"/>
      <c r="AN998" s="152"/>
      <c r="AO998" s="152"/>
      <c r="AP998" s="152"/>
      <c r="AQ998" s="152"/>
      <c r="AR998" s="152"/>
    </row>
    <row r="999" ht="12.75" customHeight="1">
      <c r="A999" s="288"/>
      <c r="B999" s="288"/>
      <c r="C999" s="288"/>
      <c r="D999" s="152"/>
      <c r="E999" s="289"/>
      <c r="F999" s="289"/>
      <c r="G999" s="152"/>
      <c r="H999" s="152"/>
      <c r="I999" s="152"/>
      <c r="J999" s="152"/>
      <c r="K999" s="289"/>
      <c r="L999" s="289"/>
      <c r="M999" s="152"/>
      <c r="N999" s="152"/>
      <c r="O999" s="156"/>
      <c r="P999" s="152"/>
      <c r="Q999" s="152"/>
      <c r="R999" s="152"/>
      <c r="S999" s="152"/>
      <c r="T999" s="152"/>
      <c r="U999" s="152"/>
      <c r="V999" s="152"/>
      <c r="W999" s="152"/>
      <c r="X999" s="152"/>
      <c r="Y999" s="152"/>
      <c r="Z999" s="281"/>
      <c r="AA999" s="281"/>
      <c r="AB999" s="281"/>
      <c r="AC999" s="281"/>
      <c r="AD999" s="281"/>
      <c r="AE999" s="281"/>
      <c r="AF999" s="282"/>
      <c r="AG999" s="170"/>
      <c r="AH999" s="152"/>
      <c r="AI999" s="152"/>
      <c r="AJ999" s="152"/>
      <c r="AK999" s="152"/>
      <c r="AL999" s="152"/>
      <c r="AM999" s="152"/>
      <c r="AN999" s="152"/>
      <c r="AO999" s="152"/>
      <c r="AP999" s="152"/>
      <c r="AQ999" s="152"/>
      <c r="AR999" s="152"/>
    </row>
    <row r="1000" ht="12.75" customHeight="1">
      <c r="A1000" s="288"/>
      <c r="B1000" s="288"/>
      <c r="C1000" s="288"/>
      <c r="D1000" s="152"/>
      <c r="E1000" s="289"/>
      <c r="F1000" s="289"/>
      <c r="G1000" s="152"/>
      <c r="H1000" s="152"/>
      <c r="I1000" s="152"/>
      <c r="J1000" s="152"/>
      <c r="K1000" s="289"/>
      <c r="L1000" s="289"/>
      <c r="M1000" s="152"/>
      <c r="N1000" s="152"/>
      <c r="O1000" s="156"/>
      <c r="P1000" s="152"/>
      <c r="Q1000" s="152"/>
      <c r="R1000" s="152"/>
      <c r="S1000" s="152"/>
      <c r="T1000" s="152"/>
      <c r="U1000" s="152"/>
      <c r="V1000" s="152"/>
      <c r="W1000" s="152"/>
      <c r="X1000" s="152"/>
      <c r="Y1000" s="152"/>
      <c r="Z1000" s="281"/>
      <c r="AA1000" s="281"/>
      <c r="AB1000" s="281"/>
      <c r="AC1000" s="281"/>
      <c r="AD1000" s="281"/>
      <c r="AE1000" s="281"/>
      <c r="AF1000" s="282"/>
      <c r="AG1000" s="170"/>
      <c r="AH1000" s="152"/>
      <c r="AI1000" s="152"/>
      <c r="AJ1000" s="152"/>
      <c r="AK1000" s="152"/>
      <c r="AL1000" s="152"/>
      <c r="AM1000" s="152"/>
      <c r="AN1000" s="152"/>
      <c r="AO1000" s="152"/>
      <c r="AP1000" s="152"/>
      <c r="AQ1000" s="152"/>
      <c r="AR1000" s="152"/>
    </row>
  </sheetData>
  <autoFilter ref="$A$1:$AG$1000"/>
  <conditionalFormatting sqref="K1:L1 O1:Y1">
    <cfRule type="expression" dxfId="3" priority="1" stopIfTrue="1">
      <formula>"$D5=$Q5"</formula>
    </cfRule>
  </conditionalFormatting>
  <conditionalFormatting sqref="M1:N1">
    <cfRule type="expression" dxfId="3" priority="2" stopIfTrue="1">
      <formula>"$D5=$Q5"</formula>
    </cfRule>
  </conditionalFormatting>
  <conditionalFormatting sqref="F1">
    <cfRule type="expression" dxfId="3" priority="3" stopIfTrue="1">
      <formula>"$D5=$Q5"</formula>
    </cfRule>
  </conditionalFormatting>
  <conditionalFormatting sqref="O2:O445">
    <cfRule type="notContainsBlanks" dxfId="4" priority="4">
      <formula>LEN(TRIM(O2))&gt;0</formula>
    </cfRule>
  </conditionalFormatting>
  <dataValidations>
    <dataValidation type="custom" allowBlank="1" showInputMessage="1" showErrorMessage="1" prompt="Error - Do not enter Compliance Statements in headlines or comments!" sqref="M2:M3 M5 M154 M344 M425 M443">
      <formula1>"Not Applicable"</formula1>
    </dataValidation>
    <dataValidation type="list" allowBlank="1" showInputMessage="1" showErrorMessage="1" prompt="Compliance Statement Selection - Invalid value, please reselect" sqref="M4 M6:M153 M155:M343 M345:M424 M426:M442 M444:M445">
      <formula1>"Complies,Partially Complies,Does Not Comply,Not Applicable"</formula1>
    </dataValidation>
    <dataValidation type="custom" allowBlank="1" showInputMessage="1" showErrorMessage="1" prompt="Error - Do not enter comments here!" sqref="N2:N3 N5 N154 N344 N425 N443">
      <formula1>"Not Applicable"</formula1>
    </dataValidation>
  </dataValidations>
  <printOptions/>
  <pageMargins bottom="0.75" footer="0.0" header="0.0" left="0.7" right="0.7" top="0.75"/>
  <pageSetup orientation="portrait"/>
  <drawing r:id="rId1"/>
</worksheet>
</file>